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C:\Users\e082908\Desktop\Current Website Docs\Grantee Report Forms by SOW\ODCP\"/>
    </mc:Choice>
  </mc:AlternateContent>
  <xr:revisionPtr revIDLastSave="0" documentId="8_{8439AFB6-1840-4A19-AB7A-925837B93EA5}" xr6:coauthVersionLast="47" xr6:coauthVersionMax="47" xr10:uidLastSave="{00000000-0000-0000-0000-000000000000}"/>
  <bookViews>
    <workbookView xWindow="2115" yWindow="2115" windowWidth="18000" windowHeight="9360" activeTab="1" xr2:uid="{00000000-000D-0000-FFFF-FFFF00000000}"/>
  </bookViews>
  <sheets>
    <sheet name="INSTRUCTIONS " sheetId="19" r:id="rId1"/>
    <sheet name="GRANTEE SET UP INFO &amp; DATE " sheetId="17" r:id="rId2"/>
    <sheet name="REFERRAL ONLY" sheetId="25" r:id="rId3"/>
    <sheet name="refer admin discharge" sheetId="21" r:id="rId4"/>
    <sheet name="NOMS PRE ADM POST DISC" sheetId="28" r:id="rId5"/>
    <sheet name="TRAINING" sheetId="18" r:id="rId6"/>
    <sheet name="Naloxone Training Distribution" sheetId="24" r:id="rId7"/>
    <sheet name="ACTIVITIES MEETINGS EVENTS " sheetId="26" r:id="rId8"/>
    <sheet name="CONSUMER FEEDBACK" sheetId="9" r:id="rId9"/>
    <sheet name="SUMMARY" sheetId="22" r:id="rId10"/>
    <sheet name="Sheet1" sheetId="29" r:id="rId11"/>
    <sheet name="Drop-Down Boxes " sheetId="13" r:id="rId12"/>
    <sheet name=" Scratch" sheetId="12" r:id="rId13"/>
  </sheets>
  <definedNames>
    <definedName name="_xlnm.Print_Titles" localSheetId="3">'refer admin discharge'!$1:$6</definedName>
    <definedName name="_xlnm.Print_Titles" localSheetId="2">'REFERRAL ONLY'!$1:$5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8" l="1" a="1"/>
  <c r="A2" i="28" s="1"/>
  <c r="AI14" i="24"/>
  <c r="AH14" i="24"/>
  <c r="AY14" i="18"/>
  <c r="AX14" i="18"/>
  <c r="AW14" i="18"/>
  <c r="AV14" i="18"/>
  <c r="L9" i="28"/>
  <c r="L7" i="28"/>
  <c r="L6" i="28"/>
  <c r="L5" i="28"/>
  <c r="U9" i="28"/>
  <c r="AO5" i="28"/>
  <c r="A1614" i="21"/>
  <c r="A1613" i="21"/>
  <c r="A1612" i="21"/>
  <c r="A1611" i="21"/>
  <c r="A1610" i="21"/>
  <c r="BK168" i="22" l="1"/>
  <c r="BK167" i="22"/>
  <c r="BK166" i="22"/>
  <c r="BK165" i="22"/>
  <c r="BK164" i="22"/>
  <c r="BK163" i="22"/>
  <c r="AQ160" i="22"/>
  <c r="BK162" i="22"/>
  <c r="BK161" i="22"/>
  <c r="BK160" i="22"/>
  <c r="AQ170" i="22"/>
  <c r="AQ171" i="22"/>
  <c r="AQ168" i="22"/>
  <c r="AQ169" i="22"/>
  <c r="AQ167" i="22"/>
  <c r="AQ166" i="22"/>
  <c r="AQ165" i="22"/>
  <c r="AQ164" i="22"/>
  <c r="AQ163" i="22"/>
  <c r="AQ162" i="22"/>
  <c r="AQ161" i="22"/>
  <c r="W134" i="22"/>
  <c r="I102" i="22"/>
  <c r="O102" i="22"/>
  <c r="I160" i="22"/>
  <c r="BW102" i="22"/>
  <c r="BQ102" i="22"/>
  <c r="BK102" i="22"/>
  <c r="BE102" i="22"/>
  <c r="AY102" i="22"/>
  <c r="AS102" i="22"/>
  <c r="AM102" i="22"/>
  <c r="AG102" i="22"/>
  <c r="AA102" i="22"/>
  <c r="U102" i="22"/>
  <c r="O25" i="22"/>
  <c r="Q25" i="22"/>
  <c r="K25" i="22"/>
  <c r="BW101" i="22"/>
  <c r="BQ101" i="22"/>
  <c r="BK101" i="22"/>
  <c r="BE101" i="22"/>
  <c r="AY101" i="22"/>
  <c r="AS101" i="22"/>
  <c r="AM101" i="22"/>
  <c r="AG101" i="22"/>
  <c r="AA101" i="22"/>
  <c r="U101" i="22"/>
  <c r="O101" i="22"/>
  <c r="I101" i="22"/>
  <c r="X15" i="22"/>
  <c r="V70" i="22"/>
  <c r="AG14" i="24"/>
  <c r="AF14" i="24"/>
  <c r="AE14" i="24"/>
  <c r="X13" i="22"/>
  <c r="R167" i="22"/>
  <c r="R166" i="22"/>
  <c r="R165" i="22"/>
  <c r="R164" i="22"/>
  <c r="R163" i="22"/>
  <c r="R162" i="22"/>
  <c r="R161" i="22"/>
  <c r="W171" i="22"/>
  <c r="W170" i="22"/>
  <c r="W169" i="22"/>
  <c r="W168" i="22"/>
  <c r="R168" i="22"/>
  <c r="W167" i="22"/>
  <c r="W166" i="22"/>
  <c r="W165" i="22"/>
  <c r="W164" i="22"/>
  <c r="W163" i="22"/>
  <c r="W162" i="22"/>
  <c r="W161" i="22"/>
  <c r="R160" i="22"/>
  <c r="W160" i="22"/>
  <c r="R171" i="22"/>
  <c r="R170" i="22"/>
  <c r="R169" i="22"/>
  <c r="M171" i="22"/>
  <c r="M170" i="22"/>
  <c r="M169" i="22"/>
  <c r="M168" i="22"/>
  <c r="I171" i="22"/>
  <c r="I170" i="22"/>
  <c r="I169" i="22"/>
  <c r="I168" i="22"/>
  <c r="BS137" i="22"/>
  <c r="BS136" i="22"/>
  <c r="BS135" i="22"/>
  <c r="BS134" i="22"/>
  <c r="BM137" i="22"/>
  <c r="BM136" i="22"/>
  <c r="BM135" i="22"/>
  <c r="BM134" i="22"/>
  <c r="BG137" i="22"/>
  <c r="BG136" i="22"/>
  <c r="BG135" i="22"/>
  <c r="BG134" i="22"/>
  <c r="BA137" i="22"/>
  <c r="BA136" i="22"/>
  <c r="BA135" i="22"/>
  <c r="BA134" i="22"/>
  <c r="AU137" i="22"/>
  <c r="AU136" i="22"/>
  <c r="AU135" i="22"/>
  <c r="AU134" i="22"/>
  <c r="AO137" i="22"/>
  <c r="AO136" i="22"/>
  <c r="AO135" i="22"/>
  <c r="AO134" i="22"/>
  <c r="AI137" i="22"/>
  <c r="AI136" i="22"/>
  <c r="AI135" i="22"/>
  <c r="AI134" i="22"/>
  <c r="AC137" i="22"/>
  <c r="AC136" i="22"/>
  <c r="AC135" i="22"/>
  <c r="AC134" i="22"/>
  <c r="W137" i="22"/>
  <c r="W136" i="22"/>
  <c r="W135" i="22"/>
  <c r="W128" i="22"/>
  <c r="CK128" i="22"/>
  <c r="CK127" i="22"/>
  <c r="CK126" i="22"/>
  <c r="CK125" i="22"/>
  <c r="CE128" i="22"/>
  <c r="CE127" i="22"/>
  <c r="CE125" i="22"/>
  <c r="CE126" i="22"/>
  <c r="BY128" i="22"/>
  <c r="BY127" i="22"/>
  <c r="BY126" i="22"/>
  <c r="BY125" i="22"/>
  <c r="BS125" i="22"/>
  <c r="BS128" i="22"/>
  <c r="BS127" i="22"/>
  <c r="BS126" i="22"/>
  <c r="BM128" i="22"/>
  <c r="BM127" i="22"/>
  <c r="BM126" i="22"/>
  <c r="BM125" i="22"/>
  <c r="BG128" i="22"/>
  <c r="BG127" i="22"/>
  <c r="BG126" i="22"/>
  <c r="BG125" i="22"/>
  <c r="BA128" i="22"/>
  <c r="BA127" i="22"/>
  <c r="BA126" i="22"/>
  <c r="BA125" i="22"/>
  <c r="AU128" i="22"/>
  <c r="AU127" i="22"/>
  <c r="AU126" i="22"/>
  <c r="AU125" i="22"/>
  <c r="AO128" i="22"/>
  <c r="AO127" i="22"/>
  <c r="AO126" i="22"/>
  <c r="AO125" i="22"/>
  <c r="AI128" i="22"/>
  <c r="AI127" i="22"/>
  <c r="AI126" i="22"/>
  <c r="AI125" i="22"/>
  <c r="AC128" i="22"/>
  <c r="AC127" i="22"/>
  <c r="AC126" i="22"/>
  <c r="AC125" i="22"/>
  <c r="W127" i="22"/>
  <c r="W126" i="22"/>
  <c r="W125" i="22"/>
  <c r="R85" i="29"/>
  <c r="M85" i="29"/>
  <c r="I85" i="29"/>
  <c r="R84" i="29"/>
  <c r="M84" i="29"/>
  <c r="I84" i="29"/>
  <c r="R83" i="29"/>
  <c r="M83" i="29"/>
  <c r="I83" i="29"/>
  <c r="R82" i="29"/>
  <c r="M82" i="29"/>
  <c r="I82" i="29"/>
  <c r="R81" i="29"/>
  <c r="M81" i="29"/>
  <c r="I81" i="29"/>
  <c r="R80" i="29"/>
  <c r="M80" i="29"/>
  <c r="I80" i="29"/>
  <c r="R79" i="29"/>
  <c r="M79" i="29"/>
  <c r="I79" i="29"/>
  <c r="R78" i="29"/>
  <c r="M78" i="29"/>
  <c r="I78" i="29"/>
  <c r="R77" i="29"/>
  <c r="M77" i="29"/>
  <c r="I77" i="29"/>
  <c r="R76" i="29"/>
  <c r="M76" i="29"/>
  <c r="I76" i="29"/>
  <c r="R75" i="29"/>
  <c r="M75" i="29"/>
  <c r="I75" i="29"/>
  <c r="R74" i="29"/>
  <c r="M74" i="29"/>
  <c r="I74" i="29"/>
  <c r="BS67" i="29"/>
  <c r="BO67" i="29"/>
  <c r="BK67" i="29"/>
  <c r="BG67" i="29"/>
  <c r="BC67" i="29"/>
  <c r="AY67" i="29"/>
  <c r="AU67" i="29"/>
  <c r="AQ67" i="29"/>
  <c r="AM67" i="29"/>
  <c r="AI67" i="29"/>
  <c r="AE67" i="29"/>
  <c r="AA67" i="29"/>
  <c r="W67" i="29"/>
  <c r="R67" i="29"/>
  <c r="M67" i="29"/>
  <c r="I67" i="29"/>
  <c r="BS66" i="29"/>
  <c r="BO66" i="29"/>
  <c r="BK66" i="29"/>
  <c r="BG66" i="29"/>
  <c r="BC66" i="29"/>
  <c r="AY66" i="29"/>
  <c r="AU66" i="29"/>
  <c r="AQ66" i="29"/>
  <c r="AM66" i="29"/>
  <c r="AI66" i="29"/>
  <c r="AE66" i="29"/>
  <c r="AA66" i="29"/>
  <c r="W66" i="29"/>
  <c r="R66" i="29"/>
  <c r="M66" i="29"/>
  <c r="I66" i="29"/>
  <c r="BS65" i="29"/>
  <c r="BO65" i="29"/>
  <c r="BK65" i="29"/>
  <c r="BG65" i="29"/>
  <c r="BC65" i="29"/>
  <c r="AY65" i="29"/>
  <c r="AU65" i="29"/>
  <c r="AQ65" i="29"/>
  <c r="AM65" i="29"/>
  <c r="AI65" i="29"/>
  <c r="AE65" i="29"/>
  <c r="AA65" i="29"/>
  <c r="W65" i="29"/>
  <c r="R65" i="29"/>
  <c r="M65" i="29"/>
  <c r="I65" i="29"/>
  <c r="BS64" i="29"/>
  <c r="BO64" i="29"/>
  <c r="BK64" i="29"/>
  <c r="BG64" i="29"/>
  <c r="BC64" i="29"/>
  <c r="AY64" i="29"/>
  <c r="AU64" i="29"/>
  <c r="AQ64" i="29"/>
  <c r="AM64" i="29"/>
  <c r="AI64" i="29"/>
  <c r="AE64" i="29"/>
  <c r="AA64" i="29"/>
  <c r="W64" i="29"/>
  <c r="R64" i="29"/>
  <c r="M64" i="29"/>
  <c r="I64" i="29"/>
  <c r="BS63" i="29"/>
  <c r="BO63" i="29"/>
  <c r="BK63" i="29"/>
  <c r="BG63" i="29"/>
  <c r="BC63" i="29"/>
  <c r="AY63" i="29"/>
  <c r="AU63" i="29"/>
  <c r="AQ63" i="29"/>
  <c r="AM63" i="29"/>
  <c r="AI63" i="29"/>
  <c r="AE63" i="29"/>
  <c r="AA63" i="29"/>
  <c r="W63" i="29"/>
  <c r="R63" i="29"/>
  <c r="M63" i="29"/>
  <c r="I63" i="29"/>
  <c r="BS62" i="29"/>
  <c r="BO62" i="29"/>
  <c r="BK62" i="29"/>
  <c r="BG62" i="29"/>
  <c r="BC62" i="29"/>
  <c r="AY62" i="29"/>
  <c r="AU62" i="29"/>
  <c r="AQ62" i="29"/>
  <c r="AM62" i="29"/>
  <c r="AI62" i="29"/>
  <c r="AE62" i="29"/>
  <c r="AA62" i="29"/>
  <c r="W62" i="29"/>
  <c r="R62" i="29"/>
  <c r="M62" i="29"/>
  <c r="I62" i="29"/>
  <c r="BS61" i="29"/>
  <c r="BO61" i="29"/>
  <c r="BK61" i="29"/>
  <c r="BG61" i="29"/>
  <c r="BC61" i="29"/>
  <c r="AY61" i="29"/>
  <c r="AU61" i="29"/>
  <c r="AQ61" i="29"/>
  <c r="AM61" i="29"/>
  <c r="AI61" i="29"/>
  <c r="AE61" i="29"/>
  <c r="AA61" i="29"/>
  <c r="W61" i="29"/>
  <c r="R61" i="29"/>
  <c r="M61" i="29"/>
  <c r="I61" i="29"/>
  <c r="BS60" i="29"/>
  <c r="BO60" i="29"/>
  <c r="BK60" i="29"/>
  <c r="BG60" i="29"/>
  <c r="BC60" i="29"/>
  <c r="AY60" i="29"/>
  <c r="AU60" i="29"/>
  <c r="AQ60" i="29"/>
  <c r="AM60" i="29"/>
  <c r="AI60" i="29"/>
  <c r="AE60" i="29"/>
  <c r="AA60" i="29"/>
  <c r="W60" i="29"/>
  <c r="R60" i="29"/>
  <c r="M60" i="29"/>
  <c r="I60" i="29"/>
  <c r="BS59" i="29"/>
  <c r="BO59" i="29"/>
  <c r="BK59" i="29"/>
  <c r="BG59" i="29"/>
  <c r="BC59" i="29"/>
  <c r="AY59" i="29"/>
  <c r="AU59" i="29"/>
  <c r="AQ59" i="29"/>
  <c r="AM59" i="29"/>
  <c r="AI59" i="29"/>
  <c r="AE59" i="29"/>
  <c r="AA59" i="29"/>
  <c r="W59" i="29"/>
  <c r="R59" i="29"/>
  <c r="M59" i="29"/>
  <c r="I59" i="29"/>
  <c r="BS58" i="29"/>
  <c r="BO58" i="29"/>
  <c r="BK58" i="29"/>
  <c r="BG58" i="29"/>
  <c r="BC58" i="29"/>
  <c r="AY58" i="29"/>
  <c r="AU58" i="29"/>
  <c r="AQ58" i="29"/>
  <c r="AM58" i="29"/>
  <c r="AI58" i="29"/>
  <c r="AE58" i="29"/>
  <c r="AA58" i="29"/>
  <c r="W58" i="29"/>
  <c r="R58" i="29"/>
  <c r="M58" i="29"/>
  <c r="I58" i="29"/>
  <c r="BS57" i="29"/>
  <c r="BO57" i="29"/>
  <c r="BK57" i="29"/>
  <c r="BG57" i="29"/>
  <c r="BC57" i="29"/>
  <c r="AY57" i="29"/>
  <c r="AU57" i="29"/>
  <c r="AQ57" i="29"/>
  <c r="AM57" i="29"/>
  <c r="AI57" i="29"/>
  <c r="AE57" i="29"/>
  <c r="AA57" i="29"/>
  <c r="W57" i="29"/>
  <c r="R57" i="29"/>
  <c r="M57" i="29"/>
  <c r="I57" i="29"/>
  <c r="BS56" i="29"/>
  <c r="BO56" i="29"/>
  <c r="BO69" i="29" s="1"/>
  <c r="BK56" i="29"/>
  <c r="BK69" i="29" s="1"/>
  <c r="BG56" i="29"/>
  <c r="BG69" i="29" s="1"/>
  <c r="BC56" i="29"/>
  <c r="BC69" i="29" s="1"/>
  <c r="AY56" i="29"/>
  <c r="AY69" i="29" s="1"/>
  <c r="AU56" i="29"/>
  <c r="AQ56" i="29"/>
  <c r="AM56" i="29"/>
  <c r="AI56" i="29"/>
  <c r="AI69" i="29" s="1"/>
  <c r="AE56" i="29"/>
  <c r="AE69" i="29" s="1"/>
  <c r="AA56" i="29"/>
  <c r="W56" i="29"/>
  <c r="W69" i="29" s="1"/>
  <c r="R56" i="29"/>
  <c r="M56" i="29"/>
  <c r="I56" i="29"/>
  <c r="BS50" i="29"/>
  <c r="BO50" i="29"/>
  <c r="BK50" i="29"/>
  <c r="BG50" i="29"/>
  <c r="BC50" i="29"/>
  <c r="AY50" i="29"/>
  <c r="AU50" i="29"/>
  <c r="AQ50" i="29"/>
  <c r="AM50" i="29"/>
  <c r="AI50" i="29"/>
  <c r="AE50" i="29"/>
  <c r="AA50" i="29"/>
  <c r="W50" i="29"/>
  <c r="R50" i="29"/>
  <c r="M50" i="29"/>
  <c r="I50" i="29"/>
  <c r="BS49" i="29"/>
  <c r="BO49" i="29"/>
  <c r="BK49" i="29"/>
  <c r="BG49" i="29"/>
  <c r="BC49" i="29"/>
  <c r="AY49" i="29"/>
  <c r="AU49" i="29"/>
  <c r="AQ49" i="29"/>
  <c r="AM49" i="29"/>
  <c r="AI49" i="29"/>
  <c r="AE49" i="29"/>
  <c r="AA49" i="29"/>
  <c r="W49" i="29"/>
  <c r="R49" i="29"/>
  <c r="M49" i="29"/>
  <c r="I49" i="29"/>
  <c r="BS48" i="29"/>
  <c r="BO48" i="29"/>
  <c r="BK48" i="29"/>
  <c r="BG48" i="29"/>
  <c r="BC48" i="29"/>
  <c r="AY48" i="29"/>
  <c r="AU48" i="29"/>
  <c r="AQ48" i="29"/>
  <c r="AM48" i="29"/>
  <c r="AI48" i="29"/>
  <c r="AE48" i="29"/>
  <c r="AA48" i="29"/>
  <c r="W48" i="29"/>
  <c r="R48" i="29"/>
  <c r="M48" i="29"/>
  <c r="I48" i="29"/>
  <c r="BS47" i="29"/>
  <c r="BO47" i="29"/>
  <c r="BK47" i="29"/>
  <c r="BG47" i="29"/>
  <c r="BC47" i="29"/>
  <c r="AY47" i="29"/>
  <c r="AU47" i="29"/>
  <c r="AQ47" i="29"/>
  <c r="AM47" i="29"/>
  <c r="AI47" i="29"/>
  <c r="AE47" i="29"/>
  <c r="AA47" i="29"/>
  <c r="W47" i="29"/>
  <c r="R47" i="29"/>
  <c r="M47" i="29"/>
  <c r="I47" i="29"/>
  <c r="BS46" i="29"/>
  <c r="BO46" i="29"/>
  <c r="BK46" i="29"/>
  <c r="BG46" i="29"/>
  <c r="BC46" i="29"/>
  <c r="AY46" i="29"/>
  <c r="AU46" i="29"/>
  <c r="AQ46" i="29"/>
  <c r="AM46" i="29"/>
  <c r="AI46" i="29"/>
  <c r="AE46" i="29"/>
  <c r="AA46" i="29"/>
  <c r="W46" i="29"/>
  <c r="R46" i="29"/>
  <c r="M46" i="29"/>
  <c r="I46" i="29"/>
  <c r="BS45" i="29"/>
  <c r="BO45" i="29"/>
  <c r="BK45" i="29"/>
  <c r="BG45" i="29"/>
  <c r="BC45" i="29"/>
  <c r="AY45" i="29"/>
  <c r="AU45" i="29"/>
  <c r="AQ45" i="29"/>
  <c r="AM45" i="29"/>
  <c r="AI45" i="29"/>
  <c r="AE45" i="29"/>
  <c r="AA45" i="29"/>
  <c r="W45" i="29"/>
  <c r="R45" i="29"/>
  <c r="M45" i="29"/>
  <c r="I45" i="29"/>
  <c r="BS44" i="29"/>
  <c r="BO44" i="29"/>
  <c r="BK44" i="29"/>
  <c r="BG44" i="29"/>
  <c r="BC44" i="29"/>
  <c r="AY44" i="29"/>
  <c r="AU44" i="29"/>
  <c r="AQ44" i="29"/>
  <c r="AM44" i="29"/>
  <c r="AI44" i="29"/>
  <c r="AE44" i="29"/>
  <c r="AA44" i="29"/>
  <c r="W44" i="29"/>
  <c r="R44" i="29"/>
  <c r="M44" i="29"/>
  <c r="I44" i="29"/>
  <c r="BS43" i="29"/>
  <c r="BO43" i="29"/>
  <c r="BK43" i="29"/>
  <c r="BG43" i="29"/>
  <c r="BC43" i="29"/>
  <c r="AY43" i="29"/>
  <c r="AU43" i="29"/>
  <c r="AQ43" i="29"/>
  <c r="AM43" i="29"/>
  <c r="AI43" i="29"/>
  <c r="AE43" i="29"/>
  <c r="AA43" i="29"/>
  <c r="W43" i="29"/>
  <c r="R43" i="29"/>
  <c r="M43" i="29"/>
  <c r="I43" i="29"/>
  <c r="BS42" i="29"/>
  <c r="BO42" i="29"/>
  <c r="BK42" i="29"/>
  <c r="BG42" i="29"/>
  <c r="BC42" i="29"/>
  <c r="AY42" i="29"/>
  <c r="AU42" i="29"/>
  <c r="AQ42" i="29"/>
  <c r="AM42" i="29"/>
  <c r="AI42" i="29"/>
  <c r="AE42" i="29"/>
  <c r="AA42" i="29"/>
  <c r="W42" i="29"/>
  <c r="R42" i="29"/>
  <c r="M42" i="29"/>
  <c r="I42" i="29"/>
  <c r="BS41" i="29"/>
  <c r="BO41" i="29"/>
  <c r="BK41" i="29"/>
  <c r="BG41" i="29"/>
  <c r="BC41" i="29"/>
  <c r="AY41" i="29"/>
  <c r="AU41" i="29"/>
  <c r="AQ41" i="29"/>
  <c r="AM41" i="29"/>
  <c r="AI41" i="29"/>
  <c r="AE41" i="29"/>
  <c r="AA41" i="29"/>
  <c r="W41" i="29"/>
  <c r="R41" i="29"/>
  <c r="M41" i="29"/>
  <c r="I41" i="29"/>
  <c r="BS40" i="29"/>
  <c r="BO40" i="29"/>
  <c r="BK40" i="29"/>
  <c r="BG40" i="29"/>
  <c r="BC40" i="29"/>
  <c r="AY40" i="29"/>
  <c r="AU40" i="29"/>
  <c r="AQ40" i="29"/>
  <c r="AM40" i="29"/>
  <c r="AI40" i="29"/>
  <c r="AE40" i="29"/>
  <c r="AA40" i="29"/>
  <c r="W40" i="29"/>
  <c r="R40" i="29"/>
  <c r="M40" i="29"/>
  <c r="I40" i="29"/>
  <c r="BS39" i="29"/>
  <c r="BO39" i="29"/>
  <c r="BO52" i="29" s="1"/>
  <c r="BK39" i="29"/>
  <c r="BK52" i="29" s="1"/>
  <c r="BG39" i="29"/>
  <c r="BC39" i="29"/>
  <c r="BC52" i="29" s="1"/>
  <c r="AY39" i="29"/>
  <c r="AY52" i="29" s="1"/>
  <c r="AU39" i="29"/>
  <c r="AQ39" i="29"/>
  <c r="AM39" i="29"/>
  <c r="AI39" i="29"/>
  <c r="AI52" i="29" s="1"/>
  <c r="AE39" i="29"/>
  <c r="AE52" i="29" s="1"/>
  <c r="AA39" i="29"/>
  <c r="W39" i="29"/>
  <c r="W52" i="29" s="1"/>
  <c r="R39" i="29"/>
  <c r="M39" i="29"/>
  <c r="I39" i="29"/>
  <c r="BS33" i="29"/>
  <c r="BO33" i="29"/>
  <c r="BK33" i="29"/>
  <c r="BG33" i="29"/>
  <c r="BC33" i="29"/>
  <c r="AY33" i="29"/>
  <c r="AU33" i="29"/>
  <c r="AQ33" i="29"/>
  <c r="AM33" i="29"/>
  <c r="AI33" i="29"/>
  <c r="AE33" i="29"/>
  <c r="AA33" i="29"/>
  <c r="W33" i="29"/>
  <c r="R33" i="29"/>
  <c r="M33" i="29"/>
  <c r="I33" i="29"/>
  <c r="BS32" i="29"/>
  <c r="BO32" i="29"/>
  <c r="BK32" i="29"/>
  <c r="BG32" i="29"/>
  <c r="BC32" i="29"/>
  <c r="AY32" i="29"/>
  <c r="AU32" i="29"/>
  <c r="AQ32" i="29"/>
  <c r="AM32" i="29"/>
  <c r="AI32" i="29"/>
  <c r="AE32" i="29"/>
  <c r="AA32" i="29"/>
  <c r="W32" i="29"/>
  <c r="R32" i="29"/>
  <c r="M32" i="29"/>
  <c r="I32" i="29"/>
  <c r="BS31" i="29"/>
  <c r="BO31" i="29"/>
  <c r="BK31" i="29"/>
  <c r="BG31" i="29"/>
  <c r="BC31" i="29"/>
  <c r="AY31" i="29"/>
  <c r="AU31" i="29"/>
  <c r="AQ31" i="29"/>
  <c r="AM31" i="29"/>
  <c r="AI31" i="29"/>
  <c r="AE31" i="29"/>
  <c r="AA31" i="29"/>
  <c r="W31" i="29"/>
  <c r="R31" i="29"/>
  <c r="M31" i="29"/>
  <c r="I31" i="29"/>
  <c r="BS30" i="29"/>
  <c r="BO30" i="29"/>
  <c r="BK30" i="29"/>
  <c r="BG30" i="29"/>
  <c r="BC30" i="29"/>
  <c r="AY30" i="29"/>
  <c r="AU30" i="29"/>
  <c r="AQ30" i="29"/>
  <c r="AM30" i="29"/>
  <c r="AI30" i="29"/>
  <c r="AE30" i="29"/>
  <c r="AA30" i="29"/>
  <c r="W30" i="29"/>
  <c r="R30" i="29"/>
  <c r="M30" i="29"/>
  <c r="I30" i="29"/>
  <c r="BS29" i="29"/>
  <c r="BO29" i="29"/>
  <c r="BK29" i="29"/>
  <c r="BG29" i="29"/>
  <c r="BC29" i="29"/>
  <c r="AY29" i="29"/>
  <c r="AU29" i="29"/>
  <c r="AQ29" i="29"/>
  <c r="AM29" i="29"/>
  <c r="AI29" i="29"/>
  <c r="AE29" i="29"/>
  <c r="AA29" i="29"/>
  <c r="W29" i="29"/>
  <c r="R29" i="29"/>
  <c r="M29" i="29"/>
  <c r="I29" i="29"/>
  <c r="BS28" i="29"/>
  <c r="BO28" i="29"/>
  <c r="BK28" i="29"/>
  <c r="BG28" i="29"/>
  <c r="BC28" i="29"/>
  <c r="AY28" i="29"/>
  <c r="AU28" i="29"/>
  <c r="AQ28" i="29"/>
  <c r="AM28" i="29"/>
  <c r="AI28" i="29"/>
  <c r="AE28" i="29"/>
  <c r="AA28" i="29"/>
  <c r="W28" i="29"/>
  <c r="R28" i="29"/>
  <c r="M28" i="29"/>
  <c r="I28" i="29"/>
  <c r="BS27" i="29"/>
  <c r="BO27" i="29"/>
  <c r="BK27" i="29"/>
  <c r="BG27" i="29"/>
  <c r="BC27" i="29"/>
  <c r="AY27" i="29"/>
  <c r="AU27" i="29"/>
  <c r="AQ27" i="29"/>
  <c r="AM27" i="29"/>
  <c r="AI27" i="29"/>
  <c r="AE27" i="29"/>
  <c r="AA27" i="29"/>
  <c r="W27" i="29"/>
  <c r="R27" i="29"/>
  <c r="M27" i="29"/>
  <c r="I27" i="29"/>
  <c r="BS26" i="29"/>
  <c r="BO26" i="29"/>
  <c r="BK26" i="29"/>
  <c r="BG26" i="29"/>
  <c r="BC26" i="29"/>
  <c r="AY26" i="29"/>
  <c r="AU26" i="29"/>
  <c r="AQ26" i="29"/>
  <c r="AM26" i="29"/>
  <c r="AI26" i="29"/>
  <c r="AE26" i="29"/>
  <c r="AA26" i="29"/>
  <c r="W26" i="29"/>
  <c r="R26" i="29"/>
  <c r="M26" i="29"/>
  <c r="I26" i="29"/>
  <c r="BS25" i="29"/>
  <c r="BO25" i="29"/>
  <c r="BK25" i="29"/>
  <c r="BG25" i="29"/>
  <c r="BC25" i="29"/>
  <c r="AY25" i="29"/>
  <c r="AU25" i="29"/>
  <c r="AQ25" i="29"/>
  <c r="AM25" i="29"/>
  <c r="AI25" i="29"/>
  <c r="AE25" i="29"/>
  <c r="AA25" i="29"/>
  <c r="W25" i="29"/>
  <c r="R25" i="29"/>
  <c r="M25" i="29"/>
  <c r="I25" i="29"/>
  <c r="BS24" i="29"/>
  <c r="BO24" i="29"/>
  <c r="BK24" i="29"/>
  <c r="BG24" i="29"/>
  <c r="BC24" i="29"/>
  <c r="AY24" i="29"/>
  <c r="AU24" i="29"/>
  <c r="AQ24" i="29"/>
  <c r="AM24" i="29"/>
  <c r="AI24" i="29"/>
  <c r="AE24" i="29"/>
  <c r="AA24" i="29"/>
  <c r="W24" i="29"/>
  <c r="R24" i="29"/>
  <c r="M24" i="29"/>
  <c r="I24" i="29"/>
  <c r="BS23" i="29"/>
  <c r="BO23" i="29"/>
  <c r="BK23" i="29"/>
  <c r="BG23" i="29"/>
  <c r="BC23" i="29"/>
  <c r="AY23" i="29"/>
  <c r="AU23" i="29"/>
  <c r="AQ23" i="29"/>
  <c r="AM23" i="29"/>
  <c r="AI23" i="29"/>
  <c r="AE23" i="29"/>
  <c r="AA23" i="29"/>
  <c r="W23" i="29"/>
  <c r="R23" i="29"/>
  <c r="M23" i="29"/>
  <c r="I23" i="29"/>
  <c r="BS22" i="29"/>
  <c r="BO22" i="29"/>
  <c r="BK22" i="29"/>
  <c r="BG22" i="29"/>
  <c r="BC22" i="29"/>
  <c r="AY22" i="29"/>
  <c r="AY35" i="29" s="1"/>
  <c r="AU22" i="29"/>
  <c r="AQ22" i="29"/>
  <c r="AM22" i="29"/>
  <c r="AI22" i="29"/>
  <c r="AE22" i="29"/>
  <c r="AA22" i="29"/>
  <c r="W22" i="29"/>
  <c r="R22" i="29"/>
  <c r="M22" i="29"/>
  <c r="I22" i="29"/>
  <c r="BS16" i="29"/>
  <c r="BS85" i="29" s="1"/>
  <c r="BO16" i="29"/>
  <c r="BO85" i="29" s="1"/>
  <c r="BK16" i="29"/>
  <c r="BK85" i="29" s="1"/>
  <c r="BG16" i="29"/>
  <c r="BC16" i="29"/>
  <c r="BC85" i="29" s="1"/>
  <c r="AY16" i="29"/>
  <c r="AY85" i="29" s="1"/>
  <c r="AU16" i="29"/>
  <c r="AU85" i="29" s="1"/>
  <c r="AQ16" i="29"/>
  <c r="AQ85" i="29" s="1"/>
  <c r="AM16" i="29"/>
  <c r="AM85" i="29" s="1"/>
  <c r="AI16" i="29"/>
  <c r="AI85" i="29" s="1"/>
  <c r="AE16" i="29"/>
  <c r="AE85" i="29" s="1"/>
  <c r="AA16" i="29"/>
  <c r="AA85" i="29" s="1"/>
  <c r="W16" i="29"/>
  <c r="W85" i="29" s="1"/>
  <c r="R16" i="29"/>
  <c r="M16" i="29"/>
  <c r="I16" i="29"/>
  <c r="BS15" i="29"/>
  <c r="BS84" i="29" s="1"/>
  <c r="BO15" i="29"/>
  <c r="BO84" i="29" s="1"/>
  <c r="BK15" i="29"/>
  <c r="BK84" i="29" s="1"/>
  <c r="BG15" i="29"/>
  <c r="BG84" i="29" s="1"/>
  <c r="BC15" i="29"/>
  <c r="BC84" i="29" s="1"/>
  <c r="AY15" i="29"/>
  <c r="AY84" i="29" s="1"/>
  <c r="AU15" i="29"/>
  <c r="AU84" i="29" s="1"/>
  <c r="AQ15" i="29"/>
  <c r="AQ84" i="29" s="1"/>
  <c r="AM15" i="29"/>
  <c r="AM84" i="29" s="1"/>
  <c r="AI15" i="29"/>
  <c r="AI84" i="29" s="1"/>
  <c r="AE15" i="29"/>
  <c r="AE84" i="29" s="1"/>
  <c r="AA15" i="29"/>
  <c r="W15" i="29"/>
  <c r="W84" i="29" s="1"/>
  <c r="R15" i="29"/>
  <c r="M15" i="29"/>
  <c r="I15" i="29"/>
  <c r="BS14" i="29"/>
  <c r="BS83" i="29" s="1"/>
  <c r="BO14" i="29"/>
  <c r="BO83" i="29" s="1"/>
  <c r="BK14" i="29"/>
  <c r="BK83" i="29" s="1"/>
  <c r="BG14" i="29"/>
  <c r="BG83" i="29" s="1"/>
  <c r="BC14" i="29"/>
  <c r="BC83" i="29" s="1"/>
  <c r="AY14" i="29"/>
  <c r="AY83" i="29" s="1"/>
  <c r="AU14" i="29"/>
  <c r="AU83" i="29" s="1"/>
  <c r="AQ14" i="29"/>
  <c r="AQ83" i="29" s="1"/>
  <c r="AM14" i="29"/>
  <c r="AM83" i="29" s="1"/>
  <c r="AI14" i="29"/>
  <c r="AI83" i="29" s="1"/>
  <c r="AE14" i="29"/>
  <c r="AE83" i="29" s="1"/>
  <c r="AA14" i="29"/>
  <c r="AA83" i="29" s="1"/>
  <c r="W14" i="29"/>
  <c r="W83" i="29" s="1"/>
  <c r="R14" i="29"/>
  <c r="M14" i="29"/>
  <c r="I14" i="29"/>
  <c r="BS13" i="29"/>
  <c r="BS82" i="29" s="1"/>
  <c r="BO13" i="29"/>
  <c r="BO82" i="29" s="1"/>
  <c r="BK13" i="29"/>
  <c r="BK82" i="29" s="1"/>
  <c r="BG13" i="29"/>
  <c r="BG82" i="29" s="1"/>
  <c r="BC13" i="29"/>
  <c r="BC82" i="29" s="1"/>
  <c r="AY13" i="29"/>
  <c r="AY82" i="29" s="1"/>
  <c r="AU13" i="29"/>
  <c r="AU82" i="29" s="1"/>
  <c r="AQ13" i="29"/>
  <c r="AQ82" i="29" s="1"/>
  <c r="AM13" i="29"/>
  <c r="AM82" i="29" s="1"/>
  <c r="AI13" i="29"/>
  <c r="AI82" i="29" s="1"/>
  <c r="AE13" i="29"/>
  <c r="AE82" i="29" s="1"/>
  <c r="AA13" i="29"/>
  <c r="AA82" i="29" s="1"/>
  <c r="W13" i="29"/>
  <c r="W82" i="29" s="1"/>
  <c r="R13" i="29"/>
  <c r="M13" i="29"/>
  <c r="I13" i="29"/>
  <c r="BS12" i="29"/>
  <c r="BS81" i="29" s="1"/>
  <c r="BO12" i="29"/>
  <c r="BO81" i="29" s="1"/>
  <c r="BK12" i="29"/>
  <c r="BK81" i="29" s="1"/>
  <c r="BG12" i="29"/>
  <c r="BG81" i="29" s="1"/>
  <c r="BC12" i="29"/>
  <c r="BC81" i="29" s="1"/>
  <c r="AY12" i="29"/>
  <c r="AY81" i="29" s="1"/>
  <c r="AU12" i="29"/>
  <c r="AU81" i="29" s="1"/>
  <c r="AQ12" i="29"/>
  <c r="AM12" i="29"/>
  <c r="AI12" i="29"/>
  <c r="AI81" i="29" s="1"/>
  <c r="AE12" i="29"/>
  <c r="AE81" i="29" s="1"/>
  <c r="AA12" i="29"/>
  <c r="AA81" i="29" s="1"/>
  <c r="W12" i="29"/>
  <c r="W81" i="29" s="1"/>
  <c r="R12" i="29"/>
  <c r="M12" i="29"/>
  <c r="I12" i="29"/>
  <c r="BS11" i="29"/>
  <c r="BS80" i="29" s="1"/>
  <c r="BO11" i="29"/>
  <c r="BO80" i="29" s="1"/>
  <c r="BK11" i="29"/>
  <c r="BK80" i="29" s="1"/>
  <c r="BG11" i="29"/>
  <c r="BG80" i="29" s="1"/>
  <c r="BC11" i="29"/>
  <c r="BC80" i="29" s="1"/>
  <c r="AY11" i="29"/>
  <c r="AY80" i="29" s="1"/>
  <c r="AU11" i="29"/>
  <c r="AU80" i="29" s="1"/>
  <c r="AQ11" i="29"/>
  <c r="AQ80" i="29" s="1"/>
  <c r="AM11" i="29"/>
  <c r="AM80" i="29" s="1"/>
  <c r="AI11" i="29"/>
  <c r="AI80" i="29" s="1"/>
  <c r="AE11" i="29"/>
  <c r="AE80" i="29" s="1"/>
  <c r="AA11" i="29"/>
  <c r="W11" i="29"/>
  <c r="W80" i="29" s="1"/>
  <c r="R11" i="29"/>
  <c r="M11" i="29"/>
  <c r="I11" i="29"/>
  <c r="BS10" i="29"/>
  <c r="BS79" i="29" s="1"/>
  <c r="BO10" i="29"/>
  <c r="BO79" i="29" s="1"/>
  <c r="BK10" i="29"/>
  <c r="BK79" i="29" s="1"/>
  <c r="BG10" i="29"/>
  <c r="BG79" i="29" s="1"/>
  <c r="BC10" i="29"/>
  <c r="BC79" i="29" s="1"/>
  <c r="AY10" i="29"/>
  <c r="AY79" i="29" s="1"/>
  <c r="AU10" i="29"/>
  <c r="AQ10" i="29"/>
  <c r="AQ79" i="29" s="1"/>
  <c r="AM10" i="29"/>
  <c r="AM79" i="29" s="1"/>
  <c r="AI10" i="29"/>
  <c r="AI79" i="29" s="1"/>
  <c r="AE10" i="29"/>
  <c r="AE79" i="29" s="1"/>
  <c r="AA10" i="29"/>
  <c r="AA79" i="29" s="1"/>
  <c r="W10" i="29"/>
  <c r="R10" i="29"/>
  <c r="M10" i="29"/>
  <c r="I10" i="29"/>
  <c r="BS9" i="29"/>
  <c r="BS78" i="29" s="1"/>
  <c r="BO9" i="29"/>
  <c r="BO78" i="29" s="1"/>
  <c r="BK9" i="29"/>
  <c r="BK78" i="29" s="1"/>
  <c r="BG9" i="29"/>
  <c r="BG78" i="29" s="1"/>
  <c r="BC9" i="29"/>
  <c r="BC78" i="29" s="1"/>
  <c r="AY9" i="29"/>
  <c r="AY78" i="29" s="1"/>
  <c r="AU9" i="29"/>
  <c r="AU78" i="29" s="1"/>
  <c r="AQ9" i="29"/>
  <c r="AQ78" i="29" s="1"/>
  <c r="AM9" i="29"/>
  <c r="AM78" i="29" s="1"/>
  <c r="AI9" i="29"/>
  <c r="AE9" i="29"/>
  <c r="AE78" i="29" s="1"/>
  <c r="AA9" i="29"/>
  <c r="AA78" i="29" s="1"/>
  <c r="W9" i="29"/>
  <c r="W78" i="29" s="1"/>
  <c r="R9" i="29"/>
  <c r="M9" i="29"/>
  <c r="I9" i="29"/>
  <c r="BS8" i="29"/>
  <c r="BS77" i="29" s="1"/>
  <c r="BO8" i="29"/>
  <c r="BO77" i="29" s="1"/>
  <c r="BK8" i="29"/>
  <c r="BK77" i="29" s="1"/>
  <c r="BG8" i="29"/>
  <c r="BG77" i="29" s="1"/>
  <c r="BC8" i="29"/>
  <c r="BC77" i="29" s="1"/>
  <c r="AY8" i="29"/>
  <c r="AY77" i="29" s="1"/>
  <c r="AU8" i="29"/>
  <c r="AU77" i="29" s="1"/>
  <c r="AQ8" i="29"/>
  <c r="AQ77" i="29" s="1"/>
  <c r="AM8" i="29"/>
  <c r="AM77" i="29" s="1"/>
  <c r="AI8" i="29"/>
  <c r="AE8" i="29"/>
  <c r="AE77" i="29" s="1"/>
  <c r="AA8" i="29"/>
  <c r="AA77" i="29" s="1"/>
  <c r="W8" i="29"/>
  <c r="W77" i="29" s="1"/>
  <c r="R8" i="29"/>
  <c r="M8" i="29"/>
  <c r="I8" i="29"/>
  <c r="BS7" i="29"/>
  <c r="BS76" i="29" s="1"/>
  <c r="BO7" i="29"/>
  <c r="BO76" i="29" s="1"/>
  <c r="BK7" i="29"/>
  <c r="BK76" i="29" s="1"/>
  <c r="BG7" i="29"/>
  <c r="BG76" i="29" s="1"/>
  <c r="BC7" i="29"/>
  <c r="BC76" i="29" s="1"/>
  <c r="AY7" i="29"/>
  <c r="AY76" i="29" s="1"/>
  <c r="AU7" i="29"/>
  <c r="AU76" i="29" s="1"/>
  <c r="AQ7" i="29"/>
  <c r="AM7" i="29"/>
  <c r="AM76" i="29" s="1"/>
  <c r="AI7" i="29"/>
  <c r="AI76" i="29" s="1"/>
  <c r="AE7" i="29"/>
  <c r="AE76" i="29" s="1"/>
  <c r="AA7" i="29"/>
  <c r="AA76" i="29" s="1"/>
  <c r="W7" i="29"/>
  <c r="R7" i="29"/>
  <c r="M7" i="29"/>
  <c r="I7" i="29"/>
  <c r="BS6" i="29"/>
  <c r="BS75" i="29" s="1"/>
  <c r="BO6" i="29"/>
  <c r="BO75" i="29" s="1"/>
  <c r="BK6" i="29"/>
  <c r="BK75" i="29" s="1"/>
  <c r="BG6" i="29"/>
  <c r="BG75" i="29" s="1"/>
  <c r="BC6" i="29"/>
  <c r="BC75" i="29" s="1"/>
  <c r="AY6" i="29"/>
  <c r="AY75" i="29" s="1"/>
  <c r="AU6" i="29"/>
  <c r="AQ6" i="29"/>
  <c r="AM6" i="29"/>
  <c r="AM75" i="29" s="1"/>
  <c r="AI6" i="29"/>
  <c r="AI75" i="29" s="1"/>
  <c r="AE6" i="29"/>
  <c r="AE75" i="29" s="1"/>
  <c r="AA6" i="29"/>
  <c r="AA75" i="29" s="1"/>
  <c r="W6" i="29"/>
  <c r="W75" i="29" s="1"/>
  <c r="R6" i="29"/>
  <c r="M6" i="29"/>
  <c r="I6" i="29"/>
  <c r="BS5" i="29"/>
  <c r="BO5" i="29"/>
  <c r="BK5" i="29"/>
  <c r="BG5" i="29"/>
  <c r="BG74" i="29" s="1"/>
  <c r="BC5" i="29"/>
  <c r="AY5" i="29"/>
  <c r="AY18" i="29" s="1"/>
  <c r="AU5" i="29"/>
  <c r="AQ5" i="29"/>
  <c r="AQ74" i="29" s="1"/>
  <c r="AM5" i="29"/>
  <c r="AI5" i="29"/>
  <c r="AE5" i="29"/>
  <c r="AA5" i="29"/>
  <c r="AA74" i="29" s="1"/>
  <c r="W5" i="29"/>
  <c r="R5" i="29"/>
  <c r="M5" i="29"/>
  <c r="I5" i="29"/>
  <c r="Q96" i="22"/>
  <c r="Q97" i="22"/>
  <c r="M97" i="22"/>
  <c r="M96" i="22"/>
  <c r="Q95" i="22"/>
  <c r="M95" i="22"/>
  <c r="Q94" i="22"/>
  <c r="M94" i="22"/>
  <c r="Q93" i="22"/>
  <c r="M93" i="22"/>
  <c r="Q92" i="22"/>
  <c r="M92" i="22"/>
  <c r="Q91" i="22"/>
  <c r="M91" i="22"/>
  <c r="F81" i="28"/>
  <c r="F80" i="28"/>
  <c r="F214" i="28"/>
  <c r="D214" i="28"/>
  <c r="B214" i="28"/>
  <c r="D81" i="28"/>
  <c r="D80" i="28"/>
  <c r="B81" i="28"/>
  <c r="B80" i="28"/>
  <c r="F67" i="28"/>
  <c r="F66" i="28"/>
  <c r="D67" i="28"/>
  <c r="D66" i="28"/>
  <c r="B67" i="28"/>
  <c r="B66" i="28"/>
  <c r="V1613" i="28"/>
  <c r="V1612" i="28"/>
  <c r="V1611" i="28"/>
  <c r="V1610" i="28"/>
  <c r="V1609" i="28"/>
  <c r="V1608" i="28"/>
  <c r="V1607" i="28"/>
  <c r="V1606" i="28"/>
  <c r="V1605" i="28"/>
  <c r="V1604" i="28"/>
  <c r="V1603" i="28"/>
  <c r="V1602" i="28"/>
  <c r="V1601" i="28"/>
  <c r="V1600" i="28"/>
  <c r="V1599" i="28"/>
  <c r="V1598" i="28"/>
  <c r="V1597" i="28"/>
  <c r="V1596" i="28"/>
  <c r="V1595" i="28"/>
  <c r="V1594" i="28"/>
  <c r="V1593" i="28"/>
  <c r="V1592" i="28"/>
  <c r="V1591" i="28"/>
  <c r="V1590" i="28"/>
  <c r="V1589" i="28"/>
  <c r="V1588" i="28"/>
  <c r="V1587" i="28"/>
  <c r="V1586" i="28"/>
  <c r="V1585" i="28"/>
  <c r="V1584" i="28"/>
  <c r="V1583" i="28"/>
  <c r="V1582" i="28"/>
  <c r="V1581" i="28"/>
  <c r="V1580" i="28"/>
  <c r="V1579" i="28"/>
  <c r="V1578" i="28"/>
  <c r="V1577" i="28"/>
  <c r="V1576" i="28"/>
  <c r="V1575" i="28"/>
  <c r="V1574" i="28"/>
  <c r="V1573" i="28"/>
  <c r="V1572" i="28"/>
  <c r="V1571" i="28"/>
  <c r="V1570" i="28"/>
  <c r="V1569" i="28"/>
  <c r="V1568" i="28"/>
  <c r="V1567" i="28"/>
  <c r="V1566" i="28"/>
  <c r="V1565" i="28"/>
  <c r="V1564" i="28"/>
  <c r="V1563" i="28"/>
  <c r="V1562" i="28"/>
  <c r="V1561" i="28"/>
  <c r="V1560" i="28"/>
  <c r="V1559" i="28"/>
  <c r="V1558" i="28"/>
  <c r="V1557" i="28"/>
  <c r="V1556" i="28"/>
  <c r="V1555" i="28"/>
  <c r="V1554" i="28"/>
  <c r="V1553" i="28"/>
  <c r="V1552" i="28"/>
  <c r="V1551" i="28"/>
  <c r="V1550" i="28"/>
  <c r="V1549" i="28"/>
  <c r="V1548" i="28"/>
  <c r="V1547" i="28"/>
  <c r="V1546" i="28"/>
  <c r="V1545" i="28"/>
  <c r="V1544" i="28"/>
  <c r="V1543" i="28"/>
  <c r="V1542" i="28"/>
  <c r="V1541" i="28"/>
  <c r="V1540" i="28"/>
  <c r="V1539" i="28"/>
  <c r="V1538" i="28"/>
  <c r="V1537" i="28"/>
  <c r="V1536" i="28"/>
  <c r="V1535" i="28"/>
  <c r="V1534" i="28"/>
  <c r="V1533" i="28"/>
  <c r="V1532" i="28"/>
  <c r="V1531" i="28"/>
  <c r="V1530" i="28"/>
  <c r="V1529" i="28"/>
  <c r="V1528" i="28"/>
  <c r="V1527" i="28"/>
  <c r="V1526" i="28"/>
  <c r="V1525" i="28"/>
  <c r="V1524" i="28"/>
  <c r="V1523" i="28"/>
  <c r="V1522" i="28"/>
  <c r="V1521" i="28"/>
  <c r="V1520" i="28"/>
  <c r="V1519" i="28"/>
  <c r="V1518" i="28"/>
  <c r="V1517" i="28"/>
  <c r="V1516" i="28"/>
  <c r="V1515" i="28"/>
  <c r="V1514" i="28"/>
  <c r="V1513" i="28"/>
  <c r="V1512" i="28"/>
  <c r="V1511" i="28"/>
  <c r="V1510" i="28"/>
  <c r="V1509" i="28"/>
  <c r="V1508" i="28"/>
  <c r="V1507" i="28"/>
  <c r="V1506" i="28"/>
  <c r="V1505" i="28"/>
  <c r="V1504" i="28"/>
  <c r="V1503" i="28"/>
  <c r="V1502" i="28"/>
  <c r="V1501" i="28"/>
  <c r="V1500" i="28"/>
  <c r="V1499" i="28"/>
  <c r="V1498" i="28"/>
  <c r="V1497" i="28"/>
  <c r="V1496" i="28"/>
  <c r="V1495" i="28"/>
  <c r="V1494" i="28"/>
  <c r="V1493" i="28"/>
  <c r="V1492" i="28"/>
  <c r="V1491" i="28"/>
  <c r="V1490" i="28"/>
  <c r="V1489" i="28"/>
  <c r="V1488" i="28"/>
  <c r="V1487" i="28"/>
  <c r="V1486" i="28"/>
  <c r="V1485" i="28"/>
  <c r="V1484" i="28"/>
  <c r="V1483" i="28"/>
  <c r="V1482" i="28"/>
  <c r="V1481" i="28"/>
  <c r="V1480" i="28"/>
  <c r="V1479" i="28"/>
  <c r="V1478" i="28"/>
  <c r="V1477" i="28"/>
  <c r="V1476" i="28"/>
  <c r="V1475" i="28"/>
  <c r="V1474" i="28"/>
  <c r="V1473" i="28"/>
  <c r="V1472" i="28"/>
  <c r="V1471" i="28"/>
  <c r="V1470" i="28"/>
  <c r="V1469" i="28"/>
  <c r="V1468" i="28"/>
  <c r="V1467" i="28"/>
  <c r="V1466" i="28"/>
  <c r="V1465" i="28"/>
  <c r="V1464" i="28"/>
  <c r="V1463" i="28"/>
  <c r="V1462" i="28"/>
  <c r="V1461" i="28"/>
  <c r="V1460" i="28"/>
  <c r="V1459" i="28"/>
  <c r="V1458" i="28"/>
  <c r="V1457" i="28"/>
  <c r="V1456" i="28"/>
  <c r="V1455" i="28"/>
  <c r="V1454" i="28"/>
  <c r="V1453" i="28"/>
  <c r="V1452" i="28"/>
  <c r="V1451" i="28"/>
  <c r="V1450" i="28"/>
  <c r="V1449" i="28"/>
  <c r="V1448" i="28"/>
  <c r="V1447" i="28"/>
  <c r="V1446" i="28"/>
  <c r="V1445" i="28"/>
  <c r="V1444" i="28"/>
  <c r="V1443" i="28"/>
  <c r="V1442" i="28"/>
  <c r="V1441" i="28"/>
  <c r="V1440" i="28"/>
  <c r="V1439" i="28"/>
  <c r="V1438" i="28"/>
  <c r="V1437" i="28"/>
  <c r="V1436" i="28"/>
  <c r="V1435" i="28"/>
  <c r="V1434" i="28"/>
  <c r="V1433" i="28"/>
  <c r="V1432" i="28"/>
  <c r="V1431" i="28"/>
  <c r="V1430" i="28"/>
  <c r="V1429" i="28"/>
  <c r="V1428" i="28"/>
  <c r="V1427" i="28"/>
  <c r="V1426" i="28"/>
  <c r="V1425" i="28"/>
  <c r="V1424" i="28"/>
  <c r="V1423" i="28"/>
  <c r="V1422" i="28"/>
  <c r="V1421" i="28"/>
  <c r="V1420" i="28"/>
  <c r="V1419" i="28"/>
  <c r="V1418" i="28"/>
  <c r="V1417" i="28"/>
  <c r="V1416" i="28"/>
  <c r="V1415" i="28"/>
  <c r="V1414" i="28"/>
  <c r="V1413" i="28"/>
  <c r="V1412" i="28"/>
  <c r="V1411" i="28"/>
  <c r="V1410" i="28"/>
  <c r="V1409" i="28"/>
  <c r="V1408" i="28"/>
  <c r="V1407" i="28"/>
  <c r="V1406" i="28"/>
  <c r="V1405" i="28"/>
  <c r="V1404" i="28"/>
  <c r="V1403" i="28"/>
  <c r="V1402" i="28"/>
  <c r="V1401" i="28"/>
  <c r="V1400" i="28"/>
  <c r="V1399" i="28"/>
  <c r="V1398" i="28"/>
  <c r="V1397" i="28"/>
  <c r="V1396" i="28"/>
  <c r="V1395" i="28"/>
  <c r="V1394" i="28"/>
  <c r="V1393" i="28"/>
  <c r="V1392" i="28"/>
  <c r="V1391" i="28"/>
  <c r="V1390" i="28"/>
  <c r="V1389" i="28"/>
  <c r="V1388" i="28"/>
  <c r="V1387" i="28"/>
  <c r="V1386" i="28"/>
  <c r="V1385" i="28"/>
  <c r="V1384" i="28"/>
  <c r="V1383" i="28"/>
  <c r="V1382" i="28"/>
  <c r="V1381" i="28"/>
  <c r="V1380" i="28"/>
  <c r="V1379" i="28"/>
  <c r="V1378" i="28"/>
  <c r="V1377" i="28"/>
  <c r="V1376" i="28"/>
  <c r="V1375" i="28"/>
  <c r="V1374" i="28"/>
  <c r="V1373" i="28"/>
  <c r="V1372" i="28"/>
  <c r="V1371" i="28"/>
  <c r="V1370" i="28"/>
  <c r="V1369" i="28"/>
  <c r="V1368" i="28"/>
  <c r="V1367" i="28"/>
  <c r="V1366" i="28"/>
  <c r="V1365" i="28"/>
  <c r="V1364" i="28"/>
  <c r="V1363" i="28"/>
  <c r="V1362" i="28"/>
  <c r="V1361" i="28"/>
  <c r="V1360" i="28"/>
  <c r="V1359" i="28"/>
  <c r="V1358" i="28"/>
  <c r="V1357" i="28"/>
  <c r="V1356" i="28"/>
  <c r="V1355" i="28"/>
  <c r="V1354" i="28"/>
  <c r="V1353" i="28"/>
  <c r="V1352" i="28"/>
  <c r="V1351" i="28"/>
  <c r="V1350" i="28"/>
  <c r="V1349" i="28"/>
  <c r="V1348" i="28"/>
  <c r="V1347" i="28"/>
  <c r="V1346" i="28"/>
  <c r="V1345" i="28"/>
  <c r="V1344" i="28"/>
  <c r="V1343" i="28"/>
  <c r="V1342" i="28"/>
  <c r="V1341" i="28"/>
  <c r="V1340" i="28"/>
  <c r="V1339" i="28"/>
  <c r="V1338" i="28"/>
  <c r="V1337" i="28"/>
  <c r="V1336" i="28"/>
  <c r="V1335" i="28"/>
  <c r="V1334" i="28"/>
  <c r="V1333" i="28"/>
  <c r="V1332" i="28"/>
  <c r="V1331" i="28"/>
  <c r="V1330" i="28"/>
  <c r="V1329" i="28"/>
  <c r="V1328" i="28"/>
  <c r="V1327" i="28"/>
  <c r="V1326" i="28"/>
  <c r="V1325" i="28"/>
  <c r="V1324" i="28"/>
  <c r="V1323" i="28"/>
  <c r="V1322" i="28"/>
  <c r="V1321" i="28"/>
  <c r="V1320" i="28"/>
  <c r="V1319" i="28"/>
  <c r="V1318" i="28"/>
  <c r="V1317" i="28"/>
  <c r="V1316" i="28"/>
  <c r="V1315" i="28"/>
  <c r="V1314" i="28"/>
  <c r="V1313" i="28"/>
  <c r="V1312" i="28"/>
  <c r="V1311" i="28"/>
  <c r="V1310" i="28"/>
  <c r="V1309" i="28"/>
  <c r="V1308" i="28"/>
  <c r="V1307" i="28"/>
  <c r="V1306" i="28"/>
  <c r="V1305" i="28"/>
  <c r="V1304" i="28"/>
  <c r="V1303" i="28"/>
  <c r="V1302" i="28"/>
  <c r="V1301" i="28"/>
  <c r="V1300" i="28"/>
  <c r="V1299" i="28"/>
  <c r="V1298" i="28"/>
  <c r="V1297" i="28"/>
  <c r="V1296" i="28"/>
  <c r="V1295" i="28"/>
  <c r="V1294" i="28"/>
  <c r="V1293" i="28"/>
  <c r="V1292" i="28"/>
  <c r="V1291" i="28"/>
  <c r="V1290" i="28"/>
  <c r="V1289" i="28"/>
  <c r="V1288" i="28"/>
  <c r="V1287" i="28"/>
  <c r="V1286" i="28"/>
  <c r="V1285" i="28"/>
  <c r="V1284" i="28"/>
  <c r="V1283" i="28"/>
  <c r="V1282" i="28"/>
  <c r="V1281" i="28"/>
  <c r="V1280" i="28"/>
  <c r="V1279" i="28"/>
  <c r="V1278" i="28"/>
  <c r="V1277" i="28"/>
  <c r="V1276" i="28"/>
  <c r="V1275" i="28"/>
  <c r="V1274" i="28"/>
  <c r="V1273" i="28"/>
  <c r="V1272" i="28"/>
  <c r="V1271" i="28"/>
  <c r="V1270" i="28"/>
  <c r="V1269" i="28"/>
  <c r="V1268" i="28"/>
  <c r="V1267" i="28"/>
  <c r="V1266" i="28"/>
  <c r="V1265" i="28"/>
  <c r="V1264" i="28"/>
  <c r="V1263" i="28"/>
  <c r="V1262" i="28"/>
  <c r="V1261" i="28"/>
  <c r="V1260" i="28"/>
  <c r="V1259" i="28"/>
  <c r="V1258" i="28"/>
  <c r="V1257" i="28"/>
  <c r="V1256" i="28"/>
  <c r="V1255" i="28"/>
  <c r="V1254" i="28"/>
  <c r="V1253" i="28"/>
  <c r="V1252" i="28"/>
  <c r="V1251" i="28"/>
  <c r="V1250" i="28"/>
  <c r="V1249" i="28"/>
  <c r="V1248" i="28"/>
  <c r="V1247" i="28"/>
  <c r="V1246" i="28"/>
  <c r="V1245" i="28"/>
  <c r="V1244" i="28"/>
  <c r="V1243" i="28"/>
  <c r="V1242" i="28"/>
  <c r="V1241" i="28"/>
  <c r="V1240" i="28"/>
  <c r="V1239" i="28"/>
  <c r="V1238" i="28"/>
  <c r="V1237" i="28"/>
  <c r="V1236" i="28"/>
  <c r="V1235" i="28"/>
  <c r="V1234" i="28"/>
  <c r="V1233" i="28"/>
  <c r="V1232" i="28"/>
  <c r="V1231" i="28"/>
  <c r="V1230" i="28"/>
  <c r="V1229" i="28"/>
  <c r="V1228" i="28"/>
  <c r="V1227" i="28"/>
  <c r="V1226" i="28"/>
  <c r="V1225" i="28"/>
  <c r="V1224" i="28"/>
  <c r="V1223" i="28"/>
  <c r="V1222" i="28"/>
  <c r="V1221" i="28"/>
  <c r="V1220" i="28"/>
  <c r="V1219" i="28"/>
  <c r="V1218" i="28"/>
  <c r="V1217" i="28"/>
  <c r="V1216" i="28"/>
  <c r="V1215" i="28"/>
  <c r="V1214" i="28"/>
  <c r="V1213" i="28"/>
  <c r="V1212" i="28"/>
  <c r="V1211" i="28"/>
  <c r="V1210" i="28"/>
  <c r="V1209" i="28"/>
  <c r="V1208" i="28"/>
  <c r="V1207" i="28"/>
  <c r="V1206" i="28"/>
  <c r="V1205" i="28"/>
  <c r="V1204" i="28"/>
  <c r="V1203" i="28"/>
  <c r="V1202" i="28"/>
  <c r="V1201" i="28"/>
  <c r="V1200" i="28"/>
  <c r="V1199" i="28"/>
  <c r="V1198" i="28"/>
  <c r="V1197" i="28"/>
  <c r="V1196" i="28"/>
  <c r="V1195" i="28"/>
  <c r="V1194" i="28"/>
  <c r="V1193" i="28"/>
  <c r="V1192" i="28"/>
  <c r="V1191" i="28"/>
  <c r="V1190" i="28"/>
  <c r="V1189" i="28"/>
  <c r="V1188" i="28"/>
  <c r="V1187" i="28"/>
  <c r="V1186" i="28"/>
  <c r="V1185" i="28"/>
  <c r="V1184" i="28"/>
  <c r="V1183" i="28"/>
  <c r="V1182" i="28"/>
  <c r="V1181" i="28"/>
  <c r="V1180" i="28"/>
  <c r="V1179" i="28"/>
  <c r="V1178" i="28"/>
  <c r="V1177" i="28"/>
  <c r="V1176" i="28"/>
  <c r="V1175" i="28"/>
  <c r="V1174" i="28"/>
  <c r="V1173" i="28"/>
  <c r="V1172" i="28"/>
  <c r="V1171" i="28"/>
  <c r="V1170" i="28"/>
  <c r="V1169" i="28"/>
  <c r="V1168" i="28"/>
  <c r="V1167" i="28"/>
  <c r="V1166" i="28"/>
  <c r="V1165" i="28"/>
  <c r="V1164" i="28"/>
  <c r="V1163" i="28"/>
  <c r="V1162" i="28"/>
  <c r="V1161" i="28"/>
  <c r="V1160" i="28"/>
  <c r="V1159" i="28"/>
  <c r="V1158" i="28"/>
  <c r="V1157" i="28"/>
  <c r="V1156" i="28"/>
  <c r="V1155" i="28"/>
  <c r="V1154" i="28"/>
  <c r="V1153" i="28"/>
  <c r="V1152" i="28"/>
  <c r="V1151" i="28"/>
  <c r="V1150" i="28"/>
  <c r="V1149" i="28"/>
  <c r="V1148" i="28"/>
  <c r="V1147" i="28"/>
  <c r="V1146" i="28"/>
  <c r="V1145" i="28"/>
  <c r="V1144" i="28"/>
  <c r="V1143" i="28"/>
  <c r="V1142" i="28"/>
  <c r="V1141" i="28"/>
  <c r="V1140" i="28"/>
  <c r="V1139" i="28"/>
  <c r="V1138" i="28"/>
  <c r="V1137" i="28"/>
  <c r="V1136" i="28"/>
  <c r="V1135" i="28"/>
  <c r="V1134" i="28"/>
  <c r="V1133" i="28"/>
  <c r="V1132" i="28"/>
  <c r="V1131" i="28"/>
  <c r="V1130" i="28"/>
  <c r="V1129" i="28"/>
  <c r="V1128" i="28"/>
  <c r="V1127" i="28"/>
  <c r="V1126" i="28"/>
  <c r="V1125" i="28"/>
  <c r="V1124" i="28"/>
  <c r="V1123" i="28"/>
  <c r="V1122" i="28"/>
  <c r="V1121" i="28"/>
  <c r="V1120" i="28"/>
  <c r="V1119" i="28"/>
  <c r="V1118" i="28"/>
  <c r="V1117" i="28"/>
  <c r="V1116" i="28"/>
  <c r="V1115" i="28"/>
  <c r="V1114" i="28"/>
  <c r="V1113" i="28"/>
  <c r="V1112" i="28"/>
  <c r="V1111" i="28"/>
  <c r="V1110" i="28"/>
  <c r="V1109" i="28"/>
  <c r="V1108" i="28"/>
  <c r="V1107" i="28"/>
  <c r="V1106" i="28"/>
  <c r="V1105" i="28"/>
  <c r="V1104" i="28"/>
  <c r="V1103" i="28"/>
  <c r="V1102" i="28"/>
  <c r="V1101" i="28"/>
  <c r="V1100" i="28"/>
  <c r="V1099" i="28"/>
  <c r="V1098" i="28"/>
  <c r="V1097" i="28"/>
  <c r="V1096" i="28"/>
  <c r="V1095" i="28"/>
  <c r="V1094" i="28"/>
  <c r="V1093" i="28"/>
  <c r="V1092" i="28"/>
  <c r="V1091" i="28"/>
  <c r="V1090" i="28"/>
  <c r="V1089" i="28"/>
  <c r="V1088" i="28"/>
  <c r="V1087" i="28"/>
  <c r="V1086" i="28"/>
  <c r="V1085" i="28"/>
  <c r="V1084" i="28"/>
  <c r="V1083" i="28"/>
  <c r="V1082" i="28"/>
  <c r="V1081" i="28"/>
  <c r="V1080" i="28"/>
  <c r="V1079" i="28"/>
  <c r="V1078" i="28"/>
  <c r="V1077" i="28"/>
  <c r="V1076" i="28"/>
  <c r="V1075" i="28"/>
  <c r="V1074" i="28"/>
  <c r="V1073" i="28"/>
  <c r="V1072" i="28"/>
  <c r="V1071" i="28"/>
  <c r="V1070" i="28"/>
  <c r="V1069" i="28"/>
  <c r="V1068" i="28"/>
  <c r="V1067" i="28"/>
  <c r="V1066" i="28"/>
  <c r="V1065" i="28"/>
  <c r="V1064" i="28"/>
  <c r="V1063" i="28"/>
  <c r="V1062" i="28"/>
  <c r="V1061" i="28"/>
  <c r="V1060" i="28"/>
  <c r="V1059" i="28"/>
  <c r="V1058" i="28"/>
  <c r="V1057" i="28"/>
  <c r="V1056" i="28"/>
  <c r="V1055" i="28"/>
  <c r="V1054" i="28"/>
  <c r="V1053" i="28"/>
  <c r="V1052" i="28"/>
  <c r="V1051" i="28"/>
  <c r="V1050" i="28"/>
  <c r="V1049" i="28"/>
  <c r="V1048" i="28"/>
  <c r="V1047" i="28"/>
  <c r="V1046" i="28"/>
  <c r="V1045" i="28"/>
  <c r="V1044" i="28"/>
  <c r="V1043" i="28"/>
  <c r="V1042" i="28"/>
  <c r="V1041" i="28"/>
  <c r="V1040" i="28"/>
  <c r="V1039" i="28"/>
  <c r="V1038" i="28"/>
  <c r="V1037" i="28"/>
  <c r="V1036" i="28"/>
  <c r="V1035" i="28"/>
  <c r="V1034" i="28"/>
  <c r="V1033" i="28"/>
  <c r="V1032" i="28"/>
  <c r="V1031" i="28"/>
  <c r="V1030" i="28"/>
  <c r="V1029" i="28"/>
  <c r="V1028" i="28"/>
  <c r="V1027" i="28"/>
  <c r="V1026" i="28"/>
  <c r="V1025" i="28"/>
  <c r="V1024" i="28"/>
  <c r="V1023" i="28"/>
  <c r="V1022" i="28"/>
  <c r="V1021" i="28"/>
  <c r="V1020" i="28"/>
  <c r="V1019" i="28"/>
  <c r="V1018" i="28"/>
  <c r="V1017" i="28"/>
  <c r="V1016" i="28"/>
  <c r="V1015" i="28"/>
  <c r="V1014" i="28"/>
  <c r="V1013" i="28"/>
  <c r="V1012" i="28"/>
  <c r="V1011" i="28"/>
  <c r="V1010" i="28"/>
  <c r="V1009" i="28"/>
  <c r="V1008" i="28"/>
  <c r="V1007" i="28"/>
  <c r="V1006" i="28"/>
  <c r="V1005" i="28"/>
  <c r="V1004" i="28"/>
  <c r="V1003" i="28"/>
  <c r="V1002" i="28"/>
  <c r="V1001" i="28"/>
  <c r="V1000" i="28"/>
  <c r="V999" i="28"/>
  <c r="V998" i="28"/>
  <c r="V997" i="28"/>
  <c r="V996" i="28"/>
  <c r="V995" i="28"/>
  <c r="V994" i="28"/>
  <c r="V993" i="28"/>
  <c r="V992" i="28"/>
  <c r="V991" i="28"/>
  <c r="V990" i="28"/>
  <c r="V989" i="28"/>
  <c r="V988" i="28"/>
  <c r="V987" i="28"/>
  <c r="V986" i="28"/>
  <c r="V985" i="28"/>
  <c r="V984" i="28"/>
  <c r="V983" i="28"/>
  <c r="V982" i="28"/>
  <c r="V981" i="28"/>
  <c r="V980" i="28"/>
  <c r="V979" i="28"/>
  <c r="V978" i="28"/>
  <c r="V977" i="28"/>
  <c r="V976" i="28"/>
  <c r="V975" i="28"/>
  <c r="V974" i="28"/>
  <c r="V973" i="28"/>
  <c r="V972" i="28"/>
  <c r="V971" i="28"/>
  <c r="V970" i="28"/>
  <c r="V969" i="28"/>
  <c r="V968" i="28"/>
  <c r="V967" i="28"/>
  <c r="V966" i="28"/>
  <c r="V965" i="28"/>
  <c r="V964" i="28"/>
  <c r="V963" i="28"/>
  <c r="V962" i="28"/>
  <c r="V961" i="28"/>
  <c r="V960" i="28"/>
  <c r="V959" i="28"/>
  <c r="V958" i="28"/>
  <c r="V957" i="28"/>
  <c r="V956" i="28"/>
  <c r="V955" i="28"/>
  <c r="V954" i="28"/>
  <c r="V953" i="28"/>
  <c r="V952" i="28"/>
  <c r="V951" i="28"/>
  <c r="V950" i="28"/>
  <c r="V949" i="28"/>
  <c r="V948" i="28"/>
  <c r="V947" i="28"/>
  <c r="V946" i="28"/>
  <c r="V945" i="28"/>
  <c r="V944" i="28"/>
  <c r="V943" i="28"/>
  <c r="V942" i="28"/>
  <c r="V941" i="28"/>
  <c r="V940" i="28"/>
  <c r="V939" i="28"/>
  <c r="V938" i="28"/>
  <c r="V937" i="28"/>
  <c r="V936" i="28"/>
  <c r="V935" i="28"/>
  <c r="V934" i="28"/>
  <c r="V933" i="28"/>
  <c r="V932" i="28"/>
  <c r="V931" i="28"/>
  <c r="V930" i="28"/>
  <c r="V929" i="28"/>
  <c r="V928" i="28"/>
  <c r="V927" i="28"/>
  <c r="V926" i="28"/>
  <c r="V925" i="28"/>
  <c r="V924" i="28"/>
  <c r="V923" i="28"/>
  <c r="V922" i="28"/>
  <c r="V921" i="28"/>
  <c r="V920" i="28"/>
  <c r="V919" i="28"/>
  <c r="V918" i="28"/>
  <c r="V917" i="28"/>
  <c r="V916" i="28"/>
  <c r="V915" i="28"/>
  <c r="V914" i="28"/>
  <c r="V913" i="28"/>
  <c r="V912" i="28"/>
  <c r="V911" i="28"/>
  <c r="V910" i="28"/>
  <c r="V909" i="28"/>
  <c r="V908" i="28"/>
  <c r="V907" i="28"/>
  <c r="V906" i="28"/>
  <c r="V905" i="28"/>
  <c r="V904" i="28"/>
  <c r="V903" i="28"/>
  <c r="V902" i="28"/>
  <c r="V901" i="28"/>
  <c r="V900" i="28"/>
  <c r="V899" i="28"/>
  <c r="V898" i="28"/>
  <c r="V897" i="28"/>
  <c r="V896" i="28"/>
  <c r="V895" i="28"/>
  <c r="V894" i="28"/>
  <c r="V893" i="28"/>
  <c r="V892" i="28"/>
  <c r="V891" i="28"/>
  <c r="V890" i="28"/>
  <c r="V889" i="28"/>
  <c r="V888" i="28"/>
  <c r="V887" i="28"/>
  <c r="V886" i="28"/>
  <c r="V885" i="28"/>
  <c r="V884" i="28"/>
  <c r="V883" i="28"/>
  <c r="V882" i="28"/>
  <c r="V881" i="28"/>
  <c r="V880" i="28"/>
  <c r="V879" i="28"/>
  <c r="V878" i="28"/>
  <c r="V877" i="28"/>
  <c r="V876" i="28"/>
  <c r="V875" i="28"/>
  <c r="V874" i="28"/>
  <c r="V873" i="28"/>
  <c r="V872" i="28"/>
  <c r="V871" i="28"/>
  <c r="V870" i="28"/>
  <c r="V869" i="28"/>
  <c r="V868" i="28"/>
  <c r="V867" i="28"/>
  <c r="V866" i="28"/>
  <c r="V865" i="28"/>
  <c r="V864" i="28"/>
  <c r="V863" i="28"/>
  <c r="V862" i="28"/>
  <c r="V861" i="28"/>
  <c r="V860" i="28"/>
  <c r="V859" i="28"/>
  <c r="V858" i="28"/>
  <c r="V857" i="28"/>
  <c r="V856" i="28"/>
  <c r="V855" i="28"/>
  <c r="V854" i="28"/>
  <c r="V853" i="28"/>
  <c r="V852" i="28"/>
  <c r="V851" i="28"/>
  <c r="V850" i="28"/>
  <c r="V849" i="28"/>
  <c r="V848" i="28"/>
  <c r="V847" i="28"/>
  <c r="V846" i="28"/>
  <c r="V845" i="28"/>
  <c r="V844" i="28"/>
  <c r="V843" i="28"/>
  <c r="V842" i="28"/>
  <c r="V841" i="28"/>
  <c r="V840" i="28"/>
  <c r="V839" i="28"/>
  <c r="V838" i="28"/>
  <c r="V837" i="28"/>
  <c r="V836" i="28"/>
  <c r="V835" i="28"/>
  <c r="V834" i="28"/>
  <c r="V833" i="28"/>
  <c r="V832" i="28"/>
  <c r="V831" i="28"/>
  <c r="V830" i="28"/>
  <c r="V829" i="28"/>
  <c r="V828" i="28"/>
  <c r="V827" i="28"/>
  <c r="V826" i="28"/>
  <c r="V825" i="28"/>
  <c r="V824" i="28"/>
  <c r="V823" i="28"/>
  <c r="V822" i="28"/>
  <c r="V821" i="28"/>
  <c r="V820" i="28"/>
  <c r="V819" i="28"/>
  <c r="V818" i="28"/>
  <c r="V817" i="28"/>
  <c r="V816" i="28"/>
  <c r="V815" i="28"/>
  <c r="V814" i="28"/>
  <c r="V813" i="28"/>
  <c r="V812" i="28"/>
  <c r="V811" i="28"/>
  <c r="V810" i="28"/>
  <c r="V809" i="28"/>
  <c r="V808" i="28"/>
  <c r="V807" i="28"/>
  <c r="V806" i="28"/>
  <c r="V805" i="28"/>
  <c r="V804" i="28"/>
  <c r="V803" i="28"/>
  <c r="V802" i="28"/>
  <c r="V801" i="28"/>
  <c r="V800" i="28"/>
  <c r="V799" i="28"/>
  <c r="V798" i="28"/>
  <c r="V797" i="28"/>
  <c r="V796" i="28"/>
  <c r="V795" i="28"/>
  <c r="V794" i="28"/>
  <c r="V793" i="28"/>
  <c r="V792" i="28"/>
  <c r="V791" i="28"/>
  <c r="V790" i="28"/>
  <c r="V789" i="28"/>
  <c r="V788" i="28"/>
  <c r="V787" i="28"/>
  <c r="V786" i="28"/>
  <c r="V785" i="28"/>
  <c r="V784" i="28"/>
  <c r="V783" i="28"/>
  <c r="V782" i="28"/>
  <c r="V781" i="28"/>
  <c r="V780" i="28"/>
  <c r="V779" i="28"/>
  <c r="V778" i="28"/>
  <c r="V777" i="28"/>
  <c r="V776" i="28"/>
  <c r="V775" i="28"/>
  <c r="V774" i="28"/>
  <c r="V773" i="28"/>
  <c r="V772" i="28"/>
  <c r="V771" i="28"/>
  <c r="V770" i="28"/>
  <c r="V769" i="28"/>
  <c r="V768" i="28"/>
  <c r="V767" i="28"/>
  <c r="V766" i="28"/>
  <c r="V765" i="28"/>
  <c r="V764" i="28"/>
  <c r="V763" i="28"/>
  <c r="V762" i="28"/>
  <c r="V761" i="28"/>
  <c r="V760" i="28"/>
  <c r="V759" i="28"/>
  <c r="V758" i="28"/>
  <c r="V757" i="28"/>
  <c r="V756" i="28"/>
  <c r="V755" i="28"/>
  <c r="V754" i="28"/>
  <c r="V753" i="28"/>
  <c r="V752" i="28"/>
  <c r="V751" i="28"/>
  <c r="V750" i="28"/>
  <c r="V749" i="28"/>
  <c r="V748" i="28"/>
  <c r="V747" i="28"/>
  <c r="V746" i="28"/>
  <c r="V745" i="28"/>
  <c r="V744" i="28"/>
  <c r="V743" i="28"/>
  <c r="V742" i="28"/>
  <c r="V741" i="28"/>
  <c r="V740" i="28"/>
  <c r="V739" i="28"/>
  <c r="V738" i="28"/>
  <c r="V737" i="28"/>
  <c r="V736" i="28"/>
  <c r="V735" i="28"/>
  <c r="V734" i="28"/>
  <c r="V733" i="28"/>
  <c r="V732" i="28"/>
  <c r="V731" i="28"/>
  <c r="V730" i="28"/>
  <c r="V729" i="28"/>
  <c r="V728" i="28"/>
  <c r="V727" i="28"/>
  <c r="V726" i="28"/>
  <c r="V725" i="28"/>
  <c r="V724" i="28"/>
  <c r="V723" i="28"/>
  <c r="V722" i="28"/>
  <c r="V721" i="28"/>
  <c r="V720" i="28"/>
  <c r="V719" i="28"/>
  <c r="V718" i="28"/>
  <c r="V717" i="28"/>
  <c r="V716" i="28"/>
  <c r="V715" i="28"/>
  <c r="V714" i="28"/>
  <c r="V713" i="28"/>
  <c r="V712" i="28"/>
  <c r="V711" i="28"/>
  <c r="V710" i="28"/>
  <c r="V709" i="28"/>
  <c r="V708" i="28"/>
  <c r="V707" i="28"/>
  <c r="V706" i="28"/>
  <c r="V705" i="28"/>
  <c r="V704" i="28"/>
  <c r="V703" i="28"/>
  <c r="V702" i="28"/>
  <c r="V701" i="28"/>
  <c r="V700" i="28"/>
  <c r="V699" i="28"/>
  <c r="V698" i="28"/>
  <c r="V697" i="28"/>
  <c r="V696" i="28"/>
  <c r="V695" i="28"/>
  <c r="V694" i="28"/>
  <c r="V693" i="28"/>
  <c r="V692" i="28"/>
  <c r="V691" i="28"/>
  <c r="V690" i="28"/>
  <c r="V689" i="28"/>
  <c r="V688" i="28"/>
  <c r="V687" i="28"/>
  <c r="V686" i="28"/>
  <c r="V685" i="28"/>
  <c r="V684" i="28"/>
  <c r="V683" i="28"/>
  <c r="V682" i="28"/>
  <c r="V681" i="28"/>
  <c r="V680" i="28"/>
  <c r="V679" i="28"/>
  <c r="V678" i="28"/>
  <c r="V677" i="28"/>
  <c r="V676" i="28"/>
  <c r="V675" i="28"/>
  <c r="V674" i="28"/>
  <c r="V673" i="28"/>
  <c r="V672" i="28"/>
  <c r="V671" i="28"/>
  <c r="V670" i="28"/>
  <c r="V669" i="28"/>
  <c r="V668" i="28"/>
  <c r="V667" i="28"/>
  <c r="V666" i="28"/>
  <c r="V665" i="28"/>
  <c r="V664" i="28"/>
  <c r="V663" i="28"/>
  <c r="V662" i="28"/>
  <c r="V661" i="28"/>
  <c r="V660" i="28"/>
  <c r="V659" i="28"/>
  <c r="V658" i="28"/>
  <c r="V657" i="28"/>
  <c r="V656" i="28"/>
  <c r="V655" i="28"/>
  <c r="V654" i="28"/>
  <c r="V653" i="28"/>
  <c r="V652" i="28"/>
  <c r="V651" i="28"/>
  <c r="V650" i="28"/>
  <c r="V649" i="28"/>
  <c r="V648" i="28"/>
  <c r="V647" i="28"/>
  <c r="V646" i="28"/>
  <c r="V645" i="28"/>
  <c r="V644" i="28"/>
  <c r="V643" i="28"/>
  <c r="V642" i="28"/>
  <c r="V641" i="28"/>
  <c r="V640" i="28"/>
  <c r="V639" i="28"/>
  <c r="V638" i="28"/>
  <c r="V637" i="28"/>
  <c r="V636" i="28"/>
  <c r="V635" i="28"/>
  <c r="V634" i="28"/>
  <c r="V633" i="28"/>
  <c r="V632" i="28"/>
  <c r="V631" i="28"/>
  <c r="V630" i="28"/>
  <c r="V629" i="28"/>
  <c r="V628" i="28"/>
  <c r="V627" i="28"/>
  <c r="V626" i="28"/>
  <c r="V625" i="28"/>
  <c r="V624" i="28"/>
  <c r="V623" i="28"/>
  <c r="V622" i="28"/>
  <c r="V621" i="28"/>
  <c r="V620" i="28"/>
  <c r="V619" i="28"/>
  <c r="V618" i="28"/>
  <c r="V617" i="28"/>
  <c r="V616" i="28"/>
  <c r="V615" i="28"/>
  <c r="V614" i="28"/>
  <c r="V613" i="28"/>
  <c r="V612" i="28"/>
  <c r="V611" i="28"/>
  <c r="V610" i="28"/>
  <c r="V609" i="28"/>
  <c r="V608" i="28"/>
  <c r="V607" i="28"/>
  <c r="V606" i="28"/>
  <c r="V605" i="28"/>
  <c r="V604" i="28"/>
  <c r="V603" i="28"/>
  <c r="V602" i="28"/>
  <c r="V601" i="28"/>
  <c r="V600" i="28"/>
  <c r="V599" i="28"/>
  <c r="V598" i="28"/>
  <c r="V597" i="28"/>
  <c r="V596" i="28"/>
  <c r="V595" i="28"/>
  <c r="V594" i="28"/>
  <c r="V593" i="28"/>
  <c r="V592" i="28"/>
  <c r="V591" i="28"/>
  <c r="V590" i="28"/>
  <c r="V589" i="28"/>
  <c r="V588" i="28"/>
  <c r="V587" i="28"/>
  <c r="V586" i="28"/>
  <c r="V585" i="28"/>
  <c r="V584" i="28"/>
  <c r="V583" i="28"/>
  <c r="V582" i="28"/>
  <c r="V581" i="28"/>
  <c r="V580" i="28"/>
  <c r="V579" i="28"/>
  <c r="V578" i="28"/>
  <c r="V577" i="28"/>
  <c r="V576" i="28"/>
  <c r="V575" i="28"/>
  <c r="V574" i="28"/>
  <c r="V573" i="28"/>
  <c r="V572" i="28"/>
  <c r="V571" i="28"/>
  <c r="V570" i="28"/>
  <c r="V569" i="28"/>
  <c r="V568" i="28"/>
  <c r="V567" i="28"/>
  <c r="V566" i="28"/>
  <c r="V565" i="28"/>
  <c r="V564" i="28"/>
  <c r="V563" i="28"/>
  <c r="V562" i="28"/>
  <c r="V561" i="28"/>
  <c r="V560" i="28"/>
  <c r="V559" i="28"/>
  <c r="V558" i="28"/>
  <c r="V557" i="28"/>
  <c r="V556" i="28"/>
  <c r="V555" i="28"/>
  <c r="V554" i="28"/>
  <c r="V553" i="28"/>
  <c r="V552" i="28"/>
  <c r="V551" i="28"/>
  <c r="V550" i="28"/>
  <c r="V549" i="28"/>
  <c r="V548" i="28"/>
  <c r="V547" i="28"/>
  <c r="V546" i="28"/>
  <c r="V545" i="28"/>
  <c r="V544" i="28"/>
  <c r="V543" i="28"/>
  <c r="V542" i="28"/>
  <c r="V541" i="28"/>
  <c r="V540" i="28"/>
  <c r="V539" i="28"/>
  <c r="V538" i="28"/>
  <c r="V537" i="28"/>
  <c r="V536" i="28"/>
  <c r="V535" i="28"/>
  <c r="V534" i="28"/>
  <c r="V533" i="28"/>
  <c r="V532" i="28"/>
  <c r="V531" i="28"/>
  <c r="V530" i="28"/>
  <c r="V529" i="28"/>
  <c r="V528" i="28"/>
  <c r="V527" i="28"/>
  <c r="V526" i="28"/>
  <c r="V525" i="28"/>
  <c r="V524" i="28"/>
  <c r="V523" i="28"/>
  <c r="V522" i="28"/>
  <c r="V521" i="28"/>
  <c r="V520" i="28"/>
  <c r="V519" i="28"/>
  <c r="V518" i="28"/>
  <c r="V517" i="28"/>
  <c r="V516" i="28"/>
  <c r="V515" i="28"/>
  <c r="V514" i="28"/>
  <c r="V513" i="28"/>
  <c r="V512" i="28"/>
  <c r="V511" i="28"/>
  <c r="V510" i="28"/>
  <c r="V509" i="28"/>
  <c r="V508" i="28"/>
  <c r="V507" i="28"/>
  <c r="V506" i="28"/>
  <c r="V505" i="28"/>
  <c r="V504" i="28"/>
  <c r="V503" i="28"/>
  <c r="V502" i="28"/>
  <c r="V501" i="28"/>
  <c r="V500" i="28"/>
  <c r="V499" i="28"/>
  <c r="V498" i="28"/>
  <c r="V497" i="28"/>
  <c r="V496" i="28"/>
  <c r="V495" i="28"/>
  <c r="V494" i="28"/>
  <c r="V493" i="28"/>
  <c r="V492" i="28"/>
  <c r="V491" i="28"/>
  <c r="V490" i="28"/>
  <c r="V489" i="28"/>
  <c r="V488" i="28"/>
  <c r="V487" i="28"/>
  <c r="V486" i="28"/>
  <c r="V485" i="28"/>
  <c r="V484" i="28"/>
  <c r="V483" i="28"/>
  <c r="V482" i="28"/>
  <c r="V481" i="28"/>
  <c r="V480" i="28"/>
  <c r="V479" i="28"/>
  <c r="V478" i="28"/>
  <c r="V477" i="28"/>
  <c r="V476" i="28"/>
  <c r="V475" i="28"/>
  <c r="V474" i="28"/>
  <c r="V473" i="28"/>
  <c r="V472" i="28"/>
  <c r="V471" i="28"/>
  <c r="V470" i="28"/>
  <c r="V469" i="28"/>
  <c r="V468" i="28"/>
  <c r="V467" i="28"/>
  <c r="V466" i="28"/>
  <c r="V465" i="28"/>
  <c r="V464" i="28"/>
  <c r="V463" i="28"/>
  <c r="V462" i="28"/>
  <c r="V461" i="28"/>
  <c r="V460" i="28"/>
  <c r="V459" i="28"/>
  <c r="V458" i="28"/>
  <c r="V457" i="28"/>
  <c r="V456" i="28"/>
  <c r="V455" i="28"/>
  <c r="V454" i="28"/>
  <c r="V453" i="28"/>
  <c r="V452" i="28"/>
  <c r="V451" i="28"/>
  <c r="V450" i="28"/>
  <c r="V449" i="28"/>
  <c r="V448" i="28"/>
  <c r="V447" i="28"/>
  <c r="V446" i="28"/>
  <c r="V445" i="28"/>
  <c r="V444" i="28"/>
  <c r="V443" i="28"/>
  <c r="V442" i="28"/>
  <c r="V441" i="28"/>
  <c r="V440" i="28"/>
  <c r="V439" i="28"/>
  <c r="V438" i="28"/>
  <c r="V437" i="28"/>
  <c r="V436" i="28"/>
  <c r="V435" i="28"/>
  <c r="V434" i="28"/>
  <c r="V433" i="28"/>
  <c r="V432" i="28"/>
  <c r="V431" i="28"/>
  <c r="V430" i="28"/>
  <c r="V429" i="28"/>
  <c r="V428" i="28"/>
  <c r="V427" i="28"/>
  <c r="V426" i="28"/>
  <c r="V425" i="28"/>
  <c r="V424" i="28"/>
  <c r="V423" i="28"/>
  <c r="V422" i="28"/>
  <c r="V421" i="28"/>
  <c r="V420" i="28"/>
  <c r="V419" i="28"/>
  <c r="V418" i="28"/>
  <c r="V417" i="28"/>
  <c r="V416" i="28"/>
  <c r="V415" i="28"/>
  <c r="V414" i="28"/>
  <c r="V413" i="28"/>
  <c r="V412" i="28"/>
  <c r="V411" i="28"/>
  <c r="V410" i="28"/>
  <c r="V409" i="28"/>
  <c r="V408" i="28"/>
  <c r="V407" i="28"/>
  <c r="V406" i="28"/>
  <c r="V405" i="28"/>
  <c r="V404" i="28"/>
  <c r="V403" i="28"/>
  <c r="V402" i="28"/>
  <c r="V401" i="28"/>
  <c r="V400" i="28"/>
  <c r="V399" i="28"/>
  <c r="V398" i="28"/>
  <c r="V397" i="28"/>
  <c r="V396" i="28"/>
  <c r="V395" i="28"/>
  <c r="V394" i="28"/>
  <c r="V393" i="28"/>
  <c r="V392" i="28"/>
  <c r="V391" i="28"/>
  <c r="V390" i="28"/>
  <c r="V389" i="28"/>
  <c r="V388" i="28"/>
  <c r="V387" i="28"/>
  <c r="V386" i="28"/>
  <c r="V385" i="28"/>
  <c r="V384" i="28"/>
  <c r="V383" i="28"/>
  <c r="V382" i="28"/>
  <c r="V381" i="28"/>
  <c r="V380" i="28"/>
  <c r="V379" i="28"/>
  <c r="V378" i="28"/>
  <c r="V377" i="28"/>
  <c r="V376" i="28"/>
  <c r="V375" i="28"/>
  <c r="V374" i="28"/>
  <c r="V373" i="28"/>
  <c r="V372" i="28"/>
  <c r="V371" i="28"/>
  <c r="V370" i="28"/>
  <c r="V369" i="28"/>
  <c r="V368" i="28"/>
  <c r="V367" i="28"/>
  <c r="V366" i="28"/>
  <c r="V365" i="28"/>
  <c r="V364" i="28"/>
  <c r="V363" i="28"/>
  <c r="V362" i="28"/>
  <c r="V361" i="28"/>
  <c r="V360" i="28"/>
  <c r="V359" i="28"/>
  <c r="V358" i="28"/>
  <c r="V357" i="28"/>
  <c r="V356" i="28"/>
  <c r="V355" i="28"/>
  <c r="V354" i="28"/>
  <c r="V353" i="28"/>
  <c r="V352" i="28"/>
  <c r="V351" i="28"/>
  <c r="V350" i="28"/>
  <c r="V349" i="28"/>
  <c r="V348" i="28"/>
  <c r="V347" i="28"/>
  <c r="V346" i="28"/>
  <c r="V345" i="28"/>
  <c r="V344" i="28"/>
  <c r="V343" i="28"/>
  <c r="V342" i="28"/>
  <c r="V341" i="28"/>
  <c r="V340" i="28"/>
  <c r="V339" i="28"/>
  <c r="V338" i="28"/>
  <c r="V337" i="28"/>
  <c r="V336" i="28"/>
  <c r="V335" i="28"/>
  <c r="V334" i="28"/>
  <c r="V333" i="28"/>
  <c r="V332" i="28"/>
  <c r="V331" i="28"/>
  <c r="V330" i="28"/>
  <c r="V329" i="28"/>
  <c r="V328" i="28"/>
  <c r="V327" i="28"/>
  <c r="V326" i="28"/>
  <c r="V325" i="28"/>
  <c r="V324" i="28"/>
  <c r="V323" i="28"/>
  <c r="V322" i="28"/>
  <c r="V321" i="28"/>
  <c r="V320" i="28"/>
  <c r="V319" i="28"/>
  <c r="V318" i="28"/>
  <c r="V317" i="28"/>
  <c r="V316" i="28"/>
  <c r="V315" i="28"/>
  <c r="V314" i="28"/>
  <c r="V313" i="28"/>
  <c r="V312" i="28"/>
  <c r="V311" i="28"/>
  <c r="V310" i="28"/>
  <c r="V309" i="28"/>
  <c r="V308" i="28"/>
  <c r="V307" i="28"/>
  <c r="V306" i="28"/>
  <c r="V305" i="28"/>
  <c r="V304" i="28"/>
  <c r="V303" i="28"/>
  <c r="V302" i="28"/>
  <c r="V301" i="28"/>
  <c r="V300" i="28"/>
  <c r="V299" i="28"/>
  <c r="V298" i="28"/>
  <c r="V297" i="28"/>
  <c r="V296" i="28"/>
  <c r="V295" i="28"/>
  <c r="V294" i="28"/>
  <c r="V293" i="28"/>
  <c r="V292" i="28"/>
  <c r="V291" i="28"/>
  <c r="V290" i="28"/>
  <c r="V289" i="28"/>
  <c r="V288" i="28"/>
  <c r="V287" i="28"/>
  <c r="V286" i="28"/>
  <c r="V285" i="28"/>
  <c r="V284" i="28"/>
  <c r="V283" i="28"/>
  <c r="V282" i="28"/>
  <c r="V281" i="28"/>
  <c r="V280" i="28"/>
  <c r="V279" i="28"/>
  <c r="V278" i="28"/>
  <c r="V277" i="28"/>
  <c r="V276" i="28"/>
  <c r="V275" i="28"/>
  <c r="V274" i="28"/>
  <c r="V273" i="28"/>
  <c r="V272" i="28"/>
  <c r="V271" i="28"/>
  <c r="V270" i="28"/>
  <c r="V269" i="28"/>
  <c r="V268" i="28"/>
  <c r="V267" i="28"/>
  <c r="V266" i="28"/>
  <c r="V265" i="28"/>
  <c r="V264" i="28"/>
  <c r="V263" i="28"/>
  <c r="V262" i="28"/>
  <c r="V261" i="28"/>
  <c r="V260" i="28"/>
  <c r="V259" i="28"/>
  <c r="V258" i="28"/>
  <c r="V257" i="28"/>
  <c r="V256" i="28"/>
  <c r="V255" i="28"/>
  <c r="V254" i="28"/>
  <c r="V253" i="28"/>
  <c r="V252" i="28"/>
  <c r="V251" i="28"/>
  <c r="V250" i="28"/>
  <c r="V249" i="28"/>
  <c r="V248" i="28"/>
  <c r="V247" i="28"/>
  <c r="V246" i="28"/>
  <c r="V245" i="28"/>
  <c r="V244" i="28"/>
  <c r="V243" i="28"/>
  <c r="V242" i="28"/>
  <c r="V241" i="28"/>
  <c r="V240" i="28"/>
  <c r="V239" i="28"/>
  <c r="V238" i="28"/>
  <c r="V237" i="28"/>
  <c r="V236" i="28"/>
  <c r="V235" i="28"/>
  <c r="V234" i="28"/>
  <c r="V233" i="28"/>
  <c r="V232" i="28"/>
  <c r="V231" i="28"/>
  <c r="V230" i="28"/>
  <c r="V229" i="28"/>
  <c r="V228" i="28"/>
  <c r="V227" i="28"/>
  <c r="V226" i="28"/>
  <c r="V225" i="28"/>
  <c r="V224" i="28"/>
  <c r="V223" i="28"/>
  <c r="V222" i="28"/>
  <c r="V221" i="28"/>
  <c r="V220" i="28"/>
  <c r="V219" i="28"/>
  <c r="V218" i="28"/>
  <c r="V217" i="28"/>
  <c r="V216" i="28"/>
  <c r="V215" i="28"/>
  <c r="V214" i="28"/>
  <c r="V213" i="28"/>
  <c r="V212" i="28"/>
  <c r="V211" i="28"/>
  <c r="V210" i="28"/>
  <c r="V209" i="28"/>
  <c r="V208" i="28"/>
  <c r="V207" i="28"/>
  <c r="V206" i="28"/>
  <c r="V205" i="28"/>
  <c r="V204" i="28"/>
  <c r="V203" i="28"/>
  <c r="V202" i="28"/>
  <c r="V201" i="28"/>
  <c r="V200" i="28"/>
  <c r="V199" i="28"/>
  <c r="V198" i="28"/>
  <c r="V197" i="28"/>
  <c r="V196" i="28"/>
  <c r="V195" i="28"/>
  <c r="V194" i="28"/>
  <c r="V193" i="28"/>
  <c r="V192" i="28"/>
  <c r="V191" i="28"/>
  <c r="V190" i="28"/>
  <c r="V189" i="28"/>
  <c r="V188" i="28"/>
  <c r="V187" i="28"/>
  <c r="V186" i="28"/>
  <c r="V185" i="28"/>
  <c r="V184" i="28"/>
  <c r="V183" i="28"/>
  <c r="V182" i="28"/>
  <c r="V181" i="28"/>
  <c r="V180" i="28"/>
  <c r="V179" i="28"/>
  <c r="V178" i="28"/>
  <c r="V177" i="28"/>
  <c r="V176" i="28"/>
  <c r="V175" i="28"/>
  <c r="V174" i="28"/>
  <c r="V173" i="28"/>
  <c r="V172" i="28"/>
  <c r="V171" i="28"/>
  <c r="V170" i="28"/>
  <c r="V169" i="28"/>
  <c r="V168" i="28"/>
  <c r="V167" i="28"/>
  <c r="V166" i="28"/>
  <c r="V165" i="28"/>
  <c r="V164" i="28"/>
  <c r="V163" i="28"/>
  <c r="V162" i="28"/>
  <c r="V161" i="28"/>
  <c r="V160" i="28"/>
  <c r="V159" i="28"/>
  <c r="V158" i="28"/>
  <c r="V157" i="28"/>
  <c r="V156" i="28"/>
  <c r="V155" i="28"/>
  <c r="V154" i="28"/>
  <c r="V153" i="28"/>
  <c r="V152" i="28"/>
  <c r="V151" i="28"/>
  <c r="V150" i="28"/>
  <c r="V149" i="28"/>
  <c r="V148" i="28"/>
  <c r="V147" i="28"/>
  <c r="V146" i="28"/>
  <c r="V145" i="28"/>
  <c r="V144" i="28"/>
  <c r="V143" i="28"/>
  <c r="V142" i="28"/>
  <c r="V141" i="28"/>
  <c r="V140" i="28"/>
  <c r="V139" i="28"/>
  <c r="V138" i="28"/>
  <c r="V137" i="28"/>
  <c r="V136" i="28"/>
  <c r="V135" i="28"/>
  <c r="V134" i="28"/>
  <c r="V133" i="28"/>
  <c r="V132" i="28"/>
  <c r="V131" i="28"/>
  <c r="V130" i="28"/>
  <c r="V129" i="28"/>
  <c r="V128" i="28"/>
  <c r="V127" i="28"/>
  <c r="V126" i="28"/>
  <c r="V125" i="28"/>
  <c r="V124" i="28"/>
  <c r="V123" i="28"/>
  <c r="V122" i="28"/>
  <c r="V121" i="28"/>
  <c r="V120" i="28"/>
  <c r="V119" i="28"/>
  <c r="V118" i="28"/>
  <c r="V117" i="28"/>
  <c r="V116" i="28"/>
  <c r="V115" i="28"/>
  <c r="V114" i="28"/>
  <c r="V113" i="28"/>
  <c r="V112" i="28"/>
  <c r="V111" i="28"/>
  <c r="V110" i="28"/>
  <c r="V109" i="28"/>
  <c r="V108" i="28"/>
  <c r="V107" i="28"/>
  <c r="V106" i="28"/>
  <c r="V105" i="28"/>
  <c r="V104" i="28"/>
  <c r="V103" i="28"/>
  <c r="V102" i="28"/>
  <c r="V101" i="28"/>
  <c r="V100" i="28"/>
  <c r="V99" i="28"/>
  <c r="V98" i="28"/>
  <c r="V97" i="28"/>
  <c r="V96" i="28"/>
  <c r="V95" i="28"/>
  <c r="V94" i="28"/>
  <c r="V93" i="28"/>
  <c r="V92" i="28"/>
  <c r="V91" i="28"/>
  <c r="V90" i="28"/>
  <c r="V89" i="28"/>
  <c r="V88" i="28"/>
  <c r="V87" i="28"/>
  <c r="V86" i="28"/>
  <c r="V85" i="28"/>
  <c r="V84" i="28"/>
  <c r="V83" i="28"/>
  <c r="V82" i="28"/>
  <c r="V81" i="28"/>
  <c r="V80" i="28"/>
  <c r="V79" i="28"/>
  <c r="V78" i="28"/>
  <c r="V77" i="28"/>
  <c r="V76" i="28"/>
  <c r="V75" i="28"/>
  <c r="V74" i="28"/>
  <c r="V73" i="28"/>
  <c r="V72" i="28"/>
  <c r="V71" i="28"/>
  <c r="V70" i="28"/>
  <c r="V69" i="28"/>
  <c r="V68" i="28"/>
  <c r="V67" i="28"/>
  <c r="V66" i="28"/>
  <c r="V65" i="28"/>
  <c r="V64" i="28"/>
  <c r="V63" i="28"/>
  <c r="V62" i="28"/>
  <c r="V61" i="28"/>
  <c r="V60" i="28"/>
  <c r="V59" i="28"/>
  <c r="V58" i="28"/>
  <c r="V57" i="28"/>
  <c r="V56" i="28"/>
  <c r="V55" i="28"/>
  <c r="V54" i="28"/>
  <c r="V53" i="28"/>
  <c r="V52" i="28"/>
  <c r="V51" i="28"/>
  <c r="V50" i="28"/>
  <c r="V49" i="28"/>
  <c r="V48" i="28"/>
  <c r="V47" i="28"/>
  <c r="V46" i="28"/>
  <c r="V45" i="28"/>
  <c r="V44" i="28"/>
  <c r="V43" i="28"/>
  <c r="V42" i="28"/>
  <c r="V41" i="28"/>
  <c r="V40" i="28"/>
  <c r="V39" i="28"/>
  <c r="V38" i="28"/>
  <c r="V37" i="28"/>
  <c r="V36" i="28"/>
  <c r="V35" i="28"/>
  <c r="V34" i="28"/>
  <c r="V33" i="28"/>
  <c r="V32" i="28"/>
  <c r="V31" i="28"/>
  <c r="V30" i="28"/>
  <c r="V29" i="28"/>
  <c r="V28" i="28"/>
  <c r="V27" i="28"/>
  <c r="V26" i="28"/>
  <c r="V25" i="28"/>
  <c r="V24" i="28"/>
  <c r="V23" i="28"/>
  <c r="V22" i="28"/>
  <c r="V21" i="28"/>
  <c r="V20" i="28"/>
  <c r="V19" i="28"/>
  <c r="V18" i="28"/>
  <c r="V17" i="28"/>
  <c r="V16" i="28"/>
  <c r="V15" i="28"/>
  <c r="V14" i="28"/>
  <c r="F14" i="28"/>
  <c r="F15" i="28"/>
  <c r="M41" i="22"/>
  <c r="AK40" i="22"/>
  <c r="AI77" i="29" l="1"/>
  <c r="O103" i="22"/>
  <c r="BK35" i="29"/>
  <c r="BO35" i="29"/>
  <c r="AA80" i="29"/>
  <c r="AI78" i="29"/>
  <c r="AQ76" i="29"/>
  <c r="AQ69" i="29"/>
  <c r="AM81" i="29"/>
  <c r="AQ52" i="29"/>
  <c r="AQ81" i="29"/>
  <c r="AU52" i="29"/>
  <c r="AU79" i="29"/>
  <c r="AU69" i="29"/>
  <c r="AQ35" i="29"/>
  <c r="AQ75" i="29"/>
  <c r="BG85" i="29"/>
  <c r="BG87" i="29" s="1"/>
  <c r="AA52" i="29"/>
  <c r="BG35" i="29"/>
  <c r="BG52" i="29"/>
  <c r="AM69" i="29"/>
  <c r="AA35" i="29"/>
  <c r="BS35" i="29"/>
  <c r="BS52" i="29"/>
  <c r="AM35" i="29"/>
  <c r="AM52" i="29"/>
  <c r="BS69" i="29"/>
  <c r="W79" i="29"/>
  <c r="AI18" i="29"/>
  <c r="AM103" i="22"/>
  <c r="AS103" i="22"/>
  <c r="AA84" i="29"/>
  <c r="AA87" i="29" s="1"/>
  <c r="AA69" i="29"/>
  <c r="BO18" i="29"/>
  <c r="AY103" i="22"/>
  <c r="BK18" i="29"/>
  <c r="BE103" i="22"/>
  <c r="W76" i="29"/>
  <c r="AA103" i="22"/>
  <c r="BW103" i="22"/>
  <c r="AI35" i="29"/>
  <c r="AG103" i="22"/>
  <c r="BK173" i="22"/>
  <c r="BQ103" i="22"/>
  <c r="BK103" i="22"/>
  <c r="U103" i="22"/>
  <c r="I103" i="22"/>
  <c r="W173" i="22"/>
  <c r="AE35" i="29"/>
  <c r="BC18" i="29"/>
  <c r="BC35" i="29"/>
  <c r="BS18" i="29"/>
  <c r="AU18" i="29"/>
  <c r="AM18" i="29"/>
  <c r="AE18" i="29"/>
  <c r="AU75" i="29"/>
  <c r="AU35" i="29"/>
  <c r="W18" i="29"/>
  <c r="W35" i="29"/>
  <c r="CK130" i="22"/>
  <c r="CE130" i="22"/>
  <c r="BY130" i="22"/>
  <c r="BS130" i="22"/>
  <c r="AU130" i="22"/>
  <c r="W130" i="22"/>
  <c r="AC130" i="22"/>
  <c r="AI130" i="22"/>
  <c r="BG130" i="22"/>
  <c r="AO130" i="22"/>
  <c r="BM130" i="22"/>
  <c r="BA130" i="22"/>
  <c r="AA18" i="29"/>
  <c r="AQ18" i="29"/>
  <c r="BG18" i="29"/>
  <c r="AE74" i="29"/>
  <c r="AE87" i="29" s="1"/>
  <c r="AU74" i="29"/>
  <c r="BK74" i="29"/>
  <c r="BK87" i="29" s="1"/>
  <c r="AI74" i="29"/>
  <c r="AY74" i="29"/>
  <c r="AY87" i="29" s="1"/>
  <c r="BO74" i="29"/>
  <c r="BO87" i="29" s="1"/>
  <c r="W74" i="29"/>
  <c r="AM74" i="29"/>
  <c r="BC74" i="29"/>
  <c r="BC87" i="29" s="1"/>
  <c r="BS74" i="29"/>
  <c r="BS87" i="29" s="1"/>
  <c r="A1609" i="21"/>
  <c r="A1608" i="21"/>
  <c r="A1607" i="21"/>
  <c r="A1606" i="21"/>
  <c r="A1605" i="21"/>
  <c r="A1604" i="21"/>
  <c r="A1603" i="21"/>
  <c r="A1602" i="21"/>
  <c r="A1601" i="21"/>
  <c r="A1600" i="21"/>
  <c r="A1599" i="21"/>
  <c r="A1598" i="21"/>
  <c r="A1597" i="21"/>
  <c r="A1596" i="21"/>
  <c r="A1595" i="21"/>
  <c r="A1594" i="21"/>
  <c r="A1593" i="21"/>
  <c r="A1592" i="21"/>
  <c r="A1591" i="21"/>
  <c r="A1590" i="21"/>
  <c r="A1589" i="21"/>
  <c r="A1588" i="21"/>
  <c r="A1587" i="21"/>
  <c r="A1586" i="21"/>
  <c r="A1585" i="21"/>
  <c r="A1584" i="21"/>
  <c r="A1583" i="21"/>
  <c r="A1582" i="21"/>
  <c r="A1581" i="21"/>
  <c r="A1580" i="21"/>
  <c r="A1579" i="21"/>
  <c r="A1578" i="21"/>
  <c r="A1577" i="21"/>
  <c r="A1576" i="21"/>
  <c r="A1575" i="21"/>
  <c r="A1574" i="21"/>
  <c r="A1573" i="21"/>
  <c r="A1572" i="21"/>
  <c r="A1571" i="21"/>
  <c r="A1570" i="21"/>
  <c r="A1569" i="21"/>
  <c r="A1568" i="21"/>
  <c r="A1567" i="21"/>
  <c r="A1566" i="21"/>
  <c r="A1565" i="21"/>
  <c r="A1564" i="21"/>
  <c r="A1563" i="21"/>
  <c r="A1562" i="21"/>
  <c r="A1561" i="21"/>
  <c r="A1560" i="21"/>
  <c r="A1559" i="21"/>
  <c r="A1558" i="21"/>
  <c r="A1557" i="21"/>
  <c r="A1556" i="21"/>
  <c r="A1555" i="21"/>
  <c r="A1554" i="21"/>
  <c r="A1553" i="21"/>
  <c r="A1552" i="21"/>
  <c r="A1551" i="21"/>
  <c r="A1550" i="21"/>
  <c r="A1549" i="21"/>
  <c r="A1548" i="21"/>
  <c r="A1547" i="21"/>
  <c r="A1546" i="21"/>
  <c r="A1545" i="21"/>
  <c r="A1544" i="21"/>
  <c r="A1543" i="21"/>
  <c r="A1542" i="21"/>
  <c r="A1541" i="21"/>
  <c r="A1540" i="21"/>
  <c r="A1539" i="21"/>
  <c r="A1538" i="21"/>
  <c r="A1537" i="21"/>
  <c r="A1536" i="21"/>
  <c r="A1535" i="21"/>
  <c r="A1534" i="21"/>
  <c r="A1533" i="21"/>
  <c r="A1532" i="21"/>
  <c r="A1531" i="21"/>
  <c r="A1530" i="21"/>
  <c r="A1529" i="21"/>
  <c r="A1528" i="21"/>
  <c r="A1527" i="21"/>
  <c r="A1526" i="21"/>
  <c r="A1525" i="21"/>
  <c r="A1524" i="21"/>
  <c r="A1523" i="21"/>
  <c r="A1522" i="21"/>
  <c r="A1521" i="21"/>
  <c r="A1520" i="21"/>
  <c r="A1519" i="21"/>
  <c r="A1518" i="21"/>
  <c r="A1517" i="21"/>
  <c r="A1516" i="21"/>
  <c r="A1515" i="21"/>
  <c r="A1514" i="21"/>
  <c r="A1513" i="21"/>
  <c r="A1512" i="21"/>
  <c r="A1511" i="21"/>
  <c r="A1510" i="21"/>
  <c r="A1509" i="21"/>
  <c r="A1508" i="21"/>
  <c r="A1507" i="21"/>
  <c r="A1506" i="21"/>
  <c r="A1505" i="21"/>
  <c r="A1504" i="21"/>
  <c r="A1503" i="21"/>
  <c r="A1502" i="21"/>
  <c r="A1501" i="21"/>
  <c r="A1500" i="21"/>
  <c r="A1499" i="21"/>
  <c r="A1498" i="21"/>
  <c r="A1497" i="21"/>
  <c r="A1496" i="21"/>
  <c r="A1495" i="21"/>
  <c r="A1494" i="21"/>
  <c r="A1493" i="21"/>
  <c r="A1492" i="21"/>
  <c r="A1491" i="21"/>
  <c r="A1490" i="21"/>
  <c r="A1489" i="21"/>
  <c r="A1488" i="21"/>
  <c r="A1487" i="21"/>
  <c r="A1486" i="21"/>
  <c r="A1485" i="21"/>
  <c r="A1484" i="21"/>
  <c r="A1483" i="21"/>
  <c r="A1482" i="21"/>
  <c r="A1481" i="21"/>
  <c r="A1480" i="21"/>
  <c r="A1479" i="21"/>
  <c r="A1478" i="21"/>
  <c r="A1477" i="21"/>
  <c r="A1476" i="21"/>
  <c r="A1475" i="21"/>
  <c r="A1474" i="21"/>
  <c r="A1473" i="21"/>
  <c r="A1472" i="21"/>
  <c r="A1471" i="21"/>
  <c r="A1470" i="21"/>
  <c r="A1469" i="21"/>
  <c r="A1468" i="21"/>
  <c r="A1467" i="21"/>
  <c r="A1466" i="21"/>
  <c r="A1465" i="21"/>
  <c r="A1464" i="21"/>
  <c r="A1463" i="21"/>
  <c r="A1462" i="21"/>
  <c r="A1461" i="21"/>
  <c r="A1460" i="21"/>
  <c r="A1459" i="21"/>
  <c r="A1458" i="21"/>
  <c r="A1457" i="21"/>
  <c r="A1456" i="21"/>
  <c r="A1455" i="21"/>
  <c r="A1454" i="21"/>
  <c r="A1453" i="21"/>
  <c r="A1452" i="21"/>
  <c r="A1451" i="21"/>
  <c r="A1450" i="21"/>
  <c r="A1449" i="21"/>
  <c r="A1448" i="21"/>
  <c r="A1447" i="21"/>
  <c r="A1446" i="21"/>
  <c r="A1445" i="21"/>
  <c r="A1444" i="21"/>
  <c r="A1443" i="21"/>
  <c r="A1442" i="21"/>
  <c r="A1441" i="21"/>
  <c r="A1440" i="21"/>
  <c r="A1439" i="21"/>
  <c r="A1438" i="21"/>
  <c r="A1437" i="21"/>
  <c r="A1436" i="21"/>
  <c r="A1435" i="21"/>
  <c r="A1434" i="21"/>
  <c r="A1433" i="21"/>
  <c r="A1432" i="21"/>
  <c r="A1431" i="21"/>
  <c r="A1430" i="21"/>
  <c r="A1429" i="21"/>
  <c r="A1428" i="21"/>
  <c r="A1427" i="21"/>
  <c r="A1426" i="21"/>
  <c r="A1425" i="21"/>
  <c r="A1424" i="21"/>
  <c r="A1423" i="21"/>
  <c r="A1422" i="21"/>
  <c r="A1421" i="21"/>
  <c r="A1420" i="21"/>
  <c r="A1419" i="21"/>
  <c r="A1418" i="21"/>
  <c r="A1417" i="21"/>
  <c r="A1416" i="21"/>
  <c r="A1415" i="21"/>
  <c r="A1414" i="21"/>
  <c r="A1413" i="21"/>
  <c r="A1412" i="21"/>
  <c r="A1411" i="21"/>
  <c r="A1410" i="21"/>
  <c r="A1409" i="21"/>
  <c r="A1408" i="21"/>
  <c r="A1407" i="21"/>
  <c r="A1406" i="21"/>
  <c r="A1405" i="21"/>
  <c r="A1404" i="21"/>
  <c r="A1403" i="21"/>
  <c r="A1402" i="21"/>
  <c r="A1401" i="21"/>
  <c r="A1400" i="21"/>
  <c r="A1399" i="21"/>
  <c r="A1398" i="21"/>
  <c r="A1397" i="21"/>
  <c r="A1396" i="21"/>
  <c r="A1395" i="21"/>
  <c r="A1394" i="21"/>
  <c r="A1393" i="21"/>
  <c r="A1392" i="21"/>
  <c r="A1391" i="21"/>
  <c r="A1390" i="21"/>
  <c r="A1389" i="21"/>
  <c r="A1388" i="21"/>
  <c r="A1387" i="21"/>
  <c r="A1386" i="21"/>
  <c r="A1385" i="21"/>
  <c r="A1384" i="21"/>
  <c r="A1383" i="21"/>
  <c r="A1382" i="21"/>
  <c r="A1381" i="21"/>
  <c r="A1380" i="21"/>
  <c r="A1379" i="21"/>
  <c r="A1378" i="21"/>
  <c r="A1377" i="21"/>
  <c r="A1376" i="21"/>
  <c r="A1375" i="21"/>
  <c r="A1374" i="21"/>
  <c r="A1373" i="21"/>
  <c r="A1372" i="21"/>
  <c r="A1371" i="21"/>
  <c r="A1370" i="21"/>
  <c r="A1369" i="21"/>
  <c r="A1368" i="21"/>
  <c r="A1367" i="21"/>
  <c r="A1366" i="21"/>
  <c r="A1365" i="21"/>
  <c r="A1364" i="21"/>
  <c r="A1363" i="21"/>
  <c r="A1362" i="21"/>
  <c r="A1361" i="21"/>
  <c r="A1360" i="21"/>
  <c r="A1359" i="21"/>
  <c r="A1358" i="21"/>
  <c r="A1357" i="21"/>
  <c r="A1356" i="21"/>
  <c r="A1355" i="21"/>
  <c r="A1354" i="21"/>
  <c r="A1353" i="21"/>
  <c r="A1352" i="21"/>
  <c r="A1351" i="21"/>
  <c r="A1350" i="21"/>
  <c r="A1349" i="21"/>
  <c r="A1348" i="21"/>
  <c r="A1347" i="21"/>
  <c r="A1346" i="21"/>
  <c r="A1345" i="21"/>
  <c r="A1344" i="21"/>
  <c r="A1343" i="21"/>
  <c r="A1342" i="21"/>
  <c r="A1341" i="21"/>
  <c r="A1340" i="21"/>
  <c r="A1339" i="21"/>
  <c r="A1338" i="21"/>
  <c r="A1337" i="21"/>
  <c r="A1336" i="21"/>
  <c r="A1335" i="21"/>
  <c r="A1334" i="21"/>
  <c r="A1333" i="21"/>
  <c r="A1332" i="21"/>
  <c r="A1331" i="21"/>
  <c r="A1330" i="21"/>
  <c r="A1329" i="21"/>
  <c r="A1328" i="21"/>
  <c r="A1327" i="21"/>
  <c r="A1326" i="21"/>
  <c r="A1325" i="21"/>
  <c r="A1324" i="21"/>
  <c r="A1323" i="21"/>
  <c r="A1322" i="21"/>
  <c r="A1321" i="21"/>
  <c r="A1320" i="21"/>
  <c r="A1319" i="21"/>
  <c r="A1318" i="21"/>
  <c r="A1317" i="21"/>
  <c r="A1316" i="21"/>
  <c r="A1315" i="21"/>
  <c r="A1314" i="21"/>
  <c r="A1313" i="21"/>
  <c r="A1312" i="21"/>
  <c r="A1311" i="21"/>
  <c r="A1310" i="21"/>
  <c r="A1309" i="21"/>
  <c r="A1308" i="21"/>
  <c r="A1307" i="21"/>
  <c r="A1306" i="21"/>
  <c r="A1305" i="21"/>
  <c r="A1304" i="21"/>
  <c r="A1303" i="21"/>
  <c r="A1302" i="21"/>
  <c r="A1301" i="21"/>
  <c r="A1300" i="21"/>
  <c r="A1299" i="21"/>
  <c r="A1298" i="21"/>
  <c r="A1297" i="21"/>
  <c r="A1296" i="21"/>
  <c r="A1295" i="21"/>
  <c r="A1294" i="21"/>
  <c r="A1293" i="21"/>
  <c r="A1292" i="21"/>
  <c r="A1291" i="21"/>
  <c r="A1290" i="21"/>
  <c r="A1289" i="21"/>
  <c r="A1288" i="21"/>
  <c r="A1287" i="21"/>
  <c r="A1286" i="21"/>
  <c r="A1285" i="21"/>
  <c r="A1284" i="21"/>
  <c r="A1283" i="21"/>
  <c r="A1282" i="21"/>
  <c r="A1281" i="21"/>
  <c r="A1280" i="21"/>
  <c r="A1279" i="21"/>
  <c r="A1278" i="21"/>
  <c r="A1277" i="21"/>
  <c r="A1276" i="21"/>
  <c r="A1275" i="21"/>
  <c r="A1274" i="21"/>
  <c r="A1273" i="21"/>
  <c r="A1272" i="21"/>
  <c r="A1271" i="21"/>
  <c r="A1270" i="21"/>
  <c r="A1269" i="21"/>
  <c r="A1268" i="21"/>
  <c r="A1267" i="21"/>
  <c r="A1266" i="21"/>
  <c r="A1265" i="21"/>
  <c r="A1264" i="21"/>
  <c r="A1263" i="21"/>
  <c r="A1262" i="21"/>
  <c r="A1261" i="21"/>
  <c r="A1260" i="21"/>
  <c r="A1259" i="21"/>
  <c r="A1258" i="21"/>
  <c r="A1257" i="21"/>
  <c r="A1256" i="21"/>
  <c r="A1255" i="21"/>
  <c r="A1254" i="21"/>
  <c r="A1253" i="21"/>
  <c r="A1252" i="21"/>
  <c r="A1251" i="21"/>
  <c r="A1250" i="21"/>
  <c r="A1249" i="21"/>
  <c r="A1248" i="21"/>
  <c r="A1247" i="21"/>
  <c r="A1246" i="21"/>
  <c r="A1245" i="21"/>
  <c r="A1244" i="21"/>
  <c r="A1243" i="21"/>
  <c r="A1242" i="21"/>
  <c r="A1241" i="21"/>
  <c r="A1240" i="21"/>
  <c r="A1239" i="21"/>
  <c r="A1238" i="21"/>
  <c r="A1237" i="21"/>
  <c r="A1236" i="21"/>
  <c r="A1235" i="21"/>
  <c r="A1234" i="21"/>
  <c r="A1233" i="21"/>
  <c r="A1232" i="21"/>
  <c r="A1231" i="21"/>
  <c r="A1230" i="21"/>
  <c r="A1229" i="21"/>
  <c r="A1228" i="21"/>
  <c r="A1227" i="21"/>
  <c r="A1226" i="21"/>
  <c r="A1225" i="21"/>
  <c r="A1224" i="21"/>
  <c r="A1223" i="21"/>
  <c r="A1222" i="21"/>
  <c r="A1221" i="21"/>
  <c r="A1220" i="21"/>
  <c r="A1219" i="21"/>
  <c r="A1218" i="21"/>
  <c r="A1217" i="21"/>
  <c r="A1216" i="21"/>
  <c r="A1215" i="21"/>
  <c r="A1214" i="21"/>
  <c r="A1213" i="21"/>
  <c r="A1212" i="21"/>
  <c r="A1211" i="21"/>
  <c r="A1210" i="21"/>
  <c r="A1209" i="21"/>
  <c r="A1208" i="21"/>
  <c r="A1207" i="21"/>
  <c r="A1206" i="21"/>
  <c r="A1205" i="21"/>
  <c r="A1204" i="21"/>
  <c r="A1203" i="21"/>
  <c r="A1202" i="21"/>
  <c r="A1201" i="2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Q87" i="29" l="1"/>
  <c r="AM87" i="29"/>
  <c r="W87" i="29"/>
  <c r="AI87" i="29"/>
  <c r="AU87" i="29"/>
  <c r="F1613" i="28"/>
  <c r="D1613" i="28"/>
  <c r="B1613" i="28"/>
  <c r="A1613" i="28"/>
  <c r="F1612" i="28"/>
  <c r="D1612" i="28"/>
  <c r="B1612" i="28"/>
  <c r="A1612" i="28"/>
  <c r="F1611" i="28"/>
  <c r="D1611" i="28"/>
  <c r="B1611" i="28"/>
  <c r="A1611" i="28"/>
  <c r="F1610" i="28"/>
  <c r="D1610" i="28"/>
  <c r="B1610" i="28"/>
  <c r="A1610" i="28"/>
  <c r="F1609" i="28"/>
  <c r="D1609" i="28"/>
  <c r="B1609" i="28"/>
  <c r="A1609" i="28"/>
  <c r="F1608" i="28"/>
  <c r="D1608" i="28"/>
  <c r="B1608" i="28"/>
  <c r="A1608" i="28"/>
  <c r="F1607" i="28"/>
  <c r="D1607" i="28"/>
  <c r="B1607" i="28"/>
  <c r="A1607" i="28"/>
  <c r="F1606" i="28"/>
  <c r="D1606" i="28"/>
  <c r="B1606" i="28"/>
  <c r="A1606" i="28"/>
  <c r="F1605" i="28"/>
  <c r="D1605" i="28"/>
  <c r="B1605" i="28"/>
  <c r="A1605" i="28"/>
  <c r="F1604" i="28"/>
  <c r="D1604" i="28"/>
  <c r="B1604" i="28"/>
  <c r="A1604" i="28"/>
  <c r="F1603" i="28"/>
  <c r="D1603" i="28"/>
  <c r="B1603" i="28"/>
  <c r="A1603" i="28"/>
  <c r="F1602" i="28"/>
  <c r="D1602" i="28"/>
  <c r="B1602" i="28"/>
  <c r="A1602" i="28"/>
  <c r="F1601" i="28"/>
  <c r="D1601" i="28"/>
  <c r="B1601" i="28"/>
  <c r="A1601" i="28"/>
  <c r="F1600" i="28"/>
  <c r="D1600" i="28"/>
  <c r="B1600" i="28"/>
  <c r="A1600" i="28"/>
  <c r="F1599" i="28"/>
  <c r="D1599" i="28"/>
  <c r="B1599" i="28"/>
  <c r="A1599" i="28"/>
  <c r="F1598" i="28"/>
  <c r="D1598" i="28"/>
  <c r="B1598" i="28"/>
  <c r="A1598" i="28"/>
  <c r="F1597" i="28"/>
  <c r="D1597" i="28"/>
  <c r="B1597" i="28"/>
  <c r="A1597" i="28"/>
  <c r="F1596" i="28"/>
  <c r="D1596" i="28"/>
  <c r="B1596" i="28"/>
  <c r="A1596" i="28"/>
  <c r="F1595" i="28"/>
  <c r="D1595" i="28"/>
  <c r="B1595" i="28"/>
  <c r="A1595" i="28"/>
  <c r="F1594" i="28"/>
  <c r="D1594" i="28"/>
  <c r="B1594" i="28"/>
  <c r="A1594" i="28"/>
  <c r="F1593" i="28"/>
  <c r="D1593" i="28"/>
  <c r="B1593" i="28"/>
  <c r="A1593" i="28"/>
  <c r="F1592" i="28"/>
  <c r="D1592" i="28"/>
  <c r="B1592" i="28"/>
  <c r="A1592" i="28"/>
  <c r="F1591" i="28"/>
  <c r="D1591" i="28"/>
  <c r="B1591" i="28"/>
  <c r="A1591" i="28"/>
  <c r="F1590" i="28"/>
  <c r="D1590" i="28"/>
  <c r="B1590" i="28"/>
  <c r="A1590" i="28"/>
  <c r="F1589" i="28"/>
  <c r="D1589" i="28"/>
  <c r="B1589" i="28"/>
  <c r="A1589" i="28"/>
  <c r="F1588" i="28"/>
  <c r="D1588" i="28"/>
  <c r="B1588" i="28"/>
  <c r="A1588" i="28"/>
  <c r="F1587" i="28"/>
  <c r="D1587" i="28"/>
  <c r="B1587" i="28"/>
  <c r="A1587" i="28"/>
  <c r="F1586" i="28"/>
  <c r="D1586" i="28"/>
  <c r="B1586" i="28"/>
  <c r="A1586" i="28"/>
  <c r="F1585" i="28"/>
  <c r="D1585" i="28"/>
  <c r="B1585" i="28"/>
  <c r="A1585" i="28"/>
  <c r="F1584" i="28"/>
  <c r="D1584" i="28"/>
  <c r="B1584" i="28"/>
  <c r="A1584" i="28"/>
  <c r="F1583" i="28"/>
  <c r="D1583" i="28"/>
  <c r="B1583" i="28"/>
  <c r="A1583" i="28"/>
  <c r="F1582" i="28"/>
  <c r="D1582" i="28"/>
  <c r="B1582" i="28"/>
  <c r="A1582" i="28"/>
  <c r="F1581" i="28"/>
  <c r="D1581" i="28"/>
  <c r="B1581" i="28"/>
  <c r="A1581" i="28"/>
  <c r="F1580" i="28"/>
  <c r="D1580" i="28"/>
  <c r="B1580" i="28"/>
  <c r="A1580" i="28"/>
  <c r="F1579" i="28"/>
  <c r="D1579" i="28"/>
  <c r="B1579" i="28"/>
  <c r="A1579" i="28"/>
  <c r="F1578" i="28"/>
  <c r="D1578" i="28"/>
  <c r="B1578" i="28"/>
  <c r="A1578" i="28"/>
  <c r="F1577" i="28"/>
  <c r="D1577" i="28"/>
  <c r="B1577" i="28"/>
  <c r="A1577" i="28"/>
  <c r="F1576" i="28"/>
  <c r="D1576" i="28"/>
  <c r="B1576" i="28"/>
  <c r="A1576" i="28"/>
  <c r="F1575" i="28"/>
  <c r="D1575" i="28"/>
  <c r="B1575" i="28"/>
  <c r="A1575" i="28"/>
  <c r="F1574" i="28"/>
  <c r="D1574" i="28"/>
  <c r="B1574" i="28"/>
  <c r="A1574" i="28"/>
  <c r="F1573" i="28"/>
  <c r="D1573" i="28"/>
  <c r="B1573" i="28"/>
  <c r="A1573" i="28"/>
  <c r="F1572" i="28"/>
  <c r="D1572" i="28"/>
  <c r="B1572" i="28"/>
  <c r="A1572" i="28"/>
  <c r="F1571" i="28"/>
  <c r="D1571" i="28"/>
  <c r="B1571" i="28"/>
  <c r="A1571" i="28"/>
  <c r="F1570" i="28"/>
  <c r="D1570" i="28"/>
  <c r="B1570" i="28"/>
  <c r="A1570" i="28"/>
  <c r="F1569" i="28"/>
  <c r="D1569" i="28"/>
  <c r="B1569" i="28"/>
  <c r="A1569" i="28"/>
  <c r="F1568" i="28"/>
  <c r="D1568" i="28"/>
  <c r="B1568" i="28"/>
  <c r="A1568" i="28"/>
  <c r="F1567" i="28"/>
  <c r="D1567" i="28"/>
  <c r="B1567" i="28"/>
  <c r="A1567" i="28"/>
  <c r="F1566" i="28"/>
  <c r="D1566" i="28"/>
  <c r="B1566" i="28"/>
  <c r="A1566" i="28"/>
  <c r="F1565" i="28"/>
  <c r="D1565" i="28"/>
  <c r="B1565" i="28"/>
  <c r="A1565" i="28"/>
  <c r="F1564" i="28"/>
  <c r="D1564" i="28"/>
  <c r="B1564" i="28"/>
  <c r="A1564" i="28"/>
  <c r="F1563" i="28"/>
  <c r="D1563" i="28"/>
  <c r="B1563" i="28"/>
  <c r="A1563" i="28"/>
  <c r="F1562" i="28"/>
  <c r="D1562" i="28"/>
  <c r="B1562" i="28"/>
  <c r="A1562" i="28"/>
  <c r="F1561" i="28"/>
  <c r="D1561" i="28"/>
  <c r="B1561" i="28"/>
  <c r="A1561" i="28"/>
  <c r="F1560" i="28"/>
  <c r="D1560" i="28"/>
  <c r="B1560" i="28"/>
  <c r="A1560" i="28"/>
  <c r="F1559" i="28"/>
  <c r="D1559" i="28"/>
  <c r="B1559" i="28"/>
  <c r="A1559" i="28"/>
  <c r="F1558" i="28"/>
  <c r="D1558" i="28"/>
  <c r="B1558" i="28"/>
  <c r="A1558" i="28"/>
  <c r="F1557" i="28"/>
  <c r="D1557" i="28"/>
  <c r="B1557" i="28"/>
  <c r="A1557" i="28"/>
  <c r="F1556" i="28"/>
  <c r="D1556" i="28"/>
  <c r="B1556" i="28"/>
  <c r="A1556" i="28"/>
  <c r="F1555" i="28"/>
  <c r="D1555" i="28"/>
  <c r="B1555" i="28"/>
  <c r="A1555" i="28"/>
  <c r="F1554" i="28"/>
  <c r="D1554" i="28"/>
  <c r="B1554" i="28"/>
  <c r="A1554" i="28"/>
  <c r="F1553" i="28"/>
  <c r="D1553" i="28"/>
  <c r="B1553" i="28"/>
  <c r="A1553" i="28"/>
  <c r="F1552" i="28"/>
  <c r="D1552" i="28"/>
  <c r="B1552" i="28"/>
  <c r="A1552" i="28"/>
  <c r="F1551" i="28"/>
  <c r="D1551" i="28"/>
  <c r="B1551" i="28"/>
  <c r="A1551" i="28"/>
  <c r="F1550" i="28"/>
  <c r="D1550" i="28"/>
  <c r="B1550" i="28"/>
  <c r="A1550" i="28"/>
  <c r="F1549" i="28"/>
  <c r="D1549" i="28"/>
  <c r="B1549" i="28"/>
  <c r="A1549" i="28"/>
  <c r="F1548" i="28"/>
  <c r="D1548" i="28"/>
  <c r="B1548" i="28"/>
  <c r="A1548" i="28"/>
  <c r="F1547" i="28"/>
  <c r="D1547" i="28"/>
  <c r="B1547" i="28"/>
  <c r="A1547" i="28"/>
  <c r="F1546" i="28"/>
  <c r="D1546" i="28"/>
  <c r="B1546" i="28"/>
  <c r="A1546" i="28"/>
  <c r="F1545" i="28"/>
  <c r="D1545" i="28"/>
  <c r="B1545" i="28"/>
  <c r="A1545" i="28"/>
  <c r="F1544" i="28"/>
  <c r="D1544" i="28"/>
  <c r="B1544" i="28"/>
  <c r="A1544" i="28"/>
  <c r="F1543" i="28"/>
  <c r="D1543" i="28"/>
  <c r="B1543" i="28"/>
  <c r="A1543" i="28"/>
  <c r="F1542" i="28"/>
  <c r="D1542" i="28"/>
  <c r="B1542" i="28"/>
  <c r="A1542" i="28"/>
  <c r="F1541" i="28"/>
  <c r="D1541" i="28"/>
  <c r="B1541" i="28"/>
  <c r="A1541" i="28"/>
  <c r="F1540" i="28"/>
  <c r="D1540" i="28"/>
  <c r="B1540" i="28"/>
  <c r="A1540" i="28"/>
  <c r="F1539" i="28"/>
  <c r="D1539" i="28"/>
  <c r="B1539" i="28"/>
  <c r="A1539" i="28"/>
  <c r="F1538" i="28"/>
  <c r="D1538" i="28"/>
  <c r="B1538" i="28"/>
  <c r="A1538" i="28"/>
  <c r="F1537" i="28"/>
  <c r="D1537" i="28"/>
  <c r="B1537" i="28"/>
  <c r="A1537" i="28"/>
  <c r="F1536" i="28"/>
  <c r="D1536" i="28"/>
  <c r="B1536" i="28"/>
  <c r="A1536" i="28"/>
  <c r="F1535" i="28"/>
  <c r="D1535" i="28"/>
  <c r="B1535" i="28"/>
  <c r="A1535" i="28"/>
  <c r="F1534" i="28"/>
  <c r="D1534" i="28"/>
  <c r="B1534" i="28"/>
  <c r="A1534" i="28"/>
  <c r="F1533" i="28"/>
  <c r="D1533" i="28"/>
  <c r="B1533" i="28"/>
  <c r="A1533" i="28"/>
  <c r="F1532" i="28"/>
  <c r="D1532" i="28"/>
  <c r="B1532" i="28"/>
  <c r="A1532" i="28"/>
  <c r="F1531" i="28"/>
  <c r="D1531" i="28"/>
  <c r="B1531" i="28"/>
  <c r="A1531" i="28"/>
  <c r="F1530" i="28"/>
  <c r="D1530" i="28"/>
  <c r="B1530" i="28"/>
  <c r="A1530" i="28"/>
  <c r="F1529" i="28"/>
  <c r="D1529" i="28"/>
  <c r="B1529" i="28"/>
  <c r="A1529" i="28"/>
  <c r="F1528" i="28"/>
  <c r="D1528" i="28"/>
  <c r="B1528" i="28"/>
  <c r="A1528" i="28"/>
  <c r="F1527" i="28"/>
  <c r="D1527" i="28"/>
  <c r="B1527" i="28"/>
  <c r="A1527" i="28"/>
  <c r="F1526" i="28"/>
  <c r="D1526" i="28"/>
  <c r="B1526" i="28"/>
  <c r="A1526" i="28"/>
  <c r="F1525" i="28"/>
  <c r="D1525" i="28"/>
  <c r="B1525" i="28"/>
  <c r="A1525" i="28"/>
  <c r="F1524" i="28"/>
  <c r="D1524" i="28"/>
  <c r="B1524" i="28"/>
  <c r="A1524" i="28"/>
  <c r="F1523" i="28"/>
  <c r="D1523" i="28"/>
  <c r="B1523" i="28"/>
  <c r="A1523" i="28"/>
  <c r="F1522" i="28"/>
  <c r="D1522" i="28"/>
  <c r="B1522" i="28"/>
  <c r="A1522" i="28"/>
  <c r="F1521" i="28"/>
  <c r="D1521" i="28"/>
  <c r="B1521" i="28"/>
  <c r="A1521" i="28"/>
  <c r="F1520" i="28"/>
  <c r="D1520" i="28"/>
  <c r="B1520" i="28"/>
  <c r="A1520" i="28"/>
  <c r="F1519" i="28"/>
  <c r="D1519" i="28"/>
  <c r="B1519" i="28"/>
  <c r="A1519" i="28"/>
  <c r="F1518" i="28"/>
  <c r="D1518" i="28"/>
  <c r="B1518" i="28"/>
  <c r="A1518" i="28"/>
  <c r="F1517" i="28"/>
  <c r="D1517" i="28"/>
  <c r="B1517" i="28"/>
  <c r="A1517" i="28"/>
  <c r="F1516" i="28"/>
  <c r="D1516" i="28"/>
  <c r="B1516" i="28"/>
  <c r="A1516" i="28"/>
  <c r="F1515" i="28"/>
  <c r="D1515" i="28"/>
  <c r="B1515" i="28"/>
  <c r="A1515" i="28"/>
  <c r="F1514" i="28"/>
  <c r="D1514" i="28"/>
  <c r="B1514" i="28"/>
  <c r="A1514" i="28"/>
  <c r="F1513" i="28"/>
  <c r="D1513" i="28"/>
  <c r="B1513" i="28"/>
  <c r="A1513" i="28"/>
  <c r="F1512" i="28"/>
  <c r="D1512" i="28"/>
  <c r="B1512" i="28"/>
  <c r="A1512" i="28"/>
  <c r="F1511" i="28"/>
  <c r="D1511" i="28"/>
  <c r="B1511" i="28"/>
  <c r="A1511" i="28"/>
  <c r="F1510" i="28"/>
  <c r="D1510" i="28"/>
  <c r="B1510" i="28"/>
  <c r="A1510" i="28"/>
  <c r="F1509" i="28"/>
  <c r="D1509" i="28"/>
  <c r="B1509" i="28"/>
  <c r="A1509" i="28"/>
  <c r="F1508" i="28"/>
  <c r="D1508" i="28"/>
  <c r="B1508" i="28"/>
  <c r="A1508" i="28"/>
  <c r="F1507" i="28"/>
  <c r="D1507" i="28"/>
  <c r="B1507" i="28"/>
  <c r="A1507" i="28"/>
  <c r="F1506" i="28"/>
  <c r="D1506" i="28"/>
  <c r="B1506" i="28"/>
  <c r="A1506" i="28"/>
  <c r="F1505" i="28"/>
  <c r="D1505" i="28"/>
  <c r="B1505" i="28"/>
  <c r="A1505" i="28"/>
  <c r="F1504" i="28"/>
  <c r="D1504" i="28"/>
  <c r="B1504" i="28"/>
  <c r="A1504" i="28"/>
  <c r="F1503" i="28"/>
  <c r="D1503" i="28"/>
  <c r="B1503" i="28"/>
  <c r="A1503" i="28"/>
  <c r="F1502" i="28"/>
  <c r="D1502" i="28"/>
  <c r="B1502" i="28"/>
  <c r="A1502" i="28"/>
  <c r="F1501" i="28"/>
  <c r="D1501" i="28"/>
  <c r="B1501" i="28"/>
  <c r="A1501" i="28"/>
  <c r="F1500" i="28"/>
  <c r="D1500" i="28"/>
  <c r="B1500" i="28"/>
  <c r="A1500" i="28"/>
  <c r="F1499" i="28"/>
  <c r="D1499" i="28"/>
  <c r="B1499" i="28"/>
  <c r="A1499" i="28"/>
  <c r="F1498" i="28"/>
  <c r="D1498" i="28"/>
  <c r="B1498" i="28"/>
  <c r="A1498" i="28"/>
  <c r="F1497" i="28"/>
  <c r="D1497" i="28"/>
  <c r="B1497" i="28"/>
  <c r="A1497" i="28"/>
  <c r="F1496" i="28"/>
  <c r="D1496" i="28"/>
  <c r="B1496" i="28"/>
  <c r="A1496" i="28"/>
  <c r="F1495" i="28"/>
  <c r="D1495" i="28"/>
  <c r="B1495" i="28"/>
  <c r="A1495" i="28"/>
  <c r="F1494" i="28"/>
  <c r="D1494" i="28"/>
  <c r="B1494" i="28"/>
  <c r="A1494" i="28"/>
  <c r="F1493" i="28"/>
  <c r="D1493" i="28"/>
  <c r="B1493" i="28"/>
  <c r="A1493" i="28"/>
  <c r="F1492" i="28"/>
  <c r="D1492" i="28"/>
  <c r="B1492" i="28"/>
  <c r="A1492" i="28"/>
  <c r="F1491" i="28"/>
  <c r="D1491" i="28"/>
  <c r="B1491" i="28"/>
  <c r="A1491" i="28"/>
  <c r="F1490" i="28"/>
  <c r="D1490" i="28"/>
  <c r="B1490" i="28"/>
  <c r="A1490" i="28"/>
  <c r="F1489" i="28"/>
  <c r="D1489" i="28"/>
  <c r="B1489" i="28"/>
  <c r="A1489" i="28"/>
  <c r="F1488" i="28"/>
  <c r="D1488" i="28"/>
  <c r="B1488" i="28"/>
  <c r="A1488" i="28"/>
  <c r="F1487" i="28"/>
  <c r="D1487" i="28"/>
  <c r="B1487" i="28"/>
  <c r="A1487" i="28"/>
  <c r="F1486" i="28"/>
  <c r="D1486" i="28"/>
  <c r="B1486" i="28"/>
  <c r="A1486" i="28"/>
  <c r="F1485" i="28"/>
  <c r="D1485" i="28"/>
  <c r="B1485" i="28"/>
  <c r="A1485" i="28"/>
  <c r="F1484" i="28"/>
  <c r="D1484" i="28"/>
  <c r="B1484" i="28"/>
  <c r="A1484" i="28"/>
  <c r="F1483" i="28"/>
  <c r="D1483" i="28"/>
  <c r="B1483" i="28"/>
  <c r="A1483" i="28"/>
  <c r="F1482" i="28"/>
  <c r="D1482" i="28"/>
  <c r="B1482" i="28"/>
  <c r="A1482" i="28"/>
  <c r="F1481" i="28"/>
  <c r="D1481" i="28"/>
  <c r="B1481" i="28"/>
  <c r="A1481" i="28"/>
  <c r="F1480" i="28"/>
  <c r="D1480" i="28"/>
  <c r="B1480" i="28"/>
  <c r="A1480" i="28"/>
  <c r="F1479" i="28"/>
  <c r="D1479" i="28"/>
  <c r="B1479" i="28"/>
  <c r="A1479" i="28"/>
  <c r="F1478" i="28"/>
  <c r="D1478" i="28"/>
  <c r="B1478" i="28"/>
  <c r="A1478" i="28"/>
  <c r="F1477" i="28"/>
  <c r="D1477" i="28"/>
  <c r="B1477" i="28"/>
  <c r="A1477" i="28"/>
  <c r="F1476" i="28"/>
  <c r="D1476" i="28"/>
  <c r="B1476" i="28"/>
  <c r="A1476" i="28"/>
  <c r="F1475" i="28"/>
  <c r="D1475" i="28"/>
  <c r="B1475" i="28"/>
  <c r="A1475" i="28"/>
  <c r="F1474" i="28"/>
  <c r="D1474" i="28"/>
  <c r="B1474" i="28"/>
  <c r="A1474" i="28"/>
  <c r="F1473" i="28"/>
  <c r="D1473" i="28"/>
  <c r="B1473" i="28"/>
  <c r="A1473" i="28"/>
  <c r="F1472" i="28"/>
  <c r="D1472" i="28"/>
  <c r="B1472" i="28"/>
  <c r="A1472" i="28"/>
  <c r="F1471" i="28"/>
  <c r="D1471" i="28"/>
  <c r="B1471" i="28"/>
  <c r="A1471" i="28"/>
  <c r="F1470" i="28"/>
  <c r="D1470" i="28"/>
  <c r="B1470" i="28"/>
  <c r="A1470" i="28"/>
  <c r="F1469" i="28"/>
  <c r="D1469" i="28"/>
  <c r="B1469" i="28"/>
  <c r="A1469" i="28"/>
  <c r="F1468" i="28"/>
  <c r="D1468" i="28"/>
  <c r="B1468" i="28"/>
  <c r="A1468" i="28"/>
  <c r="F1467" i="28"/>
  <c r="D1467" i="28"/>
  <c r="B1467" i="28"/>
  <c r="A1467" i="28"/>
  <c r="F1466" i="28"/>
  <c r="D1466" i="28"/>
  <c r="B1466" i="28"/>
  <c r="A1466" i="28"/>
  <c r="F1465" i="28"/>
  <c r="D1465" i="28"/>
  <c r="B1465" i="28"/>
  <c r="A1465" i="28"/>
  <c r="F1464" i="28"/>
  <c r="D1464" i="28"/>
  <c r="B1464" i="28"/>
  <c r="A1464" i="28"/>
  <c r="F1463" i="28"/>
  <c r="D1463" i="28"/>
  <c r="B1463" i="28"/>
  <c r="A1463" i="28"/>
  <c r="F1462" i="28"/>
  <c r="D1462" i="28"/>
  <c r="B1462" i="28"/>
  <c r="A1462" i="28"/>
  <c r="F1461" i="28"/>
  <c r="D1461" i="28"/>
  <c r="B1461" i="28"/>
  <c r="A1461" i="28"/>
  <c r="F1460" i="28"/>
  <c r="D1460" i="28"/>
  <c r="B1460" i="28"/>
  <c r="A1460" i="28"/>
  <c r="F1459" i="28"/>
  <c r="D1459" i="28"/>
  <c r="B1459" i="28"/>
  <c r="A1459" i="28"/>
  <c r="F1458" i="28"/>
  <c r="D1458" i="28"/>
  <c r="B1458" i="28"/>
  <c r="A1458" i="28"/>
  <c r="F1457" i="28"/>
  <c r="D1457" i="28"/>
  <c r="B1457" i="28"/>
  <c r="A1457" i="28"/>
  <c r="F1456" i="28"/>
  <c r="D1456" i="28"/>
  <c r="B1456" i="28"/>
  <c r="A1456" i="28"/>
  <c r="F1455" i="28"/>
  <c r="D1455" i="28"/>
  <c r="B1455" i="28"/>
  <c r="A1455" i="28"/>
  <c r="F1454" i="28"/>
  <c r="D1454" i="28"/>
  <c r="B1454" i="28"/>
  <c r="A1454" i="28"/>
  <c r="F1453" i="28"/>
  <c r="D1453" i="28"/>
  <c r="B1453" i="28"/>
  <c r="A1453" i="28"/>
  <c r="F1452" i="28"/>
  <c r="D1452" i="28"/>
  <c r="B1452" i="28"/>
  <c r="A1452" i="28"/>
  <c r="F1451" i="28"/>
  <c r="D1451" i="28"/>
  <c r="B1451" i="28"/>
  <c r="A1451" i="28"/>
  <c r="F1450" i="28"/>
  <c r="D1450" i="28"/>
  <c r="B1450" i="28"/>
  <c r="A1450" i="28"/>
  <c r="F1449" i="28"/>
  <c r="D1449" i="28"/>
  <c r="B1449" i="28"/>
  <c r="A1449" i="28"/>
  <c r="F1448" i="28"/>
  <c r="D1448" i="28"/>
  <c r="B1448" i="28"/>
  <c r="A1448" i="28"/>
  <c r="F1447" i="28"/>
  <c r="D1447" i="28"/>
  <c r="B1447" i="28"/>
  <c r="A1447" i="28"/>
  <c r="F1446" i="28"/>
  <c r="D1446" i="28"/>
  <c r="B1446" i="28"/>
  <c r="A1446" i="28"/>
  <c r="F1445" i="28"/>
  <c r="D1445" i="28"/>
  <c r="B1445" i="28"/>
  <c r="A1445" i="28"/>
  <c r="F1444" i="28"/>
  <c r="D1444" i="28"/>
  <c r="B1444" i="28"/>
  <c r="A1444" i="28"/>
  <c r="F1443" i="28"/>
  <c r="D1443" i="28"/>
  <c r="B1443" i="28"/>
  <c r="A1443" i="28"/>
  <c r="F1442" i="28"/>
  <c r="D1442" i="28"/>
  <c r="B1442" i="28"/>
  <c r="A1442" i="28"/>
  <c r="F1441" i="28"/>
  <c r="D1441" i="28"/>
  <c r="B1441" i="28"/>
  <c r="A1441" i="28"/>
  <c r="F1440" i="28"/>
  <c r="D1440" i="28"/>
  <c r="B1440" i="28"/>
  <c r="A1440" i="28"/>
  <c r="F1439" i="28"/>
  <c r="D1439" i="28"/>
  <c r="B1439" i="28"/>
  <c r="A1439" i="28"/>
  <c r="F1438" i="28"/>
  <c r="D1438" i="28"/>
  <c r="B1438" i="28"/>
  <c r="A1438" i="28"/>
  <c r="F1437" i="28"/>
  <c r="D1437" i="28"/>
  <c r="B1437" i="28"/>
  <c r="A1437" i="28"/>
  <c r="F1436" i="28"/>
  <c r="D1436" i="28"/>
  <c r="B1436" i="28"/>
  <c r="A1436" i="28"/>
  <c r="F1435" i="28"/>
  <c r="D1435" i="28"/>
  <c r="B1435" i="28"/>
  <c r="A1435" i="28"/>
  <c r="F1434" i="28"/>
  <c r="D1434" i="28"/>
  <c r="B1434" i="28"/>
  <c r="A1434" i="28"/>
  <c r="F1433" i="28"/>
  <c r="D1433" i="28"/>
  <c r="B1433" i="28"/>
  <c r="A1433" i="28"/>
  <c r="F1432" i="28"/>
  <c r="D1432" i="28"/>
  <c r="B1432" i="28"/>
  <c r="A1432" i="28"/>
  <c r="F1431" i="28"/>
  <c r="D1431" i="28"/>
  <c r="B1431" i="28"/>
  <c r="A1431" i="28"/>
  <c r="F1430" i="28"/>
  <c r="D1430" i="28"/>
  <c r="B1430" i="28"/>
  <c r="A1430" i="28"/>
  <c r="F1429" i="28"/>
  <c r="D1429" i="28"/>
  <c r="B1429" i="28"/>
  <c r="A1429" i="28"/>
  <c r="F1428" i="28"/>
  <c r="D1428" i="28"/>
  <c r="B1428" i="28"/>
  <c r="A1428" i="28"/>
  <c r="F1427" i="28"/>
  <c r="D1427" i="28"/>
  <c r="B1427" i="28"/>
  <c r="A1427" i="28"/>
  <c r="F1426" i="28"/>
  <c r="D1426" i="28"/>
  <c r="B1426" i="28"/>
  <c r="A1426" i="28"/>
  <c r="F1425" i="28"/>
  <c r="D1425" i="28"/>
  <c r="B1425" i="28"/>
  <c r="A1425" i="28"/>
  <c r="F1424" i="28"/>
  <c r="D1424" i="28"/>
  <c r="B1424" i="28"/>
  <c r="A1424" i="28"/>
  <c r="F1423" i="28"/>
  <c r="D1423" i="28"/>
  <c r="B1423" i="28"/>
  <c r="A1423" i="28"/>
  <c r="F1422" i="28"/>
  <c r="D1422" i="28"/>
  <c r="B1422" i="28"/>
  <c r="A1422" i="28"/>
  <c r="F1421" i="28"/>
  <c r="D1421" i="28"/>
  <c r="B1421" i="28"/>
  <c r="A1421" i="28"/>
  <c r="F1420" i="28"/>
  <c r="D1420" i="28"/>
  <c r="B1420" i="28"/>
  <c r="A1420" i="28"/>
  <c r="F1419" i="28"/>
  <c r="D1419" i="28"/>
  <c r="B1419" i="28"/>
  <c r="A1419" i="28"/>
  <c r="F1418" i="28"/>
  <c r="D1418" i="28"/>
  <c r="B1418" i="28"/>
  <c r="A1418" i="28"/>
  <c r="F1417" i="28"/>
  <c r="D1417" i="28"/>
  <c r="B1417" i="28"/>
  <c r="A1417" i="28"/>
  <c r="F1416" i="28"/>
  <c r="D1416" i="28"/>
  <c r="B1416" i="28"/>
  <c r="A1416" i="28"/>
  <c r="F1415" i="28"/>
  <c r="D1415" i="28"/>
  <c r="B1415" i="28"/>
  <c r="A1415" i="28"/>
  <c r="F1414" i="28"/>
  <c r="D1414" i="28"/>
  <c r="B1414" i="28"/>
  <c r="A1414" i="28"/>
  <c r="F1413" i="28"/>
  <c r="D1413" i="28"/>
  <c r="B1413" i="28"/>
  <c r="A1413" i="28"/>
  <c r="F1412" i="28"/>
  <c r="D1412" i="28"/>
  <c r="B1412" i="28"/>
  <c r="A1412" i="28"/>
  <c r="F1411" i="28"/>
  <c r="D1411" i="28"/>
  <c r="B1411" i="28"/>
  <c r="A1411" i="28"/>
  <c r="F1410" i="28"/>
  <c r="D1410" i="28"/>
  <c r="B1410" i="28"/>
  <c r="A1410" i="28"/>
  <c r="F1409" i="28"/>
  <c r="D1409" i="28"/>
  <c r="B1409" i="28"/>
  <c r="A1409" i="28"/>
  <c r="F1408" i="28"/>
  <c r="D1408" i="28"/>
  <c r="B1408" i="28"/>
  <c r="A1408" i="28"/>
  <c r="F1407" i="28"/>
  <c r="D1407" i="28"/>
  <c r="B1407" i="28"/>
  <c r="A1407" i="28"/>
  <c r="F1406" i="28"/>
  <c r="D1406" i="28"/>
  <c r="B1406" i="28"/>
  <c r="A1406" i="28"/>
  <c r="F1405" i="28"/>
  <c r="D1405" i="28"/>
  <c r="B1405" i="28"/>
  <c r="A1405" i="28"/>
  <c r="F1404" i="28"/>
  <c r="D1404" i="28"/>
  <c r="B1404" i="28"/>
  <c r="A1404" i="28"/>
  <c r="F1403" i="28"/>
  <c r="D1403" i="28"/>
  <c r="B1403" i="28"/>
  <c r="A1403" i="28"/>
  <c r="F1402" i="28"/>
  <c r="D1402" i="28"/>
  <c r="B1402" i="28"/>
  <c r="A1402" i="28"/>
  <c r="F1401" i="28"/>
  <c r="D1401" i="28"/>
  <c r="B1401" i="28"/>
  <c r="A1401" i="28"/>
  <c r="F1400" i="28"/>
  <c r="D1400" i="28"/>
  <c r="B1400" i="28"/>
  <c r="A1400" i="28"/>
  <c r="F1399" i="28"/>
  <c r="D1399" i="28"/>
  <c r="B1399" i="28"/>
  <c r="A1399" i="28"/>
  <c r="F1398" i="28"/>
  <c r="D1398" i="28"/>
  <c r="B1398" i="28"/>
  <c r="A1398" i="28"/>
  <c r="F1397" i="28"/>
  <c r="D1397" i="28"/>
  <c r="B1397" i="28"/>
  <c r="A1397" i="28"/>
  <c r="F1396" i="28"/>
  <c r="D1396" i="28"/>
  <c r="B1396" i="28"/>
  <c r="A1396" i="28"/>
  <c r="F1395" i="28"/>
  <c r="D1395" i="28"/>
  <c r="B1395" i="28"/>
  <c r="A1395" i="28"/>
  <c r="F1394" i="28"/>
  <c r="D1394" i="28"/>
  <c r="B1394" i="28"/>
  <c r="A1394" i="28"/>
  <c r="F1393" i="28"/>
  <c r="D1393" i="28"/>
  <c r="B1393" i="28"/>
  <c r="A1393" i="28"/>
  <c r="F1392" i="28"/>
  <c r="D1392" i="28"/>
  <c r="B1392" i="28"/>
  <c r="A1392" i="28"/>
  <c r="F1391" i="28"/>
  <c r="D1391" i="28"/>
  <c r="B1391" i="28"/>
  <c r="A1391" i="28"/>
  <c r="F1390" i="28"/>
  <c r="D1390" i="28"/>
  <c r="B1390" i="28"/>
  <c r="A1390" i="28"/>
  <c r="F1389" i="28"/>
  <c r="D1389" i="28"/>
  <c r="B1389" i="28"/>
  <c r="A1389" i="28"/>
  <c r="F1388" i="28"/>
  <c r="D1388" i="28"/>
  <c r="B1388" i="28"/>
  <c r="A1388" i="28"/>
  <c r="F1387" i="28"/>
  <c r="D1387" i="28"/>
  <c r="B1387" i="28"/>
  <c r="A1387" i="28"/>
  <c r="F1386" i="28"/>
  <c r="D1386" i="28"/>
  <c r="B1386" i="28"/>
  <c r="A1386" i="28"/>
  <c r="F1385" i="28"/>
  <c r="D1385" i="28"/>
  <c r="B1385" i="28"/>
  <c r="A1385" i="28"/>
  <c r="F1384" i="28"/>
  <c r="D1384" i="28"/>
  <c r="B1384" i="28"/>
  <c r="A1384" i="28"/>
  <c r="F1383" i="28"/>
  <c r="D1383" i="28"/>
  <c r="B1383" i="28"/>
  <c r="A1383" i="28"/>
  <c r="F1382" i="28"/>
  <c r="D1382" i="28"/>
  <c r="B1382" i="28"/>
  <c r="A1382" i="28"/>
  <c r="F1381" i="28"/>
  <c r="D1381" i="28"/>
  <c r="B1381" i="28"/>
  <c r="A1381" i="28"/>
  <c r="F1380" i="28"/>
  <c r="D1380" i="28"/>
  <c r="B1380" i="28"/>
  <c r="A1380" i="28"/>
  <c r="F1379" i="28"/>
  <c r="D1379" i="28"/>
  <c r="B1379" i="28"/>
  <c r="A1379" i="28"/>
  <c r="F1378" i="28"/>
  <c r="D1378" i="28"/>
  <c r="B1378" i="28"/>
  <c r="A1378" i="28"/>
  <c r="F1377" i="28"/>
  <c r="D1377" i="28"/>
  <c r="B1377" i="28"/>
  <c r="A1377" i="28"/>
  <c r="F1376" i="28"/>
  <c r="D1376" i="28"/>
  <c r="B1376" i="28"/>
  <c r="A1376" i="28"/>
  <c r="F1375" i="28"/>
  <c r="D1375" i="28"/>
  <c r="B1375" i="28"/>
  <c r="A1375" i="28"/>
  <c r="F1374" i="28"/>
  <c r="D1374" i="28"/>
  <c r="B1374" i="28"/>
  <c r="A1374" i="28"/>
  <c r="F1373" i="28"/>
  <c r="D1373" i="28"/>
  <c r="B1373" i="28"/>
  <c r="A1373" i="28"/>
  <c r="F1372" i="28"/>
  <c r="D1372" i="28"/>
  <c r="B1372" i="28"/>
  <c r="A1372" i="28"/>
  <c r="F1371" i="28"/>
  <c r="D1371" i="28"/>
  <c r="B1371" i="28"/>
  <c r="A1371" i="28"/>
  <c r="F1370" i="28"/>
  <c r="D1370" i="28"/>
  <c r="B1370" i="28"/>
  <c r="A1370" i="28"/>
  <c r="F1369" i="28"/>
  <c r="D1369" i="28"/>
  <c r="B1369" i="28"/>
  <c r="A1369" i="28"/>
  <c r="F1368" i="28"/>
  <c r="D1368" i="28"/>
  <c r="B1368" i="28"/>
  <c r="A1368" i="28"/>
  <c r="F1367" i="28"/>
  <c r="D1367" i="28"/>
  <c r="B1367" i="28"/>
  <c r="A1367" i="28"/>
  <c r="F1366" i="28"/>
  <c r="D1366" i="28"/>
  <c r="B1366" i="28"/>
  <c r="A1366" i="28"/>
  <c r="F1365" i="28"/>
  <c r="D1365" i="28"/>
  <c r="B1365" i="28"/>
  <c r="A1365" i="28"/>
  <c r="F1364" i="28"/>
  <c r="D1364" i="28"/>
  <c r="B1364" i="28"/>
  <c r="A1364" i="28"/>
  <c r="F1363" i="28"/>
  <c r="D1363" i="28"/>
  <c r="B1363" i="28"/>
  <c r="A1363" i="28"/>
  <c r="F1362" i="28"/>
  <c r="D1362" i="28"/>
  <c r="B1362" i="28"/>
  <c r="A1362" i="28"/>
  <c r="F1361" i="28"/>
  <c r="D1361" i="28"/>
  <c r="B1361" i="28"/>
  <c r="A1361" i="28"/>
  <c r="F1360" i="28"/>
  <c r="D1360" i="28"/>
  <c r="B1360" i="28"/>
  <c r="A1360" i="28"/>
  <c r="F1359" i="28"/>
  <c r="D1359" i="28"/>
  <c r="B1359" i="28"/>
  <c r="A1359" i="28"/>
  <c r="F1358" i="28"/>
  <c r="D1358" i="28"/>
  <c r="B1358" i="28"/>
  <c r="A1358" i="28"/>
  <c r="F1357" i="28"/>
  <c r="D1357" i="28"/>
  <c r="B1357" i="28"/>
  <c r="A1357" i="28"/>
  <c r="F1356" i="28"/>
  <c r="D1356" i="28"/>
  <c r="B1356" i="28"/>
  <c r="A1356" i="28"/>
  <c r="F1355" i="28"/>
  <c r="D1355" i="28"/>
  <c r="B1355" i="28"/>
  <c r="A1355" i="28"/>
  <c r="F1354" i="28"/>
  <c r="D1354" i="28"/>
  <c r="B1354" i="28"/>
  <c r="A1354" i="28"/>
  <c r="F1353" i="28"/>
  <c r="D1353" i="28"/>
  <c r="B1353" i="28"/>
  <c r="A1353" i="28"/>
  <c r="F1352" i="28"/>
  <c r="D1352" i="28"/>
  <c r="B1352" i="28"/>
  <c r="A1352" i="28"/>
  <c r="F1351" i="28"/>
  <c r="D1351" i="28"/>
  <c r="B1351" i="28"/>
  <c r="A1351" i="28"/>
  <c r="F1350" i="28"/>
  <c r="D1350" i="28"/>
  <c r="B1350" i="28"/>
  <c r="A1350" i="28"/>
  <c r="F1349" i="28"/>
  <c r="D1349" i="28"/>
  <c r="B1349" i="28"/>
  <c r="A1349" i="28"/>
  <c r="F1348" i="28"/>
  <c r="D1348" i="28"/>
  <c r="B1348" i="28"/>
  <c r="A1348" i="28"/>
  <c r="F1347" i="28"/>
  <c r="D1347" i="28"/>
  <c r="B1347" i="28"/>
  <c r="A1347" i="28"/>
  <c r="F1346" i="28"/>
  <c r="D1346" i="28"/>
  <c r="B1346" i="28"/>
  <c r="A1346" i="28"/>
  <c r="F1345" i="28"/>
  <c r="D1345" i="28"/>
  <c r="B1345" i="28"/>
  <c r="A1345" i="28"/>
  <c r="F1344" i="28"/>
  <c r="D1344" i="28"/>
  <c r="B1344" i="28"/>
  <c r="A1344" i="28"/>
  <c r="F1343" i="28"/>
  <c r="D1343" i="28"/>
  <c r="B1343" i="28"/>
  <c r="A1343" i="28"/>
  <c r="F1342" i="28"/>
  <c r="D1342" i="28"/>
  <c r="B1342" i="28"/>
  <c r="A1342" i="28"/>
  <c r="F1341" i="28"/>
  <c r="D1341" i="28"/>
  <c r="B1341" i="28"/>
  <c r="A1341" i="28"/>
  <c r="F1340" i="28"/>
  <c r="D1340" i="28"/>
  <c r="B1340" i="28"/>
  <c r="A1340" i="28"/>
  <c r="F1339" i="28"/>
  <c r="D1339" i="28"/>
  <c r="B1339" i="28"/>
  <c r="A1339" i="28"/>
  <c r="F1338" i="28"/>
  <c r="D1338" i="28"/>
  <c r="B1338" i="28"/>
  <c r="A1338" i="28"/>
  <c r="F1337" i="28"/>
  <c r="D1337" i="28"/>
  <c r="B1337" i="28"/>
  <c r="A1337" i="28"/>
  <c r="F1336" i="28"/>
  <c r="D1336" i="28"/>
  <c r="B1336" i="28"/>
  <c r="A1336" i="28"/>
  <c r="F1335" i="28"/>
  <c r="D1335" i="28"/>
  <c r="B1335" i="28"/>
  <c r="A1335" i="28"/>
  <c r="F1334" i="28"/>
  <c r="D1334" i="28"/>
  <c r="B1334" i="28"/>
  <c r="A1334" i="28"/>
  <c r="F1333" i="28"/>
  <c r="D1333" i="28"/>
  <c r="B1333" i="28"/>
  <c r="A1333" i="28"/>
  <c r="F1332" i="28"/>
  <c r="D1332" i="28"/>
  <c r="B1332" i="28"/>
  <c r="A1332" i="28"/>
  <c r="F1331" i="28"/>
  <c r="D1331" i="28"/>
  <c r="B1331" i="28"/>
  <c r="A1331" i="28"/>
  <c r="F1330" i="28"/>
  <c r="D1330" i="28"/>
  <c r="B1330" i="28"/>
  <c r="A1330" i="28"/>
  <c r="F1329" i="28"/>
  <c r="D1329" i="28"/>
  <c r="B1329" i="28"/>
  <c r="A1329" i="28"/>
  <c r="F1328" i="28"/>
  <c r="D1328" i="28"/>
  <c r="B1328" i="28"/>
  <c r="A1328" i="28"/>
  <c r="F1327" i="28"/>
  <c r="D1327" i="28"/>
  <c r="B1327" i="28"/>
  <c r="A1327" i="28"/>
  <c r="F1326" i="28"/>
  <c r="D1326" i="28"/>
  <c r="B1326" i="28"/>
  <c r="A1326" i="28"/>
  <c r="F1325" i="28"/>
  <c r="D1325" i="28"/>
  <c r="B1325" i="28"/>
  <c r="A1325" i="28"/>
  <c r="F1324" i="28"/>
  <c r="D1324" i="28"/>
  <c r="B1324" i="28"/>
  <c r="A1324" i="28"/>
  <c r="F1323" i="28"/>
  <c r="D1323" i="28"/>
  <c r="B1323" i="28"/>
  <c r="A1323" i="28"/>
  <c r="F1322" i="28"/>
  <c r="D1322" i="28"/>
  <c r="B1322" i="28"/>
  <c r="A1322" i="28"/>
  <c r="F1321" i="28"/>
  <c r="D1321" i="28"/>
  <c r="B1321" i="28"/>
  <c r="A1321" i="28"/>
  <c r="F1320" i="28"/>
  <c r="D1320" i="28"/>
  <c r="B1320" i="28"/>
  <c r="A1320" i="28"/>
  <c r="F1319" i="28"/>
  <c r="D1319" i="28"/>
  <c r="B1319" i="28"/>
  <c r="A1319" i="28"/>
  <c r="F1318" i="28"/>
  <c r="D1318" i="28"/>
  <c r="B1318" i="28"/>
  <c r="A1318" i="28"/>
  <c r="F1317" i="28"/>
  <c r="D1317" i="28"/>
  <c r="B1317" i="28"/>
  <c r="A1317" i="28"/>
  <c r="F1316" i="28"/>
  <c r="D1316" i="28"/>
  <c r="B1316" i="28"/>
  <c r="A1316" i="28"/>
  <c r="F1315" i="28"/>
  <c r="D1315" i="28"/>
  <c r="B1315" i="28"/>
  <c r="A1315" i="28"/>
  <c r="F1314" i="28"/>
  <c r="D1314" i="28"/>
  <c r="B1314" i="28"/>
  <c r="A1314" i="28"/>
  <c r="F1313" i="28"/>
  <c r="D1313" i="28"/>
  <c r="B1313" i="28"/>
  <c r="A1313" i="28"/>
  <c r="F1312" i="28"/>
  <c r="D1312" i="28"/>
  <c r="B1312" i="28"/>
  <c r="A1312" i="28"/>
  <c r="F1311" i="28"/>
  <c r="D1311" i="28"/>
  <c r="B1311" i="28"/>
  <c r="A1311" i="28"/>
  <c r="F1310" i="28"/>
  <c r="D1310" i="28"/>
  <c r="B1310" i="28"/>
  <c r="A1310" i="28"/>
  <c r="F1309" i="28"/>
  <c r="D1309" i="28"/>
  <c r="B1309" i="28"/>
  <c r="A1309" i="28"/>
  <c r="F1308" i="28"/>
  <c r="D1308" i="28"/>
  <c r="B1308" i="28"/>
  <c r="A1308" i="28"/>
  <c r="F1307" i="28"/>
  <c r="D1307" i="28"/>
  <c r="B1307" i="28"/>
  <c r="A1307" i="28"/>
  <c r="F1306" i="28"/>
  <c r="D1306" i="28"/>
  <c r="B1306" i="28"/>
  <c r="A1306" i="28"/>
  <c r="F1305" i="28"/>
  <c r="D1305" i="28"/>
  <c r="B1305" i="28"/>
  <c r="A1305" i="28"/>
  <c r="F1304" i="28"/>
  <c r="D1304" i="28"/>
  <c r="B1304" i="28"/>
  <c r="A1304" i="28"/>
  <c r="F1303" i="28"/>
  <c r="D1303" i="28"/>
  <c r="B1303" i="28"/>
  <c r="A1303" i="28"/>
  <c r="F1302" i="28"/>
  <c r="D1302" i="28"/>
  <c r="B1302" i="28"/>
  <c r="A1302" i="28"/>
  <c r="F1301" i="28"/>
  <c r="D1301" i="28"/>
  <c r="B1301" i="28"/>
  <c r="A1301" i="28"/>
  <c r="F1300" i="28"/>
  <c r="D1300" i="28"/>
  <c r="B1300" i="28"/>
  <c r="A1300" i="28"/>
  <c r="F1299" i="28"/>
  <c r="D1299" i="28"/>
  <c r="B1299" i="28"/>
  <c r="A1299" i="28"/>
  <c r="F1298" i="28"/>
  <c r="D1298" i="28"/>
  <c r="B1298" i="28"/>
  <c r="A1298" i="28"/>
  <c r="F1297" i="28"/>
  <c r="D1297" i="28"/>
  <c r="B1297" i="28"/>
  <c r="A1297" i="28"/>
  <c r="F1296" i="28"/>
  <c r="D1296" i="28"/>
  <c r="B1296" i="28"/>
  <c r="A1296" i="28"/>
  <c r="F1295" i="28"/>
  <c r="D1295" i="28"/>
  <c r="B1295" i="28"/>
  <c r="A1295" i="28"/>
  <c r="F1294" i="28"/>
  <c r="D1294" i="28"/>
  <c r="B1294" i="28"/>
  <c r="A1294" i="28"/>
  <c r="F1293" i="28"/>
  <c r="D1293" i="28"/>
  <c r="B1293" i="28"/>
  <c r="A1293" i="28"/>
  <c r="F1292" i="28"/>
  <c r="D1292" i="28"/>
  <c r="B1292" i="28"/>
  <c r="A1292" i="28"/>
  <c r="F1291" i="28"/>
  <c r="D1291" i="28"/>
  <c r="B1291" i="28"/>
  <c r="A1291" i="28"/>
  <c r="F1290" i="28"/>
  <c r="D1290" i="28"/>
  <c r="B1290" i="28"/>
  <c r="A1290" i="28"/>
  <c r="F1289" i="28"/>
  <c r="D1289" i="28"/>
  <c r="B1289" i="28"/>
  <c r="A1289" i="28"/>
  <c r="F1288" i="28"/>
  <c r="D1288" i="28"/>
  <c r="B1288" i="28"/>
  <c r="A1288" i="28"/>
  <c r="F1287" i="28"/>
  <c r="D1287" i="28"/>
  <c r="B1287" i="28"/>
  <c r="A1287" i="28"/>
  <c r="F1286" i="28"/>
  <c r="D1286" i="28"/>
  <c r="B1286" i="28"/>
  <c r="A1286" i="28"/>
  <c r="F1285" i="28"/>
  <c r="D1285" i="28"/>
  <c r="B1285" i="28"/>
  <c r="A1285" i="28"/>
  <c r="F1284" i="28"/>
  <c r="D1284" i="28"/>
  <c r="B1284" i="28"/>
  <c r="A1284" i="28"/>
  <c r="F1283" i="28"/>
  <c r="D1283" i="28"/>
  <c r="B1283" i="28"/>
  <c r="A1283" i="28"/>
  <c r="F1282" i="28"/>
  <c r="D1282" i="28"/>
  <c r="B1282" i="28"/>
  <c r="A1282" i="28"/>
  <c r="F1281" i="28"/>
  <c r="D1281" i="28"/>
  <c r="B1281" i="28"/>
  <c r="A1281" i="28"/>
  <c r="F1280" i="28"/>
  <c r="D1280" i="28"/>
  <c r="B1280" i="28"/>
  <c r="A1280" i="28"/>
  <c r="F1279" i="28"/>
  <c r="D1279" i="28"/>
  <c r="B1279" i="28"/>
  <c r="A1279" i="28"/>
  <c r="F1278" i="28"/>
  <c r="D1278" i="28"/>
  <c r="B1278" i="28"/>
  <c r="A1278" i="28"/>
  <c r="F1277" i="28"/>
  <c r="D1277" i="28"/>
  <c r="B1277" i="28"/>
  <c r="A1277" i="28"/>
  <c r="F1276" i="28"/>
  <c r="D1276" i="28"/>
  <c r="B1276" i="28"/>
  <c r="A1276" i="28"/>
  <c r="F1275" i="28"/>
  <c r="D1275" i="28"/>
  <c r="B1275" i="28"/>
  <c r="A1275" i="28"/>
  <c r="F1274" i="28"/>
  <c r="D1274" i="28"/>
  <c r="B1274" i="28"/>
  <c r="A1274" i="28"/>
  <c r="F1273" i="28"/>
  <c r="D1273" i="28"/>
  <c r="B1273" i="28"/>
  <c r="A1273" i="28"/>
  <c r="F1272" i="28"/>
  <c r="D1272" i="28"/>
  <c r="B1272" i="28"/>
  <c r="A1272" i="28"/>
  <c r="F1271" i="28"/>
  <c r="D1271" i="28"/>
  <c r="B1271" i="28"/>
  <c r="A1271" i="28"/>
  <c r="F1270" i="28"/>
  <c r="D1270" i="28"/>
  <c r="B1270" i="28"/>
  <c r="A1270" i="28"/>
  <c r="F1269" i="28"/>
  <c r="D1269" i="28"/>
  <c r="B1269" i="28"/>
  <c r="A1269" i="28"/>
  <c r="F1268" i="28"/>
  <c r="D1268" i="28"/>
  <c r="B1268" i="28"/>
  <c r="A1268" i="28"/>
  <c r="F1267" i="28"/>
  <c r="D1267" i="28"/>
  <c r="B1267" i="28"/>
  <c r="A1267" i="28"/>
  <c r="F1266" i="28"/>
  <c r="D1266" i="28"/>
  <c r="B1266" i="28"/>
  <c r="A1266" i="28"/>
  <c r="F1265" i="28"/>
  <c r="D1265" i="28"/>
  <c r="B1265" i="28"/>
  <c r="A1265" i="28"/>
  <c r="F1264" i="28"/>
  <c r="D1264" i="28"/>
  <c r="B1264" i="28"/>
  <c r="A1264" i="28"/>
  <c r="F1263" i="28"/>
  <c r="D1263" i="28"/>
  <c r="B1263" i="28"/>
  <c r="A1263" i="28"/>
  <c r="F1262" i="28"/>
  <c r="D1262" i="28"/>
  <c r="B1262" i="28"/>
  <c r="A1262" i="28"/>
  <c r="F1261" i="28"/>
  <c r="D1261" i="28"/>
  <c r="B1261" i="28"/>
  <c r="A1261" i="28"/>
  <c r="F1260" i="28"/>
  <c r="D1260" i="28"/>
  <c r="B1260" i="28"/>
  <c r="A1260" i="28"/>
  <c r="F1259" i="28"/>
  <c r="D1259" i="28"/>
  <c r="B1259" i="28"/>
  <c r="A1259" i="28"/>
  <c r="F1258" i="28"/>
  <c r="D1258" i="28"/>
  <c r="B1258" i="28"/>
  <c r="A1258" i="28"/>
  <c r="F1257" i="28"/>
  <c r="D1257" i="28"/>
  <c r="B1257" i="28"/>
  <c r="A1257" i="28"/>
  <c r="F1256" i="28"/>
  <c r="D1256" i="28"/>
  <c r="B1256" i="28"/>
  <c r="A1256" i="28"/>
  <c r="F1255" i="28"/>
  <c r="D1255" i="28"/>
  <c r="B1255" i="28"/>
  <c r="A1255" i="28"/>
  <c r="F1254" i="28"/>
  <c r="D1254" i="28"/>
  <c r="B1254" i="28"/>
  <c r="A1254" i="28"/>
  <c r="F1253" i="28"/>
  <c r="D1253" i="28"/>
  <c r="B1253" i="28"/>
  <c r="A1253" i="28"/>
  <c r="F1252" i="28"/>
  <c r="D1252" i="28"/>
  <c r="B1252" i="28"/>
  <c r="A1252" i="28"/>
  <c r="F1251" i="28"/>
  <c r="D1251" i="28"/>
  <c r="B1251" i="28"/>
  <c r="A1251" i="28"/>
  <c r="F1250" i="28"/>
  <c r="D1250" i="28"/>
  <c r="B1250" i="28"/>
  <c r="A1250" i="28"/>
  <c r="F1249" i="28"/>
  <c r="D1249" i="28"/>
  <c r="B1249" i="28"/>
  <c r="A1249" i="28"/>
  <c r="F1248" i="28"/>
  <c r="D1248" i="28"/>
  <c r="B1248" i="28"/>
  <c r="A1248" i="28"/>
  <c r="F1247" i="28"/>
  <c r="D1247" i="28"/>
  <c r="B1247" i="28"/>
  <c r="A1247" i="28"/>
  <c r="F1246" i="28"/>
  <c r="D1246" i="28"/>
  <c r="B1246" i="28"/>
  <c r="A1246" i="28"/>
  <c r="F1245" i="28"/>
  <c r="D1245" i="28"/>
  <c r="B1245" i="28"/>
  <c r="A1245" i="28"/>
  <c r="F1244" i="28"/>
  <c r="D1244" i="28"/>
  <c r="B1244" i="28"/>
  <c r="A1244" i="28"/>
  <c r="F1243" i="28"/>
  <c r="D1243" i="28"/>
  <c r="B1243" i="28"/>
  <c r="A1243" i="28"/>
  <c r="F1242" i="28"/>
  <c r="D1242" i="28"/>
  <c r="B1242" i="28"/>
  <c r="A1242" i="28"/>
  <c r="F1241" i="28"/>
  <c r="D1241" i="28"/>
  <c r="B1241" i="28"/>
  <c r="A1241" i="28"/>
  <c r="F1240" i="28"/>
  <c r="D1240" i="28"/>
  <c r="B1240" i="28"/>
  <c r="A1240" i="28"/>
  <c r="F1239" i="28"/>
  <c r="D1239" i="28"/>
  <c r="B1239" i="28"/>
  <c r="A1239" i="28"/>
  <c r="F1238" i="28"/>
  <c r="D1238" i="28"/>
  <c r="B1238" i="28"/>
  <c r="A1238" i="28"/>
  <c r="F1237" i="28"/>
  <c r="D1237" i="28"/>
  <c r="B1237" i="28"/>
  <c r="A1237" i="28"/>
  <c r="F1236" i="28"/>
  <c r="D1236" i="28"/>
  <c r="B1236" i="28"/>
  <c r="A1236" i="28"/>
  <c r="F1235" i="28"/>
  <c r="D1235" i="28"/>
  <c r="B1235" i="28"/>
  <c r="A1235" i="28"/>
  <c r="F1234" i="28"/>
  <c r="D1234" i="28"/>
  <c r="B1234" i="28"/>
  <c r="A1234" i="28"/>
  <c r="F1233" i="28"/>
  <c r="D1233" i="28"/>
  <c r="B1233" i="28"/>
  <c r="A1233" i="28"/>
  <c r="F1232" i="28"/>
  <c r="D1232" i="28"/>
  <c r="B1232" i="28"/>
  <c r="A1232" i="28"/>
  <c r="F1231" i="28"/>
  <c r="D1231" i="28"/>
  <c r="B1231" i="28"/>
  <c r="A1231" i="28"/>
  <c r="F1230" i="28"/>
  <c r="D1230" i="28"/>
  <c r="B1230" i="28"/>
  <c r="A1230" i="28"/>
  <c r="F1229" i="28"/>
  <c r="D1229" i="28"/>
  <c r="B1229" i="28"/>
  <c r="A1229" i="28"/>
  <c r="F1228" i="28"/>
  <c r="D1228" i="28"/>
  <c r="B1228" i="28"/>
  <c r="A1228" i="28"/>
  <c r="F1227" i="28"/>
  <c r="D1227" i="28"/>
  <c r="B1227" i="28"/>
  <c r="A1227" i="28"/>
  <c r="F1226" i="28"/>
  <c r="D1226" i="28"/>
  <c r="B1226" i="28"/>
  <c r="A1226" i="28"/>
  <c r="F1225" i="28"/>
  <c r="D1225" i="28"/>
  <c r="B1225" i="28"/>
  <c r="A1225" i="28"/>
  <c r="F1224" i="28"/>
  <c r="D1224" i="28"/>
  <c r="B1224" i="28"/>
  <c r="A1224" i="28"/>
  <c r="F1223" i="28"/>
  <c r="D1223" i="28"/>
  <c r="B1223" i="28"/>
  <c r="A1223" i="28"/>
  <c r="F1222" i="28"/>
  <c r="D1222" i="28"/>
  <c r="B1222" i="28"/>
  <c r="A1222" i="28"/>
  <c r="F1221" i="28"/>
  <c r="D1221" i="28"/>
  <c r="B1221" i="28"/>
  <c r="A1221" i="28"/>
  <c r="F1220" i="28"/>
  <c r="D1220" i="28"/>
  <c r="B1220" i="28"/>
  <c r="A1220" i="28"/>
  <c r="F1219" i="28"/>
  <c r="D1219" i="28"/>
  <c r="B1219" i="28"/>
  <c r="A1219" i="28"/>
  <c r="F1218" i="28"/>
  <c r="D1218" i="28"/>
  <c r="B1218" i="28"/>
  <c r="A1218" i="28"/>
  <c r="F1217" i="28"/>
  <c r="D1217" i="28"/>
  <c r="B1217" i="28"/>
  <c r="A1217" i="28"/>
  <c r="F1216" i="28"/>
  <c r="D1216" i="28"/>
  <c r="B1216" i="28"/>
  <c r="A1216" i="28"/>
  <c r="F1215" i="28"/>
  <c r="D1215" i="28"/>
  <c r="B1215" i="28"/>
  <c r="A1215" i="28"/>
  <c r="F1214" i="28"/>
  <c r="D1214" i="28"/>
  <c r="B1214" i="28"/>
  <c r="A1214" i="28"/>
  <c r="F1213" i="28"/>
  <c r="D1213" i="28"/>
  <c r="B1213" i="28"/>
  <c r="A1213" i="28"/>
  <c r="F1212" i="28"/>
  <c r="D1212" i="28"/>
  <c r="B1212" i="28"/>
  <c r="A1212" i="28"/>
  <c r="F1211" i="28"/>
  <c r="D1211" i="28"/>
  <c r="B1211" i="28"/>
  <c r="A1211" i="28"/>
  <c r="F1210" i="28"/>
  <c r="D1210" i="28"/>
  <c r="B1210" i="28"/>
  <c r="A1210" i="28"/>
  <c r="F1209" i="28"/>
  <c r="D1209" i="28"/>
  <c r="B1209" i="28"/>
  <c r="A1209" i="28"/>
  <c r="F1208" i="28"/>
  <c r="D1208" i="28"/>
  <c r="B1208" i="28"/>
  <c r="A1208" i="28"/>
  <c r="F1207" i="28"/>
  <c r="D1207" i="28"/>
  <c r="B1207" i="28"/>
  <c r="A1207" i="28"/>
  <c r="F1206" i="28"/>
  <c r="D1206" i="28"/>
  <c r="B1206" i="28"/>
  <c r="A1206" i="28"/>
  <c r="F1205" i="28"/>
  <c r="D1205" i="28"/>
  <c r="B1205" i="28"/>
  <c r="A1205" i="28"/>
  <c r="F1204" i="28"/>
  <c r="D1204" i="28"/>
  <c r="B1204" i="28"/>
  <c r="A1204" i="28"/>
  <c r="F1203" i="28"/>
  <c r="D1203" i="28"/>
  <c r="B1203" i="28"/>
  <c r="A1203" i="28"/>
  <c r="F1202" i="28"/>
  <c r="D1202" i="28"/>
  <c r="B1202" i="28"/>
  <c r="A1202" i="28"/>
  <c r="F1201" i="28"/>
  <c r="D1201" i="28"/>
  <c r="B1201" i="28"/>
  <c r="A1201" i="28"/>
  <c r="F1200" i="28"/>
  <c r="D1200" i="28"/>
  <c r="B1200" i="28"/>
  <c r="A1200" i="28"/>
  <c r="F1199" i="28"/>
  <c r="D1199" i="28"/>
  <c r="B1199" i="28"/>
  <c r="A1199" i="28"/>
  <c r="F1198" i="28"/>
  <c r="D1198" i="28"/>
  <c r="B1198" i="28"/>
  <c r="A1198" i="28"/>
  <c r="F1197" i="28"/>
  <c r="D1197" i="28"/>
  <c r="B1197" i="28"/>
  <c r="A1197" i="28"/>
  <c r="F1196" i="28"/>
  <c r="D1196" i="28"/>
  <c r="B1196" i="28"/>
  <c r="A1196" i="28"/>
  <c r="F1195" i="28"/>
  <c r="D1195" i="28"/>
  <c r="B1195" i="28"/>
  <c r="A1195" i="28"/>
  <c r="F1194" i="28"/>
  <c r="D1194" i="28"/>
  <c r="B1194" i="28"/>
  <c r="A1194" i="28"/>
  <c r="F1193" i="28"/>
  <c r="D1193" i="28"/>
  <c r="B1193" i="28"/>
  <c r="A1193" i="28"/>
  <c r="F1192" i="28"/>
  <c r="D1192" i="28"/>
  <c r="B1192" i="28"/>
  <c r="A1192" i="28"/>
  <c r="F1191" i="28"/>
  <c r="D1191" i="28"/>
  <c r="B1191" i="28"/>
  <c r="A1191" i="28"/>
  <c r="F1190" i="28"/>
  <c r="D1190" i="28"/>
  <c r="B1190" i="28"/>
  <c r="A1190" i="28"/>
  <c r="F1189" i="28"/>
  <c r="D1189" i="28"/>
  <c r="B1189" i="28"/>
  <c r="A1189" i="28"/>
  <c r="F1188" i="28"/>
  <c r="D1188" i="28"/>
  <c r="B1188" i="28"/>
  <c r="A1188" i="28"/>
  <c r="F1187" i="28"/>
  <c r="D1187" i="28"/>
  <c r="B1187" i="28"/>
  <c r="A1187" i="28"/>
  <c r="F1186" i="28"/>
  <c r="D1186" i="28"/>
  <c r="B1186" i="28"/>
  <c r="A1186" i="28"/>
  <c r="F1185" i="28"/>
  <c r="D1185" i="28"/>
  <c r="B1185" i="28"/>
  <c r="A1185" i="28"/>
  <c r="F1184" i="28"/>
  <c r="D1184" i="28"/>
  <c r="B1184" i="28"/>
  <c r="A1184" i="28"/>
  <c r="F1183" i="28"/>
  <c r="D1183" i="28"/>
  <c r="B1183" i="28"/>
  <c r="A1183" i="28"/>
  <c r="F1182" i="28"/>
  <c r="D1182" i="28"/>
  <c r="B1182" i="28"/>
  <c r="A1182" i="28"/>
  <c r="F1181" i="28"/>
  <c r="D1181" i="28"/>
  <c r="B1181" i="28"/>
  <c r="A1181" i="28"/>
  <c r="F1180" i="28"/>
  <c r="D1180" i="28"/>
  <c r="B1180" i="28"/>
  <c r="A1180" i="28"/>
  <c r="F1179" i="28"/>
  <c r="D1179" i="28"/>
  <c r="B1179" i="28"/>
  <c r="A1179" i="28"/>
  <c r="F1178" i="28"/>
  <c r="D1178" i="28"/>
  <c r="B1178" i="28"/>
  <c r="A1178" i="28"/>
  <c r="F1177" i="28"/>
  <c r="D1177" i="28"/>
  <c r="B1177" i="28"/>
  <c r="A1177" i="28"/>
  <c r="F1176" i="28"/>
  <c r="D1176" i="28"/>
  <c r="B1176" i="28"/>
  <c r="A1176" i="28"/>
  <c r="F1175" i="28"/>
  <c r="D1175" i="28"/>
  <c r="B1175" i="28"/>
  <c r="A1175" i="28"/>
  <c r="F1174" i="28"/>
  <c r="D1174" i="28"/>
  <c r="B1174" i="28"/>
  <c r="A1174" i="28"/>
  <c r="F1173" i="28"/>
  <c r="D1173" i="28"/>
  <c r="B1173" i="28"/>
  <c r="A1173" i="28"/>
  <c r="F1172" i="28"/>
  <c r="D1172" i="28"/>
  <c r="B1172" i="28"/>
  <c r="A1172" i="28"/>
  <c r="F1171" i="28"/>
  <c r="D1171" i="28"/>
  <c r="B1171" i="28"/>
  <c r="A1171" i="28"/>
  <c r="F1170" i="28"/>
  <c r="D1170" i="28"/>
  <c r="B1170" i="28"/>
  <c r="A1170" i="28"/>
  <c r="F1169" i="28"/>
  <c r="D1169" i="28"/>
  <c r="B1169" i="28"/>
  <c r="A1169" i="28"/>
  <c r="F1168" i="28"/>
  <c r="D1168" i="28"/>
  <c r="B1168" i="28"/>
  <c r="A1168" i="28"/>
  <c r="F1167" i="28"/>
  <c r="D1167" i="28"/>
  <c r="B1167" i="28"/>
  <c r="A1167" i="28"/>
  <c r="F1166" i="28"/>
  <c r="D1166" i="28"/>
  <c r="B1166" i="28"/>
  <c r="A1166" i="28"/>
  <c r="F1165" i="28"/>
  <c r="D1165" i="28"/>
  <c r="B1165" i="28"/>
  <c r="A1165" i="28"/>
  <c r="F1164" i="28"/>
  <c r="D1164" i="28"/>
  <c r="B1164" i="28"/>
  <c r="A1164" i="28"/>
  <c r="F1163" i="28"/>
  <c r="D1163" i="28"/>
  <c r="B1163" i="28"/>
  <c r="A1163" i="28"/>
  <c r="F1162" i="28"/>
  <c r="D1162" i="28"/>
  <c r="B1162" i="28"/>
  <c r="A1162" i="28"/>
  <c r="F1161" i="28"/>
  <c r="D1161" i="28"/>
  <c r="B1161" i="28"/>
  <c r="A1161" i="28"/>
  <c r="F1160" i="28"/>
  <c r="D1160" i="28"/>
  <c r="B1160" i="28"/>
  <c r="A1160" i="28"/>
  <c r="F1159" i="28"/>
  <c r="D1159" i="28"/>
  <c r="B1159" i="28"/>
  <c r="A1159" i="28"/>
  <c r="F1158" i="28"/>
  <c r="D1158" i="28"/>
  <c r="B1158" i="28"/>
  <c r="A1158" i="28"/>
  <c r="F1157" i="28"/>
  <c r="D1157" i="28"/>
  <c r="B1157" i="28"/>
  <c r="A1157" i="28"/>
  <c r="F1156" i="28"/>
  <c r="D1156" i="28"/>
  <c r="B1156" i="28"/>
  <c r="A1156" i="28"/>
  <c r="F1155" i="28"/>
  <c r="D1155" i="28"/>
  <c r="B1155" i="28"/>
  <c r="A1155" i="28"/>
  <c r="F1154" i="28"/>
  <c r="D1154" i="28"/>
  <c r="B1154" i="28"/>
  <c r="A1154" i="28"/>
  <c r="F1153" i="28"/>
  <c r="D1153" i="28"/>
  <c r="B1153" i="28"/>
  <c r="A1153" i="28"/>
  <c r="F1152" i="28"/>
  <c r="D1152" i="28"/>
  <c r="B1152" i="28"/>
  <c r="A1152" i="28"/>
  <c r="F1151" i="28"/>
  <c r="D1151" i="28"/>
  <c r="B1151" i="28"/>
  <c r="A1151" i="28"/>
  <c r="F1150" i="28"/>
  <c r="D1150" i="28"/>
  <c r="B1150" i="28"/>
  <c r="A1150" i="28"/>
  <c r="F1149" i="28"/>
  <c r="D1149" i="28"/>
  <c r="B1149" i="28"/>
  <c r="A1149" i="28"/>
  <c r="F1148" i="28"/>
  <c r="D1148" i="28"/>
  <c r="B1148" i="28"/>
  <c r="A1148" i="28"/>
  <c r="F1147" i="28"/>
  <c r="D1147" i="28"/>
  <c r="B1147" i="28"/>
  <c r="A1147" i="28"/>
  <c r="F1146" i="28"/>
  <c r="D1146" i="28"/>
  <c r="B1146" i="28"/>
  <c r="A1146" i="28"/>
  <c r="F1145" i="28"/>
  <c r="D1145" i="28"/>
  <c r="B1145" i="28"/>
  <c r="A1145" i="28"/>
  <c r="F1144" i="28"/>
  <c r="D1144" i="28"/>
  <c r="B1144" i="28"/>
  <c r="A1144" i="28"/>
  <c r="F1143" i="28"/>
  <c r="D1143" i="28"/>
  <c r="B1143" i="28"/>
  <c r="A1143" i="28"/>
  <c r="F1142" i="28"/>
  <c r="D1142" i="28"/>
  <c r="B1142" i="28"/>
  <c r="A1142" i="28"/>
  <c r="F1141" i="28"/>
  <c r="D1141" i="28"/>
  <c r="B1141" i="28"/>
  <c r="A1141" i="28"/>
  <c r="F1140" i="28"/>
  <c r="D1140" i="28"/>
  <c r="B1140" i="28"/>
  <c r="A1140" i="28"/>
  <c r="F1139" i="28"/>
  <c r="D1139" i="28"/>
  <c r="B1139" i="28"/>
  <c r="A1139" i="28"/>
  <c r="F1138" i="28"/>
  <c r="D1138" i="28"/>
  <c r="B1138" i="28"/>
  <c r="A1138" i="28"/>
  <c r="F1137" i="28"/>
  <c r="D1137" i="28"/>
  <c r="B1137" i="28"/>
  <c r="A1137" i="28"/>
  <c r="F1136" i="28"/>
  <c r="D1136" i="28"/>
  <c r="B1136" i="28"/>
  <c r="A1136" i="28"/>
  <c r="F1135" i="28"/>
  <c r="D1135" i="28"/>
  <c r="B1135" i="28"/>
  <c r="A1135" i="28"/>
  <c r="F1134" i="28"/>
  <c r="D1134" i="28"/>
  <c r="B1134" i="28"/>
  <c r="A1134" i="28"/>
  <c r="F1133" i="28"/>
  <c r="D1133" i="28"/>
  <c r="B1133" i="28"/>
  <c r="A1133" i="28"/>
  <c r="F1132" i="28"/>
  <c r="D1132" i="28"/>
  <c r="B1132" i="28"/>
  <c r="A1132" i="28"/>
  <c r="F1131" i="28"/>
  <c r="D1131" i="28"/>
  <c r="B1131" i="28"/>
  <c r="A1131" i="28"/>
  <c r="F1130" i="28"/>
  <c r="D1130" i="28"/>
  <c r="B1130" i="28"/>
  <c r="A1130" i="28"/>
  <c r="F1129" i="28"/>
  <c r="D1129" i="28"/>
  <c r="B1129" i="28"/>
  <c r="A1129" i="28"/>
  <c r="F1128" i="28"/>
  <c r="D1128" i="28"/>
  <c r="B1128" i="28"/>
  <c r="A1128" i="28"/>
  <c r="F1127" i="28"/>
  <c r="D1127" i="28"/>
  <c r="B1127" i="28"/>
  <c r="A1127" i="28"/>
  <c r="F1126" i="28"/>
  <c r="D1126" i="28"/>
  <c r="B1126" i="28"/>
  <c r="A1126" i="28"/>
  <c r="F1125" i="28"/>
  <c r="D1125" i="28"/>
  <c r="B1125" i="28"/>
  <c r="A1125" i="28"/>
  <c r="F1124" i="28"/>
  <c r="D1124" i="28"/>
  <c r="B1124" i="28"/>
  <c r="A1124" i="28"/>
  <c r="F1123" i="28"/>
  <c r="D1123" i="28"/>
  <c r="B1123" i="28"/>
  <c r="A1123" i="28"/>
  <c r="F1122" i="28"/>
  <c r="D1122" i="28"/>
  <c r="B1122" i="28"/>
  <c r="A1122" i="28"/>
  <c r="F1121" i="28"/>
  <c r="D1121" i="28"/>
  <c r="B1121" i="28"/>
  <c r="A1121" i="28"/>
  <c r="F1120" i="28"/>
  <c r="D1120" i="28"/>
  <c r="B1120" i="28"/>
  <c r="A1120" i="28"/>
  <c r="F1119" i="28"/>
  <c r="D1119" i="28"/>
  <c r="B1119" i="28"/>
  <c r="A1119" i="28"/>
  <c r="F1118" i="28"/>
  <c r="D1118" i="28"/>
  <c r="B1118" i="28"/>
  <c r="A1118" i="28"/>
  <c r="F1117" i="28"/>
  <c r="D1117" i="28"/>
  <c r="B1117" i="28"/>
  <c r="A1117" i="28"/>
  <c r="F1116" i="28"/>
  <c r="D1116" i="28"/>
  <c r="B1116" i="28"/>
  <c r="A1116" i="28"/>
  <c r="F1115" i="28"/>
  <c r="D1115" i="28"/>
  <c r="B1115" i="28"/>
  <c r="A1115" i="28"/>
  <c r="F1114" i="28"/>
  <c r="D1114" i="28"/>
  <c r="B1114" i="28"/>
  <c r="A1114" i="28"/>
  <c r="F1113" i="28"/>
  <c r="D1113" i="28"/>
  <c r="B1113" i="28"/>
  <c r="A1113" i="28"/>
  <c r="F1112" i="28"/>
  <c r="D1112" i="28"/>
  <c r="B1112" i="28"/>
  <c r="A1112" i="28"/>
  <c r="F1111" i="28"/>
  <c r="D1111" i="28"/>
  <c r="B1111" i="28"/>
  <c r="A1111" i="28"/>
  <c r="F1110" i="28"/>
  <c r="D1110" i="28"/>
  <c r="B1110" i="28"/>
  <c r="A1110" i="28"/>
  <c r="F1109" i="28"/>
  <c r="D1109" i="28"/>
  <c r="B1109" i="28"/>
  <c r="A1109" i="28"/>
  <c r="F1108" i="28"/>
  <c r="D1108" i="28"/>
  <c r="B1108" i="28"/>
  <c r="A1108" i="28"/>
  <c r="F1107" i="28"/>
  <c r="D1107" i="28"/>
  <c r="B1107" i="28"/>
  <c r="A1107" i="28"/>
  <c r="F1106" i="28"/>
  <c r="D1106" i="28"/>
  <c r="B1106" i="28"/>
  <c r="A1106" i="28"/>
  <c r="F1105" i="28"/>
  <c r="D1105" i="28"/>
  <c r="B1105" i="28"/>
  <c r="A1105" i="28"/>
  <c r="F1104" i="28"/>
  <c r="D1104" i="28"/>
  <c r="B1104" i="28"/>
  <c r="A1104" i="28"/>
  <c r="F1103" i="28"/>
  <c r="D1103" i="28"/>
  <c r="B1103" i="28"/>
  <c r="A1103" i="28"/>
  <c r="F1102" i="28"/>
  <c r="D1102" i="28"/>
  <c r="B1102" i="28"/>
  <c r="A1102" i="28"/>
  <c r="F1101" i="28"/>
  <c r="D1101" i="28"/>
  <c r="B1101" i="28"/>
  <c r="A1101" i="28"/>
  <c r="F1100" i="28"/>
  <c r="D1100" i="28"/>
  <c r="B1100" i="28"/>
  <c r="A1100" i="28"/>
  <c r="F1099" i="28"/>
  <c r="D1099" i="28"/>
  <c r="B1099" i="28"/>
  <c r="A1099" i="28"/>
  <c r="F1098" i="28"/>
  <c r="D1098" i="28"/>
  <c r="B1098" i="28"/>
  <c r="A1098" i="28"/>
  <c r="F1097" i="28"/>
  <c r="D1097" i="28"/>
  <c r="B1097" i="28"/>
  <c r="A1097" i="28"/>
  <c r="F1096" i="28"/>
  <c r="D1096" i="28"/>
  <c r="B1096" i="28"/>
  <c r="A1096" i="28"/>
  <c r="F1095" i="28"/>
  <c r="D1095" i="28"/>
  <c r="B1095" i="28"/>
  <c r="A1095" i="28"/>
  <c r="F1094" i="28"/>
  <c r="D1094" i="28"/>
  <c r="B1094" i="28"/>
  <c r="A1094" i="28"/>
  <c r="F1093" i="28"/>
  <c r="D1093" i="28"/>
  <c r="B1093" i="28"/>
  <c r="A1093" i="28"/>
  <c r="F1092" i="28"/>
  <c r="D1092" i="28"/>
  <c r="B1092" i="28"/>
  <c r="A1092" i="28"/>
  <c r="F1091" i="28"/>
  <c r="D1091" i="28"/>
  <c r="B1091" i="28"/>
  <c r="A1091" i="28"/>
  <c r="F1090" i="28"/>
  <c r="D1090" i="28"/>
  <c r="B1090" i="28"/>
  <c r="A1090" i="28"/>
  <c r="F1089" i="28"/>
  <c r="D1089" i="28"/>
  <c r="B1089" i="28"/>
  <c r="A1089" i="28"/>
  <c r="F1088" i="28"/>
  <c r="D1088" i="28"/>
  <c r="B1088" i="28"/>
  <c r="A1088" i="28"/>
  <c r="F1087" i="28"/>
  <c r="D1087" i="28"/>
  <c r="B1087" i="28"/>
  <c r="A1087" i="28"/>
  <c r="F1086" i="28"/>
  <c r="D1086" i="28"/>
  <c r="B1086" i="28"/>
  <c r="A1086" i="28"/>
  <c r="F1085" i="28"/>
  <c r="D1085" i="28"/>
  <c r="B1085" i="28"/>
  <c r="A1085" i="28"/>
  <c r="F1084" i="28"/>
  <c r="D1084" i="28"/>
  <c r="B1084" i="28"/>
  <c r="A1084" i="28"/>
  <c r="F1083" i="28"/>
  <c r="D1083" i="28"/>
  <c r="B1083" i="28"/>
  <c r="A1083" i="28"/>
  <c r="F1082" i="28"/>
  <c r="D1082" i="28"/>
  <c r="B1082" i="28"/>
  <c r="A1082" i="28"/>
  <c r="F1081" i="28"/>
  <c r="D1081" i="28"/>
  <c r="B1081" i="28"/>
  <c r="A1081" i="28"/>
  <c r="F1080" i="28"/>
  <c r="D1080" i="28"/>
  <c r="B1080" i="28"/>
  <c r="A1080" i="28"/>
  <c r="F1079" i="28"/>
  <c r="D1079" i="28"/>
  <c r="B1079" i="28"/>
  <c r="A1079" i="28"/>
  <c r="F1078" i="28"/>
  <c r="D1078" i="28"/>
  <c r="B1078" i="28"/>
  <c r="A1078" i="28"/>
  <c r="F1077" i="28"/>
  <c r="D1077" i="28"/>
  <c r="B1077" i="28"/>
  <c r="A1077" i="28"/>
  <c r="F1076" i="28"/>
  <c r="D1076" i="28"/>
  <c r="B1076" i="28"/>
  <c r="A1076" i="28"/>
  <c r="F1075" i="28"/>
  <c r="D1075" i="28"/>
  <c r="B1075" i="28"/>
  <c r="A1075" i="28"/>
  <c r="F1074" i="28"/>
  <c r="D1074" i="28"/>
  <c r="B1074" i="28"/>
  <c r="A1074" i="28"/>
  <c r="F1073" i="28"/>
  <c r="D1073" i="28"/>
  <c r="B1073" i="28"/>
  <c r="A1073" i="28"/>
  <c r="F1072" i="28"/>
  <c r="D1072" i="28"/>
  <c r="B1072" i="28"/>
  <c r="A1072" i="28"/>
  <c r="F1071" i="28"/>
  <c r="D1071" i="28"/>
  <c r="B1071" i="28"/>
  <c r="A1071" i="28"/>
  <c r="F1070" i="28"/>
  <c r="D1070" i="28"/>
  <c r="B1070" i="28"/>
  <c r="A1070" i="28"/>
  <c r="F1069" i="28"/>
  <c r="D1069" i="28"/>
  <c r="B1069" i="28"/>
  <c r="A1069" i="28"/>
  <c r="F1068" i="28"/>
  <c r="D1068" i="28"/>
  <c r="B1068" i="28"/>
  <c r="A1068" i="28"/>
  <c r="F1067" i="28"/>
  <c r="D1067" i="28"/>
  <c r="B1067" i="28"/>
  <c r="A1067" i="28"/>
  <c r="F1066" i="28"/>
  <c r="D1066" i="28"/>
  <c r="B1066" i="28"/>
  <c r="A1066" i="28"/>
  <c r="F1065" i="28"/>
  <c r="D1065" i="28"/>
  <c r="B1065" i="28"/>
  <c r="A1065" i="28"/>
  <c r="F1064" i="28"/>
  <c r="D1064" i="28"/>
  <c r="B1064" i="28"/>
  <c r="A1064" i="28"/>
  <c r="F1063" i="28"/>
  <c r="D1063" i="28"/>
  <c r="B1063" i="28"/>
  <c r="A1063" i="28"/>
  <c r="F1062" i="28"/>
  <c r="D1062" i="28"/>
  <c r="B1062" i="28"/>
  <c r="A1062" i="28"/>
  <c r="F1061" i="28"/>
  <c r="D1061" i="28"/>
  <c r="B1061" i="28"/>
  <c r="A1061" i="28"/>
  <c r="F1060" i="28"/>
  <c r="D1060" i="28"/>
  <c r="B1060" i="28"/>
  <c r="A1060" i="28"/>
  <c r="F1059" i="28"/>
  <c r="D1059" i="28"/>
  <c r="B1059" i="28"/>
  <c r="A1059" i="28"/>
  <c r="F1058" i="28"/>
  <c r="D1058" i="28"/>
  <c r="B1058" i="28"/>
  <c r="A1058" i="28"/>
  <c r="F1057" i="28"/>
  <c r="D1057" i="28"/>
  <c r="B1057" i="28"/>
  <c r="A1057" i="28"/>
  <c r="F1056" i="28"/>
  <c r="D1056" i="28"/>
  <c r="B1056" i="28"/>
  <c r="A1056" i="28"/>
  <c r="F1055" i="28"/>
  <c r="D1055" i="28"/>
  <c r="B1055" i="28"/>
  <c r="A1055" i="28"/>
  <c r="F1054" i="28"/>
  <c r="D1054" i="28"/>
  <c r="B1054" i="28"/>
  <c r="A1054" i="28"/>
  <c r="F1053" i="28"/>
  <c r="D1053" i="28"/>
  <c r="B1053" i="28"/>
  <c r="A1053" i="28"/>
  <c r="F1052" i="28"/>
  <c r="D1052" i="28"/>
  <c r="B1052" i="28"/>
  <c r="A1052" i="28"/>
  <c r="F1051" i="28"/>
  <c r="D1051" i="28"/>
  <c r="B1051" i="28"/>
  <c r="A1051" i="28"/>
  <c r="F1050" i="28"/>
  <c r="D1050" i="28"/>
  <c r="B1050" i="28"/>
  <c r="A1050" i="28"/>
  <c r="F1049" i="28"/>
  <c r="D1049" i="28"/>
  <c r="B1049" i="28"/>
  <c r="A1049" i="28"/>
  <c r="F1048" i="28"/>
  <c r="D1048" i="28"/>
  <c r="B1048" i="28"/>
  <c r="A1048" i="28"/>
  <c r="F1047" i="28"/>
  <c r="D1047" i="28"/>
  <c r="B1047" i="28"/>
  <c r="A1047" i="28"/>
  <c r="F1046" i="28"/>
  <c r="D1046" i="28"/>
  <c r="B1046" i="28"/>
  <c r="A1046" i="28"/>
  <c r="F1045" i="28"/>
  <c r="D1045" i="28"/>
  <c r="B1045" i="28"/>
  <c r="A1045" i="28"/>
  <c r="F1044" i="28"/>
  <c r="D1044" i="28"/>
  <c r="B1044" i="28"/>
  <c r="A1044" i="28"/>
  <c r="F1043" i="28"/>
  <c r="D1043" i="28"/>
  <c r="B1043" i="28"/>
  <c r="A1043" i="28"/>
  <c r="F1042" i="28"/>
  <c r="D1042" i="28"/>
  <c r="B1042" i="28"/>
  <c r="A1042" i="28"/>
  <c r="F1041" i="28"/>
  <c r="D1041" i="28"/>
  <c r="B1041" i="28"/>
  <c r="A1041" i="28"/>
  <c r="F1040" i="28"/>
  <c r="D1040" i="28"/>
  <c r="B1040" i="28"/>
  <c r="A1040" i="28"/>
  <c r="F1039" i="28"/>
  <c r="D1039" i="28"/>
  <c r="B1039" i="28"/>
  <c r="A1039" i="28"/>
  <c r="F1038" i="28"/>
  <c r="D1038" i="28"/>
  <c r="B1038" i="28"/>
  <c r="A1038" i="28"/>
  <c r="F1037" i="28"/>
  <c r="D1037" i="28"/>
  <c r="B1037" i="28"/>
  <c r="A1037" i="28"/>
  <c r="F1036" i="28"/>
  <c r="D1036" i="28"/>
  <c r="B1036" i="28"/>
  <c r="A1036" i="28"/>
  <c r="F1035" i="28"/>
  <c r="D1035" i="28"/>
  <c r="B1035" i="28"/>
  <c r="A1035" i="28"/>
  <c r="F1034" i="28"/>
  <c r="D1034" i="28"/>
  <c r="B1034" i="28"/>
  <c r="A1034" i="28"/>
  <c r="F1033" i="28"/>
  <c r="D1033" i="28"/>
  <c r="B1033" i="28"/>
  <c r="A1033" i="28"/>
  <c r="F1032" i="28"/>
  <c r="D1032" i="28"/>
  <c r="B1032" i="28"/>
  <c r="A1032" i="28"/>
  <c r="F1031" i="28"/>
  <c r="D1031" i="28"/>
  <c r="B1031" i="28"/>
  <c r="A1031" i="28"/>
  <c r="F1030" i="28"/>
  <c r="D1030" i="28"/>
  <c r="B1030" i="28"/>
  <c r="A1030" i="28"/>
  <c r="F1029" i="28"/>
  <c r="D1029" i="28"/>
  <c r="B1029" i="28"/>
  <c r="A1029" i="28"/>
  <c r="F1028" i="28"/>
  <c r="D1028" i="28"/>
  <c r="B1028" i="28"/>
  <c r="A1028" i="28"/>
  <c r="F1027" i="28"/>
  <c r="D1027" i="28"/>
  <c r="B1027" i="28"/>
  <c r="A1027" i="28"/>
  <c r="F1026" i="28"/>
  <c r="D1026" i="28"/>
  <c r="B1026" i="28"/>
  <c r="A1026" i="28"/>
  <c r="F1025" i="28"/>
  <c r="D1025" i="28"/>
  <c r="B1025" i="28"/>
  <c r="A1025" i="28"/>
  <c r="F1024" i="28"/>
  <c r="D1024" i="28"/>
  <c r="B1024" i="28"/>
  <c r="A1024" i="28"/>
  <c r="F1023" i="28"/>
  <c r="D1023" i="28"/>
  <c r="B1023" i="28"/>
  <c r="A1023" i="28"/>
  <c r="F1022" i="28"/>
  <c r="D1022" i="28"/>
  <c r="B1022" i="28"/>
  <c r="A1022" i="28"/>
  <c r="F1021" i="28"/>
  <c r="D1021" i="28"/>
  <c r="B1021" i="28"/>
  <c r="A1021" i="28"/>
  <c r="F1020" i="28"/>
  <c r="D1020" i="28"/>
  <c r="B1020" i="28"/>
  <c r="A1020" i="28"/>
  <c r="F1019" i="28"/>
  <c r="D1019" i="28"/>
  <c r="B1019" i="28"/>
  <c r="A1019" i="28"/>
  <c r="F1018" i="28"/>
  <c r="D1018" i="28"/>
  <c r="B1018" i="28"/>
  <c r="A1018" i="28"/>
  <c r="F1017" i="28"/>
  <c r="D1017" i="28"/>
  <c r="B1017" i="28"/>
  <c r="A1017" i="28"/>
  <c r="F1016" i="28"/>
  <c r="D1016" i="28"/>
  <c r="B1016" i="28"/>
  <c r="A1016" i="28"/>
  <c r="F1015" i="28"/>
  <c r="D1015" i="28"/>
  <c r="B1015" i="28"/>
  <c r="A1015" i="28"/>
  <c r="F1014" i="28"/>
  <c r="D1014" i="28"/>
  <c r="B1014" i="28"/>
  <c r="A1014" i="28"/>
  <c r="F1013" i="28"/>
  <c r="D1013" i="28"/>
  <c r="B1013" i="28"/>
  <c r="A1013" i="28"/>
  <c r="F1012" i="28"/>
  <c r="D1012" i="28"/>
  <c r="B1012" i="28"/>
  <c r="A1012" i="28"/>
  <c r="F1011" i="28"/>
  <c r="D1011" i="28"/>
  <c r="B1011" i="28"/>
  <c r="A1011" i="28"/>
  <c r="F1010" i="28"/>
  <c r="D1010" i="28"/>
  <c r="B1010" i="28"/>
  <c r="A1010" i="28"/>
  <c r="F1009" i="28"/>
  <c r="D1009" i="28"/>
  <c r="B1009" i="28"/>
  <c r="A1009" i="28"/>
  <c r="F1008" i="28"/>
  <c r="D1008" i="28"/>
  <c r="B1008" i="28"/>
  <c r="A1008" i="28"/>
  <c r="F1007" i="28"/>
  <c r="D1007" i="28"/>
  <c r="B1007" i="28"/>
  <c r="A1007" i="28"/>
  <c r="F1006" i="28"/>
  <c r="D1006" i="28"/>
  <c r="B1006" i="28"/>
  <c r="A1006" i="28"/>
  <c r="F1005" i="28"/>
  <c r="D1005" i="28"/>
  <c r="B1005" i="28"/>
  <c r="A1005" i="28"/>
  <c r="F1004" i="28"/>
  <c r="D1004" i="28"/>
  <c r="B1004" i="28"/>
  <c r="A1004" i="28"/>
  <c r="F1003" i="28"/>
  <c r="D1003" i="28"/>
  <c r="B1003" i="28"/>
  <c r="A1003" i="28"/>
  <c r="F1002" i="28"/>
  <c r="D1002" i="28"/>
  <c r="B1002" i="28"/>
  <c r="A1002" i="28"/>
  <c r="F1001" i="28"/>
  <c r="D1001" i="28"/>
  <c r="B1001" i="28"/>
  <c r="A1001" i="28"/>
  <c r="F1000" i="28"/>
  <c r="D1000" i="28"/>
  <c r="B1000" i="28"/>
  <c r="A1000" i="28"/>
  <c r="F999" i="28"/>
  <c r="D999" i="28"/>
  <c r="B999" i="28"/>
  <c r="A999" i="28"/>
  <c r="F998" i="28"/>
  <c r="D998" i="28"/>
  <c r="B998" i="28"/>
  <c r="A998" i="28"/>
  <c r="F997" i="28"/>
  <c r="D997" i="28"/>
  <c r="B997" i="28"/>
  <c r="A997" i="28"/>
  <c r="F996" i="28"/>
  <c r="D996" i="28"/>
  <c r="B996" i="28"/>
  <c r="A996" i="28"/>
  <c r="F995" i="28"/>
  <c r="D995" i="28"/>
  <c r="B995" i="28"/>
  <c r="A995" i="28"/>
  <c r="F994" i="28"/>
  <c r="D994" i="28"/>
  <c r="B994" i="28"/>
  <c r="A994" i="28"/>
  <c r="F993" i="28"/>
  <c r="D993" i="28"/>
  <c r="B993" i="28"/>
  <c r="A993" i="28"/>
  <c r="F992" i="28"/>
  <c r="D992" i="28"/>
  <c r="B992" i="28"/>
  <c r="A992" i="28"/>
  <c r="F991" i="28"/>
  <c r="D991" i="28"/>
  <c r="B991" i="28"/>
  <c r="A991" i="28"/>
  <c r="F990" i="28"/>
  <c r="D990" i="28"/>
  <c r="B990" i="28"/>
  <c r="A990" i="28"/>
  <c r="F989" i="28"/>
  <c r="D989" i="28"/>
  <c r="B989" i="28"/>
  <c r="A989" i="28"/>
  <c r="F988" i="28"/>
  <c r="D988" i="28"/>
  <c r="B988" i="28"/>
  <c r="A988" i="28"/>
  <c r="F987" i="28"/>
  <c r="D987" i="28"/>
  <c r="B987" i="28"/>
  <c r="A987" i="28"/>
  <c r="F986" i="28"/>
  <c r="D986" i="28"/>
  <c r="B986" i="28"/>
  <c r="A986" i="28"/>
  <c r="F985" i="28"/>
  <c r="D985" i="28"/>
  <c r="B985" i="28"/>
  <c r="A985" i="28"/>
  <c r="F984" i="28"/>
  <c r="D984" i="28"/>
  <c r="B984" i="28"/>
  <c r="A984" i="28"/>
  <c r="F983" i="28"/>
  <c r="D983" i="28"/>
  <c r="B983" i="28"/>
  <c r="A983" i="28"/>
  <c r="F982" i="28"/>
  <c r="D982" i="28"/>
  <c r="B982" i="28"/>
  <c r="A982" i="28"/>
  <c r="F981" i="28"/>
  <c r="D981" i="28"/>
  <c r="B981" i="28"/>
  <c r="A981" i="28"/>
  <c r="F980" i="28"/>
  <c r="D980" i="28"/>
  <c r="B980" i="28"/>
  <c r="A980" i="28"/>
  <c r="F979" i="28"/>
  <c r="D979" i="28"/>
  <c r="B979" i="28"/>
  <c r="A979" i="28"/>
  <c r="F978" i="28"/>
  <c r="D978" i="28"/>
  <c r="B978" i="28"/>
  <c r="A978" i="28"/>
  <c r="F977" i="28"/>
  <c r="D977" i="28"/>
  <c r="B977" i="28"/>
  <c r="A977" i="28"/>
  <c r="F976" i="28"/>
  <c r="D976" i="28"/>
  <c r="B976" i="28"/>
  <c r="A976" i="28"/>
  <c r="F975" i="28"/>
  <c r="D975" i="28"/>
  <c r="B975" i="28"/>
  <c r="A975" i="28"/>
  <c r="F974" i="28"/>
  <c r="D974" i="28"/>
  <c r="B974" i="28"/>
  <c r="A974" i="28"/>
  <c r="F973" i="28"/>
  <c r="D973" i="28"/>
  <c r="B973" i="28"/>
  <c r="A973" i="28"/>
  <c r="F972" i="28"/>
  <c r="D972" i="28"/>
  <c r="B972" i="28"/>
  <c r="A972" i="28"/>
  <c r="F971" i="28"/>
  <c r="D971" i="28"/>
  <c r="B971" i="28"/>
  <c r="A971" i="28"/>
  <c r="F970" i="28"/>
  <c r="D970" i="28"/>
  <c r="B970" i="28"/>
  <c r="A970" i="28"/>
  <c r="F969" i="28"/>
  <c r="D969" i="28"/>
  <c r="B969" i="28"/>
  <c r="A969" i="28"/>
  <c r="F968" i="28"/>
  <c r="D968" i="28"/>
  <c r="B968" i="28"/>
  <c r="A968" i="28"/>
  <c r="F967" i="28"/>
  <c r="D967" i="28"/>
  <c r="B967" i="28"/>
  <c r="A967" i="28"/>
  <c r="F966" i="28"/>
  <c r="D966" i="28"/>
  <c r="B966" i="28"/>
  <c r="A966" i="28"/>
  <c r="F965" i="28"/>
  <c r="D965" i="28"/>
  <c r="B965" i="28"/>
  <c r="A965" i="28"/>
  <c r="F964" i="28"/>
  <c r="D964" i="28"/>
  <c r="B964" i="28"/>
  <c r="A964" i="28"/>
  <c r="F963" i="28"/>
  <c r="D963" i="28"/>
  <c r="B963" i="28"/>
  <c r="A963" i="28"/>
  <c r="F962" i="28"/>
  <c r="D962" i="28"/>
  <c r="B962" i="28"/>
  <c r="A962" i="28"/>
  <c r="F961" i="28"/>
  <c r="D961" i="28"/>
  <c r="B961" i="28"/>
  <c r="A961" i="28"/>
  <c r="F960" i="28"/>
  <c r="D960" i="28"/>
  <c r="B960" i="28"/>
  <c r="A960" i="28"/>
  <c r="F959" i="28"/>
  <c r="D959" i="28"/>
  <c r="B959" i="28"/>
  <c r="A959" i="28"/>
  <c r="F958" i="28"/>
  <c r="D958" i="28"/>
  <c r="B958" i="28"/>
  <c r="A958" i="28"/>
  <c r="F957" i="28"/>
  <c r="D957" i="28"/>
  <c r="B957" i="28"/>
  <c r="A957" i="28"/>
  <c r="F956" i="28"/>
  <c r="D956" i="28"/>
  <c r="B956" i="28"/>
  <c r="A956" i="28"/>
  <c r="F955" i="28"/>
  <c r="D955" i="28"/>
  <c r="B955" i="28"/>
  <c r="A955" i="28"/>
  <c r="F954" i="28"/>
  <c r="D954" i="28"/>
  <c r="B954" i="28"/>
  <c r="A954" i="28"/>
  <c r="F953" i="28"/>
  <c r="D953" i="28"/>
  <c r="B953" i="28"/>
  <c r="A953" i="28"/>
  <c r="F952" i="28"/>
  <c r="D952" i="28"/>
  <c r="B952" i="28"/>
  <c r="A952" i="28"/>
  <c r="F951" i="28"/>
  <c r="D951" i="28"/>
  <c r="B951" i="28"/>
  <c r="A951" i="28"/>
  <c r="F950" i="28"/>
  <c r="D950" i="28"/>
  <c r="B950" i="28"/>
  <c r="A950" i="28"/>
  <c r="F949" i="28"/>
  <c r="D949" i="28"/>
  <c r="B949" i="28"/>
  <c r="A949" i="28"/>
  <c r="F948" i="28"/>
  <c r="D948" i="28"/>
  <c r="B948" i="28"/>
  <c r="A948" i="28"/>
  <c r="F947" i="28"/>
  <c r="D947" i="28"/>
  <c r="B947" i="28"/>
  <c r="A947" i="28"/>
  <c r="F946" i="28"/>
  <c r="D946" i="28"/>
  <c r="B946" i="28"/>
  <c r="A946" i="28"/>
  <c r="F945" i="28"/>
  <c r="D945" i="28"/>
  <c r="B945" i="28"/>
  <c r="A945" i="28"/>
  <c r="F944" i="28"/>
  <c r="D944" i="28"/>
  <c r="B944" i="28"/>
  <c r="A944" i="28"/>
  <c r="F943" i="28"/>
  <c r="D943" i="28"/>
  <c r="B943" i="28"/>
  <c r="A943" i="28"/>
  <c r="F942" i="28"/>
  <c r="D942" i="28"/>
  <c r="B942" i="28"/>
  <c r="A942" i="28"/>
  <c r="F941" i="28"/>
  <c r="D941" i="28"/>
  <c r="B941" i="28"/>
  <c r="A941" i="28"/>
  <c r="F940" i="28"/>
  <c r="D940" i="28"/>
  <c r="B940" i="28"/>
  <c r="A940" i="28"/>
  <c r="F939" i="28"/>
  <c r="D939" i="28"/>
  <c r="B939" i="28"/>
  <c r="A939" i="28"/>
  <c r="F938" i="28"/>
  <c r="D938" i="28"/>
  <c r="B938" i="28"/>
  <c r="A938" i="28"/>
  <c r="F937" i="28"/>
  <c r="D937" i="28"/>
  <c r="B937" i="28"/>
  <c r="A937" i="28"/>
  <c r="F936" i="28"/>
  <c r="D936" i="28"/>
  <c r="B936" i="28"/>
  <c r="A936" i="28"/>
  <c r="F935" i="28"/>
  <c r="D935" i="28"/>
  <c r="B935" i="28"/>
  <c r="A935" i="28"/>
  <c r="F934" i="28"/>
  <c r="D934" i="28"/>
  <c r="B934" i="28"/>
  <c r="A934" i="28"/>
  <c r="F933" i="28"/>
  <c r="D933" i="28"/>
  <c r="B933" i="28"/>
  <c r="A933" i="28"/>
  <c r="F932" i="28"/>
  <c r="D932" i="28"/>
  <c r="B932" i="28"/>
  <c r="A932" i="28"/>
  <c r="F931" i="28"/>
  <c r="D931" i="28"/>
  <c r="B931" i="28"/>
  <c r="A931" i="28"/>
  <c r="F930" i="28"/>
  <c r="D930" i="28"/>
  <c r="B930" i="28"/>
  <c r="A930" i="28"/>
  <c r="F929" i="28"/>
  <c r="D929" i="28"/>
  <c r="B929" i="28"/>
  <c r="A929" i="28"/>
  <c r="F928" i="28"/>
  <c r="D928" i="28"/>
  <c r="B928" i="28"/>
  <c r="A928" i="28"/>
  <c r="F927" i="28"/>
  <c r="D927" i="28"/>
  <c r="B927" i="28"/>
  <c r="A927" i="28"/>
  <c r="F926" i="28"/>
  <c r="D926" i="28"/>
  <c r="B926" i="28"/>
  <c r="A926" i="28"/>
  <c r="F925" i="28"/>
  <c r="D925" i="28"/>
  <c r="B925" i="28"/>
  <c r="A925" i="28"/>
  <c r="F924" i="28"/>
  <c r="D924" i="28"/>
  <c r="B924" i="28"/>
  <c r="A924" i="28"/>
  <c r="F923" i="28"/>
  <c r="D923" i="28"/>
  <c r="B923" i="28"/>
  <c r="A923" i="28"/>
  <c r="F922" i="28"/>
  <c r="D922" i="28"/>
  <c r="B922" i="28"/>
  <c r="A922" i="28"/>
  <c r="F921" i="28"/>
  <c r="D921" i="28"/>
  <c r="B921" i="28"/>
  <c r="A921" i="28"/>
  <c r="F920" i="28"/>
  <c r="D920" i="28"/>
  <c r="B920" i="28"/>
  <c r="A920" i="28"/>
  <c r="F919" i="28"/>
  <c r="D919" i="28"/>
  <c r="B919" i="28"/>
  <c r="A919" i="28"/>
  <c r="F918" i="28"/>
  <c r="D918" i="28"/>
  <c r="B918" i="28"/>
  <c r="A918" i="28"/>
  <c r="F917" i="28"/>
  <c r="D917" i="28"/>
  <c r="B917" i="28"/>
  <c r="A917" i="28"/>
  <c r="F916" i="28"/>
  <c r="D916" i="28"/>
  <c r="B916" i="28"/>
  <c r="A916" i="28"/>
  <c r="F915" i="28"/>
  <c r="D915" i="28"/>
  <c r="B915" i="28"/>
  <c r="A915" i="28"/>
  <c r="F914" i="28"/>
  <c r="D914" i="28"/>
  <c r="B914" i="28"/>
  <c r="A914" i="28"/>
  <c r="F913" i="28"/>
  <c r="D913" i="28"/>
  <c r="B913" i="28"/>
  <c r="A913" i="28"/>
  <c r="F912" i="28"/>
  <c r="D912" i="28"/>
  <c r="B912" i="28"/>
  <c r="A912" i="28"/>
  <c r="F911" i="28"/>
  <c r="D911" i="28"/>
  <c r="B911" i="28"/>
  <c r="A911" i="28"/>
  <c r="F910" i="28"/>
  <c r="D910" i="28"/>
  <c r="B910" i="28"/>
  <c r="A910" i="28"/>
  <c r="F909" i="28"/>
  <c r="D909" i="28"/>
  <c r="B909" i="28"/>
  <c r="A909" i="28"/>
  <c r="F908" i="28"/>
  <c r="D908" i="28"/>
  <c r="B908" i="28"/>
  <c r="A908" i="28"/>
  <c r="F907" i="28"/>
  <c r="D907" i="28"/>
  <c r="B907" i="28"/>
  <c r="A907" i="28"/>
  <c r="F906" i="28"/>
  <c r="D906" i="28"/>
  <c r="B906" i="28"/>
  <c r="A906" i="28"/>
  <c r="F905" i="28"/>
  <c r="D905" i="28"/>
  <c r="B905" i="28"/>
  <c r="A905" i="28"/>
  <c r="F904" i="28"/>
  <c r="D904" i="28"/>
  <c r="B904" i="28"/>
  <c r="A904" i="28"/>
  <c r="F903" i="28"/>
  <c r="D903" i="28"/>
  <c r="B903" i="28"/>
  <c r="A903" i="28"/>
  <c r="F902" i="28"/>
  <c r="D902" i="28"/>
  <c r="B902" i="28"/>
  <c r="A902" i="28"/>
  <c r="F901" i="28"/>
  <c r="D901" i="28"/>
  <c r="B901" i="28"/>
  <c r="A901" i="28"/>
  <c r="F900" i="28"/>
  <c r="D900" i="28"/>
  <c r="B900" i="28"/>
  <c r="A900" i="28"/>
  <c r="F899" i="28"/>
  <c r="D899" i="28"/>
  <c r="B899" i="28"/>
  <c r="A899" i="28"/>
  <c r="F898" i="28"/>
  <c r="D898" i="28"/>
  <c r="B898" i="28"/>
  <c r="A898" i="28"/>
  <c r="F897" i="28"/>
  <c r="D897" i="28"/>
  <c r="B897" i="28"/>
  <c r="A897" i="28"/>
  <c r="F896" i="28"/>
  <c r="D896" i="28"/>
  <c r="B896" i="28"/>
  <c r="A896" i="28"/>
  <c r="F895" i="28"/>
  <c r="D895" i="28"/>
  <c r="B895" i="28"/>
  <c r="A895" i="28"/>
  <c r="F894" i="28"/>
  <c r="D894" i="28"/>
  <c r="B894" i="28"/>
  <c r="A894" i="28"/>
  <c r="F893" i="28"/>
  <c r="D893" i="28"/>
  <c r="B893" i="28"/>
  <c r="A893" i="28"/>
  <c r="F892" i="28"/>
  <c r="D892" i="28"/>
  <c r="B892" i="28"/>
  <c r="A892" i="28"/>
  <c r="F891" i="28"/>
  <c r="D891" i="28"/>
  <c r="B891" i="28"/>
  <c r="A891" i="28"/>
  <c r="F890" i="28"/>
  <c r="D890" i="28"/>
  <c r="B890" i="28"/>
  <c r="A890" i="28"/>
  <c r="F889" i="28"/>
  <c r="D889" i="28"/>
  <c r="B889" i="28"/>
  <c r="A889" i="28"/>
  <c r="F888" i="28"/>
  <c r="D888" i="28"/>
  <c r="B888" i="28"/>
  <c r="A888" i="28"/>
  <c r="F887" i="28"/>
  <c r="D887" i="28"/>
  <c r="B887" i="28"/>
  <c r="A887" i="28"/>
  <c r="F886" i="28"/>
  <c r="D886" i="28"/>
  <c r="B886" i="28"/>
  <c r="A886" i="28"/>
  <c r="F885" i="28"/>
  <c r="D885" i="28"/>
  <c r="B885" i="28"/>
  <c r="A885" i="28"/>
  <c r="F884" i="28"/>
  <c r="D884" i="28"/>
  <c r="B884" i="28"/>
  <c r="A884" i="28"/>
  <c r="F883" i="28"/>
  <c r="D883" i="28"/>
  <c r="B883" i="28"/>
  <c r="A883" i="28"/>
  <c r="F882" i="28"/>
  <c r="D882" i="28"/>
  <c r="B882" i="28"/>
  <c r="A882" i="28"/>
  <c r="F881" i="28"/>
  <c r="D881" i="28"/>
  <c r="B881" i="28"/>
  <c r="A881" i="28"/>
  <c r="F880" i="28"/>
  <c r="D880" i="28"/>
  <c r="B880" i="28"/>
  <c r="A880" i="28"/>
  <c r="F879" i="28"/>
  <c r="D879" i="28"/>
  <c r="B879" i="28"/>
  <c r="A879" i="28"/>
  <c r="F878" i="28"/>
  <c r="D878" i="28"/>
  <c r="B878" i="28"/>
  <c r="A878" i="28"/>
  <c r="F877" i="28"/>
  <c r="D877" i="28"/>
  <c r="B877" i="28"/>
  <c r="A877" i="28"/>
  <c r="F876" i="28"/>
  <c r="D876" i="28"/>
  <c r="B876" i="28"/>
  <c r="A876" i="28"/>
  <c r="F875" i="28"/>
  <c r="D875" i="28"/>
  <c r="B875" i="28"/>
  <c r="A875" i="28"/>
  <c r="F874" i="28"/>
  <c r="D874" i="28"/>
  <c r="B874" i="28"/>
  <c r="A874" i="28"/>
  <c r="F873" i="28"/>
  <c r="D873" i="28"/>
  <c r="B873" i="28"/>
  <c r="A873" i="28"/>
  <c r="F872" i="28"/>
  <c r="D872" i="28"/>
  <c r="B872" i="28"/>
  <c r="A872" i="28"/>
  <c r="F871" i="28"/>
  <c r="D871" i="28"/>
  <c r="B871" i="28"/>
  <c r="A871" i="28"/>
  <c r="F870" i="28"/>
  <c r="D870" i="28"/>
  <c r="B870" i="28"/>
  <c r="A870" i="28"/>
  <c r="F869" i="28"/>
  <c r="D869" i="28"/>
  <c r="B869" i="28"/>
  <c r="A869" i="28"/>
  <c r="F868" i="28"/>
  <c r="D868" i="28"/>
  <c r="B868" i="28"/>
  <c r="A868" i="28"/>
  <c r="F867" i="28"/>
  <c r="D867" i="28"/>
  <c r="B867" i="28"/>
  <c r="A867" i="28"/>
  <c r="F866" i="28"/>
  <c r="D866" i="28"/>
  <c r="B866" i="28"/>
  <c r="A866" i="28"/>
  <c r="F865" i="28"/>
  <c r="D865" i="28"/>
  <c r="B865" i="28"/>
  <c r="A865" i="28"/>
  <c r="F864" i="28"/>
  <c r="D864" i="28"/>
  <c r="B864" i="28"/>
  <c r="A864" i="28"/>
  <c r="F863" i="28"/>
  <c r="D863" i="28"/>
  <c r="B863" i="28"/>
  <c r="A863" i="28"/>
  <c r="F862" i="28"/>
  <c r="D862" i="28"/>
  <c r="B862" i="28"/>
  <c r="A862" i="28"/>
  <c r="F861" i="28"/>
  <c r="D861" i="28"/>
  <c r="B861" i="28"/>
  <c r="A861" i="28"/>
  <c r="F860" i="28"/>
  <c r="D860" i="28"/>
  <c r="B860" i="28"/>
  <c r="A860" i="28"/>
  <c r="F859" i="28"/>
  <c r="D859" i="28"/>
  <c r="B859" i="28"/>
  <c r="A859" i="28"/>
  <c r="F858" i="28"/>
  <c r="D858" i="28"/>
  <c r="B858" i="28"/>
  <c r="A858" i="28"/>
  <c r="F857" i="28"/>
  <c r="D857" i="28"/>
  <c r="B857" i="28"/>
  <c r="A857" i="28"/>
  <c r="F856" i="28"/>
  <c r="D856" i="28"/>
  <c r="B856" i="28"/>
  <c r="A856" i="28"/>
  <c r="F855" i="28"/>
  <c r="D855" i="28"/>
  <c r="B855" i="28"/>
  <c r="A855" i="28"/>
  <c r="F854" i="28"/>
  <c r="D854" i="28"/>
  <c r="B854" i="28"/>
  <c r="A854" i="28"/>
  <c r="F853" i="28"/>
  <c r="D853" i="28"/>
  <c r="B853" i="28"/>
  <c r="A853" i="28"/>
  <c r="F852" i="28"/>
  <c r="D852" i="28"/>
  <c r="B852" i="28"/>
  <c r="A852" i="28"/>
  <c r="F851" i="28"/>
  <c r="D851" i="28"/>
  <c r="B851" i="28"/>
  <c r="A851" i="28"/>
  <c r="F850" i="28"/>
  <c r="D850" i="28"/>
  <c r="B850" i="28"/>
  <c r="A850" i="28"/>
  <c r="F849" i="28"/>
  <c r="D849" i="28"/>
  <c r="B849" i="28"/>
  <c r="A849" i="28"/>
  <c r="F848" i="28"/>
  <c r="D848" i="28"/>
  <c r="B848" i="28"/>
  <c r="A848" i="28"/>
  <c r="F847" i="28"/>
  <c r="D847" i="28"/>
  <c r="B847" i="28"/>
  <c r="A847" i="28"/>
  <c r="F846" i="28"/>
  <c r="D846" i="28"/>
  <c r="B846" i="28"/>
  <c r="A846" i="28"/>
  <c r="F845" i="28"/>
  <c r="D845" i="28"/>
  <c r="B845" i="28"/>
  <c r="A845" i="28"/>
  <c r="F844" i="28"/>
  <c r="D844" i="28"/>
  <c r="B844" i="28"/>
  <c r="A844" i="28"/>
  <c r="F843" i="28"/>
  <c r="D843" i="28"/>
  <c r="B843" i="28"/>
  <c r="A843" i="28"/>
  <c r="F842" i="28"/>
  <c r="D842" i="28"/>
  <c r="B842" i="28"/>
  <c r="A842" i="28"/>
  <c r="F841" i="28"/>
  <c r="D841" i="28"/>
  <c r="B841" i="28"/>
  <c r="A841" i="28"/>
  <c r="F840" i="28"/>
  <c r="D840" i="28"/>
  <c r="B840" i="28"/>
  <c r="A840" i="28"/>
  <c r="F839" i="28"/>
  <c r="D839" i="28"/>
  <c r="B839" i="28"/>
  <c r="A839" i="28"/>
  <c r="F838" i="28"/>
  <c r="D838" i="28"/>
  <c r="B838" i="28"/>
  <c r="A838" i="28"/>
  <c r="F837" i="28"/>
  <c r="D837" i="28"/>
  <c r="B837" i="28"/>
  <c r="A837" i="28"/>
  <c r="F836" i="28"/>
  <c r="D836" i="28"/>
  <c r="B836" i="28"/>
  <c r="A836" i="28"/>
  <c r="F835" i="28"/>
  <c r="D835" i="28"/>
  <c r="B835" i="28"/>
  <c r="A835" i="28"/>
  <c r="F834" i="28"/>
  <c r="D834" i="28"/>
  <c r="B834" i="28"/>
  <c r="A834" i="28"/>
  <c r="F833" i="28"/>
  <c r="D833" i="28"/>
  <c r="B833" i="28"/>
  <c r="A833" i="28"/>
  <c r="F832" i="28"/>
  <c r="D832" i="28"/>
  <c r="B832" i="28"/>
  <c r="A832" i="28"/>
  <c r="F831" i="28"/>
  <c r="D831" i="28"/>
  <c r="B831" i="28"/>
  <c r="A831" i="28"/>
  <c r="F830" i="28"/>
  <c r="D830" i="28"/>
  <c r="B830" i="28"/>
  <c r="A830" i="28"/>
  <c r="F829" i="28"/>
  <c r="D829" i="28"/>
  <c r="B829" i="28"/>
  <c r="A829" i="28"/>
  <c r="F828" i="28"/>
  <c r="D828" i="28"/>
  <c r="B828" i="28"/>
  <c r="A828" i="28"/>
  <c r="F827" i="28"/>
  <c r="D827" i="28"/>
  <c r="B827" i="28"/>
  <c r="A827" i="28"/>
  <c r="F826" i="28"/>
  <c r="D826" i="28"/>
  <c r="B826" i="28"/>
  <c r="A826" i="28"/>
  <c r="F825" i="28"/>
  <c r="D825" i="28"/>
  <c r="B825" i="28"/>
  <c r="A825" i="28"/>
  <c r="F824" i="28"/>
  <c r="D824" i="28"/>
  <c r="B824" i="28"/>
  <c r="A824" i="28"/>
  <c r="F823" i="28"/>
  <c r="D823" i="28"/>
  <c r="B823" i="28"/>
  <c r="A823" i="28"/>
  <c r="F822" i="28"/>
  <c r="D822" i="28"/>
  <c r="B822" i="28"/>
  <c r="A822" i="28"/>
  <c r="F821" i="28"/>
  <c r="D821" i="28"/>
  <c r="B821" i="28"/>
  <c r="A821" i="28"/>
  <c r="F820" i="28"/>
  <c r="D820" i="28"/>
  <c r="B820" i="28"/>
  <c r="A820" i="28"/>
  <c r="F819" i="28"/>
  <c r="D819" i="28"/>
  <c r="B819" i="28"/>
  <c r="A819" i="28"/>
  <c r="F818" i="28"/>
  <c r="D818" i="28"/>
  <c r="B818" i="28"/>
  <c r="A818" i="28"/>
  <c r="F817" i="28"/>
  <c r="D817" i="28"/>
  <c r="B817" i="28"/>
  <c r="A817" i="28"/>
  <c r="F816" i="28"/>
  <c r="D816" i="28"/>
  <c r="B816" i="28"/>
  <c r="A816" i="28"/>
  <c r="F815" i="28"/>
  <c r="D815" i="28"/>
  <c r="B815" i="28"/>
  <c r="A815" i="28"/>
  <c r="F814" i="28"/>
  <c r="D814" i="28"/>
  <c r="B814" i="28"/>
  <c r="A814" i="28"/>
  <c r="F813" i="28"/>
  <c r="D813" i="28"/>
  <c r="B813" i="28"/>
  <c r="A813" i="28"/>
  <c r="F812" i="28"/>
  <c r="D812" i="28"/>
  <c r="B812" i="28"/>
  <c r="A812" i="28"/>
  <c r="F811" i="28"/>
  <c r="D811" i="28"/>
  <c r="B811" i="28"/>
  <c r="A811" i="28"/>
  <c r="F810" i="28"/>
  <c r="D810" i="28"/>
  <c r="B810" i="28"/>
  <c r="A810" i="28"/>
  <c r="F809" i="28"/>
  <c r="D809" i="28"/>
  <c r="B809" i="28"/>
  <c r="A809" i="28"/>
  <c r="F808" i="28"/>
  <c r="D808" i="28"/>
  <c r="B808" i="28"/>
  <c r="A808" i="28"/>
  <c r="F807" i="28"/>
  <c r="D807" i="28"/>
  <c r="B807" i="28"/>
  <c r="A807" i="28"/>
  <c r="F806" i="28"/>
  <c r="D806" i="28"/>
  <c r="B806" i="28"/>
  <c r="A806" i="28"/>
  <c r="F805" i="28"/>
  <c r="D805" i="28"/>
  <c r="B805" i="28"/>
  <c r="A805" i="28"/>
  <c r="F804" i="28"/>
  <c r="D804" i="28"/>
  <c r="B804" i="28"/>
  <c r="A804" i="28"/>
  <c r="F803" i="28"/>
  <c r="D803" i="28"/>
  <c r="B803" i="28"/>
  <c r="A803" i="28"/>
  <c r="F802" i="28"/>
  <c r="D802" i="28"/>
  <c r="B802" i="28"/>
  <c r="A802" i="28"/>
  <c r="F801" i="28"/>
  <c r="D801" i="28"/>
  <c r="B801" i="28"/>
  <c r="A801" i="28"/>
  <c r="F800" i="28"/>
  <c r="D800" i="28"/>
  <c r="B800" i="28"/>
  <c r="A800" i="28"/>
  <c r="F799" i="28"/>
  <c r="D799" i="28"/>
  <c r="B799" i="28"/>
  <c r="A799" i="28"/>
  <c r="F798" i="28"/>
  <c r="D798" i="28"/>
  <c r="B798" i="28"/>
  <c r="A798" i="28"/>
  <c r="F797" i="28"/>
  <c r="D797" i="28"/>
  <c r="B797" i="28"/>
  <c r="A797" i="28"/>
  <c r="F796" i="28"/>
  <c r="D796" i="28"/>
  <c r="B796" i="28"/>
  <c r="A796" i="28"/>
  <c r="F795" i="28"/>
  <c r="D795" i="28"/>
  <c r="B795" i="28"/>
  <c r="A795" i="28"/>
  <c r="F794" i="28"/>
  <c r="D794" i="28"/>
  <c r="B794" i="28"/>
  <c r="A794" i="28"/>
  <c r="F793" i="28"/>
  <c r="D793" i="28"/>
  <c r="B793" i="28"/>
  <c r="A793" i="28"/>
  <c r="F792" i="28"/>
  <c r="D792" i="28"/>
  <c r="B792" i="28"/>
  <c r="A792" i="28"/>
  <c r="F791" i="28"/>
  <c r="D791" i="28"/>
  <c r="B791" i="28"/>
  <c r="A791" i="28"/>
  <c r="F790" i="28"/>
  <c r="D790" i="28"/>
  <c r="B790" i="28"/>
  <c r="A790" i="28"/>
  <c r="F789" i="28"/>
  <c r="D789" i="28"/>
  <c r="B789" i="28"/>
  <c r="A789" i="28"/>
  <c r="F788" i="28"/>
  <c r="D788" i="28"/>
  <c r="B788" i="28"/>
  <c r="A788" i="28"/>
  <c r="F787" i="28"/>
  <c r="D787" i="28"/>
  <c r="B787" i="28"/>
  <c r="A787" i="28"/>
  <c r="F786" i="28"/>
  <c r="D786" i="28"/>
  <c r="B786" i="28"/>
  <c r="A786" i="28"/>
  <c r="F785" i="28"/>
  <c r="D785" i="28"/>
  <c r="B785" i="28"/>
  <c r="A785" i="28"/>
  <c r="F784" i="28"/>
  <c r="D784" i="28"/>
  <c r="B784" i="28"/>
  <c r="A784" i="28"/>
  <c r="F783" i="28"/>
  <c r="D783" i="28"/>
  <c r="B783" i="28"/>
  <c r="A783" i="28"/>
  <c r="F782" i="28"/>
  <c r="D782" i="28"/>
  <c r="B782" i="28"/>
  <c r="A782" i="28"/>
  <c r="F781" i="28"/>
  <c r="D781" i="28"/>
  <c r="B781" i="28"/>
  <c r="A781" i="28"/>
  <c r="F780" i="28"/>
  <c r="D780" i="28"/>
  <c r="B780" i="28"/>
  <c r="A780" i="28"/>
  <c r="F779" i="28"/>
  <c r="D779" i="28"/>
  <c r="B779" i="28"/>
  <c r="A779" i="28"/>
  <c r="F778" i="28"/>
  <c r="D778" i="28"/>
  <c r="B778" i="28"/>
  <c r="A778" i="28"/>
  <c r="F777" i="28"/>
  <c r="D777" i="28"/>
  <c r="B777" i="28"/>
  <c r="A777" i="28"/>
  <c r="F776" i="28"/>
  <c r="D776" i="28"/>
  <c r="B776" i="28"/>
  <c r="A776" i="28"/>
  <c r="F775" i="28"/>
  <c r="D775" i="28"/>
  <c r="B775" i="28"/>
  <c r="A775" i="28"/>
  <c r="F774" i="28"/>
  <c r="D774" i="28"/>
  <c r="B774" i="28"/>
  <c r="A774" i="28"/>
  <c r="F773" i="28"/>
  <c r="D773" i="28"/>
  <c r="B773" i="28"/>
  <c r="A773" i="28"/>
  <c r="F772" i="28"/>
  <c r="D772" i="28"/>
  <c r="B772" i="28"/>
  <c r="A772" i="28"/>
  <c r="F771" i="28"/>
  <c r="D771" i="28"/>
  <c r="B771" i="28"/>
  <c r="A771" i="28"/>
  <c r="F770" i="28"/>
  <c r="D770" i="28"/>
  <c r="B770" i="28"/>
  <c r="A770" i="28"/>
  <c r="F769" i="28"/>
  <c r="D769" i="28"/>
  <c r="B769" i="28"/>
  <c r="A769" i="28"/>
  <c r="F768" i="28"/>
  <c r="D768" i="28"/>
  <c r="B768" i="28"/>
  <c r="A768" i="28"/>
  <c r="F767" i="28"/>
  <c r="D767" i="28"/>
  <c r="B767" i="28"/>
  <c r="A767" i="28"/>
  <c r="F766" i="28"/>
  <c r="D766" i="28"/>
  <c r="B766" i="28"/>
  <c r="A766" i="28"/>
  <c r="F765" i="28"/>
  <c r="D765" i="28"/>
  <c r="B765" i="28"/>
  <c r="A765" i="28"/>
  <c r="F764" i="28"/>
  <c r="D764" i="28"/>
  <c r="B764" i="28"/>
  <c r="A764" i="28"/>
  <c r="F763" i="28"/>
  <c r="D763" i="28"/>
  <c r="B763" i="28"/>
  <c r="A763" i="28"/>
  <c r="F762" i="28"/>
  <c r="D762" i="28"/>
  <c r="B762" i="28"/>
  <c r="A762" i="28"/>
  <c r="F761" i="28"/>
  <c r="D761" i="28"/>
  <c r="B761" i="28"/>
  <c r="A761" i="28"/>
  <c r="F760" i="28"/>
  <c r="D760" i="28"/>
  <c r="B760" i="28"/>
  <c r="A760" i="28"/>
  <c r="F759" i="28"/>
  <c r="D759" i="28"/>
  <c r="B759" i="28"/>
  <c r="A759" i="28"/>
  <c r="F758" i="28"/>
  <c r="D758" i="28"/>
  <c r="B758" i="28"/>
  <c r="A758" i="28"/>
  <c r="F757" i="28"/>
  <c r="D757" i="28"/>
  <c r="B757" i="28"/>
  <c r="A757" i="28"/>
  <c r="F756" i="28"/>
  <c r="D756" i="28"/>
  <c r="B756" i="28"/>
  <c r="A756" i="28"/>
  <c r="F755" i="28"/>
  <c r="D755" i="28"/>
  <c r="B755" i="28"/>
  <c r="A755" i="28"/>
  <c r="F754" i="28"/>
  <c r="D754" i="28"/>
  <c r="B754" i="28"/>
  <c r="A754" i="28"/>
  <c r="F753" i="28"/>
  <c r="D753" i="28"/>
  <c r="B753" i="28"/>
  <c r="A753" i="28"/>
  <c r="F752" i="28"/>
  <c r="D752" i="28"/>
  <c r="B752" i="28"/>
  <c r="A752" i="28"/>
  <c r="F751" i="28"/>
  <c r="D751" i="28"/>
  <c r="B751" i="28"/>
  <c r="A751" i="28"/>
  <c r="F750" i="28"/>
  <c r="D750" i="28"/>
  <c r="B750" i="28"/>
  <c r="A750" i="28"/>
  <c r="F749" i="28"/>
  <c r="D749" i="28"/>
  <c r="B749" i="28"/>
  <c r="A749" i="28"/>
  <c r="F748" i="28"/>
  <c r="D748" i="28"/>
  <c r="B748" i="28"/>
  <c r="A748" i="28"/>
  <c r="F747" i="28"/>
  <c r="D747" i="28"/>
  <c r="B747" i="28"/>
  <c r="A747" i="28"/>
  <c r="F746" i="28"/>
  <c r="D746" i="28"/>
  <c r="B746" i="28"/>
  <c r="A746" i="28"/>
  <c r="F745" i="28"/>
  <c r="D745" i="28"/>
  <c r="B745" i="28"/>
  <c r="A745" i="28"/>
  <c r="F744" i="28"/>
  <c r="D744" i="28"/>
  <c r="B744" i="28"/>
  <c r="A744" i="28"/>
  <c r="F743" i="28"/>
  <c r="D743" i="28"/>
  <c r="B743" i="28"/>
  <c r="A743" i="28"/>
  <c r="F742" i="28"/>
  <c r="D742" i="28"/>
  <c r="B742" i="28"/>
  <c r="A742" i="28"/>
  <c r="F741" i="28"/>
  <c r="D741" i="28"/>
  <c r="B741" i="28"/>
  <c r="A741" i="28"/>
  <c r="F740" i="28"/>
  <c r="D740" i="28"/>
  <c r="B740" i="28"/>
  <c r="A740" i="28"/>
  <c r="F739" i="28"/>
  <c r="D739" i="28"/>
  <c r="B739" i="28"/>
  <c r="A739" i="28"/>
  <c r="F738" i="28"/>
  <c r="D738" i="28"/>
  <c r="B738" i="28"/>
  <c r="A738" i="28"/>
  <c r="F737" i="28"/>
  <c r="D737" i="28"/>
  <c r="B737" i="28"/>
  <c r="A737" i="28"/>
  <c r="F736" i="28"/>
  <c r="D736" i="28"/>
  <c r="B736" i="28"/>
  <c r="A736" i="28"/>
  <c r="F735" i="28"/>
  <c r="D735" i="28"/>
  <c r="B735" i="28"/>
  <c r="A735" i="28"/>
  <c r="F734" i="28"/>
  <c r="D734" i="28"/>
  <c r="B734" i="28"/>
  <c r="A734" i="28"/>
  <c r="F733" i="28"/>
  <c r="D733" i="28"/>
  <c r="B733" i="28"/>
  <c r="A733" i="28"/>
  <c r="F732" i="28"/>
  <c r="D732" i="28"/>
  <c r="B732" i="28"/>
  <c r="A732" i="28"/>
  <c r="F731" i="28"/>
  <c r="D731" i="28"/>
  <c r="B731" i="28"/>
  <c r="A731" i="28"/>
  <c r="F730" i="28"/>
  <c r="D730" i="28"/>
  <c r="B730" i="28"/>
  <c r="A730" i="28"/>
  <c r="F729" i="28"/>
  <c r="D729" i="28"/>
  <c r="B729" i="28"/>
  <c r="A729" i="28"/>
  <c r="F728" i="28"/>
  <c r="D728" i="28"/>
  <c r="B728" i="28"/>
  <c r="A728" i="28"/>
  <c r="F727" i="28"/>
  <c r="D727" i="28"/>
  <c r="B727" i="28"/>
  <c r="A727" i="28"/>
  <c r="F726" i="28"/>
  <c r="D726" i="28"/>
  <c r="B726" i="28"/>
  <c r="A726" i="28"/>
  <c r="F725" i="28"/>
  <c r="D725" i="28"/>
  <c r="B725" i="28"/>
  <c r="A725" i="28"/>
  <c r="F724" i="28"/>
  <c r="D724" i="28"/>
  <c r="B724" i="28"/>
  <c r="A724" i="28"/>
  <c r="F723" i="28"/>
  <c r="D723" i="28"/>
  <c r="B723" i="28"/>
  <c r="A723" i="28"/>
  <c r="F722" i="28"/>
  <c r="D722" i="28"/>
  <c r="B722" i="28"/>
  <c r="A722" i="28"/>
  <c r="F721" i="28"/>
  <c r="D721" i="28"/>
  <c r="B721" i="28"/>
  <c r="A721" i="28"/>
  <c r="F720" i="28"/>
  <c r="D720" i="28"/>
  <c r="B720" i="28"/>
  <c r="A720" i="28"/>
  <c r="F719" i="28"/>
  <c r="D719" i="28"/>
  <c r="B719" i="28"/>
  <c r="A719" i="28"/>
  <c r="F718" i="28"/>
  <c r="D718" i="28"/>
  <c r="B718" i="28"/>
  <c r="A718" i="28"/>
  <c r="F717" i="28"/>
  <c r="D717" i="28"/>
  <c r="B717" i="28"/>
  <c r="A717" i="28"/>
  <c r="F716" i="28"/>
  <c r="D716" i="28"/>
  <c r="B716" i="28"/>
  <c r="A716" i="28"/>
  <c r="F715" i="28"/>
  <c r="D715" i="28"/>
  <c r="B715" i="28"/>
  <c r="A715" i="28"/>
  <c r="F714" i="28"/>
  <c r="D714" i="28"/>
  <c r="B714" i="28"/>
  <c r="A714" i="28"/>
  <c r="F713" i="28"/>
  <c r="D713" i="28"/>
  <c r="B713" i="28"/>
  <c r="A713" i="28"/>
  <c r="F712" i="28"/>
  <c r="D712" i="28"/>
  <c r="B712" i="28"/>
  <c r="A712" i="28"/>
  <c r="F711" i="28"/>
  <c r="D711" i="28"/>
  <c r="B711" i="28"/>
  <c r="A711" i="28"/>
  <c r="F710" i="28"/>
  <c r="D710" i="28"/>
  <c r="B710" i="28"/>
  <c r="A710" i="28"/>
  <c r="F709" i="28"/>
  <c r="D709" i="28"/>
  <c r="B709" i="28"/>
  <c r="A709" i="28"/>
  <c r="F708" i="28"/>
  <c r="D708" i="28"/>
  <c r="B708" i="28"/>
  <c r="A708" i="28"/>
  <c r="F707" i="28"/>
  <c r="D707" i="28"/>
  <c r="B707" i="28"/>
  <c r="A707" i="28"/>
  <c r="F706" i="28"/>
  <c r="D706" i="28"/>
  <c r="B706" i="28"/>
  <c r="A706" i="28"/>
  <c r="F705" i="28"/>
  <c r="D705" i="28"/>
  <c r="B705" i="28"/>
  <c r="A705" i="28"/>
  <c r="F704" i="28"/>
  <c r="D704" i="28"/>
  <c r="B704" i="28"/>
  <c r="A704" i="28"/>
  <c r="F703" i="28"/>
  <c r="D703" i="28"/>
  <c r="B703" i="28"/>
  <c r="A703" i="28"/>
  <c r="F702" i="28"/>
  <c r="D702" i="28"/>
  <c r="B702" i="28"/>
  <c r="A702" i="28"/>
  <c r="F701" i="28"/>
  <c r="D701" i="28"/>
  <c r="B701" i="28"/>
  <c r="A701" i="28"/>
  <c r="F700" i="28"/>
  <c r="D700" i="28"/>
  <c r="B700" i="28"/>
  <c r="A700" i="28"/>
  <c r="F699" i="28"/>
  <c r="D699" i="28"/>
  <c r="B699" i="28"/>
  <c r="A699" i="28"/>
  <c r="F698" i="28"/>
  <c r="D698" i="28"/>
  <c r="B698" i="28"/>
  <c r="A698" i="28"/>
  <c r="F697" i="28"/>
  <c r="D697" i="28"/>
  <c r="B697" i="28"/>
  <c r="A697" i="28"/>
  <c r="F696" i="28"/>
  <c r="D696" i="28"/>
  <c r="B696" i="28"/>
  <c r="A696" i="28"/>
  <c r="F695" i="28"/>
  <c r="D695" i="28"/>
  <c r="B695" i="28"/>
  <c r="A695" i="28"/>
  <c r="F694" i="28"/>
  <c r="D694" i="28"/>
  <c r="B694" i="28"/>
  <c r="A694" i="28"/>
  <c r="F693" i="28"/>
  <c r="D693" i="28"/>
  <c r="B693" i="28"/>
  <c r="A693" i="28"/>
  <c r="F692" i="28"/>
  <c r="D692" i="28"/>
  <c r="B692" i="28"/>
  <c r="A692" i="28"/>
  <c r="F691" i="28"/>
  <c r="D691" i="28"/>
  <c r="B691" i="28"/>
  <c r="A691" i="28"/>
  <c r="F690" i="28"/>
  <c r="D690" i="28"/>
  <c r="B690" i="28"/>
  <c r="A690" i="28"/>
  <c r="F689" i="28"/>
  <c r="D689" i="28"/>
  <c r="B689" i="28"/>
  <c r="A689" i="28"/>
  <c r="F688" i="28"/>
  <c r="D688" i="28"/>
  <c r="B688" i="28"/>
  <c r="A688" i="28"/>
  <c r="F687" i="28"/>
  <c r="D687" i="28"/>
  <c r="B687" i="28"/>
  <c r="A687" i="28"/>
  <c r="F686" i="28"/>
  <c r="D686" i="28"/>
  <c r="B686" i="28"/>
  <c r="A686" i="28"/>
  <c r="F685" i="28"/>
  <c r="D685" i="28"/>
  <c r="B685" i="28"/>
  <c r="A685" i="28"/>
  <c r="F684" i="28"/>
  <c r="D684" i="28"/>
  <c r="B684" i="28"/>
  <c r="A684" i="28"/>
  <c r="F683" i="28"/>
  <c r="D683" i="28"/>
  <c r="B683" i="28"/>
  <c r="A683" i="28"/>
  <c r="F682" i="28"/>
  <c r="D682" i="28"/>
  <c r="B682" i="28"/>
  <c r="A682" i="28"/>
  <c r="F681" i="28"/>
  <c r="D681" i="28"/>
  <c r="B681" i="28"/>
  <c r="A681" i="28"/>
  <c r="F680" i="28"/>
  <c r="D680" i="28"/>
  <c r="B680" i="28"/>
  <c r="A680" i="28"/>
  <c r="F679" i="28"/>
  <c r="D679" i="28"/>
  <c r="B679" i="28"/>
  <c r="A679" i="28"/>
  <c r="F678" i="28"/>
  <c r="D678" i="28"/>
  <c r="B678" i="28"/>
  <c r="A678" i="28"/>
  <c r="F677" i="28"/>
  <c r="D677" i="28"/>
  <c r="B677" i="28"/>
  <c r="A677" i="28"/>
  <c r="F676" i="28"/>
  <c r="D676" i="28"/>
  <c r="B676" i="28"/>
  <c r="A676" i="28"/>
  <c r="F675" i="28"/>
  <c r="D675" i="28"/>
  <c r="B675" i="28"/>
  <c r="A675" i="28"/>
  <c r="F674" i="28"/>
  <c r="D674" i="28"/>
  <c r="B674" i="28"/>
  <c r="A674" i="28"/>
  <c r="F673" i="28"/>
  <c r="D673" i="28"/>
  <c r="B673" i="28"/>
  <c r="A673" i="28"/>
  <c r="F672" i="28"/>
  <c r="D672" i="28"/>
  <c r="B672" i="28"/>
  <c r="A672" i="28"/>
  <c r="F671" i="28"/>
  <c r="D671" i="28"/>
  <c r="B671" i="28"/>
  <c r="A671" i="28"/>
  <c r="F670" i="28"/>
  <c r="D670" i="28"/>
  <c r="B670" i="28"/>
  <c r="A670" i="28"/>
  <c r="F669" i="28"/>
  <c r="D669" i="28"/>
  <c r="B669" i="28"/>
  <c r="A669" i="28"/>
  <c r="F668" i="28"/>
  <c r="D668" i="28"/>
  <c r="B668" i="28"/>
  <c r="A668" i="28"/>
  <c r="F667" i="28"/>
  <c r="D667" i="28"/>
  <c r="B667" i="28"/>
  <c r="A667" i="28"/>
  <c r="F666" i="28"/>
  <c r="D666" i="28"/>
  <c r="B666" i="28"/>
  <c r="A666" i="28"/>
  <c r="F665" i="28"/>
  <c r="D665" i="28"/>
  <c r="B665" i="28"/>
  <c r="A665" i="28"/>
  <c r="F664" i="28"/>
  <c r="D664" i="28"/>
  <c r="B664" i="28"/>
  <c r="A664" i="28"/>
  <c r="F663" i="28"/>
  <c r="D663" i="28"/>
  <c r="B663" i="28"/>
  <c r="A663" i="28"/>
  <c r="F662" i="28"/>
  <c r="D662" i="28"/>
  <c r="B662" i="28"/>
  <c r="A662" i="28"/>
  <c r="F661" i="28"/>
  <c r="D661" i="28"/>
  <c r="B661" i="28"/>
  <c r="A661" i="28"/>
  <c r="F660" i="28"/>
  <c r="D660" i="28"/>
  <c r="B660" i="28"/>
  <c r="A660" i="28"/>
  <c r="F659" i="28"/>
  <c r="D659" i="28"/>
  <c r="B659" i="28"/>
  <c r="A659" i="28"/>
  <c r="F658" i="28"/>
  <c r="D658" i="28"/>
  <c r="B658" i="28"/>
  <c r="A658" i="28"/>
  <c r="F657" i="28"/>
  <c r="D657" i="28"/>
  <c r="B657" i="28"/>
  <c r="A657" i="28"/>
  <c r="F656" i="28"/>
  <c r="D656" i="28"/>
  <c r="B656" i="28"/>
  <c r="A656" i="28"/>
  <c r="F655" i="28"/>
  <c r="D655" i="28"/>
  <c r="B655" i="28"/>
  <c r="A655" i="28"/>
  <c r="F654" i="28"/>
  <c r="D654" i="28"/>
  <c r="B654" i="28"/>
  <c r="A654" i="28"/>
  <c r="F653" i="28"/>
  <c r="D653" i="28"/>
  <c r="B653" i="28"/>
  <c r="A653" i="28"/>
  <c r="F652" i="28"/>
  <c r="D652" i="28"/>
  <c r="B652" i="28"/>
  <c r="A652" i="28"/>
  <c r="F651" i="28"/>
  <c r="D651" i="28"/>
  <c r="B651" i="28"/>
  <c r="A651" i="28"/>
  <c r="F650" i="28"/>
  <c r="D650" i="28"/>
  <c r="B650" i="28"/>
  <c r="A650" i="28"/>
  <c r="F649" i="28"/>
  <c r="D649" i="28"/>
  <c r="B649" i="28"/>
  <c r="A649" i="28"/>
  <c r="F648" i="28"/>
  <c r="D648" i="28"/>
  <c r="B648" i="28"/>
  <c r="A648" i="28"/>
  <c r="F647" i="28"/>
  <c r="D647" i="28"/>
  <c r="B647" i="28"/>
  <c r="A647" i="28"/>
  <c r="F646" i="28"/>
  <c r="D646" i="28"/>
  <c r="B646" i="28"/>
  <c r="A646" i="28"/>
  <c r="F645" i="28"/>
  <c r="D645" i="28"/>
  <c r="B645" i="28"/>
  <c r="A645" i="28"/>
  <c r="F644" i="28"/>
  <c r="D644" i="28"/>
  <c r="B644" i="28"/>
  <c r="A644" i="28"/>
  <c r="F643" i="28"/>
  <c r="D643" i="28"/>
  <c r="B643" i="28"/>
  <c r="A643" i="28"/>
  <c r="F642" i="28"/>
  <c r="D642" i="28"/>
  <c r="B642" i="28"/>
  <c r="A642" i="28"/>
  <c r="F641" i="28"/>
  <c r="D641" i="28"/>
  <c r="B641" i="28"/>
  <c r="A641" i="28"/>
  <c r="F640" i="28"/>
  <c r="D640" i="28"/>
  <c r="B640" i="28"/>
  <c r="A640" i="28"/>
  <c r="F639" i="28"/>
  <c r="D639" i="28"/>
  <c r="B639" i="28"/>
  <c r="A639" i="28"/>
  <c r="F638" i="28"/>
  <c r="D638" i="28"/>
  <c r="B638" i="28"/>
  <c r="A638" i="28"/>
  <c r="F637" i="28"/>
  <c r="D637" i="28"/>
  <c r="B637" i="28"/>
  <c r="A637" i="28"/>
  <c r="F636" i="28"/>
  <c r="D636" i="28"/>
  <c r="B636" i="28"/>
  <c r="A636" i="28"/>
  <c r="F635" i="28"/>
  <c r="D635" i="28"/>
  <c r="B635" i="28"/>
  <c r="A635" i="28"/>
  <c r="F634" i="28"/>
  <c r="D634" i="28"/>
  <c r="B634" i="28"/>
  <c r="A634" i="28"/>
  <c r="F633" i="28"/>
  <c r="D633" i="28"/>
  <c r="B633" i="28"/>
  <c r="A633" i="28"/>
  <c r="F632" i="28"/>
  <c r="D632" i="28"/>
  <c r="B632" i="28"/>
  <c r="A632" i="28"/>
  <c r="F631" i="28"/>
  <c r="D631" i="28"/>
  <c r="B631" i="28"/>
  <c r="A631" i="28"/>
  <c r="F630" i="28"/>
  <c r="D630" i="28"/>
  <c r="B630" i="28"/>
  <c r="A630" i="28"/>
  <c r="F629" i="28"/>
  <c r="D629" i="28"/>
  <c r="B629" i="28"/>
  <c r="A629" i="28"/>
  <c r="F628" i="28"/>
  <c r="D628" i="28"/>
  <c r="B628" i="28"/>
  <c r="A628" i="28"/>
  <c r="F627" i="28"/>
  <c r="D627" i="28"/>
  <c r="B627" i="28"/>
  <c r="A627" i="28"/>
  <c r="F626" i="28"/>
  <c r="D626" i="28"/>
  <c r="B626" i="28"/>
  <c r="A626" i="28"/>
  <c r="F625" i="28"/>
  <c r="D625" i="28"/>
  <c r="B625" i="28"/>
  <c r="A625" i="28"/>
  <c r="F624" i="28"/>
  <c r="D624" i="28"/>
  <c r="B624" i="28"/>
  <c r="A624" i="28"/>
  <c r="F623" i="28"/>
  <c r="D623" i="28"/>
  <c r="B623" i="28"/>
  <c r="A623" i="28"/>
  <c r="F622" i="28"/>
  <c r="D622" i="28"/>
  <c r="B622" i="28"/>
  <c r="A622" i="28"/>
  <c r="F621" i="28"/>
  <c r="D621" i="28"/>
  <c r="B621" i="28"/>
  <c r="A621" i="28"/>
  <c r="F620" i="28"/>
  <c r="D620" i="28"/>
  <c r="B620" i="28"/>
  <c r="A620" i="28"/>
  <c r="F619" i="28"/>
  <c r="D619" i="28"/>
  <c r="B619" i="28"/>
  <c r="A619" i="28"/>
  <c r="F618" i="28"/>
  <c r="D618" i="28"/>
  <c r="B618" i="28"/>
  <c r="A618" i="28"/>
  <c r="F617" i="28"/>
  <c r="D617" i="28"/>
  <c r="B617" i="28"/>
  <c r="A617" i="28"/>
  <c r="F616" i="28"/>
  <c r="D616" i="28"/>
  <c r="B616" i="28"/>
  <c r="A616" i="28"/>
  <c r="F615" i="28"/>
  <c r="D615" i="28"/>
  <c r="B615" i="28"/>
  <c r="A615" i="28"/>
  <c r="F614" i="28"/>
  <c r="D614" i="28"/>
  <c r="B614" i="28"/>
  <c r="A614" i="28"/>
  <c r="F613" i="28"/>
  <c r="D613" i="28"/>
  <c r="B613" i="28"/>
  <c r="A613" i="28"/>
  <c r="F612" i="28"/>
  <c r="D612" i="28"/>
  <c r="B612" i="28"/>
  <c r="A612" i="28"/>
  <c r="F611" i="28"/>
  <c r="D611" i="28"/>
  <c r="B611" i="28"/>
  <c r="A611" i="28"/>
  <c r="F610" i="28"/>
  <c r="D610" i="28"/>
  <c r="B610" i="28"/>
  <c r="A610" i="28"/>
  <c r="F609" i="28"/>
  <c r="D609" i="28"/>
  <c r="B609" i="28"/>
  <c r="A609" i="28"/>
  <c r="F608" i="28"/>
  <c r="D608" i="28"/>
  <c r="B608" i="28"/>
  <c r="A608" i="28"/>
  <c r="F607" i="28"/>
  <c r="D607" i="28"/>
  <c r="B607" i="28"/>
  <c r="A607" i="28"/>
  <c r="F606" i="28"/>
  <c r="D606" i="28"/>
  <c r="B606" i="28"/>
  <c r="A606" i="28"/>
  <c r="F605" i="28"/>
  <c r="D605" i="28"/>
  <c r="B605" i="28"/>
  <c r="A605" i="28"/>
  <c r="F604" i="28"/>
  <c r="D604" i="28"/>
  <c r="B604" i="28"/>
  <c r="A604" i="28"/>
  <c r="F603" i="28"/>
  <c r="D603" i="28"/>
  <c r="B603" i="28"/>
  <c r="A603" i="28"/>
  <c r="F602" i="28"/>
  <c r="D602" i="28"/>
  <c r="B602" i="28"/>
  <c r="A602" i="28"/>
  <c r="F601" i="28"/>
  <c r="D601" i="28"/>
  <c r="B601" i="28"/>
  <c r="A601" i="28"/>
  <c r="F600" i="28"/>
  <c r="D600" i="28"/>
  <c r="B600" i="28"/>
  <c r="A600" i="28"/>
  <c r="F599" i="28"/>
  <c r="D599" i="28"/>
  <c r="B599" i="28"/>
  <c r="A599" i="28"/>
  <c r="F598" i="28"/>
  <c r="D598" i="28"/>
  <c r="B598" i="28"/>
  <c r="A598" i="28"/>
  <c r="F597" i="28"/>
  <c r="D597" i="28"/>
  <c r="B597" i="28"/>
  <c r="A597" i="28"/>
  <c r="F596" i="28"/>
  <c r="D596" i="28"/>
  <c r="B596" i="28"/>
  <c r="A596" i="28"/>
  <c r="F595" i="28"/>
  <c r="D595" i="28"/>
  <c r="B595" i="28"/>
  <c r="A595" i="28"/>
  <c r="F594" i="28"/>
  <c r="D594" i="28"/>
  <c r="B594" i="28"/>
  <c r="A594" i="28"/>
  <c r="F593" i="28"/>
  <c r="D593" i="28"/>
  <c r="B593" i="28"/>
  <c r="A593" i="28"/>
  <c r="F592" i="28"/>
  <c r="D592" i="28"/>
  <c r="B592" i="28"/>
  <c r="A592" i="28"/>
  <c r="F591" i="28"/>
  <c r="D591" i="28"/>
  <c r="B591" i="28"/>
  <c r="A591" i="28"/>
  <c r="F590" i="28"/>
  <c r="D590" i="28"/>
  <c r="B590" i="28"/>
  <c r="A590" i="28"/>
  <c r="F589" i="28"/>
  <c r="D589" i="28"/>
  <c r="B589" i="28"/>
  <c r="A589" i="28"/>
  <c r="F588" i="28"/>
  <c r="D588" i="28"/>
  <c r="B588" i="28"/>
  <c r="A588" i="28"/>
  <c r="F587" i="28"/>
  <c r="D587" i="28"/>
  <c r="B587" i="28"/>
  <c r="A587" i="28"/>
  <c r="F586" i="28"/>
  <c r="D586" i="28"/>
  <c r="B586" i="28"/>
  <c r="A586" i="28"/>
  <c r="F585" i="28"/>
  <c r="D585" i="28"/>
  <c r="B585" i="28"/>
  <c r="A585" i="28"/>
  <c r="F584" i="28"/>
  <c r="D584" i="28"/>
  <c r="B584" i="28"/>
  <c r="A584" i="28"/>
  <c r="F583" i="28"/>
  <c r="D583" i="28"/>
  <c r="B583" i="28"/>
  <c r="A583" i="28"/>
  <c r="F582" i="28"/>
  <c r="D582" i="28"/>
  <c r="B582" i="28"/>
  <c r="A582" i="28"/>
  <c r="F581" i="28"/>
  <c r="D581" i="28"/>
  <c r="B581" i="28"/>
  <c r="A581" i="28"/>
  <c r="F580" i="28"/>
  <c r="D580" i="28"/>
  <c r="B580" i="28"/>
  <c r="A580" i="28"/>
  <c r="F579" i="28"/>
  <c r="D579" i="28"/>
  <c r="B579" i="28"/>
  <c r="A579" i="28"/>
  <c r="F578" i="28"/>
  <c r="D578" i="28"/>
  <c r="B578" i="28"/>
  <c r="A578" i="28"/>
  <c r="F577" i="28"/>
  <c r="D577" i="28"/>
  <c r="B577" i="28"/>
  <c r="A577" i="28"/>
  <c r="F576" i="28"/>
  <c r="D576" i="28"/>
  <c r="B576" i="28"/>
  <c r="A576" i="28"/>
  <c r="F575" i="28"/>
  <c r="D575" i="28"/>
  <c r="B575" i="28"/>
  <c r="A575" i="28"/>
  <c r="F574" i="28"/>
  <c r="D574" i="28"/>
  <c r="B574" i="28"/>
  <c r="A574" i="28"/>
  <c r="F573" i="28"/>
  <c r="D573" i="28"/>
  <c r="B573" i="28"/>
  <c r="A573" i="28"/>
  <c r="F572" i="28"/>
  <c r="D572" i="28"/>
  <c r="B572" i="28"/>
  <c r="A572" i="28"/>
  <c r="F571" i="28"/>
  <c r="D571" i="28"/>
  <c r="B571" i="28"/>
  <c r="A571" i="28"/>
  <c r="F570" i="28"/>
  <c r="D570" i="28"/>
  <c r="B570" i="28"/>
  <c r="A570" i="28"/>
  <c r="F569" i="28"/>
  <c r="D569" i="28"/>
  <c r="B569" i="28"/>
  <c r="A569" i="28"/>
  <c r="F568" i="28"/>
  <c r="D568" i="28"/>
  <c r="B568" i="28"/>
  <c r="A568" i="28"/>
  <c r="F567" i="28"/>
  <c r="D567" i="28"/>
  <c r="B567" i="28"/>
  <c r="A567" i="28"/>
  <c r="F566" i="28"/>
  <c r="D566" i="28"/>
  <c r="B566" i="28"/>
  <c r="A566" i="28"/>
  <c r="F565" i="28"/>
  <c r="D565" i="28"/>
  <c r="B565" i="28"/>
  <c r="A565" i="28"/>
  <c r="F564" i="28"/>
  <c r="D564" i="28"/>
  <c r="B564" i="28"/>
  <c r="A564" i="28"/>
  <c r="F563" i="28"/>
  <c r="D563" i="28"/>
  <c r="B563" i="28"/>
  <c r="A563" i="28"/>
  <c r="F562" i="28"/>
  <c r="D562" i="28"/>
  <c r="B562" i="28"/>
  <c r="A562" i="28"/>
  <c r="F561" i="28"/>
  <c r="D561" i="28"/>
  <c r="B561" i="28"/>
  <c r="A561" i="28"/>
  <c r="F560" i="28"/>
  <c r="D560" i="28"/>
  <c r="B560" i="28"/>
  <c r="A560" i="28"/>
  <c r="F559" i="28"/>
  <c r="D559" i="28"/>
  <c r="B559" i="28"/>
  <c r="A559" i="28"/>
  <c r="F558" i="28"/>
  <c r="D558" i="28"/>
  <c r="B558" i="28"/>
  <c r="A558" i="28"/>
  <c r="F557" i="28"/>
  <c r="D557" i="28"/>
  <c r="B557" i="28"/>
  <c r="A557" i="28"/>
  <c r="F556" i="28"/>
  <c r="D556" i="28"/>
  <c r="B556" i="28"/>
  <c r="A556" i="28"/>
  <c r="F555" i="28"/>
  <c r="D555" i="28"/>
  <c r="B555" i="28"/>
  <c r="A555" i="28"/>
  <c r="F554" i="28"/>
  <c r="D554" i="28"/>
  <c r="B554" i="28"/>
  <c r="A554" i="28"/>
  <c r="F553" i="28"/>
  <c r="D553" i="28"/>
  <c r="B553" i="28"/>
  <c r="A553" i="28"/>
  <c r="F552" i="28"/>
  <c r="D552" i="28"/>
  <c r="B552" i="28"/>
  <c r="A552" i="28"/>
  <c r="F551" i="28"/>
  <c r="D551" i="28"/>
  <c r="B551" i="28"/>
  <c r="A551" i="28"/>
  <c r="F550" i="28"/>
  <c r="D550" i="28"/>
  <c r="B550" i="28"/>
  <c r="A550" i="28"/>
  <c r="F549" i="28"/>
  <c r="D549" i="28"/>
  <c r="B549" i="28"/>
  <c r="A549" i="28"/>
  <c r="F548" i="28"/>
  <c r="D548" i="28"/>
  <c r="B548" i="28"/>
  <c r="A548" i="28"/>
  <c r="F547" i="28"/>
  <c r="D547" i="28"/>
  <c r="B547" i="28"/>
  <c r="A547" i="28"/>
  <c r="F546" i="28"/>
  <c r="D546" i="28"/>
  <c r="B546" i="28"/>
  <c r="A546" i="28"/>
  <c r="F545" i="28"/>
  <c r="D545" i="28"/>
  <c r="B545" i="28"/>
  <c r="A545" i="28"/>
  <c r="F544" i="28"/>
  <c r="D544" i="28"/>
  <c r="B544" i="28"/>
  <c r="A544" i="28"/>
  <c r="F543" i="28"/>
  <c r="D543" i="28"/>
  <c r="B543" i="28"/>
  <c r="A543" i="28"/>
  <c r="F542" i="28"/>
  <c r="D542" i="28"/>
  <c r="B542" i="28"/>
  <c r="A542" i="28"/>
  <c r="F541" i="28"/>
  <c r="D541" i="28"/>
  <c r="B541" i="28"/>
  <c r="A541" i="28"/>
  <c r="F540" i="28"/>
  <c r="D540" i="28"/>
  <c r="B540" i="28"/>
  <c r="A540" i="28"/>
  <c r="F539" i="28"/>
  <c r="D539" i="28"/>
  <c r="B539" i="28"/>
  <c r="A539" i="28"/>
  <c r="F538" i="28"/>
  <c r="D538" i="28"/>
  <c r="B538" i="28"/>
  <c r="A538" i="28"/>
  <c r="F537" i="28"/>
  <c r="D537" i="28"/>
  <c r="B537" i="28"/>
  <c r="A537" i="28"/>
  <c r="F536" i="28"/>
  <c r="D536" i="28"/>
  <c r="B536" i="28"/>
  <c r="A536" i="28"/>
  <c r="F535" i="28"/>
  <c r="D535" i="28"/>
  <c r="B535" i="28"/>
  <c r="A535" i="28"/>
  <c r="F534" i="28"/>
  <c r="D534" i="28"/>
  <c r="B534" i="28"/>
  <c r="A534" i="28"/>
  <c r="F533" i="28"/>
  <c r="D533" i="28"/>
  <c r="B533" i="28"/>
  <c r="A533" i="28"/>
  <c r="F532" i="28"/>
  <c r="D532" i="28"/>
  <c r="B532" i="28"/>
  <c r="A532" i="28"/>
  <c r="F531" i="28"/>
  <c r="D531" i="28"/>
  <c r="B531" i="28"/>
  <c r="A531" i="28"/>
  <c r="F530" i="28"/>
  <c r="D530" i="28"/>
  <c r="B530" i="28"/>
  <c r="A530" i="28"/>
  <c r="F529" i="28"/>
  <c r="D529" i="28"/>
  <c r="B529" i="28"/>
  <c r="A529" i="28"/>
  <c r="F528" i="28"/>
  <c r="D528" i="28"/>
  <c r="B528" i="28"/>
  <c r="A528" i="28"/>
  <c r="F527" i="28"/>
  <c r="D527" i="28"/>
  <c r="B527" i="28"/>
  <c r="A527" i="28"/>
  <c r="F526" i="28"/>
  <c r="D526" i="28"/>
  <c r="B526" i="28"/>
  <c r="A526" i="28"/>
  <c r="F525" i="28"/>
  <c r="D525" i="28"/>
  <c r="B525" i="28"/>
  <c r="A525" i="28"/>
  <c r="F524" i="28"/>
  <c r="D524" i="28"/>
  <c r="B524" i="28"/>
  <c r="A524" i="28"/>
  <c r="F523" i="28"/>
  <c r="D523" i="28"/>
  <c r="B523" i="28"/>
  <c r="A523" i="28"/>
  <c r="F522" i="28"/>
  <c r="D522" i="28"/>
  <c r="B522" i="28"/>
  <c r="A522" i="28"/>
  <c r="F521" i="28"/>
  <c r="D521" i="28"/>
  <c r="B521" i="28"/>
  <c r="A521" i="28"/>
  <c r="F520" i="28"/>
  <c r="D520" i="28"/>
  <c r="B520" i="28"/>
  <c r="A520" i="28"/>
  <c r="F519" i="28"/>
  <c r="D519" i="28"/>
  <c r="B519" i="28"/>
  <c r="A519" i="28"/>
  <c r="F518" i="28"/>
  <c r="D518" i="28"/>
  <c r="B518" i="28"/>
  <c r="A518" i="28"/>
  <c r="F517" i="28"/>
  <c r="D517" i="28"/>
  <c r="B517" i="28"/>
  <c r="A517" i="28"/>
  <c r="F516" i="28"/>
  <c r="D516" i="28"/>
  <c r="B516" i="28"/>
  <c r="A516" i="28"/>
  <c r="F515" i="28"/>
  <c r="D515" i="28"/>
  <c r="B515" i="28"/>
  <c r="A515" i="28"/>
  <c r="F514" i="28"/>
  <c r="D514" i="28"/>
  <c r="B514" i="28"/>
  <c r="A514" i="28"/>
  <c r="F513" i="28"/>
  <c r="D513" i="28"/>
  <c r="B513" i="28"/>
  <c r="A513" i="28"/>
  <c r="F512" i="28"/>
  <c r="D512" i="28"/>
  <c r="B512" i="28"/>
  <c r="A512" i="28"/>
  <c r="F511" i="28"/>
  <c r="D511" i="28"/>
  <c r="B511" i="28"/>
  <c r="A511" i="28"/>
  <c r="F510" i="28"/>
  <c r="D510" i="28"/>
  <c r="B510" i="28"/>
  <c r="A510" i="28"/>
  <c r="F509" i="28"/>
  <c r="D509" i="28"/>
  <c r="B509" i="28"/>
  <c r="A509" i="28"/>
  <c r="F508" i="28"/>
  <c r="D508" i="28"/>
  <c r="B508" i="28"/>
  <c r="A508" i="28"/>
  <c r="F507" i="28"/>
  <c r="D507" i="28"/>
  <c r="B507" i="28"/>
  <c r="A507" i="28"/>
  <c r="F506" i="28"/>
  <c r="D506" i="28"/>
  <c r="B506" i="28"/>
  <c r="A506" i="28"/>
  <c r="F505" i="28"/>
  <c r="D505" i="28"/>
  <c r="B505" i="28"/>
  <c r="A505" i="28"/>
  <c r="F504" i="28"/>
  <c r="D504" i="28"/>
  <c r="B504" i="28"/>
  <c r="A504" i="28"/>
  <c r="F503" i="28"/>
  <c r="D503" i="28"/>
  <c r="B503" i="28"/>
  <c r="A503" i="28"/>
  <c r="F502" i="28"/>
  <c r="D502" i="28"/>
  <c r="B502" i="28"/>
  <c r="A502" i="28"/>
  <c r="F501" i="28"/>
  <c r="D501" i="28"/>
  <c r="B501" i="28"/>
  <c r="A501" i="28"/>
  <c r="F500" i="28"/>
  <c r="D500" i="28"/>
  <c r="B500" i="28"/>
  <c r="A500" i="28"/>
  <c r="F499" i="28"/>
  <c r="D499" i="28"/>
  <c r="B499" i="28"/>
  <c r="A499" i="28"/>
  <c r="F498" i="28"/>
  <c r="D498" i="28"/>
  <c r="B498" i="28"/>
  <c r="A498" i="28"/>
  <c r="F497" i="28"/>
  <c r="D497" i="28"/>
  <c r="B497" i="28"/>
  <c r="A497" i="28"/>
  <c r="F496" i="28"/>
  <c r="D496" i="28"/>
  <c r="B496" i="28"/>
  <c r="A496" i="28"/>
  <c r="F495" i="28"/>
  <c r="D495" i="28"/>
  <c r="B495" i="28"/>
  <c r="A495" i="28"/>
  <c r="F494" i="28"/>
  <c r="D494" i="28"/>
  <c r="B494" i="28"/>
  <c r="A494" i="28"/>
  <c r="F493" i="28"/>
  <c r="D493" i="28"/>
  <c r="B493" i="28"/>
  <c r="A493" i="28"/>
  <c r="F492" i="28"/>
  <c r="D492" i="28"/>
  <c r="B492" i="28"/>
  <c r="A492" i="28"/>
  <c r="F491" i="28"/>
  <c r="D491" i="28"/>
  <c r="B491" i="28"/>
  <c r="A491" i="28"/>
  <c r="F490" i="28"/>
  <c r="D490" i="28"/>
  <c r="B490" i="28"/>
  <c r="A490" i="28"/>
  <c r="F489" i="28"/>
  <c r="D489" i="28"/>
  <c r="B489" i="28"/>
  <c r="A489" i="28"/>
  <c r="F488" i="28"/>
  <c r="D488" i="28"/>
  <c r="B488" i="28"/>
  <c r="A488" i="28"/>
  <c r="F487" i="28"/>
  <c r="D487" i="28"/>
  <c r="B487" i="28"/>
  <c r="A487" i="28"/>
  <c r="F486" i="28"/>
  <c r="D486" i="28"/>
  <c r="B486" i="28"/>
  <c r="A486" i="28"/>
  <c r="F485" i="28"/>
  <c r="D485" i="28"/>
  <c r="B485" i="28"/>
  <c r="A485" i="28"/>
  <c r="F484" i="28"/>
  <c r="D484" i="28"/>
  <c r="B484" i="28"/>
  <c r="A484" i="28"/>
  <c r="F483" i="28"/>
  <c r="D483" i="28"/>
  <c r="B483" i="28"/>
  <c r="A483" i="28"/>
  <c r="F482" i="28"/>
  <c r="D482" i="28"/>
  <c r="B482" i="28"/>
  <c r="A482" i="28"/>
  <c r="F481" i="28"/>
  <c r="D481" i="28"/>
  <c r="B481" i="28"/>
  <c r="A481" i="28"/>
  <c r="F480" i="28"/>
  <c r="D480" i="28"/>
  <c r="B480" i="28"/>
  <c r="A480" i="28"/>
  <c r="F479" i="28"/>
  <c r="D479" i="28"/>
  <c r="B479" i="28"/>
  <c r="A479" i="28"/>
  <c r="F478" i="28"/>
  <c r="D478" i="28"/>
  <c r="B478" i="28"/>
  <c r="A478" i="28"/>
  <c r="F477" i="28"/>
  <c r="D477" i="28"/>
  <c r="B477" i="28"/>
  <c r="A477" i="28"/>
  <c r="F476" i="28"/>
  <c r="D476" i="28"/>
  <c r="B476" i="28"/>
  <c r="A476" i="28"/>
  <c r="F475" i="28"/>
  <c r="D475" i="28"/>
  <c r="B475" i="28"/>
  <c r="A475" i="28"/>
  <c r="F474" i="28"/>
  <c r="D474" i="28"/>
  <c r="B474" i="28"/>
  <c r="A474" i="28"/>
  <c r="F473" i="28"/>
  <c r="D473" i="28"/>
  <c r="B473" i="28"/>
  <c r="A473" i="28"/>
  <c r="F472" i="28"/>
  <c r="D472" i="28"/>
  <c r="B472" i="28"/>
  <c r="A472" i="28"/>
  <c r="F471" i="28"/>
  <c r="D471" i="28"/>
  <c r="B471" i="28"/>
  <c r="A471" i="28"/>
  <c r="F470" i="28"/>
  <c r="D470" i="28"/>
  <c r="B470" i="28"/>
  <c r="A470" i="28"/>
  <c r="F469" i="28"/>
  <c r="D469" i="28"/>
  <c r="B469" i="28"/>
  <c r="A469" i="28"/>
  <c r="F468" i="28"/>
  <c r="D468" i="28"/>
  <c r="B468" i="28"/>
  <c r="A468" i="28"/>
  <c r="F467" i="28"/>
  <c r="D467" i="28"/>
  <c r="B467" i="28"/>
  <c r="A467" i="28"/>
  <c r="F466" i="28"/>
  <c r="D466" i="28"/>
  <c r="B466" i="28"/>
  <c r="A466" i="28"/>
  <c r="F465" i="28"/>
  <c r="D465" i="28"/>
  <c r="B465" i="28"/>
  <c r="A465" i="28"/>
  <c r="F464" i="28"/>
  <c r="D464" i="28"/>
  <c r="B464" i="28"/>
  <c r="A464" i="28"/>
  <c r="F463" i="28"/>
  <c r="D463" i="28"/>
  <c r="B463" i="28"/>
  <c r="A463" i="28"/>
  <c r="F462" i="28"/>
  <c r="D462" i="28"/>
  <c r="B462" i="28"/>
  <c r="A462" i="28"/>
  <c r="F461" i="28"/>
  <c r="D461" i="28"/>
  <c r="B461" i="28"/>
  <c r="A461" i="28"/>
  <c r="F460" i="28"/>
  <c r="D460" i="28"/>
  <c r="B460" i="28"/>
  <c r="A460" i="28"/>
  <c r="F459" i="28"/>
  <c r="D459" i="28"/>
  <c r="B459" i="28"/>
  <c r="A459" i="28"/>
  <c r="F458" i="28"/>
  <c r="D458" i="28"/>
  <c r="B458" i="28"/>
  <c r="A458" i="28"/>
  <c r="F457" i="28"/>
  <c r="D457" i="28"/>
  <c r="B457" i="28"/>
  <c r="A457" i="28"/>
  <c r="F456" i="28"/>
  <c r="D456" i="28"/>
  <c r="B456" i="28"/>
  <c r="A456" i="28"/>
  <c r="F455" i="28"/>
  <c r="D455" i="28"/>
  <c r="B455" i="28"/>
  <c r="A455" i="28"/>
  <c r="F454" i="28"/>
  <c r="D454" i="28"/>
  <c r="B454" i="28"/>
  <c r="A454" i="28"/>
  <c r="F453" i="28"/>
  <c r="D453" i="28"/>
  <c r="B453" i="28"/>
  <c r="A453" i="28"/>
  <c r="F452" i="28"/>
  <c r="D452" i="28"/>
  <c r="B452" i="28"/>
  <c r="A452" i="28"/>
  <c r="F451" i="28"/>
  <c r="D451" i="28"/>
  <c r="B451" i="28"/>
  <c r="A451" i="28"/>
  <c r="F450" i="28"/>
  <c r="D450" i="28"/>
  <c r="B450" i="28"/>
  <c r="A450" i="28"/>
  <c r="F449" i="28"/>
  <c r="D449" i="28"/>
  <c r="B449" i="28"/>
  <c r="A449" i="28"/>
  <c r="F448" i="28"/>
  <c r="D448" i="28"/>
  <c r="B448" i="28"/>
  <c r="A448" i="28"/>
  <c r="F447" i="28"/>
  <c r="D447" i="28"/>
  <c r="B447" i="28"/>
  <c r="A447" i="28"/>
  <c r="F446" i="28"/>
  <c r="D446" i="28"/>
  <c r="B446" i="28"/>
  <c r="A446" i="28"/>
  <c r="F445" i="28"/>
  <c r="D445" i="28"/>
  <c r="B445" i="28"/>
  <c r="A445" i="28"/>
  <c r="F444" i="28"/>
  <c r="D444" i="28"/>
  <c r="B444" i="28"/>
  <c r="A444" i="28"/>
  <c r="F443" i="28"/>
  <c r="D443" i="28"/>
  <c r="B443" i="28"/>
  <c r="A443" i="28"/>
  <c r="F442" i="28"/>
  <c r="D442" i="28"/>
  <c r="B442" i="28"/>
  <c r="A442" i="28"/>
  <c r="F441" i="28"/>
  <c r="D441" i="28"/>
  <c r="B441" i="28"/>
  <c r="A441" i="28"/>
  <c r="F440" i="28"/>
  <c r="D440" i="28"/>
  <c r="B440" i="28"/>
  <c r="A440" i="28"/>
  <c r="F439" i="28"/>
  <c r="D439" i="28"/>
  <c r="B439" i="28"/>
  <c r="A439" i="28"/>
  <c r="F438" i="28"/>
  <c r="D438" i="28"/>
  <c r="B438" i="28"/>
  <c r="A438" i="28"/>
  <c r="F437" i="28"/>
  <c r="D437" i="28"/>
  <c r="B437" i="28"/>
  <c r="A437" i="28"/>
  <c r="F436" i="28"/>
  <c r="D436" i="28"/>
  <c r="B436" i="28"/>
  <c r="A436" i="28"/>
  <c r="F435" i="28"/>
  <c r="D435" i="28"/>
  <c r="B435" i="28"/>
  <c r="A435" i="28"/>
  <c r="F434" i="28"/>
  <c r="D434" i="28"/>
  <c r="B434" i="28"/>
  <c r="A434" i="28"/>
  <c r="F433" i="28"/>
  <c r="D433" i="28"/>
  <c r="B433" i="28"/>
  <c r="A433" i="28"/>
  <c r="F432" i="28"/>
  <c r="D432" i="28"/>
  <c r="B432" i="28"/>
  <c r="A432" i="28"/>
  <c r="F431" i="28"/>
  <c r="D431" i="28"/>
  <c r="B431" i="28"/>
  <c r="A431" i="28"/>
  <c r="F430" i="28"/>
  <c r="D430" i="28"/>
  <c r="B430" i="28"/>
  <c r="A430" i="28"/>
  <c r="F429" i="28"/>
  <c r="D429" i="28"/>
  <c r="B429" i="28"/>
  <c r="A429" i="28"/>
  <c r="F428" i="28"/>
  <c r="D428" i="28"/>
  <c r="B428" i="28"/>
  <c r="A428" i="28"/>
  <c r="F427" i="28"/>
  <c r="D427" i="28"/>
  <c r="B427" i="28"/>
  <c r="A427" i="28"/>
  <c r="F426" i="28"/>
  <c r="D426" i="28"/>
  <c r="B426" i="28"/>
  <c r="A426" i="28"/>
  <c r="F425" i="28"/>
  <c r="D425" i="28"/>
  <c r="B425" i="28"/>
  <c r="A425" i="28"/>
  <c r="F424" i="28"/>
  <c r="D424" i="28"/>
  <c r="B424" i="28"/>
  <c r="A424" i="28"/>
  <c r="F423" i="28"/>
  <c r="D423" i="28"/>
  <c r="B423" i="28"/>
  <c r="A423" i="28"/>
  <c r="F422" i="28"/>
  <c r="D422" i="28"/>
  <c r="B422" i="28"/>
  <c r="A422" i="28"/>
  <c r="F421" i="28"/>
  <c r="D421" i="28"/>
  <c r="B421" i="28"/>
  <c r="A421" i="28"/>
  <c r="F420" i="28"/>
  <c r="D420" i="28"/>
  <c r="B420" i="28"/>
  <c r="A420" i="28"/>
  <c r="F419" i="28"/>
  <c r="D419" i="28"/>
  <c r="B419" i="28"/>
  <c r="A419" i="28"/>
  <c r="F418" i="28"/>
  <c r="D418" i="28"/>
  <c r="B418" i="28"/>
  <c r="A418" i="28"/>
  <c r="F417" i="28"/>
  <c r="D417" i="28"/>
  <c r="B417" i="28"/>
  <c r="A417" i="28"/>
  <c r="F416" i="28"/>
  <c r="D416" i="28"/>
  <c r="B416" i="28"/>
  <c r="A416" i="28"/>
  <c r="F415" i="28"/>
  <c r="D415" i="28"/>
  <c r="B415" i="28"/>
  <c r="A415" i="28"/>
  <c r="F414" i="28"/>
  <c r="D414" i="28"/>
  <c r="B414" i="28"/>
  <c r="A414" i="28"/>
  <c r="F413" i="28"/>
  <c r="D413" i="28"/>
  <c r="B413" i="28"/>
  <c r="A413" i="28"/>
  <c r="F412" i="28"/>
  <c r="D412" i="28"/>
  <c r="B412" i="28"/>
  <c r="A412" i="28"/>
  <c r="F411" i="28"/>
  <c r="D411" i="28"/>
  <c r="B411" i="28"/>
  <c r="A411" i="28"/>
  <c r="F410" i="28"/>
  <c r="D410" i="28"/>
  <c r="B410" i="28"/>
  <c r="A410" i="28"/>
  <c r="F409" i="28"/>
  <c r="D409" i="28"/>
  <c r="B409" i="28"/>
  <c r="A409" i="28"/>
  <c r="F408" i="28"/>
  <c r="D408" i="28"/>
  <c r="B408" i="28"/>
  <c r="A408" i="28"/>
  <c r="F407" i="28"/>
  <c r="D407" i="28"/>
  <c r="B407" i="28"/>
  <c r="A407" i="28"/>
  <c r="F406" i="28"/>
  <c r="D406" i="28"/>
  <c r="B406" i="28"/>
  <c r="A406" i="28"/>
  <c r="F405" i="28"/>
  <c r="D405" i="28"/>
  <c r="B405" i="28"/>
  <c r="A405" i="28"/>
  <c r="F404" i="28"/>
  <c r="D404" i="28"/>
  <c r="B404" i="28"/>
  <c r="A404" i="28"/>
  <c r="F403" i="28"/>
  <c r="D403" i="28"/>
  <c r="B403" i="28"/>
  <c r="A403" i="28"/>
  <c r="F402" i="28"/>
  <c r="D402" i="28"/>
  <c r="B402" i="28"/>
  <c r="A402" i="28"/>
  <c r="F401" i="28"/>
  <c r="D401" i="28"/>
  <c r="B401" i="28"/>
  <c r="A401" i="28"/>
  <c r="F400" i="28"/>
  <c r="D400" i="28"/>
  <c r="B400" i="28"/>
  <c r="A400" i="28"/>
  <c r="F399" i="28"/>
  <c r="D399" i="28"/>
  <c r="B399" i="28"/>
  <c r="A399" i="28"/>
  <c r="F398" i="28"/>
  <c r="D398" i="28"/>
  <c r="B398" i="28"/>
  <c r="A398" i="28"/>
  <c r="F397" i="28"/>
  <c r="D397" i="28"/>
  <c r="B397" i="28"/>
  <c r="A397" i="28"/>
  <c r="F396" i="28"/>
  <c r="D396" i="28"/>
  <c r="B396" i="28"/>
  <c r="A396" i="28"/>
  <c r="F395" i="28"/>
  <c r="D395" i="28"/>
  <c r="B395" i="28"/>
  <c r="A395" i="28"/>
  <c r="F394" i="28"/>
  <c r="D394" i="28"/>
  <c r="B394" i="28"/>
  <c r="A394" i="28"/>
  <c r="F393" i="28"/>
  <c r="D393" i="28"/>
  <c r="B393" i="28"/>
  <c r="A393" i="28"/>
  <c r="F392" i="28"/>
  <c r="D392" i="28"/>
  <c r="B392" i="28"/>
  <c r="A392" i="28"/>
  <c r="F391" i="28"/>
  <c r="D391" i="28"/>
  <c r="B391" i="28"/>
  <c r="A391" i="28"/>
  <c r="F390" i="28"/>
  <c r="D390" i="28"/>
  <c r="B390" i="28"/>
  <c r="A390" i="28"/>
  <c r="F389" i="28"/>
  <c r="D389" i="28"/>
  <c r="B389" i="28"/>
  <c r="A389" i="28"/>
  <c r="F388" i="28"/>
  <c r="D388" i="28"/>
  <c r="B388" i="28"/>
  <c r="A388" i="28"/>
  <c r="F387" i="28"/>
  <c r="D387" i="28"/>
  <c r="B387" i="28"/>
  <c r="A387" i="28"/>
  <c r="F386" i="28"/>
  <c r="D386" i="28"/>
  <c r="B386" i="28"/>
  <c r="A386" i="28"/>
  <c r="F385" i="28"/>
  <c r="D385" i="28"/>
  <c r="B385" i="28"/>
  <c r="A385" i="28"/>
  <c r="F384" i="28"/>
  <c r="D384" i="28"/>
  <c r="B384" i="28"/>
  <c r="A384" i="28"/>
  <c r="F383" i="28"/>
  <c r="D383" i="28"/>
  <c r="B383" i="28"/>
  <c r="A383" i="28"/>
  <c r="F382" i="28"/>
  <c r="D382" i="28"/>
  <c r="B382" i="28"/>
  <c r="A382" i="28"/>
  <c r="F381" i="28"/>
  <c r="D381" i="28"/>
  <c r="B381" i="28"/>
  <c r="A381" i="28"/>
  <c r="F380" i="28"/>
  <c r="D380" i="28"/>
  <c r="B380" i="28"/>
  <c r="A380" i="28"/>
  <c r="F379" i="28"/>
  <c r="D379" i="28"/>
  <c r="B379" i="28"/>
  <c r="A379" i="28"/>
  <c r="F378" i="28"/>
  <c r="D378" i="28"/>
  <c r="B378" i="28"/>
  <c r="A378" i="28"/>
  <c r="F377" i="28"/>
  <c r="D377" i="28"/>
  <c r="B377" i="28"/>
  <c r="A377" i="28"/>
  <c r="F376" i="28"/>
  <c r="D376" i="28"/>
  <c r="B376" i="28"/>
  <c r="A376" i="28"/>
  <c r="F375" i="28"/>
  <c r="D375" i="28"/>
  <c r="B375" i="28"/>
  <c r="A375" i="28"/>
  <c r="F374" i="28"/>
  <c r="D374" i="28"/>
  <c r="B374" i="28"/>
  <c r="A374" i="28"/>
  <c r="F373" i="28"/>
  <c r="D373" i="28"/>
  <c r="B373" i="28"/>
  <c r="A373" i="28"/>
  <c r="F372" i="28"/>
  <c r="D372" i="28"/>
  <c r="B372" i="28"/>
  <c r="A372" i="28"/>
  <c r="F371" i="28"/>
  <c r="D371" i="28"/>
  <c r="B371" i="28"/>
  <c r="A371" i="28"/>
  <c r="F370" i="28"/>
  <c r="D370" i="28"/>
  <c r="B370" i="28"/>
  <c r="A370" i="28"/>
  <c r="F369" i="28"/>
  <c r="D369" i="28"/>
  <c r="B369" i="28"/>
  <c r="A369" i="28"/>
  <c r="F368" i="28"/>
  <c r="D368" i="28"/>
  <c r="B368" i="28"/>
  <c r="A368" i="28"/>
  <c r="F367" i="28"/>
  <c r="D367" i="28"/>
  <c r="B367" i="28"/>
  <c r="A367" i="28"/>
  <c r="F366" i="28"/>
  <c r="D366" i="28"/>
  <c r="B366" i="28"/>
  <c r="A366" i="28"/>
  <c r="F365" i="28"/>
  <c r="D365" i="28"/>
  <c r="B365" i="28"/>
  <c r="A365" i="28"/>
  <c r="F364" i="28"/>
  <c r="D364" i="28"/>
  <c r="B364" i="28"/>
  <c r="A364" i="28"/>
  <c r="F363" i="28"/>
  <c r="D363" i="28"/>
  <c r="B363" i="28"/>
  <c r="A363" i="28"/>
  <c r="F362" i="28"/>
  <c r="D362" i="28"/>
  <c r="B362" i="28"/>
  <c r="A362" i="28"/>
  <c r="F361" i="28"/>
  <c r="D361" i="28"/>
  <c r="B361" i="28"/>
  <c r="A361" i="28"/>
  <c r="F360" i="28"/>
  <c r="D360" i="28"/>
  <c r="B360" i="28"/>
  <c r="A360" i="28"/>
  <c r="F359" i="28"/>
  <c r="D359" i="28"/>
  <c r="B359" i="28"/>
  <c r="A359" i="28"/>
  <c r="F358" i="28"/>
  <c r="D358" i="28"/>
  <c r="B358" i="28"/>
  <c r="A358" i="28"/>
  <c r="F357" i="28"/>
  <c r="D357" i="28"/>
  <c r="B357" i="28"/>
  <c r="A357" i="28"/>
  <c r="F356" i="28"/>
  <c r="D356" i="28"/>
  <c r="B356" i="28"/>
  <c r="A356" i="28"/>
  <c r="F355" i="28"/>
  <c r="D355" i="28"/>
  <c r="B355" i="28"/>
  <c r="A355" i="28"/>
  <c r="F354" i="28"/>
  <c r="D354" i="28"/>
  <c r="B354" i="28"/>
  <c r="A354" i="28"/>
  <c r="F353" i="28"/>
  <c r="D353" i="28"/>
  <c r="B353" i="28"/>
  <c r="A353" i="28"/>
  <c r="F352" i="28"/>
  <c r="D352" i="28"/>
  <c r="B352" i="28"/>
  <c r="A352" i="28"/>
  <c r="F351" i="28"/>
  <c r="D351" i="28"/>
  <c r="B351" i="28"/>
  <c r="A351" i="28"/>
  <c r="F350" i="28"/>
  <c r="D350" i="28"/>
  <c r="B350" i="28"/>
  <c r="A350" i="28"/>
  <c r="F349" i="28"/>
  <c r="D349" i="28"/>
  <c r="B349" i="28"/>
  <c r="A349" i="28"/>
  <c r="F348" i="28"/>
  <c r="D348" i="28"/>
  <c r="B348" i="28"/>
  <c r="A348" i="28"/>
  <c r="F347" i="28"/>
  <c r="D347" i="28"/>
  <c r="B347" i="28"/>
  <c r="A347" i="28"/>
  <c r="F346" i="28"/>
  <c r="D346" i="28"/>
  <c r="B346" i="28"/>
  <c r="A346" i="28"/>
  <c r="F345" i="28"/>
  <c r="D345" i="28"/>
  <c r="B345" i="28"/>
  <c r="A345" i="28"/>
  <c r="F344" i="28"/>
  <c r="D344" i="28"/>
  <c r="B344" i="28"/>
  <c r="A344" i="28"/>
  <c r="F343" i="28"/>
  <c r="D343" i="28"/>
  <c r="B343" i="28"/>
  <c r="A343" i="28"/>
  <c r="F342" i="28"/>
  <c r="D342" i="28"/>
  <c r="B342" i="28"/>
  <c r="A342" i="28"/>
  <c r="F341" i="28"/>
  <c r="D341" i="28"/>
  <c r="B341" i="28"/>
  <c r="A341" i="28"/>
  <c r="F340" i="28"/>
  <c r="D340" i="28"/>
  <c r="B340" i="28"/>
  <c r="A340" i="28"/>
  <c r="F339" i="28"/>
  <c r="D339" i="28"/>
  <c r="B339" i="28"/>
  <c r="A339" i="28"/>
  <c r="F338" i="28"/>
  <c r="D338" i="28"/>
  <c r="B338" i="28"/>
  <c r="A338" i="28"/>
  <c r="F337" i="28"/>
  <c r="D337" i="28"/>
  <c r="B337" i="28"/>
  <c r="A337" i="28"/>
  <c r="F336" i="28"/>
  <c r="D336" i="28"/>
  <c r="B336" i="28"/>
  <c r="A336" i="28"/>
  <c r="F335" i="28"/>
  <c r="D335" i="28"/>
  <c r="B335" i="28"/>
  <c r="A335" i="28"/>
  <c r="F334" i="28"/>
  <c r="D334" i="28"/>
  <c r="B334" i="28"/>
  <c r="A334" i="28"/>
  <c r="F333" i="28"/>
  <c r="D333" i="28"/>
  <c r="B333" i="28"/>
  <c r="A333" i="28"/>
  <c r="F332" i="28"/>
  <c r="D332" i="28"/>
  <c r="B332" i="28"/>
  <c r="A332" i="28"/>
  <c r="F331" i="28"/>
  <c r="D331" i="28"/>
  <c r="B331" i="28"/>
  <c r="A331" i="28"/>
  <c r="F330" i="28"/>
  <c r="D330" i="28"/>
  <c r="B330" i="28"/>
  <c r="A330" i="28"/>
  <c r="F329" i="28"/>
  <c r="D329" i="28"/>
  <c r="B329" i="28"/>
  <c r="A329" i="28"/>
  <c r="F328" i="28"/>
  <c r="D328" i="28"/>
  <c r="B328" i="28"/>
  <c r="A328" i="28"/>
  <c r="F327" i="28"/>
  <c r="D327" i="28"/>
  <c r="B327" i="28"/>
  <c r="A327" i="28"/>
  <c r="F326" i="28"/>
  <c r="D326" i="28"/>
  <c r="B326" i="28"/>
  <c r="A326" i="28"/>
  <c r="F325" i="28"/>
  <c r="D325" i="28"/>
  <c r="B325" i="28"/>
  <c r="A325" i="28"/>
  <c r="F324" i="28"/>
  <c r="D324" i="28"/>
  <c r="B324" i="28"/>
  <c r="A324" i="28"/>
  <c r="F323" i="28"/>
  <c r="D323" i="28"/>
  <c r="B323" i="28"/>
  <c r="A323" i="28"/>
  <c r="F322" i="28"/>
  <c r="D322" i="28"/>
  <c r="B322" i="28"/>
  <c r="A322" i="28"/>
  <c r="F321" i="28"/>
  <c r="D321" i="28"/>
  <c r="B321" i="28"/>
  <c r="A321" i="28"/>
  <c r="F320" i="28"/>
  <c r="D320" i="28"/>
  <c r="B320" i="28"/>
  <c r="A320" i="28"/>
  <c r="F319" i="28"/>
  <c r="D319" i="28"/>
  <c r="B319" i="28"/>
  <c r="A319" i="28"/>
  <c r="F318" i="28"/>
  <c r="D318" i="28"/>
  <c r="B318" i="28"/>
  <c r="A318" i="28"/>
  <c r="F317" i="28"/>
  <c r="D317" i="28"/>
  <c r="B317" i="28"/>
  <c r="A317" i="28"/>
  <c r="F316" i="28"/>
  <c r="D316" i="28"/>
  <c r="B316" i="28"/>
  <c r="A316" i="28"/>
  <c r="F315" i="28"/>
  <c r="D315" i="28"/>
  <c r="B315" i="28"/>
  <c r="A315" i="28"/>
  <c r="F314" i="28"/>
  <c r="D314" i="28"/>
  <c r="B314" i="28"/>
  <c r="A314" i="28"/>
  <c r="F313" i="28"/>
  <c r="D313" i="28"/>
  <c r="B313" i="28"/>
  <c r="A313" i="28"/>
  <c r="F312" i="28"/>
  <c r="D312" i="28"/>
  <c r="B312" i="28"/>
  <c r="A312" i="28"/>
  <c r="F311" i="28"/>
  <c r="D311" i="28"/>
  <c r="B311" i="28"/>
  <c r="A311" i="28"/>
  <c r="F310" i="28"/>
  <c r="D310" i="28"/>
  <c r="B310" i="28"/>
  <c r="A310" i="28"/>
  <c r="F309" i="28"/>
  <c r="D309" i="28"/>
  <c r="B309" i="28"/>
  <c r="A309" i="28"/>
  <c r="F308" i="28"/>
  <c r="D308" i="28"/>
  <c r="B308" i="28"/>
  <c r="A308" i="28"/>
  <c r="F307" i="28"/>
  <c r="D307" i="28"/>
  <c r="B307" i="28"/>
  <c r="A307" i="28"/>
  <c r="F306" i="28"/>
  <c r="D306" i="28"/>
  <c r="B306" i="28"/>
  <c r="A306" i="28"/>
  <c r="F305" i="28"/>
  <c r="D305" i="28"/>
  <c r="B305" i="28"/>
  <c r="A305" i="28"/>
  <c r="F304" i="28"/>
  <c r="D304" i="28"/>
  <c r="B304" i="28"/>
  <c r="A304" i="28"/>
  <c r="F303" i="28"/>
  <c r="D303" i="28"/>
  <c r="B303" i="28"/>
  <c r="A303" i="28"/>
  <c r="F302" i="28"/>
  <c r="D302" i="28"/>
  <c r="B302" i="28"/>
  <c r="A302" i="28"/>
  <c r="F301" i="28"/>
  <c r="D301" i="28"/>
  <c r="B301" i="28"/>
  <c r="A301" i="28"/>
  <c r="F300" i="28"/>
  <c r="D300" i="28"/>
  <c r="B300" i="28"/>
  <c r="A300" i="28"/>
  <c r="F299" i="28"/>
  <c r="D299" i="28"/>
  <c r="B299" i="28"/>
  <c r="A299" i="28"/>
  <c r="F298" i="28"/>
  <c r="D298" i="28"/>
  <c r="B298" i="28"/>
  <c r="A298" i="28"/>
  <c r="F297" i="28"/>
  <c r="D297" i="28"/>
  <c r="B297" i="28"/>
  <c r="A297" i="28"/>
  <c r="F296" i="28"/>
  <c r="D296" i="28"/>
  <c r="B296" i="28"/>
  <c r="A296" i="28"/>
  <c r="F295" i="28"/>
  <c r="D295" i="28"/>
  <c r="B295" i="28"/>
  <c r="A295" i="28"/>
  <c r="F294" i="28"/>
  <c r="D294" i="28"/>
  <c r="B294" i="28"/>
  <c r="A294" i="28"/>
  <c r="F293" i="28"/>
  <c r="D293" i="28"/>
  <c r="B293" i="28"/>
  <c r="A293" i="28"/>
  <c r="F292" i="28"/>
  <c r="D292" i="28"/>
  <c r="B292" i="28"/>
  <c r="A292" i="28"/>
  <c r="F291" i="28"/>
  <c r="D291" i="28"/>
  <c r="B291" i="28"/>
  <c r="A291" i="28"/>
  <c r="F290" i="28"/>
  <c r="D290" i="28"/>
  <c r="B290" i="28"/>
  <c r="A290" i="28"/>
  <c r="F289" i="28"/>
  <c r="D289" i="28"/>
  <c r="B289" i="28"/>
  <c r="A289" i="28"/>
  <c r="F288" i="28"/>
  <c r="D288" i="28"/>
  <c r="B288" i="28"/>
  <c r="A288" i="28"/>
  <c r="F287" i="28"/>
  <c r="D287" i="28"/>
  <c r="B287" i="28"/>
  <c r="A287" i="28"/>
  <c r="F286" i="28"/>
  <c r="D286" i="28"/>
  <c r="B286" i="28"/>
  <c r="A286" i="28"/>
  <c r="F285" i="28"/>
  <c r="D285" i="28"/>
  <c r="B285" i="28"/>
  <c r="A285" i="28"/>
  <c r="F284" i="28"/>
  <c r="D284" i="28"/>
  <c r="B284" i="28"/>
  <c r="A284" i="28"/>
  <c r="F283" i="28"/>
  <c r="D283" i="28"/>
  <c r="B283" i="28"/>
  <c r="A283" i="28"/>
  <c r="F282" i="28"/>
  <c r="D282" i="28"/>
  <c r="B282" i="28"/>
  <c r="A282" i="28"/>
  <c r="F281" i="28"/>
  <c r="D281" i="28"/>
  <c r="B281" i="28"/>
  <c r="A281" i="28"/>
  <c r="F280" i="28"/>
  <c r="D280" i="28"/>
  <c r="B280" i="28"/>
  <c r="A280" i="28"/>
  <c r="F279" i="28"/>
  <c r="D279" i="28"/>
  <c r="B279" i="28"/>
  <c r="A279" i="28"/>
  <c r="F278" i="28"/>
  <c r="D278" i="28"/>
  <c r="B278" i="28"/>
  <c r="A278" i="28"/>
  <c r="F277" i="28"/>
  <c r="D277" i="28"/>
  <c r="B277" i="28"/>
  <c r="A277" i="28"/>
  <c r="F276" i="28"/>
  <c r="D276" i="28"/>
  <c r="B276" i="28"/>
  <c r="A276" i="28"/>
  <c r="F275" i="28"/>
  <c r="D275" i="28"/>
  <c r="B275" i="28"/>
  <c r="A275" i="28"/>
  <c r="F274" i="28"/>
  <c r="D274" i="28"/>
  <c r="B274" i="28"/>
  <c r="A274" i="28"/>
  <c r="F273" i="28"/>
  <c r="D273" i="28"/>
  <c r="B273" i="28"/>
  <c r="A273" i="28"/>
  <c r="F272" i="28"/>
  <c r="D272" i="28"/>
  <c r="B272" i="28"/>
  <c r="A272" i="28"/>
  <c r="F271" i="28"/>
  <c r="D271" i="28"/>
  <c r="B271" i="28"/>
  <c r="A271" i="28"/>
  <c r="F270" i="28"/>
  <c r="D270" i="28"/>
  <c r="B270" i="28"/>
  <c r="A270" i="28"/>
  <c r="F269" i="28"/>
  <c r="D269" i="28"/>
  <c r="B269" i="28"/>
  <c r="A269" i="28"/>
  <c r="F268" i="28"/>
  <c r="D268" i="28"/>
  <c r="B268" i="28"/>
  <c r="A268" i="28"/>
  <c r="F267" i="28"/>
  <c r="D267" i="28"/>
  <c r="B267" i="28"/>
  <c r="A267" i="28"/>
  <c r="F266" i="28"/>
  <c r="D266" i="28"/>
  <c r="B266" i="28"/>
  <c r="A266" i="28"/>
  <c r="F265" i="28"/>
  <c r="D265" i="28"/>
  <c r="B265" i="28"/>
  <c r="A265" i="28"/>
  <c r="F264" i="28"/>
  <c r="D264" i="28"/>
  <c r="B264" i="28"/>
  <c r="A264" i="28"/>
  <c r="F263" i="28"/>
  <c r="D263" i="28"/>
  <c r="B263" i="28"/>
  <c r="A263" i="28"/>
  <c r="F262" i="28"/>
  <c r="D262" i="28"/>
  <c r="B262" i="28"/>
  <c r="A262" i="28"/>
  <c r="F261" i="28"/>
  <c r="D261" i="28"/>
  <c r="B261" i="28"/>
  <c r="A261" i="28"/>
  <c r="F260" i="28"/>
  <c r="D260" i="28"/>
  <c r="B260" i="28"/>
  <c r="A260" i="28"/>
  <c r="F259" i="28"/>
  <c r="D259" i="28"/>
  <c r="B259" i="28"/>
  <c r="A259" i="28"/>
  <c r="F258" i="28"/>
  <c r="D258" i="28"/>
  <c r="B258" i="28"/>
  <c r="A258" i="28"/>
  <c r="F257" i="28"/>
  <c r="D257" i="28"/>
  <c r="B257" i="28"/>
  <c r="A257" i="28"/>
  <c r="F256" i="28"/>
  <c r="D256" i="28"/>
  <c r="B256" i="28"/>
  <c r="A256" i="28"/>
  <c r="F255" i="28"/>
  <c r="D255" i="28"/>
  <c r="B255" i="28"/>
  <c r="A255" i="28"/>
  <c r="F254" i="28"/>
  <c r="D254" i="28"/>
  <c r="B254" i="28"/>
  <c r="A254" i="28"/>
  <c r="F253" i="28"/>
  <c r="D253" i="28"/>
  <c r="B253" i="28"/>
  <c r="A253" i="28"/>
  <c r="F252" i="28"/>
  <c r="D252" i="28"/>
  <c r="B252" i="28"/>
  <c r="A252" i="28"/>
  <c r="F251" i="28"/>
  <c r="D251" i="28"/>
  <c r="B251" i="28"/>
  <c r="A251" i="28"/>
  <c r="F250" i="28"/>
  <c r="D250" i="28"/>
  <c r="B250" i="28"/>
  <c r="A250" i="28"/>
  <c r="F249" i="28"/>
  <c r="D249" i="28"/>
  <c r="B249" i="28"/>
  <c r="A249" i="28"/>
  <c r="F248" i="28"/>
  <c r="D248" i="28"/>
  <c r="B248" i="28"/>
  <c r="A248" i="28"/>
  <c r="F247" i="28"/>
  <c r="D247" i="28"/>
  <c r="B247" i="28"/>
  <c r="A247" i="28"/>
  <c r="F246" i="28"/>
  <c r="D246" i="28"/>
  <c r="B246" i="28"/>
  <c r="A246" i="28"/>
  <c r="F245" i="28"/>
  <c r="D245" i="28"/>
  <c r="B245" i="28"/>
  <c r="A245" i="28"/>
  <c r="F244" i="28"/>
  <c r="D244" i="28"/>
  <c r="B244" i="28"/>
  <c r="A244" i="28"/>
  <c r="F243" i="28"/>
  <c r="D243" i="28"/>
  <c r="B243" i="28"/>
  <c r="A243" i="28"/>
  <c r="F242" i="28"/>
  <c r="D242" i="28"/>
  <c r="B242" i="28"/>
  <c r="A242" i="28"/>
  <c r="F241" i="28"/>
  <c r="D241" i="28"/>
  <c r="B241" i="28"/>
  <c r="A241" i="28"/>
  <c r="F240" i="28"/>
  <c r="D240" i="28"/>
  <c r="B240" i="28"/>
  <c r="A240" i="28"/>
  <c r="F239" i="28"/>
  <c r="D239" i="28"/>
  <c r="B239" i="28"/>
  <c r="A239" i="28"/>
  <c r="F238" i="28"/>
  <c r="D238" i="28"/>
  <c r="B238" i="28"/>
  <c r="A238" i="28"/>
  <c r="F237" i="28"/>
  <c r="D237" i="28"/>
  <c r="B237" i="28"/>
  <c r="A237" i="28"/>
  <c r="F236" i="28"/>
  <c r="D236" i="28"/>
  <c r="B236" i="28"/>
  <c r="A236" i="28"/>
  <c r="F235" i="28"/>
  <c r="D235" i="28"/>
  <c r="B235" i="28"/>
  <c r="A235" i="28"/>
  <c r="F234" i="28"/>
  <c r="D234" i="28"/>
  <c r="B234" i="28"/>
  <c r="A234" i="28"/>
  <c r="F233" i="28"/>
  <c r="D233" i="28"/>
  <c r="B233" i="28"/>
  <c r="A233" i="28"/>
  <c r="F232" i="28"/>
  <c r="D232" i="28"/>
  <c r="B232" i="28"/>
  <c r="A232" i="28"/>
  <c r="F231" i="28"/>
  <c r="D231" i="28"/>
  <c r="B231" i="28"/>
  <c r="A231" i="28"/>
  <c r="F230" i="28"/>
  <c r="D230" i="28"/>
  <c r="B230" i="28"/>
  <c r="A230" i="28"/>
  <c r="F229" i="28"/>
  <c r="D229" i="28"/>
  <c r="B229" i="28"/>
  <c r="A229" i="28"/>
  <c r="F228" i="28"/>
  <c r="D228" i="28"/>
  <c r="B228" i="28"/>
  <c r="A228" i="28"/>
  <c r="F227" i="28"/>
  <c r="D227" i="28"/>
  <c r="B227" i="28"/>
  <c r="A227" i="28"/>
  <c r="F226" i="28"/>
  <c r="D226" i="28"/>
  <c r="B226" i="28"/>
  <c r="A226" i="28"/>
  <c r="F225" i="28"/>
  <c r="D225" i="28"/>
  <c r="B225" i="28"/>
  <c r="A225" i="28"/>
  <c r="F224" i="28"/>
  <c r="D224" i="28"/>
  <c r="B224" i="28"/>
  <c r="A224" i="28"/>
  <c r="F223" i="28"/>
  <c r="D223" i="28"/>
  <c r="B223" i="28"/>
  <c r="A223" i="28"/>
  <c r="F222" i="28"/>
  <c r="D222" i="28"/>
  <c r="B222" i="28"/>
  <c r="A222" i="28"/>
  <c r="F221" i="28"/>
  <c r="D221" i="28"/>
  <c r="B221" i="28"/>
  <c r="A221" i="28"/>
  <c r="F220" i="28"/>
  <c r="D220" i="28"/>
  <c r="B220" i="28"/>
  <c r="A220" i="28"/>
  <c r="F219" i="28"/>
  <c r="D219" i="28"/>
  <c r="B219" i="28"/>
  <c r="A219" i="28"/>
  <c r="F218" i="28"/>
  <c r="D218" i="28"/>
  <c r="B218" i="28"/>
  <c r="A218" i="28"/>
  <c r="F217" i="28"/>
  <c r="D217" i="28"/>
  <c r="B217" i="28"/>
  <c r="A217" i="28"/>
  <c r="F216" i="28"/>
  <c r="D216" i="28"/>
  <c r="B216" i="28"/>
  <c r="A216" i="28"/>
  <c r="F215" i="28"/>
  <c r="D215" i="28"/>
  <c r="B215" i="28"/>
  <c r="A215" i="28"/>
  <c r="A214" i="28"/>
  <c r="F213" i="28"/>
  <c r="D213" i="28"/>
  <c r="B213" i="28"/>
  <c r="A213" i="28"/>
  <c r="F212" i="28"/>
  <c r="D212" i="28"/>
  <c r="B212" i="28"/>
  <c r="A212" i="28"/>
  <c r="F211" i="28"/>
  <c r="D211" i="28"/>
  <c r="B211" i="28"/>
  <c r="A211" i="28"/>
  <c r="F210" i="28"/>
  <c r="D210" i="28"/>
  <c r="B210" i="28"/>
  <c r="A210" i="28"/>
  <c r="F209" i="28"/>
  <c r="D209" i="28"/>
  <c r="B209" i="28"/>
  <c r="A209" i="28"/>
  <c r="F208" i="28"/>
  <c r="D208" i="28"/>
  <c r="B208" i="28"/>
  <c r="A208" i="28"/>
  <c r="F207" i="28"/>
  <c r="D207" i="28"/>
  <c r="B207" i="28"/>
  <c r="A207" i="28"/>
  <c r="F206" i="28"/>
  <c r="D206" i="28"/>
  <c r="B206" i="28"/>
  <c r="A206" i="28"/>
  <c r="F205" i="28"/>
  <c r="D205" i="28"/>
  <c r="B205" i="28"/>
  <c r="A205" i="28"/>
  <c r="F204" i="28"/>
  <c r="D204" i="28"/>
  <c r="B204" i="28"/>
  <c r="A204" i="28"/>
  <c r="F203" i="28"/>
  <c r="D203" i="28"/>
  <c r="B203" i="28"/>
  <c r="A203" i="28"/>
  <c r="F202" i="28"/>
  <c r="D202" i="28"/>
  <c r="B202" i="28"/>
  <c r="A202" i="28"/>
  <c r="F201" i="28"/>
  <c r="D201" i="28"/>
  <c r="B201" i="28"/>
  <c r="A201" i="28"/>
  <c r="F200" i="28"/>
  <c r="D200" i="28"/>
  <c r="B200" i="28"/>
  <c r="A200" i="28"/>
  <c r="F199" i="28"/>
  <c r="D199" i="28"/>
  <c r="B199" i="28"/>
  <c r="A199" i="28"/>
  <c r="F198" i="28"/>
  <c r="D198" i="28"/>
  <c r="B198" i="28"/>
  <c r="A198" i="28"/>
  <c r="F197" i="28"/>
  <c r="D197" i="28"/>
  <c r="B197" i="28"/>
  <c r="A197" i="28"/>
  <c r="F196" i="28"/>
  <c r="D196" i="28"/>
  <c r="B196" i="28"/>
  <c r="A196" i="28"/>
  <c r="F195" i="28"/>
  <c r="D195" i="28"/>
  <c r="B195" i="28"/>
  <c r="A195" i="28"/>
  <c r="F194" i="28"/>
  <c r="D194" i="28"/>
  <c r="B194" i="28"/>
  <c r="A194" i="28"/>
  <c r="F193" i="28"/>
  <c r="D193" i="28"/>
  <c r="B193" i="28"/>
  <c r="A193" i="28"/>
  <c r="F192" i="28"/>
  <c r="D192" i="28"/>
  <c r="B192" i="28"/>
  <c r="A192" i="28"/>
  <c r="F191" i="28"/>
  <c r="D191" i="28"/>
  <c r="B191" i="28"/>
  <c r="A191" i="28"/>
  <c r="F190" i="28"/>
  <c r="D190" i="28"/>
  <c r="B190" i="28"/>
  <c r="A190" i="28"/>
  <c r="F189" i="28"/>
  <c r="D189" i="28"/>
  <c r="B189" i="28"/>
  <c r="A189" i="28"/>
  <c r="F188" i="28"/>
  <c r="D188" i="28"/>
  <c r="B188" i="28"/>
  <c r="A188" i="28"/>
  <c r="F187" i="28"/>
  <c r="D187" i="28"/>
  <c r="B187" i="28"/>
  <c r="A187" i="28"/>
  <c r="F186" i="28"/>
  <c r="D186" i="28"/>
  <c r="B186" i="28"/>
  <c r="A186" i="28"/>
  <c r="F185" i="28"/>
  <c r="D185" i="28"/>
  <c r="B185" i="28"/>
  <c r="A185" i="28"/>
  <c r="F184" i="28"/>
  <c r="D184" i="28"/>
  <c r="B184" i="28"/>
  <c r="A184" i="28"/>
  <c r="F183" i="28"/>
  <c r="D183" i="28"/>
  <c r="B183" i="28"/>
  <c r="A183" i="28"/>
  <c r="F182" i="28"/>
  <c r="D182" i="28"/>
  <c r="B182" i="28"/>
  <c r="A182" i="28"/>
  <c r="F181" i="28"/>
  <c r="D181" i="28"/>
  <c r="B181" i="28"/>
  <c r="A181" i="28"/>
  <c r="F180" i="28"/>
  <c r="D180" i="28"/>
  <c r="B180" i="28"/>
  <c r="A180" i="28"/>
  <c r="F179" i="28"/>
  <c r="D179" i="28"/>
  <c r="B179" i="28"/>
  <c r="A179" i="28"/>
  <c r="F178" i="28"/>
  <c r="D178" i="28"/>
  <c r="B178" i="28"/>
  <c r="A178" i="28"/>
  <c r="F177" i="28"/>
  <c r="D177" i="28"/>
  <c r="B177" i="28"/>
  <c r="A177" i="28"/>
  <c r="F176" i="28"/>
  <c r="D176" i="28"/>
  <c r="B176" i="28"/>
  <c r="A176" i="28"/>
  <c r="F175" i="28"/>
  <c r="D175" i="28"/>
  <c r="B175" i="28"/>
  <c r="A175" i="28"/>
  <c r="F174" i="28"/>
  <c r="D174" i="28"/>
  <c r="B174" i="28"/>
  <c r="A174" i="28"/>
  <c r="F173" i="28"/>
  <c r="D173" i="28"/>
  <c r="B173" i="28"/>
  <c r="A173" i="28"/>
  <c r="F172" i="28"/>
  <c r="D172" i="28"/>
  <c r="B172" i="28"/>
  <c r="A172" i="28"/>
  <c r="F171" i="28"/>
  <c r="D171" i="28"/>
  <c r="B171" i="28"/>
  <c r="A171" i="28"/>
  <c r="F170" i="28"/>
  <c r="D170" i="28"/>
  <c r="B170" i="28"/>
  <c r="A170" i="28"/>
  <c r="F169" i="28"/>
  <c r="D169" i="28"/>
  <c r="B169" i="28"/>
  <c r="A169" i="28"/>
  <c r="F168" i="28"/>
  <c r="D168" i="28"/>
  <c r="B168" i="28"/>
  <c r="A168" i="28"/>
  <c r="F167" i="28"/>
  <c r="D167" i="28"/>
  <c r="B167" i="28"/>
  <c r="A167" i="28"/>
  <c r="F166" i="28"/>
  <c r="D166" i="28"/>
  <c r="B166" i="28"/>
  <c r="A166" i="28"/>
  <c r="F165" i="28"/>
  <c r="D165" i="28"/>
  <c r="B165" i="28"/>
  <c r="A165" i="28"/>
  <c r="F164" i="28"/>
  <c r="D164" i="28"/>
  <c r="B164" i="28"/>
  <c r="A164" i="28"/>
  <c r="F163" i="28"/>
  <c r="D163" i="28"/>
  <c r="B163" i="28"/>
  <c r="A163" i="28"/>
  <c r="F162" i="28"/>
  <c r="D162" i="28"/>
  <c r="B162" i="28"/>
  <c r="A162" i="28"/>
  <c r="F161" i="28"/>
  <c r="D161" i="28"/>
  <c r="B161" i="28"/>
  <c r="A161" i="28"/>
  <c r="F160" i="28"/>
  <c r="D160" i="28"/>
  <c r="B160" i="28"/>
  <c r="A160" i="28"/>
  <c r="F159" i="28"/>
  <c r="D159" i="28"/>
  <c r="B159" i="28"/>
  <c r="A159" i="28"/>
  <c r="F158" i="28"/>
  <c r="D158" i="28"/>
  <c r="B158" i="28"/>
  <c r="A158" i="28"/>
  <c r="F157" i="28"/>
  <c r="D157" i="28"/>
  <c r="B157" i="28"/>
  <c r="A157" i="28"/>
  <c r="F156" i="28"/>
  <c r="D156" i="28"/>
  <c r="B156" i="28"/>
  <c r="A156" i="28"/>
  <c r="F155" i="28"/>
  <c r="D155" i="28"/>
  <c r="B155" i="28"/>
  <c r="A155" i="28"/>
  <c r="F154" i="28"/>
  <c r="D154" i="28"/>
  <c r="B154" i="28"/>
  <c r="A154" i="28"/>
  <c r="F153" i="28"/>
  <c r="D153" i="28"/>
  <c r="B153" i="28"/>
  <c r="A153" i="28"/>
  <c r="F152" i="28"/>
  <c r="D152" i="28"/>
  <c r="B152" i="28"/>
  <c r="A152" i="28"/>
  <c r="F151" i="28"/>
  <c r="D151" i="28"/>
  <c r="B151" i="28"/>
  <c r="A151" i="28"/>
  <c r="F150" i="28"/>
  <c r="D150" i="28"/>
  <c r="B150" i="28"/>
  <c r="A150" i="28"/>
  <c r="F149" i="28"/>
  <c r="D149" i="28"/>
  <c r="B149" i="28"/>
  <c r="A149" i="28"/>
  <c r="F148" i="28"/>
  <c r="D148" i="28"/>
  <c r="B148" i="28"/>
  <c r="A148" i="28"/>
  <c r="F147" i="28"/>
  <c r="D147" i="28"/>
  <c r="B147" i="28"/>
  <c r="A147" i="28"/>
  <c r="F146" i="28"/>
  <c r="D146" i="28"/>
  <c r="B146" i="28"/>
  <c r="A146" i="28"/>
  <c r="F145" i="28"/>
  <c r="D145" i="28"/>
  <c r="B145" i="28"/>
  <c r="A145" i="28"/>
  <c r="F144" i="28"/>
  <c r="D144" i="28"/>
  <c r="B144" i="28"/>
  <c r="A144" i="28"/>
  <c r="F143" i="28"/>
  <c r="D143" i="28"/>
  <c r="B143" i="28"/>
  <c r="A143" i="28"/>
  <c r="F142" i="28"/>
  <c r="D142" i="28"/>
  <c r="B142" i="28"/>
  <c r="A142" i="28"/>
  <c r="F141" i="28"/>
  <c r="D141" i="28"/>
  <c r="B141" i="28"/>
  <c r="A141" i="28"/>
  <c r="F140" i="28"/>
  <c r="D140" i="28"/>
  <c r="B140" i="28"/>
  <c r="A140" i="28"/>
  <c r="F139" i="28"/>
  <c r="D139" i="28"/>
  <c r="B139" i="28"/>
  <c r="A139" i="28"/>
  <c r="F138" i="28"/>
  <c r="D138" i="28"/>
  <c r="B138" i="28"/>
  <c r="A138" i="28"/>
  <c r="F137" i="28"/>
  <c r="D137" i="28"/>
  <c r="B137" i="28"/>
  <c r="A137" i="28"/>
  <c r="F136" i="28"/>
  <c r="D136" i="28"/>
  <c r="B136" i="28"/>
  <c r="A136" i="28"/>
  <c r="F135" i="28"/>
  <c r="D135" i="28"/>
  <c r="B135" i="28"/>
  <c r="A135" i="28"/>
  <c r="F134" i="28"/>
  <c r="D134" i="28"/>
  <c r="B134" i="28"/>
  <c r="A134" i="28"/>
  <c r="F133" i="28"/>
  <c r="D133" i="28"/>
  <c r="B133" i="28"/>
  <c r="A133" i="28"/>
  <c r="F132" i="28"/>
  <c r="D132" i="28"/>
  <c r="B132" i="28"/>
  <c r="A132" i="28"/>
  <c r="F131" i="28"/>
  <c r="D131" i="28"/>
  <c r="B131" i="28"/>
  <c r="A131" i="28"/>
  <c r="F130" i="28"/>
  <c r="D130" i="28"/>
  <c r="B130" i="28"/>
  <c r="A130" i="28"/>
  <c r="F129" i="28"/>
  <c r="D129" i="28"/>
  <c r="B129" i="28"/>
  <c r="A129" i="28"/>
  <c r="F128" i="28"/>
  <c r="D128" i="28"/>
  <c r="B128" i="28"/>
  <c r="A128" i="28"/>
  <c r="F127" i="28"/>
  <c r="D127" i="28"/>
  <c r="B127" i="28"/>
  <c r="A127" i="28"/>
  <c r="F126" i="28"/>
  <c r="D126" i="28"/>
  <c r="B126" i="28"/>
  <c r="A126" i="28"/>
  <c r="F125" i="28"/>
  <c r="D125" i="28"/>
  <c r="B125" i="28"/>
  <c r="A125" i="28"/>
  <c r="F124" i="28"/>
  <c r="D124" i="28"/>
  <c r="B124" i="28"/>
  <c r="A124" i="28"/>
  <c r="F123" i="28"/>
  <c r="D123" i="28"/>
  <c r="B123" i="28"/>
  <c r="A123" i="28"/>
  <c r="F122" i="28"/>
  <c r="D122" i="28"/>
  <c r="B122" i="28"/>
  <c r="A122" i="28"/>
  <c r="F121" i="28"/>
  <c r="D121" i="28"/>
  <c r="B121" i="28"/>
  <c r="A121" i="28"/>
  <c r="F120" i="28"/>
  <c r="D120" i="28"/>
  <c r="B120" i="28"/>
  <c r="A120" i="28"/>
  <c r="F119" i="28"/>
  <c r="D119" i="28"/>
  <c r="B119" i="28"/>
  <c r="A119" i="28"/>
  <c r="F118" i="28"/>
  <c r="D118" i="28"/>
  <c r="B118" i="28"/>
  <c r="A118" i="28"/>
  <c r="F117" i="28"/>
  <c r="D117" i="28"/>
  <c r="B117" i="28"/>
  <c r="A117" i="28"/>
  <c r="F116" i="28"/>
  <c r="D116" i="28"/>
  <c r="B116" i="28"/>
  <c r="A116" i="28"/>
  <c r="F115" i="28"/>
  <c r="D115" i="28"/>
  <c r="B115" i="28"/>
  <c r="A115" i="28"/>
  <c r="F114" i="28"/>
  <c r="D114" i="28"/>
  <c r="B114" i="28"/>
  <c r="A114" i="28"/>
  <c r="F113" i="28"/>
  <c r="D113" i="28"/>
  <c r="B113" i="28"/>
  <c r="A113" i="28"/>
  <c r="F112" i="28"/>
  <c r="D112" i="28"/>
  <c r="B112" i="28"/>
  <c r="A112" i="28"/>
  <c r="F111" i="28"/>
  <c r="D111" i="28"/>
  <c r="B111" i="28"/>
  <c r="A111" i="28"/>
  <c r="F110" i="28"/>
  <c r="D110" i="28"/>
  <c r="B110" i="28"/>
  <c r="A110" i="28"/>
  <c r="F109" i="28"/>
  <c r="D109" i="28"/>
  <c r="B109" i="28"/>
  <c r="A109" i="28"/>
  <c r="F108" i="28"/>
  <c r="D108" i="28"/>
  <c r="B108" i="28"/>
  <c r="A108" i="28"/>
  <c r="F107" i="28"/>
  <c r="D107" i="28"/>
  <c r="B107" i="28"/>
  <c r="A107" i="28"/>
  <c r="F106" i="28"/>
  <c r="D106" i="28"/>
  <c r="B106" i="28"/>
  <c r="A106" i="28"/>
  <c r="F105" i="28"/>
  <c r="D105" i="28"/>
  <c r="B105" i="28"/>
  <c r="A105" i="28"/>
  <c r="F104" i="28"/>
  <c r="D104" i="28"/>
  <c r="B104" i="28"/>
  <c r="A104" i="28"/>
  <c r="F103" i="28"/>
  <c r="D103" i="28"/>
  <c r="B103" i="28"/>
  <c r="A103" i="28"/>
  <c r="F102" i="28"/>
  <c r="D102" i="28"/>
  <c r="B102" i="28"/>
  <c r="A102" i="28"/>
  <c r="F101" i="28"/>
  <c r="D101" i="28"/>
  <c r="B101" i="28"/>
  <c r="A101" i="28"/>
  <c r="F100" i="28"/>
  <c r="D100" i="28"/>
  <c r="B100" i="28"/>
  <c r="A100" i="28"/>
  <c r="F99" i="28"/>
  <c r="D99" i="28"/>
  <c r="B99" i="28"/>
  <c r="A99" i="28"/>
  <c r="F98" i="28"/>
  <c r="D98" i="28"/>
  <c r="B98" i="28"/>
  <c r="A98" i="28"/>
  <c r="F97" i="28"/>
  <c r="D97" i="28"/>
  <c r="B97" i="28"/>
  <c r="A97" i="28"/>
  <c r="F96" i="28"/>
  <c r="D96" i="28"/>
  <c r="B96" i="28"/>
  <c r="A96" i="28"/>
  <c r="F95" i="28"/>
  <c r="D95" i="28"/>
  <c r="B95" i="28"/>
  <c r="A95" i="28"/>
  <c r="F94" i="28"/>
  <c r="D94" i="28"/>
  <c r="B94" i="28"/>
  <c r="A94" i="28"/>
  <c r="F93" i="28"/>
  <c r="D93" i="28"/>
  <c r="B93" i="28"/>
  <c r="A93" i="28"/>
  <c r="F92" i="28"/>
  <c r="D92" i="28"/>
  <c r="B92" i="28"/>
  <c r="A92" i="28"/>
  <c r="F91" i="28"/>
  <c r="D91" i="28"/>
  <c r="B91" i="28"/>
  <c r="A91" i="28"/>
  <c r="F90" i="28"/>
  <c r="D90" i="28"/>
  <c r="B90" i="28"/>
  <c r="A90" i="28"/>
  <c r="F89" i="28"/>
  <c r="D89" i="28"/>
  <c r="B89" i="28"/>
  <c r="A89" i="28"/>
  <c r="F88" i="28"/>
  <c r="D88" i="28"/>
  <c r="B88" i="28"/>
  <c r="A88" i="28"/>
  <c r="F87" i="28"/>
  <c r="D87" i="28"/>
  <c r="B87" i="28"/>
  <c r="A87" i="28"/>
  <c r="F86" i="28"/>
  <c r="D86" i="28"/>
  <c r="B86" i="28"/>
  <c r="A86" i="28"/>
  <c r="F85" i="28"/>
  <c r="D85" i="28"/>
  <c r="B85" i="28"/>
  <c r="A85" i="28"/>
  <c r="F84" i="28"/>
  <c r="D84" i="28"/>
  <c r="B84" i="28"/>
  <c r="A84" i="28"/>
  <c r="F83" i="28"/>
  <c r="D83" i="28"/>
  <c r="B83" i="28"/>
  <c r="A83" i="28"/>
  <c r="F82" i="28"/>
  <c r="D82" i="28"/>
  <c r="B82" i="28"/>
  <c r="A82" i="28"/>
  <c r="A81" i="28"/>
  <c r="A80" i="28"/>
  <c r="F79" i="28"/>
  <c r="D79" i="28"/>
  <c r="B79" i="28"/>
  <c r="A79" i="28"/>
  <c r="F78" i="28"/>
  <c r="D78" i="28"/>
  <c r="B78" i="28"/>
  <c r="A78" i="28"/>
  <c r="F77" i="28"/>
  <c r="D77" i="28"/>
  <c r="B77" i="28"/>
  <c r="A77" i="28"/>
  <c r="F76" i="28"/>
  <c r="D76" i="28"/>
  <c r="B76" i="28"/>
  <c r="A76" i="28"/>
  <c r="F75" i="28"/>
  <c r="D75" i="28"/>
  <c r="B75" i="28"/>
  <c r="A75" i="28"/>
  <c r="F74" i="28"/>
  <c r="D74" i="28"/>
  <c r="B74" i="28"/>
  <c r="A74" i="28"/>
  <c r="F73" i="28"/>
  <c r="D73" i="28"/>
  <c r="B73" i="28"/>
  <c r="A73" i="28"/>
  <c r="F72" i="28"/>
  <c r="D72" i="28"/>
  <c r="B72" i="28"/>
  <c r="A72" i="28"/>
  <c r="F71" i="28"/>
  <c r="D71" i="28"/>
  <c r="B71" i="28"/>
  <c r="A71" i="28"/>
  <c r="F70" i="28"/>
  <c r="D70" i="28"/>
  <c r="B70" i="28"/>
  <c r="A70" i="28"/>
  <c r="F69" i="28"/>
  <c r="D69" i="28"/>
  <c r="B69" i="28"/>
  <c r="A69" i="28"/>
  <c r="F68" i="28"/>
  <c r="D68" i="28"/>
  <c r="B68" i="28"/>
  <c r="A68" i="28"/>
  <c r="A67" i="28"/>
  <c r="A66" i="28"/>
  <c r="F65" i="28"/>
  <c r="D65" i="28"/>
  <c r="B65" i="28"/>
  <c r="A65" i="28"/>
  <c r="F64" i="28"/>
  <c r="D64" i="28"/>
  <c r="B64" i="28"/>
  <c r="A64" i="28"/>
  <c r="F63" i="28"/>
  <c r="D63" i="28"/>
  <c r="B63" i="28"/>
  <c r="A63" i="28"/>
  <c r="F62" i="28"/>
  <c r="D62" i="28"/>
  <c r="B62" i="28"/>
  <c r="A62" i="28"/>
  <c r="F61" i="28"/>
  <c r="D61" i="28"/>
  <c r="B61" i="28"/>
  <c r="A61" i="28"/>
  <c r="F60" i="28"/>
  <c r="D60" i="28"/>
  <c r="B60" i="28"/>
  <c r="A60" i="28"/>
  <c r="F59" i="28"/>
  <c r="D59" i="28"/>
  <c r="B59" i="28"/>
  <c r="A59" i="28"/>
  <c r="F58" i="28"/>
  <c r="D58" i="28"/>
  <c r="B58" i="28"/>
  <c r="A58" i="28"/>
  <c r="F57" i="28"/>
  <c r="D57" i="28"/>
  <c r="B57" i="28"/>
  <c r="A57" i="28"/>
  <c r="F56" i="28"/>
  <c r="D56" i="28"/>
  <c r="B56" i="28"/>
  <c r="A56" i="28"/>
  <c r="F55" i="28"/>
  <c r="D55" i="28"/>
  <c r="B55" i="28"/>
  <c r="A55" i="28"/>
  <c r="F54" i="28"/>
  <c r="D54" i="28"/>
  <c r="B54" i="28"/>
  <c r="A54" i="28"/>
  <c r="F53" i="28"/>
  <c r="D53" i="28"/>
  <c r="B53" i="28"/>
  <c r="A53" i="28"/>
  <c r="F52" i="28"/>
  <c r="D52" i="28"/>
  <c r="B52" i="28"/>
  <c r="A52" i="28"/>
  <c r="F51" i="28"/>
  <c r="D51" i="28"/>
  <c r="B51" i="28"/>
  <c r="A51" i="28"/>
  <c r="F50" i="28"/>
  <c r="D50" i="28"/>
  <c r="B50" i="28"/>
  <c r="A50" i="28"/>
  <c r="F49" i="28"/>
  <c r="D49" i="28"/>
  <c r="B49" i="28"/>
  <c r="A49" i="28"/>
  <c r="F48" i="28"/>
  <c r="D48" i="28"/>
  <c r="B48" i="28"/>
  <c r="A48" i="28"/>
  <c r="F47" i="28"/>
  <c r="D47" i="28"/>
  <c r="B47" i="28"/>
  <c r="A47" i="28"/>
  <c r="F46" i="28"/>
  <c r="D46" i="28"/>
  <c r="B46" i="28"/>
  <c r="A46" i="28"/>
  <c r="F45" i="28"/>
  <c r="D45" i="28"/>
  <c r="B45" i="28"/>
  <c r="A45" i="28"/>
  <c r="F44" i="28"/>
  <c r="D44" i="28"/>
  <c r="B44" i="28"/>
  <c r="A44" i="28"/>
  <c r="F43" i="28"/>
  <c r="D43" i="28"/>
  <c r="B43" i="28"/>
  <c r="A43" i="28"/>
  <c r="F42" i="28"/>
  <c r="D42" i="28"/>
  <c r="B42" i="28"/>
  <c r="A42" i="28"/>
  <c r="F41" i="28"/>
  <c r="D41" i="28"/>
  <c r="B41" i="28"/>
  <c r="A41" i="28"/>
  <c r="F40" i="28"/>
  <c r="D40" i="28"/>
  <c r="B40" i="28"/>
  <c r="A40" i="28"/>
  <c r="F39" i="28"/>
  <c r="D39" i="28"/>
  <c r="B39" i="28"/>
  <c r="A39" i="28"/>
  <c r="F38" i="28"/>
  <c r="D38" i="28"/>
  <c r="B38" i="28"/>
  <c r="A38" i="28"/>
  <c r="F37" i="28"/>
  <c r="D37" i="28"/>
  <c r="B37" i="28"/>
  <c r="A37" i="28"/>
  <c r="F36" i="28"/>
  <c r="D36" i="28"/>
  <c r="B36" i="28"/>
  <c r="A36" i="28"/>
  <c r="F35" i="28"/>
  <c r="D35" i="28"/>
  <c r="B35" i="28"/>
  <c r="A35" i="28"/>
  <c r="F34" i="28"/>
  <c r="D34" i="28"/>
  <c r="B34" i="28"/>
  <c r="A34" i="28"/>
  <c r="F33" i="28"/>
  <c r="D33" i="28"/>
  <c r="B33" i="28"/>
  <c r="A33" i="28"/>
  <c r="F32" i="28"/>
  <c r="D32" i="28"/>
  <c r="B32" i="28"/>
  <c r="A32" i="28"/>
  <c r="F31" i="28"/>
  <c r="D31" i="28"/>
  <c r="B31" i="28"/>
  <c r="A31" i="28"/>
  <c r="F30" i="28"/>
  <c r="D30" i="28"/>
  <c r="B30" i="28"/>
  <c r="A30" i="28"/>
  <c r="F29" i="28"/>
  <c r="D29" i="28"/>
  <c r="B29" i="28"/>
  <c r="A29" i="28"/>
  <c r="F28" i="28"/>
  <c r="D28" i="28"/>
  <c r="B28" i="28"/>
  <c r="A28" i="28"/>
  <c r="F27" i="28"/>
  <c r="D27" i="28"/>
  <c r="B27" i="28"/>
  <c r="A27" i="28"/>
  <c r="F26" i="28"/>
  <c r="D26" i="28"/>
  <c r="B26" i="28"/>
  <c r="A26" i="28"/>
  <c r="F25" i="28"/>
  <c r="D25" i="28"/>
  <c r="B25" i="28"/>
  <c r="A25" i="28"/>
  <c r="F24" i="28"/>
  <c r="D24" i="28"/>
  <c r="B24" i="28"/>
  <c r="A24" i="28"/>
  <c r="F23" i="28"/>
  <c r="F22" i="28"/>
  <c r="F21" i="28"/>
  <c r="F20" i="28"/>
  <c r="F19" i="28"/>
  <c r="F18" i="28"/>
  <c r="F17" i="28"/>
  <c r="F16" i="28"/>
  <c r="D14" i="28"/>
  <c r="D21" i="28"/>
  <c r="D23" i="28"/>
  <c r="D22" i="28"/>
  <c r="D20" i="28"/>
  <c r="D19" i="28"/>
  <c r="D18" i="28"/>
  <c r="D17" i="28"/>
  <c r="D16" i="28"/>
  <c r="D15" i="28"/>
  <c r="B23" i="28"/>
  <c r="B22" i="28"/>
  <c r="B21" i="28"/>
  <c r="B20" i="28"/>
  <c r="B19" i="28"/>
  <c r="B18" i="28"/>
  <c r="B17" i="28"/>
  <c r="B16" i="28"/>
  <c r="B15" i="28"/>
  <c r="B14" i="28"/>
  <c r="A23" i="28"/>
  <c r="A22" i="28"/>
  <c r="A21" i="28"/>
  <c r="A20" i="28"/>
  <c r="A19" i="28"/>
  <c r="A18" i="28"/>
  <c r="A17" i="28"/>
  <c r="A16" i="28"/>
  <c r="A15" i="28"/>
  <c r="A14" i="28"/>
  <c r="A3" i="28" l="1"/>
  <c r="AO6" i="28"/>
  <c r="AO7" i="28"/>
  <c r="AO8" i="28"/>
  <c r="AO9" i="28"/>
  <c r="I145" i="22" l="1"/>
  <c r="I161" i="22"/>
  <c r="M167" i="22"/>
  <c r="M166" i="22"/>
  <c r="M165" i="22"/>
  <c r="M164" i="22"/>
  <c r="M163" i="22"/>
  <c r="M162" i="22"/>
  <c r="M161" i="22"/>
  <c r="M160" i="22"/>
  <c r="I167" i="22"/>
  <c r="I166" i="22"/>
  <c r="I165" i="22"/>
  <c r="I164" i="22"/>
  <c r="I163" i="22"/>
  <c r="I162" i="22"/>
  <c r="AF146" i="22"/>
  <c r="AF145" i="22"/>
  <c r="I146" i="22"/>
  <c r="BC152" i="22"/>
  <c r="BC155" i="22" s="1"/>
  <c r="AF152" i="22"/>
  <c r="AF155" i="22" s="1"/>
  <c r="I152" i="22"/>
  <c r="I155" i="22" s="1"/>
  <c r="AD178" i="22"/>
  <c r="AQ173" i="22" l="1"/>
  <c r="AF148" i="22"/>
  <c r="I148" i="22"/>
  <c r="AU72" i="22" l="1"/>
  <c r="AU71" i="22"/>
  <c r="AU74" i="22" l="1"/>
  <c r="AU64" i="22" l="1"/>
  <c r="AU63" i="22"/>
  <c r="V63" i="22"/>
  <c r="AU66" i="22" l="1"/>
  <c r="X14" i="22"/>
  <c r="X18" i="22" l="1"/>
  <c r="X19" i="22" s="1"/>
  <c r="K197" i="22"/>
  <c r="K196" i="22"/>
  <c r="K195" i="22"/>
  <c r="K194" i="22"/>
  <c r="Y25" i="22"/>
  <c r="AA30" i="22"/>
  <c r="AC45" i="22"/>
  <c r="AC44" i="22"/>
  <c r="AC43" i="22"/>
  <c r="AC42" i="22"/>
  <c r="AC41" i="22"/>
  <c r="AC40" i="22"/>
  <c r="AC39" i="22"/>
  <c r="AC38" i="22"/>
  <c r="U38" i="22"/>
  <c r="AK42" i="22"/>
  <c r="AC32" i="22"/>
  <c r="AC31" i="22"/>
  <c r="AC30" i="22"/>
  <c r="AC29" i="22"/>
  <c r="AC28" i="22"/>
  <c r="AC27" i="22"/>
  <c r="AC26" i="22"/>
  <c r="AC25" i="22"/>
  <c r="AA32" i="22"/>
  <c r="AA31" i="22"/>
  <c r="AA29" i="22"/>
  <c r="AA28" i="22"/>
  <c r="AA27" i="22"/>
  <c r="AA26" i="22"/>
  <c r="AA25" i="22"/>
  <c r="U45" i="22"/>
  <c r="U44" i="22"/>
  <c r="U43" i="22"/>
  <c r="U42" i="22"/>
  <c r="U41" i="22"/>
  <c r="U40" i="22"/>
  <c r="U39" i="22"/>
  <c r="U32" i="22"/>
  <c r="U31" i="22"/>
  <c r="U30" i="22"/>
  <c r="U29" i="22"/>
  <c r="U28" i="22"/>
  <c r="U27" i="22"/>
  <c r="U26" i="22"/>
  <c r="U25" i="22"/>
  <c r="S26" i="22"/>
  <c r="S25" i="22"/>
  <c r="S32" i="22"/>
  <c r="S31" i="22"/>
  <c r="S30" i="22"/>
  <c r="S29" i="22"/>
  <c r="S28" i="22"/>
  <c r="S27" i="22"/>
  <c r="AM186" i="22"/>
  <c r="AM185" i="22"/>
  <c r="AM184" i="22"/>
  <c r="AM183" i="22"/>
  <c r="AM182" i="22"/>
  <c r="AM181" i="22"/>
  <c r="AM180" i="22"/>
  <c r="AM179" i="22"/>
  <c r="AM178" i="22"/>
  <c r="AV186" i="22"/>
  <c r="AV185" i="22"/>
  <c r="AV184" i="22"/>
  <c r="AV183" i="22"/>
  <c r="AV182" i="22"/>
  <c r="AV181" i="22"/>
  <c r="AV180" i="22"/>
  <c r="AV179" i="22"/>
  <c r="AV178" i="22"/>
  <c r="AD186" i="22"/>
  <c r="AD185" i="22"/>
  <c r="AD184" i="22"/>
  <c r="AD183" i="22"/>
  <c r="AD182" i="22"/>
  <c r="AD181" i="22"/>
  <c r="AD180" i="22"/>
  <c r="AD179" i="22"/>
  <c r="K199" i="22" l="1"/>
  <c r="AV188" i="22"/>
  <c r="AM188" i="22"/>
  <c r="AD188" i="22"/>
  <c r="AI139" i="22" l="1"/>
  <c r="AC139" i="22"/>
  <c r="AO139" i="22"/>
  <c r="AU139" i="22"/>
  <c r="BA139" i="22"/>
  <c r="BG139" i="22"/>
  <c r="BM139" i="22"/>
  <c r="BS139" i="22"/>
  <c r="W139" i="22"/>
  <c r="V75" i="22" l="1"/>
  <c r="K4" i="22" l="1"/>
  <c r="AS114" i="22"/>
  <c r="AS113" i="22"/>
  <c r="AS112" i="22"/>
  <c r="AS111" i="22"/>
  <c r="AF111" i="22"/>
  <c r="AF112" i="22"/>
  <c r="AF114" i="22"/>
  <c r="AF113" i="22"/>
  <c r="W114" i="22"/>
  <c r="W113" i="22"/>
  <c r="W112" i="22"/>
  <c r="W111" i="22"/>
  <c r="AS115" i="22" l="1"/>
  <c r="W115" i="22"/>
  <c r="AF115" i="22"/>
  <c r="AO14" i="18" l="1"/>
  <c r="AN14" i="18"/>
  <c r="A512" i="9" l="1"/>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514" i="24" l="1"/>
  <c r="A513" i="24"/>
  <c r="A512" i="24"/>
  <c r="A511" i="24"/>
  <c r="A510" i="24"/>
  <c r="A509" i="24"/>
  <c r="A508" i="24"/>
  <c r="A507" i="24"/>
  <c r="A506" i="24"/>
  <c r="A505" i="24"/>
  <c r="A504" i="24"/>
  <c r="A503" i="24"/>
  <c r="A502" i="24"/>
  <c r="A501" i="24"/>
  <c r="A500" i="24"/>
  <c r="A499" i="24"/>
  <c r="A498" i="24"/>
  <c r="A497" i="24"/>
  <c r="A496" i="24"/>
  <c r="A495" i="24"/>
  <c r="A494" i="24"/>
  <c r="A493" i="24"/>
  <c r="A492" i="24"/>
  <c r="A491" i="24"/>
  <c r="A490" i="24"/>
  <c r="A489" i="24"/>
  <c r="A488" i="24"/>
  <c r="A487" i="24"/>
  <c r="A486" i="24"/>
  <c r="A485" i="24"/>
  <c r="A484" i="24"/>
  <c r="A483" i="24"/>
  <c r="A482" i="24"/>
  <c r="A481" i="24"/>
  <c r="A480" i="24"/>
  <c r="A479" i="24"/>
  <c r="A478" i="24"/>
  <c r="A477" i="24"/>
  <c r="A476" i="24"/>
  <c r="A475" i="24"/>
  <c r="A474" i="24"/>
  <c r="A473" i="24"/>
  <c r="A472" i="24"/>
  <c r="A471" i="24"/>
  <c r="A470" i="24"/>
  <c r="A469" i="24"/>
  <c r="A468" i="24"/>
  <c r="A467" i="24"/>
  <c r="A466" i="24"/>
  <c r="A465" i="24"/>
  <c r="A464" i="24"/>
  <c r="A463" i="24"/>
  <c r="A462" i="24"/>
  <c r="A461" i="24"/>
  <c r="A460" i="24"/>
  <c r="A459" i="24"/>
  <c r="A458" i="24"/>
  <c r="A457" i="24"/>
  <c r="A456" i="24"/>
  <c r="A455" i="24"/>
  <c r="A454" i="24"/>
  <c r="A453" i="24"/>
  <c r="A452" i="24"/>
  <c r="A451" i="24"/>
  <c r="A450" i="24"/>
  <c r="A449" i="24"/>
  <c r="A448" i="24"/>
  <c r="A447" i="24"/>
  <c r="A446" i="24"/>
  <c r="A445" i="24"/>
  <c r="A444" i="24"/>
  <c r="A443" i="24"/>
  <c r="A442" i="24"/>
  <c r="A441" i="24"/>
  <c r="A440" i="24"/>
  <c r="A439" i="24"/>
  <c r="A438" i="24"/>
  <c r="A437" i="24"/>
  <c r="A436" i="24"/>
  <c r="A435" i="24"/>
  <c r="A434" i="24"/>
  <c r="A433" i="24"/>
  <c r="A432" i="24"/>
  <c r="A431" i="24"/>
  <c r="A430" i="24"/>
  <c r="A429" i="24"/>
  <c r="A428" i="24"/>
  <c r="A427" i="24"/>
  <c r="A426"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512" i="26" l="1"/>
  <c r="A511" i="26"/>
  <c r="A510" i="26"/>
  <c r="A509" i="26"/>
  <c r="A508" i="26"/>
  <c r="A507" i="26"/>
  <c r="A506" i="26"/>
  <c r="A505" i="26"/>
  <c r="A504" i="26"/>
  <c r="A503" i="26"/>
  <c r="A502" i="26"/>
  <c r="A501" i="26"/>
  <c r="A500" i="26"/>
  <c r="A499" i="26"/>
  <c r="A498" i="26"/>
  <c r="A497" i="26"/>
  <c r="A496" i="26"/>
  <c r="A495" i="26"/>
  <c r="A494" i="26"/>
  <c r="A493" i="26"/>
  <c r="A492" i="26"/>
  <c r="A491" i="26"/>
  <c r="A490" i="26"/>
  <c r="A489" i="26"/>
  <c r="A488" i="26"/>
  <c r="A487" i="26"/>
  <c r="A486" i="26"/>
  <c r="A485" i="26"/>
  <c r="A484" i="26"/>
  <c r="A483" i="26"/>
  <c r="A482" i="26"/>
  <c r="A481" i="26"/>
  <c r="A480" i="26"/>
  <c r="A479" i="26"/>
  <c r="A478" i="26"/>
  <c r="A477" i="26"/>
  <c r="A476" i="26"/>
  <c r="A475" i="26"/>
  <c r="A474" i="26"/>
  <c r="A473" i="26"/>
  <c r="A472" i="26"/>
  <c r="A471" i="26"/>
  <c r="A470" i="26"/>
  <c r="A469" i="26"/>
  <c r="A468" i="26"/>
  <c r="A467" i="26"/>
  <c r="A466" i="26"/>
  <c r="A465" i="26"/>
  <c r="A464" i="26"/>
  <c r="A463" i="26"/>
  <c r="A462" i="26"/>
  <c r="A461" i="26"/>
  <c r="A460" i="26"/>
  <c r="A459" i="26"/>
  <c r="A458" i="26"/>
  <c r="A457" i="26"/>
  <c r="A456" i="26"/>
  <c r="A455" i="26"/>
  <c r="A454" i="26"/>
  <c r="A453" i="26"/>
  <c r="A452" i="26"/>
  <c r="A451" i="26"/>
  <c r="A450" i="26"/>
  <c r="A449" i="26"/>
  <c r="A448" i="26"/>
  <c r="A447" i="26"/>
  <c r="A446" i="26"/>
  <c r="A445" i="26"/>
  <c r="A444" i="26"/>
  <c r="A443" i="26"/>
  <c r="A442" i="26"/>
  <c r="A441" i="26"/>
  <c r="A440" i="26"/>
  <c r="A439" i="26"/>
  <c r="A438" i="26"/>
  <c r="A437" i="26"/>
  <c r="A436" i="26"/>
  <c r="A435" i="26"/>
  <c r="A434" i="26"/>
  <c r="A433" i="26"/>
  <c r="A432" i="26"/>
  <c r="A431" i="26"/>
  <c r="A430" i="26"/>
  <c r="A429" i="26"/>
  <c r="A428" i="26"/>
  <c r="A427" i="26"/>
  <c r="A426" i="26"/>
  <c r="A425" i="26"/>
  <c r="A424" i="26"/>
  <c r="A423" i="26"/>
  <c r="A422" i="26"/>
  <c r="A421" i="26"/>
  <c r="A420" i="26"/>
  <c r="A419" i="26"/>
  <c r="A418" i="26"/>
  <c r="A417" i="26"/>
  <c r="A416" i="26"/>
  <c r="A415" i="26"/>
  <c r="A414" i="26"/>
  <c r="A413" i="26"/>
  <c r="A412" i="26"/>
  <c r="A411" i="26"/>
  <c r="A410" i="26"/>
  <c r="A409" i="26"/>
  <c r="A408" i="26"/>
  <c r="A407" i="26"/>
  <c r="A406" i="26"/>
  <c r="A405" i="26"/>
  <c r="A404" i="26"/>
  <c r="A403" i="26"/>
  <c r="A402" i="26"/>
  <c r="A401" i="26"/>
  <c r="A400" i="26"/>
  <c r="A399" i="26"/>
  <c r="A398" i="26"/>
  <c r="A397" i="26"/>
  <c r="A396" i="26"/>
  <c r="A395" i="26"/>
  <c r="A394" i="26"/>
  <c r="A393" i="26"/>
  <c r="A392" i="26"/>
  <c r="A391" i="26"/>
  <c r="A390" i="26"/>
  <c r="A389" i="26"/>
  <c r="A388" i="26"/>
  <c r="A387" i="26"/>
  <c r="A386" i="26"/>
  <c r="A385" i="26"/>
  <c r="A384" i="26"/>
  <c r="A383" i="26"/>
  <c r="A382" i="26"/>
  <c r="A381" i="26"/>
  <c r="A380" i="26"/>
  <c r="A379" i="26"/>
  <c r="A378" i="26"/>
  <c r="A377" i="26"/>
  <c r="A376" i="26"/>
  <c r="A375" i="26"/>
  <c r="A374" i="26"/>
  <c r="A373" i="26"/>
  <c r="A372" i="26"/>
  <c r="A371" i="26"/>
  <c r="A370" i="26"/>
  <c r="A369" i="26"/>
  <c r="A368" i="26"/>
  <c r="A367" i="26"/>
  <c r="A366" i="26"/>
  <c r="A365" i="26"/>
  <c r="A364" i="26"/>
  <c r="A363" i="26"/>
  <c r="A362" i="26"/>
  <c r="A361" i="26"/>
  <c r="A360" i="26"/>
  <c r="A359" i="26"/>
  <c r="A358" i="26"/>
  <c r="A357" i="26"/>
  <c r="A356" i="26"/>
  <c r="A355" i="26"/>
  <c r="A354" i="26"/>
  <c r="A353" i="26"/>
  <c r="A352" i="26"/>
  <c r="A351" i="26"/>
  <c r="A350" i="26"/>
  <c r="A349" i="26"/>
  <c r="A348" i="26"/>
  <c r="A347" i="26"/>
  <c r="A346" i="26"/>
  <c r="A345" i="26"/>
  <c r="A344" i="26"/>
  <c r="A343" i="26"/>
  <c r="A342" i="26"/>
  <c r="A341" i="26"/>
  <c r="A340" i="26"/>
  <c r="A339" i="26"/>
  <c r="A338" i="26"/>
  <c r="A337" i="26"/>
  <c r="A336" i="26"/>
  <c r="A335" i="26"/>
  <c r="A334" i="26"/>
  <c r="A333" i="26"/>
  <c r="A332" i="26"/>
  <c r="A331" i="26"/>
  <c r="A330" i="26"/>
  <c r="A329" i="26"/>
  <c r="A328" i="26"/>
  <c r="A327" i="26"/>
  <c r="A326" i="26"/>
  <c r="A325" i="26"/>
  <c r="A324" i="26"/>
  <c r="A323" i="26"/>
  <c r="A322" i="26"/>
  <c r="A321" i="26"/>
  <c r="A320" i="26"/>
  <c r="A319" i="26"/>
  <c r="A318" i="26"/>
  <c r="A317" i="26"/>
  <c r="A316" i="26"/>
  <c r="A315" i="26"/>
  <c r="A314" i="26"/>
  <c r="A313" i="26"/>
  <c r="A312" i="26"/>
  <c r="A311" i="26"/>
  <c r="A310" i="26"/>
  <c r="A309" i="26"/>
  <c r="A308" i="26"/>
  <c r="A307" i="26"/>
  <c r="A306" i="26"/>
  <c r="A305" i="26"/>
  <c r="A304" i="26"/>
  <c r="A303" i="26"/>
  <c r="A302" i="26"/>
  <c r="A301" i="26"/>
  <c r="A300" i="26"/>
  <c r="A299" i="26"/>
  <c r="A298" i="26"/>
  <c r="A297" i="26"/>
  <c r="A296" i="26"/>
  <c r="A295" i="26"/>
  <c r="A294" i="26"/>
  <c r="A293" i="26"/>
  <c r="A292" i="26"/>
  <c r="A291" i="26"/>
  <c r="A290" i="26"/>
  <c r="A289" i="26"/>
  <c r="A288" i="26"/>
  <c r="A287" i="26"/>
  <c r="A286" i="26"/>
  <c r="A285" i="26"/>
  <c r="A284" i="26"/>
  <c r="A283" i="26"/>
  <c r="A282" i="26"/>
  <c r="A281" i="26"/>
  <c r="A280" i="26"/>
  <c r="A279" i="26"/>
  <c r="A278" i="26"/>
  <c r="A277" i="26"/>
  <c r="A276" i="26"/>
  <c r="A275" i="26"/>
  <c r="A274" i="26"/>
  <c r="A273" i="26"/>
  <c r="A272" i="26"/>
  <c r="A271" i="26"/>
  <c r="A270" i="26"/>
  <c r="A269" i="26"/>
  <c r="A268" i="26"/>
  <c r="A267" i="26"/>
  <c r="A266" i="26"/>
  <c r="A265" i="26"/>
  <c r="A264" i="26"/>
  <c r="A263" i="26"/>
  <c r="A262" i="26"/>
  <c r="A261" i="26"/>
  <c r="A260" i="26"/>
  <c r="A259" i="26"/>
  <c r="A258" i="26"/>
  <c r="A257" i="26"/>
  <c r="A256" i="26"/>
  <c r="A255" i="26"/>
  <c r="A254" i="26"/>
  <c r="A253" i="26"/>
  <c r="A252" i="26"/>
  <c r="A251" i="26"/>
  <c r="A250" i="26"/>
  <c r="A249" i="26"/>
  <c r="A248" i="26"/>
  <c r="A247" i="26"/>
  <c r="A246" i="26"/>
  <c r="A245" i="26"/>
  <c r="A244" i="26"/>
  <c r="A243" i="26"/>
  <c r="A242" i="26"/>
  <c r="A241" i="26"/>
  <c r="A240" i="26"/>
  <c r="A239" i="26"/>
  <c r="A238" i="26"/>
  <c r="A237" i="26"/>
  <c r="A236" i="26"/>
  <c r="A235" i="26"/>
  <c r="A234" i="26"/>
  <c r="A233" i="26"/>
  <c r="A232" i="26"/>
  <c r="A231" i="26"/>
  <c r="A230" i="26"/>
  <c r="A229" i="26"/>
  <c r="A228" i="26"/>
  <c r="A227" i="26"/>
  <c r="A226" i="26"/>
  <c r="A225" i="26"/>
  <c r="A224" i="26"/>
  <c r="A223" i="26"/>
  <c r="A222" i="26"/>
  <c r="A221" i="26"/>
  <c r="A220" i="26"/>
  <c r="A219" i="26"/>
  <c r="A218" i="26"/>
  <c r="A217" i="26"/>
  <c r="A216" i="26"/>
  <c r="A215" i="26"/>
  <c r="A214" i="26"/>
  <c r="A213" i="26"/>
  <c r="A212" i="26"/>
  <c r="A211" i="26"/>
  <c r="A210" i="26"/>
  <c r="A209" i="26"/>
  <c r="A208" i="26"/>
  <c r="A207" i="26"/>
  <c r="A206" i="26"/>
  <c r="A205" i="26"/>
  <c r="A204" i="26"/>
  <c r="A203" i="26"/>
  <c r="A202" i="26"/>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Z9" i="26"/>
  <c r="P9" i="26"/>
  <c r="H9" i="26"/>
  <c r="Z8" i="26"/>
  <c r="Z7" i="26"/>
  <c r="H7" i="26"/>
  <c r="Z6" i="26"/>
  <c r="H6" i="26"/>
  <c r="Z5" i="26"/>
  <c r="H5" i="26"/>
  <c r="A3" i="26"/>
  <c r="A2" i="26"/>
  <c r="A2" i="21"/>
  <c r="A2" i="25"/>
  <c r="AD14" i="24" l="1"/>
  <c r="AC14" i="24"/>
  <c r="AB14" i="24"/>
  <c r="AA14" i="24"/>
  <c r="Z14" i="24"/>
  <c r="Y14" i="24"/>
  <c r="X14" i="24"/>
  <c r="AU14" i="18"/>
  <c r="AT14" i="18"/>
  <c r="AS14" i="18"/>
  <c r="AR14" i="18"/>
  <c r="AQ14" i="18"/>
  <c r="AP14" i="18"/>
  <c r="K83" i="22"/>
  <c r="A534" i="18" l="1"/>
  <c r="A533" i="18"/>
  <c r="A532" i="18"/>
  <c r="A531" i="18"/>
  <c r="A530" i="18"/>
  <c r="A529" i="18"/>
  <c r="A528" i="18"/>
  <c r="A527" i="18"/>
  <c r="A526" i="18"/>
  <c r="A525" i="18"/>
  <c r="A524" i="18"/>
  <c r="A523" i="18"/>
  <c r="A522" i="18"/>
  <c r="A521" i="18"/>
  <c r="A520" i="18"/>
  <c r="A519" i="18"/>
  <c r="A518" i="18"/>
  <c r="A517" i="18"/>
  <c r="A516" i="18"/>
  <c r="A515" i="18"/>
  <c r="A514" i="18"/>
  <c r="A513" i="18"/>
  <c r="A512" i="18"/>
  <c r="A511" i="18"/>
  <c r="A510" i="18"/>
  <c r="A509" i="18"/>
  <c r="A508" i="18"/>
  <c r="A507" i="18"/>
  <c r="A506" i="18"/>
  <c r="A505" i="18"/>
  <c r="A504" i="18"/>
  <c r="A503" i="18"/>
  <c r="A502" i="18"/>
  <c r="A501" i="18"/>
  <c r="A500" i="18"/>
  <c r="A499" i="18"/>
  <c r="A498" i="18"/>
  <c r="A497" i="18"/>
  <c r="A496" i="18"/>
  <c r="A495" i="18"/>
  <c r="A494" i="18"/>
  <c r="A493" i="18"/>
  <c r="A492" i="18"/>
  <c r="A491" i="18"/>
  <c r="A490" i="18"/>
  <c r="A489" i="18"/>
  <c r="A488" i="18"/>
  <c r="A487" i="18"/>
  <c r="A486" i="18"/>
  <c r="A485" i="18"/>
  <c r="A484" i="18"/>
  <c r="A483" i="18"/>
  <c r="A482" i="18"/>
  <c r="A481" i="18"/>
  <c r="A480" i="18"/>
  <c r="A479" i="18"/>
  <c r="A478" i="18"/>
  <c r="A477" i="18"/>
  <c r="A476" i="18"/>
  <c r="A475" i="18"/>
  <c r="A474" i="18"/>
  <c r="A473" i="18"/>
  <c r="A472" i="18"/>
  <c r="A471" i="18"/>
  <c r="A470" i="18"/>
  <c r="A469" i="18"/>
  <c r="A468" i="18"/>
  <c r="A467" i="18"/>
  <c r="A466" i="18"/>
  <c r="A465" i="18"/>
  <c r="A464" i="18"/>
  <c r="A463" i="18"/>
  <c r="A462" i="18"/>
  <c r="A461" i="18"/>
  <c r="A460" i="18"/>
  <c r="A459" i="18"/>
  <c r="A458" i="18"/>
  <c r="A457" i="18"/>
  <c r="A456" i="18"/>
  <c r="A455" i="18"/>
  <c r="A454" i="18"/>
  <c r="A453" i="18"/>
  <c r="A452" i="18"/>
  <c r="A451" i="18"/>
  <c r="A450" i="18"/>
  <c r="A449" i="18"/>
  <c r="A448" i="18"/>
  <c r="A447" i="18"/>
  <c r="A446" i="18"/>
  <c r="A445" i="18"/>
  <c r="A444" i="18"/>
  <c r="A443" i="18"/>
  <c r="A442" i="18"/>
  <c r="A441" i="18"/>
  <c r="A440" i="18"/>
  <c r="A439" i="18"/>
  <c r="A438" i="18"/>
  <c r="A437" i="18"/>
  <c r="A436" i="18"/>
  <c r="A435" i="18"/>
  <c r="A434" i="18"/>
  <c r="A433" i="18"/>
  <c r="A432" i="18"/>
  <c r="A431" i="18"/>
  <c r="A430" i="18"/>
  <c r="A429" i="18"/>
  <c r="A428" i="18"/>
  <c r="A427" i="18"/>
  <c r="A426"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305" i="18"/>
  <c r="A304" i="18"/>
  <c r="A303" i="18"/>
  <c r="A302" i="18"/>
  <c r="A301" i="18"/>
  <c r="A300"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8" i="18"/>
  <c r="A267" i="18"/>
  <c r="A266" i="18"/>
  <c r="A265" i="18"/>
  <c r="A264" i="18"/>
  <c r="A263"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K86" i="22"/>
  <c r="V66" i="22" l="1"/>
  <c r="A1514" i="25" l="1"/>
  <c r="A1513" i="25"/>
  <c r="A1512" i="25"/>
  <c r="A1511" i="25"/>
  <c r="A1510" i="25"/>
  <c r="A1509" i="25"/>
  <c r="A1508" i="25"/>
  <c r="A1507" i="25"/>
  <c r="A1506" i="25"/>
  <c r="A1505" i="25"/>
  <c r="A1504" i="25"/>
  <c r="A1503" i="25"/>
  <c r="A1502" i="25"/>
  <c r="A1501" i="25"/>
  <c r="A1500" i="25"/>
  <c r="A1499" i="25"/>
  <c r="A1498" i="25"/>
  <c r="A1497" i="25"/>
  <c r="A1496" i="25"/>
  <c r="A1495" i="25"/>
  <c r="A1494" i="25"/>
  <c r="A1493" i="25"/>
  <c r="A1492" i="25"/>
  <c r="A1491" i="25"/>
  <c r="A1490" i="25"/>
  <c r="A1489" i="25"/>
  <c r="A1488" i="25"/>
  <c r="A1487" i="25"/>
  <c r="A1486" i="25"/>
  <c r="A1485" i="25"/>
  <c r="A1484" i="25"/>
  <c r="A1483" i="25"/>
  <c r="A1482" i="25"/>
  <c r="A1481" i="25"/>
  <c r="A1480" i="25"/>
  <c r="A1479" i="25"/>
  <c r="A1478" i="25"/>
  <c r="A1477" i="25"/>
  <c r="A1476" i="25"/>
  <c r="A1475" i="25"/>
  <c r="A1474" i="25"/>
  <c r="A1473" i="25"/>
  <c r="A1472" i="25"/>
  <c r="A1471" i="25"/>
  <c r="A1470" i="25"/>
  <c r="A1469" i="25"/>
  <c r="A1468" i="25"/>
  <c r="A1467" i="25"/>
  <c r="A1466" i="25"/>
  <c r="A1465" i="25"/>
  <c r="A1464" i="25"/>
  <c r="A1463" i="25"/>
  <c r="A1462" i="25"/>
  <c r="A1461" i="25"/>
  <c r="A1460" i="25"/>
  <c r="A1459" i="25"/>
  <c r="A1458" i="25"/>
  <c r="A1457" i="25"/>
  <c r="A1456" i="25"/>
  <c r="A1455" i="25"/>
  <c r="A1454" i="25"/>
  <c r="A1453" i="25"/>
  <c r="A1452" i="25"/>
  <c r="A1451" i="25"/>
  <c r="A1450" i="25"/>
  <c r="A1449" i="25"/>
  <c r="A1448" i="25"/>
  <c r="A1447" i="25"/>
  <c r="A1446" i="25"/>
  <c r="A1445" i="25"/>
  <c r="A1444" i="25"/>
  <c r="A1443" i="25"/>
  <c r="A1442" i="25"/>
  <c r="A1441" i="25"/>
  <c r="A1440" i="25"/>
  <c r="A1439" i="25"/>
  <c r="A1438" i="25"/>
  <c r="A1437" i="25"/>
  <c r="A1436" i="25"/>
  <c r="A1435" i="25"/>
  <c r="A1434" i="25"/>
  <c r="A1433" i="25"/>
  <c r="A1432" i="25"/>
  <c r="A1431" i="25"/>
  <c r="A1430" i="25"/>
  <c r="A1429" i="25"/>
  <c r="A1428" i="25"/>
  <c r="A1427" i="25"/>
  <c r="A1426" i="25"/>
  <c r="A1425" i="25"/>
  <c r="A1424" i="25"/>
  <c r="A1423" i="25"/>
  <c r="A1422" i="25"/>
  <c r="A1421" i="25"/>
  <c r="A1420" i="25"/>
  <c r="A1419" i="25"/>
  <c r="A1418" i="25"/>
  <c r="A1417" i="25"/>
  <c r="A1416" i="25"/>
  <c r="A1415" i="25"/>
  <c r="A1414" i="25"/>
  <c r="A1413" i="25"/>
  <c r="A1412" i="25"/>
  <c r="A1411" i="25"/>
  <c r="A1410" i="25"/>
  <c r="A1409" i="25"/>
  <c r="A1408" i="25"/>
  <c r="A1407" i="25"/>
  <c r="A1406" i="25"/>
  <c r="A1405" i="25"/>
  <c r="A1404" i="25"/>
  <c r="A1403" i="25"/>
  <c r="A1402" i="25"/>
  <c r="A1401" i="25"/>
  <c r="A1400" i="25"/>
  <c r="A1399" i="25"/>
  <c r="A1398" i="25"/>
  <c r="A1397" i="25"/>
  <c r="A1396" i="25"/>
  <c r="A1395" i="25"/>
  <c r="A1394" i="25"/>
  <c r="A1393" i="25"/>
  <c r="A1392" i="25"/>
  <c r="A1391" i="25"/>
  <c r="A1390" i="25"/>
  <c r="A1389" i="25"/>
  <c r="A1388" i="25"/>
  <c r="A1387" i="25"/>
  <c r="A1386" i="25"/>
  <c r="A1385" i="25"/>
  <c r="A1384" i="25"/>
  <c r="A1383" i="25"/>
  <c r="A1382" i="25"/>
  <c r="A1381" i="25"/>
  <c r="A1380" i="25"/>
  <c r="A1379" i="25"/>
  <c r="A1378" i="25"/>
  <c r="A1377" i="25"/>
  <c r="A1376" i="25"/>
  <c r="A1375" i="25"/>
  <c r="A1374" i="25"/>
  <c r="A1373" i="25"/>
  <c r="A1372" i="25"/>
  <c r="A1371" i="25"/>
  <c r="A1370" i="25"/>
  <c r="A1369" i="25"/>
  <c r="A1368" i="25"/>
  <c r="A1367" i="25"/>
  <c r="A1366" i="25"/>
  <c r="A1365" i="25"/>
  <c r="A1364" i="25"/>
  <c r="A1363" i="25"/>
  <c r="A1362" i="25"/>
  <c r="A1361" i="25"/>
  <c r="A1360" i="25"/>
  <c r="A1359" i="25"/>
  <c r="A1358" i="25"/>
  <c r="A1357" i="25"/>
  <c r="A1356" i="25"/>
  <c r="A1355" i="25"/>
  <c r="A1354" i="25"/>
  <c r="A1353" i="25"/>
  <c r="A1352" i="25"/>
  <c r="A1351" i="25"/>
  <c r="A1350" i="25"/>
  <c r="A1349" i="25"/>
  <c r="A1348" i="25"/>
  <c r="A1347" i="25"/>
  <c r="A1346" i="25"/>
  <c r="A1345" i="25"/>
  <c r="A1344" i="25"/>
  <c r="A1343" i="25"/>
  <c r="A1342" i="25"/>
  <c r="A1341" i="25"/>
  <c r="A1340" i="25"/>
  <c r="A1339" i="25"/>
  <c r="A1338" i="25"/>
  <c r="A1337" i="25"/>
  <c r="A1336" i="25"/>
  <c r="A1335" i="25"/>
  <c r="A1334" i="25"/>
  <c r="A1333" i="25"/>
  <c r="A1332" i="25"/>
  <c r="A1331" i="25"/>
  <c r="A1330" i="25"/>
  <c r="A1329" i="25"/>
  <c r="A1328" i="25"/>
  <c r="A1327" i="25"/>
  <c r="A1326" i="25"/>
  <c r="A1325" i="25"/>
  <c r="A1324" i="25"/>
  <c r="A1323" i="25"/>
  <c r="A1322" i="25"/>
  <c r="A1321" i="25"/>
  <c r="A1320" i="25"/>
  <c r="A1319" i="25"/>
  <c r="A1318" i="25"/>
  <c r="A1317" i="25"/>
  <c r="A1316" i="25"/>
  <c r="A1315" i="25"/>
  <c r="A1314" i="25"/>
  <c r="A1313" i="25"/>
  <c r="A1312" i="25"/>
  <c r="A1311" i="25"/>
  <c r="A1310" i="25"/>
  <c r="A1309" i="25"/>
  <c r="A1308" i="25"/>
  <c r="A1307" i="25"/>
  <c r="A1306" i="25"/>
  <c r="A1305" i="25"/>
  <c r="A1304" i="25"/>
  <c r="A1303" i="25"/>
  <c r="A1302" i="25"/>
  <c r="A1301" i="25"/>
  <c r="A1300" i="25"/>
  <c r="A1299" i="25"/>
  <c r="A1298" i="25"/>
  <c r="A1297" i="25"/>
  <c r="A1296" i="25"/>
  <c r="A1295" i="25"/>
  <c r="A1294" i="25"/>
  <c r="A1293" i="25"/>
  <c r="A1292" i="25"/>
  <c r="A1291" i="25"/>
  <c r="A1290" i="25"/>
  <c r="A1289" i="25"/>
  <c r="A1288" i="25"/>
  <c r="A1287" i="25"/>
  <c r="A1286" i="25"/>
  <c r="A1285" i="25"/>
  <c r="A1284" i="25"/>
  <c r="A1283" i="25"/>
  <c r="A1282" i="25"/>
  <c r="A1281" i="25"/>
  <c r="A1280" i="25"/>
  <c r="A1279" i="25"/>
  <c r="A1278" i="25"/>
  <c r="A1277" i="25"/>
  <c r="A1276" i="25"/>
  <c r="A1275" i="25"/>
  <c r="A1274" i="25"/>
  <c r="A1273" i="25"/>
  <c r="A1272" i="25"/>
  <c r="A1271" i="25"/>
  <c r="A1270" i="25"/>
  <c r="A1269" i="25"/>
  <c r="A1268" i="25"/>
  <c r="A1267" i="25"/>
  <c r="A1266" i="25"/>
  <c r="A1265" i="25"/>
  <c r="A1264" i="25"/>
  <c r="A1263" i="25"/>
  <c r="A1262" i="25"/>
  <c r="A1261" i="25"/>
  <c r="A1260" i="25"/>
  <c r="A1259" i="25"/>
  <c r="A1258" i="25"/>
  <c r="A1257" i="25"/>
  <c r="A1256" i="25"/>
  <c r="A1255" i="25"/>
  <c r="A1254" i="25"/>
  <c r="A1253" i="25"/>
  <c r="A1252" i="25"/>
  <c r="A1251" i="25"/>
  <c r="A1250" i="25"/>
  <c r="A1249" i="25"/>
  <c r="A1248" i="25"/>
  <c r="A1247" i="25"/>
  <c r="A1246" i="25"/>
  <c r="A1245" i="25"/>
  <c r="A1244" i="25"/>
  <c r="A1243" i="25"/>
  <c r="A1242" i="25"/>
  <c r="A1241" i="25"/>
  <c r="A1240" i="25"/>
  <c r="A1239" i="25"/>
  <c r="A1238" i="25"/>
  <c r="A1237" i="25"/>
  <c r="A1236" i="25"/>
  <c r="A1235" i="25"/>
  <c r="A1234" i="25"/>
  <c r="A1233" i="25"/>
  <c r="A1232" i="25"/>
  <c r="A1231" i="25"/>
  <c r="A1230" i="25"/>
  <c r="A1229" i="25"/>
  <c r="A1228" i="25"/>
  <c r="A1227" i="25"/>
  <c r="A1226" i="25"/>
  <c r="A1225" i="25"/>
  <c r="A1224" i="25"/>
  <c r="A1223" i="25"/>
  <c r="A1222" i="25"/>
  <c r="A1221" i="25"/>
  <c r="A1220" i="25"/>
  <c r="A1219" i="25"/>
  <c r="A1218" i="25"/>
  <c r="A1217" i="25"/>
  <c r="A1216" i="25"/>
  <c r="A1215" i="25"/>
  <c r="A1214" i="25"/>
  <c r="A1213" i="25"/>
  <c r="A1212" i="25"/>
  <c r="A1211" i="25"/>
  <c r="A1210" i="25"/>
  <c r="A1209" i="25"/>
  <c r="A1208" i="25"/>
  <c r="A1207" i="25"/>
  <c r="A1206" i="25"/>
  <c r="A1205" i="25"/>
  <c r="A1204" i="25"/>
  <c r="A1203" i="25"/>
  <c r="A1202" i="25"/>
  <c r="A1201" i="25"/>
  <c r="A1200" i="25"/>
  <c r="A1199" i="25"/>
  <c r="A1198" i="25"/>
  <c r="A1197" i="25"/>
  <c r="A1196" i="25"/>
  <c r="A1195" i="25"/>
  <c r="A1194" i="25"/>
  <c r="A1193" i="25"/>
  <c r="A1192" i="25"/>
  <c r="A1191" i="25"/>
  <c r="A1190" i="25"/>
  <c r="A1189" i="25"/>
  <c r="A1188" i="25"/>
  <c r="A1187" i="25"/>
  <c r="A1186" i="25"/>
  <c r="A1185" i="25"/>
  <c r="A1184" i="25"/>
  <c r="A1183" i="25"/>
  <c r="A1182" i="25"/>
  <c r="A1181" i="25"/>
  <c r="A1180" i="25"/>
  <c r="A1179" i="25"/>
  <c r="A1178" i="25"/>
  <c r="A1177" i="25"/>
  <c r="A1176" i="25"/>
  <c r="A1175" i="25"/>
  <c r="A1174" i="25"/>
  <c r="A1173" i="25"/>
  <c r="A1172" i="25"/>
  <c r="A1171" i="25"/>
  <c r="A1170" i="25"/>
  <c r="A1169" i="25"/>
  <c r="A1168" i="25"/>
  <c r="A1167" i="25"/>
  <c r="A1166" i="25"/>
  <c r="A1165" i="25"/>
  <c r="A1164" i="25"/>
  <c r="A1163" i="25"/>
  <c r="A1162" i="25"/>
  <c r="A1161" i="25"/>
  <c r="A1160" i="25"/>
  <c r="A1159" i="25"/>
  <c r="A1158" i="25"/>
  <c r="A1157" i="25"/>
  <c r="A1156" i="25"/>
  <c r="A1155" i="25"/>
  <c r="A1154" i="25"/>
  <c r="A1153" i="25"/>
  <c r="A1152" i="25"/>
  <c r="A1151" i="25"/>
  <c r="A1150" i="25"/>
  <c r="A1149" i="25"/>
  <c r="A1148" i="25"/>
  <c r="A1147" i="25"/>
  <c r="A1146" i="25"/>
  <c r="A1145" i="25"/>
  <c r="A1144" i="25"/>
  <c r="A1143" i="25"/>
  <c r="A1142" i="25"/>
  <c r="A1141" i="25"/>
  <c r="A1140" i="25"/>
  <c r="A1139" i="25"/>
  <c r="A1138" i="25"/>
  <c r="A1137" i="25"/>
  <c r="A1136" i="25"/>
  <c r="A1135" i="25"/>
  <c r="A1134" i="25"/>
  <c r="A1133" i="25"/>
  <c r="A1132" i="25"/>
  <c r="A1131" i="25"/>
  <c r="A1130" i="25"/>
  <c r="A1129" i="25"/>
  <c r="A1128" i="25"/>
  <c r="A1127" i="25"/>
  <c r="A1126" i="25"/>
  <c r="A1125" i="25"/>
  <c r="A1124" i="25"/>
  <c r="A1123" i="25"/>
  <c r="A1122" i="25"/>
  <c r="A1121" i="25"/>
  <c r="A1120" i="25"/>
  <c r="A1119" i="25"/>
  <c r="A1118" i="25"/>
  <c r="A1117" i="25"/>
  <c r="A1116" i="25"/>
  <c r="A1115" i="25"/>
  <c r="A1114" i="25"/>
  <c r="A1113" i="25"/>
  <c r="A1112" i="25"/>
  <c r="A1111" i="25"/>
  <c r="A1110" i="25"/>
  <c r="A1109" i="25"/>
  <c r="A1108" i="25"/>
  <c r="A1107" i="25"/>
  <c r="A1106" i="25"/>
  <c r="A1105" i="25"/>
  <c r="A1104" i="25"/>
  <c r="A1103" i="25"/>
  <c r="A1102" i="25"/>
  <c r="A1101" i="25"/>
  <c r="A1100" i="25"/>
  <c r="A1099" i="25"/>
  <c r="A1098" i="25"/>
  <c r="A1097" i="25"/>
  <c r="A1096" i="25"/>
  <c r="A1095" i="25"/>
  <c r="A1094" i="25"/>
  <c r="A1093" i="25"/>
  <c r="A1092" i="25"/>
  <c r="A1091" i="25"/>
  <c r="A1090" i="25"/>
  <c r="A1089" i="25"/>
  <c r="A1088" i="25"/>
  <c r="A1087" i="25"/>
  <c r="A1086" i="25"/>
  <c r="A1085" i="25"/>
  <c r="A1084" i="25"/>
  <c r="A1083" i="25"/>
  <c r="A1082" i="25"/>
  <c r="A1081" i="25"/>
  <c r="A1080" i="25"/>
  <c r="A1079" i="25"/>
  <c r="A1078" i="25"/>
  <c r="A1077" i="25"/>
  <c r="A1076" i="25"/>
  <c r="A1075" i="25"/>
  <c r="A1074" i="25"/>
  <c r="A1073" i="25"/>
  <c r="A1072" i="25"/>
  <c r="A1071" i="25"/>
  <c r="A1070" i="25"/>
  <c r="A1069" i="25"/>
  <c r="A1068" i="25"/>
  <c r="A1067" i="25"/>
  <c r="A1066" i="25"/>
  <c r="A1065" i="25"/>
  <c r="A1064" i="25"/>
  <c r="A1063" i="25"/>
  <c r="A1062" i="25"/>
  <c r="A1061" i="25"/>
  <c r="A1060" i="25"/>
  <c r="A1059" i="25"/>
  <c r="A1058" i="25"/>
  <c r="A1057" i="25"/>
  <c r="A1056" i="25"/>
  <c r="A1055" i="25"/>
  <c r="A1054" i="25"/>
  <c r="A1053" i="25"/>
  <c r="A1052" i="25"/>
  <c r="A1051" i="25"/>
  <c r="A1050" i="25"/>
  <c r="A1049" i="25"/>
  <c r="A1048" i="25"/>
  <c r="A1047" i="25"/>
  <c r="A1046" i="25"/>
  <c r="A1045" i="25"/>
  <c r="A1044" i="25"/>
  <c r="A1043" i="25"/>
  <c r="A1042" i="25"/>
  <c r="A1041" i="25"/>
  <c r="A1040" i="25"/>
  <c r="A1039" i="25"/>
  <c r="A1038" i="25"/>
  <c r="A1037" i="25"/>
  <c r="A1036" i="25"/>
  <c r="A1035" i="25"/>
  <c r="A1034" i="25"/>
  <c r="A1033" i="25"/>
  <c r="A1032" i="25"/>
  <c r="A1031" i="25"/>
  <c r="A1030" i="25"/>
  <c r="A1029" i="25"/>
  <c r="A1028" i="25"/>
  <c r="A1027" i="25"/>
  <c r="A1026" i="25"/>
  <c r="A1025" i="25"/>
  <c r="A1024" i="25"/>
  <c r="A1023" i="25"/>
  <c r="A1022" i="25"/>
  <c r="A1021" i="25"/>
  <c r="A1020" i="25"/>
  <c r="A1019" i="25"/>
  <c r="A1018" i="25"/>
  <c r="A1017" i="25"/>
  <c r="A1016" i="25"/>
  <c r="A1015" i="25"/>
  <c r="A1014" i="25"/>
  <c r="A1013" i="25"/>
  <c r="A1012" i="25"/>
  <c r="A1011" i="25"/>
  <c r="A1010" i="25"/>
  <c r="A1009" i="25"/>
  <c r="A1008" i="25"/>
  <c r="A1007" i="25"/>
  <c r="A1006" i="25"/>
  <c r="A1005" i="25"/>
  <c r="A1004" i="25"/>
  <c r="A1003" i="25"/>
  <c r="A1002" i="25"/>
  <c r="A1001" i="25"/>
  <c r="A1000" i="25"/>
  <c r="A999" i="25"/>
  <c r="A998" i="25"/>
  <c r="A997" i="25"/>
  <c r="A996" i="25"/>
  <c r="A995" i="25"/>
  <c r="A994" i="25"/>
  <c r="A993" i="25"/>
  <c r="A992" i="25"/>
  <c r="A991" i="25"/>
  <c r="A990" i="25"/>
  <c r="A989" i="25"/>
  <c r="A988" i="25"/>
  <c r="A987" i="25"/>
  <c r="A986" i="25"/>
  <c r="A985" i="25"/>
  <c r="A984" i="25"/>
  <c r="A983" i="25"/>
  <c r="A982" i="25"/>
  <c r="A981" i="25"/>
  <c r="A980" i="25"/>
  <c r="A979" i="25"/>
  <c r="A978" i="25"/>
  <c r="A977" i="25"/>
  <c r="A976" i="25"/>
  <c r="A975" i="25"/>
  <c r="A974" i="25"/>
  <c r="A973" i="25"/>
  <c r="A972" i="25"/>
  <c r="A971" i="25"/>
  <c r="A970" i="25"/>
  <c r="A969" i="25"/>
  <c r="A968" i="25"/>
  <c r="A967" i="25"/>
  <c r="A966" i="25"/>
  <c r="A965" i="25"/>
  <c r="A964" i="25"/>
  <c r="A963" i="25"/>
  <c r="A962" i="25"/>
  <c r="A961" i="25"/>
  <c r="A960" i="25"/>
  <c r="A959" i="25"/>
  <c r="A958" i="25"/>
  <c r="A957" i="25"/>
  <c r="A956" i="25"/>
  <c r="A955" i="25"/>
  <c r="A954" i="25"/>
  <c r="A953" i="25"/>
  <c r="A952" i="25"/>
  <c r="A951" i="25"/>
  <c r="A950" i="25"/>
  <c r="A949" i="25"/>
  <c r="A948" i="25"/>
  <c r="A947" i="25"/>
  <c r="A946" i="25"/>
  <c r="A945" i="25"/>
  <c r="A944" i="25"/>
  <c r="A943" i="25"/>
  <c r="A942" i="25"/>
  <c r="A941" i="25"/>
  <c r="A940" i="25"/>
  <c r="A939" i="25"/>
  <c r="A938" i="25"/>
  <c r="A937" i="25"/>
  <c r="A936" i="25"/>
  <c r="A935" i="25"/>
  <c r="A934" i="25"/>
  <c r="A933" i="25"/>
  <c r="A932" i="25"/>
  <c r="A931" i="25"/>
  <c r="A930" i="25"/>
  <c r="A929" i="25"/>
  <c r="A928" i="25"/>
  <c r="A927" i="25"/>
  <c r="A926" i="25"/>
  <c r="A925" i="25"/>
  <c r="A924" i="25"/>
  <c r="A923" i="25"/>
  <c r="A922" i="25"/>
  <c r="A921" i="25"/>
  <c r="A920" i="25"/>
  <c r="A919" i="25"/>
  <c r="A918" i="25"/>
  <c r="A917" i="25"/>
  <c r="A916" i="25"/>
  <c r="A915" i="25"/>
  <c r="A914" i="25"/>
  <c r="A913" i="25"/>
  <c r="A912" i="25"/>
  <c r="A911" i="25"/>
  <c r="A910" i="25"/>
  <c r="A909" i="25"/>
  <c r="A908" i="25"/>
  <c r="A907" i="25"/>
  <c r="A906" i="25"/>
  <c r="A905" i="25"/>
  <c r="A904" i="25"/>
  <c r="A903" i="25"/>
  <c r="A902" i="25"/>
  <c r="A901" i="25"/>
  <c r="A900" i="25"/>
  <c r="A899" i="25"/>
  <c r="A898" i="25"/>
  <c r="A897" i="25"/>
  <c r="A896" i="25"/>
  <c r="A895" i="25"/>
  <c r="A894" i="25"/>
  <c r="A893" i="25"/>
  <c r="A892" i="25"/>
  <c r="A891" i="25"/>
  <c r="A890" i="25"/>
  <c r="A889" i="25"/>
  <c r="A888" i="25"/>
  <c r="A887" i="25"/>
  <c r="A886" i="25"/>
  <c r="A885" i="25"/>
  <c r="A884" i="25"/>
  <c r="A883" i="25"/>
  <c r="A882" i="25"/>
  <c r="A881" i="25"/>
  <c r="A880" i="25"/>
  <c r="A879" i="25"/>
  <c r="A878" i="25"/>
  <c r="A877" i="25"/>
  <c r="A876" i="25"/>
  <c r="A875" i="25"/>
  <c r="A874" i="25"/>
  <c r="A873" i="25"/>
  <c r="A872" i="25"/>
  <c r="A871" i="25"/>
  <c r="A870" i="25"/>
  <c r="A869" i="25"/>
  <c r="A868" i="25"/>
  <c r="A867" i="25"/>
  <c r="A866" i="25"/>
  <c r="A865" i="25"/>
  <c r="A864" i="25"/>
  <c r="A863" i="25"/>
  <c r="A862" i="25"/>
  <c r="A861" i="25"/>
  <c r="A860" i="25"/>
  <c r="A859" i="25"/>
  <c r="A858" i="25"/>
  <c r="A857" i="25"/>
  <c r="A856" i="25"/>
  <c r="A855" i="25"/>
  <c r="A854" i="25"/>
  <c r="A853" i="25"/>
  <c r="A852" i="25"/>
  <c r="A851" i="25"/>
  <c r="A850" i="25"/>
  <c r="A849" i="25"/>
  <c r="A848" i="25"/>
  <c r="A847" i="25"/>
  <c r="A846" i="25"/>
  <c r="A845" i="25"/>
  <c r="A844" i="25"/>
  <c r="A843" i="25"/>
  <c r="A842" i="25"/>
  <c r="A841" i="25"/>
  <c r="A840" i="25"/>
  <c r="A839" i="25"/>
  <c r="A838" i="25"/>
  <c r="A837" i="25"/>
  <c r="A836" i="25"/>
  <c r="A835" i="25"/>
  <c r="A834" i="25"/>
  <c r="A833" i="25"/>
  <c r="A832" i="25"/>
  <c r="A831" i="25"/>
  <c r="A830" i="25"/>
  <c r="A829" i="25"/>
  <c r="A828" i="25"/>
  <c r="A827" i="25"/>
  <c r="A826" i="25"/>
  <c r="A825" i="25"/>
  <c r="A824" i="25"/>
  <c r="A823" i="25"/>
  <c r="A822" i="25"/>
  <c r="A821" i="25"/>
  <c r="A820" i="25"/>
  <c r="A819" i="25"/>
  <c r="A818" i="25"/>
  <c r="A817" i="25"/>
  <c r="A816" i="25"/>
  <c r="A815" i="25"/>
  <c r="A814" i="25"/>
  <c r="A813" i="25"/>
  <c r="A812" i="25"/>
  <c r="A811" i="25"/>
  <c r="A810" i="25"/>
  <c r="A809" i="25"/>
  <c r="A808" i="25"/>
  <c r="A807" i="25"/>
  <c r="A806" i="25"/>
  <c r="A805" i="25"/>
  <c r="A804" i="25"/>
  <c r="A803" i="25"/>
  <c r="A802" i="25"/>
  <c r="A801" i="25"/>
  <c r="A800" i="25"/>
  <c r="A799" i="25"/>
  <c r="A798" i="25"/>
  <c r="A797" i="25"/>
  <c r="A796" i="25"/>
  <c r="A795" i="25"/>
  <c r="A794" i="25"/>
  <c r="A793" i="25"/>
  <c r="A792" i="25"/>
  <c r="A791" i="25"/>
  <c r="A790" i="25"/>
  <c r="A789" i="25"/>
  <c r="A788" i="25"/>
  <c r="A787" i="25"/>
  <c r="A786" i="25"/>
  <c r="A785" i="25"/>
  <c r="A784" i="25"/>
  <c r="A783" i="25"/>
  <c r="A782" i="25"/>
  <c r="A781" i="25"/>
  <c r="A780" i="25"/>
  <c r="A779" i="25"/>
  <c r="A778" i="25"/>
  <c r="A777" i="25"/>
  <c r="A776" i="25"/>
  <c r="A775" i="25"/>
  <c r="A774" i="25"/>
  <c r="A773" i="25"/>
  <c r="A772" i="25"/>
  <c r="A771" i="25"/>
  <c r="A770" i="25"/>
  <c r="A769" i="25"/>
  <c r="A768" i="25"/>
  <c r="A767" i="25"/>
  <c r="A766" i="25"/>
  <c r="A765" i="25"/>
  <c r="A764" i="25"/>
  <c r="A763" i="25"/>
  <c r="A762" i="25"/>
  <c r="A761" i="25"/>
  <c r="A760" i="25"/>
  <c r="A759" i="25"/>
  <c r="A758" i="25"/>
  <c r="A757" i="25"/>
  <c r="A756" i="25"/>
  <c r="A755" i="25"/>
  <c r="A754" i="25"/>
  <c r="A753" i="25"/>
  <c r="A752" i="25"/>
  <c r="A751" i="25"/>
  <c r="A750" i="25"/>
  <c r="A749" i="25"/>
  <c r="A748" i="25"/>
  <c r="A747" i="25"/>
  <c r="A746" i="25"/>
  <c r="A745" i="25"/>
  <c r="A744" i="25"/>
  <c r="A743" i="25"/>
  <c r="A742" i="25"/>
  <c r="A741" i="25"/>
  <c r="A740" i="25"/>
  <c r="A739" i="25"/>
  <c r="A738" i="25"/>
  <c r="A737" i="25"/>
  <c r="A736" i="25"/>
  <c r="A735" i="25"/>
  <c r="A734" i="25"/>
  <c r="A733" i="25"/>
  <c r="A732" i="25"/>
  <c r="A731" i="25"/>
  <c r="A730" i="25"/>
  <c r="A729" i="25"/>
  <c r="A728" i="25"/>
  <c r="A727" i="25"/>
  <c r="A726" i="25"/>
  <c r="A725" i="25"/>
  <c r="A724" i="25"/>
  <c r="A723" i="25"/>
  <c r="A722" i="25"/>
  <c r="A721" i="25"/>
  <c r="A720" i="25"/>
  <c r="A719" i="25"/>
  <c r="A718" i="25"/>
  <c r="A717" i="25"/>
  <c r="A716" i="25"/>
  <c r="A715" i="25"/>
  <c r="A714" i="25"/>
  <c r="A713" i="25"/>
  <c r="A712" i="25"/>
  <c r="A711" i="25"/>
  <c r="A710" i="25"/>
  <c r="A709" i="25"/>
  <c r="A708" i="25"/>
  <c r="A707" i="25"/>
  <c r="A706" i="25"/>
  <c r="A705" i="25"/>
  <c r="A704" i="25"/>
  <c r="A703" i="25"/>
  <c r="A702" i="25"/>
  <c r="A701" i="25"/>
  <c r="A700" i="25"/>
  <c r="A699" i="25"/>
  <c r="A698" i="25"/>
  <c r="A697" i="25"/>
  <c r="A696" i="25"/>
  <c r="A695" i="25"/>
  <c r="A694" i="25"/>
  <c r="A693" i="25"/>
  <c r="A692" i="25"/>
  <c r="A691" i="25"/>
  <c r="A690" i="25"/>
  <c r="A689" i="25"/>
  <c r="A688" i="25"/>
  <c r="A687" i="25"/>
  <c r="A686" i="25"/>
  <c r="A685" i="25"/>
  <c r="A684" i="25"/>
  <c r="A683" i="25"/>
  <c r="A682" i="25"/>
  <c r="A681" i="25"/>
  <c r="A680" i="25"/>
  <c r="A679" i="25"/>
  <c r="A678" i="25"/>
  <c r="A677" i="25"/>
  <c r="A676" i="25"/>
  <c r="A675" i="25"/>
  <c r="A674" i="25"/>
  <c r="A673" i="25"/>
  <c r="A672" i="25"/>
  <c r="A671" i="25"/>
  <c r="A670" i="25"/>
  <c r="A669" i="25"/>
  <c r="A668" i="25"/>
  <c r="A667" i="25"/>
  <c r="A666" i="25"/>
  <c r="A665" i="25"/>
  <c r="A664" i="25"/>
  <c r="A663" i="25"/>
  <c r="A662" i="25"/>
  <c r="A661" i="25"/>
  <c r="A660" i="25"/>
  <c r="A659" i="25"/>
  <c r="A658" i="25"/>
  <c r="A657" i="25"/>
  <c r="A656" i="25"/>
  <c r="A655" i="25"/>
  <c r="A654" i="25"/>
  <c r="A653" i="25"/>
  <c r="A652" i="25"/>
  <c r="A651" i="25"/>
  <c r="A650" i="25"/>
  <c r="A649" i="25"/>
  <c r="A648" i="25"/>
  <c r="A647" i="25"/>
  <c r="A646" i="25"/>
  <c r="A645" i="25"/>
  <c r="A644" i="25"/>
  <c r="A643" i="25"/>
  <c r="A642" i="25"/>
  <c r="A641" i="25"/>
  <c r="A640" i="25"/>
  <c r="A639" i="25"/>
  <c r="A638" i="25"/>
  <c r="A637" i="25"/>
  <c r="A636" i="25"/>
  <c r="A635" i="25"/>
  <c r="A634" i="25"/>
  <c r="A633" i="25"/>
  <c r="A632" i="25"/>
  <c r="A631" i="25"/>
  <c r="A630" i="25"/>
  <c r="A629" i="25"/>
  <c r="A628" i="25"/>
  <c r="A627" i="25"/>
  <c r="A626" i="25"/>
  <c r="A625" i="25"/>
  <c r="A624" i="25"/>
  <c r="A623" i="25"/>
  <c r="A622" i="25"/>
  <c r="A621" i="25"/>
  <c r="A620" i="25"/>
  <c r="A619" i="25"/>
  <c r="A618" i="25"/>
  <c r="A617" i="25"/>
  <c r="A616" i="25"/>
  <c r="A615" i="25"/>
  <c r="A614" i="25"/>
  <c r="A613" i="25"/>
  <c r="A612" i="25"/>
  <c r="A611" i="25"/>
  <c r="A610" i="25"/>
  <c r="A609" i="25"/>
  <c r="A608" i="25"/>
  <c r="A607" i="25"/>
  <c r="A606" i="25"/>
  <c r="A605" i="25"/>
  <c r="A604" i="25"/>
  <c r="A603" i="25"/>
  <c r="A602" i="25"/>
  <c r="A601" i="25"/>
  <c r="A600" i="25"/>
  <c r="A599" i="25"/>
  <c r="A598" i="25"/>
  <c r="A597" i="25"/>
  <c r="A596" i="25"/>
  <c r="A595" i="25"/>
  <c r="A594" i="25"/>
  <c r="A593" i="25"/>
  <c r="A592" i="25"/>
  <c r="A591" i="25"/>
  <c r="A590" i="25"/>
  <c r="A589" i="25"/>
  <c r="A588" i="25"/>
  <c r="A587" i="25"/>
  <c r="A586" i="25"/>
  <c r="A585" i="25"/>
  <c r="A584" i="25"/>
  <c r="A583" i="25"/>
  <c r="A582" i="25"/>
  <c r="A581" i="25"/>
  <c r="A580" i="25"/>
  <c r="A579" i="25"/>
  <c r="A578" i="25"/>
  <c r="A577" i="25"/>
  <c r="A576" i="25"/>
  <c r="A575" i="25"/>
  <c r="A574" i="25"/>
  <c r="A573" i="25"/>
  <c r="A572" i="25"/>
  <c r="A571" i="25"/>
  <c r="A570" i="25"/>
  <c r="A569" i="25"/>
  <c r="A568" i="25"/>
  <c r="A567" i="25"/>
  <c r="A566" i="25"/>
  <c r="A565" i="25"/>
  <c r="A564" i="25"/>
  <c r="A563" i="25"/>
  <c r="A562" i="25"/>
  <c r="A561" i="25"/>
  <c r="A560" i="25"/>
  <c r="A559" i="25"/>
  <c r="A558" i="25"/>
  <c r="A557" i="25"/>
  <c r="A556" i="25"/>
  <c r="A555" i="25"/>
  <c r="A554" i="25"/>
  <c r="A553" i="25"/>
  <c r="A552" i="25"/>
  <c r="A551" i="25"/>
  <c r="A550" i="25"/>
  <c r="A549" i="25"/>
  <c r="A548" i="25"/>
  <c r="A547" i="25"/>
  <c r="A546" i="25"/>
  <c r="A545" i="25"/>
  <c r="A544" i="25"/>
  <c r="A543" i="25"/>
  <c r="A542" i="25"/>
  <c r="A541" i="25"/>
  <c r="A540" i="25"/>
  <c r="A539" i="25"/>
  <c r="A538" i="25"/>
  <c r="A537" i="25"/>
  <c r="A536" i="25"/>
  <c r="A535" i="25"/>
  <c r="A534" i="25"/>
  <c r="A533" i="25"/>
  <c r="A532" i="25"/>
  <c r="A531" i="25"/>
  <c r="A530" i="25"/>
  <c r="A529" i="25"/>
  <c r="A528" i="25"/>
  <c r="A527" i="25"/>
  <c r="A526" i="25"/>
  <c r="A525" i="25"/>
  <c r="A524" i="25"/>
  <c r="A523" i="25"/>
  <c r="A522" i="25"/>
  <c r="A521" i="25"/>
  <c r="A520" i="25"/>
  <c r="A519" i="25"/>
  <c r="A518" i="25"/>
  <c r="A517" i="25"/>
  <c r="A516" i="25"/>
  <c r="A515" i="25"/>
  <c r="A514" i="25"/>
  <c r="A513" i="25"/>
  <c r="A512" i="25"/>
  <c r="A511" i="25"/>
  <c r="A510" i="25"/>
  <c r="A509" i="25"/>
  <c r="A508" i="25"/>
  <c r="A507" i="25"/>
  <c r="A506" i="25"/>
  <c r="A505" i="25"/>
  <c r="A504" i="25"/>
  <c r="A503" i="25"/>
  <c r="A502" i="25"/>
  <c r="A501" i="25"/>
  <c r="A500" i="25"/>
  <c r="A499" i="25"/>
  <c r="A498" i="25"/>
  <c r="A497" i="25"/>
  <c r="A496" i="25"/>
  <c r="A495" i="25"/>
  <c r="A494" i="25"/>
  <c r="A493" i="25"/>
  <c r="A492" i="25"/>
  <c r="A491" i="25"/>
  <c r="A490" i="25"/>
  <c r="A489" i="25"/>
  <c r="A488" i="25"/>
  <c r="A487" i="25"/>
  <c r="A486" i="25"/>
  <c r="A485" i="25"/>
  <c r="A484" i="25"/>
  <c r="A483" i="25"/>
  <c r="A482" i="25"/>
  <c r="A481" i="25"/>
  <c r="A480" i="25"/>
  <c r="A479" i="25"/>
  <c r="A478" i="25"/>
  <c r="A477" i="25"/>
  <c r="A476" i="25"/>
  <c r="A475" i="25"/>
  <c r="A474" i="25"/>
  <c r="A473" i="25"/>
  <c r="A472" i="25"/>
  <c r="A471" i="25"/>
  <c r="A470" i="25"/>
  <c r="A469" i="25"/>
  <c r="A468" i="25"/>
  <c r="A467" i="25"/>
  <c r="A466" i="25"/>
  <c r="A465" i="25"/>
  <c r="A464" i="25"/>
  <c r="A463" i="25"/>
  <c r="A462" i="25"/>
  <c r="A461" i="25"/>
  <c r="A460" i="25"/>
  <c r="A459" i="25"/>
  <c r="A458" i="25"/>
  <c r="A457" i="25"/>
  <c r="A456" i="25"/>
  <c r="A455" i="25"/>
  <c r="A454" i="25"/>
  <c r="A453" i="25"/>
  <c r="A452" i="25"/>
  <c r="A451" i="25"/>
  <c r="A450" i="25"/>
  <c r="A449" i="25"/>
  <c r="A448" i="25"/>
  <c r="A447" i="25"/>
  <c r="A446" i="25"/>
  <c r="A445" i="25"/>
  <c r="A444" i="25"/>
  <c r="A443" i="25"/>
  <c r="A442" i="25"/>
  <c r="A441" i="25"/>
  <c r="A440" i="25"/>
  <c r="A439" i="25"/>
  <c r="A438" i="25"/>
  <c r="A437" i="25"/>
  <c r="A436" i="25"/>
  <c r="A435" i="25"/>
  <c r="A434" i="25"/>
  <c r="A433" i="25"/>
  <c r="A432" i="25"/>
  <c r="A431" i="25"/>
  <c r="A430" i="25"/>
  <c r="A429" i="25"/>
  <c r="A428" i="25"/>
  <c r="A427" i="25"/>
  <c r="A426" i="25"/>
  <c r="A425" i="25"/>
  <c r="A424" i="25"/>
  <c r="A423" i="25"/>
  <c r="A422" i="25"/>
  <c r="A421" i="25"/>
  <c r="A420" i="25"/>
  <c r="A419" i="25"/>
  <c r="A418" i="25"/>
  <c r="A417" i="25"/>
  <c r="A416" i="25"/>
  <c r="A415" i="25"/>
  <c r="A414" i="25"/>
  <c r="A413" i="25"/>
  <c r="A412" i="25"/>
  <c r="A411" i="25"/>
  <c r="A410" i="25"/>
  <c r="A409" i="25"/>
  <c r="A408" i="25"/>
  <c r="A407" i="25"/>
  <c r="A406" i="25"/>
  <c r="A405" i="25"/>
  <c r="A404" i="25"/>
  <c r="A403" i="25"/>
  <c r="A402" i="25"/>
  <c r="A401" i="25"/>
  <c r="A400" i="25"/>
  <c r="A399" i="25"/>
  <c r="A398" i="25"/>
  <c r="A397" i="25"/>
  <c r="A396" i="25"/>
  <c r="A395" i="25"/>
  <c r="A394" i="25"/>
  <c r="A393" i="25"/>
  <c r="A392" i="25"/>
  <c r="A391" i="25"/>
  <c r="A390" i="25"/>
  <c r="A389" i="25"/>
  <c r="A388" i="25"/>
  <c r="A387" i="25"/>
  <c r="A386" i="25"/>
  <c r="A385" i="25"/>
  <c r="A384" i="25"/>
  <c r="A383" i="25"/>
  <c r="A382" i="25"/>
  <c r="A381" i="25"/>
  <c r="A380" i="25"/>
  <c r="A379" i="25"/>
  <c r="A378" i="25"/>
  <c r="A377" i="25"/>
  <c r="A376" i="25"/>
  <c r="A375" i="25"/>
  <c r="A374" i="25"/>
  <c r="A373" i="25"/>
  <c r="A372" i="25"/>
  <c r="A371" i="25"/>
  <c r="A370" i="25"/>
  <c r="A369" i="25"/>
  <c r="A368" i="25"/>
  <c r="A367" i="25"/>
  <c r="A366" i="25"/>
  <c r="A365" i="25"/>
  <c r="A364" i="25"/>
  <c r="A363" i="25"/>
  <c r="A362" i="25"/>
  <c r="A361" i="25"/>
  <c r="A360" i="25"/>
  <c r="A359" i="25"/>
  <c r="A358" i="25"/>
  <c r="A357" i="25"/>
  <c r="A356" i="25"/>
  <c r="A355" i="25"/>
  <c r="A354" i="25"/>
  <c r="A353" i="25"/>
  <c r="A352" i="25"/>
  <c r="A351" i="25"/>
  <c r="A350" i="25"/>
  <c r="A349" i="25"/>
  <c r="A348" i="25"/>
  <c r="A347" i="25"/>
  <c r="A346" i="25"/>
  <c r="A345" i="25"/>
  <c r="A344" i="25"/>
  <c r="A343" i="25"/>
  <c r="A342" i="25"/>
  <c r="A341" i="25"/>
  <c r="A340" i="25"/>
  <c r="A339" i="25"/>
  <c r="A338" i="25"/>
  <c r="A337" i="25"/>
  <c r="A336" i="25"/>
  <c r="A335" i="25"/>
  <c r="A334" i="25"/>
  <c r="A333" i="25"/>
  <c r="A332" i="25"/>
  <c r="A331" i="25"/>
  <c r="A330" i="25"/>
  <c r="A329" i="25"/>
  <c r="A328" i="25"/>
  <c r="A327" i="25"/>
  <c r="A326" i="25"/>
  <c r="A325" i="25"/>
  <c r="A324" i="25"/>
  <c r="A323" i="25"/>
  <c r="A322" i="25"/>
  <c r="A321" i="25"/>
  <c r="A320" i="25"/>
  <c r="A319" i="25"/>
  <c r="A318" i="25"/>
  <c r="A317" i="25"/>
  <c r="A316" i="25"/>
  <c r="A315" i="25"/>
  <c r="A314" i="25"/>
  <c r="A313" i="25"/>
  <c r="A312" i="25"/>
  <c r="A311" i="25"/>
  <c r="A310" i="25"/>
  <c r="A309" i="25"/>
  <c r="A308" i="25"/>
  <c r="A307" i="25"/>
  <c r="A306" i="25"/>
  <c r="A305" i="25"/>
  <c r="A304" i="25"/>
  <c r="A303" i="25"/>
  <c r="A302" i="25"/>
  <c r="A301" i="25"/>
  <c r="A300" i="25"/>
  <c r="A299" i="25"/>
  <c r="A298" i="25"/>
  <c r="A297" i="25"/>
  <c r="A296" i="25"/>
  <c r="A295" i="25"/>
  <c r="A294" i="25"/>
  <c r="A293" i="25"/>
  <c r="A292" i="25"/>
  <c r="A291" i="25"/>
  <c r="A290" i="25"/>
  <c r="A289" i="25"/>
  <c r="A288" i="25"/>
  <c r="A287" i="25"/>
  <c r="A286" i="25"/>
  <c r="A285" i="25"/>
  <c r="A284" i="25"/>
  <c r="A283" i="25"/>
  <c r="A282" i="25"/>
  <c r="A281" i="25"/>
  <c r="A280" i="25"/>
  <c r="A279" i="25"/>
  <c r="A278" i="25"/>
  <c r="A277" i="25"/>
  <c r="A276" i="25"/>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G40" i="22" l="1"/>
  <c r="Y40" i="22"/>
  <c r="Q40" i="22"/>
  <c r="BB42" i="22"/>
  <c r="AX42" i="22"/>
  <c r="AT42" i="22"/>
  <c r="AK45" i="22"/>
  <c r="AK44" i="22"/>
  <c r="AK43" i="22"/>
  <c r="AK41" i="22"/>
  <c r="AK39" i="22"/>
  <c r="AK38" i="22"/>
  <c r="AK32" i="22"/>
  <c r="AG45" i="22"/>
  <c r="AG44" i="22"/>
  <c r="AG43" i="22"/>
  <c r="AG42" i="22"/>
  <c r="AG41" i="22"/>
  <c r="AG39" i="22"/>
  <c r="AG38" i="22"/>
  <c r="AG32" i="22"/>
  <c r="Y45" i="22"/>
  <c r="Y44" i="22"/>
  <c r="Y43" i="22"/>
  <c r="Y42" i="22"/>
  <c r="Y41" i="22"/>
  <c r="Y39" i="22"/>
  <c r="Y38" i="22"/>
  <c r="Y32" i="22"/>
  <c r="Q45" i="22"/>
  <c r="Q44" i="22"/>
  <c r="Q43" i="22"/>
  <c r="Q42" i="22"/>
  <c r="Q41" i="22"/>
  <c r="Q39" i="22"/>
  <c r="Q38" i="22"/>
  <c r="Q32" i="22"/>
  <c r="M45" i="22"/>
  <c r="M44" i="22"/>
  <c r="M43" i="22"/>
  <c r="M42" i="22"/>
  <c r="M40" i="22"/>
  <c r="M39" i="22"/>
  <c r="M38" i="22"/>
  <c r="BB45" i="22"/>
  <c r="BB44" i="22"/>
  <c r="BB43" i="22"/>
  <c r="BB41" i="22"/>
  <c r="BB40" i="22"/>
  <c r="BB39" i="22"/>
  <c r="BB38" i="22"/>
  <c r="BB32" i="22"/>
  <c r="AX45" i="22"/>
  <c r="AX44" i="22"/>
  <c r="AX43" i="22"/>
  <c r="AX41" i="22"/>
  <c r="AX40" i="22"/>
  <c r="AX39" i="22"/>
  <c r="AX38" i="22"/>
  <c r="AX30" i="22"/>
  <c r="AT45" i="22"/>
  <c r="AT44" i="22"/>
  <c r="AT43" i="22"/>
  <c r="AT41" i="22"/>
  <c r="AT40" i="22"/>
  <c r="AT39" i="22"/>
  <c r="AT38" i="22"/>
  <c r="AR29" i="22"/>
  <c r="BB29" i="22"/>
  <c r="AX29" i="22"/>
  <c r="AT29" i="22"/>
  <c r="AT25" i="22"/>
  <c r="AZ29" i="22"/>
  <c r="AZ26" i="22"/>
  <c r="AX32" i="22"/>
  <c r="AV29" i="22"/>
  <c r="BB31" i="22"/>
  <c r="BB30" i="22"/>
  <c r="BB28" i="22"/>
  <c r="BB27" i="22"/>
  <c r="BB26" i="22"/>
  <c r="BB25" i="22"/>
  <c r="AZ32" i="22"/>
  <c r="AZ31" i="22"/>
  <c r="AZ30" i="22"/>
  <c r="AZ28" i="22"/>
  <c r="AZ27" i="22"/>
  <c r="AZ25" i="22"/>
  <c r="AX31" i="22"/>
  <c r="AX28" i="22"/>
  <c r="AX27" i="22"/>
  <c r="AX26" i="22"/>
  <c r="AX25" i="22"/>
  <c r="AV32" i="22"/>
  <c r="AV31" i="22"/>
  <c r="AV30" i="22"/>
  <c r="AV28" i="22"/>
  <c r="AV27" i="22"/>
  <c r="AV26" i="22"/>
  <c r="AV25" i="22"/>
  <c r="AT32" i="22"/>
  <c r="AR32" i="22"/>
  <c r="AT31" i="22"/>
  <c r="AR31" i="22"/>
  <c r="AT30" i="22"/>
  <c r="AR30" i="22"/>
  <c r="AT28" i="22"/>
  <c r="AR28" i="22"/>
  <c r="AT27" i="22"/>
  <c r="AR27" i="22"/>
  <c r="AT26" i="22"/>
  <c r="AR25" i="22"/>
  <c r="AR26" i="22"/>
  <c r="AK31" i="22" l="1"/>
  <c r="AK30" i="22"/>
  <c r="AK29" i="22"/>
  <c r="AK28" i="22"/>
  <c r="AK27" i="22"/>
  <c r="AK25" i="22"/>
  <c r="AI32" i="22"/>
  <c r="AI31" i="22"/>
  <c r="AI30" i="22"/>
  <c r="AI29" i="22"/>
  <c r="AI28" i="22"/>
  <c r="AI27" i="22"/>
  <c r="AI26" i="22"/>
  <c r="AI25" i="22"/>
  <c r="AG31" i="22"/>
  <c r="AG30" i="22"/>
  <c r="AG29" i="22"/>
  <c r="AG28" i="22"/>
  <c r="AG27" i="22"/>
  <c r="AG25" i="22"/>
  <c r="AE32" i="22"/>
  <c r="AE31" i="22"/>
  <c r="AE30" i="22"/>
  <c r="AE29" i="22"/>
  <c r="AE28" i="22"/>
  <c r="AE27" i="22"/>
  <c r="AE26" i="22"/>
  <c r="AE25" i="22"/>
  <c r="Y31" i="22"/>
  <c r="Y30" i="22"/>
  <c r="Y29" i="22"/>
  <c r="Y28" i="22"/>
  <c r="Y27" i="22"/>
  <c r="W32" i="22"/>
  <c r="W31" i="22"/>
  <c r="W30" i="22"/>
  <c r="W29" i="22"/>
  <c r="W28" i="22"/>
  <c r="W27" i="22"/>
  <c r="W26" i="22"/>
  <c r="W25" i="22"/>
  <c r="Q31" i="22" l="1"/>
  <c r="Q30" i="22"/>
  <c r="Q29" i="22"/>
  <c r="Q28" i="22"/>
  <c r="Q27" i="22"/>
  <c r="O32" i="22"/>
  <c r="O31" i="22"/>
  <c r="O30" i="22"/>
  <c r="O29" i="22"/>
  <c r="O28" i="22"/>
  <c r="O27" i="22"/>
  <c r="O26" i="22"/>
  <c r="M32" i="22"/>
  <c r="K32" i="22"/>
  <c r="M31" i="22"/>
  <c r="K31" i="22"/>
  <c r="M30" i="22"/>
  <c r="K30" i="22"/>
  <c r="M29" i="22"/>
  <c r="K29" i="22"/>
  <c r="AK26" i="22"/>
  <c r="AG26" i="22"/>
  <c r="Y26" i="22"/>
  <c r="Q26" i="22"/>
  <c r="M28" i="22"/>
  <c r="K28" i="22"/>
  <c r="M27" i="22"/>
  <c r="M26" i="22"/>
  <c r="M25" i="22"/>
  <c r="K27" i="22"/>
  <c r="K26" i="22"/>
  <c r="X16" i="22"/>
  <c r="X17" i="22" s="1"/>
  <c r="K5" i="22" l="1"/>
  <c r="A2" i="22"/>
  <c r="A3" i="9"/>
  <c r="A3" i="24"/>
  <c r="A3" i="18"/>
  <c r="A3" i="21"/>
  <c r="A3" i="25"/>
  <c r="A2" i="24"/>
  <c r="A2" i="18"/>
  <c r="K50" i="22"/>
  <c r="V79" i="22"/>
  <c r="V78" i="22"/>
  <c r="V77" i="22"/>
  <c r="V76" i="22"/>
  <c r="V74" i="22"/>
  <c r="V73" i="22"/>
  <c r="V72" i="22"/>
  <c r="V69" i="22"/>
  <c r="V68" i="22"/>
  <c r="V67" i="22"/>
  <c r="V65" i="22"/>
  <c r="V64" i="22"/>
  <c r="K85" i="22"/>
  <c r="K84" i="22"/>
  <c r="Q56" i="22"/>
  <c r="Q55" i="22"/>
  <c r="Q54" i="22"/>
  <c r="V71" i="22" l="1"/>
  <c r="K87" i="22"/>
  <c r="A21" i="18"/>
  <c r="A20" i="18"/>
  <c r="A19" i="18"/>
  <c r="A18" i="18"/>
  <c r="A17" i="18"/>
  <c r="A16" i="18"/>
  <c r="A15" i="18"/>
  <c r="AO9" i="18"/>
  <c r="Z9" i="18"/>
  <c r="K9" i="18"/>
  <c r="AO8" i="18"/>
  <c r="AO7" i="18"/>
  <c r="K7" i="18"/>
  <c r="AO6" i="18"/>
  <c r="K6" i="18"/>
  <c r="AO5" i="18"/>
  <c r="K5" i="18"/>
  <c r="V80" i="22" l="1"/>
  <c r="Q57" i="22" l="1"/>
  <c r="A211" i="25" l="1"/>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BF45" i="22" l="1"/>
  <c r="BF44" i="22"/>
  <c r="BF43" i="22"/>
  <c r="BF42" i="22"/>
  <c r="BF41" i="22"/>
  <c r="BF40" i="22"/>
  <c r="BB46" i="22"/>
  <c r="BF39" i="22"/>
  <c r="AX46" i="22"/>
  <c r="BF38" i="22"/>
  <c r="AT46" i="22"/>
  <c r="BD25" i="22"/>
  <c r="AK9" i="25"/>
  <c r="Z9" i="25"/>
  <c r="P9" i="25"/>
  <c r="AK8" i="25"/>
  <c r="AK7" i="25"/>
  <c r="P7" i="25"/>
  <c r="AK6" i="25"/>
  <c r="P6" i="25"/>
  <c r="AK5" i="25"/>
  <c r="P5" i="25"/>
  <c r="A15" i="25"/>
  <c r="BD31" i="22" l="1"/>
  <c r="BD32" i="22"/>
  <c r="BF32" i="22"/>
  <c r="BF28" i="22"/>
  <c r="BF25" i="22"/>
  <c r="BD30" i="22"/>
  <c r="BF31" i="22"/>
  <c r="BF27" i="22"/>
  <c r="BD26" i="22"/>
  <c r="BD28" i="22"/>
  <c r="BD27" i="22"/>
  <c r="BF30" i="22"/>
  <c r="BD29" i="22"/>
  <c r="BF29" i="22"/>
  <c r="BF46" i="22"/>
  <c r="BD47" i="22" s="1"/>
  <c r="BF26" i="22"/>
  <c r="BB33" i="22"/>
  <c r="AX33" i="22"/>
  <c r="AZ33" i="22"/>
  <c r="AV33" i="22"/>
  <c r="AT33" i="22"/>
  <c r="AR33" i="22"/>
  <c r="M33" i="22"/>
  <c r="BD33" i="22" l="1"/>
  <c r="BF33" i="22"/>
  <c r="U33" i="22"/>
  <c r="Y33" i="22"/>
  <c r="AC33" i="22"/>
  <c r="AG33" i="22"/>
  <c r="AK33" i="22"/>
  <c r="AK46" i="22"/>
  <c r="AG46" i="22"/>
  <c r="AC46" i="22"/>
  <c r="Y46" i="22"/>
  <c r="U46" i="22"/>
  <c r="AO40" i="22"/>
  <c r="AO39" i="22"/>
  <c r="AM25" i="22" l="1"/>
  <c r="AM31" i="22"/>
  <c r="AM26" i="22"/>
  <c r="AM30" i="22"/>
  <c r="AM27" i="22"/>
  <c r="AM32" i="22"/>
  <c r="AM28" i="22"/>
  <c r="AM29" i="22"/>
  <c r="O33" i="22"/>
  <c r="S33" i="22"/>
  <c r="W33" i="22"/>
  <c r="AA33" i="22"/>
  <c r="AE33" i="22"/>
  <c r="AI33" i="22"/>
  <c r="Q33" i="22"/>
  <c r="AO44" i="22"/>
  <c r="M46" i="22"/>
  <c r="AO42" i="22"/>
  <c r="AO45" i="22"/>
  <c r="AO43" i="22"/>
  <c r="AO41" i="22"/>
  <c r="Q46" i="22"/>
  <c r="AO38" i="22"/>
  <c r="AO25" i="22"/>
  <c r="AO27" i="22"/>
  <c r="AO29" i="22"/>
  <c r="AO31" i="22"/>
  <c r="AO26" i="22"/>
  <c r="AO28" i="22"/>
  <c r="AO30" i="22"/>
  <c r="AO32" i="22"/>
  <c r="K33" i="22"/>
  <c r="AM33" i="22" l="1"/>
  <c r="AO46" i="22"/>
  <c r="AM47" i="22" s="1"/>
  <c r="AO33" i="22"/>
  <c r="AM34" i="22" l="1"/>
  <c r="AM48" i="22" s="1"/>
  <c r="BD34" i="22"/>
  <c r="BD48" i="22" l="1"/>
  <c r="A15" i="24" l="1"/>
  <c r="Z9" i="24"/>
  <c r="P9" i="24"/>
  <c r="H9" i="24"/>
  <c r="Z8" i="24"/>
  <c r="Z7" i="24"/>
  <c r="H7" i="24"/>
  <c r="Z6" i="24"/>
  <c r="H6" i="24"/>
  <c r="Z5" i="24"/>
  <c r="H5" i="24"/>
  <c r="H6" i="21" l="1"/>
  <c r="H10" i="21" l="1"/>
  <c r="X9" i="9" l="1"/>
  <c r="AC10" i="21"/>
  <c r="AC9" i="21" l="1"/>
  <c r="R10" i="21"/>
  <c r="AC6" i="21"/>
  <c r="A1" i="22" l="1"/>
  <c r="AF8" i="22"/>
  <c r="S8" i="22"/>
  <c r="K8" i="22"/>
  <c r="AF7" i="22"/>
  <c r="AF6" i="22"/>
  <c r="K6" i="22"/>
  <c r="AF5" i="22"/>
  <c r="AF4" i="22"/>
  <c r="A2" i="9"/>
  <c r="Z155" i="12" l="1"/>
  <c r="X155" i="12"/>
  <c r="V155" i="12"/>
  <c r="S155" i="12"/>
  <c r="Q155" i="12"/>
  <c r="O155" i="12"/>
  <c r="M155" i="12"/>
  <c r="K155" i="12"/>
  <c r="I155" i="12"/>
  <c r="G155" i="12"/>
  <c r="AH78" i="12"/>
  <c r="Z81" i="12"/>
  <c r="X81" i="12"/>
  <c r="V81" i="12"/>
  <c r="S81" i="12"/>
  <c r="Q81" i="12"/>
  <c r="O81" i="12"/>
  <c r="M81" i="12"/>
  <c r="K81" i="12"/>
  <c r="I81" i="12"/>
  <c r="G81" i="12"/>
  <c r="Z154" i="12"/>
  <c r="AM150" i="12"/>
  <c r="Q94" i="12"/>
  <c r="AF81" i="12" l="1"/>
  <c r="AD81" i="12"/>
  <c r="AF155" i="12"/>
  <c r="AD155" i="12"/>
  <c r="P94" i="12"/>
  <c r="P93" i="12"/>
  <c r="Z135" i="12" l="1"/>
  <c r="X135" i="12"/>
  <c r="V135" i="12"/>
  <c r="S135" i="12"/>
  <c r="Q135" i="12"/>
  <c r="O135" i="12"/>
  <c r="M135" i="12"/>
  <c r="K135" i="12"/>
  <c r="I135" i="12"/>
  <c r="G135" i="12"/>
  <c r="Z134" i="12"/>
  <c r="X134" i="12"/>
  <c r="V134" i="12"/>
  <c r="S134" i="12"/>
  <c r="Q134" i="12"/>
  <c r="O134" i="12"/>
  <c r="M134" i="12"/>
  <c r="K134" i="12"/>
  <c r="I134" i="12"/>
  <c r="G134" i="12"/>
  <c r="Z133" i="12"/>
  <c r="X133" i="12"/>
  <c r="V133" i="12"/>
  <c r="S133" i="12"/>
  <c r="Q133" i="12"/>
  <c r="O133" i="12"/>
  <c r="M133" i="12"/>
  <c r="K133" i="12"/>
  <c r="I133" i="12"/>
  <c r="G133" i="12"/>
  <c r="Z131" i="12"/>
  <c r="X131" i="12"/>
  <c r="V131" i="12"/>
  <c r="S131" i="12"/>
  <c r="Q131" i="12"/>
  <c r="O131" i="12"/>
  <c r="M131" i="12"/>
  <c r="L131" i="12"/>
  <c r="K131" i="12"/>
  <c r="Y131" i="12"/>
  <c r="W131" i="12"/>
  <c r="U131" i="12"/>
  <c r="R131" i="12"/>
  <c r="P131" i="12"/>
  <c r="N131" i="12"/>
  <c r="J131" i="12"/>
  <c r="I131" i="12"/>
  <c r="H131" i="12"/>
  <c r="G131" i="12"/>
  <c r="F131" i="12"/>
  <c r="K80" i="12"/>
  <c r="I80" i="12"/>
  <c r="G80" i="12"/>
  <c r="Z130" i="12"/>
  <c r="Y130" i="12"/>
  <c r="X130" i="12"/>
  <c r="W130" i="12"/>
  <c r="V130" i="12"/>
  <c r="U130" i="12"/>
  <c r="S130" i="12"/>
  <c r="R130" i="12"/>
  <c r="Q130" i="12"/>
  <c r="P130" i="12"/>
  <c r="O130" i="12"/>
  <c r="N130" i="12"/>
  <c r="M130" i="12"/>
  <c r="L130" i="12"/>
  <c r="K130" i="12"/>
  <c r="J130" i="12"/>
  <c r="I130" i="12"/>
  <c r="H130" i="12"/>
  <c r="G130" i="12"/>
  <c r="F130" i="12"/>
  <c r="Z129" i="12"/>
  <c r="Y129" i="12"/>
  <c r="X129" i="12"/>
  <c r="W129" i="12"/>
  <c r="V129" i="12"/>
  <c r="U129" i="12"/>
  <c r="S129" i="12"/>
  <c r="R129" i="12"/>
  <c r="Q129" i="12"/>
  <c r="P129" i="12"/>
  <c r="O129" i="12"/>
  <c r="N129" i="12"/>
  <c r="M129" i="12"/>
  <c r="L129" i="12"/>
  <c r="K129" i="12"/>
  <c r="J129" i="12"/>
  <c r="I129" i="12"/>
  <c r="H129" i="12"/>
  <c r="G129" i="12"/>
  <c r="F129" i="12"/>
  <c r="Z87" i="12"/>
  <c r="Y87" i="12"/>
  <c r="X87" i="12"/>
  <c r="W87" i="12"/>
  <c r="V87" i="12"/>
  <c r="U87" i="12"/>
  <c r="S87" i="12"/>
  <c r="R87" i="12"/>
  <c r="Q87" i="12"/>
  <c r="P87" i="12"/>
  <c r="O87" i="12"/>
  <c r="N87" i="12"/>
  <c r="M87" i="12"/>
  <c r="L87" i="12"/>
  <c r="K87" i="12"/>
  <c r="J87" i="12"/>
  <c r="I87" i="12"/>
  <c r="H87" i="12"/>
  <c r="G87" i="12"/>
  <c r="F87" i="12"/>
  <c r="P53" i="12"/>
  <c r="P49" i="12"/>
  <c r="AD129" i="12" l="1"/>
  <c r="AF87" i="12"/>
  <c r="AF135" i="12"/>
  <c r="AF134" i="12"/>
  <c r="AF133" i="12"/>
  <c r="AF131" i="12"/>
  <c r="AD131" i="12"/>
  <c r="AD135" i="12"/>
  <c r="AD134" i="12"/>
  <c r="AD133" i="12"/>
  <c r="AF130" i="12"/>
  <c r="AD130" i="12"/>
  <c r="AF129" i="12"/>
  <c r="AV176" i="12"/>
  <c r="AV175" i="12"/>
  <c r="AV174" i="12"/>
  <c r="AV173" i="12"/>
  <c r="AV172" i="12"/>
  <c r="AT176" i="12"/>
  <c r="AT175" i="12"/>
  <c r="AT174" i="12"/>
  <c r="AT173" i="12"/>
  <c r="AT172" i="12"/>
  <c r="AR176" i="12"/>
  <c r="AR175" i="12"/>
  <c r="AR174" i="12"/>
  <c r="AR173" i="12"/>
  <c r="AR172" i="12"/>
  <c r="AP176" i="12"/>
  <c r="AP175" i="12"/>
  <c r="AP174" i="12"/>
  <c r="AP173" i="12"/>
  <c r="AP172" i="12"/>
  <c r="AN176" i="12"/>
  <c r="AN175" i="12"/>
  <c r="AN174" i="12"/>
  <c r="AN173" i="12"/>
  <c r="AN172" i="12"/>
  <c r="AL176" i="12"/>
  <c r="AL175" i="12"/>
  <c r="AL174" i="12"/>
  <c r="AL173" i="12"/>
  <c r="AL172" i="12"/>
  <c r="AJ176" i="12"/>
  <c r="AJ175" i="12"/>
  <c r="AJ174" i="12"/>
  <c r="AJ173" i="12"/>
  <c r="AJ172" i="12"/>
  <c r="AH175" i="12"/>
  <c r="AH176" i="12"/>
  <c r="AH174" i="12"/>
  <c r="AH173" i="12"/>
  <c r="AH172" i="12"/>
  <c r="AF176" i="12"/>
  <c r="AF175" i="12"/>
  <c r="AF174" i="12"/>
  <c r="AF173" i="12"/>
  <c r="AF172" i="12"/>
  <c r="V176" i="12"/>
  <c r="V175" i="12"/>
  <c r="V174" i="12"/>
  <c r="V173" i="12"/>
  <c r="F172" i="12"/>
  <c r="T176" i="12"/>
  <c r="R176" i="12"/>
  <c r="P176" i="12"/>
  <c r="N176" i="12"/>
  <c r="L176" i="12"/>
  <c r="J176" i="12"/>
  <c r="H176" i="12"/>
  <c r="T175" i="12"/>
  <c r="R175" i="12"/>
  <c r="P175" i="12"/>
  <c r="N175" i="12"/>
  <c r="L175" i="12"/>
  <c r="J175" i="12"/>
  <c r="H175" i="12"/>
  <c r="T174" i="12"/>
  <c r="R174" i="12"/>
  <c r="P174" i="12"/>
  <c r="N174" i="12"/>
  <c r="L174" i="12"/>
  <c r="J174" i="12"/>
  <c r="H174" i="12"/>
  <c r="T173" i="12"/>
  <c r="R173" i="12"/>
  <c r="P173" i="12"/>
  <c r="N173" i="12"/>
  <c r="L173" i="12"/>
  <c r="J173" i="12"/>
  <c r="H173" i="12"/>
  <c r="H172" i="12"/>
  <c r="F173" i="12"/>
  <c r="F176" i="12"/>
  <c r="F175" i="12"/>
  <c r="F174" i="12"/>
  <c r="V172" i="12"/>
  <c r="T172" i="12"/>
  <c r="R172" i="12"/>
  <c r="P172" i="12"/>
  <c r="N172" i="12"/>
  <c r="L172" i="12"/>
  <c r="J172" i="12"/>
  <c r="F68" i="12"/>
  <c r="F97" i="12"/>
  <c r="N109" i="12"/>
  <c r="Z142" i="12"/>
  <c r="F142" i="12"/>
  <c r="F158" i="12"/>
  <c r="Z160" i="12"/>
  <c r="Y160" i="12"/>
  <c r="X160" i="12"/>
  <c r="W160" i="12"/>
  <c r="V160" i="12"/>
  <c r="U160" i="12"/>
  <c r="S160" i="12"/>
  <c r="R160" i="12"/>
  <c r="Q160" i="12"/>
  <c r="P160" i="12"/>
  <c r="O160" i="12"/>
  <c r="N160" i="12"/>
  <c r="M160" i="12"/>
  <c r="L160" i="12"/>
  <c r="K160" i="12"/>
  <c r="J160" i="12"/>
  <c r="I160" i="12"/>
  <c r="H160" i="12"/>
  <c r="G160" i="12"/>
  <c r="F160" i="12"/>
  <c r="Z159" i="12"/>
  <c r="Y159" i="12"/>
  <c r="X159" i="12"/>
  <c r="W159" i="12"/>
  <c r="V159" i="12"/>
  <c r="U159" i="12"/>
  <c r="S159" i="12"/>
  <c r="R159" i="12"/>
  <c r="Q159" i="12"/>
  <c r="P159" i="12"/>
  <c r="O159" i="12"/>
  <c r="N159" i="12"/>
  <c r="M159" i="12"/>
  <c r="L159" i="12"/>
  <c r="K159" i="12"/>
  <c r="J159" i="12"/>
  <c r="I159" i="12"/>
  <c r="H159" i="12"/>
  <c r="G159" i="12"/>
  <c r="F159" i="12"/>
  <c r="Z158" i="12"/>
  <c r="Y158" i="12"/>
  <c r="X158" i="12"/>
  <c r="W158" i="12"/>
  <c r="V158" i="12"/>
  <c r="U158" i="12"/>
  <c r="S158" i="12"/>
  <c r="R158" i="12"/>
  <c r="Q158" i="12"/>
  <c r="P158" i="12"/>
  <c r="O158" i="12"/>
  <c r="N158" i="12"/>
  <c r="M158" i="12"/>
  <c r="L158" i="12"/>
  <c r="K158" i="12"/>
  <c r="J158" i="12"/>
  <c r="I158" i="12"/>
  <c r="H158" i="12"/>
  <c r="G158" i="12"/>
  <c r="Z156" i="12"/>
  <c r="Y156" i="12"/>
  <c r="X156" i="12"/>
  <c r="W156" i="12"/>
  <c r="V156" i="12"/>
  <c r="U156" i="12"/>
  <c r="S156" i="12"/>
  <c r="R156" i="12"/>
  <c r="Q156" i="12"/>
  <c r="P156" i="12"/>
  <c r="O156" i="12"/>
  <c r="N156" i="12"/>
  <c r="M156" i="12"/>
  <c r="L156" i="12"/>
  <c r="K156" i="12"/>
  <c r="J156" i="12"/>
  <c r="I156" i="12"/>
  <c r="H156" i="12"/>
  <c r="G156" i="12"/>
  <c r="F156" i="12"/>
  <c r="Z161" i="12" l="1"/>
  <c r="Y161" i="12"/>
  <c r="X161" i="12"/>
  <c r="W161" i="12"/>
  <c r="AF160" i="12"/>
  <c r="V161" i="12"/>
  <c r="AF159" i="12"/>
  <c r="S161" i="12"/>
  <c r="R161" i="12"/>
  <c r="Q161" i="12"/>
  <c r="P161" i="12"/>
  <c r="O161" i="12"/>
  <c r="N161" i="12"/>
  <c r="M161" i="12"/>
  <c r="L161" i="12"/>
  <c r="K161" i="12"/>
  <c r="J161" i="12"/>
  <c r="I161" i="12"/>
  <c r="H161" i="12"/>
  <c r="AD160" i="12"/>
  <c r="G161" i="12"/>
  <c r="AD159" i="12"/>
  <c r="AF158" i="12"/>
  <c r="AD158" i="12"/>
  <c r="U161" i="12"/>
  <c r="F161" i="12"/>
  <c r="Y149" i="12"/>
  <c r="Y148" i="12"/>
  <c r="Y147" i="12"/>
  <c r="Y146" i="12"/>
  <c r="Y145" i="12"/>
  <c r="Y144" i="12"/>
  <c r="Y143" i="12"/>
  <c r="Y142" i="12"/>
  <c r="X154" i="12"/>
  <c r="V154" i="12"/>
  <c r="S154" i="12"/>
  <c r="Z149" i="12"/>
  <c r="X149" i="12"/>
  <c r="V149" i="12"/>
  <c r="W149" i="12"/>
  <c r="U149" i="12"/>
  <c r="Z148" i="12"/>
  <c r="X148" i="12"/>
  <c r="W148" i="12"/>
  <c r="V148" i="12"/>
  <c r="U148" i="12"/>
  <c r="Z147" i="12"/>
  <c r="X147" i="12"/>
  <c r="W147" i="12"/>
  <c r="V147" i="12"/>
  <c r="U147" i="12"/>
  <c r="Z146" i="12"/>
  <c r="X146" i="12"/>
  <c r="W146" i="12"/>
  <c r="V146" i="12"/>
  <c r="U146" i="12"/>
  <c r="Z145" i="12"/>
  <c r="X145" i="12"/>
  <c r="W145" i="12"/>
  <c r="V145" i="12"/>
  <c r="U145" i="12"/>
  <c r="Z144" i="12"/>
  <c r="X144" i="12"/>
  <c r="W144" i="12"/>
  <c r="V144" i="12"/>
  <c r="U144" i="12"/>
  <c r="Z143" i="12"/>
  <c r="X143" i="12"/>
  <c r="W143" i="12"/>
  <c r="V143" i="12"/>
  <c r="U143" i="12"/>
  <c r="W142" i="12"/>
  <c r="X142" i="12"/>
  <c r="U142" i="12"/>
  <c r="V142" i="12"/>
  <c r="R142" i="12"/>
  <c r="AD156" i="12"/>
  <c r="Q154" i="12"/>
  <c r="O154" i="12"/>
  <c r="M154" i="12"/>
  <c r="K154" i="12"/>
  <c r="I154" i="12"/>
  <c r="G154" i="12"/>
  <c r="R149" i="12"/>
  <c r="P149" i="12"/>
  <c r="N149" i="12"/>
  <c r="L149" i="12"/>
  <c r="J149" i="12"/>
  <c r="H149" i="12"/>
  <c r="F149" i="12"/>
  <c r="S149" i="12"/>
  <c r="Q149" i="12"/>
  <c r="O149" i="12"/>
  <c r="M149" i="12"/>
  <c r="K149" i="12"/>
  <c r="I149" i="12"/>
  <c r="G149" i="12"/>
  <c r="K148" i="12"/>
  <c r="K147" i="12"/>
  <c r="K146" i="12"/>
  <c r="K145" i="12"/>
  <c r="K144" i="12"/>
  <c r="K143" i="12"/>
  <c r="J148" i="12"/>
  <c r="J147" i="12"/>
  <c r="J146" i="12"/>
  <c r="J145" i="12"/>
  <c r="J144" i="12"/>
  <c r="K142" i="12"/>
  <c r="J143" i="12"/>
  <c r="J142" i="12"/>
  <c r="O148" i="12"/>
  <c r="O147" i="12"/>
  <c r="O146" i="12"/>
  <c r="O145" i="12"/>
  <c r="O144" i="12"/>
  <c r="O143" i="12"/>
  <c r="O142" i="12"/>
  <c r="N148" i="12"/>
  <c r="N147" i="12"/>
  <c r="N146" i="12"/>
  <c r="N145" i="12"/>
  <c r="N144" i="12"/>
  <c r="N143" i="12"/>
  <c r="N142" i="12"/>
  <c r="D145" i="12"/>
  <c r="D149" i="12"/>
  <c r="D148" i="12"/>
  <c r="D147" i="12"/>
  <c r="D146" i="12"/>
  <c r="D144" i="12"/>
  <c r="D143" i="12"/>
  <c r="D142" i="12"/>
  <c r="S142" i="12"/>
  <c r="Q142" i="12"/>
  <c r="P142" i="12"/>
  <c r="M142" i="12"/>
  <c r="L142" i="12"/>
  <c r="I142" i="12"/>
  <c r="H142" i="12"/>
  <c r="G142" i="12"/>
  <c r="F143" i="12"/>
  <c r="S148" i="12"/>
  <c r="R148" i="12"/>
  <c r="Q148" i="12"/>
  <c r="P148" i="12"/>
  <c r="M148" i="12"/>
  <c r="L148" i="12"/>
  <c r="F148" i="12"/>
  <c r="S147" i="12"/>
  <c r="R147" i="12"/>
  <c r="Q147" i="12"/>
  <c r="P147" i="12"/>
  <c r="M147" i="12"/>
  <c r="L147" i="12"/>
  <c r="F147" i="12"/>
  <c r="S146" i="12"/>
  <c r="R146" i="12"/>
  <c r="Q146" i="12"/>
  <c r="P146" i="12"/>
  <c r="M146" i="12"/>
  <c r="L146" i="12"/>
  <c r="F146" i="12"/>
  <c r="G145" i="12"/>
  <c r="S145" i="12"/>
  <c r="R145" i="12"/>
  <c r="Q145" i="12"/>
  <c r="P145" i="12"/>
  <c r="M145" i="12"/>
  <c r="L145" i="12"/>
  <c r="F145" i="12"/>
  <c r="S144" i="12"/>
  <c r="R144" i="12"/>
  <c r="Q144" i="12"/>
  <c r="P144" i="12"/>
  <c r="M144" i="12"/>
  <c r="L144" i="12"/>
  <c r="F144" i="12"/>
  <c r="S143" i="12"/>
  <c r="R143" i="12"/>
  <c r="Q143" i="12"/>
  <c r="P143" i="12"/>
  <c r="M143" i="12"/>
  <c r="L143" i="12"/>
  <c r="AD142" i="12" l="1"/>
  <c r="AF146" i="12"/>
  <c r="AF147" i="12"/>
  <c r="AD149" i="12"/>
  <c r="AF142" i="12"/>
  <c r="AF144" i="12"/>
  <c r="AF148" i="12"/>
  <c r="AF143" i="12"/>
  <c r="AF145" i="12"/>
  <c r="AF149" i="12"/>
  <c r="D150" i="12"/>
  <c r="AF161" i="12"/>
  <c r="AD161" i="12"/>
  <c r="AD154" i="12"/>
  <c r="AF154" i="12"/>
  <c r="AF156" i="12"/>
  <c r="I148" i="12"/>
  <c r="I147" i="12"/>
  <c r="I146" i="12"/>
  <c r="I145" i="12"/>
  <c r="I144" i="12"/>
  <c r="I143" i="12"/>
  <c r="H145" i="12"/>
  <c r="H148" i="12"/>
  <c r="H147" i="12"/>
  <c r="H146" i="12"/>
  <c r="H144" i="12"/>
  <c r="H143" i="12"/>
  <c r="G148" i="12"/>
  <c r="G147" i="12"/>
  <c r="G146" i="12"/>
  <c r="G144" i="12"/>
  <c r="G143" i="12"/>
  <c r="Z150" i="12"/>
  <c r="Y150" i="12"/>
  <c r="X150" i="12"/>
  <c r="W150" i="12"/>
  <c r="V150" i="12"/>
  <c r="U150" i="12"/>
  <c r="S150" i="12"/>
  <c r="R150" i="12"/>
  <c r="Q150" i="12"/>
  <c r="P150" i="12"/>
  <c r="O150" i="12"/>
  <c r="N150" i="12"/>
  <c r="M150" i="12"/>
  <c r="L150" i="12"/>
  <c r="K150" i="12"/>
  <c r="J150" i="12"/>
  <c r="Z104" i="12"/>
  <c r="Y104" i="12"/>
  <c r="X104" i="12"/>
  <c r="W104" i="12"/>
  <c r="V104" i="12"/>
  <c r="U104" i="12"/>
  <c r="S104" i="12"/>
  <c r="R104" i="12"/>
  <c r="Q104" i="12"/>
  <c r="P104" i="12"/>
  <c r="O104" i="12"/>
  <c r="N104" i="12"/>
  <c r="M104" i="12"/>
  <c r="L104" i="12"/>
  <c r="K104" i="12"/>
  <c r="J104" i="12"/>
  <c r="I104" i="12"/>
  <c r="H104" i="12"/>
  <c r="G104" i="12"/>
  <c r="F104" i="12"/>
  <c r="Z103" i="12"/>
  <c r="Y103" i="12"/>
  <c r="X103" i="12"/>
  <c r="W103" i="12"/>
  <c r="V103" i="12"/>
  <c r="U103" i="12"/>
  <c r="S103" i="12"/>
  <c r="R103" i="12"/>
  <c r="Q103" i="12"/>
  <c r="P103" i="12"/>
  <c r="O103" i="12"/>
  <c r="N103" i="12"/>
  <c r="M103" i="12"/>
  <c r="L103" i="12"/>
  <c r="K103" i="12"/>
  <c r="J103" i="12"/>
  <c r="I103" i="12"/>
  <c r="H103" i="12"/>
  <c r="G103" i="12"/>
  <c r="F103" i="12"/>
  <c r="Z102" i="12"/>
  <c r="Y102" i="12"/>
  <c r="X102" i="12"/>
  <c r="W102" i="12"/>
  <c r="V102" i="12"/>
  <c r="U102" i="12"/>
  <c r="S102" i="12"/>
  <c r="R102" i="12"/>
  <c r="Q102" i="12"/>
  <c r="P102" i="12"/>
  <c r="O102" i="12"/>
  <c r="N102" i="12"/>
  <c r="M102" i="12"/>
  <c r="L102" i="12"/>
  <c r="K102" i="12"/>
  <c r="J102" i="12"/>
  <c r="I102" i="12"/>
  <c r="H102" i="12"/>
  <c r="G102" i="12"/>
  <c r="F102" i="12"/>
  <c r="Z101" i="12"/>
  <c r="Y101" i="12"/>
  <c r="X101" i="12"/>
  <c r="W101" i="12"/>
  <c r="V101" i="12"/>
  <c r="U101" i="12"/>
  <c r="S101" i="12"/>
  <c r="R101" i="12"/>
  <c r="Q101" i="12"/>
  <c r="P101" i="12"/>
  <c r="O101" i="12"/>
  <c r="N101" i="12"/>
  <c r="M101" i="12"/>
  <c r="L101" i="12"/>
  <c r="K101" i="12"/>
  <c r="J101" i="12"/>
  <c r="I101" i="12"/>
  <c r="H101" i="12"/>
  <c r="G101" i="12"/>
  <c r="F101" i="12"/>
  <c r="Z100" i="12"/>
  <c r="Y100" i="12"/>
  <c r="X100" i="12"/>
  <c r="W100" i="12"/>
  <c r="V100" i="12"/>
  <c r="U100" i="12"/>
  <c r="S100" i="12"/>
  <c r="R100" i="12"/>
  <c r="Q100" i="12"/>
  <c r="P100" i="12"/>
  <c r="O100" i="12"/>
  <c r="N100" i="12"/>
  <c r="M100" i="12"/>
  <c r="L100" i="12"/>
  <c r="K100" i="12"/>
  <c r="J100" i="12"/>
  <c r="I100" i="12"/>
  <c r="H100" i="12"/>
  <c r="G100" i="12"/>
  <c r="F100" i="12"/>
  <c r="Z99" i="12"/>
  <c r="Y99" i="12"/>
  <c r="X99" i="12"/>
  <c r="W99" i="12"/>
  <c r="V99" i="12"/>
  <c r="U99" i="12"/>
  <c r="S99" i="12"/>
  <c r="R99" i="12"/>
  <c r="Q99" i="12"/>
  <c r="P99" i="12"/>
  <c r="O99" i="12"/>
  <c r="N99" i="12"/>
  <c r="M99" i="12"/>
  <c r="L99" i="12"/>
  <c r="K99" i="12"/>
  <c r="J99" i="12"/>
  <c r="I99" i="12"/>
  <c r="H99" i="12"/>
  <c r="G99" i="12"/>
  <c r="F99" i="12"/>
  <c r="Z98" i="12"/>
  <c r="Y98" i="12"/>
  <c r="X98" i="12"/>
  <c r="W98" i="12"/>
  <c r="V98" i="12"/>
  <c r="U98" i="12"/>
  <c r="S98" i="12"/>
  <c r="R98" i="12"/>
  <c r="Q98" i="12"/>
  <c r="P98" i="12"/>
  <c r="O98" i="12"/>
  <c r="N98" i="12"/>
  <c r="M98" i="12"/>
  <c r="L98" i="12"/>
  <c r="K98" i="12"/>
  <c r="J98" i="12"/>
  <c r="I98" i="12"/>
  <c r="H98" i="12"/>
  <c r="G98" i="12"/>
  <c r="F98" i="12"/>
  <c r="Z97" i="12"/>
  <c r="Y97" i="12"/>
  <c r="X97" i="12"/>
  <c r="W97" i="12"/>
  <c r="V97" i="12"/>
  <c r="U97" i="12"/>
  <c r="S97" i="12"/>
  <c r="R97" i="12"/>
  <c r="Q97" i="12"/>
  <c r="P97" i="12"/>
  <c r="O97" i="12"/>
  <c r="N97" i="12"/>
  <c r="M97" i="12"/>
  <c r="L97" i="12"/>
  <c r="K97" i="12"/>
  <c r="J97" i="12"/>
  <c r="I97" i="12"/>
  <c r="H97" i="12"/>
  <c r="G97" i="12"/>
  <c r="Z94" i="12"/>
  <c r="Y94" i="12"/>
  <c r="X94" i="12"/>
  <c r="W94" i="12"/>
  <c r="V94" i="12"/>
  <c r="U94" i="12"/>
  <c r="S94" i="12"/>
  <c r="R94" i="12"/>
  <c r="O94" i="12"/>
  <c r="N94" i="12"/>
  <c r="M94" i="12"/>
  <c r="L94" i="12"/>
  <c r="K94" i="12"/>
  <c r="J94" i="12"/>
  <c r="I94" i="12"/>
  <c r="G94" i="12"/>
  <c r="F91" i="12"/>
  <c r="AD146" i="12" l="1"/>
  <c r="AD147" i="12"/>
  <c r="AF97" i="12"/>
  <c r="AD144" i="12"/>
  <c r="AD145" i="12"/>
  <c r="AD143" i="12"/>
  <c r="AD148" i="12"/>
  <c r="AD97" i="12"/>
  <c r="AF150" i="12"/>
  <c r="I150" i="12"/>
  <c r="H150" i="12"/>
  <c r="G150" i="12"/>
  <c r="F150" i="12"/>
  <c r="AF104" i="12"/>
  <c r="AD104" i="12"/>
  <c r="AF103" i="12"/>
  <c r="AD103" i="12"/>
  <c r="AF102" i="12"/>
  <c r="AD102" i="12"/>
  <c r="AF101" i="12"/>
  <c r="AD101" i="12"/>
  <c r="AF100" i="12"/>
  <c r="AD100" i="12"/>
  <c r="AF99" i="12"/>
  <c r="AD99" i="12"/>
  <c r="Z105" i="12"/>
  <c r="Y105" i="12"/>
  <c r="X105" i="12"/>
  <c r="W105" i="12"/>
  <c r="V105" i="12"/>
  <c r="AF98" i="12"/>
  <c r="S105" i="12"/>
  <c r="R105" i="12"/>
  <c r="Q105" i="12"/>
  <c r="P105" i="12"/>
  <c r="O105" i="12"/>
  <c r="N105" i="12"/>
  <c r="M105" i="12"/>
  <c r="L105" i="12"/>
  <c r="I105" i="12"/>
  <c r="K105" i="12"/>
  <c r="H105" i="12"/>
  <c r="J105" i="12"/>
  <c r="G105" i="12"/>
  <c r="AD98" i="12"/>
  <c r="F105" i="12"/>
  <c r="U105" i="12"/>
  <c r="X86" i="12"/>
  <c r="X85" i="12"/>
  <c r="X84" i="12"/>
  <c r="X93" i="12"/>
  <c r="X92" i="12"/>
  <c r="X91" i="12"/>
  <c r="H94" i="12"/>
  <c r="F94" i="12"/>
  <c r="Z93" i="12"/>
  <c r="Y93" i="12"/>
  <c r="W93" i="12"/>
  <c r="V93" i="12"/>
  <c r="U93" i="12"/>
  <c r="S93" i="12"/>
  <c r="R93" i="12"/>
  <c r="Q93" i="12"/>
  <c r="O93" i="12"/>
  <c r="N93" i="12"/>
  <c r="M93" i="12"/>
  <c r="L93" i="12"/>
  <c r="K93" i="12"/>
  <c r="J93" i="12"/>
  <c r="I93" i="12"/>
  <c r="H93" i="12"/>
  <c r="F93" i="12"/>
  <c r="G93" i="12"/>
  <c r="Z92" i="12"/>
  <c r="Y92" i="12"/>
  <c r="W92" i="12"/>
  <c r="V92" i="12"/>
  <c r="U92" i="12"/>
  <c r="S92" i="12"/>
  <c r="R92" i="12"/>
  <c r="Q92" i="12"/>
  <c r="P92" i="12"/>
  <c r="O92" i="12"/>
  <c r="N92" i="12"/>
  <c r="M92" i="12"/>
  <c r="L92" i="12"/>
  <c r="K92" i="12"/>
  <c r="J92" i="12"/>
  <c r="I92" i="12"/>
  <c r="H92" i="12"/>
  <c r="G92" i="12"/>
  <c r="G91" i="12"/>
  <c r="F92" i="12"/>
  <c r="Z91" i="12"/>
  <c r="Y91" i="12"/>
  <c r="W91" i="12"/>
  <c r="V91" i="12"/>
  <c r="U91" i="12"/>
  <c r="S91" i="12"/>
  <c r="R91" i="12"/>
  <c r="Q91" i="12"/>
  <c r="P91" i="12"/>
  <c r="O91" i="12"/>
  <c r="N91" i="12"/>
  <c r="M91" i="12"/>
  <c r="L91" i="12"/>
  <c r="K91" i="12"/>
  <c r="J91" i="12"/>
  <c r="I91" i="12"/>
  <c r="H91" i="12"/>
  <c r="Y70" i="12"/>
  <c r="Z86" i="12"/>
  <c r="Y86" i="12"/>
  <c r="W86" i="12"/>
  <c r="V86" i="12"/>
  <c r="U86" i="12"/>
  <c r="S86" i="12"/>
  <c r="R86" i="12"/>
  <c r="Q86" i="12"/>
  <c r="P86" i="12"/>
  <c r="O86" i="12"/>
  <c r="N86" i="12"/>
  <c r="M86" i="12"/>
  <c r="L86" i="12"/>
  <c r="K86" i="12"/>
  <c r="J86" i="12"/>
  <c r="I86" i="12"/>
  <c r="H86" i="12"/>
  <c r="G86" i="12"/>
  <c r="F86" i="12"/>
  <c r="Z85" i="12"/>
  <c r="Y85" i="12"/>
  <c r="W85" i="12"/>
  <c r="V85" i="12"/>
  <c r="U85" i="12"/>
  <c r="S85" i="12"/>
  <c r="R85" i="12"/>
  <c r="Q85" i="12"/>
  <c r="P85" i="12"/>
  <c r="O85" i="12"/>
  <c r="N85" i="12"/>
  <c r="M85" i="12"/>
  <c r="L85" i="12"/>
  <c r="K85" i="12"/>
  <c r="J85" i="12"/>
  <c r="I85" i="12"/>
  <c r="H85" i="12"/>
  <c r="G85" i="12"/>
  <c r="F85" i="12"/>
  <c r="Y84" i="12"/>
  <c r="W84" i="12"/>
  <c r="V84" i="12"/>
  <c r="U84" i="12"/>
  <c r="Z84" i="12"/>
  <c r="Z83" i="12"/>
  <c r="Y83" i="12"/>
  <c r="X83" i="12"/>
  <c r="W83" i="12"/>
  <c r="V83" i="12"/>
  <c r="U83" i="12"/>
  <c r="I82" i="12"/>
  <c r="S84" i="12"/>
  <c r="R84" i="12"/>
  <c r="S83" i="12"/>
  <c r="R83" i="12"/>
  <c r="Q84" i="12"/>
  <c r="P84" i="12"/>
  <c r="O84" i="12"/>
  <c r="N84" i="12"/>
  <c r="M84" i="12"/>
  <c r="L84" i="12"/>
  <c r="K84" i="12"/>
  <c r="J84" i="12"/>
  <c r="I84" i="12"/>
  <c r="H84" i="12"/>
  <c r="G84" i="12"/>
  <c r="F84" i="12"/>
  <c r="Q83" i="12"/>
  <c r="P83" i="12"/>
  <c r="O83" i="12"/>
  <c r="N83" i="12"/>
  <c r="M83" i="12"/>
  <c r="L83" i="12"/>
  <c r="K83" i="12"/>
  <c r="J83" i="12"/>
  <c r="I83" i="12"/>
  <c r="H83" i="12"/>
  <c r="G83" i="12"/>
  <c r="F83" i="12"/>
  <c r="AD86" i="12" l="1"/>
  <c r="AD150" i="12"/>
  <c r="AD91" i="12"/>
  <c r="AF91" i="12"/>
  <c r="AK91" i="12" s="1"/>
  <c r="AF105" i="12"/>
  <c r="AD105" i="12"/>
  <c r="AD87" i="12"/>
  <c r="AF92" i="12"/>
  <c r="AK92" i="12" s="1"/>
  <c r="AD93" i="12"/>
  <c r="AF93" i="12"/>
  <c r="AK93" i="12" s="1"/>
  <c r="AF94" i="12"/>
  <c r="AK94" i="12" s="1"/>
  <c r="AD94" i="12"/>
  <c r="AD92" i="12"/>
  <c r="Z95" i="12"/>
  <c r="Y95" i="12"/>
  <c r="X95" i="12"/>
  <c r="W95" i="12"/>
  <c r="V95" i="12"/>
  <c r="U95" i="12"/>
  <c r="S95" i="12"/>
  <c r="R95" i="12"/>
  <c r="Q95" i="12"/>
  <c r="P95" i="12"/>
  <c r="O95" i="12"/>
  <c r="N95" i="12"/>
  <c r="M95" i="12"/>
  <c r="L95" i="12"/>
  <c r="K95" i="12"/>
  <c r="J95" i="12"/>
  <c r="I95" i="12"/>
  <c r="H95" i="12"/>
  <c r="F95" i="12"/>
  <c r="G95" i="12"/>
  <c r="AF86" i="12"/>
  <c r="AF85" i="12"/>
  <c r="AD85" i="12"/>
  <c r="AF84" i="12"/>
  <c r="AD84" i="12"/>
  <c r="Z82" i="12"/>
  <c r="Y82" i="12"/>
  <c r="X82" i="12"/>
  <c r="W82" i="12"/>
  <c r="V82" i="12"/>
  <c r="U82" i="12"/>
  <c r="S82" i="12"/>
  <c r="R82" i="12"/>
  <c r="Q82" i="12"/>
  <c r="P82" i="12"/>
  <c r="O82" i="12"/>
  <c r="N82" i="12"/>
  <c r="M82" i="12"/>
  <c r="L82" i="12"/>
  <c r="K82" i="12"/>
  <c r="J82" i="12"/>
  <c r="H82" i="12"/>
  <c r="G82" i="12"/>
  <c r="F82" i="12"/>
  <c r="Z80" i="12"/>
  <c r="X80" i="12"/>
  <c r="V80" i="12"/>
  <c r="S80" i="12"/>
  <c r="Q80" i="12"/>
  <c r="O80" i="12"/>
  <c r="M80" i="12"/>
  <c r="P16" i="12"/>
  <c r="P37" i="12"/>
  <c r="AD95" i="12" l="1"/>
  <c r="AI107" i="12"/>
  <c r="AK107" i="12"/>
  <c r="AF95" i="12"/>
  <c r="AF80" i="12"/>
  <c r="AD80" i="12"/>
  <c r="AF83" i="12"/>
  <c r="AF82" i="12"/>
  <c r="AD83" i="12"/>
  <c r="AD82" i="12"/>
  <c r="V75" i="12"/>
  <c r="U75" i="12"/>
  <c r="G68" i="12"/>
  <c r="D68" i="12" l="1"/>
  <c r="P56" i="12"/>
  <c r="P55" i="12"/>
  <c r="P54" i="12"/>
  <c r="P50" i="12"/>
  <c r="P48" i="12"/>
  <c r="P44" i="12"/>
  <c r="P43" i="12"/>
  <c r="P42" i="12"/>
  <c r="P47" i="12" l="1"/>
  <c r="P59" i="12"/>
  <c r="P41" i="12"/>
  <c r="P35" i="12"/>
  <c r="P29" i="12"/>
  <c r="P24" i="12"/>
  <c r="P26" i="12"/>
  <c r="P25" i="12"/>
  <c r="P62" i="12"/>
  <c r="P61" i="12"/>
  <c r="P38" i="12"/>
  <c r="P32" i="12"/>
  <c r="P31" i="12"/>
  <c r="P27" i="12"/>
  <c r="L68" i="12"/>
  <c r="J68" i="12"/>
  <c r="P60" i="12"/>
  <c r="P36" i="12"/>
  <c r="P30" i="12"/>
  <c r="P17" i="12"/>
  <c r="W75" i="12"/>
  <c r="W74" i="12"/>
  <c r="W73" i="12"/>
  <c r="V74" i="12"/>
  <c r="V73" i="12"/>
  <c r="V72" i="12"/>
  <c r="V71" i="12"/>
  <c r="V70" i="12"/>
  <c r="V69" i="12"/>
  <c r="V68" i="12"/>
  <c r="Y75" i="12"/>
  <c r="Y74" i="12"/>
  <c r="Y73" i="12"/>
  <c r="Y72" i="12"/>
  <c r="Y71" i="12"/>
  <c r="Y69" i="12"/>
  <c r="Z75" i="12"/>
  <c r="Z74" i="12"/>
  <c r="Z73" i="12"/>
  <c r="Z72" i="12"/>
  <c r="Z71" i="12"/>
  <c r="Z70" i="12"/>
  <c r="Z69" i="12"/>
  <c r="Z68" i="12"/>
  <c r="Y68" i="12"/>
  <c r="W68" i="12"/>
  <c r="X75" i="12"/>
  <c r="X74" i="12"/>
  <c r="X73" i="12"/>
  <c r="X72" i="12"/>
  <c r="X71" i="12"/>
  <c r="X70" i="12"/>
  <c r="X69" i="12"/>
  <c r="W72" i="12"/>
  <c r="W71" i="12"/>
  <c r="W70" i="12"/>
  <c r="W69" i="12"/>
  <c r="X68" i="12"/>
  <c r="U74" i="12"/>
  <c r="U73" i="12"/>
  <c r="U72" i="12"/>
  <c r="U71" i="12"/>
  <c r="U70" i="12"/>
  <c r="U69" i="12"/>
  <c r="U68" i="12"/>
  <c r="R68" i="12"/>
  <c r="P14" i="12"/>
  <c r="P15" i="12"/>
  <c r="D110" i="12"/>
  <c r="D109" i="12"/>
  <c r="N121" i="12"/>
  <c r="N120" i="12"/>
  <c r="N119" i="12"/>
  <c r="N115" i="12"/>
  <c r="N114" i="12"/>
  <c r="N113" i="12"/>
  <c r="N112" i="12"/>
  <c r="N111" i="12"/>
  <c r="N110" i="12"/>
  <c r="H68" i="12"/>
  <c r="L71" i="12"/>
  <c r="Q71" i="12"/>
  <c r="S75" i="12"/>
  <c r="S74" i="12"/>
  <c r="S73" i="12"/>
  <c r="S72" i="12"/>
  <c r="S71" i="12"/>
  <c r="S70" i="12"/>
  <c r="S69" i="12"/>
  <c r="S68" i="12"/>
  <c r="R75" i="12"/>
  <c r="R74" i="12"/>
  <c r="R73" i="12"/>
  <c r="R72" i="12"/>
  <c r="R70" i="12"/>
  <c r="R71" i="12"/>
  <c r="R69" i="12"/>
  <c r="Q75" i="12"/>
  <c r="Q74" i="12"/>
  <c r="Q73" i="12"/>
  <c r="Q72" i="12"/>
  <c r="Q70" i="12"/>
  <c r="Q69" i="12"/>
  <c r="P75" i="12"/>
  <c r="P74" i="12"/>
  <c r="P73" i="12"/>
  <c r="P72" i="12"/>
  <c r="P71" i="12"/>
  <c r="P70" i="12"/>
  <c r="P69" i="12"/>
  <c r="Q68" i="12"/>
  <c r="P68" i="12"/>
  <c r="O75" i="12"/>
  <c r="O74" i="12"/>
  <c r="O73" i="12"/>
  <c r="O72" i="12"/>
  <c r="O70" i="12"/>
  <c r="O69" i="12"/>
  <c r="O68" i="12"/>
  <c r="O71" i="12"/>
  <c r="N75" i="12"/>
  <c r="N74" i="12"/>
  <c r="N73" i="12"/>
  <c r="N72" i="12"/>
  <c r="N71" i="12"/>
  <c r="N70" i="12"/>
  <c r="N69" i="12"/>
  <c r="N68" i="12"/>
  <c r="AF69" i="12" l="1"/>
  <c r="AF73" i="12"/>
  <c r="AF71" i="12"/>
  <c r="AF70" i="12"/>
  <c r="AF74" i="12"/>
  <c r="X76" i="12"/>
  <c r="AF68" i="12"/>
  <c r="AF72" i="12"/>
  <c r="AF75" i="12"/>
  <c r="N122" i="12"/>
  <c r="D111" i="12"/>
  <c r="N116" i="12"/>
  <c r="M75" i="12"/>
  <c r="M74" i="12"/>
  <c r="M73" i="12"/>
  <c r="M72" i="12"/>
  <c r="M71" i="12"/>
  <c r="M70" i="12"/>
  <c r="M69" i="12"/>
  <c r="M68" i="12"/>
  <c r="L75" i="12"/>
  <c r="L74" i="12"/>
  <c r="L73" i="12"/>
  <c r="L72" i="12"/>
  <c r="L70" i="12"/>
  <c r="L69" i="12"/>
  <c r="K75" i="12"/>
  <c r="K74" i="12"/>
  <c r="K73" i="12"/>
  <c r="K72" i="12"/>
  <c r="K71" i="12"/>
  <c r="K70" i="12"/>
  <c r="K69" i="12"/>
  <c r="K68" i="12"/>
  <c r="I75" i="12"/>
  <c r="I74" i="12"/>
  <c r="I73" i="12"/>
  <c r="I72" i="12"/>
  <c r="I71" i="12"/>
  <c r="I70" i="12"/>
  <c r="I69" i="12"/>
  <c r="I68" i="12"/>
  <c r="J75" i="12"/>
  <c r="J74" i="12"/>
  <c r="J73" i="12"/>
  <c r="J72" i="12"/>
  <c r="J71" i="12"/>
  <c r="J70" i="12"/>
  <c r="J69" i="12"/>
  <c r="H71" i="12"/>
  <c r="H75" i="12"/>
  <c r="H74" i="12"/>
  <c r="H73" i="12"/>
  <c r="H72" i="12"/>
  <c r="H70" i="12"/>
  <c r="H69" i="12"/>
  <c r="AD68" i="12" l="1"/>
  <c r="G75" i="12"/>
  <c r="G74" i="12"/>
  <c r="G73" i="12"/>
  <c r="G72" i="12"/>
  <c r="G71" i="12"/>
  <c r="G70" i="12"/>
  <c r="G69" i="12"/>
  <c r="F75" i="12"/>
  <c r="F74" i="12"/>
  <c r="F73" i="12"/>
  <c r="F72" i="12"/>
  <c r="F71" i="12"/>
  <c r="F70" i="12"/>
  <c r="F69" i="12"/>
  <c r="D75" i="12"/>
  <c r="D74" i="12"/>
  <c r="D73" i="12"/>
  <c r="D72" i="12"/>
  <c r="D71" i="12"/>
  <c r="D70" i="12"/>
  <c r="D69" i="12"/>
  <c r="AD72" i="12" l="1"/>
  <c r="AD69" i="12"/>
  <c r="AD73" i="12"/>
  <c r="AD70" i="12"/>
  <c r="AD74" i="12"/>
  <c r="AD71" i="12"/>
  <c r="AD75" i="12"/>
  <c r="P20" i="12" l="1"/>
  <c r="A15" i="21" l="1"/>
  <c r="AC8" i="21"/>
  <c r="H8" i="21"/>
  <c r="AC7" i="21"/>
  <c r="H7" i="21"/>
  <c r="P19" i="12" l="1"/>
  <c r="P18" i="12"/>
  <c r="U8" i="12" l="1"/>
  <c r="U7" i="12"/>
  <c r="U6" i="12"/>
  <c r="U5" i="12"/>
  <c r="U4" i="12"/>
  <c r="F8" i="12"/>
  <c r="F6" i="12"/>
  <c r="F5" i="12"/>
  <c r="X8" i="9"/>
  <c r="X7" i="9"/>
  <c r="X6" i="9"/>
  <c r="X5" i="9"/>
  <c r="F9" i="9"/>
  <c r="F7" i="9"/>
  <c r="F5" i="9"/>
  <c r="F6" i="9"/>
  <c r="N8" i="12"/>
  <c r="N9" i="9"/>
  <c r="P21" i="12" l="1"/>
  <c r="Z76" i="12" l="1"/>
  <c r="Y76" i="12"/>
  <c r="W76" i="12"/>
  <c r="V76" i="12"/>
  <c r="U76" i="12"/>
  <c r="S76" i="12"/>
  <c r="R76" i="12"/>
  <c r="Q76" i="12"/>
  <c r="I76" i="12"/>
  <c r="H76" i="12"/>
  <c r="K76" i="12"/>
  <c r="J76" i="12"/>
  <c r="M76" i="12"/>
  <c r="L76" i="12"/>
  <c r="P76" i="12"/>
  <c r="O76" i="12"/>
  <c r="N76" i="12"/>
  <c r="G76" i="12"/>
  <c r="F76" i="12"/>
  <c r="AD76" i="12" l="1"/>
  <c r="AF76" i="12"/>
  <c r="D76" i="1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<sst xmlns="http://schemas.openxmlformats.org/spreadsheetml/2006/main" count="35975" uniqueCount="1018">
  <si>
    <t>Agency Name:</t>
  </si>
  <si>
    <t xml:space="preserve">Physical Address of Program: </t>
  </si>
  <si>
    <t xml:space="preserve">Contact Phone: </t>
  </si>
  <si>
    <t>July</t>
  </si>
  <si>
    <t>Contact Name(s):</t>
  </si>
  <si>
    <t>June</t>
  </si>
  <si>
    <t>Age</t>
  </si>
  <si>
    <t>Asian</t>
  </si>
  <si>
    <t>Unknown</t>
  </si>
  <si>
    <t>Not Hispanic or Latino</t>
  </si>
  <si>
    <t>Age 21-24</t>
  </si>
  <si>
    <t>Age 25-44</t>
  </si>
  <si>
    <t>Age 45-64</t>
  </si>
  <si>
    <t>TOTAL</t>
  </si>
  <si>
    <t>April</t>
  </si>
  <si>
    <t>#</t>
  </si>
  <si>
    <t xml:space="preserve">Unknown </t>
  </si>
  <si>
    <t>Program Code:</t>
  </si>
  <si>
    <t>(2) Stability of Housing</t>
  </si>
  <si>
    <t>(3) Criminal Justice Involvement</t>
  </si>
  <si>
    <t>(4) Alcohol Use</t>
  </si>
  <si>
    <t xml:space="preserve">(6) Social Support/Recovery </t>
  </si>
  <si>
    <t>For discharges this month, enter the total number with a housing status at both admission and discharge:</t>
  </si>
  <si>
    <t>Of those, how many were in a stable living situation in the past 30 days of when they were admitted?</t>
  </si>
  <si>
    <t>Of those, how many were in a stable living situation in the past 30 days of when they were discharged?</t>
  </si>
  <si>
    <t>For discharges this month, enter the total number with a criminal justice involvement status at both admission and discharge:</t>
  </si>
  <si>
    <t>For discharges this month, enter the total number with an alcohol use status at both admission and discharge:</t>
  </si>
  <si>
    <t>For discharges this month, enter the total number with an illegal drug use status at both admission and discharge:</t>
  </si>
  <si>
    <t>For discharges this month, enter the total number with a social support status at both admission and discharge:</t>
  </si>
  <si>
    <t>(5) Illegal Drug Use</t>
  </si>
  <si>
    <t>NOTES</t>
  </si>
  <si>
    <t>Grant Number:</t>
  </si>
  <si>
    <t>August</t>
  </si>
  <si>
    <t>September</t>
  </si>
  <si>
    <t>October</t>
  </si>
  <si>
    <t>November</t>
  </si>
  <si>
    <t>December</t>
  </si>
  <si>
    <t>January</t>
  </si>
  <si>
    <t>February</t>
  </si>
  <si>
    <t>March</t>
  </si>
  <si>
    <t>Of those, how many had participated in self-help groups (AA, NA, etc.) in the past 30 days of when they were admitted?</t>
  </si>
  <si>
    <t>Of those, how many had participated in self-help groups (AA, NA, etc.) in the past 30 days of when they were discharged?</t>
  </si>
  <si>
    <r>
      <t xml:space="preserve">Program </t>
    </r>
    <r>
      <rPr>
        <sz val="8"/>
        <color theme="1"/>
        <rFont val="Calibri"/>
        <family val="2"/>
        <scheme val="minor"/>
      </rPr>
      <t xml:space="preserve">(same as on Statement of Work): </t>
    </r>
  </si>
  <si>
    <r>
      <t xml:space="preserve">Name of Program </t>
    </r>
    <r>
      <rPr>
        <sz val="8"/>
        <color theme="1"/>
        <rFont val="Calibri"/>
        <family val="2"/>
        <scheme val="minor"/>
      </rPr>
      <t>(given by Agency):</t>
    </r>
  </si>
  <si>
    <r>
      <rPr>
        <b/>
        <sz val="11"/>
        <color rgb="FFFF0000"/>
        <rFont val="Calibri"/>
        <family val="2"/>
        <scheme val="minor"/>
      </rPr>
      <t xml:space="preserve">Month Being Reported </t>
    </r>
    <r>
      <rPr>
        <sz val="8"/>
        <color rgb="FFFF0000"/>
        <rFont val="Calibri"/>
        <family val="2"/>
        <scheme val="minor"/>
      </rPr>
      <t>(Month/Year)</t>
    </r>
    <r>
      <rPr>
        <sz val="11"/>
        <color rgb="FFFF0000"/>
        <rFont val="Calibri"/>
        <family val="2"/>
        <scheme val="minor"/>
      </rPr>
      <t>:</t>
    </r>
  </si>
  <si>
    <r>
      <rPr>
        <b/>
        <sz val="11"/>
        <color rgb="FFFF0000"/>
        <rFont val="Calibri"/>
        <family val="2"/>
        <scheme val="minor"/>
      </rPr>
      <t>Month Being Reported</t>
    </r>
    <r>
      <rPr>
        <sz val="11"/>
        <color rgb="FFFF0000"/>
        <rFont val="Calibri"/>
        <family val="2"/>
        <scheme val="minor"/>
      </rPr>
      <t xml:space="preserve"> </t>
    </r>
    <r>
      <rPr>
        <sz val="8"/>
        <color rgb="FFFF0000"/>
        <rFont val="Calibri"/>
        <family val="2"/>
        <scheme val="minor"/>
      </rPr>
      <t>(Month/Year)</t>
    </r>
    <r>
      <rPr>
        <sz val="11"/>
        <color rgb="FFFF0000"/>
        <rFont val="Calibri"/>
        <family val="2"/>
        <scheme val="minor"/>
      </rPr>
      <t>:</t>
    </r>
  </si>
  <si>
    <t xml:space="preserve">Date Referred to Program </t>
  </si>
  <si>
    <t>Gender</t>
  </si>
  <si>
    <t>Race</t>
  </si>
  <si>
    <t>RACE</t>
  </si>
  <si>
    <t>African American /Black</t>
  </si>
  <si>
    <t>American Indian Alaskan Native</t>
  </si>
  <si>
    <t>More than one race reported</t>
  </si>
  <si>
    <t>Native Hawaiian/Pacific</t>
  </si>
  <si>
    <t>Hispanic Latino Origin</t>
  </si>
  <si>
    <t xml:space="preserve">Hispanic-Latino </t>
  </si>
  <si>
    <t>GENDER</t>
  </si>
  <si>
    <t>Male</t>
  </si>
  <si>
    <t>Female</t>
  </si>
  <si>
    <t xml:space="preserve">COUNTY </t>
  </si>
  <si>
    <t>Brooke</t>
  </si>
  <si>
    <t>Hancock</t>
  </si>
  <si>
    <t>Marshall</t>
  </si>
  <si>
    <t>Ohio</t>
  </si>
  <si>
    <t>Wetzel</t>
  </si>
  <si>
    <t>Berkeley</t>
  </si>
  <si>
    <t>Grant</t>
  </si>
  <si>
    <t>Hampshire</t>
  </si>
  <si>
    <t>Hardy</t>
  </si>
  <si>
    <t>Jefferson</t>
  </si>
  <si>
    <t>Mineral</t>
  </si>
  <si>
    <t>Morgan</t>
  </si>
  <si>
    <t>Pendleton</t>
  </si>
  <si>
    <t>Calhoun</t>
  </si>
  <si>
    <t>Jackson</t>
  </si>
  <si>
    <t>Pleasants</t>
  </si>
  <si>
    <t>Ritchie</t>
  </si>
  <si>
    <t>Roane</t>
  </si>
  <si>
    <t>Tyler</t>
  </si>
  <si>
    <t>Wirt</t>
  </si>
  <si>
    <t>Wood</t>
  </si>
  <si>
    <t>Barbour</t>
  </si>
  <si>
    <t>Braxton</t>
  </si>
  <si>
    <t>Doddridge</t>
  </si>
  <si>
    <t>Gilmer</t>
  </si>
  <si>
    <t>Harrison</t>
  </si>
  <si>
    <t>Lewis</t>
  </si>
  <si>
    <t>Marion</t>
  </si>
  <si>
    <t>Monongalia</t>
  </si>
  <si>
    <t>Preston</t>
  </si>
  <si>
    <t>Randolph</t>
  </si>
  <si>
    <t>Taylor</t>
  </si>
  <si>
    <t>Tucker</t>
  </si>
  <si>
    <t>Upshur</t>
  </si>
  <si>
    <t>Boone</t>
  </si>
  <si>
    <t>Cabell</t>
  </si>
  <si>
    <t>Clay</t>
  </si>
  <si>
    <t>Kanawha</t>
  </si>
  <si>
    <t>Lincoln</t>
  </si>
  <si>
    <t>Logan</t>
  </si>
  <si>
    <t>Mason</t>
  </si>
  <si>
    <t>Mingo</t>
  </si>
  <si>
    <t>Putnam</t>
  </si>
  <si>
    <t>Wayne</t>
  </si>
  <si>
    <t>Fayette</t>
  </si>
  <si>
    <t>Greenbrier</t>
  </si>
  <si>
    <t>McDowell</t>
  </si>
  <si>
    <t>Mercer</t>
  </si>
  <si>
    <t>Monroe</t>
  </si>
  <si>
    <t>Nicholas</t>
  </si>
  <si>
    <t>Pocahontas</t>
  </si>
  <si>
    <t>Raleigh</t>
  </si>
  <si>
    <t>Summers</t>
  </si>
  <si>
    <t>Webster</t>
  </si>
  <si>
    <t>Wyoming</t>
  </si>
  <si>
    <t>REGION</t>
  </si>
  <si>
    <t>YES</t>
  </si>
  <si>
    <t>NO</t>
  </si>
  <si>
    <t>Ages</t>
  </si>
  <si>
    <t>Age 12 and under</t>
  </si>
  <si>
    <t>Age 13-17</t>
  </si>
  <si>
    <t>Age 18 -20</t>
  </si>
  <si>
    <t>Age 65 -74</t>
  </si>
  <si>
    <t>Age 75 and older</t>
  </si>
  <si>
    <t>Total Individuals</t>
  </si>
  <si>
    <t>African American / Black</t>
  </si>
  <si>
    <t xml:space="preserve">Asian </t>
  </si>
  <si>
    <t>White - Caucasian</t>
  </si>
  <si>
    <t>Hispanic/Latino Origin</t>
  </si>
  <si>
    <t xml:space="preserve">WILL AUTOMATICALLY POPULATE PREVIOUSLY ENTERED DATA - </t>
  </si>
  <si>
    <t>30 days of admission</t>
  </si>
  <si>
    <t>30 days of discharge</t>
  </si>
  <si>
    <t>at both admission and discharge</t>
  </si>
  <si>
    <t>L</t>
  </si>
  <si>
    <t>M</t>
  </si>
  <si>
    <t>N</t>
  </si>
  <si>
    <t>AB</t>
  </si>
  <si>
    <t>AD</t>
  </si>
  <si>
    <t>AE</t>
  </si>
  <si>
    <t>AH</t>
  </si>
  <si>
    <t>AI</t>
  </si>
  <si>
    <t>AJ</t>
  </si>
  <si>
    <t>TOTAL TO DATE</t>
  </si>
  <si>
    <t>White</t>
  </si>
  <si>
    <t>American Indian/ Alaskan Native</t>
  </si>
  <si>
    <t>More than One Race Reported</t>
  </si>
  <si>
    <t>Hispanic or Latino</t>
  </si>
  <si>
    <t>F</t>
  </si>
  <si>
    <t>Origin Unknown</t>
  </si>
  <si>
    <t xml:space="preserve">Profile of Program </t>
  </si>
  <si>
    <t xml:space="preserve">Total Number of Clients Served by the Program During Fiscal Year: </t>
  </si>
  <si>
    <t>MONTH</t>
  </si>
  <si>
    <t>Contact Name (s)</t>
  </si>
  <si>
    <t>Native Hawaiian/ Pacific Islander</t>
  </si>
  <si>
    <t xml:space="preserve">YEAR TO DATE </t>
  </si>
  <si>
    <t>Program Code :</t>
  </si>
  <si>
    <r>
      <t xml:space="preserve">Name of Program </t>
    </r>
    <r>
      <rPr>
        <sz val="8"/>
        <color theme="1"/>
        <rFont val="Calibri"/>
        <family val="2"/>
        <scheme val="minor"/>
      </rPr>
      <t>(given by Grantee):;</t>
    </r>
  </si>
  <si>
    <t>Internal Space for Grantee</t>
  </si>
  <si>
    <t>Grantee Name:</t>
  </si>
  <si>
    <t>x</t>
  </si>
  <si>
    <r>
      <t xml:space="preserve">Program Name:  </t>
    </r>
    <r>
      <rPr>
        <sz val="8"/>
        <rFont val="Calibri"/>
        <family val="2"/>
        <scheme val="minor"/>
      </rPr>
      <t xml:space="preserve">(same as on Statement of Work): </t>
    </r>
  </si>
  <si>
    <r>
      <rPr>
        <b/>
        <sz val="11"/>
        <rFont val="Calibri"/>
        <family val="2"/>
        <scheme val="minor"/>
      </rPr>
      <t xml:space="preserve">Month Being Reported </t>
    </r>
    <r>
      <rPr>
        <sz val="8"/>
        <rFont val="Calibri"/>
        <family val="2"/>
        <scheme val="minor"/>
      </rPr>
      <t>(Month/Year)</t>
    </r>
    <r>
      <rPr>
        <sz val="11"/>
        <rFont val="Calibri"/>
        <family val="2"/>
        <scheme val="minor"/>
      </rPr>
      <t>:</t>
    </r>
  </si>
  <si>
    <t>00/00/0000</t>
  </si>
  <si>
    <t>Medicaid only</t>
  </si>
  <si>
    <t>Non-Medicaid only</t>
  </si>
  <si>
    <t>Not known</t>
  </si>
  <si>
    <t>Employment</t>
  </si>
  <si>
    <t xml:space="preserve">May </t>
  </si>
  <si>
    <t>Date of Discharge</t>
  </si>
  <si>
    <t>employed</t>
  </si>
  <si>
    <t>Unemployed</t>
  </si>
  <si>
    <t>Not in Labor Force</t>
  </si>
  <si>
    <t xml:space="preserve">Not Available </t>
  </si>
  <si>
    <t>Private Residence</t>
  </si>
  <si>
    <t>Residential Care</t>
  </si>
  <si>
    <t>Crisis Residence</t>
  </si>
  <si>
    <t>Jail/Correction Facility</t>
  </si>
  <si>
    <t xml:space="preserve">Homeless </t>
  </si>
  <si>
    <t>N/A</t>
  </si>
  <si>
    <t>Medicaid Only</t>
  </si>
  <si>
    <t>Non-Medicaid Sources only</t>
  </si>
  <si>
    <t xml:space="preserve">Not known </t>
  </si>
  <si>
    <t xml:space="preserve">Both Medicaid and Non-Medicaid </t>
  </si>
  <si>
    <t>July 1 - 31</t>
  </si>
  <si>
    <t>August 1 - 31</t>
  </si>
  <si>
    <t>September 1 - 30</t>
  </si>
  <si>
    <t>October 1 - 31</t>
  </si>
  <si>
    <t>November 1 - 30</t>
  </si>
  <si>
    <t>December 1 - 31</t>
  </si>
  <si>
    <t>January 1 - 31</t>
  </si>
  <si>
    <t>March 1 - 31</t>
  </si>
  <si>
    <t>April 1 - 30</t>
  </si>
  <si>
    <t>May 1 - 31</t>
  </si>
  <si>
    <t>June 1 - 30</t>
  </si>
  <si>
    <t>Please note:  "Month Being Reported" is from 1st -30th (or 31st) of each month.  The report for the "Month Being Reported" is due by the 25th of the following month. Examples:</t>
  </si>
  <si>
    <t>due August 25</t>
  </si>
  <si>
    <t>Oct. 1 - 31</t>
  </si>
  <si>
    <t>due Nov. 25</t>
  </si>
  <si>
    <t>Jan. 1- 31</t>
  </si>
  <si>
    <t>due Feb. 25</t>
  </si>
  <si>
    <t>due May 25</t>
  </si>
  <si>
    <t>due Sept. 25</t>
  </si>
  <si>
    <t>due Dec. 25</t>
  </si>
  <si>
    <t>Feb. 1-28 or 29</t>
  </si>
  <si>
    <t>due March 25</t>
  </si>
  <si>
    <t>due June 25</t>
  </si>
  <si>
    <t>Sept 1 - 30</t>
  </si>
  <si>
    <t>due Oct. 25</t>
  </si>
  <si>
    <t>Dec. 1 - 31</t>
  </si>
  <si>
    <t>due Jan. 25</t>
  </si>
  <si>
    <t>due April 25</t>
  </si>
  <si>
    <t>June 1-30</t>
  </si>
  <si>
    <t>xx</t>
  </si>
  <si>
    <t>WV Bureau for Behavioral Health and Health Facilities  - Behavioral Health - State Fiscal Year</t>
  </si>
  <si>
    <t xml:space="preserve">Program reports need to be submitted electronically, via e-mail to DHHR. BHHFReporting@wv.gov </t>
  </si>
  <si>
    <t>February 1 - 28/29</t>
  </si>
  <si>
    <t>123 Any Street, Any City, WV 12345</t>
  </si>
  <si>
    <t>Orientation Provided</t>
  </si>
  <si>
    <t>using cell phone</t>
  </si>
  <si>
    <t>driving a car</t>
  </si>
  <si>
    <t>violence</t>
  </si>
  <si>
    <t>racial overtones</t>
  </si>
  <si>
    <t>sexual overtones</t>
  </si>
  <si>
    <t>using drugs or alcohol</t>
  </si>
  <si>
    <t>Institutional Setting</t>
  </si>
  <si>
    <t>Both Medicaid and Non--Medicaid</t>
  </si>
  <si>
    <t>Cross Planning Initiative</t>
  </si>
  <si>
    <t>Outreach Activity</t>
  </si>
  <si>
    <t xml:space="preserve">Reason for Discharge </t>
  </si>
  <si>
    <t xml:space="preserve">Information on ROWS 4, 5, 6, 7 and  8 will populate from BaseInformationSEPTUP - Any changes, including month being reported, will need to be made on the tab (GRANTEE INFO SET UP &amp; DATE)  - Remember, THIS SAME FORM IS DESIGNED TO BE USED FOR THE ENTIRE YEAR </t>
  </si>
  <si>
    <t>accepted</t>
  </si>
  <si>
    <t xml:space="preserve">denied (give reason) </t>
  </si>
  <si>
    <t xml:space="preserve">Individuals in the Program at beginning of the fiscal year:  </t>
  </si>
  <si>
    <t>Individuals Admitted to the Program during the 2018/2019 fiscal year:</t>
  </si>
  <si>
    <t>Individuals Discharged/Transferred from the Program during the 2018/2019 Fiscal year:</t>
  </si>
  <si>
    <t xml:space="preserve">Individuals Currently in the Program year to date: </t>
  </si>
  <si>
    <t xml:space="preserve">Total Number of Days Client spent in Program during their stay </t>
  </si>
  <si>
    <t>Average Length of Stay in program</t>
  </si>
  <si>
    <t>Individual Outcomes at time of  admission &amp; discharge</t>
  </si>
  <si>
    <t>Peer Recovery Support Positions</t>
  </si>
  <si>
    <t>Physicians</t>
  </si>
  <si>
    <t>Physician Assistants</t>
  </si>
  <si>
    <t>Nurse (RN, LPN)</t>
  </si>
  <si>
    <t>Social Workers</t>
  </si>
  <si>
    <t>Addiction Counselors</t>
  </si>
  <si>
    <t>Prevention</t>
  </si>
  <si>
    <t xml:space="preserve">Other (Describe in notes) </t>
  </si>
  <si>
    <t>Nurse Practitioners</t>
  </si>
  <si>
    <t>Type of Event  (Training Received,  Cross Planning Initiative,  Outreach Activity, Other etc.)</t>
  </si>
  <si>
    <t xml:space="preserve">ETHNICITY </t>
  </si>
  <si>
    <t>ETHNICITY</t>
  </si>
  <si>
    <t>(1) Employment Status</t>
  </si>
  <si>
    <t>(1)Education Status</t>
  </si>
  <si>
    <t>Of those, how many were employed  (full- or part-time) in the past 30 days of when they were discharged?</t>
  </si>
  <si>
    <t xml:space="preserve">Of those, how many were employed (full- or part-time) 30 DAYS POST DISCHARGE </t>
  </si>
  <si>
    <t>Of those, how many were students (full- or part-time) in the past 30 days of when they were discharged?</t>
  </si>
  <si>
    <t>For discharges this month, enter the total number with an education status at both admission and discharge:</t>
  </si>
  <si>
    <t xml:space="preserve">Of those, how many were Students (full- or part-time) 30 DAYS POST DISCHARGE </t>
  </si>
  <si>
    <t xml:space="preserve">Of those, how many were in a stable living situation 30 DAYS POST DISCHARGE </t>
  </si>
  <si>
    <t>AL</t>
  </si>
  <si>
    <t>AM</t>
  </si>
  <si>
    <t>AF</t>
  </si>
  <si>
    <t>AN</t>
  </si>
  <si>
    <t>AG</t>
  </si>
  <si>
    <t>AO</t>
  </si>
  <si>
    <t>AP</t>
  </si>
  <si>
    <t>AQ</t>
  </si>
  <si>
    <t>For discharges this month, enter the total number with an employment status at both admission and discharge:</t>
  </si>
  <si>
    <t>O</t>
  </si>
  <si>
    <t>P</t>
  </si>
  <si>
    <t>Q</t>
  </si>
  <si>
    <t>R</t>
  </si>
  <si>
    <t>S</t>
  </si>
  <si>
    <t>L-AB</t>
  </si>
  <si>
    <t>O-AE</t>
  </si>
  <si>
    <t>P-AF</t>
  </si>
  <si>
    <t>R-AH</t>
  </si>
  <si>
    <t>S-AI</t>
  </si>
  <si>
    <t>N-AD</t>
  </si>
  <si>
    <t>Q-AG</t>
  </si>
  <si>
    <r>
      <t xml:space="preserve">Of those, how many had </t>
    </r>
    <r>
      <rPr>
        <u/>
        <sz val="8"/>
        <color theme="1"/>
        <rFont val="Calibri"/>
        <family val="2"/>
        <scheme val="minor"/>
      </rPr>
      <t xml:space="preserve">no arrests </t>
    </r>
    <r>
      <rPr>
        <sz val="8"/>
        <color theme="1"/>
        <rFont val="Calibri"/>
        <family val="2"/>
        <scheme val="minor"/>
      </rPr>
      <t>in the past 30 days of when they were discharged?</t>
    </r>
  </si>
  <si>
    <r>
      <t xml:space="preserve">Of those, how many had </t>
    </r>
    <r>
      <rPr>
        <u/>
        <sz val="8"/>
        <rFont val="Calibri"/>
        <family val="2"/>
        <scheme val="minor"/>
      </rPr>
      <t>no arrest</t>
    </r>
    <r>
      <rPr>
        <sz val="8"/>
        <rFont val="Calibri"/>
        <family val="2"/>
        <scheme val="minor"/>
      </rPr>
      <t xml:space="preserve">  30 DAYS POST DISCHARGE </t>
    </r>
  </si>
  <si>
    <r>
      <t xml:space="preserve">Of those, how many </t>
    </r>
    <r>
      <rPr>
        <u/>
        <sz val="8"/>
        <color theme="1"/>
        <rFont val="Calibri"/>
        <family val="2"/>
        <scheme val="minor"/>
      </rPr>
      <t>had not</t>
    </r>
    <r>
      <rPr>
        <sz val="8"/>
        <color theme="1"/>
        <rFont val="Calibri"/>
        <family val="2"/>
        <scheme val="minor"/>
      </rPr>
      <t xml:space="preserve"> consumed alcohol in the past 30 days of when they were discharged?</t>
    </r>
  </si>
  <si>
    <r>
      <t xml:space="preserve">Of those, how many </t>
    </r>
    <r>
      <rPr>
        <u/>
        <sz val="8"/>
        <rFont val="Calibri"/>
        <family val="2"/>
        <scheme val="minor"/>
      </rPr>
      <t xml:space="preserve">had not </t>
    </r>
    <r>
      <rPr>
        <sz val="8"/>
        <rFont val="Calibri"/>
        <family val="2"/>
        <scheme val="minor"/>
      </rPr>
      <t xml:space="preserve">consumed alcohol 30 DAYS POST DISCHARGE </t>
    </r>
  </si>
  <si>
    <r>
      <t xml:space="preserve">Of those, how many </t>
    </r>
    <r>
      <rPr>
        <u/>
        <sz val="8"/>
        <color theme="1"/>
        <rFont val="Calibri"/>
        <family val="2"/>
        <scheme val="minor"/>
      </rPr>
      <t>had not</t>
    </r>
    <r>
      <rPr>
        <sz val="8"/>
        <color theme="1"/>
        <rFont val="Calibri"/>
        <family val="2"/>
        <scheme val="minor"/>
      </rPr>
      <t xml:space="preserve"> used illegal drugs in the past 30 days of when they were discharged?</t>
    </r>
  </si>
  <si>
    <r>
      <t xml:space="preserve">Of those, how many </t>
    </r>
    <r>
      <rPr>
        <u/>
        <sz val="8"/>
        <rFont val="Calibri"/>
        <family val="2"/>
        <scheme val="minor"/>
      </rPr>
      <t>had not</t>
    </r>
    <r>
      <rPr>
        <sz val="8"/>
        <rFont val="Calibri"/>
        <family val="2"/>
        <scheme val="minor"/>
      </rPr>
      <t xml:space="preserve"> used illegal drugs 30 DAYS POST DISCHARGE </t>
    </r>
  </si>
  <si>
    <t>PREGNANT WOMEN</t>
  </si>
  <si>
    <t>Of those, how many were employed (full- or part-time) (prior 30 days) 30 days at admission?</t>
  </si>
  <si>
    <t>Of those, how many were students (full- or part-time) (prior 30 days) 30 days at admission?</t>
  </si>
  <si>
    <r>
      <t xml:space="preserve">Of those, how many had </t>
    </r>
    <r>
      <rPr>
        <b/>
        <u/>
        <sz val="8"/>
        <color theme="1"/>
        <rFont val="Calibri"/>
        <family val="2"/>
        <scheme val="minor"/>
      </rPr>
      <t>no</t>
    </r>
    <r>
      <rPr>
        <u/>
        <sz val="8"/>
        <color theme="1"/>
        <rFont val="Calibri"/>
        <family val="2"/>
        <scheme val="minor"/>
      </rPr>
      <t xml:space="preserve"> arrests </t>
    </r>
    <r>
      <rPr>
        <sz val="8"/>
        <color theme="1"/>
        <rFont val="Calibri"/>
        <family val="2"/>
        <scheme val="minor"/>
      </rPr>
      <t>(prior 30 days) 30 days at admission?</t>
    </r>
  </si>
  <si>
    <r>
      <t xml:space="preserve">Of those, how many </t>
    </r>
    <r>
      <rPr>
        <u/>
        <sz val="8"/>
        <color theme="1"/>
        <rFont val="Calibri"/>
        <family val="2"/>
        <scheme val="minor"/>
      </rPr>
      <t>had not</t>
    </r>
    <r>
      <rPr>
        <sz val="8"/>
        <color theme="1"/>
        <rFont val="Calibri"/>
        <family val="2"/>
        <scheme val="minor"/>
      </rPr>
      <t xml:space="preserve"> consumed alcohol at admission?</t>
    </r>
  </si>
  <si>
    <r>
      <t>Of those, how many</t>
    </r>
    <r>
      <rPr>
        <u/>
        <sz val="8"/>
        <color theme="1"/>
        <rFont val="Calibri"/>
        <family val="2"/>
        <scheme val="minor"/>
      </rPr>
      <t xml:space="preserve"> had not </t>
    </r>
    <r>
      <rPr>
        <sz val="8"/>
        <color theme="1"/>
        <rFont val="Calibri"/>
        <family val="2"/>
        <scheme val="minor"/>
      </rPr>
      <t>used illegal drugs at admission?</t>
    </r>
  </si>
  <si>
    <t>Individuals re-admitted to the program in the past year</t>
  </si>
  <si>
    <t>P15   P16</t>
  </si>
  <si>
    <t>Pregnant Women - TOTAL</t>
  </si>
  <si>
    <t>IV Using -                    TOTAL</t>
  </si>
  <si>
    <t>Orientation Provided -                    TOTAL</t>
  </si>
  <si>
    <t>Peer Coach Provided</t>
  </si>
  <si>
    <t>Peer Coach Provided -                    TOTAL</t>
  </si>
  <si>
    <t>V</t>
  </si>
  <si>
    <t>W</t>
  </si>
  <si>
    <t>AK</t>
  </si>
  <si>
    <t xml:space="preserve">DX of SMI </t>
  </si>
  <si>
    <t>DX of SMI -                    TOTAL</t>
  </si>
  <si>
    <t>Foster Home/Foster Care (under 18)</t>
  </si>
  <si>
    <t xml:space="preserve">Other (Detail in Notes) </t>
  </si>
  <si>
    <t>aB</t>
  </si>
  <si>
    <t>age O</t>
  </si>
  <si>
    <t>Gender P</t>
  </si>
  <si>
    <t>Pregnant Q</t>
  </si>
  <si>
    <t>IV User R</t>
  </si>
  <si>
    <t>Race S</t>
  </si>
  <si>
    <t>Ethnicity U</t>
  </si>
  <si>
    <t>IV USING ALL</t>
  </si>
  <si>
    <t>Disposition of Referral</t>
  </si>
  <si>
    <t>K</t>
  </si>
  <si>
    <t>accepted TOTAL</t>
  </si>
  <si>
    <t xml:space="preserve">denied (give reason) TOTAL </t>
  </si>
  <si>
    <t>PREGNANT WOMEN TOTAL</t>
  </si>
  <si>
    <t>IV USING ALL TOTAL</t>
  </si>
  <si>
    <t xml:space="preserve">REFERRALS </t>
  </si>
  <si>
    <t xml:space="preserve">Other (List) </t>
  </si>
  <si>
    <t>TRAINING AND OTHER EVENTS</t>
  </si>
  <si>
    <t xml:space="preserve">NON PROGRAM STAFF (INTERNAL AND EXTERAL) </t>
  </si>
  <si>
    <t>X</t>
  </si>
  <si>
    <t>Y</t>
  </si>
  <si>
    <t>Z</t>
  </si>
  <si>
    <t>AA</t>
  </si>
  <si>
    <t>AC</t>
  </si>
  <si>
    <t xml:space="preserve">Of those, how many had participated in self-help groups (AA, NA, etc.) 30 DAYS POST DISCHARGE </t>
  </si>
  <si>
    <t>Screening for Co-occurring</t>
  </si>
  <si>
    <t>Screening for Co-occurring -                    TOTAL</t>
  </si>
  <si>
    <t>If yes for Co-occurring Screening referred</t>
  </si>
  <si>
    <r>
      <rPr>
        <b/>
        <sz val="8"/>
        <color theme="0"/>
        <rFont val="Calibri"/>
        <family val="2"/>
        <scheme val="minor"/>
      </rPr>
      <t xml:space="preserve">If yes for Co-occurring Screening referred </t>
    </r>
    <r>
      <rPr>
        <b/>
        <sz val="9"/>
        <color theme="0"/>
        <rFont val="Calibri"/>
        <family val="2"/>
        <scheme val="minor"/>
      </rPr>
      <t>-                    TOTAL</t>
    </r>
  </si>
  <si>
    <t>wait list (give anticipated time)</t>
  </si>
  <si>
    <t xml:space="preserve">wait list (give anticipated time) TOTAL </t>
  </si>
  <si>
    <t>RECOVERY HOUSE PROGRAM STAFF</t>
  </si>
  <si>
    <t>Training Received Through Employer</t>
  </si>
  <si>
    <t>Training Received externally from employer</t>
  </si>
  <si>
    <t xml:space="preserve">Training Received externally (not through employer) </t>
  </si>
  <si>
    <t>Training Received externally (not through employer)</t>
  </si>
  <si>
    <r>
      <rPr>
        <b/>
        <sz val="11"/>
        <color theme="1"/>
        <rFont val="Calibri"/>
        <family val="2"/>
        <scheme val="minor"/>
      </rPr>
      <t>1.A</t>
    </r>
    <r>
      <rPr>
        <sz val="11"/>
        <color theme="1"/>
        <rFont val="Calibri"/>
        <family val="2"/>
        <scheme val="minor"/>
      </rPr>
      <t xml:space="preserve"> Lines 3 - 8:  Complete all information, including updating the date each month on this tab: This will populate to other tabs </t>
    </r>
  </si>
  <si>
    <r>
      <t xml:space="preserve">1A:  Grantee - Program Information  </t>
    </r>
    <r>
      <rPr>
        <b/>
        <sz val="11"/>
        <color rgb="FFFF0000"/>
        <rFont val="Calibri"/>
        <family val="2"/>
        <scheme val="minor"/>
      </rPr>
      <t>(Rows 4- 9 need to changed on GRANTEE INFO SET-UP &amp; DATE TAB)</t>
    </r>
  </si>
  <si>
    <t>6.D. REFERRAL INFORMATION</t>
  </si>
  <si>
    <r>
      <t xml:space="preserve">This form is designed to be used for the </t>
    </r>
    <r>
      <rPr>
        <b/>
        <u val="double"/>
        <sz val="20"/>
        <color theme="0"/>
        <rFont val="Calibri"/>
        <family val="2"/>
        <scheme val="minor"/>
      </rPr>
      <t>entire</t>
    </r>
    <r>
      <rPr>
        <b/>
        <sz val="20"/>
        <color theme="0"/>
        <rFont val="Calibri"/>
        <family val="2"/>
        <scheme val="minor"/>
      </rPr>
      <t xml:space="preserve"> fiscal year.                                                                                                                                                                                                                                                                                                                                                                                                                                                                                                                                                                                                                                                   </t>
    </r>
  </si>
  <si>
    <t>Client Referred to MAT</t>
  </si>
  <si>
    <t>If Referred, Admitted to MAT</t>
  </si>
  <si>
    <t xml:space="preserve">Remained on MAT DURING STAY </t>
  </si>
  <si>
    <t>NON - PREGNANT CLIENTS REFERRED TO MAT</t>
  </si>
  <si>
    <t>PREGNANT CLIENTS REFERRED TO MAT</t>
  </si>
  <si>
    <t>VW</t>
  </si>
  <si>
    <t>XY</t>
  </si>
  <si>
    <t>ZAA</t>
  </si>
  <si>
    <t xml:space="preserve">PREGNANT WOMEN AT ADMISSION </t>
  </si>
  <si>
    <t>IV USING AT ADMSSION</t>
  </si>
  <si>
    <t>NON - PREGNANT CLIENTS REFERRED TO MAT DURING PROGRAM FROM DISCHARGE INFORMATION</t>
  </si>
  <si>
    <t xml:space="preserve">PREGNANT CLIENTS REFERRED TO MATDURING PROGRAM FROM DISCHARGE INFORMATION </t>
  </si>
  <si>
    <t>MEDICAL INSURANCE AT ADMISSION- CONTINUING STAY</t>
  </si>
  <si>
    <t>MEDICAL INSURANCE AT ADMISSION - CONTINUED STAY</t>
  </si>
  <si>
    <t xml:space="preserve">CLIENT ADMISSION STAY - CLIENT DISCHARGES </t>
  </si>
  <si>
    <t xml:space="preserve"> Outcomes</t>
  </si>
  <si>
    <t>PREGNANT WOMEN IV USER</t>
  </si>
  <si>
    <t>PREGANT WOMEN IV USING</t>
  </si>
  <si>
    <t xml:space="preserve">PREGNANT WOMEN IV USING AT ADMISSION </t>
  </si>
  <si>
    <t xml:space="preserve">V = Pregnant </t>
  </si>
  <si>
    <t xml:space="preserve">W= IV Using </t>
  </si>
  <si>
    <t>MEDICATION ASSISTED TREATMENT INFORMATION - COLLECTED AT DISCHARGE</t>
  </si>
  <si>
    <t>PROGRAM INFORMATION AT ADMISSION - CONTINUING STAY</t>
  </si>
  <si>
    <t xml:space="preserve">DEMOGRAPHICS AT ADMISSION - CONTINUING STAY </t>
  </si>
  <si>
    <t>LIVING SITUATION AT ADMISSION - CONTINUING STAY</t>
  </si>
  <si>
    <t>LIVING SITUATIOON AT ADMISSION - CONTINUING STAY</t>
  </si>
  <si>
    <t xml:space="preserve">DEMOGRAPHICS AT REFERRAL </t>
  </si>
  <si>
    <t xml:space="preserve">IV USERS AT TIME OF REFERRAL </t>
  </si>
  <si>
    <t>Methadone</t>
  </si>
  <si>
    <t>Buprenorphine Oral</t>
  </si>
  <si>
    <t>Buprenorphine - Injectable</t>
  </si>
  <si>
    <t>Buprenorphine Implant</t>
  </si>
  <si>
    <t>Naltrexone - Oral</t>
  </si>
  <si>
    <t>Homeless</t>
  </si>
  <si>
    <t>Someone else's home</t>
  </si>
  <si>
    <t>mutually agreed cessation of T</t>
  </si>
  <si>
    <t>Withdrew from / DECLINED TX</t>
  </si>
  <si>
    <t>Expulsion from program</t>
  </si>
  <si>
    <t>Incarcerated</t>
  </si>
  <si>
    <t>Clinically referred out</t>
  </si>
  <si>
    <t>Other (SPECIFY)</t>
  </si>
  <si>
    <t>Death (EXPLAIN)</t>
  </si>
  <si>
    <t>Black or African American</t>
  </si>
  <si>
    <t>Native Hawaiian / Other Pacific Islander</t>
  </si>
  <si>
    <t xml:space="preserve">More than One Race Reported </t>
  </si>
  <si>
    <t xml:space="preserve">TOTAL </t>
  </si>
  <si>
    <t>Housing</t>
  </si>
  <si>
    <t>Educational</t>
  </si>
  <si>
    <t>Medical</t>
  </si>
  <si>
    <t>MH Counseling</t>
  </si>
  <si>
    <t>Crisis Support</t>
  </si>
  <si>
    <t xml:space="preserve">Other (Specify in Notes) </t>
  </si>
  <si>
    <t>Face to Face</t>
  </si>
  <si>
    <t>24 hours</t>
  </si>
  <si>
    <t>48 hours</t>
  </si>
  <si>
    <t>72 hours</t>
  </si>
  <si>
    <t>96 hours</t>
  </si>
  <si>
    <t>5 days</t>
  </si>
  <si>
    <t>6+ days</t>
  </si>
  <si>
    <t>Phone</t>
  </si>
  <si>
    <t xml:space="preserve">Internal Unique Client I.D </t>
  </si>
  <si>
    <t>Date of Admission / Enrollment into Program</t>
  </si>
  <si>
    <t xml:space="preserve">CLIENT IDENTIFIER </t>
  </si>
  <si>
    <t>If Pregnant, Due Date</t>
  </si>
  <si>
    <t>Transportation</t>
  </si>
  <si>
    <t>Support Group</t>
  </si>
  <si>
    <t>Relapse Prevention</t>
  </si>
  <si>
    <t xml:space="preserve">Other (Specify in Note Section) </t>
  </si>
  <si>
    <t>Was client Discharged</t>
  </si>
  <si>
    <t>HIV / Hepatitis B &amp; C Testing</t>
  </si>
  <si>
    <t xml:space="preserve">Total # of Naloxone overdose reversal kits distributed </t>
  </si>
  <si>
    <t>Entity  Providing Training</t>
  </si>
  <si>
    <t>Person(s) Providing Training</t>
  </si>
  <si>
    <t>Credentials of Person(s) Providing Training</t>
  </si>
  <si>
    <t xml:space="preserve">When "yes is selected will darken the row </t>
  </si>
  <si>
    <t>Both Medicaid and Medicare</t>
  </si>
  <si>
    <t>Private Insurance</t>
  </si>
  <si>
    <t>Medicare Only</t>
  </si>
  <si>
    <t>No Insurance</t>
  </si>
  <si>
    <t>Location of Training</t>
  </si>
  <si>
    <t>Veteran</t>
  </si>
  <si>
    <t>Hospital (Medical)</t>
  </si>
  <si>
    <t>Hospital (Psychiatric)</t>
  </si>
  <si>
    <t>Residential SA TX</t>
  </si>
  <si>
    <t xml:space="preserve">Other (Specify) </t>
  </si>
  <si>
    <t>Detox (Inpatient, Residential)</t>
  </si>
  <si>
    <t xml:space="preserve">Correctional Facility </t>
  </si>
  <si>
    <t>Owned or rented Home</t>
  </si>
  <si>
    <t>Childcare</t>
  </si>
  <si>
    <t>No contact within 90 days of last encounter</t>
  </si>
  <si>
    <t xml:space="preserve">Naltrexone - Injectable </t>
  </si>
  <si>
    <t>Date of Training</t>
  </si>
  <si>
    <t xml:space="preserve">Naloxone Training </t>
  </si>
  <si>
    <t xml:space="preserve">Date of Naloxone Training </t>
  </si>
  <si>
    <t xml:space="preserve">Referred to another PRSS </t>
  </si>
  <si>
    <t>mutually agreed cessation of PRSS</t>
  </si>
  <si>
    <t xml:space="preserve">Withdrew from / DECLINED </t>
  </si>
  <si>
    <t>b</t>
  </si>
  <si>
    <t>c</t>
  </si>
  <si>
    <t>e</t>
  </si>
  <si>
    <t>f</t>
  </si>
  <si>
    <t>h</t>
  </si>
  <si>
    <t>j</t>
  </si>
  <si>
    <t>k</t>
  </si>
  <si>
    <t>l</t>
  </si>
  <si>
    <t>m</t>
  </si>
  <si>
    <t>I</t>
  </si>
  <si>
    <t>funded wholly or in part by SOR</t>
  </si>
  <si>
    <t>Date of Naloxone Distribution</t>
  </si>
  <si>
    <t>Naloxone Kits funded wholly or in part by SOR</t>
  </si>
  <si>
    <t xml:space="preserve">Number of Overdose Reversals </t>
  </si>
  <si>
    <t>PROFILE OF PROGRAM</t>
  </si>
  <si>
    <t>TOTAL YEAR TO DATE</t>
  </si>
  <si>
    <t>Individuals Admitted to the Program during the fiscal year:</t>
  </si>
  <si>
    <t>non pregnant - Age 12 and under</t>
  </si>
  <si>
    <t>non pregnant - Age 13-17</t>
  </si>
  <si>
    <t>non pregnant - Age 18-20</t>
  </si>
  <si>
    <t>non pregnant - ages 21-24</t>
  </si>
  <si>
    <t>non pregnant - Ages 25-44</t>
  </si>
  <si>
    <t>non pregnant - Ages 45-64</t>
  </si>
  <si>
    <t>non pregnant - Ages 65-74</t>
  </si>
  <si>
    <t>non pregnant - Ages 75 and over</t>
  </si>
  <si>
    <t>pregnant women - Age 12 and under</t>
  </si>
  <si>
    <t>pregnant women -  Age 13-17</t>
  </si>
  <si>
    <t>pregnant women - Age 18-20</t>
  </si>
  <si>
    <t>pregnant women - ages 21-24</t>
  </si>
  <si>
    <t>pregnant women - Ages 25-44</t>
  </si>
  <si>
    <t>pregnant women - Ages 45-64</t>
  </si>
  <si>
    <t>pregnant women - Ages 65-74</t>
  </si>
  <si>
    <t>pregnant women - Ages 75 and over</t>
  </si>
  <si>
    <t xml:space="preserve">STATUS: MEDICATION ASSISTED TREATMENT </t>
  </si>
  <si>
    <t xml:space="preserve">Pregnant - Already on MAT upon Admission to program </t>
  </si>
  <si>
    <t xml:space="preserve">Pregnant -- Referred to MAT while in Program </t>
  </si>
  <si>
    <t xml:space="preserve">Pregnant - Admitted to MAT while in Program </t>
  </si>
  <si>
    <t xml:space="preserve">Pregnant - Remained on MAT while in Program </t>
  </si>
  <si>
    <t xml:space="preserve">Not Pregnant - Already on MAT upon Admission to program </t>
  </si>
  <si>
    <t xml:space="preserve">Not Pregnant  -- Referred to MAT while in Program </t>
  </si>
  <si>
    <t xml:space="preserve">Not Pregnant - Admitted to MAT while in Program </t>
  </si>
  <si>
    <t xml:space="preserve">Not Pregnant - Remained on MAT while in Program </t>
  </si>
  <si>
    <t>STATUS:  DISCHARGE</t>
  </si>
  <si>
    <t>REASONS FOR DISCHARGE</t>
  </si>
  <si>
    <t>Referred to another PRSS</t>
  </si>
  <si>
    <t>Medicare + Supplement</t>
  </si>
  <si>
    <t>Line 1</t>
  </si>
  <si>
    <t>Line 2</t>
  </si>
  <si>
    <t>1A:  Lines 3 - 8</t>
  </si>
  <si>
    <t xml:space="preserve">This line can be locked by going to View, Freeze Panes, Freeze Top Row;  As the Lines get longer, this may be helpful in completing the form </t>
  </si>
  <si>
    <t xml:space="preserve">Name of program with the version of the form; please make sure you are using the most up-to-date form </t>
  </si>
  <si>
    <t>Line 3</t>
  </si>
  <si>
    <t>Column A</t>
  </si>
  <si>
    <r>
      <t xml:space="preserve">Automatically numbers the Lines - </t>
    </r>
    <r>
      <rPr>
        <b/>
        <sz val="11"/>
        <color theme="1"/>
        <rFont val="Calibri"/>
        <family val="2"/>
        <scheme val="minor"/>
      </rPr>
      <t>There are approximately 1000 lines for input of client data.</t>
    </r>
    <r>
      <rPr>
        <sz val="11"/>
        <color theme="1"/>
        <rFont val="Calibri"/>
        <family val="2"/>
        <scheme val="minor"/>
      </rPr>
      <t xml:space="preserve">  Each client will have their own unique line.  In the event a client is discharged and returns use a "new" line with the same internal client I.D.  </t>
    </r>
  </si>
  <si>
    <t xml:space="preserve">COMPLETE AT TIME OF REFERRAL  - ADMISSION / ENROLLMENT INTO THE PROGRAM </t>
  </si>
  <si>
    <t xml:space="preserve">Disposition of Referral </t>
  </si>
  <si>
    <t xml:space="preserve">Declined program </t>
  </si>
  <si>
    <t>Line 5-9</t>
  </si>
  <si>
    <t>N/A Already on MAT</t>
  </si>
  <si>
    <t xml:space="preserve">Did not Use Medicaid Assisted Treatment (MAT) </t>
  </si>
  <si>
    <t>Individuals Discharged/Transferred from the Program during the Fiscal year:</t>
  </si>
  <si>
    <t xml:space="preserve">Not Receiving MAT </t>
  </si>
  <si>
    <t xml:space="preserve">TOTAL   NON PREGNANT &amp; PREGNANT </t>
  </si>
  <si>
    <r>
      <t>Type of MAT Utilized by Client</t>
    </r>
    <r>
      <rPr>
        <b/>
        <sz val="11"/>
        <color theme="9" tint="-0.499984740745262"/>
        <rFont val="Calibri"/>
        <family val="2"/>
        <scheme val="minor"/>
      </rPr>
      <t xml:space="preserve"> </t>
    </r>
    <r>
      <rPr>
        <b/>
        <sz val="9"/>
        <color theme="9" tint="-0.499984740745262"/>
        <rFont val="Calibri"/>
        <family val="2"/>
        <scheme val="minor"/>
      </rPr>
      <t>(Must Choose one - None Included)</t>
    </r>
  </si>
  <si>
    <t>Total Number of Unduplicated Clients Served by Program During Fiscal Year</t>
  </si>
  <si>
    <t>due July 25</t>
  </si>
  <si>
    <t>Line 14&gt; Column B-C</t>
  </si>
  <si>
    <t>Line 14&gt; Column D-E</t>
  </si>
  <si>
    <t>Line 14&gt; Column F-G</t>
  </si>
  <si>
    <t>Line 14&gt; Column AP-AQ</t>
  </si>
  <si>
    <t xml:space="preserve">Gender - Select from Drop-down box </t>
  </si>
  <si>
    <t xml:space="preserve">Race - Select from Drop-down box </t>
  </si>
  <si>
    <t xml:space="preserve">Veteran - Select from Drop-down box </t>
  </si>
  <si>
    <t>If Admitted to program - date of Admission / Enrollment into Program - Enter date  Month/Day/Year 00/00/0000</t>
  </si>
  <si>
    <t>Line 14&gt; Column N-U</t>
  </si>
  <si>
    <t>Line 14&gt; Column H-I</t>
  </si>
  <si>
    <t xml:space="preserve">Has individual been readmitted to the program - Select from Drop-down box </t>
  </si>
  <si>
    <t xml:space="preserve">Age - Use Number - DO NOT use alphabet </t>
  </si>
  <si>
    <t xml:space="preserve">Ethnicity - Hispanic Latino Origin - Select from Drop-down box </t>
  </si>
  <si>
    <t>If pregnant what is the due date - Enter Date - Month/Day/Year   00/00/0000</t>
  </si>
  <si>
    <t>Delivery date of the baby - Enter Date - Month/Day/Year   00/00/0000</t>
  </si>
  <si>
    <t xml:space="preserve">admitted to MAT while in program- Select from Drop-down box </t>
  </si>
  <si>
    <t xml:space="preserve">Was client Discharged - Select from Drop-down box   If yes is selected line will turn a "grayish" color; to indicate the individual has been discharged. </t>
  </si>
  <si>
    <r>
      <t xml:space="preserve">2.A: Lines 5 -9:  </t>
    </r>
    <r>
      <rPr>
        <b/>
        <sz val="11"/>
        <color rgb="FFFF0000"/>
        <rFont val="Calibri"/>
        <family val="2"/>
        <scheme val="minor"/>
      </rPr>
      <t xml:space="preserve">Any changes need to be made on GRANTEE INFO SET UP &amp; DATE TAB: </t>
    </r>
  </si>
  <si>
    <t>Lines 15&gt; Column B-C</t>
  </si>
  <si>
    <t>Lines 15&gt; Column D-E</t>
  </si>
  <si>
    <t>Lines 15&gt; Column F-G</t>
  </si>
  <si>
    <t>Lines 15&gt; Column H -I</t>
  </si>
  <si>
    <t>Lines 15&gt; Column J-K</t>
  </si>
  <si>
    <t>Lines 15&gt; Column L-M</t>
  </si>
  <si>
    <t>Lines 15&gt; Column N-O</t>
  </si>
  <si>
    <t>Lines 15&gt; Column P-Q</t>
  </si>
  <si>
    <t>Lines 15&gt; Column R-S</t>
  </si>
  <si>
    <t>Lines 15&gt; Column T-U</t>
  </si>
  <si>
    <t>Lines 15&gt; Column X-Y</t>
  </si>
  <si>
    <t>Lines 15&gt; Column Z-AA</t>
  </si>
  <si>
    <t>Lines 15&gt; Column AB-AC</t>
  </si>
  <si>
    <t>Lines 15&gt; Column AD-AE</t>
  </si>
  <si>
    <t>Lines 15&gt; Column AF-AG</t>
  </si>
  <si>
    <t>Lines 15&gt; Column AJ-AK</t>
  </si>
  <si>
    <t xml:space="preserve">Notes - A space for Specification required with Drop-down boxes - Narrative </t>
  </si>
  <si>
    <t xml:space="preserve">Internal Space for Grantee - Will Populate from Admission Stay Discharge Tab </t>
  </si>
  <si>
    <t xml:space="preserve">Internal Unique Client I.D.  Grantee - Will Populate from Admission Stay Discharge Tab </t>
  </si>
  <si>
    <t xml:space="preserve">Date Referred to Program  - Will Populate from Admission Stay Discharge Tab </t>
  </si>
  <si>
    <t>8.B: SUMMARY</t>
  </si>
  <si>
    <t>DEMOGRAPHICS</t>
  </si>
  <si>
    <t xml:space="preserve">REFERRAL INFORMATION </t>
  </si>
  <si>
    <t xml:space="preserve">SUMMARY OF MAT ACTIVITY </t>
  </si>
  <si>
    <t>TYPE OF MAT UTILZIED</t>
  </si>
  <si>
    <t xml:space="preserve">Changed MAT (Specify in Notes) </t>
  </si>
  <si>
    <t xml:space="preserve">Changed Type of MAT (Switched from one type to another) </t>
  </si>
  <si>
    <t>AGE - NON PREGNANT CLIENTS</t>
  </si>
  <si>
    <t>AGE - PREGNANT CLIENTS</t>
  </si>
  <si>
    <t>Assisted with HI enrollment for the eligible uninsured</t>
  </si>
  <si>
    <t>Veterans</t>
  </si>
  <si>
    <t>VETERAN STATUS</t>
  </si>
  <si>
    <t>PRSS 1</t>
  </si>
  <si>
    <t>PRSS 2</t>
  </si>
  <si>
    <t>PRSS 3</t>
  </si>
  <si>
    <t>PRSS 4</t>
  </si>
  <si>
    <t>PRSS 5</t>
  </si>
  <si>
    <t>PRSS 6</t>
  </si>
  <si>
    <t>PRSS 7</t>
  </si>
  <si>
    <t>PRSS 8</t>
  </si>
  <si>
    <t>PRSS 9</t>
  </si>
  <si>
    <t>PRSS 10</t>
  </si>
  <si>
    <t>PRSS 11</t>
  </si>
  <si>
    <t>PRSS 12</t>
  </si>
  <si>
    <t>Date Aware of Overdose Reversals</t>
  </si>
  <si>
    <t xml:space="preserve">Date  Aware of Overdose Reversals </t>
  </si>
  <si>
    <r>
      <t xml:space="preserve">NALOXONE DISTRIBUTION                             </t>
    </r>
    <r>
      <rPr>
        <sz val="11"/>
        <color theme="1"/>
        <rFont val="Calibri"/>
        <family val="2"/>
        <scheme val="minor"/>
      </rPr>
      <t xml:space="preserve">(Does not necessarily have to tie to training)  </t>
    </r>
  </si>
  <si>
    <t xml:space="preserve">Number of Overdose Reversals                    </t>
  </si>
  <si>
    <r>
      <t xml:space="preserve">OVERDOSE REVERSALS                                  </t>
    </r>
    <r>
      <rPr>
        <sz val="10"/>
        <color theme="1"/>
        <rFont val="Calibri"/>
        <family val="2"/>
        <scheme val="minor"/>
      </rPr>
      <t xml:space="preserve">(Does not necessarily have to tie to training)  </t>
    </r>
  </si>
  <si>
    <t>Location of Training (include city, county)</t>
  </si>
  <si>
    <t>Location(s) Naloxone Kits Distributed  (include city, county)</t>
  </si>
  <si>
    <t>Date of Training  Enter Date - Month/Day/Year   00/00/0000</t>
  </si>
  <si>
    <t>Lines 15&gt;Column B-C</t>
  </si>
  <si>
    <t>Lines 15&gt;Column D-K</t>
  </si>
  <si>
    <t xml:space="preserve">Entity Providing Training:  Name of Organization, Company, Agency, etc. </t>
  </si>
  <si>
    <t xml:space="preserve">Location of Training:  At the very least include City and County </t>
  </si>
  <si>
    <t xml:space="preserve">Was training done to fulfil the SOR Statement of Work (SOW)  - Select from Drop-down Box </t>
  </si>
  <si>
    <t>Lines 15&gt;Column L-O</t>
  </si>
  <si>
    <t>Lines 15&gt;Column P-S</t>
  </si>
  <si>
    <t>Lines 15&gt;Column D-G</t>
  </si>
  <si>
    <t>Lines 15&gt;Column H-K</t>
  </si>
  <si>
    <t>Lines 15&gt;Column L-M</t>
  </si>
  <si>
    <t>Lines 15&gt;Column O-Q</t>
  </si>
  <si>
    <t>Lines 15&gt;Column R-T</t>
  </si>
  <si>
    <t>Lines 15&gt;Column U-W</t>
  </si>
  <si>
    <t>Lines 15&gt;Column AS-AY</t>
  </si>
  <si>
    <t>Lines 15&gt;Column BB-BC</t>
  </si>
  <si>
    <t>Lines 15&gt;Column BD-BF</t>
  </si>
  <si>
    <t>Lines 15&gt;Column BK-BM</t>
  </si>
  <si>
    <t>Lines 15&gt;Column BS-BU</t>
  </si>
  <si>
    <t xml:space="preserve">Location of Naloxone Training:  At the very least include City and County </t>
  </si>
  <si>
    <t xml:space="preserve">Funded Wholly or in Part by  SOR grant - Select from Drop-down Box   </t>
  </si>
  <si>
    <t>Date of Naloxone Distribution - This may or may not be tied to training</t>
  </si>
  <si>
    <t xml:space="preserve">Total # of Naloxone overdose reversal kits distributed - This may or may not be tied to training </t>
  </si>
  <si>
    <t xml:space="preserve">Location(s) Naloxone Kits Distributed; include at least the City and County </t>
  </si>
  <si>
    <t xml:space="preserve">Date Aware of Overdose Reversal - (Does not necessarily have to tie to training) </t>
  </si>
  <si>
    <r>
      <t>2.B: Client Demographics  - Other Information  -</t>
    </r>
    <r>
      <rPr>
        <b/>
        <sz val="11"/>
        <color rgb="FFFF0000"/>
        <rFont val="Calibri"/>
        <family val="2"/>
        <scheme val="minor"/>
      </rPr>
      <t xml:space="preserve"> (Include all clients referred under the SOR Grant) </t>
    </r>
  </si>
  <si>
    <r>
      <t xml:space="preserve">Program reports need to be submitted electronically, via e-mail to </t>
    </r>
    <r>
      <rPr>
        <sz val="12"/>
        <rFont val="Calibri"/>
        <family val="2"/>
        <scheme val="minor"/>
      </rPr>
      <t xml:space="preserve">DHHRBBHReporting@wv.gov </t>
    </r>
    <r>
      <rPr>
        <i/>
        <sz val="12"/>
        <rFont val="Calibri"/>
        <family val="2"/>
        <scheme val="minor"/>
      </rPr>
      <t xml:space="preserve"> within 25 calendar days of the end of each month </t>
    </r>
  </si>
  <si>
    <t>Nov. 1 - 30</t>
  </si>
  <si>
    <t xml:space="preserve">The above Information on ROWS 5,6,7,8,and 9  will populate to the other tabs  - Any changes on the above information will need to be made on the GRANTEE SET UP INFO &amp; DATE tab-                                                                                                                                                              Remember, THIS SAME FORM IS DESIGNED TO BE USED FOR THE ENTIRE YEAR </t>
  </si>
  <si>
    <t xml:space="preserve">The above Information on ROWS 4,5,6, and 8  will populate to the other tabs  - Any changes on the above information will need to be made on the GRANTEE SET UP INFO &amp; DATE tab-                                                                                Remember, THIS SAME FORM IS DESIGNED TO BE USED FOR THE ENTIRE YEAR </t>
  </si>
  <si>
    <t>8.A:  Grantee - Program Information  (ANY CHANGES INCLUDING THE DATE ON Rows 4 - 9 will need to be changed on GRANTEE SET UP &amp; INFO TAB [an earlier tab])</t>
  </si>
  <si>
    <t xml:space="preserve">Name of Program (Should be the same as the Statement of Work) </t>
  </si>
  <si>
    <t xml:space="preserve">Program reports need to be submitted electronically, via e-mail to DHHRBBHReporting@wv.gov  within 25 calendar days of the end of each month </t>
  </si>
  <si>
    <t>1A:  Grantee - Program Information: ON LINES 3- 8 ALL INFORMATION WILL NEED TO BE INITALLY ENTERED AND CHANGES WILL NEED TO BE MADE  (INCLUDING THE DATE)  ON THE GRANTEE SET UP INFO &amp; DATE TAB - INFORMATION WILL POPULATE TO OTHER TABS</t>
  </si>
  <si>
    <r>
      <t xml:space="preserve">Name of Program </t>
    </r>
    <r>
      <rPr>
        <sz val="8"/>
        <rFont val="Calibri"/>
        <family val="2"/>
        <scheme val="minor"/>
      </rPr>
      <t>(given by Grantee):</t>
    </r>
  </si>
  <si>
    <t xml:space="preserve">Contact Phone(s): </t>
  </si>
  <si>
    <t xml:space="preserve">Reminder that the forms need to be submitted electronically to DHHRBBHReporting@wv.gov .  You can certainly cc other individuals; however, it is critical that all forms be sent to this e-mail address. </t>
  </si>
  <si>
    <t xml:space="preserve">Reminder that Program reports need to be submitted electronically, via e-mail to  DHHRBBHReporting@wv.gov   within 25 calendar days of the end of each month   You can certainly cc other individuals; however, it is critical that all forms be sent to this e-mail address. </t>
  </si>
  <si>
    <t xml:space="preserve">Internal Space for Grantee - For your own use; some grantees choose to use 'first name, initials of clients, etc.)  Full names and other information that that could I.D. the client cannot be used when submitting reports. </t>
  </si>
  <si>
    <t xml:space="preserve">Date Individual was  Referred to the  - Enter date  Month/Day/Year 00/00/0000 </t>
  </si>
  <si>
    <t>Internal Space for Grantee - For your own use; some grantees choose to use ( first name, initials of clients, etc.)  Full names or other information that could  I.D. the client cannot be used when submitting reports. Will Populate TO RECOVERY CONTACT HISTORY TAB</t>
  </si>
  <si>
    <t>The Client ID is a unique client identifier determined by the project. The program uses the same unique ID each time, even if the client has more than one episode of care. For confidentiality reasons, do not use any part of the client’s date of birth or Social Security number in the Client ID.</t>
  </si>
  <si>
    <r>
      <t xml:space="preserve">Client Pregnant at Admission or During Stay  - Select from Drop-down box   IF FEMALE MUST </t>
    </r>
    <r>
      <rPr>
        <sz val="11"/>
        <color rgb="FFFF0000"/>
        <rFont val="Calibri"/>
        <family val="2"/>
        <scheme val="minor"/>
      </rPr>
      <t xml:space="preserve">CHOOSE "YES" OR "NO" IN ORDER FOR DATA TO SUMMARIZE CORRECTLY </t>
    </r>
  </si>
  <si>
    <t xml:space="preserve">remained on the following type of MAT during stay - Select from Drop-down box </t>
  </si>
  <si>
    <t xml:space="preserve">Reason for Discharge - Select from Drop-down box </t>
  </si>
  <si>
    <t>Date of Discharge - Enter Date - Month/Day/Year   00/00/0000</t>
  </si>
  <si>
    <t xml:space="preserve">Reminder that the forms need to be submitted electronically to DHHRBBHReporting@wv.gov.  You can certainly cc other individuals; however, it is critical that all forms be sent to this e-mail address. </t>
  </si>
  <si>
    <t>Grantee - Program Information: ON LINES 5 - 9 ALL INFORMATION WILL NEED TO BE INITALLY  ENTERED AND CHANGES WILL NEED TO BE MADE (INCLUDING THE DATE)  ON THE GRANTEE SET UP INFO &amp; DATE TAB - INFORMATION WILL POPULATE TO OTHER TABS</t>
  </si>
  <si>
    <r>
      <t xml:space="preserve">Automatically numbers the Lines - </t>
    </r>
    <r>
      <rPr>
        <b/>
        <sz val="11"/>
        <color theme="1"/>
        <rFont val="Calibri"/>
        <family val="2"/>
        <scheme val="minor"/>
      </rPr>
      <t>There are approximately 1000 lines for input of client data.</t>
    </r>
    <r>
      <rPr>
        <sz val="11"/>
        <color theme="1"/>
        <rFont val="Calibri"/>
        <family val="2"/>
        <scheme val="minor"/>
      </rPr>
      <t xml:space="preserve">  Each client will have their own unique line.  In the event a client is discharged and returns use a "new" line with the same internal client I.D.</t>
    </r>
  </si>
  <si>
    <t>Date Individual was  Referred to the program  - Enter Date - Month/Day/Year   00/00/0000 - Will Populate TO  RECOVERY CONTACT HISTORY TAB</t>
  </si>
  <si>
    <t>Person(s) Providing the Training - Give Name(s) of the Person(s)</t>
  </si>
  <si>
    <r>
      <t xml:space="preserve">The above Information on ROWS 5,6,7,8,and 9  will populate to the other tabs  - Any changes on the above information will need to be made on the GRANTEE SET UP INFO &amp; DATE tab-                                                                                                                                                                                                                                                                                                                                                                  THIS SAME FORM IS DESIGNED TO BE USED FOR THE ENTIRE FISCAL YEAR </t>
    </r>
    <r>
      <rPr>
        <b/>
        <sz val="11"/>
        <color theme="9" tint="0.39997558519241921"/>
        <rFont val="Calibri"/>
        <family val="2"/>
        <scheme val="minor"/>
      </rPr>
      <t xml:space="preserve"> BROWN FONT INDICATES DROP-DOWN BOX        </t>
    </r>
    <r>
      <rPr>
        <b/>
        <sz val="11"/>
        <color theme="0"/>
        <rFont val="Calibri"/>
        <family val="2"/>
        <scheme val="minor"/>
      </rPr>
      <t xml:space="preserve">                                                                                                                                                                                                                                                                </t>
    </r>
  </si>
  <si>
    <t>Type of MAT Utilized by Client (Must Choose one - None Included)</t>
  </si>
  <si>
    <r>
      <t xml:space="preserve">The above Information on ROWS ,6,7,8,9 and 10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DROP-DOWN BOX        </t>
    </r>
    <r>
      <rPr>
        <b/>
        <sz val="11"/>
        <color theme="0"/>
        <rFont val="Calibri"/>
        <family val="2"/>
        <scheme val="minor"/>
      </rPr>
      <t xml:space="preserve">                                                                                                                                                                                                                                                                </t>
    </r>
  </si>
  <si>
    <t>American Indian / Alaska Native</t>
  </si>
  <si>
    <t xml:space="preserve">N/A On MAT at Admission </t>
  </si>
  <si>
    <t xml:space="preserve">Type of MAT Utilized by Client - Select from Drop-down box  (Must Choose one - "Not Receiving MAT" Included, or if the individual has switched from one type to another "CHANGED MAT (Specify in Notes)" included) In Notes include MAT type client was taking when they changed the type and time frame. </t>
  </si>
  <si>
    <t xml:space="preserve">Discharged to: (Physical location and proposed services) </t>
  </si>
  <si>
    <t xml:space="preserve">Discharged to: (physical location and proposed services) </t>
  </si>
  <si>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</si>
  <si>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Description of Training</t>
  </si>
  <si>
    <t>Purpose of Training</t>
  </si>
  <si>
    <t xml:space="preserve">Was training done to full the SOR SOW ?(YES/NO) </t>
  </si>
  <si>
    <t>Was training Funded wholly or in part by SOR funds? (YES/NO)</t>
  </si>
  <si>
    <t xml:space="preserve">Was training done to fulfil the SOR SOW? (YES/NO) </t>
  </si>
  <si>
    <r>
      <t xml:space="preserve">Program Name:  </t>
    </r>
    <r>
      <rPr>
        <sz val="8"/>
        <rFont val="Calibri"/>
        <family val="2"/>
        <scheme val="minor"/>
      </rPr>
      <t xml:space="preserve">(same as on SOW): </t>
    </r>
  </si>
  <si>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</si>
  <si>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Funded Generally (NOT BY GRANT) List Funding Source under NOTES</t>
  </si>
  <si>
    <t>Date Started Employment for Grant 00/00/0000</t>
  </si>
  <si>
    <t xml:space="preserve">Naloxone TRAINING FOR Peer Recovery Support Specialist  (FUNDED BY GRANT) PARTICIPATING BY DISCIPLINE  (Line 14 - initials will populate from Grantee Set Up Info &amp; Date Tab) </t>
  </si>
  <si>
    <r>
      <t xml:space="preserve">TRAINING FOR Peer Recovery Support Specialist </t>
    </r>
    <r>
      <rPr>
        <b/>
        <sz val="10"/>
        <color theme="1"/>
        <rFont val="Calibri"/>
        <family val="2"/>
        <scheme val="minor"/>
      </rPr>
      <t xml:space="preserve"> </t>
    </r>
    <r>
      <rPr>
        <b/>
        <sz val="10"/>
        <color rgb="FFFF0000"/>
        <rFont val="Calibri"/>
        <family val="2"/>
        <scheme val="minor"/>
      </rPr>
      <t>(FUNDED BY GRANT</t>
    </r>
    <r>
      <rPr>
        <sz val="10"/>
        <color rgb="FFFF0000"/>
        <rFont val="Calibri"/>
        <family val="2"/>
        <scheme val="minor"/>
      </rPr>
      <t>)</t>
    </r>
    <r>
      <rPr>
        <sz val="10"/>
        <color theme="1"/>
        <rFont val="Calibri"/>
        <family val="2"/>
        <scheme val="minor"/>
      </rPr>
      <t xml:space="preserve"> PARTICIPATING BY DISCIPLINE  (Line 14 - initials will populate from Grantee Set Up Info &amp; Date Tab) </t>
    </r>
  </si>
  <si>
    <t>1B: Lines 9 - 18</t>
  </si>
  <si>
    <r>
      <rPr>
        <b/>
        <sz val="11"/>
        <rFont val="Calibri"/>
        <family val="2"/>
        <scheme val="minor"/>
      </rPr>
      <t>Grantee - Program Information:</t>
    </r>
    <r>
      <rPr>
        <sz val="11"/>
        <rFont val="Calibri"/>
        <family val="2"/>
        <scheme val="minor"/>
      </rPr>
      <t xml:space="preserve"> ON LINES 4 - 8 ALL INFORMATION WILL NEED TO BE INITALLY ENTERED AND CHANGES WILL NEED TO BE MADE (INCLUDING THE DATE)  ON THE GRANTEE SET UP INFO &amp; DATE TAB - INFORMATION WILL POPULATE TO OTHER TABS</t>
    </r>
  </si>
  <si>
    <t>1C: Lines - 19 &gt;</t>
  </si>
  <si>
    <t xml:space="preserve">Name of program with the version of the form; please make sure you are using the most up-to-date form. Note If the form has "working draft" it is not the correct version.  </t>
  </si>
  <si>
    <t>Grantee - Program Information: ON LINES 5 - 9 ALL INFORMATION WILL NEED TO BE INITALLY ENTERED AND CHANGES WILL NEED TO BE MADE (INCLUDING THE DATE)  ON THE GRANTEE SET UP INFO &amp; DATE TAB - INFORMATION WILL POPULATE TO OTHER TABS</t>
  </si>
  <si>
    <t>Line 14&gt; Column AR-AS</t>
  </si>
  <si>
    <t xml:space="preserve">Client  on MAT at time of admission - Select from Drop-down box (Verify if the client is on MAT upon admission to the program ) </t>
  </si>
  <si>
    <t xml:space="preserve">Date of Admission / Enrollment into program  - Date client formally admitted/enrolled into the program) Enter Date - Month/Day/Year   00/00/0000  </t>
  </si>
  <si>
    <t xml:space="preserve">Client referred  for MAT at admission or during stay - Select from Drop-down box </t>
  </si>
  <si>
    <t xml:space="preserve">Purpose of Training </t>
  </si>
  <si>
    <t>Lines 15&gt;Column T-W</t>
  </si>
  <si>
    <t>Lines 15&gt;Column X-AA</t>
  </si>
  <si>
    <t>Lines 15&gt;Column AB-AD</t>
  </si>
  <si>
    <t>Lines 15&gt;Column AE-AG</t>
  </si>
  <si>
    <t>Lines 15&gt;Column AH-AJ</t>
  </si>
  <si>
    <t>Lines 15&gt;Column AK-AM</t>
  </si>
  <si>
    <t xml:space="preserve">Lines 15&gt; Columns AN - through AY  </t>
  </si>
  <si>
    <t>Lines 15&gt; Columns AZ - through BH</t>
  </si>
  <si>
    <t>INTERNAL AND EXTERNAL INDIVIDUALS NOT FUNDED BY THE GRANT BY OCCUPATION/DISCLIPLINE.  USE NUMBERS ONLY - DO NOT USE ALPHABET</t>
  </si>
  <si>
    <t>Lines 15&gt;Column BI-BV</t>
  </si>
  <si>
    <t>Funded Generally - Not by the grant.  Select from Drop-down Box -  (In note section briefly describe funding source)</t>
  </si>
  <si>
    <t xml:space="preserve">Lines 15&gt;Column X through AI </t>
  </si>
  <si>
    <t>Lines 15&gt;Column AJ through AR</t>
  </si>
  <si>
    <t>Lines 15&gt;Column BG-BJ</t>
  </si>
  <si>
    <t>Lines 15&gt;Column BP-BR</t>
  </si>
  <si>
    <t xml:space="preserve">Naloxone Kits funded wholly or in part by SOR - Select from Drop-down Box </t>
  </si>
  <si>
    <t xml:space="preserve">Number of Overdose Reversals - (Does not necessarily have to tie to training) </t>
  </si>
  <si>
    <r>
      <rPr>
        <b/>
        <sz val="11"/>
        <rFont val="Calibri"/>
        <family val="2"/>
        <scheme val="minor"/>
      </rPr>
      <t xml:space="preserve">Staff funded by the Grant: </t>
    </r>
    <r>
      <rPr>
        <sz val="11"/>
        <rFont val="Calibri"/>
        <family val="2"/>
        <scheme val="minor"/>
      </rPr>
      <t xml:space="preserve">  List the initials of the staff, the date they started employment for the grant and if applicable the date they ended employment for the grant.  Use Month/Day/Year (00/00/0000).  The initials placed in Columns C-G and W-Y  will populate to the  Evidence Based Training Tab Line 14 Columns AN through AY and the Naloxone Training Distribution Tab Line 14 Columns X through AI. </t>
    </r>
  </si>
  <si>
    <t xml:space="preserve">Credentials of Person(s) Providing Training  (degrees, certifications, etc.) </t>
  </si>
  <si>
    <t xml:space="preserve">Was the training funded  wholly or in part by the grant - Select from Drop-down Box (YES/NO)  </t>
  </si>
  <si>
    <t xml:space="preserve">Credentials of Person(s) Providing Training,  (degrees, certifications, etc.) </t>
  </si>
  <si>
    <t>A:  Grantee - Program Information  (ANY CHANGES INCLUDING THE DATE ON Rows 5 - 9 will need to be changed on GRANTEE SET UP &amp; INFO TAB [an earlier tab])</t>
  </si>
  <si>
    <t xml:space="preserve">B:  EVIDENCE BASED TRAINING </t>
  </si>
  <si>
    <t xml:space="preserve">B:  ACTIVITIES MEETINGS EVENTS </t>
  </si>
  <si>
    <t>Name of Activity</t>
  </si>
  <si>
    <t xml:space="preserve">Type of Activity (Cross Planning Initiative,  Service Activities implemented with other entity, Other) </t>
  </si>
  <si>
    <t># Attending / Participating</t>
  </si>
  <si>
    <t xml:space="preserve">Person(s) Providing / Leading Activity </t>
  </si>
  <si>
    <t>Credentials of Person(s) Providing / Leading  Activity</t>
  </si>
  <si>
    <t>Location of Activity (City/County)</t>
  </si>
  <si>
    <t xml:space="preserve">System(s) - Organization(s) Represented at the Activity </t>
  </si>
  <si>
    <t xml:space="preserve">Was Activity done to fulfil the SOW (YES/NO) </t>
  </si>
  <si>
    <t>Date of Activity 00/00/0000</t>
  </si>
  <si>
    <t xml:space="preserve">Type of Activity (Cross Planning Initiative, Service Activities implemented with other entity, Other) </t>
  </si>
  <si>
    <t>Cross Planning Initiatives</t>
  </si>
  <si>
    <t>Service Activity Implemented with other sectors</t>
  </si>
  <si>
    <t xml:space="preserve">Meeting Attended </t>
  </si>
  <si>
    <t>Specific Activities with goal  to Reach High-Risk Populations (Specify Population in Notes)</t>
  </si>
  <si>
    <t>Peer Reviews</t>
  </si>
  <si>
    <t>Peer Support Groups</t>
  </si>
  <si>
    <t>Coalitions</t>
  </si>
  <si>
    <t xml:space="preserve">Materials Distributed (specify kind &amp; amount in notes) </t>
  </si>
  <si>
    <t xml:space="preserve">Name of Activity - Meeting - Event </t>
  </si>
  <si>
    <t xml:space="preserve">Purpose of Activity - Meeting - Event </t>
  </si>
  <si>
    <t xml:space="preserve">Entity  Providing/Leading  Activity - Meeting - Event </t>
  </si>
  <si>
    <t>Location of Activity - Meeting - Event  (City/County)</t>
  </si>
  <si>
    <t xml:space="preserve">Person(s) Providing / Leading Activity - Meeting - Event </t>
  </si>
  <si>
    <t xml:space="preserve">System(s) - Organization(s) Represented at the Activity - Meeting - Event </t>
  </si>
  <si>
    <t xml:space="preserve">Was Activity - Meeting - Event done to fulfil the SOW (YES/NO) </t>
  </si>
  <si>
    <t>Date of Activity - Meeting - Event  00/00/0000</t>
  </si>
  <si>
    <t>Lines 12&gt; Column  A</t>
  </si>
  <si>
    <t>Numbering of the Lines of Activities, Meetings and Events</t>
  </si>
  <si>
    <t>Lines 12&gt; Column  B-C</t>
  </si>
  <si>
    <t>Date of Activity - Meeting - Event   - -  Use Month/Day/ Year (00/00/0000)</t>
  </si>
  <si>
    <t>Lines 12&gt; Column  D-H</t>
  </si>
  <si>
    <t xml:space="preserve">Type of Activity  - Meeting - Event  - -  Select from Drop-down box   If materials distributed is selected, give the total items distributed and what was distributed in the note section. </t>
  </si>
  <si>
    <t>Lines 12&gt; Column  I-P</t>
  </si>
  <si>
    <r>
      <t xml:space="preserve">Name of the Activity - Meeting - Event ; Examples include                                                                                                                                                                                                                                                                                                                                                                   </t>
    </r>
    <r>
      <rPr>
        <sz val="8"/>
        <color theme="1"/>
        <rFont val="Calibri"/>
        <family val="2"/>
        <scheme val="minor"/>
      </rPr>
      <t xml:space="preserve">• Regional Substance Abuse Lead Prevention Organization's monthly meeting ,                                                                                                                                                                                                                                                                                                                                                                                                                                                                                                                                                                                                                                                                                                                                                                                                                                                                                                                                                                                                                                                                                                                                                                                                                                                                                     • Family Resource Network (FRNs) Meetings,                                                                                                                                                                                                                                                                                                                                                                                                                                                                                                                                                                                                                                               • BBH Required Events                                                                                                                                                                                                                                                                                                                                                                                                                                                                                                </t>
    </r>
    <r>
      <rPr>
        <sz val="11"/>
        <color theme="1"/>
        <rFont val="Calibri"/>
        <family val="2"/>
        <scheme val="minor"/>
      </rPr>
      <t xml:space="preserve"> </t>
    </r>
    <r>
      <rPr>
        <sz val="8"/>
        <color theme="1"/>
        <rFont val="Calibri"/>
        <family val="2"/>
        <scheme val="minor"/>
      </rPr>
      <t xml:space="preserve">  • Activities/ efforts to reach high-risk populations (Homeless, Veterans, men aged 35-54, pregnant/parenting women, those involved with the criminal justice system, blue-collar professions) </t>
    </r>
  </si>
  <si>
    <t>Lines 12&gt; Column  Q-X</t>
  </si>
  <si>
    <t>Purpose of the Activity - Meeting - Event</t>
  </si>
  <si>
    <t>Lines 12&gt; Column  Y-Z</t>
  </si>
  <si>
    <t>Number of individuals attending - participating the  Activity - Meeting Event - USE NUMBERS ONLY - DO NOT USE ALPHABET</t>
  </si>
  <si>
    <t>Lines 12&gt; Column AA-AD</t>
  </si>
  <si>
    <t xml:space="preserve">Entity, Organization, Agency, Company providing / leading Activity - Meeting - Event - Formal name of the Entity </t>
  </si>
  <si>
    <t>Lines 12&gt; Column AE-AG</t>
  </si>
  <si>
    <t xml:space="preserve">Name of Person(s) Providing / Leading Activity  - Meeting - Event </t>
  </si>
  <si>
    <t>Lines 12&gt; Column AH-AJ</t>
  </si>
  <si>
    <t xml:space="preserve">Credentials of Person(s) Providing / Leading  Activity - Meeting - Event - (Degree, Certification, etc.) </t>
  </si>
  <si>
    <t>Lines 12&gt; Column AK-AN</t>
  </si>
  <si>
    <t xml:space="preserve">Physical Location of Activity - Meeting - Event -  (Include at least City, County) </t>
  </si>
  <si>
    <t>Lines 12&gt; Column AO-AV</t>
  </si>
  <si>
    <t xml:space="preserve">System(s) Organization(s) Represented at the Activity  (Organizations, Companies, Agencies, Groups, etc.) </t>
  </si>
  <si>
    <t>Lines 12&gt; Column AW-AY</t>
  </si>
  <si>
    <t xml:space="preserve">Was the Activity - Meeting - Event done to fulfil the SOR SOW? - Select from Drop-down box (YES/NO) </t>
  </si>
  <si>
    <t>Lines 12&gt; Column AZ-BO</t>
  </si>
  <si>
    <t xml:space="preserve">NOTES:  Space for a narrative for any specifics required from the drop-down box;  or other narrative information the grantee may want to share </t>
  </si>
  <si>
    <r>
      <rPr>
        <b/>
        <sz val="22"/>
        <color theme="1"/>
        <rFont val="Calibri"/>
        <family val="2"/>
        <scheme val="minor"/>
      </rPr>
      <t xml:space="preserve">GRANTEE SET UP INFO &amp; DATE  </t>
    </r>
    <r>
      <rPr>
        <sz val="22"/>
        <color theme="1"/>
        <rFont val="Calibri"/>
        <family val="2"/>
        <scheme val="minor"/>
      </rPr>
      <t xml:space="preserve"> </t>
    </r>
  </si>
  <si>
    <t xml:space="preserve">B:  Naloxone Training and Naloxone Distribution </t>
  </si>
  <si>
    <r>
      <t xml:space="preserve">A:  Grantee - Program Information ALL ENTRIES - CHANGES NEED TO BE MADE ON THIS TAB - </t>
    </r>
    <r>
      <rPr>
        <b/>
        <sz val="11"/>
        <color rgb="FFFF0000"/>
        <rFont val="Calibri"/>
        <family val="2"/>
        <scheme val="minor"/>
      </rPr>
      <t>INFORMATION ON LINES 4 - 8 WILL POPULATE TO ALL THE OTHER TABS</t>
    </r>
  </si>
  <si>
    <t>A: Grantee - Program Information  (ANY CHANGES INCLUDING THE DATE ON Rows 4 - 9 will need to be changed on GRANTEE SET UP &amp; INFO TAB [an earlier tab])</t>
  </si>
  <si>
    <t>B Referrals Received -   INFORMATION FROM THIS TAB WILL NOT POPULATE TO OTHER TABS</t>
  </si>
  <si>
    <t>A:  Grantee - Program Information  (ANY CHANGES INCLUDING THE DATE ON Rows6- 9 will need to be changed on GRANTEE SET UP &amp; INFO TAB [an earlier tab])</t>
  </si>
  <si>
    <r>
      <t xml:space="preserve">B Client Demographics  - Other Information    </t>
    </r>
    <r>
      <rPr>
        <b/>
        <sz val="11"/>
        <color theme="0"/>
        <rFont val="Calibri"/>
        <family val="2"/>
        <scheme val="minor"/>
      </rPr>
      <t xml:space="preserve">FOR INDIVIDUALS ADMITTED TO THE PROGRAM UNDER THE SOR GRANT  </t>
    </r>
    <r>
      <rPr>
        <b/>
        <sz val="14"/>
        <color theme="0"/>
        <rFont val="Calibri"/>
        <family val="2"/>
        <scheme val="minor"/>
      </rPr>
      <t xml:space="preserve"> COLUMNS WITH BLUE FONT WILL POPULATE TO OTHER TABS</t>
    </r>
  </si>
  <si>
    <t xml:space="preserve">B: Client Satisfaction Information </t>
  </si>
  <si>
    <t>Date of Consumer Feedback Activity  00/00/0000</t>
  </si>
  <si>
    <t xml:space="preserve">Type of Consumer Feedback Activity </t>
  </si>
  <si>
    <t xml:space="preserve">Survey Completed for: </t>
  </si>
  <si>
    <t>Did the feedback indicate that the Service / Activity was accessible to  individuals?</t>
  </si>
  <si>
    <t>Aggregate Results (example: What information was learned that can lead to improvement of service delivery?)</t>
  </si>
  <si>
    <t>A:  Grantee - Program Information  (ANY CHANGES INCLUDING THE DATE ON Rows6 - 9 will need to be changed on GRANTEE SET UP &amp; INFO TAB [an earlier tab])</t>
  </si>
  <si>
    <t>Focus group</t>
  </si>
  <si>
    <t>Key-informant interview</t>
  </si>
  <si>
    <t>Survey</t>
  </si>
  <si>
    <t xml:space="preserve">Other (specify in Note Section) </t>
  </si>
  <si>
    <t>Lines 12&gt; Column A</t>
  </si>
  <si>
    <t xml:space="preserve">Numbering of the Lines for Consumer Feedback - </t>
  </si>
  <si>
    <t>Lines 12&gt; Column B-D</t>
  </si>
  <si>
    <t>Date of Consumer Feedback Activity - Date Focus Group- Key-Informant Interview, Survey, etc.  Took place - -  Use Month/Day/ Year (00/00/0000)</t>
  </si>
  <si>
    <t>Lines 12&gt; Column E-G</t>
  </si>
  <si>
    <t>Type of Consumer Feedback Activity - Select from Drop-down box</t>
  </si>
  <si>
    <t>Lines 12&gt; Column H-K</t>
  </si>
  <si>
    <t>Lines 12&gt; Column L-P</t>
  </si>
  <si>
    <t>Lines 12&gt; Column Q-Z</t>
  </si>
  <si>
    <t>What were the Aggregated results of the feedback. Give a brief narrative of if the information obtained can lead to improvement of service delivery.</t>
  </si>
  <si>
    <t>Lines 12&gt; Column AA-AQ</t>
  </si>
  <si>
    <t xml:space="preserve">NOTES:  Space for a narrative for any specifics required from the drop-down box; or other narrative information the grantee may want to share. </t>
  </si>
  <si>
    <t>May</t>
  </si>
  <si>
    <t xml:space="preserve">B:  Staff funded by the Grant (Initials will populate to Evidence Based Training Tab  and Naloxone Training Distribution Tab </t>
  </si>
  <si>
    <t xml:space="preserve">OCTOBER </t>
  </si>
  <si>
    <t xml:space="preserve">C: Pertinent Information / Service Delivery Interruptions:  </t>
  </si>
  <si>
    <t>Pertinent Information  / Service Delivery Interruptions - Updates - Highlights [ Provide a description of 3 Major Activities / Accomplishments related to measurable outcomes - Provide a description of barriers, how they were addressed, as well as remaining barriers]</t>
  </si>
  <si>
    <r>
      <t xml:space="preserve">REFERRAL ONLY  </t>
    </r>
    <r>
      <rPr>
        <b/>
        <sz val="16"/>
        <color theme="0"/>
        <rFont val="Calibri"/>
        <family val="2"/>
        <scheme val="minor"/>
      </rPr>
      <t xml:space="preserve">(TO THE PEER RECOVERY SUPPORT SPECIALIST PROGRAM WITHIN THE FACILITY) </t>
    </r>
  </si>
  <si>
    <r>
      <t xml:space="preserve">Naloxone Training Distribution </t>
    </r>
    <r>
      <rPr>
        <sz val="16"/>
        <color theme="0"/>
        <rFont val="Calibri"/>
        <family val="2"/>
        <scheme val="minor"/>
      </rPr>
      <t xml:space="preserve"> (INVOLVING THE PEER RECOVERY SUPPORT SPECIALIST PROGRAM WITHIN THE FACILITY)</t>
    </r>
  </si>
  <si>
    <r>
      <t xml:space="preserve">ACTVITIES - MEETINGS - EVENTS  </t>
    </r>
    <r>
      <rPr>
        <b/>
        <sz val="14"/>
        <color theme="0"/>
        <rFont val="Calibri"/>
        <family val="2"/>
        <scheme val="minor"/>
      </rPr>
      <t>(EXCLUDES TRAINING - TRAINING NEEDS )</t>
    </r>
    <r>
      <rPr>
        <b/>
        <sz val="22"/>
        <color theme="0"/>
        <rFont val="Calibri"/>
        <family val="2"/>
        <scheme val="minor"/>
      </rPr>
      <t xml:space="preserve">  </t>
    </r>
    <r>
      <rPr>
        <b/>
        <sz val="16"/>
        <color theme="0"/>
        <rFont val="Calibri"/>
        <family val="2"/>
        <scheme val="minor"/>
      </rPr>
      <t>(INVOLVING THE PEER RECOVERY SUPPORT SPECIALIST PROGRAM WITHIN THE FACILITY)</t>
    </r>
  </si>
  <si>
    <r>
      <t xml:space="preserve">CONSUMER FEEDBACK - SATISFACTION RESULTS   </t>
    </r>
    <r>
      <rPr>
        <sz val="16"/>
        <rFont val="Calibri"/>
        <family val="2"/>
        <scheme val="minor"/>
      </rPr>
      <t>(INVOLVING THE PEER RECOVERY SUPPORT SPECIALIST PROGRAM WITHIN THE FACILITY)</t>
    </r>
  </si>
  <si>
    <t>SUMMARY   (PEER RECOVERY SUPPORT SPECIALIST PROGRAM WITHIN THE FACILITY)</t>
  </si>
  <si>
    <t xml:space="preserve">TRAINING </t>
  </si>
  <si>
    <t xml:space="preserve">TYPE OF TRAINING </t>
  </si>
  <si>
    <t>Mandatory</t>
  </si>
  <si>
    <t>Evidence Based Training (EBT)</t>
  </si>
  <si>
    <t>Both Mandatory and EBT</t>
  </si>
  <si>
    <t>Other (Specify in Notes)</t>
  </si>
  <si>
    <r>
      <t xml:space="preserve">TRAINING </t>
    </r>
    <r>
      <rPr>
        <sz val="16"/>
        <color theme="1"/>
        <rFont val="Calibri"/>
        <family val="2"/>
        <scheme val="minor"/>
      </rPr>
      <t>(INVOLVING THE PEER RECOVERY SUPPORT SPECIALIST PROGRAM WITHIN THE FACILITY)</t>
    </r>
  </si>
  <si>
    <t xml:space="preserve">Description of the Training </t>
  </si>
  <si>
    <t xml:space="preserve">Date Admitted / Started MAT </t>
  </si>
  <si>
    <t>Client  on MAT at time of admission to PRSS program (need to verify)</t>
  </si>
  <si>
    <t>Client on MAT at time of admission to PRSS program (need to verify)</t>
  </si>
  <si>
    <t xml:space="preserve"> Client referred for MAT at admission or during stay to PRSS program  </t>
  </si>
  <si>
    <t xml:space="preserve"> Client referred for MAT at admission or during stay  to PRSS program </t>
  </si>
  <si>
    <r>
      <t>admitted to MAT</t>
    </r>
    <r>
      <rPr>
        <u/>
        <sz val="8"/>
        <color theme="9" tint="-0.499984740745262"/>
        <rFont val="Calibri"/>
        <family val="2"/>
        <scheme val="minor"/>
      </rPr>
      <t xml:space="preserve"> while in</t>
    </r>
    <r>
      <rPr>
        <sz val="8"/>
        <color theme="9" tint="-0.499984740745262"/>
        <rFont val="Calibri"/>
        <family val="2"/>
        <scheme val="minor"/>
      </rPr>
      <t xml:space="preserve"> PRSS program</t>
    </r>
  </si>
  <si>
    <r>
      <t>admitted to MAT</t>
    </r>
    <r>
      <rPr>
        <b/>
        <u/>
        <sz val="10"/>
        <color theme="9" tint="-0.499984740745262"/>
        <rFont val="Calibri"/>
        <family val="2"/>
        <scheme val="minor"/>
      </rPr>
      <t xml:space="preserve"> while in</t>
    </r>
    <r>
      <rPr>
        <sz val="10"/>
        <color theme="9" tint="-0.499984740745262"/>
        <rFont val="Calibri"/>
        <family val="2"/>
        <scheme val="minor"/>
      </rPr>
      <t xml:space="preserve"> PRSS program</t>
    </r>
  </si>
  <si>
    <t xml:space="preserve"> remained on the following MAT during stay in PRSS program </t>
  </si>
  <si>
    <t xml:space="preserve"> remained on the following MAT during stay I PRSS program </t>
  </si>
  <si>
    <t>Actual Delivery Date</t>
  </si>
  <si>
    <t xml:space="preserve">Complete at Discharge from the PRSS Program </t>
  </si>
  <si>
    <t>Contact Phone(s)</t>
  </si>
  <si>
    <t xml:space="preserve">Program Code: </t>
  </si>
  <si>
    <t>Date of Admission / Enrollment into PRSS Program</t>
  </si>
  <si>
    <t xml:space="preserve">Date Referred to PRSS Program </t>
  </si>
  <si>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</si>
  <si>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TRAINING</t>
  </si>
  <si>
    <t>Evidence Based</t>
  </si>
  <si>
    <t>Both Mandatory and Evidence Based Training</t>
  </si>
  <si>
    <t>Other (Specify in Notes) HAND COUNT</t>
  </si>
  <si>
    <t xml:space="preserve">MANDATORY </t>
  </si>
  <si>
    <t>Initials</t>
  </si>
  <si>
    <t xml:space="preserve">Beginning  Date </t>
  </si>
  <si>
    <t>Employment End date</t>
  </si>
  <si>
    <t># of Trainings</t>
  </si>
  <si>
    <t>Training done to fulfil the SOW</t>
  </si>
  <si>
    <t>Training funded wholly or in part by Grant</t>
  </si>
  <si>
    <t xml:space="preserve">EVIDENCE BASED </t>
  </si>
  <si>
    <t xml:space="preserve">Peer Recovery Support Specialist </t>
  </si>
  <si>
    <t>Peer Recovery Support Specialist  1</t>
  </si>
  <si>
    <t>Peer Recovery Support Specialist  2</t>
  </si>
  <si>
    <t>Peer Recovery Support Specialist  3</t>
  </si>
  <si>
    <t>Peer Recovery Support Specialist  4</t>
  </si>
  <si>
    <t>Peer Recovery Support Specialist  5</t>
  </si>
  <si>
    <t>Peer Recovery Support Specialist  6</t>
  </si>
  <si>
    <t>Peer Recovery Support Specialist  7</t>
  </si>
  <si>
    <t>Peer Recovery Support Specialist  8</t>
  </si>
  <si>
    <t>Peer Recovery Support Specialist  9</t>
  </si>
  <si>
    <t>Peer Recovery Support</t>
  </si>
  <si>
    <t xml:space="preserve">Other (Describe in Notes) </t>
  </si>
  <si>
    <t xml:space="preserve">ACTIVITIES MEETINGS EVENTS                                                                                                                   ACTIVITIES MEETINGS EVENTS                                                                                                  ACTIVITIES MEETINGS EVENTS                                                                                                                      </t>
  </si>
  <si>
    <t xml:space="preserve">TYPE OF ACTIVITY - MEETING - EVENT </t>
  </si>
  <si>
    <t xml:space="preserve">#  of Events </t>
  </si>
  <si>
    <t>#  Participants</t>
  </si>
  <si>
    <t>Activity Completed  to fulfil the SOW</t>
  </si>
  <si>
    <t xml:space="preserve">CONSUMER FEEDBACK                                                                  CONSUMER FEEDBACK                                                                              CONSUMER FEEDBACK                                                                                                                   </t>
  </si>
  <si>
    <t xml:space="preserve">Type of Feedback </t>
  </si>
  <si>
    <t>Prior to 09/30/2019</t>
  </si>
  <si>
    <t>Peer Recovery Support Specialist  10</t>
  </si>
  <si>
    <t>Peer Recovery Support Specialist  11</t>
  </si>
  <si>
    <t>Peer Recovery Support Specialist  12</t>
  </si>
  <si>
    <t xml:space="preserve">STAFF FUNDED BY THE GRANT  - MANDATORY TRAINING </t>
  </si>
  <si>
    <t xml:space="preserve">STAFF FUNDED BY THE GRANT - EVIDENCE BASED TRAINING </t>
  </si>
  <si>
    <t xml:space="preserve">STAFF FUNDED BY THE GRANT - Both Mandatory and Evidenced Based Training (EBT) Training </t>
  </si>
  <si>
    <t xml:space="preserve">STAFF FUNDED BY THE GRANT - Other (Specify in Notes) Training </t>
  </si>
  <si>
    <t>TOTAL ALL TRAINING (Mandatory, Evidence Based, Both Mandatory and Evidenced Based Training (EBT), Other (Specify in Notes)</t>
  </si>
  <si>
    <t xml:space="preserve">Both Mandatory and Evidenced Based Training (EBT) Training </t>
  </si>
  <si>
    <t>1st Quarter  10/01/2019 - 12/31/2019</t>
  </si>
  <si>
    <t>2nd Quarter 01/01/2020 - 03/31/2020</t>
  </si>
  <si>
    <t>4th Quarter  07/01/2020 - 09/30/2020</t>
  </si>
  <si>
    <t>1st Quarter 10/01/2020 -21/31/2020</t>
  </si>
  <si>
    <t>2nd Quarter 01/01/2021 - 03/31/2021</t>
  </si>
  <si>
    <t>4th Quarter 07/01/2021 - 09/30/2021</t>
  </si>
  <si>
    <t>1st Quarter  10/01/2021 - 12/31/2021</t>
  </si>
  <si>
    <t>2nd Quarter 01/01/2022 - 03/31/2022</t>
  </si>
  <si>
    <t>3rd quarter 04/01/2022 - 06/30/2022</t>
  </si>
  <si>
    <t>4th Quarter  07/01/2022 - 09/30/2022</t>
  </si>
  <si>
    <t>3rd quarter 04/01/2020 - 06/30/2020</t>
  </si>
  <si>
    <t>3rd quarter 04/01/2021 - 06/30/2021</t>
  </si>
  <si>
    <t xml:space="preserve">TOTAL ALL TRAINING (Mandatory, Evidence Based, Both Mandatory and Evidenced Based Training (EBT), Other (Specify in Notes)                                     TOTAL ALL TRAINING (Mandatory, Evidence Based, Both Mandatory and Evidenced Based Training (EBT), Other (Specify in Notes)    </t>
  </si>
  <si>
    <t xml:space="preserve">TOTAL ALL TRAINING (Mandatory, Evidence Based, Both Mandatory and Evidenced Based Training (EBT), Other (Specify in Notes)                                        TOTAL ALL TRAINING (Mandatory, Evidence Based, Both Mandatory and Evidenced Based Training (EBT), Other (Specify in Notes)      </t>
  </si>
  <si>
    <t xml:space="preserve">                                               TOTAL                 TOTAL                        TOTAL                   TOTAL </t>
  </si>
  <si>
    <t xml:space="preserve">TOTAL   ALL TRAINING </t>
  </si>
  <si>
    <r>
      <t xml:space="preserve">NUMBER OF </t>
    </r>
    <r>
      <rPr>
        <b/>
        <sz val="10"/>
        <color theme="1"/>
        <rFont val="Calibri"/>
        <family val="2"/>
        <scheme val="minor"/>
      </rPr>
      <t>INTERNAL/EXTERNAL</t>
    </r>
    <r>
      <rPr>
        <sz val="10"/>
        <color theme="1"/>
        <rFont val="Calibri"/>
        <family val="2"/>
        <scheme val="minor"/>
      </rPr>
      <t xml:space="preserve"> INDIVIDUALS</t>
    </r>
    <r>
      <rPr>
        <b/>
        <sz val="10"/>
        <color theme="1"/>
        <rFont val="Calibri"/>
        <family val="2"/>
        <scheme val="minor"/>
      </rPr>
      <t xml:space="preserve"> </t>
    </r>
    <r>
      <rPr>
        <sz val="10"/>
        <color rgb="FFFF0000"/>
        <rFont val="Calibri"/>
        <family val="2"/>
        <scheme val="minor"/>
      </rPr>
      <t>(</t>
    </r>
    <r>
      <rPr>
        <b/>
        <sz val="10"/>
        <color rgb="FFFF0000"/>
        <rFont val="Calibri"/>
        <family val="2"/>
        <scheme val="minor"/>
      </rPr>
      <t xml:space="preserve">NOT </t>
    </r>
    <r>
      <rPr>
        <sz val="10"/>
        <color rgb="FFFF0000"/>
        <rFont val="Calibri"/>
        <family val="2"/>
        <scheme val="minor"/>
      </rPr>
      <t xml:space="preserve">FUNDED BY  GRANT) </t>
    </r>
    <r>
      <rPr>
        <sz val="10"/>
        <color theme="1"/>
        <rFont val="Calibri"/>
        <family val="2"/>
        <scheme val="minor"/>
      </rPr>
      <t>PARTICIPATING  BY DISCIPLINE  (USE NUMBER -DO NOT USE ALPHABET)</t>
    </r>
  </si>
  <si>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</si>
  <si>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 xml:space="preserve">Client has Recovery Plan </t>
  </si>
  <si>
    <t>Recovery Plan</t>
  </si>
  <si>
    <t xml:space="preserve">CLIENT HAS RECOVERY PLAN </t>
  </si>
  <si>
    <t xml:space="preserve">Client has individualized change/recovery plan </t>
  </si>
  <si>
    <t>Diagnostic Information</t>
  </si>
  <si>
    <t xml:space="preserve">Does Client have a known history of a Substance Use Disorder </t>
  </si>
  <si>
    <t xml:space="preserve">DIAGNOSES - HISTORY OF SUBSTANCE USE DISORDER </t>
  </si>
  <si>
    <t>History of Substance Use Disorder</t>
  </si>
  <si>
    <t>Line 14&gt; Column J-K</t>
  </si>
  <si>
    <t>Line 14&gt; Column P-Q</t>
  </si>
  <si>
    <t>Line 14&gt; Column R-S</t>
  </si>
  <si>
    <t>Line 14&gt; Column T-U</t>
  </si>
  <si>
    <t xml:space="preserve">(1) Housing,                                                                                                                                                                            (2) Employment,                                                                      (3) Educational,                                                                       (4) Medical,                                                                                  (5)  MH Counseling,                                                                  (6) Childcare,                                                                                               (7) Transportation,          </t>
  </si>
  <si>
    <r>
      <t xml:space="preserve">Resources </t>
    </r>
    <r>
      <rPr>
        <u/>
        <sz val="8"/>
        <rFont val="Calibri"/>
        <family val="2"/>
        <scheme val="minor"/>
      </rPr>
      <t>referred</t>
    </r>
    <r>
      <rPr>
        <sz val="8"/>
        <rFont val="Calibri"/>
        <family val="2"/>
        <scheme val="minor"/>
      </rPr>
      <t xml:space="preserve"> by grantee to support recovery by type (Select from Line 13; Column V-AC) Use # beside resource</t>
    </r>
  </si>
  <si>
    <r>
      <t xml:space="preserve">Resources </t>
    </r>
    <r>
      <rPr>
        <u/>
        <sz val="8"/>
        <rFont val="Calibri"/>
        <family val="2"/>
        <scheme val="minor"/>
      </rPr>
      <t>offered</t>
    </r>
    <r>
      <rPr>
        <sz val="8"/>
        <rFont val="Calibri"/>
        <family val="2"/>
        <scheme val="minor"/>
      </rPr>
      <t xml:space="preserve"> by grantee to support recovery by type (Select from Line 13; Column V-AC Use # beside resource </t>
    </r>
  </si>
  <si>
    <r>
      <t xml:space="preserve">Resources </t>
    </r>
    <r>
      <rPr>
        <b/>
        <u/>
        <sz val="10"/>
        <rFont val="Calibri"/>
        <family val="2"/>
        <scheme val="minor"/>
      </rPr>
      <t>referred</t>
    </r>
    <r>
      <rPr>
        <b/>
        <sz val="10"/>
        <rFont val="Calibri"/>
        <family val="2"/>
        <scheme val="minor"/>
      </rPr>
      <t xml:space="preserve"> by grantee to support recovery by type</t>
    </r>
    <r>
      <rPr>
        <b/>
        <sz val="8"/>
        <rFont val="Calibri"/>
        <family val="2"/>
        <scheme val="minor"/>
      </rPr>
      <t xml:space="preserve">  (Select from Line 13; Column V-AC) Use # beside resource</t>
    </r>
  </si>
  <si>
    <r>
      <t xml:space="preserve">Resources </t>
    </r>
    <r>
      <rPr>
        <b/>
        <u/>
        <sz val="10"/>
        <rFont val="Calibri"/>
        <family val="2"/>
        <scheme val="minor"/>
      </rPr>
      <t>offered</t>
    </r>
    <r>
      <rPr>
        <b/>
        <sz val="10"/>
        <rFont val="Calibri"/>
        <family val="2"/>
        <scheme val="minor"/>
      </rPr>
      <t xml:space="preserve"> by grantee to support recovery by type </t>
    </r>
    <r>
      <rPr>
        <b/>
        <sz val="8"/>
        <rFont val="Calibri"/>
        <family val="2"/>
        <scheme val="minor"/>
      </rPr>
      <t xml:space="preserve"> (Select from Line 13; Column V-AC) Use # beside resource</t>
    </r>
  </si>
  <si>
    <r>
      <t xml:space="preserve">Resources </t>
    </r>
    <r>
      <rPr>
        <b/>
        <sz val="11"/>
        <color theme="1"/>
        <rFont val="Calibri"/>
        <family val="2"/>
        <scheme val="minor"/>
      </rPr>
      <t xml:space="preserve">REFERRED </t>
    </r>
    <r>
      <rPr>
        <sz val="11"/>
        <color theme="1"/>
        <rFont val="Calibri"/>
        <family val="2"/>
        <scheme val="minor"/>
      </rPr>
      <t>(not offered - referred elsewhere)</t>
    </r>
    <r>
      <rPr>
        <b/>
        <sz val="11"/>
        <color theme="1"/>
        <rFont val="Calibri"/>
        <family val="2"/>
        <scheme val="minor"/>
      </rPr>
      <t xml:space="preserve"> </t>
    </r>
    <r>
      <rPr>
        <sz val="11"/>
        <color theme="1"/>
        <rFont val="Calibri"/>
        <family val="2"/>
        <scheme val="minor"/>
      </rPr>
      <t xml:space="preserve"> by grantee to support recovery by type - Enter from List Row 13 - Columns V-AC-  Use number beside the resource - You do not have to write the referral out. There may be more than one resource </t>
    </r>
  </si>
  <si>
    <r>
      <t xml:space="preserve">Resources </t>
    </r>
    <r>
      <rPr>
        <b/>
        <sz val="11"/>
        <color theme="1"/>
        <rFont val="Calibri"/>
        <family val="2"/>
        <scheme val="minor"/>
      </rPr>
      <t>OFFERED</t>
    </r>
    <r>
      <rPr>
        <sz val="11"/>
        <color theme="1"/>
        <rFont val="Calibri"/>
        <family val="2"/>
        <scheme val="minor"/>
      </rPr>
      <t xml:space="preserve"> by grantee to support recovery by type -  Enter from List Row 13 - Columns V-AC-  Use number beside the resource - You do not have to write the referral out. There may be more than one resource </t>
    </r>
  </si>
  <si>
    <t xml:space="preserve">Diagnostic Information:  Client is able to state that they have a known  Substance Use Disorder.  Choose from the Drop-down box (YES/NO) </t>
  </si>
  <si>
    <t>Line 14&gt; Column AH-AI</t>
  </si>
  <si>
    <t>Line 14&gt; Column AJ-AK</t>
  </si>
  <si>
    <t>Line 14&gt; Column AL-AM</t>
  </si>
  <si>
    <t>Line 14&gt; Column AN-AO</t>
  </si>
  <si>
    <t xml:space="preserve">Discharged to: (geographic location where client will be living and proposed services that the client was linked to...)  Provide a brief narrative </t>
  </si>
  <si>
    <r>
      <rPr>
        <b/>
        <u/>
        <sz val="8"/>
        <color theme="1"/>
        <rFont val="Calibri"/>
        <family val="2"/>
        <scheme val="minor"/>
      </rPr>
      <t xml:space="preserve">Evidence Based Training -  EXAMPLES OF EVIDENCE BASED TRAINING INCLUDE: </t>
    </r>
    <r>
      <rPr>
        <sz val="8"/>
        <color theme="1"/>
        <rFont val="Calibri"/>
        <family val="2"/>
        <scheme val="minor"/>
      </rPr>
      <t xml:space="preserve">      </t>
    </r>
    <r>
      <rPr>
        <b/>
        <u/>
        <sz val="8"/>
        <color theme="1"/>
        <rFont val="Calibri"/>
        <family val="2"/>
        <scheme val="minor"/>
      </rPr>
      <t xml:space="preserve">                                                                                                                                                                                                                                                                                                                                        </t>
    </r>
    <r>
      <rPr>
        <sz val="8"/>
        <color theme="1"/>
        <rFont val="Calibri"/>
        <family val="2"/>
        <scheme val="minor"/>
      </rPr>
      <t xml:space="preserve">•	 Motivational Interviewing – directive, client centered counseling style for eliciting behavior change by helping clients explore and resolve ambivalence
•	 SBIRT – Screening, Brief Intervention, Referral to Treatment
•	 Cognitive-Behavioral Therapy (CBT)
•	 Dialectical Behavioral Therapy (DBT) – therapist and client work with acceptance and change-oriented strategies
•	 Contingency Management Interventions/Motivational Incentives – uses rewards to reinforce behaviors that support person’s individual recovery
•	 Motivational Enhancement Therapy (MET) – brief, understanding resistance, encouraging self-efficacy
•	 The Matrix Model – designed for stimulant substances such as Methamphetamine and Cocaine – is intensive outpatient treatment, integrative, structured, and time-limited
•	 Medication-Assisted Treatment (MAT) – this includes Buprenorphine (Suboxone), Naltrexone (or Vivitrol), Methadone
•	 12-Step Facilitation Therapy
•	 Family Behavior Therapy (FBT)
•	 Seeking Safety (for Trauma/PTSD and Addiction)
•	 Relapse Prevention Therapy
•	 Client-Centered/Shared Decision Making                                                                                                                                                                                                                                                                                                                                                                                                    </t>
    </r>
    <r>
      <rPr>
        <b/>
        <u/>
        <sz val="8"/>
        <color theme="1"/>
        <rFont val="Calibri"/>
        <family val="2"/>
        <scheme val="minor"/>
      </rPr>
      <t xml:space="preserve">Mandatory Training -  EXAMPLES OF MANDATORY TRAINING INCLUDE:   </t>
    </r>
    <r>
      <rPr>
        <sz val="8"/>
        <color theme="1"/>
        <rFont val="Calibri"/>
        <family val="2"/>
        <scheme val="minor"/>
      </rPr>
      <t xml:space="preserve">                                                                                                                                                                                                                                                                                                                                                                                                                                                                                                                                                                                                                                                                                                                                                                                                                                                                                       •              Confidentiality  Health Insurance Portability and Accountability Act (HIPAA)
•	Complicate
•	 First Aid
•	Infection Control 
•	Cardio-Pulmonary Resuscitation (CPT)
•	Crisis Intervention
•	Mental Health First Aide 
•	Cultural Competency
•	Motivational Interviewing
•	Suicide Prevention
•	Trauma-Informed Care
•	Person-Centered Care 
       </t>
    </r>
  </si>
  <si>
    <t xml:space="preserve">Type of Training - Choose from the Drop - down box  - Examples of trainings listed below: </t>
  </si>
  <si>
    <t xml:space="preserve">Examples of Training </t>
  </si>
  <si>
    <t xml:space="preserve">What was the Consumer Feedback Activity Completed for? </t>
  </si>
  <si>
    <t xml:space="preserve">Did the feedback indicate that the Service / Activity was accessible to individuals?   </t>
  </si>
  <si>
    <t>00/00/000</t>
  </si>
  <si>
    <t xml:space="preserve">Medication Assisted Treatment (MAT) </t>
  </si>
  <si>
    <t>Client Pregnant at admission or during stay IF FEMALE MUST CHOOSE YES/NO</t>
  </si>
  <si>
    <t xml:space="preserve">PREGNANCY STATUS </t>
  </si>
  <si>
    <t xml:space="preserve">NALOXONE TRAINING   DISTRIBUTION                                                                                                                                                       NALOXONE TRAINING   DISTRIBUTION                                                                                                        NALOXONE TRAINING   DISTRIBUTION                                                                                                                                                                                                                                                                                                                                                                                                                                                            </t>
  </si>
  <si>
    <t xml:space="preserve">Naloxone Kits Distributed </t>
  </si>
  <si>
    <t xml:space="preserve">NALOXONE  DISTRIBUTION FUNDED BY GRANT </t>
  </si>
  <si>
    <t xml:space="preserve">NUMBER OF OVER DOSE REVERSALS </t>
  </si>
  <si>
    <t xml:space="preserve">Reversals </t>
  </si>
  <si>
    <t>Funding</t>
  </si>
  <si>
    <r>
      <t xml:space="preserve">Funded Generally </t>
    </r>
    <r>
      <rPr>
        <sz val="8"/>
        <color theme="0"/>
        <rFont val="Calibri"/>
        <family val="2"/>
        <scheme val="minor"/>
      </rPr>
      <t>(NOT BY GRANT) List Funding Source under NOTES</t>
    </r>
  </si>
  <si>
    <t xml:space="preserve">NALOXONE KIT DISTRIBUTIONS      </t>
  </si>
  <si>
    <t>TOTAL:</t>
  </si>
  <si>
    <r>
      <t xml:space="preserve">NUMBER OF </t>
    </r>
    <r>
      <rPr>
        <b/>
        <sz val="10"/>
        <color theme="1"/>
        <rFont val="Calibri"/>
        <family val="2"/>
        <scheme val="minor"/>
      </rPr>
      <t>INTERNAL/EXTERNAL</t>
    </r>
    <r>
      <rPr>
        <sz val="10"/>
        <color theme="1"/>
        <rFont val="Calibri"/>
        <family val="2"/>
        <scheme val="minor"/>
      </rPr>
      <t xml:space="preserve"> STAFF</t>
    </r>
    <r>
      <rPr>
        <b/>
        <sz val="10"/>
        <color theme="1"/>
        <rFont val="Calibri"/>
        <family val="2"/>
        <scheme val="minor"/>
      </rPr>
      <t xml:space="preserve">  BY DISCIPLINE</t>
    </r>
    <r>
      <rPr>
        <sz val="10"/>
        <color theme="1"/>
        <rFont val="Calibri"/>
        <family val="2"/>
        <scheme val="minor"/>
      </rPr>
      <t xml:space="preserve"> </t>
    </r>
    <r>
      <rPr>
        <sz val="10"/>
        <color rgb="FFFF0000"/>
        <rFont val="Calibri"/>
        <family val="2"/>
        <scheme val="minor"/>
      </rPr>
      <t>(</t>
    </r>
    <r>
      <rPr>
        <b/>
        <sz val="10"/>
        <color rgb="FFFF0000"/>
        <rFont val="Calibri"/>
        <family val="2"/>
        <scheme val="minor"/>
      </rPr>
      <t xml:space="preserve">NOT </t>
    </r>
    <r>
      <rPr>
        <sz val="10"/>
        <color rgb="FFFF0000"/>
        <rFont val="Calibri"/>
        <family val="2"/>
        <scheme val="minor"/>
      </rPr>
      <t xml:space="preserve">FUNDED BY  GRANT) </t>
    </r>
    <r>
      <rPr>
        <sz val="10"/>
        <color theme="1"/>
        <rFont val="Calibri"/>
        <family val="2"/>
        <scheme val="minor"/>
      </rPr>
      <t xml:space="preserve">RECEIVING NALOXONE TRAINING ( USE A NUMBER - NOT ALPHABET) </t>
    </r>
  </si>
  <si>
    <t xml:space="preserve">NUMBER OF INTERNAL/EXTERNAL STAFF  BY DISCIPLINE (NOT FUNDED BY  GRANT) RECEIVING NALOXONE TRAINING </t>
  </si>
  <si>
    <t>End Date for Employment for Grant 00/00/0000</t>
  </si>
  <si>
    <t>Date Obtained Peer WV Specialist Certification</t>
  </si>
  <si>
    <t>Assisted with Enrollment into Medicaid</t>
  </si>
  <si>
    <t xml:space="preserve">Internal Client I.D </t>
  </si>
  <si>
    <t>Student</t>
  </si>
  <si>
    <r>
      <rPr>
        <b/>
        <sz val="11"/>
        <color theme="1"/>
        <rFont val="Calibri"/>
        <family val="2"/>
        <scheme val="minor"/>
      </rPr>
      <t xml:space="preserve">CLIENT INFORMATION </t>
    </r>
    <r>
      <rPr>
        <sz val="9"/>
        <color theme="1"/>
        <rFont val="Calibri"/>
        <family val="2"/>
        <scheme val="minor"/>
      </rPr>
      <t xml:space="preserve">                           (will auto populate)</t>
    </r>
  </si>
  <si>
    <r>
      <rPr>
        <b/>
        <sz val="10"/>
        <color rgb="FF0070C0"/>
        <rFont val="Calibri"/>
        <family val="2"/>
        <scheme val="minor"/>
      </rPr>
      <t xml:space="preserve">Date of Admission </t>
    </r>
    <r>
      <rPr>
        <b/>
        <sz val="8"/>
        <color rgb="FF0070C0"/>
        <rFont val="Calibri"/>
        <family val="2"/>
        <scheme val="minor"/>
      </rPr>
      <t>(will auto populate)                              00/00/0000</t>
    </r>
  </si>
  <si>
    <r>
      <t>Initials of Peer Recovery Support Specialist</t>
    </r>
    <r>
      <rPr>
        <b/>
        <sz val="8"/>
        <color theme="9" tint="-0.499984740745262"/>
        <rFont val="Calibri"/>
        <family val="2"/>
        <scheme val="minor"/>
      </rPr>
      <t xml:space="preserve"> *</t>
    </r>
  </si>
  <si>
    <t>30 Days Prior</t>
  </si>
  <si>
    <t xml:space="preserve">30 Days Post </t>
  </si>
  <si>
    <t>Stable Living Environment</t>
  </si>
  <si>
    <t xml:space="preserve">Alcohol Use </t>
  </si>
  <si>
    <t>Illegal Drugs Used</t>
  </si>
  <si>
    <t>Self Help Group------  N/A - AA</t>
  </si>
  <si>
    <t>Legal - Arrest</t>
  </si>
  <si>
    <t xml:space="preserve">TRAINING                                                                                                                                                                                                                                                                                                                                        TRAINING                                                                                                                                                                                                                                                                                                                      </t>
  </si>
  <si>
    <t xml:space="preserve">Kits Distributed </t>
  </si>
  <si>
    <t xml:space="preserve">Individuals Admitted to the Program between 07/01/2010 and 09/30/2019  </t>
  </si>
  <si>
    <t>NOMS PRE ADMISSION - POST DISCHARGE</t>
  </si>
  <si>
    <t xml:space="preserve">STATUS OF  CLIENTS :  PRE ADMISSION - POST REFERAL  </t>
  </si>
  <si>
    <r>
      <t xml:space="preserve">TRAINING FOR STAFF </t>
    </r>
    <r>
      <rPr>
        <b/>
        <u/>
        <sz val="16"/>
        <color theme="1"/>
        <rFont val="Calibri"/>
        <family val="2"/>
        <scheme val="minor"/>
      </rPr>
      <t xml:space="preserve"> </t>
    </r>
    <r>
      <rPr>
        <b/>
        <sz val="16"/>
        <color theme="1"/>
        <rFont val="Calibri"/>
        <family val="2"/>
        <scheme val="minor"/>
      </rPr>
      <t xml:space="preserve">FUNDED BY GRANT </t>
    </r>
  </si>
  <si>
    <r>
      <t xml:space="preserve">TRAINING FOR STAFF </t>
    </r>
    <r>
      <rPr>
        <b/>
        <u/>
        <sz val="18"/>
        <color theme="1"/>
        <rFont val="Calibri"/>
        <family val="2"/>
        <scheme val="minor"/>
      </rPr>
      <t xml:space="preserve">NOT </t>
    </r>
    <r>
      <rPr>
        <b/>
        <sz val="18"/>
        <color theme="1"/>
        <rFont val="Calibri"/>
        <family val="2"/>
        <scheme val="minor"/>
      </rPr>
      <t xml:space="preserve">FUNDED BY GRANT </t>
    </r>
  </si>
  <si>
    <t>Date Peer Certification Obtained</t>
  </si>
  <si>
    <t xml:space="preserve">  Peer Recovery Support Specialist  (FUNDED BY GRANT) </t>
  </si>
  <si>
    <t>TOTAL PEER CERTIFICATIONS OBTAINED :</t>
  </si>
  <si>
    <t xml:space="preserve">Date  Started MAT </t>
  </si>
  <si>
    <t xml:space="preserve">Readmitted to PRSS program while funded by grant </t>
  </si>
  <si>
    <t xml:space="preserve">Caseload per Recovery Specialist </t>
  </si>
  <si>
    <t xml:space="preserve">Caseload size </t>
  </si>
  <si>
    <t xml:space="preserve">value for Line 102 needs to be same as Line 101 - formula on line 102 needs adjusted for this. </t>
  </si>
  <si>
    <t xml:space="preserve">Grantee formal Name (name on grant agreement) </t>
  </si>
  <si>
    <t>Phone numbers for contacts</t>
  </si>
  <si>
    <t xml:space="preserve">NUMBER OF STAFF FUNDED BY  GRANT RECEIVING NALOXONE TRAINING </t>
  </si>
  <si>
    <t>30 DAYS BEFORE ADMISSION  (Use numeral (1) if applicable)</t>
  </si>
  <si>
    <t>POST 30 DAYS AFTER DISCHARGE   (Use numeral (1) if applicable)</t>
  </si>
  <si>
    <r>
      <rPr>
        <sz val="8"/>
        <rFont val="Calibri"/>
        <family val="2"/>
        <scheme val="minor"/>
      </rPr>
      <t>Employment</t>
    </r>
    <r>
      <rPr>
        <sz val="6"/>
        <rFont val="Calibri"/>
        <family val="2"/>
        <scheme val="minor"/>
      </rPr>
      <t xml:space="preserve">  (use numeral (1) if applicable)</t>
    </r>
  </si>
  <si>
    <r>
      <t xml:space="preserve">Student </t>
    </r>
    <r>
      <rPr>
        <sz val="6"/>
        <rFont val="Calibri"/>
        <family val="2"/>
        <scheme val="minor"/>
      </rPr>
      <t>(use numeral (1) if applicable)</t>
    </r>
  </si>
  <si>
    <r>
      <t>LEGAL - Arrest</t>
    </r>
    <r>
      <rPr>
        <sz val="6"/>
        <rFont val="Calibri"/>
        <family val="2"/>
        <scheme val="minor"/>
      </rPr>
      <t xml:space="preserve"> (use numeral (1) if applicable)</t>
    </r>
  </si>
  <si>
    <r>
      <t xml:space="preserve">Alcohol Use </t>
    </r>
    <r>
      <rPr>
        <sz val="6"/>
        <rFont val="Calibri"/>
        <family val="2"/>
        <scheme val="minor"/>
      </rPr>
      <t>(use numeral (1) if applicable)</t>
    </r>
  </si>
  <si>
    <r>
      <t xml:space="preserve">Illegal drugs used </t>
    </r>
    <r>
      <rPr>
        <sz val="6"/>
        <rFont val="Calibri"/>
        <family val="2"/>
        <scheme val="minor"/>
      </rPr>
      <t>(use numeral (1) if applicable)</t>
    </r>
  </si>
  <si>
    <r>
      <t xml:space="preserve">self-help groups (AA, NA, etc.) </t>
    </r>
    <r>
      <rPr>
        <sz val="6"/>
        <rFont val="Calibri"/>
        <family val="2"/>
        <scheme val="minor"/>
      </rPr>
      <t>(use numeral (1) if applicable)</t>
    </r>
  </si>
  <si>
    <t>program code can locate on SOW or  TFB</t>
  </si>
  <si>
    <t xml:space="preserve">number on grant agreement or TFB </t>
  </si>
  <si>
    <r>
      <t xml:space="preserve">Initials of Staff </t>
    </r>
    <r>
      <rPr>
        <sz val="8"/>
        <rFont val="Calibri"/>
        <family val="2"/>
        <scheme val="minor"/>
      </rPr>
      <t xml:space="preserve">(will populate to Training &amp; Other Tabs) </t>
    </r>
  </si>
  <si>
    <t>Program Code will located in SOW or TFB</t>
  </si>
  <si>
    <t>Grant Number will be located on the Grant agreement or Targeted Fund Budget (TFB)</t>
  </si>
  <si>
    <t>Formal Name of Agency used in the Grant Agreement</t>
  </si>
  <si>
    <t xml:space="preserve">Physical Address of the Program </t>
  </si>
  <si>
    <t xml:space="preserve">Name of Program (Grantee may have a different name for the program) </t>
  </si>
  <si>
    <t xml:space="preserve">Names of Persons to contact regarding the program </t>
  </si>
  <si>
    <t>Phone numbers of Contact Persons</t>
  </si>
  <si>
    <r>
      <rPr>
        <b/>
        <sz val="11"/>
        <color theme="1"/>
        <rFont val="Calibri"/>
        <family val="2"/>
        <scheme val="minor"/>
      </rPr>
      <t xml:space="preserve">THIS SECTION IS REQUIRED:  </t>
    </r>
    <r>
      <rPr>
        <sz val="11"/>
        <color theme="1"/>
        <rFont val="Calibri"/>
        <family val="2"/>
        <scheme val="minor"/>
      </rPr>
      <t xml:space="preserve">This space is for a narrative about the program in order to provide a description of  activities / accomplishments related to measurable outcomes.   Sections are divided into months. This section provides invaluable information about the program. </t>
    </r>
  </si>
  <si>
    <t xml:space="preserve">Will have the Name of the Form and the Version of the Form - Please check to see that you are using the most recent version - Note If the form has "working draft" it is not the correct version.  </t>
  </si>
  <si>
    <t>Line 14&gt; Column H-J</t>
  </si>
  <si>
    <t xml:space="preserve">Disposition of the Referral - Select from the Drop-down box </t>
  </si>
  <si>
    <t>Line 14&gt; Column K-M</t>
  </si>
  <si>
    <r>
      <t xml:space="preserve">Refer - Admission Stay - Discharge </t>
    </r>
    <r>
      <rPr>
        <b/>
        <sz val="16"/>
        <color theme="0"/>
        <rFont val="Calibri"/>
        <family val="2"/>
        <scheme val="minor"/>
      </rPr>
      <t>(TO THE PEER RECOVERY SUPPORT SPECIALIST PROGRAM WITHIN THE FACILITY)</t>
    </r>
  </si>
  <si>
    <t>A: Grantee - Program Information: ON LINES 5 - 9 ALL INFORMATION WILL NEED TO BE INITALLY ENTERED AND CHANGES WILL NEED TO BE MADE (INCLUDING THE DATE)  ON THE GRANTEE SET UP INFO &amp; DATE TAB - INFORMATION WILL POPULATE TO OTHER TABS</t>
  </si>
  <si>
    <t>Line 5-10</t>
  </si>
  <si>
    <t>Line 14&gt; Column A</t>
  </si>
  <si>
    <t xml:space="preserve">Assisted (help the client) with enrollment into the Medicaid program </t>
  </si>
  <si>
    <t>Line 14&gt; Column L-M</t>
  </si>
  <si>
    <r>
      <t xml:space="preserve">COMPLETE AT TIME OF  INTIAL CONTACT  -  ADMISSION / ENROLLMENT INTO THE PROGRAM                                                                                                                                                        </t>
    </r>
    <r>
      <rPr>
        <b/>
        <sz val="10"/>
        <color rgb="FF0070C0"/>
        <rFont val="Calibri"/>
        <family val="2"/>
        <scheme val="minor"/>
      </rPr>
      <t xml:space="preserve">     (An individual may have an initial contact before being formally admitted / enrolled in the program) </t>
    </r>
  </si>
  <si>
    <t>(8) Support Group,           (9) Relapse Prevention, (10) Crisis Support,             (11) HIV Testing,                      (12) Hepatitis B Testing , (13) Hepatitis C Testing, (14) Other (Specify)</t>
  </si>
  <si>
    <t>Grantee Number :</t>
  </si>
  <si>
    <t>Place the initials of the Peer Recovery Support Specialist  - Use the same initials from the Grantee Set Up Info &amp; Date tab - Lines 11-18, Column C-E and Lines 11-18, Column W-Y</t>
  </si>
  <si>
    <t>Line 14&gt; Column N</t>
  </si>
  <si>
    <t>Line 14&gt; Column O</t>
  </si>
  <si>
    <t>Line 14&gt; Column V-W</t>
  </si>
  <si>
    <t>Line 14&gt; Column X-AA</t>
  </si>
  <si>
    <t>Line 14&gt; Column AB-AE</t>
  </si>
  <si>
    <t>Line 14&gt; Column AF-AG</t>
  </si>
  <si>
    <t xml:space="preserve">Individual has a Recovery Plan.  Choose from the Drop-down box (YES/NO) </t>
  </si>
  <si>
    <t>Line 14&gt; Column AT-AU</t>
  </si>
  <si>
    <t>Line 14&gt; Column AX-AZ</t>
  </si>
  <si>
    <t>Line 14&gt; Column BA-BB</t>
  </si>
  <si>
    <t>Line 14&gt; Column BC</t>
  </si>
  <si>
    <t>Line 14&gt; Column BD-BE</t>
  </si>
  <si>
    <t>Line 14&gt; Column BF-BI</t>
  </si>
  <si>
    <t>Line 14&gt; Column BJ-BM</t>
  </si>
  <si>
    <t>Line 14&gt; Column BN-BV</t>
  </si>
  <si>
    <r>
      <t xml:space="preserve">NOMS PRE ADMISSION - POST DISCHARGE </t>
    </r>
    <r>
      <rPr>
        <b/>
        <sz val="16"/>
        <color theme="0"/>
        <rFont val="Calibri"/>
        <family val="2"/>
        <scheme val="minor"/>
      </rPr>
      <t>(WITHIN THE  PEER RECOVERY SUPPORT SPECIALIST PROGRAM WITHIN THE FACILITY)</t>
    </r>
  </si>
  <si>
    <r>
      <t xml:space="preserve">Name of Program </t>
    </r>
    <r>
      <rPr>
        <sz val="8"/>
        <color theme="1"/>
        <rFont val="Calibri"/>
        <family val="2"/>
        <scheme val="minor"/>
      </rPr>
      <t>(given by Grantee):</t>
    </r>
  </si>
  <si>
    <t xml:space="preserve">A:  Grantee - Program Information </t>
  </si>
  <si>
    <r>
      <t xml:space="preserve">The above Information on ROWS 5,6,7,8,9 and 10  will populate to the other tabs  - Any changes (including the date) on the above information will need to be made on the tab (GRANTEE SET UP  INFO &amp; DATE)  -                                                                                                                                                                                                                           THIS SAME FORM IS DESIGNED TO BE USED FOR THE ENTIRE YEAR </t>
    </r>
    <r>
      <rPr>
        <b/>
        <sz val="11"/>
        <color theme="9" tint="0.39997558519241921"/>
        <rFont val="Calibri"/>
        <family val="2"/>
        <scheme val="minor"/>
      </rPr>
      <t xml:space="preserve"> BROWN FONT INDICATES DROP-DOWN BOX        </t>
    </r>
    <r>
      <rPr>
        <b/>
        <sz val="11"/>
        <color theme="0"/>
        <rFont val="Calibri"/>
        <family val="2"/>
        <scheme val="minor"/>
      </rPr>
      <t xml:space="preserve">                                                                                                                                                                                                                                                                </t>
    </r>
  </si>
  <si>
    <t xml:space="preserve">30 DAYS BEFORE ADMISSION - Was Individual a Student (Part time or full time)  - If so Indicate by using the Numeral (1) - Use the Number (1) Do not use alphabet. </t>
  </si>
  <si>
    <t xml:space="preserve">30 DAYS BEFORE ADMISSION - Was Individual Employed (Part time or full time) - If so Indicate by using the Numeral (1) - Use the Number (1) Do not use alphabet. </t>
  </si>
  <si>
    <r>
      <t xml:space="preserve">Stable Living Situation </t>
    </r>
    <r>
      <rPr>
        <sz val="6"/>
        <rFont val="Calibri"/>
        <family val="2"/>
        <scheme val="minor"/>
      </rPr>
      <t>(use numeral (1) if applicable)</t>
    </r>
  </si>
  <si>
    <t xml:space="preserve">30 DAYS BEFORE ADMISSION - Did the individual have a Stable Living Situation  - If so Indicate by using the Numeral (1) - Use the Number (1) Do not use alphabet. </t>
  </si>
  <si>
    <t xml:space="preserve">30 DAYS BEFORE ADMISSION - Did the Individual have any involvement with the Legal System (arrest) - If so Indicate by using the Numeral (1) - Use the Number (1) Do not use alphabet. </t>
  </si>
  <si>
    <t xml:space="preserve">30 DAYS BEFORE ADMISSION - Did the individual use Alcohol- If so Indicate by using the Numeral (1) - Use the Number (1) Do not use alphabet. </t>
  </si>
  <si>
    <t xml:space="preserve">30 DAYS BEFORE ADMISSION - Did the Individual use Illegal Drugs  - If so Indicate by using the Numeral (1) - Use the Number (1) Do not use alphabet. </t>
  </si>
  <si>
    <t xml:space="preserve">30 DAYS BEFORE ADMISSION - Did the individual participate in self help groups such as AA or NA - If so Indicate by using the Numeral (1) - Use the Number (1) Do not use alphabet. </t>
  </si>
  <si>
    <t xml:space="preserve">30 DAYS POST DISCHARGE - Was Individual Employed (Part time or full time) - If so Indicate by using the Numeral (1) - Use the Number (1) Do not use alphabet. </t>
  </si>
  <si>
    <t xml:space="preserve">30 DAYS POST DISCHARGE - Was Individual a Student (Part time or full time)  - If so Indicate by using the Numeral (1) - Use the Number (1) Do not use alphabet. </t>
  </si>
  <si>
    <t xml:space="preserve">30 DAYS POST DISCHARGE - Did the individual have a Stable Living Situation  - If so Indicate by using the Numeral (1) - Use the Number (1) Do not use alphabet. </t>
  </si>
  <si>
    <t xml:space="preserve">30 DAYS POST DISCHARGE - Did the Individual have any involvement with the Legal System (arrest) - If so Indicate by using the Numeral (1) - Use the Number (1) Do not use alphabet. </t>
  </si>
  <si>
    <t xml:space="preserve">30 DAYS POST DISCHARGE- Did the individual use Alcohol- If so Indicate by using the Numeral (1) - Use the Number (1) Do not use alphabet. </t>
  </si>
  <si>
    <t xml:space="preserve">30 DAYS POST DISCHARGE - Did the Individual use Illegal Drugs  - If so Indicate by using the Numeral (1) - Use the Number (1) Do not use alphabet. </t>
  </si>
  <si>
    <t xml:space="preserve">30 DAYS POST DISCHARGE - Did the individual participate in self help groups such as AA or NA - If so Indicate by using the Numeral (1) - Use the Number (1) Do not use alphabet. </t>
  </si>
  <si>
    <t>Lines 15&gt; Column AL-BB</t>
  </si>
  <si>
    <t xml:space="preserve">A:  Grantee - Program Information  </t>
  </si>
  <si>
    <t>A. Grantee - Program Information: ON LINES 5 - 9 ALL INFORMATION WILL NEED TO BE INITALLY  ENTERED AND CHANGES WILL NEED TO BE MADE (INCLUDING THE DATE)  ON THE GRANTEE SET UP INFO &amp; DATE TAB - INFORMATION WILL POPULATE TO OTHER TABS</t>
  </si>
  <si>
    <r>
      <t xml:space="preserve">Automatically numbers the Lines - </t>
    </r>
    <r>
      <rPr>
        <b/>
        <sz val="11"/>
        <color theme="1"/>
        <rFont val="Calibri"/>
        <family val="2"/>
        <scheme val="minor"/>
      </rPr>
      <t>There are approximately 500 lines for input of training data.</t>
    </r>
    <r>
      <rPr>
        <sz val="11"/>
        <color theme="1"/>
        <rFont val="Calibri"/>
        <family val="2"/>
        <scheme val="minor"/>
      </rPr>
      <t xml:space="preserve">  </t>
    </r>
  </si>
  <si>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</si>
  <si>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 xml:space="preserve">A:  Grantee - Program Information   </t>
  </si>
  <si>
    <t>Contact Name (s):</t>
  </si>
  <si>
    <r>
      <t xml:space="preserve">Automatically numbers the Lines - </t>
    </r>
    <r>
      <rPr>
        <b/>
        <sz val="11"/>
        <color theme="1"/>
        <rFont val="Calibri"/>
        <family val="2"/>
        <scheme val="minor"/>
      </rPr>
      <t>There are approximately 500 lines for input of Naloxone Training events.</t>
    </r>
    <r>
      <rPr>
        <sz val="11"/>
        <color theme="1"/>
        <rFont val="Calibri"/>
        <family val="2"/>
        <scheme val="minor"/>
      </rPr>
      <t xml:space="preserve">  </t>
    </r>
  </si>
  <si>
    <t xml:space="preserve">SUMMARY OF DATA FROM ALL TABS </t>
  </si>
  <si>
    <t>Names of Contact(s):</t>
  </si>
  <si>
    <t>WV Bureau for Behavioral Health  - Peer Recovery Support Services  V 20200110</t>
  </si>
  <si>
    <t>2023</t>
  </si>
  <si>
    <t>Prior to October 2021</t>
  </si>
  <si>
    <t>Jobs and Hope</t>
  </si>
  <si>
    <t>2024</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</si>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</sst>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_(* \(#,##0\);_(* &quot;-&quot;_);_(@_)"/>
    <numFmt numFmtId="44" formatCode="_(&quot;$&quot;* #,##0.00_);_(&quot;$&quot;* \(#,##0.00\);_(&quot;$&quot;* &quot;-&quot;??_);_(@_)"/>
    <numFmt numFmtId="164" formatCode="_(* #,##0.00_);_(* \(#,##0.00\);_(* \-??_);_(@_)"/>
    <numFmt numFmtId="165" formatCode="_(\$* #,##0.00_);_(\$* \(#,##0.00\);_(\$* \-??_);_(@_)"/>
  </numFmts>
  <fonts count="131" x14ac:knownFonts="1">
    <font>
      <sz val="11"/>
      <color theme="1"/>
      <name val="Calibri"/>
      <family val="2"/>
      <scheme val="minor"/>
    </font>
    <font>
      <sz val="8"/>
      <color theme="1"/>
      <name val="Calibri"/>
      <family val="2"/>
      <scheme val="minor"/>
    </font>
    <font>
      <sz val="7"/>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color rgb="FFFF0000"/>
      <name val="Calibri"/>
      <family val="2"/>
      <scheme val="minor"/>
    </font>
    <font>
      <sz val="10"/>
      <color rgb="FFFF0000"/>
      <name val="Calibri"/>
      <family val="2"/>
      <scheme val="minor"/>
    </font>
    <font>
      <sz val="10"/>
      <color theme="0"/>
      <name val="Calibri"/>
      <family val="2"/>
      <scheme val="minor"/>
    </font>
    <font>
      <sz val="9"/>
      <color theme="0"/>
      <name val="Calibri"/>
      <family val="2"/>
      <scheme val="minor"/>
    </font>
    <font>
      <b/>
      <sz val="11"/>
      <color rgb="FFFF0000"/>
      <name val="Calibri"/>
      <family val="2"/>
      <scheme val="minor"/>
    </font>
    <font>
      <b/>
      <sz val="10"/>
      <color rgb="FFFF0000"/>
      <name val="Calibri"/>
      <family val="2"/>
      <scheme val="minor"/>
    </font>
    <font>
      <b/>
      <sz val="9"/>
      <color rgb="FFFF0000"/>
      <name val="Calibri"/>
      <family val="2"/>
      <scheme val="minor"/>
    </font>
    <font>
      <sz val="11"/>
      <color theme="9" tint="-0.499984740745262"/>
      <name val="Calibri"/>
      <family val="2"/>
      <scheme val="minor"/>
    </font>
    <font>
      <sz val="16"/>
      <color rgb="FFFF0000"/>
      <name val="Calibri"/>
      <family val="2"/>
      <scheme val="minor"/>
    </font>
    <font>
      <b/>
      <sz val="16"/>
      <color rgb="FFFF0000"/>
      <name val="Calibri"/>
      <family val="2"/>
      <scheme val="minor"/>
    </font>
    <font>
      <sz val="8"/>
      <name val="Calibri"/>
      <family val="2"/>
      <scheme val="minor"/>
    </font>
    <font>
      <sz val="11"/>
      <name val="Calibri"/>
      <family val="2"/>
      <scheme val="minor"/>
    </font>
    <font>
      <sz val="11"/>
      <color theme="8" tint="0.79998168889431442"/>
      <name val="Calibri"/>
      <family val="2"/>
      <scheme val="minor"/>
    </font>
    <font>
      <sz val="9"/>
      <color theme="1"/>
      <name val="Calibri"/>
      <family val="2"/>
      <scheme val="minor"/>
    </font>
    <font>
      <b/>
      <sz val="11"/>
      <color rgb="FF0070C0"/>
      <name val="Calibri"/>
      <family val="2"/>
      <scheme val="minor"/>
    </font>
    <font>
      <b/>
      <i/>
      <sz val="9"/>
      <color rgb="FF0070C0"/>
      <name val="Calibri"/>
      <family val="2"/>
      <scheme val="minor"/>
    </font>
    <font>
      <b/>
      <sz val="12"/>
      <color theme="1"/>
      <name val="Calibri"/>
      <family val="2"/>
      <scheme val="minor"/>
    </font>
    <font>
      <sz val="12"/>
      <color theme="1"/>
      <name val="Calibri"/>
      <family val="2"/>
      <scheme val="minor"/>
    </font>
    <font>
      <b/>
      <sz val="11"/>
      <name val="Calibri"/>
      <family val="2"/>
      <scheme val="minor"/>
    </font>
    <font>
      <b/>
      <sz val="16"/>
      <color theme="1"/>
      <name val="Calibri"/>
      <family val="2"/>
      <scheme val="minor"/>
    </font>
    <font>
      <b/>
      <sz val="10"/>
      <color theme="1"/>
      <name val="Calibri"/>
      <family val="2"/>
      <scheme val="minor"/>
    </font>
    <font>
      <b/>
      <sz val="10"/>
      <color theme="9" tint="-0.499984740745262"/>
      <name val="Calibri"/>
      <family val="2"/>
      <scheme val="minor"/>
    </font>
    <font>
      <sz val="8"/>
      <color theme="9" tint="-0.499984740745262"/>
      <name val="Calibri"/>
      <family val="2"/>
      <scheme val="minor"/>
    </font>
    <font>
      <b/>
      <sz val="12"/>
      <color theme="9" tint="-0.499984740745262"/>
      <name val="Calibri"/>
      <family val="2"/>
      <scheme val="minor"/>
    </font>
    <font>
      <b/>
      <sz val="11"/>
      <color theme="9" tint="-0.499984740745262"/>
      <name val="Calibri"/>
      <family val="2"/>
      <scheme val="minor"/>
    </font>
    <font>
      <b/>
      <sz val="9"/>
      <color theme="9" tint="-0.499984740745262"/>
      <name val="Calibri"/>
      <family val="2"/>
      <scheme val="minor"/>
    </font>
    <font>
      <b/>
      <sz val="9"/>
      <name val="Calibri"/>
      <family val="2"/>
      <scheme val="minor"/>
    </font>
    <font>
      <b/>
      <sz val="8"/>
      <color theme="0"/>
      <name val="Calibri"/>
      <family val="2"/>
      <scheme val="minor"/>
    </font>
    <font>
      <sz val="11"/>
      <color theme="1"/>
      <name val="Calibri"/>
      <family val="2"/>
      <scheme val="minor"/>
    </font>
    <font>
      <b/>
      <sz val="8"/>
      <color theme="9" tint="-0.499984740745262"/>
      <name val="Calibri"/>
      <family val="2"/>
      <scheme val="minor"/>
    </font>
    <font>
      <sz val="11"/>
      <color theme="0" tint="-0.34998626667073579"/>
      <name val="Calibri"/>
      <family val="2"/>
      <scheme val="minor"/>
    </font>
    <font>
      <b/>
      <sz val="14"/>
      <color theme="1"/>
      <name val="Calibri"/>
      <family val="2"/>
      <scheme val="minor"/>
    </font>
    <font>
      <sz val="10"/>
      <color indexed="8"/>
      <name val="Arial"/>
      <family val="2"/>
    </font>
    <font>
      <sz val="10"/>
      <name val="Arial"/>
      <family val="2"/>
    </font>
    <font>
      <u/>
      <sz val="11"/>
      <color theme="10"/>
      <name val="Calibri"/>
      <family val="2"/>
    </font>
    <font>
      <sz val="11"/>
      <color indexed="8"/>
      <name val="Calibri"/>
      <family val="2"/>
    </font>
    <font>
      <u/>
      <sz val="11"/>
      <color indexed="12"/>
      <name val="Calibri"/>
      <family val="2"/>
    </font>
    <font>
      <u/>
      <sz val="11"/>
      <color indexed="12"/>
      <name val="Arial"/>
      <family val="2"/>
    </font>
    <font>
      <b/>
      <sz val="11"/>
      <color theme="9" tint="0.39997558519241921"/>
      <name val="Calibri"/>
      <family val="2"/>
      <scheme val="minor"/>
    </font>
    <font>
      <b/>
      <sz val="9"/>
      <color rgb="FF0070C0"/>
      <name val="Calibri"/>
      <family val="2"/>
      <scheme val="minor"/>
    </font>
    <font>
      <sz val="10"/>
      <color rgb="FF0070C0"/>
      <name val="Calibri"/>
      <family val="2"/>
      <scheme val="minor"/>
    </font>
    <font>
      <sz val="10"/>
      <name val="Calibri"/>
      <family val="2"/>
      <scheme val="minor"/>
    </font>
    <font>
      <b/>
      <sz val="11"/>
      <color rgb="FFFFDDFF"/>
      <name val="Calibri"/>
      <family val="2"/>
      <scheme val="minor"/>
    </font>
    <font>
      <i/>
      <sz val="12"/>
      <name val="Calibri"/>
      <family val="2"/>
      <scheme val="minor"/>
    </font>
    <font>
      <b/>
      <sz val="8"/>
      <color theme="1"/>
      <name val="Calibri"/>
      <family val="2"/>
      <scheme val="minor"/>
    </font>
    <font>
      <sz val="10"/>
      <color theme="1"/>
      <name val="Calibri"/>
      <family val="2"/>
      <scheme val="minor"/>
    </font>
    <font>
      <sz val="9"/>
      <color theme="9" tint="-0.499984740745262"/>
      <name val="Calibri"/>
      <family val="2"/>
      <scheme val="minor"/>
    </font>
    <font>
      <sz val="8"/>
      <color rgb="FF002060"/>
      <name val="Calibri"/>
      <family val="2"/>
      <scheme val="minor"/>
    </font>
    <font>
      <b/>
      <sz val="10"/>
      <color rgb="FF002060"/>
      <name val="Calibri"/>
      <family val="2"/>
      <scheme val="minor"/>
    </font>
    <font>
      <sz val="9"/>
      <color rgb="FFFF0000"/>
      <name val="Calibri"/>
      <family val="2"/>
      <scheme val="minor"/>
    </font>
    <font>
      <b/>
      <sz val="11"/>
      <color theme="9" tint="0.59999389629810485"/>
      <name val="Calibri"/>
      <family val="2"/>
      <scheme val="minor"/>
    </font>
    <font>
      <b/>
      <sz val="20"/>
      <color theme="0"/>
      <name val="Calibri"/>
      <family val="2"/>
      <scheme val="minor"/>
    </font>
    <font>
      <b/>
      <sz val="8"/>
      <name val="Calibri"/>
      <family val="2"/>
      <scheme val="minor"/>
    </font>
    <font>
      <b/>
      <sz val="10"/>
      <color theme="0"/>
      <name val="Calibri"/>
      <family val="2"/>
      <scheme val="minor"/>
    </font>
    <font>
      <b/>
      <sz val="10"/>
      <name val="Calibri"/>
      <family val="2"/>
      <scheme val="minor"/>
    </font>
    <font>
      <u/>
      <sz val="8"/>
      <color theme="1"/>
      <name val="Calibri"/>
      <family val="2"/>
      <scheme val="minor"/>
    </font>
    <font>
      <b/>
      <u/>
      <sz val="8"/>
      <color theme="1"/>
      <name val="Calibri"/>
      <family val="2"/>
      <scheme val="minor"/>
    </font>
    <font>
      <u/>
      <sz val="8"/>
      <name val="Calibri"/>
      <family val="2"/>
      <scheme val="minor"/>
    </font>
    <font>
      <sz val="12"/>
      <name val="Calibri"/>
      <family val="2"/>
      <scheme val="minor"/>
    </font>
    <font>
      <b/>
      <i/>
      <sz val="11"/>
      <name val="Calibri"/>
      <family val="2"/>
      <scheme val="minor"/>
    </font>
    <font>
      <b/>
      <i/>
      <sz val="11"/>
      <color rgb="FFFF0000"/>
      <name val="Calibri"/>
      <family val="2"/>
      <scheme val="minor"/>
    </font>
    <font>
      <b/>
      <sz val="9"/>
      <color theme="0"/>
      <name val="Calibri"/>
      <family val="2"/>
      <scheme val="minor"/>
    </font>
    <font>
      <sz val="11"/>
      <color theme="0" tint="-0.249977111117893"/>
      <name val="Calibri"/>
      <family val="2"/>
      <scheme val="minor"/>
    </font>
    <font>
      <b/>
      <sz val="11"/>
      <color theme="0" tint="-0.249977111117893"/>
      <name val="Calibri"/>
      <family val="2"/>
      <scheme val="minor"/>
    </font>
    <font>
      <sz val="8"/>
      <color theme="0" tint="-0.14999847407452621"/>
      <name val="Calibri"/>
      <family val="2"/>
      <scheme val="minor"/>
    </font>
    <font>
      <sz val="20"/>
      <color theme="0"/>
      <name val="Calibri"/>
      <family val="2"/>
      <scheme val="minor"/>
    </font>
    <font>
      <b/>
      <sz val="18"/>
      <color theme="1"/>
      <name val="Calibri"/>
      <family val="2"/>
      <scheme val="minor"/>
    </font>
    <font>
      <sz val="11"/>
      <color theme="0" tint="-0.14999847407452621"/>
      <name val="Calibri"/>
      <family val="2"/>
      <scheme val="minor"/>
    </font>
    <font>
      <sz val="22"/>
      <color theme="1"/>
      <name val="Calibri"/>
      <family val="2"/>
      <scheme val="minor"/>
    </font>
    <font>
      <b/>
      <sz val="22"/>
      <color theme="1"/>
      <name val="Calibri"/>
      <family val="2"/>
      <scheme val="minor"/>
    </font>
    <font>
      <b/>
      <sz val="22"/>
      <color theme="0"/>
      <name val="Calibri"/>
      <family val="2"/>
      <scheme val="minor"/>
    </font>
    <font>
      <b/>
      <sz val="24"/>
      <color theme="0"/>
      <name val="Calibri"/>
      <family val="2"/>
      <scheme val="minor"/>
    </font>
    <font>
      <b/>
      <sz val="18"/>
      <color theme="0"/>
      <name val="Calibri"/>
      <family val="2"/>
    </font>
    <font>
      <b/>
      <u val="double"/>
      <sz val="20"/>
      <color theme="0"/>
      <name val="Calibri"/>
      <family val="2"/>
      <scheme val="minor"/>
    </font>
    <font>
      <sz val="11"/>
      <color theme="0" tint="-0.499984740745262"/>
      <name val="Calibri"/>
      <family val="2"/>
      <scheme val="minor"/>
    </font>
    <font>
      <b/>
      <sz val="24"/>
      <color rgb="FFFF0000"/>
      <name val="Calibri"/>
      <family val="2"/>
      <scheme val="minor"/>
    </font>
    <font>
      <b/>
      <sz val="18"/>
      <color rgb="FFFF0000"/>
      <name val="Calibri"/>
      <family val="2"/>
      <scheme val="minor"/>
    </font>
    <font>
      <sz val="18"/>
      <color theme="1"/>
      <name val="Calibri"/>
      <family val="2"/>
      <scheme val="minor"/>
    </font>
    <font>
      <b/>
      <sz val="20"/>
      <color rgb="FFFF0000"/>
      <name val="Calibri"/>
      <family val="2"/>
      <scheme val="minor"/>
    </font>
    <font>
      <b/>
      <sz val="10"/>
      <color rgb="FF0070C0"/>
      <name val="Calibri"/>
      <family val="2"/>
      <scheme val="minor"/>
    </font>
    <font>
      <b/>
      <sz val="16"/>
      <color theme="0"/>
      <name val="Calibri"/>
      <family val="2"/>
      <scheme val="minor"/>
    </font>
    <font>
      <b/>
      <sz val="14"/>
      <color theme="0"/>
      <name val="Calibri"/>
      <family val="2"/>
      <scheme val="minor"/>
    </font>
    <font>
      <sz val="14"/>
      <color theme="0"/>
      <name val="Calibri"/>
      <family val="2"/>
      <scheme val="minor"/>
    </font>
    <font>
      <b/>
      <u/>
      <sz val="10"/>
      <color theme="9" tint="-0.499984740745262"/>
      <name val="Calibri"/>
      <family val="2"/>
      <scheme val="minor"/>
    </font>
    <font>
      <sz val="10"/>
      <color theme="9" tint="-0.499984740745262"/>
      <name val="Calibri"/>
      <family val="2"/>
      <scheme val="minor"/>
    </font>
    <font>
      <b/>
      <sz val="12"/>
      <color rgb="FFFF0000"/>
      <name val="Calibri"/>
      <family val="2"/>
      <scheme val="minor"/>
    </font>
    <font>
      <b/>
      <sz val="14"/>
      <color rgb="FF0070C0"/>
      <name val="Calibri"/>
      <family val="2"/>
      <scheme val="minor"/>
    </font>
    <font>
      <b/>
      <sz val="14"/>
      <name val="Calibri"/>
      <family val="2"/>
      <scheme val="minor"/>
    </font>
    <font>
      <sz val="12"/>
      <color theme="0"/>
      <name val="Calibri"/>
      <family val="2"/>
      <scheme val="minor"/>
    </font>
    <font>
      <sz val="8"/>
      <color rgb="FF0070C0"/>
      <name val="Calibri"/>
      <family val="2"/>
      <scheme val="minor"/>
    </font>
    <font>
      <u/>
      <sz val="8"/>
      <color theme="9" tint="-0.499984740745262"/>
      <name val="Calibri"/>
      <family val="2"/>
      <scheme val="minor"/>
    </font>
    <font>
      <b/>
      <sz val="14"/>
      <color rgb="FFFFDDFF"/>
      <name val="Calibri"/>
      <family val="2"/>
      <scheme val="minor"/>
    </font>
    <font>
      <b/>
      <u/>
      <sz val="10"/>
      <name val="Calibri"/>
      <family val="2"/>
      <scheme val="minor"/>
    </font>
    <font>
      <sz val="9"/>
      <name val="Calibri"/>
      <family val="2"/>
      <scheme val="minor"/>
    </font>
    <font>
      <b/>
      <sz val="20"/>
      <color theme="1"/>
      <name val="Calibri"/>
      <family val="2"/>
      <scheme val="minor"/>
    </font>
    <font>
      <sz val="16"/>
      <color theme="1"/>
      <name val="Calibri"/>
      <family val="2"/>
      <scheme val="minor"/>
    </font>
    <font>
      <sz val="14"/>
      <color rgb="FFFFDDFF"/>
      <name val="Calibri"/>
      <family val="2"/>
      <scheme val="minor"/>
    </font>
    <font>
      <sz val="16"/>
      <color theme="8" tint="0.79998168889431442"/>
      <name val="Calibri"/>
      <family val="2"/>
      <scheme val="minor"/>
    </font>
    <font>
      <sz val="16"/>
      <color theme="0"/>
      <name val="Calibri"/>
      <family val="2"/>
      <scheme val="minor"/>
    </font>
    <font>
      <b/>
      <sz val="11"/>
      <color rgb="FF002060"/>
      <name val="Calibri"/>
      <family val="2"/>
      <scheme val="minor"/>
    </font>
    <font>
      <b/>
      <sz val="14"/>
      <color theme="9" tint="-0.249977111117893"/>
      <name val="Calibri"/>
      <family val="2"/>
      <scheme val="minor"/>
    </font>
    <font>
      <sz val="14"/>
      <color theme="9" tint="-0.249977111117893"/>
      <name val="Calibri"/>
      <family val="2"/>
      <scheme val="minor"/>
    </font>
    <font>
      <sz val="16"/>
      <name val="Calibri"/>
      <family val="2"/>
      <scheme val="minor"/>
    </font>
    <font>
      <sz val="11"/>
      <color theme="9" tint="0.39997558519241921"/>
      <name val="Calibri"/>
      <family val="2"/>
      <scheme val="minor"/>
    </font>
    <font>
      <sz val="16"/>
      <color theme="9" tint="0.39997558519241921"/>
      <name val="Calibri"/>
      <family val="2"/>
      <scheme val="minor"/>
    </font>
    <font>
      <sz val="14"/>
      <color theme="1"/>
      <name val="Calibri"/>
      <family val="2"/>
      <scheme val="minor"/>
    </font>
    <font>
      <sz val="22"/>
      <color theme="0"/>
      <name val="Calibri"/>
      <family val="2"/>
      <scheme val="minor"/>
    </font>
    <font>
      <b/>
      <sz val="12"/>
      <name val="Calibri"/>
      <family val="2"/>
      <scheme val="minor"/>
    </font>
    <font>
      <b/>
      <sz val="10"/>
      <color theme="5" tint="-0.499984740745262"/>
      <name val="Calibri"/>
      <family val="2"/>
      <scheme val="minor"/>
    </font>
    <font>
      <b/>
      <sz val="9"/>
      <color theme="1"/>
      <name val="Calibri"/>
      <family val="2"/>
      <scheme val="minor"/>
    </font>
    <font>
      <sz val="22"/>
      <name val="Calibri"/>
      <family val="2"/>
      <scheme val="minor"/>
    </font>
    <font>
      <sz val="14"/>
      <color theme="0" tint="-4.9989318521683403E-2"/>
      <name val="Calibri"/>
      <family val="2"/>
      <scheme val="minor"/>
    </font>
    <font>
      <sz val="14"/>
      <name val="Calibri"/>
      <family val="2"/>
      <scheme val="minor"/>
    </font>
    <font>
      <b/>
      <sz val="16"/>
      <name val="Calibri"/>
      <family val="2"/>
      <scheme val="minor"/>
    </font>
    <font>
      <sz val="8"/>
      <color theme="0"/>
      <name val="Calibri"/>
      <family val="2"/>
      <scheme val="minor"/>
    </font>
    <font>
      <b/>
      <sz val="12"/>
      <color theme="0"/>
      <name val="Calibri"/>
      <family val="2"/>
      <scheme val="minor"/>
    </font>
    <font>
      <b/>
      <sz val="14"/>
      <color theme="0" tint="-4.9989318521683403E-2"/>
      <name val="Calibri"/>
      <family val="2"/>
      <scheme val="minor"/>
    </font>
    <font>
      <b/>
      <sz val="11"/>
      <color rgb="FFFF00FF"/>
      <name val="Calibri"/>
      <family val="2"/>
      <scheme val="minor"/>
    </font>
    <font>
      <b/>
      <sz val="8"/>
      <color rgb="FF0070C0"/>
      <name val="Calibri"/>
      <family val="2"/>
      <scheme val="minor"/>
    </font>
    <font>
      <b/>
      <u/>
      <sz val="18"/>
      <color theme="1"/>
      <name val="Calibri"/>
      <family val="2"/>
      <scheme val="minor"/>
    </font>
    <font>
      <b/>
      <u/>
      <sz val="16"/>
      <color theme="1"/>
      <name val="Calibri"/>
      <family val="2"/>
      <scheme val="minor"/>
    </font>
    <font>
      <i/>
      <sz val="20"/>
      <color theme="1"/>
      <name val="Calibri"/>
      <family val="2"/>
      <scheme val="minor"/>
    </font>
    <font>
      <i/>
      <sz val="11"/>
      <color rgb="FFFF0000"/>
      <name val="Calibri"/>
      <family val="2"/>
      <scheme val="minor"/>
    </font>
    <font>
      <sz val="6"/>
      <name val="Calibri"/>
      <family val="2"/>
      <scheme val="minor"/>
    </font>
  </fonts>
  <fills count="80">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CAE7EE"/>
        <bgColor indexed="64"/>
      </patternFill>
    </fill>
    <fill>
      <patternFill patternType="solid">
        <fgColor theme="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206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0000"/>
        <bgColor indexed="64"/>
      </patternFill>
    </fill>
    <fill>
      <patternFill patternType="solid">
        <fgColor theme="9" tint="0.59999389629810485"/>
        <bgColor indexed="64"/>
      </patternFill>
    </fill>
    <fill>
      <patternFill patternType="solid">
        <fgColor rgb="FF93CDDD"/>
        <bgColor indexed="64"/>
      </patternFill>
    </fill>
    <fill>
      <patternFill patternType="solid">
        <fgColor rgb="FFBADFE8"/>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rgb="FFFFDDFF"/>
        <bgColor indexed="64"/>
      </patternFill>
    </fill>
    <fill>
      <patternFill patternType="solid">
        <fgColor rgb="FFFFCDFF"/>
        <bgColor indexed="64"/>
      </patternFill>
    </fill>
    <fill>
      <patternFill patternType="solid">
        <fgColor rgb="FFFFC000"/>
        <bgColor indexed="64"/>
      </patternFill>
    </fill>
    <fill>
      <patternFill patternType="solid">
        <fgColor rgb="FF00B050"/>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rgb="FF0070C0"/>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rgb="FFF4FEBA"/>
        <bgColor indexed="64"/>
      </patternFill>
    </fill>
    <fill>
      <patternFill patternType="solid">
        <fgColor rgb="FFFF9F9F"/>
        <bgColor indexed="64"/>
      </patternFill>
    </fill>
    <fill>
      <patternFill patternType="solid">
        <fgColor rgb="FFFFDD71"/>
        <bgColor indexed="64"/>
      </patternFill>
    </fill>
    <fill>
      <patternFill patternType="solid">
        <fgColor rgb="FFFFF3CD"/>
        <bgColor indexed="64"/>
      </patternFill>
    </fill>
    <fill>
      <patternFill patternType="solid">
        <fgColor rgb="FFFFCC29"/>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rgb="FFA7D6E3"/>
        <bgColor indexed="64"/>
      </patternFill>
    </fill>
    <fill>
      <gradientFill degree="135">
        <stop position="0">
          <color theme="0"/>
        </stop>
        <stop position="1">
          <color theme="4"/>
        </stop>
      </gradientFill>
    </fill>
    <fill>
      <gradientFill degree="90">
        <stop position="0">
          <color theme="0"/>
        </stop>
        <stop position="1">
          <color theme="6" tint="-0.25098422193060094"/>
        </stop>
      </gradientFill>
    </fill>
    <fill>
      <patternFill patternType="solid">
        <fgColor rgb="FFFFFF66"/>
        <bgColor indexed="64"/>
      </patternFill>
    </fill>
    <fill>
      <patternFill patternType="solid">
        <fgColor rgb="FFFF8BFF"/>
        <bgColor indexed="64"/>
      </patternFill>
    </fill>
    <fill>
      <patternFill patternType="solid">
        <fgColor rgb="FF6DBCD1"/>
        <bgColor indexed="64"/>
      </patternFill>
    </fill>
    <fill>
      <patternFill patternType="solid">
        <fgColor rgb="FFB5CD81"/>
        <bgColor indexed="64"/>
      </patternFill>
    </fill>
    <fill>
      <patternFill patternType="solid">
        <fgColor rgb="FFC5D79D"/>
        <bgColor indexed="64"/>
      </patternFill>
    </fill>
    <fill>
      <patternFill patternType="solid">
        <fgColor rgb="FFFFC5FF"/>
        <bgColor indexed="64"/>
      </patternFill>
    </fill>
    <fill>
      <patternFill patternType="solid">
        <fgColor rgb="FFFFABFF"/>
        <bgColor indexed="64"/>
      </patternFill>
    </fill>
    <fill>
      <patternFill patternType="solid">
        <fgColor theme="1"/>
        <bgColor auto="1"/>
      </patternFill>
    </fill>
    <fill>
      <gradientFill type="path" left="0.5" right="0.5" top="0.5" bottom="0.5">
        <stop position="0">
          <color theme="0"/>
        </stop>
        <stop position="1">
          <color theme="4"/>
        </stop>
      </gradientFill>
    </fill>
    <fill>
      <patternFill patternType="solid">
        <fgColor rgb="FF143840"/>
        <bgColor indexed="64"/>
      </patternFill>
    </fill>
    <fill>
      <gradientFill type="path" left="0.5" right="0.5" top="0.5" bottom="0.5">
        <stop position="0">
          <color theme="0"/>
        </stop>
        <stop position="1">
          <color theme="6" tint="-0.25098422193060094"/>
        </stop>
      </gradientFill>
    </fill>
    <fill>
      <patternFill patternType="solid">
        <fgColor rgb="FF39471D"/>
        <bgColor indexed="64"/>
      </patternFill>
    </fill>
    <fill>
      <patternFill patternType="solid">
        <fgColor rgb="FF143840"/>
        <bgColor auto="1"/>
      </patternFill>
    </fill>
    <fill>
      <patternFill patternType="solid">
        <fgColor rgb="FFFFFF85"/>
        <bgColor indexed="64"/>
      </patternFill>
    </fill>
    <fill>
      <patternFill patternType="solid">
        <fgColor rgb="FFFFD5FF"/>
        <bgColor indexed="64"/>
      </patternFill>
    </fill>
    <fill>
      <patternFill patternType="solid">
        <fgColor rgb="FFFFA3FF"/>
        <bgColor indexed="64"/>
      </patternFill>
    </fill>
    <fill>
      <patternFill patternType="solid">
        <fgColor rgb="FFD3817F"/>
        <bgColor indexed="64"/>
      </patternFill>
    </fill>
    <fill>
      <patternFill patternType="solid">
        <fgColor rgb="FFEBC9C7"/>
        <bgColor indexed="64"/>
      </patternFill>
    </fill>
    <fill>
      <patternFill patternType="solid">
        <fgColor rgb="FFFFC9FF"/>
        <bgColor indexed="64"/>
      </patternFill>
    </fill>
    <fill>
      <patternFill patternType="solid">
        <fgColor rgb="FFFF81FF"/>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8A968"/>
        <bgColor indexed="64"/>
      </patternFill>
    </fill>
    <fill>
      <patternFill patternType="solid">
        <fgColor rgb="FFBD4441"/>
        <bgColor indexed="64"/>
      </patternFill>
    </fill>
    <fill>
      <patternFill patternType="solid">
        <fgColor rgb="FF99D0DF"/>
        <bgColor indexed="64"/>
      </patternFill>
    </fill>
    <fill>
      <patternFill patternType="solid">
        <fgColor rgb="FFFFFFA3"/>
        <bgColor indexed="64"/>
      </patternFill>
    </fill>
    <fill>
      <patternFill patternType="solid">
        <fgColor theme="0" tint="-0.249977111117893"/>
        <bgColor indexed="64"/>
      </patternFill>
    </fill>
  </fills>
  <borders count="47">
    <border>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thin">
        <color theme="0" tint="-0.34998626667073579"/>
      </top>
      <bottom/>
      <diagonal/>
    </border>
    <border>
      <left/>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bottom style="double">
        <color auto="1"/>
      </bottom>
      <diagonal/>
    </border>
    <border>
      <left/>
      <right/>
      <top/>
      <bottom style="thin">
        <color theme="0" tint="-0.34998626667073579"/>
      </bottom>
      <diagonal/>
    </border>
    <border>
      <left/>
      <right/>
      <top style="thin">
        <color auto="1"/>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double">
        <color auto="1"/>
      </left>
      <right style="double">
        <color auto="1"/>
      </right>
      <top style="double">
        <color auto="1"/>
      </top>
      <bottom style="double">
        <color auto="1"/>
      </bottom>
      <diagonal/>
    </border>
    <border>
      <left style="thin">
        <color auto="1"/>
      </left>
      <right/>
      <top/>
      <bottom style="double">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bottom/>
      <diagonal/>
    </border>
    <border>
      <left style="thin">
        <color theme="0"/>
      </left>
      <right/>
      <top style="thin">
        <color theme="0"/>
      </top>
      <bottom style="thin">
        <color auto="1"/>
      </bottom>
      <diagonal/>
    </border>
    <border>
      <left/>
      <right/>
      <top style="thin">
        <color theme="0"/>
      </top>
      <bottom style="thin">
        <color auto="1"/>
      </bottom>
      <diagonal/>
    </border>
    <border>
      <left style="thin">
        <color auto="1"/>
      </left>
      <right style="thin">
        <color auto="1"/>
      </right>
      <top/>
      <bottom/>
      <diagonal/>
    </border>
    <border>
      <left style="thin">
        <color theme="0"/>
      </left>
      <right style="thin">
        <color theme="0"/>
      </right>
      <top style="thin">
        <color theme="0"/>
      </top>
      <bottom/>
      <diagonal/>
    </border>
  </borders>
  <cellStyleXfs count="245">
    <xf numFmtId="0" fontId="0" fillId="0" borderId="0"/>
    <xf numFmtId="0" fontId="41" fillId="0" borderId="0" applyNumberFormat="0" applyFill="0" applyBorder="0" applyAlignment="0" applyProtection="0">
      <alignment vertical="top"/>
      <protection locked="0"/>
    </xf>
    <xf numFmtId="0" fontId="40" fillId="0" borderId="0"/>
    <xf numFmtId="0" fontId="42" fillId="0" borderId="0"/>
    <xf numFmtId="0" fontId="40" fillId="0" borderId="0"/>
    <xf numFmtId="0" fontId="39" fillId="0" borderId="0">
      <alignment vertical="top"/>
    </xf>
    <xf numFmtId="164" fontId="42" fillId="0" borderId="0"/>
    <xf numFmtId="165" fontId="42" fillId="0" borderId="0"/>
    <xf numFmtId="0" fontId="43" fillId="0" borderId="0"/>
    <xf numFmtId="0" fontId="44"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9" fontId="42" fillId="0" borderId="0"/>
    <xf numFmtId="9" fontId="4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0" fillId="0" borderId="0"/>
    <xf numFmtId="9" fontId="4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40"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35" fillId="0" borderId="0" applyFont="0" applyFill="0" applyBorder="0" applyAlignment="0" applyProtection="0"/>
    <xf numFmtId="0" fontId="41" fillId="0" borderId="0" applyNumberFormat="0" applyFill="0" applyBorder="0" applyAlignment="0" applyProtection="0">
      <alignment vertical="top"/>
      <protection locked="0"/>
    </xf>
  </cellStyleXfs>
  <cellXfs count="1935">
    <xf numFmtId="0" fontId="0" fillId="0" borderId="0" xfId="0"/>
    <xf numFmtId="0" fontId="0" fillId="10" borderId="0" xfId="0" applyFill="1"/>
    <xf numFmtId="0" fontId="0" fillId="6" borderId="0" xfId="0" applyFill="1"/>
    <xf numFmtId="0" fontId="0" fillId="0" borderId="7" xfId="0" applyBorder="1"/>
    <xf numFmtId="0" fontId="1" fillId="14" borderId="0" xfId="0" applyFont="1" applyFill="1" applyAlignment="1">
      <alignment horizontal="left" vertical="top"/>
    </xf>
    <xf numFmtId="0" fontId="0" fillId="14" borderId="0" xfId="0" applyFill="1"/>
    <xf numFmtId="0" fontId="1" fillId="0" borderId="0" xfId="0" applyFont="1"/>
    <xf numFmtId="0" fontId="1" fillId="0" borderId="0" xfId="0" applyFont="1" applyAlignment="1">
      <alignment vertical="top"/>
    </xf>
    <xf numFmtId="0" fontId="1" fillId="0" borderId="0" xfId="0" applyFont="1" applyAlignment="1">
      <alignment horizontal="left" vertical="top"/>
    </xf>
    <xf numFmtId="0" fontId="1" fillId="0" borderId="0" xfId="0" applyFont="1" applyAlignment="1">
      <alignment horizontal="center" vertical="top"/>
    </xf>
    <xf numFmtId="0" fontId="1" fillId="2" borderId="7" xfId="0" applyFont="1" applyFill="1" applyBorder="1" applyAlignment="1">
      <alignment horizontal="center" vertical="center"/>
    </xf>
    <xf numFmtId="0" fontId="0" fillId="6" borderId="7" xfId="0" applyFill="1" applyBorder="1"/>
    <xf numFmtId="0" fontId="0" fillId="6" borderId="12" xfId="0" applyFill="1" applyBorder="1"/>
    <xf numFmtId="0" fontId="5" fillId="2" borderId="7" xfId="0" applyFont="1" applyFill="1" applyBorder="1" applyAlignment="1">
      <alignment horizontal="center" vertical="center"/>
    </xf>
    <xf numFmtId="0" fontId="14" fillId="24" borderId="7" xfId="0" applyFont="1" applyFill="1" applyBorder="1" applyAlignment="1" applyProtection="1">
      <alignment vertical="center"/>
      <protection locked="0"/>
    </xf>
    <xf numFmtId="0" fontId="0" fillId="26"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70" fillId="6" borderId="7" xfId="0" applyFont="1" applyFill="1" applyBorder="1" applyAlignment="1">
      <alignment horizontal="center" vertical="center"/>
    </xf>
    <xf numFmtId="0" fontId="0" fillId="0" borderId="13" xfId="0" applyBorder="1" applyAlignment="1">
      <alignment horizontal="center" vertical="center" wrapText="1"/>
    </xf>
    <xf numFmtId="0" fontId="1" fillId="0" borderId="0" xfId="0" applyFont="1" applyAlignment="1">
      <alignment horizontal="center" vertical="center" wrapText="1"/>
    </xf>
    <xf numFmtId="0" fontId="69" fillId="6" borderId="7" xfId="0" applyFont="1" applyFill="1" applyBorder="1"/>
    <xf numFmtId="0" fontId="11" fillId="0" borderId="0" xfId="0" applyFont="1"/>
    <xf numFmtId="0" fontId="12" fillId="0" borderId="0" xfId="0" applyFont="1"/>
    <xf numFmtId="0" fontId="13" fillId="0" borderId="0" xfId="0" applyFont="1"/>
    <xf numFmtId="0" fontId="2" fillId="0" borderId="0" xfId="0" applyFont="1" applyAlignment="1">
      <alignment horizontal="center" vertical="center" wrapText="1"/>
    </xf>
    <xf numFmtId="0" fontId="6" fillId="6" borderId="0" xfId="0" applyFont="1" applyFill="1"/>
    <xf numFmtId="0" fontId="6" fillId="0" borderId="0" xfId="0" applyFont="1" applyAlignment="1">
      <alignment horizontal="center" vertical="center"/>
    </xf>
    <xf numFmtId="0" fontId="6" fillId="0" borderId="0" xfId="0" applyFont="1" applyAlignment="1">
      <alignment horizontal="left"/>
    </xf>
    <xf numFmtId="0" fontId="6" fillId="0" borderId="0" xfId="0" applyFont="1"/>
    <xf numFmtId="0" fontId="17" fillId="0" borderId="0" xfId="0" applyFont="1" applyAlignment="1">
      <alignment vertical="center" wrapText="1"/>
    </xf>
    <xf numFmtId="0" fontId="69" fillId="6" borderId="12" xfId="0" applyFont="1" applyFill="1" applyBorder="1"/>
    <xf numFmtId="0" fontId="17" fillId="0" borderId="0" xfId="0" applyFont="1"/>
    <xf numFmtId="0" fontId="14" fillId="0" borderId="0" xfId="0" applyFont="1" applyAlignment="1">
      <alignment horizontal="center" vertical="center"/>
    </xf>
    <xf numFmtId="0" fontId="1" fillId="0" borderId="0" xfId="0" applyFont="1" applyAlignment="1">
      <alignment vertical="center" wrapText="1"/>
    </xf>
    <xf numFmtId="0" fontId="6" fillId="28" borderId="0" xfId="0" applyFont="1" applyFill="1" applyAlignment="1">
      <alignment horizontal="center"/>
    </xf>
    <xf numFmtId="0" fontId="3" fillId="3" borderId="0" xfId="0" applyFont="1" applyFill="1" applyAlignment="1">
      <alignment horizontal="center" vertical="center"/>
    </xf>
    <xf numFmtId="0" fontId="3" fillId="6" borderId="9" xfId="0" applyFont="1" applyFill="1" applyBorder="1" applyAlignment="1">
      <alignment horizontal="center" vertical="center"/>
    </xf>
    <xf numFmtId="0" fontId="3" fillId="0" borderId="0" xfId="0" applyFont="1" applyAlignment="1">
      <alignment horizontal="center" vertical="center"/>
    </xf>
    <xf numFmtId="0" fontId="6" fillId="6" borderId="0" xfId="0" applyFont="1" applyFill="1" applyAlignment="1">
      <alignment horizontal="center"/>
    </xf>
    <xf numFmtId="0" fontId="1" fillId="6" borderId="7" xfId="0" applyFont="1" applyFill="1" applyBorder="1" applyAlignment="1">
      <alignment vertical="center" wrapText="1"/>
    </xf>
    <xf numFmtId="0" fontId="24" fillId="2" borderId="7" xfId="0" applyFont="1" applyFill="1" applyBorder="1" applyAlignment="1">
      <alignment horizontal="center"/>
    </xf>
    <xf numFmtId="0" fontId="24" fillId="3" borderId="7" xfId="0" applyFont="1" applyFill="1" applyBorder="1" applyAlignment="1">
      <alignment horizontal="center"/>
    </xf>
    <xf numFmtId="0" fontId="65" fillId="2" borderId="7" xfId="0" applyFont="1" applyFill="1" applyBorder="1" applyAlignment="1">
      <alignment horizontal="center" vertical="center"/>
    </xf>
    <xf numFmtId="0" fontId="65" fillId="3" borderId="7" xfId="0" applyFont="1" applyFill="1" applyBorder="1" applyAlignment="1">
      <alignment horizontal="center" vertical="center"/>
    </xf>
    <xf numFmtId="0" fontId="65" fillId="20" borderId="7" xfId="0" applyFont="1" applyFill="1" applyBorder="1" applyAlignment="1">
      <alignment horizontal="center" vertical="center"/>
    </xf>
    <xf numFmtId="0" fontId="65" fillId="19" borderId="7" xfId="0" applyFont="1" applyFill="1" applyBorder="1" applyAlignment="1">
      <alignment horizontal="center" vertical="center"/>
    </xf>
    <xf numFmtId="0" fontId="18" fillId="20" borderId="7" xfId="0" applyFont="1" applyFill="1" applyBorder="1" applyAlignment="1">
      <alignment horizontal="center" vertical="center"/>
    </xf>
    <xf numFmtId="0" fontId="18" fillId="19" borderId="7" xfId="0" applyFont="1" applyFill="1" applyBorder="1" applyAlignment="1">
      <alignment horizontal="center" vertical="center"/>
    </xf>
    <xf numFmtId="0" fontId="18" fillId="2" borderId="7" xfId="0" applyFont="1" applyFill="1" applyBorder="1" applyAlignment="1">
      <alignment horizontal="center" vertical="center"/>
    </xf>
    <xf numFmtId="0" fontId="18" fillId="3" borderId="7" xfId="0" applyFont="1" applyFill="1" applyBorder="1" applyAlignment="1">
      <alignment horizontal="center" vertical="center"/>
    </xf>
    <xf numFmtId="0" fontId="5" fillId="18" borderId="7" xfId="0" applyFont="1" applyFill="1" applyBorder="1" applyAlignment="1">
      <alignment horizontal="center" vertical="center"/>
    </xf>
    <xf numFmtId="0" fontId="5" fillId="16" borderId="7" xfId="0" applyFont="1" applyFill="1" applyBorder="1" applyAlignment="1">
      <alignment horizontal="center" vertical="center"/>
    </xf>
    <xf numFmtId="0" fontId="5" fillId="6" borderId="7" xfId="0" applyFont="1" applyFill="1" applyBorder="1"/>
    <xf numFmtId="0" fontId="6" fillId="15" borderId="0" xfId="0" applyFont="1" applyFill="1" applyAlignment="1">
      <alignment horizontal="center"/>
    </xf>
    <xf numFmtId="0" fontId="25" fillId="6" borderId="7" xfId="0" applyFont="1" applyFill="1" applyBorder="1"/>
    <xf numFmtId="0" fontId="25" fillId="17" borderId="7" xfId="0" applyFont="1" applyFill="1" applyBorder="1" applyAlignment="1">
      <alignment horizontal="center" vertical="center"/>
    </xf>
    <xf numFmtId="0" fontId="25" fillId="6" borderId="7" xfId="0" applyFont="1" applyFill="1" applyBorder="1" applyAlignment="1">
      <alignment horizontal="center" vertical="center"/>
    </xf>
    <xf numFmtId="0" fontId="25" fillId="17" borderId="8" xfId="0" applyFont="1" applyFill="1" applyBorder="1" applyAlignment="1">
      <alignment horizontal="center" vertical="center"/>
    </xf>
    <xf numFmtId="0" fontId="6" fillId="17" borderId="24" xfId="0" applyFont="1" applyFill="1" applyBorder="1" applyAlignment="1">
      <alignment horizontal="center" vertical="center"/>
    </xf>
    <xf numFmtId="0" fontId="25" fillId="31" borderId="7" xfId="0" applyFont="1" applyFill="1" applyBorder="1" applyAlignment="1">
      <alignment horizontal="center" vertical="center"/>
    </xf>
    <xf numFmtId="0" fontId="25" fillId="30" borderId="7" xfId="0" applyFont="1" applyFill="1" applyBorder="1" applyAlignment="1">
      <alignment horizontal="center" vertical="center"/>
    </xf>
    <xf numFmtId="0" fontId="25" fillId="30" borderId="8" xfId="0" applyFont="1" applyFill="1" applyBorder="1" applyAlignment="1">
      <alignment horizontal="center" vertical="center"/>
    </xf>
    <xf numFmtId="0" fontId="6" fillId="30" borderId="24" xfId="0" applyFont="1" applyFill="1" applyBorder="1" applyAlignment="1">
      <alignment horizontal="center" vertical="center"/>
    </xf>
    <xf numFmtId="0" fontId="25" fillId="13" borderId="7" xfId="0" applyFont="1" applyFill="1" applyBorder="1" applyAlignment="1">
      <alignment horizontal="center" vertical="center"/>
    </xf>
    <xf numFmtId="0" fontId="25" fillId="32" borderId="7" xfId="0" applyFont="1" applyFill="1" applyBorder="1" applyAlignment="1">
      <alignment horizontal="center" vertical="center"/>
    </xf>
    <xf numFmtId="0" fontId="25" fillId="32" borderId="8" xfId="0" applyFont="1" applyFill="1" applyBorder="1" applyAlignment="1">
      <alignment horizontal="center" vertical="center"/>
    </xf>
    <xf numFmtId="0" fontId="6" fillId="32" borderId="24" xfId="0" applyFont="1" applyFill="1" applyBorder="1" applyAlignment="1">
      <alignment horizontal="center" vertical="center"/>
    </xf>
    <xf numFmtId="0" fontId="25" fillId="34" borderId="7" xfId="0" applyFont="1" applyFill="1" applyBorder="1" applyAlignment="1">
      <alignment horizontal="center" vertical="center"/>
    </xf>
    <xf numFmtId="0" fontId="25" fillId="33" borderId="7" xfId="0" applyFont="1" applyFill="1" applyBorder="1" applyAlignment="1">
      <alignment horizontal="center" vertical="center"/>
    </xf>
    <xf numFmtId="0" fontId="25" fillId="33" borderId="8" xfId="0" applyFont="1" applyFill="1" applyBorder="1" applyAlignment="1">
      <alignment horizontal="center" vertical="center"/>
    </xf>
    <xf numFmtId="0" fontId="6" fillId="33" borderId="24" xfId="0" applyFont="1" applyFill="1" applyBorder="1" applyAlignment="1">
      <alignment horizontal="center" vertical="center"/>
    </xf>
    <xf numFmtId="0" fontId="25" fillId="12" borderId="7" xfId="0" applyFont="1" applyFill="1" applyBorder="1" applyAlignment="1">
      <alignment horizontal="center" vertical="center"/>
    </xf>
    <xf numFmtId="0" fontId="25" fillId="35" borderId="7" xfId="0" applyFont="1" applyFill="1" applyBorder="1" applyAlignment="1">
      <alignment horizontal="center" vertical="center"/>
    </xf>
    <xf numFmtId="0" fontId="25" fillId="35" borderId="8" xfId="0" applyFont="1" applyFill="1" applyBorder="1" applyAlignment="1">
      <alignment horizontal="center" vertical="center"/>
    </xf>
    <xf numFmtId="0" fontId="6" fillId="35" borderId="24" xfId="0" applyFont="1" applyFill="1" applyBorder="1" applyAlignment="1">
      <alignment horizontal="center" vertical="center"/>
    </xf>
    <xf numFmtId="0" fontId="25" fillId="11" borderId="7" xfId="0" applyFont="1" applyFill="1" applyBorder="1" applyAlignment="1">
      <alignment horizontal="center" vertical="center"/>
    </xf>
    <xf numFmtId="0" fontId="25" fillId="16" borderId="7" xfId="0" applyFont="1" applyFill="1" applyBorder="1" applyAlignment="1">
      <alignment horizontal="center" vertical="center"/>
    </xf>
    <xf numFmtId="0" fontId="25" fillId="16" borderId="8" xfId="0" applyFont="1" applyFill="1" applyBorder="1" applyAlignment="1">
      <alignment horizontal="center" vertical="center"/>
    </xf>
    <xf numFmtId="0" fontId="6" fillId="16" borderId="24" xfId="0" applyFont="1" applyFill="1" applyBorder="1" applyAlignment="1">
      <alignment horizontal="center" vertical="center"/>
    </xf>
    <xf numFmtId="0" fontId="25" fillId="37" borderId="7" xfId="0" applyFont="1" applyFill="1" applyBorder="1" applyAlignment="1">
      <alignment horizontal="center" vertical="center"/>
    </xf>
    <xf numFmtId="0" fontId="25" fillId="36" borderId="7" xfId="0" applyFont="1" applyFill="1" applyBorder="1" applyAlignment="1">
      <alignment horizontal="center" vertical="center"/>
    </xf>
    <xf numFmtId="0" fontId="25" fillId="36" borderId="8" xfId="0" applyFont="1" applyFill="1" applyBorder="1" applyAlignment="1">
      <alignment horizontal="center" vertical="center"/>
    </xf>
    <xf numFmtId="0" fontId="6" fillId="36" borderId="24" xfId="0" applyFont="1" applyFill="1" applyBorder="1" applyAlignment="1">
      <alignment horizontal="center" vertical="center"/>
    </xf>
    <xf numFmtId="0" fontId="3" fillId="6" borderId="1" xfId="0" applyFont="1" applyFill="1" applyBorder="1" applyAlignment="1">
      <alignment horizontal="center" vertical="center" wrapText="1"/>
    </xf>
    <xf numFmtId="0" fontId="25" fillId="6" borderId="0" xfId="0" applyFont="1" applyFill="1" applyAlignment="1">
      <alignment horizontal="center" vertical="center"/>
    </xf>
    <xf numFmtId="0" fontId="3" fillId="6" borderId="0" xfId="0" applyFont="1" applyFill="1"/>
    <xf numFmtId="0" fontId="68" fillId="6" borderId="0" xfId="0" applyFont="1" applyFill="1" applyAlignment="1">
      <alignment horizontal="left" vertical="center" wrapText="1"/>
    </xf>
    <xf numFmtId="0" fontId="6" fillId="6" borderId="0" xfId="0" applyFont="1" applyFill="1" applyAlignment="1">
      <alignment horizontal="center" vertical="center"/>
    </xf>
    <xf numFmtId="0" fontId="18" fillId="6" borderId="7" xfId="0" applyFont="1" applyFill="1" applyBorder="1" applyAlignment="1">
      <alignment horizontal="center" vertical="center"/>
    </xf>
    <xf numFmtId="0" fontId="18" fillId="4" borderId="7" xfId="0" applyFont="1" applyFill="1" applyBorder="1" applyAlignment="1">
      <alignment horizontal="center" vertical="center"/>
    </xf>
    <xf numFmtId="0" fontId="0" fillId="4" borderId="7" xfId="0" applyFill="1" applyBorder="1"/>
    <xf numFmtId="0" fontId="1" fillId="28" borderId="0" xfId="0" applyFont="1" applyFill="1" applyAlignment="1">
      <alignment vertical="center" wrapText="1"/>
    </xf>
    <xf numFmtId="0" fontId="0" fillId="28" borderId="0" xfId="0" applyFill="1" applyAlignment="1">
      <alignment horizontal="center"/>
    </xf>
    <xf numFmtId="0" fontId="6" fillId="28" borderId="7" xfId="0" applyFont="1" applyFill="1" applyBorder="1" applyAlignment="1">
      <alignment horizontal="center" vertical="center"/>
    </xf>
    <xf numFmtId="0" fontId="0" fillId="6" borderId="7" xfId="0" applyFill="1" applyBorder="1" applyAlignment="1">
      <alignment horizontal="center" vertical="center"/>
    </xf>
    <xf numFmtId="0" fontId="6" fillId="29" borderId="0" xfId="0" applyFont="1" applyFill="1"/>
    <xf numFmtId="0" fontId="18" fillId="9" borderId="7" xfId="0" applyFont="1" applyFill="1" applyBorder="1" applyAlignment="1">
      <alignment horizontal="center" vertical="center"/>
    </xf>
    <xf numFmtId="0" fontId="18" fillId="9" borderId="7" xfId="0" applyFont="1" applyFill="1" applyBorder="1"/>
    <xf numFmtId="0" fontId="18" fillId="0" borderId="0" xfId="0" applyFont="1"/>
    <xf numFmtId="0" fontId="18" fillId="38" borderId="7" xfId="0" applyFont="1" applyFill="1" applyBorder="1" applyAlignment="1">
      <alignment horizontal="center" vertical="center"/>
    </xf>
    <xf numFmtId="0" fontId="18" fillId="38" borderId="7" xfId="0" applyFont="1" applyFill="1" applyBorder="1"/>
    <xf numFmtId="0" fontId="1" fillId="39" borderId="0" xfId="0" applyFont="1" applyFill="1" applyAlignment="1">
      <alignment vertical="center" wrapText="1"/>
    </xf>
    <xf numFmtId="0" fontId="0" fillId="39" borderId="0" xfId="0" applyFill="1" applyAlignment="1">
      <alignment horizontal="center"/>
    </xf>
    <xf numFmtId="0" fontId="6" fillId="39" borderId="7" xfId="0" applyFont="1" applyFill="1" applyBorder="1" applyAlignment="1">
      <alignment horizontal="center" vertical="center"/>
    </xf>
    <xf numFmtId="0" fontId="6" fillId="32" borderId="0" xfId="0" applyFont="1" applyFill="1"/>
    <xf numFmtId="0" fontId="0" fillId="0" borderId="0" xfId="0" applyAlignment="1">
      <alignment horizontal="center"/>
    </xf>
    <xf numFmtId="0" fontId="6" fillId="0" borderId="0" xfId="0" applyFont="1" applyAlignment="1">
      <alignment vertical="center" wrapText="1"/>
    </xf>
    <xf numFmtId="0" fontId="23" fillId="0" borderId="0" xfId="0" applyFont="1" applyAlignment="1">
      <alignment horizontal="center"/>
    </xf>
    <xf numFmtId="0" fontId="11" fillId="18" borderId="7" xfId="0" applyFont="1" applyFill="1" applyBorder="1" applyAlignment="1">
      <alignment horizontal="center" vertical="center"/>
    </xf>
    <xf numFmtId="0" fontId="6" fillId="0" borderId="0" xfId="0" applyFont="1" applyAlignment="1">
      <alignment horizontal="center"/>
    </xf>
    <xf numFmtId="0" fontId="18" fillId="17" borderId="7" xfId="0" applyFont="1" applyFill="1" applyBorder="1" applyAlignment="1">
      <alignment horizontal="center" vertical="center"/>
    </xf>
    <xf numFmtId="0" fontId="18" fillId="30"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24" fillId="3" borderId="11" xfId="0" applyFont="1" applyFill="1" applyBorder="1" applyAlignment="1">
      <alignment horizontal="center"/>
    </xf>
    <xf numFmtId="0" fontId="53" fillId="0" borderId="0" xfId="0" applyFont="1" applyAlignment="1" applyProtection="1">
      <alignment vertical="center"/>
      <protection locked="0"/>
    </xf>
    <xf numFmtId="0" fontId="0" fillId="11" borderId="7" xfId="0" applyFill="1" applyBorder="1" applyProtection="1">
      <protection locked="0"/>
    </xf>
    <xf numFmtId="0" fontId="0" fillId="43" borderId="0" xfId="0" applyFill="1"/>
    <xf numFmtId="0" fontId="6" fillId="6" borderId="7" xfId="0" applyFont="1" applyFill="1" applyBorder="1"/>
    <xf numFmtId="0" fontId="25" fillId="0" borderId="0" xfId="0" applyFont="1" applyAlignment="1">
      <alignment horizontal="center" vertical="center"/>
    </xf>
    <xf numFmtId="0" fontId="11" fillId="21" borderId="5" xfId="0" applyFont="1" applyFill="1" applyBorder="1" applyAlignment="1">
      <alignment horizontal="center" vertical="center"/>
    </xf>
    <xf numFmtId="0" fontId="11" fillId="21" borderId="6" xfId="0" applyFont="1" applyFill="1" applyBorder="1" applyAlignment="1">
      <alignment horizontal="center" vertical="center"/>
    </xf>
    <xf numFmtId="0" fontId="0" fillId="2" borderId="7" xfId="0" applyFill="1" applyBorder="1"/>
    <xf numFmtId="0" fontId="10" fillId="0" borderId="0" xfId="0" applyFont="1" applyAlignment="1">
      <alignment horizontal="center" vertical="center" wrapText="1"/>
    </xf>
    <xf numFmtId="0" fontId="6" fillId="36" borderId="0" xfId="0" applyFont="1" applyFill="1" applyAlignment="1">
      <alignment horizontal="center" vertical="center"/>
    </xf>
    <xf numFmtId="0" fontId="18" fillId="45" borderId="7" xfId="0" applyFont="1" applyFill="1" applyBorder="1" applyAlignment="1">
      <alignment horizontal="center" vertical="center"/>
    </xf>
    <xf numFmtId="0" fontId="0" fillId="45" borderId="7" xfId="0" applyFill="1" applyBorder="1"/>
    <xf numFmtId="0" fontId="3" fillId="46" borderId="0" xfId="0" applyFont="1" applyFill="1"/>
    <xf numFmtId="0" fontId="6" fillId="46" borderId="0" xfId="0" applyFont="1" applyFill="1" applyAlignment="1">
      <alignment horizontal="center" vertical="center"/>
    </xf>
    <xf numFmtId="0" fontId="3" fillId="46" borderId="9" xfId="0" applyFont="1" applyFill="1" applyBorder="1" applyAlignment="1">
      <alignment horizontal="center" vertical="center"/>
    </xf>
    <xf numFmtId="0" fontId="18" fillId="47" borderId="7" xfId="0" applyFont="1" applyFill="1" applyBorder="1" applyAlignment="1">
      <alignment horizontal="center" vertical="center"/>
    </xf>
    <xf numFmtId="0" fontId="0" fillId="47" borderId="7" xfId="0" applyFill="1" applyBorder="1"/>
    <xf numFmtId="0" fontId="24" fillId="47" borderId="7" xfId="0" applyFont="1" applyFill="1" applyBorder="1" applyAlignment="1">
      <alignment horizontal="center"/>
    </xf>
    <xf numFmtId="0" fontId="24" fillId="45" borderId="7" xfId="0" applyFont="1" applyFill="1" applyBorder="1" applyAlignment="1">
      <alignment horizontal="center"/>
    </xf>
    <xf numFmtId="0" fontId="0" fillId="46" borderId="0" xfId="0" applyFill="1"/>
    <xf numFmtId="0" fontId="3" fillId="29" borderId="0" xfId="0" applyFont="1" applyFill="1" applyAlignment="1">
      <alignment horizontal="center" vertical="center"/>
    </xf>
    <xf numFmtId="0" fontId="0" fillId="29" borderId="0" xfId="0" applyFill="1"/>
    <xf numFmtId="0" fontId="24" fillId="8" borderId="7" xfId="0" applyFont="1" applyFill="1" applyBorder="1" applyAlignment="1">
      <alignment horizontal="center"/>
    </xf>
    <xf numFmtId="0" fontId="18" fillId="8" borderId="7" xfId="0" applyFont="1" applyFill="1" applyBorder="1" applyAlignment="1">
      <alignment horizontal="center" vertical="center"/>
    </xf>
    <xf numFmtId="0" fontId="0" fillId="8" borderId="7" xfId="0" applyFill="1" applyBorder="1"/>
    <xf numFmtId="0" fontId="18" fillId="48" borderId="7" xfId="0" applyFont="1" applyFill="1" applyBorder="1" applyAlignment="1">
      <alignment horizontal="center" vertical="center"/>
    </xf>
    <xf numFmtId="0" fontId="0" fillId="48" borderId="7" xfId="0" applyFill="1" applyBorder="1"/>
    <xf numFmtId="0" fontId="24" fillId="48" borderId="7" xfId="0" applyFont="1" applyFill="1" applyBorder="1" applyAlignment="1">
      <alignment horizontal="center"/>
    </xf>
    <xf numFmtId="0" fontId="65" fillId="48" borderId="7" xfId="0" applyFont="1" applyFill="1" applyBorder="1" applyAlignment="1">
      <alignment horizontal="center" vertical="center"/>
    </xf>
    <xf numFmtId="0" fontId="65" fillId="8" borderId="7" xfId="0" applyFont="1" applyFill="1" applyBorder="1" applyAlignment="1">
      <alignment horizontal="center" vertical="center"/>
    </xf>
    <xf numFmtId="0" fontId="24" fillId="12" borderId="7" xfId="0" applyFont="1" applyFill="1" applyBorder="1" applyAlignment="1">
      <alignment horizontal="center"/>
    </xf>
    <xf numFmtId="0" fontId="65" fillId="12" borderId="7" xfId="0" applyFont="1" applyFill="1" applyBorder="1" applyAlignment="1">
      <alignment horizontal="center" vertical="center"/>
    </xf>
    <xf numFmtId="0" fontId="18" fillId="12" borderId="7" xfId="0" applyFont="1" applyFill="1" applyBorder="1" applyAlignment="1">
      <alignment horizontal="center" vertical="center"/>
    </xf>
    <xf numFmtId="0" fontId="18" fillId="2" borderId="7" xfId="0" applyFont="1" applyFill="1" applyBorder="1" applyAlignment="1">
      <alignment horizontal="center"/>
    </xf>
    <xf numFmtId="0" fontId="18" fillId="8" borderId="7" xfId="0" applyFont="1" applyFill="1" applyBorder="1" applyAlignment="1">
      <alignment horizontal="center"/>
    </xf>
    <xf numFmtId="0" fontId="18" fillId="4" borderId="7" xfId="0" applyFont="1" applyFill="1" applyBorder="1" applyAlignment="1">
      <alignment horizontal="center"/>
    </xf>
    <xf numFmtId="0" fontId="18" fillId="12" borderId="7" xfId="0" applyFont="1" applyFill="1" applyBorder="1" applyAlignment="1">
      <alignment horizontal="center"/>
    </xf>
    <xf numFmtId="0" fontId="18" fillId="41" borderId="7" xfId="0" applyFont="1" applyFill="1" applyBorder="1" applyAlignment="1">
      <alignment horizontal="center" vertical="center"/>
    </xf>
    <xf numFmtId="0" fontId="25" fillId="41" borderId="7" xfId="0" applyFont="1" applyFill="1" applyBorder="1" applyAlignment="1">
      <alignment horizontal="center" vertical="center"/>
    </xf>
    <xf numFmtId="0" fontId="25" fillId="41" borderId="8" xfId="0" applyFont="1" applyFill="1" applyBorder="1" applyAlignment="1">
      <alignment horizontal="center" vertical="center"/>
    </xf>
    <xf numFmtId="0" fontId="6" fillId="41" borderId="24" xfId="0" applyFont="1" applyFill="1" applyBorder="1" applyAlignment="1">
      <alignment horizontal="center" vertical="center"/>
    </xf>
    <xf numFmtId="0" fontId="6" fillId="46" borderId="0" xfId="0" applyFont="1" applyFill="1" applyAlignment="1">
      <alignment horizontal="center"/>
    </xf>
    <xf numFmtId="0" fontId="83" fillId="6" borderId="0" xfId="0" applyFont="1" applyFill="1"/>
    <xf numFmtId="0" fontId="84" fillId="6" borderId="0" xfId="0" applyFont="1" applyFill="1" applyAlignment="1">
      <alignment horizontal="center" vertical="center" wrapText="1"/>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24" fillId="12" borderId="7" xfId="0" applyFont="1" applyFill="1" applyBorder="1" applyAlignment="1">
      <alignment horizontal="center" vertical="center"/>
    </xf>
    <xf numFmtId="0" fontId="0" fillId="12" borderId="7" xfId="0" applyFill="1" applyBorder="1" applyAlignment="1">
      <alignment horizontal="center" vertical="center"/>
    </xf>
    <xf numFmtId="0" fontId="24" fillId="8" borderId="7" xfId="0" applyFont="1" applyFill="1" applyBorder="1" applyAlignment="1">
      <alignment horizontal="center" vertical="center"/>
    </xf>
    <xf numFmtId="0" fontId="0" fillId="8" borderId="7" xfId="0" applyFill="1" applyBorder="1" applyAlignment="1">
      <alignment horizontal="center" vertical="center"/>
    </xf>
    <xf numFmtId="0" fontId="24" fillId="48" borderId="7" xfId="0" applyFont="1" applyFill="1" applyBorder="1" applyAlignment="1">
      <alignment horizontal="center" vertical="center"/>
    </xf>
    <xf numFmtId="0" fontId="0" fillId="48" borderId="7" xfId="0" applyFill="1" applyBorder="1" applyAlignment="1">
      <alignment horizontal="center" vertical="center"/>
    </xf>
    <xf numFmtId="0" fontId="5" fillId="8" borderId="7" xfId="0" applyFont="1" applyFill="1" applyBorder="1" applyAlignment="1">
      <alignment horizontal="center" vertical="center"/>
    </xf>
    <xf numFmtId="0" fontId="5" fillId="48" borderId="7" xfId="0" applyFont="1" applyFill="1" applyBorder="1" applyAlignment="1">
      <alignment horizontal="center" vertical="center"/>
    </xf>
    <xf numFmtId="0" fontId="6" fillId="6" borderId="7" xfId="0" applyFont="1" applyFill="1" applyBorder="1" applyAlignment="1">
      <alignment horizontal="center"/>
    </xf>
    <xf numFmtId="0" fontId="18" fillId="3" borderId="7" xfId="0" applyFont="1" applyFill="1" applyBorder="1" applyAlignment="1">
      <alignment horizontal="center"/>
    </xf>
    <xf numFmtId="0" fontId="6" fillId="49" borderId="0" xfId="0" applyFont="1" applyFill="1" applyAlignment="1">
      <alignment horizontal="center"/>
    </xf>
    <xf numFmtId="0" fontId="18" fillId="48" borderId="7" xfId="0" applyFont="1" applyFill="1" applyBorder="1" applyAlignment="1">
      <alignment horizontal="center"/>
    </xf>
    <xf numFmtId="0" fontId="25" fillId="6" borderId="8" xfId="0" applyFont="1" applyFill="1" applyBorder="1" applyAlignment="1">
      <alignment horizontal="center" vertical="center"/>
    </xf>
    <xf numFmtId="0" fontId="5" fillId="6" borderId="7" xfId="0" applyFont="1" applyFill="1" applyBorder="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28" fillId="0" borderId="0" xfId="0" applyFont="1" applyAlignment="1">
      <alignment horizontal="center" vertical="center"/>
    </xf>
    <xf numFmtId="0" fontId="37" fillId="0" borderId="0" xfId="0" applyFont="1"/>
    <xf numFmtId="0" fontId="69" fillId="0" borderId="0" xfId="0" applyFont="1"/>
    <xf numFmtId="0" fontId="0" fillId="16" borderId="0" xfId="0" applyFill="1"/>
    <xf numFmtId="0" fontId="0" fillId="17" borderId="7" xfId="0" applyFill="1" applyBorder="1"/>
    <xf numFmtId="0" fontId="0" fillId="17" borderId="0" xfId="0" applyFill="1"/>
    <xf numFmtId="0" fontId="0" fillId="41" borderId="7" xfId="0" applyFill="1" applyBorder="1"/>
    <xf numFmtId="0" fontId="0" fillId="41" borderId="0" xfId="0" applyFill="1"/>
    <xf numFmtId="0" fontId="0" fillId="30" borderId="7" xfId="0" applyFill="1" applyBorder="1"/>
    <xf numFmtId="0" fontId="0" fillId="30" borderId="0" xfId="0" applyFill="1"/>
    <xf numFmtId="0" fontId="74" fillId="0" borderId="0" xfId="0" applyFont="1"/>
    <xf numFmtId="0" fontId="52" fillId="0" borderId="0" xfId="0" applyFont="1" applyAlignment="1">
      <alignment vertical="center" wrapText="1"/>
    </xf>
    <xf numFmtId="0" fontId="33" fillId="13" borderId="7" xfId="0" applyFont="1" applyFill="1" applyBorder="1" applyAlignment="1">
      <alignment horizontal="center" vertical="center" wrapText="1"/>
    </xf>
    <xf numFmtId="0" fontId="20" fillId="13" borderId="7" xfId="0" applyFont="1" applyFill="1" applyBorder="1" applyAlignment="1" applyProtection="1">
      <alignment horizontal="center" vertical="center" wrapText="1"/>
      <protection locked="0"/>
    </xf>
    <xf numFmtId="0" fontId="32" fillId="38" borderId="7" xfId="0" applyFont="1" applyFill="1" applyBorder="1" applyAlignment="1">
      <alignment horizontal="center" vertical="center" textRotation="90" wrapText="1"/>
    </xf>
    <xf numFmtId="0" fontId="29" fillId="38" borderId="7" xfId="0" applyFont="1" applyFill="1" applyBorder="1" applyAlignment="1" applyProtection="1">
      <alignment horizontal="center" vertical="center" textRotation="90" wrapText="1"/>
      <protection locked="0"/>
    </xf>
    <xf numFmtId="0" fontId="17" fillId="13" borderId="7" xfId="0" applyFont="1" applyFill="1" applyBorder="1" applyAlignment="1">
      <alignment horizontal="center" vertical="center" wrapText="1"/>
    </xf>
    <xf numFmtId="0" fontId="0" fillId="4" borderId="0" xfId="0" applyFill="1"/>
    <xf numFmtId="0" fontId="0" fillId="4" borderId="7" xfId="0" applyFill="1" applyBorder="1" applyAlignment="1">
      <alignment horizontal="center" vertical="center"/>
    </xf>
    <xf numFmtId="0" fontId="20" fillId="2" borderId="7" xfId="0" applyFont="1" applyFill="1" applyBorder="1" applyAlignment="1">
      <alignment horizontal="center" vertical="center"/>
    </xf>
    <xf numFmtId="0" fontId="1" fillId="2" borderId="0" xfId="0" applyFont="1" applyFill="1" applyAlignment="1">
      <alignment vertical="center"/>
    </xf>
    <xf numFmtId="0" fontId="102" fillId="0" borderId="0" xfId="0" applyFont="1" applyAlignment="1">
      <alignment horizontal="center" vertical="center"/>
    </xf>
    <xf numFmtId="0" fontId="88" fillId="6" borderId="8" xfId="0" applyFont="1" applyFill="1" applyBorder="1" applyAlignment="1">
      <alignment horizontal="right"/>
    </xf>
    <xf numFmtId="0" fontId="88" fillId="6" borderId="9" xfId="0" applyFont="1" applyFill="1" applyBorder="1" applyAlignment="1">
      <alignment horizontal="right"/>
    </xf>
    <xf numFmtId="0" fontId="88" fillId="6" borderId="10" xfId="0" applyFont="1" applyFill="1" applyBorder="1" applyAlignment="1">
      <alignment horizontal="right"/>
    </xf>
    <xf numFmtId="0" fontId="88" fillId="6" borderId="7" xfId="0" applyFont="1" applyFill="1" applyBorder="1" applyAlignment="1">
      <alignment horizontal="center"/>
    </xf>
    <xf numFmtId="0" fontId="89" fillId="6" borderId="7" xfId="0" applyFont="1" applyFill="1" applyBorder="1" applyAlignment="1">
      <alignment horizontal="right"/>
    </xf>
    <xf numFmtId="0" fontId="89" fillId="6" borderId="7" xfId="0" applyFont="1" applyFill="1" applyBorder="1" applyAlignment="1">
      <alignment horizontal="center"/>
    </xf>
    <xf numFmtId="0" fontId="0" fillId="28" borderId="8" xfId="0" applyFill="1" applyBorder="1"/>
    <xf numFmtId="0" fontId="0" fillId="28" borderId="9" xfId="0" applyFill="1" applyBorder="1"/>
    <xf numFmtId="0" fontId="0" fillId="28" borderId="10" xfId="0" applyFill="1" applyBorder="1"/>
    <xf numFmtId="0" fontId="0" fillId="3" borderId="8" xfId="0" applyFill="1" applyBorder="1"/>
    <xf numFmtId="0" fontId="0" fillId="3" borderId="9" xfId="0" applyFill="1" applyBorder="1"/>
    <xf numFmtId="0" fontId="0" fillId="3" borderId="10" xfId="0" applyFill="1" applyBorder="1"/>
    <xf numFmtId="0" fontId="20" fillId="56" borderId="7" xfId="0" applyFont="1" applyFill="1" applyBorder="1" applyAlignment="1" applyProtection="1">
      <alignment horizontal="center" vertical="center" wrapText="1"/>
      <protection locked="0"/>
    </xf>
    <xf numFmtId="0" fontId="29" fillId="57" borderId="7" xfId="0" applyFont="1" applyFill="1" applyBorder="1" applyAlignment="1" applyProtection="1">
      <alignment horizontal="center" vertical="center" textRotation="90" wrapText="1"/>
      <protection locked="0"/>
    </xf>
    <xf numFmtId="0" fontId="7" fillId="24" borderId="7" xfId="0" applyFont="1" applyFill="1" applyBorder="1" applyAlignment="1">
      <alignment vertical="center" textRotation="90" wrapText="1"/>
    </xf>
    <xf numFmtId="0" fontId="56" fillId="24" borderId="12" xfId="0" applyFont="1" applyFill="1" applyBorder="1" applyAlignment="1">
      <alignment vertical="center" textRotation="90" wrapText="1"/>
    </xf>
    <xf numFmtId="0" fontId="14" fillId="58" borderId="7" xfId="0" applyFont="1" applyFill="1" applyBorder="1" applyAlignment="1" applyProtection="1">
      <alignment vertical="center"/>
      <protection locked="0"/>
    </xf>
    <xf numFmtId="0" fontId="15" fillId="0" borderId="0" xfId="0" applyFont="1" applyAlignment="1">
      <alignment horizontal="center" vertical="center"/>
    </xf>
    <xf numFmtId="0" fontId="25" fillId="0" borderId="0" xfId="0" applyFont="1" applyAlignment="1">
      <alignment horizontal="left" vertical="center" wrapText="1"/>
    </xf>
    <xf numFmtId="0" fontId="25" fillId="0" borderId="0" xfId="0" applyFont="1"/>
    <xf numFmtId="0" fontId="25" fillId="0" borderId="0" xfId="0" applyFont="1" applyAlignment="1">
      <alignment vertical="top"/>
    </xf>
    <xf numFmtId="0" fontId="66" fillId="0" borderId="0" xfId="0" applyFont="1" applyAlignment="1">
      <alignment vertical="top"/>
    </xf>
    <xf numFmtId="0" fontId="105" fillId="10" borderId="0" xfId="0" applyFont="1" applyFill="1"/>
    <xf numFmtId="0" fontId="9" fillId="10" borderId="0" xfId="0" applyFont="1" applyFill="1"/>
    <xf numFmtId="0" fontId="0" fillId="11" borderId="0" xfId="0" applyFill="1"/>
    <xf numFmtId="0" fontId="0" fillId="11" borderId="20" xfId="0" applyFill="1" applyBorder="1"/>
    <xf numFmtId="0" fontId="104" fillId="6" borderId="0" xfId="0" applyFont="1" applyFill="1" applyAlignment="1">
      <alignment horizontal="center" vertical="center"/>
    </xf>
    <xf numFmtId="0" fontId="27" fillId="6" borderId="10" xfId="0" applyFont="1" applyFill="1" applyBorder="1" applyAlignment="1">
      <alignment vertical="center" wrapText="1"/>
    </xf>
    <xf numFmtId="0" fontId="107" fillId="62" borderId="9" xfId="0" applyFont="1" applyFill="1" applyBorder="1" applyAlignment="1">
      <alignment horizontal="right"/>
    </xf>
    <xf numFmtId="0" fontId="0" fillId="2" borderId="7" xfId="0" applyFill="1" applyBorder="1" applyAlignment="1">
      <alignment horizontal="center" vertical="center"/>
    </xf>
    <xf numFmtId="0" fontId="4" fillId="0" borderId="0" xfId="0" applyFont="1"/>
    <xf numFmtId="0" fontId="104" fillId="0" borderId="0" xfId="0" applyFont="1" applyAlignment="1">
      <alignment horizontal="center" vertical="center"/>
    </xf>
    <xf numFmtId="0" fontId="25" fillId="6" borderId="0" xfId="0" applyFont="1" applyFill="1" applyAlignment="1">
      <alignment horizontal="left" vertical="center" wrapText="1"/>
    </xf>
    <xf numFmtId="0" fontId="25" fillId="6" borderId="13" xfId="0" applyFont="1" applyFill="1" applyBorder="1" applyAlignment="1">
      <alignment horizontal="center" vertical="center" wrapText="1"/>
    </xf>
    <xf numFmtId="0" fontId="25" fillId="6" borderId="0" xfId="0" applyFont="1" applyFill="1" applyAlignment="1">
      <alignment horizontal="center" vertical="center" wrapText="1"/>
    </xf>
    <xf numFmtId="0" fontId="25" fillId="6" borderId="1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107" fillId="0" borderId="0" xfId="0" applyFont="1" applyAlignment="1">
      <alignment horizontal="right"/>
    </xf>
    <xf numFmtId="0" fontId="107" fillId="0" borderId="0" xfId="0" applyFont="1" applyAlignment="1">
      <alignment horizontal="center"/>
    </xf>
    <xf numFmtId="0" fontId="108" fillId="0" borderId="0" xfId="0" applyFont="1" applyAlignment="1">
      <alignment horizontal="right"/>
    </xf>
    <xf numFmtId="0" fontId="108" fillId="0" borderId="0" xfId="0" applyFont="1" applyAlignment="1">
      <alignment horizontal="center"/>
    </xf>
    <xf numFmtId="0" fontId="0" fillId="0" borderId="0" xfId="0" applyAlignment="1">
      <alignment vertical="center" wrapText="1"/>
    </xf>
    <xf numFmtId="0" fontId="0" fillId="6" borderId="10" xfId="0" applyFill="1" applyBorder="1" applyAlignment="1">
      <alignment horizontal="center" vertical="center"/>
    </xf>
    <xf numFmtId="0" fontId="23" fillId="0" borderId="0" xfId="0" applyFont="1" applyAlignment="1">
      <alignment horizontal="center" vertical="center"/>
    </xf>
    <xf numFmtId="0" fontId="1" fillId="0" borderId="0" xfId="0" applyFont="1" applyAlignment="1">
      <alignment horizontal="center" vertical="center"/>
    </xf>
    <xf numFmtId="0" fontId="52" fillId="0" borderId="0" xfId="0" applyFont="1"/>
    <xf numFmtId="0" fontId="112" fillId="0" borderId="0" xfId="0" applyFont="1" applyAlignment="1">
      <alignment vertical="center" wrapText="1"/>
    </xf>
    <xf numFmtId="0" fontId="112" fillId="0" borderId="0" xfId="0" applyFont="1" applyAlignment="1">
      <alignment horizontal="right" vertical="center"/>
    </xf>
    <xf numFmtId="0" fontId="105" fillId="0" borderId="0" xfId="0" applyFont="1" applyAlignment="1">
      <alignment horizontal="center" vertical="center"/>
    </xf>
    <xf numFmtId="0" fontId="1" fillId="2" borderId="12" xfId="0" applyFont="1" applyFill="1" applyBorder="1" applyAlignment="1" applyProtection="1">
      <alignment vertical="center" textRotation="90" wrapText="1"/>
      <protection locked="0"/>
    </xf>
    <xf numFmtId="0" fontId="1" fillId="3" borderId="12" xfId="0" applyFont="1" applyFill="1" applyBorder="1" applyAlignment="1" applyProtection="1">
      <alignment vertical="center" textRotation="90" wrapText="1"/>
      <protection locked="0"/>
    </xf>
    <xf numFmtId="0" fontId="0" fillId="6" borderId="0" xfId="0" applyFill="1" applyAlignment="1">
      <alignment horizontal="center" vertical="center" wrapText="1"/>
    </xf>
    <xf numFmtId="0" fontId="1" fillId="6" borderId="10" xfId="0" applyFont="1" applyFill="1" applyBorder="1" applyAlignment="1">
      <alignment horizontal="left" vertical="center" wrapText="1"/>
    </xf>
    <xf numFmtId="0" fontId="27" fillId="6" borderId="7" xfId="0" applyFont="1" applyFill="1" applyBorder="1" applyAlignment="1">
      <alignment vertical="center" wrapText="1"/>
    </xf>
    <xf numFmtId="0" fontId="1" fillId="6" borderId="10" xfId="0" applyFont="1" applyFill="1" applyBorder="1" applyAlignment="1" applyProtection="1">
      <alignment vertical="center" wrapText="1"/>
      <protection locked="0"/>
    </xf>
    <xf numFmtId="0" fontId="84" fillId="6" borderId="5" xfId="0" applyFont="1" applyFill="1" applyBorder="1" applyAlignment="1">
      <alignment horizontal="center" vertical="center"/>
    </xf>
    <xf numFmtId="0" fontId="0" fillId="3" borderId="0" xfId="0" applyFill="1"/>
    <xf numFmtId="0" fontId="25"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50" fillId="3" borderId="0" xfId="0" applyFont="1" applyFill="1" applyAlignment="1">
      <alignment horizontal="center" vertical="center" wrapText="1"/>
    </xf>
    <xf numFmtId="0" fontId="52" fillId="22" borderId="28" xfId="0" applyFont="1" applyFill="1" applyBorder="1"/>
    <xf numFmtId="0" fontId="0" fillId="6" borderId="0" xfId="0" applyFill="1" applyAlignment="1">
      <alignment vertical="center"/>
    </xf>
    <xf numFmtId="0" fontId="0" fillId="6" borderId="0" xfId="0" applyFill="1" applyAlignment="1">
      <alignment horizontal="left" vertical="top"/>
    </xf>
    <xf numFmtId="0" fontId="0" fillId="6" borderId="0" xfId="0" applyFill="1" applyAlignment="1">
      <alignment horizontal="left"/>
    </xf>
    <xf numFmtId="0" fontId="1" fillId="2" borderId="12" xfId="0" applyFont="1" applyFill="1" applyBorder="1" applyAlignment="1" applyProtection="1">
      <alignment horizontal="center" vertical="center" wrapText="1"/>
      <protection locked="0"/>
    </xf>
    <xf numFmtId="0" fontId="1" fillId="3" borderId="12" xfId="0" applyFont="1" applyFill="1" applyBorder="1" applyAlignment="1" applyProtection="1">
      <alignment horizontal="center" vertical="center" wrapText="1"/>
      <protection locked="0"/>
    </xf>
    <xf numFmtId="0" fontId="1" fillId="0" borderId="7" xfId="0" applyFont="1" applyBorder="1" applyAlignment="1">
      <alignment vertical="center"/>
    </xf>
    <xf numFmtId="0" fontId="20" fillId="0" borderId="0" xfId="0" applyFont="1"/>
    <xf numFmtId="0" fontId="88" fillId="6" borderId="5" xfId="0" applyFont="1" applyFill="1" applyBorder="1" applyAlignment="1">
      <alignment horizontal="left" vertical="center" wrapText="1"/>
    </xf>
    <xf numFmtId="0" fontId="38" fillId="4" borderId="9" xfId="0" applyFont="1" applyFill="1" applyBorder="1" applyAlignment="1">
      <alignment horizontal="center" vertical="center"/>
    </xf>
    <xf numFmtId="0" fontId="38" fillId="4" borderId="10" xfId="0" applyFont="1" applyFill="1" applyBorder="1" applyAlignment="1">
      <alignment horizontal="center" vertical="center"/>
    </xf>
    <xf numFmtId="0" fontId="38" fillId="4" borderId="9" xfId="0" applyFont="1" applyFill="1" applyBorder="1" applyAlignment="1">
      <alignment horizontal="left" vertical="center"/>
    </xf>
    <xf numFmtId="0" fontId="0" fillId="28" borderId="0" xfId="0" applyFill="1"/>
    <xf numFmtId="0" fontId="5" fillId="28" borderId="13" xfId="0" applyFont="1" applyFill="1" applyBorder="1" applyAlignment="1">
      <alignment horizontal="center" vertical="center"/>
    </xf>
    <xf numFmtId="0" fontId="0" fillId="28" borderId="0" xfId="0" applyFill="1" applyAlignment="1">
      <alignment horizontal="center" vertical="center"/>
    </xf>
    <xf numFmtId="0" fontId="6" fillId="6" borderId="0" xfId="0" applyFont="1" applyFill="1" applyAlignment="1">
      <alignment vertical="center" textRotation="90" wrapText="1"/>
    </xf>
    <xf numFmtId="0" fontId="53" fillId="2" borderId="7" xfId="0" applyFont="1" applyFill="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36" fillId="2" borderId="12" xfId="0" applyFont="1" applyFill="1" applyBorder="1" applyAlignment="1" applyProtection="1">
      <alignment vertical="center" textRotation="90" wrapText="1"/>
      <protection locked="0"/>
    </xf>
    <xf numFmtId="0" fontId="36" fillId="3" borderId="12" xfId="0" applyFont="1" applyFill="1" applyBorder="1" applyAlignment="1" applyProtection="1">
      <alignment vertical="center" textRotation="90" wrapText="1"/>
      <protection locked="0"/>
    </xf>
    <xf numFmtId="0" fontId="30" fillId="0" borderId="12" xfId="0" applyFont="1" applyBorder="1" applyAlignment="1" applyProtection="1">
      <alignment vertical="center" wrapText="1"/>
      <protection locked="0"/>
    </xf>
    <xf numFmtId="0" fontId="30" fillId="2" borderId="12" xfId="0" applyFont="1" applyFill="1" applyBorder="1" applyAlignment="1" applyProtection="1">
      <alignment vertical="center" wrapText="1"/>
      <protection locked="0"/>
    </xf>
    <xf numFmtId="0" fontId="3" fillId="6" borderId="0" xfId="0" applyFont="1" applyFill="1" applyAlignment="1">
      <alignment vertical="center" wrapText="1"/>
    </xf>
    <xf numFmtId="0" fontId="114" fillId="4" borderId="13" xfId="0" applyFont="1" applyFill="1" applyBorder="1" applyAlignment="1">
      <alignment horizontal="left" wrapText="1"/>
    </xf>
    <xf numFmtId="0" fontId="114" fillId="4" borderId="0" xfId="0" applyFont="1" applyFill="1" applyAlignment="1">
      <alignment horizontal="left" wrapText="1"/>
    </xf>
    <xf numFmtId="0" fontId="114" fillId="4" borderId="0" xfId="0" applyFont="1" applyFill="1" applyAlignment="1">
      <alignment horizontal="center" vertical="center" wrapText="1"/>
    </xf>
    <xf numFmtId="0" fontId="0" fillId="0" borderId="1" xfId="0" applyBorder="1"/>
    <xf numFmtId="0" fontId="6" fillId="28" borderId="0" xfId="0" applyFont="1" applyFill="1"/>
    <xf numFmtId="0" fontId="105" fillId="28" borderId="0" xfId="0" applyFont="1" applyFill="1" applyAlignment="1">
      <alignment horizontal="center" vertical="center"/>
    </xf>
    <xf numFmtId="14" fontId="20" fillId="3" borderId="7" xfId="0" applyNumberFormat="1" applyFont="1" applyFill="1" applyBorder="1" applyProtection="1">
      <protection locked="0"/>
    </xf>
    <xf numFmtId="0" fontId="20" fillId="3" borderId="7" xfId="0" applyFont="1" applyFill="1" applyBorder="1" applyProtection="1">
      <protection locked="0"/>
    </xf>
    <xf numFmtId="0" fontId="1" fillId="6" borderId="3" xfId="0" applyFont="1" applyFill="1" applyBorder="1" applyAlignment="1">
      <alignment horizontal="left" vertical="center" wrapText="1"/>
    </xf>
    <xf numFmtId="0" fontId="1" fillId="6" borderId="3" xfId="0" applyFont="1" applyFill="1" applyBorder="1" applyAlignment="1" applyProtection="1">
      <alignment vertical="center" wrapText="1"/>
      <protection locked="0"/>
    </xf>
    <xf numFmtId="0" fontId="1" fillId="0" borderId="0" xfId="0" applyFont="1" applyAlignment="1">
      <alignment horizontal="left" vertical="center" wrapText="1"/>
    </xf>
    <xf numFmtId="0" fontId="1" fillId="0" borderId="0" xfId="0" applyFont="1" applyAlignment="1" applyProtection="1">
      <alignment vertical="center" wrapText="1"/>
      <protection locked="0"/>
    </xf>
    <xf numFmtId="14" fontId="20" fillId="0" borderId="0" xfId="0" applyNumberFormat="1" applyFont="1" applyProtection="1">
      <protection locked="0"/>
    </xf>
    <xf numFmtId="0" fontId="20" fillId="0" borderId="0" xfId="0" applyFont="1" applyProtection="1">
      <protection locked="0"/>
    </xf>
    <xf numFmtId="14" fontId="20" fillId="0" borderId="0" xfId="0" applyNumberFormat="1" applyFont="1" applyAlignment="1" applyProtection="1">
      <alignment horizontal="left"/>
      <protection locked="0"/>
    </xf>
    <xf numFmtId="0" fontId="20" fillId="0" borderId="0" xfId="0" applyFont="1" applyAlignment="1" applyProtection="1">
      <alignment horizontal="left"/>
      <protection locked="0"/>
    </xf>
    <xf numFmtId="0" fontId="1" fillId="0" borderId="1" xfId="0" applyFont="1" applyBorder="1" applyAlignment="1">
      <alignment horizontal="left" vertical="center" wrapText="1"/>
    </xf>
    <xf numFmtId="14" fontId="20" fillId="0" borderId="1" xfId="0" applyNumberFormat="1" applyFont="1" applyBorder="1" applyProtection="1">
      <protection locked="0"/>
    </xf>
    <xf numFmtId="0" fontId="20" fillId="0" borderId="1" xfId="0" applyFont="1" applyBorder="1" applyProtection="1">
      <protection locked="0"/>
    </xf>
    <xf numFmtId="0" fontId="1" fillId="0" borderId="1" xfId="0" applyFont="1" applyBorder="1" applyAlignment="1" applyProtection="1">
      <alignment vertical="center" wrapText="1"/>
      <protection locked="0"/>
    </xf>
    <xf numFmtId="0" fontId="14" fillId="3" borderId="7" xfId="0" applyFont="1" applyFill="1" applyBorder="1" applyProtection="1">
      <protection locked="0"/>
    </xf>
    <xf numFmtId="0" fontId="88" fillId="0" borderId="0" xfId="0" applyFont="1" applyAlignment="1">
      <alignment vertical="center" wrapText="1"/>
    </xf>
    <xf numFmtId="0" fontId="29" fillId="2" borderId="12" xfId="0" applyFont="1" applyFill="1" applyBorder="1" applyAlignment="1" applyProtection="1">
      <alignment vertical="center" textRotation="90" wrapText="1"/>
      <protection locked="0"/>
    </xf>
    <xf numFmtId="0" fontId="29" fillId="3" borderId="12" xfId="0" applyFont="1" applyFill="1" applyBorder="1" applyAlignment="1" applyProtection="1">
      <alignment vertical="center" textRotation="90" wrapText="1"/>
      <protection locked="0"/>
    </xf>
    <xf numFmtId="0" fontId="14" fillId="2" borderId="7" xfId="0" applyFont="1" applyFill="1" applyBorder="1" applyProtection="1">
      <protection locked="0"/>
    </xf>
    <xf numFmtId="0" fontId="118" fillId="0" borderId="0" xfId="0" applyFont="1"/>
    <xf numFmtId="0" fontId="122" fillId="29" borderId="0" xfId="0" applyFont="1" applyFill="1" applyAlignment="1">
      <alignment horizontal="center" vertical="center"/>
    </xf>
    <xf numFmtId="0" fontId="122" fillId="0" borderId="0" xfId="0" applyFont="1" applyAlignment="1">
      <alignment horizontal="center" vertical="center"/>
    </xf>
    <xf numFmtId="0" fontId="38" fillId="3" borderId="0" xfId="0" applyFont="1" applyFill="1" applyAlignment="1">
      <alignment horizontal="center" vertical="center"/>
    </xf>
    <xf numFmtId="0" fontId="4" fillId="10" borderId="0" xfId="0" applyFont="1" applyFill="1"/>
    <xf numFmtId="0" fontId="0" fillId="3" borderId="9" xfId="0" applyFill="1" applyBorder="1" applyAlignment="1">
      <alignment horizontal="center" vertical="center"/>
    </xf>
    <xf numFmtId="0" fontId="19" fillId="0" borderId="0" xfId="0" applyFont="1" applyAlignment="1">
      <alignment vertical="center" wrapText="1"/>
    </xf>
    <xf numFmtId="0" fontId="65" fillId="0" borderId="0" xfId="0" applyFont="1" applyAlignment="1">
      <alignment horizontal="center" vertical="center" wrapText="1"/>
    </xf>
    <xf numFmtId="0" fontId="65" fillId="0" borderId="0" xfId="0" applyFont="1" applyAlignment="1">
      <alignment horizontal="center" vertical="center"/>
    </xf>
    <xf numFmtId="0" fontId="114" fillId="0" borderId="0" xfId="0" applyFont="1" applyAlignment="1">
      <alignment horizontal="center" vertical="center"/>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protection locked="0"/>
    </xf>
    <xf numFmtId="0" fontId="36" fillId="11" borderId="7" xfId="0" applyFont="1" applyFill="1" applyBorder="1" applyAlignment="1">
      <alignment vertical="center" textRotation="90" wrapText="1"/>
    </xf>
    <xf numFmtId="0" fontId="36" fillId="18" borderId="7" xfId="0" applyFont="1" applyFill="1" applyBorder="1" applyAlignment="1">
      <alignment vertical="center" textRotation="90" wrapText="1"/>
    </xf>
    <xf numFmtId="0" fontId="14" fillId="11" borderId="7" xfId="0" applyFont="1" applyFill="1" applyBorder="1" applyProtection="1">
      <protection locked="0"/>
    </xf>
    <xf numFmtId="0" fontId="14" fillId="11" borderId="7" xfId="0" applyFont="1" applyFill="1" applyBorder="1" applyAlignment="1" applyProtection="1">
      <alignment vertical="center"/>
      <protection locked="0"/>
    </xf>
    <xf numFmtId="0" fontId="14" fillId="11" borderId="7" xfId="0" applyFont="1" applyFill="1" applyBorder="1" applyAlignment="1" applyProtection="1">
      <alignment horizontal="center" vertical="center"/>
      <protection locked="0"/>
    </xf>
    <xf numFmtId="0" fontId="14" fillId="18" borderId="7" xfId="0" applyFont="1" applyFill="1" applyBorder="1" applyProtection="1">
      <protection locked="0"/>
    </xf>
    <xf numFmtId="0" fontId="14" fillId="18" borderId="7" xfId="0"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13" xfId="0" applyBorder="1"/>
    <xf numFmtId="0" fontId="23" fillId="0" borderId="13" xfId="0" applyFont="1" applyBorder="1" applyAlignment="1">
      <alignment horizontal="center"/>
    </xf>
    <xf numFmtId="0" fontId="88" fillId="6" borderId="5" xfId="0" applyFont="1" applyFill="1" applyBorder="1" applyAlignment="1">
      <alignment horizontal="center" vertical="center" wrapText="1"/>
    </xf>
    <xf numFmtId="0" fontId="88" fillId="6" borderId="9" xfId="0" applyFont="1" applyFill="1" applyBorder="1" applyAlignment="1">
      <alignment horizontal="center" vertical="center"/>
    </xf>
    <xf numFmtId="0" fontId="0" fillId="6" borderId="0" xfId="0" applyFill="1" applyAlignment="1">
      <alignment horizontal="center" vertical="center"/>
    </xf>
    <xf numFmtId="0" fontId="118" fillId="0" borderId="0" xfId="0" applyFont="1" applyAlignment="1">
      <alignment horizontal="center" vertical="center"/>
    </xf>
    <xf numFmtId="0" fontId="129" fillId="0" borderId="0" xfId="0" applyFont="1"/>
    <xf numFmtId="49" fontId="14" fillId="55" borderId="8" xfId="0" applyNumberFormat="1" applyFont="1" applyFill="1" applyBorder="1" applyAlignment="1" applyProtection="1">
      <alignment vertical="center" wrapText="1"/>
      <protection locked="0"/>
    </xf>
    <xf numFmtId="49" fontId="14" fillId="55" borderId="10" xfId="0" applyNumberFormat="1" applyFont="1" applyFill="1" applyBorder="1" applyAlignment="1" applyProtection="1">
      <alignment vertical="center" wrapText="1"/>
      <protection locked="0"/>
    </xf>
    <xf numFmtId="0" fontId="29" fillId="9" borderId="7" xfId="0" applyFont="1" applyFill="1" applyBorder="1" applyAlignment="1">
      <alignment horizontal="center" vertical="center" textRotation="90" wrapText="1"/>
    </xf>
    <xf numFmtId="0" fontId="30" fillId="3" borderId="12" xfId="0" applyFont="1" applyFill="1" applyBorder="1" applyAlignment="1" applyProtection="1">
      <alignment vertical="center" wrapText="1"/>
      <protection locked="0"/>
    </xf>
    <xf numFmtId="49" fontId="5" fillId="4" borderId="13" xfId="0" applyNumberFormat="1" applyFont="1" applyFill="1" applyBorder="1" applyAlignment="1">
      <alignment horizontal="center" vertical="center"/>
    </xf>
    <xf numFmtId="49" fontId="5" fillId="4" borderId="14" xfId="0" applyNumberFormat="1" applyFont="1" applyFill="1" applyBorder="1" applyAlignment="1">
      <alignment horizontal="center" vertical="center"/>
    </xf>
    <xf numFmtId="0" fontId="25" fillId="4" borderId="13" xfId="0" applyFont="1" applyFill="1" applyBorder="1" applyAlignment="1">
      <alignment horizontal="center" vertical="center" wrapText="1"/>
    </xf>
    <xf numFmtId="0" fontId="25" fillId="4" borderId="14" xfId="0" applyFont="1" applyFill="1" applyBorder="1" applyAlignment="1">
      <alignment horizontal="center" vertical="center" wrapText="1"/>
    </xf>
    <xf numFmtId="49" fontId="5" fillId="2" borderId="13" xfId="0" applyNumberFormat="1" applyFont="1" applyFill="1" applyBorder="1" applyAlignment="1">
      <alignment horizontal="center" vertical="center"/>
    </xf>
    <xf numFmtId="49" fontId="5" fillId="2" borderId="14" xfId="0" applyNumberFormat="1"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49" fontId="5" fillId="3" borderId="13" xfId="0" applyNumberFormat="1" applyFont="1" applyFill="1" applyBorder="1" applyAlignment="1">
      <alignment horizontal="center" vertical="center"/>
    </xf>
    <xf numFmtId="49" fontId="5" fillId="3" borderId="14" xfId="0" applyNumberFormat="1" applyFont="1" applyFill="1" applyBorder="1" applyAlignment="1">
      <alignment horizontal="center" vertical="center"/>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14" xfId="0" applyFont="1" applyFill="1" applyBorder="1" applyAlignment="1">
      <alignment horizontal="center" vertical="center"/>
    </xf>
    <xf numFmtId="0" fontId="0" fillId="48" borderId="7" xfId="0" applyFill="1" applyBorder="1" applyAlignment="1">
      <alignment vertical="center" wrapText="1"/>
    </xf>
    <xf numFmtId="0" fontId="0" fillId="7" borderId="8" xfId="0" applyFill="1" applyBorder="1" applyAlignment="1">
      <alignment vertical="center"/>
    </xf>
    <xf numFmtId="0" fontId="0" fillId="7" borderId="9" xfId="0" applyFill="1" applyBorder="1" applyAlignment="1">
      <alignment vertical="center"/>
    </xf>
    <xf numFmtId="0" fontId="0" fillId="7" borderId="10" xfId="0" applyFill="1" applyBorder="1" applyAlignment="1">
      <alignment vertical="center"/>
    </xf>
    <xf numFmtId="0" fontId="0" fillId="7" borderId="8" xfId="0" applyFill="1" applyBorder="1" applyAlignment="1">
      <alignment vertical="center" wrapText="1"/>
    </xf>
    <xf numFmtId="0" fontId="0" fillId="7" borderId="9" xfId="0" applyFill="1" applyBorder="1" applyAlignment="1">
      <alignment vertical="center" wrapText="1"/>
    </xf>
    <xf numFmtId="0" fontId="0" fillId="7" borderId="10" xfId="0" applyFill="1" applyBorder="1" applyAlignment="1">
      <alignment vertical="center" wrapText="1"/>
    </xf>
    <xf numFmtId="0" fontId="0" fillId="18" borderId="8" xfId="0" applyFill="1" applyBorder="1"/>
    <xf numFmtId="0" fontId="0" fillId="18" borderId="9" xfId="0" applyFill="1" applyBorder="1"/>
    <xf numFmtId="0" fontId="0" fillId="18" borderId="10" xfId="0" applyFill="1" applyBorder="1"/>
    <xf numFmtId="0" fontId="0" fillId="7" borderId="8" xfId="0" applyFill="1" applyBorder="1"/>
    <xf numFmtId="0" fontId="0" fillId="7" borderId="9" xfId="0" applyFill="1" applyBorder="1"/>
    <xf numFmtId="0" fontId="0" fillId="7" borderId="10" xfId="0" applyFill="1" applyBorder="1"/>
    <xf numFmtId="0" fontId="0" fillId="8" borderId="7" xfId="0" applyFill="1" applyBorder="1" applyAlignment="1">
      <alignment vertical="center" wrapText="1"/>
    </xf>
    <xf numFmtId="0" fontId="0" fillId="7" borderId="7" xfId="0" applyFill="1" applyBorder="1" applyAlignment="1">
      <alignment vertical="center" wrapText="1"/>
    </xf>
    <xf numFmtId="0" fontId="0" fillId="18" borderId="7" xfId="0" applyFill="1" applyBorder="1" applyAlignment="1">
      <alignment vertical="center" wrapText="1"/>
    </xf>
    <xf numFmtId="0" fontId="0" fillId="18" borderId="8" xfId="0" applyFill="1" applyBorder="1" applyAlignment="1">
      <alignment vertical="center"/>
    </xf>
    <xf numFmtId="0" fontId="0" fillId="18" borderId="9" xfId="0" applyFill="1" applyBorder="1" applyAlignment="1">
      <alignment vertical="center"/>
    </xf>
    <xf numFmtId="0" fontId="0" fillId="18" borderId="10" xfId="0" applyFill="1" applyBorder="1" applyAlignment="1">
      <alignment vertical="center"/>
    </xf>
    <xf numFmtId="0" fontId="0" fillId="3" borderId="8" xfId="0" applyFill="1" applyBorder="1"/>
    <xf numFmtId="0" fontId="0" fillId="3" borderId="9" xfId="0" applyFill="1" applyBorder="1"/>
    <xf numFmtId="0" fontId="0" fillId="3" borderId="10" xfId="0" applyFill="1" applyBorder="1"/>
    <xf numFmtId="0" fontId="0" fillId="3" borderId="8" xfId="0" applyFill="1" applyBorder="1" applyAlignment="1">
      <alignment vertical="center" wrapText="1"/>
    </xf>
    <xf numFmtId="0" fontId="0" fillId="3" borderId="9" xfId="0" applyFill="1" applyBorder="1" applyAlignment="1">
      <alignment vertical="center" wrapText="1"/>
    </xf>
    <xf numFmtId="0" fontId="0" fillId="3" borderId="10" xfId="0" applyFill="1" applyBorder="1" applyAlignment="1">
      <alignment vertical="center" wrapText="1"/>
    </xf>
    <xf numFmtId="0" fontId="0" fillId="3" borderId="8" xfId="0" applyFill="1" applyBorder="1" applyAlignment="1">
      <alignment horizontal="left" vertical="center" wrapText="1"/>
    </xf>
    <xf numFmtId="0" fontId="0" fillId="3" borderId="9" xfId="0" applyFill="1" applyBorder="1" applyAlignment="1">
      <alignment horizontal="left" vertical="center" wrapText="1"/>
    </xf>
    <xf numFmtId="0" fontId="0" fillId="3" borderId="10" xfId="0" applyFill="1" applyBorder="1" applyAlignment="1">
      <alignment horizontal="left" vertical="center" wrapText="1"/>
    </xf>
    <xf numFmtId="0" fontId="0" fillId="2" borderId="7" xfId="0" applyFill="1" applyBorder="1" applyAlignment="1">
      <alignment vertical="center" wrapText="1"/>
    </xf>
    <xf numFmtId="0" fontId="0" fillId="3" borderId="7" xfId="0" applyFill="1" applyBorder="1" applyAlignment="1">
      <alignment vertical="center" wrapText="1"/>
    </xf>
    <xf numFmtId="0" fontId="0" fillId="3" borderId="8" xfId="0" applyFill="1" applyBorder="1" applyAlignment="1">
      <alignment vertical="center"/>
    </xf>
    <xf numFmtId="0" fontId="0" fillId="3" borderId="9" xfId="0" applyFill="1" applyBorder="1" applyAlignment="1">
      <alignment vertical="center"/>
    </xf>
    <xf numFmtId="0" fontId="18" fillId="3" borderId="7" xfId="0" applyFont="1" applyFill="1" applyBorder="1" applyAlignment="1">
      <alignment vertical="center" wrapText="1"/>
    </xf>
    <xf numFmtId="0" fontId="0" fillId="0" borderId="7" xfId="0" applyBorder="1" applyAlignment="1">
      <alignment vertical="center" wrapText="1"/>
    </xf>
    <xf numFmtId="0" fontId="0" fillId="9" borderId="8" xfId="0" applyFill="1" applyBorder="1" applyAlignment="1">
      <alignment vertical="center" wrapText="1"/>
    </xf>
    <xf numFmtId="0" fontId="0" fillId="9" borderId="9" xfId="0" applyFill="1" applyBorder="1" applyAlignment="1">
      <alignment vertical="center" wrapText="1"/>
    </xf>
    <xf numFmtId="0" fontId="0" fillId="9" borderId="10" xfId="0"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0" fontId="18" fillId="9" borderId="10" xfId="0" applyFont="1" applyFill="1" applyBorder="1" applyAlignment="1">
      <alignment vertical="center" wrapText="1"/>
    </xf>
    <xf numFmtId="0" fontId="0" fillId="72" borderId="8" xfId="0" applyFill="1" applyBorder="1" applyAlignment="1">
      <alignment vertical="center" wrapText="1"/>
    </xf>
    <xf numFmtId="0" fontId="0" fillId="72" borderId="9" xfId="0" applyFill="1" applyBorder="1" applyAlignment="1">
      <alignment vertical="center" wrapText="1"/>
    </xf>
    <xf numFmtId="0" fontId="0" fillId="72" borderId="10" xfId="0" applyFill="1" applyBorder="1" applyAlignment="1">
      <alignment vertical="center" wrapText="1"/>
    </xf>
    <xf numFmtId="0" fontId="0" fillId="72" borderId="7" xfId="0" applyFill="1" applyBorder="1" applyAlignment="1">
      <alignment vertical="center" wrapText="1"/>
    </xf>
    <xf numFmtId="0" fontId="0" fillId="37" borderId="7" xfId="0" applyFill="1" applyBorder="1" applyAlignment="1">
      <alignment vertical="center" wrapText="1"/>
    </xf>
    <xf numFmtId="0" fontId="0" fillId="79" borderId="7" xfId="0" applyFill="1" applyBorder="1" applyAlignment="1">
      <alignment vertical="center" wrapText="1"/>
    </xf>
    <xf numFmtId="0" fontId="77" fillId="17" borderId="0" xfId="0" applyFont="1" applyFill="1" applyAlignment="1">
      <alignment horizontal="left" vertical="center"/>
    </xf>
    <xf numFmtId="0" fontId="0" fillId="9" borderId="7" xfId="0" applyFill="1" applyBorder="1" applyAlignment="1">
      <alignment vertical="center" wrapText="1"/>
    </xf>
    <xf numFmtId="0" fontId="117" fillId="16" borderId="2" xfId="0" applyFont="1" applyFill="1" applyBorder="1" applyAlignment="1">
      <alignment horizontal="left" vertical="center"/>
    </xf>
    <xf numFmtId="0" fontId="117" fillId="16" borderId="1" xfId="0" applyFont="1" applyFill="1" applyBorder="1" applyAlignment="1">
      <alignment horizontal="left" vertical="center"/>
    </xf>
    <xf numFmtId="0" fontId="117" fillId="16" borderId="3" xfId="0" applyFont="1" applyFill="1" applyBorder="1" applyAlignment="1">
      <alignment horizontal="left" vertical="center"/>
    </xf>
    <xf numFmtId="0" fontId="117" fillId="16" borderId="13" xfId="0" applyFont="1" applyFill="1" applyBorder="1" applyAlignment="1">
      <alignment horizontal="left" vertical="center"/>
    </xf>
    <xf numFmtId="0" fontId="117" fillId="16" borderId="0" xfId="0" applyFont="1" applyFill="1" applyAlignment="1">
      <alignment horizontal="left" vertical="center"/>
    </xf>
    <xf numFmtId="0" fontId="117" fillId="16" borderId="14" xfId="0" applyFont="1" applyFill="1" applyBorder="1" applyAlignment="1">
      <alignment horizontal="left" vertical="center"/>
    </xf>
    <xf numFmtId="0" fontId="117" fillId="16" borderId="4" xfId="0" applyFont="1" applyFill="1" applyBorder="1" applyAlignment="1">
      <alignment horizontal="left" vertical="center"/>
    </xf>
    <xf numFmtId="0" fontId="117" fillId="16" borderId="5" xfId="0" applyFont="1" applyFill="1" applyBorder="1" applyAlignment="1">
      <alignment horizontal="left" vertical="center"/>
    </xf>
    <xf numFmtId="0" fontId="117" fillId="16" borderId="6" xfId="0" applyFont="1" applyFill="1" applyBorder="1" applyAlignment="1">
      <alignment horizontal="left" vertical="center"/>
    </xf>
    <xf numFmtId="0" fontId="0" fillId="71" borderId="7" xfId="0" applyFill="1" applyBorder="1" applyAlignment="1">
      <alignment vertical="center" wrapText="1"/>
    </xf>
    <xf numFmtId="0" fontId="0" fillId="71" borderId="8" xfId="0" applyFill="1" applyBorder="1" applyAlignment="1">
      <alignment vertical="center" wrapText="1"/>
    </xf>
    <xf numFmtId="0" fontId="0" fillId="71" borderId="9" xfId="0" applyFill="1" applyBorder="1" applyAlignment="1">
      <alignment vertical="center" wrapText="1"/>
    </xf>
    <xf numFmtId="0" fontId="0" fillId="71" borderId="10" xfId="0" applyFill="1" applyBorder="1" applyAlignment="1">
      <alignment vertical="center" wrapText="1"/>
    </xf>
    <xf numFmtId="0" fontId="77" fillId="29" borderId="5" xfId="0" applyFont="1" applyFill="1" applyBorder="1" applyAlignment="1">
      <alignment horizontal="left" vertical="center"/>
    </xf>
    <xf numFmtId="0" fontId="113" fillId="46" borderId="2" xfId="0" applyFont="1" applyFill="1" applyBorder="1" applyAlignment="1">
      <alignment horizontal="left" vertical="center"/>
    </xf>
    <xf numFmtId="0" fontId="113" fillId="46" borderId="1" xfId="0" applyFont="1" applyFill="1" applyBorder="1" applyAlignment="1">
      <alignment horizontal="left" vertical="center"/>
    </xf>
    <xf numFmtId="0" fontId="113" fillId="46" borderId="3" xfId="0" applyFont="1" applyFill="1" applyBorder="1" applyAlignment="1">
      <alignment horizontal="left" vertical="center"/>
    </xf>
    <xf numFmtId="0" fontId="113" fillId="46" borderId="13" xfId="0" applyFont="1" applyFill="1" applyBorder="1" applyAlignment="1">
      <alignment horizontal="left" vertical="center"/>
    </xf>
    <xf numFmtId="0" fontId="113" fillId="46" borderId="0" xfId="0" applyFont="1" applyFill="1" applyAlignment="1">
      <alignment horizontal="left" vertical="center"/>
    </xf>
    <xf numFmtId="0" fontId="113" fillId="46" borderId="14" xfId="0" applyFont="1" applyFill="1" applyBorder="1" applyAlignment="1">
      <alignment horizontal="left" vertical="center"/>
    </xf>
    <xf numFmtId="0" fontId="113" fillId="46" borderId="4" xfId="0" applyFont="1" applyFill="1" applyBorder="1" applyAlignment="1">
      <alignment horizontal="left" vertical="center"/>
    </xf>
    <xf numFmtId="0" fontId="113" fillId="46" borderId="5" xfId="0" applyFont="1" applyFill="1" applyBorder="1" applyAlignment="1">
      <alignment horizontal="left" vertical="center"/>
    </xf>
    <xf numFmtId="0" fontId="113" fillId="46" borderId="6" xfId="0" applyFont="1" applyFill="1" applyBorder="1" applyAlignment="1">
      <alignment horizontal="left" vertical="center"/>
    </xf>
    <xf numFmtId="0" fontId="0" fillId="38" borderId="7" xfId="0" applyFill="1" applyBorder="1" applyAlignment="1">
      <alignment vertical="center" wrapText="1"/>
    </xf>
    <xf numFmtId="0" fontId="18" fillId="48" borderId="7" xfId="0" applyFont="1" applyFill="1" applyBorder="1" applyAlignment="1">
      <alignment vertical="center" wrapText="1"/>
    </xf>
    <xf numFmtId="0" fontId="113" fillId="49" borderId="2" xfId="0" applyFont="1" applyFill="1" applyBorder="1" applyAlignment="1">
      <alignment horizontal="left" vertical="center"/>
    </xf>
    <xf numFmtId="0" fontId="113" fillId="49" borderId="1" xfId="0" applyFont="1" applyFill="1" applyBorder="1" applyAlignment="1">
      <alignment horizontal="left" vertical="center"/>
    </xf>
    <xf numFmtId="0" fontId="113" fillId="49" borderId="3" xfId="0" applyFont="1" applyFill="1" applyBorder="1" applyAlignment="1">
      <alignment horizontal="left" vertical="center"/>
    </xf>
    <xf numFmtId="0" fontId="113" fillId="49" borderId="13" xfId="0" applyFont="1" applyFill="1" applyBorder="1" applyAlignment="1">
      <alignment horizontal="left" vertical="center"/>
    </xf>
    <xf numFmtId="0" fontId="113" fillId="49" borderId="0" xfId="0" applyFont="1" applyFill="1" applyAlignment="1">
      <alignment horizontal="left" vertical="center"/>
    </xf>
    <xf numFmtId="0" fontId="113" fillId="49" borderId="14" xfId="0" applyFont="1" applyFill="1" applyBorder="1" applyAlignment="1">
      <alignment horizontal="left" vertical="center"/>
    </xf>
    <xf numFmtId="0" fontId="113" fillId="49" borderId="4" xfId="0" applyFont="1" applyFill="1" applyBorder="1" applyAlignment="1">
      <alignment horizontal="left" vertical="center"/>
    </xf>
    <xf numFmtId="0" fontId="113" fillId="49" borderId="5" xfId="0" applyFont="1" applyFill="1" applyBorder="1" applyAlignment="1">
      <alignment horizontal="left" vertical="center"/>
    </xf>
    <xf numFmtId="0" fontId="113" fillId="49" borderId="6" xfId="0" applyFont="1" applyFill="1" applyBorder="1" applyAlignment="1">
      <alignment horizontal="left" vertical="center"/>
    </xf>
    <xf numFmtId="0" fontId="78" fillId="15" borderId="1" xfId="0" applyFont="1" applyFill="1" applyBorder="1" applyAlignment="1">
      <alignment horizontal="left" vertical="center"/>
    </xf>
    <xf numFmtId="0" fontId="78" fillId="15" borderId="0" xfId="0" applyFont="1" applyFill="1" applyAlignment="1">
      <alignment horizontal="left" vertical="center"/>
    </xf>
    <xf numFmtId="0" fontId="5" fillId="11" borderId="0" xfId="0" applyFont="1" applyFill="1"/>
    <xf numFmtId="0" fontId="0" fillId="18" borderId="8" xfId="0" applyFill="1" applyBorder="1" applyAlignment="1">
      <alignment vertical="center" wrapText="1"/>
    </xf>
    <xf numFmtId="0" fontId="0" fillId="18" borderId="9" xfId="0" applyFill="1" applyBorder="1" applyAlignment="1">
      <alignment vertical="center" wrapText="1"/>
    </xf>
    <xf numFmtId="0" fontId="0" fillId="18" borderId="10" xfId="0" applyFill="1" applyBorder="1" applyAlignment="1">
      <alignment vertical="center" wrapText="1"/>
    </xf>
    <xf numFmtId="0" fontId="5" fillId="11" borderId="19" xfId="0" applyFont="1" applyFill="1" applyBorder="1"/>
    <xf numFmtId="0" fontId="0" fillId="66" borderId="8" xfId="0" applyFill="1" applyBorder="1" applyAlignment="1">
      <alignment vertical="center" wrapText="1"/>
    </xf>
    <xf numFmtId="0" fontId="0" fillId="66" borderId="9" xfId="0" applyFill="1" applyBorder="1" applyAlignment="1">
      <alignment vertical="center" wrapText="1"/>
    </xf>
    <xf numFmtId="0" fontId="0" fillId="66" borderId="10" xfId="0" applyFill="1" applyBorder="1" applyAlignment="1">
      <alignment vertical="center" wrapText="1"/>
    </xf>
    <xf numFmtId="0" fontId="18" fillId="66" borderId="8" xfId="0" applyFont="1" applyFill="1" applyBorder="1" applyAlignment="1">
      <alignment vertical="center" wrapText="1"/>
    </xf>
    <xf numFmtId="0" fontId="18" fillId="66" borderId="9" xfId="0" applyFont="1" applyFill="1" applyBorder="1" applyAlignment="1">
      <alignment vertical="center" wrapText="1"/>
    </xf>
    <xf numFmtId="0" fontId="18" fillId="66" borderId="10" xfId="0" applyFont="1" applyFill="1" applyBorder="1" applyAlignment="1">
      <alignment vertical="center" wrapText="1"/>
    </xf>
    <xf numFmtId="0" fontId="0" fillId="40" borderId="7" xfId="0" applyFill="1" applyBorder="1" applyAlignment="1">
      <alignment vertical="center" wrapText="1"/>
    </xf>
    <xf numFmtId="0" fontId="52" fillId="23" borderId="28" xfId="0" applyFont="1" applyFill="1" applyBorder="1"/>
    <xf numFmtId="0" fontId="52" fillId="22" borderId="28" xfId="0" applyFont="1" applyFill="1" applyBorder="1"/>
    <xf numFmtId="0" fontId="58" fillId="6" borderId="0" xfId="0" applyFont="1" applyFill="1" applyAlignment="1">
      <alignment horizontal="center" vertical="center" wrapText="1"/>
    </xf>
    <xf numFmtId="0" fontId="79" fillId="6" borderId="0" xfId="0" applyFont="1" applyFill="1" applyAlignment="1">
      <alignment horizontal="center" vertical="center" wrapText="1"/>
    </xf>
    <xf numFmtId="0" fontId="75" fillId="26" borderId="0" xfId="0" applyFont="1" applyFill="1" applyAlignment="1">
      <alignment horizontal="left" vertical="center"/>
    </xf>
    <xf numFmtId="0" fontId="25" fillId="44" borderId="17" xfId="0" applyFont="1" applyFill="1" applyBorder="1" applyAlignment="1">
      <alignment vertical="center" wrapText="1"/>
    </xf>
    <xf numFmtId="0" fontId="25" fillId="44" borderId="16" xfId="0" applyFont="1" applyFill="1" applyBorder="1" applyAlignment="1">
      <alignment vertical="center" wrapText="1"/>
    </xf>
    <xf numFmtId="0" fontId="25" fillId="44" borderId="18" xfId="0" applyFont="1" applyFill="1" applyBorder="1" applyAlignment="1">
      <alignment vertical="center" wrapText="1"/>
    </xf>
    <xf numFmtId="0" fontId="18" fillId="42" borderId="12" xfId="0" applyFont="1" applyFill="1" applyBorder="1"/>
    <xf numFmtId="0" fontId="0" fillId="0" borderId="12" xfId="0" applyBorder="1"/>
    <xf numFmtId="0" fontId="0" fillId="42" borderId="12" xfId="0" applyFill="1" applyBorder="1"/>
    <xf numFmtId="0" fontId="23" fillId="22" borderId="29" xfId="0" applyFont="1" applyFill="1" applyBorder="1" applyAlignment="1">
      <alignment vertical="center" wrapText="1"/>
    </xf>
    <xf numFmtId="0" fontId="23" fillId="22" borderId="21" xfId="0" applyFont="1" applyFill="1" applyBorder="1" applyAlignment="1">
      <alignment vertical="center" wrapText="1"/>
    </xf>
    <xf numFmtId="0" fontId="18" fillId="42" borderId="7" xfId="0" applyFont="1" applyFill="1" applyBorder="1"/>
    <xf numFmtId="0" fontId="0" fillId="0" borderId="7" xfId="0" applyBorder="1"/>
    <xf numFmtId="0" fontId="0" fillId="42" borderId="7" xfId="0" applyFill="1" applyBorder="1" applyAlignment="1">
      <alignment horizontal="left" vertical="top"/>
    </xf>
    <xf numFmtId="0" fontId="78" fillId="27" borderId="1" xfId="0" applyFont="1" applyFill="1" applyBorder="1" applyAlignment="1">
      <alignment horizontal="left" vertical="center"/>
    </xf>
    <xf numFmtId="0" fontId="78" fillId="27" borderId="0" xfId="0" applyFont="1" applyFill="1" applyAlignment="1">
      <alignment horizontal="left" vertical="center"/>
    </xf>
    <xf numFmtId="0" fontId="18" fillId="42" borderId="7" xfId="0" applyFont="1" applyFill="1" applyBorder="1" applyAlignment="1">
      <alignment vertical="center"/>
    </xf>
    <xf numFmtId="0" fontId="0" fillId="42" borderId="7" xfId="0" applyFill="1" applyBorder="1"/>
    <xf numFmtId="0" fontId="20" fillId="0" borderId="7" xfId="0" applyFont="1" applyBorder="1"/>
    <xf numFmtId="0" fontId="0" fillId="0" borderId="7" xfId="0" applyBorder="1" applyAlignment="1">
      <alignment horizontal="left" vertical="top"/>
    </xf>
    <xf numFmtId="0" fontId="30" fillId="0" borderId="7" xfId="0" applyFont="1" applyBorder="1" applyAlignment="1" applyProtection="1">
      <alignment vertical="center" wrapText="1"/>
      <protection locked="0"/>
    </xf>
    <xf numFmtId="0" fontId="30" fillId="0" borderId="7" xfId="0" applyFont="1" applyBorder="1" applyAlignment="1">
      <alignment vertical="center" wrapText="1"/>
    </xf>
    <xf numFmtId="0" fontId="0" fillId="42" borderId="7" xfId="0" applyFill="1" applyBorder="1" applyAlignment="1">
      <alignment horizontal="left"/>
    </xf>
    <xf numFmtId="49" fontId="0" fillId="0" borderId="7" xfId="0" applyNumberFormat="1" applyBorder="1" applyAlignment="1">
      <alignment horizontal="left"/>
    </xf>
    <xf numFmtId="0" fontId="0" fillId="66" borderId="7" xfId="0" applyFill="1" applyBorder="1" applyAlignment="1">
      <alignment vertical="center" wrapText="1"/>
    </xf>
    <xf numFmtId="0" fontId="18" fillId="66" borderId="7" xfId="0" applyFont="1" applyFill="1" applyBorder="1" applyAlignment="1">
      <alignment vertical="center" wrapText="1"/>
    </xf>
    <xf numFmtId="0" fontId="0" fillId="18" borderId="8" xfId="0" applyFill="1" applyBorder="1" applyAlignment="1">
      <alignment horizontal="left" vertical="center" wrapText="1"/>
    </xf>
    <xf numFmtId="0" fontId="0" fillId="18" borderId="9" xfId="0" applyFill="1" applyBorder="1" applyAlignment="1">
      <alignment horizontal="left" vertical="center" wrapText="1"/>
    </xf>
    <xf numFmtId="0" fontId="0" fillId="18" borderId="10" xfId="0" applyFill="1" applyBorder="1" applyAlignment="1">
      <alignment horizontal="lef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0" fillId="2" borderId="10" xfId="0" applyFill="1" applyBorder="1" applyAlignment="1">
      <alignment vertical="center" wrapText="1"/>
    </xf>
    <xf numFmtId="0" fontId="75" fillId="36" borderId="2" xfId="0" applyFont="1" applyFill="1" applyBorder="1" applyAlignment="1">
      <alignment horizontal="left" vertical="center"/>
    </xf>
    <xf numFmtId="0" fontId="75" fillId="36" borderId="1" xfId="0" applyFont="1" applyFill="1" applyBorder="1" applyAlignment="1">
      <alignment horizontal="left" vertical="center"/>
    </xf>
    <xf numFmtId="0" fontId="75" fillId="36" borderId="3" xfId="0" applyFont="1" applyFill="1" applyBorder="1" applyAlignment="1">
      <alignment horizontal="left" vertical="center"/>
    </xf>
    <xf numFmtId="0" fontId="75" fillId="36" borderId="13" xfId="0" applyFont="1" applyFill="1" applyBorder="1" applyAlignment="1">
      <alignment horizontal="left" vertical="center"/>
    </xf>
    <xf numFmtId="0" fontId="75" fillId="36" borderId="0" xfId="0" applyFont="1" applyFill="1" applyAlignment="1">
      <alignment horizontal="left" vertical="center"/>
    </xf>
    <xf numFmtId="0" fontId="75" fillId="36" borderId="14" xfId="0" applyFont="1" applyFill="1" applyBorder="1" applyAlignment="1">
      <alignment horizontal="left" vertical="center"/>
    </xf>
    <xf numFmtId="0" fontId="75" fillId="36" borderId="4" xfId="0" applyFont="1" applyFill="1" applyBorder="1" applyAlignment="1">
      <alignment horizontal="left" vertical="center"/>
    </xf>
    <xf numFmtId="0" fontId="75" fillId="36" borderId="5" xfId="0" applyFont="1" applyFill="1" applyBorder="1" applyAlignment="1">
      <alignment horizontal="left" vertical="center"/>
    </xf>
    <xf numFmtId="0" fontId="75" fillId="36" borderId="6" xfId="0" applyFont="1" applyFill="1" applyBorder="1" applyAlignment="1">
      <alignment horizontal="left" vertical="center"/>
    </xf>
    <xf numFmtId="0" fontId="0" fillId="2" borderId="45" xfId="0" applyFill="1" applyBorder="1" applyAlignment="1">
      <alignment vertical="center" wrapText="1"/>
    </xf>
    <xf numFmtId="0" fontId="0" fillId="2" borderId="11" xfId="0" applyFill="1" applyBorder="1" applyAlignment="1">
      <alignment vertical="center" wrapText="1"/>
    </xf>
    <xf numFmtId="0" fontId="0" fillId="2" borderId="2" xfId="0" applyFill="1" applyBorder="1" applyAlignment="1">
      <alignment vertical="center" wrapText="1"/>
    </xf>
    <xf numFmtId="0" fontId="0" fillId="2" borderId="1" xfId="0" applyFill="1" applyBorder="1" applyAlignment="1">
      <alignment vertical="center" wrapText="1"/>
    </xf>
    <xf numFmtId="0" fontId="0" fillId="2" borderId="3" xfId="0"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0" fontId="1" fillId="2" borderId="6" xfId="0" applyFont="1" applyFill="1" applyBorder="1" applyAlignment="1">
      <alignment vertical="center" wrapText="1"/>
    </xf>
    <xf numFmtId="0" fontId="0" fillId="2" borderId="5" xfId="0" applyFill="1" applyBorder="1" applyAlignment="1">
      <alignment vertical="center" wrapText="1"/>
    </xf>
    <xf numFmtId="0" fontId="0" fillId="2" borderId="6" xfId="0" applyFill="1" applyBorder="1" applyAlignment="1">
      <alignment vertical="center" wrapText="1"/>
    </xf>
    <xf numFmtId="0" fontId="18" fillId="2" borderId="7" xfId="0" applyFont="1" applyFill="1" applyBorder="1" applyAlignment="1">
      <alignment vertical="center" wrapText="1"/>
    </xf>
    <xf numFmtId="14" fontId="0" fillId="0" borderId="8" xfId="0" applyNumberFormat="1" applyBorder="1"/>
    <xf numFmtId="0" fontId="0" fillId="0" borderId="9" xfId="0" applyBorder="1"/>
    <xf numFmtId="0" fontId="0" fillId="0" borderId="10" xfId="0" applyBorder="1"/>
    <xf numFmtId="0" fontId="92" fillId="4" borderId="8" xfId="0" applyFont="1" applyFill="1" applyBorder="1" applyAlignment="1">
      <alignment horizontal="center" vertical="center"/>
    </xf>
    <xf numFmtId="0" fontId="92" fillId="4" borderId="10" xfId="0" applyFont="1" applyFill="1" applyBorder="1" applyAlignment="1">
      <alignment horizontal="center" vertical="center"/>
    </xf>
    <xf numFmtId="0" fontId="18" fillId="3" borderId="8" xfId="0" applyFont="1" applyFill="1" applyBorder="1" applyAlignment="1" applyProtection="1">
      <alignment vertical="center"/>
      <protection locked="0"/>
    </xf>
    <xf numFmtId="0" fontId="18" fillId="3" borderId="9" xfId="0" applyFont="1" applyFill="1" applyBorder="1" applyAlignment="1" applyProtection="1">
      <alignment vertical="center"/>
      <protection locked="0"/>
    </xf>
    <xf numFmtId="14" fontId="65" fillId="73" borderId="8" xfId="0" applyNumberFormat="1" applyFont="1" applyFill="1" applyBorder="1" applyAlignment="1" applyProtection="1">
      <alignment vertical="center" wrapText="1"/>
      <protection locked="0"/>
    </xf>
    <xf numFmtId="14" fontId="65" fillId="73" borderId="9" xfId="0" applyNumberFormat="1" applyFont="1" applyFill="1" applyBorder="1" applyAlignment="1" applyProtection="1">
      <alignment vertical="center" wrapText="1"/>
      <protection locked="0"/>
    </xf>
    <xf numFmtId="14" fontId="65" fillId="73" borderId="10" xfId="0" applyNumberFormat="1" applyFont="1" applyFill="1" applyBorder="1" applyAlignment="1" applyProtection="1">
      <alignment vertical="center" wrapText="1"/>
      <protection locked="0"/>
    </xf>
    <xf numFmtId="0" fontId="0" fillId="4" borderId="8" xfId="0" applyFill="1" applyBorder="1" applyAlignment="1">
      <alignment vertical="center" wrapText="1"/>
    </xf>
    <xf numFmtId="0" fontId="0" fillId="4" borderId="9" xfId="0" applyFill="1" applyBorder="1" applyAlignment="1">
      <alignment vertical="center" wrapText="1"/>
    </xf>
    <xf numFmtId="0" fontId="0" fillId="4" borderId="10" xfId="0" applyFill="1" applyBorder="1" applyAlignment="1">
      <alignment vertical="center" wrapText="1"/>
    </xf>
    <xf numFmtId="0" fontId="100" fillId="4" borderId="8" xfId="0" applyFont="1" applyFill="1" applyBorder="1" applyAlignment="1">
      <alignment vertical="center" wrapText="1"/>
    </xf>
    <xf numFmtId="0" fontId="100" fillId="4" borderId="9" xfId="0" applyFont="1" applyFill="1" applyBorder="1" applyAlignment="1">
      <alignment vertical="center" wrapText="1"/>
    </xf>
    <xf numFmtId="0" fontId="100" fillId="4" borderId="10" xfId="0" applyFont="1" applyFill="1" applyBorder="1" applyAlignment="1">
      <alignment vertical="center" wrapText="1"/>
    </xf>
    <xf numFmtId="0" fontId="92" fillId="29" borderId="8" xfId="0" applyFont="1" applyFill="1" applyBorder="1" applyAlignment="1" applyProtection="1">
      <alignment horizontal="center" vertical="center" wrapText="1"/>
      <protection locked="0"/>
    </xf>
    <xf numFmtId="0" fontId="92" fillId="29" borderId="10" xfId="0" applyFont="1" applyFill="1" applyBorder="1" applyAlignment="1" applyProtection="1">
      <alignment horizontal="center" vertical="center" wrapText="1"/>
      <protection locked="0"/>
    </xf>
    <xf numFmtId="0" fontId="18" fillId="29" borderId="8" xfId="0" applyFont="1" applyFill="1" applyBorder="1" applyAlignment="1">
      <alignment horizontal="center" vertical="center" wrapText="1"/>
    </xf>
    <xf numFmtId="0" fontId="18" fillId="29" borderId="9" xfId="0" applyFont="1" applyFill="1" applyBorder="1" applyAlignment="1">
      <alignment horizontal="center" vertical="center" wrapText="1"/>
    </xf>
    <xf numFmtId="0" fontId="51" fillId="3" borderId="0" xfId="0" applyFont="1" applyFill="1" applyAlignment="1" applyProtection="1">
      <alignment horizontal="left" vertical="center" wrapText="1"/>
      <protection locked="0"/>
    </xf>
    <xf numFmtId="0" fontId="51" fillId="3" borderId="21" xfId="0" applyFont="1" applyFill="1" applyBorder="1" applyAlignment="1" applyProtection="1">
      <alignment horizontal="left" vertical="center" wrapText="1"/>
      <protection locked="0"/>
    </xf>
    <xf numFmtId="0" fontId="57" fillId="10" borderId="0" xfId="0" applyFont="1" applyFill="1" applyAlignment="1">
      <alignment horizontal="left" vertical="center" wrapText="1"/>
    </xf>
    <xf numFmtId="0" fontId="51" fillId="2" borderId="0" xfId="0" applyFont="1" applyFill="1" applyAlignment="1" applyProtection="1">
      <alignment horizontal="left" vertical="center" wrapText="1"/>
      <protection locked="0"/>
    </xf>
    <xf numFmtId="0" fontId="51" fillId="2" borderId="21" xfId="0" applyFont="1" applyFill="1" applyBorder="1" applyAlignment="1" applyProtection="1">
      <alignment horizontal="left" vertical="center" wrapText="1"/>
      <protection locked="0"/>
    </xf>
    <xf numFmtId="0" fontId="51" fillId="8" borderId="0" xfId="0" applyFont="1" applyFill="1" applyAlignment="1" applyProtection="1">
      <alignment horizontal="left" vertical="center" wrapText="1"/>
      <protection locked="0"/>
    </xf>
    <xf numFmtId="0" fontId="51" fillId="8" borderId="21" xfId="0" applyFont="1" applyFill="1" applyBorder="1" applyAlignment="1" applyProtection="1">
      <alignment horizontal="left" vertical="center" wrapText="1"/>
      <protection locked="0"/>
    </xf>
    <xf numFmtId="0" fontId="49" fillId="10" borderId="17" xfId="0" applyFont="1" applyFill="1" applyBorder="1" applyAlignment="1">
      <alignment vertical="center" wrapText="1"/>
    </xf>
    <xf numFmtId="0" fontId="49" fillId="10" borderId="16" xfId="0" applyFont="1" applyFill="1" applyBorder="1" applyAlignment="1">
      <alignment vertical="center" wrapText="1"/>
    </xf>
    <xf numFmtId="0" fontId="49" fillId="10" borderId="18" xfId="0" applyFont="1" applyFill="1" applyBorder="1" applyAlignment="1">
      <alignment vertical="center" wrapText="1"/>
    </xf>
    <xf numFmtId="0" fontId="0" fillId="3" borderId="7" xfId="0" applyFill="1" applyBorder="1" applyAlignment="1">
      <alignment horizontal="left" vertical="top"/>
    </xf>
    <xf numFmtId="0" fontId="18" fillId="3" borderId="7" xfId="0" applyFont="1" applyFill="1" applyBorder="1"/>
    <xf numFmtId="0" fontId="0" fillId="0" borderId="7" xfId="0" applyBorder="1" applyProtection="1">
      <protection locked="0"/>
    </xf>
    <xf numFmtId="0" fontId="0" fillId="3" borderId="7" xfId="0" applyFill="1" applyBorder="1"/>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8" xfId="0" applyBorder="1" applyAlignment="1" applyProtection="1">
      <alignment horizontal="left" vertical="top"/>
      <protection locked="0"/>
    </xf>
    <xf numFmtId="0" fontId="0" fillId="0" borderId="9"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18" fillId="3" borderId="12" xfId="0" applyFont="1" applyFill="1" applyBorder="1"/>
    <xf numFmtId="0" fontId="0" fillId="0" borderId="12" xfId="0" applyBorder="1" applyProtection="1">
      <protection locked="0"/>
    </xf>
    <xf numFmtId="0" fontId="0" fillId="3" borderId="12" xfId="0" applyFill="1" applyBorder="1"/>
    <xf numFmtId="49" fontId="0" fillId="0" borderId="8" xfId="0" applyNumberFormat="1" applyBorder="1" applyAlignment="1" applyProtection="1">
      <alignment horizontal="left"/>
      <protection locked="0"/>
    </xf>
    <xf numFmtId="49" fontId="0" fillId="0" borderId="9" xfId="0" applyNumberFormat="1" applyBorder="1" applyAlignment="1" applyProtection="1">
      <alignment horizontal="left"/>
      <protection locked="0"/>
    </xf>
    <xf numFmtId="49" fontId="0" fillId="0" borderId="10" xfId="0" applyNumberFormat="1" applyBorder="1" applyAlignment="1" applyProtection="1">
      <alignment horizontal="left"/>
      <protection locked="0"/>
    </xf>
    <xf numFmtId="14" fontId="3" fillId="10" borderId="0" xfId="0" applyNumberFormat="1" applyFont="1" applyFill="1" applyAlignment="1">
      <alignment horizontal="left" vertical="center"/>
    </xf>
    <xf numFmtId="0" fontId="3" fillId="10" borderId="0" xfId="0" applyFont="1" applyFill="1" applyAlignment="1">
      <alignment horizontal="left" vertical="center"/>
    </xf>
    <xf numFmtId="0" fontId="38" fillId="3" borderId="0" xfId="0" applyFont="1" applyFill="1" applyAlignment="1">
      <alignment horizontal="center" vertical="center"/>
    </xf>
    <xf numFmtId="0" fontId="50" fillId="3" borderId="0" xfId="0" applyFont="1" applyFill="1" applyAlignment="1">
      <alignment horizontal="center" vertical="center" wrapText="1"/>
    </xf>
    <xf numFmtId="0" fontId="0" fillId="3" borderId="7" xfId="0" applyFill="1" applyBorder="1" applyAlignment="1">
      <alignment horizontal="left"/>
    </xf>
    <xf numFmtId="0" fontId="18" fillId="3" borderId="7" xfId="0" applyFont="1" applyFill="1" applyBorder="1" applyAlignment="1">
      <alignment vertical="center"/>
    </xf>
    <xf numFmtId="0" fontId="0" fillId="0" borderId="7" xfId="0" applyBorder="1" applyAlignment="1" applyProtection="1">
      <alignment vertical="center" wrapText="1"/>
      <protection locked="0"/>
    </xf>
    <xf numFmtId="0" fontId="49" fillId="10" borderId="0" xfId="0" applyFont="1" applyFill="1" applyAlignment="1">
      <alignment vertical="center" wrapText="1"/>
    </xf>
    <xf numFmtId="0" fontId="49" fillId="10" borderId="20" xfId="0" applyFont="1" applyFill="1" applyBorder="1" applyAlignment="1">
      <alignment vertical="center" wrapText="1"/>
    </xf>
    <xf numFmtId="0" fontId="51" fillId="4" borderId="0" xfId="0" applyFont="1" applyFill="1" applyAlignment="1" applyProtection="1">
      <alignment horizontal="left" vertical="center" wrapText="1"/>
      <protection locked="0"/>
    </xf>
    <xf numFmtId="0" fontId="51" fillId="4" borderId="21" xfId="0" applyFont="1" applyFill="1" applyBorder="1" applyAlignment="1" applyProtection="1">
      <alignment horizontal="left" vertical="center" wrapText="1"/>
      <protection locked="0"/>
    </xf>
    <xf numFmtId="0" fontId="92" fillId="53" borderId="7" xfId="0" applyFont="1" applyFill="1" applyBorder="1" applyAlignment="1" applyProtection="1">
      <alignment vertical="center" wrapText="1"/>
      <protection locked="0"/>
    </xf>
    <xf numFmtId="0" fontId="100" fillId="3" borderId="7" xfId="0" applyFont="1" applyFill="1" applyBorder="1" applyAlignment="1" applyProtection="1">
      <alignment horizontal="left" vertical="center" wrapText="1"/>
      <protection locked="0"/>
    </xf>
    <xf numFmtId="0" fontId="100" fillId="4" borderId="7" xfId="0" applyFont="1" applyFill="1" applyBorder="1" applyAlignment="1" applyProtection="1">
      <alignment horizontal="left" vertical="center" wrapText="1"/>
      <protection locked="0"/>
    </xf>
    <xf numFmtId="14" fontId="0" fillId="3" borderId="7" xfId="0" applyNumberFormat="1" applyFill="1" applyBorder="1" applyAlignment="1" applyProtection="1">
      <alignment horizontal="left" vertical="center" wrapText="1"/>
      <protection locked="0"/>
    </xf>
    <xf numFmtId="14" fontId="14" fillId="4" borderId="8" xfId="0" applyNumberFormat="1" applyFont="1" applyFill="1" applyBorder="1" applyAlignment="1" applyProtection="1">
      <alignment horizontal="left" vertical="center" wrapText="1"/>
      <protection locked="0"/>
    </xf>
    <xf numFmtId="14" fontId="14" fillId="4" borderId="9" xfId="0" applyNumberFormat="1" applyFont="1" applyFill="1" applyBorder="1" applyAlignment="1" applyProtection="1">
      <alignment horizontal="left" vertical="center" wrapText="1"/>
      <protection locked="0"/>
    </xf>
    <xf numFmtId="14" fontId="14" fillId="4" borderId="10" xfId="0" applyNumberFormat="1" applyFont="1" applyFill="1" applyBorder="1" applyAlignment="1" applyProtection="1">
      <alignment horizontal="left" vertical="center" wrapText="1"/>
      <protection locked="0"/>
    </xf>
    <xf numFmtId="14" fontId="0" fillId="3" borderId="8" xfId="0" applyNumberFormat="1" applyFill="1" applyBorder="1" applyAlignment="1" applyProtection="1">
      <alignment horizontal="left" vertical="center" wrapText="1"/>
      <protection locked="0"/>
    </xf>
    <xf numFmtId="14" fontId="0" fillId="3" borderId="9" xfId="0" applyNumberFormat="1" applyFill="1" applyBorder="1" applyAlignment="1" applyProtection="1">
      <alignment horizontal="left" vertical="center" wrapText="1"/>
      <protection locked="0"/>
    </xf>
    <xf numFmtId="14" fontId="0" fillId="3" borderId="10" xfId="0" applyNumberFormat="1" applyFill="1" applyBorder="1" applyAlignment="1" applyProtection="1">
      <alignment horizontal="left" vertical="center" wrapText="1"/>
      <protection locked="0"/>
    </xf>
    <xf numFmtId="0" fontId="0" fillId="4" borderId="8" xfId="0" applyFill="1" applyBorder="1" applyAlignment="1" applyProtection="1">
      <alignment vertical="center" wrapText="1"/>
      <protection locked="0"/>
    </xf>
    <xf numFmtId="0" fontId="0" fillId="4" borderId="9" xfId="0" applyFill="1" applyBorder="1" applyAlignment="1" applyProtection="1">
      <alignment vertical="center" wrapText="1"/>
      <protection locked="0"/>
    </xf>
    <xf numFmtId="0" fontId="0" fillId="4" borderId="10" xfId="0" applyFill="1" applyBorder="1" applyAlignment="1" applyProtection="1">
      <alignment vertical="center" wrapText="1"/>
      <protection locked="0"/>
    </xf>
    <xf numFmtId="0" fontId="100" fillId="50" borderId="7" xfId="0" applyFont="1" applyFill="1" applyBorder="1" applyAlignment="1" applyProtection="1">
      <alignment horizontal="left" vertical="center" wrapText="1"/>
      <protection locked="0"/>
    </xf>
    <xf numFmtId="0" fontId="100" fillId="55" borderId="7" xfId="0" applyFont="1" applyFill="1" applyBorder="1" applyAlignment="1" applyProtection="1">
      <alignment horizontal="left" vertical="center" wrapText="1"/>
      <protection locked="0"/>
    </xf>
    <xf numFmtId="14" fontId="14" fillId="55" borderId="8" xfId="0" applyNumberFormat="1" applyFont="1" applyFill="1" applyBorder="1" applyAlignment="1" applyProtection="1">
      <alignment horizontal="left" vertical="center" wrapText="1"/>
      <protection locked="0"/>
    </xf>
    <xf numFmtId="14" fontId="14" fillId="55" borderId="9" xfId="0" applyNumberFormat="1" applyFont="1" applyFill="1" applyBorder="1" applyAlignment="1" applyProtection="1">
      <alignment horizontal="left" vertical="center" wrapText="1"/>
      <protection locked="0"/>
    </xf>
    <xf numFmtId="14" fontId="14" fillId="55" borderId="10" xfId="0" applyNumberFormat="1" applyFont="1" applyFill="1" applyBorder="1" applyAlignment="1" applyProtection="1">
      <alignment horizontal="left" vertical="center" wrapText="1"/>
      <protection locked="0"/>
    </xf>
    <xf numFmtId="0" fontId="0" fillId="55" borderId="8" xfId="0" applyFill="1" applyBorder="1" applyAlignment="1" applyProtection="1">
      <alignment vertical="center" wrapText="1"/>
      <protection locked="0"/>
    </xf>
    <xf numFmtId="0" fontId="0" fillId="55" borderId="9" xfId="0" applyFill="1" applyBorder="1" applyAlignment="1" applyProtection="1">
      <alignment vertical="center" wrapText="1"/>
      <protection locked="0"/>
    </xf>
    <xf numFmtId="0" fontId="0" fillId="55" borderId="10" xfId="0" applyFill="1" applyBorder="1" applyAlignment="1" applyProtection="1">
      <alignment vertical="center" wrapText="1"/>
      <protection locked="0"/>
    </xf>
    <xf numFmtId="0" fontId="0" fillId="19" borderId="13" xfId="0" applyFill="1" applyBorder="1" applyAlignment="1">
      <alignment horizontal="center" vertical="center"/>
    </xf>
    <xf numFmtId="0" fontId="0" fillId="19" borderId="0" xfId="0" applyFill="1" applyAlignment="1">
      <alignment horizontal="center" vertical="center"/>
    </xf>
    <xf numFmtId="0" fontId="94" fillId="19" borderId="2" xfId="0" applyFont="1" applyFill="1" applyBorder="1" applyAlignment="1">
      <alignment horizontal="center" vertical="center" wrapText="1"/>
    </xf>
    <xf numFmtId="0" fontId="94" fillId="19" borderId="1" xfId="0" applyFont="1" applyFill="1" applyBorder="1" applyAlignment="1">
      <alignment horizontal="center" vertical="center" wrapText="1"/>
    </xf>
    <xf numFmtId="0" fontId="94" fillId="19" borderId="3" xfId="0" applyFont="1" applyFill="1" applyBorder="1" applyAlignment="1">
      <alignment horizontal="center" vertical="center" wrapText="1"/>
    </xf>
    <xf numFmtId="0" fontId="94" fillId="19" borderId="4" xfId="0" applyFont="1" applyFill="1" applyBorder="1" applyAlignment="1">
      <alignment horizontal="center" vertical="center" wrapText="1"/>
    </xf>
    <xf numFmtId="0" fontId="94" fillId="19" borderId="5" xfId="0" applyFont="1" applyFill="1" applyBorder="1" applyAlignment="1">
      <alignment horizontal="center" vertical="center" wrapText="1"/>
    </xf>
    <xf numFmtId="0" fontId="94" fillId="19" borderId="6" xfId="0" applyFont="1" applyFill="1" applyBorder="1" applyAlignment="1">
      <alignment horizontal="center" vertical="center" wrapText="1"/>
    </xf>
    <xf numFmtId="0" fontId="1" fillId="3" borderId="8" xfId="0" applyFont="1" applyFill="1" applyBorder="1" applyAlignment="1" applyProtection="1">
      <alignment vertical="center" wrapText="1"/>
      <protection locked="0"/>
    </xf>
    <xf numFmtId="0" fontId="1" fillId="3" borderId="9" xfId="0" applyFont="1" applyFill="1" applyBorder="1" applyAlignment="1" applyProtection="1">
      <alignment vertical="center" wrapText="1"/>
      <protection locked="0"/>
    </xf>
    <xf numFmtId="0" fontId="1" fillId="3" borderId="10" xfId="0" applyFont="1" applyFill="1" applyBorder="1" applyAlignment="1" applyProtection="1">
      <alignment vertical="center" wrapText="1"/>
      <protection locked="0"/>
    </xf>
    <xf numFmtId="0" fontId="17" fillId="3" borderId="7" xfId="0" applyFont="1" applyFill="1" applyBorder="1" applyAlignment="1">
      <alignment horizontal="center" vertical="center" wrapText="1"/>
    </xf>
    <xf numFmtId="0" fontId="17" fillId="19" borderId="7" xfId="0" applyFont="1" applyFill="1" applyBorder="1" applyAlignment="1">
      <alignment vertical="center" wrapText="1"/>
    </xf>
    <xf numFmtId="0" fontId="1" fillId="3" borderId="8" xfId="0" applyFont="1" applyFill="1" applyBorder="1" applyAlignment="1">
      <alignment vertical="center" wrapText="1"/>
    </xf>
    <xf numFmtId="0" fontId="1" fillId="3" borderId="10" xfId="0" applyFont="1" applyFill="1" applyBorder="1" applyAlignment="1">
      <alignment vertical="center" wrapText="1"/>
    </xf>
    <xf numFmtId="0" fontId="29" fillId="19" borderId="8" xfId="0" applyFont="1" applyFill="1" applyBorder="1" applyAlignment="1" applyProtection="1">
      <alignment horizontal="center" vertical="center" wrapText="1"/>
      <protection locked="0"/>
    </xf>
    <xf numFmtId="0" fontId="29"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7"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center" vertical="center" wrapText="1"/>
      <protection locked="0"/>
    </xf>
    <xf numFmtId="0" fontId="25" fillId="19" borderId="7" xfId="0" applyFont="1" applyFill="1" applyBorder="1" applyAlignment="1" applyProtection="1">
      <alignment vertical="center" wrapText="1"/>
      <protection locked="0"/>
    </xf>
    <xf numFmtId="0" fontId="5" fillId="3" borderId="7" xfId="0" applyFont="1" applyFill="1" applyBorder="1" applyAlignment="1" applyProtection="1">
      <alignment vertical="center" wrapText="1"/>
      <protection locked="0"/>
    </xf>
    <xf numFmtId="0" fontId="32" fillId="4" borderId="7" xfId="0" applyFont="1" applyFill="1" applyBorder="1" applyAlignment="1" applyProtection="1">
      <alignment horizontal="center" vertical="center" wrapText="1"/>
      <protection locked="0"/>
    </xf>
    <xf numFmtId="0" fontId="93" fillId="13" borderId="7" xfId="0" applyFont="1" applyFill="1" applyBorder="1" applyAlignment="1">
      <alignment horizontal="center" vertical="center" wrapText="1"/>
    </xf>
    <xf numFmtId="0" fontId="112" fillId="19" borderId="8" xfId="0" applyFont="1" applyFill="1" applyBorder="1" applyAlignment="1">
      <alignment horizontal="center" vertical="center"/>
    </xf>
    <xf numFmtId="0" fontId="112" fillId="19" borderId="9" xfId="0" applyFont="1" applyFill="1" applyBorder="1" applyAlignment="1">
      <alignment horizontal="center" vertical="center"/>
    </xf>
    <xf numFmtId="0" fontId="112" fillId="19" borderId="10" xfId="0" applyFont="1" applyFill="1" applyBorder="1" applyAlignment="1">
      <alignment horizontal="center" vertical="center"/>
    </xf>
    <xf numFmtId="0" fontId="0" fillId="19" borderId="8" xfId="0" applyFill="1" applyBorder="1" applyAlignment="1" applyProtection="1">
      <alignment horizontal="center" vertical="center"/>
      <protection locked="0"/>
    </xf>
    <xf numFmtId="0" fontId="0" fillId="19" borderId="9" xfId="0" applyFill="1" applyBorder="1" applyAlignment="1" applyProtection="1">
      <alignment horizontal="center" vertical="center"/>
      <protection locked="0"/>
    </xf>
    <xf numFmtId="0" fontId="0" fillId="19" borderId="10" xfId="0" applyFill="1" applyBorder="1" applyAlignment="1" applyProtection="1">
      <alignment horizontal="center" vertical="center"/>
      <protection locked="0"/>
    </xf>
    <xf numFmtId="0" fontId="0" fillId="0" borderId="8"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4" borderId="2" xfId="0" applyFill="1" applyBorder="1" applyAlignment="1">
      <alignment vertical="center"/>
    </xf>
    <xf numFmtId="0" fontId="0" fillId="4" borderId="1" xfId="0" applyFill="1" applyBorder="1" applyAlignment="1">
      <alignment vertical="center"/>
    </xf>
    <xf numFmtId="0" fontId="0" fillId="4" borderId="3" xfId="0" applyFill="1" applyBorder="1" applyAlignment="1">
      <alignment vertical="center"/>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10" xfId="0" applyFont="1" applyFill="1" applyBorder="1" applyAlignment="1">
      <alignment vertical="center"/>
    </xf>
    <xf numFmtId="0" fontId="0" fillId="4" borderId="8" xfId="0" applyFill="1" applyBorder="1"/>
    <xf numFmtId="0" fontId="0" fillId="4" borderId="9" xfId="0" applyFill="1" applyBorder="1"/>
    <xf numFmtId="0" fontId="0" fillId="4" borderId="10" xfId="0" applyFill="1" applyBorder="1"/>
    <xf numFmtId="0" fontId="0" fillId="0" borderId="8" xfId="0" applyBorder="1"/>
    <xf numFmtId="0" fontId="0" fillId="4" borderId="4" xfId="0"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88" fillId="10" borderId="19" xfId="0" applyFont="1" applyFill="1" applyBorder="1" applyAlignment="1">
      <alignment vertical="center" wrapText="1"/>
    </xf>
    <xf numFmtId="0" fontId="88" fillId="10" borderId="0" xfId="0" applyFont="1" applyFill="1" applyAlignment="1">
      <alignment vertical="center" wrapText="1"/>
    </xf>
    <xf numFmtId="0" fontId="18" fillId="4" borderId="4" xfId="0" applyFont="1" applyFill="1" applyBorder="1" applyAlignment="1">
      <alignment vertical="center" wrapText="1"/>
    </xf>
    <xf numFmtId="0" fontId="18" fillId="4" borderId="5" xfId="0" applyFont="1" applyFill="1" applyBorder="1" applyAlignment="1">
      <alignment vertical="center" wrapText="1"/>
    </xf>
    <xf numFmtId="0" fontId="18" fillId="4" borderId="6" xfId="0" applyFont="1" applyFill="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4" borderId="8" xfId="0" applyFill="1" applyBorder="1" applyAlignment="1">
      <alignment vertical="center"/>
    </xf>
    <xf numFmtId="0" fontId="0" fillId="4" borderId="9" xfId="0" applyFill="1" applyBorder="1" applyAlignment="1">
      <alignment vertical="center"/>
    </xf>
    <xf numFmtId="0" fontId="0" fillId="4" borderId="10" xfId="0" applyFill="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4" borderId="8" xfId="0" applyFill="1" applyBorder="1" applyAlignment="1">
      <alignment horizontal="left" vertical="top"/>
    </xf>
    <xf numFmtId="0" fontId="0" fillId="4" borderId="9" xfId="0" applyFill="1" applyBorder="1" applyAlignment="1">
      <alignment horizontal="left" vertical="top"/>
    </xf>
    <xf numFmtId="0" fontId="0" fillId="4" borderId="10" xfId="0" applyFill="1" applyBorder="1" applyAlignment="1">
      <alignment horizontal="left" vertical="top"/>
    </xf>
    <xf numFmtId="0" fontId="92" fillId="53" borderId="8" xfId="0" applyFont="1" applyFill="1" applyBorder="1" applyAlignment="1">
      <alignment vertical="center" wrapText="1"/>
    </xf>
    <xf numFmtId="0" fontId="92" fillId="53" borderId="9" xfId="0" applyFont="1" applyFill="1" applyBorder="1" applyAlignment="1">
      <alignment vertical="center" wrapText="1"/>
    </xf>
    <xf numFmtId="0" fontId="92" fillId="53" borderId="10" xfId="0" applyFont="1" applyFill="1" applyBorder="1" applyAlignment="1">
      <alignment vertical="center" wrapText="1"/>
    </xf>
    <xf numFmtId="0" fontId="0" fillId="4" borderId="8" xfId="0" applyFill="1" applyBorder="1" applyAlignment="1">
      <alignment horizontal="left"/>
    </xf>
    <xf numFmtId="0" fontId="0" fillId="4" borderId="9" xfId="0" applyFill="1" applyBorder="1" applyAlignment="1">
      <alignment horizontal="left"/>
    </xf>
    <xf numFmtId="0" fontId="0" fillId="4" borderId="10" xfId="0" applyFill="1" applyBorder="1" applyAlignment="1">
      <alignment horizontal="left"/>
    </xf>
    <xf numFmtId="0" fontId="3" fillId="6" borderId="1" xfId="0" applyFont="1" applyFill="1" applyBorder="1" applyAlignment="1">
      <alignment vertical="center" wrapText="1"/>
    </xf>
    <xf numFmtId="0" fontId="96" fillId="3" borderId="7" xfId="0" applyFont="1" applyFill="1" applyBorder="1" applyAlignment="1" applyProtection="1">
      <alignment horizontal="left" vertical="center" wrapText="1"/>
      <protection locked="0"/>
    </xf>
    <xf numFmtId="0" fontId="96" fillId="4" borderId="7" xfId="0" applyFont="1" applyFill="1" applyBorder="1" applyAlignment="1" applyProtection="1">
      <alignment horizontal="left" vertical="center" wrapText="1"/>
      <protection locked="0"/>
    </xf>
    <xf numFmtId="41" fontId="20" fillId="50" borderId="8" xfId="0" applyNumberFormat="1" applyFont="1" applyFill="1" applyBorder="1" applyAlignment="1" applyProtection="1">
      <alignment vertical="center" wrapText="1"/>
      <protection locked="0"/>
    </xf>
    <xf numFmtId="41" fontId="20" fillId="50" borderId="10" xfId="0" applyNumberFormat="1" applyFont="1" applyFill="1" applyBorder="1" applyAlignment="1" applyProtection="1">
      <alignment vertical="center" wrapText="1"/>
      <protection locked="0"/>
    </xf>
    <xf numFmtId="41" fontId="20" fillId="4" borderId="8" xfId="0" applyNumberFormat="1" applyFont="1" applyFill="1" applyBorder="1" applyAlignment="1" applyProtection="1">
      <alignment vertical="center" wrapText="1"/>
      <protection locked="0"/>
    </xf>
    <xf numFmtId="41" fontId="20" fillId="4" borderId="10" xfId="0" applyNumberFormat="1" applyFont="1" applyFill="1" applyBorder="1" applyAlignment="1" applyProtection="1">
      <alignment vertical="center" wrapText="1"/>
      <protection locked="0"/>
    </xf>
    <xf numFmtId="0" fontId="14" fillId="4" borderId="8" xfId="0" applyFont="1" applyFill="1" applyBorder="1" applyAlignment="1" applyProtection="1">
      <alignment vertical="center" wrapText="1"/>
      <protection locked="0"/>
    </xf>
    <xf numFmtId="0" fontId="14" fillId="4" borderId="10" xfId="0" applyFont="1" applyFill="1" applyBorder="1" applyAlignment="1" applyProtection="1">
      <alignment vertical="center" wrapText="1"/>
      <protection locked="0"/>
    </xf>
    <xf numFmtId="0" fontId="29" fillId="56" borderId="8" xfId="0" applyFont="1" applyFill="1" applyBorder="1" applyAlignment="1" applyProtection="1">
      <alignment horizontal="center" vertical="center" wrapText="1"/>
      <protection locked="0"/>
    </xf>
    <xf numFmtId="0" fontId="29" fillId="56" borderId="10" xfId="0" applyFont="1" applyFill="1" applyBorder="1" applyAlignment="1" applyProtection="1">
      <alignment horizontal="center" vertical="center" wrapText="1"/>
      <protection locked="0"/>
    </xf>
    <xf numFmtId="0" fontId="29" fillId="38" borderId="8" xfId="0" applyFont="1" applyFill="1" applyBorder="1" applyAlignment="1" applyProtection="1">
      <alignment horizontal="center" vertical="center" wrapText="1"/>
      <protection locked="0"/>
    </xf>
    <xf numFmtId="0" fontId="29" fillId="38" borderId="10" xfId="0" applyFont="1" applyFill="1" applyBorder="1" applyAlignment="1" applyProtection="1">
      <alignment horizontal="center" vertical="center" wrapText="1"/>
      <protection locked="0"/>
    </xf>
    <xf numFmtId="41" fontId="14" fillId="13" borderId="8" xfId="0" applyNumberFormat="1" applyFont="1" applyFill="1" applyBorder="1" applyAlignment="1" applyProtection="1">
      <alignment vertical="center" wrapText="1"/>
      <protection locked="0"/>
    </xf>
    <xf numFmtId="41" fontId="14" fillId="13" borderId="10" xfId="0" applyNumberFormat="1" applyFont="1" applyFill="1" applyBorder="1" applyAlignment="1" applyProtection="1">
      <alignment vertical="center" wrapText="1"/>
      <protection locked="0"/>
    </xf>
    <xf numFmtId="14" fontId="29" fillId="38" borderId="8" xfId="0" applyNumberFormat="1" applyFont="1" applyFill="1" applyBorder="1" applyAlignment="1" applyProtection="1">
      <alignment horizontal="center" vertical="center" wrapText="1"/>
      <protection locked="0"/>
    </xf>
    <xf numFmtId="14" fontId="29" fillId="38" borderId="10" xfId="0" applyNumberFormat="1" applyFont="1" applyFill="1" applyBorder="1" applyAlignment="1" applyProtection="1">
      <alignment horizontal="center" vertical="center" wrapText="1"/>
      <protection locked="0"/>
    </xf>
    <xf numFmtId="0" fontId="100" fillId="4" borderId="7" xfId="0" applyFont="1" applyFill="1" applyBorder="1" applyAlignment="1" applyProtection="1">
      <alignment vertical="center" wrapText="1"/>
      <protection locked="0"/>
    </xf>
    <xf numFmtId="0" fontId="100" fillId="3" borderId="7" xfId="0" applyFont="1" applyFill="1" applyBorder="1" applyAlignment="1" applyProtection="1">
      <alignment vertical="center" wrapText="1"/>
      <protection locked="0"/>
    </xf>
    <xf numFmtId="0" fontId="32" fillId="3" borderId="8" xfId="0" applyFont="1" applyFill="1" applyBorder="1" applyAlignment="1" applyProtection="1">
      <alignment vertical="center" wrapText="1"/>
      <protection locked="0"/>
    </xf>
    <xf numFmtId="0" fontId="32" fillId="3" borderId="10" xfId="0" applyFont="1" applyFill="1" applyBorder="1" applyAlignment="1" applyProtection="1">
      <alignment vertical="center" wrapText="1"/>
      <protection locked="0"/>
    </xf>
    <xf numFmtId="41" fontId="14" fillId="4" borderId="8" xfId="0" applyNumberFormat="1" applyFont="1" applyFill="1" applyBorder="1" applyAlignment="1" applyProtection="1">
      <alignment vertical="center" wrapText="1"/>
      <protection locked="0"/>
    </xf>
    <xf numFmtId="41" fontId="14" fillId="4" borderId="10" xfId="0" applyNumberFormat="1" applyFont="1" applyFill="1" applyBorder="1" applyAlignment="1" applyProtection="1">
      <alignment vertical="center" wrapText="1"/>
      <protection locked="0"/>
    </xf>
    <xf numFmtId="41" fontId="20" fillId="3" borderId="8" xfId="0" applyNumberFormat="1" applyFont="1" applyFill="1" applyBorder="1" applyAlignment="1" applyProtection="1">
      <alignment vertical="center" wrapText="1"/>
      <protection locked="0"/>
    </xf>
    <xf numFmtId="41" fontId="20" fillId="3" borderId="10" xfId="0" applyNumberFormat="1" applyFont="1" applyFill="1" applyBorder="1" applyAlignment="1" applyProtection="1">
      <alignment vertical="center" wrapText="1"/>
      <protection locked="0"/>
    </xf>
    <xf numFmtId="41" fontId="14" fillId="3" borderId="8" xfId="0" applyNumberFormat="1" applyFont="1" applyFill="1" applyBorder="1" applyAlignment="1" applyProtection="1">
      <alignment vertical="center" wrapText="1"/>
      <protection locked="0"/>
    </xf>
    <xf numFmtId="41" fontId="14" fillId="3" borderId="10" xfId="0" applyNumberFormat="1" applyFont="1" applyFill="1" applyBorder="1" applyAlignment="1" applyProtection="1">
      <alignment vertical="center" wrapText="1"/>
      <protection locked="0"/>
    </xf>
    <xf numFmtId="41" fontId="53" fillId="4" borderId="8" xfId="0" applyNumberFormat="1" applyFont="1" applyFill="1" applyBorder="1" applyAlignment="1" applyProtection="1">
      <alignment vertical="center" wrapText="1"/>
      <protection locked="0"/>
    </xf>
    <xf numFmtId="41" fontId="53" fillId="4" borderId="10" xfId="0" applyNumberFormat="1" applyFont="1" applyFill="1" applyBorder="1" applyAlignment="1" applyProtection="1">
      <alignment vertical="center" wrapText="1"/>
      <protection locked="0"/>
    </xf>
    <xf numFmtId="41" fontId="53" fillId="3" borderId="8" xfId="0" applyNumberFormat="1" applyFont="1" applyFill="1" applyBorder="1" applyAlignment="1" applyProtection="1">
      <alignment vertical="center" wrapText="1"/>
      <protection locked="0"/>
    </xf>
    <xf numFmtId="41" fontId="53" fillId="3" borderId="10" xfId="0" applyNumberFormat="1"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53" fillId="3" borderId="9" xfId="0" applyFont="1" applyFill="1" applyBorder="1" applyAlignment="1" applyProtection="1">
      <alignment vertical="center" wrapText="1"/>
      <protection locked="0"/>
    </xf>
    <xf numFmtId="0" fontId="53" fillId="3" borderId="10" xfId="0" applyFont="1" applyFill="1" applyBorder="1" applyAlignment="1" applyProtection="1">
      <alignment vertical="center" wrapText="1"/>
      <protection locked="0"/>
    </xf>
    <xf numFmtId="14" fontId="56" fillId="25" borderId="8" xfId="0" applyNumberFormat="1" applyFont="1" applyFill="1" applyBorder="1" applyAlignment="1" applyProtection="1">
      <alignment horizontal="center" vertical="center"/>
      <protection locked="0"/>
    </xf>
    <xf numFmtId="14" fontId="56" fillId="25" borderId="10" xfId="0" applyNumberFormat="1" applyFont="1" applyFill="1" applyBorder="1" applyAlignment="1" applyProtection="1">
      <alignment horizontal="center" vertical="center"/>
      <protection locked="0"/>
    </xf>
    <xf numFmtId="0" fontId="28" fillId="4" borderId="8" xfId="0" applyFont="1" applyFill="1" applyBorder="1" applyAlignment="1" applyProtection="1">
      <alignment vertical="center" wrapText="1"/>
      <protection locked="0"/>
    </xf>
    <xf numFmtId="0" fontId="28" fillId="4" borderId="9" xfId="0" applyFont="1" applyFill="1" applyBorder="1" applyAlignment="1" applyProtection="1">
      <alignment vertical="center" wrapText="1"/>
      <protection locked="0"/>
    </xf>
    <xf numFmtId="0" fontId="28" fillId="4" borderId="10" xfId="0" applyFont="1" applyFill="1" applyBorder="1" applyAlignment="1" applyProtection="1">
      <alignment vertical="center" wrapText="1"/>
      <protection locked="0"/>
    </xf>
    <xf numFmtId="0" fontId="17" fillId="3" borderId="8" xfId="0" applyFont="1" applyFill="1" applyBorder="1" applyAlignment="1" applyProtection="1">
      <alignment vertical="center" wrapText="1"/>
      <protection locked="0"/>
    </xf>
    <xf numFmtId="0" fontId="17" fillId="3" borderId="9" xfId="0" applyFont="1" applyFill="1" applyBorder="1" applyAlignment="1" applyProtection="1">
      <alignment vertical="center" wrapText="1"/>
      <protection locked="0"/>
    </xf>
    <xf numFmtId="0" fontId="17" fillId="3" borderId="10" xfId="0" applyFont="1" applyFill="1" applyBorder="1" applyAlignment="1" applyProtection="1">
      <alignment vertical="center" wrapText="1"/>
      <protection locked="0"/>
    </xf>
    <xf numFmtId="0" fontId="0" fillId="22" borderId="8" xfId="0" applyFill="1" applyBorder="1" applyAlignment="1" applyProtection="1">
      <alignment vertical="center" wrapText="1"/>
      <protection locked="0"/>
    </xf>
    <xf numFmtId="0" fontId="0" fillId="22" borderId="9" xfId="0" applyFill="1" applyBorder="1" applyAlignment="1" applyProtection="1">
      <alignment vertical="center" wrapText="1"/>
      <protection locked="0"/>
    </xf>
    <xf numFmtId="0" fontId="0" fillId="22" borderId="10" xfId="0" applyFill="1" applyBorder="1" applyAlignment="1" applyProtection="1">
      <alignment vertical="center" wrapText="1"/>
      <protection locked="0"/>
    </xf>
    <xf numFmtId="49" fontId="14" fillId="4" borderId="8" xfId="0" applyNumberFormat="1" applyFont="1" applyFill="1" applyBorder="1" applyAlignment="1" applyProtection="1">
      <alignment vertical="center" wrapText="1"/>
      <protection locked="0"/>
    </xf>
    <xf numFmtId="49" fontId="14" fillId="4" borderId="10" xfId="0" applyNumberFormat="1" applyFont="1" applyFill="1" applyBorder="1" applyAlignment="1" applyProtection="1">
      <alignment vertical="center" wrapText="1"/>
      <protection locked="0"/>
    </xf>
    <xf numFmtId="0" fontId="36" fillId="4" borderId="8" xfId="0" applyFont="1" applyFill="1" applyBorder="1" applyAlignment="1" applyProtection="1">
      <alignment vertical="center" wrapText="1"/>
      <protection locked="0"/>
    </xf>
    <xf numFmtId="0" fontId="36" fillId="4" borderId="9" xfId="0" applyFont="1" applyFill="1" applyBorder="1" applyAlignment="1" applyProtection="1">
      <alignment vertical="center" wrapText="1"/>
      <protection locked="0"/>
    </xf>
    <xf numFmtId="0" fontId="36" fillId="4" borderId="10" xfId="0" applyFont="1" applyFill="1" applyBorder="1" applyAlignment="1" applyProtection="1">
      <alignment vertical="center" wrapText="1"/>
      <protection locked="0"/>
    </xf>
    <xf numFmtId="0" fontId="96" fillId="50" borderId="7" xfId="0" applyFont="1" applyFill="1" applyBorder="1" applyAlignment="1" applyProtection="1">
      <alignment horizontal="left" vertical="center" wrapText="1"/>
      <protection locked="0"/>
    </xf>
    <xf numFmtId="0" fontId="96" fillId="55" borderId="7" xfId="0" applyFont="1" applyFill="1" applyBorder="1" applyAlignment="1" applyProtection="1">
      <alignment horizontal="left" vertical="center" wrapText="1"/>
      <protection locked="0"/>
    </xf>
    <xf numFmtId="41" fontId="20" fillId="55" borderId="8" xfId="0" applyNumberFormat="1" applyFont="1" applyFill="1" applyBorder="1" applyAlignment="1" applyProtection="1">
      <alignment vertical="center" wrapText="1"/>
      <protection locked="0"/>
    </xf>
    <xf numFmtId="41" fontId="20" fillId="55" borderId="10" xfId="0" applyNumberFormat="1" applyFont="1" applyFill="1" applyBorder="1" applyAlignment="1" applyProtection="1">
      <alignment vertical="center" wrapText="1"/>
      <protection locked="0"/>
    </xf>
    <xf numFmtId="49" fontId="14" fillId="55" borderId="8" xfId="0" applyNumberFormat="1" applyFont="1" applyFill="1" applyBorder="1" applyAlignment="1" applyProtection="1">
      <alignment vertical="center" wrapText="1"/>
      <protection locked="0"/>
    </xf>
    <xf numFmtId="49" fontId="14" fillId="55" borderId="10" xfId="0" applyNumberFormat="1" applyFont="1" applyFill="1" applyBorder="1" applyAlignment="1" applyProtection="1">
      <alignment vertical="center" wrapText="1"/>
      <protection locked="0"/>
    </xf>
    <xf numFmtId="0" fontId="29" fillId="13" borderId="8" xfId="0" applyFont="1" applyFill="1" applyBorder="1" applyAlignment="1" applyProtection="1">
      <alignment horizontal="center" vertical="center" wrapText="1"/>
      <protection locked="0"/>
    </xf>
    <xf numFmtId="0" fontId="29" fillId="13" borderId="10" xfId="0" applyFont="1" applyFill="1" applyBorder="1" applyAlignment="1" applyProtection="1">
      <alignment horizontal="center" vertical="center" wrapText="1"/>
      <protection locked="0"/>
    </xf>
    <xf numFmtId="0" fontId="29" fillId="57" borderId="8" xfId="0" applyFont="1" applyFill="1" applyBorder="1" applyAlignment="1" applyProtection="1">
      <alignment horizontal="center" vertical="center" wrapText="1"/>
      <protection locked="0"/>
    </xf>
    <xf numFmtId="0" fontId="29" fillId="57" borderId="10" xfId="0" applyFont="1" applyFill="1" applyBorder="1" applyAlignment="1" applyProtection="1">
      <alignment horizontal="center" vertical="center" wrapText="1"/>
      <protection locked="0"/>
    </xf>
    <xf numFmtId="41" fontId="14" fillId="56" borderId="8" xfId="0" applyNumberFormat="1" applyFont="1" applyFill="1" applyBorder="1" applyAlignment="1" applyProtection="1">
      <alignment vertical="center" wrapText="1"/>
      <protection locked="0"/>
    </xf>
    <xf numFmtId="41" fontId="14" fillId="56" borderId="10" xfId="0" applyNumberFormat="1" applyFont="1" applyFill="1" applyBorder="1" applyAlignment="1" applyProtection="1">
      <alignment vertical="center" wrapText="1"/>
      <protection locked="0"/>
    </xf>
    <xf numFmtId="14" fontId="29" fillId="57" borderId="8" xfId="0" applyNumberFormat="1" applyFont="1" applyFill="1" applyBorder="1" applyAlignment="1" applyProtection="1">
      <alignment horizontal="center" vertical="center" wrapText="1"/>
      <protection locked="0"/>
    </xf>
    <xf numFmtId="14" fontId="29" fillId="57" borderId="10" xfId="0" applyNumberFormat="1" applyFont="1" applyFill="1" applyBorder="1" applyAlignment="1" applyProtection="1">
      <alignment horizontal="center" vertical="center" wrapText="1"/>
      <protection locked="0"/>
    </xf>
    <xf numFmtId="0" fontId="100" fillId="55" borderId="7" xfId="0" applyFont="1" applyFill="1" applyBorder="1" applyAlignment="1" applyProtection="1">
      <alignment vertical="center" wrapText="1"/>
      <protection locked="0"/>
    </xf>
    <xf numFmtId="0" fontId="100" fillId="50" borderId="7" xfId="0" applyFont="1" applyFill="1" applyBorder="1" applyAlignment="1" applyProtection="1">
      <alignment vertical="center" wrapText="1"/>
      <protection locked="0"/>
    </xf>
    <xf numFmtId="0" fontId="32" fillId="50" borderId="8" xfId="0" applyFont="1" applyFill="1" applyBorder="1" applyAlignment="1" applyProtection="1">
      <alignment vertical="center" wrapText="1"/>
      <protection locked="0"/>
    </xf>
    <xf numFmtId="0" fontId="32" fillId="50" borderId="10" xfId="0" applyFont="1" applyFill="1" applyBorder="1" applyAlignment="1" applyProtection="1">
      <alignment vertical="center" wrapText="1"/>
      <protection locked="0"/>
    </xf>
    <xf numFmtId="41" fontId="14" fillId="50" borderId="8" xfId="0" applyNumberFormat="1" applyFont="1" applyFill="1" applyBorder="1" applyAlignment="1" applyProtection="1">
      <alignment vertical="center" wrapText="1"/>
      <protection locked="0"/>
    </xf>
    <xf numFmtId="41" fontId="14" fillId="50" borderId="10" xfId="0" applyNumberFormat="1" applyFont="1" applyFill="1" applyBorder="1" applyAlignment="1" applyProtection="1">
      <alignment vertical="center" wrapText="1"/>
      <protection locked="0"/>
    </xf>
    <xf numFmtId="41" fontId="53" fillId="55" borderId="8" xfId="0" applyNumberFormat="1" applyFont="1" applyFill="1" applyBorder="1" applyAlignment="1" applyProtection="1">
      <alignment vertical="center" wrapText="1"/>
      <protection locked="0"/>
    </xf>
    <xf numFmtId="41" fontId="53" fillId="55" borderId="10" xfId="0" applyNumberFormat="1" applyFont="1" applyFill="1" applyBorder="1" applyAlignment="1" applyProtection="1">
      <alignment vertical="center" wrapText="1"/>
      <protection locked="0"/>
    </xf>
    <xf numFmtId="41" fontId="53" fillId="50" borderId="8" xfId="0" applyNumberFormat="1" applyFont="1" applyFill="1" applyBorder="1" applyAlignment="1" applyProtection="1">
      <alignment vertical="center" wrapText="1"/>
      <protection locked="0"/>
    </xf>
    <xf numFmtId="41" fontId="53" fillId="50" borderId="10" xfId="0" applyNumberFormat="1" applyFont="1" applyFill="1" applyBorder="1" applyAlignment="1" applyProtection="1">
      <alignment vertical="center" wrapText="1"/>
      <protection locked="0"/>
    </xf>
    <xf numFmtId="41" fontId="14" fillId="55" borderId="8" xfId="0" applyNumberFormat="1" applyFont="1" applyFill="1" applyBorder="1" applyAlignment="1" applyProtection="1">
      <alignment vertical="center" wrapText="1"/>
      <protection locked="0"/>
    </xf>
    <xf numFmtId="41" fontId="14" fillId="55" borderId="10" xfId="0" applyNumberFormat="1" applyFont="1" applyFill="1" applyBorder="1" applyAlignment="1" applyProtection="1">
      <alignment vertical="center" wrapText="1"/>
      <protection locked="0"/>
    </xf>
    <xf numFmtId="14" fontId="56" fillId="59" borderId="8" xfId="0" applyNumberFormat="1" applyFont="1" applyFill="1" applyBorder="1" applyAlignment="1" applyProtection="1">
      <alignment horizontal="center" vertical="center"/>
      <protection locked="0"/>
    </xf>
    <xf numFmtId="14" fontId="56" fillId="59" borderId="10" xfId="0" applyNumberFormat="1" applyFont="1" applyFill="1" applyBorder="1" applyAlignment="1" applyProtection="1">
      <alignment horizontal="center" vertical="center"/>
      <protection locked="0"/>
    </xf>
    <xf numFmtId="0" fontId="28" fillId="55" borderId="8" xfId="0" applyFont="1" applyFill="1" applyBorder="1" applyAlignment="1" applyProtection="1">
      <alignment vertical="center" wrapText="1"/>
      <protection locked="0"/>
    </xf>
    <xf numFmtId="0" fontId="28" fillId="55" borderId="9" xfId="0" applyFont="1" applyFill="1" applyBorder="1" applyAlignment="1" applyProtection="1">
      <alignment vertical="center" wrapText="1"/>
      <protection locked="0"/>
    </xf>
    <xf numFmtId="0" fontId="28" fillId="55" borderId="10" xfId="0" applyFont="1" applyFill="1" applyBorder="1" applyAlignment="1" applyProtection="1">
      <alignment vertical="center" wrapText="1"/>
      <protection locked="0"/>
    </xf>
    <xf numFmtId="0" fontId="17" fillId="50" borderId="8" xfId="0" applyFont="1" applyFill="1" applyBorder="1" applyAlignment="1" applyProtection="1">
      <alignment vertical="center" wrapText="1"/>
      <protection locked="0"/>
    </xf>
    <xf numFmtId="0" fontId="17" fillId="50" borderId="9" xfId="0" applyFont="1" applyFill="1" applyBorder="1" applyAlignment="1" applyProtection="1">
      <alignment vertical="center" wrapText="1"/>
      <protection locked="0"/>
    </xf>
    <xf numFmtId="0" fontId="17" fillId="50" borderId="10" xfId="0" applyFont="1" applyFill="1" applyBorder="1" applyAlignment="1" applyProtection="1">
      <alignment vertical="center" wrapText="1"/>
      <protection locked="0"/>
    </xf>
    <xf numFmtId="0" fontId="29" fillId="3" borderId="8" xfId="0" applyFont="1" applyFill="1" applyBorder="1" applyAlignment="1" applyProtection="1">
      <alignment vertical="center" wrapText="1"/>
      <protection locked="0"/>
    </xf>
    <xf numFmtId="0" fontId="29" fillId="3" borderId="10" xfId="0" applyFont="1" applyFill="1" applyBorder="1" applyAlignment="1" applyProtection="1">
      <alignment vertical="center" wrapText="1"/>
      <protection locked="0"/>
    </xf>
    <xf numFmtId="0" fontId="51" fillId="4" borderId="8" xfId="0" applyFont="1" applyFill="1" applyBorder="1" applyAlignment="1">
      <alignment horizontal="left" vertical="center" wrapText="1"/>
    </xf>
    <xf numFmtId="0" fontId="51" fillId="4" borderId="9" xfId="0" applyFont="1" applyFill="1" applyBorder="1" applyAlignment="1">
      <alignment horizontal="left" vertical="center" wrapText="1"/>
    </xf>
    <xf numFmtId="0" fontId="51" fillId="4" borderId="10" xfId="0" applyFont="1" applyFill="1" applyBorder="1" applyAlignment="1">
      <alignment horizontal="left" vertical="center" wrapText="1"/>
    </xf>
    <xf numFmtId="0" fontId="36" fillId="77" borderId="8" xfId="0" applyFont="1" applyFill="1" applyBorder="1" applyAlignment="1">
      <alignment vertical="center" wrapText="1"/>
    </xf>
    <xf numFmtId="0" fontId="36" fillId="77" borderId="10" xfId="0" applyFont="1" applyFill="1" applyBorder="1" applyAlignment="1">
      <alignment vertical="center" wrapText="1"/>
    </xf>
    <xf numFmtId="0" fontId="0" fillId="77" borderId="8" xfId="0" applyFill="1" applyBorder="1" applyAlignment="1">
      <alignment vertical="center" wrapText="1"/>
    </xf>
    <xf numFmtId="0" fontId="0" fillId="77" borderId="10" xfId="0" applyFill="1" applyBorder="1" applyAlignment="1">
      <alignment vertical="center" wrapText="1"/>
    </xf>
    <xf numFmtId="14" fontId="20" fillId="55" borderId="8" xfId="0" applyNumberFormat="1" applyFont="1" applyFill="1" applyBorder="1" applyAlignment="1" applyProtection="1">
      <alignment vertical="center" wrapText="1"/>
      <protection locked="0"/>
    </xf>
    <xf numFmtId="14" fontId="20" fillId="4" borderId="8" xfId="0" applyNumberFormat="1" applyFont="1" applyFill="1" applyBorder="1" applyAlignment="1" applyProtection="1">
      <alignment vertical="center" wrapText="1"/>
      <protection locked="0"/>
    </xf>
    <xf numFmtId="0" fontId="0" fillId="25" borderId="4" xfId="0" applyFill="1" applyBorder="1" applyAlignment="1">
      <alignment vertical="center" wrapText="1"/>
    </xf>
    <xf numFmtId="0" fontId="0" fillId="25" borderId="6" xfId="0" applyFill="1" applyBorder="1" applyAlignment="1">
      <alignment vertical="center" wrapText="1"/>
    </xf>
    <xf numFmtId="0" fontId="93" fillId="19" borderId="8" xfId="0" applyFont="1" applyFill="1" applyBorder="1" applyAlignment="1">
      <alignment horizontal="center" vertical="center" wrapText="1"/>
    </xf>
    <xf numFmtId="0" fontId="93" fillId="19" borderId="9" xfId="0" applyFont="1" applyFill="1" applyBorder="1" applyAlignment="1">
      <alignment horizontal="center" vertical="center" wrapText="1"/>
    </xf>
    <xf numFmtId="0" fontId="93" fillId="19" borderId="10" xfId="0" applyFont="1" applyFill="1" applyBorder="1" applyAlignment="1">
      <alignment horizontal="center" vertical="center" wrapText="1"/>
    </xf>
    <xf numFmtId="0" fontId="26" fillId="22" borderId="8" xfId="0" applyFont="1" applyFill="1" applyBorder="1" applyAlignment="1">
      <alignment horizontal="center" vertical="center"/>
    </xf>
    <xf numFmtId="0" fontId="26" fillId="22" borderId="9" xfId="0" applyFont="1" applyFill="1" applyBorder="1" applyAlignment="1">
      <alignment horizontal="center" vertical="center"/>
    </xf>
    <xf numFmtId="0" fontId="26" fillId="22" borderId="10" xfId="0" applyFont="1" applyFill="1" applyBorder="1" applyAlignment="1">
      <alignment horizontal="center" vertical="center"/>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46" fillId="3" borderId="10" xfId="0" applyFont="1" applyFill="1" applyBorder="1" applyAlignment="1">
      <alignment horizontal="center" vertical="center" wrapText="1"/>
    </xf>
    <xf numFmtId="0" fontId="93" fillId="13" borderId="8" xfId="0" applyFont="1" applyFill="1" applyBorder="1" applyAlignment="1">
      <alignment horizontal="center" vertical="center" wrapText="1"/>
    </xf>
    <xf numFmtId="0" fontId="93" fillId="13" borderId="9" xfId="0" applyFont="1" applyFill="1" applyBorder="1" applyAlignment="1">
      <alignment horizontal="center" vertical="center" wrapText="1"/>
    </xf>
    <xf numFmtId="0" fontId="93" fillId="13" borderId="10" xfId="0" applyFont="1" applyFill="1" applyBorder="1" applyAlignment="1">
      <alignment horizontal="center" vertical="center" wrapText="1"/>
    </xf>
    <xf numFmtId="0" fontId="29" fillId="9" borderId="8" xfId="0" applyFont="1" applyFill="1" applyBorder="1" applyAlignment="1">
      <alignment vertical="center" wrapText="1"/>
    </xf>
    <xf numFmtId="0" fontId="29" fillId="9" borderId="10" xfId="0" applyFont="1" applyFill="1" applyBorder="1" applyAlignment="1">
      <alignment vertical="center" wrapText="1"/>
    </xf>
    <xf numFmtId="0" fontId="32" fillId="13" borderId="8" xfId="0" applyFont="1" applyFill="1" applyBorder="1" applyAlignment="1">
      <alignment vertical="center" wrapText="1"/>
    </xf>
    <xf numFmtId="0" fontId="32" fillId="13" borderId="10"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17" fillId="3" borderId="10" xfId="0" applyFont="1" applyFill="1" applyBorder="1" applyAlignment="1">
      <alignment vertical="center" wrapText="1"/>
    </xf>
    <xf numFmtId="0" fontId="1" fillId="4" borderId="8" xfId="0" applyFont="1" applyFill="1" applyBorder="1" applyAlignment="1" applyProtection="1">
      <alignment vertical="center" wrapText="1"/>
      <protection locked="0"/>
    </xf>
    <xf numFmtId="0" fontId="1" fillId="4" borderId="10" xfId="0" applyFont="1" applyFill="1" applyBorder="1" applyAlignment="1" applyProtection="1">
      <alignment vertical="center" wrapText="1"/>
      <protection locked="0"/>
    </xf>
    <xf numFmtId="0" fontId="29" fillId="4" borderId="8" xfId="0" applyFont="1" applyFill="1" applyBorder="1" applyAlignment="1">
      <alignment vertical="center" wrapText="1"/>
    </xf>
    <xf numFmtId="0" fontId="29" fillId="4" borderId="10" xfId="0" applyFont="1" applyFill="1" applyBorder="1" applyAlignment="1">
      <alignment vertical="center" wrapText="1"/>
    </xf>
    <xf numFmtId="0" fontId="32" fillId="9" borderId="8" xfId="0" applyFont="1" applyFill="1" applyBorder="1" applyAlignment="1">
      <alignment vertical="center" wrapText="1"/>
    </xf>
    <xf numFmtId="0" fontId="32" fillId="9" borderId="10" xfId="0" applyFont="1" applyFill="1" applyBorder="1" applyAlignment="1">
      <alignment vertical="center" wrapText="1"/>
    </xf>
    <xf numFmtId="0" fontId="29" fillId="13" borderId="8" xfId="0" applyFont="1" applyFill="1" applyBorder="1" applyAlignment="1">
      <alignment horizontal="center" vertical="center" wrapText="1"/>
    </xf>
    <xf numFmtId="0" fontId="29" fillId="13" borderId="10" xfId="0" applyFont="1" applyFill="1" applyBorder="1" applyAlignment="1">
      <alignment horizontal="center" vertical="center" wrapText="1"/>
    </xf>
    <xf numFmtId="0" fontId="92" fillId="53" borderId="8" xfId="0" applyFont="1" applyFill="1" applyBorder="1" applyAlignment="1" applyProtection="1">
      <alignment vertical="center" wrapText="1"/>
      <protection locked="0"/>
    </xf>
    <xf numFmtId="0" fontId="92" fillId="53" borderId="9" xfId="0" applyFont="1" applyFill="1" applyBorder="1" applyAlignment="1" applyProtection="1">
      <alignment vertical="center" wrapText="1"/>
      <protection locked="0"/>
    </xf>
    <xf numFmtId="0" fontId="92" fillId="53" borderId="10" xfId="0" applyFont="1" applyFill="1" applyBorder="1" applyAlignment="1" applyProtection="1">
      <alignment vertical="center" wrapText="1"/>
      <protection locked="0"/>
    </xf>
    <xf numFmtId="0" fontId="29" fillId="38" borderId="8" xfId="0" applyFont="1" applyFill="1" applyBorder="1" applyAlignment="1">
      <alignment horizontal="center" vertical="center" wrapText="1"/>
    </xf>
    <xf numFmtId="0" fontId="29" fillId="38" borderId="10" xfId="0" applyFont="1" applyFill="1" applyBorder="1" applyAlignment="1">
      <alignment horizontal="center" vertical="center" wrapText="1"/>
    </xf>
    <xf numFmtId="0" fontId="21" fillId="19" borderId="8" xfId="0" applyFont="1" applyFill="1" applyBorder="1" applyAlignment="1">
      <alignment vertical="center" wrapText="1"/>
    </xf>
    <xf numFmtId="0" fontId="21" fillId="19" borderId="10" xfId="0" applyFont="1" applyFill="1" applyBorder="1" applyAlignment="1">
      <alignment vertical="center" wrapText="1"/>
    </xf>
    <xf numFmtId="0" fontId="27" fillId="3" borderId="8" xfId="0" applyFont="1" applyFill="1" applyBorder="1" applyAlignment="1" applyProtection="1">
      <alignment vertical="center" wrapText="1"/>
      <protection locked="0"/>
    </xf>
    <xf numFmtId="0" fontId="27" fillId="3" borderId="10" xfId="0" applyFont="1" applyFill="1" applyBorder="1" applyAlignment="1" applyProtection="1">
      <alignment vertical="center" wrapText="1"/>
      <protection locked="0"/>
    </xf>
    <xf numFmtId="0" fontId="5" fillId="3" borderId="8" xfId="0" applyFont="1" applyFill="1" applyBorder="1" applyAlignment="1">
      <alignment vertical="center" wrapText="1"/>
    </xf>
    <xf numFmtId="0" fontId="5" fillId="3" borderId="10" xfId="0" applyFont="1" applyFill="1" applyBorder="1" applyAlignment="1">
      <alignment vertical="center" wrapText="1"/>
    </xf>
    <xf numFmtId="0" fontId="32" fillId="13" borderId="8" xfId="0" applyFont="1" applyFill="1" applyBorder="1" applyAlignment="1">
      <alignment horizontal="center" vertical="center" wrapText="1"/>
    </xf>
    <xf numFmtId="0" fontId="32" fillId="13" borderId="10" xfId="0" applyFont="1" applyFill="1" applyBorder="1" applyAlignment="1">
      <alignment horizontal="center" vertical="center" wrapText="1"/>
    </xf>
    <xf numFmtId="0" fontId="52" fillId="4" borderId="8" xfId="0" applyFont="1" applyFill="1" applyBorder="1" applyAlignment="1" applyProtection="1">
      <alignment vertical="center" wrapText="1"/>
      <protection locked="0"/>
    </xf>
    <xf numFmtId="0" fontId="52" fillId="4" borderId="10" xfId="0" applyFont="1" applyFill="1" applyBorder="1" applyAlignment="1" applyProtection="1">
      <alignment vertical="center" wrapText="1"/>
      <protection locked="0"/>
    </xf>
    <xf numFmtId="0" fontId="53" fillId="4" borderId="8" xfId="0" applyFont="1" applyFill="1" applyBorder="1" applyAlignment="1">
      <alignment vertical="center" wrapText="1"/>
    </xf>
    <xf numFmtId="0" fontId="53" fillId="4" borderId="10" xfId="0" applyFont="1" applyFill="1" applyBorder="1" applyAlignment="1">
      <alignment vertical="center" wrapText="1"/>
    </xf>
    <xf numFmtId="0" fontId="29" fillId="4" borderId="8"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7" fillId="3" borderId="9" xfId="0" applyFont="1" applyFill="1" applyBorder="1" applyAlignment="1" applyProtection="1">
      <alignment horizontal="center" vertical="center" wrapText="1"/>
      <protection locked="0"/>
    </xf>
    <xf numFmtId="0" fontId="17" fillId="3" borderId="10" xfId="0" applyFont="1" applyFill="1" applyBorder="1" applyAlignment="1" applyProtection="1">
      <alignment horizontal="center" vertical="center" wrapText="1"/>
      <protection locked="0"/>
    </xf>
    <xf numFmtId="0" fontId="17" fillId="4" borderId="8" xfId="0" applyFont="1" applyFill="1" applyBorder="1" applyAlignment="1">
      <alignment vertical="center" wrapText="1"/>
    </xf>
    <xf numFmtId="0" fontId="17" fillId="4" borderId="9" xfId="0" applyFont="1" applyFill="1" applyBorder="1" applyAlignment="1">
      <alignment vertical="center" wrapText="1"/>
    </xf>
    <xf numFmtId="0" fontId="17" fillId="4" borderId="10" xfId="0" applyFont="1" applyFill="1" applyBorder="1" applyAlignment="1">
      <alignment vertical="center" wrapText="1"/>
    </xf>
    <xf numFmtId="0" fontId="29" fillId="4" borderId="8" xfId="0" applyFont="1" applyFill="1" applyBorder="1" applyAlignment="1" applyProtection="1">
      <alignment vertical="center" wrapText="1"/>
      <protection locked="0"/>
    </xf>
    <xf numFmtId="0" fontId="29" fillId="4" borderId="10" xfId="0" applyFont="1" applyFill="1" applyBorder="1" applyAlignment="1" applyProtection="1">
      <alignment vertical="center" wrapText="1"/>
      <protection locked="0"/>
    </xf>
    <xf numFmtId="0" fontId="29" fillId="4" borderId="9" xfId="0" applyFont="1" applyFill="1" applyBorder="1" applyAlignment="1" applyProtection="1">
      <alignment horizontal="center" vertical="center" wrapText="1"/>
      <protection locked="0"/>
    </xf>
    <xf numFmtId="0" fontId="96" fillId="3" borderId="7" xfId="0" applyFont="1" applyFill="1" applyBorder="1" applyAlignment="1">
      <alignment horizontal="center" vertical="center" wrapText="1"/>
    </xf>
    <xf numFmtId="0" fontId="96" fillId="19" borderId="7" xfId="0" applyFont="1" applyFill="1" applyBorder="1" applyAlignment="1">
      <alignment vertical="center" wrapText="1"/>
    </xf>
    <xf numFmtId="0" fontId="102" fillId="22" borderId="8" xfId="0" applyFont="1" applyFill="1" applyBorder="1" applyAlignment="1">
      <alignment horizontal="center" vertical="center"/>
    </xf>
    <xf numFmtId="0" fontId="102" fillId="22" borderId="9" xfId="0" applyFont="1" applyFill="1" applyBorder="1" applyAlignment="1">
      <alignment horizontal="center" vertical="center"/>
    </xf>
    <xf numFmtId="0" fontId="102" fillId="22" borderId="10" xfId="0" applyFont="1" applyFill="1" applyBorder="1" applyAlignment="1">
      <alignment horizontal="center" vertical="center"/>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6" xfId="0" applyFont="1" applyFill="1" applyBorder="1" applyAlignment="1" applyProtection="1">
      <alignment horizontal="center" vertical="center" wrapText="1"/>
      <protection locked="0"/>
    </xf>
    <xf numFmtId="0" fontId="52" fillId="3" borderId="8" xfId="0" applyFont="1" applyFill="1" applyBorder="1" applyAlignment="1" applyProtection="1">
      <alignment vertical="center" wrapText="1"/>
      <protection locked="0"/>
    </xf>
    <xf numFmtId="0" fontId="52" fillId="3" borderId="10" xfId="0" applyFont="1" applyFill="1" applyBorder="1" applyAlignment="1" applyProtection="1">
      <alignment vertical="center" wrapText="1"/>
      <protection locked="0"/>
    </xf>
    <xf numFmtId="0" fontId="61" fillId="3" borderId="8" xfId="0" applyFont="1" applyFill="1" applyBorder="1" applyAlignment="1">
      <alignment vertical="center" wrapText="1"/>
    </xf>
    <xf numFmtId="0" fontId="61" fillId="3" borderId="9" xfId="0" applyFont="1" applyFill="1" applyBorder="1" applyAlignment="1">
      <alignment vertical="center" wrapText="1"/>
    </xf>
    <xf numFmtId="0" fontId="61" fillId="3" borderId="10" xfId="0" applyFont="1" applyFill="1" applyBorder="1" applyAlignment="1">
      <alignment vertical="center" wrapText="1"/>
    </xf>
    <xf numFmtId="0" fontId="61" fillId="4" borderId="8" xfId="0" applyFont="1" applyFill="1" applyBorder="1" applyAlignment="1">
      <alignment vertical="center" wrapText="1"/>
    </xf>
    <xf numFmtId="0" fontId="61" fillId="4" borderId="9" xfId="0" applyFont="1" applyFill="1" applyBorder="1" applyAlignment="1">
      <alignment vertical="center" wrapText="1"/>
    </xf>
    <xf numFmtId="0" fontId="61" fillId="4" borderId="10" xfId="0" applyFont="1" applyFill="1" applyBorder="1" applyAlignment="1">
      <alignment vertical="center" wrapText="1"/>
    </xf>
    <xf numFmtId="0" fontId="95" fillId="10" borderId="2" xfId="0" applyFont="1" applyFill="1" applyBorder="1" applyAlignment="1">
      <alignment horizontal="center" vertical="center" wrapText="1"/>
    </xf>
    <xf numFmtId="0" fontId="95" fillId="10" borderId="1" xfId="0" applyFont="1" applyFill="1" applyBorder="1" applyAlignment="1">
      <alignment horizontal="center" vertical="center" wrapText="1"/>
    </xf>
    <xf numFmtId="0" fontId="95" fillId="10" borderId="3" xfId="0" applyFont="1" applyFill="1" applyBorder="1" applyAlignment="1">
      <alignment horizontal="center" vertical="center" wrapText="1"/>
    </xf>
    <xf numFmtId="0" fontId="95" fillId="10" borderId="13" xfId="0" applyFont="1" applyFill="1" applyBorder="1" applyAlignment="1">
      <alignment horizontal="center" vertical="center" wrapText="1"/>
    </xf>
    <xf numFmtId="0" fontId="95" fillId="10" borderId="0" xfId="0" applyFont="1" applyFill="1" applyAlignment="1">
      <alignment horizontal="center" vertical="center" wrapText="1"/>
    </xf>
    <xf numFmtId="0" fontId="95" fillId="10" borderId="14" xfId="0" applyFont="1" applyFill="1" applyBorder="1" applyAlignment="1">
      <alignment horizontal="center" vertical="center" wrapText="1"/>
    </xf>
    <xf numFmtId="0" fontId="95" fillId="10" borderId="5" xfId="0" applyFont="1" applyFill="1" applyBorder="1" applyAlignment="1">
      <alignment horizontal="center" vertical="center" wrapText="1"/>
    </xf>
    <xf numFmtId="0" fontId="95" fillId="10" borderId="6"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1" fillId="25" borderId="8" xfId="0" applyFont="1" applyFill="1" applyBorder="1" applyAlignment="1">
      <alignment vertical="center" wrapText="1"/>
    </xf>
    <xf numFmtId="0" fontId="1" fillId="25" borderId="10" xfId="0" applyFont="1" applyFill="1" applyBorder="1" applyAlignment="1">
      <alignment vertical="center" wrapText="1"/>
    </xf>
    <xf numFmtId="0" fontId="29" fillId="13" borderId="8" xfId="0" applyFont="1" applyFill="1" applyBorder="1" applyAlignment="1">
      <alignment vertical="center" wrapText="1"/>
    </xf>
    <xf numFmtId="0" fontId="29" fillId="13" borderId="10" xfId="0" applyFont="1" applyFill="1" applyBorder="1" applyAlignment="1">
      <alignment vertical="center" wrapText="1"/>
    </xf>
    <xf numFmtId="0" fontId="28" fillId="4" borderId="4"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3" fillId="6" borderId="23" xfId="0" applyFont="1" applyFill="1" applyBorder="1" applyAlignment="1">
      <alignment vertical="center" wrapText="1"/>
    </xf>
    <xf numFmtId="0" fontId="3" fillId="6" borderId="22" xfId="0" applyFont="1" applyFill="1" applyBorder="1" applyAlignment="1">
      <alignment vertical="center" wrapText="1"/>
    </xf>
    <xf numFmtId="0" fontId="91" fillId="3" borderId="8" xfId="0" applyFont="1" applyFill="1" applyBorder="1" applyAlignment="1" applyProtection="1">
      <alignment vertical="center" wrapText="1"/>
      <protection locked="0"/>
    </xf>
    <xf numFmtId="0" fontId="91" fillId="3" borderId="10" xfId="0" applyFont="1" applyFill="1" applyBorder="1" applyAlignment="1" applyProtection="1">
      <alignment vertical="center" wrapText="1"/>
      <protection locked="0"/>
    </xf>
    <xf numFmtId="0" fontId="53" fillId="4" borderId="8" xfId="0" applyFont="1" applyFill="1" applyBorder="1" applyAlignment="1" applyProtection="1">
      <alignment horizontal="center" vertical="center" wrapText="1"/>
      <protection locked="0"/>
    </xf>
    <xf numFmtId="0" fontId="53" fillId="4" borderId="10" xfId="0" applyFont="1" applyFill="1" applyBorder="1" applyAlignment="1" applyProtection="1">
      <alignment horizontal="center" vertical="center" wrapText="1"/>
      <protection locked="0"/>
    </xf>
    <xf numFmtId="0" fontId="31" fillId="38" borderId="8" xfId="0" applyFont="1" applyFill="1" applyBorder="1" applyAlignment="1">
      <alignment horizontal="center" vertical="center" wrapText="1"/>
    </xf>
    <xf numFmtId="0" fontId="31" fillId="38" borderId="10" xfId="0" applyFont="1" applyFill="1" applyBorder="1" applyAlignment="1">
      <alignment horizontal="center" vertical="center" wrapText="1"/>
    </xf>
    <xf numFmtId="0" fontId="31" fillId="77" borderId="8" xfId="0" applyFont="1" applyFill="1" applyBorder="1" applyAlignment="1">
      <alignment vertical="center" wrapText="1"/>
    </xf>
    <xf numFmtId="0" fontId="31" fillId="77" borderId="10" xfId="0" applyFont="1" applyFill="1" applyBorder="1" applyAlignment="1">
      <alignment vertical="center" wrapText="1"/>
    </xf>
    <xf numFmtId="0" fontId="0" fillId="77" borderId="13" xfId="0" applyFill="1" applyBorder="1" applyAlignment="1">
      <alignment vertical="center" wrapText="1"/>
    </xf>
    <xf numFmtId="0" fontId="0" fillId="77" borderId="14" xfId="0" applyFill="1" applyBorder="1" applyAlignment="1">
      <alignment vertical="center" wrapText="1"/>
    </xf>
    <xf numFmtId="0" fontId="26" fillId="4" borderId="8" xfId="0" applyFont="1" applyFill="1" applyBorder="1" applyAlignment="1">
      <alignment horizontal="center" vertical="center" wrapText="1"/>
    </xf>
    <xf numFmtId="0" fontId="26" fillId="4" borderId="9"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120" fillId="4" borderId="8" xfId="0" applyFont="1" applyFill="1" applyBorder="1" applyAlignment="1">
      <alignment horizontal="center" vertical="center" wrapText="1"/>
    </xf>
    <xf numFmtId="0" fontId="120" fillId="4" borderId="9" xfId="0" applyFont="1" applyFill="1" applyBorder="1" applyAlignment="1">
      <alignment horizontal="center" vertical="center" wrapText="1"/>
    </xf>
    <xf numFmtId="0" fontId="120" fillId="4" borderId="10" xfId="0" applyFont="1" applyFill="1" applyBorder="1" applyAlignment="1">
      <alignment horizontal="center" vertical="center" wrapText="1"/>
    </xf>
    <xf numFmtId="0" fontId="21" fillId="3" borderId="7" xfId="0" applyFont="1" applyFill="1" applyBorder="1" applyAlignment="1">
      <alignment vertical="center" wrapText="1"/>
    </xf>
    <xf numFmtId="0" fontId="11" fillId="53" borderId="9" xfId="0" applyFont="1" applyFill="1" applyBorder="1"/>
    <xf numFmtId="0" fontId="11" fillId="53" borderId="10" xfId="0" applyFont="1" applyFill="1" applyBorder="1"/>
    <xf numFmtId="0" fontId="0" fillId="3" borderId="8" xfId="0" applyFill="1" applyBorder="1" applyAlignment="1">
      <alignment horizontal="left"/>
    </xf>
    <xf numFmtId="0" fontId="0" fillId="3" borderId="9" xfId="0" applyFill="1" applyBorder="1" applyAlignment="1">
      <alignment horizontal="left"/>
    </xf>
    <xf numFmtId="0" fontId="0" fillId="3" borderId="10" xfId="0" applyFill="1" applyBorder="1" applyAlignment="1">
      <alignment horizontal="left"/>
    </xf>
    <xf numFmtId="0" fontId="0" fillId="3" borderId="2" xfId="0" applyFill="1" applyBorder="1" applyAlignment="1">
      <alignment vertical="center"/>
    </xf>
    <xf numFmtId="0" fontId="0" fillId="3" borderId="1" xfId="0"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3" borderId="6" xfId="0" applyFill="1" applyBorder="1" applyAlignment="1">
      <alignment vertical="center"/>
    </xf>
    <xf numFmtId="0" fontId="18" fillId="3" borderId="8" xfId="0" applyFont="1" applyFill="1" applyBorder="1" applyAlignment="1">
      <alignment vertical="center" wrapText="1"/>
    </xf>
    <xf numFmtId="0" fontId="18" fillId="3" borderId="9" xfId="0" applyFont="1" applyFill="1" applyBorder="1" applyAlignment="1">
      <alignment vertical="center" wrapText="1"/>
    </xf>
    <xf numFmtId="0" fontId="18" fillId="3" borderId="10" xfId="0" applyFont="1" applyFill="1" applyBorder="1" applyAlignment="1">
      <alignment vertical="center" wrapText="1"/>
    </xf>
    <xf numFmtId="0" fontId="0" fillId="3" borderId="10" xfId="0" applyFill="1" applyBorder="1" applyAlignment="1">
      <alignment vertical="center"/>
    </xf>
    <xf numFmtId="0" fontId="0" fillId="3" borderId="8" xfId="0" applyFill="1" applyBorder="1" applyAlignment="1">
      <alignment horizontal="left" vertical="top"/>
    </xf>
    <xf numFmtId="0" fontId="0" fillId="3" borderId="9" xfId="0" applyFill="1" applyBorder="1" applyAlignment="1">
      <alignment horizontal="left" vertical="top"/>
    </xf>
    <xf numFmtId="0" fontId="0" fillId="3" borderId="10" xfId="0" applyFill="1" applyBorder="1" applyAlignment="1">
      <alignment horizontal="left" vertical="top"/>
    </xf>
    <xf numFmtId="0" fontId="50" fillId="3" borderId="21" xfId="0" applyFont="1" applyFill="1" applyBorder="1" applyAlignment="1">
      <alignment horizontal="center" vertical="center" wrapText="1"/>
    </xf>
    <xf numFmtId="0" fontId="46" fillId="2" borderId="7" xfId="0" applyFont="1" applyFill="1" applyBorder="1" applyAlignment="1">
      <alignment horizontal="center" vertical="center" wrapText="1"/>
    </xf>
    <xf numFmtId="0" fontId="21" fillId="19" borderId="7" xfId="0" applyFont="1" applyFill="1" applyBorder="1" applyAlignment="1">
      <alignment vertical="center" wrapText="1"/>
    </xf>
    <xf numFmtId="0" fontId="21" fillId="13" borderId="7" xfId="0" applyFont="1" applyFill="1" applyBorder="1" applyAlignment="1" applyProtection="1">
      <alignment vertical="center" wrapText="1"/>
      <protection locked="0"/>
    </xf>
    <xf numFmtId="14" fontId="21" fillId="38" borderId="7" xfId="0" applyNumberFormat="1" applyFont="1" applyFill="1" applyBorder="1" applyAlignment="1" applyProtection="1">
      <alignment vertical="center" wrapText="1"/>
      <protection locked="0"/>
    </xf>
    <xf numFmtId="0" fontId="21" fillId="38" borderId="7" xfId="0" applyFont="1" applyFill="1" applyBorder="1" applyAlignment="1" applyProtection="1">
      <alignment vertical="center" wrapText="1"/>
      <protection locked="0"/>
    </xf>
    <xf numFmtId="0" fontId="17" fillId="13" borderId="7" xfId="0" applyFont="1" applyFill="1" applyBorder="1" applyAlignment="1" applyProtection="1">
      <alignment vertical="center" wrapText="1"/>
      <protection locked="0"/>
    </xf>
    <xf numFmtId="0" fontId="17" fillId="9" borderId="7" xfId="0" applyFont="1" applyFill="1" applyBorder="1" applyAlignment="1" applyProtection="1">
      <alignment vertical="center" wrapText="1"/>
      <protection locked="0"/>
    </xf>
    <xf numFmtId="0" fontId="0" fillId="3" borderId="1" xfId="0" applyFill="1" applyBorder="1" applyAlignment="1">
      <alignment horizontal="center" vertical="center" wrapText="1"/>
    </xf>
    <xf numFmtId="0" fontId="0" fillId="3" borderId="3" xfId="0" applyFill="1" applyBorder="1" applyAlignment="1">
      <alignment horizontal="center" vertical="center" wrapText="1"/>
    </xf>
    <xf numFmtId="0" fontId="124" fillId="10" borderId="15" xfId="0" applyFont="1" applyFill="1" applyBorder="1" applyAlignment="1">
      <alignment vertical="center" wrapText="1"/>
    </xf>
    <xf numFmtId="0" fontId="17" fillId="34" borderId="7" xfId="0" applyFont="1" applyFill="1" applyBorder="1" applyAlignment="1" applyProtection="1">
      <alignment horizontal="center" vertical="center" wrapText="1"/>
      <protection locked="0"/>
    </xf>
    <xf numFmtId="0" fontId="94" fillId="66" borderId="8" xfId="0" applyFont="1" applyFill="1" applyBorder="1" applyAlignment="1">
      <alignment horizontal="center" vertical="center" wrapText="1"/>
    </xf>
    <xf numFmtId="0" fontId="94" fillId="66" borderId="9" xfId="0" applyFont="1" applyFill="1" applyBorder="1" applyAlignment="1">
      <alignment horizontal="center" vertical="center" wrapText="1"/>
    </xf>
    <xf numFmtId="0" fontId="94" fillId="66" borderId="10" xfId="0" applyFont="1" applyFill="1" applyBorder="1" applyAlignment="1">
      <alignment horizontal="center" vertical="center" wrapText="1"/>
    </xf>
    <xf numFmtId="0" fontId="25" fillId="66" borderId="8" xfId="0" applyFont="1" applyFill="1" applyBorder="1" applyAlignment="1" applyProtection="1">
      <alignment horizontal="center" vertical="center" wrapText="1"/>
      <protection locked="0"/>
    </xf>
    <xf numFmtId="0" fontId="25" fillId="66" borderId="9" xfId="0" applyFont="1" applyFill="1" applyBorder="1" applyAlignment="1" applyProtection="1">
      <alignment horizontal="center" vertical="center" wrapText="1"/>
      <protection locked="0"/>
    </xf>
    <xf numFmtId="0" fontId="25" fillId="66" borderId="10" xfId="0" applyFont="1" applyFill="1" applyBorder="1" applyAlignment="1" applyProtection="1">
      <alignment horizontal="center" vertical="center" wrapText="1"/>
      <protection locked="0"/>
    </xf>
    <xf numFmtId="0" fontId="0" fillId="22" borderId="8" xfId="0" applyFill="1" applyBorder="1"/>
    <xf numFmtId="0" fontId="0" fillId="22" borderId="9" xfId="0" applyFill="1" applyBorder="1"/>
    <xf numFmtId="0" fontId="0" fillId="22" borderId="10" xfId="0" applyFill="1" applyBorder="1"/>
    <xf numFmtId="0" fontId="130" fillId="9" borderId="7" xfId="0" applyFont="1" applyFill="1" applyBorder="1" applyAlignment="1" applyProtection="1">
      <alignment vertical="center" wrapText="1"/>
      <protection locked="0"/>
    </xf>
    <xf numFmtId="0" fontId="17" fillId="13" borderId="7" xfId="0" applyFont="1" applyFill="1" applyBorder="1" applyAlignment="1" applyProtection="1">
      <alignment horizontal="center" vertical="center" wrapText="1"/>
      <protection locked="0"/>
    </xf>
    <xf numFmtId="0" fontId="21" fillId="34" borderId="7" xfId="0" applyFont="1" applyFill="1" applyBorder="1" applyAlignment="1" applyProtection="1">
      <alignment vertical="center" wrapText="1"/>
      <protection locked="0"/>
    </xf>
    <xf numFmtId="0" fontId="130" fillId="45" borderId="7" xfId="0" applyFont="1" applyFill="1" applyBorder="1" applyAlignment="1" applyProtection="1">
      <alignment vertical="center" wrapText="1"/>
      <protection locked="0"/>
    </xf>
    <xf numFmtId="0" fontId="17" fillId="45" borderId="7" xfId="0" applyFont="1" applyFill="1" applyBorder="1" applyAlignment="1" applyProtection="1">
      <alignment vertical="center" wrapText="1"/>
      <protection locked="0"/>
    </xf>
    <xf numFmtId="0" fontId="17" fillId="34" borderId="7" xfId="0" applyFont="1" applyFill="1" applyBorder="1" applyAlignment="1" applyProtection="1">
      <alignment vertical="center" wrapText="1"/>
      <protection locked="0"/>
    </xf>
    <xf numFmtId="0" fontId="46" fillId="3" borderId="7" xfId="0" applyFont="1" applyFill="1" applyBorder="1" applyAlignment="1">
      <alignment horizontal="center" vertical="center" wrapText="1"/>
    </xf>
    <xf numFmtId="14" fontId="21" fillId="13" borderId="7" xfId="0" applyNumberFormat="1" applyFont="1" applyFill="1" applyBorder="1" applyAlignment="1" applyProtection="1">
      <alignment vertical="center" wrapText="1"/>
      <protection locked="0"/>
    </xf>
    <xf numFmtId="0" fontId="17" fillId="38" borderId="7" xfId="0" applyFont="1" applyFill="1" applyBorder="1" applyAlignment="1" applyProtection="1">
      <alignment vertical="center" wrapText="1"/>
      <protection locked="0"/>
    </xf>
    <xf numFmtId="0" fontId="17" fillId="13" borderId="7" xfId="0" applyFont="1" applyFill="1" applyBorder="1" applyAlignment="1" applyProtection="1">
      <alignment horizontal="center" vertical="center"/>
      <protection locked="0"/>
    </xf>
    <xf numFmtId="0" fontId="17" fillId="38" borderId="7" xfId="0" applyFont="1" applyFill="1" applyBorder="1" applyAlignment="1" applyProtection="1">
      <alignment horizontal="center" vertical="center"/>
      <protection locked="0"/>
    </xf>
    <xf numFmtId="0" fontId="17" fillId="45" borderId="7" xfId="0" applyFont="1" applyFill="1" applyBorder="1" applyAlignment="1" applyProtection="1">
      <alignment horizontal="center" vertical="center"/>
      <protection locked="0"/>
    </xf>
    <xf numFmtId="0" fontId="17" fillId="47" borderId="7" xfId="0" applyFont="1" applyFill="1" applyBorder="1" applyAlignment="1" applyProtection="1">
      <alignment vertical="center" wrapText="1"/>
      <protection locked="0"/>
    </xf>
    <xf numFmtId="14" fontId="21" fillId="45" borderId="7" xfId="0" applyNumberFormat="1" applyFont="1" applyFill="1" applyBorder="1" applyAlignment="1" applyProtection="1">
      <alignment vertical="center" wrapText="1"/>
      <protection locked="0"/>
    </xf>
    <xf numFmtId="0" fontId="21" fillId="45" borderId="7" xfId="0" applyFont="1" applyFill="1" applyBorder="1" applyAlignment="1" applyProtection="1">
      <alignment vertical="center" wrapText="1"/>
      <protection locked="0"/>
    </xf>
    <xf numFmtId="14" fontId="21" fillId="34" borderId="7" xfId="0" applyNumberFormat="1" applyFont="1" applyFill="1" applyBorder="1" applyAlignment="1" applyProtection="1">
      <alignment vertical="center" wrapText="1"/>
      <protection locked="0"/>
    </xf>
    <xf numFmtId="0" fontId="17" fillId="34" borderId="7" xfId="0" applyFont="1" applyFill="1" applyBorder="1" applyAlignment="1" applyProtection="1">
      <alignment horizontal="center" vertical="center"/>
      <protection locked="0"/>
    </xf>
    <xf numFmtId="0" fontId="0" fillId="78" borderId="8" xfId="0" applyFill="1" applyBorder="1"/>
    <xf numFmtId="0" fontId="0" fillId="78" borderId="9" xfId="0" applyFill="1" applyBorder="1"/>
    <xf numFmtId="0" fontId="0" fillId="78" borderId="10" xfId="0" applyFill="1" applyBorder="1"/>
    <xf numFmtId="0" fontId="94" fillId="34" borderId="11" xfId="0" applyFont="1" applyFill="1" applyBorder="1" applyAlignment="1">
      <alignment horizontal="center" vertical="center" wrapText="1"/>
    </xf>
    <xf numFmtId="0" fontId="94" fillId="13" borderId="13" xfId="0" applyFont="1" applyFill="1" applyBorder="1" applyAlignment="1">
      <alignment horizontal="center" vertical="center" wrapText="1"/>
    </xf>
    <xf numFmtId="0" fontId="94" fillId="13" borderId="0" xfId="0" applyFont="1" applyFill="1" applyAlignment="1">
      <alignment horizontal="center" vertical="center" wrapText="1"/>
    </xf>
    <xf numFmtId="0" fontId="53" fillId="4" borderId="7" xfId="0" applyFont="1" applyFill="1" applyBorder="1" applyAlignment="1" applyProtection="1">
      <alignment vertical="center"/>
      <protection locked="0"/>
    </xf>
    <xf numFmtId="0" fontId="53" fillId="3" borderId="7" xfId="0" applyFont="1" applyFill="1" applyBorder="1" applyAlignment="1" applyProtection="1">
      <alignment vertical="center"/>
      <protection locked="0"/>
    </xf>
    <xf numFmtId="0" fontId="53" fillId="3" borderId="8" xfId="0" applyFont="1" applyFill="1" applyBorder="1" applyAlignment="1" applyProtection="1">
      <alignment vertical="center"/>
      <protection locked="0"/>
    </xf>
    <xf numFmtId="0" fontId="53" fillId="3" borderId="9" xfId="0" applyFont="1" applyFill="1" applyBorder="1" applyAlignment="1" applyProtection="1">
      <alignment vertical="center"/>
      <protection locked="0"/>
    </xf>
    <xf numFmtId="0" fontId="53" fillId="3" borderId="10" xfId="0" applyFont="1" applyFill="1" applyBorder="1" applyAlignment="1" applyProtection="1">
      <alignment vertical="center"/>
      <protection locked="0"/>
    </xf>
    <xf numFmtId="0" fontId="53" fillId="4" borderId="8" xfId="0" applyFont="1" applyFill="1" applyBorder="1" applyAlignment="1" applyProtection="1">
      <alignment vertical="center"/>
      <protection locked="0"/>
    </xf>
    <xf numFmtId="0" fontId="53" fillId="4" borderId="9" xfId="0" applyFont="1" applyFill="1" applyBorder="1" applyAlignment="1" applyProtection="1">
      <alignment vertical="center"/>
      <protection locked="0"/>
    </xf>
    <xf numFmtId="0" fontId="53" fillId="4" borderId="10" xfId="0" applyFont="1" applyFill="1" applyBorder="1" applyAlignment="1" applyProtection="1">
      <alignment vertical="center"/>
      <protection locked="0"/>
    </xf>
    <xf numFmtId="0" fontId="1" fillId="4" borderId="9" xfId="0" applyFont="1" applyFill="1" applyBorder="1" applyAlignment="1" applyProtection="1">
      <alignment vertical="center" wrapText="1"/>
      <protection locked="0"/>
    </xf>
    <xf numFmtId="0" fontId="29" fillId="3" borderId="9" xfId="0" applyFont="1" applyFill="1" applyBorder="1" applyAlignment="1" applyProtection="1">
      <alignment vertical="center" wrapText="1"/>
      <protection locked="0"/>
    </xf>
    <xf numFmtId="0" fontId="29" fillId="2" borderId="8" xfId="0" applyFont="1" applyFill="1" applyBorder="1" applyAlignment="1" applyProtection="1">
      <alignment vertical="center" wrapText="1"/>
      <protection locked="0"/>
    </xf>
    <xf numFmtId="0" fontId="29" fillId="2" borderId="9" xfId="0" applyFont="1" applyFill="1" applyBorder="1" applyAlignment="1" applyProtection="1">
      <alignment vertical="center" wrapText="1"/>
      <protection locked="0"/>
    </xf>
    <xf numFmtId="0" fontId="29" fillId="2" borderId="10" xfId="0" applyFont="1" applyFill="1" applyBorder="1" applyAlignment="1" applyProtection="1">
      <alignment vertical="center" wrapText="1"/>
      <protection locked="0"/>
    </xf>
    <xf numFmtId="0" fontId="1" fillId="3" borderId="9" xfId="0" applyFont="1" applyFill="1" applyBorder="1" applyAlignment="1" applyProtection="1">
      <alignment wrapText="1"/>
      <protection locked="0"/>
    </xf>
    <xf numFmtId="0" fontId="1" fillId="3" borderId="10" xfId="0" applyFont="1" applyFill="1" applyBorder="1" applyAlignment="1" applyProtection="1">
      <alignment wrapText="1"/>
      <protection locked="0"/>
    </xf>
    <xf numFmtId="0" fontId="31" fillId="2" borderId="2" xfId="0" applyFont="1" applyFill="1" applyBorder="1" applyAlignment="1">
      <alignment vertical="center" wrapText="1"/>
    </xf>
    <xf numFmtId="0" fontId="31" fillId="2" borderId="1" xfId="0" applyFont="1" applyFill="1" applyBorder="1" applyAlignment="1">
      <alignment vertical="center" wrapText="1"/>
    </xf>
    <xf numFmtId="0" fontId="31" fillId="2" borderId="3" xfId="0" applyFont="1" applyFill="1" applyBorder="1" applyAlignment="1">
      <alignment vertical="center" wrapText="1"/>
    </xf>
    <xf numFmtId="0" fontId="31" fillId="2" borderId="4" xfId="0" applyFont="1" applyFill="1" applyBorder="1" applyAlignment="1">
      <alignment vertical="center" wrapText="1"/>
    </xf>
    <xf numFmtId="0" fontId="31" fillId="2" borderId="5" xfId="0" applyFont="1" applyFill="1" applyBorder="1" applyAlignment="1">
      <alignment vertical="center" wrapText="1"/>
    </xf>
    <xf numFmtId="0" fontId="31" fillId="2" borderId="6" xfId="0" applyFont="1" applyFill="1" applyBorder="1" applyAlignment="1">
      <alignment vertical="center" wrapText="1"/>
    </xf>
    <xf numFmtId="0" fontId="25" fillId="3" borderId="11" xfId="0" applyFont="1" applyFill="1" applyBorder="1" applyAlignment="1">
      <alignment vertical="center" wrapText="1"/>
    </xf>
    <xf numFmtId="0" fontId="25" fillId="3" borderId="12" xfId="0" applyFont="1" applyFill="1" applyBorder="1" applyAlignment="1">
      <alignment vertical="center" wrapText="1"/>
    </xf>
    <xf numFmtId="0" fontId="25" fillId="4" borderId="11" xfId="0" applyFont="1" applyFill="1" applyBorder="1" applyAlignment="1">
      <alignment vertical="center" wrapText="1"/>
    </xf>
    <xf numFmtId="0" fontId="25" fillId="4" borderId="12" xfId="0" applyFont="1" applyFill="1" applyBorder="1" applyAlignment="1">
      <alignment vertical="center" wrapText="1"/>
    </xf>
    <xf numFmtId="0" fontId="0" fillId="3" borderId="2" xfId="0" applyFill="1" applyBorder="1"/>
    <xf numFmtId="0" fontId="0" fillId="3" borderId="1" xfId="0" applyFill="1" applyBorder="1"/>
    <xf numFmtId="0" fontId="0" fillId="3" borderId="3" xfId="0" applyFill="1" applyBorder="1"/>
    <xf numFmtId="0" fontId="52" fillId="11" borderId="5" xfId="0" applyFont="1" applyFill="1" applyBorder="1" applyAlignment="1">
      <alignment horizontal="center" vertical="center" wrapText="1"/>
    </xf>
    <xf numFmtId="0" fontId="52" fillId="11" borderId="6" xfId="0" applyFont="1" applyFill="1" applyBorder="1" applyAlignment="1">
      <alignment horizontal="center" vertical="center" wrapText="1"/>
    </xf>
    <xf numFmtId="0" fontId="51" fillId="11" borderId="11" xfId="0" applyFont="1" applyFill="1" applyBorder="1" applyAlignment="1">
      <alignment vertical="center" textRotation="90" wrapText="1"/>
    </xf>
    <xf numFmtId="0" fontId="51" fillId="11" borderId="12" xfId="0" applyFont="1" applyFill="1" applyBorder="1" applyAlignment="1">
      <alignment vertical="center" textRotation="90" wrapText="1"/>
    </xf>
    <xf numFmtId="0" fontId="51" fillId="18" borderId="11" xfId="0" applyFont="1" applyFill="1" applyBorder="1" applyAlignment="1">
      <alignment vertical="center" textRotation="90" wrapText="1"/>
    </xf>
    <xf numFmtId="0" fontId="51" fillId="18" borderId="12" xfId="0" applyFont="1" applyFill="1" applyBorder="1" applyAlignment="1">
      <alignment vertical="center" textRotation="90" wrapText="1"/>
    </xf>
    <xf numFmtId="0" fontId="0" fillId="0" borderId="7" xfId="0" applyBorder="1" applyAlignment="1">
      <alignment vertical="center"/>
    </xf>
    <xf numFmtId="0" fontId="0" fillId="3" borderId="7" xfId="0" applyFill="1" applyBorder="1" applyAlignment="1">
      <alignment vertical="center"/>
    </xf>
    <xf numFmtId="0" fontId="0" fillId="0" borderId="4"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11" fillId="53" borderId="8" xfId="0" applyFont="1" applyFill="1" applyBorder="1"/>
    <xf numFmtId="0" fontId="27" fillId="4" borderId="7" xfId="0" applyFont="1" applyFill="1" applyBorder="1" applyAlignment="1">
      <alignment horizontal="center" vertical="center" wrapText="1"/>
    </xf>
    <xf numFmtId="0" fontId="98" fillId="10" borderId="19" xfId="0" applyFont="1" applyFill="1" applyBorder="1" applyAlignment="1">
      <alignment vertical="center" wrapText="1"/>
    </xf>
    <xf numFmtId="0" fontId="98" fillId="10" borderId="0" xfId="0" applyFont="1" applyFill="1" applyAlignment="1">
      <alignment vertical="center" wrapText="1"/>
    </xf>
    <xf numFmtId="0" fontId="98" fillId="10" borderId="16" xfId="0" applyFont="1" applyFill="1" applyBorder="1" applyAlignment="1">
      <alignment vertical="center" wrapText="1"/>
    </xf>
    <xf numFmtId="0" fontId="98" fillId="10" borderId="20" xfId="0" applyFont="1" applyFill="1" applyBorder="1" applyAlignment="1">
      <alignment vertical="center" wrapText="1"/>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1" fillId="3" borderId="12" xfId="0" applyFont="1" applyFill="1" applyBorder="1" applyAlignment="1">
      <alignment vertical="center" wrapText="1"/>
    </xf>
    <xf numFmtId="0" fontId="17" fillId="3" borderId="4" xfId="0" applyFont="1" applyFill="1" applyBorder="1" applyAlignment="1">
      <alignment vertical="center" wrapText="1"/>
    </xf>
    <xf numFmtId="0" fontId="17" fillId="3" borderId="5" xfId="0" applyFont="1" applyFill="1" applyBorder="1" applyAlignment="1">
      <alignment vertical="center" wrapText="1"/>
    </xf>
    <xf numFmtId="0" fontId="17" fillId="3" borderId="6" xfId="0" applyFont="1" applyFill="1" applyBorder="1" applyAlignment="1">
      <alignment vertical="center" wrapText="1"/>
    </xf>
    <xf numFmtId="0" fontId="17" fillId="4" borderId="4" xfId="0" applyFont="1" applyFill="1" applyBorder="1" applyAlignment="1">
      <alignment vertical="center" wrapText="1"/>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 fillId="3" borderId="4" xfId="0" applyFont="1" applyFill="1" applyBorder="1" applyAlignment="1">
      <alignment vertical="center" wrapText="1"/>
    </xf>
    <xf numFmtId="0" fontId="1" fillId="3" borderId="5" xfId="0" applyFont="1" applyFill="1" applyBorder="1" applyAlignment="1">
      <alignment vertical="center" wrapText="1"/>
    </xf>
    <xf numFmtId="0" fontId="1" fillId="3" borderId="6" xfId="0" applyFont="1" applyFill="1" applyBorder="1" applyAlignment="1">
      <alignment vertical="center" wrapText="1"/>
    </xf>
    <xf numFmtId="0" fontId="1" fillId="4" borderId="4" xfId="0" applyFont="1" applyFill="1" applyBorder="1" applyAlignment="1">
      <alignment vertical="center" wrapText="1"/>
    </xf>
    <xf numFmtId="0" fontId="1" fillId="4" borderId="5" xfId="0" applyFont="1" applyFill="1" applyBorder="1" applyAlignment="1">
      <alignment vertical="center" wrapText="1"/>
    </xf>
    <xf numFmtId="0" fontId="1" fillId="4" borderId="6" xfId="0" applyFont="1" applyFill="1" applyBorder="1" applyAlignment="1">
      <alignment vertical="center" wrapText="1"/>
    </xf>
    <xf numFmtId="0" fontId="29" fillId="3" borderId="4" xfId="0" applyFont="1" applyFill="1" applyBorder="1" applyAlignment="1">
      <alignment vertical="center" wrapText="1"/>
    </xf>
    <xf numFmtId="0" fontId="29" fillId="3" borderId="5" xfId="0" applyFont="1" applyFill="1" applyBorder="1" applyAlignment="1">
      <alignment vertical="center" wrapText="1"/>
    </xf>
    <xf numFmtId="0" fontId="29" fillId="3" borderId="6" xfId="0" applyFont="1" applyFill="1" applyBorder="1" applyAlignment="1">
      <alignment vertical="center" wrapText="1"/>
    </xf>
    <xf numFmtId="0" fontId="29" fillId="4" borderId="4" xfId="0" applyFont="1" applyFill="1" applyBorder="1" applyAlignment="1">
      <alignment vertical="center" wrapText="1"/>
    </xf>
    <xf numFmtId="0" fontId="29" fillId="4" borderId="5" xfId="0" applyFont="1" applyFill="1" applyBorder="1" applyAlignment="1">
      <alignment vertical="center" wrapText="1"/>
    </xf>
    <xf numFmtId="0" fontId="29" fillId="4" borderId="6" xfId="0" applyFont="1" applyFill="1" applyBorder="1" applyAlignment="1">
      <alignment vertical="center" wrapText="1"/>
    </xf>
    <xf numFmtId="0" fontId="17" fillId="3" borderId="7" xfId="0" applyFont="1" applyFill="1" applyBorder="1" applyAlignment="1">
      <alignment vertical="center" wrapText="1"/>
    </xf>
    <xf numFmtId="0" fontId="17" fillId="4" borderId="7" xfId="0" applyFont="1" applyFill="1" applyBorder="1" applyAlignment="1">
      <alignment vertical="center" wrapText="1"/>
    </xf>
    <xf numFmtId="0" fontId="29" fillId="2" borderId="4" xfId="0" applyFont="1" applyFill="1" applyBorder="1" applyAlignment="1">
      <alignment vertical="center" wrapText="1"/>
    </xf>
    <xf numFmtId="0" fontId="29" fillId="2" borderId="5" xfId="0" applyFont="1" applyFill="1" applyBorder="1" applyAlignment="1">
      <alignment vertical="center" wrapText="1"/>
    </xf>
    <xf numFmtId="0" fontId="29" fillId="2" borderId="6" xfId="0" applyFont="1" applyFill="1" applyBorder="1" applyAlignment="1">
      <alignment vertical="center" wrapText="1"/>
    </xf>
    <xf numFmtId="0" fontId="26" fillId="3" borderId="13" xfId="0" applyFont="1" applyFill="1" applyBorder="1" applyAlignment="1">
      <alignment horizontal="center" vertical="center"/>
    </xf>
    <xf numFmtId="0" fontId="26" fillId="3" borderId="0" xfId="0" applyFont="1" applyFill="1" applyAlignment="1">
      <alignment horizontal="center" vertical="center"/>
    </xf>
    <xf numFmtId="0" fontId="26" fillId="3" borderId="14"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26" fillId="3" borderId="6" xfId="0" applyFont="1" applyFill="1" applyBorder="1" applyAlignment="1">
      <alignment horizontal="center" vertical="center"/>
    </xf>
    <xf numFmtId="0" fontId="3" fillId="6" borderId="0" xfId="0" applyFont="1" applyFill="1" applyAlignment="1">
      <alignment vertical="center" wrapText="1"/>
    </xf>
    <xf numFmtId="0" fontId="52" fillId="3" borderId="4"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0" fillId="2" borderId="3" xfId="0" applyFill="1" applyBorder="1"/>
    <xf numFmtId="0" fontId="0" fillId="2" borderId="6" xfId="0" applyFill="1" applyBorder="1"/>
    <xf numFmtId="0" fontId="27" fillId="3" borderId="2" xfId="0" applyFont="1" applyFill="1" applyBorder="1" applyAlignment="1">
      <alignment vertical="center" wrapText="1"/>
    </xf>
    <xf numFmtId="0" fontId="27" fillId="3" borderId="3" xfId="0" applyFont="1" applyFill="1" applyBorder="1" applyAlignment="1">
      <alignment vertical="center" wrapText="1"/>
    </xf>
    <xf numFmtId="0" fontId="27" fillId="3" borderId="4" xfId="0" applyFont="1" applyFill="1" applyBorder="1" applyAlignment="1">
      <alignment vertical="center" wrapText="1"/>
    </xf>
    <xf numFmtId="0" fontId="27" fillId="3" borderId="6" xfId="0" applyFont="1" applyFill="1" applyBorder="1" applyAlignment="1">
      <alignment vertical="center" wrapText="1"/>
    </xf>
    <xf numFmtId="0" fontId="31" fillId="4" borderId="2" xfId="0" applyFont="1" applyFill="1" applyBorder="1" applyAlignment="1">
      <alignment vertical="center" wrapText="1"/>
    </xf>
    <xf numFmtId="0" fontId="31" fillId="4" borderId="1" xfId="0" applyFont="1" applyFill="1" applyBorder="1" applyAlignment="1">
      <alignment vertical="center" wrapText="1"/>
    </xf>
    <xf numFmtId="0" fontId="31" fillId="4" borderId="3" xfId="0" applyFont="1" applyFill="1" applyBorder="1" applyAlignment="1">
      <alignment vertical="center" wrapText="1"/>
    </xf>
    <xf numFmtId="0" fontId="31" fillId="4" borderId="4" xfId="0" applyFont="1" applyFill="1" applyBorder="1" applyAlignment="1">
      <alignment vertical="center" wrapText="1"/>
    </xf>
    <xf numFmtId="0" fontId="31" fillId="4" borderId="5" xfId="0" applyFont="1" applyFill="1" applyBorder="1" applyAlignment="1">
      <alignment vertical="center" wrapText="1"/>
    </xf>
    <xf numFmtId="0" fontId="31" fillId="4" borderId="6" xfId="0" applyFont="1" applyFill="1" applyBorder="1" applyAlignment="1">
      <alignment vertical="center" wrapText="1"/>
    </xf>
    <xf numFmtId="0" fontId="25" fillId="3" borderId="2" xfId="0" applyFont="1" applyFill="1" applyBorder="1" applyAlignment="1">
      <alignment vertical="center" wrapText="1"/>
    </xf>
    <xf numFmtId="0" fontId="25" fillId="3" borderId="1" xfId="0" applyFont="1" applyFill="1" applyBorder="1" applyAlignment="1">
      <alignment vertical="center" wrapText="1"/>
    </xf>
    <xf numFmtId="0" fontId="25" fillId="3" borderId="3" xfId="0" applyFont="1" applyFill="1" applyBorder="1" applyAlignment="1">
      <alignment vertical="center" wrapText="1"/>
    </xf>
    <xf numFmtId="0" fontId="25" fillId="3" borderId="4" xfId="0" applyFont="1" applyFill="1" applyBorder="1" applyAlignment="1">
      <alignment vertical="center" wrapText="1"/>
    </xf>
    <xf numFmtId="0" fontId="25" fillId="3" borderId="5" xfId="0" applyFont="1" applyFill="1" applyBorder="1" applyAlignment="1">
      <alignment vertical="center" wrapText="1"/>
    </xf>
    <xf numFmtId="0" fontId="25" fillId="3" borderId="6" xfId="0" applyFont="1" applyFill="1" applyBorder="1" applyAlignment="1">
      <alignment vertical="center" wrapText="1"/>
    </xf>
    <xf numFmtId="0" fontId="25" fillId="4" borderId="2" xfId="0" applyFont="1" applyFill="1" applyBorder="1" applyAlignment="1">
      <alignment vertical="center" wrapText="1"/>
    </xf>
    <xf numFmtId="0" fontId="25" fillId="4" borderId="1" xfId="0" applyFont="1" applyFill="1" applyBorder="1" applyAlignment="1">
      <alignment vertical="center" wrapText="1"/>
    </xf>
    <xf numFmtId="0" fontId="25" fillId="4" borderId="3" xfId="0" applyFont="1" applyFill="1" applyBorder="1" applyAlignment="1">
      <alignment vertical="center" wrapText="1"/>
    </xf>
    <xf numFmtId="0" fontId="25" fillId="4" borderId="4" xfId="0" applyFont="1" applyFill="1" applyBorder="1" applyAlignment="1">
      <alignment vertical="center" wrapText="1"/>
    </xf>
    <xf numFmtId="0" fontId="25" fillId="4" borderId="5" xfId="0" applyFont="1" applyFill="1" applyBorder="1" applyAlignment="1">
      <alignment vertical="center" wrapText="1"/>
    </xf>
    <xf numFmtId="0" fontId="25" fillId="4" borderId="6" xfId="0" applyFont="1" applyFill="1" applyBorder="1" applyAlignment="1">
      <alignment vertical="center" wrapText="1"/>
    </xf>
    <xf numFmtId="0" fontId="5" fillId="3" borderId="2" xfId="0" applyFont="1" applyFill="1" applyBorder="1" applyAlignment="1">
      <alignment vertical="center" wrapText="1"/>
    </xf>
    <xf numFmtId="0" fontId="5" fillId="3" borderId="1" xfId="0" applyFont="1" applyFill="1" applyBorder="1" applyAlignment="1">
      <alignment vertical="center" wrapText="1"/>
    </xf>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5" fillId="3" borderId="6" xfId="0" applyFont="1" applyFill="1" applyBorder="1" applyAlignment="1">
      <alignment vertical="center" wrapText="1"/>
    </xf>
    <xf numFmtId="0" fontId="5" fillId="4" borderId="2" xfId="0" applyFont="1" applyFill="1" applyBorder="1" applyAlignment="1">
      <alignment vertical="center" wrapText="1"/>
    </xf>
    <xf numFmtId="0" fontId="5" fillId="4" borderId="1" xfId="0" applyFont="1" applyFill="1" applyBorder="1" applyAlignment="1">
      <alignment vertical="center" wrapText="1"/>
    </xf>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5" fillId="4" borderId="6" xfId="0" applyFont="1" applyFill="1" applyBorder="1" applyAlignment="1">
      <alignment vertical="center" wrapText="1"/>
    </xf>
    <xf numFmtId="0" fontId="31" fillId="3" borderId="2" xfId="0" applyFont="1" applyFill="1" applyBorder="1" applyAlignment="1">
      <alignment vertical="center" wrapText="1"/>
    </xf>
    <xf numFmtId="0" fontId="31" fillId="3" borderId="1" xfId="0" applyFont="1" applyFill="1" applyBorder="1" applyAlignment="1">
      <alignment vertical="center" wrapText="1"/>
    </xf>
    <xf numFmtId="0" fontId="31" fillId="3" borderId="3" xfId="0" applyFont="1" applyFill="1" applyBorder="1" applyAlignment="1">
      <alignment vertical="center" wrapText="1"/>
    </xf>
    <xf numFmtId="0" fontId="31" fillId="3" borderId="4" xfId="0" applyFont="1" applyFill="1" applyBorder="1" applyAlignment="1">
      <alignment vertical="center" wrapText="1"/>
    </xf>
    <xf numFmtId="0" fontId="31" fillId="3" borderId="5" xfId="0" applyFont="1" applyFill="1" applyBorder="1" applyAlignment="1">
      <alignment vertical="center" wrapText="1"/>
    </xf>
    <xf numFmtId="0" fontId="31" fillId="3" borderId="6" xfId="0" applyFont="1" applyFill="1" applyBorder="1" applyAlignment="1">
      <alignment vertical="center" wrapText="1"/>
    </xf>
    <xf numFmtId="14" fontId="20" fillId="8" borderId="7" xfId="0" applyNumberFormat="1" applyFont="1" applyFill="1" applyBorder="1" applyProtection="1">
      <protection locked="0"/>
    </xf>
    <xf numFmtId="0" fontId="20" fillId="8" borderId="7" xfId="0" applyFont="1" applyFill="1" applyBorder="1" applyProtection="1">
      <protection locked="0"/>
    </xf>
    <xf numFmtId="0" fontId="0" fillId="48" borderId="7" xfId="0" applyFill="1" applyBorder="1"/>
    <xf numFmtId="0" fontId="0" fillId="8" borderId="8" xfId="0" applyFill="1" applyBorder="1"/>
    <xf numFmtId="0" fontId="0" fillId="8" borderId="9" xfId="0" applyFill="1" applyBorder="1"/>
    <xf numFmtId="0" fontId="0" fillId="8" borderId="10" xfId="0" applyFill="1" applyBorder="1"/>
    <xf numFmtId="0" fontId="29" fillId="48" borderId="8" xfId="0" applyFont="1" applyFill="1" applyBorder="1" applyAlignment="1" applyProtection="1">
      <alignment vertical="center" wrapText="1"/>
      <protection locked="0"/>
    </xf>
    <xf numFmtId="0" fontId="29" fillId="48" borderId="9" xfId="0" applyFont="1" applyFill="1" applyBorder="1" applyAlignment="1" applyProtection="1">
      <alignment vertical="center" wrapText="1"/>
      <protection locked="0"/>
    </xf>
    <xf numFmtId="0" fontId="29" fillId="48" borderId="10" xfId="0" applyFont="1" applyFill="1" applyBorder="1" applyAlignment="1" applyProtection="1">
      <alignment vertical="center" wrapText="1"/>
      <protection locked="0"/>
    </xf>
    <xf numFmtId="0" fontId="0" fillId="48" borderId="11" xfId="0" applyFill="1" applyBorder="1"/>
    <xf numFmtId="0" fontId="0" fillId="8" borderId="2" xfId="0" applyFill="1" applyBorder="1"/>
    <xf numFmtId="0" fontId="0" fillId="8" borderId="1" xfId="0" applyFill="1" applyBorder="1"/>
    <xf numFmtId="0" fontId="0" fillId="8" borderId="3" xfId="0" applyFill="1" applyBorder="1"/>
    <xf numFmtId="0" fontId="29" fillId="48" borderId="2" xfId="0" applyFont="1" applyFill="1" applyBorder="1" applyAlignment="1" applyProtection="1">
      <alignment vertical="center" wrapText="1"/>
      <protection locked="0"/>
    </xf>
    <xf numFmtId="0" fontId="29" fillId="48" borderId="1" xfId="0" applyFont="1" applyFill="1" applyBorder="1" applyAlignment="1" applyProtection="1">
      <alignment vertical="center" wrapText="1"/>
      <protection locked="0"/>
    </xf>
    <xf numFmtId="0" fontId="29" fillId="48" borderId="3" xfId="0" applyFont="1" applyFill="1" applyBorder="1" applyAlignment="1" applyProtection="1">
      <alignment vertical="center" wrapText="1"/>
      <protection locked="0"/>
    </xf>
    <xf numFmtId="0" fontId="0" fillId="48" borderId="7" xfId="0" applyFill="1" applyBorder="1" applyProtection="1">
      <protection locked="0"/>
    </xf>
    <xf numFmtId="0" fontId="0" fillId="8" borderId="8" xfId="0" applyFill="1" applyBorder="1" applyProtection="1">
      <protection locked="0"/>
    </xf>
    <xf numFmtId="0" fontId="0" fillId="8" borderId="9" xfId="0" applyFill="1" applyBorder="1" applyProtection="1">
      <protection locked="0"/>
    </xf>
    <xf numFmtId="0" fontId="0" fillId="8" borderId="10" xfId="0" applyFill="1" applyBorder="1" applyProtection="1">
      <protection locked="0"/>
    </xf>
    <xf numFmtId="14" fontId="20" fillId="8" borderId="7" xfId="0" applyNumberFormat="1" applyFont="1" applyFill="1" applyBorder="1" applyAlignment="1" applyProtection="1">
      <alignment horizontal="left"/>
      <protection locked="0"/>
    </xf>
    <xf numFmtId="0" fontId="20" fillId="8" borderId="7" xfId="0" applyFont="1" applyFill="1" applyBorder="1" applyAlignment="1" applyProtection="1">
      <alignment horizontal="left"/>
      <protection locked="0"/>
    </xf>
    <xf numFmtId="14" fontId="20" fillId="2" borderId="7" xfId="0" applyNumberFormat="1"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100" fillId="4" borderId="8" xfId="0" applyFont="1" applyFill="1" applyBorder="1" applyAlignment="1" applyProtection="1">
      <alignment vertical="center"/>
      <protection locked="0"/>
    </xf>
    <xf numFmtId="0" fontId="100" fillId="4" borderId="9" xfId="0" applyFont="1" applyFill="1" applyBorder="1" applyAlignment="1" applyProtection="1">
      <alignment vertical="center"/>
      <protection locked="0"/>
    </xf>
    <xf numFmtId="0" fontId="100" fillId="4" borderId="10" xfId="0" applyFont="1" applyFill="1" applyBorder="1" applyAlignment="1" applyProtection="1">
      <alignment vertical="center"/>
      <protection locked="0"/>
    </xf>
    <xf numFmtId="0" fontId="100" fillId="3" borderId="8" xfId="0" applyFont="1" applyFill="1" applyBorder="1" applyAlignment="1" applyProtection="1">
      <alignment vertical="center"/>
      <protection locked="0"/>
    </xf>
    <xf numFmtId="0" fontId="100" fillId="3" borderId="9" xfId="0" applyFont="1" applyFill="1" applyBorder="1" applyAlignment="1" applyProtection="1">
      <alignment vertical="center"/>
      <protection locked="0"/>
    </xf>
    <xf numFmtId="0" fontId="100" fillId="3" borderId="10" xfId="0" applyFont="1" applyFill="1" applyBorder="1" applyAlignment="1" applyProtection="1">
      <alignment vertical="center"/>
      <protection locked="0"/>
    </xf>
    <xf numFmtId="0" fontId="20" fillId="4" borderId="8" xfId="0" applyFont="1" applyFill="1" applyBorder="1" applyAlignment="1" applyProtection="1">
      <alignment vertical="center" wrapText="1"/>
      <protection locked="0"/>
    </xf>
    <xf numFmtId="0" fontId="20" fillId="4" borderId="9" xfId="0" applyFont="1" applyFill="1" applyBorder="1" applyAlignment="1" applyProtection="1">
      <alignment vertical="center" wrapText="1"/>
      <protection locked="0"/>
    </xf>
    <xf numFmtId="0" fontId="20" fillId="4" borderId="10" xfId="0" applyFont="1" applyFill="1" applyBorder="1" applyAlignment="1" applyProtection="1">
      <alignment vertical="center" wrapText="1"/>
      <protection locked="0"/>
    </xf>
    <xf numFmtId="0" fontId="20" fillId="3" borderId="8" xfId="0" applyFont="1" applyFill="1" applyBorder="1" applyAlignment="1" applyProtection="1">
      <alignment vertical="center" wrapText="1"/>
      <protection locked="0"/>
    </xf>
    <xf numFmtId="0" fontId="20" fillId="3" borderId="9" xfId="0" applyFont="1" applyFill="1" applyBorder="1" applyAlignment="1" applyProtection="1">
      <alignment vertical="center" wrapText="1"/>
      <protection locked="0"/>
    </xf>
    <xf numFmtId="0" fontId="20" fillId="3" borderId="10" xfId="0" applyFont="1" applyFill="1" applyBorder="1" applyAlignment="1" applyProtection="1">
      <alignment vertical="center" wrapText="1"/>
      <protection locked="0"/>
    </xf>
    <xf numFmtId="0" fontId="29" fillId="4" borderId="9" xfId="0" applyFont="1" applyFill="1" applyBorder="1" applyAlignment="1" applyProtection="1">
      <alignment vertical="center" wrapText="1"/>
      <protection locked="0"/>
    </xf>
    <xf numFmtId="0" fontId="1" fillId="3" borderId="8" xfId="0" applyFont="1" applyFill="1" applyBorder="1" applyAlignment="1" applyProtection="1">
      <alignment horizontal="left" vertical="center" wrapText="1"/>
      <protection locked="0"/>
    </xf>
    <xf numFmtId="0" fontId="1" fillId="3" borderId="9"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1" fillId="3" borderId="10" xfId="0" applyFont="1" applyFill="1" applyBorder="1" applyAlignment="1" applyProtection="1">
      <alignment horizontal="left" vertical="center" wrapText="1"/>
      <protection locked="0"/>
    </xf>
    <xf numFmtId="0" fontId="100" fillId="4" borderId="8" xfId="0" applyFont="1" applyFill="1" applyBorder="1" applyAlignment="1">
      <alignment vertical="center"/>
    </xf>
    <xf numFmtId="0" fontId="100" fillId="4" borderId="9" xfId="0" applyFont="1" applyFill="1" applyBorder="1" applyAlignment="1">
      <alignment vertical="center"/>
    </xf>
    <xf numFmtId="0" fontId="100" fillId="4" borderId="10" xfId="0" applyFont="1" applyFill="1" applyBorder="1" applyAlignment="1">
      <alignment vertical="center"/>
    </xf>
    <xf numFmtId="0" fontId="36" fillId="11" borderId="11" xfId="0" applyFont="1" applyFill="1" applyBorder="1" applyAlignment="1">
      <alignment vertical="center" textRotation="90" wrapText="1"/>
    </xf>
    <xf numFmtId="0" fontId="36" fillId="11" borderId="12" xfId="0" applyFont="1" applyFill="1" applyBorder="1" applyAlignment="1">
      <alignment vertical="center" textRotation="90" wrapText="1"/>
    </xf>
    <xf numFmtId="0" fontId="36" fillId="18" borderId="11" xfId="0" applyFont="1" applyFill="1" applyBorder="1" applyAlignment="1">
      <alignment vertical="center" textRotation="90" wrapText="1"/>
    </xf>
    <xf numFmtId="0" fontId="36" fillId="18" borderId="12" xfId="0" applyFont="1" applyFill="1" applyBorder="1" applyAlignment="1">
      <alignment vertical="center" textRotation="90" wrapText="1"/>
    </xf>
    <xf numFmtId="0" fontId="27" fillId="2" borderId="2" xfId="0" applyFont="1" applyFill="1" applyBorder="1" applyAlignment="1">
      <alignment vertical="center" wrapText="1"/>
    </xf>
    <xf numFmtId="0" fontId="27" fillId="2" borderId="3" xfId="0" applyFont="1" applyFill="1" applyBorder="1" applyAlignment="1">
      <alignment vertical="center" wrapText="1"/>
    </xf>
    <xf numFmtId="0" fontId="27" fillId="2" borderId="4" xfId="0" applyFont="1" applyFill="1" applyBorder="1" applyAlignment="1">
      <alignment vertical="center" wrapText="1"/>
    </xf>
    <xf numFmtId="0" fontId="27" fillId="2" borderId="6" xfId="0" applyFont="1" applyFill="1" applyBorder="1" applyAlignment="1">
      <alignment vertical="center" wrapText="1"/>
    </xf>
    <xf numFmtId="0" fontId="61" fillId="4" borderId="2" xfId="0" applyFont="1" applyFill="1" applyBorder="1" applyAlignment="1">
      <alignment horizontal="center" vertical="center" wrapText="1"/>
    </xf>
    <xf numFmtId="0" fontId="61" fillId="4" borderId="1"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61" fillId="4" borderId="4" xfId="0" applyFont="1" applyFill="1" applyBorder="1" applyAlignment="1">
      <alignment horizontal="center" vertical="center" wrapText="1"/>
    </xf>
    <xf numFmtId="0" fontId="61" fillId="4" borderId="5" xfId="0" applyFont="1" applyFill="1" applyBorder="1" applyAlignment="1">
      <alignment horizontal="center" vertical="center" wrapText="1"/>
    </xf>
    <xf numFmtId="0" fontId="61" fillId="4" borderId="6"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3" borderId="6" xfId="0" applyFont="1" applyFill="1" applyBorder="1" applyAlignment="1">
      <alignment horizontal="center" vertical="center" wrapText="1"/>
    </xf>
    <xf numFmtId="0" fontId="27" fillId="4" borderId="2" xfId="0" applyFont="1" applyFill="1" applyBorder="1" applyAlignment="1">
      <alignment vertical="center" wrapText="1"/>
    </xf>
    <xf numFmtId="0" fontId="27" fillId="4" borderId="1" xfId="0" applyFont="1" applyFill="1" applyBorder="1" applyAlignment="1">
      <alignment vertical="center" wrapText="1"/>
    </xf>
    <xf numFmtId="0" fontId="27" fillId="4" borderId="3" xfId="0" applyFont="1" applyFill="1" applyBorder="1" applyAlignment="1">
      <alignment vertical="center" wrapText="1"/>
    </xf>
    <xf numFmtId="0" fontId="27" fillId="4" borderId="4" xfId="0" applyFont="1" applyFill="1" applyBorder="1" applyAlignment="1">
      <alignment vertical="center" wrapText="1"/>
    </xf>
    <xf numFmtId="0" fontId="27" fillId="4" borderId="5" xfId="0" applyFont="1" applyFill="1" applyBorder="1" applyAlignment="1">
      <alignment vertical="center" wrapText="1"/>
    </xf>
    <xf numFmtId="0" fontId="27" fillId="4" borderId="6" xfId="0" applyFont="1" applyFill="1" applyBorder="1" applyAlignment="1">
      <alignment vertical="center" wrapText="1"/>
    </xf>
    <xf numFmtId="0" fontId="27" fillId="3" borderId="1" xfId="0" applyFont="1" applyFill="1" applyBorder="1" applyAlignment="1">
      <alignment vertical="center" wrapText="1"/>
    </xf>
    <xf numFmtId="0" fontId="27" fillId="3" borderId="5" xfId="0" applyFont="1" applyFill="1" applyBorder="1" applyAlignment="1">
      <alignment vertical="center" wrapText="1"/>
    </xf>
    <xf numFmtId="0" fontId="0" fillId="4" borderId="3" xfId="0" applyFill="1" applyBorder="1"/>
    <xf numFmtId="0" fontId="0" fillId="4" borderId="6" xfId="0" applyFill="1" applyBorder="1"/>
    <xf numFmtId="0" fontId="28" fillId="4" borderId="2" xfId="0" applyFont="1" applyFill="1" applyBorder="1" applyAlignment="1">
      <alignment vertical="center" wrapText="1"/>
    </xf>
    <xf numFmtId="0" fontId="28" fillId="4" borderId="1" xfId="0" applyFont="1" applyFill="1" applyBorder="1" applyAlignment="1">
      <alignment vertical="center" wrapText="1"/>
    </xf>
    <xf numFmtId="0" fontId="28" fillId="4" borderId="3" xfId="0" applyFont="1" applyFill="1" applyBorder="1" applyAlignment="1">
      <alignment vertical="center" wrapText="1"/>
    </xf>
    <xf numFmtId="0" fontId="28" fillId="4" borderId="4" xfId="0" applyFont="1" applyFill="1" applyBorder="1" applyAlignment="1">
      <alignment vertical="center" wrapText="1"/>
    </xf>
    <xf numFmtId="0" fontId="28" fillId="4" borderId="5" xfId="0" applyFont="1" applyFill="1" applyBorder="1" applyAlignment="1">
      <alignment vertical="center" wrapText="1"/>
    </xf>
    <xf numFmtId="0" fontId="28" fillId="4" borderId="6" xfId="0" applyFont="1" applyFill="1" applyBorder="1" applyAlignment="1">
      <alignment vertical="center" wrapText="1"/>
    </xf>
    <xf numFmtId="0" fontId="28" fillId="3" borderId="2"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30" fillId="53" borderId="8" xfId="0" applyFont="1" applyFill="1" applyBorder="1" applyAlignment="1" applyProtection="1">
      <alignment vertical="center" wrapText="1"/>
      <protection locked="0"/>
    </xf>
    <xf numFmtId="0" fontId="30" fillId="53" borderId="9" xfId="0" applyFont="1" applyFill="1" applyBorder="1" applyAlignment="1" applyProtection="1">
      <alignment vertical="center" wrapText="1"/>
      <protection locked="0"/>
    </xf>
    <xf numFmtId="0" fontId="30" fillId="53" borderId="10" xfId="0" applyFont="1" applyFill="1" applyBorder="1" applyAlignment="1" applyProtection="1">
      <alignment vertical="center" wrapText="1"/>
      <protection locked="0"/>
    </xf>
    <xf numFmtId="0" fontId="30" fillId="53" borderId="8" xfId="0" applyFont="1" applyFill="1" applyBorder="1" applyAlignment="1">
      <alignment vertical="center" wrapText="1"/>
    </xf>
    <xf numFmtId="0" fontId="30" fillId="53" borderId="9" xfId="0" applyFont="1" applyFill="1" applyBorder="1" applyAlignment="1">
      <alignment vertical="center" wrapText="1"/>
    </xf>
    <xf numFmtId="0" fontId="30" fillId="53" borderId="10" xfId="0" applyFont="1" applyFill="1" applyBorder="1" applyAlignment="1">
      <alignment vertical="center" wrapText="1"/>
    </xf>
    <xf numFmtId="0" fontId="0" fillId="3" borderId="8" xfId="0" applyFill="1" applyBorder="1" applyAlignment="1">
      <alignment horizontal="left" vertical="center"/>
    </xf>
    <xf numFmtId="0" fontId="0" fillId="3" borderId="9" xfId="0" applyFill="1" applyBorder="1" applyAlignment="1">
      <alignment horizontal="left" vertical="center"/>
    </xf>
    <xf numFmtId="0" fontId="0" fillId="3" borderId="10" xfId="0" applyFill="1" applyBorder="1" applyAlignment="1">
      <alignment horizontal="left" vertical="center"/>
    </xf>
    <xf numFmtId="0" fontId="91" fillId="3" borderId="4" xfId="0" applyFont="1" applyFill="1" applyBorder="1" applyAlignment="1">
      <alignment horizontal="center" vertical="center" wrapText="1"/>
    </xf>
    <xf numFmtId="0" fontId="91" fillId="3" borderId="5" xfId="0" applyFont="1" applyFill="1" applyBorder="1" applyAlignment="1">
      <alignment horizontal="center" vertical="center" wrapText="1"/>
    </xf>
    <xf numFmtId="0" fontId="101" fillId="4" borderId="8" xfId="0" applyFont="1" applyFill="1" applyBorder="1" applyAlignment="1">
      <alignment horizontal="center" vertical="center" wrapText="1"/>
    </xf>
    <xf numFmtId="0" fontId="101" fillId="4" borderId="9" xfId="0" applyFont="1" applyFill="1" applyBorder="1" applyAlignment="1">
      <alignment horizontal="center" vertical="center" wrapText="1"/>
    </xf>
    <xf numFmtId="0" fontId="101" fillId="4" borderId="10" xfId="0" applyFont="1" applyFill="1" applyBorder="1" applyAlignment="1">
      <alignment horizontal="center" vertical="center" wrapText="1"/>
    </xf>
    <xf numFmtId="0" fontId="61" fillId="4" borderId="4" xfId="0" applyFont="1" applyFill="1" applyBorder="1" applyAlignment="1">
      <alignment vertical="center" wrapText="1"/>
    </xf>
    <xf numFmtId="0" fontId="61" fillId="4" borderId="5" xfId="0" applyFont="1" applyFill="1" applyBorder="1" applyAlignment="1">
      <alignment vertical="center" wrapText="1"/>
    </xf>
    <xf numFmtId="0" fontId="61" fillId="4" borderId="6" xfId="0" applyFont="1" applyFill="1" applyBorder="1" applyAlignment="1">
      <alignment vertical="center" wrapText="1"/>
    </xf>
    <xf numFmtId="0" fontId="61" fillId="3" borderId="4" xfId="0" applyFont="1" applyFill="1" applyBorder="1" applyAlignment="1">
      <alignment vertical="center" wrapText="1"/>
    </xf>
    <xf numFmtId="0" fontId="61" fillId="3" borderId="5" xfId="0" applyFont="1" applyFill="1" applyBorder="1" applyAlignment="1">
      <alignment vertical="center" wrapText="1"/>
    </xf>
    <xf numFmtId="0" fontId="61" fillId="3" borderId="6" xfId="0" applyFont="1" applyFill="1" applyBorder="1" applyAlignment="1">
      <alignment vertical="center" wrapText="1"/>
    </xf>
    <xf numFmtId="0" fontId="0" fillId="3" borderId="2" xfId="0"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27" fillId="8" borderId="2" xfId="0" applyFont="1" applyFill="1" applyBorder="1" applyAlignment="1">
      <alignment vertical="center" wrapText="1"/>
    </xf>
    <xf numFmtId="0" fontId="27" fillId="8" borderId="3" xfId="0" applyFont="1" applyFill="1" applyBorder="1" applyAlignment="1">
      <alignment vertical="center" wrapText="1"/>
    </xf>
    <xf numFmtId="0" fontId="27" fillId="8" borderId="4" xfId="0" applyFont="1" applyFill="1" applyBorder="1" applyAlignment="1">
      <alignment vertical="center" wrapText="1"/>
    </xf>
    <xf numFmtId="0" fontId="27" fillId="8" borderId="6" xfId="0" applyFont="1" applyFill="1" applyBorder="1" applyAlignment="1">
      <alignment vertical="center" wrapText="1"/>
    </xf>
    <xf numFmtId="0" fontId="52" fillId="48" borderId="2" xfId="0" applyFont="1" applyFill="1" applyBorder="1" applyAlignment="1">
      <alignment vertical="center" wrapText="1"/>
    </xf>
    <xf numFmtId="0" fontId="52" fillId="48" borderId="1" xfId="0" applyFont="1" applyFill="1" applyBorder="1" applyAlignment="1">
      <alignment vertical="center" wrapText="1"/>
    </xf>
    <xf numFmtId="0" fontId="52" fillId="48" borderId="3" xfId="0" applyFont="1" applyFill="1" applyBorder="1" applyAlignment="1">
      <alignment vertical="center" wrapText="1"/>
    </xf>
    <xf numFmtId="0" fontId="52" fillId="48" borderId="4" xfId="0" applyFont="1" applyFill="1" applyBorder="1" applyAlignment="1">
      <alignment vertical="center" wrapText="1"/>
    </xf>
    <xf numFmtId="0" fontId="52" fillId="48" borderId="5" xfId="0" applyFont="1" applyFill="1" applyBorder="1" applyAlignment="1">
      <alignment vertical="center" wrapText="1"/>
    </xf>
    <xf numFmtId="0" fontId="52" fillId="48" borderId="6" xfId="0" applyFont="1" applyFill="1" applyBorder="1" applyAlignment="1">
      <alignment vertical="center" wrapText="1"/>
    </xf>
    <xf numFmtId="0" fontId="52" fillId="8" borderId="2" xfId="0" applyFont="1" applyFill="1" applyBorder="1" applyAlignment="1">
      <alignment vertical="center" wrapText="1"/>
    </xf>
    <xf numFmtId="0" fontId="52" fillId="8" borderId="1" xfId="0" applyFont="1" applyFill="1" applyBorder="1" applyAlignment="1">
      <alignment vertical="center" wrapText="1"/>
    </xf>
    <xf numFmtId="0" fontId="52" fillId="8" borderId="3" xfId="0" applyFont="1" applyFill="1" applyBorder="1" applyAlignment="1">
      <alignment vertical="center" wrapText="1"/>
    </xf>
    <xf numFmtId="0" fontId="52" fillId="8" borderId="4" xfId="0" applyFont="1" applyFill="1" applyBorder="1" applyAlignment="1">
      <alignment vertical="center" wrapText="1"/>
    </xf>
    <xf numFmtId="0" fontId="52" fillId="8" borderId="5" xfId="0" applyFont="1" applyFill="1" applyBorder="1" applyAlignment="1">
      <alignment vertical="center" wrapText="1"/>
    </xf>
    <xf numFmtId="0" fontId="52" fillId="8" borderId="6" xfId="0" applyFont="1" applyFill="1" applyBorder="1" applyAlignment="1">
      <alignment vertical="center" wrapText="1"/>
    </xf>
    <xf numFmtId="0" fontId="28" fillId="48" borderId="2" xfId="0" applyFont="1" applyFill="1" applyBorder="1" applyAlignment="1">
      <alignment vertical="center" wrapText="1"/>
    </xf>
    <xf numFmtId="0" fontId="28" fillId="48" borderId="1" xfId="0" applyFont="1" applyFill="1" applyBorder="1" applyAlignment="1">
      <alignment vertical="center" wrapText="1"/>
    </xf>
    <xf numFmtId="0" fontId="28" fillId="48" borderId="3" xfId="0" applyFont="1" applyFill="1" applyBorder="1" applyAlignment="1">
      <alignment vertical="center" wrapText="1"/>
    </xf>
    <xf numFmtId="0" fontId="28" fillId="48" borderId="4" xfId="0" applyFont="1" applyFill="1" applyBorder="1" applyAlignment="1">
      <alignment vertical="center" wrapText="1"/>
    </xf>
    <xf numFmtId="0" fontId="28" fillId="48" borderId="5" xfId="0" applyFont="1" applyFill="1" applyBorder="1" applyAlignment="1">
      <alignment vertical="center" wrapText="1"/>
    </xf>
    <xf numFmtId="0" fontId="28" fillId="48" borderId="6" xfId="0" applyFont="1" applyFill="1" applyBorder="1" applyAlignment="1">
      <alignment vertical="center" wrapText="1"/>
    </xf>
    <xf numFmtId="0" fontId="0" fillId="8" borderId="2" xfId="0" applyFill="1" applyBorder="1" applyAlignment="1">
      <alignment vertical="center" wrapText="1"/>
    </xf>
    <xf numFmtId="0" fontId="0" fillId="8" borderId="1" xfId="0" applyFill="1" applyBorder="1" applyAlignment="1">
      <alignment vertical="center" wrapText="1"/>
    </xf>
    <xf numFmtId="0" fontId="0" fillId="8" borderId="3" xfId="0" applyFill="1" applyBorder="1" applyAlignment="1">
      <alignment vertical="center" wrapText="1"/>
    </xf>
    <xf numFmtId="0" fontId="0" fillId="8" borderId="4" xfId="0" applyFill="1" applyBorder="1" applyAlignment="1">
      <alignment vertical="center" wrapText="1"/>
    </xf>
    <xf numFmtId="0" fontId="0" fillId="8" borderId="5" xfId="0" applyFill="1" applyBorder="1" applyAlignment="1">
      <alignment vertical="center" wrapText="1"/>
    </xf>
    <xf numFmtId="0" fontId="0" fillId="8" borderId="6" xfId="0" applyFill="1" applyBorder="1" applyAlignment="1">
      <alignment vertical="center" wrapText="1"/>
    </xf>
    <xf numFmtId="0" fontId="84" fillId="35" borderId="5" xfId="0" applyFont="1" applyFill="1" applyBorder="1" applyAlignment="1">
      <alignment horizontal="center" vertical="center" wrapText="1"/>
    </xf>
    <xf numFmtId="0" fontId="0" fillId="48" borderId="13" xfId="0" applyFill="1" applyBorder="1" applyAlignment="1">
      <alignment vertical="center" wrapText="1"/>
    </xf>
    <xf numFmtId="0" fontId="0" fillId="48" borderId="0" xfId="0" applyFill="1" applyAlignment="1">
      <alignment vertical="center" wrapText="1"/>
    </xf>
    <xf numFmtId="0" fontId="0" fillId="48" borderId="14" xfId="0" applyFill="1" applyBorder="1" applyAlignment="1">
      <alignment vertical="center" wrapText="1"/>
    </xf>
    <xf numFmtId="0" fontId="112" fillId="35" borderId="5" xfId="0" applyFont="1" applyFill="1" applyBorder="1" applyAlignment="1">
      <alignment horizontal="center" vertical="center" wrapText="1"/>
    </xf>
    <xf numFmtId="0" fontId="52" fillId="8" borderId="7" xfId="0" applyFont="1" applyFill="1" applyBorder="1" applyAlignment="1">
      <alignment vertical="center" wrapText="1"/>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27" fillId="8" borderId="7" xfId="0" applyFont="1" applyFill="1" applyBorder="1" applyAlignment="1">
      <alignment vertical="center" wrapText="1"/>
    </xf>
    <xf numFmtId="0" fontId="52" fillId="48" borderId="7" xfId="0" applyFont="1" applyFill="1" applyBorder="1" applyAlignment="1">
      <alignment vertical="center" wrapText="1"/>
    </xf>
    <xf numFmtId="0" fontId="28" fillId="48" borderId="7" xfId="0" applyFont="1" applyFill="1" applyBorder="1" applyAlignment="1">
      <alignment vertical="center" wrapText="1"/>
    </xf>
    <xf numFmtId="0" fontId="0" fillId="4" borderId="13" xfId="0" applyFill="1" applyBorder="1" applyAlignment="1">
      <alignment horizontal="center" vertical="center" wrapText="1"/>
    </xf>
    <xf numFmtId="0" fontId="0" fillId="4" borderId="0" xfId="0" applyFill="1" applyAlignment="1">
      <alignment horizontal="center" vertical="center" wrapText="1"/>
    </xf>
    <xf numFmtId="0" fontId="18" fillId="3" borderId="4" xfId="0" applyFont="1" applyFill="1" applyBorder="1" applyAlignment="1">
      <alignment vertical="center" wrapText="1"/>
    </xf>
    <xf numFmtId="0" fontId="18" fillId="3" borderId="5" xfId="0" applyFont="1" applyFill="1" applyBorder="1" applyAlignment="1">
      <alignment vertical="center" wrapText="1"/>
    </xf>
    <xf numFmtId="0" fontId="18" fillId="3" borderId="6" xfId="0" applyFont="1" applyFill="1" applyBorder="1" applyAlignment="1">
      <alignment vertical="center" wrapText="1"/>
    </xf>
    <xf numFmtId="0" fontId="27" fillId="2" borderId="12" xfId="0" applyFont="1" applyFill="1" applyBorder="1" applyAlignment="1">
      <alignment vertical="center" wrapText="1"/>
    </xf>
    <xf numFmtId="0" fontId="20" fillId="0" borderId="7" xfId="0" applyFont="1" applyBorder="1" applyProtection="1">
      <protection locked="0"/>
    </xf>
    <xf numFmtId="0" fontId="0" fillId="3" borderId="7" xfId="0" applyFill="1" applyBorder="1" applyProtection="1">
      <protection locked="0"/>
    </xf>
    <xf numFmtId="0" fontId="0" fillId="4" borderId="7" xfId="0" applyFill="1" applyBorder="1" applyProtection="1">
      <protection locked="0"/>
    </xf>
    <xf numFmtId="0" fontId="53" fillId="0" borderId="7" xfId="0" applyFont="1" applyBorder="1" applyAlignment="1" applyProtection="1">
      <alignment vertical="center" wrapText="1"/>
      <protection locked="0"/>
    </xf>
    <xf numFmtId="0" fontId="53" fillId="4" borderId="7" xfId="0" applyFont="1" applyFill="1" applyBorder="1" applyAlignment="1" applyProtection="1">
      <alignment vertical="center" wrapText="1"/>
      <protection locked="0"/>
    </xf>
    <xf numFmtId="0" fontId="1" fillId="3" borderId="9" xfId="0" applyFont="1" applyFill="1" applyBorder="1" applyAlignment="1">
      <alignment vertical="center" wrapText="1"/>
    </xf>
    <xf numFmtId="0" fontId="1" fillId="4" borderId="8" xfId="0" applyFont="1" applyFill="1" applyBorder="1" applyAlignment="1">
      <alignment vertical="center" wrapText="1"/>
    </xf>
    <xf numFmtId="0" fontId="1" fillId="4" borderId="9" xfId="0" applyFont="1" applyFill="1" applyBorder="1" applyAlignment="1">
      <alignment vertical="center" wrapText="1"/>
    </xf>
    <xf numFmtId="0" fontId="1" fillId="4" borderId="10" xfId="0" applyFont="1" applyFill="1" applyBorder="1" applyAlignment="1">
      <alignment vertical="center" wrapText="1"/>
    </xf>
    <xf numFmtId="0" fontId="32" fillId="4" borderId="7" xfId="0" applyFont="1" applyFill="1" applyBorder="1" applyAlignment="1">
      <alignment vertical="center" wrapText="1"/>
    </xf>
    <xf numFmtId="0" fontId="1" fillId="3" borderId="7" xfId="0" applyFont="1" applyFill="1" applyBorder="1" applyAlignment="1">
      <alignment vertical="center" wrapText="1"/>
    </xf>
    <xf numFmtId="0" fontId="36" fillId="3" borderId="8" xfId="0" applyFont="1" applyFill="1" applyBorder="1" applyAlignment="1">
      <alignment vertical="center" wrapText="1"/>
    </xf>
    <xf numFmtId="0" fontId="36" fillId="3" borderId="9" xfId="0" applyFont="1" applyFill="1" applyBorder="1" applyAlignment="1">
      <alignment vertical="center" wrapText="1"/>
    </xf>
    <xf numFmtId="0" fontId="36" fillId="3" borderId="10" xfId="0" applyFont="1" applyFill="1" applyBorder="1" applyAlignment="1">
      <alignment vertical="center" wrapText="1"/>
    </xf>
    <xf numFmtId="0" fontId="1" fillId="4" borderId="8"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20" fillId="3" borderId="7" xfId="0" applyFont="1" applyFill="1" applyBorder="1" applyProtection="1">
      <protection locked="0"/>
    </xf>
    <xf numFmtId="0" fontId="115" fillId="3" borderId="8" xfId="0" applyFont="1" applyFill="1" applyBorder="1" applyAlignment="1">
      <alignment vertical="center" wrapText="1"/>
    </xf>
    <xf numFmtId="0" fontId="115" fillId="3" borderId="9" xfId="0" applyFont="1" applyFill="1" applyBorder="1" applyAlignment="1">
      <alignment vertical="center" wrapText="1"/>
    </xf>
    <xf numFmtId="0" fontId="115" fillId="3" borderId="10" xfId="0" applyFont="1" applyFill="1" applyBorder="1" applyAlignment="1">
      <alignment vertical="center" wrapText="1"/>
    </xf>
    <xf numFmtId="0" fontId="38" fillId="4" borderId="8" xfId="0" applyFont="1" applyFill="1" applyBorder="1" applyAlignment="1">
      <alignment horizontal="center" vertical="center"/>
    </xf>
    <xf numFmtId="0" fontId="38" fillId="4" borderId="9" xfId="0" applyFont="1" applyFill="1" applyBorder="1" applyAlignment="1">
      <alignment horizontal="center" vertical="center"/>
    </xf>
    <xf numFmtId="0" fontId="38" fillId="4" borderId="10" xfId="0" applyFont="1" applyFill="1" applyBorder="1" applyAlignment="1">
      <alignment horizontal="center" vertical="center"/>
    </xf>
    <xf numFmtId="0" fontId="116" fillId="3" borderId="7" xfId="0" applyFont="1" applyFill="1" applyBorder="1" applyAlignment="1">
      <alignment vertical="center" wrapText="1"/>
    </xf>
    <xf numFmtId="0" fontId="28" fillId="4" borderId="7" xfId="0" applyFont="1" applyFill="1" applyBorder="1" applyAlignment="1">
      <alignment vertical="center" wrapText="1"/>
    </xf>
    <xf numFmtId="0" fontId="25" fillId="3" borderId="8" xfId="0" applyFont="1" applyFill="1" applyBorder="1" applyAlignment="1">
      <alignment vertical="center" wrapText="1"/>
    </xf>
    <xf numFmtId="0" fontId="25" fillId="3" borderId="9" xfId="0" applyFont="1" applyFill="1" applyBorder="1" applyAlignment="1">
      <alignment vertical="center" wrapText="1"/>
    </xf>
    <xf numFmtId="0" fontId="25" fillId="3" borderId="10" xfId="0" applyFont="1" applyFill="1" applyBorder="1" applyAlignment="1">
      <alignment vertical="center" wrapText="1"/>
    </xf>
    <xf numFmtId="0" fontId="25" fillId="4" borderId="8" xfId="0" applyFont="1" applyFill="1" applyBorder="1" applyAlignment="1">
      <alignment vertical="center" wrapText="1"/>
    </xf>
    <xf numFmtId="0" fontId="25" fillId="4" borderId="9" xfId="0" applyFont="1" applyFill="1" applyBorder="1" applyAlignment="1">
      <alignment vertical="center" wrapText="1"/>
    </xf>
    <xf numFmtId="0" fontId="25" fillId="4" borderId="10" xfId="0" applyFont="1" applyFill="1" applyBorder="1" applyAlignment="1">
      <alignment vertical="center" wrapText="1"/>
    </xf>
    <xf numFmtId="0" fontId="59" fillId="3" borderId="8" xfId="0" applyFont="1" applyFill="1" applyBorder="1" applyAlignment="1">
      <alignment vertical="center" wrapText="1"/>
    </xf>
    <xf numFmtId="0" fontId="59" fillId="3" borderId="10" xfId="0" applyFont="1" applyFill="1" applyBorder="1" applyAlignment="1">
      <alignment vertical="center" wrapText="1"/>
    </xf>
    <xf numFmtId="0" fontId="27" fillId="3" borderId="8" xfId="0" applyFont="1" applyFill="1" applyBorder="1" applyAlignment="1">
      <alignment vertical="center" wrapText="1"/>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4" borderId="8" xfId="0" applyFont="1" applyFill="1" applyBorder="1" applyAlignment="1">
      <alignment vertical="center" wrapText="1"/>
    </xf>
    <xf numFmtId="0" fontId="27" fillId="4" borderId="9" xfId="0" applyFont="1" applyFill="1" applyBorder="1" applyAlignment="1">
      <alignment vertical="center" wrapText="1"/>
    </xf>
    <xf numFmtId="0" fontId="27" fillId="4" borderId="10" xfId="0" applyFont="1" applyFill="1" applyBorder="1" applyAlignment="1">
      <alignment vertical="center" wrapText="1"/>
    </xf>
    <xf numFmtId="0" fontId="14" fillId="3" borderId="7" xfId="0" applyFont="1" applyFill="1" applyBorder="1" applyProtection="1">
      <protection locked="0"/>
    </xf>
    <xf numFmtId="0" fontId="14" fillId="0" borderId="7" xfId="0" applyFont="1" applyBorder="1" applyProtection="1">
      <protection locked="0"/>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5" fillId="4" borderId="10" xfId="0" applyFont="1" applyFill="1" applyBorder="1" applyAlignment="1">
      <alignment vertical="center" wrapText="1"/>
    </xf>
    <xf numFmtId="0" fontId="14" fillId="3" borderId="7" xfId="0" applyFont="1" applyFill="1" applyBorder="1" applyAlignment="1" applyProtection="1">
      <alignment vertical="center" wrapText="1"/>
      <protection locked="0"/>
    </xf>
    <xf numFmtId="0" fontId="14" fillId="0" borderId="7" xfId="0" applyFont="1" applyBorder="1" applyAlignment="1" applyProtection="1">
      <alignment vertical="center" wrapText="1"/>
      <protection locked="0"/>
    </xf>
    <xf numFmtId="0" fontId="20" fillId="0" borderId="7" xfId="0" applyFont="1" applyBorder="1" applyAlignment="1">
      <alignment vertical="center" wrapText="1"/>
    </xf>
    <xf numFmtId="0" fontId="31" fillId="0" borderId="7" xfId="0" applyFont="1" applyBorder="1" applyAlignment="1">
      <alignment vertical="center" wrapText="1"/>
    </xf>
    <xf numFmtId="0" fontId="18" fillId="0" borderId="7" xfId="0" applyFont="1" applyBorder="1" applyAlignment="1">
      <alignmen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1" fillId="0" borderId="7" xfId="0" applyFont="1" applyBorder="1" applyAlignment="1">
      <alignment vertical="center" wrapText="1"/>
    </xf>
    <xf numFmtId="0" fontId="28" fillId="0" borderId="7" xfId="0" applyFont="1" applyBorder="1" applyAlignment="1">
      <alignment vertical="center" wrapText="1"/>
    </xf>
    <xf numFmtId="0" fontId="115" fillId="0" borderId="7" xfId="0" applyFont="1" applyBorder="1" applyAlignment="1">
      <alignment vertical="center" wrapText="1"/>
    </xf>
    <xf numFmtId="0" fontId="48" fillId="0" borderId="7" xfId="0" applyFont="1" applyBorder="1" applyAlignment="1">
      <alignment vertical="center" wrapText="1"/>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38" fillId="3" borderId="15" xfId="0" applyFont="1" applyFill="1" applyBorder="1" applyAlignment="1">
      <alignment horizontal="center" vertical="center"/>
    </xf>
    <xf numFmtId="0" fontId="34" fillId="6" borderId="1" xfId="0" applyFont="1" applyFill="1" applyBorder="1" applyAlignment="1">
      <alignment vertical="center" wrapText="1"/>
    </xf>
    <xf numFmtId="0" fontId="0" fillId="0" borderId="7" xfId="0" applyBorder="1" applyAlignment="1">
      <alignment wrapText="1"/>
    </xf>
    <xf numFmtId="0" fontId="4" fillId="3" borderId="7" xfId="0" applyFont="1" applyFill="1" applyBorder="1" applyAlignment="1">
      <alignment vertical="center" wrapText="1"/>
    </xf>
    <xf numFmtId="0" fontId="31" fillId="0" borderId="7" xfId="0" applyFont="1" applyBorder="1" applyAlignment="1" applyProtection="1">
      <alignment vertical="center" wrapText="1"/>
      <protection locked="0"/>
    </xf>
    <xf numFmtId="0" fontId="31" fillId="0" borderId="8" xfId="0" applyFont="1" applyBorder="1" applyAlignment="1">
      <alignment vertical="center" wrapText="1"/>
    </xf>
    <xf numFmtId="0" fontId="31" fillId="0" borderId="9" xfId="0" applyFont="1" applyBorder="1" applyAlignment="1">
      <alignment vertical="center" wrapText="1"/>
    </xf>
    <xf numFmtId="0" fontId="31" fillId="0" borderId="10" xfId="0" applyFont="1" applyBorder="1" applyAlignment="1">
      <alignment vertical="center" wrapText="1"/>
    </xf>
    <xf numFmtId="0" fontId="0" fillId="3" borderId="8" xfId="0" applyFill="1" applyBorder="1" applyAlignment="1">
      <alignment horizontal="left" vertical="top" wrapText="1"/>
    </xf>
    <xf numFmtId="0" fontId="0" fillId="3" borderId="9" xfId="0" applyFill="1" applyBorder="1" applyAlignment="1">
      <alignment horizontal="left" vertical="top" wrapText="1"/>
    </xf>
    <xf numFmtId="0" fontId="0" fillId="3" borderId="10" xfId="0" applyFill="1" applyBorder="1" applyAlignment="1">
      <alignment horizontal="left" vertical="top" wrapText="1"/>
    </xf>
    <xf numFmtId="0" fontId="0" fillId="0" borderId="13" xfId="0" applyBorder="1"/>
    <xf numFmtId="0" fontId="0" fillId="0" borderId="0" xfId="0"/>
    <xf numFmtId="0" fontId="0" fillId="0" borderId="13" xfId="0" applyBorder="1" applyAlignment="1">
      <alignment horizontal="left" vertical="top"/>
    </xf>
    <xf numFmtId="0" fontId="0" fillId="0" borderId="0" xfId="0" applyAlignment="1">
      <alignment horizontal="left" vertical="top"/>
    </xf>
    <xf numFmtId="49" fontId="0" fillId="0" borderId="13" xfId="0" applyNumberFormat="1" applyBorder="1" applyAlignment="1">
      <alignment horizontal="left"/>
    </xf>
    <xf numFmtId="49" fontId="0" fillId="0" borderId="0" xfId="0" applyNumberFormat="1" applyAlignment="1">
      <alignment horizontal="left"/>
    </xf>
    <xf numFmtId="0" fontId="0" fillId="0" borderId="7" xfId="0" applyBorder="1" applyAlignment="1">
      <alignment horizontal="center" vertical="center"/>
    </xf>
    <xf numFmtId="0" fontId="88" fillId="33" borderId="1" xfId="0" applyFont="1" applyFill="1" applyBorder="1"/>
    <xf numFmtId="0" fontId="26" fillId="4" borderId="8" xfId="0" applyFont="1" applyFill="1" applyBorder="1" applyAlignment="1">
      <alignment horizontal="center" vertical="center"/>
    </xf>
    <xf numFmtId="0" fontId="26" fillId="4" borderId="9" xfId="0" applyFont="1" applyFill="1" applyBorder="1" applyAlignment="1">
      <alignment horizontal="center" vertical="center"/>
    </xf>
    <xf numFmtId="0" fontId="26" fillId="4" borderId="10" xfId="0" applyFont="1" applyFill="1" applyBorder="1" applyAlignment="1">
      <alignment horizontal="center" vertical="center"/>
    </xf>
    <xf numFmtId="0" fontId="102" fillId="4" borderId="8" xfId="0" applyFont="1" applyFill="1" applyBorder="1" applyAlignment="1">
      <alignment horizontal="center"/>
    </xf>
    <xf numFmtId="0" fontId="102" fillId="4" borderId="9" xfId="0" applyFont="1" applyFill="1" applyBorder="1" applyAlignment="1">
      <alignment horizontal="center"/>
    </xf>
    <xf numFmtId="0" fontId="102" fillId="4" borderId="10" xfId="0" applyFont="1" applyFill="1" applyBorder="1" applyAlignment="1">
      <alignment horizontal="center"/>
    </xf>
    <xf numFmtId="0" fontId="26" fillId="4" borderId="8" xfId="0" applyFont="1" applyFill="1" applyBorder="1" applyAlignment="1">
      <alignment horizontal="center"/>
    </xf>
    <xf numFmtId="0" fontId="26" fillId="4" borderId="9" xfId="0" applyFont="1" applyFill="1" applyBorder="1" applyAlignment="1">
      <alignment horizontal="center"/>
    </xf>
    <xf numFmtId="0" fontId="26" fillId="4" borderId="10" xfId="0" applyFont="1" applyFill="1" applyBorder="1" applyAlignment="1">
      <alignment horizontal="center"/>
    </xf>
    <xf numFmtId="14" fontId="0" fillId="0" borderId="7" xfId="0" applyNumberFormat="1" applyBorder="1"/>
    <xf numFmtId="0" fontId="38" fillId="4" borderId="8"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38" fillId="4" borderId="10" xfId="0" applyFont="1" applyFill="1" applyBorder="1" applyAlignment="1">
      <alignment horizontal="center" vertical="center" wrapText="1"/>
    </xf>
    <xf numFmtId="0" fontId="128" fillId="0" borderId="8" xfId="0" applyFont="1" applyBorder="1" applyAlignment="1">
      <alignment horizontal="center" vertical="center"/>
    </xf>
    <xf numFmtId="0" fontId="128" fillId="0" borderId="9" xfId="0" applyFont="1" applyBorder="1" applyAlignment="1">
      <alignment horizontal="center" vertical="center"/>
    </xf>
    <xf numFmtId="0" fontId="128" fillId="0" borderId="10" xfId="0" applyFont="1" applyBorder="1" applyAlignment="1">
      <alignment horizontal="center" vertical="center"/>
    </xf>
    <xf numFmtId="0" fontId="84" fillId="4" borderId="8" xfId="0" applyFont="1" applyFill="1" applyBorder="1" applyAlignment="1">
      <alignment horizontal="right"/>
    </xf>
    <xf numFmtId="0" fontId="84" fillId="4" borderId="9" xfId="0" applyFont="1" applyFill="1" applyBorder="1" applyAlignment="1">
      <alignment horizontal="right"/>
    </xf>
    <xf numFmtId="0" fontId="84" fillId="4" borderId="10" xfId="0" applyFont="1" applyFill="1" applyBorder="1" applyAlignment="1">
      <alignment horizontal="right"/>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88" fillId="39" borderId="2" xfId="0" applyFont="1" applyFill="1" applyBorder="1"/>
    <xf numFmtId="0" fontId="88" fillId="39" borderId="1" xfId="0" applyFont="1" applyFill="1" applyBorder="1"/>
    <xf numFmtId="0" fontId="0" fillId="4" borderId="7" xfId="0" applyFill="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28" borderId="8" xfId="0" applyFill="1" applyBorder="1" applyAlignment="1">
      <alignment horizontal="center"/>
    </xf>
    <xf numFmtId="0" fontId="0" fillId="28" borderId="9" xfId="0" applyFill="1" applyBorder="1" applyAlignment="1">
      <alignment horizontal="center"/>
    </xf>
    <xf numFmtId="0" fontId="0" fillId="28" borderId="10" xfId="0" applyFill="1" applyBorder="1" applyAlignment="1">
      <alignment horizontal="center"/>
    </xf>
    <xf numFmtId="0" fontId="38" fillId="4" borderId="7" xfId="0" applyFont="1" applyFill="1" applyBorder="1" applyAlignment="1">
      <alignment horizontal="center" vertical="center" wrapText="1"/>
    </xf>
    <xf numFmtId="0" fontId="114" fillId="45" borderId="8" xfId="0" applyFont="1" applyFill="1" applyBorder="1" applyAlignment="1">
      <alignment vertical="center" wrapText="1"/>
    </xf>
    <xf numFmtId="0" fontId="114" fillId="45" borderId="9" xfId="0" applyFont="1" applyFill="1" applyBorder="1" applyAlignment="1">
      <alignment vertical="center" wrapText="1"/>
    </xf>
    <xf numFmtId="0" fontId="114" fillId="45" borderId="7" xfId="0" applyFont="1" applyFill="1" applyBorder="1" applyAlignment="1">
      <alignment horizontal="center" vertical="center" wrapText="1"/>
    </xf>
    <xf numFmtId="0" fontId="114" fillId="70" borderId="7" xfId="0" applyFont="1" applyFill="1" applyBorder="1" applyAlignment="1">
      <alignment horizontal="center" vertical="center" wrapText="1"/>
    </xf>
    <xf numFmtId="0" fontId="114" fillId="34" borderId="8" xfId="0" applyFont="1" applyFill="1" applyBorder="1" applyAlignment="1">
      <alignment horizontal="left" vertical="center"/>
    </xf>
    <xf numFmtId="0" fontId="114" fillId="34" borderId="9" xfId="0" applyFont="1" applyFill="1" applyBorder="1" applyAlignment="1">
      <alignment horizontal="left" vertical="center"/>
    </xf>
    <xf numFmtId="0" fontId="114" fillId="34" borderId="7" xfId="0" applyFont="1" applyFill="1" applyBorder="1" applyAlignment="1">
      <alignment horizontal="center" vertical="center"/>
    </xf>
    <xf numFmtId="0" fontId="114" fillId="69" borderId="7" xfId="0" applyFont="1" applyFill="1" applyBorder="1" applyAlignment="1">
      <alignment horizontal="center" vertical="center"/>
    </xf>
    <xf numFmtId="0" fontId="0" fillId="3" borderId="7" xfId="0" applyFill="1" applyBorder="1" applyAlignment="1">
      <alignment horizontal="center" vertical="center"/>
    </xf>
    <xf numFmtId="0" fontId="23" fillId="4" borderId="8" xfId="0" applyFont="1" applyFill="1" applyBorder="1" applyAlignment="1">
      <alignment horizontal="center" vertical="center"/>
    </xf>
    <xf numFmtId="0" fontId="23" fillId="4" borderId="9" xfId="0" applyFont="1" applyFill="1" applyBorder="1" applyAlignment="1">
      <alignment horizontal="center" vertical="center"/>
    </xf>
    <xf numFmtId="0" fontId="23" fillId="4" borderId="10" xfId="0" applyFont="1" applyFill="1" applyBorder="1" applyAlignment="1">
      <alignment horizontal="center" vertical="center"/>
    </xf>
    <xf numFmtId="0" fontId="23" fillId="4" borderId="8" xfId="0" applyFont="1" applyFill="1" applyBorder="1" applyAlignment="1">
      <alignment horizontal="center"/>
    </xf>
    <xf numFmtId="0" fontId="23" fillId="4" borderId="9" xfId="0" applyFont="1" applyFill="1" applyBorder="1" applyAlignment="1">
      <alignment horizontal="center"/>
    </xf>
    <xf numFmtId="0" fontId="23" fillId="4" borderId="10" xfId="0" applyFont="1" applyFill="1" applyBorder="1" applyAlignment="1">
      <alignment horizontal="center"/>
    </xf>
    <xf numFmtId="0" fontId="3" fillId="39" borderId="13" xfId="0" applyFont="1" applyFill="1" applyBorder="1" applyAlignment="1">
      <alignment vertical="center" wrapText="1"/>
    </xf>
    <xf numFmtId="0" fontId="3" fillId="39" borderId="0" xfId="0" applyFont="1" applyFill="1" applyAlignment="1">
      <alignment vertical="center" wrapText="1"/>
    </xf>
    <xf numFmtId="0" fontId="87" fillId="39" borderId="0" xfId="0" applyFont="1" applyFill="1" applyAlignment="1">
      <alignment horizontal="center" vertical="center"/>
    </xf>
    <xf numFmtId="0" fontId="122" fillId="33" borderId="5" xfId="0" applyFont="1" applyFill="1" applyBorder="1" applyAlignment="1">
      <alignment vertical="center" wrapText="1"/>
    </xf>
    <xf numFmtId="0" fontId="65" fillId="11" borderId="5" xfId="0" applyFont="1" applyFill="1" applyBorder="1" applyAlignment="1">
      <alignment vertical="center" wrapText="1"/>
    </xf>
    <xf numFmtId="0" fontId="5" fillId="4" borderId="7" xfId="0" applyFont="1" applyFill="1" applyBorder="1" applyAlignment="1">
      <alignment horizontal="right"/>
    </xf>
    <xf numFmtId="0" fontId="0" fillId="4" borderId="8" xfId="0"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25" fillId="3" borderId="8"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106" fillId="51" borderId="8" xfId="0" applyFont="1" applyFill="1" applyBorder="1" applyAlignment="1">
      <alignment horizontal="center" vertical="center" wrapText="1"/>
    </xf>
    <xf numFmtId="0" fontId="106" fillId="51" borderId="10" xfId="0" applyFont="1" applyFill="1" applyBorder="1" applyAlignment="1">
      <alignment horizontal="center" vertical="center" wrapText="1"/>
    </xf>
    <xf numFmtId="0" fontId="21" fillId="3" borderId="8" xfId="0" applyFont="1" applyFill="1" applyBorder="1" applyAlignment="1">
      <alignment horizontal="left" vertical="center" wrapText="1"/>
    </xf>
    <xf numFmtId="0" fontId="21" fillId="3" borderId="10" xfId="0" applyFont="1" applyFill="1" applyBorder="1" applyAlignment="1">
      <alignment horizontal="left" vertical="center" wrapText="1"/>
    </xf>
    <xf numFmtId="0" fontId="47" fillId="2" borderId="8" xfId="0" applyFont="1" applyFill="1" applyBorder="1" applyAlignment="1">
      <alignment vertical="center" wrapText="1"/>
    </xf>
    <xf numFmtId="0" fontId="47" fillId="2" borderId="10" xfId="0" applyFont="1" applyFill="1" applyBorder="1" applyAlignment="1">
      <alignment vertical="center" wrapText="1"/>
    </xf>
    <xf numFmtId="0" fontId="106" fillId="61" borderId="8" xfId="0" applyFont="1" applyFill="1" applyBorder="1" applyAlignment="1">
      <alignment horizontal="center" vertical="center" wrapText="1"/>
    </xf>
    <xf numFmtId="0" fontId="106" fillId="61" borderId="10" xfId="0" applyFont="1" applyFill="1" applyBorder="1" applyAlignment="1">
      <alignment horizontal="center" vertical="center" wrapText="1"/>
    </xf>
    <xf numFmtId="0" fontId="25" fillId="51" borderId="8" xfId="0" applyFont="1" applyFill="1" applyBorder="1" applyAlignment="1">
      <alignment horizontal="center" vertical="center" wrapText="1"/>
    </xf>
    <xf numFmtId="0" fontId="25" fillId="51" borderId="10"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5" fillId="4" borderId="8" xfId="0" applyFont="1" applyFill="1" applyBorder="1" applyAlignment="1">
      <alignment horizontal="left" vertical="center" wrapText="1"/>
    </xf>
    <xf numFmtId="0" fontId="25" fillId="4" borderId="9"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88" fillId="28" borderId="8" xfId="0" applyFont="1" applyFill="1" applyBorder="1" applyAlignment="1">
      <alignment horizontal="right"/>
    </xf>
    <xf numFmtId="0" fontId="88" fillId="28" borderId="9" xfId="0" applyFont="1" applyFill="1" applyBorder="1" applyAlignment="1">
      <alignment horizontal="right"/>
    </xf>
    <xf numFmtId="0" fontId="88" fillId="28" borderId="10" xfId="0" applyFont="1" applyFill="1" applyBorder="1" applyAlignment="1">
      <alignment horizontal="right"/>
    </xf>
    <xf numFmtId="0" fontId="88" fillId="28" borderId="7" xfId="0" applyFont="1" applyFill="1" applyBorder="1" applyAlignment="1">
      <alignment horizontal="center"/>
    </xf>
    <xf numFmtId="0" fontId="66" fillId="13" borderId="8" xfId="0" applyFont="1" applyFill="1" applyBorder="1" applyAlignment="1">
      <alignment vertical="top"/>
    </xf>
    <xf numFmtId="0" fontId="66" fillId="13" borderId="9" xfId="0" applyFont="1" applyFill="1" applyBorder="1" applyAlignment="1">
      <alignment vertical="top"/>
    </xf>
    <xf numFmtId="0" fontId="66" fillId="13" borderId="10" xfId="0" applyFont="1" applyFill="1" applyBorder="1" applyAlignment="1">
      <alignment vertical="top"/>
    </xf>
    <xf numFmtId="0" fontId="102" fillId="13" borderId="8" xfId="0" applyFont="1" applyFill="1" applyBorder="1" applyAlignment="1">
      <alignment horizontal="center" vertical="center"/>
    </xf>
    <xf numFmtId="0" fontId="102" fillId="13" borderId="9" xfId="0" applyFont="1" applyFill="1" applyBorder="1" applyAlignment="1">
      <alignment horizontal="center" vertical="center"/>
    </xf>
    <xf numFmtId="0" fontId="102" fillId="13" borderId="10" xfId="0" applyFont="1" applyFill="1" applyBorder="1" applyAlignment="1">
      <alignment horizontal="center" vertical="center"/>
    </xf>
    <xf numFmtId="0" fontId="27" fillId="6" borderId="8" xfId="0" applyFont="1" applyFill="1" applyBorder="1" applyAlignment="1">
      <alignment vertical="center" wrapText="1"/>
    </xf>
    <xf numFmtId="0" fontId="27" fillId="6" borderId="10" xfId="0" applyFont="1" applyFill="1" applyBorder="1" applyAlignment="1">
      <alignment vertical="center" wrapText="1"/>
    </xf>
    <xf numFmtId="0" fontId="86" fillId="2" borderId="8" xfId="0" applyFont="1" applyFill="1" applyBorder="1" applyAlignment="1">
      <alignment vertical="center" wrapText="1"/>
    </xf>
    <xf numFmtId="0" fontId="86" fillId="2" borderId="10" xfId="0" applyFont="1" applyFill="1" applyBorder="1" applyAlignment="1">
      <alignment vertical="center" wrapText="1"/>
    </xf>
    <xf numFmtId="0" fontId="104" fillId="17" borderId="0" xfId="0" applyFont="1" applyFill="1" applyAlignment="1">
      <alignment horizontal="center" vertical="center"/>
    </xf>
    <xf numFmtId="0" fontId="25" fillId="13" borderId="8" xfId="0" applyFont="1" applyFill="1" applyBorder="1"/>
    <xf numFmtId="0" fontId="25" fillId="13" borderId="9" xfId="0" applyFont="1" applyFill="1" applyBorder="1"/>
    <xf numFmtId="0" fontId="25" fillId="13" borderId="10" xfId="0" applyFont="1" applyFill="1" applyBorder="1"/>
    <xf numFmtId="0" fontId="119" fillId="13" borderId="8" xfId="0" applyFont="1" applyFill="1" applyBorder="1" applyAlignment="1">
      <alignment horizontal="center" vertical="center"/>
    </xf>
    <xf numFmtId="0" fontId="119" fillId="13" borderId="9" xfId="0" applyFont="1" applyFill="1" applyBorder="1" applyAlignment="1">
      <alignment horizontal="center" vertical="center"/>
    </xf>
    <xf numFmtId="0" fontId="119" fillId="13" borderId="10" xfId="0" applyFont="1" applyFill="1" applyBorder="1" applyAlignment="1">
      <alignment horizontal="center" vertical="center"/>
    </xf>
    <xf numFmtId="0" fontId="25" fillId="13" borderId="8" xfId="0" applyFont="1" applyFill="1" applyBorder="1" applyAlignment="1">
      <alignment vertical="top"/>
    </xf>
    <xf numFmtId="0" fontId="25" fillId="13" borderId="9" xfId="0" applyFont="1" applyFill="1" applyBorder="1" applyAlignment="1">
      <alignment vertical="top"/>
    </xf>
    <xf numFmtId="0" fontId="25" fillId="13" borderId="10" xfId="0" applyFont="1" applyFill="1" applyBorder="1" applyAlignment="1">
      <alignment vertical="top"/>
    </xf>
    <xf numFmtId="0" fontId="25" fillId="61" borderId="8" xfId="0" applyFont="1" applyFill="1" applyBorder="1" applyAlignment="1">
      <alignment horizontal="center" vertical="center" wrapText="1"/>
    </xf>
    <xf numFmtId="0" fontId="25" fillId="61" borderId="10"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1" fillId="4" borderId="8" xfId="0" applyFont="1" applyFill="1" applyBorder="1" applyAlignment="1">
      <alignment horizontal="left" vertical="center" wrapText="1"/>
    </xf>
    <xf numFmtId="0" fontId="11" fillId="4" borderId="9"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52" fillId="6" borderId="8" xfId="0" applyFont="1" applyFill="1" applyBorder="1" applyAlignment="1">
      <alignment vertical="center" wrapText="1"/>
    </xf>
    <xf numFmtId="0" fontId="52" fillId="6" borderId="10" xfId="0" applyFont="1" applyFill="1" applyBorder="1" applyAlignment="1">
      <alignment vertical="center" wrapText="1"/>
    </xf>
    <xf numFmtId="0" fontId="21" fillId="3" borderId="8"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105" fillId="15" borderId="0" xfId="0" applyFont="1" applyFill="1" applyAlignment="1">
      <alignment horizontal="center" vertical="center"/>
    </xf>
    <xf numFmtId="0" fontId="87" fillId="6" borderId="2" xfId="0" applyFont="1" applyFill="1" applyBorder="1" applyAlignment="1">
      <alignment horizontal="center" vertical="center" wrapText="1"/>
    </xf>
    <xf numFmtId="0" fontId="87" fillId="6" borderId="1" xfId="0" applyFont="1" applyFill="1" applyBorder="1" applyAlignment="1">
      <alignment horizontal="center" vertical="center" wrapText="1"/>
    </xf>
    <xf numFmtId="0" fontId="87" fillId="6" borderId="3" xfId="0" applyFont="1" applyFill="1" applyBorder="1" applyAlignment="1">
      <alignment horizontal="center" vertical="center" wrapText="1"/>
    </xf>
    <xf numFmtId="0" fontId="87" fillId="6" borderId="4" xfId="0" applyFont="1" applyFill="1" applyBorder="1" applyAlignment="1">
      <alignment horizontal="center" vertical="center" wrapText="1"/>
    </xf>
    <xf numFmtId="0" fontId="87" fillId="6" borderId="5" xfId="0" applyFont="1" applyFill="1" applyBorder="1" applyAlignment="1">
      <alignment horizontal="center" vertical="center" wrapText="1"/>
    </xf>
    <xf numFmtId="0" fontId="87" fillId="6" borderId="6" xfId="0" applyFont="1" applyFill="1" applyBorder="1" applyAlignment="1">
      <alignment horizontal="center" vertical="center" wrapText="1"/>
    </xf>
    <xf numFmtId="0" fontId="0" fillId="38" borderId="8" xfId="0" applyFill="1" applyBorder="1" applyAlignment="1">
      <alignment horizontal="center" vertical="center" wrapText="1"/>
    </xf>
    <xf numFmtId="0" fontId="0" fillId="38" borderId="9" xfId="0" applyFill="1" applyBorder="1" applyAlignment="1">
      <alignment horizontal="center" vertical="center" wrapText="1"/>
    </xf>
    <xf numFmtId="0" fontId="0" fillId="38" borderId="10" xfId="0" applyFill="1" applyBorder="1" applyAlignment="1">
      <alignment horizontal="center" vertical="center" wrapText="1"/>
    </xf>
    <xf numFmtId="0" fontId="48" fillId="2" borderId="8" xfId="0" applyFont="1" applyFill="1" applyBorder="1" applyAlignment="1">
      <alignment vertical="center" wrapText="1"/>
    </xf>
    <xf numFmtId="0" fontId="48" fillId="2" borderId="10" xfId="0" applyFont="1" applyFill="1" applyBorder="1" applyAlignment="1">
      <alignment vertical="center" wrapText="1"/>
    </xf>
    <xf numFmtId="0" fontId="52" fillId="2" borderId="8" xfId="0" applyFont="1" applyFill="1" applyBorder="1" applyAlignment="1">
      <alignment vertical="center" wrapText="1"/>
    </xf>
    <xf numFmtId="0" fontId="52" fillId="2" borderId="10" xfId="0" applyFont="1" applyFill="1" applyBorder="1" applyAlignment="1">
      <alignment vertical="center" wrapText="1"/>
    </xf>
    <xf numFmtId="0" fontId="25" fillId="38" borderId="8" xfId="0" applyFont="1" applyFill="1" applyBorder="1" applyAlignment="1">
      <alignment horizontal="left" vertical="center" wrapText="1"/>
    </xf>
    <xf numFmtId="0" fontId="25" fillId="38" borderId="10" xfId="0" applyFont="1" applyFill="1" applyBorder="1" applyAlignment="1">
      <alignment horizontal="left" vertical="center" wrapText="1"/>
    </xf>
    <xf numFmtId="0" fontId="21" fillId="38" borderId="8" xfId="0" applyFont="1" applyFill="1" applyBorder="1" applyAlignment="1">
      <alignment horizontal="left" vertical="center" wrapText="1"/>
    </xf>
    <xf numFmtId="0" fontId="21" fillId="38" borderId="10" xfId="0" applyFont="1" applyFill="1" applyBorder="1" applyAlignment="1">
      <alignment horizontal="left" vertical="center" wrapText="1"/>
    </xf>
    <xf numFmtId="0" fontId="25" fillId="52" borderId="8" xfId="0" applyFont="1" applyFill="1" applyBorder="1" applyAlignment="1">
      <alignment horizontal="left" vertical="center" wrapText="1"/>
    </xf>
    <xf numFmtId="0" fontId="25" fillId="52" borderId="10" xfId="0" applyFont="1" applyFill="1" applyBorder="1" applyAlignment="1">
      <alignment horizontal="left" vertical="center" wrapText="1"/>
    </xf>
    <xf numFmtId="0" fontId="11" fillId="38" borderId="8" xfId="0" applyFont="1" applyFill="1" applyBorder="1" applyAlignment="1">
      <alignment horizontal="left" vertical="center" wrapText="1"/>
    </xf>
    <xf numFmtId="0" fontId="11" fillId="38" borderId="10"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6" borderId="10" xfId="0" applyFont="1" applyFill="1" applyBorder="1" applyAlignment="1">
      <alignment horizontal="left" vertical="center" wrapText="1"/>
    </xf>
    <xf numFmtId="0" fontId="11" fillId="64" borderId="8" xfId="0" applyFont="1" applyFill="1" applyBorder="1" applyAlignment="1">
      <alignment horizontal="left" vertical="center" wrapText="1"/>
    </xf>
    <xf numFmtId="0" fontId="11" fillId="64" borderId="10" xfId="0" applyFont="1" applyFill="1" applyBorder="1" applyAlignment="1">
      <alignment horizontal="left" vertical="center" wrapText="1"/>
    </xf>
    <xf numFmtId="0" fontId="11" fillId="52" borderId="8" xfId="0" applyFont="1" applyFill="1" applyBorder="1" applyAlignment="1">
      <alignment horizontal="left" vertical="center" wrapText="1"/>
    </xf>
    <xf numFmtId="0" fontId="11" fillId="52" borderId="10" xfId="0" applyFont="1" applyFill="1" applyBorder="1" applyAlignment="1">
      <alignment horizontal="left" vertical="center" wrapText="1"/>
    </xf>
    <xf numFmtId="0" fontId="89" fillId="39" borderId="7" xfId="0" applyFont="1" applyFill="1" applyBorder="1" applyAlignment="1">
      <alignment horizontal="center"/>
    </xf>
    <xf numFmtId="0" fontId="25" fillId="63" borderId="8" xfId="0" applyFont="1" applyFill="1" applyBorder="1" applyAlignment="1">
      <alignment horizontal="left" vertical="center" wrapText="1"/>
    </xf>
    <xf numFmtId="0" fontId="25" fillId="63" borderId="10" xfId="0" applyFont="1" applyFill="1" applyBorder="1" applyAlignment="1">
      <alignment horizontal="left" vertical="center" wrapText="1"/>
    </xf>
    <xf numFmtId="0" fontId="25" fillId="60" borderId="8" xfId="0" applyFont="1" applyFill="1" applyBorder="1" applyAlignment="1">
      <alignment horizontal="left" vertical="center" wrapText="1"/>
    </xf>
    <xf numFmtId="0" fontId="25" fillId="60" borderId="10" xfId="0" applyFont="1" applyFill="1" applyBorder="1" applyAlignment="1">
      <alignment horizontal="left" vertical="center" wrapText="1"/>
    </xf>
    <xf numFmtId="0" fontId="11" fillId="60" borderId="8" xfId="0" applyFont="1" applyFill="1" applyBorder="1" applyAlignment="1">
      <alignment horizontal="left" vertical="center" wrapText="1"/>
    </xf>
    <xf numFmtId="0" fontId="11" fillId="60" borderId="10" xfId="0" applyFont="1" applyFill="1" applyBorder="1" applyAlignment="1">
      <alignment horizontal="left" vertical="center" wrapText="1"/>
    </xf>
    <xf numFmtId="0" fontId="11" fillId="6" borderId="8"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03" fillId="32" borderId="7" xfId="0" applyFont="1" applyFill="1" applyBorder="1" applyAlignment="1">
      <alignment horizontal="center" vertical="center"/>
    </xf>
    <xf numFmtId="0" fontId="107" fillId="64" borderId="2" xfId="0" applyFont="1" applyFill="1" applyBorder="1" applyAlignment="1">
      <alignment horizontal="center"/>
    </xf>
    <xf numFmtId="0" fontId="107" fillId="64" borderId="1" xfId="0" applyFont="1" applyFill="1" applyBorder="1" applyAlignment="1">
      <alignment horizontal="center"/>
    </xf>
    <xf numFmtId="0" fontId="107" fillId="64" borderId="3" xfId="0" applyFont="1" applyFill="1" applyBorder="1" applyAlignment="1">
      <alignment horizontal="center"/>
    </xf>
    <xf numFmtId="0" fontId="0" fillId="45" borderId="8" xfId="0" applyFill="1" applyBorder="1"/>
    <xf numFmtId="0" fontId="0" fillId="45" borderId="9" xfId="0" applyFill="1" applyBorder="1"/>
    <xf numFmtId="0" fontId="0" fillId="45" borderId="10" xfId="0" applyFill="1" applyBorder="1"/>
    <xf numFmtId="0" fontId="0" fillId="45" borderId="8" xfId="0" applyFill="1" applyBorder="1" applyAlignment="1">
      <alignment horizontal="center" vertical="center"/>
    </xf>
    <xf numFmtId="0" fontId="0" fillId="45" borderId="9" xfId="0" applyFill="1" applyBorder="1" applyAlignment="1">
      <alignment horizontal="center" vertical="center"/>
    </xf>
    <xf numFmtId="0" fontId="0" fillId="45" borderId="10" xfId="0" applyFill="1" applyBorder="1" applyAlignment="1">
      <alignment horizontal="center" vertical="center"/>
    </xf>
    <xf numFmtId="0" fontId="0" fillId="47" borderId="8" xfId="0" applyFill="1" applyBorder="1"/>
    <xf numFmtId="0" fontId="0" fillId="47" borderId="9" xfId="0" applyFill="1" applyBorder="1"/>
    <xf numFmtId="0" fontId="0" fillId="47" borderId="10" xfId="0" applyFill="1" applyBorder="1"/>
    <xf numFmtId="0" fontId="0" fillId="47" borderId="8" xfId="0" applyFill="1" applyBorder="1" applyAlignment="1">
      <alignment horizontal="center" vertical="center"/>
    </xf>
    <xf numFmtId="0" fontId="0" fillId="47" borderId="9" xfId="0" applyFill="1" applyBorder="1" applyAlignment="1">
      <alignment horizontal="center" vertical="center"/>
    </xf>
    <xf numFmtId="0" fontId="0" fillId="47" borderId="10" xfId="0" applyFill="1" applyBorder="1" applyAlignment="1">
      <alignment horizontal="center" vertical="center"/>
    </xf>
    <xf numFmtId="0" fontId="48" fillId="6" borderId="8" xfId="0" applyFont="1" applyFill="1" applyBorder="1" applyAlignment="1">
      <alignment vertical="center" wrapText="1"/>
    </xf>
    <xf numFmtId="0" fontId="48" fillId="6" borderId="10" xfId="0" applyFont="1" applyFill="1" applyBorder="1" applyAlignment="1">
      <alignment vertical="center" wrapText="1"/>
    </xf>
    <xf numFmtId="0" fontId="47" fillId="3" borderId="8" xfId="0" applyFont="1" applyFill="1" applyBorder="1" applyAlignment="1">
      <alignment vertical="center" wrapText="1"/>
    </xf>
    <xf numFmtId="0" fontId="47" fillId="3" borderId="10" xfId="0" applyFont="1" applyFill="1" applyBorder="1" applyAlignment="1">
      <alignment vertical="center" wrapText="1"/>
    </xf>
    <xf numFmtId="0" fontId="25" fillId="4" borderId="8" xfId="0" applyFont="1" applyFill="1" applyBorder="1" applyAlignment="1">
      <alignment horizontal="right" vertical="center" wrapText="1"/>
    </xf>
    <xf numFmtId="0" fontId="25" fillId="4" borderId="9" xfId="0" applyFont="1" applyFill="1" applyBorder="1" applyAlignment="1">
      <alignment horizontal="right" vertical="center" wrapText="1"/>
    </xf>
    <xf numFmtId="0" fontId="25" fillId="4" borderId="10" xfId="0" applyFont="1" applyFill="1" applyBorder="1" applyAlignment="1">
      <alignment horizontal="right" vertical="center" wrapText="1"/>
    </xf>
    <xf numFmtId="0" fontId="25" fillId="64" borderId="8" xfId="0" applyFont="1" applyFill="1" applyBorder="1" applyAlignment="1">
      <alignment horizontal="left" vertical="center" wrapText="1"/>
    </xf>
    <xf numFmtId="0" fontId="25" fillId="64" borderId="10" xfId="0" applyFont="1" applyFill="1" applyBorder="1" applyAlignment="1">
      <alignment horizontal="left" vertical="center" wrapText="1"/>
    </xf>
    <xf numFmtId="0" fontId="89" fillId="39" borderId="7" xfId="0" applyFont="1" applyFill="1" applyBorder="1" applyAlignment="1">
      <alignment horizontal="right"/>
    </xf>
    <xf numFmtId="0" fontId="47" fillId="38" borderId="8" xfId="0" applyFont="1" applyFill="1" applyBorder="1" applyAlignment="1">
      <alignment vertical="center" wrapText="1"/>
    </xf>
    <xf numFmtId="0" fontId="47" fillId="38" borderId="10" xfId="0" applyFont="1" applyFill="1" applyBorder="1" applyAlignment="1">
      <alignment vertical="center" wrapText="1"/>
    </xf>
    <xf numFmtId="0" fontId="5" fillId="64" borderId="8" xfId="0" applyFont="1" applyFill="1" applyBorder="1" applyAlignment="1">
      <alignment vertical="center" wrapText="1"/>
    </xf>
    <xf numFmtId="0" fontId="5" fillId="64" borderId="10" xfId="0" applyFont="1" applyFill="1" applyBorder="1" applyAlignment="1">
      <alignment vertical="center" wrapText="1"/>
    </xf>
    <xf numFmtId="0" fontId="21" fillId="13" borderId="8" xfId="0" applyFont="1" applyFill="1" applyBorder="1" applyAlignment="1">
      <alignment vertical="center" wrapText="1"/>
    </xf>
    <xf numFmtId="0" fontId="21" fillId="13" borderId="10" xfId="0" applyFont="1" applyFill="1" applyBorder="1" applyAlignment="1">
      <alignment vertical="center" wrapText="1"/>
    </xf>
    <xf numFmtId="0" fontId="4" fillId="38" borderId="7" xfId="0" applyFont="1" applyFill="1" applyBorder="1" applyAlignment="1">
      <alignment horizontal="center" vertical="center" wrapText="1"/>
    </xf>
    <xf numFmtId="0" fontId="88" fillId="10" borderId="0" xfId="0" applyFont="1" applyFill="1" applyAlignment="1">
      <alignment horizontal="left" vertical="center"/>
    </xf>
    <xf numFmtId="0" fontId="102" fillId="13" borderId="7" xfId="0" applyFont="1" applyFill="1" applyBorder="1" applyAlignment="1">
      <alignment horizontal="center" vertical="center"/>
    </xf>
    <xf numFmtId="0" fontId="5" fillId="13" borderId="8" xfId="0" applyFont="1" applyFill="1" applyBorder="1" applyAlignment="1">
      <alignment vertical="center" wrapText="1"/>
    </xf>
    <xf numFmtId="0" fontId="5" fillId="13" borderId="10" xfId="0" applyFont="1" applyFill="1" applyBorder="1" applyAlignment="1">
      <alignment vertical="center" wrapText="1"/>
    </xf>
    <xf numFmtId="0" fontId="52" fillId="38" borderId="8" xfId="0" applyFont="1" applyFill="1" applyBorder="1" applyAlignment="1">
      <alignment vertical="center" wrapText="1"/>
    </xf>
    <xf numFmtId="0" fontId="52" fillId="38" borderId="10" xfId="0" applyFont="1" applyFill="1" applyBorder="1" applyAlignment="1">
      <alignment vertical="center" wrapText="1"/>
    </xf>
    <xf numFmtId="0" fontId="48" fillId="38" borderId="8" xfId="0" applyFont="1" applyFill="1" applyBorder="1" applyAlignment="1">
      <alignment vertical="center" wrapText="1"/>
    </xf>
    <xf numFmtId="0" fontId="48" fillId="38" borderId="10" xfId="0" applyFont="1" applyFill="1" applyBorder="1" applyAlignment="1">
      <alignment vertical="center" wrapText="1"/>
    </xf>
    <xf numFmtId="0" fontId="111" fillId="64" borderId="8" xfId="0" applyFont="1" applyFill="1" applyBorder="1" applyAlignment="1">
      <alignment horizontal="center" vertical="center"/>
    </xf>
    <xf numFmtId="0" fontId="111" fillId="64" borderId="9" xfId="0" applyFont="1" applyFill="1" applyBorder="1" applyAlignment="1">
      <alignment horizontal="center" vertical="center"/>
    </xf>
    <xf numFmtId="0" fontId="111" fillId="64" borderId="10" xfId="0" applyFont="1" applyFill="1" applyBorder="1" applyAlignment="1">
      <alignment horizontal="center" vertical="center"/>
    </xf>
    <xf numFmtId="0" fontId="26" fillId="13" borderId="8" xfId="0" applyFont="1" applyFill="1" applyBorder="1" applyAlignment="1">
      <alignment horizontal="center" vertical="center" wrapText="1"/>
    </xf>
    <xf numFmtId="0" fontId="26" fillId="13" borderId="9"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31" fillId="53" borderId="7" xfId="0" applyFont="1" applyFill="1" applyBorder="1" applyAlignment="1" applyProtection="1">
      <alignment vertical="center" wrapText="1"/>
      <protection locked="0"/>
    </xf>
    <xf numFmtId="0" fontId="31" fillId="53" borderId="8" xfId="0" applyFont="1" applyFill="1" applyBorder="1" applyAlignment="1">
      <alignment vertical="center" wrapText="1"/>
    </xf>
    <xf numFmtId="0" fontId="31" fillId="53" borderId="9" xfId="0" applyFont="1" applyFill="1" applyBorder="1" applyAlignment="1">
      <alignment vertical="center" wrapText="1"/>
    </xf>
    <xf numFmtId="0" fontId="31" fillId="53" borderId="10" xfId="0" applyFont="1" applyFill="1" applyBorder="1" applyAlignment="1">
      <alignment vertical="center" wrapText="1"/>
    </xf>
    <xf numFmtId="0" fontId="25" fillId="38" borderId="7" xfId="0" applyFont="1" applyFill="1" applyBorder="1" applyAlignment="1">
      <alignment vertical="top"/>
    </xf>
    <xf numFmtId="0" fontId="102" fillId="38" borderId="7" xfId="0" applyFont="1" applyFill="1" applyBorder="1" applyAlignment="1">
      <alignment horizontal="center" vertical="center"/>
    </xf>
    <xf numFmtId="0" fontId="25" fillId="13" borderId="7" xfId="0" applyFont="1" applyFill="1" applyBorder="1" applyAlignment="1">
      <alignment vertical="top"/>
    </xf>
    <xf numFmtId="0" fontId="105" fillId="64" borderId="7" xfId="0" applyFont="1" applyFill="1" applyBorder="1" applyAlignment="1">
      <alignment horizontal="center" vertical="center"/>
    </xf>
    <xf numFmtId="0" fontId="110" fillId="64" borderId="8" xfId="0" applyFont="1" applyFill="1" applyBorder="1" applyAlignment="1">
      <alignment horizontal="left" vertical="center"/>
    </xf>
    <xf numFmtId="0" fontId="110" fillId="64" borderId="9" xfId="0" applyFont="1" applyFill="1" applyBorder="1" applyAlignment="1">
      <alignment horizontal="left" vertical="center"/>
    </xf>
    <xf numFmtId="0" fontId="110" fillId="64" borderId="10" xfId="0" applyFont="1" applyFill="1" applyBorder="1" applyAlignment="1">
      <alignment horizontal="left" vertical="center"/>
    </xf>
    <xf numFmtId="0" fontId="6" fillId="64" borderId="7" xfId="0" applyFont="1" applyFill="1" applyBorder="1" applyAlignment="1">
      <alignment horizontal="left" vertical="center"/>
    </xf>
    <xf numFmtId="0" fontId="4" fillId="4" borderId="8" xfId="0" applyFont="1" applyFill="1" applyBorder="1" applyAlignment="1">
      <alignment vertical="center"/>
    </xf>
    <xf numFmtId="0" fontId="4" fillId="4" borderId="9" xfId="0" applyFont="1" applyFill="1" applyBorder="1" applyAlignment="1">
      <alignment vertical="center"/>
    </xf>
    <xf numFmtId="0" fontId="4" fillId="4" borderId="10" xfId="0" applyFont="1" applyFill="1" applyBorder="1" applyAlignment="1">
      <alignment vertical="center"/>
    </xf>
    <xf numFmtId="0" fontId="102" fillId="27" borderId="0" xfId="0" applyFont="1" applyFill="1" applyAlignment="1">
      <alignment horizontal="center" vertical="center"/>
    </xf>
    <xf numFmtId="0" fontId="98" fillId="32" borderId="7" xfId="0" applyFont="1" applyFill="1" applyBorder="1"/>
    <xf numFmtId="0" fontId="27" fillId="2" borderId="8" xfId="0" applyFont="1" applyFill="1" applyBorder="1" applyAlignment="1">
      <alignment vertical="center" wrapText="1"/>
    </xf>
    <xf numFmtId="0" fontId="27" fillId="2" borderId="10" xfId="0" applyFont="1" applyFill="1" applyBorder="1" applyAlignment="1">
      <alignment vertical="center" wrapText="1"/>
    </xf>
    <xf numFmtId="0" fontId="16" fillId="13" borderId="7" xfId="0" applyFont="1" applyFill="1" applyBorder="1" applyAlignment="1">
      <alignment horizontal="center" vertical="center" wrapText="1"/>
    </xf>
    <xf numFmtId="0" fontId="106" fillId="60" borderId="8" xfId="0" applyFont="1" applyFill="1" applyBorder="1" applyAlignment="1">
      <alignment horizontal="center" vertical="center" wrapText="1"/>
    </xf>
    <xf numFmtId="0" fontId="106" fillId="60" borderId="10" xfId="0" applyFont="1" applyFill="1" applyBorder="1" applyAlignment="1">
      <alignment horizontal="center" vertical="center" wrapText="1"/>
    </xf>
    <xf numFmtId="0" fontId="106" fillId="60" borderId="8" xfId="0" applyFont="1" applyFill="1" applyBorder="1" applyAlignment="1">
      <alignment horizontal="left" vertical="center" wrapText="1"/>
    </xf>
    <xf numFmtId="0" fontId="106" fillId="60" borderId="10" xfId="0" applyFont="1" applyFill="1" applyBorder="1" applyAlignment="1">
      <alignment horizontal="left" vertical="center" wrapText="1"/>
    </xf>
    <xf numFmtId="0" fontId="114" fillId="3" borderId="8" xfId="0" applyFont="1" applyFill="1" applyBorder="1" applyAlignment="1">
      <alignment horizontal="center" vertical="center" wrapText="1"/>
    </xf>
    <xf numFmtId="0" fontId="114" fillId="3" borderId="9" xfId="0" applyFont="1" applyFill="1" applyBorder="1" applyAlignment="1">
      <alignment horizontal="center" vertical="center" wrapText="1"/>
    </xf>
    <xf numFmtId="0" fontId="114" fillId="3" borderId="10" xfId="0" applyFont="1" applyFill="1" applyBorder="1" applyAlignment="1">
      <alignment horizontal="center" vertical="center" wrapText="1"/>
    </xf>
    <xf numFmtId="0" fontId="107" fillId="62" borderId="2" xfId="0" applyFont="1" applyFill="1" applyBorder="1" applyAlignment="1">
      <alignment horizontal="center"/>
    </xf>
    <xf numFmtId="0" fontId="107" fillId="62" borderId="1" xfId="0" applyFont="1" applyFill="1" applyBorder="1" applyAlignment="1">
      <alignment horizontal="center"/>
    </xf>
    <xf numFmtId="0" fontId="107" fillId="62" borderId="3" xfId="0" applyFont="1" applyFill="1" applyBorder="1" applyAlignment="1">
      <alignment horizontal="center"/>
    </xf>
    <xf numFmtId="0" fontId="107" fillId="64" borderId="2" xfId="0" applyFont="1" applyFill="1" applyBorder="1" applyAlignment="1">
      <alignment horizontal="right"/>
    </xf>
    <xf numFmtId="0" fontId="107" fillId="64" borderId="1" xfId="0" applyFont="1" applyFill="1" applyBorder="1" applyAlignment="1">
      <alignment horizontal="right"/>
    </xf>
    <xf numFmtId="0" fontId="107" fillId="64" borderId="3" xfId="0" applyFont="1" applyFill="1" applyBorder="1" applyAlignment="1">
      <alignment horizontal="right"/>
    </xf>
    <xf numFmtId="0" fontId="105" fillId="6" borderId="13" xfId="0" applyFont="1" applyFill="1" applyBorder="1" applyAlignment="1">
      <alignment horizontal="left" vertical="center" wrapText="1"/>
    </xf>
    <xf numFmtId="0" fontId="105" fillId="6" borderId="0" xfId="0" applyFont="1" applyFill="1" applyAlignment="1">
      <alignment horizontal="left" vertical="center" wrapTex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3" fillId="28" borderId="8" xfId="0" applyFont="1" applyFill="1" applyBorder="1" applyAlignment="1">
      <alignment horizontal="center"/>
    </xf>
    <xf numFmtId="0" fontId="3" fillId="28" borderId="9" xfId="0" applyFont="1" applyFill="1" applyBorder="1" applyAlignment="1">
      <alignment horizontal="center"/>
    </xf>
    <xf numFmtId="0" fontId="3" fillId="28" borderId="10" xfId="0" applyFont="1" applyFill="1" applyBorder="1" applyAlignment="1">
      <alignment horizontal="center"/>
    </xf>
    <xf numFmtId="0" fontId="107" fillId="62" borderId="8" xfId="0" applyFont="1" applyFill="1" applyBorder="1" applyAlignment="1">
      <alignment horizontal="right"/>
    </xf>
    <xf numFmtId="0" fontId="107" fillId="62" borderId="9" xfId="0" applyFont="1" applyFill="1" applyBorder="1" applyAlignment="1">
      <alignment horizontal="right"/>
    </xf>
    <xf numFmtId="0" fontId="107" fillId="62" borderId="1" xfId="0" applyFont="1" applyFill="1" applyBorder="1" applyAlignment="1">
      <alignment horizontal="right"/>
    </xf>
    <xf numFmtId="0" fontId="107" fillId="62" borderId="3" xfId="0" applyFont="1" applyFill="1" applyBorder="1" applyAlignment="1">
      <alignment horizontal="right"/>
    </xf>
    <xf numFmtId="0" fontId="105" fillId="17" borderId="0" xfId="0" applyFont="1" applyFill="1" applyAlignment="1">
      <alignment horizontal="center" vertical="center"/>
    </xf>
    <xf numFmtId="0" fontId="23" fillId="29" borderId="7" xfId="0" applyFont="1" applyFill="1" applyBorder="1" applyAlignment="1">
      <alignment horizontal="center" vertical="center"/>
    </xf>
    <xf numFmtId="0" fontId="105" fillId="6" borderId="43" xfId="0" applyFont="1" applyFill="1" applyBorder="1" applyAlignment="1">
      <alignment horizontal="center" vertical="center" wrapText="1"/>
    </xf>
    <xf numFmtId="0" fontId="105" fillId="6" borderId="44" xfId="0" applyFont="1" applyFill="1" applyBorder="1" applyAlignment="1">
      <alignment horizontal="center" vertical="center" wrapText="1"/>
    </xf>
    <xf numFmtId="0" fontId="102" fillId="17" borderId="0" xfId="0" applyFont="1" applyFill="1" applyAlignment="1">
      <alignment horizontal="center" vertical="center"/>
    </xf>
    <xf numFmtId="0" fontId="19" fillId="6" borderId="46" xfId="0" applyFont="1" applyFill="1" applyBorder="1" applyAlignment="1">
      <alignment horizontal="center" vertical="center" wrapText="1"/>
    </xf>
    <xf numFmtId="0" fontId="114" fillId="69" borderId="7" xfId="0" applyFont="1" applyFill="1" applyBorder="1" applyAlignment="1">
      <alignment horizontal="center" vertical="center" wrapText="1"/>
    </xf>
    <xf numFmtId="0" fontId="114" fillId="70" borderId="7" xfId="0" applyFont="1" applyFill="1" applyBorder="1" applyAlignment="1">
      <alignment horizontal="center" vertical="center"/>
    </xf>
    <xf numFmtId="0" fontId="114" fillId="34" borderId="7" xfId="0" applyFont="1" applyFill="1" applyBorder="1" applyAlignment="1">
      <alignment horizontal="center" vertical="center" wrapText="1"/>
    </xf>
    <xf numFmtId="0" fontId="114" fillId="45" borderId="7" xfId="0" applyFont="1" applyFill="1" applyBorder="1" applyAlignment="1">
      <alignment horizontal="center" vertical="center"/>
    </xf>
    <xf numFmtId="0" fontId="114" fillId="34" borderId="8" xfId="0" applyFont="1" applyFill="1" applyBorder="1" applyAlignment="1">
      <alignment vertical="center" wrapText="1"/>
    </xf>
    <xf numFmtId="0" fontId="114" fillId="34" borderId="9" xfId="0" applyFont="1" applyFill="1" applyBorder="1" applyAlignment="1">
      <alignment vertical="center" wrapText="1"/>
    </xf>
    <xf numFmtId="0" fontId="114" fillId="45" borderId="8" xfId="0" applyFont="1" applyFill="1" applyBorder="1" applyAlignment="1">
      <alignment horizontal="left"/>
    </xf>
    <xf numFmtId="0" fontId="114" fillId="45" borderId="9" xfId="0" applyFont="1" applyFill="1" applyBorder="1" applyAlignment="1">
      <alignment horizontal="left"/>
    </xf>
    <xf numFmtId="0" fontId="114" fillId="4" borderId="8" xfId="0" applyFont="1" applyFill="1" applyBorder="1" applyAlignment="1">
      <alignment horizontal="left" wrapText="1"/>
    </xf>
    <xf numFmtId="0" fontId="114" fillId="4" borderId="9" xfId="0" applyFont="1" applyFill="1" applyBorder="1" applyAlignment="1">
      <alignment horizontal="left" wrapText="1"/>
    </xf>
    <xf numFmtId="0" fontId="114" fillId="4" borderId="10" xfId="0" applyFont="1" applyFill="1" applyBorder="1" applyAlignment="1">
      <alignment horizontal="left" wrapText="1"/>
    </xf>
    <xf numFmtId="0" fontId="24" fillId="71" borderId="7" xfId="0" applyFont="1" applyFill="1" applyBorder="1"/>
    <xf numFmtId="0" fontId="102" fillId="67" borderId="7" xfId="0" applyFont="1" applyFill="1" applyBorder="1" applyAlignment="1">
      <alignment horizontal="center" vertical="center"/>
    </xf>
    <xf numFmtId="0" fontId="38" fillId="68" borderId="7" xfId="0" applyFont="1" applyFill="1" applyBorder="1" applyAlignment="1">
      <alignment horizontal="right"/>
    </xf>
    <xf numFmtId="0" fontId="26" fillId="68" borderId="7" xfId="0" applyFont="1" applyFill="1" applyBorder="1" applyAlignment="1">
      <alignment horizontal="center" vertical="center"/>
    </xf>
    <xf numFmtId="0" fontId="0" fillId="54" borderId="7" xfId="0" applyFill="1" applyBorder="1" applyAlignment="1">
      <alignment horizontal="center" vertical="center"/>
    </xf>
    <xf numFmtId="0" fontId="24" fillId="67" borderId="7" xfId="0" applyFont="1" applyFill="1" applyBorder="1"/>
    <xf numFmtId="0" fontId="102" fillId="71" borderId="7" xfId="0" applyFont="1" applyFill="1" applyBorder="1" applyAlignment="1">
      <alignment horizontal="center" vertical="center"/>
    </xf>
    <xf numFmtId="0" fontId="107" fillId="62" borderId="1" xfId="0" applyFont="1" applyFill="1" applyBorder="1" applyAlignment="1">
      <alignment horizontal="center" vertical="center"/>
    </xf>
    <xf numFmtId="0" fontId="107" fillId="62" borderId="8" xfId="0" applyFont="1" applyFill="1" applyBorder="1" applyAlignment="1">
      <alignment horizontal="right" vertical="center" wrapText="1"/>
    </xf>
    <xf numFmtId="0" fontId="107" fillId="62" borderId="9" xfId="0" applyFont="1" applyFill="1" applyBorder="1" applyAlignment="1">
      <alignment horizontal="right" vertical="center" wrapText="1"/>
    </xf>
    <xf numFmtId="0" fontId="107" fillId="62" borderId="10" xfId="0" applyFont="1" applyFill="1" applyBorder="1" applyAlignment="1">
      <alignment horizontal="right" vertical="center" wrapText="1"/>
    </xf>
    <xf numFmtId="0" fontId="107" fillId="65" borderId="8" xfId="0" applyFont="1" applyFill="1" applyBorder="1" applyAlignment="1">
      <alignment horizontal="center" vertical="center" wrapText="1"/>
    </xf>
    <xf numFmtId="0" fontId="107" fillId="65" borderId="9" xfId="0" applyFont="1" applyFill="1" applyBorder="1" applyAlignment="1">
      <alignment horizontal="center" vertical="center" wrapText="1"/>
    </xf>
    <xf numFmtId="0" fontId="107" fillId="65" borderId="10" xfId="0" applyFont="1" applyFill="1" applyBorder="1" applyAlignment="1">
      <alignment horizontal="center" vertical="center" wrapText="1"/>
    </xf>
    <xf numFmtId="0" fontId="88" fillId="62" borderId="8" xfId="0" applyFont="1" applyFill="1" applyBorder="1" applyAlignment="1">
      <alignment horizontal="center"/>
    </xf>
    <xf numFmtId="0" fontId="88" fillId="62" borderId="9" xfId="0" applyFont="1" applyFill="1" applyBorder="1" applyAlignment="1">
      <alignment horizontal="center"/>
    </xf>
    <xf numFmtId="0" fontId="120" fillId="4" borderId="8" xfId="0" applyFont="1" applyFill="1" applyBorder="1" applyAlignment="1">
      <alignment horizontal="left" wrapText="1"/>
    </xf>
    <xf numFmtId="0" fontId="120" fillId="4" borderId="9" xfId="0" applyFont="1" applyFill="1" applyBorder="1" applyAlignment="1">
      <alignment horizontal="left" wrapText="1"/>
    </xf>
    <xf numFmtId="0" fontId="120" fillId="4" borderId="10" xfId="0" applyFont="1" applyFill="1" applyBorder="1" applyAlignment="1">
      <alignment horizontal="left" wrapText="1"/>
    </xf>
    <xf numFmtId="0" fontId="0" fillId="2" borderId="7" xfId="0" applyFill="1" applyBorder="1" applyAlignment="1">
      <alignment horizontal="center" vertical="center"/>
    </xf>
    <xf numFmtId="0" fontId="0" fillId="2" borderId="7" xfId="0" applyFill="1" applyBorder="1"/>
    <xf numFmtId="0" fontId="118" fillId="74" borderId="0" xfId="0" applyFont="1" applyFill="1"/>
    <xf numFmtId="0" fontId="0" fillId="4" borderId="7" xfId="0" applyFill="1" applyBorder="1"/>
    <xf numFmtId="0" fontId="25" fillId="4" borderId="7" xfId="0" applyFont="1" applyFill="1" applyBorder="1" applyAlignment="1">
      <alignment horizontal="right"/>
    </xf>
    <xf numFmtId="0" fontId="0" fillId="4" borderId="7" xfId="0" applyFill="1" applyBorder="1" applyAlignment="1">
      <alignment horizontal="center" vertical="center"/>
    </xf>
    <xf numFmtId="14" fontId="0" fillId="2" borderId="7" xfId="0" applyNumberFormat="1" applyFill="1" applyBorder="1"/>
    <xf numFmtId="14" fontId="0" fillId="2" borderId="7" xfId="0" applyNumberFormat="1" applyFill="1" applyBorder="1" applyAlignment="1">
      <alignment horizontal="right" vertical="center"/>
    </xf>
    <xf numFmtId="0" fontId="26" fillId="4" borderId="7" xfId="0" applyFont="1" applyFill="1" applyBorder="1" applyAlignment="1">
      <alignment vertical="center"/>
    </xf>
    <xf numFmtId="0" fontId="122" fillId="29" borderId="7" xfId="0" applyFont="1" applyFill="1" applyBorder="1" applyAlignment="1">
      <alignment horizontal="center" vertical="center"/>
    </xf>
    <xf numFmtId="0" fontId="105" fillId="33" borderId="0" xfId="0" applyFont="1" applyFill="1" applyAlignment="1">
      <alignment horizontal="center" vertical="center"/>
    </xf>
    <xf numFmtId="0" fontId="5" fillId="11" borderId="7" xfId="0" applyFont="1" applyFill="1" applyBorder="1" applyAlignment="1">
      <alignment vertical="center" wrapText="1"/>
    </xf>
    <xf numFmtId="0" fontId="73" fillId="11" borderId="7" xfId="0" applyFont="1" applyFill="1" applyBorder="1" applyAlignment="1">
      <alignment vertical="center"/>
    </xf>
    <xf numFmtId="0" fontId="5" fillId="11" borderId="7" xfId="0" applyFont="1" applyFill="1" applyBorder="1" applyAlignment="1">
      <alignment horizontal="center" vertical="center" wrapText="1"/>
    </xf>
    <xf numFmtId="0" fontId="5" fillId="11" borderId="7" xfId="0" applyFont="1" applyFill="1" applyBorder="1" applyAlignment="1">
      <alignment horizontal="right"/>
    </xf>
    <xf numFmtId="0" fontId="23" fillId="11" borderId="8" xfId="0" applyFont="1" applyFill="1" applyBorder="1" applyAlignment="1">
      <alignment horizontal="center" vertical="center"/>
    </xf>
    <xf numFmtId="0" fontId="23" fillId="11" borderId="9" xfId="0" applyFont="1" applyFill="1" applyBorder="1" applyAlignment="1">
      <alignment horizontal="center" vertical="center"/>
    </xf>
    <xf numFmtId="0" fontId="23" fillId="11" borderId="10" xfId="0" applyFont="1" applyFill="1" applyBorder="1" applyAlignment="1">
      <alignment horizontal="center" vertical="center"/>
    </xf>
    <xf numFmtId="0" fontId="0" fillId="11" borderId="8" xfId="0" applyFill="1" applyBorder="1" applyAlignment="1">
      <alignment horizontal="center"/>
    </xf>
    <xf numFmtId="0" fontId="0" fillId="11" borderId="9" xfId="0" applyFill="1" applyBorder="1" applyAlignment="1">
      <alignment horizontal="center"/>
    </xf>
    <xf numFmtId="0" fontId="0" fillId="11" borderId="10" xfId="0" applyFill="1" applyBorder="1" applyAlignment="1">
      <alignment horizontal="center"/>
    </xf>
    <xf numFmtId="0" fontId="23" fillId="11" borderId="8" xfId="0" applyFont="1" applyFill="1" applyBorder="1" applyAlignment="1">
      <alignment horizontal="center"/>
    </xf>
    <xf numFmtId="0" fontId="23" fillId="11" borderId="9" xfId="0" applyFont="1" applyFill="1" applyBorder="1" applyAlignment="1">
      <alignment horizontal="center"/>
    </xf>
    <xf numFmtId="0" fontId="23" fillId="11" borderId="10" xfId="0" applyFont="1" applyFill="1" applyBorder="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10" xfId="0" applyFont="1" applyBorder="1" applyAlignment="1">
      <alignment horizontal="center"/>
    </xf>
    <xf numFmtId="0" fontId="123" fillId="33" borderId="0" xfId="0" applyFont="1" applyFill="1"/>
    <xf numFmtId="0" fontId="23" fillId="4" borderId="7" xfId="0" applyFont="1" applyFill="1" applyBorder="1" applyAlignment="1">
      <alignment horizontal="center" vertical="center"/>
    </xf>
    <xf numFmtId="0" fontId="6" fillId="28" borderId="5" xfId="0" applyFont="1" applyFill="1" applyBorder="1"/>
    <xf numFmtId="0" fontId="60" fillId="39" borderId="7" xfId="0" applyFont="1" applyFill="1" applyBorder="1" applyAlignment="1">
      <alignment horizontal="center" vertical="center"/>
    </xf>
    <xf numFmtId="0" fontId="34" fillId="39" borderId="8" xfId="0" applyFont="1" applyFill="1" applyBorder="1" applyAlignment="1">
      <alignment horizontal="center" vertical="center" wrapText="1"/>
    </xf>
    <xf numFmtId="0" fontId="34" fillId="39" borderId="9" xfId="0" applyFont="1" applyFill="1" applyBorder="1" applyAlignment="1">
      <alignment horizontal="center" vertical="center" wrapText="1"/>
    </xf>
    <xf numFmtId="0" fontId="34" fillId="39" borderId="10" xfId="0" applyFont="1" applyFill="1" applyBorder="1" applyAlignment="1">
      <alignment horizontal="center" vertical="center" wrapText="1"/>
    </xf>
    <xf numFmtId="0" fontId="18" fillId="0" borderId="7" xfId="0" applyFont="1" applyBorder="1" applyAlignment="1">
      <alignment horizontal="left" vertical="top"/>
    </xf>
    <xf numFmtId="0" fontId="3" fillId="39" borderId="7" xfId="0" applyFont="1" applyFill="1" applyBorder="1" applyAlignment="1">
      <alignment horizontal="center" vertical="center"/>
    </xf>
    <xf numFmtId="49" fontId="0" fillId="2" borderId="7" xfId="0" applyNumberFormat="1" applyFill="1" applyBorder="1" applyAlignment="1">
      <alignment horizontal="right" vertical="center"/>
    </xf>
    <xf numFmtId="49" fontId="0" fillId="2" borderId="7" xfId="0" applyNumberFormat="1" applyFill="1" applyBorder="1" applyAlignment="1">
      <alignment horizontal="right"/>
    </xf>
    <xf numFmtId="14" fontId="0" fillId="2" borderId="7" xfId="0" applyNumberFormat="1" applyFill="1" applyBorder="1" applyAlignment="1">
      <alignment horizontal="right"/>
    </xf>
    <xf numFmtId="0" fontId="95" fillId="29" borderId="5" xfId="0" applyFont="1" applyFill="1" applyBorder="1" applyAlignment="1">
      <alignment vertical="center" wrapText="1"/>
    </xf>
    <xf numFmtId="0" fontId="89" fillId="33" borderId="1" xfId="0" applyFont="1" applyFill="1" applyBorder="1"/>
    <xf numFmtId="0" fontId="89" fillId="39" borderId="8" xfId="0" applyFont="1" applyFill="1" applyBorder="1" applyAlignment="1">
      <alignment horizontal="right" vertical="top"/>
    </xf>
    <xf numFmtId="0" fontId="89" fillId="39" borderId="9" xfId="0" applyFont="1" applyFill="1" applyBorder="1" applyAlignment="1">
      <alignment horizontal="right" vertical="top"/>
    </xf>
    <xf numFmtId="0" fontId="89" fillId="39" borderId="10" xfId="0" applyFont="1" applyFill="1" applyBorder="1" applyAlignment="1">
      <alignment horizontal="right" vertical="top"/>
    </xf>
    <xf numFmtId="0" fontId="5" fillId="4" borderId="8" xfId="0" applyFont="1" applyFill="1" applyBorder="1" applyAlignment="1">
      <alignment horizontal="right"/>
    </xf>
    <xf numFmtId="0" fontId="5" fillId="4" borderId="9" xfId="0" applyFont="1" applyFill="1" applyBorder="1" applyAlignment="1">
      <alignment horizontal="right"/>
    </xf>
    <xf numFmtId="0" fontId="5" fillId="4" borderId="10" xfId="0" applyFont="1" applyFill="1" applyBorder="1" applyAlignment="1">
      <alignment horizontal="right"/>
    </xf>
    <xf numFmtId="0" fontId="23" fillId="32" borderId="7" xfId="0" applyFont="1" applyFill="1" applyBorder="1" applyAlignment="1">
      <alignment horizontal="center"/>
    </xf>
    <xf numFmtId="0" fontId="23" fillId="29" borderId="7" xfId="0" applyFont="1" applyFill="1" applyBorder="1" applyAlignment="1">
      <alignment horizontal="center"/>
    </xf>
    <xf numFmtId="0" fontId="23" fillId="29" borderId="7" xfId="0" applyFont="1" applyFill="1" applyBorder="1"/>
    <xf numFmtId="0" fontId="0" fillId="34" borderId="7" xfId="0" applyFill="1" applyBorder="1"/>
    <xf numFmtId="0" fontId="0" fillId="45" borderId="7" xfId="0" applyFill="1" applyBorder="1"/>
    <xf numFmtId="0" fontId="0" fillId="18" borderId="7" xfId="0" applyFill="1" applyBorder="1" applyAlignment="1">
      <alignment horizontal="center"/>
    </xf>
    <xf numFmtId="0" fontId="116" fillId="7" borderId="8" xfId="0" applyFont="1" applyFill="1" applyBorder="1" applyAlignment="1">
      <alignment horizontal="center" vertical="center"/>
    </xf>
    <xf numFmtId="0" fontId="116" fillId="7" borderId="9" xfId="0" applyFont="1" applyFill="1" applyBorder="1" applyAlignment="1">
      <alignment horizontal="center" vertical="center"/>
    </xf>
    <xf numFmtId="0" fontId="116" fillId="7" borderId="10" xfId="0" applyFont="1" applyFill="1" applyBorder="1" applyAlignment="1">
      <alignment horizontal="center" vertical="center"/>
    </xf>
    <xf numFmtId="0" fontId="0" fillId="18" borderId="7" xfId="0" applyFill="1" applyBorder="1"/>
    <xf numFmtId="0" fontId="0" fillId="7" borderId="7" xfId="0" applyFill="1" applyBorder="1"/>
    <xf numFmtId="0" fontId="6" fillId="6" borderId="0" xfId="0" applyFont="1" applyFill="1"/>
    <xf numFmtId="14" fontId="0" fillId="2" borderId="8" xfId="0" applyNumberFormat="1" applyFill="1" applyBorder="1" applyAlignment="1">
      <alignment horizontal="right" vertical="center"/>
    </xf>
    <xf numFmtId="14" fontId="0" fillId="2" borderId="9" xfId="0" applyNumberFormat="1" applyFill="1" applyBorder="1" applyAlignment="1">
      <alignment horizontal="right" vertical="center"/>
    </xf>
    <xf numFmtId="14" fontId="0" fillId="2" borderId="10" xfId="0" applyNumberFormat="1" applyFill="1" applyBorder="1" applyAlignment="1">
      <alignment horizontal="right" vertical="center"/>
    </xf>
    <xf numFmtId="0" fontId="0" fillId="13" borderId="7" xfId="0" applyFill="1" applyBorder="1" applyAlignment="1">
      <alignment horizontal="center" vertical="center"/>
    </xf>
    <xf numFmtId="0" fontId="0" fillId="18" borderId="7" xfId="0" applyFill="1" applyBorder="1" applyAlignment="1">
      <alignment horizontal="center" vertical="center"/>
    </xf>
    <xf numFmtId="0" fontId="0" fillId="7" borderId="7" xfId="0" applyFill="1" applyBorder="1" applyAlignment="1">
      <alignment horizontal="center" vertical="center"/>
    </xf>
    <xf numFmtId="0" fontId="0" fillId="34" borderId="7" xfId="0" applyFill="1" applyBorder="1" applyAlignment="1">
      <alignment horizontal="center" vertical="center"/>
    </xf>
    <xf numFmtId="0" fontId="0" fillId="45" borderId="7" xfId="0" applyFill="1" applyBorder="1" applyAlignment="1">
      <alignment horizontal="center" vertical="center"/>
    </xf>
    <xf numFmtId="0" fontId="0" fillId="45" borderId="34" xfId="0" applyFill="1" applyBorder="1" applyAlignment="1">
      <alignment horizontal="center" vertical="center"/>
    </xf>
    <xf numFmtId="0" fontId="0" fillId="13" borderId="7" xfId="0" applyFill="1" applyBorder="1"/>
    <xf numFmtId="0" fontId="0" fillId="4" borderId="7" xfId="0" applyFill="1" applyBorder="1" applyAlignment="1">
      <alignment horizontal="center"/>
    </xf>
    <xf numFmtId="0" fontId="23" fillId="33" borderId="7" xfId="0" applyFont="1" applyFill="1" applyBorder="1"/>
    <xf numFmtId="0" fontId="23" fillId="34" borderId="7" xfId="0" applyFont="1" applyFill="1" applyBorder="1"/>
    <xf numFmtId="0" fontId="114" fillId="4" borderId="8" xfId="0" applyFont="1" applyFill="1" applyBorder="1" applyAlignment="1">
      <alignment horizontal="right" vertical="top"/>
    </xf>
    <xf numFmtId="0" fontId="114" fillId="4" borderId="9" xfId="0" applyFont="1" applyFill="1" applyBorder="1" applyAlignment="1">
      <alignment horizontal="right" vertical="top"/>
    </xf>
    <xf numFmtId="0" fontId="114" fillId="4" borderId="10" xfId="0" applyFont="1" applyFill="1" applyBorder="1" applyAlignment="1">
      <alignment horizontal="right" vertical="top"/>
    </xf>
    <xf numFmtId="0" fontId="0" fillId="13" borderId="7" xfId="0" applyFill="1" applyBorder="1" applyAlignment="1">
      <alignment horizontal="center"/>
    </xf>
    <xf numFmtId="0" fontId="0" fillId="2" borderId="7" xfId="0" applyFill="1" applyBorder="1" applyAlignment="1">
      <alignment horizontal="center"/>
    </xf>
    <xf numFmtId="0" fontId="23" fillId="75" borderId="7" xfId="0" applyFont="1" applyFill="1" applyBorder="1"/>
    <xf numFmtId="0" fontId="23" fillId="11" borderId="7" xfId="0" applyFont="1" applyFill="1" applyBorder="1"/>
    <xf numFmtId="0" fontId="23" fillId="4" borderId="7" xfId="0" applyFont="1" applyFill="1" applyBorder="1" applyAlignment="1">
      <alignment horizontal="center"/>
    </xf>
    <xf numFmtId="0" fontId="23" fillId="4" borderId="7" xfId="0" applyFont="1" applyFill="1" applyBorder="1"/>
    <xf numFmtId="0" fontId="24" fillId="4" borderId="7" xfId="0" applyFont="1" applyFill="1" applyBorder="1"/>
    <xf numFmtId="0" fontId="23" fillId="76" borderId="7" xfId="0" applyFont="1" applyFill="1" applyBorder="1" applyAlignment="1">
      <alignment horizontal="center" vertical="center"/>
    </xf>
    <xf numFmtId="0" fontId="23" fillId="34" borderId="7" xfId="0" applyFont="1" applyFill="1" applyBorder="1" applyAlignment="1">
      <alignment horizontal="center"/>
    </xf>
    <xf numFmtId="0" fontId="23" fillId="75" borderId="7" xfId="0" applyFont="1" applyFill="1" applyBorder="1" applyAlignment="1">
      <alignment horizontal="center" vertical="center"/>
    </xf>
    <xf numFmtId="0" fontId="23" fillId="11" borderId="7" xfId="0" applyFont="1" applyFill="1" applyBorder="1" applyAlignment="1">
      <alignment horizontal="center" vertical="center"/>
    </xf>
    <xf numFmtId="0" fontId="0" fillId="76" borderId="7" xfId="0" applyFill="1" applyBorder="1" applyAlignment="1">
      <alignment horizontal="center" vertical="center"/>
    </xf>
    <xf numFmtId="0" fontId="23" fillId="34" borderId="7" xfId="0" applyFont="1" applyFill="1" applyBorder="1" applyAlignment="1">
      <alignment horizontal="center" vertical="center"/>
    </xf>
    <xf numFmtId="0" fontId="0" fillId="45" borderId="7" xfId="0" applyFill="1" applyBorder="1" applyAlignment="1">
      <alignment horizontal="center"/>
    </xf>
    <xf numFmtId="0" fontId="24" fillId="4" borderId="7" xfId="0" applyFont="1" applyFill="1" applyBorder="1" applyAlignment="1">
      <alignment horizontal="center" vertical="center"/>
    </xf>
    <xf numFmtId="0" fontId="0" fillId="4" borderId="7" xfId="0" applyFill="1" applyBorder="1" applyAlignment="1">
      <alignment horizontal="center" vertical="top"/>
    </xf>
    <xf numFmtId="0" fontId="27" fillId="45" borderId="7" xfId="0" applyFont="1" applyFill="1" applyBorder="1" applyAlignment="1">
      <alignment horizontal="center" vertical="center" wrapText="1"/>
    </xf>
    <xf numFmtId="0" fontId="27" fillId="34" borderId="7" xfId="0" applyFont="1" applyFill="1" applyBorder="1" applyAlignment="1">
      <alignment horizontal="center" vertical="center" wrapText="1"/>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27" fillId="18" borderId="7"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3" fillId="33" borderId="8" xfId="0" applyFont="1" applyFill="1" applyBorder="1" applyAlignment="1">
      <alignment horizontal="center" vertical="center"/>
    </xf>
    <xf numFmtId="0" fontId="23" fillId="33" borderId="9" xfId="0" applyFont="1" applyFill="1" applyBorder="1" applyAlignment="1">
      <alignment horizontal="center" vertical="center"/>
    </xf>
    <xf numFmtId="0" fontId="23" fillId="33" borderId="10" xfId="0" applyFont="1" applyFill="1" applyBorder="1" applyAlignment="1">
      <alignment horizontal="center" vertical="center"/>
    </xf>
    <xf numFmtId="0" fontId="0" fillId="2" borderId="11" xfId="0" applyFill="1" applyBorder="1"/>
    <xf numFmtId="0" fontId="0" fillId="2" borderId="2" xfId="0"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0" fillId="2" borderId="2" xfId="0" applyFill="1" applyBorder="1"/>
    <xf numFmtId="0" fontId="0" fillId="2" borderId="1" xfId="0" applyFill="1" applyBorder="1"/>
    <xf numFmtId="0" fontId="116" fillId="2" borderId="8" xfId="0" applyFont="1" applyFill="1" applyBorder="1" applyAlignment="1">
      <alignment horizontal="center" vertical="center"/>
    </xf>
    <xf numFmtId="0" fontId="116" fillId="2" borderId="9" xfId="0" applyFont="1" applyFill="1" applyBorder="1" applyAlignment="1">
      <alignment horizontal="center" vertical="center"/>
    </xf>
    <xf numFmtId="0" fontId="116" fillId="2" borderId="10" xfId="0" applyFont="1" applyFill="1" applyBorder="1" applyAlignment="1">
      <alignment horizontal="center" vertical="center"/>
    </xf>
    <xf numFmtId="0" fontId="23" fillId="75" borderId="8" xfId="0" applyFont="1" applyFill="1" applyBorder="1" applyAlignment="1">
      <alignment horizontal="center" vertical="center"/>
    </xf>
    <xf numFmtId="0" fontId="23" fillId="75" borderId="9" xfId="0" applyFont="1" applyFill="1" applyBorder="1" applyAlignment="1">
      <alignment horizontal="center" vertical="center"/>
    </xf>
    <xf numFmtId="0" fontId="23" fillId="75" borderId="10" xfId="0" applyFont="1" applyFill="1" applyBorder="1" applyAlignment="1">
      <alignment horizontal="center" vertical="center"/>
    </xf>
    <xf numFmtId="0" fontId="23" fillId="34" borderId="8" xfId="0" applyFont="1" applyFill="1" applyBorder="1" applyAlignment="1">
      <alignment horizontal="center" vertical="center"/>
    </xf>
    <xf numFmtId="0" fontId="23" fillId="34" borderId="9" xfId="0" applyFont="1" applyFill="1" applyBorder="1" applyAlignment="1">
      <alignment horizontal="center" vertical="center"/>
    </xf>
    <xf numFmtId="0" fontId="23" fillId="34" borderId="10" xfId="0" applyFont="1" applyFill="1" applyBorder="1" applyAlignment="1">
      <alignment horizontal="center" vertical="center"/>
    </xf>
    <xf numFmtId="0" fontId="38" fillId="4" borderId="7" xfId="0" applyFont="1" applyFill="1" applyBorder="1" applyAlignment="1">
      <alignment horizontal="left" vertical="center"/>
    </xf>
    <xf numFmtId="0" fontId="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61" fillId="4" borderId="7" xfId="0" applyFont="1" applyFill="1" applyBorder="1" applyAlignment="1">
      <alignment horizontal="center" vertical="center"/>
    </xf>
    <xf numFmtId="0" fontId="59" fillId="4" borderId="8"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27" fillId="13" borderId="7" xfId="0" applyFont="1" applyFill="1" applyBorder="1" applyAlignment="1">
      <alignment horizontal="center" vertical="center" wrapText="1"/>
    </xf>
    <xf numFmtId="0" fontId="0" fillId="2" borderId="7" xfId="0" applyFill="1" applyBorder="1" applyAlignment="1">
      <alignment horizontal="right"/>
    </xf>
    <xf numFmtId="0" fontId="27" fillId="45" borderId="8" xfId="0" applyFont="1" applyFill="1" applyBorder="1" applyAlignment="1">
      <alignment horizontal="center" vertical="center" wrapText="1"/>
    </xf>
    <xf numFmtId="0" fontId="25" fillId="4" borderId="33" xfId="0" applyFont="1" applyFill="1" applyBorder="1" applyAlignment="1">
      <alignment horizontal="center" vertical="center"/>
    </xf>
    <xf numFmtId="0" fontId="38" fillId="4" borderId="8" xfId="0" applyFont="1" applyFill="1" applyBorder="1" applyAlignment="1">
      <alignment horizontal="left" vertical="center"/>
    </xf>
    <xf numFmtId="0" fontId="38" fillId="4" borderId="9" xfId="0" applyFont="1" applyFill="1" applyBorder="1" applyAlignment="1">
      <alignment horizontal="left" vertical="center"/>
    </xf>
    <xf numFmtId="0" fontId="18" fillId="0" borderId="33" xfId="0" applyFont="1" applyBorder="1" applyAlignment="1">
      <alignment horizontal="left" vertical="top"/>
    </xf>
    <xf numFmtId="0" fontId="0" fillId="45" borderId="34" xfId="0" applyFill="1" applyBorder="1"/>
    <xf numFmtId="0" fontId="0" fillId="2" borderId="35" xfId="0" applyFill="1" applyBorder="1"/>
    <xf numFmtId="0" fontId="24" fillId="4" borderId="7" xfId="0" applyFont="1" applyFill="1" applyBorder="1" applyAlignment="1">
      <alignment horizontal="center"/>
    </xf>
    <xf numFmtId="0" fontId="23" fillId="11" borderId="40" xfId="0" applyFont="1" applyFill="1" applyBorder="1" applyAlignment="1">
      <alignment horizontal="center" vertical="center"/>
    </xf>
    <xf numFmtId="0" fontId="23" fillId="11" borderId="37" xfId="0" applyFont="1" applyFill="1" applyBorder="1" applyAlignment="1">
      <alignment horizontal="center" vertical="center"/>
    </xf>
    <xf numFmtId="0" fontId="23" fillId="11" borderId="38" xfId="0" applyFont="1" applyFill="1" applyBorder="1" applyAlignment="1">
      <alignment horizontal="center" vertical="center"/>
    </xf>
    <xf numFmtId="0" fontId="23" fillId="33" borderId="40" xfId="0" applyFont="1" applyFill="1" applyBorder="1" applyAlignment="1">
      <alignment horizontal="center" vertical="center"/>
    </xf>
    <xf numFmtId="0" fontId="23" fillId="33" borderId="37" xfId="0" applyFont="1" applyFill="1" applyBorder="1" applyAlignment="1">
      <alignment horizontal="center" vertical="center"/>
    </xf>
    <xf numFmtId="0" fontId="23" fillId="33" borderId="38" xfId="0" applyFont="1" applyFill="1" applyBorder="1" applyAlignment="1">
      <alignment horizontal="center" vertical="center"/>
    </xf>
    <xf numFmtId="0" fontId="23" fillId="34" borderId="40" xfId="0" applyFont="1" applyFill="1" applyBorder="1" applyAlignment="1">
      <alignment horizontal="center" vertical="center"/>
    </xf>
    <xf numFmtId="0" fontId="23" fillId="34" borderId="37"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39" xfId="0" applyFont="1" applyFill="1" applyBorder="1" applyAlignment="1">
      <alignment horizontal="center"/>
    </xf>
    <xf numFmtId="0" fontId="23" fillId="34" borderId="41" xfId="0" applyFont="1" applyFill="1" applyBorder="1" applyAlignment="1">
      <alignment horizontal="center"/>
    </xf>
    <xf numFmtId="0" fontId="73" fillId="4" borderId="30" xfId="0" applyFont="1" applyFill="1" applyBorder="1" applyAlignment="1">
      <alignment horizontal="left" vertical="center"/>
    </xf>
    <xf numFmtId="0" fontId="73" fillId="4" borderId="31" xfId="0" applyFont="1" applyFill="1" applyBorder="1" applyAlignment="1">
      <alignment horizontal="left" vertical="center"/>
    </xf>
    <xf numFmtId="0" fontId="73" fillId="4" borderId="32" xfId="0" applyFont="1" applyFill="1" applyBorder="1" applyAlignment="1">
      <alignment horizontal="left" vertical="center"/>
    </xf>
    <xf numFmtId="0" fontId="89" fillId="6" borderId="42" xfId="0" applyFont="1" applyFill="1" applyBorder="1" applyAlignment="1">
      <alignment vertical="center" textRotation="90" wrapText="1"/>
    </xf>
    <xf numFmtId="0" fontId="5" fillId="4" borderId="36" xfId="0" applyFont="1" applyFill="1" applyBorder="1" applyAlignment="1">
      <alignment horizontal="right"/>
    </xf>
    <xf numFmtId="0" fontId="5" fillId="4" borderId="37" xfId="0" applyFont="1" applyFill="1" applyBorder="1" applyAlignment="1">
      <alignment horizontal="right"/>
    </xf>
    <xf numFmtId="0" fontId="5" fillId="4" borderId="38" xfId="0" applyFont="1" applyFill="1" applyBorder="1" applyAlignment="1">
      <alignment horizontal="right"/>
    </xf>
    <xf numFmtId="0" fontId="23" fillId="32" borderId="39" xfId="0" applyFont="1" applyFill="1" applyBorder="1" applyAlignment="1">
      <alignment horizontal="center"/>
    </xf>
    <xf numFmtId="0" fontId="23" fillId="29" borderId="39" xfId="0" applyFont="1" applyFill="1" applyBorder="1" applyAlignment="1">
      <alignment horizontal="center"/>
    </xf>
    <xf numFmtId="0" fontId="23" fillId="4" borderId="40" xfId="0" applyFont="1" applyFill="1" applyBorder="1" applyAlignment="1">
      <alignment horizontal="center" vertical="center"/>
    </xf>
    <xf numFmtId="0" fontId="23" fillId="4" borderId="37" xfId="0" applyFont="1" applyFill="1" applyBorder="1" applyAlignment="1">
      <alignment horizontal="center" vertical="center"/>
    </xf>
    <xf numFmtId="0" fontId="23" fillId="4" borderId="38" xfId="0" applyFont="1" applyFill="1" applyBorder="1" applyAlignment="1">
      <alignment horizontal="center" vertical="center"/>
    </xf>
    <xf numFmtId="0" fontId="23" fillId="29" borderId="39" xfId="0" applyFont="1" applyFill="1" applyBorder="1" applyAlignment="1">
      <alignment horizontal="center" vertical="center"/>
    </xf>
    <xf numFmtId="0" fontId="23" fillId="75" borderId="40" xfId="0" applyFont="1" applyFill="1" applyBorder="1" applyAlignment="1">
      <alignment horizontal="center" vertical="center"/>
    </xf>
    <xf numFmtId="0" fontId="23" fillId="75" borderId="37" xfId="0" applyFont="1" applyFill="1" applyBorder="1" applyAlignment="1">
      <alignment horizontal="center" vertical="center"/>
    </xf>
    <xf numFmtId="0" fontId="23" fillId="75" borderId="38" xfId="0" applyFont="1" applyFill="1" applyBorder="1" applyAlignment="1">
      <alignment horizontal="center"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3" xfId="0" applyFont="1" applyFill="1" applyBorder="1" applyAlignment="1">
      <alignment vertical="center" wrapText="1"/>
    </xf>
    <xf numFmtId="0" fontId="1" fillId="2" borderId="13" xfId="0" applyFont="1" applyFill="1" applyBorder="1" applyAlignment="1">
      <alignment vertical="center" wrapText="1"/>
    </xf>
    <xf numFmtId="0" fontId="1" fillId="2" borderId="0" xfId="0" applyFont="1" applyFill="1" applyAlignment="1">
      <alignment vertical="center" wrapText="1"/>
    </xf>
    <xf numFmtId="0" fontId="1" fillId="2" borderId="14" xfId="0" applyFont="1" applyFill="1" applyBorder="1" applyAlignment="1">
      <alignment vertical="center" wrapText="1"/>
    </xf>
    <xf numFmtId="0" fontId="3" fillId="46" borderId="8" xfId="0" applyFont="1" applyFill="1" applyBorder="1" applyAlignment="1">
      <alignment horizontal="center" vertical="center"/>
    </xf>
    <xf numFmtId="0" fontId="3" fillId="46" borderId="9" xfId="0" applyFont="1" applyFill="1" applyBorder="1" applyAlignment="1">
      <alignment horizontal="center" vertical="center"/>
    </xf>
    <xf numFmtId="0" fontId="1" fillId="0" borderId="7" xfId="0" applyFont="1" applyBorder="1" applyAlignment="1">
      <alignment horizontal="center" vertical="center" wrapText="1"/>
    </xf>
    <xf numFmtId="0" fontId="1" fillId="12" borderId="7" xfId="0" applyFont="1" applyFill="1" applyBorder="1" applyAlignment="1">
      <alignment horizontal="center" vertical="center" wrapText="1"/>
    </xf>
    <xf numFmtId="0" fontId="3" fillId="46" borderId="5" xfId="0" applyFont="1" applyFill="1" applyBorder="1" applyAlignment="1">
      <alignment horizontal="center" vertical="center"/>
    </xf>
    <xf numFmtId="0" fontId="1" fillId="47" borderId="7" xfId="0" applyFont="1" applyFill="1" applyBorder="1" applyAlignment="1">
      <alignment vertical="center" wrapText="1"/>
    </xf>
    <xf numFmtId="0" fontId="69" fillId="47" borderId="7" xfId="0" applyFont="1" applyFill="1" applyBorder="1" applyAlignment="1">
      <alignment horizontal="center"/>
    </xf>
    <xf numFmtId="0" fontId="1" fillId="45" borderId="7" xfId="0" applyFont="1" applyFill="1" applyBorder="1" applyAlignment="1">
      <alignment vertical="center" wrapText="1"/>
    </xf>
    <xf numFmtId="0" fontId="81" fillId="45" borderId="7" xfId="0" applyFont="1" applyFill="1" applyBorder="1" applyAlignment="1">
      <alignment horizontal="center"/>
    </xf>
    <xf numFmtId="0" fontId="81" fillId="47" borderId="7" xfId="0" applyFont="1" applyFill="1" applyBorder="1" applyAlignment="1">
      <alignment horizontal="center"/>
    </xf>
    <xf numFmtId="0" fontId="11" fillId="21" borderId="5" xfId="0" applyFont="1" applyFill="1" applyBorder="1" applyAlignment="1">
      <alignment horizontal="center" vertical="center"/>
    </xf>
    <xf numFmtId="0" fontId="11" fillId="21" borderId="6" xfId="0" applyFont="1" applyFill="1" applyBorder="1" applyAlignment="1">
      <alignment horizontal="center" vertical="center"/>
    </xf>
    <xf numFmtId="0" fontId="48" fillId="7" borderId="7" xfId="0" applyFont="1" applyFill="1" applyBorder="1" applyAlignment="1">
      <alignment vertical="center" wrapText="1"/>
    </xf>
    <xf numFmtId="0" fontId="22" fillId="2" borderId="8" xfId="0" applyFont="1" applyFill="1" applyBorder="1" applyAlignment="1">
      <alignment horizontal="left" vertical="center"/>
    </xf>
    <xf numFmtId="0" fontId="22" fillId="2" borderId="9" xfId="0" applyFont="1" applyFill="1" applyBorder="1" applyAlignment="1">
      <alignment horizontal="left" vertical="center"/>
    </xf>
    <xf numFmtId="0" fontId="22" fillId="2" borderId="10" xfId="0" applyFont="1" applyFill="1" applyBorder="1" applyAlignment="1">
      <alignment horizontal="left" vertical="center"/>
    </xf>
    <xf numFmtId="0" fontId="22" fillId="20" borderId="7" xfId="0" applyFont="1" applyFill="1" applyBorder="1"/>
    <xf numFmtId="0" fontId="22" fillId="2" borderId="7" xfId="0" applyFont="1" applyFill="1" applyBorder="1"/>
    <xf numFmtId="0" fontId="22" fillId="20" borderId="8" xfId="0" applyFont="1" applyFill="1" applyBorder="1"/>
    <xf numFmtId="0" fontId="22" fillId="20" borderId="9" xfId="0" applyFont="1" applyFill="1" applyBorder="1"/>
    <xf numFmtId="0" fontId="22" fillId="20" borderId="10" xfId="0" applyFont="1" applyFill="1" applyBorder="1"/>
    <xf numFmtId="0" fontId="1" fillId="2" borderId="7" xfId="0" applyFont="1" applyFill="1" applyBorder="1" applyAlignment="1">
      <alignment vertical="center" wrapText="1"/>
    </xf>
    <xf numFmtId="0" fontId="1" fillId="4" borderId="7" xfId="0" applyFont="1" applyFill="1" applyBorder="1" applyAlignment="1">
      <alignment vertical="center" wrapText="1"/>
    </xf>
    <xf numFmtId="0" fontId="6" fillId="28" borderId="1" xfId="0" applyFont="1" applyFill="1" applyBorder="1" applyAlignment="1">
      <alignment vertical="center" wrapText="1"/>
    </xf>
    <xf numFmtId="0" fontId="69" fillId="4" borderId="7" xfId="0" applyFont="1" applyFill="1" applyBorder="1" applyAlignment="1">
      <alignment horizontal="center"/>
    </xf>
    <xf numFmtId="0" fontId="0" fillId="11" borderId="8" xfId="0" applyFill="1" applyBorder="1"/>
    <xf numFmtId="0" fontId="0" fillId="11" borderId="10" xfId="0" applyFill="1" applyBorder="1"/>
    <xf numFmtId="0" fontId="0" fillId="11" borderId="7" xfId="0" applyFill="1" applyBorder="1" applyAlignment="1">
      <alignment horizontal="center" vertical="center"/>
    </xf>
    <xf numFmtId="0" fontId="0" fillId="2" borderId="0" xfId="0" applyFill="1" applyAlignment="1">
      <alignment horizontal="center" vertical="center"/>
    </xf>
    <xf numFmtId="0" fontId="0" fillId="7" borderId="0" xfId="0" applyFill="1" applyAlignment="1">
      <alignment horizontal="center"/>
    </xf>
    <xf numFmtId="0" fontId="52" fillId="2" borderId="7" xfId="0" applyFont="1" applyFill="1" applyBorder="1" applyAlignment="1">
      <alignment vertical="center" wrapText="1"/>
    </xf>
    <xf numFmtId="0" fontId="1" fillId="11" borderId="7" xfId="0" applyFont="1" applyFill="1" applyBorder="1" applyAlignment="1">
      <alignment vertical="center" wrapText="1"/>
    </xf>
    <xf numFmtId="0" fontId="1" fillId="7" borderId="7" xfId="0" applyFont="1" applyFill="1" applyBorder="1" applyAlignment="1">
      <alignment vertical="center" wrapText="1"/>
    </xf>
    <xf numFmtId="0" fontId="0" fillId="11" borderId="9" xfId="0" applyFill="1" applyBorder="1"/>
    <xf numFmtId="0" fontId="72" fillId="6" borderId="0" xfId="0" applyFont="1" applyFill="1" applyAlignment="1">
      <alignment horizontal="left" vertical="center"/>
    </xf>
    <xf numFmtId="0" fontId="3" fillId="15" borderId="7" xfId="0" applyFont="1" applyFill="1" applyBorder="1" applyAlignment="1">
      <alignment horizontal="center" vertical="center"/>
    </xf>
    <xf numFmtId="0" fontId="3" fillId="16" borderId="7" xfId="0" applyFont="1" applyFill="1" applyBorder="1" applyAlignment="1">
      <alignment horizontal="center" vertical="center"/>
    </xf>
    <xf numFmtId="0" fontId="20" fillId="17" borderId="7" xfId="0" applyFont="1" applyFill="1" applyBorder="1" applyAlignment="1">
      <alignment horizontal="center" vertical="center" wrapText="1"/>
    </xf>
    <xf numFmtId="0" fontId="20" fillId="30" borderId="7" xfId="0" applyFont="1" applyFill="1" applyBorder="1" applyAlignment="1">
      <alignment horizontal="center" vertical="center" wrapText="1"/>
    </xf>
    <xf numFmtId="0" fontId="69" fillId="2" borderId="7" xfId="0" applyFont="1" applyFill="1" applyBorder="1" applyAlignment="1">
      <alignment horizontal="center"/>
    </xf>
    <xf numFmtId="0" fontId="3" fillId="17" borderId="7" xfId="0" applyFont="1" applyFill="1" applyBorder="1" applyAlignment="1">
      <alignment horizontal="center" vertical="center" wrapText="1"/>
    </xf>
    <xf numFmtId="0" fontId="69" fillId="2" borderId="7" xfId="0" applyFont="1" applyFill="1" applyBorder="1" applyAlignment="1">
      <alignment horizontal="center" vertical="center"/>
    </xf>
    <xf numFmtId="0" fontId="3" fillId="30" borderId="7"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6" borderId="0" xfId="0" applyFont="1" applyFill="1" applyAlignment="1">
      <alignment horizontal="center" vertical="center"/>
    </xf>
    <xf numFmtId="0" fontId="25" fillId="3" borderId="8" xfId="0" applyFont="1" applyFill="1" applyBorder="1" applyAlignment="1">
      <alignment horizontal="center" vertical="center"/>
    </xf>
    <xf numFmtId="0" fontId="25" fillId="3" borderId="9" xfId="0" applyFont="1" applyFill="1" applyBorder="1" applyAlignment="1">
      <alignment horizontal="center" vertical="center"/>
    </xf>
    <xf numFmtId="0" fontId="25" fillId="48" borderId="9" xfId="0" applyFont="1" applyFill="1" applyBorder="1" applyAlignment="1">
      <alignment horizontal="center" vertical="center"/>
    </xf>
    <xf numFmtId="0" fontId="25" fillId="48" borderId="10" xfId="0" applyFont="1" applyFill="1" applyBorder="1" applyAlignment="1">
      <alignment horizontal="center" vertical="center"/>
    </xf>
    <xf numFmtId="0" fontId="11" fillId="21" borderId="8" xfId="0" applyFont="1" applyFill="1" applyBorder="1" applyAlignment="1">
      <alignment horizontal="center" vertical="center"/>
    </xf>
    <xf numFmtId="0" fontId="11" fillId="21" borderId="9" xfId="0" applyFont="1" applyFill="1" applyBorder="1" applyAlignment="1">
      <alignment horizontal="center" vertical="center"/>
    </xf>
    <xf numFmtId="0" fontId="11" fillId="21" borderId="10" xfId="0" applyFont="1" applyFill="1" applyBorder="1" applyAlignment="1">
      <alignment horizontal="center" vertical="center"/>
    </xf>
    <xf numFmtId="0" fontId="1" fillId="0" borderId="10" xfId="0" applyFont="1" applyBorder="1" applyAlignment="1">
      <alignment horizontal="center" vertical="center" wrapText="1"/>
    </xf>
    <xf numFmtId="0" fontId="73" fillId="3" borderId="2" xfId="0" applyFont="1" applyFill="1" applyBorder="1" applyAlignment="1">
      <alignment horizontal="center" vertical="center"/>
    </xf>
    <xf numFmtId="0" fontId="73" fillId="3" borderId="1" xfId="0" applyFont="1" applyFill="1" applyBorder="1" applyAlignment="1">
      <alignment horizontal="center" vertical="center"/>
    </xf>
    <xf numFmtId="0" fontId="73" fillId="3" borderId="3" xfId="0" applyFont="1" applyFill="1" applyBorder="1" applyAlignment="1">
      <alignment horizontal="center" vertical="center"/>
    </xf>
    <xf numFmtId="0" fontId="73" fillId="3" borderId="13" xfId="0" applyFont="1" applyFill="1" applyBorder="1" applyAlignment="1">
      <alignment horizontal="center" vertical="center"/>
    </xf>
    <xf numFmtId="0" fontId="73" fillId="3" borderId="0" xfId="0" applyFont="1" applyFill="1" applyAlignment="1">
      <alignment horizontal="center" vertical="center"/>
    </xf>
    <xf numFmtId="0" fontId="73" fillId="3" borderId="14" xfId="0" applyFont="1" applyFill="1" applyBorder="1" applyAlignment="1">
      <alignment horizontal="center" vertical="center"/>
    </xf>
    <xf numFmtId="0" fontId="73" fillId="3" borderId="4" xfId="0" applyFont="1" applyFill="1" applyBorder="1" applyAlignment="1">
      <alignment horizontal="center" vertical="center"/>
    </xf>
    <xf numFmtId="0" fontId="73" fillId="3" borderId="5" xfId="0" applyFont="1" applyFill="1" applyBorder="1" applyAlignment="1">
      <alignment horizontal="center" vertical="center"/>
    </xf>
    <xf numFmtId="0" fontId="73" fillId="3" borderId="6" xfId="0" applyFont="1" applyFill="1" applyBorder="1" applyAlignment="1">
      <alignment horizontal="center" vertical="center"/>
    </xf>
    <xf numFmtId="0" fontId="21" fillId="4" borderId="12" xfId="0" applyFont="1" applyFill="1" applyBorder="1" applyAlignment="1">
      <alignment horizontal="center" vertical="center"/>
    </xf>
    <xf numFmtId="0" fontId="17" fillId="9" borderId="7" xfId="0" applyFont="1" applyFill="1" applyBorder="1" applyAlignment="1">
      <alignment vertical="center" wrapText="1"/>
    </xf>
    <xf numFmtId="0" fontId="17" fillId="38" borderId="7" xfId="0" applyFont="1" applyFill="1" applyBorder="1" applyAlignment="1">
      <alignment vertical="center" wrapText="1"/>
    </xf>
    <xf numFmtId="0" fontId="6" fillId="39" borderId="1" xfId="0" applyFont="1" applyFill="1" applyBorder="1" applyAlignment="1">
      <alignment vertical="center" wrapText="1"/>
    </xf>
    <xf numFmtId="0" fontId="60" fillId="28" borderId="8" xfId="0" applyFont="1" applyFill="1" applyBorder="1" applyAlignment="1">
      <alignment horizontal="right"/>
    </xf>
    <xf numFmtId="0" fontId="60" fillId="28" borderId="9" xfId="0" applyFont="1" applyFill="1" applyBorder="1" applyAlignment="1">
      <alignment horizontal="right"/>
    </xf>
    <xf numFmtId="0" fontId="60" fillId="28" borderId="10" xfId="0" applyFont="1" applyFill="1" applyBorder="1" applyAlignment="1">
      <alignment horizontal="right"/>
    </xf>
    <xf numFmtId="0" fontId="6" fillId="28" borderId="8" xfId="0" applyFont="1" applyFill="1" applyBorder="1" applyAlignment="1">
      <alignment horizontal="center"/>
    </xf>
    <xf numFmtId="0" fontId="6" fillId="28" borderId="9" xfId="0" applyFont="1" applyFill="1" applyBorder="1" applyAlignment="1">
      <alignment horizontal="center"/>
    </xf>
    <xf numFmtId="0" fontId="6" fillId="28" borderId="10" xfId="0" applyFont="1" applyFill="1" applyBorder="1" applyAlignment="1">
      <alignment horizontal="center"/>
    </xf>
    <xf numFmtId="0" fontId="0" fillId="6" borderId="7" xfId="0" applyFill="1" applyBorder="1"/>
    <xf numFmtId="0" fontId="0" fillId="6" borderId="7" xfId="0" applyFill="1" applyBorder="1" applyAlignment="1">
      <alignment horizontal="center"/>
    </xf>
    <xf numFmtId="0" fontId="3" fillId="28" borderId="1" xfId="0" applyFont="1" applyFill="1" applyBorder="1" applyAlignment="1">
      <alignment horizontal="right"/>
    </xf>
    <xf numFmtId="0" fontId="0" fillId="6" borderId="0" xfId="0" applyFill="1"/>
    <xf numFmtId="0" fontId="6" fillId="28" borderId="1" xfId="0" applyFont="1" applyFill="1" applyBorder="1"/>
    <xf numFmtId="0" fontId="69" fillId="9" borderId="7" xfId="0" applyFont="1" applyFill="1" applyBorder="1" applyAlignment="1">
      <alignment horizontal="center"/>
    </xf>
    <xf numFmtId="0" fontId="1" fillId="2" borderId="7" xfId="0" applyFont="1" applyFill="1" applyBorder="1"/>
    <xf numFmtId="0" fontId="67" fillId="3" borderId="8" xfId="0" applyFont="1" applyFill="1" applyBorder="1" applyAlignment="1">
      <alignment horizontal="center" vertical="center" wrapText="1"/>
    </xf>
    <xf numFmtId="0" fontId="67" fillId="3" borderId="10" xfId="0" applyFont="1" applyFill="1" applyBorder="1" applyAlignment="1">
      <alignment horizontal="center" vertical="center" wrapText="1"/>
    </xf>
    <xf numFmtId="0" fontId="66" fillId="2" borderId="0" xfId="0" applyFont="1" applyFill="1" applyAlignment="1">
      <alignment vertical="top"/>
    </xf>
    <xf numFmtId="0" fontId="66" fillId="2" borderId="14" xfId="0" applyFont="1" applyFill="1" applyBorder="1" applyAlignment="1">
      <alignment vertical="top"/>
    </xf>
    <xf numFmtId="0" fontId="71" fillId="0" borderId="13" xfId="0" applyFont="1" applyBorder="1" applyAlignment="1">
      <alignment horizontal="center" vertical="center" wrapText="1"/>
    </xf>
    <xf numFmtId="0" fontId="71" fillId="0" borderId="0" xfId="0" applyFont="1" applyAlignment="1">
      <alignment horizontal="center" vertical="center" wrapText="1"/>
    </xf>
    <xf numFmtId="0" fontId="68" fillId="6" borderId="25" xfId="0" applyFont="1" applyFill="1" applyBorder="1" applyAlignment="1">
      <alignment horizontal="left" vertical="center" wrapText="1"/>
    </xf>
    <xf numFmtId="0" fontId="68" fillId="6" borderId="26" xfId="0" applyFont="1" applyFill="1" applyBorder="1" applyAlignment="1">
      <alignment horizontal="left" vertical="center" wrapText="1"/>
    </xf>
    <xf numFmtId="0" fontId="68" fillId="6" borderId="27" xfId="0" applyFont="1" applyFill="1" applyBorder="1" applyAlignment="1">
      <alignment horizontal="left" vertical="center" wrapText="1"/>
    </xf>
    <xf numFmtId="0" fontId="17" fillId="29" borderId="7" xfId="0" applyFont="1" applyFill="1" applyBorder="1" applyAlignment="1">
      <alignment vertical="center" wrapText="1"/>
    </xf>
    <xf numFmtId="0" fontId="27" fillId="29" borderId="8" xfId="0" applyFont="1" applyFill="1" applyBorder="1" applyAlignment="1">
      <alignment horizontal="center" vertical="center"/>
    </xf>
    <xf numFmtId="0" fontId="27" fillId="29" borderId="10" xfId="0" applyFont="1" applyFill="1" applyBorder="1" applyAlignment="1">
      <alignment horizontal="center" vertical="center"/>
    </xf>
    <xf numFmtId="0" fontId="6" fillId="6" borderId="0" xfId="0" applyFont="1" applyFill="1" applyAlignment="1">
      <alignment horizontal="left"/>
    </xf>
    <xf numFmtId="0" fontId="6" fillId="6" borderId="12" xfId="0" applyFont="1" applyFill="1" applyBorder="1"/>
    <xf numFmtId="0" fontId="6" fillId="6" borderId="7" xfId="0" applyFont="1" applyFill="1" applyBorder="1"/>
    <xf numFmtId="0" fontId="17" fillId="2" borderId="7" xfId="0" applyFont="1" applyFill="1" applyBorder="1" applyAlignment="1">
      <alignment vertical="center" wrapText="1"/>
    </xf>
    <xf numFmtId="0" fontId="61" fillId="2" borderId="8" xfId="0" applyFont="1" applyFill="1" applyBorder="1" applyAlignment="1">
      <alignment horizontal="center" vertical="center"/>
    </xf>
    <xf numFmtId="0" fontId="61" fillId="2" borderId="10" xfId="0" applyFont="1" applyFill="1" applyBorder="1" applyAlignment="1">
      <alignment horizontal="center" vertical="center"/>
    </xf>
    <xf numFmtId="0" fontId="27" fillId="3" borderId="8" xfId="0" applyFont="1" applyFill="1" applyBorder="1" applyAlignment="1">
      <alignment horizontal="center" vertical="center"/>
    </xf>
    <xf numFmtId="0" fontId="27" fillId="3" borderId="10" xfId="0" applyFont="1" applyFill="1" applyBorder="1" applyAlignment="1">
      <alignment horizontal="center" vertical="center"/>
    </xf>
    <xf numFmtId="0" fontId="25" fillId="12" borderId="9" xfId="0" applyFont="1" applyFill="1" applyBorder="1" applyAlignment="1">
      <alignment horizontal="center" vertical="center"/>
    </xf>
    <xf numFmtId="0" fontId="25" fillId="12" borderId="10" xfId="0" applyFont="1" applyFill="1" applyBorder="1" applyAlignment="1">
      <alignment horizontal="center" vertical="center"/>
    </xf>
    <xf numFmtId="0" fontId="0" fillId="20" borderId="7" xfId="0" applyFill="1" applyBorder="1" applyAlignment="1">
      <alignment horizontal="center" vertical="center"/>
    </xf>
    <xf numFmtId="0" fontId="3" fillId="32" borderId="7" xfId="0" applyFont="1" applyFill="1" applyBorder="1" applyAlignment="1">
      <alignment horizontal="center" vertical="center" wrapText="1"/>
    </xf>
    <xf numFmtId="0" fontId="34" fillId="17" borderId="7" xfId="0" applyFont="1" applyFill="1" applyBorder="1" applyAlignment="1">
      <alignment horizontal="center" vertical="center" wrapText="1"/>
    </xf>
    <xf numFmtId="0" fontId="27" fillId="18" borderId="8" xfId="0" applyFont="1" applyFill="1" applyBorder="1" applyAlignment="1">
      <alignment horizontal="center" vertical="center"/>
    </xf>
    <xf numFmtId="0" fontId="27" fillId="18" borderId="10" xfId="0" applyFont="1" applyFill="1" applyBorder="1" applyAlignment="1">
      <alignment horizontal="center" vertical="center"/>
    </xf>
    <xf numFmtId="0" fontId="55" fillId="2" borderId="7" xfId="0" applyFont="1" applyFill="1" applyBorder="1" applyAlignment="1">
      <alignment horizontal="center" vertical="center"/>
    </xf>
    <xf numFmtId="0" fontId="28" fillId="4" borderId="7" xfId="0" applyFont="1" applyFill="1" applyBorder="1" applyAlignment="1">
      <alignment horizontal="center" vertical="center"/>
    </xf>
    <xf numFmtId="0" fontId="9" fillId="6" borderId="7"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27" fillId="18" borderId="7" xfId="0" applyFont="1" applyFill="1" applyBorder="1" applyAlignment="1">
      <alignment horizontal="center" vertical="center"/>
    </xf>
    <xf numFmtId="0" fontId="5" fillId="3" borderId="8" xfId="0" applyFont="1" applyFill="1" applyBorder="1" applyAlignment="1">
      <alignment horizontal="center"/>
    </xf>
    <xf numFmtId="0" fontId="5" fillId="3" borderId="9" xfId="0" applyFont="1" applyFill="1" applyBorder="1" applyAlignment="1">
      <alignment horizontal="center"/>
    </xf>
    <xf numFmtId="0" fontId="5" fillId="3" borderId="10" xfId="0" applyFont="1" applyFill="1" applyBorder="1" applyAlignment="1">
      <alignment horizontal="center"/>
    </xf>
    <xf numFmtId="0" fontId="1" fillId="2" borderId="8" xfId="0" applyFont="1" applyFill="1" applyBorder="1"/>
    <xf numFmtId="0" fontId="1" fillId="2" borderId="9" xfId="0" applyFont="1" applyFill="1" applyBorder="1"/>
    <xf numFmtId="0" fontId="1" fillId="2" borderId="10" xfId="0" applyFont="1" applyFill="1" applyBorder="1"/>
    <xf numFmtId="0" fontId="1" fillId="38" borderId="7" xfId="0" applyFont="1" applyFill="1" applyBorder="1" applyAlignment="1">
      <alignment horizontal="left" vertical="center" wrapText="1"/>
    </xf>
    <xf numFmtId="0" fontId="18" fillId="2" borderId="7" xfId="0" applyFont="1" applyFill="1" applyBorder="1"/>
    <xf numFmtId="0" fontId="69" fillId="38" borderId="7" xfId="0" applyFont="1" applyFill="1" applyBorder="1" applyAlignment="1">
      <alignment horizontal="center"/>
    </xf>
    <xf numFmtId="0" fontId="1" fillId="9" borderId="7" xfId="0" applyFont="1" applyFill="1" applyBorder="1" applyAlignment="1">
      <alignment horizontal="left" vertical="center" wrapText="1"/>
    </xf>
    <xf numFmtId="0" fontId="10" fillId="0" borderId="0" xfId="0" applyFont="1" applyAlignment="1">
      <alignment horizontal="center" vertical="center" wrapText="1"/>
    </xf>
    <xf numFmtId="0" fontId="27" fillId="5" borderId="8" xfId="0" applyFont="1" applyFill="1" applyBorder="1" applyAlignment="1">
      <alignment horizontal="center" vertical="center"/>
    </xf>
    <xf numFmtId="0" fontId="27" fillId="5" borderId="10" xfId="0" applyFont="1" applyFill="1" applyBorder="1" applyAlignment="1">
      <alignment horizontal="center" vertical="center"/>
    </xf>
    <xf numFmtId="0" fontId="11" fillId="0" borderId="0" xfId="0" applyFont="1" applyAlignment="1">
      <alignment horizontal="center" vertical="center" wrapText="1"/>
    </xf>
    <xf numFmtId="0" fontId="18" fillId="2" borderId="0" xfId="0" applyFont="1" applyFill="1" applyAlignment="1">
      <alignment vertical="top"/>
    </xf>
    <xf numFmtId="0" fontId="25" fillId="0" borderId="0" xfId="0" applyFont="1" applyAlignment="1">
      <alignment horizontal="center" vertical="center"/>
    </xf>
    <xf numFmtId="0" fontId="25" fillId="2" borderId="0" xfId="0" applyFont="1" applyFill="1" applyAlignment="1">
      <alignment vertical="top"/>
    </xf>
    <xf numFmtId="0" fontId="27" fillId="5" borderId="7" xfId="0" applyFont="1" applyFill="1" applyBorder="1" applyAlignment="1">
      <alignment horizontal="center" vertical="center"/>
    </xf>
    <xf numFmtId="0" fontId="3" fillId="33" borderId="7" xfId="0" applyFont="1" applyFill="1" applyBorder="1" applyAlignment="1">
      <alignment horizontal="center" vertical="center" wrapText="1"/>
    </xf>
    <xf numFmtId="0" fontId="3" fillId="35" borderId="7" xfId="0" applyFont="1" applyFill="1" applyBorder="1" applyAlignment="1">
      <alignment horizontal="center" vertical="center" wrapText="1"/>
    </xf>
    <xf numFmtId="0" fontId="34" fillId="16" borderId="7"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27" fillId="2" borderId="7" xfId="0" applyFont="1" applyFill="1" applyBorder="1" applyAlignment="1">
      <alignment horizontal="center" vertical="center"/>
    </xf>
    <xf numFmtId="0" fontId="4" fillId="0" borderId="7" xfId="0" applyFont="1" applyBorder="1" applyAlignment="1">
      <alignment vertical="center"/>
    </xf>
    <xf numFmtId="0" fontId="3" fillId="17" borderId="0" xfId="0" applyFont="1" applyFill="1" applyAlignment="1">
      <alignment horizontal="center" vertical="center"/>
    </xf>
    <xf numFmtId="0" fontId="25" fillId="2" borderId="7" xfId="0" applyFont="1" applyFill="1" applyBorder="1" applyAlignment="1">
      <alignment horizontal="center" vertical="center"/>
    </xf>
    <xf numFmtId="0" fontId="10" fillId="6" borderId="7" xfId="0" applyFont="1" applyFill="1" applyBorder="1" applyAlignment="1">
      <alignment horizontal="center" vertical="center" wrapText="1"/>
    </xf>
    <xf numFmtId="0" fontId="25" fillId="3" borderId="0" xfId="0" applyFont="1" applyFill="1" applyAlignment="1">
      <alignment vertical="top"/>
    </xf>
    <xf numFmtId="0" fontId="18" fillId="3" borderId="0" xfId="0" applyFont="1" applyFill="1" applyAlignment="1">
      <alignment vertical="top"/>
    </xf>
    <xf numFmtId="0" fontId="17" fillId="18" borderId="7" xfId="0" applyFont="1" applyFill="1" applyBorder="1" applyAlignment="1">
      <alignment vertical="center" wrapText="1"/>
    </xf>
    <xf numFmtId="0" fontId="31" fillId="3" borderId="7" xfId="0" applyFont="1" applyFill="1" applyBorder="1" applyAlignment="1" applyProtection="1">
      <alignment vertical="center" wrapText="1"/>
      <protection locked="0"/>
    </xf>
    <xf numFmtId="0" fontId="31" fillId="3" borderId="8" xfId="0" applyFont="1" applyFill="1" applyBorder="1" applyAlignment="1">
      <alignment vertical="center" wrapText="1"/>
    </xf>
    <xf numFmtId="0" fontId="31" fillId="3" borderId="9" xfId="0" applyFont="1" applyFill="1" applyBorder="1" applyAlignment="1">
      <alignment vertical="center" wrapText="1"/>
    </xf>
    <xf numFmtId="0" fontId="31" fillId="3" borderId="10" xfId="0" applyFont="1" applyFill="1" applyBorder="1" applyAlignment="1">
      <alignment vertical="center" wrapText="1"/>
    </xf>
    <xf numFmtId="0" fontId="54" fillId="2" borderId="8" xfId="0" applyFont="1" applyFill="1" applyBorder="1"/>
    <xf numFmtId="0" fontId="54" fillId="2" borderId="9" xfId="0" applyFont="1" applyFill="1" applyBorder="1"/>
    <xf numFmtId="0" fontId="54" fillId="2" borderId="10" xfId="0" applyFont="1" applyFill="1" applyBorder="1"/>
    <xf numFmtId="0" fontId="1" fillId="3" borderId="8" xfId="0" applyFont="1" applyFill="1" applyBorder="1"/>
    <xf numFmtId="0" fontId="1" fillId="3" borderId="9" xfId="0" applyFont="1" applyFill="1" applyBorder="1"/>
    <xf numFmtId="0" fontId="1" fillId="3" borderId="10" xfId="0" applyFont="1" applyFill="1" applyBorder="1"/>
    <xf numFmtId="0" fontId="1" fillId="18" borderId="8" xfId="0" applyFont="1" applyFill="1" applyBorder="1"/>
    <xf numFmtId="0" fontId="1" fillId="18" borderId="9" xfId="0" applyFont="1" applyFill="1" applyBorder="1"/>
    <xf numFmtId="0" fontId="1" fillId="18" borderId="10" xfId="0" applyFont="1" applyFill="1" applyBorder="1"/>
    <xf numFmtId="49" fontId="0" fillId="3" borderId="8" xfId="0" applyNumberFormat="1" applyFill="1" applyBorder="1" applyAlignment="1">
      <alignment horizontal="left"/>
    </xf>
    <xf numFmtId="0" fontId="17" fillId="2" borderId="8" xfId="0" applyFont="1" applyFill="1" applyBorder="1" applyAlignment="1">
      <alignment vertical="center" wrapText="1"/>
    </xf>
    <xf numFmtId="0" fontId="17" fillId="2" borderId="9" xfId="0" applyFont="1" applyFill="1" applyBorder="1" applyAlignment="1">
      <alignment vertical="center" wrapText="1"/>
    </xf>
    <xf numFmtId="0" fontId="17" fillId="2" borderId="10" xfId="0" applyFont="1" applyFill="1" applyBorder="1" applyAlignment="1">
      <alignment vertical="center" wrapText="1"/>
    </xf>
    <xf numFmtId="0" fontId="1" fillId="18" borderId="8" xfId="0" applyFont="1" applyFill="1" applyBorder="1" applyAlignment="1">
      <alignment vertical="center" wrapText="1"/>
    </xf>
    <xf numFmtId="0" fontId="1" fillId="18" borderId="9" xfId="0" applyFont="1" applyFill="1" applyBorder="1" applyAlignment="1">
      <alignment vertical="center" wrapText="1"/>
    </xf>
    <xf numFmtId="0" fontId="1" fillId="18" borderId="10" xfId="0" applyFont="1" applyFill="1" applyBorder="1" applyAlignment="1">
      <alignment vertical="center" wrapText="1"/>
    </xf>
    <xf numFmtId="0" fontId="1" fillId="18" borderId="7" xfId="0" applyFont="1" applyFill="1" applyBorder="1" applyAlignment="1">
      <alignment vertical="center" wrapText="1"/>
    </xf>
    <xf numFmtId="0" fontId="11" fillId="3" borderId="0" xfId="0" applyFont="1" applyFill="1"/>
    <xf numFmtId="0" fontId="3" fillId="6" borderId="5" xfId="0" applyFont="1" applyFill="1" applyBorder="1" applyAlignment="1">
      <alignment horizontal="center" vertical="center"/>
    </xf>
    <xf numFmtId="0" fontId="82" fillId="10" borderId="0" xfId="0" applyFont="1" applyFill="1" applyAlignment="1">
      <alignment horizontal="left" vertical="center"/>
    </xf>
    <xf numFmtId="0" fontId="33" fillId="41" borderId="8" xfId="0" applyFont="1" applyFill="1" applyBorder="1" applyAlignment="1">
      <alignment horizontal="center" vertical="center" wrapText="1"/>
    </xf>
    <xf numFmtId="0" fontId="33" fillId="41" borderId="9" xfId="0" applyFont="1" applyFill="1" applyBorder="1" applyAlignment="1">
      <alignment horizontal="center" vertical="center" wrapText="1"/>
    </xf>
    <xf numFmtId="0" fontId="33" fillId="41" borderId="10" xfId="0"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0" xfId="0" applyFont="1" applyFill="1" applyBorder="1" applyAlignment="1">
      <alignment horizontal="center" vertical="center"/>
    </xf>
    <xf numFmtId="0" fontId="20" fillId="41" borderId="8" xfId="0" applyFont="1" applyFill="1" applyBorder="1" applyAlignment="1">
      <alignment horizontal="center" vertical="center" wrapText="1"/>
    </xf>
    <xf numFmtId="0" fontId="20" fillId="41" borderId="9"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34" fillId="41" borderId="7" xfId="0" applyFont="1" applyFill="1" applyBorder="1" applyAlignment="1">
      <alignment horizontal="center" vertical="center" wrapText="1"/>
    </xf>
    <xf numFmtId="0" fontId="34" fillId="6" borderId="7" xfId="0" applyFont="1" applyFill="1" applyBorder="1" applyAlignment="1">
      <alignment horizontal="left" vertical="center" wrapText="1"/>
    </xf>
    <xf numFmtId="0" fontId="85" fillId="6" borderId="0" xfId="0" applyFont="1" applyFill="1" applyAlignment="1">
      <alignment vertical="top"/>
    </xf>
    <xf numFmtId="0" fontId="85" fillId="6" borderId="14" xfId="0" applyFont="1" applyFill="1" applyBorder="1" applyAlignment="1">
      <alignment vertical="top"/>
    </xf>
    <xf numFmtId="0" fontId="16" fillId="6" borderId="0" xfId="0" applyFont="1" applyFill="1" applyAlignment="1">
      <alignment horizontal="left" vertical="center"/>
    </xf>
    <xf numFmtId="0" fontId="16" fillId="6" borderId="14" xfId="0" applyFont="1" applyFill="1" applyBorder="1" applyAlignment="1">
      <alignment horizontal="left" vertical="center"/>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36" borderId="7" xfId="0" applyFont="1" applyFill="1" applyBorder="1" applyAlignment="1">
      <alignment horizontal="center" vertical="center" wrapText="1"/>
    </xf>
  </cellXfs>
  <cellStyles count="245">
    <cellStyle name="Comma 2" xfId="6" xr:uid="{00000000-0005-0000-0000-000000000000}"/>
    <cellStyle name="Currency 2" xfId="7" xr:uid="{00000000-0005-0000-0000-000001000000}"/>
    <cellStyle name="Currency 2 10" xfId="10" xr:uid="{00000000-0005-0000-0000-000002000000}"/>
    <cellStyle name="Currency 2 100" xfId="11" xr:uid="{00000000-0005-0000-0000-000003000000}"/>
    <cellStyle name="Currency 2 101" xfId="12" xr:uid="{00000000-0005-0000-0000-000004000000}"/>
    <cellStyle name="Currency 2 102" xfId="13" xr:uid="{00000000-0005-0000-0000-000005000000}"/>
    <cellStyle name="Currency 2 103" xfId="14" xr:uid="{00000000-0005-0000-0000-000006000000}"/>
    <cellStyle name="Currency 2 104" xfId="15" xr:uid="{00000000-0005-0000-0000-000007000000}"/>
    <cellStyle name="Currency 2 105" xfId="16" xr:uid="{00000000-0005-0000-0000-000008000000}"/>
    <cellStyle name="Currency 2 106" xfId="17" xr:uid="{00000000-0005-0000-0000-000009000000}"/>
    <cellStyle name="Currency 2 107" xfId="18" xr:uid="{00000000-0005-0000-0000-00000A000000}"/>
    <cellStyle name="Currency 2 108" xfId="19" xr:uid="{00000000-0005-0000-0000-00000B000000}"/>
    <cellStyle name="Currency 2 109" xfId="20" xr:uid="{00000000-0005-0000-0000-00000C000000}"/>
    <cellStyle name="Currency 2 11" xfId="21" xr:uid="{00000000-0005-0000-0000-00000D000000}"/>
    <cellStyle name="Currency 2 110" xfId="22" xr:uid="{00000000-0005-0000-0000-00000E000000}"/>
    <cellStyle name="Currency 2 111" xfId="23" xr:uid="{00000000-0005-0000-0000-00000F000000}"/>
    <cellStyle name="Currency 2 112" xfId="24" xr:uid="{00000000-0005-0000-0000-000010000000}"/>
    <cellStyle name="Currency 2 113" xfId="25" xr:uid="{00000000-0005-0000-0000-000011000000}"/>
    <cellStyle name="Currency 2 114" xfId="26" xr:uid="{00000000-0005-0000-0000-000012000000}"/>
    <cellStyle name="Currency 2 115" xfId="27" xr:uid="{00000000-0005-0000-0000-000013000000}"/>
    <cellStyle name="Currency 2 116" xfId="28" xr:uid="{00000000-0005-0000-0000-000014000000}"/>
    <cellStyle name="Currency 2 117" xfId="29" xr:uid="{00000000-0005-0000-0000-000015000000}"/>
    <cellStyle name="Currency 2 118" xfId="30" xr:uid="{00000000-0005-0000-0000-000016000000}"/>
    <cellStyle name="Currency 2 119" xfId="31" xr:uid="{00000000-0005-0000-0000-000017000000}"/>
    <cellStyle name="Currency 2 12" xfId="32" xr:uid="{00000000-0005-0000-0000-000018000000}"/>
    <cellStyle name="Currency 2 120" xfId="33" xr:uid="{00000000-0005-0000-0000-000019000000}"/>
    <cellStyle name="Currency 2 121" xfId="34" xr:uid="{00000000-0005-0000-0000-00001A000000}"/>
    <cellStyle name="Currency 2 122" xfId="35" xr:uid="{00000000-0005-0000-0000-00001B000000}"/>
    <cellStyle name="Currency 2 123" xfId="36" xr:uid="{00000000-0005-0000-0000-00001C000000}"/>
    <cellStyle name="Currency 2 124" xfId="37" xr:uid="{00000000-0005-0000-0000-00001D000000}"/>
    <cellStyle name="Currency 2 125" xfId="38" xr:uid="{00000000-0005-0000-0000-00001E000000}"/>
    <cellStyle name="Currency 2 126" xfId="39" xr:uid="{00000000-0005-0000-0000-00001F000000}"/>
    <cellStyle name="Currency 2 127" xfId="40" xr:uid="{00000000-0005-0000-0000-000020000000}"/>
    <cellStyle name="Currency 2 128" xfId="41" xr:uid="{00000000-0005-0000-0000-000021000000}"/>
    <cellStyle name="Currency 2 13" xfId="42" xr:uid="{00000000-0005-0000-0000-000022000000}"/>
    <cellStyle name="Currency 2 14" xfId="43" xr:uid="{00000000-0005-0000-0000-000023000000}"/>
    <cellStyle name="Currency 2 15" xfId="44" xr:uid="{00000000-0005-0000-0000-000024000000}"/>
    <cellStyle name="Currency 2 16" xfId="45" xr:uid="{00000000-0005-0000-0000-000025000000}"/>
    <cellStyle name="Currency 2 17" xfId="46" xr:uid="{00000000-0005-0000-0000-000026000000}"/>
    <cellStyle name="Currency 2 18" xfId="47" xr:uid="{00000000-0005-0000-0000-000027000000}"/>
    <cellStyle name="Currency 2 19" xfId="48" xr:uid="{00000000-0005-0000-0000-000028000000}"/>
    <cellStyle name="Currency 2 2" xfId="49" xr:uid="{00000000-0005-0000-0000-000029000000}"/>
    <cellStyle name="Currency 2 20" xfId="50" xr:uid="{00000000-0005-0000-0000-00002A000000}"/>
    <cellStyle name="Currency 2 21" xfId="51" xr:uid="{00000000-0005-0000-0000-00002B000000}"/>
    <cellStyle name="Currency 2 22" xfId="52" xr:uid="{00000000-0005-0000-0000-00002C000000}"/>
    <cellStyle name="Currency 2 23" xfId="53" xr:uid="{00000000-0005-0000-0000-00002D000000}"/>
    <cellStyle name="Currency 2 24" xfId="54" xr:uid="{00000000-0005-0000-0000-00002E000000}"/>
    <cellStyle name="Currency 2 25" xfId="55" xr:uid="{00000000-0005-0000-0000-00002F000000}"/>
    <cellStyle name="Currency 2 26" xfId="56" xr:uid="{00000000-0005-0000-0000-000030000000}"/>
    <cellStyle name="Currency 2 27" xfId="57" xr:uid="{00000000-0005-0000-0000-000031000000}"/>
    <cellStyle name="Currency 2 28" xfId="58" xr:uid="{00000000-0005-0000-0000-000032000000}"/>
    <cellStyle name="Currency 2 29" xfId="59" xr:uid="{00000000-0005-0000-0000-000033000000}"/>
    <cellStyle name="Currency 2 3" xfId="60" xr:uid="{00000000-0005-0000-0000-000034000000}"/>
    <cellStyle name="Currency 2 30" xfId="61" xr:uid="{00000000-0005-0000-0000-000035000000}"/>
    <cellStyle name="Currency 2 31" xfId="62" xr:uid="{00000000-0005-0000-0000-000036000000}"/>
    <cellStyle name="Currency 2 32" xfId="63" xr:uid="{00000000-0005-0000-0000-000037000000}"/>
    <cellStyle name="Currency 2 33" xfId="64" xr:uid="{00000000-0005-0000-0000-000038000000}"/>
    <cellStyle name="Currency 2 34" xfId="65" xr:uid="{00000000-0005-0000-0000-000039000000}"/>
    <cellStyle name="Currency 2 35" xfId="66" xr:uid="{00000000-0005-0000-0000-00003A000000}"/>
    <cellStyle name="Currency 2 36" xfId="67" xr:uid="{00000000-0005-0000-0000-00003B000000}"/>
    <cellStyle name="Currency 2 37" xfId="68" xr:uid="{00000000-0005-0000-0000-00003C000000}"/>
    <cellStyle name="Currency 2 38" xfId="69" xr:uid="{00000000-0005-0000-0000-00003D000000}"/>
    <cellStyle name="Currency 2 39" xfId="70" xr:uid="{00000000-0005-0000-0000-00003E000000}"/>
    <cellStyle name="Currency 2 4" xfId="71" xr:uid="{00000000-0005-0000-0000-00003F000000}"/>
    <cellStyle name="Currency 2 40" xfId="72" xr:uid="{00000000-0005-0000-0000-000040000000}"/>
    <cellStyle name="Currency 2 41" xfId="73" xr:uid="{00000000-0005-0000-0000-000041000000}"/>
    <cellStyle name="Currency 2 42" xfId="74" xr:uid="{00000000-0005-0000-0000-000042000000}"/>
    <cellStyle name="Currency 2 43" xfId="75" xr:uid="{00000000-0005-0000-0000-000043000000}"/>
    <cellStyle name="Currency 2 44" xfId="76" xr:uid="{00000000-0005-0000-0000-000044000000}"/>
    <cellStyle name="Currency 2 45" xfId="77" xr:uid="{00000000-0005-0000-0000-000045000000}"/>
    <cellStyle name="Currency 2 46" xfId="78" xr:uid="{00000000-0005-0000-0000-000046000000}"/>
    <cellStyle name="Currency 2 47" xfId="79" xr:uid="{00000000-0005-0000-0000-000047000000}"/>
    <cellStyle name="Currency 2 48" xfId="80" xr:uid="{00000000-0005-0000-0000-000048000000}"/>
    <cellStyle name="Currency 2 49" xfId="81" xr:uid="{00000000-0005-0000-0000-000049000000}"/>
    <cellStyle name="Currency 2 5" xfId="82" xr:uid="{00000000-0005-0000-0000-00004A000000}"/>
    <cellStyle name="Currency 2 50" xfId="83" xr:uid="{00000000-0005-0000-0000-00004B000000}"/>
    <cellStyle name="Currency 2 51" xfId="84" xr:uid="{00000000-0005-0000-0000-00004C000000}"/>
    <cellStyle name="Currency 2 52" xfId="85" xr:uid="{00000000-0005-0000-0000-00004D000000}"/>
    <cellStyle name="Currency 2 53" xfId="86" xr:uid="{00000000-0005-0000-0000-00004E000000}"/>
    <cellStyle name="Currency 2 54" xfId="87" xr:uid="{00000000-0005-0000-0000-00004F000000}"/>
    <cellStyle name="Currency 2 55" xfId="88" xr:uid="{00000000-0005-0000-0000-000050000000}"/>
    <cellStyle name="Currency 2 56" xfId="89" xr:uid="{00000000-0005-0000-0000-000051000000}"/>
    <cellStyle name="Currency 2 57" xfId="90" xr:uid="{00000000-0005-0000-0000-000052000000}"/>
    <cellStyle name="Currency 2 58" xfId="91" xr:uid="{00000000-0005-0000-0000-000053000000}"/>
    <cellStyle name="Currency 2 59" xfId="92" xr:uid="{00000000-0005-0000-0000-000054000000}"/>
    <cellStyle name="Currency 2 6" xfId="93" xr:uid="{00000000-0005-0000-0000-000055000000}"/>
    <cellStyle name="Currency 2 60" xfId="94" xr:uid="{00000000-0005-0000-0000-000056000000}"/>
    <cellStyle name="Currency 2 61" xfId="95" xr:uid="{00000000-0005-0000-0000-000057000000}"/>
    <cellStyle name="Currency 2 62" xfId="96" xr:uid="{00000000-0005-0000-0000-000058000000}"/>
    <cellStyle name="Currency 2 63" xfId="97" xr:uid="{00000000-0005-0000-0000-000059000000}"/>
    <cellStyle name="Currency 2 64" xfId="98" xr:uid="{00000000-0005-0000-0000-00005A000000}"/>
    <cellStyle name="Currency 2 65" xfId="99" xr:uid="{00000000-0005-0000-0000-00005B000000}"/>
    <cellStyle name="Currency 2 66" xfId="100" xr:uid="{00000000-0005-0000-0000-00005C000000}"/>
    <cellStyle name="Currency 2 67" xfId="101" xr:uid="{00000000-0005-0000-0000-00005D000000}"/>
    <cellStyle name="Currency 2 68" xfId="102" xr:uid="{00000000-0005-0000-0000-00005E000000}"/>
    <cellStyle name="Currency 2 69" xfId="103" xr:uid="{00000000-0005-0000-0000-00005F000000}"/>
    <cellStyle name="Currency 2 7" xfId="104" xr:uid="{00000000-0005-0000-0000-000060000000}"/>
    <cellStyle name="Currency 2 70" xfId="105" xr:uid="{00000000-0005-0000-0000-000061000000}"/>
    <cellStyle name="Currency 2 71" xfId="106" xr:uid="{00000000-0005-0000-0000-000062000000}"/>
    <cellStyle name="Currency 2 72" xfId="107" xr:uid="{00000000-0005-0000-0000-000063000000}"/>
    <cellStyle name="Currency 2 73" xfId="108" xr:uid="{00000000-0005-0000-0000-000064000000}"/>
    <cellStyle name="Currency 2 74" xfId="109" xr:uid="{00000000-0005-0000-0000-000065000000}"/>
    <cellStyle name="Currency 2 75" xfId="110" xr:uid="{00000000-0005-0000-0000-000066000000}"/>
    <cellStyle name="Currency 2 76" xfId="111" xr:uid="{00000000-0005-0000-0000-000067000000}"/>
    <cellStyle name="Currency 2 77" xfId="112" xr:uid="{00000000-0005-0000-0000-000068000000}"/>
    <cellStyle name="Currency 2 78" xfId="113" xr:uid="{00000000-0005-0000-0000-000069000000}"/>
    <cellStyle name="Currency 2 79" xfId="114" xr:uid="{00000000-0005-0000-0000-00006A000000}"/>
    <cellStyle name="Currency 2 8" xfId="115" xr:uid="{00000000-0005-0000-0000-00006B000000}"/>
    <cellStyle name="Currency 2 80" xfId="116" xr:uid="{00000000-0005-0000-0000-00006C000000}"/>
    <cellStyle name="Currency 2 81" xfId="117" xr:uid="{00000000-0005-0000-0000-00006D000000}"/>
    <cellStyle name="Currency 2 82" xfId="118" xr:uid="{00000000-0005-0000-0000-00006E000000}"/>
    <cellStyle name="Currency 2 83" xfId="119" xr:uid="{00000000-0005-0000-0000-00006F000000}"/>
    <cellStyle name="Currency 2 84" xfId="120" xr:uid="{00000000-0005-0000-0000-000070000000}"/>
    <cellStyle name="Currency 2 85" xfId="121" xr:uid="{00000000-0005-0000-0000-000071000000}"/>
    <cellStyle name="Currency 2 86" xfId="122" xr:uid="{00000000-0005-0000-0000-000072000000}"/>
    <cellStyle name="Currency 2 87" xfId="123" xr:uid="{00000000-0005-0000-0000-000073000000}"/>
    <cellStyle name="Currency 2 88" xfId="124" xr:uid="{00000000-0005-0000-0000-000074000000}"/>
    <cellStyle name="Currency 2 89" xfId="125" xr:uid="{00000000-0005-0000-0000-000075000000}"/>
    <cellStyle name="Currency 2 9" xfId="126" xr:uid="{00000000-0005-0000-0000-000076000000}"/>
    <cellStyle name="Currency 2 90" xfId="127" xr:uid="{00000000-0005-0000-0000-000077000000}"/>
    <cellStyle name="Currency 2 91" xfId="128" xr:uid="{00000000-0005-0000-0000-000078000000}"/>
    <cellStyle name="Currency 2 92" xfId="129" xr:uid="{00000000-0005-0000-0000-000079000000}"/>
    <cellStyle name="Currency 2 93" xfId="130" xr:uid="{00000000-0005-0000-0000-00007A000000}"/>
    <cellStyle name="Currency 2 94" xfId="131" xr:uid="{00000000-0005-0000-0000-00007B000000}"/>
    <cellStyle name="Currency 2 95" xfId="132" xr:uid="{00000000-0005-0000-0000-00007C000000}"/>
    <cellStyle name="Currency 2 96" xfId="133" xr:uid="{00000000-0005-0000-0000-00007D000000}"/>
    <cellStyle name="Currency 2 97" xfId="134" xr:uid="{00000000-0005-0000-0000-00007E000000}"/>
    <cellStyle name="Currency 2 98" xfId="135" xr:uid="{00000000-0005-0000-0000-00007F000000}"/>
    <cellStyle name="Currency 2 99" xfId="136" xr:uid="{00000000-0005-0000-0000-000080000000}"/>
    <cellStyle name="Currency 3" xfId="162" xr:uid="{00000000-0005-0000-0000-000081000000}"/>
    <cellStyle name="Currency 4" xfId="163" xr:uid="{00000000-0005-0000-0000-000082000000}"/>
    <cellStyle name="Currency 4 2" xfId="175" xr:uid="{00000000-0005-0000-0000-000083000000}"/>
    <cellStyle name="Currency 4 2 2" xfId="208" xr:uid="{00000000-0005-0000-0000-000084000000}"/>
    <cellStyle name="Currency 4 2 3" xfId="241" xr:uid="{00000000-0005-0000-0000-000085000000}"/>
    <cellStyle name="Currency 4 3" xfId="196" xr:uid="{00000000-0005-0000-0000-000086000000}"/>
    <cellStyle name="Currency 4 4" xfId="229" xr:uid="{00000000-0005-0000-0000-000087000000}"/>
    <cellStyle name="Excel Built-in Currency" xfId="137" xr:uid="{00000000-0005-0000-0000-000088000000}"/>
    <cellStyle name="Excel Built-in Normal" xfId="3" xr:uid="{00000000-0005-0000-0000-000089000000}"/>
    <cellStyle name="Excel Built-in Percent" xfId="138" xr:uid="{00000000-0005-0000-0000-00008A000000}"/>
    <cellStyle name="Hyperlink 2" xfId="8" xr:uid="{00000000-0005-0000-0000-00008B000000}"/>
    <cellStyle name="Hyperlink 2 2" xfId="244" xr:uid="{00000000-0005-0000-0000-00008C000000}"/>
    <cellStyle name="Hyperlink 3" xfId="9" xr:uid="{00000000-0005-0000-0000-00008D000000}"/>
    <cellStyle name="Hyperlink 4" xfId="1" xr:uid="{00000000-0005-0000-0000-00008E000000}"/>
    <cellStyle name="Normal" xfId="0" builtinId="0"/>
    <cellStyle name="Normal 2" xfId="4" xr:uid="{00000000-0005-0000-0000-000090000000}"/>
    <cellStyle name="Normal 3" xfId="5" xr:uid="{00000000-0005-0000-0000-000091000000}"/>
    <cellStyle name="Normal 4" xfId="140" xr:uid="{00000000-0005-0000-0000-000092000000}"/>
    <cellStyle name="Normal 4 10" xfId="153" xr:uid="{00000000-0005-0000-0000-000093000000}"/>
    <cellStyle name="Normal 4 10 2" xfId="166" xr:uid="{00000000-0005-0000-0000-000094000000}"/>
    <cellStyle name="Normal 4 10 2 2" xfId="199" xr:uid="{00000000-0005-0000-0000-000095000000}"/>
    <cellStyle name="Normal 4 10 2 3" xfId="232" xr:uid="{00000000-0005-0000-0000-000096000000}"/>
    <cellStyle name="Normal 4 10 3" xfId="187" xr:uid="{00000000-0005-0000-0000-000097000000}"/>
    <cellStyle name="Normal 4 10 4" xfId="220" xr:uid="{00000000-0005-0000-0000-000098000000}"/>
    <cellStyle name="Normal 4 11" xfId="149" xr:uid="{00000000-0005-0000-0000-000099000000}"/>
    <cellStyle name="Normal 4 11 2" xfId="185" xr:uid="{00000000-0005-0000-0000-00009A000000}"/>
    <cellStyle name="Normal 4 11 3" xfId="218" xr:uid="{00000000-0005-0000-0000-00009B000000}"/>
    <cellStyle name="Normal 4 12" xfId="164" xr:uid="{00000000-0005-0000-0000-00009C000000}"/>
    <cellStyle name="Normal 4 12 2" xfId="197" xr:uid="{00000000-0005-0000-0000-00009D000000}"/>
    <cellStyle name="Normal 4 12 3" xfId="230" xr:uid="{00000000-0005-0000-0000-00009E000000}"/>
    <cellStyle name="Normal 4 13" xfId="176" xr:uid="{00000000-0005-0000-0000-00009F000000}"/>
    <cellStyle name="Normal 4 14" xfId="209" xr:uid="{00000000-0005-0000-0000-0000A0000000}"/>
    <cellStyle name="Normal 4 2" xfId="141" xr:uid="{00000000-0005-0000-0000-0000A1000000}"/>
    <cellStyle name="Normal 4 2 2" xfId="154" xr:uid="{00000000-0005-0000-0000-0000A2000000}"/>
    <cellStyle name="Normal 4 2 2 2" xfId="188" xr:uid="{00000000-0005-0000-0000-0000A3000000}"/>
    <cellStyle name="Normal 4 2 2 3" xfId="221" xr:uid="{00000000-0005-0000-0000-0000A4000000}"/>
    <cellStyle name="Normal 4 2 3" xfId="167" xr:uid="{00000000-0005-0000-0000-0000A5000000}"/>
    <cellStyle name="Normal 4 2 3 2" xfId="200" xr:uid="{00000000-0005-0000-0000-0000A6000000}"/>
    <cellStyle name="Normal 4 2 3 3" xfId="233" xr:uid="{00000000-0005-0000-0000-0000A7000000}"/>
    <cellStyle name="Normal 4 2 4" xfId="177" xr:uid="{00000000-0005-0000-0000-0000A8000000}"/>
    <cellStyle name="Normal 4 2 5" xfId="210" xr:uid="{00000000-0005-0000-0000-0000A9000000}"/>
    <cellStyle name="Normal 4 3" xfId="142" xr:uid="{00000000-0005-0000-0000-0000AA000000}"/>
    <cellStyle name="Normal 4 3 2" xfId="155" xr:uid="{00000000-0005-0000-0000-0000AB000000}"/>
    <cellStyle name="Normal 4 3 2 2" xfId="189" xr:uid="{00000000-0005-0000-0000-0000AC000000}"/>
    <cellStyle name="Normal 4 3 2 3" xfId="222" xr:uid="{00000000-0005-0000-0000-0000AD000000}"/>
    <cellStyle name="Normal 4 3 3" xfId="168" xr:uid="{00000000-0005-0000-0000-0000AE000000}"/>
    <cellStyle name="Normal 4 3 3 2" xfId="201" xr:uid="{00000000-0005-0000-0000-0000AF000000}"/>
    <cellStyle name="Normal 4 3 3 3" xfId="234" xr:uid="{00000000-0005-0000-0000-0000B0000000}"/>
    <cellStyle name="Normal 4 3 4" xfId="178" xr:uid="{00000000-0005-0000-0000-0000B1000000}"/>
    <cellStyle name="Normal 4 3 5" xfId="211" xr:uid="{00000000-0005-0000-0000-0000B2000000}"/>
    <cellStyle name="Normal 4 4" xfId="143" xr:uid="{00000000-0005-0000-0000-0000B3000000}"/>
    <cellStyle name="Normal 4 4 2" xfId="156" xr:uid="{00000000-0005-0000-0000-0000B4000000}"/>
    <cellStyle name="Normal 4 4 2 2" xfId="190" xr:uid="{00000000-0005-0000-0000-0000B5000000}"/>
    <cellStyle name="Normal 4 4 2 3" xfId="223" xr:uid="{00000000-0005-0000-0000-0000B6000000}"/>
    <cellStyle name="Normal 4 4 3" xfId="169" xr:uid="{00000000-0005-0000-0000-0000B7000000}"/>
    <cellStyle name="Normal 4 4 3 2" xfId="202" xr:uid="{00000000-0005-0000-0000-0000B8000000}"/>
    <cellStyle name="Normal 4 4 3 3" xfId="235" xr:uid="{00000000-0005-0000-0000-0000B9000000}"/>
    <cellStyle name="Normal 4 4 4" xfId="179" xr:uid="{00000000-0005-0000-0000-0000BA000000}"/>
    <cellStyle name="Normal 4 4 5" xfId="212" xr:uid="{00000000-0005-0000-0000-0000BB000000}"/>
    <cellStyle name="Normal 4 5" xfId="144" xr:uid="{00000000-0005-0000-0000-0000BC000000}"/>
    <cellStyle name="Normal 4 5 2" xfId="157" xr:uid="{00000000-0005-0000-0000-0000BD000000}"/>
    <cellStyle name="Normal 4 5 2 2" xfId="191" xr:uid="{00000000-0005-0000-0000-0000BE000000}"/>
    <cellStyle name="Normal 4 5 2 3" xfId="224" xr:uid="{00000000-0005-0000-0000-0000BF000000}"/>
    <cellStyle name="Normal 4 5 3" xfId="170" xr:uid="{00000000-0005-0000-0000-0000C0000000}"/>
    <cellStyle name="Normal 4 5 3 2" xfId="203" xr:uid="{00000000-0005-0000-0000-0000C1000000}"/>
    <cellStyle name="Normal 4 5 3 3" xfId="236" xr:uid="{00000000-0005-0000-0000-0000C2000000}"/>
    <cellStyle name="Normal 4 5 4" xfId="180" xr:uid="{00000000-0005-0000-0000-0000C3000000}"/>
    <cellStyle name="Normal 4 5 5" xfId="213" xr:uid="{00000000-0005-0000-0000-0000C4000000}"/>
    <cellStyle name="Normal 4 6" xfId="145" xr:uid="{00000000-0005-0000-0000-0000C5000000}"/>
    <cellStyle name="Normal 4 6 2" xfId="158" xr:uid="{00000000-0005-0000-0000-0000C6000000}"/>
    <cellStyle name="Normal 4 6 2 2" xfId="192" xr:uid="{00000000-0005-0000-0000-0000C7000000}"/>
    <cellStyle name="Normal 4 6 2 3" xfId="225" xr:uid="{00000000-0005-0000-0000-0000C8000000}"/>
    <cellStyle name="Normal 4 6 3" xfId="171" xr:uid="{00000000-0005-0000-0000-0000C9000000}"/>
    <cellStyle name="Normal 4 6 3 2" xfId="204" xr:uid="{00000000-0005-0000-0000-0000CA000000}"/>
    <cellStyle name="Normal 4 6 3 3" xfId="237" xr:uid="{00000000-0005-0000-0000-0000CB000000}"/>
    <cellStyle name="Normal 4 6 4" xfId="181" xr:uid="{00000000-0005-0000-0000-0000CC000000}"/>
    <cellStyle name="Normal 4 6 5" xfId="214" xr:uid="{00000000-0005-0000-0000-0000CD000000}"/>
    <cellStyle name="Normal 4 7" xfId="146" xr:uid="{00000000-0005-0000-0000-0000CE000000}"/>
    <cellStyle name="Normal 4 7 2" xfId="159" xr:uid="{00000000-0005-0000-0000-0000CF000000}"/>
    <cellStyle name="Normal 4 7 2 2" xfId="193" xr:uid="{00000000-0005-0000-0000-0000D0000000}"/>
    <cellStyle name="Normal 4 7 2 3" xfId="226" xr:uid="{00000000-0005-0000-0000-0000D1000000}"/>
    <cellStyle name="Normal 4 7 3" xfId="172" xr:uid="{00000000-0005-0000-0000-0000D2000000}"/>
    <cellStyle name="Normal 4 7 3 2" xfId="205" xr:uid="{00000000-0005-0000-0000-0000D3000000}"/>
    <cellStyle name="Normal 4 7 3 3" xfId="238" xr:uid="{00000000-0005-0000-0000-0000D4000000}"/>
    <cellStyle name="Normal 4 7 4" xfId="182" xr:uid="{00000000-0005-0000-0000-0000D5000000}"/>
    <cellStyle name="Normal 4 7 5" xfId="215" xr:uid="{00000000-0005-0000-0000-0000D6000000}"/>
    <cellStyle name="Normal 4 8" xfId="147" xr:uid="{00000000-0005-0000-0000-0000D7000000}"/>
    <cellStyle name="Normal 4 8 2" xfId="160" xr:uid="{00000000-0005-0000-0000-0000D8000000}"/>
    <cellStyle name="Normal 4 8 2 2" xfId="194" xr:uid="{00000000-0005-0000-0000-0000D9000000}"/>
    <cellStyle name="Normal 4 8 2 3" xfId="227" xr:uid="{00000000-0005-0000-0000-0000DA000000}"/>
    <cellStyle name="Normal 4 8 3" xfId="173" xr:uid="{00000000-0005-0000-0000-0000DB000000}"/>
    <cellStyle name="Normal 4 8 3 2" xfId="206" xr:uid="{00000000-0005-0000-0000-0000DC000000}"/>
    <cellStyle name="Normal 4 8 3 3" xfId="239" xr:uid="{00000000-0005-0000-0000-0000DD000000}"/>
    <cellStyle name="Normal 4 8 4" xfId="183" xr:uid="{00000000-0005-0000-0000-0000DE000000}"/>
    <cellStyle name="Normal 4 8 5" xfId="216" xr:uid="{00000000-0005-0000-0000-0000DF000000}"/>
    <cellStyle name="Normal 4 9" xfId="148" xr:uid="{00000000-0005-0000-0000-0000E0000000}"/>
    <cellStyle name="Normal 4 9 2" xfId="161" xr:uid="{00000000-0005-0000-0000-0000E1000000}"/>
    <cellStyle name="Normal 4 9 2 2" xfId="195" xr:uid="{00000000-0005-0000-0000-0000E2000000}"/>
    <cellStyle name="Normal 4 9 2 3" xfId="228" xr:uid="{00000000-0005-0000-0000-0000E3000000}"/>
    <cellStyle name="Normal 4 9 3" xfId="174" xr:uid="{00000000-0005-0000-0000-0000E4000000}"/>
    <cellStyle name="Normal 4 9 3 2" xfId="207" xr:uid="{00000000-0005-0000-0000-0000E5000000}"/>
    <cellStyle name="Normal 4 9 3 3" xfId="240" xr:uid="{00000000-0005-0000-0000-0000E6000000}"/>
    <cellStyle name="Normal 4 9 4" xfId="184" xr:uid="{00000000-0005-0000-0000-0000E7000000}"/>
    <cellStyle name="Normal 4 9 5" xfId="217" xr:uid="{00000000-0005-0000-0000-0000E8000000}"/>
    <cellStyle name="Normal 5" xfId="151" xr:uid="{00000000-0005-0000-0000-0000E9000000}"/>
    <cellStyle name="Normal 6" xfId="150" xr:uid="{00000000-0005-0000-0000-0000EA000000}"/>
    <cellStyle name="Normal 6 2" xfId="165" xr:uid="{00000000-0005-0000-0000-0000EB000000}"/>
    <cellStyle name="Normal 6 2 2" xfId="198" xr:uid="{00000000-0005-0000-0000-0000EC000000}"/>
    <cellStyle name="Normal 6 2 3" xfId="231" xr:uid="{00000000-0005-0000-0000-0000ED000000}"/>
    <cellStyle name="Normal 6 3" xfId="186" xr:uid="{00000000-0005-0000-0000-0000EE000000}"/>
    <cellStyle name="Normal 6 4" xfId="219" xr:uid="{00000000-0005-0000-0000-0000EF000000}"/>
    <cellStyle name="Normal 7" xfId="2" xr:uid="{00000000-0005-0000-0000-0000F0000000}"/>
    <cellStyle name="Normal 7 2" xfId="242" xr:uid="{00000000-0005-0000-0000-0000F1000000}"/>
    <cellStyle name="Percent 2" xfId="152" xr:uid="{00000000-0005-0000-0000-0000F2000000}"/>
    <cellStyle name="Percent 3" xfId="139" xr:uid="{00000000-0005-0000-0000-0000F3000000}"/>
    <cellStyle name="Percent 3 2" xfId="243" xr:uid="{00000000-0005-0000-0000-0000F4000000}"/>
  </cellStyles>
  <dxfs count="4900">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C9FF"/>
      <color rgb="FFFF81FF"/>
      <color rgb="FFFFD5FF"/>
      <color rgb="FFFFFFA3"/>
      <color rgb="FFFFFFCC"/>
      <color rgb="FFFFFF85"/>
      <color rgb="FF99D0DF"/>
      <color rgb="FFBD4441"/>
      <color rgb="FFF8A968"/>
      <color rgb="FF3947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39</v>
    <v>8</v>
    <v>4</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5D0CD-891A-4CEB-A353-0CA32BFB7123}">
  <sheetPr>
    <tabColor rgb="FFFFC000"/>
    <pageSetUpPr fitToPage="1"/>
  </sheetPr>
  <dimension ref="A1:AL190"/>
  <sheetViews>
    <sheetView zoomScale="110" zoomScaleNormal="110" workbookViewId="0">
      <selection activeCell="A9" sqref="A9:AL11"/>
    </sheetView>
  </sheetViews>
  <sheetFormatPr defaultRowHeight="15" x14ac:dyDescent="0.25"/>
  <cols>
    <col min="1" max="2" width="5.7109375" customWidth="1"/>
    <col min="3" max="3" width="12.28515625" customWidth="1"/>
    <col min="4" max="39" width="5.7109375" customWidth="1"/>
  </cols>
  <sheetData>
    <row r="1" spans="1:38" ht="45" customHeight="1" x14ac:dyDescent="0.25">
      <c r="A1" s="456" t="s">
        <v>344</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6"/>
      <c r="AL1" s="456"/>
    </row>
    <row r="2" spans="1:38" ht="30" customHeight="1" thickBot="1" x14ac:dyDescent="0.3">
      <c r="A2" s="465" t="s">
        <v>194</v>
      </c>
      <c r="B2" s="466"/>
      <c r="C2" s="466"/>
      <c r="D2" s="466"/>
      <c r="E2" s="466"/>
      <c r="F2" s="466"/>
      <c r="G2" s="466"/>
      <c r="H2" s="466"/>
      <c r="I2" s="466"/>
      <c r="J2" s="466"/>
      <c r="K2" s="466"/>
      <c r="L2" s="466"/>
      <c r="M2" s="466"/>
      <c r="N2" s="466"/>
      <c r="O2" s="466"/>
      <c r="P2" s="466"/>
      <c r="Q2" s="466"/>
      <c r="R2" s="466"/>
      <c r="S2" s="466"/>
      <c r="T2" s="466"/>
      <c r="U2" s="466"/>
      <c r="V2" s="466"/>
    </row>
    <row r="3" spans="1:38" ht="16.5" thickTop="1" thickBot="1" x14ac:dyDescent="0.3">
      <c r="A3" s="454" t="s">
        <v>183</v>
      </c>
      <c r="B3" s="454"/>
      <c r="C3" s="454" t="s">
        <v>195</v>
      </c>
      <c r="D3" s="454"/>
      <c r="E3" s="454"/>
      <c r="F3" s="455" t="s">
        <v>196</v>
      </c>
      <c r="G3" s="455"/>
      <c r="H3" s="455" t="s">
        <v>197</v>
      </c>
      <c r="I3" s="455"/>
      <c r="J3" s="455"/>
      <c r="K3" s="454" t="s">
        <v>198</v>
      </c>
      <c r="L3" s="454"/>
      <c r="M3" s="454"/>
      <c r="N3" s="454"/>
      <c r="O3" s="454" t="s">
        <v>199</v>
      </c>
      <c r="P3" s="454"/>
      <c r="Q3" s="454"/>
      <c r="R3" s="265" t="s">
        <v>191</v>
      </c>
      <c r="S3" s="265"/>
      <c r="T3" s="455" t="s">
        <v>200</v>
      </c>
      <c r="U3" s="455"/>
      <c r="V3" s="455"/>
    </row>
    <row r="4" spans="1:38" ht="16.5" thickTop="1" thickBot="1" x14ac:dyDescent="0.3">
      <c r="A4" s="454" t="s">
        <v>184</v>
      </c>
      <c r="B4" s="454"/>
      <c r="C4" s="454" t="s">
        <v>201</v>
      </c>
      <c r="D4" s="454"/>
      <c r="E4" s="454"/>
      <c r="F4" s="455" t="s">
        <v>604</v>
      </c>
      <c r="G4" s="455"/>
      <c r="H4" s="455" t="s">
        <v>202</v>
      </c>
      <c r="I4" s="455"/>
      <c r="J4" s="455"/>
      <c r="K4" s="454" t="s">
        <v>203</v>
      </c>
      <c r="L4" s="454"/>
      <c r="M4" s="454"/>
      <c r="N4" s="454"/>
      <c r="O4" s="454" t="s">
        <v>204</v>
      </c>
      <c r="P4" s="454"/>
      <c r="Q4" s="454"/>
      <c r="R4" s="265" t="s">
        <v>192</v>
      </c>
      <c r="S4" s="265"/>
      <c r="T4" s="455" t="s">
        <v>205</v>
      </c>
      <c r="U4" s="455"/>
      <c r="V4" s="455"/>
    </row>
    <row r="5" spans="1:38" ht="16.5" thickTop="1" thickBot="1" x14ac:dyDescent="0.3">
      <c r="A5" s="454" t="s">
        <v>206</v>
      </c>
      <c r="B5" s="454"/>
      <c r="C5" s="454" t="s">
        <v>207</v>
      </c>
      <c r="D5" s="454"/>
      <c r="E5" s="454"/>
      <c r="F5" s="455" t="s">
        <v>208</v>
      </c>
      <c r="G5" s="455"/>
      <c r="H5" s="455" t="s">
        <v>209</v>
      </c>
      <c r="I5" s="455"/>
      <c r="J5" s="455"/>
      <c r="K5" s="454" t="s">
        <v>190</v>
      </c>
      <c r="L5" s="454"/>
      <c r="M5" s="454"/>
      <c r="N5" s="454"/>
      <c r="O5" s="454" t="s">
        <v>210</v>
      </c>
      <c r="P5" s="454"/>
      <c r="Q5" s="454"/>
      <c r="R5" s="265" t="s">
        <v>211</v>
      </c>
      <c r="S5" s="265"/>
      <c r="T5" s="455" t="s">
        <v>507</v>
      </c>
      <c r="U5" s="455"/>
      <c r="V5" s="455"/>
    </row>
    <row r="6" spans="1:38" ht="15.75" customHeight="1" thickTop="1" x14ac:dyDescent="0.25">
      <c r="A6" s="457" t="s">
        <v>609</v>
      </c>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57"/>
      <c r="AL6" s="457"/>
    </row>
    <row r="7" spans="1:38" ht="15" customHeight="1" x14ac:dyDescent="0.25">
      <c r="A7" s="457"/>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row>
    <row r="8" spans="1:38" ht="18.75" customHeight="1" x14ac:dyDescent="0.25">
      <c r="A8" s="457"/>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row>
    <row r="9" spans="1:38" ht="18.75" customHeight="1" x14ac:dyDescent="0.25">
      <c r="A9" s="458" t="s">
        <v>734</v>
      </c>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row>
    <row r="10" spans="1:38" ht="18.75" customHeight="1" x14ac:dyDescent="0.25">
      <c r="A10" s="458"/>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row>
    <row r="11" spans="1:38" x14ac:dyDescent="0.25">
      <c r="A11" s="458"/>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row>
    <row r="12" spans="1:38" ht="15.75" thickBot="1" x14ac:dyDescent="0.3">
      <c r="A12" s="118" t="s">
        <v>341</v>
      </c>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row>
    <row r="13" spans="1:38" ht="35.1" customHeight="1" thickTop="1" x14ac:dyDescent="0.25">
      <c r="A13" s="15">
        <v>3</v>
      </c>
      <c r="B13" s="459" t="s">
        <v>610</v>
      </c>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c r="AD13" s="460"/>
      <c r="AE13" s="460"/>
      <c r="AF13" s="460"/>
      <c r="AG13" s="460"/>
      <c r="AH13" s="460"/>
      <c r="AI13" s="460"/>
      <c r="AJ13" s="460"/>
      <c r="AK13" s="460"/>
      <c r="AL13" s="461"/>
    </row>
    <row r="14" spans="1:38" x14ac:dyDescent="0.25">
      <c r="A14" s="15">
        <v>4</v>
      </c>
      <c r="B14" s="462" t="s">
        <v>160</v>
      </c>
      <c r="C14" s="462"/>
      <c r="D14" s="462"/>
      <c r="E14" s="462"/>
      <c r="F14" s="462"/>
      <c r="G14" s="462"/>
      <c r="H14" s="462"/>
      <c r="I14" s="463" t="s">
        <v>608</v>
      </c>
      <c r="J14" s="463"/>
      <c r="K14" s="463"/>
      <c r="L14" s="463"/>
      <c r="M14" s="463"/>
      <c r="N14" s="463"/>
      <c r="O14" s="463"/>
      <c r="P14" s="463"/>
      <c r="Q14" s="463"/>
      <c r="R14" s="463"/>
      <c r="S14" s="463"/>
      <c r="T14" s="463"/>
      <c r="U14" s="12"/>
      <c r="V14" s="464" t="s">
        <v>158</v>
      </c>
      <c r="W14" s="464"/>
      <c r="X14" s="464"/>
      <c r="Y14" s="464"/>
      <c r="Z14" s="464"/>
      <c r="AA14" s="463" t="s">
        <v>948</v>
      </c>
      <c r="AB14" s="463"/>
      <c r="AC14" s="463"/>
      <c r="AD14" s="463"/>
      <c r="AE14" s="463"/>
      <c r="AF14" s="463"/>
      <c r="AG14" s="463"/>
      <c r="AH14" s="463"/>
      <c r="AI14" s="463"/>
      <c r="AJ14" s="463"/>
      <c r="AK14" s="463"/>
      <c r="AL14" s="463"/>
    </row>
    <row r="15" spans="1:38" x14ac:dyDescent="0.25">
      <c r="A15" s="15">
        <v>5</v>
      </c>
      <c r="B15" s="467" t="s">
        <v>611</v>
      </c>
      <c r="C15" s="467"/>
      <c r="D15" s="467"/>
      <c r="E15" s="467"/>
      <c r="F15" s="467"/>
      <c r="G15" s="467"/>
      <c r="H15" s="467"/>
      <c r="I15" s="468" t="s">
        <v>950</v>
      </c>
      <c r="J15" s="468"/>
      <c r="K15" s="468"/>
      <c r="L15" s="468"/>
      <c r="M15" s="468"/>
      <c r="N15" s="468"/>
      <c r="O15" s="468"/>
      <c r="P15" s="468"/>
      <c r="Q15" s="468"/>
      <c r="R15" s="468"/>
      <c r="S15" s="468"/>
      <c r="T15" s="468"/>
      <c r="U15" s="11"/>
      <c r="V15" s="469" t="s">
        <v>4</v>
      </c>
      <c r="W15" s="469"/>
      <c r="X15" s="469"/>
      <c r="Y15" s="469"/>
      <c r="Z15" s="469"/>
      <c r="AA15" s="475" t="s">
        <v>951</v>
      </c>
      <c r="AB15" s="475"/>
      <c r="AC15" s="475"/>
      <c r="AD15" s="475"/>
      <c r="AE15" s="475"/>
      <c r="AF15" s="475"/>
      <c r="AG15" s="475"/>
      <c r="AH15" s="475"/>
      <c r="AI15" s="475"/>
      <c r="AJ15" s="475"/>
      <c r="AK15" s="475"/>
      <c r="AL15" s="475"/>
    </row>
    <row r="16" spans="1:38" x14ac:dyDescent="0.25">
      <c r="A16" s="15">
        <v>6</v>
      </c>
      <c r="B16" s="472" t="s">
        <v>1</v>
      </c>
      <c r="C16" s="472"/>
      <c r="D16" s="472"/>
      <c r="E16" s="472"/>
      <c r="F16" s="472"/>
      <c r="G16" s="472"/>
      <c r="H16" s="472"/>
      <c r="I16" s="391" t="s">
        <v>949</v>
      </c>
      <c r="J16" s="391"/>
      <c r="K16" s="391"/>
      <c r="L16" s="391"/>
      <c r="M16" s="391"/>
      <c r="N16" s="391"/>
      <c r="O16" s="391"/>
      <c r="P16" s="391"/>
      <c r="Q16" s="391"/>
      <c r="R16" s="391"/>
      <c r="S16" s="391"/>
      <c r="T16" s="391"/>
      <c r="U16" s="11"/>
      <c r="V16" s="473" t="s">
        <v>612</v>
      </c>
      <c r="W16" s="473"/>
      <c r="X16" s="473"/>
      <c r="Y16" s="473"/>
      <c r="Z16" s="473"/>
      <c r="AA16" s="468" t="s">
        <v>952</v>
      </c>
      <c r="AB16" s="468"/>
      <c r="AC16" s="468"/>
      <c r="AD16" s="468"/>
      <c r="AE16" s="468"/>
      <c r="AF16" s="468"/>
      <c r="AG16" s="468"/>
      <c r="AH16" s="468"/>
      <c r="AI16" s="468"/>
      <c r="AJ16" s="468"/>
      <c r="AK16" s="468"/>
      <c r="AL16" s="468"/>
    </row>
    <row r="17" spans="1:38" x14ac:dyDescent="0.25">
      <c r="A17" s="15">
        <v>7</v>
      </c>
      <c r="B17" s="472"/>
      <c r="C17" s="472"/>
      <c r="D17" s="472"/>
      <c r="E17" s="472"/>
      <c r="F17" s="472"/>
      <c r="G17" s="472"/>
      <c r="H17" s="472"/>
      <c r="I17" s="391"/>
      <c r="J17" s="391"/>
      <c r="K17" s="391"/>
      <c r="L17" s="391"/>
      <c r="M17" s="391"/>
      <c r="N17" s="391"/>
      <c r="O17" s="391"/>
      <c r="P17" s="391"/>
      <c r="Q17" s="391"/>
      <c r="R17" s="391"/>
      <c r="S17" s="391"/>
      <c r="T17" s="391"/>
      <c r="U17" s="11"/>
      <c r="V17" s="473" t="s">
        <v>31</v>
      </c>
      <c r="W17" s="473"/>
      <c r="X17" s="473"/>
      <c r="Y17" s="473"/>
      <c r="Z17" s="473"/>
      <c r="AA17" s="474" t="s">
        <v>947</v>
      </c>
      <c r="AB17" s="474"/>
      <c r="AC17" s="474"/>
      <c r="AD17" s="474"/>
      <c r="AE17" s="474"/>
      <c r="AF17" s="474"/>
      <c r="AG17" s="474"/>
      <c r="AH17" s="474"/>
      <c r="AI17" s="474"/>
      <c r="AJ17" s="474"/>
      <c r="AK17" s="474"/>
      <c r="AL17" s="474"/>
    </row>
    <row r="18" spans="1:38" ht="15.75" x14ac:dyDescent="0.25">
      <c r="A18" s="15">
        <v>8</v>
      </c>
      <c r="B18" s="472" t="s">
        <v>161</v>
      </c>
      <c r="C18" s="472"/>
      <c r="D18" s="472"/>
      <c r="E18" s="472"/>
      <c r="F18" s="472"/>
      <c r="G18" s="472"/>
      <c r="H18" s="472"/>
      <c r="I18" s="476" t="s">
        <v>186</v>
      </c>
      <c r="J18" s="476"/>
      <c r="K18" s="476"/>
      <c r="L18" s="476"/>
      <c r="M18" s="476"/>
      <c r="N18" s="476"/>
      <c r="O18" s="476"/>
      <c r="P18" s="476"/>
      <c r="Q18" s="477">
        <v>2018</v>
      </c>
      <c r="R18" s="477"/>
      <c r="S18" s="477"/>
      <c r="T18" s="477"/>
      <c r="U18" s="11"/>
      <c r="V18" s="478" t="s">
        <v>155</v>
      </c>
      <c r="W18" s="478"/>
      <c r="X18" s="478"/>
      <c r="Y18" s="478"/>
      <c r="Z18" s="478"/>
      <c r="AA18" s="479" t="s">
        <v>946</v>
      </c>
      <c r="AB18" s="479"/>
      <c r="AC18" s="479"/>
      <c r="AD18" s="479"/>
      <c r="AE18" s="479"/>
      <c r="AF18" s="479"/>
      <c r="AG18" s="479"/>
      <c r="AH18" s="479"/>
      <c r="AI18" s="479"/>
      <c r="AJ18" s="479"/>
      <c r="AK18" s="479"/>
      <c r="AL18" s="479"/>
    </row>
    <row r="19" spans="1:38" ht="18" customHeight="1" x14ac:dyDescent="0.25">
      <c r="A19" s="453" t="s">
        <v>488</v>
      </c>
      <c r="B19" s="453"/>
      <c r="C19" s="453"/>
      <c r="D19" s="453" t="s">
        <v>954</v>
      </c>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3"/>
      <c r="AL19" s="453"/>
    </row>
    <row r="20" spans="1:38" ht="18" customHeight="1" x14ac:dyDescent="0.25">
      <c r="A20" s="453" t="s">
        <v>489</v>
      </c>
      <c r="B20" s="453"/>
      <c r="C20" s="453"/>
      <c r="D20" s="453" t="s">
        <v>613</v>
      </c>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3"/>
      <c r="AD20" s="453"/>
      <c r="AE20" s="453"/>
      <c r="AF20" s="453"/>
      <c r="AG20" s="453"/>
      <c r="AH20" s="453"/>
      <c r="AI20" s="453"/>
      <c r="AJ20" s="453"/>
      <c r="AK20" s="453"/>
      <c r="AL20" s="453"/>
    </row>
    <row r="21" spans="1:38" ht="30" customHeight="1" x14ac:dyDescent="0.25">
      <c r="A21" s="480" t="s">
        <v>490</v>
      </c>
      <c r="B21" s="480"/>
      <c r="C21" s="480"/>
      <c r="D21" s="481" t="s">
        <v>649</v>
      </c>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481"/>
      <c r="AI21" s="481"/>
      <c r="AJ21" s="481"/>
      <c r="AK21" s="481"/>
      <c r="AL21" s="481"/>
    </row>
    <row r="22" spans="1:38" ht="30" customHeight="1" x14ac:dyDescent="0.25">
      <c r="A22" s="447" t="s">
        <v>648</v>
      </c>
      <c r="B22" s="448"/>
      <c r="C22" s="449"/>
      <c r="D22" s="450" t="s">
        <v>675</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2"/>
    </row>
    <row r="23" spans="1:38" ht="39.950000000000003" customHeight="1" x14ac:dyDescent="0.25">
      <c r="A23" s="453" t="s">
        <v>650</v>
      </c>
      <c r="B23" s="453"/>
      <c r="C23" s="453"/>
      <c r="D23" s="453" t="s">
        <v>953</v>
      </c>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453"/>
      <c r="AD23" s="453"/>
      <c r="AE23" s="453"/>
      <c r="AF23" s="453"/>
      <c r="AG23" s="453"/>
      <c r="AH23" s="453"/>
      <c r="AI23" s="453"/>
      <c r="AJ23" s="453"/>
      <c r="AK23" s="453"/>
      <c r="AL23" s="453"/>
    </row>
    <row r="24" spans="1:38" ht="15.95" customHeight="1" x14ac:dyDescent="0.25">
      <c r="A24" s="440" t="s">
        <v>769</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row>
    <row r="25" spans="1:38" ht="15.95" customHeight="1" x14ac:dyDescent="0.25">
      <c r="A25" s="441"/>
      <c r="B25" s="441"/>
      <c r="C25" s="441"/>
      <c r="D25" s="441"/>
      <c r="E25" s="441"/>
      <c r="F25" s="441"/>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row>
    <row r="26" spans="1:38" ht="15.95" customHeight="1" x14ac:dyDescent="0.25">
      <c r="A26" s="441"/>
      <c r="B26" s="441"/>
      <c r="C26" s="441"/>
      <c r="D26" s="441"/>
      <c r="E26" s="441"/>
      <c r="F26" s="441"/>
      <c r="G26" s="441"/>
      <c r="H26" s="441"/>
      <c r="I26" s="441"/>
      <c r="J26" s="441"/>
      <c r="K26" s="441"/>
      <c r="L26" s="441"/>
      <c r="M26" s="441"/>
      <c r="N26" s="441"/>
      <c r="O26" s="441"/>
      <c r="P26" s="441"/>
      <c r="Q26" s="441"/>
      <c r="R26" s="441"/>
      <c r="S26" s="441"/>
      <c r="T26" s="441"/>
      <c r="U26" s="441"/>
      <c r="V26" s="441"/>
      <c r="W26" s="441"/>
      <c r="X26" s="441"/>
      <c r="Y26" s="441"/>
      <c r="Z26" s="441"/>
      <c r="AA26" s="441"/>
      <c r="AB26" s="441"/>
      <c r="AC26" s="441"/>
      <c r="AD26" s="441"/>
      <c r="AE26" s="441"/>
      <c r="AF26" s="441"/>
      <c r="AG26" s="441"/>
      <c r="AH26" s="441"/>
      <c r="AI26" s="441"/>
      <c r="AJ26" s="441"/>
      <c r="AK26" s="441"/>
      <c r="AL26" s="441"/>
    </row>
    <row r="27" spans="1:38" ht="15.95" customHeight="1" x14ac:dyDescent="0.25">
      <c r="A27" s="442" t="s">
        <v>525</v>
      </c>
      <c r="B27" s="442"/>
      <c r="C27" s="442"/>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2"/>
      <c r="AG27" s="442"/>
      <c r="AH27" s="442"/>
      <c r="AI27" s="442"/>
      <c r="AJ27" s="442"/>
      <c r="AK27" s="442"/>
      <c r="AL27" s="442"/>
    </row>
    <row r="28" spans="1:38" ht="15.95" customHeight="1" x14ac:dyDescent="0.25">
      <c r="A28" s="446" t="s">
        <v>602</v>
      </c>
      <c r="B28" s="442"/>
      <c r="C28" s="442"/>
      <c r="D28" s="442"/>
      <c r="E28" s="442"/>
      <c r="F28" s="442"/>
      <c r="G28" s="442"/>
      <c r="H28" s="442"/>
      <c r="I28" s="442"/>
      <c r="J28" s="442"/>
      <c r="K28" s="442"/>
      <c r="L28" s="442"/>
      <c r="M28" s="442"/>
      <c r="N28" s="442"/>
      <c r="O28" s="442"/>
      <c r="P28" s="442"/>
      <c r="Q28" s="442"/>
      <c r="R28" s="442"/>
      <c r="S28" s="442"/>
      <c r="T28" s="442"/>
      <c r="U28" s="442"/>
      <c r="V28" s="442"/>
      <c r="W28" s="442"/>
      <c r="X28" s="442"/>
      <c r="Y28" s="227"/>
      <c r="Z28" s="227"/>
      <c r="AA28" s="227"/>
      <c r="AB28" s="227"/>
      <c r="AC28" s="227"/>
      <c r="AD28" s="227"/>
      <c r="AE28" s="227"/>
      <c r="AF28" s="227"/>
      <c r="AG28" s="227"/>
      <c r="AH28" s="227"/>
      <c r="AI28" s="227"/>
      <c r="AJ28" s="227"/>
      <c r="AK28" s="227"/>
      <c r="AL28" s="228"/>
    </row>
    <row r="29" spans="1:38" ht="15.95" customHeight="1" x14ac:dyDescent="0.25">
      <c r="A29" s="373" t="s">
        <v>488</v>
      </c>
      <c r="B29" s="373"/>
      <c r="C29" s="373"/>
      <c r="D29" s="373" t="s">
        <v>491</v>
      </c>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row>
    <row r="30" spans="1:38" ht="15.95" customHeight="1" x14ac:dyDescent="0.25">
      <c r="A30" s="373" t="s">
        <v>489</v>
      </c>
      <c r="B30" s="373"/>
      <c r="C30" s="373"/>
      <c r="D30" s="373" t="s">
        <v>651</v>
      </c>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row>
    <row r="31" spans="1:38" ht="35.1" customHeight="1" x14ac:dyDescent="0.25">
      <c r="A31" s="373" t="s">
        <v>493</v>
      </c>
      <c r="B31" s="373"/>
      <c r="C31" s="373"/>
      <c r="D31" s="373" t="s">
        <v>614</v>
      </c>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row>
    <row r="32" spans="1:38" ht="32.1" customHeight="1" x14ac:dyDescent="0.25">
      <c r="A32" s="373" t="s">
        <v>499</v>
      </c>
      <c r="B32" s="373"/>
      <c r="C32" s="373"/>
      <c r="D32" s="373" t="s">
        <v>652</v>
      </c>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row>
    <row r="33" spans="1:38" ht="30" customHeight="1" x14ac:dyDescent="0.25">
      <c r="A33" s="373" t="s">
        <v>494</v>
      </c>
      <c r="B33" s="373"/>
      <c r="C33" s="373"/>
      <c r="D33" s="373" t="s">
        <v>495</v>
      </c>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row>
    <row r="34" spans="1:38" ht="15.95" customHeight="1" x14ac:dyDescent="0.25">
      <c r="A34" s="373" t="s">
        <v>508</v>
      </c>
      <c r="B34" s="373"/>
      <c r="C34" s="373"/>
      <c r="D34" s="373" t="s">
        <v>615</v>
      </c>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row>
    <row r="35" spans="1:38" ht="30" customHeight="1" x14ac:dyDescent="0.25">
      <c r="A35" s="373" t="s">
        <v>509</v>
      </c>
      <c r="B35" s="373"/>
      <c r="C35" s="373"/>
      <c r="D35" s="373" t="s">
        <v>618</v>
      </c>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row>
    <row r="36" spans="1:38" ht="15.95" customHeight="1" x14ac:dyDescent="0.25">
      <c r="A36" s="373" t="s">
        <v>510</v>
      </c>
      <c r="B36" s="373"/>
      <c r="C36" s="373"/>
      <c r="D36" s="373" t="s">
        <v>616</v>
      </c>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row>
    <row r="37" spans="1:38" ht="15.95" customHeight="1" x14ac:dyDescent="0.25">
      <c r="A37" s="443" t="s">
        <v>955</v>
      </c>
      <c r="B37" s="444"/>
      <c r="C37" s="445"/>
      <c r="D37" s="482" t="s">
        <v>956</v>
      </c>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c r="AG37" s="483"/>
      <c r="AH37" s="483"/>
      <c r="AI37" s="483"/>
      <c r="AJ37" s="483"/>
      <c r="AK37" s="483"/>
      <c r="AL37" s="484"/>
    </row>
    <row r="38" spans="1:38" ht="15.95" customHeight="1" x14ac:dyDescent="0.25">
      <c r="A38" s="373" t="s">
        <v>957</v>
      </c>
      <c r="B38" s="373"/>
      <c r="C38" s="373"/>
      <c r="D38" s="373" t="s">
        <v>515</v>
      </c>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row>
    <row r="39" spans="1:38" ht="15.95" customHeight="1" x14ac:dyDescent="0.25">
      <c r="A39" s="373" t="s">
        <v>516</v>
      </c>
      <c r="B39" s="373"/>
      <c r="C39" s="373"/>
      <c r="D39" s="373" t="s">
        <v>733</v>
      </c>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row>
    <row r="40" spans="1:38" ht="15" customHeight="1" x14ac:dyDescent="0.25">
      <c r="A40" s="470" t="s">
        <v>958</v>
      </c>
      <c r="B40" s="470"/>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row>
    <row r="41" spans="1:38" ht="15" customHeight="1" x14ac:dyDescent="0.25">
      <c r="A41" s="471"/>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row>
    <row r="42" spans="1:38" ht="15" customHeight="1" x14ac:dyDescent="0.25">
      <c r="A42" s="471"/>
      <c r="B42" s="471"/>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1"/>
      <c r="AF42" s="471"/>
      <c r="AG42" s="471"/>
      <c r="AH42" s="471"/>
      <c r="AI42" s="471"/>
      <c r="AJ42" s="471"/>
      <c r="AK42" s="471"/>
      <c r="AL42" s="471"/>
    </row>
    <row r="43" spans="1:38" ht="15" customHeight="1" x14ac:dyDescent="0.25">
      <c r="A43" s="405" t="s">
        <v>488</v>
      </c>
      <c r="B43" s="405"/>
      <c r="C43" s="405"/>
      <c r="D43" s="405" t="s">
        <v>491</v>
      </c>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405"/>
      <c r="AL43" s="405"/>
    </row>
    <row r="44" spans="1:38" ht="15" customHeight="1" x14ac:dyDescent="0.25">
      <c r="A44" s="429" t="s">
        <v>489</v>
      </c>
      <c r="B44" s="429"/>
      <c r="C44" s="429"/>
      <c r="D44" s="429" t="s">
        <v>651</v>
      </c>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29"/>
      <c r="AK44" s="429"/>
      <c r="AL44" s="429"/>
    </row>
    <row r="45" spans="1:38" ht="15" customHeight="1" x14ac:dyDescent="0.25">
      <c r="A45" s="405" t="s">
        <v>493</v>
      </c>
      <c r="B45" s="405"/>
      <c r="C45" s="405"/>
      <c r="D45" s="405" t="s">
        <v>614</v>
      </c>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row>
    <row r="46" spans="1:38" ht="30" customHeight="1" x14ac:dyDescent="0.25">
      <c r="A46" s="429" t="s">
        <v>960</v>
      </c>
      <c r="B46" s="429"/>
      <c r="C46" s="429"/>
      <c r="D46" s="429" t="s">
        <v>959</v>
      </c>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row>
    <row r="47" spans="1:38" ht="30" customHeight="1" x14ac:dyDescent="0.25">
      <c r="A47" s="429" t="s">
        <v>961</v>
      </c>
      <c r="B47" s="429"/>
      <c r="C47" s="429"/>
      <c r="D47" s="429" t="s">
        <v>495</v>
      </c>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row>
    <row r="48" spans="1:38" ht="30" customHeight="1" x14ac:dyDescent="0.25">
      <c r="A48" s="405" t="s">
        <v>508</v>
      </c>
      <c r="B48" s="405"/>
      <c r="C48" s="405"/>
      <c r="D48" s="405" t="s">
        <v>617</v>
      </c>
      <c r="E48" s="405"/>
      <c r="F48" s="405"/>
      <c r="G48" s="405"/>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ht="45" customHeight="1" x14ac:dyDescent="0.25">
      <c r="A49" s="405" t="s">
        <v>509</v>
      </c>
      <c r="B49" s="405"/>
      <c r="C49" s="405"/>
      <c r="D49" s="405" t="s">
        <v>618</v>
      </c>
      <c r="E49" s="405"/>
      <c r="F49" s="405"/>
      <c r="G49" s="405"/>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405"/>
      <c r="AL49" s="405"/>
    </row>
    <row r="50" spans="1:38" x14ac:dyDescent="0.25">
      <c r="A50" s="405" t="s">
        <v>510</v>
      </c>
      <c r="B50" s="405"/>
      <c r="C50" s="405"/>
      <c r="D50" s="405" t="s">
        <v>626</v>
      </c>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row>
    <row r="51" spans="1:38" x14ac:dyDescent="0.25">
      <c r="A51" s="405" t="s">
        <v>517</v>
      </c>
      <c r="B51" s="405"/>
      <c r="C51" s="405"/>
      <c r="D51" s="405" t="s">
        <v>655</v>
      </c>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row>
    <row r="52" spans="1:38" x14ac:dyDescent="0.25">
      <c r="A52" s="405" t="s">
        <v>865</v>
      </c>
      <c r="B52" s="405"/>
      <c r="C52" s="405"/>
      <c r="D52" s="405" t="s">
        <v>518</v>
      </c>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row>
    <row r="53" spans="1:38" x14ac:dyDescent="0.25">
      <c r="A53" s="392" t="s">
        <v>963</v>
      </c>
      <c r="B53" s="393"/>
      <c r="C53" s="394"/>
      <c r="D53" s="395" t="s">
        <v>967</v>
      </c>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7"/>
    </row>
    <row r="54" spans="1:38" x14ac:dyDescent="0.25">
      <c r="A54" s="405" t="s">
        <v>968</v>
      </c>
      <c r="B54" s="405"/>
      <c r="C54" s="405"/>
      <c r="D54" s="405" t="s">
        <v>519</v>
      </c>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row>
    <row r="55" spans="1:38" x14ac:dyDescent="0.25">
      <c r="A55" s="405" t="s">
        <v>969</v>
      </c>
      <c r="B55" s="405"/>
      <c r="C55" s="405"/>
      <c r="D55" s="405" t="s">
        <v>512</v>
      </c>
      <c r="E55" s="405"/>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row>
    <row r="56" spans="1:38" ht="15" customHeight="1" x14ac:dyDescent="0.25">
      <c r="A56" s="405" t="s">
        <v>866</v>
      </c>
      <c r="B56" s="405"/>
      <c r="C56" s="405"/>
      <c r="D56" s="405" t="s">
        <v>513</v>
      </c>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row>
    <row r="57" spans="1:38" ht="15" customHeight="1" x14ac:dyDescent="0.25">
      <c r="A57" s="405" t="s">
        <v>867</v>
      </c>
      <c r="B57" s="405"/>
      <c r="C57" s="405"/>
      <c r="D57" s="405" t="s">
        <v>520</v>
      </c>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c r="AG57" s="405"/>
      <c r="AH57" s="405"/>
      <c r="AI57" s="405"/>
      <c r="AJ57" s="405"/>
      <c r="AK57" s="405"/>
      <c r="AL57" s="405"/>
    </row>
    <row r="58" spans="1:38" x14ac:dyDescent="0.25">
      <c r="A58" s="405" t="s">
        <v>868</v>
      </c>
      <c r="B58" s="405"/>
      <c r="C58" s="405"/>
      <c r="D58" s="405" t="s">
        <v>514</v>
      </c>
      <c r="E58" s="405"/>
      <c r="F58" s="405"/>
      <c r="G58" s="405"/>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row>
    <row r="59" spans="1:38" x14ac:dyDescent="0.25">
      <c r="A59" s="405" t="s">
        <v>970</v>
      </c>
      <c r="B59" s="405"/>
      <c r="C59" s="405"/>
      <c r="D59" s="405" t="s">
        <v>962</v>
      </c>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row>
    <row r="60" spans="1:38" ht="35.1" customHeight="1" x14ac:dyDescent="0.25">
      <c r="A60" s="405" t="s">
        <v>971</v>
      </c>
      <c r="B60" s="405"/>
      <c r="C60" s="405"/>
      <c r="D60" s="405" t="s">
        <v>874</v>
      </c>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row>
    <row r="61" spans="1:38" ht="35.1" customHeight="1" x14ac:dyDescent="0.25">
      <c r="A61" s="405" t="s">
        <v>972</v>
      </c>
      <c r="B61" s="405"/>
      <c r="C61" s="405"/>
      <c r="D61" s="405" t="s">
        <v>875</v>
      </c>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row>
    <row r="62" spans="1:38" ht="20.100000000000001" customHeight="1" x14ac:dyDescent="0.25">
      <c r="A62" s="405" t="s">
        <v>973</v>
      </c>
      <c r="B62" s="405"/>
      <c r="C62" s="405"/>
      <c r="D62" s="392" t="s">
        <v>974</v>
      </c>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393"/>
      <c r="AC62" s="393"/>
      <c r="AD62" s="393"/>
      <c r="AE62" s="393"/>
      <c r="AF62" s="393"/>
      <c r="AG62" s="393"/>
      <c r="AH62" s="393"/>
      <c r="AI62" s="393"/>
      <c r="AJ62" s="393"/>
      <c r="AK62" s="393"/>
      <c r="AL62" s="394"/>
    </row>
    <row r="63" spans="1:38" ht="20.100000000000001" customHeight="1" x14ac:dyDescent="0.25">
      <c r="A63" s="405" t="s">
        <v>877</v>
      </c>
      <c r="B63" s="405"/>
      <c r="C63" s="405"/>
      <c r="D63" s="392" t="s">
        <v>876</v>
      </c>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c r="AG63" s="393"/>
      <c r="AH63" s="393"/>
      <c r="AI63" s="393"/>
      <c r="AJ63" s="393"/>
      <c r="AK63" s="393"/>
      <c r="AL63" s="394"/>
    </row>
    <row r="64" spans="1:38" x14ac:dyDescent="0.25">
      <c r="A64" s="405" t="s">
        <v>878</v>
      </c>
      <c r="B64" s="405"/>
      <c r="C64" s="405"/>
      <c r="D64" s="405" t="s">
        <v>619</v>
      </c>
      <c r="E64" s="405"/>
      <c r="F64" s="405"/>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5"/>
      <c r="AG64" s="405"/>
      <c r="AH64" s="405"/>
      <c r="AI64" s="405"/>
      <c r="AJ64" s="405"/>
      <c r="AK64" s="405"/>
      <c r="AL64" s="405"/>
    </row>
    <row r="65" spans="1:38" ht="15" customHeight="1" x14ac:dyDescent="0.25">
      <c r="A65" s="405" t="s">
        <v>879</v>
      </c>
      <c r="B65" s="405"/>
      <c r="C65" s="405"/>
      <c r="D65" s="405" t="s">
        <v>521</v>
      </c>
      <c r="E65" s="405"/>
      <c r="F65" s="405"/>
      <c r="G65" s="405"/>
      <c r="H65" s="405"/>
      <c r="I65" s="405"/>
      <c r="J65" s="405"/>
      <c r="K65" s="405"/>
      <c r="L65" s="405"/>
      <c r="M65" s="405"/>
      <c r="N65" s="405"/>
      <c r="O65" s="405"/>
      <c r="P65" s="405"/>
      <c r="Q65" s="405"/>
      <c r="R65" s="405"/>
      <c r="S65" s="405"/>
      <c r="T65" s="405"/>
      <c r="U65" s="405"/>
      <c r="V65" s="405"/>
      <c r="W65" s="405"/>
      <c r="X65" s="405"/>
      <c r="Y65" s="405"/>
      <c r="Z65" s="405"/>
      <c r="AA65" s="405"/>
      <c r="AB65" s="405"/>
      <c r="AC65" s="405"/>
      <c r="AD65" s="405"/>
      <c r="AE65" s="405"/>
      <c r="AF65" s="405"/>
      <c r="AG65" s="405"/>
      <c r="AH65" s="405"/>
      <c r="AI65" s="405"/>
      <c r="AJ65" s="405"/>
      <c r="AK65" s="405"/>
      <c r="AL65" s="405"/>
    </row>
    <row r="66" spans="1:38" x14ac:dyDescent="0.25">
      <c r="A66" s="405" t="s">
        <v>880</v>
      </c>
      <c r="B66" s="405"/>
      <c r="C66" s="405"/>
      <c r="D66" s="405" t="s">
        <v>522</v>
      </c>
      <c r="E66" s="405"/>
      <c r="F66" s="405"/>
      <c r="G66" s="405"/>
      <c r="H66" s="405"/>
      <c r="I66" s="405"/>
      <c r="J66" s="405"/>
      <c r="K66" s="405"/>
      <c r="L66" s="405"/>
      <c r="M66" s="405"/>
      <c r="N66" s="405"/>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405"/>
      <c r="AL66" s="405"/>
    </row>
    <row r="67" spans="1:38" x14ac:dyDescent="0.25">
      <c r="A67" s="405" t="s">
        <v>511</v>
      </c>
      <c r="B67" s="405"/>
      <c r="C67" s="405"/>
      <c r="D67" s="405" t="s">
        <v>654</v>
      </c>
      <c r="E67" s="405"/>
      <c r="F67" s="405"/>
      <c r="G67" s="405"/>
      <c r="H67" s="405"/>
      <c r="I67" s="405"/>
      <c r="J67" s="405"/>
      <c r="K67" s="405"/>
      <c r="L67" s="405"/>
      <c r="M67" s="405"/>
      <c r="N67" s="405"/>
      <c r="O67" s="405"/>
      <c r="P67" s="405"/>
      <c r="Q67" s="405"/>
      <c r="R67" s="405"/>
      <c r="S67" s="405"/>
      <c r="T67" s="405"/>
      <c r="U67" s="405"/>
      <c r="V67" s="405"/>
      <c r="W67" s="405"/>
      <c r="X67" s="405"/>
      <c r="Y67" s="405"/>
      <c r="Z67" s="405"/>
      <c r="AA67" s="405"/>
      <c r="AB67" s="405"/>
      <c r="AC67" s="405"/>
      <c r="AD67" s="405"/>
      <c r="AE67" s="405"/>
      <c r="AF67" s="405"/>
      <c r="AG67" s="405"/>
      <c r="AH67" s="405"/>
      <c r="AI67" s="405"/>
      <c r="AJ67" s="405"/>
      <c r="AK67" s="405"/>
      <c r="AL67" s="405"/>
    </row>
    <row r="68" spans="1:38" x14ac:dyDescent="0.25">
      <c r="A68" s="405" t="s">
        <v>653</v>
      </c>
      <c r="B68" s="405"/>
      <c r="C68" s="405"/>
      <c r="D68" s="405" t="s">
        <v>656</v>
      </c>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405"/>
      <c r="AE68" s="405"/>
      <c r="AF68" s="405"/>
      <c r="AG68" s="405"/>
      <c r="AH68" s="405"/>
      <c r="AI68" s="405"/>
      <c r="AJ68" s="405"/>
      <c r="AK68" s="405"/>
      <c r="AL68" s="405"/>
    </row>
    <row r="69" spans="1:38" x14ac:dyDescent="0.25">
      <c r="A69" s="405" t="s">
        <v>975</v>
      </c>
      <c r="B69" s="405"/>
      <c r="C69" s="405"/>
      <c r="D69" s="405" t="s">
        <v>523</v>
      </c>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405"/>
      <c r="AH69" s="405"/>
      <c r="AI69" s="405"/>
      <c r="AJ69" s="405"/>
      <c r="AK69" s="405"/>
      <c r="AL69" s="405"/>
    </row>
    <row r="70" spans="1:38" ht="30" customHeight="1" x14ac:dyDescent="0.25">
      <c r="A70" s="405" t="s">
        <v>976</v>
      </c>
      <c r="B70" s="405"/>
      <c r="C70" s="405"/>
      <c r="D70" s="405" t="s">
        <v>633</v>
      </c>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405"/>
      <c r="AH70" s="405"/>
      <c r="AI70" s="405"/>
      <c r="AJ70" s="405"/>
      <c r="AK70" s="405"/>
      <c r="AL70" s="405"/>
    </row>
    <row r="71" spans="1:38" ht="15" customHeight="1" x14ac:dyDescent="0.25">
      <c r="A71" s="392" t="s">
        <v>977</v>
      </c>
      <c r="B71" s="393"/>
      <c r="C71" s="394"/>
      <c r="D71" s="405" t="s">
        <v>620</v>
      </c>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c r="AD71" s="405"/>
      <c r="AE71" s="405"/>
      <c r="AF71" s="405"/>
      <c r="AG71" s="405"/>
      <c r="AH71" s="405"/>
      <c r="AI71" s="405"/>
      <c r="AJ71" s="405"/>
      <c r="AK71" s="405"/>
      <c r="AL71" s="405"/>
    </row>
    <row r="72" spans="1:38" x14ac:dyDescent="0.25">
      <c r="A72" s="405" t="s">
        <v>978</v>
      </c>
      <c r="B72" s="405"/>
      <c r="C72" s="405"/>
      <c r="D72" s="405" t="s">
        <v>524</v>
      </c>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5"/>
      <c r="AG72" s="405"/>
      <c r="AH72" s="405"/>
      <c r="AI72" s="405"/>
      <c r="AJ72" s="405"/>
      <c r="AK72" s="405"/>
      <c r="AL72" s="405"/>
    </row>
    <row r="73" spans="1:38" x14ac:dyDescent="0.25">
      <c r="A73" s="405" t="s">
        <v>979</v>
      </c>
      <c r="B73" s="405"/>
      <c r="C73" s="405"/>
      <c r="D73" s="405" t="s">
        <v>622</v>
      </c>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405"/>
      <c r="AE73" s="405"/>
      <c r="AF73" s="405"/>
      <c r="AG73" s="405"/>
      <c r="AH73" s="405"/>
      <c r="AI73" s="405"/>
      <c r="AJ73" s="405"/>
      <c r="AK73" s="405"/>
      <c r="AL73" s="405"/>
    </row>
    <row r="74" spans="1:38" x14ac:dyDescent="0.25">
      <c r="A74" s="405" t="s">
        <v>980</v>
      </c>
      <c r="B74" s="405"/>
      <c r="C74" s="405"/>
      <c r="D74" s="405" t="s">
        <v>621</v>
      </c>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405"/>
      <c r="AL74" s="405"/>
    </row>
    <row r="75" spans="1:38" x14ac:dyDescent="0.25">
      <c r="A75" s="405" t="s">
        <v>981</v>
      </c>
      <c r="B75" s="405"/>
      <c r="C75" s="405"/>
      <c r="D75" s="405" t="s">
        <v>881</v>
      </c>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405"/>
      <c r="AL75" s="405"/>
    </row>
    <row r="76" spans="1:38" x14ac:dyDescent="0.25">
      <c r="A76" s="405" t="s">
        <v>982</v>
      </c>
      <c r="B76" s="405"/>
      <c r="C76" s="405"/>
      <c r="D76" s="405" t="s">
        <v>733</v>
      </c>
      <c r="E76" s="405"/>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5"/>
      <c r="AD76" s="405"/>
      <c r="AE76" s="405"/>
      <c r="AF76" s="405"/>
      <c r="AG76" s="405"/>
      <c r="AH76" s="405"/>
      <c r="AI76" s="405"/>
      <c r="AJ76" s="405"/>
      <c r="AK76" s="405"/>
      <c r="AL76" s="405"/>
    </row>
    <row r="77" spans="1:38" x14ac:dyDescent="0.25">
      <c r="A77" s="404" t="s">
        <v>983</v>
      </c>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row>
    <row r="78" spans="1:38" x14ac:dyDescent="0.25">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row>
    <row r="79" spans="1:38" x14ac:dyDescent="0.25">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row>
    <row r="80" spans="1:38" ht="15" customHeight="1" x14ac:dyDescent="0.25">
      <c r="A80" s="401" t="s">
        <v>488</v>
      </c>
      <c r="B80" s="401"/>
      <c r="C80" s="401"/>
      <c r="D80" s="401" t="s">
        <v>491</v>
      </c>
      <c r="E80" s="401"/>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row>
    <row r="81" spans="1:38" ht="15" customHeight="1" x14ac:dyDescent="0.25">
      <c r="A81" s="401" t="s">
        <v>489</v>
      </c>
      <c r="B81" s="401"/>
      <c r="C81" s="401"/>
      <c r="D81" s="401" t="s">
        <v>492</v>
      </c>
      <c r="E81" s="401"/>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row>
    <row r="82" spans="1:38" x14ac:dyDescent="0.25">
      <c r="A82" s="401" t="s">
        <v>493</v>
      </c>
      <c r="B82" s="401"/>
      <c r="C82" s="401"/>
      <c r="D82" s="401" t="s">
        <v>623</v>
      </c>
      <c r="E82" s="401"/>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401"/>
      <c r="AL82" s="401"/>
    </row>
    <row r="83" spans="1:38" ht="30" customHeight="1" x14ac:dyDescent="0.25">
      <c r="A83" s="401" t="s">
        <v>499</v>
      </c>
      <c r="B83" s="401"/>
      <c r="C83" s="401"/>
      <c r="D83" s="401" t="s">
        <v>624</v>
      </c>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row>
    <row r="84" spans="1:38" ht="30" customHeight="1" x14ac:dyDescent="0.25">
      <c r="A84" s="401" t="s">
        <v>494</v>
      </c>
      <c r="B84" s="401"/>
      <c r="C84" s="401"/>
      <c r="D84" s="401" t="s">
        <v>625</v>
      </c>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row>
    <row r="85" spans="1:38" x14ac:dyDescent="0.25">
      <c r="A85" s="401" t="s">
        <v>526</v>
      </c>
      <c r="B85" s="401"/>
      <c r="C85" s="401"/>
      <c r="D85" s="401" t="s">
        <v>543</v>
      </c>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row>
    <row r="86" spans="1:38" x14ac:dyDescent="0.25">
      <c r="A86" s="401" t="s">
        <v>527</v>
      </c>
      <c r="B86" s="401"/>
      <c r="C86" s="401"/>
      <c r="D86" s="401" t="s">
        <v>544</v>
      </c>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row>
    <row r="87" spans="1:38" x14ac:dyDescent="0.25">
      <c r="A87" s="401" t="s">
        <v>528</v>
      </c>
      <c r="B87" s="401"/>
      <c r="C87" s="401"/>
      <c r="D87" s="401" t="s">
        <v>545</v>
      </c>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row>
    <row r="88" spans="1:38" ht="15" customHeight="1" x14ac:dyDescent="0.25">
      <c r="A88" s="415" t="s">
        <v>529</v>
      </c>
      <c r="B88" s="415"/>
      <c r="C88" s="415"/>
      <c r="D88" s="416" t="s">
        <v>988</v>
      </c>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8"/>
    </row>
    <row r="89" spans="1:38" ht="15" customHeight="1" x14ac:dyDescent="0.25">
      <c r="A89" s="415" t="s">
        <v>530</v>
      </c>
      <c r="B89" s="415"/>
      <c r="C89" s="415"/>
      <c r="D89" s="416" t="s">
        <v>987</v>
      </c>
      <c r="E89" s="417"/>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8"/>
    </row>
    <row r="90" spans="1:38" ht="15" customHeight="1" x14ac:dyDescent="0.25">
      <c r="A90" s="415" t="s">
        <v>531</v>
      </c>
      <c r="B90" s="415"/>
      <c r="C90" s="415"/>
      <c r="D90" s="416" t="s">
        <v>990</v>
      </c>
      <c r="E90" s="417"/>
      <c r="F90" s="417"/>
      <c r="G90" s="417"/>
      <c r="H90" s="417"/>
      <c r="I90" s="417"/>
      <c r="J90" s="417"/>
      <c r="K90" s="417"/>
      <c r="L90" s="417"/>
      <c r="M90" s="417"/>
      <c r="N90" s="417"/>
      <c r="O90" s="417"/>
      <c r="P90" s="417"/>
      <c r="Q90" s="417"/>
      <c r="R90" s="417"/>
      <c r="S90" s="417"/>
      <c r="T90" s="417"/>
      <c r="U90" s="417"/>
      <c r="V90" s="417"/>
      <c r="W90" s="417"/>
      <c r="X90" s="417"/>
      <c r="Y90" s="417"/>
      <c r="Z90" s="417"/>
      <c r="AA90" s="417"/>
      <c r="AB90" s="417"/>
      <c r="AC90" s="417"/>
      <c r="AD90" s="417"/>
      <c r="AE90" s="417"/>
      <c r="AF90" s="417"/>
      <c r="AG90" s="417"/>
      <c r="AH90" s="417"/>
      <c r="AI90" s="417"/>
      <c r="AJ90" s="417"/>
      <c r="AK90" s="417"/>
      <c r="AL90" s="418"/>
    </row>
    <row r="91" spans="1:38" ht="15" customHeight="1" x14ac:dyDescent="0.25">
      <c r="A91" s="415" t="s">
        <v>532</v>
      </c>
      <c r="B91" s="415"/>
      <c r="C91" s="415"/>
      <c r="D91" s="416" t="s">
        <v>991</v>
      </c>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8"/>
    </row>
    <row r="92" spans="1:38" ht="15" customHeight="1" x14ac:dyDescent="0.25">
      <c r="A92" s="415" t="s">
        <v>533</v>
      </c>
      <c r="B92" s="415"/>
      <c r="C92" s="415"/>
      <c r="D92" s="416" t="s">
        <v>992</v>
      </c>
      <c r="E92" s="417"/>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8"/>
    </row>
    <row r="93" spans="1:38" ht="15" customHeight="1" x14ac:dyDescent="0.25">
      <c r="A93" s="415" t="s">
        <v>534</v>
      </c>
      <c r="B93" s="415"/>
      <c r="C93" s="415"/>
      <c r="D93" s="416" t="s">
        <v>993</v>
      </c>
      <c r="E93" s="417"/>
      <c r="F93" s="417"/>
      <c r="G93" s="417"/>
      <c r="H93" s="417"/>
      <c r="I93" s="417"/>
      <c r="J93" s="417"/>
      <c r="K93" s="417"/>
      <c r="L93" s="417"/>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8"/>
    </row>
    <row r="94" spans="1:38" ht="15" customHeight="1" x14ac:dyDescent="0.25">
      <c r="A94" s="415" t="s">
        <v>535</v>
      </c>
      <c r="B94" s="415"/>
      <c r="C94" s="415"/>
      <c r="D94" s="416" t="s">
        <v>994</v>
      </c>
      <c r="E94" s="417"/>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8"/>
    </row>
    <row r="95" spans="1:38" ht="15" customHeight="1" x14ac:dyDescent="0.25">
      <c r="A95" s="398" t="s">
        <v>536</v>
      </c>
      <c r="B95" s="399"/>
      <c r="C95" s="400"/>
      <c r="D95" s="398" t="s">
        <v>995</v>
      </c>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c r="AG95" s="399"/>
      <c r="AH95" s="399"/>
      <c r="AI95" s="399"/>
      <c r="AJ95" s="399"/>
      <c r="AK95" s="399"/>
      <c r="AL95" s="400"/>
    </row>
    <row r="96" spans="1:38" ht="15" customHeight="1" x14ac:dyDescent="0.25">
      <c r="A96" s="398" t="s">
        <v>537</v>
      </c>
      <c r="B96" s="399"/>
      <c r="C96" s="400"/>
      <c r="D96" s="398" t="s">
        <v>996</v>
      </c>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c r="AG96" s="399"/>
      <c r="AH96" s="399"/>
      <c r="AI96" s="399"/>
      <c r="AJ96" s="399"/>
      <c r="AK96" s="399"/>
      <c r="AL96" s="400"/>
    </row>
    <row r="97" spans="1:38" ht="15" customHeight="1" x14ac:dyDescent="0.25">
      <c r="A97" s="398" t="s">
        <v>538</v>
      </c>
      <c r="B97" s="399"/>
      <c r="C97" s="400"/>
      <c r="D97" s="398" t="s">
        <v>997</v>
      </c>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c r="AG97" s="399"/>
      <c r="AH97" s="399"/>
      <c r="AI97" s="399"/>
      <c r="AJ97" s="399"/>
      <c r="AK97" s="399"/>
      <c r="AL97" s="400"/>
    </row>
    <row r="98" spans="1:38" ht="15" customHeight="1" x14ac:dyDescent="0.25">
      <c r="A98" s="398" t="s">
        <v>539</v>
      </c>
      <c r="B98" s="399"/>
      <c r="C98" s="400"/>
      <c r="D98" s="398" t="s">
        <v>998</v>
      </c>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c r="AG98" s="399"/>
      <c r="AH98" s="399"/>
      <c r="AI98" s="399"/>
      <c r="AJ98" s="399"/>
      <c r="AK98" s="399"/>
      <c r="AL98" s="400"/>
    </row>
    <row r="99" spans="1:38" ht="15" customHeight="1" x14ac:dyDescent="0.25">
      <c r="A99" s="401" t="s">
        <v>540</v>
      </c>
      <c r="B99" s="401"/>
      <c r="C99" s="401"/>
      <c r="D99" s="398" t="s">
        <v>999</v>
      </c>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c r="AG99" s="399"/>
      <c r="AH99" s="399"/>
      <c r="AI99" s="399"/>
      <c r="AJ99" s="399"/>
      <c r="AK99" s="399"/>
      <c r="AL99" s="400"/>
    </row>
    <row r="100" spans="1:38" x14ac:dyDescent="0.25">
      <c r="A100" s="401" t="s">
        <v>540</v>
      </c>
      <c r="B100" s="401"/>
      <c r="C100" s="401"/>
      <c r="D100" s="398" t="s">
        <v>1000</v>
      </c>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c r="AG100" s="399"/>
      <c r="AH100" s="399"/>
      <c r="AI100" s="399"/>
      <c r="AJ100" s="399"/>
      <c r="AK100" s="399"/>
      <c r="AL100" s="400"/>
    </row>
    <row r="101" spans="1:38" ht="15" customHeight="1" x14ac:dyDescent="0.25">
      <c r="A101" s="401" t="s">
        <v>541</v>
      </c>
      <c r="B101" s="401"/>
      <c r="C101" s="401"/>
      <c r="D101" s="398" t="s">
        <v>1001</v>
      </c>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c r="AG101" s="399"/>
      <c r="AH101" s="399"/>
      <c r="AI101" s="399"/>
      <c r="AJ101" s="399"/>
      <c r="AK101" s="399"/>
      <c r="AL101" s="400"/>
    </row>
    <row r="102" spans="1:38" ht="20.100000000000001" customHeight="1" x14ac:dyDescent="0.25">
      <c r="A102" s="415" t="s">
        <v>1002</v>
      </c>
      <c r="B102" s="415"/>
      <c r="C102" s="415"/>
      <c r="D102" s="416" t="s">
        <v>733</v>
      </c>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8"/>
    </row>
    <row r="103" spans="1:38" x14ac:dyDescent="0.25">
      <c r="A103" s="488" t="s">
        <v>780</v>
      </c>
      <c r="B103" s="489"/>
      <c r="C103" s="489"/>
      <c r="D103" s="489"/>
      <c r="E103" s="489"/>
      <c r="F103" s="489"/>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89"/>
      <c r="AJ103" s="489"/>
      <c r="AK103" s="489"/>
      <c r="AL103" s="490"/>
    </row>
    <row r="104" spans="1:38" x14ac:dyDescent="0.25">
      <c r="A104" s="491"/>
      <c r="B104" s="492"/>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c r="AH104" s="492"/>
      <c r="AI104" s="492"/>
      <c r="AJ104" s="492"/>
      <c r="AK104" s="492"/>
      <c r="AL104" s="493"/>
    </row>
    <row r="105" spans="1:38" x14ac:dyDescent="0.25">
      <c r="A105" s="494"/>
      <c r="B105" s="495"/>
      <c r="C105" s="495"/>
      <c r="D105" s="495"/>
      <c r="E105" s="495"/>
      <c r="F105" s="495"/>
      <c r="G105" s="495"/>
      <c r="H105" s="495"/>
      <c r="I105" s="495"/>
      <c r="J105" s="495"/>
      <c r="K105" s="495"/>
      <c r="L105" s="495"/>
      <c r="M105" s="495"/>
      <c r="N105" s="495"/>
      <c r="O105" s="495"/>
      <c r="P105" s="495"/>
      <c r="Q105" s="495"/>
      <c r="R105" s="495"/>
      <c r="S105" s="495"/>
      <c r="T105" s="495"/>
      <c r="U105" s="495"/>
      <c r="V105" s="495"/>
      <c r="W105" s="495"/>
      <c r="X105" s="495"/>
      <c r="Y105" s="495"/>
      <c r="Z105" s="495"/>
      <c r="AA105" s="495"/>
      <c r="AB105" s="495"/>
      <c r="AC105" s="495"/>
      <c r="AD105" s="495"/>
      <c r="AE105" s="495"/>
      <c r="AF105" s="495"/>
      <c r="AG105" s="495"/>
      <c r="AH105" s="495"/>
      <c r="AI105" s="495"/>
      <c r="AJ105" s="495"/>
      <c r="AK105" s="495"/>
      <c r="AL105" s="496"/>
    </row>
    <row r="106" spans="1:38" x14ac:dyDescent="0.25">
      <c r="A106" s="402" t="s">
        <v>488</v>
      </c>
      <c r="B106" s="402"/>
      <c r="C106" s="402"/>
      <c r="D106" s="402" t="s">
        <v>491</v>
      </c>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402"/>
      <c r="AG106" s="402"/>
      <c r="AH106" s="402"/>
      <c r="AI106" s="402"/>
      <c r="AJ106" s="402"/>
      <c r="AK106" s="402"/>
      <c r="AL106" s="402"/>
    </row>
    <row r="107" spans="1:38" x14ac:dyDescent="0.25">
      <c r="A107" s="403" t="s">
        <v>489</v>
      </c>
      <c r="B107" s="403"/>
      <c r="C107" s="403"/>
      <c r="D107" s="403" t="s">
        <v>492</v>
      </c>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row>
    <row r="108" spans="1:38" x14ac:dyDescent="0.25">
      <c r="A108" s="402" t="s">
        <v>493</v>
      </c>
      <c r="B108" s="402"/>
      <c r="C108" s="402"/>
      <c r="D108" s="402" t="s">
        <v>623</v>
      </c>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402"/>
      <c r="AE108" s="402"/>
      <c r="AF108" s="402"/>
      <c r="AG108" s="402"/>
      <c r="AH108" s="402"/>
      <c r="AI108" s="402"/>
      <c r="AJ108" s="402"/>
      <c r="AK108" s="402"/>
      <c r="AL108" s="402"/>
    </row>
    <row r="109" spans="1:38" x14ac:dyDescent="0.25">
      <c r="A109" s="403" t="s">
        <v>499</v>
      </c>
      <c r="B109" s="403"/>
      <c r="C109" s="403"/>
      <c r="D109" s="403" t="s">
        <v>1004</v>
      </c>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row>
    <row r="110" spans="1:38" x14ac:dyDescent="0.25">
      <c r="A110" s="402" t="s">
        <v>494</v>
      </c>
      <c r="B110" s="402"/>
      <c r="C110" s="402"/>
      <c r="D110" s="402" t="s">
        <v>1005</v>
      </c>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c r="AH110" s="402"/>
      <c r="AI110" s="402"/>
      <c r="AJ110" s="402"/>
      <c r="AK110" s="402"/>
      <c r="AL110" s="402"/>
    </row>
    <row r="111" spans="1:38" x14ac:dyDescent="0.25">
      <c r="A111" s="386" t="s">
        <v>578</v>
      </c>
      <c r="B111" s="386"/>
      <c r="C111" s="386"/>
      <c r="D111" s="386" t="s">
        <v>577</v>
      </c>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row>
    <row r="112" spans="1:38" x14ac:dyDescent="0.25">
      <c r="A112" s="498" t="s">
        <v>579</v>
      </c>
      <c r="B112" s="498"/>
      <c r="C112" s="498"/>
      <c r="D112" s="499" t="s">
        <v>883</v>
      </c>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00"/>
      <c r="AA112" s="500"/>
      <c r="AB112" s="500"/>
      <c r="AC112" s="500"/>
      <c r="AD112" s="500"/>
      <c r="AE112" s="500"/>
      <c r="AF112" s="500"/>
      <c r="AG112" s="500"/>
      <c r="AH112" s="500"/>
      <c r="AI112" s="500"/>
      <c r="AJ112" s="500"/>
      <c r="AK112" s="500"/>
      <c r="AL112" s="501"/>
    </row>
    <row r="113" spans="1:38" x14ac:dyDescent="0.25">
      <c r="A113" s="497"/>
      <c r="B113" s="497"/>
      <c r="C113" s="497"/>
      <c r="D113" s="497" t="s">
        <v>884</v>
      </c>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row>
    <row r="114" spans="1:38" ht="324.95" customHeight="1" x14ac:dyDescent="0.25">
      <c r="A114" s="505"/>
      <c r="B114" s="505"/>
      <c r="C114" s="506"/>
      <c r="D114" s="502" t="s">
        <v>882</v>
      </c>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c r="AA114" s="503"/>
      <c r="AB114" s="503"/>
      <c r="AC114" s="503"/>
      <c r="AD114" s="503"/>
      <c r="AE114" s="503"/>
      <c r="AF114" s="503"/>
      <c r="AG114" s="503"/>
      <c r="AH114" s="503"/>
      <c r="AI114" s="503"/>
      <c r="AJ114" s="503"/>
      <c r="AK114" s="503"/>
      <c r="AL114" s="504"/>
    </row>
    <row r="115" spans="1:38" x14ac:dyDescent="0.25">
      <c r="A115" s="386" t="s">
        <v>583</v>
      </c>
      <c r="B115" s="386"/>
      <c r="C115" s="386"/>
      <c r="D115" s="485" t="s">
        <v>781</v>
      </c>
      <c r="E115" s="486"/>
      <c r="F115" s="486"/>
      <c r="G115" s="486"/>
      <c r="H115" s="486"/>
      <c r="I115" s="486"/>
      <c r="J115" s="486"/>
      <c r="K115" s="486"/>
      <c r="L115" s="486"/>
      <c r="M115" s="486"/>
      <c r="N115" s="486"/>
      <c r="O115" s="486"/>
      <c r="P115" s="486"/>
      <c r="Q115" s="486"/>
      <c r="R115" s="486"/>
      <c r="S115" s="486"/>
      <c r="T115" s="486"/>
      <c r="U115" s="486"/>
      <c r="V115" s="486"/>
      <c r="W115" s="486"/>
      <c r="X115" s="486"/>
      <c r="Y115" s="486"/>
      <c r="Z115" s="486"/>
      <c r="AA115" s="486"/>
      <c r="AB115" s="486"/>
      <c r="AC115" s="486"/>
      <c r="AD115" s="486"/>
      <c r="AE115" s="486"/>
      <c r="AF115" s="486"/>
      <c r="AG115" s="486"/>
      <c r="AH115" s="486"/>
      <c r="AI115" s="486"/>
      <c r="AJ115" s="486"/>
      <c r="AK115" s="486"/>
      <c r="AL115" s="487"/>
    </row>
    <row r="116" spans="1:38" x14ac:dyDescent="0.25">
      <c r="A116" s="386" t="s">
        <v>584</v>
      </c>
      <c r="B116" s="386"/>
      <c r="C116" s="386"/>
      <c r="D116" s="485" t="s">
        <v>657</v>
      </c>
      <c r="E116" s="486"/>
      <c r="F116" s="486"/>
      <c r="G116" s="486"/>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486"/>
      <c r="AK116" s="486"/>
      <c r="AL116" s="487"/>
    </row>
    <row r="117" spans="1:38" x14ac:dyDescent="0.25">
      <c r="A117" s="386" t="s">
        <v>658</v>
      </c>
      <c r="B117" s="386"/>
      <c r="C117" s="386"/>
      <c r="D117" s="386" t="s">
        <v>580</v>
      </c>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row>
    <row r="118" spans="1:38" x14ac:dyDescent="0.25">
      <c r="A118" s="386" t="s">
        <v>659</v>
      </c>
      <c r="B118" s="386"/>
      <c r="C118" s="386"/>
      <c r="D118" s="507" t="s">
        <v>581</v>
      </c>
      <c r="E118" s="507"/>
      <c r="F118" s="507"/>
      <c r="G118" s="507"/>
      <c r="H118" s="507"/>
      <c r="I118" s="507"/>
      <c r="J118" s="507"/>
      <c r="K118" s="507"/>
      <c r="L118" s="507"/>
      <c r="M118" s="507"/>
      <c r="N118" s="507"/>
      <c r="O118" s="507"/>
      <c r="P118" s="507"/>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row>
    <row r="119" spans="1:38" x14ac:dyDescent="0.25">
      <c r="A119" s="386" t="s">
        <v>660</v>
      </c>
      <c r="B119" s="386"/>
      <c r="C119" s="386"/>
      <c r="D119" s="386" t="s">
        <v>627</v>
      </c>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row>
    <row r="120" spans="1:38" x14ac:dyDescent="0.25">
      <c r="A120" s="386" t="s">
        <v>661</v>
      </c>
      <c r="B120" s="386"/>
      <c r="C120" s="386"/>
      <c r="D120" s="386" t="s">
        <v>676</v>
      </c>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row>
    <row r="121" spans="1:38" x14ac:dyDescent="0.25">
      <c r="A121" s="386" t="s">
        <v>662</v>
      </c>
      <c r="B121" s="386"/>
      <c r="C121" s="386"/>
      <c r="D121" s="386" t="s">
        <v>677</v>
      </c>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row>
    <row r="122" spans="1:38" x14ac:dyDescent="0.25">
      <c r="A122" s="386" t="s">
        <v>663</v>
      </c>
      <c r="B122" s="386"/>
      <c r="C122" s="386"/>
      <c r="D122" s="386" t="s">
        <v>582</v>
      </c>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row>
    <row r="123" spans="1:38" ht="30" customHeight="1" x14ac:dyDescent="0.25">
      <c r="A123" s="485" t="s">
        <v>664</v>
      </c>
      <c r="B123" s="486"/>
      <c r="C123" s="487"/>
      <c r="D123" s="485" t="s">
        <v>1006</v>
      </c>
      <c r="E123" s="486"/>
      <c r="F123" s="486"/>
      <c r="G123" s="486"/>
      <c r="H123" s="486"/>
      <c r="I123" s="486"/>
      <c r="J123" s="486"/>
      <c r="K123" s="486"/>
      <c r="L123" s="486"/>
      <c r="M123" s="486"/>
      <c r="N123" s="486"/>
      <c r="O123" s="486"/>
      <c r="P123" s="486"/>
      <c r="Q123" s="486"/>
      <c r="R123" s="486"/>
      <c r="S123" s="486"/>
      <c r="T123" s="486"/>
      <c r="U123" s="486"/>
      <c r="V123" s="486"/>
      <c r="W123" s="486"/>
      <c r="X123" s="486"/>
      <c r="Y123" s="486"/>
      <c r="Z123" s="486"/>
      <c r="AA123" s="486"/>
      <c r="AB123" s="486"/>
      <c r="AC123" s="486"/>
      <c r="AD123" s="486"/>
      <c r="AE123" s="486"/>
      <c r="AF123" s="486"/>
      <c r="AG123" s="486"/>
      <c r="AH123" s="486"/>
      <c r="AI123" s="486"/>
      <c r="AJ123" s="486"/>
      <c r="AK123" s="486"/>
      <c r="AL123" s="487"/>
    </row>
    <row r="124" spans="1:38" ht="30" customHeight="1" x14ac:dyDescent="0.25">
      <c r="A124" s="485" t="s">
        <v>665</v>
      </c>
      <c r="B124" s="486"/>
      <c r="C124" s="487"/>
      <c r="D124" s="485" t="s">
        <v>666</v>
      </c>
      <c r="E124" s="486"/>
      <c r="F124" s="486"/>
      <c r="G124" s="486"/>
      <c r="H124" s="486"/>
      <c r="I124" s="486"/>
      <c r="J124" s="486"/>
      <c r="K124" s="486"/>
      <c r="L124" s="486"/>
      <c r="M124" s="486"/>
      <c r="N124" s="486"/>
      <c r="O124" s="486"/>
      <c r="P124" s="486"/>
      <c r="Q124" s="486"/>
      <c r="R124" s="486"/>
      <c r="S124" s="486"/>
      <c r="T124" s="486"/>
      <c r="U124" s="486"/>
      <c r="V124" s="486"/>
      <c r="W124" s="486"/>
      <c r="X124" s="486"/>
      <c r="Y124" s="486"/>
      <c r="Z124" s="486"/>
      <c r="AA124" s="486"/>
      <c r="AB124" s="486"/>
      <c r="AC124" s="486"/>
      <c r="AD124" s="486"/>
      <c r="AE124" s="486"/>
      <c r="AF124" s="486"/>
      <c r="AG124" s="486"/>
      <c r="AH124" s="486"/>
      <c r="AI124" s="486"/>
      <c r="AJ124" s="486"/>
      <c r="AK124" s="486"/>
      <c r="AL124" s="487"/>
    </row>
    <row r="125" spans="1:38" x14ac:dyDescent="0.25">
      <c r="A125" s="386" t="s">
        <v>667</v>
      </c>
      <c r="B125" s="386"/>
      <c r="C125" s="386"/>
      <c r="D125" s="386" t="s">
        <v>733</v>
      </c>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row>
    <row r="126" spans="1:38" x14ac:dyDescent="0.25">
      <c r="A126" s="420" t="s">
        <v>770</v>
      </c>
      <c r="B126" s="421"/>
      <c r="C126" s="421"/>
      <c r="D126" s="421"/>
      <c r="E126" s="421"/>
      <c r="F126" s="421"/>
      <c r="G126" s="421"/>
      <c r="H126" s="421"/>
      <c r="I126" s="421"/>
      <c r="J126" s="421"/>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2"/>
    </row>
    <row r="127" spans="1:38" x14ac:dyDescent="0.25">
      <c r="A127" s="423"/>
      <c r="B127" s="424"/>
      <c r="C127" s="424"/>
      <c r="D127" s="424"/>
      <c r="E127" s="424"/>
      <c r="F127" s="424"/>
      <c r="G127" s="424"/>
      <c r="H127" s="424"/>
      <c r="I127" s="424"/>
      <c r="J127" s="424"/>
      <c r="K127" s="424"/>
      <c r="L127" s="424"/>
      <c r="M127" s="424"/>
      <c r="N127" s="424"/>
      <c r="O127" s="424"/>
      <c r="P127" s="424"/>
      <c r="Q127" s="424"/>
      <c r="R127" s="424"/>
      <c r="S127" s="424"/>
      <c r="T127" s="424"/>
      <c r="U127" s="424"/>
      <c r="V127" s="424"/>
      <c r="W127" s="424"/>
      <c r="X127" s="424"/>
      <c r="Y127" s="424"/>
      <c r="Z127" s="424"/>
      <c r="AA127" s="424"/>
      <c r="AB127" s="424"/>
      <c r="AC127" s="424"/>
      <c r="AD127" s="424"/>
      <c r="AE127" s="424"/>
      <c r="AF127" s="424"/>
      <c r="AG127" s="424"/>
      <c r="AH127" s="424"/>
      <c r="AI127" s="424"/>
      <c r="AJ127" s="424"/>
      <c r="AK127" s="424"/>
      <c r="AL127" s="425"/>
    </row>
    <row r="128" spans="1:38" x14ac:dyDescent="0.25">
      <c r="A128" s="426"/>
      <c r="B128" s="427"/>
      <c r="C128" s="427"/>
      <c r="D128" s="427"/>
      <c r="E128" s="427"/>
      <c r="F128" s="427"/>
      <c r="G128" s="427"/>
      <c r="H128" s="427"/>
      <c r="I128" s="427"/>
      <c r="J128" s="427"/>
      <c r="K128" s="427"/>
      <c r="L128" s="427"/>
      <c r="M128" s="427"/>
      <c r="N128" s="427"/>
      <c r="O128" s="427"/>
      <c r="P128" s="427"/>
      <c r="Q128" s="427"/>
      <c r="R128" s="427"/>
      <c r="S128" s="427"/>
      <c r="T128" s="427"/>
      <c r="U128" s="427"/>
      <c r="V128" s="427"/>
      <c r="W128" s="427"/>
      <c r="X128" s="427"/>
      <c r="Y128" s="427"/>
      <c r="Z128" s="427"/>
      <c r="AA128" s="427"/>
      <c r="AB128" s="427"/>
      <c r="AC128" s="427"/>
      <c r="AD128" s="427"/>
      <c r="AE128" s="427"/>
      <c r="AF128" s="427"/>
      <c r="AG128" s="427"/>
      <c r="AH128" s="427"/>
      <c r="AI128" s="427"/>
      <c r="AJ128" s="427"/>
      <c r="AK128" s="427"/>
      <c r="AL128" s="428"/>
    </row>
    <row r="129" spans="1:38" x14ac:dyDescent="0.25">
      <c r="A129" s="386" t="s">
        <v>488</v>
      </c>
      <c r="B129" s="386"/>
      <c r="C129" s="386"/>
      <c r="D129" s="386" t="s">
        <v>491</v>
      </c>
      <c r="E129" s="386"/>
      <c r="F129" s="386"/>
      <c r="G129" s="386"/>
      <c r="H129" s="386"/>
      <c r="I129" s="386"/>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row>
    <row r="130" spans="1:38" x14ac:dyDescent="0.25">
      <c r="A130" s="387" t="s">
        <v>489</v>
      </c>
      <c r="B130" s="387"/>
      <c r="C130" s="387"/>
      <c r="D130" s="387" t="s">
        <v>492</v>
      </c>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c r="AE130" s="387"/>
      <c r="AF130" s="387"/>
      <c r="AG130" s="387"/>
      <c r="AH130" s="387"/>
      <c r="AI130" s="387"/>
      <c r="AJ130" s="387"/>
      <c r="AK130" s="387"/>
      <c r="AL130" s="387"/>
    </row>
    <row r="131" spans="1:38" x14ac:dyDescent="0.25">
      <c r="A131" s="386" t="s">
        <v>493</v>
      </c>
      <c r="B131" s="386"/>
      <c r="C131" s="386"/>
      <c r="D131" s="386" t="s">
        <v>623</v>
      </c>
      <c r="E131" s="386"/>
      <c r="F131" s="386"/>
      <c r="G131" s="386"/>
      <c r="H131" s="386"/>
      <c r="I131" s="386"/>
      <c r="J131" s="386"/>
      <c r="K131" s="386"/>
      <c r="L131" s="386"/>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row>
    <row r="132" spans="1:38" x14ac:dyDescent="0.25">
      <c r="A132" s="387" t="s">
        <v>499</v>
      </c>
      <c r="B132" s="387"/>
      <c r="C132" s="387"/>
      <c r="D132" s="387" t="s">
        <v>1004</v>
      </c>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c r="AE132" s="387"/>
      <c r="AF132" s="387"/>
      <c r="AG132" s="387"/>
      <c r="AH132" s="387"/>
      <c r="AI132" s="387"/>
      <c r="AJ132" s="387"/>
      <c r="AK132" s="387"/>
      <c r="AL132" s="387"/>
    </row>
    <row r="133" spans="1:38" x14ac:dyDescent="0.25">
      <c r="A133" s="386" t="s">
        <v>494</v>
      </c>
      <c r="B133" s="386"/>
      <c r="C133" s="386"/>
      <c r="D133" s="386" t="s">
        <v>1009</v>
      </c>
      <c r="E133" s="386"/>
      <c r="F133" s="386"/>
      <c r="G133" s="386"/>
      <c r="H133" s="386"/>
      <c r="I133" s="386"/>
      <c r="J133" s="386"/>
      <c r="K133" s="386"/>
      <c r="L133" s="386"/>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row>
    <row r="134" spans="1:38" ht="15" customHeight="1" x14ac:dyDescent="0.25">
      <c r="A134" s="387" t="s">
        <v>578</v>
      </c>
      <c r="B134" s="387"/>
      <c r="C134" s="387"/>
      <c r="D134" s="383" t="s">
        <v>577</v>
      </c>
      <c r="E134" s="384"/>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c r="AL134" s="385"/>
    </row>
    <row r="135" spans="1:38" x14ac:dyDescent="0.25">
      <c r="A135" s="387" t="s">
        <v>585</v>
      </c>
      <c r="B135" s="387"/>
      <c r="C135" s="387"/>
      <c r="D135" s="387" t="s">
        <v>580</v>
      </c>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c r="AE135" s="387"/>
      <c r="AF135" s="387"/>
      <c r="AG135" s="387"/>
      <c r="AH135" s="387"/>
      <c r="AI135" s="387"/>
      <c r="AJ135" s="387"/>
      <c r="AK135" s="387"/>
      <c r="AL135" s="387"/>
    </row>
    <row r="136" spans="1:38" x14ac:dyDescent="0.25">
      <c r="A136" s="387" t="s">
        <v>586</v>
      </c>
      <c r="B136" s="387"/>
      <c r="C136" s="387"/>
      <c r="D136" s="387" t="s">
        <v>596</v>
      </c>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c r="AF136" s="387"/>
      <c r="AG136" s="387"/>
      <c r="AH136" s="387"/>
      <c r="AI136" s="387"/>
      <c r="AJ136" s="387"/>
      <c r="AK136" s="387"/>
      <c r="AL136" s="387"/>
    </row>
    <row r="137" spans="1:38" x14ac:dyDescent="0.25">
      <c r="A137" s="387" t="s">
        <v>587</v>
      </c>
      <c r="B137" s="387"/>
      <c r="C137" s="387"/>
      <c r="D137" s="390" t="s">
        <v>627</v>
      </c>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c r="AG137" s="390"/>
      <c r="AH137" s="390"/>
      <c r="AI137" s="390"/>
      <c r="AJ137" s="390"/>
      <c r="AK137" s="390"/>
      <c r="AL137" s="390"/>
    </row>
    <row r="138" spans="1:38" x14ac:dyDescent="0.25">
      <c r="A138" s="387" t="s">
        <v>588</v>
      </c>
      <c r="B138" s="387"/>
      <c r="C138" s="387"/>
      <c r="D138" s="387" t="s">
        <v>678</v>
      </c>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c r="AF138" s="387"/>
      <c r="AG138" s="387"/>
      <c r="AH138" s="387"/>
      <c r="AI138" s="387"/>
      <c r="AJ138" s="387"/>
      <c r="AK138" s="387"/>
      <c r="AL138" s="387"/>
    </row>
    <row r="139" spans="1:38" x14ac:dyDescent="0.25">
      <c r="A139" s="387" t="s">
        <v>589</v>
      </c>
      <c r="B139" s="387"/>
      <c r="C139" s="387"/>
      <c r="D139" s="387" t="s">
        <v>597</v>
      </c>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c r="AE139" s="387"/>
      <c r="AF139" s="387"/>
      <c r="AG139" s="387"/>
      <c r="AH139" s="387"/>
      <c r="AI139" s="387"/>
      <c r="AJ139" s="387"/>
      <c r="AK139" s="387"/>
      <c r="AL139" s="387"/>
    </row>
    <row r="140" spans="1:38" x14ac:dyDescent="0.25">
      <c r="A140" s="387" t="s">
        <v>590</v>
      </c>
      <c r="B140" s="387"/>
      <c r="C140" s="387"/>
      <c r="D140" s="387" t="s">
        <v>668</v>
      </c>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387"/>
      <c r="AF140" s="387"/>
      <c r="AG140" s="387"/>
      <c r="AH140" s="387"/>
      <c r="AI140" s="387"/>
      <c r="AJ140" s="387"/>
      <c r="AK140" s="387"/>
      <c r="AL140" s="387"/>
    </row>
    <row r="141" spans="1:38" ht="39.950000000000003" customHeight="1" x14ac:dyDescent="0.25">
      <c r="A141" s="387" t="s">
        <v>669</v>
      </c>
      <c r="B141" s="387"/>
      <c r="C141" s="387"/>
      <c r="D141" s="387" t="s">
        <v>856</v>
      </c>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c r="AE141" s="387"/>
      <c r="AF141" s="387"/>
      <c r="AG141" s="387"/>
      <c r="AH141" s="387"/>
      <c r="AI141" s="387"/>
      <c r="AJ141" s="387"/>
      <c r="AK141" s="387"/>
      <c r="AL141" s="387"/>
    </row>
    <row r="142" spans="1:38" ht="30" customHeight="1" x14ac:dyDescent="0.25">
      <c r="A142" s="387" t="s">
        <v>670</v>
      </c>
      <c r="B142" s="387"/>
      <c r="C142" s="387"/>
      <c r="D142" s="387" t="s">
        <v>666</v>
      </c>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c r="AE142" s="387"/>
      <c r="AF142" s="387"/>
      <c r="AG142" s="387"/>
      <c r="AH142" s="387"/>
      <c r="AI142" s="387"/>
      <c r="AJ142" s="387"/>
      <c r="AK142" s="387"/>
      <c r="AL142" s="387"/>
    </row>
    <row r="143" spans="1:38" x14ac:dyDescent="0.25">
      <c r="A143" s="387" t="s">
        <v>591</v>
      </c>
      <c r="B143" s="387"/>
      <c r="C143" s="387"/>
      <c r="D143" s="387" t="s">
        <v>542</v>
      </c>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87"/>
      <c r="AG143" s="387"/>
      <c r="AH143" s="387"/>
      <c r="AI143" s="387"/>
      <c r="AJ143" s="387"/>
      <c r="AK143" s="387"/>
      <c r="AL143" s="387"/>
    </row>
    <row r="144" spans="1:38" x14ac:dyDescent="0.25">
      <c r="A144" s="391" t="s">
        <v>592</v>
      </c>
      <c r="B144" s="391"/>
      <c r="C144" s="391"/>
      <c r="D144" s="391" t="s">
        <v>598</v>
      </c>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1"/>
      <c r="AG144" s="391"/>
      <c r="AH144" s="391"/>
      <c r="AI144" s="391"/>
      <c r="AJ144" s="391"/>
      <c r="AK144" s="391"/>
      <c r="AL144" s="391"/>
    </row>
    <row r="145" spans="1:38" x14ac:dyDescent="0.25">
      <c r="A145" s="391" t="s">
        <v>593</v>
      </c>
      <c r="B145" s="391"/>
      <c r="C145" s="391"/>
      <c r="D145" s="391" t="s">
        <v>599</v>
      </c>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1"/>
      <c r="AG145" s="391"/>
      <c r="AH145" s="391"/>
      <c r="AI145" s="391"/>
      <c r="AJ145" s="391"/>
      <c r="AK145" s="391"/>
      <c r="AL145" s="391"/>
    </row>
    <row r="146" spans="1:38" x14ac:dyDescent="0.25">
      <c r="A146" s="391" t="s">
        <v>671</v>
      </c>
      <c r="B146" s="391"/>
      <c r="C146" s="391"/>
      <c r="D146" s="391" t="s">
        <v>600</v>
      </c>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1"/>
      <c r="AG146" s="391"/>
      <c r="AH146" s="391"/>
      <c r="AI146" s="391"/>
      <c r="AJ146" s="391"/>
      <c r="AK146" s="391"/>
      <c r="AL146" s="391"/>
    </row>
    <row r="147" spans="1:38" x14ac:dyDescent="0.25">
      <c r="A147" s="391" t="s">
        <v>594</v>
      </c>
      <c r="B147" s="391"/>
      <c r="C147" s="391"/>
      <c r="D147" s="391" t="s">
        <v>673</v>
      </c>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c r="AA147" s="391"/>
      <c r="AB147" s="391"/>
      <c r="AC147" s="391"/>
      <c r="AD147" s="391"/>
      <c r="AE147" s="391"/>
      <c r="AF147" s="391"/>
      <c r="AG147" s="391"/>
      <c r="AH147" s="391"/>
      <c r="AI147" s="391"/>
      <c r="AJ147" s="391"/>
      <c r="AK147" s="391"/>
      <c r="AL147" s="391"/>
    </row>
    <row r="148" spans="1:38" x14ac:dyDescent="0.25">
      <c r="A148" s="391" t="s">
        <v>672</v>
      </c>
      <c r="B148" s="391"/>
      <c r="C148" s="391"/>
      <c r="D148" s="391" t="s">
        <v>601</v>
      </c>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391"/>
      <c r="AF148" s="391"/>
      <c r="AG148" s="391"/>
      <c r="AH148" s="391"/>
      <c r="AI148" s="391"/>
      <c r="AJ148" s="391"/>
      <c r="AK148" s="391"/>
      <c r="AL148" s="391"/>
    </row>
    <row r="149" spans="1:38" x14ac:dyDescent="0.25">
      <c r="A149" s="391" t="s">
        <v>595</v>
      </c>
      <c r="B149" s="391"/>
      <c r="C149" s="391"/>
      <c r="D149" s="391" t="s">
        <v>674</v>
      </c>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1"/>
      <c r="AG149" s="391"/>
      <c r="AH149" s="391"/>
      <c r="AI149" s="391"/>
      <c r="AJ149" s="391"/>
      <c r="AK149" s="391"/>
      <c r="AL149" s="391"/>
    </row>
    <row r="150" spans="1:38" ht="28.5" x14ac:dyDescent="0.25">
      <c r="A150" s="419" t="s">
        <v>771</v>
      </c>
      <c r="B150" s="419"/>
      <c r="C150" s="419"/>
      <c r="D150" s="419"/>
      <c r="E150" s="419"/>
      <c r="F150" s="419"/>
      <c r="G150" s="419"/>
      <c r="H150" s="419"/>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c r="AJ150" s="419"/>
      <c r="AK150" s="419"/>
      <c r="AL150" s="419"/>
    </row>
    <row r="151" spans="1:38" x14ac:dyDescent="0.25">
      <c r="A151" s="386" t="s">
        <v>488</v>
      </c>
      <c r="B151" s="386"/>
      <c r="C151" s="386"/>
      <c r="D151" s="386" t="s">
        <v>491</v>
      </c>
      <c r="E151" s="386"/>
      <c r="F151" s="386"/>
      <c r="G151" s="386"/>
      <c r="H151" s="386"/>
      <c r="I151" s="386"/>
      <c r="J151" s="386"/>
      <c r="K151" s="386"/>
      <c r="L151" s="386"/>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6"/>
    </row>
    <row r="152" spans="1:38" x14ac:dyDescent="0.25">
      <c r="A152" s="387" t="s">
        <v>489</v>
      </c>
      <c r="B152" s="387"/>
      <c r="C152" s="387"/>
      <c r="D152" s="387" t="s">
        <v>492</v>
      </c>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387"/>
      <c r="AF152" s="387"/>
      <c r="AG152" s="387"/>
      <c r="AH152" s="387"/>
      <c r="AI152" s="387"/>
      <c r="AJ152" s="387"/>
      <c r="AK152" s="387"/>
      <c r="AL152" s="387"/>
    </row>
    <row r="153" spans="1:38" x14ac:dyDescent="0.25">
      <c r="A153" s="386" t="s">
        <v>493</v>
      </c>
      <c r="B153" s="386"/>
      <c r="C153" s="386"/>
      <c r="D153" s="386" t="s">
        <v>623</v>
      </c>
      <c r="E153" s="386"/>
      <c r="F153" s="386"/>
      <c r="G153" s="386"/>
      <c r="H153" s="386"/>
      <c r="I153" s="386"/>
      <c r="J153" s="386"/>
      <c r="K153" s="386"/>
      <c r="L153" s="386"/>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6"/>
    </row>
    <row r="154" spans="1:38" ht="15" customHeight="1" x14ac:dyDescent="0.25">
      <c r="A154" s="387" t="s">
        <v>499</v>
      </c>
      <c r="B154" s="387"/>
      <c r="C154" s="387"/>
      <c r="D154" s="387" t="s">
        <v>1004</v>
      </c>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c r="AF154" s="387"/>
      <c r="AG154" s="387"/>
      <c r="AH154" s="387"/>
      <c r="AI154" s="387"/>
      <c r="AJ154" s="387"/>
      <c r="AK154" s="387"/>
      <c r="AL154" s="387"/>
    </row>
    <row r="155" spans="1:38" x14ac:dyDescent="0.25">
      <c r="A155" s="377" t="s">
        <v>708</v>
      </c>
      <c r="B155" s="378"/>
      <c r="C155" s="378"/>
      <c r="D155" s="377" t="s">
        <v>709</v>
      </c>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c r="AL155" s="379"/>
    </row>
    <row r="156" spans="1:38" x14ac:dyDescent="0.25">
      <c r="A156" s="377" t="s">
        <v>710</v>
      </c>
      <c r="B156" s="378"/>
      <c r="C156" s="378"/>
      <c r="D156" s="377" t="s">
        <v>711</v>
      </c>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8"/>
      <c r="AJ156" s="378"/>
      <c r="AK156" s="378"/>
      <c r="AL156" s="379"/>
    </row>
    <row r="157" spans="1:38" ht="15" customHeight="1" x14ac:dyDescent="0.25">
      <c r="A157" s="377" t="s">
        <v>712</v>
      </c>
      <c r="B157" s="378"/>
      <c r="C157" s="378"/>
      <c r="D157" s="380" t="s">
        <v>713</v>
      </c>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c r="AG157" s="381"/>
      <c r="AH157" s="381"/>
      <c r="AI157" s="381"/>
      <c r="AJ157" s="381"/>
      <c r="AK157" s="381"/>
      <c r="AL157" s="382"/>
    </row>
    <row r="158" spans="1:38" ht="80.099999999999994" customHeight="1" x14ac:dyDescent="0.25">
      <c r="A158" s="388" t="s">
        <v>714</v>
      </c>
      <c r="B158" s="389"/>
      <c r="C158" s="389"/>
      <c r="D158" s="383" t="s">
        <v>715</v>
      </c>
      <c r="E158" s="384"/>
      <c r="F158" s="384"/>
      <c r="G158" s="384"/>
      <c r="H158" s="384"/>
      <c r="I158" s="384"/>
      <c r="J158" s="384"/>
      <c r="K158" s="384"/>
      <c r="L158" s="384"/>
      <c r="M158" s="384"/>
      <c r="N158" s="384"/>
      <c r="O158" s="384"/>
      <c r="P158" s="384"/>
      <c r="Q158" s="384"/>
      <c r="R158" s="384"/>
      <c r="S158" s="384"/>
      <c r="T158" s="384"/>
      <c r="U158" s="384"/>
      <c r="V158" s="384"/>
      <c r="W158" s="384"/>
      <c r="X158" s="384"/>
      <c r="Y158" s="384"/>
      <c r="Z158" s="384"/>
      <c r="AA158" s="384"/>
      <c r="AB158" s="384"/>
      <c r="AC158" s="384"/>
      <c r="AD158" s="384"/>
      <c r="AE158" s="384"/>
      <c r="AF158" s="384"/>
      <c r="AG158" s="384"/>
      <c r="AH158" s="384"/>
      <c r="AI158" s="384"/>
      <c r="AJ158" s="384"/>
      <c r="AK158" s="384"/>
      <c r="AL158" s="385"/>
    </row>
    <row r="159" spans="1:38" x14ac:dyDescent="0.25">
      <c r="A159" s="377" t="s">
        <v>716</v>
      </c>
      <c r="B159" s="378"/>
      <c r="C159" s="378"/>
      <c r="D159" s="377" t="s">
        <v>717</v>
      </c>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8"/>
      <c r="AJ159" s="378"/>
      <c r="AK159" s="378"/>
      <c r="AL159" s="379"/>
    </row>
    <row r="160" spans="1:38" x14ac:dyDescent="0.25">
      <c r="A160" s="377" t="s">
        <v>718</v>
      </c>
      <c r="B160" s="378"/>
      <c r="C160" s="378"/>
      <c r="D160" s="377" t="s">
        <v>719</v>
      </c>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8"/>
      <c r="AK160" s="378"/>
      <c r="AL160" s="379"/>
    </row>
    <row r="161" spans="1:38" x14ac:dyDescent="0.25">
      <c r="A161" s="377" t="s">
        <v>720</v>
      </c>
      <c r="B161" s="378"/>
      <c r="C161" s="378"/>
      <c r="D161" s="377" t="s">
        <v>721</v>
      </c>
      <c r="E161" s="378"/>
      <c r="F161" s="378"/>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8"/>
      <c r="AJ161" s="378"/>
      <c r="AK161" s="378"/>
      <c r="AL161" s="379"/>
    </row>
    <row r="162" spans="1:38" x14ac:dyDescent="0.25">
      <c r="A162" s="377" t="s">
        <v>722</v>
      </c>
      <c r="B162" s="378"/>
      <c r="C162" s="378"/>
      <c r="D162" s="377" t="s">
        <v>723</v>
      </c>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8"/>
      <c r="AJ162" s="378"/>
      <c r="AK162" s="378"/>
      <c r="AL162" s="379"/>
    </row>
    <row r="163" spans="1:38" x14ac:dyDescent="0.25">
      <c r="A163" s="377" t="s">
        <v>724</v>
      </c>
      <c r="B163" s="378"/>
      <c r="C163" s="378"/>
      <c r="D163" s="377" t="s">
        <v>725</v>
      </c>
      <c r="E163" s="378"/>
      <c r="F163" s="378"/>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8"/>
      <c r="AJ163" s="378"/>
      <c r="AK163" s="378"/>
      <c r="AL163" s="379"/>
    </row>
    <row r="164" spans="1:38" x14ac:dyDescent="0.25">
      <c r="A164" s="377" t="s">
        <v>726</v>
      </c>
      <c r="B164" s="378"/>
      <c r="C164" s="378"/>
      <c r="D164" s="377" t="s">
        <v>727</v>
      </c>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8"/>
      <c r="AK164" s="378"/>
      <c r="AL164" s="379"/>
    </row>
    <row r="165" spans="1:38" x14ac:dyDescent="0.25">
      <c r="A165" s="377" t="s">
        <v>728</v>
      </c>
      <c r="B165" s="378"/>
      <c r="C165" s="378"/>
      <c r="D165" s="377" t="s">
        <v>729</v>
      </c>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c r="AL165" s="379"/>
    </row>
    <row r="166" spans="1:38" x14ac:dyDescent="0.25">
      <c r="A166" s="377" t="s">
        <v>730</v>
      </c>
      <c r="B166" s="378"/>
      <c r="C166" s="378"/>
      <c r="D166" s="377" t="s">
        <v>731</v>
      </c>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c r="AL166" s="379"/>
    </row>
    <row r="167" spans="1:38" x14ac:dyDescent="0.25">
      <c r="A167" s="377" t="s">
        <v>732</v>
      </c>
      <c r="B167" s="378"/>
      <c r="C167" s="378"/>
      <c r="D167" s="377" t="s">
        <v>733</v>
      </c>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8"/>
      <c r="AK167" s="378"/>
      <c r="AL167" s="379"/>
    </row>
    <row r="168" spans="1:38" ht="15" customHeight="1" x14ac:dyDescent="0.25">
      <c r="A168" s="406" t="s">
        <v>772</v>
      </c>
      <c r="B168" s="407"/>
      <c r="C168" s="407"/>
      <c r="D168" s="407"/>
      <c r="E168" s="407"/>
      <c r="F168" s="407"/>
      <c r="G168" s="407"/>
      <c r="H168" s="407"/>
      <c r="I168" s="407"/>
      <c r="J168" s="407"/>
      <c r="K168" s="407"/>
      <c r="L168" s="407"/>
      <c r="M168" s="407"/>
      <c r="N168" s="407"/>
      <c r="O168" s="407"/>
      <c r="P168" s="407"/>
      <c r="Q168" s="407"/>
      <c r="R168" s="407"/>
      <c r="S168" s="407"/>
      <c r="T168" s="407"/>
      <c r="U168" s="407"/>
      <c r="V168" s="407"/>
      <c r="W168" s="407"/>
      <c r="X168" s="407"/>
      <c r="Y168" s="407"/>
      <c r="Z168" s="407"/>
      <c r="AA168" s="407"/>
      <c r="AB168" s="407"/>
      <c r="AC168" s="407"/>
      <c r="AD168" s="407"/>
      <c r="AE168" s="407"/>
      <c r="AF168" s="407"/>
      <c r="AG168" s="407"/>
      <c r="AH168" s="407"/>
      <c r="AI168" s="407"/>
      <c r="AJ168" s="407"/>
      <c r="AK168" s="407"/>
      <c r="AL168" s="408"/>
    </row>
    <row r="169" spans="1:38" ht="15" customHeight="1" x14ac:dyDescent="0.25">
      <c r="A169" s="409"/>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1"/>
    </row>
    <row r="170" spans="1:38" ht="15" customHeight="1" x14ac:dyDescent="0.25">
      <c r="A170" s="412"/>
      <c r="B170" s="413"/>
      <c r="C170" s="413"/>
      <c r="D170" s="413"/>
      <c r="E170" s="413"/>
      <c r="F170" s="413"/>
      <c r="G170" s="413"/>
      <c r="H170" s="413"/>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c r="AJ170" s="413"/>
      <c r="AK170" s="413"/>
      <c r="AL170" s="414"/>
    </row>
    <row r="171" spans="1:38" x14ac:dyDescent="0.25">
      <c r="A171" s="372" t="s">
        <v>488</v>
      </c>
      <c r="B171" s="372"/>
      <c r="C171" s="372"/>
      <c r="D171" s="372" t="s">
        <v>491</v>
      </c>
      <c r="E171" s="372"/>
      <c r="F171" s="372"/>
      <c r="G171" s="372"/>
      <c r="H171" s="372"/>
      <c r="I171" s="372"/>
      <c r="J171" s="372"/>
      <c r="K171" s="372"/>
      <c r="L171" s="372"/>
      <c r="M171" s="372"/>
      <c r="N171" s="372"/>
      <c r="O171" s="372"/>
      <c r="P171" s="372"/>
      <c r="Q171" s="372"/>
      <c r="R171" s="372"/>
      <c r="S171" s="372"/>
      <c r="T171" s="372"/>
      <c r="U171" s="372"/>
      <c r="V171" s="372"/>
      <c r="W171" s="372"/>
      <c r="X171" s="372"/>
      <c r="Y171" s="372"/>
      <c r="Z171" s="372"/>
      <c r="AA171" s="372"/>
      <c r="AB171" s="372"/>
      <c r="AC171" s="372"/>
      <c r="AD171" s="372"/>
      <c r="AE171" s="372"/>
      <c r="AF171" s="372"/>
      <c r="AG171" s="372"/>
      <c r="AH171" s="372"/>
      <c r="AI171" s="372"/>
      <c r="AJ171" s="372"/>
      <c r="AK171" s="372"/>
      <c r="AL171" s="372"/>
    </row>
    <row r="172" spans="1:38" x14ac:dyDescent="0.25">
      <c r="A172" s="373" t="s">
        <v>489</v>
      </c>
      <c r="B172" s="373"/>
      <c r="C172" s="373"/>
      <c r="D172" s="373" t="s">
        <v>492</v>
      </c>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373"/>
      <c r="AL172" s="373"/>
    </row>
    <row r="173" spans="1:38" ht="15" customHeight="1" x14ac:dyDescent="0.25">
      <c r="A173" s="372" t="s">
        <v>493</v>
      </c>
      <c r="B173" s="372"/>
      <c r="C173" s="372"/>
      <c r="D173" s="372" t="s">
        <v>623</v>
      </c>
      <c r="E173" s="372"/>
      <c r="F173" s="372"/>
      <c r="G173" s="372"/>
      <c r="H173" s="372"/>
      <c r="I173" s="372"/>
      <c r="J173" s="372"/>
      <c r="K173" s="372"/>
      <c r="L173" s="372"/>
      <c r="M173" s="372"/>
      <c r="N173" s="372"/>
      <c r="O173" s="372"/>
      <c r="P173" s="372"/>
      <c r="Q173" s="372"/>
      <c r="R173" s="372"/>
      <c r="S173" s="372"/>
      <c r="T173" s="372"/>
      <c r="U173" s="372"/>
      <c r="V173" s="372"/>
      <c r="W173" s="372"/>
      <c r="X173" s="372"/>
      <c r="Y173" s="372"/>
      <c r="Z173" s="372"/>
      <c r="AA173" s="372"/>
      <c r="AB173" s="372"/>
      <c r="AC173" s="372"/>
      <c r="AD173" s="372"/>
      <c r="AE173" s="372"/>
      <c r="AF173" s="372"/>
      <c r="AG173" s="372"/>
      <c r="AH173" s="372"/>
      <c r="AI173" s="372"/>
      <c r="AJ173" s="372"/>
      <c r="AK173" s="372"/>
      <c r="AL173" s="372"/>
    </row>
    <row r="174" spans="1:38" ht="30" customHeight="1" x14ac:dyDescent="0.25">
      <c r="A174" s="373" t="s">
        <v>499</v>
      </c>
      <c r="B174" s="373"/>
      <c r="C174" s="373"/>
      <c r="D174" s="373" t="s">
        <v>1004</v>
      </c>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3"/>
      <c r="AI174" s="373"/>
      <c r="AJ174" s="373"/>
      <c r="AK174" s="373"/>
      <c r="AL174" s="373"/>
    </row>
    <row r="175" spans="1:38" ht="15" customHeight="1" x14ac:dyDescent="0.25">
      <c r="A175" s="359" t="s">
        <v>752</v>
      </c>
      <c r="B175" s="360"/>
      <c r="C175" s="361"/>
      <c r="D175" s="362" t="s">
        <v>753</v>
      </c>
      <c r="E175" s="363"/>
      <c r="F175" s="363"/>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c r="AJ175" s="363"/>
      <c r="AK175" s="363"/>
      <c r="AL175" s="364"/>
    </row>
    <row r="176" spans="1:38" ht="15" customHeight="1" x14ac:dyDescent="0.25">
      <c r="A176" s="374" t="s">
        <v>754</v>
      </c>
      <c r="B176" s="375"/>
      <c r="C176" s="376"/>
      <c r="D176" s="365" t="s">
        <v>755</v>
      </c>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c r="AI176" s="366"/>
      <c r="AJ176" s="366"/>
      <c r="AK176" s="366"/>
      <c r="AL176" s="367"/>
    </row>
    <row r="177" spans="1:38" ht="15" customHeight="1" x14ac:dyDescent="0.25">
      <c r="A177" s="359" t="s">
        <v>756</v>
      </c>
      <c r="B177" s="360"/>
      <c r="C177" s="361"/>
      <c r="D177" s="368" t="s">
        <v>757</v>
      </c>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c r="AA177" s="369"/>
      <c r="AB177" s="369"/>
      <c r="AC177" s="369"/>
      <c r="AD177" s="369"/>
      <c r="AE177" s="369"/>
      <c r="AF177" s="369"/>
      <c r="AG177" s="369"/>
      <c r="AH177" s="369"/>
      <c r="AI177" s="369"/>
      <c r="AJ177" s="369"/>
      <c r="AK177" s="369"/>
      <c r="AL177" s="370"/>
    </row>
    <row r="178" spans="1:38" ht="15" customHeight="1" x14ac:dyDescent="0.25">
      <c r="A178" s="374" t="s">
        <v>758</v>
      </c>
      <c r="B178" s="375"/>
      <c r="C178" s="376"/>
      <c r="D178" s="365" t="s">
        <v>885</v>
      </c>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6"/>
      <c r="AK178" s="366"/>
      <c r="AL178" s="367"/>
    </row>
    <row r="179" spans="1:38" x14ac:dyDescent="0.25">
      <c r="A179" s="359" t="s">
        <v>759</v>
      </c>
      <c r="B179" s="360"/>
      <c r="C179" s="361"/>
      <c r="D179" s="368" t="s">
        <v>886</v>
      </c>
      <c r="E179" s="369"/>
      <c r="F179" s="369"/>
      <c r="G179" s="369"/>
      <c r="H179" s="369"/>
      <c r="I179" s="369"/>
      <c r="J179" s="369"/>
      <c r="K179" s="369"/>
      <c r="L179" s="369"/>
      <c r="M179" s="369"/>
      <c r="N179" s="369"/>
      <c r="O179" s="369"/>
      <c r="P179" s="369"/>
      <c r="Q179" s="369"/>
      <c r="R179" s="369"/>
      <c r="S179" s="369"/>
      <c r="T179" s="369"/>
      <c r="U179" s="369"/>
      <c r="V179" s="369"/>
      <c r="W179" s="369"/>
      <c r="X179" s="369"/>
      <c r="Y179" s="369"/>
      <c r="Z179" s="369"/>
      <c r="AA179" s="369"/>
      <c r="AB179" s="369"/>
      <c r="AC179" s="369"/>
      <c r="AD179" s="369"/>
      <c r="AE179" s="369"/>
      <c r="AF179" s="369"/>
      <c r="AG179" s="369"/>
      <c r="AH179" s="369"/>
      <c r="AI179" s="369"/>
      <c r="AJ179" s="369"/>
      <c r="AK179" s="369"/>
      <c r="AL179" s="370"/>
    </row>
    <row r="180" spans="1:38" x14ac:dyDescent="0.25">
      <c r="A180" s="374" t="s">
        <v>760</v>
      </c>
      <c r="B180" s="375"/>
      <c r="C180" s="376"/>
      <c r="D180" s="365" t="s">
        <v>761</v>
      </c>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c r="AI180" s="366"/>
      <c r="AJ180" s="366"/>
      <c r="AK180" s="366"/>
      <c r="AL180" s="367"/>
    </row>
    <row r="181" spans="1:38" x14ac:dyDescent="0.25">
      <c r="A181" s="359" t="s">
        <v>762</v>
      </c>
      <c r="B181" s="360"/>
      <c r="C181" s="361"/>
      <c r="D181" s="368" t="s">
        <v>763</v>
      </c>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c r="AA181" s="369"/>
      <c r="AB181" s="369"/>
      <c r="AC181" s="369"/>
      <c r="AD181" s="369"/>
      <c r="AE181" s="369"/>
      <c r="AF181" s="369"/>
      <c r="AG181" s="369"/>
      <c r="AH181" s="369"/>
      <c r="AI181" s="369"/>
      <c r="AJ181" s="369"/>
      <c r="AK181" s="369"/>
      <c r="AL181" s="370"/>
    </row>
    <row r="182" spans="1:38" x14ac:dyDescent="0.25">
      <c r="A182" s="431" t="s">
        <v>773</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432"/>
      <c r="AL182" s="433"/>
    </row>
    <row r="183" spans="1:38" x14ac:dyDescent="0.25">
      <c r="A183" s="434"/>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435"/>
      <c r="AF183" s="435"/>
      <c r="AG183" s="435"/>
      <c r="AH183" s="435"/>
      <c r="AI183" s="435"/>
      <c r="AJ183" s="435"/>
      <c r="AK183" s="435"/>
      <c r="AL183" s="436"/>
    </row>
    <row r="184" spans="1:38" x14ac:dyDescent="0.25">
      <c r="A184" s="437"/>
      <c r="B184" s="438"/>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438"/>
      <c r="AE184" s="438"/>
      <c r="AF184" s="438"/>
      <c r="AG184" s="438"/>
      <c r="AH184" s="438"/>
      <c r="AI184" s="438"/>
      <c r="AJ184" s="438"/>
      <c r="AK184" s="438"/>
      <c r="AL184" s="439"/>
    </row>
    <row r="185" spans="1:38" x14ac:dyDescent="0.25">
      <c r="A185" s="371" t="s">
        <v>488</v>
      </c>
      <c r="B185" s="371"/>
      <c r="C185" s="371"/>
      <c r="D185" s="371" t="s">
        <v>491</v>
      </c>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371"/>
      <c r="AF185" s="371"/>
      <c r="AG185" s="371"/>
      <c r="AH185" s="371"/>
      <c r="AI185" s="371"/>
      <c r="AJ185" s="371"/>
      <c r="AK185" s="371"/>
      <c r="AL185" s="371"/>
    </row>
    <row r="186" spans="1:38" x14ac:dyDescent="0.25">
      <c r="A186" s="358" t="s">
        <v>489</v>
      </c>
      <c r="B186" s="358"/>
      <c r="C186" s="358"/>
      <c r="D186" s="358" t="s">
        <v>492</v>
      </c>
      <c r="E186" s="358"/>
      <c r="F186" s="358"/>
      <c r="G186" s="358"/>
      <c r="H186" s="358"/>
      <c r="I186" s="358"/>
      <c r="J186" s="358"/>
      <c r="K186" s="358"/>
      <c r="L186" s="358"/>
      <c r="M186" s="358"/>
      <c r="N186" s="358"/>
      <c r="O186" s="358"/>
      <c r="P186" s="358"/>
      <c r="Q186" s="358"/>
      <c r="R186" s="358"/>
      <c r="S186" s="358"/>
      <c r="T186" s="358"/>
      <c r="U186" s="358"/>
      <c r="V186" s="358"/>
      <c r="W186" s="358"/>
      <c r="X186" s="358"/>
      <c r="Y186" s="358"/>
      <c r="Z186" s="358"/>
      <c r="AA186" s="358"/>
      <c r="AB186" s="358"/>
      <c r="AC186" s="358"/>
      <c r="AD186" s="358"/>
      <c r="AE186" s="358"/>
      <c r="AF186" s="358"/>
      <c r="AG186" s="358"/>
      <c r="AH186" s="358"/>
      <c r="AI186" s="358"/>
      <c r="AJ186" s="358"/>
      <c r="AK186" s="358"/>
      <c r="AL186" s="358"/>
    </row>
    <row r="187" spans="1:38" x14ac:dyDescent="0.25">
      <c r="A187" s="371" t="s">
        <v>493</v>
      </c>
      <c r="B187" s="371"/>
      <c r="C187" s="371"/>
      <c r="D187" s="371" t="s">
        <v>623</v>
      </c>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371"/>
      <c r="AE187" s="371"/>
      <c r="AF187" s="371"/>
      <c r="AG187" s="371"/>
      <c r="AH187" s="371"/>
      <c r="AI187" s="371"/>
      <c r="AJ187" s="371"/>
      <c r="AK187" s="371"/>
      <c r="AL187" s="371"/>
    </row>
    <row r="188" spans="1:38" x14ac:dyDescent="0.25">
      <c r="A188" s="358" t="s">
        <v>499</v>
      </c>
      <c r="B188" s="358"/>
      <c r="C188" s="358"/>
      <c r="D188" s="358" t="s">
        <v>1004</v>
      </c>
      <c r="E188" s="358"/>
      <c r="F188" s="358"/>
      <c r="G188" s="358"/>
      <c r="H188" s="358"/>
      <c r="I188" s="358"/>
      <c r="J188" s="358"/>
      <c r="K188" s="358"/>
      <c r="L188" s="358"/>
      <c r="M188" s="358"/>
      <c r="N188" s="358"/>
      <c r="O188" s="358"/>
      <c r="P188" s="358"/>
      <c r="Q188" s="358"/>
      <c r="R188" s="358"/>
      <c r="S188" s="358"/>
      <c r="T188" s="358"/>
      <c r="U188" s="358"/>
      <c r="V188" s="358"/>
      <c r="W188" s="358"/>
      <c r="X188" s="358"/>
      <c r="Y188" s="358"/>
      <c r="Z188" s="358"/>
      <c r="AA188" s="358"/>
      <c r="AB188" s="358"/>
      <c r="AC188" s="358"/>
      <c r="AD188" s="358"/>
      <c r="AE188" s="358"/>
      <c r="AF188" s="358"/>
      <c r="AG188" s="358"/>
      <c r="AH188" s="358"/>
      <c r="AI188" s="358"/>
      <c r="AJ188" s="358"/>
      <c r="AK188" s="358"/>
      <c r="AL188" s="358"/>
    </row>
    <row r="189" spans="1:38" x14ac:dyDescent="0.25">
      <c r="A189" s="358"/>
      <c r="B189" s="358"/>
      <c r="C189" s="358"/>
      <c r="D189" s="358" t="s">
        <v>1010</v>
      </c>
      <c r="E189" s="358"/>
      <c r="F189" s="358"/>
      <c r="G189" s="358"/>
      <c r="H189" s="358"/>
      <c r="I189" s="358"/>
      <c r="J189" s="358"/>
      <c r="K189" s="358"/>
      <c r="L189" s="358"/>
      <c r="M189" s="358"/>
      <c r="N189" s="358"/>
      <c r="O189" s="358"/>
      <c r="P189" s="358"/>
      <c r="Q189" s="358"/>
      <c r="R189" s="358"/>
      <c r="S189" s="358"/>
      <c r="T189" s="358"/>
      <c r="U189" s="358"/>
      <c r="V189" s="358"/>
      <c r="W189" s="358"/>
      <c r="X189" s="358"/>
      <c r="Y189" s="358"/>
      <c r="Z189" s="358"/>
      <c r="AA189" s="358"/>
      <c r="AB189" s="358"/>
      <c r="AC189" s="358"/>
      <c r="AD189" s="358"/>
      <c r="AE189" s="358"/>
      <c r="AF189" s="358"/>
      <c r="AG189" s="358"/>
      <c r="AH189" s="358"/>
      <c r="AI189" s="358"/>
      <c r="AJ189" s="358"/>
      <c r="AK189" s="358"/>
      <c r="AL189" s="358"/>
    </row>
    <row r="190" spans="1:38" x14ac:dyDescent="0.25">
      <c r="A190" s="358"/>
      <c r="B190" s="358"/>
      <c r="C190" s="358"/>
      <c r="D190" s="430"/>
      <c r="E190" s="430"/>
      <c r="F190" s="430"/>
      <c r="G190" s="430"/>
      <c r="H190" s="430"/>
      <c r="I190" s="430"/>
      <c r="J190" s="430"/>
      <c r="K190" s="430"/>
      <c r="L190" s="430"/>
      <c r="M190" s="430"/>
      <c r="N190" s="430"/>
      <c r="O190" s="430"/>
      <c r="P190" s="430"/>
      <c r="Q190" s="430"/>
      <c r="R190" s="430"/>
      <c r="S190" s="430"/>
      <c r="T190" s="430"/>
      <c r="U190" s="430"/>
      <c r="V190" s="430"/>
      <c r="W190" s="430"/>
      <c r="X190" s="430"/>
      <c r="Y190" s="430"/>
      <c r="Z190" s="430"/>
      <c r="AA190" s="430"/>
      <c r="AB190" s="430"/>
      <c r="AC190" s="430"/>
      <c r="AD190" s="430"/>
      <c r="AE190" s="430"/>
      <c r="AF190" s="430"/>
      <c r="AG190" s="430"/>
      <c r="AH190" s="430"/>
      <c r="AI190" s="430"/>
      <c r="AJ190" s="430"/>
      <c r="AK190" s="430"/>
      <c r="AL190" s="430"/>
    </row>
  </sheetData>
  <sheetProtection algorithmName="SHA-512" hashValue="wxDOyAUTv46rozTE1w7rZr/h2T57WTXjuaBPZk12B/XwWqcs6hTa3BivkmkfUtGCuZR3VKzakkdyBbw0y8e6jw==" saltValue="0sfKl3ODGZ9ablojDa3iWg==" spinCount="100000" sheet="1" objects="1" scenarios="1"/>
  <mergeCells count="351">
    <mergeCell ref="A103:AL105"/>
    <mergeCell ref="A111:C111"/>
    <mergeCell ref="D111:AL111"/>
    <mergeCell ref="A115:C115"/>
    <mergeCell ref="A116:C116"/>
    <mergeCell ref="D115:AL115"/>
    <mergeCell ref="D116:AL116"/>
    <mergeCell ref="A121:C121"/>
    <mergeCell ref="D121:AL121"/>
    <mergeCell ref="A113:C113"/>
    <mergeCell ref="D113:AL113"/>
    <mergeCell ref="A112:C112"/>
    <mergeCell ref="D112:AL112"/>
    <mergeCell ref="D114:AL114"/>
    <mergeCell ref="A114:C114"/>
    <mergeCell ref="A118:C118"/>
    <mergeCell ref="D118:AL118"/>
    <mergeCell ref="A119:C119"/>
    <mergeCell ref="D119:AL119"/>
    <mergeCell ref="A120:C120"/>
    <mergeCell ref="D120:AL120"/>
    <mergeCell ref="A148:C148"/>
    <mergeCell ref="D148:AL148"/>
    <mergeCell ref="D149:AL149"/>
    <mergeCell ref="A142:C142"/>
    <mergeCell ref="D142:AL142"/>
    <mergeCell ref="A143:C143"/>
    <mergeCell ref="D143:AL143"/>
    <mergeCell ref="A140:C140"/>
    <mergeCell ref="D140:AL140"/>
    <mergeCell ref="A141:C141"/>
    <mergeCell ref="D141:AL141"/>
    <mergeCell ref="A147:C147"/>
    <mergeCell ref="D147:AL147"/>
    <mergeCell ref="D124:AL124"/>
    <mergeCell ref="A124:C124"/>
    <mergeCell ref="A123:C123"/>
    <mergeCell ref="D123:AL123"/>
    <mergeCell ref="A129:C129"/>
    <mergeCell ref="D129:AL129"/>
    <mergeCell ref="A130:C130"/>
    <mergeCell ref="D130:AL130"/>
    <mergeCell ref="A131:C131"/>
    <mergeCell ref="A125:C125"/>
    <mergeCell ref="D125:AL125"/>
    <mergeCell ref="D131:AL131"/>
    <mergeCell ref="A87:C87"/>
    <mergeCell ref="D87:AL87"/>
    <mergeCell ref="A88:C88"/>
    <mergeCell ref="D88:AL88"/>
    <mergeCell ref="A99:C99"/>
    <mergeCell ref="D99:AL99"/>
    <mergeCell ref="A90:C90"/>
    <mergeCell ref="D90:AL90"/>
    <mergeCell ref="A93:C93"/>
    <mergeCell ref="A89:C89"/>
    <mergeCell ref="D89:AL89"/>
    <mergeCell ref="A96:C96"/>
    <mergeCell ref="D96:AL96"/>
    <mergeCell ref="A71:C71"/>
    <mergeCell ref="D71:AL71"/>
    <mergeCell ref="A62:C62"/>
    <mergeCell ref="A63:C63"/>
    <mergeCell ref="D62:AL62"/>
    <mergeCell ref="D63:AL63"/>
    <mergeCell ref="A75:C75"/>
    <mergeCell ref="D75:AL75"/>
    <mergeCell ref="A73:C73"/>
    <mergeCell ref="D73:AL73"/>
    <mergeCell ref="A74:C74"/>
    <mergeCell ref="D74:AL74"/>
    <mergeCell ref="B15:H15"/>
    <mergeCell ref="I15:T15"/>
    <mergeCell ref="V15:Z15"/>
    <mergeCell ref="A40:AL42"/>
    <mergeCell ref="B16:H17"/>
    <mergeCell ref="I16:T17"/>
    <mergeCell ref="V16:Z16"/>
    <mergeCell ref="AA16:AL16"/>
    <mergeCell ref="V17:Z17"/>
    <mergeCell ref="AA17:AL17"/>
    <mergeCell ref="AA15:AL15"/>
    <mergeCell ref="B18:H18"/>
    <mergeCell ref="I18:P18"/>
    <mergeCell ref="Q18:T18"/>
    <mergeCell ref="V18:Z18"/>
    <mergeCell ref="AA18:AL18"/>
    <mergeCell ref="A21:C21"/>
    <mergeCell ref="D21:AL21"/>
    <mergeCell ref="A23:C23"/>
    <mergeCell ref="D19:AL19"/>
    <mergeCell ref="A20:C20"/>
    <mergeCell ref="D23:AL23"/>
    <mergeCell ref="D37:AL37"/>
    <mergeCell ref="K5:N5"/>
    <mergeCell ref="H4:J4"/>
    <mergeCell ref="O4:Q4"/>
    <mergeCell ref="A1:AL1"/>
    <mergeCell ref="A6:AL8"/>
    <mergeCell ref="A9:AL11"/>
    <mergeCell ref="B13:AL13"/>
    <mergeCell ref="B14:H14"/>
    <mergeCell ref="I14:T14"/>
    <mergeCell ref="V14:Z14"/>
    <mergeCell ref="AA14:AL14"/>
    <mergeCell ref="F3:G3"/>
    <mergeCell ref="H3:J3"/>
    <mergeCell ref="A2:V2"/>
    <mergeCell ref="D52:AL52"/>
    <mergeCell ref="A28:X28"/>
    <mergeCell ref="D34:AL34"/>
    <mergeCell ref="D54:AL54"/>
    <mergeCell ref="A22:C22"/>
    <mergeCell ref="D22:AL22"/>
    <mergeCell ref="A19:C19"/>
    <mergeCell ref="D20:AL20"/>
    <mergeCell ref="O3:Q3"/>
    <mergeCell ref="T3:V3"/>
    <mergeCell ref="T4:V4"/>
    <mergeCell ref="A5:B5"/>
    <mergeCell ref="C5:E5"/>
    <mergeCell ref="F5:G5"/>
    <mergeCell ref="H5:J5"/>
    <mergeCell ref="O5:Q5"/>
    <mergeCell ref="T5:V5"/>
    <mergeCell ref="A4:B4"/>
    <mergeCell ref="C4:E4"/>
    <mergeCell ref="F4:G4"/>
    <mergeCell ref="A3:B3"/>
    <mergeCell ref="C3:E3"/>
    <mergeCell ref="K3:N3"/>
    <mergeCell ref="K4:N4"/>
    <mergeCell ref="D48:AL48"/>
    <mergeCell ref="A49:C49"/>
    <mergeCell ref="D49:AL49"/>
    <mergeCell ref="D51:AL51"/>
    <mergeCell ref="D59:AL59"/>
    <mergeCell ref="D61:AL61"/>
    <mergeCell ref="A64:C64"/>
    <mergeCell ref="D64:AL64"/>
    <mergeCell ref="D70:AL70"/>
    <mergeCell ref="A65:C65"/>
    <mergeCell ref="D65:AL65"/>
    <mergeCell ref="A66:C66"/>
    <mergeCell ref="A54:C54"/>
    <mergeCell ref="D66:AL66"/>
    <mergeCell ref="A59:C59"/>
    <mergeCell ref="A70:C70"/>
    <mergeCell ref="A55:C55"/>
    <mergeCell ref="A48:C48"/>
    <mergeCell ref="A69:C69"/>
    <mergeCell ref="D69:AL69"/>
    <mergeCell ref="A60:C60"/>
    <mergeCell ref="D60:AL60"/>
    <mergeCell ref="A61:C61"/>
    <mergeCell ref="A58:C58"/>
    <mergeCell ref="A47:C47"/>
    <mergeCell ref="D47:AL47"/>
    <mergeCell ref="A24:AL26"/>
    <mergeCell ref="A27:AL27"/>
    <mergeCell ref="A29:C29"/>
    <mergeCell ref="D29:AL29"/>
    <mergeCell ref="A30:C30"/>
    <mergeCell ref="D30:AL30"/>
    <mergeCell ref="A31:C31"/>
    <mergeCell ref="D31:AL31"/>
    <mergeCell ref="A32:C32"/>
    <mergeCell ref="D32:AL32"/>
    <mergeCell ref="A33:C33"/>
    <mergeCell ref="D33:AL33"/>
    <mergeCell ref="A34:C34"/>
    <mergeCell ref="D35:AL35"/>
    <mergeCell ref="A36:C36"/>
    <mergeCell ref="D36:AL36"/>
    <mergeCell ref="A35:C35"/>
    <mergeCell ref="A38:C38"/>
    <mergeCell ref="D38:AL38"/>
    <mergeCell ref="A39:C39"/>
    <mergeCell ref="D39:AL39"/>
    <mergeCell ref="A37:C37"/>
    <mergeCell ref="A43:C43"/>
    <mergeCell ref="D43:AL43"/>
    <mergeCell ref="A44:C44"/>
    <mergeCell ref="D44:AL44"/>
    <mergeCell ref="A45:C45"/>
    <mergeCell ref="D45:AL45"/>
    <mergeCell ref="A46:C46"/>
    <mergeCell ref="D46:AL46"/>
    <mergeCell ref="A190:C190"/>
    <mergeCell ref="D190:AL190"/>
    <mergeCell ref="A182:AL184"/>
    <mergeCell ref="A187:C187"/>
    <mergeCell ref="D187:AL187"/>
    <mergeCell ref="A188:C188"/>
    <mergeCell ref="D188:AL188"/>
    <mergeCell ref="A189:C189"/>
    <mergeCell ref="D95:AL95"/>
    <mergeCell ref="A106:C106"/>
    <mergeCell ref="A110:C110"/>
    <mergeCell ref="D110:AL110"/>
    <mergeCell ref="A117:C117"/>
    <mergeCell ref="D117:AL117"/>
    <mergeCell ref="A102:C102"/>
    <mergeCell ref="D102:AL102"/>
    <mergeCell ref="A122:C122"/>
    <mergeCell ref="D122:AL122"/>
    <mergeCell ref="D139:AL139"/>
    <mergeCell ref="A126:AL128"/>
    <mergeCell ref="A135:C135"/>
    <mergeCell ref="D135:AL135"/>
    <mergeCell ref="A82:C82"/>
    <mergeCell ref="D82:AL82"/>
    <mergeCell ref="A50:C50"/>
    <mergeCell ref="D50:AL50"/>
    <mergeCell ref="A57:C57"/>
    <mergeCell ref="D58:AL58"/>
    <mergeCell ref="D55:AL55"/>
    <mergeCell ref="A51:C51"/>
    <mergeCell ref="A52:C52"/>
    <mergeCell ref="A72:C72"/>
    <mergeCell ref="D72:AL72"/>
    <mergeCell ref="A67:C67"/>
    <mergeCell ref="D67:AL67"/>
    <mergeCell ref="D56:AL56"/>
    <mergeCell ref="A56:C56"/>
    <mergeCell ref="D57:AL57"/>
    <mergeCell ref="A68:C68"/>
    <mergeCell ref="D68:AL68"/>
    <mergeCell ref="A171:C171"/>
    <mergeCell ref="D171:AL171"/>
    <mergeCell ref="A172:C172"/>
    <mergeCell ref="D172:AL172"/>
    <mergeCell ref="A173:C173"/>
    <mergeCell ref="A168:AL170"/>
    <mergeCell ref="D189:AL189"/>
    <mergeCell ref="A91:C91"/>
    <mergeCell ref="D91:AL91"/>
    <mergeCell ref="A92:C92"/>
    <mergeCell ref="D92:AL92"/>
    <mergeCell ref="D97:AL97"/>
    <mergeCell ref="D98:AL98"/>
    <mergeCell ref="A97:C97"/>
    <mergeCell ref="A98:C98"/>
    <mergeCell ref="A109:C109"/>
    <mergeCell ref="D109:AL109"/>
    <mergeCell ref="A101:C101"/>
    <mergeCell ref="D101:AL101"/>
    <mergeCell ref="A150:AL150"/>
    <mergeCell ref="A95:C95"/>
    <mergeCell ref="D93:AL93"/>
    <mergeCell ref="A94:C94"/>
    <mergeCell ref="D94:AL94"/>
    <mergeCell ref="A53:C53"/>
    <mergeCell ref="D53:AL53"/>
    <mergeCell ref="D100:AL100"/>
    <mergeCell ref="A100:C100"/>
    <mergeCell ref="D106:AL106"/>
    <mergeCell ref="A107:C107"/>
    <mergeCell ref="D107:AL107"/>
    <mergeCell ref="A108:C108"/>
    <mergeCell ref="D108:AL108"/>
    <mergeCell ref="A83:C83"/>
    <mergeCell ref="D83:AL83"/>
    <mergeCell ref="A84:C84"/>
    <mergeCell ref="D84:AL84"/>
    <mergeCell ref="A80:C80"/>
    <mergeCell ref="D80:AL80"/>
    <mergeCell ref="A85:C85"/>
    <mergeCell ref="D85:AL85"/>
    <mergeCell ref="A86:C86"/>
    <mergeCell ref="D86:AL86"/>
    <mergeCell ref="A77:AL79"/>
    <mergeCell ref="A81:C81"/>
    <mergeCell ref="D81:AL81"/>
    <mergeCell ref="A76:C76"/>
    <mergeCell ref="D76:AL76"/>
    <mergeCell ref="A132:C132"/>
    <mergeCell ref="D132:AL132"/>
    <mergeCell ref="A133:C133"/>
    <mergeCell ref="D133:AL133"/>
    <mergeCell ref="A151:C151"/>
    <mergeCell ref="D151:AL151"/>
    <mergeCell ref="A152:C152"/>
    <mergeCell ref="D152:AL152"/>
    <mergeCell ref="A136:C136"/>
    <mergeCell ref="D136:AL136"/>
    <mergeCell ref="A137:C137"/>
    <mergeCell ref="D137:AL137"/>
    <mergeCell ref="A134:C134"/>
    <mergeCell ref="A149:C149"/>
    <mergeCell ref="D134:AL134"/>
    <mergeCell ref="A138:C138"/>
    <mergeCell ref="D138:AL138"/>
    <mergeCell ref="A139:C139"/>
    <mergeCell ref="A144:C144"/>
    <mergeCell ref="D144:AL144"/>
    <mergeCell ref="A145:C145"/>
    <mergeCell ref="D145:AL145"/>
    <mergeCell ref="A146:C146"/>
    <mergeCell ref="D146:AL146"/>
    <mergeCell ref="A153:C153"/>
    <mergeCell ref="D153:AL153"/>
    <mergeCell ref="A154:C154"/>
    <mergeCell ref="D154:AL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D155:AL155"/>
    <mergeCell ref="D156:AL156"/>
    <mergeCell ref="D157:AL157"/>
    <mergeCell ref="D158:AL158"/>
    <mergeCell ref="D159:AL159"/>
    <mergeCell ref="D160:AL160"/>
    <mergeCell ref="D161:AL161"/>
    <mergeCell ref="D162:AL162"/>
    <mergeCell ref="D163:AL163"/>
    <mergeCell ref="D164:AL164"/>
    <mergeCell ref="D165:AL165"/>
    <mergeCell ref="D166:AL166"/>
    <mergeCell ref="D167:AL167"/>
    <mergeCell ref="D173:AL173"/>
    <mergeCell ref="A174:C174"/>
    <mergeCell ref="D174:AL174"/>
    <mergeCell ref="A175:C175"/>
    <mergeCell ref="A176:C176"/>
    <mergeCell ref="A177:C177"/>
    <mergeCell ref="A178:C178"/>
    <mergeCell ref="A179:C179"/>
    <mergeCell ref="A180:C180"/>
    <mergeCell ref="A186:C186"/>
    <mergeCell ref="D186:AL186"/>
    <mergeCell ref="A181:C181"/>
    <mergeCell ref="D175:AL175"/>
    <mergeCell ref="D176:AL176"/>
    <mergeCell ref="D177:AL177"/>
    <mergeCell ref="D178:AL178"/>
    <mergeCell ref="D179:AL179"/>
    <mergeCell ref="D180:AL180"/>
    <mergeCell ref="D181:AL181"/>
    <mergeCell ref="A185:C185"/>
    <mergeCell ref="D185:AL185"/>
  </mergeCells>
  <pageMargins left="0.25" right="0.25" top="0.75" bottom="0.75" header="0.3" footer="0.3"/>
  <pageSetup paperSize="5" scale="76"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4C05F9E-D90B-43EB-8351-533991328718}">
          <x14:formula1>
            <xm:f>'Drop-Down Boxes '!$D$3:$D$14</xm:f>
          </x14:formula1>
          <xm:sqref>I18:P18</xm:sqref>
        </x14:dataValidation>
        <x14:dataValidation type="list" allowBlank="1" showInputMessage="1" showErrorMessage="1" xr:uid="{D879835E-F5B0-49DE-A622-B48D5FA7D403}">
          <x14:formula1>
            <xm:f>'Drop-Down Boxes '!$H$3:$H$11</xm:f>
          </x14:formula1>
          <xm:sqref>Q18:T18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1DF4-640B-4950-A58C-84697BFDFAAC}">
  <sheetPr>
    <tabColor theme="7" tint="-0.249977111117893"/>
  </sheetPr>
  <dimension ref="A1:CV199"/>
  <sheetViews>
    <sheetView zoomScale="90" zoomScaleNormal="90" workbookViewId="0">
      <selection activeCell="A108" sqref="A108:CV108"/>
    </sheetView>
  </sheetViews>
  <sheetFormatPr defaultColWidth="8.85546875" defaultRowHeight="15" x14ac:dyDescent="0.25"/>
  <cols>
    <col min="1" max="8" width="4.7109375" customWidth="1"/>
    <col min="9" max="9" width="4.7109375" style="16" customWidth="1"/>
    <col min="10" max="14" width="4.7109375" customWidth="1"/>
    <col min="15" max="130" width="3.7109375" customWidth="1"/>
  </cols>
  <sheetData>
    <row r="1" spans="1:86" ht="18.75" x14ac:dyDescent="0.25">
      <c r="A1" s="556" t="str">
        <f>'GRANTEE SET UP INFO &amp; DATE '!A1</f>
        <v>WV Bureau for Behavioral Health  - Peer Recovery Support Services  V 20200110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row>
    <row r="2" spans="1:86" ht="16.5" customHeight="1" x14ac:dyDescent="0.25">
      <c r="A2" s="557" t="str">
        <f>'GRANTEE SET UP INFO &amp; DATE '!A2</f>
        <v xml:space="preserve">Program reports need to be submitted electronically, via e-mail to DHHRBBHReporting@wv.gov  within 25 calendar days of the end of each month </v>
      </c>
      <c r="B2" s="557"/>
      <c r="C2" s="557"/>
      <c r="D2" s="557"/>
      <c r="E2" s="557"/>
      <c r="F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row>
    <row r="3" spans="1:86" ht="20.100000000000001" customHeight="1" x14ac:dyDescent="0.25">
      <c r="A3" s="638" t="s">
        <v>607</v>
      </c>
      <c r="B3" s="639"/>
      <c r="C3" s="639"/>
      <c r="D3" s="639"/>
      <c r="E3" s="639"/>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c r="AT3" s="639"/>
      <c r="AU3" s="639"/>
    </row>
    <row r="4" spans="1:86" x14ac:dyDescent="0.25">
      <c r="A4" s="631" t="s">
        <v>42</v>
      </c>
      <c r="B4" s="632"/>
      <c r="C4" s="632"/>
      <c r="D4" s="632"/>
      <c r="E4" s="632"/>
      <c r="F4" s="632"/>
      <c r="G4" s="632"/>
      <c r="H4" s="632"/>
      <c r="I4" s="632"/>
      <c r="J4" s="633"/>
      <c r="K4" s="468" t="str">
        <f>'GRANTEE SET UP INFO &amp; DATE '!H4</f>
        <v>Jobs and Hope</v>
      </c>
      <c r="L4" s="468"/>
      <c r="M4" s="468"/>
      <c r="N4" s="468"/>
      <c r="O4" s="468"/>
      <c r="P4" s="468"/>
      <c r="Q4" s="468"/>
      <c r="R4" s="468"/>
      <c r="S4" s="468"/>
      <c r="T4" s="468"/>
      <c r="U4" s="468"/>
      <c r="V4" s="2"/>
      <c r="W4" s="631" t="s">
        <v>0</v>
      </c>
      <c r="X4" s="632"/>
      <c r="Y4" s="632"/>
      <c r="Z4" s="632"/>
      <c r="AA4" s="632"/>
      <c r="AB4" s="632"/>
      <c r="AC4" s="632"/>
      <c r="AD4" s="632"/>
      <c r="AE4" s="633"/>
      <c r="AF4" s="1289" t="str">
        <f>'GRANTEE SET UP INFO &amp; DATE '!Z4</f>
        <v xml:space="preserve">Grantee formal Name (name on grant agreement) </v>
      </c>
      <c r="AG4" s="1290"/>
      <c r="AH4" s="1290"/>
      <c r="AI4" s="1290"/>
      <c r="AJ4" s="1290"/>
      <c r="AK4" s="1290"/>
      <c r="AL4" s="1290"/>
      <c r="AM4" s="1290"/>
      <c r="AN4" s="1290"/>
      <c r="AO4" s="1290"/>
      <c r="AP4" s="1290"/>
      <c r="AQ4" s="1290"/>
      <c r="AR4" s="1290"/>
      <c r="AS4" s="1290"/>
      <c r="AT4" s="1290"/>
      <c r="AU4" s="1290"/>
    </row>
    <row r="5" spans="1:86" x14ac:dyDescent="0.25">
      <c r="A5" s="631" t="s">
        <v>43</v>
      </c>
      <c r="B5" s="632"/>
      <c r="C5" s="632"/>
      <c r="D5" s="632"/>
      <c r="E5" s="632"/>
      <c r="F5" s="632"/>
      <c r="G5" s="632"/>
      <c r="H5" s="632"/>
      <c r="I5" s="632"/>
      <c r="J5" s="633"/>
      <c r="K5" s="468" t="str">
        <f>'GRANTEE SET UP INFO &amp; DATE '!H5</f>
        <v>Jobs and Hope</v>
      </c>
      <c r="L5" s="468"/>
      <c r="M5" s="468"/>
      <c r="N5" s="468"/>
      <c r="O5" s="468"/>
      <c r="P5" s="468"/>
      <c r="Q5" s="468"/>
      <c r="R5" s="468"/>
      <c r="S5" s="468"/>
      <c r="T5" s="468"/>
      <c r="U5" s="468"/>
      <c r="V5" s="2"/>
      <c r="W5" s="631" t="s">
        <v>4</v>
      </c>
      <c r="X5" s="632"/>
      <c r="Y5" s="632"/>
      <c r="Z5" s="632"/>
      <c r="AA5" s="632"/>
      <c r="AB5" s="632"/>
      <c r="AC5" s="632"/>
      <c r="AD5" s="632"/>
      <c r="AE5" s="633"/>
      <c r="AF5" s="1291" t="str">
        <f>'GRANTEE SET UP INFO &amp; DATE '!Z5</f>
        <v>Names of Contact(s):</v>
      </c>
      <c r="AG5" s="1292"/>
      <c r="AH5" s="1292"/>
      <c r="AI5" s="1292"/>
      <c r="AJ5" s="1292"/>
      <c r="AK5" s="1292"/>
      <c r="AL5" s="1292"/>
      <c r="AM5" s="1292"/>
      <c r="AN5" s="1292"/>
      <c r="AO5" s="1292"/>
      <c r="AP5" s="1292"/>
      <c r="AQ5" s="1292"/>
      <c r="AR5" s="1292"/>
      <c r="AS5" s="1292"/>
      <c r="AT5" s="1292"/>
      <c r="AU5" s="1292"/>
    </row>
    <row r="6" spans="1:86" ht="14.45" customHeight="1" x14ac:dyDescent="0.25">
      <c r="A6" s="619" t="s">
        <v>1</v>
      </c>
      <c r="B6" s="620"/>
      <c r="C6" s="620"/>
      <c r="D6" s="620"/>
      <c r="E6" s="620"/>
      <c r="F6" s="620"/>
      <c r="G6" s="620"/>
      <c r="H6" s="620"/>
      <c r="I6" s="620"/>
      <c r="J6" s="621"/>
      <c r="K6" s="391" t="str">
        <f>'GRANTEE SET UP INFO &amp; DATE '!H6</f>
        <v>123 Any Street, Any City, WV 12345</v>
      </c>
      <c r="L6" s="391"/>
      <c r="M6" s="391"/>
      <c r="N6" s="391"/>
      <c r="O6" s="391"/>
      <c r="P6" s="391"/>
      <c r="Q6" s="391"/>
      <c r="R6" s="391"/>
      <c r="S6" s="391"/>
      <c r="T6" s="391"/>
      <c r="U6" s="391"/>
      <c r="V6" s="2"/>
      <c r="W6" s="631" t="s">
        <v>612</v>
      </c>
      <c r="X6" s="632"/>
      <c r="Y6" s="632"/>
      <c r="Z6" s="632"/>
      <c r="AA6" s="632"/>
      <c r="AB6" s="632"/>
      <c r="AC6" s="632"/>
      <c r="AD6" s="632"/>
      <c r="AE6" s="633"/>
      <c r="AF6" s="1289" t="str">
        <f>'GRANTEE SET UP INFO &amp; DATE '!Z6</f>
        <v>Phone numbers for contacts</v>
      </c>
      <c r="AG6" s="1290"/>
      <c r="AH6" s="1290"/>
      <c r="AI6" s="1290"/>
      <c r="AJ6" s="1290"/>
      <c r="AK6" s="1290"/>
      <c r="AL6" s="1290"/>
      <c r="AM6" s="1290"/>
      <c r="AN6" s="1290"/>
      <c r="AO6" s="1290"/>
      <c r="AP6" s="1290"/>
      <c r="AQ6" s="1290"/>
      <c r="AR6" s="1290"/>
      <c r="AS6" s="1290"/>
      <c r="AT6" s="1290"/>
      <c r="AU6" s="1290"/>
    </row>
    <row r="7" spans="1:86" x14ac:dyDescent="0.25">
      <c r="A7" s="635"/>
      <c r="B7" s="636"/>
      <c r="C7" s="636"/>
      <c r="D7" s="636"/>
      <c r="E7" s="636"/>
      <c r="F7" s="636"/>
      <c r="G7" s="636"/>
      <c r="H7" s="636"/>
      <c r="I7" s="636"/>
      <c r="J7" s="637"/>
      <c r="K7" s="391"/>
      <c r="L7" s="391"/>
      <c r="M7" s="391"/>
      <c r="N7" s="391"/>
      <c r="O7" s="391"/>
      <c r="P7" s="391"/>
      <c r="Q7" s="391"/>
      <c r="R7" s="391"/>
      <c r="S7" s="391"/>
      <c r="T7" s="391"/>
      <c r="U7" s="391"/>
      <c r="V7" s="2"/>
      <c r="W7" s="631" t="s">
        <v>31</v>
      </c>
      <c r="X7" s="632"/>
      <c r="Y7" s="632"/>
      <c r="Z7" s="632"/>
      <c r="AA7" s="632"/>
      <c r="AB7" s="632"/>
      <c r="AC7" s="632"/>
      <c r="AD7" s="632"/>
      <c r="AE7" s="633"/>
      <c r="AF7" s="1289" t="str">
        <f>'GRANTEE SET UP INFO &amp; DATE '!Z7</f>
        <v xml:space="preserve">number on grant agreement or TFB </v>
      </c>
      <c r="AG7" s="1290"/>
      <c r="AH7" s="1290"/>
      <c r="AI7" s="1290"/>
      <c r="AJ7" s="1290"/>
      <c r="AK7" s="1290"/>
      <c r="AL7" s="1290"/>
      <c r="AM7" s="1290"/>
      <c r="AN7" s="1290"/>
      <c r="AO7" s="1290"/>
      <c r="AP7" s="1290"/>
      <c r="AQ7" s="1290"/>
      <c r="AR7" s="1290"/>
      <c r="AS7" s="1290"/>
      <c r="AT7" s="1290"/>
      <c r="AU7" s="1290"/>
    </row>
    <row r="8" spans="1:86" ht="15.6" customHeight="1" x14ac:dyDescent="0.25">
      <c r="A8" s="1516" t="s">
        <v>45</v>
      </c>
      <c r="B8" s="1517"/>
      <c r="C8" s="1517"/>
      <c r="D8" s="1517"/>
      <c r="E8" s="1517"/>
      <c r="F8" s="1517"/>
      <c r="G8" s="1517"/>
      <c r="H8" s="1517"/>
      <c r="I8" s="1517"/>
      <c r="J8" s="1518"/>
      <c r="K8" s="1504" t="str">
        <f>'GRANTEE SET UP INFO &amp; DATE '!H8</f>
        <v>October 1 - 31</v>
      </c>
      <c r="L8" s="1504"/>
      <c r="M8" s="1504"/>
      <c r="N8" s="1504"/>
      <c r="O8" s="1504"/>
      <c r="P8" s="1504"/>
      <c r="Q8" s="1504"/>
      <c r="R8" s="1504"/>
      <c r="S8" s="1505">
        <f>'GRANTEE SET UP INFO &amp; DATE '!P8</f>
        <v>2024</v>
      </c>
      <c r="T8" s="1506"/>
      <c r="U8" s="1507"/>
      <c r="V8" s="26"/>
      <c r="W8" s="631" t="s">
        <v>17</v>
      </c>
      <c r="X8" s="632"/>
      <c r="Y8" s="632"/>
      <c r="Z8" s="632"/>
      <c r="AA8" s="632"/>
      <c r="AB8" s="632"/>
      <c r="AC8" s="632"/>
      <c r="AD8" s="632"/>
      <c r="AE8" s="633"/>
      <c r="AF8" s="1293" t="str">
        <f>'GRANTEE SET UP INFO &amp; DATE '!Z8</f>
        <v>program code can locate on SOW or  TFB</v>
      </c>
      <c r="AG8" s="1294"/>
      <c r="AH8" s="1294"/>
      <c r="AI8" s="1294"/>
      <c r="AJ8" s="1294"/>
      <c r="AK8" s="1294"/>
      <c r="AL8" s="1294"/>
      <c r="AM8" s="1294"/>
      <c r="AN8" s="1294"/>
      <c r="AO8" s="1294"/>
      <c r="AP8" s="1294"/>
      <c r="AQ8" s="1294"/>
      <c r="AR8" s="1294"/>
      <c r="AS8" s="1294"/>
      <c r="AT8" s="1294"/>
      <c r="AU8" s="1294"/>
    </row>
    <row r="9" spans="1:86" ht="25.15" customHeight="1" x14ac:dyDescent="0.25">
      <c r="A9" s="1279" t="s">
        <v>606</v>
      </c>
      <c r="B9" s="1279"/>
      <c r="C9" s="1279"/>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1279"/>
      <c r="AM9" s="1279"/>
      <c r="AN9" s="1279"/>
      <c r="AO9" s="2"/>
      <c r="AP9" s="2"/>
      <c r="AQ9" s="2"/>
      <c r="AR9" s="2"/>
      <c r="AS9" s="2"/>
      <c r="AT9" s="2"/>
      <c r="AU9" s="2"/>
    </row>
    <row r="10" spans="1:86" ht="18.75" x14ac:dyDescent="0.25">
      <c r="A10" s="1490" t="s">
        <v>546</v>
      </c>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c r="AG10" s="1490"/>
      <c r="AH10" s="1490"/>
      <c r="AI10" s="1490"/>
      <c r="AJ10" s="1490"/>
      <c r="AK10" s="1490"/>
      <c r="AL10" s="1490"/>
      <c r="AM10" s="1490"/>
      <c r="AN10" s="1490"/>
      <c r="AO10" s="1490"/>
      <c r="AP10" s="1490"/>
      <c r="AQ10" s="1490"/>
      <c r="AR10" s="1490"/>
      <c r="AS10" s="1490"/>
      <c r="AT10" s="1490"/>
      <c r="AU10" s="1490"/>
      <c r="AV10" s="1490"/>
      <c r="AW10" s="1490"/>
      <c r="AX10" s="1490"/>
      <c r="AY10" s="1490"/>
      <c r="AZ10" s="1490"/>
      <c r="BA10" s="1490"/>
      <c r="BB10" s="1490"/>
      <c r="BC10" s="1490"/>
      <c r="BD10" s="1490"/>
      <c r="BE10" s="1490"/>
      <c r="BF10" s="1490"/>
      <c r="BG10" s="1490"/>
    </row>
    <row r="11" spans="1:86" ht="21" x14ac:dyDescent="0.25">
      <c r="A11" s="1519" t="s">
        <v>456</v>
      </c>
      <c r="B11" s="1519"/>
      <c r="C11" s="1519"/>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c r="AP11" s="1519"/>
      <c r="AQ11" s="1519"/>
      <c r="AR11" s="1519"/>
      <c r="AS11" s="1519"/>
      <c r="AT11" s="1519"/>
      <c r="AU11" s="1519"/>
      <c r="AV11" s="1519"/>
      <c r="AW11" s="1519"/>
      <c r="AX11" s="1519"/>
      <c r="AY11" s="1519"/>
      <c r="AZ11" s="1519"/>
      <c r="BA11" s="1519"/>
      <c r="BB11" s="1519"/>
      <c r="BC11" s="1519"/>
      <c r="BD11" s="1519"/>
      <c r="BE11" s="1519"/>
      <c r="BF11" s="1519"/>
      <c r="BG11" s="1519"/>
    </row>
    <row r="12" spans="1:86" ht="21" x14ac:dyDescent="0.3">
      <c r="A12" s="1520" t="s">
        <v>456</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457" t="s">
        <v>457</v>
      </c>
      <c r="Y12" s="1457"/>
      <c r="Z12" s="1457"/>
      <c r="AA12" s="1457"/>
      <c r="AB12" s="1457"/>
      <c r="AC12" s="1457"/>
      <c r="AD12" s="1457"/>
      <c r="AE12" s="1457"/>
      <c r="AF12" s="202"/>
      <c r="AG12" s="202"/>
      <c r="AH12" s="202"/>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row>
    <row r="13" spans="1:86" ht="21" x14ac:dyDescent="0.25">
      <c r="A13" s="1393" t="s">
        <v>919</v>
      </c>
      <c r="B13" s="1394"/>
      <c r="C13" s="1394"/>
      <c r="D13" s="1394"/>
      <c r="E13" s="1394"/>
      <c r="F13" s="1394"/>
      <c r="G13" s="1394"/>
      <c r="H13" s="1394"/>
      <c r="I13" s="1394"/>
      <c r="J13" s="1394"/>
      <c r="K13" s="1394"/>
      <c r="L13" s="1394"/>
      <c r="M13" s="1394"/>
      <c r="N13" s="1394"/>
      <c r="O13" s="1394"/>
      <c r="P13" s="1394"/>
      <c r="Q13" s="1394"/>
      <c r="R13" s="1394"/>
      <c r="S13" s="1394"/>
      <c r="T13" s="1394"/>
      <c r="U13" s="1394"/>
      <c r="V13" s="1394"/>
      <c r="W13" s="1395"/>
      <c r="X13" s="1396">
        <f>COUNTIFS('refer admin discharge'!H15:H2995,"&gt;=07/01/2015",'refer admin discharge'!H15:H2995,"&lt;=09/30/2019")</f>
        <v>0</v>
      </c>
      <c r="Y13" s="1397"/>
      <c r="Z13" s="1397"/>
      <c r="AA13" s="1397"/>
      <c r="AB13" s="1397"/>
      <c r="AC13" s="1397"/>
      <c r="AD13" s="1397"/>
      <c r="AE13" s="1398"/>
      <c r="AF13" s="202"/>
      <c r="AG13" s="202"/>
      <c r="AH13" s="202"/>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row>
    <row r="14" spans="1:86" ht="21" x14ac:dyDescent="0.25">
      <c r="A14" s="1508" t="s">
        <v>458</v>
      </c>
      <c r="B14" s="1508"/>
      <c r="C14" s="1508"/>
      <c r="D14" s="1508"/>
      <c r="E14" s="1508"/>
      <c r="F14" s="1508"/>
      <c r="G14" s="1508"/>
      <c r="H14" s="1508"/>
      <c r="I14" s="1508"/>
      <c r="J14" s="1508"/>
      <c r="K14" s="1508"/>
      <c r="L14" s="1508"/>
      <c r="M14" s="1508"/>
      <c r="N14" s="1508"/>
      <c r="O14" s="1508"/>
      <c r="P14" s="1508"/>
      <c r="Q14" s="1508"/>
      <c r="R14" s="1508"/>
      <c r="S14" s="1508"/>
      <c r="T14" s="1508"/>
      <c r="U14" s="1508"/>
      <c r="V14" s="1508"/>
      <c r="W14" s="1508"/>
      <c r="X14" s="1509">
        <f>COUNTIFS('refer admin discharge'!H15:H2995,"&gt;=10/01/2019",'refer admin discharge'!H15:H2995,"&lt;=09/30/2022")</f>
        <v>0</v>
      </c>
      <c r="Y14" s="1509"/>
      <c r="Z14" s="1509"/>
      <c r="AA14" s="1509"/>
      <c r="AB14" s="1509"/>
      <c r="AC14" s="1509"/>
      <c r="AD14" s="1509"/>
      <c r="AE14" s="1509"/>
      <c r="AF14" s="202"/>
      <c r="AG14" s="22"/>
      <c r="AH14" s="22"/>
      <c r="AK14" s="16"/>
      <c r="AL14" s="16"/>
      <c r="AM14" s="16"/>
      <c r="AN14" s="16"/>
      <c r="AO14" s="16"/>
      <c r="AP14" s="16"/>
      <c r="AQ14" s="16"/>
      <c r="AR14" s="16"/>
      <c r="AS14" s="17"/>
      <c r="AT14" s="17"/>
      <c r="AU14" s="17"/>
      <c r="AV14" s="17"/>
      <c r="AW14" s="17"/>
      <c r="AX14" s="17"/>
      <c r="AY14" s="17"/>
      <c r="AZ14" s="17"/>
      <c r="BA14" s="17"/>
      <c r="BB14" s="17"/>
      <c r="BC14" s="17"/>
      <c r="BD14" s="17"/>
      <c r="BE14" s="17"/>
      <c r="BF14" s="17"/>
      <c r="BG14" s="17"/>
      <c r="BJ14" s="16"/>
      <c r="BK14" s="16"/>
      <c r="BL14" s="16"/>
      <c r="BM14" s="16"/>
      <c r="BN14" s="16"/>
      <c r="BO14" s="16"/>
      <c r="BP14" s="16"/>
      <c r="BQ14" s="16"/>
      <c r="BR14" s="16"/>
      <c r="BS14" s="16"/>
      <c r="BT14" s="17"/>
      <c r="BU14" s="17"/>
      <c r="BV14" s="17"/>
      <c r="BW14" s="17"/>
      <c r="BX14" s="17"/>
      <c r="BY14" s="17"/>
      <c r="BZ14" s="17"/>
      <c r="CA14" s="17"/>
      <c r="CB14" s="17"/>
      <c r="CC14" s="17"/>
      <c r="CD14" s="17"/>
      <c r="CE14" s="17"/>
      <c r="CF14" s="17"/>
      <c r="CG14" s="17"/>
      <c r="CH14" s="17"/>
    </row>
    <row r="15" spans="1:86" ht="21" x14ac:dyDescent="0.25">
      <c r="A15" s="1382" t="s">
        <v>292</v>
      </c>
      <c r="B15" s="1383"/>
      <c r="C15" s="1383"/>
      <c r="D15" s="1383"/>
      <c r="E15" s="1383"/>
      <c r="F15" s="1383"/>
      <c r="G15" s="1383"/>
      <c r="H15" s="1383"/>
      <c r="I15" s="1383"/>
      <c r="J15" s="1383"/>
      <c r="K15" s="1383"/>
      <c r="L15" s="1383"/>
      <c r="M15" s="1383"/>
      <c r="N15" s="1383"/>
      <c r="O15" s="1383"/>
      <c r="P15" s="1383"/>
      <c r="Q15" s="1383"/>
      <c r="R15" s="1383"/>
      <c r="S15" s="1383"/>
      <c r="T15" s="1383"/>
      <c r="U15" s="1383"/>
      <c r="V15" s="1383"/>
      <c r="W15" s="1384"/>
      <c r="X15" s="1385">
        <f>COUNTIFS('refer admin discharge'!L15:L2995,"YES")</f>
        <v>0</v>
      </c>
      <c r="Y15" s="1386"/>
      <c r="Z15" s="1386"/>
      <c r="AA15" s="1386"/>
      <c r="AB15" s="1386"/>
      <c r="AC15" s="1386"/>
      <c r="AD15" s="1386"/>
      <c r="AE15" s="1387"/>
      <c r="AF15" s="202"/>
      <c r="AG15" s="222"/>
      <c r="AH15" s="222"/>
      <c r="AK15" s="250"/>
      <c r="AL15" s="250"/>
      <c r="AM15" s="250"/>
      <c r="AN15" s="250"/>
      <c r="AO15" s="250"/>
      <c r="AP15" s="250"/>
      <c r="AQ15" s="250"/>
      <c r="AR15" s="250"/>
      <c r="AS15" s="202"/>
      <c r="AT15" s="202"/>
      <c r="AU15" s="202"/>
      <c r="AV15" s="202"/>
      <c r="AW15" s="202"/>
      <c r="AX15" s="202"/>
      <c r="AY15" s="202"/>
      <c r="AZ15" s="202"/>
      <c r="BA15" s="202"/>
      <c r="BB15" s="202"/>
      <c r="BC15" s="202"/>
      <c r="BD15" s="202"/>
      <c r="BE15" s="202"/>
      <c r="BF15" s="202"/>
      <c r="BG15" s="202"/>
      <c r="BJ15" s="250"/>
      <c r="BK15" s="250"/>
      <c r="BL15" s="250"/>
      <c r="BM15" s="250"/>
      <c r="BN15" s="250"/>
      <c r="BO15" s="250"/>
      <c r="BP15" s="250"/>
      <c r="BQ15" s="250"/>
      <c r="BR15" s="249"/>
      <c r="BS15" s="249"/>
      <c r="BT15" s="202"/>
      <c r="BU15" s="202"/>
      <c r="BV15" s="202"/>
      <c r="BW15" s="202"/>
      <c r="BX15" s="202"/>
      <c r="BY15" s="202"/>
      <c r="BZ15" s="202"/>
      <c r="CA15" s="202"/>
      <c r="CB15" s="202"/>
      <c r="CC15" s="202"/>
      <c r="CD15" s="202"/>
      <c r="CE15" s="202"/>
      <c r="CF15" s="202"/>
      <c r="CG15" s="202"/>
      <c r="CH15" s="202"/>
    </row>
    <row r="16" spans="1:86" ht="21" x14ac:dyDescent="0.25">
      <c r="A16" s="1508" t="s">
        <v>502</v>
      </c>
      <c r="B16" s="1508"/>
      <c r="C16" s="1508"/>
      <c r="D16" s="1508"/>
      <c r="E16" s="1508"/>
      <c r="F16" s="1508"/>
      <c r="G16" s="1508"/>
      <c r="H16" s="1508"/>
      <c r="I16" s="1508"/>
      <c r="J16" s="1508"/>
      <c r="K16" s="1508"/>
      <c r="L16" s="1508"/>
      <c r="M16" s="1508"/>
      <c r="N16" s="1508"/>
      <c r="O16" s="1508"/>
      <c r="P16" s="1508"/>
      <c r="Q16" s="1508"/>
      <c r="R16" s="1508"/>
      <c r="S16" s="1508"/>
      <c r="T16" s="1508"/>
      <c r="U16" s="1508"/>
      <c r="V16" s="1508"/>
      <c r="W16" s="1508"/>
      <c r="X16" s="1509">
        <f>COUNTIFS('refer admin discharge'!BC15:BC2995,"YES")</f>
        <v>0</v>
      </c>
      <c r="Y16" s="1509"/>
      <c r="Z16" s="1509"/>
      <c r="AA16" s="1509"/>
      <c r="AB16" s="1509"/>
      <c r="AC16" s="1509"/>
      <c r="AD16" s="1509"/>
      <c r="AE16" s="1509"/>
      <c r="AF16" s="202"/>
      <c r="AG16" s="223"/>
      <c r="AH16" s="223"/>
      <c r="AK16" s="250"/>
      <c r="AL16" s="250"/>
      <c r="AM16" s="250"/>
      <c r="AN16" s="250"/>
      <c r="AO16" s="250"/>
      <c r="AP16" s="250"/>
      <c r="AQ16" s="250"/>
      <c r="AR16" s="250"/>
      <c r="AS16" s="202"/>
      <c r="AT16" s="202"/>
      <c r="AU16" s="202"/>
      <c r="AV16" s="202"/>
      <c r="AW16" s="202"/>
      <c r="AX16" s="202"/>
      <c r="AY16" s="202"/>
      <c r="AZ16" s="202"/>
      <c r="BA16" s="202"/>
      <c r="BB16" s="202"/>
      <c r="BC16" s="202"/>
      <c r="BD16" s="202"/>
      <c r="BE16" s="202"/>
      <c r="BF16" s="202"/>
      <c r="BG16" s="202"/>
      <c r="BJ16" s="250"/>
      <c r="BK16" s="250"/>
      <c r="BL16" s="250"/>
      <c r="BM16" s="250"/>
      <c r="BN16" s="250"/>
      <c r="BO16" s="250"/>
      <c r="BP16" s="250"/>
      <c r="BQ16" s="250"/>
      <c r="BR16" s="249"/>
      <c r="BS16" s="249"/>
      <c r="BT16" s="202"/>
      <c r="BU16" s="202"/>
      <c r="BV16" s="202"/>
      <c r="BW16" s="202"/>
      <c r="BX16" s="202"/>
      <c r="BY16" s="202"/>
      <c r="BZ16" s="202"/>
      <c r="CA16" s="202"/>
      <c r="CB16" s="202"/>
      <c r="CC16" s="202"/>
      <c r="CD16" s="202"/>
      <c r="CE16" s="202"/>
      <c r="CF16" s="202"/>
      <c r="CG16" s="202"/>
      <c r="CH16" s="202"/>
    </row>
    <row r="17" spans="1:86" ht="21" x14ac:dyDescent="0.25">
      <c r="A17" s="1510" t="s">
        <v>235</v>
      </c>
      <c r="B17" s="1510"/>
      <c r="C17" s="1510"/>
      <c r="D17" s="1510"/>
      <c r="E17" s="1510"/>
      <c r="F17" s="1510"/>
      <c r="G17" s="1510"/>
      <c r="H17" s="1510"/>
      <c r="I17" s="1510"/>
      <c r="J17" s="1510"/>
      <c r="K17" s="1510"/>
      <c r="L17" s="1510"/>
      <c r="M17" s="1510"/>
      <c r="N17" s="1510"/>
      <c r="O17" s="1510"/>
      <c r="P17" s="1510"/>
      <c r="Q17" s="1510"/>
      <c r="R17" s="1510"/>
      <c r="S17" s="1510"/>
      <c r="T17" s="1510"/>
      <c r="U17" s="1510"/>
      <c r="V17" s="1510"/>
      <c r="W17" s="1510"/>
      <c r="X17" s="1491">
        <f>X13+X14-X16</f>
        <v>0</v>
      </c>
      <c r="Y17" s="1491"/>
      <c r="Z17" s="1491"/>
      <c r="AA17" s="1491"/>
      <c r="AB17" s="1491"/>
      <c r="AC17" s="1491"/>
      <c r="AD17" s="1491"/>
      <c r="AE17" s="1491"/>
      <c r="AF17" s="202"/>
      <c r="AG17" s="224"/>
      <c r="AH17" s="224"/>
      <c r="AK17" s="250"/>
      <c r="AL17" s="250"/>
      <c r="AM17" s="250"/>
      <c r="AN17" s="250"/>
      <c r="AO17" s="250"/>
      <c r="AP17" s="250"/>
      <c r="AQ17" s="250"/>
      <c r="AR17" s="250"/>
      <c r="AS17" s="202"/>
      <c r="AT17" s="202"/>
      <c r="AU17" s="202"/>
      <c r="AV17" s="202"/>
      <c r="AW17" s="202"/>
      <c r="AX17" s="202"/>
      <c r="AY17" s="202"/>
      <c r="AZ17" s="202"/>
      <c r="BA17" s="202"/>
      <c r="BB17" s="202"/>
      <c r="BC17" s="202"/>
      <c r="BD17" s="202"/>
      <c r="BE17" s="202"/>
      <c r="BF17" s="202"/>
      <c r="BG17" s="202"/>
      <c r="BJ17" s="250"/>
      <c r="BK17" s="250"/>
      <c r="BL17" s="250"/>
      <c r="BM17" s="250"/>
      <c r="BN17" s="250"/>
      <c r="BO17" s="250"/>
      <c r="BP17" s="250"/>
      <c r="BQ17" s="250"/>
      <c r="BR17" s="249"/>
      <c r="BS17" s="249"/>
      <c r="BT17" s="202"/>
      <c r="BU17" s="202"/>
      <c r="BV17" s="202"/>
      <c r="BW17" s="202"/>
      <c r="BX17" s="202"/>
      <c r="BY17" s="202"/>
      <c r="BZ17" s="202"/>
      <c r="CA17" s="202"/>
      <c r="CB17" s="202"/>
      <c r="CC17" s="202"/>
      <c r="CD17" s="202"/>
      <c r="CE17" s="202"/>
      <c r="CF17" s="202"/>
      <c r="CG17" s="202"/>
      <c r="CH17" s="202"/>
    </row>
    <row r="18" spans="1:86" ht="21" x14ac:dyDescent="0.25">
      <c r="A18" s="1515" t="s">
        <v>150</v>
      </c>
      <c r="B18" s="1515"/>
      <c r="C18" s="1515"/>
      <c r="D18" s="1515"/>
      <c r="E18" s="1515"/>
      <c r="F18" s="1515"/>
      <c r="G18" s="1515"/>
      <c r="H18" s="1515"/>
      <c r="I18" s="1515"/>
      <c r="J18" s="1515"/>
      <c r="K18" s="1515"/>
      <c r="L18" s="1515"/>
      <c r="M18" s="1515"/>
      <c r="N18" s="1515"/>
      <c r="O18" s="1515"/>
      <c r="P18" s="1515"/>
      <c r="Q18" s="1515"/>
      <c r="R18" s="1515"/>
      <c r="S18" s="1515"/>
      <c r="T18" s="1515"/>
      <c r="U18" s="1515"/>
      <c r="V18" s="1515"/>
      <c r="W18" s="1515"/>
      <c r="X18" s="1511">
        <f>X13+X14</f>
        <v>0</v>
      </c>
      <c r="Y18" s="1511"/>
      <c r="Z18" s="1511"/>
      <c r="AA18" s="1511"/>
      <c r="AB18" s="1511"/>
      <c r="AC18" s="1511"/>
      <c r="AD18" s="1511"/>
      <c r="AE18" s="1511"/>
      <c r="AF18" s="202"/>
      <c r="AG18" s="223"/>
      <c r="AH18" s="223"/>
      <c r="AK18" s="252"/>
      <c r="AL18" s="252"/>
      <c r="AM18" s="252"/>
      <c r="AN18" s="252"/>
      <c r="AO18" s="252"/>
      <c r="AP18" s="252"/>
      <c r="AQ18" s="252"/>
      <c r="AR18" s="252"/>
      <c r="AS18" s="202"/>
      <c r="AT18" s="202"/>
      <c r="AU18" s="202"/>
      <c r="AV18" s="202"/>
      <c r="AW18" s="202"/>
      <c r="AX18" s="202"/>
      <c r="AY18" s="202"/>
      <c r="AZ18" s="202"/>
      <c r="BA18" s="202"/>
      <c r="BB18" s="202"/>
      <c r="BC18" s="202"/>
      <c r="BD18" s="202"/>
      <c r="BE18" s="202"/>
      <c r="BF18" s="202"/>
      <c r="BG18" s="202"/>
      <c r="BJ18" s="252"/>
      <c r="BK18" s="252"/>
      <c r="BL18" s="252"/>
      <c r="BM18" s="252"/>
      <c r="BN18" s="252"/>
      <c r="BO18" s="252"/>
      <c r="BP18" s="252"/>
      <c r="BQ18" s="252"/>
      <c r="BR18" s="251"/>
      <c r="BS18" s="251"/>
      <c r="BT18" s="202"/>
      <c r="BU18" s="202"/>
      <c r="BV18" s="202"/>
      <c r="BW18" s="202"/>
      <c r="BX18" s="202"/>
      <c r="BY18" s="202"/>
      <c r="BZ18" s="202"/>
      <c r="CA18" s="202"/>
      <c r="CB18" s="202"/>
      <c r="CC18" s="202"/>
      <c r="CD18" s="202"/>
      <c r="CE18" s="202"/>
      <c r="CF18" s="202"/>
      <c r="CG18" s="202"/>
      <c r="CH18" s="202"/>
    </row>
    <row r="19" spans="1:86" ht="21" x14ac:dyDescent="0.25">
      <c r="A19" s="1512" t="s">
        <v>506</v>
      </c>
      <c r="B19" s="1513"/>
      <c r="C19" s="1513"/>
      <c r="D19" s="1513"/>
      <c r="E19" s="1513"/>
      <c r="F19" s="1513"/>
      <c r="G19" s="1513"/>
      <c r="H19" s="1513"/>
      <c r="I19" s="1513"/>
      <c r="J19" s="1513"/>
      <c r="K19" s="1513"/>
      <c r="L19" s="1513"/>
      <c r="M19" s="1513"/>
      <c r="N19" s="1513"/>
      <c r="O19" s="1513"/>
      <c r="P19" s="1513"/>
      <c r="Q19" s="1513"/>
      <c r="R19" s="1513"/>
      <c r="S19" s="1513"/>
      <c r="T19" s="1513"/>
      <c r="U19" s="1513"/>
      <c r="V19" s="1513"/>
      <c r="W19" s="1514"/>
      <c r="X19" s="1498">
        <f>X18-X15</f>
        <v>0</v>
      </c>
      <c r="Y19" s="1499"/>
      <c r="Z19" s="1499"/>
      <c r="AA19" s="1499"/>
      <c r="AB19" s="1499"/>
      <c r="AC19" s="1499"/>
      <c r="AD19" s="1499"/>
      <c r="AE19" s="1500"/>
      <c r="AF19" s="202"/>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02"/>
      <c r="BE19" s="202"/>
      <c r="BF19" s="202"/>
      <c r="BG19" s="202"/>
    </row>
    <row r="20" spans="1:86" ht="21" x14ac:dyDescent="0.25">
      <c r="A20" s="1399"/>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1"/>
      <c r="X20" s="1491"/>
      <c r="Y20" s="1491"/>
      <c r="Z20" s="1491"/>
      <c r="AA20" s="1491"/>
      <c r="AB20" s="1491"/>
      <c r="AC20" s="1491"/>
      <c r="AD20" s="1491"/>
      <c r="AE20" s="1491"/>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row>
    <row r="21" spans="1:86" ht="21" x14ac:dyDescent="0.25">
      <c r="A21" s="1419" t="s">
        <v>548</v>
      </c>
      <c r="B21" s="1419"/>
      <c r="C21" s="1419"/>
      <c r="D21" s="1419"/>
      <c r="E21" s="1419"/>
      <c r="F21" s="1419"/>
      <c r="G21" s="1419"/>
      <c r="H21" s="1419"/>
      <c r="I21" s="1419"/>
      <c r="J21" s="1419"/>
      <c r="K21" s="1419"/>
      <c r="L21" s="1419"/>
      <c r="M21" s="1419"/>
      <c r="N21" s="1419"/>
      <c r="O21" s="1419"/>
      <c r="P21" s="1419"/>
      <c r="Q21" s="1419"/>
      <c r="R21" s="1419"/>
      <c r="S21" s="1419"/>
      <c r="T21" s="1419"/>
      <c r="U21" s="1419"/>
      <c r="V21" s="1419"/>
      <c r="W21" s="1419"/>
      <c r="X21" s="1419"/>
      <c r="Y21" s="1419"/>
      <c r="Z21" s="1419"/>
      <c r="AA21" s="1419"/>
      <c r="AB21" s="1419"/>
      <c r="AC21" s="1419"/>
      <c r="AD21" s="1419"/>
      <c r="AE21" s="1419"/>
      <c r="AF21" s="1419"/>
      <c r="AG21" s="1419"/>
      <c r="AH21" s="1419"/>
      <c r="AI21" s="1419"/>
      <c r="AJ21" s="1419"/>
      <c r="AK21" s="1419"/>
      <c r="AL21" s="1419"/>
      <c r="AM21" s="1419"/>
      <c r="AN21" s="1419"/>
      <c r="AO21" s="1419"/>
      <c r="AP21" s="1419"/>
      <c r="AQ21" s="1419"/>
      <c r="AR21" s="1419"/>
      <c r="AS21" s="1419"/>
      <c r="AT21" s="1419"/>
      <c r="AU21" s="1419"/>
      <c r="AV21" s="1419"/>
      <c r="AW21" s="1419"/>
      <c r="AX21" s="1419"/>
      <c r="AY21" s="1419"/>
      <c r="AZ21" s="1419"/>
      <c r="BA21" s="1419"/>
      <c r="BB21" s="1419"/>
      <c r="BC21" s="1419"/>
      <c r="BD21" s="1419"/>
      <c r="BE21" s="1419"/>
      <c r="BF21" s="1419"/>
      <c r="BG21" s="1419"/>
      <c r="BH21" s="253"/>
      <c r="BI21" s="253"/>
      <c r="BJ21" s="253"/>
      <c r="BK21" s="253"/>
      <c r="BL21" s="253"/>
      <c r="BM21" s="253"/>
      <c r="BN21" s="253"/>
      <c r="BO21" s="253"/>
      <c r="BP21" s="253"/>
      <c r="BQ21" s="253"/>
    </row>
    <row r="22" spans="1:86" ht="21" x14ac:dyDescent="0.25">
      <c r="A22" s="1419" t="s">
        <v>547</v>
      </c>
      <c r="B22" s="1419"/>
      <c r="C22" s="1419"/>
      <c r="D22" s="1419"/>
      <c r="E22" s="1419"/>
      <c r="F22" s="1419"/>
      <c r="G22" s="1419"/>
      <c r="H22" s="1419"/>
      <c r="I22" s="1419"/>
      <c r="J22" s="1419"/>
      <c r="K22" s="1419"/>
      <c r="L22" s="1419"/>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19"/>
      <c r="AL22" s="1419"/>
      <c r="AM22" s="1419"/>
      <c r="AN22" s="1419"/>
      <c r="AO22" s="1419"/>
      <c r="AP22" s="1419"/>
      <c r="AQ22" s="1419"/>
      <c r="AR22" s="1419"/>
      <c r="AS22" s="1419"/>
      <c r="AT22" s="1419"/>
      <c r="AU22" s="1419"/>
      <c r="AV22" s="1419"/>
      <c r="AW22" s="1419"/>
      <c r="AX22" s="1419"/>
      <c r="AY22" s="1419"/>
      <c r="AZ22" s="1419"/>
      <c r="BA22" s="1419"/>
      <c r="BB22" s="1419"/>
      <c r="BC22" s="1419"/>
      <c r="BD22" s="1419"/>
      <c r="BE22" s="1419"/>
      <c r="BF22" s="1419"/>
      <c r="BG22" s="1419"/>
    </row>
    <row r="23" spans="1:86" ht="60" customHeight="1" x14ac:dyDescent="0.25">
      <c r="A23" s="1420" t="s">
        <v>553</v>
      </c>
      <c r="B23" s="1421"/>
      <c r="C23" s="1421"/>
      <c r="D23" s="1421"/>
      <c r="E23" s="1421"/>
      <c r="F23" s="1421"/>
      <c r="G23" s="1421"/>
      <c r="H23" s="1421"/>
      <c r="I23" s="1421"/>
      <c r="J23" s="1422"/>
      <c r="K23" s="1369" t="s">
        <v>143</v>
      </c>
      <c r="L23" s="1370"/>
      <c r="M23" s="1370"/>
      <c r="N23" s="1371"/>
      <c r="O23" s="1369" t="s">
        <v>387</v>
      </c>
      <c r="P23" s="1370"/>
      <c r="Q23" s="1370"/>
      <c r="R23" s="1371"/>
      <c r="S23" s="1369" t="s">
        <v>388</v>
      </c>
      <c r="T23" s="1370"/>
      <c r="U23" s="1370"/>
      <c r="V23" s="1371"/>
      <c r="W23" s="1369" t="s">
        <v>7</v>
      </c>
      <c r="X23" s="1370"/>
      <c r="Y23" s="1370"/>
      <c r="Z23" s="1371"/>
      <c r="AA23" s="1369" t="s">
        <v>631</v>
      </c>
      <c r="AB23" s="1370"/>
      <c r="AC23" s="1370"/>
      <c r="AD23" s="1371"/>
      <c r="AE23" s="1369" t="s">
        <v>389</v>
      </c>
      <c r="AF23" s="1370"/>
      <c r="AG23" s="1370"/>
      <c r="AH23" s="1371"/>
      <c r="AI23" s="1369" t="s">
        <v>16</v>
      </c>
      <c r="AJ23" s="1370"/>
      <c r="AK23" s="1370"/>
      <c r="AL23" s="1371"/>
      <c r="AM23" s="1372" t="s">
        <v>390</v>
      </c>
      <c r="AN23" s="1373"/>
      <c r="AO23" s="1373"/>
      <c r="AP23" s="1374"/>
      <c r="AQ23" s="2"/>
      <c r="AR23" s="1426" t="s">
        <v>9</v>
      </c>
      <c r="AS23" s="1427"/>
      <c r="AT23" s="1427"/>
      <c r="AU23" s="1428"/>
      <c r="AV23" s="1426" t="s">
        <v>146</v>
      </c>
      <c r="AW23" s="1427"/>
      <c r="AX23" s="1427"/>
      <c r="AY23" s="1428"/>
      <c r="AZ23" s="1426" t="s">
        <v>16</v>
      </c>
      <c r="BA23" s="1427"/>
      <c r="BB23" s="1427"/>
      <c r="BC23" s="1428"/>
      <c r="BD23" s="1501" t="s">
        <v>390</v>
      </c>
      <c r="BE23" s="1502"/>
      <c r="BF23" s="1502"/>
      <c r="BG23" s="1503"/>
    </row>
    <row r="24" spans="1:86" ht="15" customHeight="1" x14ac:dyDescent="0.25">
      <c r="A24" s="1423"/>
      <c r="B24" s="1424"/>
      <c r="C24" s="1424"/>
      <c r="D24" s="1424"/>
      <c r="E24" s="1424"/>
      <c r="F24" s="1424"/>
      <c r="G24" s="1424"/>
      <c r="H24" s="1424"/>
      <c r="I24" s="1424"/>
      <c r="J24" s="1425"/>
      <c r="K24" s="1431" t="s">
        <v>57</v>
      </c>
      <c r="L24" s="1432"/>
      <c r="M24" s="1359" t="s">
        <v>58</v>
      </c>
      <c r="N24" s="1360"/>
      <c r="O24" s="1429" t="s">
        <v>57</v>
      </c>
      <c r="P24" s="1430"/>
      <c r="Q24" s="1359" t="s">
        <v>58</v>
      </c>
      <c r="R24" s="1360"/>
      <c r="S24" s="1429" t="s">
        <v>57</v>
      </c>
      <c r="T24" s="1430"/>
      <c r="U24" s="1359" t="s">
        <v>58</v>
      </c>
      <c r="V24" s="1360"/>
      <c r="W24" s="1429" t="s">
        <v>57</v>
      </c>
      <c r="X24" s="1430"/>
      <c r="Y24" s="1359" t="s">
        <v>58</v>
      </c>
      <c r="Z24" s="1360"/>
      <c r="AA24" s="1431" t="s">
        <v>57</v>
      </c>
      <c r="AB24" s="1432"/>
      <c r="AC24" s="1359" t="s">
        <v>58</v>
      </c>
      <c r="AD24" s="1360"/>
      <c r="AE24" s="1431" t="s">
        <v>57</v>
      </c>
      <c r="AF24" s="1432"/>
      <c r="AG24" s="1359" t="s">
        <v>58</v>
      </c>
      <c r="AH24" s="1360"/>
      <c r="AI24" s="1431" t="s">
        <v>57</v>
      </c>
      <c r="AJ24" s="1432"/>
      <c r="AK24" s="1359" t="s">
        <v>58</v>
      </c>
      <c r="AL24" s="1360"/>
      <c r="AM24" s="1521" t="s">
        <v>57</v>
      </c>
      <c r="AN24" s="1522"/>
      <c r="AO24" s="1390" t="s">
        <v>58</v>
      </c>
      <c r="AP24" s="1391"/>
      <c r="AQ24" s="2"/>
      <c r="AR24" s="1494" t="s">
        <v>57</v>
      </c>
      <c r="AS24" s="1495"/>
      <c r="AT24" s="1483" t="s">
        <v>58</v>
      </c>
      <c r="AU24" s="1484"/>
      <c r="AV24" s="1496" t="s">
        <v>57</v>
      </c>
      <c r="AW24" s="1497"/>
      <c r="AX24" s="1483" t="s">
        <v>58</v>
      </c>
      <c r="AY24" s="1484"/>
      <c r="AZ24" s="1496" t="s">
        <v>57</v>
      </c>
      <c r="BA24" s="1497"/>
      <c r="BB24" s="1483" t="s">
        <v>58</v>
      </c>
      <c r="BC24" s="1484"/>
      <c r="BD24" s="1492" t="s">
        <v>57</v>
      </c>
      <c r="BE24" s="1493"/>
      <c r="BF24" s="1492" t="s">
        <v>58</v>
      </c>
      <c r="BG24" s="1493"/>
    </row>
    <row r="25" spans="1:86" x14ac:dyDescent="0.25">
      <c r="A25" s="1375" t="s">
        <v>459</v>
      </c>
      <c r="B25" s="1376"/>
      <c r="C25" s="1376"/>
      <c r="D25" s="1376"/>
      <c r="E25" s="1376"/>
      <c r="F25" s="1376"/>
      <c r="G25" s="1376"/>
      <c r="H25" s="1376"/>
      <c r="I25" s="1376"/>
      <c r="J25" s="1377"/>
      <c r="K25" s="1353">
        <f>COUNTIFS('refer admin discharge'!N15:N2995,"&gt;=0",'refer admin discharge'!N15:N2995,"&lt;=12",'refer admin discharge'!O15:O2995,"Male",'refer admin discharge'!P15:P2995,"White")</f>
        <v>0</v>
      </c>
      <c r="L25" s="1354"/>
      <c r="M25" s="1357">
        <f>COUNTIFS('refer admin discharge'!N15:N2995,"&gt;=0",'refer admin discharge'!N15:N2995,"&lt;=12",'refer admin discharge'!O15:O2995,"Female",'refer admin discharge'!P15:P2995,"White",'refer admin discharge'!AJ15:AJ2995,"NO")</f>
        <v>0</v>
      </c>
      <c r="N25" s="1358"/>
      <c r="O25" s="1353">
        <f>COUNTIFS('refer admin discharge'!N15:N2995,"&gt;=0",'refer admin discharge'!N15:N2995,"&lt;=12",'refer admin discharge'!O15:O2995,"Male",'refer admin discharge'!P15:P2995,"African American /Black")</f>
        <v>0</v>
      </c>
      <c r="P25" s="1354"/>
      <c r="Q25" s="1357">
        <f>COUNTIFS('refer admin discharge'!N15:N2995,"&gt;=0",'refer admin discharge'!N15:N2995,"&lt;=12",'refer admin discharge'!O15:O2995,"Female",'refer admin discharge'!P15:P2995,"African American /Black",'refer admin discharge'!AJ15:AJ2995,"NO")</f>
        <v>0</v>
      </c>
      <c r="R25" s="1358"/>
      <c r="S25" s="1353">
        <f>COUNTIFS('refer admin discharge'!N15:N2995,"&gt;=0",'refer admin discharge'!N15:N2995,"&lt;=12",'refer admin discharge'!O15:O2995,"Male",'refer admin discharge'!P15:P2995,"Native Hawaiian / Other Pacific Islander")</f>
        <v>0</v>
      </c>
      <c r="T25" s="1354"/>
      <c r="U25" s="1357">
        <f>COUNTIFS('refer admin discharge'!N15:N2995,"&gt;=0",'refer admin discharge'!N15:N2995,"&lt;=12",'refer admin discharge'!O15:O2995,"Female",'refer admin discharge'!P15:P2995,"Native Hawaiian / Other Pacific Islander",'refer admin discharge'!AJ15:AJ2995,"NO")</f>
        <v>0</v>
      </c>
      <c r="V25" s="1358"/>
      <c r="W25" s="1353">
        <f>COUNTIFS('refer admin discharge'!N15:N2995,"&gt;=0",'refer admin discharge'!N15:N2995,"&lt;=12",'refer admin discharge'!O15:O2995,"Male",'refer admin discharge'!P15:P2995,"Asian")</f>
        <v>0</v>
      </c>
      <c r="X25" s="1354"/>
      <c r="Y25" s="1357">
        <f>COUNTIFS('refer admin discharge'!N15:N2995,"&gt;=0",'refer admin discharge'!N15:N2995,"&lt;=12",'refer admin discharge'!O15:O2995,"Female",'refer admin discharge'!P15:P2995,"Asian",'refer admin discharge'!AJ15:AJ2995,"NO")</f>
        <v>0</v>
      </c>
      <c r="Z25" s="1358"/>
      <c r="AA25" s="1353">
        <f>COUNTIFS('refer admin discharge'!N15:N2995,"&gt;=0",'refer admin discharge'!N15:N2995,"&lt;=12",'refer admin discharge'!O15:O2995,"Male",'refer admin discharge'!P15:P2995,"American Indian / Alaska Native")</f>
        <v>0</v>
      </c>
      <c r="AB25" s="1354"/>
      <c r="AC25" s="1357">
        <f>COUNTIFS('refer admin discharge'!N15:N2995,"&gt;=0",'refer admin discharge'!N15:N2995,"&lt;=12",'refer admin discharge'!O15:O2995,"Female",'refer admin discharge'!P15:P2995,"American Indian / Alaska Native",'refer admin discharge'!AJ15:AJ2995,"NO")</f>
        <v>0</v>
      </c>
      <c r="AD25" s="1358"/>
      <c r="AE25" s="1353">
        <f>COUNTIFS('refer admin discharge'!N15:N2995,"&gt;=0",'refer admin discharge'!N15:N2995,"&lt;=12",'refer admin discharge'!O15:O2995,"Male",'refer admin discharge'!P15:P2995,"More than one race reported")</f>
        <v>0</v>
      </c>
      <c r="AF25" s="1354"/>
      <c r="AG25" s="1357">
        <f>COUNTIFS('refer admin discharge'!N15:N2995,"&gt;=0",'refer admin discharge'!N15:N2995,"&lt;=12",'refer admin discharge'!O15:O2995,"Female",'refer admin discharge'!P15:P2995,"More than one race reported",'refer admin discharge'!AJ15:AJ2995,"NO")</f>
        <v>0</v>
      </c>
      <c r="AH25" s="1358"/>
      <c r="AI25" s="1353">
        <f>COUNTIFS('refer admin discharge'!N15:N2995,"&gt;=0",'refer admin discharge'!N15:N2995,"&lt;=12",'refer admin discharge'!O15:O2995,"Male",'refer admin discharge'!P15:P2995,"Unknown")</f>
        <v>0</v>
      </c>
      <c r="AJ25" s="1354"/>
      <c r="AK25" s="1357">
        <f>COUNTIFS('refer admin discharge'!N15:N2995,"&gt;=0",'refer admin discharge'!N15:N2995,"&lt;=12",'refer admin discharge'!O15:O2995,"Female",'refer admin discharge'!P15:P2995,"Unknown",'refer admin discharge'!AJ15:AJ2995,"NO")</f>
        <v>0</v>
      </c>
      <c r="AL25" s="1358"/>
      <c r="AM25" s="1363">
        <f t="shared" ref="AM25:AM32" si="0">K25+O25+S25+W25+AA25+AE25+AI25</f>
        <v>0</v>
      </c>
      <c r="AN25" s="1364"/>
      <c r="AO25" s="1355">
        <f t="shared" ref="AO25:AO32" si="1">M25+Q25+U25+Y25+AC25+AG25+AK25</f>
        <v>0</v>
      </c>
      <c r="AP25" s="1356"/>
      <c r="AQ25" s="2"/>
      <c r="AR25" s="1433">
        <f>COUNTIFS('refer admin discharge'!N15:N2995,"&gt;=0",'refer admin discharge'!N15:N2995,"&lt;=12",'refer admin discharge'!O15:O2995,"Male",'refer admin discharge'!R15:R2995,"Not Hispanic or Latino")</f>
        <v>0</v>
      </c>
      <c r="AS25" s="1434"/>
      <c r="AT25" s="1435">
        <f>COUNTIFS('refer admin discharge'!N15:N2995,"&gt;=0",'refer admin discharge'!N15:N2995,"&lt;=12",'refer admin discharge'!O15:O2995,"Female",'refer admin discharge'!R15:R2995,"Not Hispanic or Latino",'refer admin discharge'!AJ15:AJ2995,"NO")</f>
        <v>0</v>
      </c>
      <c r="AU25" s="1436"/>
      <c r="AV25" s="1433">
        <f>COUNTIFS('refer admin discharge'!N15:N2995,"&gt;=0",'refer admin discharge'!N15:N2995,"&lt;=12",'refer admin discharge'!O15:O2995,"Male",'refer admin discharge'!R15:R2995,"Hispanic-Latino ")</f>
        <v>0</v>
      </c>
      <c r="AW25" s="1434"/>
      <c r="AX25" s="1435">
        <f>COUNTIFS('refer admin discharge'!N15:N2995,"&gt;=0",'refer admin discharge'!N15:N2995,"&lt;=12",'refer admin discharge'!O15:O2995,"Female",'refer admin discharge'!R15:R2995,"Hispanic-Latino ",'refer admin discharge'!AJ15:AJ2995,"NO")</f>
        <v>0</v>
      </c>
      <c r="AY25" s="1436"/>
      <c r="AZ25" s="1433">
        <f>COUNTIFS('refer admin discharge'!N15:N2995,"&gt;=0",'refer admin discharge'!N15:N2995,"&lt;=12",'refer admin discharge'!O15:O2995,"Male",'refer admin discharge'!R15:R2995,"Unknown")</f>
        <v>0</v>
      </c>
      <c r="BA25" s="1434"/>
      <c r="BB25" s="1435">
        <f>COUNTIFS('refer admin discharge'!N15:N2995,"&gt;=0",'refer admin discharge'!N15:N2995,"&lt;=12",'refer admin discharge'!O15:O2995,"Female",'refer admin discharge'!R15:R2995,"Unknown",'refer admin discharge'!AJ15:AJ2995,"NO")</f>
        <v>0</v>
      </c>
      <c r="BC25" s="1436"/>
      <c r="BD25" s="1437">
        <f t="shared" ref="BD25:BD32" si="2">AR25+AV25+AZ25</f>
        <v>0</v>
      </c>
      <c r="BE25" s="1438"/>
      <c r="BF25" s="1437">
        <f t="shared" ref="BF25:BF32" si="3">AT25+AX25+BB25</f>
        <v>0</v>
      </c>
      <c r="BG25" s="1438"/>
    </row>
    <row r="26" spans="1:86" x14ac:dyDescent="0.25">
      <c r="A26" s="1375" t="s">
        <v>460</v>
      </c>
      <c r="B26" s="1376"/>
      <c r="C26" s="1376"/>
      <c r="D26" s="1376"/>
      <c r="E26" s="1376"/>
      <c r="F26" s="1376"/>
      <c r="G26" s="1376"/>
      <c r="H26" s="1376"/>
      <c r="I26" s="1376"/>
      <c r="J26" s="1377"/>
      <c r="K26" s="1353">
        <f>COUNTIFS('refer admin discharge'!N15:N2995,"&gt;=13",'refer admin discharge'!N15:N2995,"&lt;=17",'refer admin discharge'!O15:O2995,"Male",'refer admin discharge'!P15:P2995,"White")</f>
        <v>0</v>
      </c>
      <c r="L26" s="1354"/>
      <c r="M26" s="1357">
        <f>COUNTIFS('refer admin discharge'!N15:N2995,"&gt;=13",'refer admin discharge'!N15:N2995,"&lt;=17",'refer admin discharge'!O15:O2995,"Female",'refer admin discharge'!P15:P2995,"White",'refer admin discharge'!AJ15:AJ2995,"NO")</f>
        <v>0</v>
      </c>
      <c r="N26" s="1358"/>
      <c r="O26" s="1353">
        <f>COUNTIFS('refer admin discharge'!N15:N2995,"&gt;=13",'refer admin discharge'!N15:N2995,"&lt;=17",'refer admin discharge'!O15:O2995,"Male",'refer admin discharge'!P15:P2995,"African American /Black")</f>
        <v>0</v>
      </c>
      <c r="P26" s="1354"/>
      <c r="Q26" s="1357">
        <f>COUNTIFS('refer admin discharge'!N15:N2995,"&gt;=13",'refer admin discharge'!N15:N2995,"&lt;=17",'refer admin discharge'!O15:O2995,"Female",'refer admin discharge'!P15:P2995,"African American /Black",'refer admin discharge'!AJ15:AJ2995,"NO")</f>
        <v>0</v>
      </c>
      <c r="R26" s="1358"/>
      <c r="S26" s="1353">
        <f>COUNTIFS('refer admin discharge'!N15:N2995,"&gt;=13",'refer admin discharge'!N15:N2995,"&lt;=17",'refer admin discharge'!O15:O2995,"Male",'refer admin discharge'!P15:P2995,"Native Hawaiian / Other Pacific Islander")</f>
        <v>0</v>
      </c>
      <c r="T26" s="1354"/>
      <c r="U26" s="1357">
        <f>COUNTIFS('refer admin discharge'!N15:N2995,"&gt;=13",'refer admin discharge'!N15:N2995,"&lt;=17",'refer admin discharge'!O15:O2995,"Female",'refer admin discharge'!P15:P2995,"Native Hawaiian / Other Pacific Islander",'refer admin discharge'!AJ15:AJ2995,"NO")</f>
        <v>0</v>
      </c>
      <c r="V26" s="1358"/>
      <c r="W26" s="1353">
        <f>COUNTIFS('refer admin discharge'!N15:N2995,"&gt;=13",'refer admin discharge'!N15:N2995,"&lt;=17",'refer admin discharge'!O15:O2995,"Male",'refer admin discharge'!P15:P2995,"Asian")</f>
        <v>0</v>
      </c>
      <c r="X26" s="1354"/>
      <c r="Y26" s="1357">
        <f>COUNTIFS('refer admin discharge'!N15:N2995,"&gt;=13",'refer admin discharge'!N15:N2995,"&lt;=17",'refer admin discharge'!O15:O2995,"Female",'refer admin discharge'!P15:P2995,"Asian",'refer admin discharge'!AJ15:AJ2995,"NO")</f>
        <v>0</v>
      </c>
      <c r="Z26" s="1358"/>
      <c r="AA26" s="1353">
        <f>COUNTIFS('refer admin discharge'!N15:N2995,"&gt;=13",'refer admin discharge'!N15:N2995,"&lt;=17",'refer admin discharge'!O15:O2995,"Male",'refer admin discharge'!P15:P2995,"American Indian / Alaska Native")</f>
        <v>0</v>
      </c>
      <c r="AB26" s="1354"/>
      <c r="AC26" s="1357">
        <f>COUNTIFS('refer admin discharge'!N15:N2995,"&gt;=13",'refer admin discharge'!N15:N2995,"&lt;=17",'refer admin discharge'!O15:O2995,"Female",'refer admin discharge'!P15:P2995,"American Indian / Alaska Native",'refer admin discharge'!AJ15:AJ2995,"NO")</f>
        <v>0</v>
      </c>
      <c r="AD26" s="1358"/>
      <c r="AE26" s="1353">
        <f>COUNTIFS('refer admin discharge'!N15:N2995,"&gt;=13",'refer admin discharge'!N15:N2995,"&lt;=17",'refer admin discharge'!O15:O2995,"Male",'refer admin discharge'!P15:P2995,"More than one race reported")</f>
        <v>0</v>
      </c>
      <c r="AF26" s="1354"/>
      <c r="AG26" s="1357">
        <f>COUNTIFS('refer admin discharge'!N15:N2995,"&gt;=13",'refer admin discharge'!N15:N2995,"&lt;=17",'refer admin discharge'!O15:O2995,"Female",'refer admin discharge'!P15:P2995,"More than one race reported",'refer admin discharge'!AJ15:AJ2995,"NO")</f>
        <v>0</v>
      </c>
      <c r="AH26" s="1358"/>
      <c r="AI26" s="1353">
        <f>COUNTIFS('refer admin discharge'!N15:N2995,"&gt;=13",'refer admin discharge'!N15:N2995,"&lt;=17",'refer admin discharge'!O15:O2995,"Male",'refer admin discharge'!P15:P2995,"Unknown")</f>
        <v>0</v>
      </c>
      <c r="AJ26" s="1354"/>
      <c r="AK26" s="1357">
        <f>COUNTIFS('refer admin discharge'!N15:N2995,"&gt;=13",'refer admin discharge'!N15:N2995,"&lt;=17",'refer admin discharge'!O15:O2995,"Female",'refer admin discharge'!P15:P2995,"Unknown",'refer admin discharge'!AJ15:AJ2995,"NO")</f>
        <v>0</v>
      </c>
      <c r="AL26" s="1358"/>
      <c r="AM26" s="1363">
        <f t="shared" si="0"/>
        <v>0</v>
      </c>
      <c r="AN26" s="1364"/>
      <c r="AO26" s="1355">
        <f t="shared" si="1"/>
        <v>0</v>
      </c>
      <c r="AP26" s="1356"/>
      <c r="AQ26" s="2"/>
      <c r="AR26" s="1433">
        <f>COUNTIFS('refer admin discharge'!N15:N2995,"&gt;=13",'refer admin discharge'!N15:N2995,"&lt;=17",'refer admin discharge'!O15:O2995,"Male",'refer admin discharge'!R15:R2995,"Not Hispanic or Latino")</f>
        <v>0</v>
      </c>
      <c r="AS26" s="1434"/>
      <c r="AT26" s="1435">
        <f>COUNTIFS('refer admin discharge'!N15:N2995,"&gt;=13",'refer admin discharge'!N15:N2995,"&lt;=17",'refer admin discharge'!O15:O2995,"Female",'refer admin discharge'!R15:R2995,"Not Hispanic or Latino",'refer admin discharge'!AJ15:AJ2995,"NO")</f>
        <v>0</v>
      </c>
      <c r="AU26" s="1436"/>
      <c r="AV26" s="1433">
        <f>COUNTIFS('refer admin discharge'!N15:N1674,"&gt;=13",'refer admin discharge'!N15:N1674,"&lt;=17",'refer admin discharge'!O15:O1674,"Male",'refer admin discharge'!R15:R1674,"Hispanic-Latino ")</f>
        <v>0</v>
      </c>
      <c r="AW26" s="1434"/>
      <c r="AX26" s="1435">
        <f>COUNTIFS('refer admin discharge'!N15:N2995,"&gt;=13",'refer admin discharge'!N15:N2995,"&lt;=17",'refer admin discharge'!O15:O2995,"Female",'refer admin discharge'!R15:R2995,"Hispanic-Latino ",'refer admin discharge'!AJ15:AJ2995,"NO")</f>
        <v>0</v>
      </c>
      <c r="AY26" s="1436"/>
      <c r="AZ26" s="1433">
        <f>COUNTIFS('refer admin discharge'!N15:N2995,"&gt;=13",'refer admin discharge'!N15:N2995,"&lt;=17",'refer admin discharge'!O15:O2995,"Male",'refer admin discharge'!R15:R2995,"Unknown")</f>
        <v>0</v>
      </c>
      <c r="BA26" s="1434"/>
      <c r="BB26" s="1435">
        <f>COUNTIFS('refer admin discharge'!N15:N2995,"&gt;=13",'refer admin discharge'!N15:N2995,"&lt;=17",'refer admin discharge'!O15:O2995,"Female",'refer admin discharge'!R15:R2995,"Unknown",'refer admin discharge'!AJ15:AJ2995,"NO")</f>
        <v>0</v>
      </c>
      <c r="BC26" s="1436"/>
      <c r="BD26" s="1437">
        <f t="shared" si="2"/>
        <v>0</v>
      </c>
      <c r="BE26" s="1438"/>
      <c r="BF26" s="1437">
        <f t="shared" si="3"/>
        <v>0</v>
      </c>
      <c r="BG26" s="1438"/>
    </row>
    <row r="27" spans="1:86" x14ac:dyDescent="0.25">
      <c r="A27" s="1375" t="s">
        <v>461</v>
      </c>
      <c r="B27" s="1376"/>
      <c r="C27" s="1376"/>
      <c r="D27" s="1376"/>
      <c r="E27" s="1376"/>
      <c r="F27" s="1376"/>
      <c r="G27" s="1376"/>
      <c r="H27" s="1376"/>
      <c r="I27" s="1376"/>
      <c r="J27" s="1377"/>
      <c r="K27" s="1353">
        <f>COUNTIFS('refer admin discharge'!N15:N2995,"&gt;=18",'refer admin discharge'!N15:N2995,"&lt;=20",'refer admin discharge'!O15:O2995,"Male",'refer admin discharge'!P15:P2995,"White")</f>
        <v>0</v>
      </c>
      <c r="L27" s="1354"/>
      <c r="M27" s="1357">
        <f>COUNTIFS('refer admin discharge'!N15:N2995,"&gt;=18",'refer admin discharge'!N15:N2995,"&lt;=20",'refer admin discharge'!O15:O2995,"Female",'refer admin discharge'!P15:P2995,"White",'refer admin discharge'!AJ15:AJ2995,"NO")</f>
        <v>0</v>
      </c>
      <c r="N27" s="1358"/>
      <c r="O27" s="1353">
        <f>COUNTIFS('refer admin discharge'!N15:N2995,"&gt;=18",'refer admin discharge'!N15:N2995,"&lt;=20",'refer admin discharge'!O15:O2995,"Male",'refer admin discharge'!P15:P2995,"African American /Black")</f>
        <v>0</v>
      </c>
      <c r="P27" s="1354"/>
      <c r="Q27" s="1357">
        <f>COUNTIFS('refer admin discharge'!N15:N2995,"&gt;=18",'refer admin discharge'!N15:N2995,"&lt;=20",'refer admin discharge'!O15:O2995,"Female",'refer admin discharge'!P15:P2995,"African American /Black",'refer admin discharge'!AJ15:AJ2995,"NO")</f>
        <v>0</v>
      </c>
      <c r="R27" s="1358"/>
      <c r="S27" s="1353">
        <f>COUNTIFS('refer admin discharge'!N15:N2995,"&gt;=18",'refer admin discharge'!N15:N2995,"&lt;=20",'refer admin discharge'!O15:O2995,"Male",'refer admin discharge'!P15:P2995,"Native Hawaiian / Other Pacific Islander")</f>
        <v>0</v>
      </c>
      <c r="T27" s="1354"/>
      <c r="U27" s="1357">
        <f>COUNTIFS('refer admin discharge'!N15:N2995,"&gt;=18",'refer admin discharge'!N15:N2995,"&lt;=20",'refer admin discharge'!O15:O2995,"Female",'refer admin discharge'!P15:P2995,"Native Hawaiian / Other Pacific Islander",'refer admin discharge'!AJ15:AJ2995,"NO")</f>
        <v>0</v>
      </c>
      <c r="V27" s="1358"/>
      <c r="W27" s="1353">
        <f>COUNTIFS('refer admin discharge'!N15:N2995,"&gt;=18",'refer admin discharge'!N15:N2995,"&lt;=20",'refer admin discharge'!O15:O2995,"Male",'refer admin discharge'!P15:P2995,"Asian")</f>
        <v>0</v>
      </c>
      <c r="X27" s="1354"/>
      <c r="Y27" s="1357">
        <f>COUNTIFS('refer admin discharge'!N15:N2995,"&gt;=18",'refer admin discharge'!N15:N2995,"&lt;=20",'refer admin discharge'!O15:O2995,"Female",'refer admin discharge'!P15:P2995,"Asian",'refer admin discharge'!AJ15:AJ2995,"NO")</f>
        <v>0</v>
      </c>
      <c r="Z27" s="1358"/>
      <c r="AA27" s="1353">
        <f>COUNTIFS('refer admin discharge'!N15:N2995,"&gt;=18",'refer admin discharge'!N15:N2995,"&lt;=20",'refer admin discharge'!O15:O2995,"Male",'refer admin discharge'!P15:P2995,"American Indian / Alaska Native")</f>
        <v>0</v>
      </c>
      <c r="AB27" s="1354"/>
      <c r="AC27" s="1357">
        <f>COUNTIFS('refer admin discharge'!N15:N2995,"&gt;=18",'refer admin discharge'!N15:N2995,"&lt;=20",'refer admin discharge'!O15:O2995,"Female",'refer admin discharge'!P15:P2995,"American Indian / Alaska Native",'refer admin discharge'!AJ15:AJ2995,"NO")</f>
        <v>0</v>
      </c>
      <c r="AD27" s="1358"/>
      <c r="AE27" s="1353">
        <f>COUNTIFS('refer admin discharge'!N15:N2995,"&gt;=18",'refer admin discharge'!N15:N2995,"&lt;=20",'refer admin discharge'!O15:O2995,"Male",'refer admin discharge'!P15:P2995,"More than one race reported")</f>
        <v>0</v>
      </c>
      <c r="AF27" s="1354"/>
      <c r="AG27" s="1357">
        <f>COUNTIFS('refer admin discharge'!N15:N2995,"&gt;=18",'refer admin discharge'!N15:N2995,"&lt;=20",'refer admin discharge'!O15:O2995,"Female",'refer admin discharge'!P15:P2995,"More than one race reported",'refer admin discharge'!AJ15:AJ2995,"NO")</f>
        <v>0</v>
      </c>
      <c r="AH27" s="1358"/>
      <c r="AI27" s="1353">
        <f>COUNTIFS('refer admin discharge'!N15:N2995,"&gt;=18",'refer admin discharge'!N15:N2995,"&lt;=20",'refer admin discharge'!O15:O2995,"Male",'refer admin discharge'!P15:P2995,"Unknown")</f>
        <v>0</v>
      </c>
      <c r="AJ27" s="1354"/>
      <c r="AK27" s="1357">
        <f>COUNTIFS('refer admin discharge'!N15:N2995,"&gt;=18",'refer admin discharge'!N15:N2995,"&lt;=20",'refer admin discharge'!O15:O2995,"Female",'refer admin discharge'!P15:P2995,"Unknown",'refer admin discharge'!AJ15:AJ2995,"NO")</f>
        <v>0</v>
      </c>
      <c r="AL27" s="1358"/>
      <c r="AM27" s="1363">
        <f t="shared" si="0"/>
        <v>0</v>
      </c>
      <c r="AN27" s="1364"/>
      <c r="AO27" s="1355">
        <f t="shared" si="1"/>
        <v>0</v>
      </c>
      <c r="AP27" s="1356"/>
      <c r="AQ27" s="2"/>
      <c r="AR27" s="1433">
        <f>COUNTIFS('refer admin discharge'!N15:N2995,"&gt;=18",'refer admin discharge'!N15:N2995,"&lt;=20",'refer admin discharge'!O15:O2995,"Male",'refer admin discharge'!R15:R2995,"Not Hispanic or Latino")</f>
        <v>0</v>
      </c>
      <c r="AS27" s="1434"/>
      <c r="AT27" s="1435">
        <f>COUNTIFS('refer admin discharge'!N15:N2995,"&gt;=18",'refer admin discharge'!N15:N2995,"&lt;=20",'refer admin discharge'!O15:O2995,"Female",'refer admin discharge'!R15:R2995,"Not Hispanic or Latino",'refer admin discharge'!AJ15:AJ2995,"NO")</f>
        <v>0</v>
      </c>
      <c r="AU27" s="1436"/>
      <c r="AV27" s="1433">
        <f>COUNTIFS('refer admin discharge'!N15:N2995,"&gt;=18",'refer admin discharge'!N15:N2995,"&lt;=20",'refer admin discharge'!O15:O2995,"Male",'refer admin discharge'!R15:R2995,"Hispanic-Latino ")</f>
        <v>0</v>
      </c>
      <c r="AW27" s="1434"/>
      <c r="AX27" s="1435">
        <f>COUNTIFS('refer admin discharge'!N15:N2995,"&gt;=18",'refer admin discharge'!N15:N2995,"&lt;=20",'refer admin discharge'!O15:O2995,"Female",'refer admin discharge'!R15:R2995,"Hispanic-Latino ",'refer admin discharge'!AJ15:AJ2995,"NO")</f>
        <v>0</v>
      </c>
      <c r="AY27" s="1436"/>
      <c r="AZ27" s="1433">
        <f>COUNTIFS('refer admin discharge'!N15:N2995,"&gt;=18",'refer admin discharge'!N15:N2995,"&lt;=20",'refer admin discharge'!O15:O2995,"Male",'refer admin discharge'!R15:R2995,"Unknown")</f>
        <v>0</v>
      </c>
      <c r="BA27" s="1434"/>
      <c r="BB27" s="1435">
        <f>COUNTIFS('refer admin discharge'!N15:N2995,"&gt;=18",'refer admin discharge'!N15:N2995,"&lt;=20",'refer admin discharge'!O15:O2995,"Female",'refer admin discharge'!R15:R2995,"Unknown",'refer admin discharge'!AJ15:AJ2995,"NO")</f>
        <v>0</v>
      </c>
      <c r="BC27" s="1436"/>
      <c r="BD27" s="1437">
        <f t="shared" si="2"/>
        <v>0</v>
      </c>
      <c r="BE27" s="1438"/>
      <c r="BF27" s="1437">
        <f t="shared" si="3"/>
        <v>0</v>
      </c>
      <c r="BG27" s="1438"/>
    </row>
    <row r="28" spans="1:86" x14ac:dyDescent="0.25">
      <c r="A28" s="1375" t="s">
        <v>462</v>
      </c>
      <c r="B28" s="1376"/>
      <c r="C28" s="1376"/>
      <c r="D28" s="1376"/>
      <c r="E28" s="1376"/>
      <c r="F28" s="1376"/>
      <c r="G28" s="1376"/>
      <c r="H28" s="1376"/>
      <c r="I28" s="1376"/>
      <c r="J28" s="1377"/>
      <c r="K28" s="1353">
        <f>COUNTIFS('refer admin discharge'!N15:N2995,"&gt;=21",'refer admin discharge'!N15:N2995,"&lt;=24",'refer admin discharge'!O15:O2995,"Male",'refer admin discharge'!P15:P2995,"White")</f>
        <v>0</v>
      </c>
      <c r="L28" s="1354"/>
      <c r="M28" s="1357">
        <f>COUNTIFS('refer admin discharge'!N15:N2995,"&gt;=21",'refer admin discharge'!N15:N2995,"&lt;=24",'refer admin discharge'!O15:O2995,"Female",'refer admin discharge'!P15:P2995,"White",'refer admin discharge'!AJ15:AJ2995,"NO")</f>
        <v>0</v>
      </c>
      <c r="N28" s="1358"/>
      <c r="O28" s="1353">
        <f>COUNTIFS('refer admin discharge'!N15:N2995,"&gt;=21",'refer admin discharge'!N15:N2995,"&lt;=24",'refer admin discharge'!O15:O2995,"Male",'refer admin discharge'!P15:P2995,"African American /Black")</f>
        <v>0</v>
      </c>
      <c r="P28" s="1354"/>
      <c r="Q28" s="1357">
        <f>COUNTIFS('refer admin discharge'!N15:N2995,"&gt;=21",'refer admin discharge'!N15:N2995,"&lt;=24",'refer admin discharge'!O15:O2995,"Female",'refer admin discharge'!P15:P2995,"African American /Black",'refer admin discharge'!AJ15:AJ2995,"NO")</f>
        <v>0</v>
      </c>
      <c r="R28" s="1358"/>
      <c r="S28" s="1353">
        <f>COUNTIFS('refer admin discharge'!N15:N2995,"&gt;=21",'refer admin discharge'!N15:N2995,"&lt;=24",'refer admin discharge'!O15:O2995,"Male",'refer admin discharge'!P15:P2995,"Native Hawaiian / Other Pacific Islander")</f>
        <v>0</v>
      </c>
      <c r="T28" s="1354"/>
      <c r="U28" s="1357">
        <f>COUNTIFS('refer admin discharge'!N15:N2995,"&gt;=21",'refer admin discharge'!N15:N2995,"&lt;=24",'refer admin discharge'!O15:O2995,"Female",'refer admin discharge'!P15:P2995,"Native Hawaiian / Other Pacific Islander",'refer admin discharge'!AJ15:AJ2995,"NO")</f>
        <v>0</v>
      </c>
      <c r="V28" s="1358"/>
      <c r="W28" s="1353">
        <f>COUNTIFS('refer admin discharge'!N15:N2995,"&gt;=21",'refer admin discharge'!N15:N2995,"&lt;=24",'refer admin discharge'!O15:O2995,"Male",'refer admin discharge'!P15:P2995,"Asian")</f>
        <v>0</v>
      </c>
      <c r="X28" s="1354"/>
      <c r="Y28" s="1357">
        <f>COUNTIFS('refer admin discharge'!N15:N2995,"&gt;=21",'refer admin discharge'!N15:N2995,"&lt;=24",'refer admin discharge'!O15:O2995,"Female",'refer admin discharge'!P15:P2995,"Asian",'refer admin discharge'!AJ15:AJ2995,"NO")</f>
        <v>0</v>
      </c>
      <c r="Z28" s="1358"/>
      <c r="AA28" s="1353">
        <f>COUNTIFS('refer admin discharge'!N15:N2995,"&gt;=21",'refer admin discharge'!N15:N2995,"&lt;=24",'refer admin discharge'!O15:O2995,"Male",'refer admin discharge'!P15:P2995,"American Indian / Alaska Native")</f>
        <v>0</v>
      </c>
      <c r="AB28" s="1354"/>
      <c r="AC28" s="1357">
        <f>COUNTIFS('refer admin discharge'!N15:N2995,"&gt;=21",'refer admin discharge'!N15:N2995,"&lt;=24",'refer admin discharge'!O15:O2995,"Female",'refer admin discharge'!P15:P2995,"American Indian / Alaska Native",'refer admin discharge'!AJ15:AJ2995,"NO")</f>
        <v>0</v>
      </c>
      <c r="AD28" s="1358"/>
      <c r="AE28" s="1353">
        <f>COUNTIFS('refer admin discharge'!N15:N2995,"&gt;=21",'refer admin discharge'!N15:N2995,"&lt;=24",'refer admin discharge'!O15:O2995,"Male",'refer admin discharge'!P15:P2995,"More than one race reported")</f>
        <v>0</v>
      </c>
      <c r="AF28" s="1354"/>
      <c r="AG28" s="1357">
        <f>COUNTIFS('refer admin discharge'!N15:N2995,"&gt;=21",'refer admin discharge'!N15:N2995,"&lt;=24",'refer admin discharge'!O15:O2995,"Female",'refer admin discharge'!P15:P2995,"More than one race reported",'refer admin discharge'!AJ15:AJ2995,"NO")</f>
        <v>0</v>
      </c>
      <c r="AH28" s="1358"/>
      <c r="AI28" s="1353">
        <f>COUNTIFS('refer admin discharge'!N15:N2995,"&gt;=21",'refer admin discharge'!N15:N2995,"&lt;=24",'refer admin discharge'!O15:O2995,"Male",'refer admin discharge'!P15:P2995,"Unknown")</f>
        <v>0</v>
      </c>
      <c r="AJ28" s="1354"/>
      <c r="AK28" s="1357">
        <f>COUNTIFS('refer admin discharge'!N15:N2995,"&gt;=21",'refer admin discharge'!N15:N2995,"&lt;=24",'refer admin discharge'!O15:O2995,"Female",'refer admin discharge'!P15:P2995,"Unknown",'refer admin discharge'!AJ15:AJ2995,"NO")</f>
        <v>0</v>
      </c>
      <c r="AL28" s="1358"/>
      <c r="AM28" s="1363">
        <f t="shared" si="0"/>
        <v>0</v>
      </c>
      <c r="AN28" s="1364"/>
      <c r="AO28" s="1355">
        <f t="shared" si="1"/>
        <v>0</v>
      </c>
      <c r="AP28" s="1356"/>
      <c r="AQ28" s="2"/>
      <c r="AR28" s="1433">
        <f>COUNTIFS('refer admin discharge'!N15:N2995,"&gt;=21",'refer admin discharge'!N15:N2995,"&lt;=24",'refer admin discharge'!O15:O2995,"Male",'refer admin discharge'!R15:R2995,"Not Hispanic or Latino")</f>
        <v>0</v>
      </c>
      <c r="AS28" s="1434"/>
      <c r="AT28" s="1435">
        <f>COUNTIFS('refer admin discharge'!N15:N2995,"&gt;=21",'refer admin discharge'!N15:N2995,"&lt;=24",'refer admin discharge'!O15:O2995,"Female",'refer admin discharge'!R15:R2995,"Not Hispanic or Latino",'refer admin discharge'!AJ15:AJ2995,"NO")</f>
        <v>0</v>
      </c>
      <c r="AU28" s="1436"/>
      <c r="AV28" s="1433">
        <f>COUNTIFS('refer admin discharge'!N15:N2995,"&gt;=21",'refer admin discharge'!N15:N2995,"&lt;=24",'refer admin discharge'!O15:O2995,"Male",'refer admin discharge'!R15:R2995,"Hispanic-Latino ")</f>
        <v>0</v>
      </c>
      <c r="AW28" s="1434"/>
      <c r="AX28" s="1435">
        <f>COUNTIFS('refer admin discharge'!N15:N2995,"&gt;=21",'refer admin discharge'!N15:N2995,"&lt;=24",'refer admin discharge'!O15:O2995,"Female",'refer admin discharge'!R15:R2995,"Hispanic-Latino ",'refer admin discharge'!AJ15:AJ2995,"NO")</f>
        <v>0</v>
      </c>
      <c r="AY28" s="1436"/>
      <c r="AZ28" s="1433">
        <f>COUNTIFS('refer admin discharge'!N15:N2995,"&gt;=21",'refer admin discharge'!N15:N2995,"&lt;=24",'refer admin discharge'!O15:O2995,"Male",'refer admin discharge'!R15:R2995,"Unknown")</f>
        <v>0</v>
      </c>
      <c r="BA28" s="1434"/>
      <c r="BB28" s="1435">
        <f>COUNTIFS('refer admin discharge'!N15:N2995,"&gt;=21",'refer admin discharge'!N15:N2995,"&lt;=24",'refer admin discharge'!O15:O2995,"Female",'refer admin discharge'!R15:R2995,"Unknown",'refer admin discharge'!AJ15:AJ2995,"NO")</f>
        <v>0</v>
      </c>
      <c r="BC28" s="1436"/>
      <c r="BD28" s="1437">
        <f t="shared" si="2"/>
        <v>0</v>
      </c>
      <c r="BE28" s="1438"/>
      <c r="BF28" s="1437">
        <f t="shared" si="3"/>
        <v>0</v>
      </c>
      <c r="BG28" s="1438"/>
    </row>
    <row r="29" spans="1:86" x14ac:dyDescent="0.25">
      <c r="A29" s="1375" t="s">
        <v>463</v>
      </c>
      <c r="B29" s="1376"/>
      <c r="C29" s="1376"/>
      <c r="D29" s="1376"/>
      <c r="E29" s="1376"/>
      <c r="F29" s="1376"/>
      <c r="G29" s="1376"/>
      <c r="H29" s="1376"/>
      <c r="I29" s="1376"/>
      <c r="J29" s="1377"/>
      <c r="K29" s="1353">
        <f>COUNTIFS('refer admin discharge'!N15:N2995,"&gt;=25",'refer admin discharge'!N15:N2995,"&lt;=44",'refer admin discharge'!O15:O2995,"Male",'refer admin discharge'!P15:P2995,"White")</f>
        <v>0</v>
      </c>
      <c r="L29" s="1354"/>
      <c r="M29" s="1357">
        <f>COUNTIFS('refer admin discharge'!N15:N2995,"&gt;=25",'refer admin discharge'!N15:N2995,"&lt;=44",'refer admin discharge'!O15:O2995,"Female",'refer admin discharge'!P15:P2995,"White",'refer admin discharge'!AJ15:AJ2995,"NO")</f>
        <v>0</v>
      </c>
      <c r="N29" s="1358"/>
      <c r="O29" s="1353">
        <f>COUNTIFS('refer admin discharge'!N15:N2995,"&gt;=25",'refer admin discharge'!N15:N2995,"&lt;=44",'refer admin discharge'!O15:O2995,"Male",'refer admin discharge'!P15:P2995,"African American /Black")</f>
        <v>0</v>
      </c>
      <c r="P29" s="1354"/>
      <c r="Q29" s="1357">
        <f>COUNTIFS('refer admin discharge'!N15:N2995,"&gt;=25",'refer admin discharge'!N15:N2995,"&lt;=44",'refer admin discharge'!O15:O2995,"Female",'refer admin discharge'!P15:P2995,"African American /Black",'refer admin discharge'!AJ15:AJ2995,"NO")</f>
        <v>0</v>
      </c>
      <c r="R29" s="1358"/>
      <c r="S29" s="1353">
        <f>COUNTIFS('refer admin discharge'!N15:N2995,"&gt;=25",'refer admin discharge'!N15:N2995,"&lt;=44",'refer admin discharge'!O15:O2995,"Male",'refer admin discharge'!P15:P2995,"Native Hawaiian / Other Pacific Islander")</f>
        <v>0</v>
      </c>
      <c r="T29" s="1354"/>
      <c r="U29" s="1357">
        <f>COUNTIFS('refer admin discharge'!N15:N2995,"&gt;=25",'refer admin discharge'!N15:N2995,"&lt;=44",'refer admin discharge'!O15:O2995,"Female",'refer admin discharge'!P15:P2995,"Native Hawaiian / Other Pacific Islander",'refer admin discharge'!AJ15:AJ2995,"NO")</f>
        <v>0</v>
      </c>
      <c r="V29" s="1358"/>
      <c r="W29" s="1353">
        <f>COUNTIFS('refer admin discharge'!N15:N2995,"&gt;=25",'refer admin discharge'!N15:N2995,"&lt;=44",'refer admin discharge'!O15:O2995,"Male",'refer admin discharge'!P15:P2995,"Asian")</f>
        <v>0</v>
      </c>
      <c r="X29" s="1354"/>
      <c r="Y29" s="1357">
        <f>COUNTIFS('refer admin discharge'!N15:N2995,"&gt;=25",'refer admin discharge'!N15:N2995,"&lt;=44",'refer admin discharge'!O15:O2995,"Female",'refer admin discharge'!P15:P2995,"Asian",'refer admin discharge'!AJ15:AJ2995,"NO")</f>
        <v>0</v>
      </c>
      <c r="Z29" s="1358"/>
      <c r="AA29" s="1353">
        <f>COUNTIFS('refer admin discharge'!N15:N2995,"&gt;=25",'refer admin discharge'!N15:N2995,"&lt;=44",'refer admin discharge'!O15:O2995,"Male",'refer admin discharge'!P15:P2995,"American Indian / Alaska Native")</f>
        <v>0</v>
      </c>
      <c r="AB29" s="1354"/>
      <c r="AC29" s="1357">
        <f>COUNTIFS('refer admin discharge'!N15:N2995,"&gt;=25",'refer admin discharge'!N15:N2995,"&lt;=44",'refer admin discharge'!O15:O2995,"Female",'refer admin discharge'!P15:P2995,"American Indian / Alaska Native",'refer admin discharge'!AJ15:AJ2995,"NO")</f>
        <v>0</v>
      </c>
      <c r="AD29" s="1358"/>
      <c r="AE29" s="1353">
        <f>COUNTIFS('refer admin discharge'!N15:N2995,"&gt;=25",'refer admin discharge'!N15:N2995,"&lt;=44",'refer admin discharge'!O15:O2995,"Male",'refer admin discharge'!P15:P2995,"More than one race reported")</f>
        <v>0</v>
      </c>
      <c r="AF29" s="1354"/>
      <c r="AG29" s="1357">
        <f>COUNTIFS('refer admin discharge'!N15:N2995,"&gt;=25",'refer admin discharge'!N15:N2995,"&lt;=44",'refer admin discharge'!O15:O2995,"Female",'refer admin discharge'!P15:P2995,"More than one race reported",'refer admin discharge'!AJ15:AJ2995,"NO")</f>
        <v>0</v>
      </c>
      <c r="AH29" s="1358"/>
      <c r="AI29" s="1353">
        <f>COUNTIFS('refer admin discharge'!N15:N2995,"&gt;=25",'refer admin discharge'!N15:N2995,"&lt;=44",'refer admin discharge'!O15:O2995,"Male",'refer admin discharge'!P15:P2995,"Unknown")</f>
        <v>0</v>
      </c>
      <c r="AJ29" s="1354"/>
      <c r="AK29" s="1357">
        <f>COUNTIFS('refer admin discharge'!N15:N2995,"&gt;=25",'refer admin discharge'!N15:N2995,"&lt;=44",'refer admin discharge'!O15:O2995,"Female",'refer admin discharge'!P15:P2995,"Unknown",'refer admin discharge'!AJ15:AJ2995,"NO")</f>
        <v>0</v>
      </c>
      <c r="AL29" s="1358"/>
      <c r="AM29" s="1363">
        <f t="shared" si="0"/>
        <v>0</v>
      </c>
      <c r="AN29" s="1364"/>
      <c r="AO29" s="1355">
        <f t="shared" si="1"/>
        <v>0</v>
      </c>
      <c r="AP29" s="1356"/>
      <c r="AQ29" s="2"/>
      <c r="AR29" s="1433">
        <f>COUNTIFS('refer admin discharge'!N15:N2995,"&gt;=25",'refer admin discharge'!N15:N2995,"&lt;=44",'refer admin discharge'!O15:O2995,"Male",'refer admin discharge'!R15:R2995,"Not Hispanic or Latino")</f>
        <v>0</v>
      </c>
      <c r="AS29" s="1434"/>
      <c r="AT29" s="1435">
        <f>COUNTIFS('refer admin discharge'!N15:N2995,"&gt;=25",'refer admin discharge'!N15:N2995,"&lt;=44",'refer admin discharge'!O15:O2995,"Female",'refer admin discharge'!R15:R2995,"Not Hispanic or Latino",'refer admin discharge'!AJ15:AJ2995,"NO")</f>
        <v>0</v>
      </c>
      <c r="AU29" s="1436"/>
      <c r="AV29" s="1433">
        <f>COUNTIFS('refer admin discharge'!N15:N2995,"&gt;=25",'refer admin discharge'!N15:N2995,"&lt;=44",'refer admin discharge'!O15:O2995,"Male",'refer admin discharge'!R15:R2995,"Hispanic-Latino ")</f>
        <v>0</v>
      </c>
      <c r="AW29" s="1434"/>
      <c r="AX29" s="1435">
        <f>COUNTIFS('refer admin discharge'!N15:N2995,"&gt;=25",'refer admin discharge'!N15:N2995,"&lt;=44",'refer admin discharge'!O15:O2995,"Female",'refer admin discharge'!R15:R2995,"Hispanic-Latino ",'refer admin discharge'!AJ15:AJ2995,"NO")</f>
        <v>0</v>
      </c>
      <c r="AY29" s="1436"/>
      <c r="AZ29" s="1433">
        <f>COUNTIFS('refer admin discharge'!N15:N2995,"&gt;=25",'refer admin discharge'!N15:N2995,"&lt;=44",'refer admin discharge'!O15:O2995,"Male",'refer admin discharge'!R15:R2995,"Unknown")</f>
        <v>0</v>
      </c>
      <c r="BA29" s="1434"/>
      <c r="BB29" s="1435">
        <f>COUNTIFS('refer admin discharge'!N15:N2995,"&gt;=25",'refer admin discharge'!N15:N2995,"&lt;=44",'refer admin discharge'!O15:O2995,"Female",'refer admin discharge'!R15:R2995,"Unknown",'refer admin discharge'!AJ15:AJ2995,"NO")</f>
        <v>0</v>
      </c>
      <c r="BC29" s="1436"/>
      <c r="BD29" s="1437">
        <f t="shared" si="2"/>
        <v>0</v>
      </c>
      <c r="BE29" s="1438"/>
      <c r="BF29" s="1437">
        <f t="shared" si="3"/>
        <v>0</v>
      </c>
      <c r="BG29" s="1438"/>
    </row>
    <row r="30" spans="1:86" x14ac:dyDescent="0.25">
      <c r="A30" s="1375" t="s">
        <v>464</v>
      </c>
      <c r="B30" s="1376"/>
      <c r="C30" s="1376"/>
      <c r="D30" s="1376"/>
      <c r="E30" s="1376"/>
      <c r="F30" s="1376"/>
      <c r="G30" s="1376"/>
      <c r="H30" s="1376"/>
      <c r="I30" s="1376"/>
      <c r="J30" s="1377"/>
      <c r="K30" s="1353">
        <f>COUNTIFS('refer admin discharge'!N15:N2995,"&gt;=45",'refer admin discharge'!N15:N2995,"&lt;=64",'refer admin discharge'!O15:O2995,"Male",'refer admin discharge'!P15:P2995,"White")</f>
        <v>0</v>
      </c>
      <c r="L30" s="1354"/>
      <c r="M30" s="1357">
        <f>COUNTIFS('refer admin discharge'!N15:N2995,"&gt;=45",'refer admin discharge'!N15:N2995,"&lt;=64",'refer admin discharge'!O15:O2995,"Female",'refer admin discharge'!P15:P2995,"White",'refer admin discharge'!AJ15:AJ2995,"NO")</f>
        <v>0</v>
      </c>
      <c r="N30" s="1358"/>
      <c r="O30" s="1353">
        <f>COUNTIFS('refer admin discharge'!N15:N2995,"&gt;=45",'refer admin discharge'!N15:N2995,"&lt;=64",'refer admin discharge'!O15:O2995,"Male",'refer admin discharge'!P15:P2995,"African American /Black")</f>
        <v>0</v>
      </c>
      <c r="P30" s="1354"/>
      <c r="Q30" s="1357">
        <f>COUNTIFS('refer admin discharge'!N15:N2995,"&gt;=45",'refer admin discharge'!N15:N2995,"&lt;=64",'refer admin discharge'!O15:O2995,"Female",'refer admin discharge'!P15:P2995,"African American /Black",'refer admin discharge'!AJ15:AJ2995,"NO")</f>
        <v>0</v>
      </c>
      <c r="R30" s="1358"/>
      <c r="S30" s="1353">
        <f>COUNTIFS('refer admin discharge'!N15:N2995,"&gt;=45",'refer admin discharge'!N15:N2995,"&lt;=64",'refer admin discharge'!O15:O2995,"Male",'refer admin discharge'!P15:P2995,"Native Hawaiian / Other Pacific Islander")</f>
        <v>0</v>
      </c>
      <c r="T30" s="1354"/>
      <c r="U30" s="1357">
        <f>COUNTIFS('refer admin discharge'!N15:N2995,"&gt;=45",'refer admin discharge'!N15:N2995,"&lt;=64",'refer admin discharge'!O15:O2995,"Female",'refer admin discharge'!P15:P2995,"Native Hawaiian / Other Pacific Islander",'refer admin discharge'!AJ15:AJ2995,"NO")</f>
        <v>0</v>
      </c>
      <c r="V30" s="1358"/>
      <c r="W30" s="1353">
        <f>COUNTIFS('refer admin discharge'!N15:N2995,"&gt;=45",'refer admin discharge'!N15:N2995,"&lt;=64",'refer admin discharge'!O15:O2995,"Male",'refer admin discharge'!P15:P2995,"Asian")</f>
        <v>0</v>
      </c>
      <c r="X30" s="1354"/>
      <c r="Y30" s="1357">
        <f>COUNTIFS('refer admin discharge'!N15:N2995,"&gt;=45",'refer admin discharge'!N15:N2995,"&lt;=64",'refer admin discharge'!O15:O2995,"Female",'refer admin discharge'!P15:P2995,"Asian",'refer admin discharge'!AJ15:AJ2995,"NO")</f>
        <v>0</v>
      </c>
      <c r="Z30" s="1358"/>
      <c r="AA30" s="1353">
        <f>COUNTIFS('refer admin discharge'!N15:N2995,"&gt;=45",'refer admin discharge'!N15:N2995,"&lt;=64",'refer admin discharge'!O15:O2995,"Male",'refer admin discharge'!P15:P2995,"American Indian / Alaska Native")</f>
        <v>0</v>
      </c>
      <c r="AB30" s="1354"/>
      <c r="AC30" s="1357">
        <f>COUNTIFS('refer admin discharge'!N15:N2995,"&gt;=45",'refer admin discharge'!N15:N2995,"&lt;=64",'refer admin discharge'!O15:O2995,"Female",'refer admin discharge'!P15:P2995,"American Indian / Alaska Native",'refer admin discharge'!AJ15:AJ2995,"NO")</f>
        <v>0</v>
      </c>
      <c r="AD30" s="1358"/>
      <c r="AE30" s="1353">
        <f>COUNTIFS('refer admin discharge'!N15:N2995,"&gt;=45",'refer admin discharge'!N15:N2995,"&lt;=64",'refer admin discharge'!O15:O2995,"Male",'refer admin discharge'!P15:P2995,"More than one race reported")</f>
        <v>0</v>
      </c>
      <c r="AF30" s="1354"/>
      <c r="AG30" s="1357">
        <f>COUNTIFS('refer admin discharge'!N15:N2995,"&gt;=45",'refer admin discharge'!N15:N2995,"&lt;=64",'refer admin discharge'!O15:O2995,"Female",'refer admin discharge'!P15:P2995,"More than one race reported",'refer admin discharge'!AJ15:AJ2995,"NO")</f>
        <v>0</v>
      </c>
      <c r="AH30" s="1358"/>
      <c r="AI30" s="1353">
        <f>COUNTIFS('refer admin discharge'!N15:N2995,"&gt;=45",'refer admin discharge'!N15:N2995,"&lt;=64",'refer admin discharge'!O15:O2995,"Male",'refer admin discharge'!P15:P2995,"Unknown")</f>
        <v>0</v>
      </c>
      <c r="AJ30" s="1354"/>
      <c r="AK30" s="1357">
        <f>COUNTIFS('refer admin discharge'!N15:N2995,"&gt;=45",'refer admin discharge'!N15:N2995,"&lt;=64",'refer admin discharge'!O15:O2995,"Female",'refer admin discharge'!P15:P2995,"Unknown",'refer admin discharge'!AJ15:AJ2995,"NO")</f>
        <v>0</v>
      </c>
      <c r="AL30" s="1358"/>
      <c r="AM30" s="1363">
        <f t="shared" si="0"/>
        <v>0</v>
      </c>
      <c r="AN30" s="1364"/>
      <c r="AO30" s="1355">
        <f t="shared" si="1"/>
        <v>0</v>
      </c>
      <c r="AP30" s="1356"/>
      <c r="AQ30" s="2"/>
      <c r="AR30" s="1433">
        <f>COUNTIFS('refer admin discharge'!N15:N2995,"&gt;=45",'refer admin discharge'!N15:N2995,"&lt;=64",'refer admin discharge'!O15:O2995,"Male",'refer admin discharge'!R15:R2995,"Not Hispanic or Latino")</f>
        <v>0</v>
      </c>
      <c r="AS30" s="1434"/>
      <c r="AT30" s="1435">
        <f>COUNTIFS('refer admin discharge'!N15:N2995,"&gt;=45",'refer admin discharge'!N15:N2995,"&lt;=64",'refer admin discharge'!O15:O2995,"Female",'refer admin discharge'!R15:R2995,"Not Hispanic or Latino",'refer admin discharge'!AJ15:AJ2995,"NO")</f>
        <v>0</v>
      </c>
      <c r="AU30" s="1436"/>
      <c r="AV30" s="1433">
        <f>COUNTIFS('refer admin discharge'!N15:N2995,"&gt;=45",'refer admin discharge'!N15:N2995,"&lt;=64",'refer admin discharge'!O15:O2995,"Male",'refer admin discharge'!R15:R2995,"Hispanic-Latino ")</f>
        <v>0</v>
      </c>
      <c r="AW30" s="1434"/>
      <c r="AX30" s="1435">
        <f>COUNTIFS('refer admin discharge'!N15:N2995,"&gt;=45",'refer admin discharge'!N15:N2995,"&lt;=64",'refer admin discharge'!O15:O2995,"Female",'refer admin discharge'!R15:R2995,"Hispanic-Latino ",'refer admin discharge'!AJ15:AJ2995,"NO")</f>
        <v>0</v>
      </c>
      <c r="AY30" s="1436"/>
      <c r="AZ30" s="1433">
        <f>COUNTIFS('refer admin discharge'!N15:N2995,"&gt;=45",'refer admin discharge'!N15:N2995,"&lt;=64",'refer admin discharge'!O15:O2995,"Male",'refer admin discharge'!R15:R2995,"Unknown")</f>
        <v>0</v>
      </c>
      <c r="BA30" s="1434"/>
      <c r="BB30" s="1435">
        <f>COUNTIFS('refer admin discharge'!N15:N2995,"&gt;=45",'refer admin discharge'!N15:N2995,"&lt;=64",'refer admin discharge'!O15:O2995,"Female",'refer admin discharge'!R15:R2995,"Unknown",'refer admin discharge'!AJ15:AJ2995,"NO")</f>
        <v>0</v>
      </c>
      <c r="BC30" s="1436"/>
      <c r="BD30" s="1437">
        <f t="shared" si="2"/>
        <v>0</v>
      </c>
      <c r="BE30" s="1438"/>
      <c r="BF30" s="1437">
        <f t="shared" si="3"/>
        <v>0</v>
      </c>
      <c r="BG30" s="1438"/>
    </row>
    <row r="31" spans="1:86" x14ac:dyDescent="0.25">
      <c r="A31" s="1375" t="s">
        <v>465</v>
      </c>
      <c r="B31" s="1376"/>
      <c r="C31" s="1376"/>
      <c r="D31" s="1376"/>
      <c r="E31" s="1376"/>
      <c r="F31" s="1376"/>
      <c r="G31" s="1376"/>
      <c r="H31" s="1376"/>
      <c r="I31" s="1376"/>
      <c r="J31" s="1377"/>
      <c r="K31" s="1353">
        <f>COUNTIFS('refer admin discharge'!N15:N2995,"&gt;=65",'refer admin discharge'!N15:N2995,"&lt;=74",'refer admin discharge'!O15:O2995,"Male",'refer admin discharge'!P15:P2995,"White")</f>
        <v>0</v>
      </c>
      <c r="L31" s="1354"/>
      <c r="M31" s="1357">
        <f>COUNTIFS('refer admin discharge'!N15:N2995,"&gt;=65",'refer admin discharge'!N15:N2995,"&lt;=74",'refer admin discharge'!O15:O2995,"Female",'refer admin discharge'!P15:P2995,"White",'refer admin discharge'!AJ15:AJ2995,"NO")</f>
        <v>0</v>
      </c>
      <c r="N31" s="1358"/>
      <c r="O31" s="1353">
        <f>COUNTIFS('refer admin discharge'!N15:N2995,"&gt;=65",'refer admin discharge'!N15:N2995,"&lt;=74",'refer admin discharge'!O15:O2995,"Male",'refer admin discharge'!P15:P2995,"African American /Black")</f>
        <v>0</v>
      </c>
      <c r="P31" s="1354"/>
      <c r="Q31" s="1357">
        <f>COUNTIFS('refer admin discharge'!N15:N2995,"&gt;=65",'refer admin discharge'!N15:N2995,"&lt;=74",'refer admin discharge'!O15:O2995,"Female",'refer admin discharge'!P15:P2995,"African American /Black",'refer admin discharge'!AJ15:AJ2995,"NO")</f>
        <v>0</v>
      </c>
      <c r="R31" s="1358"/>
      <c r="S31" s="1353">
        <f>COUNTIFS('refer admin discharge'!N15:N2995,"&gt;=65",'refer admin discharge'!N15:N2995,"&lt;=74",'refer admin discharge'!O15:O2995,"Male",'refer admin discharge'!P15:P2995,"Native Hawaiian / Other Pacific Islander")</f>
        <v>0</v>
      </c>
      <c r="T31" s="1354"/>
      <c r="U31" s="1357">
        <f>COUNTIFS('refer admin discharge'!N15:N2995,"&gt;=65",'refer admin discharge'!N15:N2995,"&lt;=74",'refer admin discharge'!O15:O2995,"Female",'refer admin discharge'!P15:P2995,"Native Hawaiian / Other Pacific Islander",'refer admin discharge'!AJ15:AJ2995,"NO")</f>
        <v>0</v>
      </c>
      <c r="V31" s="1358"/>
      <c r="W31" s="1353">
        <f>COUNTIFS('refer admin discharge'!N15:N2995,"&gt;=65",'refer admin discharge'!N15:N2995,"&lt;=74",'refer admin discharge'!O15:O2995,"Male",'refer admin discharge'!P15:P2995,"Asian")</f>
        <v>0</v>
      </c>
      <c r="X31" s="1354"/>
      <c r="Y31" s="1357">
        <f>COUNTIFS('refer admin discharge'!N15:N2995,"&gt;=65",'refer admin discharge'!N15:N2995,"&lt;=74",'refer admin discharge'!O15:O2995,"Female",'refer admin discharge'!P15:P2995,"Asian",'refer admin discharge'!AJ15:AJ2995,"NO")</f>
        <v>0</v>
      </c>
      <c r="Z31" s="1358"/>
      <c r="AA31" s="1353">
        <f>COUNTIFS('refer admin discharge'!N15:N2995,"&gt;=65",'refer admin discharge'!N15:N2995,"&lt;=74",'refer admin discharge'!O15:O2995,"Male",'refer admin discharge'!P15:P2995,"American Indian / Alaska Native")</f>
        <v>0</v>
      </c>
      <c r="AB31" s="1354"/>
      <c r="AC31" s="1357">
        <f>COUNTIFS('refer admin discharge'!N15:N2995,"&gt;=65",'refer admin discharge'!N15:N2995,"&lt;=74",'refer admin discharge'!O15:O2995,"Female",'refer admin discharge'!P15:P2995,"American Indian / Alaska Native",'refer admin discharge'!AJ15:AJ2995,"NO")</f>
        <v>0</v>
      </c>
      <c r="AD31" s="1358"/>
      <c r="AE31" s="1353">
        <f>COUNTIFS('refer admin discharge'!N15:N2995,"&gt;=65",'refer admin discharge'!N15:N2995,"&lt;=74",'refer admin discharge'!O15:O2995,"Male",'refer admin discharge'!P15:P2995,"More than one race reported")</f>
        <v>0</v>
      </c>
      <c r="AF31" s="1354"/>
      <c r="AG31" s="1357">
        <f>COUNTIFS('refer admin discharge'!N15:N2995,"&gt;=65",'refer admin discharge'!N15:N2995,"&lt;=74",'refer admin discharge'!O15:O2995,"Female",'refer admin discharge'!P15:P2995,"More than one race reported",'refer admin discharge'!AJ15:AJ2995,"NO")</f>
        <v>0</v>
      </c>
      <c r="AH31" s="1358"/>
      <c r="AI31" s="1353">
        <f>COUNTIFS('refer admin discharge'!N15:N2995,"&gt;=65",'refer admin discharge'!N15:N2995,"&lt;=74",'refer admin discharge'!O15:O2995,"Male",'refer admin discharge'!P15:P2995,"Unknown")</f>
        <v>0</v>
      </c>
      <c r="AJ31" s="1354"/>
      <c r="AK31" s="1357">
        <f>COUNTIFS('refer admin discharge'!N15:N2995,"&gt;=65",'refer admin discharge'!N15:N2995,"&lt;=74",'refer admin discharge'!O15:O2995,"Female",'refer admin discharge'!P15:P2995,"Unknown",'refer admin discharge'!AJ15:AJ2995,"NO")</f>
        <v>0</v>
      </c>
      <c r="AL31" s="1358"/>
      <c r="AM31" s="1363">
        <f t="shared" si="0"/>
        <v>0</v>
      </c>
      <c r="AN31" s="1364"/>
      <c r="AO31" s="1355">
        <f t="shared" si="1"/>
        <v>0</v>
      </c>
      <c r="AP31" s="1356"/>
      <c r="AQ31" s="2"/>
      <c r="AR31" s="1433">
        <f>COUNTIFS('refer admin discharge'!N15:N2995,"&gt;=65",'refer admin discharge'!N15:N2995,"&lt;=74",'refer admin discharge'!O15:O2995,"Male",'refer admin discharge'!R15:R2995,"Not Hispanic or Latino")</f>
        <v>0</v>
      </c>
      <c r="AS31" s="1434"/>
      <c r="AT31" s="1435">
        <f>COUNTIFS('refer admin discharge'!N15:N2995,"&gt;=65",'refer admin discharge'!N15:N2995,"&lt;=74",'refer admin discharge'!O15:O2995,"Female",'refer admin discharge'!R15:R2995,"Not Hispanic or Latino",'refer admin discharge'!AJ15:AJ2995,"NO")</f>
        <v>0</v>
      </c>
      <c r="AU31" s="1436"/>
      <c r="AV31" s="1433">
        <f>COUNTIFS('refer admin discharge'!N15:N2995,"&gt;=65",'refer admin discharge'!N15:N2995,"&lt;=74",'refer admin discharge'!O15:O2995,"Male",'refer admin discharge'!R15:R2995,"Hispanic-Latino ")</f>
        <v>0</v>
      </c>
      <c r="AW31" s="1434"/>
      <c r="AX31" s="1435">
        <f>COUNTIFS('refer admin discharge'!N15:N2995,"&gt;=65",'refer admin discharge'!N15:N2995,"&lt;=74",'refer admin discharge'!O15:O2995,"Female",'refer admin discharge'!R15:R2995,"Hispanic-Latino ",'refer admin discharge'!AJ15:AJ2995,"NO")</f>
        <v>0</v>
      </c>
      <c r="AY31" s="1436"/>
      <c r="AZ31" s="1433">
        <f>COUNTIFS('refer admin discharge'!N15:N2995,"&gt;=65",'refer admin discharge'!N15:N2995,"&lt;=74",'refer admin discharge'!O15:O2995,"Male",'refer admin discharge'!R15:R2995,"Unknown")</f>
        <v>0</v>
      </c>
      <c r="BA31" s="1434"/>
      <c r="BB31" s="1435">
        <f>COUNTIFS('refer admin discharge'!N15:N2995,"&gt;=65",'refer admin discharge'!N15:N2995,"&lt;=74",'refer admin discharge'!O15:O2995,"Female",'refer admin discharge'!R15:R2995,"Unknown",'refer admin discharge'!AJ15:AJ2995,"NO")</f>
        <v>0</v>
      </c>
      <c r="BC31" s="1436"/>
      <c r="BD31" s="1437">
        <f t="shared" si="2"/>
        <v>0</v>
      </c>
      <c r="BE31" s="1438"/>
      <c r="BF31" s="1437">
        <f t="shared" si="3"/>
        <v>0</v>
      </c>
      <c r="BG31" s="1438"/>
    </row>
    <row r="32" spans="1:86" x14ac:dyDescent="0.25">
      <c r="A32" s="1375" t="s">
        <v>466</v>
      </c>
      <c r="B32" s="1376"/>
      <c r="C32" s="1376"/>
      <c r="D32" s="1376"/>
      <c r="E32" s="1376"/>
      <c r="F32" s="1376"/>
      <c r="G32" s="1376"/>
      <c r="H32" s="1376"/>
      <c r="I32" s="1376"/>
      <c r="J32" s="1377"/>
      <c r="K32" s="1353">
        <f>COUNTIFS('refer admin discharge'!N15:N2995,"&gt;=75",'refer admin discharge'!N15:N2995,"&lt;=150",'refer admin discharge'!O15:O2995,"Male",'refer admin discharge'!P15:P2995,"White")</f>
        <v>0</v>
      </c>
      <c r="L32" s="1354"/>
      <c r="M32" s="1357">
        <f>COUNTIFS('refer admin discharge'!N15:N2995,"&gt;=75",'refer admin discharge'!N15:N2995,"&lt;=150",'refer admin discharge'!O15:O2995,"FEmale",'refer admin discharge'!P15:P2995,"White",'refer admin discharge'!AJ15:AJ2995,"NO")</f>
        <v>0</v>
      </c>
      <c r="N32" s="1358"/>
      <c r="O32" s="1353">
        <f>COUNTIFS('refer admin discharge'!N15:N2995,"&gt;=75",'refer admin discharge'!N15:N2995,"&lt;=150",'refer admin discharge'!O15:O2995,"Male",'refer admin discharge'!P15:P2995,"African American /Black")</f>
        <v>0</v>
      </c>
      <c r="P32" s="1354"/>
      <c r="Q32" s="1357">
        <f>COUNTIFS('refer admin discharge'!N15:N2995,"&gt;=75",'refer admin discharge'!N15:N2995,"&lt;=150",'refer admin discharge'!O15:O2995,"FEmale",'refer admin discharge'!P15:P2995,"African American /Black",'refer admin discharge'!AJ15:AJ2995,"NO")</f>
        <v>0</v>
      </c>
      <c r="R32" s="1358"/>
      <c r="S32" s="1353">
        <f>COUNTIFS('refer admin discharge'!N15:N2995,"&gt;=75",'refer admin discharge'!N15:N2995,"&lt;=150",'refer admin discharge'!O15:O2995,"Male",'refer admin discharge'!P15:P2995,"Native Hawaiian / Other Pacific Islander")</f>
        <v>0</v>
      </c>
      <c r="T32" s="1354"/>
      <c r="U32" s="1357">
        <f>COUNTIFS('refer admin discharge'!N15:N2995,"&gt;=75",'refer admin discharge'!N15:N2995,"&lt;=150",'refer admin discharge'!O15:O2995,"FEmale",'refer admin discharge'!P15:P2995,"Native Hawaiian / Other Pacific Islander",'refer admin discharge'!AJ15:AJ2995,"NO")</f>
        <v>0</v>
      </c>
      <c r="V32" s="1358"/>
      <c r="W32" s="1353">
        <f>COUNTIFS('refer admin discharge'!N15:N2995,"&gt;=75",'refer admin discharge'!N15:N2995,"&lt;=150",'refer admin discharge'!O15:O2995,"Male",'refer admin discharge'!P15:P2995,"Asian")</f>
        <v>0</v>
      </c>
      <c r="X32" s="1354"/>
      <c r="Y32" s="1357">
        <f>COUNTIFS('refer admin discharge'!N15:N2995,"&gt;=75",'refer admin discharge'!N15:N2995,"&lt;=150",'refer admin discharge'!O15:O2995,"Female",'refer admin discharge'!P15:P2995,"Asian",'refer admin discharge'!AJ15:AJ2995,"NO")</f>
        <v>0</v>
      </c>
      <c r="Z32" s="1358"/>
      <c r="AA32" s="1353">
        <f>COUNTIFS('refer admin discharge'!N15:N2995,"&gt;=75",'refer admin discharge'!N15:N2995,"&lt;=150",'refer admin discharge'!O15:O2995,"Male",'refer admin discharge'!P15:P2995,"American Indian / Alaska Native")</f>
        <v>0</v>
      </c>
      <c r="AB32" s="1354"/>
      <c r="AC32" s="1357">
        <f>COUNTIFS('refer admin discharge'!N15:N2995,"&gt;=75",'refer admin discharge'!N15:N2995,"&lt;=150",'refer admin discharge'!O15:O2995,"Female",'refer admin discharge'!P15:P2995,"American Indian / Alaska Native",'refer admin discharge'!AJ15:AJ2995,"NO")</f>
        <v>0</v>
      </c>
      <c r="AD32" s="1358"/>
      <c r="AE32" s="1353">
        <f>COUNTIFS('refer admin discharge'!N15:N2995,"&gt;=75",'refer admin discharge'!N15:N2995,"&lt;=150",'refer admin discharge'!O15:O2995,"Male",'refer admin discharge'!P15:P2995,"More than one race reported")</f>
        <v>0</v>
      </c>
      <c r="AF32" s="1354"/>
      <c r="AG32" s="1357">
        <f>COUNTIFS('refer admin discharge'!N15:N2995,"&gt;=75",'refer admin discharge'!N15:N2995,"&lt;=150",'refer admin discharge'!O15:O2995,"Female",'refer admin discharge'!P15:P2995,"More than one race reported",'refer admin discharge'!AJ15:AJ2995,"NO")</f>
        <v>0</v>
      </c>
      <c r="AH32" s="1358"/>
      <c r="AI32" s="1353">
        <f>COUNTIFS('refer admin discharge'!N15:N2995,"&gt;=75",'refer admin discharge'!N15:N2995,"&lt;=150",'refer admin discharge'!O15:O2995,"Male",'refer admin discharge'!P15:P2995,"Unknown")</f>
        <v>0</v>
      </c>
      <c r="AJ32" s="1354"/>
      <c r="AK32" s="1357">
        <f>COUNTIFS('refer admin discharge'!N15:N2995,"&gt;=75",'refer admin discharge'!N15:N2995,"&lt;=150",'refer admin discharge'!O15:O2995,"Female",'refer admin discharge'!P15:P2995,"Unknown",'refer admin discharge'!AJ15:AJ2995,"NO")</f>
        <v>0</v>
      </c>
      <c r="AL32" s="1358"/>
      <c r="AM32" s="1363">
        <f t="shared" si="0"/>
        <v>0</v>
      </c>
      <c r="AN32" s="1364"/>
      <c r="AO32" s="1355">
        <f t="shared" si="1"/>
        <v>0</v>
      </c>
      <c r="AP32" s="1356"/>
      <c r="AQ32" s="2"/>
      <c r="AR32" s="1433">
        <f>COUNTIFS('refer admin discharge'!N15:N2995,"&gt;=75",'refer admin discharge'!N15:N2995,"&lt;=150",'refer admin discharge'!O15:O2995,"Male",'refer admin discharge'!R15:R2995,"Not Hispanic or Latino")</f>
        <v>0</v>
      </c>
      <c r="AS32" s="1434"/>
      <c r="AT32" s="1435">
        <f>COUNTIFS('refer admin discharge'!N15:N2995,"&gt;=75",'refer admin discharge'!N15:N2995,"&lt;=150",'refer admin discharge'!O15:O2995,"FEmale",'refer admin discharge'!R15:R2995,"Not Hispanic or Latino",'refer admin discharge'!AJ15:AJ2995,"NO")</f>
        <v>0</v>
      </c>
      <c r="AU32" s="1436"/>
      <c r="AV32" s="1433">
        <f>COUNTIFS('refer admin discharge'!N15:N2995,"&gt;=75",'refer admin discharge'!N15:N2995,"&lt;=150",'refer admin discharge'!O15:O2995,"Male",'refer admin discharge'!R15:R2995,"Hispanic-Latino ")</f>
        <v>0</v>
      </c>
      <c r="AW32" s="1434"/>
      <c r="AX32" s="1435">
        <f>COUNTIFS('refer admin discharge'!N15:N2995,"&gt;=75",'refer admin discharge'!N15:N2995,"&lt;=150",'refer admin discharge'!O15:O2995,"Female",'refer admin discharge'!R15:R2995,"Hispanic-Latino ",'refer admin discharge'!AJ15:AJ2995,"NO")</f>
        <v>0</v>
      </c>
      <c r="AY32" s="1436"/>
      <c r="AZ32" s="1433">
        <f>COUNTIFS('refer admin discharge'!N15:N2995,"&gt;=75",'refer admin discharge'!N15:N2995,"&lt;=150",'refer admin discharge'!O15:O2995,"Male",'refer admin discharge'!R15:R2995,"Unknown")</f>
        <v>0</v>
      </c>
      <c r="BA32" s="1434"/>
      <c r="BB32" s="1435">
        <f>COUNTIFS('refer admin discharge'!N15:N2995,"&gt;=75",'refer admin discharge'!N15:N2995,"&lt;=150",'refer admin discharge'!O15:O2995,"FEmale",'refer admin discharge'!R15:R2995,"Unknown",'refer admin discharge'!AJ15:AJ2995,"NO")</f>
        <v>0</v>
      </c>
      <c r="BC32" s="1436"/>
      <c r="BD32" s="1437">
        <f t="shared" si="2"/>
        <v>0</v>
      </c>
      <c r="BE32" s="1438"/>
      <c r="BF32" s="1437">
        <f t="shared" si="3"/>
        <v>0</v>
      </c>
      <c r="BG32" s="1438"/>
    </row>
    <row r="33" spans="1:72" x14ac:dyDescent="0.25">
      <c r="A33" s="1477" t="s">
        <v>390</v>
      </c>
      <c r="B33" s="1478"/>
      <c r="C33" s="1478"/>
      <c r="D33" s="1478"/>
      <c r="E33" s="1478"/>
      <c r="F33" s="1478"/>
      <c r="G33" s="1478"/>
      <c r="H33" s="1478"/>
      <c r="I33" s="1478"/>
      <c r="J33" s="1479"/>
      <c r="K33" s="1402">
        <f>SUM(K25:K32)</f>
        <v>0</v>
      </c>
      <c r="L33" s="1403"/>
      <c r="M33" s="1402">
        <f>SUM(M25:M32)</f>
        <v>0</v>
      </c>
      <c r="N33" s="1403"/>
      <c r="O33" s="1402">
        <f>SUM(O25:O32)</f>
        <v>0</v>
      </c>
      <c r="P33" s="1403"/>
      <c r="Q33" s="1402">
        <f>SUM(Q25:Q32)</f>
        <v>0</v>
      </c>
      <c r="R33" s="1403"/>
      <c r="S33" s="1402">
        <f>SUM(S25:S32)</f>
        <v>0</v>
      </c>
      <c r="T33" s="1403"/>
      <c r="U33" s="1402">
        <f>SUM(U25:U32)</f>
        <v>0</v>
      </c>
      <c r="V33" s="1403"/>
      <c r="W33" s="1402">
        <f>SUM(W25:W32)</f>
        <v>0</v>
      </c>
      <c r="X33" s="1403"/>
      <c r="Y33" s="1402">
        <f>SUM(Y25:Y32)</f>
        <v>0</v>
      </c>
      <c r="Z33" s="1403"/>
      <c r="AA33" s="1402">
        <f>SUM(AA25:AA32)</f>
        <v>0</v>
      </c>
      <c r="AB33" s="1403"/>
      <c r="AC33" s="1402">
        <f>SUM(AC25:AC32)</f>
        <v>0</v>
      </c>
      <c r="AD33" s="1403"/>
      <c r="AE33" s="1402">
        <f>SUM(AE25:AE32)</f>
        <v>0</v>
      </c>
      <c r="AF33" s="1403"/>
      <c r="AG33" s="1402">
        <f>SUM(AG25:AG32)</f>
        <v>0</v>
      </c>
      <c r="AH33" s="1403"/>
      <c r="AI33" s="1402">
        <f>SUM(AI25:AI32)</f>
        <v>0</v>
      </c>
      <c r="AJ33" s="1403"/>
      <c r="AK33" s="1402">
        <f>SUM(AK25:AK32)</f>
        <v>0</v>
      </c>
      <c r="AL33" s="1403"/>
      <c r="AM33" s="1402">
        <f>SUM(AM25:AM32)</f>
        <v>0</v>
      </c>
      <c r="AN33" s="1403"/>
      <c r="AO33" s="1361">
        <f>SUM(AO25:AO32)</f>
        <v>0</v>
      </c>
      <c r="AP33" s="1362"/>
      <c r="AQ33" s="2"/>
      <c r="AR33" s="1448">
        <f>SUM(AR25:AR32)</f>
        <v>0</v>
      </c>
      <c r="AS33" s="1449"/>
      <c r="AT33" s="1448">
        <f>SUM(AT25:AT32)</f>
        <v>0</v>
      </c>
      <c r="AU33" s="1449"/>
      <c r="AV33" s="1448">
        <f>SUM(AV25:AV32)</f>
        <v>0</v>
      </c>
      <c r="AW33" s="1449"/>
      <c r="AX33" s="1448">
        <f>SUM(AX25:AX32)</f>
        <v>0</v>
      </c>
      <c r="AY33" s="1449"/>
      <c r="AZ33" s="1448">
        <f>SUM(AZ25:AZ32)</f>
        <v>0</v>
      </c>
      <c r="BA33" s="1449"/>
      <c r="BB33" s="1448">
        <f>SUM(BB25:BB32)</f>
        <v>0</v>
      </c>
      <c r="BC33" s="1449"/>
      <c r="BD33" s="1448">
        <f>SUM(BD25:BD32)</f>
        <v>0</v>
      </c>
      <c r="BE33" s="1449"/>
      <c r="BF33" s="1448">
        <f>SUM(BF25:BF32)</f>
        <v>0</v>
      </c>
      <c r="BG33" s="1449"/>
    </row>
    <row r="34" spans="1:72" ht="18.75" x14ac:dyDescent="0.3">
      <c r="A34" s="1378" t="s">
        <v>13</v>
      </c>
      <c r="B34" s="1379"/>
      <c r="C34" s="1379"/>
      <c r="D34" s="1379"/>
      <c r="E34" s="1379"/>
      <c r="F34" s="1379"/>
      <c r="G34" s="1379"/>
      <c r="H34" s="1379"/>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80"/>
      <c r="AM34" s="1381">
        <f>AM33+AO33</f>
        <v>0</v>
      </c>
      <c r="AN34" s="1381"/>
      <c r="AO34" s="1381"/>
      <c r="AP34" s="1381"/>
      <c r="AQ34" s="2"/>
      <c r="AR34" s="1482" t="s">
        <v>13</v>
      </c>
      <c r="AS34" s="1482"/>
      <c r="AT34" s="1482"/>
      <c r="AU34" s="1482"/>
      <c r="AV34" s="1482"/>
      <c r="AW34" s="1482"/>
      <c r="AX34" s="1482"/>
      <c r="AY34" s="1482"/>
      <c r="AZ34" s="1482"/>
      <c r="BA34" s="1482"/>
      <c r="BB34" s="1482"/>
      <c r="BC34" s="1482"/>
      <c r="BD34" s="1447">
        <f>BD33+BF33</f>
        <v>0</v>
      </c>
      <c r="BE34" s="1447"/>
      <c r="BF34" s="1447"/>
      <c r="BG34" s="1447"/>
    </row>
    <row r="35" spans="1:72" ht="18.75" x14ac:dyDescent="0.3">
      <c r="A35" s="203"/>
      <c r="B35" s="204"/>
      <c r="C35" s="204"/>
      <c r="D35" s="204"/>
      <c r="E35" s="204"/>
      <c r="F35" s="204"/>
      <c r="G35" s="204"/>
      <c r="H35" s="204"/>
      <c r="I35" s="336"/>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5"/>
      <c r="AM35" s="206"/>
      <c r="AN35" s="206"/>
      <c r="AO35" s="206"/>
      <c r="AP35" s="206"/>
      <c r="AQ35" s="2"/>
      <c r="AR35" s="207"/>
      <c r="AS35" s="207"/>
      <c r="AT35" s="207"/>
      <c r="AU35" s="207"/>
      <c r="AV35" s="207"/>
      <c r="AW35" s="207"/>
      <c r="AX35" s="207"/>
      <c r="AY35" s="207"/>
      <c r="AZ35" s="207"/>
      <c r="BA35" s="207"/>
      <c r="BB35" s="207"/>
      <c r="BC35" s="207"/>
      <c r="BD35" s="208"/>
      <c r="BE35" s="208"/>
      <c r="BF35" s="208"/>
      <c r="BG35" s="208"/>
    </row>
    <row r="36" spans="1:72" ht="60" customHeight="1" x14ac:dyDescent="0.25">
      <c r="A36" s="1404" t="s">
        <v>554</v>
      </c>
      <c r="B36" s="1405"/>
      <c r="C36" s="1405"/>
      <c r="D36" s="1405"/>
      <c r="E36" s="1405"/>
      <c r="F36" s="1405"/>
      <c r="G36" s="1405"/>
      <c r="H36" s="1405"/>
      <c r="I36" s="1405"/>
      <c r="J36" s="1406"/>
      <c r="K36" s="1365" t="s">
        <v>143</v>
      </c>
      <c r="L36" s="1366"/>
      <c r="M36" s="1366"/>
      <c r="N36" s="1367"/>
      <c r="O36" s="1365" t="s">
        <v>387</v>
      </c>
      <c r="P36" s="1366"/>
      <c r="Q36" s="1366"/>
      <c r="R36" s="1367"/>
      <c r="S36" s="1365" t="s">
        <v>388</v>
      </c>
      <c r="T36" s="1366"/>
      <c r="U36" s="1366"/>
      <c r="V36" s="1367"/>
      <c r="W36" s="1365" t="s">
        <v>7</v>
      </c>
      <c r="X36" s="1366"/>
      <c r="Y36" s="1366"/>
      <c r="Z36" s="1367"/>
      <c r="AA36" s="1365" t="s">
        <v>631</v>
      </c>
      <c r="AB36" s="1366"/>
      <c r="AC36" s="1366"/>
      <c r="AD36" s="1367"/>
      <c r="AE36" s="1365" t="s">
        <v>389</v>
      </c>
      <c r="AF36" s="1366"/>
      <c r="AG36" s="1366"/>
      <c r="AH36" s="1367"/>
      <c r="AI36" s="1368" t="s">
        <v>16</v>
      </c>
      <c r="AJ36" s="1368"/>
      <c r="AK36" s="1368"/>
      <c r="AL36" s="1368"/>
      <c r="AM36" s="1456" t="s">
        <v>390</v>
      </c>
      <c r="AN36" s="1456"/>
      <c r="AO36" s="1456"/>
      <c r="AP36" s="1456"/>
      <c r="AQ36" s="2"/>
      <c r="AR36" s="1489" t="s">
        <v>9</v>
      </c>
      <c r="AS36" s="1489"/>
      <c r="AT36" s="1489"/>
      <c r="AU36" s="1489"/>
      <c r="AV36" s="1489" t="s">
        <v>146</v>
      </c>
      <c r="AW36" s="1489"/>
      <c r="AX36" s="1489"/>
      <c r="AY36" s="1489"/>
      <c r="AZ36" s="1489" t="s">
        <v>16</v>
      </c>
      <c r="BA36" s="1489"/>
      <c r="BB36" s="1489"/>
      <c r="BC36" s="1489"/>
      <c r="BD36" s="1523" t="s">
        <v>390</v>
      </c>
      <c r="BE36" s="1523"/>
      <c r="BF36" s="1523"/>
      <c r="BG36" s="1523"/>
    </row>
    <row r="37" spans="1:72" ht="21" x14ac:dyDescent="0.25">
      <c r="A37" s="1407"/>
      <c r="B37" s="1408"/>
      <c r="C37" s="1408"/>
      <c r="D37" s="1408"/>
      <c r="E37" s="1408"/>
      <c r="F37" s="1408"/>
      <c r="G37" s="1408"/>
      <c r="H37" s="1408"/>
      <c r="I37" s="1408"/>
      <c r="J37" s="1409"/>
      <c r="K37" s="1413" t="s">
        <v>57</v>
      </c>
      <c r="L37" s="1414"/>
      <c r="M37" s="1359" t="s">
        <v>58</v>
      </c>
      <c r="N37" s="1360"/>
      <c r="O37" s="1473" t="s">
        <v>57</v>
      </c>
      <c r="P37" s="1474"/>
      <c r="Q37" s="1359" t="s">
        <v>58</v>
      </c>
      <c r="R37" s="1360"/>
      <c r="S37" s="1473" t="s">
        <v>57</v>
      </c>
      <c r="T37" s="1474"/>
      <c r="U37" s="1359" t="s">
        <v>58</v>
      </c>
      <c r="V37" s="1360"/>
      <c r="W37" s="1473" t="s">
        <v>57</v>
      </c>
      <c r="X37" s="1474"/>
      <c r="Y37" s="1359" t="s">
        <v>58</v>
      </c>
      <c r="Z37" s="1360"/>
      <c r="AA37" s="1413" t="s">
        <v>57</v>
      </c>
      <c r="AB37" s="1414"/>
      <c r="AC37" s="1475" t="s">
        <v>58</v>
      </c>
      <c r="AD37" s="1476"/>
      <c r="AE37" s="1413" t="s">
        <v>57</v>
      </c>
      <c r="AF37" s="1414"/>
      <c r="AG37" s="1359" t="s">
        <v>58</v>
      </c>
      <c r="AH37" s="1360"/>
      <c r="AI37" s="1413" t="s">
        <v>57</v>
      </c>
      <c r="AJ37" s="1414"/>
      <c r="AK37" s="1359" t="s">
        <v>58</v>
      </c>
      <c r="AL37" s="1360"/>
      <c r="AM37" s="1388" t="s">
        <v>57</v>
      </c>
      <c r="AN37" s="1389"/>
      <c r="AO37" s="1390" t="s">
        <v>58</v>
      </c>
      <c r="AP37" s="1391"/>
      <c r="AQ37" s="2"/>
      <c r="AR37" s="1413" t="s">
        <v>57</v>
      </c>
      <c r="AS37" s="1414"/>
      <c r="AT37" s="1483" t="s">
        <v>58</v>
      </c>
      <c r="AU37" s="1484"/>
      <c r="AV37" s="1413" t="s">
        <v>57</v>
      </c>
      <c r="AW37" s="1414"/>
      <c r="AX37" s="1483" t="s">
        <v>58</v>
      </c>
      <c r="AY37" s="1484"/>
      <c r="AZ37" s="1413" t="s">
        <v>57</v>
      </c>
      <c r="BA37" s="1414"/>
      <c r="BB37" s="1483" t="s">
        <v>58</v>
      </c>
      <c r="BC37" s="1484"/>
      <c r="BD37" s="1485" t="s">
        <v>57</v>
      </c>
      <c r="BE37" s="1486"/>
      <c r="BF37" s="1487" t="s">
        <v>58</v>
      </c>
      <c r="BG37" s="1488"/>
      <c r="BI37" s="202"/>
      <c r="BJ37" s="202"/>
      <c r="BK37" s="220"/>
      <c r="BL37" s="202"/>
      <c r="BM37" s="202"/>
      <c r="BN37" s="202"/>
      <c r="BO37" s="220"/>
      <c r="BP37" s="202"/>
      <c r="BQ37" s="202"/>
      <c r="BR37" s="202"/>
      <c r="BS37" s="220"/>
      <c r="BT37" s="202"/>
    </row>
    <row r="38" spans="1:72" x14ac:dyDescent="0.25">
      <c r="A38" s="1410" t="s">
        <v>467</v>
      </c>
      <c r="B38" s="1411"/>
      <c r="C38" s="1411"/>
      <c r="D38" s="1411"/>
      <c r="E38" s="1411"/>
      <c r="F38" s="1411"/>
      <c r="G38" s="1411"/>
      <c r="H38" s="1411"/>
      <c r="I38" s="1411"/>
      <c r="J38" s="1412"/>
      <c r="K38" s="1441"/>
      <c r="L38" s="1442"/>
      <c r="M38" s="1415">
        <f>COUNTIFS('refer admin discharge'!N15:N2995,"&gt;=0",'refer admin discharge'!N15:N2995,"&lt;=12",'refer admin discharge'!O15:O2995,"Female",'refer admin discharge'!P15:P2995,"White",'refer admin discharge'!AJ15:AJ2995,"YES")</f>
        <v>0</v>
      </c>
      <c r="N38" s="1416"/>
      <c r="O38" s="1417"/>
      <c r="P38" s="1418"/>
      <c r="Q38" s="1415">
        <f>COUNTIFS('refer admin discharge'!N15:N2995,"&gt;=0",'refer admin discharge'!N15:N2995,"&lt;=12",'refer admin discharge'!O15:O2995,"Female",'refer admin discharge'!P15:P2995,"African American /Black",'refer admin discharge'!AJ15:AJ2995,"YES")</f>
        <v>0</v>
      </c>
      <c r="R38" s="1416"/>
      <c r="S38" s="1417"/>
      <c r="T38" s="1418"/>
      <c r="U38" s="1415">
        <f>COUNTIFS('refer admin discharge'!N15:N2995,"&gt;=0",'refer admin discharge'!N15:N2995,"&lt;=12",'refer admin discharge'!O15:O2995,"Female",'refer admin discharge'!P15:P2995,"Native Hawaiian / Other Pacific Islander",'refer admin discharge'!AJ15:AJ2995,"YES")</f>
        <v>0</v>
      </c>
      <c r="V38" s="1416"/>
      <c r="W38" s="1417"/>
      <c r="X38" s="1418"/>
      <c r="Y38" s="1415">
        <f>COUNTIFS('refer admin discharge'!N15:N2995,"&gt;=0",'refer admin discharge'!N15:N2995,"&lt;=12",'refer admin discharge'!O15:O2995,"Female",'refer admin discharge'!P15:P2995,"Asian",'refer admin discharge'!AJ15:AJ2995,"YES")</f>
        <v>0</v>
      </c>
      <c r="Z38" s="1416"/>
      <c r="AA38" s="1417"/>
      <c r="AB38" s="1418"/>
      <c r="AC38" s="1415">
        <f>COUNTIFS('refer admin discharge'!N15:N2995,"&gt;=0",'refer admin discharge'!N15:N2995,"&lt;=12",'refer admin discharge'!O15:O2995,"Female",'refer admin discharge'!P15:P2995,"American Indian / Alaska Native",'refer admin discharge'!AJ15:AJ2995,"YES")</f>
        <v>0</v>
      </c>
      <c r="AD38" s="1416"/>
      <c r="AE38" s="1454"/>
      <c r="AF38" s="1455"/>
      <c r="AG38" s="1415">
        <f>COUNTIFS('refer admin discharge'!N15:N2995,"&gt;=0",'refer admin discharge'!N15:N2995,"&lt;=12",'refer admin discharge'!O15:O2995,"Female",'refer admin discharge'!P15:P2995,"More than one race reported",'refer admin discharge'!AJ15:AJ2995,"YES")</f>
        <v>0</v>
      </c>
      <c r="AH38" s="1416"/>
      <c r="AI38" s="1454"/>
      <c r="AJ38" s="1455"/>
      <c r="AK38" s="1415">
        <f>COUNTIFS('refer admin discharge'!N15:N2995,"&gt;=0",'refer admin discharge'!N15:N2995,"&lt;=12",'refer admin discharge'!O15:O2995,"Female",'refer admin discharge'!P15:P2995,"Unknown",'refer admin discharge'!AJ15:AJ2995,"YES")</f>
        <v>0</v>
      </c>
      <c r="AL38" s="1416"/>
      <c r="AM38" s="1452"/>
      <c r="AN38" s="1453"/>
      <c r="AO38" s="1355">
        <f t="shared" ref="AO38:AO45" si="4">M38+Q38+U38+Y38+AC38+AG38+AK38</f>
        <v>0</v>
      </c>
      <c r="AP38" s="1356"/>
      <c r="AQ38" s="2"/>
      <c r="AR38" s="1441"/>
      <c r="AS38" s="1442"/>
      <c r="AT38" s="1439">
        <f>COUNTIFS('refer admin discharge'!N15:N2995,"&gt;=0",'refer admin discharge'!N15:N2995,"&lt;=12",'refer admin discharge'!O15:O2995,"Female",'refer admin discharge'!R15:R2995,"Not Hispanic or Latino",'refer admin discharge'!AJ15:AJ2995,"YES")</f>
        <v>0</v>
      </c>
      <c r="AU38" s="1440"/>
      <c r="AV38" s="1441"/>
      <c r="AW38" s="1442"/>
      <c r="AX38" s="1439">
        <f>COUNTIFS('refer admin discharge'!N15:N2995,"&gt;=0",'refer admin discharge'!N15:N2995,"&lt;=12",'refer admin discharge'!O15:O2995,"Female",'refer admin discharge'!R15:R2995,"Hispanic-Latino ",'refer admin discharge'!AJ15:AJ2995,"YES")</f>
        <v>0</v>
      </c>
      <c r="AY38" s="1440"/>
      <c r="AZ38" s="1441"/>
      <c r="BA38" s="1442"/>
      <c r="BB38" s="1439">
        <f>COUNTIFS('refer admin discharge'!N15:N2995,"&gt;=0",'refer admin discharge'!N15:N2995,"&lt;=12",'refer admin discharge'!O15:O2995,"Female",'refer admin discharge'!R15:R2995,"Unknown",'refer admin discharge'!AJ15:AJ2995,"YES")</f>
        <v>0</v>
      </c>
      <c r="BC38" s="1440"/>
      <c r="BD38" s="1443"/>
      <c r="BE38" s="1444"/>
      <c r="BF38" s="1445">
        <f t="shared" ref="BF38:BF45" si="5">AT38+AX38+BB38</f>
        <v>0</v>
      </c>
      <c r="BG38" s="1446"/>
    </row>
    <row r="39" spans="1:72" x14ac:dyDescent="0.25">
      <c r="A39" s="1410" t="s">
        <v>468</v>
      </c>
      <c r="B39" s="1411"/>
      <c r="C39" s="1411"/>
      <c r="D39" s="1411"/>
      <c r="E39" s="1411"/>
      <c r="F39" s="1411"/>
      <c r="G39" s="1411"/>
      <c r="H39" s="1411"/>
      <c r="I39" s="1411"/>
      <c r="J39" s="1412"/>
      <c r="K39" s="1441"/>
      <c r="L39" s="1442"/>
      <c r="M39" s="1415">
        <f>COUNTIFS('refer admin discharge'!N15:N2995,"&gt;=13",'refer admin discharge'!N15:N2995,"&lt;=17",'refer admin discharge'!O15:O2995,"Female",'refer admin discharge'!P15:P2995,"White",'refer admin discharge'!AJ15:AJ2995,"YES")</f>
        <v>0</v>
      </c>
      <c r="N39" s="1416"/>
      <c r="O39" s="1417"/>
      <c r="P39" s="1418"/>
      <c r="Q39" s="1415">
        <f>COUNTIFS('refer admin discharge'!N15:N2995,"&gt;=13",'refer admin discharge'!N15:N2995,"&lt;=17",'refer admin discharge'!O15:O2995,"Female",'refer admin discharge'!P15:P2995,"African American /Black",'refer admin discharge'!AJ15:AJ2995,"YES")</f>
        <v>0</v>
      </c>
      <c r="R39" s="1416"/>
      <c r="S39" s="1417"/>
      <c r="T39" s="1418"/>
      <c r="U39" s="1415">
        <f>COUNTIFS('refer admin discharge'!N15:N2995,"&gt;=13",'refer admin discharge'!N15:N2995,"&lt;=17",'refer admin discharge'!O15:O2995,"Female",'refer admin discharge'!P15:P2995,"Native Hawaiian / Other Pacific Islander",'refer admin discharge'!AJ15:AJ2995,"YES")</f>
        <v>0</v>
      </c>
      <c r="V39" s="1416"/>
      <c r="W39" s="1417"/>
      <c r="X39" s="1418"/>
      <c r="Y39" s="1415">
        <f>COUNTIFS('refer admin discharge'!N15:N2995,"&gt;=13",'refer admin discharge'!N15:N2995,"&lt;=17",'refer admin discharge'!O15:O2995,"Female",'refer admin discharge'!P15:P2995,"Asian",'refer admin discharge'!AJ15:AJ2995,"YES")</f>
        <v>0</v>
      </c>
      <c r="Z39" s="1416"/>
      <c r="AA39" s="1417"/>
      <c r="AB39" s="1418"/>
      <c r="AC39" s="1415">
        <f>COUNTIFS('refer admin discharge'!N15:N2995,"&gt;=13",'refer admin discharge'!N15:N2995,"&lt;=17",'refer admin discharge'!O15:O2995,"Female",'refer admin discharge'!P15:P2995,"American Indian / Alaska Native",'refer admin discharge'!AJ15:AJ2995,"YES")</f>
        <v>0</v>
      </c>
      <c r="AD39" s="1416"/>
      <c r="AE39" s="1454"/>
      <c r="AF39" s="1455"/>
      <c r="AG39" s="1415">
        <f>COUNTIFS('refer admin discharge'!N15:N2995,"&gt;=13",'refer admin discharge'!N15:N2995,"&lt;=17",'refer admin discharge'!O15:O2995,"Female",'refer admin discharge'!P15:P2995,"More than one race reported",'refer admin discharge'!AJ15:AJ2995,"YES")</f>
        <v>0</v>
      </c>
      <c r="AH39" s="1416"/>
      <c r="AI39" s="1454"/>
      <c r="AJ39" s="1455"/>
      <c r="AK39" s="1415">
        <f>COUNTIFS('refer admin discharge'!N15:N2995,"&gt;=13",'refer admin discharge'!N15:N2995,"&lt;=17",'refer admin discharge'!O15:O2995,"Female",'refer admin discharge'!P15:P2995,"Unknown",'refer admin discharge'!AJ15:AJ2995,"YES")</f>
        <v>0</v>
      </c>
      <c r="AL39" s="1416"/>
      <c r="AM39" s="1452"/>
      <c r="AN39" s="1453"/>
      <c r="AO39" s="1355">
        <f t="shared" si="4"/>
        <v>0</v>
      </c>
      <c r="AP39" s="1356"/>
      <c r="AQ39" s="2"/>
      <c r="AR39" s="1441"/>
      <c r="AS39" s="1442"/>
      <c r="AT39" s="1439">
        <f>COUNTIFS('refer admin discharge'!N15:N2995,"&gt;=13",'refer admin discharge'!N15:N2995,"&lt;=17",'refer admin discharge'!O15:O2995,"Female",'refer admin discharge'!R15:R2995,"Not Hispanic or Latino",'refer admin discharge'!AJ15:AJ2995,"YES")</f>
        <v>0</v>
      </c>
      <c r="AU39" s="1440"/>
      <c r="AV39" s="1441"/>
      <c r="AW39" s="1442"/>
      <c r="AX39" s="1439">
        <f>COUNTIFS('refer admin discharge'!N15:N2995,"&gt;=13",'refer admin discharge'!N15:N2995,"&lt;=17",'refer admin discharge'!O15:O2995,"Female",'refer admin discharge'!R15:R2995,"Hispanic-Latino ",'refer admin discharge'!AJ15:AJ2995,"YES")</f>
        <v>0</v>
      </c>
      <c r="AY39" s="1440"/>
      <c r="AZ39" s="1441"/>
      <c r="BA39" s="1442"/>
      <c r="BB39" s="1439">
        <f>COUNTIFS('refer admin discharge'!N15:N2995,"&gt;=13",'refer admin discharge'!N15:N2995,"&lt;=17",'refer admin discharge'!O15:O2995,"Female",'refer admin discharge'!R15:R2995,"Unknown",'refer admin discharge'!AJ15:AJ2995,"YES")</f>
        <v>0</v>
      </c>
      <c r="BC39" s="1440"/>
      <c r="BD39" s="1443"/>
      <c r="BE39" s="1444"/>
      <c r="BF39" s="1445">
        <f t="shared" si="5"/>
        <v>0</v>
      </c>
      <c r="BG39" s="1446"/>
    </row>
    <row r="40" spans="1:72" x14ac:dyDescent="0.25">
      <c r="A40" s="1410" t="s">
        <v>469</v>
      </c>
      <c r="B40" s="1411"/>
      <c r="C40" s="1411"/>
      <c r="D40" s="1411"/>
      <c r="E40" s="1411"/>
      <c r="F40" s="1411"/>
      <c r="G40" s="1411"/>
      <c r="H40" s="1411"/>
      <c r="I40" s="1411"/>
      <c r="J40" s="1412"/>
      <c r="K40" s="1441"/>
      <c r="L40" s="1442"/>
      <c r="M40" s="1415">
        <f>COUNTIFS('refer admin discharge'!N15:N2995,"&gt;=18",'refer admin discharge'!N15:N2995,"&lt;=20",'refer admin discharge'!O15:O2995,"Female",'refer admin discharge'!P15:P2995,"White",'refer admin discharge'!AJ15:AJ2995,"YES")</f>
        <v>0</v>
      </c>
      <c r="N40" s="1416"/>
      <c r="O40" s="1417"/>
      <c r="P40" s="1418"/>
      <c r="Q40" s="1415">
        <f>COUNTIFS('refer admin discharge'!N15:N2995,"&gt;=18",'refer admin discharge'!N15:N2995,"&lt;=20",'refer admin discharge'!O15:O2995,"Female",'refer admin discharge'!P15:P2995,"African American /Black",'refer admin discharge'!AJ15:AJ2995,"YES")</f>
        <v>0</v>
      </c>
      <c r="R40" s="1416"/>
      <c r="S40" s="1417"/>
      <c r="T40" s="1418"/>
      <c r="U40" s="1415">
        <f>COUNTIFS('refer admin discharge'!N15:N2995,"&gt;=18",'refer admin discharge'!N15:N2995,"&lt;=20",'refer admin discharge'!O15:O2995,"Female",'refer admin discharge'!P15:P2995,"Native Hawaiian / Other Pacific Islander",'refer admin discharge'!AJ15:AJ2995,"YES")</f>
        <v>0</v>
      </c>
      <c r="V40" s="1416"/>
      <c r="W40" s="1417"/>
      <c r="X40" s="1418"/>
      <c r="Y40" s="1415">
        <f>COUNTIFS('refer admin discharge'!N15:N2995,"&gt;=18",'refer admin discharge'!N15:N2995,"&lt;=20",'refer admin discharge'!O15:O2995,"Female",'refer admin discharge'!P15:P2995,"Asian",'refer admin discharge'!AJ15:AJ2995,"YES")</f>
        <v>0</v>
      </c>
      <c r="Z40" s="1416"/>
      <c r="AA40" s="1417"/>
      <c r="AB40" s="1418"/>
      <c r="AC40" s="1415">
        <f>COUNTIFS('refer admin discharge'!N15:N2995,"&gt;=18",'refer admin discharge'!N15:N2995,"&lt;=20",'refer admin discharge'!O15:O2995,"Female",'refer admin discharge'!P15:P2995,"American Indian / Alaska Native",'refer admin discharge'!AJ15:AJ2995,"YES")</f>
        <v>0</v>
      </c>
      <c r="AD40" s="1416"/>
      <c r="AE40" s="1454"/>
      <c r="AF40" s="1455"/>
      <c r="AG40" s="1415">
        <f>COUNTIFS('refer admin discharge'!N15:N2995,"&gt;=18",'refer admin discharge'!N15:N2995,"&lt;=20",'refer admin discharge'!O15:O2995,"Female",'refer admin discharge'!P15:P2995,"More than one race reported",'refer admin discharge'!AJ15:AJ2995,"YES")</f>
        <v>0</v>
      </c>
      <c r="AH40" s="1416"/>
      <c r="AI40" s="1454"/>
      <c r="AJ40" s="1455"/>
      <c r="AK40" s="1415">
        <f>COUNTIFS('refer admin discharge'!N15:N2995,"&gt;=18",'refer admin discharge'!N15:N2995,"&lt;=20",'refer admin discharge'!O15:O2995,"Female",'refer admin discharge'!P15:P2995,"Unknown",'refer admin discharge'!AJ15:AJ2995,"YES")</f>
        <v>0</v>
      </c>
      <c r="AL40" s="1416"/>
      <c r="AM40" s="1452"/>
      <c r="AN40" s="1453"/>
      <c r="AO40" s="1355">
        <f t="shared" si="4"/>
        <v>0</v>
      </c>
      <c r="AP40" s="1356"/>
      <c r="AQ40" s="2"/>
      <c r="AR40" s="1441"/>
      <c r="AS40" s="1442"/>
      <c r="AT40" s="1439">
        <f>COUNTIFS('refer admin discharge'!N15:N2995,"&gt;=18",'refer admin discharge'!N15:N2995,"&lt;=20",'refer admin discharge'!O15:O2995,"Female",'refer admin discharge'!R15:R2995,"Not Hispanic or Latino",'refer admin discharge'!AJ15:AJ2995,"YES")</f>
        <v>0</v>
      </c>
      <c r="AU40" s="1440"/>
      <c r="AV40" s="1441"/>
      <c r="AW40" s="1442"/>
      <c r="AX40" s="1439">
        <f>COUNTIFS('refer admin discharge'!N15:N2995,"&gt;=18",'refer admin discharge'!N15:N2995,"&lt;=20",'refer admin discharge'!O15:O2995,"Female",'refer admin discharge'!R15:R2995,"Hispanic-Latino ",'refer admin discharge'!AJ15:AJ2995,"YES")</f>
        <v>0</v>
      </c>
      <c r="AY40" s="1440"/>
      <c r="AZ40" s="1441"/>
      <c r="BA40" s="1442"/>
      <c r="BB40" s="1439">
        <f>COUNTIFS('refer admin discharge'!N15:N2995,"&gt;=18",'refer admin discharge'!N15:N2995,"&lt;=20",'refer admin discharge'!O15:O2995,"Female",'refer admin discharge'!R15:R2995,"Unknown",'refer admin discharge'!AJ15:AJ2995,"YES")</f>
        <v>0</v>
      </c>
      <c r="BC40" s="1440"/>
      <c r="BD40" s="1443"/>
      <c r="BE40" s="1444"/>
      <c r="BF40" s="1445">
        <f t="shared" si="5"/>
        <v>0</v>
      </c>
      <c r="BG40" s="1446"/>
    </row>
    <row r="41" spans="1:72" x14ac:dyDescent="0.25">
      <c r="A41" s="1410" t="s">
        <v>470</v>
      </c>
      <c r="B41" s="1411"/>
      <c r="C41" s="1411"/>
      <c r="D41" s="1411"/>
      <c r="E41" s="1411"/>
      <c r="F41" s="1411"/>
      <c r="G41" s="1411"/>
      <c r="H41" s="1411"/>
      <c r="I41" s="1411"/>
      <c r="J41" s="1412"/>
      <c r="K41" s="1441"/>
      <c r="L41" s="1442"/>
      <c r="M41" s="1415">
        <f>COUNTIFS('refer admin discharge'!N15:N2995,"&gt;=21",'refer admin discharge'!N15:N2995,"&lt;=24",'refer admin discharge'!O15:O2995,"Female",'refer admin discharge'!P15:P2995,"White",'refer admin discharge'!AJ15:AJ2995,"YES")</f>
        <v>0</v>
      </c>
      <c r="N41" s="1416"/>
      <c r="O41" s="1417"/>
      <c r="P41" s="1418"/>
      <c r="Q41" s="1415">
        <f>COUNTIFS('refer admin discharge'!N15:N2995,"&gt;=21",'refer admin discharge'!N15:N2995,"&lt;=24",'refer admin discharge'!O15:O2995,"Female",'refer admin discharge'!P15:P2995,"African American /Black",'refer admin discharge'!AJ15:AJ2995,"YES")</f>
        <v>0</v>
      </c>
      <c r="R41" s="1416"/>
      <c r="S41" s="1417"/>
      <c r="T41" s="1418"/>
      <c r="U41" s="1415">
        <f>COUNTIFS('refer admin discharge'!N15:N2995,"&gt;=21",'refer admin discharge'!N15:N2995,"&lt;=24",'refer admin discharge'!O15:O2995,"Female",'refer admin discharge'!P15:P2995,"Native Hawaiian / Other Pacific Islander",'refer admin discharge'!AJ15:AJ2995,"YES")</f>
        <v>0</v>
      </c>
      <c r="V41" s="1416"/>
      <c r="W41" s="1417"/>
      <c r="X41" s="1418"/>
      <c r="Y41" s="1415">
        <f>COUNTIFS('refer admin discharge'!N15:N2995,"&gt;=21",'refer admin discharge'!N15:N2995,"&lt;=24",'refer admin discharge'!O15:O2995,"Female",'refer admin discharge'!P15:P2995,"Asian",'refer admin discharge'!AJ15:AJ2995,"YES")</f>
        <v>0</v>
      </c>
      <c r="Z41" s="1416"/>
      <c r="AA41" s="1417"/>
      <c r="AB41" s="1418"/>
      <c r="AC41" s="1415">
        <f>COUNTIFS('refer admin discharge'!N15:N2995,"&gt;=21",'refer admin discharge'!N15:N2995,"&lt;=24",'refer admin discharge'!O15:O2995,"Female",'refer admin discharge'!P15:P2995,"American Indian / Alaska Native",'refer admin discharge'!AJ15:AJ2995,"YES")</f>
        <v>0</v>
      </c>
      <c r="AD41" s="1416"/>
      <c r="AE41" s="1454"/>
      <c r="AF41" s="1455"/>
      <c r="AG41" s="1415">
        <f>COUNTIFS('refer admin discharge'!N15:N2995,"&gt;=21",'refer admin discharge'!N15:N2995,"&lt;=24",'refer admin discharge'!O15:O2995,"Female",'refer admin discharge'!P15:P2995,"More than one race reported",'refer admin discharge'!AJ15:AJ2995,"YES")</f>
        <v>0</v>
      </c>
      <c r="AH41" s="1416"/>
      <c r="AI41" s="1454"/>
      <c r="AJ41" s="1455"/>
      <c r="AK41" s="1415">
        <f>COUNTIFS('refer admin discharge'!N15:N2995,"&gt;=21",'refer admin discharge'!N15:N2995,"&lt;=24",'refer admin discharge'!O15:O2995,"Female",'refer admin discharge'!P15:P2995,"Unknown",'refer admin discharge'!AJ15:AJ2995,"YES")</f>
        <v>0</v>
      </c>
      <c r="AL41" s="1416"/>
      <c r="AM41" s="1452"/>
      <c r="AN41" s="1453"/>
      <c r="AO41" s="1355">
        <f t="shared" si="4"/>
        <v>0</v>
      </c>
      <c r="AP41" s="1356"/>
      <c r="AQ41" s="2"/>
      <c r="AR41" s="1441"/>
      <c r="AS41" s="1442"/>
      <c r="AT41" s="1439">
        <f>COUNTIFS('refer admin discharge'!N15:N2995,"&gt;=21",'refer admin discharge'!N15:N2995,"&lt;=24",'refer admin discharge'!O15:O2995,"Female",'refer admin discharge'!R15:R2995,"Not Hispanic or Latino",'refer admin discharge'!AJ15:AJ2995,"YES")</f>
        <v>0</v>
      </c>
      <c r="AU41" s="1440"/>
      <c r="AV41" s="1441"/>
      <c r="AW41" s="1442"/>
      <c r="AX41" s="1439">
        <f>COUNTIFS('refer admin discharge'!N15:N2995,"&gt;=21",'refer admin discharge'!N15:N2995,"&lt;=24",'refer admin discharge'!O15:O2995,"Female",'refer admin discharge'!R15:R2995,"Hispanic-Latino ",'refer admin discharge'!AJ15:AJ2995,"YES")</f>
        <v>0</v>
      </c>
      <c r="AY41" s="1440"/>
      <c r="AZ41" s="1441"/>
      <c r="BA41" s="1442"/>
      <c r="BB41" s="1439">
        <f>COUNTIFS('refer admin discharge'!N15:N2995,"&gt;=21",'refer admin discharge'!N15:N2995,"&lt;=24",'refer admin discharge'!O15:O2995,"Female",'refer admin discharge'!R15:R2995,"Unknown",'refer admin discharge'!AJ15:AJ2995,"YES")</f>
        <v>0</v>
      </c>
      <c r="BC41" s="1440"/>
      <c r="BD41" s="1443"/>
      <c r="BE41" s="1444"/>
      <c r="BF41" s="1445">
        <f t="shared" si="5"/>
        <v>0</v>
      </c>
      <c r="BG41" s="1446"/>
    </row>
    <row r="42" spans="1:72" x14ac:dyDescent="0.25">
      <c r="A42" s="1410" t="s">
        <v>471</v>
      </c>
      <c r="B42" s="1411"/>
      <c r="C42" s="1411"/>
      <c r="D42" s="1411"/>
      <c r="E42" s="1411"/>
      <c r="F42" s="1411"/>
      <c r="G42" s="1411"/>
      <c r="H42" s="1411"/>
      <c r="I42" s="1411"/>
      <c r="J42" s="1412"/>
      <c r="K42" s="1441"/>
      <c r="L42" s="1442"/>
      <c r="M42" s="1415">
        <f>COUNTIFS('refer admin discharge'!N15:N2995,"&gt;=25",'refer admin discharge'!N15:N2995,"&lt;=44",'refer admin discharge'!O15:O2995,"Female",'refer admin discharge'!P15:P2995,"White",'refer admin discharge'!AJ15:AJ2995,"YES")</f>
        <v>0</v>
      </c>
      <c r="N42" s="1416"/>
      <c r="O42" s="1417"/>
      <c r="P42" s="1418"/>
      <c r="Q42" s="1415">
        <f>COUNTIFS('refer admin discharge'!N15:N2995,"&gt;=25",'refer admin discharge'!N15:N2995,"&lt;=44",'refer admin discharge'!O15:O2995,"Female",'refer admin discharge'!P15:P2995,"African American /Black",'refer admin discharge'!AJ15:AJ2995,"YES")</f>
        <v>0</v>
      </c>
      <c r="R42" s="1416"/>
      <c r="S42" s="1417"/>
      <c r="T42" s="1418"/>
      <c r="U42" s="1415">
        <f>COUNTIFS('refer admin discharge'!N15:N2995,"&gt;=25",'refer admin discharge'!N15:N2995,"&lt;=44",'refer admin discharge'!O15:O2995,"Female",'refer admin discharge'!P15:P2995,"Native Hawaiian / Other Pacific Islander",'refer admin discharge'!AJ15:AJ2995,"YES")</f>
        <v>0</v>
      </c>
      <c r="V42" s="1416"/>
      <c r="W42" s="1417"/>
      <c r="X42" s="1418"/>
      <c r="Y42" s="1415">
        <f>COUNTIFS('refer admin discharge'!N15:N2995,"&gt;=25",'refer admin discharge'!N15:N2995,"&lt;=44",'refer admin discharge'!O15:O2995,"Female",'refer admin discharge'!P15:P2995,"Asian",'refer admin discharge'!AJ15:AJ2995,"YES")</f>
        <v>0</v>
      </c>
      <c r="Z42" s="1416"/>
      <c r="AA42" s="1417"/>
      <c r="AB42" s="1418"/>
      <c r="AC42" s="1415">
        <f>COUNTIFS('refer admin discharge'!N15:N2995,"&gt;=25",'refer admin discharge'!N15:N2995,"&lt;=44",'refer admin discharge'!O15:O2995,"Female",'refer admin discharge'!P15:P2995,"American Indian / Alaska Native",'refer admin discharge'!AJ15:AJ2995,"YES")</f>
        <v>0</v>
      </c>
      <c r="AD42" s="1416"/>
      <c r="AE42" s="1454"/>
      <c r="AF42" s="1455"/>
      <c r="AG42" s="1415">
        <f>COUNTIFS('refer admin discharge'!N15:N2995,"&gt;=25",'refer admin discharge'!N15:N2995,"&lt;=44",'refer admin discharge'!O15:O2995,"Female",'refer admin discharge'!P15:P2995,"More than one race reported",'refer admin discharge'!AJ15:AJ2995,"YES")</f>
        <v>0</v>
      </c>
      <c r="AH42" s="1416"/>
      <c r="AI42" s="1454"/>
      <c r="AJ42" s="1455"/>
      <c r="AK42" s="1415">
        <f>COUNTIFS('refer admin discharge'!N15:N2995,"&gt;=25",'refer admin discharge'!N15:N2995,"&lt;=44",'refer admin discharge'!O15:O2995,"Female",'refer admin discharge'!P15:P2995,"Unknown",'refer admin discharge'!AJ15:AJ2995,"YES")</f>
        <v>0</v>
      </c>
      <c r="AL42" s="1416"/>
      <c r="AM42" s="1452"/>
      <c r="AN42" s="1453"/>
      <c r="AO42" s="1355">
        <f t="shared" si="4"/>
        <v>0</v>
      </c>
      <c r="AP42" s="1356"/>
      <c r="AQ42" s="2"/>
      <c r="AR42" s="1441"/>
      <c r="AS42" s="1442"/>
      <c r="AT42" s="1439">
        <f>COUNTIFS('refer admin discharge'!N15:N2995,"&gt;=25",'refer admin discharge'!N15:N2995,"&lt;=44",'refer admin discharge'!O15:O2995,"Female",'refer admin discharge'!R15:R2995,"Not Hispanic or Latino",'refer admin discharge'!AJ15:AJ2995,"YES")</f>
        <v>0</v>
      </c>
      <c r="AU42" s="1440"/>
      <c r="AV42" s="1441"/>
      <c r="AW42" s="1442"/>
      <c r="AX42" s="1439">
        <f>COUNTIFS('refer admin discharge'!N15:N2995,"&gt;=25",'refer admin discharge'!N15:N2995,"&lt;=44",'refer admin discharge'!O15:O2995,"Female",'refer admin discharge'!R15:R2995,"Hispanic-Latino ",'refer admin discharge'!AJ15:AJ2995,"YES")</f>
        <v>0</v>
      </c>
      <c r="AY42" s="1440"/>
      <c r="AZ42" s="1441"/>
      <c r="BA42" s="1442"/>
      <c r="BB42" s="1439">
        <f>COUNTIFS('refer admin discharge'!N15:N2995,"&gt;=25",'refer admin discharge'!N15:N2995,"&lt;=44",'refer admin discharge'!O15:O2995,"Female",'refer admin discharge'!R15:R2995,"Unknown",'refer admin discharge'!AJ15:AJ2995,"YES")</f>
        <v>0</v>
      </c>
      <c r="BC42" s="1440"/>
      <c r="BD42" s="1443"/>
      <c r="BE42" s="1444"/>
      <c r="BF42" s="1445">
        <f t="shared" si="5"/>
        <v>0</v>
      </c>
      <c r="BG42" s="1446"/>
    </row>
    <row r="43" spans="1:72" x14ac:dyDescent="0.25">
      <c r="A43" s="1410" t="s">
        <v>472</v>
      </c>
      <c r="B43" s="1411"/>
      <c r="C43" s="1411"/>
      <c r="D43" s="1411"/>
      <c r="E43" s="1411"/>
      <c r="F43" s="1411"/>
      <c r="G43" s="1411"/>
      <c r="H43" s="1411"/>
      <c r="I43" s="1411"/>
      <c r="J43" s="1412"/>
      <c r="K43" s="1441"/>
      <c r="L43" s="1442"/>
      <c r="M43" s="1415">
        <f>COUNTIFS('refer admin discharge'!N15:N2995,"&gt;=45",'refer admin discharge'!N15:N2995,"&lt;=64",'refer admin discharge'!O15:O2995,"Female",'refer admin discharge'!P15:P2995,"White",'refer admin discharge'!AJ15:AJ2995,"YES")</f>
        <v>0</v>
      </c>
      <c r="N43" s="1416"/>
      <c r="O43" s="1417"/>
      <c r="P43" s="1418"/>
      <c r="Q43" s="1415">
        <f>COUNTIFS('refer admin discharge'!N15:N2995,"&gt;=45",'refer admin discharge'!N15:N2995,"&lt;=64",'refer admin discharge'!O15:O2995,"Female",'refer admin discharge'!P15:P2995,"African American /Black",'refer admin discharge'!AJ15:AJ2995,"YES")</f>
        <v>0</v>
      </c>
      <c r="R43" s="1416"/>
      <c r="S43" s="1417"/>
      <c r="T43" s="1418"/>
      <c r="U43" s="1415">
        <f>COUNTIFS('refer admin discharge'!N15:N2995,"&gt;=45",'refer admin discharge'!N15:N2995,"&lt;=64",'refer admin discharge'!O15:O2995,"Female",'refer admin discharge'!P15:P2995,"Native Hawaiian / Other Pacific Islander",'refer admin discharge'!AJ15:AJ2995,"YES")</f>
        <v>0</v>
      </c>
      <c r="V43" s="1416"/>
      <c r="W43" s="1417"/>
      <c r="X43" s="1418"/>
      <c r="Y43" s="1415">
        <f>COUNTIFS('refer admin discharge'!N15:N2995,"&gt;=45",'refer admin discharge'!N15:N2995,"&lt;=64",'refer admin discharge'!O15:O2995,"Female",'refer admin discharge'!P15:P2995,"Asian",'refer admin discharge'!AJ15:AJ2995,"YES")</f>
        <v>0</v>
      </c>
      <c r="Z43" s="1416"/>
      <c r="AA43" s="1417"/>
      <c r="AB43" s="1418"/>
      <c r="AC43" s="1415">
        <f>COUNTIFS('refer admin discharge'!N15:N2995,"&gt;=45",'refer admin discharge'!N15:N2995,"&lt;=64",'refer admin discharge'!O15:O2995,"Female",'refer admin discharge'!P15:P2995,"American Indian / Alaska Native",'refer admin discharge'!AJ15:AJ2995,"YES")</f>
        <v>0</v>
      </c>
      <c r="AD43" s="1416"/>
      <c r="AE43" s="1454"/>
      <c r="AF43" s="1455"/>
      <c r="AG43" s="1415">
        <f>COUNTIFS('refer admin discharge'!N15:N2995,"&gt;=45",'refer admin discharge'!N15:N2995,"&lt;=64",'refer admin discharge'!O15:O2995,"Female",'refer admin discharge'!P15:P2995,"More than one race reported",'refer admin discharge'!AJ15:AJ2995,"YES")</f>
        <v>0</v>
      </c>
      <c r="AH43" s="1416"/>
      <c r="AI43" s="1454"/>
      <c r="AJ43" s="1455"/>
      <c r="AK43" s="1415">
        <f>COUNTIFS('refer admin discharge'!N15:N2995,"&gt;=45",'refer admin discharge'!N15:N2995,"&lt;=64",'refer admin discharge'!O15:O2995,"Female",'refer admin discharge'!P15:P2995,"Unknown",'refer admin discharge'!AJ15:AJ2995,"YES")</f>
        <v>0</v>
      </c>
      <c r="AL43" s="1416"/>
      <c r="AM43" s="1452"/>
      <c r="AN43" s="1453"/>
      <c r="AO43" s="1355">
        <f t="shared" si="4"/>
        <v>0</v>
      </c>
      <c r="AP43" s="1356"/>
      <c r="AQ43" s="2"/>
      <c r="AR43" s="1441"/>
      <c r="AS43" s="1442"/>
      <c r="AT43" s="1439">
        <f>COUNTIFS('refer admin discharge'!N15:N2995,"&gt;=45",'refer admin discharge'!N15:N2995,"&lt;=64",'refer admin discharge'!O15:O2995,"Female",'refer admin discharge'!R15:R2995,"Not Hispanic or Latino",'refer admin discharge'!AJ15:AJ2995,"YES")</f>
        <v>0</v>
      </c>
      <c r="AU43" s="1440"/>
      <c r="AV43" s="1441"/>
      <c r="AW43" s="1442"/>
      <c r="AX43" s="1439">
        <f>COUNTIFS('refer admin discharge'!N15:N2995,"&gt;=45",'refer admin discharge'!N15:N2995,"&lt;=64",'refer admin discharge'!O15:O2995,"Female",'refer admin discharge'!R15:R2995,"Hispanic-Latino ",'refer admin discharge'!AJ15:AJ2995,"YES")</f>
        <v>0</v>
      </c>
      <c r="AY43" s="1440"/>
      <c r="AZ43" s="1441"/>
      <c r="BA43" s="1442"/>
      <c r="BB43" s="1439">
        <f>COUNTIFS('refer admin discharge'!N15:N2995,"&gt;=45",'refer admin discharge'!N15:N2995,"&lt;=64",'refer admin discharge'!O15:O2995,"Female",'refer admin discharge'!R15:R2995,"Unknown",'refer admin discharge'!AJ15:AJ2995,"YES")</f>
        <v>0</v>
      </c>
      <c r="BC43" s="1440"/>
      <c r="BD43" s="1443"/>
      <c r="BE43" s="1444"/>
      <c r="BF43" s="1445">
        <f t="shared" si="5"/>
        <v>0</v>
      </c>
      <c r="BG43" s="1446"/>
    </row>
    <row r="44" spans="1:72" x14ac:dyDescent="0.25">
      <c r="A44" s="1410" t="s">
        <v>473</v>
      </c>
      <c r="B44" s="1411"/>
      <c r="C44" s="1411"/>
      <c r="D44" s="1411"/>
      <c r="E44" s="1411"/>
      <c r="F44" s="1411"/>
      <c r="G44" s="1411"/>
      <c r="H44" s="1411"/>
      <c r="I44" s="1411"/>
      <c r="J44" s="1412"/>
      <c r="K44" s="1441"/>
      <c r="L44" s="1442"/>
      <c r="M44" s="1415">
        <f>COUNTIFS('refer admin discharge'!N15:N2995,"&gt;=65",'refer admin discharge'!N15:N2995,"&lt;=74",'refer admin discharge'!O15:O2995,"Female",'refer admin discharge'!P15:P2995,"White",'refer admin discharge'!AJ15:AJ2995,"YES")</f>
        <v>0</v>
      </c>
      <c r="N44" s="1416"/>
      <c r="O44" s="1417"/>
      <c r="P44" s="1418"/>
      <c r="Q44" s="1415">
        <f>COUNTIFS('refer admin discharge'!N15:N2995,"&gt;=65",'refer admin discharge'!N15:N2995,"&lt;=74",'refer admin discharge'!O15:O2995,"Female",'refer admin discharge'!P15:P2995,"African American /Black",'refer admin discharge'!AJ15:AJ2995,"YES")</f>
        <v>0</v>
      </c>
      <c r="R44" s="1416"/>
      <c r="S44" s="1417"/>
      <c r="T44" s="1418"/>
      <c r="U44" s="1415">
        <f>COUNTIFS('refer admin discharge'!N15:N2995,"&gt;=65",'refer admin discharge'!N15:N2995,"&lt;=74",'refer admin discharge'!O15:O2995,"Female",'refer admin discharge'!P15:P2995,"Native Hawaiian / Other Pacific Islander",'refer admin discharge'!AJ15:AJ2995,"YES")</f>
        <v>0</v>
      </c>
      <c r="V44" s="1416"/>
      <c r="W44" s="1417"/>
      <c r="X44" s="1418"/>
      <c r="Y44" s="1415">
        <f>COUNTIFS('refer admin discharge'!N15:N2995,"&gt;=65",'refer admin discharge'!N15:N2995,"&lt;=74",'refer admin discharge'!O15:O2995,"Female",'refer admin discharge'!P15:P2995,"Asian",'refer admin discharge'!AJ15:AJ2995,"YES")</f>
        <v>0</v>
      </c>
      <c r="Z44" s="1416"/>
      <c r="AA44" s="1417"/>
      <c r="AB44" s="1418"/>
      <c r="AC44" s="1415">
        <f>COUNTIFS('refer admin discharge'!N15:N2995,"&gt;=65",'refer admin discharge'!N15:N2995,"&lt;=74",'refer admin discharge'!O15:O2995,"Female",'refer admin discharge'!P15:P2995,"American Indian / Alaska Native",'refer admin discharge'!AJ15:AJ2995,"YES")</f>
        <v>0</v>
      </c>
      <c r="AD44" s="1416"/>
      <c r="AE44" s="1454"/>
      <c r="AF44" s="1455"/>
      <c r="AG44" s="1415">
        <f>COUNTIFS('refer admin discharge'!N15:N2995,"&gt;=65",'refer admin discharge'!N15:N2995,"&lt;=74",'refer admin discharge'!O15:O2995,"Female",'refer admin discharge'!P15:P2995,"More than one race reported",'refer admin discharge'!AJ15:AJ2995,"YES")</f>
        <v>0</v>
      </c>
      <c r="AH44" s="1416"/>
      <c r="AI44" s="1454"/>
      <c r="AJ44" s="1455"/>
      <c r="AK44" s="1415">
        <f>COUNTIFS('refer admin discharge'!N15:N2995,"&gt;=65",'refer admin discharge'!N15:N2995,"&lt;=74",'refer admin discharge'!O15:O2995,"Female",'refer admin discharge'!P15:P2995,"Unknown",'refer admin discharge'!AJ15:AJ2995,"YES")</f>
        <v>0</v>
      </c>
      <c r="AL44" s="1416"/>
      <c r="AM44" s="1452"/>
      <c r="AN44" s="1453"/>
      <c r="AO44" s="1355">
        <f t="shared" si="4"/>
        <v>0</v>
      </c>
      <c r="AP44" s="1356"/>
      <c r="AQ44" s="2"/>
      <c r="AR44" s="1441"/>
      <c r="AS44" s="1442"/>
      <c r="AT44" s="1439">
        <f>COUNTIFS('refer admin discharge'!N15:N2995,"&gt;=65",'refer admin discharge'!N15:N2995,"&lt;=74",'refer admin discharge'!O15:O2995,"Female",'refer admin discharge'!R15:R2995,"Not Hispanic or Latino",'refer admin discharge'!AJ15:AJ2995,"YES")</f>
        <v>0</v>
      </c>
      <c r="AU44" s="1440"/>
      <c r="AV44" s="1441"/>
      <c r="AW44" s="1442"/>
      <c r="AX44" s="1439">
        <f>COUNTIFS('refer admin discharge'!N15:N2995,"&gt;=65",'refer admin discharge'!N15:N2995,"&lt;=74",'refer admin discharge'!O15:O2995,"Female",'refer admin discharge'!R15:R2995,"Hispanic-Latino ",'refer admin discharge'!AJ15:AJ2995,"YES")</f>
        <v>0</v>
      </c>
      <c r="AY44" s="1440"/>
      <c r="AZ44" s="1441"/>
      <c r="BA44" s="1442"/>
      <c r="BB44" s="1439">
        <f>COUNTIFS('refer admin discharge'!N15:N2995,"&gt;=65",'refer admin discharge'!N15:N2995,"&lt;=74",'refer admin discharge'!O15:O2995,"Female",'refer admin discharge'!R15:R2995,"Unknown",'refer admin discharge'!AJ15:AJ2995,"YES")</f>
        <v>0</v>
      </c>
      <c r="BC44" s="1440"/>
      <c r="BD44" s="1443"/>
      <c r="BE44" s="1444"/>
      <c r="BF44" s="1445">
        <f t="shared" si="5"/>
        <v>0</v>
      </c>
      <c r="BG44" s="1446"/>
    </row>
    <row r="45" spans="1:72" x14ac:dyDescent="0.25">
      <c r="A45" s="1410" t="s">
        <v>474</v>
      </c>
      <c r="B45" s="1411"/>
      <c r="C45" s="1411"/>
      <c r="D45" s="1411"/>
      <c r="E45" s="1411"/>
      <c r="F45" s="1411"/>
      <c r="G45" s="1411"/>
      <c r="H45" s="1411"/>
      <c r="I45" s="1411"/>
      <c r="J45" s="1412"/>
      <c r="K45" s="1441"/>
      <c r="L45" s="1442"/>
      <c r="M45" s="1415">
        <f>COUNTIFS('refer admin discharge'!N15:N2995,"&gt;=75",'refer admin discharge'!N15:N2995,"&lt;=150",'refer admin discharge'!O15:O2995,"Female",'refer admin discharge'!P15:P2995,"White",'refer admin discharge'!AJ15:AJ2995,"YES")</f>
        <v>0</v>
      </c>
      <c r="N45" s="1416"/>
      <c r="O45" s="1417"/>
      <c r="P45" s="1418"/>
      <c r="Q45" s="1415">
        <f>COUNTIFS('refer admin discharge'!N15:N2995,"&gt;=75",'refer admin discharge'!N15:N2995,"&lt;=150",'refer admin discharge'!O15:O2995,"Female",'refer admin discharge'!P15:P2995,"African American /Black",'refer admin discharge'!AJ15:AJ2995,"YES")</f>
        <v>0</v>
      </c>
      <c r="R45" s="1416"/>
      <c r="S45" s="1417"/>
      <c r="T45" s="1418"/>
      <c r="U45" s="1415">
        <f>COUNTIFS('refer admin discharge'!N15:N2995,"&gt;=75",'refer admin discharge'!N15:N2995,"&lt;=150",'refer admin discharge'!O15:O2995,"Female",'refer admin discharge'!P15:P2995,"Native Hawaiian / Other Pacific Islander",'refer admin discharge'!AJ15:AJ2995,"YES")</f>
        <v>0</v>
      </c>
      <c r="V45" s="1416"/>
      <c r="W45" s="1417"/>
      <c r="X45" s="1418"/>
      <c r="Y45" s="1415">
        <f>COUNTIFS('refer admin discharge'!N15:N2995,"&gt;=75",'refer admin discharge'!N15:N2995,"&lt;=150",'refer admin discharge'!O15:O2995,"Female",'refer admin discharge'!P15:P2995,"Asian",'refer admin discharge'!AJ15:AJ2995,"YES")</f>
        <v>0</v>
      </c>
      <c r="Z45" s="1416"/>
      <c r="AA45" s="1417"/>
      <c r="AB45" s="1418"/>
      <c r="AC45" s="1415">
        <f>COUNTIFS('refer admin discharge'!N15:N2995,"&gt;=75",'refer admin discharge'!N15:N2995,"&lt;=150",'refer admin discharge'!O15:O2995,"Female",'refer admin discharge'!P15:P2995,"American Indian / Alaska Native",'refer admin discharge'!AJ15:AJ2995,"YES")</f>
        <v>0</v>
      </c>
      <c r="AD45" s="1416"/>
      <c r="AE45" s="1454"/>
      <c r="AF45" s="1455"/>
      <c r="AG45" s="1415">
        <f>COUNTIFS('refer admin discharge'!N15:N2995,"&gt;=75",'refer admin discharge'!N15:N2995,"&lt;=150",'refer admin discharge'!O15:O2995,"Female",'refer admin discharge'!P15:P2995,"More than one race reported",'refer admin discharge'!AJ15:AJ2995,"YES")</f>
        <v>0</v>
      </c>
      <c r="AH45" s="1416"/>
      <c r="AI45" s="1454"/>
      <c r="AJ45" s="1455"/>
      <c r="AK45" s="1415">
        <f>COUNTIFS('refer admin discharge'!N15:N2995,"&gt;=75",'refer admin discharge'!N15:N2995,"&lt;=150",'refer admin discharge'!O15:O2995,"Female",'refer admin discharge'!P15:P2995,"Unknown",'refer admin discharge'!AJ15:AJ2995,"YES")</f>
        <v>0</v>
      </c>
      <c r="AL45" s="1416"/>
      <c r="AM45" s="1452"/>
      <c r="AN45" s="1453"/>
      <c r="AO45" s="1355">
        <f t="shared" si="4"/>
        <v>0</v>
      </c>
      <c r="AP45" s="1356"/>
      <c r="AQ45" s="2"/>
      <c r="AR45" s="1441"/>
      <c r="AS45" s="1442"/>
      <c r="AT45" s="1439">
        <f>COUNTIFS('refer admin discharge'!N15:N2995,"&gt;=75",'refer admin discharge'!N15:N2995,"&lt;=150",'refer admin discharge'!O15:O2995,"Female",'refer admin discharge'!R15:R2995,"Not Hispanic or Latino",'refer admin discharge'!AJ15:AJ2995,"YES")</f>
        <v>0</v>
      </c>
      <c r="AU45" s="1440"/>
      <c r="AV45" s="1441"/>
      <c r="AW45" s="1442"/>
      <c r="AX45" s="1439">
        <f>COUNTIFS('refer admin discharge'!N15:N2995,"&gt;=75",'refer admin discharge'!N15:N2995,"&lt;=150",'refer admin discharge'!O15:O2995,"Female",'refer admin discharge'!R15:R2995,"Hispanic-Latino ",'refer admin discharge'!AJ15:AJ2995,"YES")</f>
        <v>0</v>
      </c>
      <c r="AY45" s="1440"/>
      <c r="AZ45" s="1441"/>
      <c r="BA45" s="1442"/>
      <c r="BB45" s="1439">
        <f>COUNTIFS('refer admin discharge'!N15:N2995,"&gt;=75",'refer admin discharge'!N15:N2995,"&lt;=150",'refer admin discharge'!O15:O2995,"Female",'refer admin discharge'!R15:R2995,"Unknown",'refer admin discharge'!AJ15:AJ2995,"YES")</f>
        <v>0</v>
      </c>
      <c r="BC45" s="1440"/>
      <c r="BD45" s="1443"/>
      <c r="BE45" s="1444"/>
      <c r="BF45" s="1445">
        <f t="shared" si="5"/>
        <v>0</v>
      </c>
      <c r="BG45" s="1446"/>
    </row>
    <row r="46" spans="1:72" x14ac:dyDescent="0.25">
      <c r="A46" s="1477" t="s">
        <v>390</v>
      </c>
      <c r="B46" s="1478"/>
      <c r="C46" s="1478"/>
      <c r="D46" s="1478"/>
      <c r="E46" s="1478"/>
      <c r="F46" s="1478"/>
      <c r="G46" s="1478"/>
      <c r="H46" s="1478"/>
      <c r="I46" s="1478"/>
      <c r="J46" s="1479"/>
      <c r="K46" s="1452"/>
      <c r="L46" s="1453"/>
      <c r="M46" s="1355">
        <f>SUM(M38:M45)</f>
        <v>0</v>
      </c>
      <c r="N46" s="1356"/>
      <c r="O46" s="1524"/>
      <c r="P46" s="1525"/>
      <c r="Q46" s="1355">
        <f>SUM(Q38:Q45)</f>
        <v>0</v>
      </c>
      <c r="R46" s="1356"/>
      <c r="S46" s="1524"/>
      <c r="T46" s="1525"/>
      <c r="U46" s="1355">
        <f>SUM(U38:U45)</f>
        <v>0</v>
      </c>
      <c r="V46" s="1356"/>
      <c r="W46" s="1524"/>
      <c r="X46" s="1525"/>
      <c r="Y46" s="1355">
        <f>SUM(Y38:Y45)</f>
        <v>0</v>
      </c>
      <c r="Z46" s="1356"/>
      <c r="AA46" s="1524"/>
      <c r="AB46" s="1525"/>
      <c r="AC46" s="1355">
        <f>SUM(AC38:AC45)</f>
        <v>0</v>
      </c>
      <c r="AD46" s="1356"/>
      <c r="AE46" s="1524"/>
      <c r="AF46" s="1525"/>
      <c r="AG46" s="1355">
        <f>SUM(AG38:AG45)</f>
        <v>0</v>
      </c>
      <c r="AH46" s="1356"/>
      <c r="AI46" s="1524"/>
      <c r="AJ46" s="1525"/>
      <c r="AK46" s="1355">
        <f>SUM(AK38:AK45)</f>
        <v>0</v>
      </c>
      <c r="AL46" s="1356"/>
      <c r="AM46" s="1526"/>
      <c r="AN46" s="1527"/>
      <c r="AO46" s="1361">
        <f>SUM(AO38:AO45)</f>
        <v>0</v>
      </c>
      <c r="AP46" s="1362"/>
      <c r="AQ46" s="2"/>
      <c r="AR46" s="1450"/>
      <c r="AS46" s="1451"/>
      <c r="AT46" s="1448">
        <f>SUM(AT38:AT45)</f>
        <v>0</v>
      </c>
      <c r="AU46" s="1449"/>
      <c r="AV46" s="1450"/>
      <c r="AW46" s="1451"/>
      <c r="AX46" s="1448">
        <f>SUM(AX38:AX45)</f>
        <v>0</v>
      </c>
      <c r="AY46" s="1449"/>
      <c r="AZ46" s="1450"/>
      <c r="BA46" s="1451"/>
      <c r="BB46" s="1448">
        <f>SUM(BB38:BB45)</f>
        <v>0</v>
      </c>
      <c r="BC46" s="1449"/>
      <c r="BD46" s="1480"/>
      <c r="BE46" s="1481"/>
      <c r="BF46" s="1448">
        <f>SUM(BF38:BF45)</f>
        <v>0</v>
      </c>
      <c r="BG46" s="1449"/>
    </row>
    <row r="47" spans="1:72" ht="18.75" x14ac:dyDescent="0.3">
      <c r="A47" s="1378" t="s">
        <v>13</v>
      </c>
      <c r="B47" s="1379"/>
      <c r="C47" s="1379"/>
      <c r="D47" s="1379"/>
      <c r="E47" s="1379"/>
      <c r="F47" s="1379"/>
      <c r="G47" s="1379"/>
      <c r="H47" s="1379"/>
      <c r="I47" s="1379"/>
      <c r="J47" s="1379"/>
      <c r="K47" s="1379"/>
      <c r="L47" s="1379"/>
      <c r="M47" s="1379"/>
      <c r="N47" s="1379"/>
      <c r="O47" s="1379"/>
      <c r="P47" s="1379"/>
      <c r="Q47" s="1379"/>
      <c r="R47" s="1379"/>
      <c r="S47" s="1379"/>
      <c r="T47" s="1379"/>
      <c r="U47" s="1379"/>
      <c r="V47" s="1379"/>
      <c r="W47" s="1379"/>
      <c r="X47" s="1379"/>
      <c r="Y47" s="1379"/>
      <c r="Z47" s="1379"/>
      <c r="AA47" s="1379"/>
      <c r="AB47" s="1379"/>
      <c r="AC47" s="1379"/>
      <c r="AD47" s="1379"/>
      <c r="AE47" s="1379"/>
      <c r="AF47" s="1379"/>
      <c r="AG47" s="1379"/>
      <c r="AH47" s="1379"/>
      <c r="AI47" s="1379"/>
      <c r="AJ47" s="1379"/>
      <c r="AK47" s="1379"/>
      <c r="AL47" s="1380"/>
      <c r="AM47" s="1381">
        <f>AO46</f>
        <v>0</v>
      </c>
      <c r="AN47" s="1381"/>
      <c r="AO47" s="1381"/>
      <c r="AP47" s="1381"/>
      <c r="AQ47" s="2"/>
      <c r="AR47" s="1482" t="s">
        <v>13</v>
      </c>
      <c r="AS47" s="1482"/>
      <c r="AT47" s="1482"/>
      <c r="AU47" s="1482"/>
      <c r="AV47" s="1482"/>
      <c r="AW47" s="1482"/>
      <c r="AX47" s="1482"/>
      <c r="AY47" s="1482"/>
      <c r="AZ47" s="1482"/>
      <c r="BA47" s="1482"/>
      <c r="BB47" s="1482"/>
      <c r="BC47" s="1482"/>
      <c r="BD47" s="1447">
        <f>BF46</f>
        <v>0</v>
      </c>
      <c r="BE47" s="1447"/>
      <c r="BF47" s="1447"/>
      <c r="BG47" s="1447"/>
    </row>
    <row r="48" spans="1:72" ht="18.75" x14ac:dyDescent="0.3">
      <c r="A48" s="1545" t="s">
        <v>504</v>
      </c>
      <c r="B48" s="1546"/>
      <c r="C48" s="1546"/>
      <c r="D48" s="1546"/>
      <c r="E48" s="1546"/>
      <c r="F48" s="1546"/>
      <c r="G48" s="1546"/>
      <c r="H48" s="1546"/>
      <c r="I48" s="1546"/>
      <c r="J48" s="1546"/>
      <c r="K48" s="1546"/>
      <c r="L48" s="1546"/>
      <c r="M48" s="1546"/>
      <c r="N48" s="1546"/>
      <c r="O48" s="1547"/>
      <c r="P48" s="1547"/>
      <c r="Q48" s="1547"/>
      <c r="R48" s="1547"/>
      <c r="S48" s="1547"/>
      <c r="T48" s="1547"/>
      <c r="U48" s="1547"/>
      <c r="V48" s="1547"/>
      <c r="W48" s="1547"/>
      <c r="X48" s="1547"/>
      <c r="Y48" s="1547"/>
      <c r="Z48" s="1547"/>
      <c r="AA48" s="1547"/>
      <c r="AB48" s="1547"/>
      <c r="AC48" s="1547"/>
      <c r="AD48" s="1547"/>
      <c r="AE48" s="1547"/>
      <c r="AF48" s="1547"/>
      <c r="AG48" s="1547"/>
      <c r="AH48" s="1547"/>
      <c r="AI48" s="1547"/>
      <c r="AJ48" s="1547"/>
      <c r="AK48" s="1547"/>
      <c r="AL48" s="1548"/>
      <c r="AM48" s="1531">
        <f>AM34+AM47</f>
        <v>0</v>
      </c>
      <c r="AN48" s="1532"/>
      <c r="AO48" s="1532"/>
      <c r="AP48" s="1533"/>
      <c r="AQ48" s="2"/>
      <c r="AR48" s="1534" t="s">
        <v>504</v>
      </c>
      <c r="AS48" s="1535"/>
      <c r="AT48" s="1535"/>
      <c r="AU48" s="1535"/>
      <c r="AV48" s="1535"/>
      <c r="AW48" s="1535"/>
      <c r="AX48" s="1535"/>
      <c r="AY48" s="1535"/>
      <c r="AZ48" s="1535"/>
      <c r="BA48" s="1535"/>
      <c r="BB48" s="1535"/>
      <c r="BC48" s="1536"/>
      <c r="BD48" s="1458">
        <f>BD34+BD47</f>
        <v>0</v>
      </c>
      <c r="BE48" s="1459"/>
      <c r="BF48" s="1459"/>
      <c r="BG48" s="1460"/>
    </row>
    <row r="49" spans="1:59" ht="18.75" x14ac:dyDescent="0.3">
      <c r="A49" s="1580" t="s">
        <v>557</v>
      </c>
      <c r="B49" s="1581"/>
      <c r="C49" s="1581"/>
      <c r="D49" s="1581"/>
      <c r="E49" s="1581"/>
      <c r="F49" s="1581"/>
      <c r="G49" s="1581"/>
      <c r="H49" s="1581"/>
      <c r="I49" s="1581"/>
      <c r="J49" s="1581"/>
      <c r="K49" s="1581"/>
      <c r="L49" s="1581"/>
      <c r="M49" s="231"/>
      <c r="N49" s="231"/>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3"/>
      <c r="AN49" s="243"/>
      <c r="AO49" s="243"/>
      <c r="AP49" s="243"/>
      <c r="AR49" s="244"/>
      <c r="AS49" s="244"/>
      <c r="AT49" s="244"/>
      <c r="AU49" s="244"/>
      <c r="AV49" s="244"/>
      <c r="AW49" s="244"/>
      <c r="AX49" s="244"/>
      <c r="AY49" s="244"/>
      <c r="AZ49" s="244"/>
      <c r="BA49" s="244"/>
      <c r="BB49" s="244"/>
      <c r="BC49" s="244"/>
      <c r="BD49" s="245"/>
      <c r="BE49" s="245"/>
      <c r="BF49" s="245"/>
      <c r="BG49" s="245"/>
    </row>
    <row r="50" spans="1:59" ht="21" x14ac:dyDescent="0.35">
      <c r="A50" s="1582" t="s">
        <v>556</v>
      </c>
      <c r="B50" s="1583"/>
      <c r="C50" s="1583"/>
      <c r="D50" s="1583"/>
      <c r="E50" s="1583"/>
      <c r="F50" s="1583"/>
      <c r="G50" s="1583"/>
      <c r="H50" s="1583"/>
      <c r="I50" s="1583"/>
      <c r="J50" s="1584"/>
      <c r="K50" s="1528">
        <f>COUNTIFS('refer admin discharge'!T13:T2976,"YES")</f>
        <v>0</v>
      </c>
      <c r="L50" s="1529"/>
      <c r="M50" s="1529"/>
      <c r="N50" s="1530"/>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3"/>
      <c r="AN50" s="243"/>
      <c r="AO50" s="243"/>
      <c r="AP50" s="243"/>
      <c r="AR50" s="244"/>
      <c r="AS50" s="244"/>
      <c r="AT50" s="244"/>
      <c r="AU50" s="244"/>
      <c r="AV50" s="244"/>
      <c r="AW50" s="244"/>
      <c r="AX50" s="244"/>
      <c r="AY50" s="244"/>
      <c r="AZ50" s="244"/>
      <c r="BA50" s="244"/>
      <c r="BB50" s="244"/>
      <c r="BC50" s="244"/>
      <c r="BD50" s="245"/>
      <c r="BE50" s="245"/>
      <c r="BF50" s="245"/>
      <c r="BG50" s="245"/>
    </row>
    <row r="51" spans="1:59" ht="18.75" x14ac:dyDescent="0.3">
      <c r="A51" s="288"/>
      <c r="B51" s="289"/>
      <c r="C51" s="289"/>
      <c r="D51" s="289"/>
      <c r="E51" s="289"/>
      <c r="F51" s="289"/>
      <c r="G51" s="289"/>
      <c r="H51" s="289"/>
      <c r="I51" s="290"/>
      <c r="J51" s="289"/>
      <c r="K51" s="290"/>
      <c r="L51" s="290"/>
      <c r="M51" s="290"/>
      <c r="N51" s="290"/>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3"/>
      <c r="AN51" s="243"/>
      <c r="AO51" s="243"/>
      <c r="AP51" s="243"/>
      <c r="AR51" s="244"/>
      <c r="AS51" s="244"/>
      <c r="AT51" s="244"/>
      <c r="AU51" s="244"/>
      <c r="AV51" s="244"/>
      <c r="AW51" s="244"/>
      <c r="AX51" s="244"/>
      <c r="AY51" s="244"/>
      <c r="AZ51" s="244"/>
      <c r="BA51" s="244"/>
      <c r="BB51" s="244"/>
      <c r="BC51" s="244"/>
      <c r="BD51" s="245"/>
      <c r="BE51" s="245"/>
      <c r="BF51" s="245"/>
      <c r="BG51" s="245"/>
    </row>
    <row r="52" spans="1:59" ht="21" customHeight="1" x14ac:dyDescent="0.25">
      <c r="A52" s="1537" t="s">
        <v>555</v>
      </c>
      <c r="B52" s="1538"/>
      <c r="C52" s="1538"/>
      <c r="D52" s="1538"/>
      <c r="E52" s="1538"/>
      <c r="F52" s="1538"/>
      <c r="G52" s="1538"/>
      <c r="H52" s="1538"/>
      <c r="I52" s="1538"/>
      <c r="J52" s="1538"/>
      <c r="K52" s="1538"/>
      <c r="L52" s="1538"/>
      <c r="M52" s="1538"/>
      <c r="N52" s="1538"/>
      <c r="O52" s="1538"/>
      <c r="P52" s="1538"/>
      <c r="Q52" s="1538"/>
      <c r="R52" s="1538"/>
      <c r="S52" s="1538"/>
      <c r="T52" s="1538"/>
      <c r="AI52" s="246"/>
      <c r="AJ52" s="246"/>
      <c r="AK52" s="246"/>
      <c r="AL52" s="246"/>
      <c r="AM52" s="246"/>
      <c r="AN52" s="246"/>
      <c r="AO52" s="246"/>
      <c r="AP52" s="246"/>
      <c r="AR52" s="246"/>
      <c r="AS52" s="246"/>
      <c r="AT52" s="246"/>
      <c r="AU52" s="246"/>
      <c r="AV52" s="246"/>
      <c r="AW52" s="246"/>
      <c r="AX52" s="246"/>
      <c r="AY52" s="246"/>
      <c r="AZ52" s="246"/>
      <c r="BA52" s="246"/>
      <c r="BB52" s="246"/>
      <c r="BC52" s="246"/>
      <c r="BD52" s="246"/>
      <c r="BE52" s="246"/>
      <c r="BF52" s="246"/>
      <c r="BG52" s="246"/>
    </row>
    <row r="53" spans="1:59" ht="18.75" customHeight="1" x14ac:dyDescent="0.25">
      <c r="A53" s="235"/>
      <c r="B53" s="235"/>
      <c r="C53" s="235"/>
      <c r="D53" s="235"/>
      <c r="E53" s="235"/>
      <c r="F53" s="235"/>
      <c r="G53" s="273"/>
      <c r="H53" s="273"/>
      <c r="I53" s="335"/>
      <c r="J53" s="273"/>
      <c r="K53" s="273"/>
      <c r="L53" s="273"/>
      <c r="M53" s="273"/>
      <c r="N53" s="273"/>
      <c r="O53" s="273"/>
      <c r="P53" s="273"/>
      <c r="Q53" s="273"/>
      <c r="R53" s="273"/>
      <c r="S53" s="273"/>
      <c r="T53" s="273"/>
      <c r="AI53" s="221"/>
      <c r="AJ53" s="221"/>
      <c r="AK53" s="221"/>
      <c r="AL53" s="221"/>
      <c r="AM53" s="221"/>
      <c r="AN53" s="221"/>
      <c r="AO53" s="221"/>
      <c r="AP53" s="221"/>
      <c r="AR53" s="221"/>
      <c r="AS53" s="221"/>
      <c r="AT53" s="221"/>
      <c r="AU53" s="221"/>
      <c r="AV53" s="221"/>
      <c r="AW53" s="221"/>
      <c r="AX53" s="221"/>
      <c r="AY53" s="221"/>
      <c r="AZ53" s="221"/>
      <c r="BA53" s="221"/>
      <c r="BB53" s="221"/>
      <c r="BC53" s="221"/>
      <c r="BD53" s="221"/>
      <c r="BE53" s="221"/>
      <c r="BF53" s="221"/>
      <c r="BG53" s="221"/>
    </row>
    <row r="54" spans="1:59" ht="15.75" x14ac:dyDescent="0.25">
      <c r="A54" s="235"/>
      <c r="B54" s="235"/>
      <c r="C54" s="235"/>
      <c r="D54" s="235"/>
      <c r="E54" s="235"/>
      <c r="F54" s="235"/>
      <c r="G54" s="1563" t="s">
        <v>116</v>
      </c>
      <c r="H54" s="1564"/>
      <c r="I54" s="1564"/>
      <c r="J54" s="1564"/>
      <c r="K54" s="1564"/>
      <c r="L54" s="1564"/>
      <c r="M54" s="1564"/>
      <c r="N54" s="1564"/>
      <c r="O54" s="1564"/>
      <c r="P54" s="1565"/>
      <c r="Q54" s="1528">
        <f>COUNTIFS('refer admin discharge'!V15:V2976,"YES")</f>
        <v>0</v>
      </c>
      <c r="R54" s="1529"/>
      <c r="S54" s="1529"/>
      <c r="T54" s="1530"/>
      <c r="AI54" s="221"/>
      <c r="AJ54" s="221"/>
      <c r="AK54" s="221"/>
      <c r="AL54" s="221"/>
      <c r="AM54" s="221"/>
      <c r="AN54" s="221"/>
      <c r="AO54" s="221"/>
      <c r="AP54" s="221"/>
      <c r="AR54" s="221"/>
      <c r="AS54" s="221"/>
      <c r="AT54" s="221"/>
      <c r="AU54" s="221"/>
      <c r="AV54" s="221"/>
      <c r="AW54" s="221"/>
      <c r="AX54" s="221"/>
      <c r="AY54" s="221"/>
      <c r="AZ54" s="221"/>
      <c r="BA54" s="221"/>
      <c r="BB54" s="221"/>
      <c r="BC54" s="221"/>
      <c r="BD54" s="221"/>
      <c r="BE54" s="221"/>
      <c r="BF54" s="221"/>
      <c r="BG54" s="221"/>
    </row>
    <row r="55" spans="1:59" ht="15.75" x14ac:dyDescent="0.25">
      <c r="A55" s="235"/>
      <c r="B55" s="235"/>
      <c r="C55" s="235"/>
      <c r="D55" s="235"/>
      <c r="E55" s="235"/>
      <c r="F55" s="235"/>
      <c r="G55" s="1563" t="s">
        <v>117</v>
      </c>
      <c r="H55" s="1564"/>
      <c r="I55" s="1564"/>
      <c r="J55" s="1564"/>
      <c r="K55" s="1564"/>
      <c r="L55" s="1564"/>
      <c r="M55" s="1564"/>
      <c r="N55" s="1564"/>
      <c r="O55" s="1564"/>
      <c r="P55" s="1565"/>
      <c r="Q55" s="1528">
        <f>COUNTIFS('refer admin discharge'!V15:V2976,"NO")</f>
        <v>0</v>
      </c>
      <c r="R55" s="1529"/>
      <c r="S55" s="1529"/>
      <c r="T55" s="1530"/>
      <c r="AI55" s="221"/>
      <c r="AX55" s="221"/>
      <c r="AY55" s="221"/>
      <c r="AZ55" s="221"/>
      <c r="BA55" s="221"/>
      <c r="BB55" s="221"/>
      <c r="BC55" s="221"/>
      <c r="BD55" s="221"/>
      <c r="BE55" s="221"/>
      <c r="BF55" s="221"/>
      <c r="BG55" s="221"/>
    </row>
    <row r="56" spans="1:59" ht="15.75" x14ac:dyDescent="0.25">
      <c r="A56" s="235"/>
      <c r="B56" s="235"/>
      <c r="C56" s="235"/>
      <c r="D56" s="235"/>
      <c r="E56" s="235"/>
      <c r="F56" s="235"/>
      <c r="G56" s="1563" t="s">
        <v>178</v>
      </c>
      <c r="H56" s="1564"/>
      <c r="I56" s="1564"/>
      <c r="J56" s="1564"/>
      <c r="K56" s="1564"/>
      <c r="L56" s="1564"/>
      <c r="M56" s="1564"/>
      <c r="N56" s="1564"/>
      <c r="O56" s="1564"/>
      <c r="P56" s="1565"/>
      <c r="Q56" s="1528">
        <f>COUNTIFS('refer admin discharge'!V15:V2976,"N/A")</f>
        <v>0</v>
      </c>
      <c r="R56" s="1529"/>
      <c r="S56" s="1529"/>
      <c r="T56" s="1530"/>
      <c r="AI56" s="221"/>
      <c r="AX56" s="221"/>
      <c r="AY56" s="221"/>
      <c r="AZ56" s="221"/>
      <c r="BA56" s="221"/>
      <c r="BB56" s="221"/>
      <c r="BC56" s="221"/>
      <c r="BD56" s="221"/>
      <c r="BE56" s="221"/>
      <c r="BF56" s="221"/>
      <c r="BG56" s="221"/>
    </row>
    <row r="57" spans="1:59" ht="18.75" x14ac:dyDescent="0.25">
      <c r="A57" s="235"/>
      <c r="B57" s="235"/>
      <c r="C57" s="235"/>
      <c r="D57" s="235"/>
      <c r="E57" s="235"/>
      <c r="F57" s="235"/>
      <c r="G57" s="1574" t="s">
        <v>390</v>
      </c>
      <c r="H57" s="1575"/>
      <c r="I57" s="1575"/>
      <c r="J57" s="1575"/>
      <c r="K57" s="1575"/>
      <c r="L57" s="1575"/>
      <c r="M57" s="1575"/>
      <c r="N57" s="1575"/>
      <c r="O57" s="1575"/>
      <c r="P57" s="1576"/>
      <c r="Q57" s="1577">
        <f>SUM(Q54:Q56)</f>
        <v>0</v>
      </c>
      <c r="R57" s="1578"/>
      <c r="S57" s="1578"/>
      <c r="T57" s="1579"/>
      <c r="AI57" s="221"/>
      <c r="AX57" s="221"/>
      <c r="AY57" s="221"/>
      <c r="AZ57" s="221"/>
      <c r="BA57" s="221"/>
      <c r="BB57" s="221"/>
      <c r="BC57" s="221"/>
      <c r="BD57" s="221"/>
      <c r="BE57" s="221"/>
      <c r="BF57" s="221"/>
      <c r="BG57" s="221"/>
    </row>
    <row r="58" spans="1:59" x14ac:dyDescent="0.25">
      <c r="A58" s="235"/>
      <c r="B58" s="235"/>
      <c r="C58" s="235"/>
      <c r="D58" s="235"/>
      <c r="E58" s="235"/>
      <c r="F58" s="235"/>
      <c r="G58" s="236"/>
      <c r="H58" s="237"/>
      <c r="I58" s="237"/>
      <c r="J58" s="237"/>
      <c r="K58" s="237"/>
      <c r="L58" s="237"/>
      <c r="M58" s="237"/>
      <c r="N58" s="237"/>
      <c r="O58" s="237"/>
      <c r="P58" s="237"/>
      <c r="Q58" s="237"/>
      <c r="R58" s="237"/>
      <c r="S58" s="237"/>
      <c r="T58" s="238"/>
      <c r="AI58" s="221"/>
      <c r="AJ58" s="221"/>
      <c r="AK58" s="221"/>
      <c r="AL58" s="221"/>
      <c r="AM58" s="221"/>
      <c r="AN58" s="221"/>
      <c r="AO58" s="221"/>
      <c r="AP58" s="221"/>
      <c r="AR58" s="221"/>
      <c r="AS58" s="221"/>
      <c r="AT58" s="221"/>
      <c r="AU58" s="221"/>
      <c r="AV58" s="221"/>
      <c r="AW58" s="221"/>
      <c r="AX58" s="221"/>
      <c r="AY58" s="221"/>
      <c r="AZ58" s="221"/>
      <c r="BA58" s="221"/>
      <c r="BB58" s="221"/>
      <c r="BC58" s="221"/>
      <c r="BD58" s="221"/>
      <c r="BE58" s="221"/>
      <c r="BF58" s="221"/>
      <c r="BG58" s="221"/>
    </row>
    <row r="59" spans="1:59" x14ac:dyDescent="0.25">
      <c r="A59" s="235"/>
      <c r="B59" s="235"/>
      <c r="C59" s="235"/>
      <c r="D59" s="235"/>
      <c r="E59" s="235"/>
      <c r="F59" s="235"/>
      <c r="G59" s="239"/>
      <c r="H59" s="240"/>
      <c r="I59" s="240"/>
      <c r="J59" s="240"/>
      <c r="K59" s="240"/>
      <c r="L59" s="240"/>
      <c r="M59" s="240"/>
      <c r="N59" s="240"/>
      <c r="O59" s="240"/>
      <c r="P59" s="240"/>
      <c r="Q59" s="240"/>
      <c r="R59" s="240"/>
      <c r="S59" s="240"/>
      <c r="T59" s="241"/>
      <c r="AI59" s="221"/>
      <c r="AJ59" s="221"/>
      <c r="AK59" s="221"/>
      <c r="AL59" s="221"/>
      <c r="AM59" s="221"/>
      <c r="AN59" s="221"/>
      <c r="AO59" s="221"/>
      <c r="AP59" s="221"/>
      <c r="AR59" s="221"/>
      <c r="AS59" s="221"/>
      <c r="AT59" s="221"/>
      <c r="AU59" s="221"/>
      <c r="AV59" s="221"/>
      <c r="AW59" s="221"/>
      <c r="AX59" s="221"/>
      <c r="AY59" s="221"/>
      <c r="AZ59" s="221"/>
      <c r="BA59" s="221"/>
      <c r="BB59" s="221"/>
      <c r="BC59" s="221"/>
      <c r="BD59" s="221"/>
      <c r="BE59" s="221"/>
      <c r="BF59" s="221"/>
      <c r="BG59" s="221"/>
    </row>
    <row r="60" spans="1:59" x14ac:dyDescent="0.25">
      <c r="A60" s="235"/>
      <c r="B60" s="235"/>
      <c r="C60" s="235"/>
      <c r="D60" s="235"/>
      <c r="E60" s="235"/>
      <c r="F60" s="235"/>
      <c r="G60" s="2"/>
      <c r="H60" s="2"/>
      <c r="I60" s="337"/>
      <c r="J60" s="2"/>
      <c r="K60" s="2"/>
      <c r="L60" s="2"/>
      <c r="M60" s="2"/>
      <c r="N60" s="2"/>
      <c r="O60" s="2"/>
      <c r="P60" s="2"/>
      <c r="Q60" s="2"/>
      <c r="R60" s="2"/>
      <c r="S60" s="2"/>
      <c r="T60" s="2"/>
      <c r="AI60" s="221"/>
      <c r="AJ60" s="221"/>
      <c r="AK60" s="221"/>
      <c r="AL60" s="221"/>
      <c r="AM60" s="221"/>
      <c r="AN60" s="221"/>
      <c r="AO60" s="221"/>
      <c r="AP60" s="221"/>
      <c r="AR60" s="221"/>
      <c r="AS60" s="221"/>
      <c r="AT60" s="221"/>
      <c r="AU60" s="221"/>
      <c r="AV60" s="221"/>
      <c r="AW60" s="221"/>
      <c r="AX60" s="221"/>
      <c r="AY60" s="221"/>
      <c r="AZ60" s="221"/>
      <c r="BA60" s="221"/>
      <c r="BB60" s="221"/>
      <c r="BC60" s="221"/>
      <c r="BD60" s="221"/>
      <c r="BE60" s="221"/>
      <c r="BF60" s="221"/>
      <c r="BG60" s="221"/>
    </row>
    <row r="61" spans="1:59" ht="21" x14ac:dyDescent="0.25">
      <c r="A61" s="1392" t="s">
        <v>475</v>
      </c>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234"/>
      <c r="AE61" s="234"/>
      <c r="AF61" s="234"/>
      <c r="AG61" s="234"/>
      <c r="AH61" s="234"/>
      <c r="AI61" s="234"/>
      <c r="AJ61" s="234"/>
      <c r="AK61" s="234"/>
      <c r="AL61" s="234"/>
      <c r="AM61" s="1549" t="s">
        <v>859</v>
      </c>
      <c r="AN61" s="1549"/>
      <c r="AO61" s="1549"/>
      <c r="AP61" s="1549"/>
      <c r="AQ61" s="1549"/>
      <c r="AR61" s="1549"/>
      <c r="AS61" s="1549"/>
      <c r="AT61" s="1549"/>
      <c r="AU61" s="1549"/>
      <c r="AV61" s="1549"/>
      <c r="AW61" s="1549"/>
      <c r="AX61" s="1549"/>
      <c r="AY61" s="1549"/>
      <c r="AZ61" s="1549"/>
      <c r="BA61" s="1549"/>
      <c r="BB61" s="1549"/>
      <c r="BC61" s="1549"/>
      <c r="BD61" s="1549"/>
      <c r="BE61" s="1549"/>
      <c r="BF61" s="1549"/>
      <c r="BG61" s="1549"/>
    </row>
    <row r="62" spans="1:59" ht="21" x14ac:dyDescent="0.25">
      <c r="A62" s="1542" t="s">
        <v>549</v>
      </c>
      <c r="B62" s="1543"/>
      <c r="C62" s="1543"/>
      <c r="D62" s="1543"/>
      <c r="E62" s="1543"/>
      <c r="F62" s="1543"/>
      <c r="G62" s="1543"/>
      <c r="H62" s="1543"/>
      <c r="I62" s="1543"/>
      <c r="J62" s="1543"/>
      <c r="K62" s="1543"/>
      <c r="L62" s="1543"/>
      <c r="M62" s="1543"/>
      <c r="N62" s="1543"/>
      <c r="O62" s="1543"/>
      <c r="P62" s="1543"/>
      <c r="Q62" s="1543"/>
      <c r="R62" s="1543"/>
      <c r="S62" s="1543"/>
      <c r="T62" s="1543"/>
      <c r="U62" s="1544"/>
      <c r="V62" s="209"/>
      <c r="W62" s="210"/>
      <c r="X62" s="210"/>
      <c r="Y62" s="210"/>
      <c r="Z62" s="211"/>
      <c r="AA62" s="229"/>
      <c r="AB62" s="229"/>
      <c r="AC62" s="229"/>
      <c r="AM62" s="292"/>
      <c r="AN62" s="292" t="s">
        <v>860</v>
      </c>
      <c r="AO62" s="292"/>
      <c r="AP62" s="292"/>
      <c r="AQ62" s="292"/>
      <c r="AR62" s="292"/>
      <c r="AS62" s="293"/>
      <c r="AT62" s="293"/>
      <c r="AU62" s="293"/>
      <c r="AV62" s="293"/>
      <c r="AW62" s="293"/>
      <c r="AX62" s="293"/>
      <c r="AY62" s="293"/>
      <c r="AZ62" s="293"/>
      <c r="BA62" s="293"/>
      <c r="BB62" s="293"/>
      <c r="BC62" s="293"/>
      <c r="BD62" s="293"/>
      <c r="BE62" s="293"/>
      <c r="BF62" s="293"/>
      <c r="BG62" s="293"/>
    </row>
    <row r="63" spans="1:59" x14ac:dyDescent="0.25">
      <c r="A63" s="1461" t="s">
        <v>476</v>
      </c>
      <c r="B63" s="1462"/>
      <c r="C63" s="1462"/>
      <c r="D63" s="1462"/>
      <c r="E63" s="1462"/>
      <c r="F63" s="1462"/>
      <c r="G63" s="1462"/>
      <c r="H63" s="1462"/>
      <c r="I63" s="1462"/>
      <c r="J63" s="1462"/>
      <c r="K63" s="1462"/>
      <c r="L63" s="1462"/>
      <c r="M63" s="1462"/>
      <c r="N63" s="1462"/>
      <c r="O63" s="1462"/>
      <c r="P63" s="1462"/>
      <c r="Q63" s="1462"/>
      <c r="R63" s="1462"/>
      <c r="S63" s="1462"/>
      <c r="T63" s="1462"/>
      <c r="U63" s="1463"/>
      <c r="V63" s="1464">
        <f>COUNTIFS('refer admin discharge'!O15:O2976,"Female",'refer admin discharge'!AJ15:AJ2976,"YES",'refer admin discharge'!AP15:AP2976,"YES")</f>
        <v>0</v>
      </c>
      <c r="W63" s="1465"/>
      <c r="X63" s="1465"/>
      <c r="Y63" s="1465"/>
      <c r="Z63" s="1466"/>
      <c r="AA63" s="2"/>
      <c r="AB63" s="2"/>
      <c r="AC63" s="2"/>
      <c r="AM63" s="1337" t="s">
        <v>116</v>
      </c>
      <c r="AN63" s="1337"/>
      <c r="AO63" s="1337"/>
      <c r="AP63" s="1337"/>
      <c r="AQ63" s="1337"/>
      <c r="AR63" s="1337"/>
      <c r="AS63" s="1337"/>
      <c r="AT63" s="1337"/>
      <c r="AU63" s="1295">
        <f>COUNTIFS('refer admin discharge'!AF15:AF2976,"YES")</f>
        <v>0</v>
      </c>
      <c r="AV63" s="1295"/>
      <c r="AW63" s="1295"/>
      <c r="AX63" s="1295"/>
      <c r="AY63" s="1295"/>
      <c r="AZ63" s="1295"/>
      <c r="BA63" s="1295"/>
      <c r="BB63" s="137"/>
      <c r="BC63" s="137"/>
      <c r="BD63" s="137"/>
      <c r="BE63" s="137"/>
      <c r="BF63" s="137"/>
      <c r="BG63" s="137"/>
    </row>
    <row r="64" spans="1:59" x14ac:dyDescent="0.25">
      <c r="A64" s="1467" t="s">
        <v>477</v>
      </c>
      <c r="B64" s="1468"/>
      <c r="C64" s="1468"/>
      <c r="D64" s="1468"/>
      <c r="E64" s="1468"/>
      <c r="F64" s="1468"/>
      <c r="G64" s="1468"/>
      <c r="H64" s="1468"/>
      <c r="I64" s="1468"/>
      <c r="J64" s="1468"/>
      <c r="K64" s="1468"/>
      <c r="L64" s="1468"/>
      <c r="M64" s="1468"/>
      <c r="N64" s="1468"/>
      <c r="O64" s="1468"/>
      <c r="P64" s="1468"/>
      <c r="Q64" s="1468"/>
      <c r="R64" s="1468"/>
      <c r="S64" s="1468"/>
      <c r="T64" s="1468"/>
      <c r="U64" s="1469"/>
      <c r="V64" s="1470">
        <f>COUNTIFS('refer admin discharge'!O15:O2976,"Female",'refer admin discharge'!AJ15:AJ2976,"YES",'refer admin discharge'!AR15:AR2976,"YES")</f>
        <v>0</v>
      </c>
      <c r="W64" s="1471"/>
      <c r="X64" s="1471"/>
      <c r="Y64" s="1471"/>
      <c r="Z64" s="1472"/>
      <c r="AA64" s="2"/>
      <c r="AB64" s="2"/>
      <c r="AC64" s="2"/>
      <c r="AM64" s="1337" t="s">
        <v>117</v>
      </c>
      <c r="AN64" s="1337"/>
      <c r="AO64" s="1337"/>
      <c r="AP64" s="1337"/>
      <c r="AQ64" s="1337"/>
      <c r="AR64" s="1337"/>
      <c r="AS64" s="1337"/>
      <c r="AT64" s="1337"/>
      <c r="AU64" s="1295">
        <f>COUNTIFS('refer admin discharge'!AF15:AF2976,"NO")</f>
        <v>0</v>
      </c>
      <c r="AV64" s="1295"/>
      <c r="AW64" s="1295"/>
      <c r="AX64" s="1295"/>
      <c r="AY64" s="1295"/>
      <c r="AZ64" s="1295"/>
      <c r="BA64" s="1295"/>
      <c r="BB64" s="137"/>
      <c r="BC64" s="137"/>
      <c r="BD64" s="137"/>
      <c r="BE64" s="137"/>
      <c r="BF64" s="137"/>
      <c r="BG64" s="137"/>
    </row>
    <row r="65" spans="1:59" x14ac:dyDescent="0.25">
      <c r="A65" s="1461" t="s">
        <v>478</v>
      </c>
      <c r="B65" s="1462"/>
      <c r="C65" s="1462"/>
      <c r="D65" s="1462"/>
      <c r="E65" s="1462"/>
      <c r="F65" s="1462"/>
      <c r="G65" s="1462"/>
      <c r="H65" s="1462"/>
      <c r="I65" s="1462"/>
      <c r="J65" s="1462"/>
      <c r="K65" s="1462"/>
      <c r="L65" s="1462"/>
      <c r="M65" s="1462"/>
      <c r="N65" s="1462"/>
      <c r="O65" s="1462"/>
      <c r="P65" s="1462"/>
      <c r="Q65" s="1462"/>
      <c r="R65" s="1462"/>
      <c r="S65" s="1462"/>
      <c r="T65" s="1462"/>
      <c r="U65" s="1463"/>
      <c r="V65" s="1464">
        <f>COUNTIFS('refer admin discharge'!O15:O2976,"Female",'refer admin discharge'!AJ15:AJ2976,"YES",'refer admin discharge'!AT15:AT2976,"YES")</f>
        <v>0</v>
      </c>
      <c r="W65" s="1465"/>
      <c r="X65" s="1465"/>
      <c r="Y65" s="1465"/>
      <c r="Z65" s="1466"/>
      <c r="AA65" s="2"/>
      <c r="AB65" s="2"/>
      <c r="AC65" s="2"/>
      <c r="AM65" s="1337"/>
      <c r="AN65" s="1337"/>
      <c r="AO65" s="1337"/>
      <c r="AP65" s="1337"/>
      <c r="AQ65" s="1337"/>
      <c r="AR65" s="1337"/>
      <c r="AS65" s="1337"/>
      <c r="AT65" s="1337"/>
      <c r="AU65" s="1295"/>
      <c r="AV65" s="1295"/>
      <c r="AW65" s="1295"/>
      <c r="AX65" s="1295"/>
      <c r="AY65" s="1295"/>
      <c r="AZ65" s="1295"/>
      <c r="BA65" s="1295"/>
      <c r="BB65" s="137"/>
      <c r="BC65" s="137"/>
      <c r="BD65" s="137"/>
      <c r="BE65" s="137"/>
      <c r="BF65" s="137"/>
      <c r="BG65" s="137"/>
    </row>
    <row r="66" spans="1:59" ht="15.75" x14ac:dyDescent="0.25">
      <c r="A66" s="1467" t="s">
        <v>479</v>
      </c>
      <c r="B66" s="1468"/>
      <c r="C66" s="1468"/>
      <c r="D66" s="1468"/>
      <c r="E66" s="1468"/>
      <c r="F66" s="1468"/>
      <c r="G66" s="1468"/>
      <c r="H66" s="1468"/>
      <c r="I66" s="1468"/>
      <c r="J66" s="1468"/>
      <c r="K66" s="1468"/>
      <c r="L66" s="1468"/>
      <c r="M66" s="1468"/>
      <c r="N66" s="1468"/>
      <c r="O66" s="1468"/>
      <c r="P66" s="1468"/>
      <c r="Q66" s="1468"/>
      <c r="R66" s="1468"/>
      <c r="S66" s="1468"/>
      <c r="T66" s="1468"/>
      <c r="U66" s="1469"/>
      <c r="V66" s="1470">
        <f>COUNTIFS('refer admin discharge'!O15:O2976,"Female",'refer admin discharge'!AJ15:AJ2976,"YES",'refer admin discharge'!BA15:BA2976,"YES")</f>
        <v>0</v>
      </c>
      <c r="W66" s="1471"/>
      <c r="X66" s="1471"/>
      <c r="Y66" s="1471"/>
      <c r="Z66" s="1472"/>
      <c r="AA66" s="2"/>
      <c r="AB66" s="2"/>
      <c r="AC66" s="2"/>
      <c r="AM66" s="1550" t="s">
        <v>390</v>
      </c>
      <c r="AN66" s="1550"/>
      <c r="AO66" s="1550"/>
      <c r="AP66" s="1550"/>
      <c r="AQ66" s="1550"/>
      <c r="AR66" s="1550"/>
      <c r="AS66" s="1550"/>
      <c r="AT66" s="1550"/>
      <c r="AU66" s="1550">
        <f>SUM(AU63:AU65)</f>
        <v>0</v>
      </c>
      <c r="AV66" s="1550"/>
      <c r="AW66" s="1550"/>
      <c r="AX66" s="1550"/>
      <c r="AY66" s="1550"/>
      <c r="AZ66" s="1550"/>
      <c r="BA66" s="1550"/>
      <c r="BB66" s="137"/>
      <c r="BC66" s="137"/>
      <c r="BD66" s="137"/>
      <c r="BE66" s="137"/>
      <c r="BF66" s="137"/>
      <c r="BG66" s="137"/>
    </row>
    <row r="67" spans="1:59" x14ac:dyDescent="0.25">
      <c r="A67" s="631" t="s">
        <v>480</v>
      </c>
      <c r="B67" s="632"/>
      <c r="C67" s="632"/>
      <c r="D67" s="632"/>
      <c r="E67" s="632"/>
      <c r="F67" s="632"/>
      <c r="G67" s="632"/>
      <c r="H67" s="632"/>
      <c r="I67" s="632"/>
      <c r="J67" s="632"/>
      <c r="K67" s="632"/>
      <c r="L67" s="632"/>
      <c r="M67" s="632"/>
      <c r="N67" s="632"/>
      <c r="O67" s="632"/>
      <c r="P67" s="632"/>
      <c r="Q67" s="632"/>
      <c r="R67" s="632"/>
      <c r="S67" s="632"/>
      <c r="T67" s="632"/>
      <c r="U67" s="633"/>
      <c r="V67" s="1539">
        <f>COUNTIFS('refer admin discharge'!AJ15:AJ2976,"NO",'refer admin discharge'!AP15:AP2976,"YES")</f>
        <v>0</v>
      </c>
      <c r="W67" s="1540"/>
      <c r="X67" s="1540"/>
      <c r="Y67" s="1540"/>
      <c r="Z67" s="1541"/>
      <c r="AA67" s="2"/>
      <c r="AB67" s="2"/>
      <c r="AC67" s="2"/>
    </row>
    <row r="68" spans="1:59" x14ac:dyDescent="0.25">
      <c r="A68" s="377" t="s">
        <v>481</v>
      </c>
      <c r="B68" s="378"/>
      <c r="C68" s="378"/>
      <c r="D68" s="378"/>
      <c r="E68" s="378"/>
      <c r="F68" s="378"/>
      <c r="G68" s="378"/>
      <c r="H68" s="378"/>
      <c r="I68" s="378"/>
      <c r="J68" s="378"/>
      <c r="K68" s="378"/>
      <c r="L68" s="378"/>
      <c r="M68" s="378"/>
      <c r="N68" s="378"/>
      <c r="O68" s="378"/>
      <c r="P68" s="378"/>
      <c r="Q68" s="378"/>
      <c r="R68" s="378"/>
      <c r="S68" s="378"/>
      <c r="T68" s="378"/>
      <c r="U68" s="379"/>
      <c r="V68" s="1206">
        <f>COUNTIFS('refer admin discharge'!AJ15:AJ2976,"NO",'refer admin discharge'!AR15:AR2976,"YES")</f>
        <v>0</v>
      </c>
      <c r="W68" s="1207"/>
      <c r="X68" s="1207"/>
      <c r="Y68" s="1207"/>
      <c r="Z68" s="1208"/>
      <c r="AA68" s="2"/>
      <c r="AB68" s="2"/>
      <c r="AC68" s="2"/>
    </row>
    <row r="69" spans="1:59" ht="21" x14ac:dyDescent="0.25">
      <c r="A69" s="631" t="s">
        <v>482</v>
      </c>
      <c r="B69" s="632"/>
      <c r="C69" s="632"/>
      <c r="D69" s="632"/>
      <c r="E69" s="632"/>
      <c r="F69" s="632"/>
      <c r="G69" s="632"/>
      <c r="H69" s="632"/>
      <c r="I69" s="632"/>
      <c r="J69" s="632"/>
      <c r="K69" s="632"/>
      <c r="L69" s="632"/>
      <c r="M69" s="632"/>
      <c r="N69" s="632"/>
      <c r="O69" s="632"/>
      <c r="P69" s="632"/>
      <c r="Q69" s="632"/>
      <c r="R69" s="632"/>
      <c r="S69" s="632"/>
      <c r="T69" s="632"/>
      <c r="U69" s="633"/>
      <c r="V69" s="1539">
        <f>COUNTIFS('refer admin discharge'!AJ15:AJ2976,"NO",'refer admin discharge'!AT15:AT2976,"YES")</f>
        <v>0</v>
      </c>
      <c r="W69" s="1540"/>
      <c r="X69" s="1540"/>
      <c r="Y69" s="1540"/>
      <c r="Z69" s="1541"/>
      <c r="AA69" s="2"/>
      <c r="AB69" s="2"/>
      <c r="AC69" s="2"/>
      <c r="AM69" s="1549" t="s">
        <v>863</v>
      </c>
      <c r="AN69" s="1549"/>
      <c r="AO69" s="1549"/>
      <c r="AP69" s="1549"/>
      <c r="AQ69" s="1549"/>
      <c r="AR69" s="1549"/>
      <c r="AS69" s="1549"/>
      <c r="AT69" s="1549"/>
      <c r="AU69" s="1549"/>
      <c r="AV69" s="1549"/>
      <c r="AW69" s="1549"/>
      <c r="AX69" s="1549"/>
      <c r="AY69" s="1549"/>
      <c r="AZ69" s="1549"/>
      <c r="BA69" s="1549"/>
      <c r="BB69" s="1549"/>
      <c r="BC69" s="1549"/>
      <c r="BD69" s="1549"/>
      <c r="BE69" s="1549"/>
      <c r="BF69" s="1549"/>
      <c r="BG69" s="1549"/>
    </row>
    <row r="70" spans="1:59" ht="21" x14ac:dyDescent="0.25">
      <c r="A70" s="377" t="s">
        <v>483</v>
      </c>
      <c r="B70" s="378"/>
      <c r="C70" s="378"/>
      <c r="D70" s="378"/>
      <c r="E70" s="378"/>
      <c r="F70" s="378"/>
      <c r="G70" s="378"/>
      <c r="H70" s="378"/>
      <c r="I70" s="378"/>
      <c r="J70" s="378"/>
      <c r="K70" s="378"/>
      <c r="L70" s="378"/>
      <c r="M70" s="378"/>
      <c r="N70" s="378"/>
      <c r="O70" s="378"/>
      <c r="P70" s="378"/>
      <c r="Q70" s="378"/>
      <c r="R70" s="378"/>
      <c r="S70" s="378"/>
      <c r="T70" s="378"/>
      <c r="U70" s="379"/>
      <c r="V70" s="1206">
        <f>COUNTIFS('refer admin discharge'!AJ15:AJ2976,"NO",'refer admin discharge'!BA15:BA2976,"YES")</f>
        <v>0</v>
      </c>
      <c r="W70" s="1207"/>
      <c r="X70" s="1207"/>
      <c r="Y70" s="1207"/>
      <c r="Z70" s="1208"/>
      <c r="AA70" s="2"/>
      <c r="AB70" s="2"/>
      <c r="AC70" s="2"/>
      <c r="AM70" s="292"/>
      <c r="AN70" s="292" t="s">
        <v>864</v>
      </c>
      <c r="AO70" s="292"/>
      <c r="AP70" s="292"/>
      <c r="AQ70" s="292"/>
      <c r="AR70" s="292"/>
      <c r="AS70" s="293"/>
      <c r="AT70" s="293"/>
      <c r="AU70" s="293"/>
      <c r="AV70" s="293"/>
      <c r="AW70" s="293"/>
      <c r="AX70" s="293"/>
      <c r="AY70" s="293"/>
      <c r="AZ70" s="293"/>
      <c r="BA70" s="293"/>
      <c r="BB70" s="293"/>
      <c r="BC70" s="293"/>
      <c r="BD70" s="293"/>
      <c r="BE70" s="293"/>
      <c r="BF70" s="293"/>
      <c r="BG70" s="293"/>
    </row>
    <row r="71" spans="1:59" x14ac:dyDescent="0.25">
      <c r="A71" s="1542" t="s">
        <v>550</v>
      </c>
      <c r="B71" s="1543"/>
      <c r="C71" s="1543"/>
      <c r="D71" s="1543"/>
      <c r="E71" s="1543"/>
      <c r="F71" s="1543"/>
      <c r="G71" s="1543"/>
      <c r="H71" s="1543"/>
      <c r="I71" s="1543"/>
      <c r="J71" s="1543"/>
      <c r="K71" s="1543"/>
      <c r="L71" s="1543"/>
      <c r="M71" s="1543"/>
      <c r="N71" s="1543"/>
      <c r="O71" s="1543"/>
      <c r="P71" s="1543"/>
      <c r="Q71" s="1543"/>
      <c r="R71" s="1543"/>
      <c r="S71" s="1543"/>
      <c r="T71" s="1543"/>
      <c r="U71" s="1544"/>
      <c r="V71" s="1325">
        <f>SUM(V63:V70)</f>
        <v>0</v>
      </c>
      <c r="W71" s="1326"/>
      <c r="X71" s="1326"/>
      <c r="Y71" s="1326"/>
      <c r="Z71" s="1327"/>
      <c r="AA71" s="2"/>
      <c r="AB71" s="2"/>
      <c r="AC71" s="2"/>
      <c r="AM71" s="1337" t="s">
        <v>116</v>
      </c>
      <c r="AN71" s="1337"/>
      <c r="AO71" s="1337"/>
      <c r="AP71" s="1337"/>
      <c r="AQ71" s="1337"/>
      <c r="AR71" s="1337"/>
      <c r="AS71" s="1337"/>
      <c r="AT71" s="1337"/>
      <c r="AU71" s="1295">
        <f>COUNTIFS('refer admin discharge'!AH15:AH2984,"YES")</f>
        <v>0</v>
      </c>
      <c r="AV71" s="1295"/>
      <c r="AW71" s="1295"/>
      <c r="AX71" s="1295"/>
      <c r="AY71" s="1295"/>
      <c r="AZ71" s="1295"/>
      <c r="BA71" s="1295"/>
      <c r="BB71" s="137"/>
      <c r="BC71" s="137"/>
      <c r="BD71" s="137"/>
      <c r="BE71" s="137"/>
      <c r="BF71" s="137"/>
      <c r="BG71" s="137"/>
    </row>
    <row r="72" spans="1:59" x14ac:dyDescent="0.25">
      <c r="A72" s="631" t="s">
        <v>373</v>
      </c>
      <c r="B72" s="632"/>
      <c r="C72" s="632"/>
      <c r="D72" s="632"/>
      <c r="E72" s="632"/>
      <c r="F72" s="632"/>
      <c r="G72" s="632"/>
      <c r="H72" s="632"/>
      <c r="I72" s="632"/>
      <c r="J72" s="632"/>
      <c r="K72" s="632"/>
      <c r="L72" s="632"/>
      <c r="M72" s="632"/>
      <c r="N72" s="632"/>
      <c r="O72" s="632"/>
      <c r="P72" s="632"/>
      <c r="Q72" s="632"/>
      <c r="R72" s="632"/>
      <c r="S72" s="632"/>
      <c r="T72" s="632"/>
      <c r="U72" s="633"/>
      <c r="V72" s="1539">
        <f>COUNTIFS('refer admin discharge'!AX15:AX2976,"Methadone")</f>
        <v>0</v>
      </c>
      <c r="W72" s="1540"/>
      <c r="X72" s="1540"/>
      <c r="Y72" s="1540"/>
      <c r="Z72" s="1541"/>
      <c r="AA72" s="2"/>
      <c r="AB72" s="2"/>
      <c r="AC72" s="2"/>
      <c r="AM72" s="1337" t="s">
        <v>117</v>
      </c>
      <c r="AN72" s="1337"/>
      <c r="AO72" s="1337"/>
      <c r="AP72" s="1337"/>
      <c r="AQ72" s="1337"/>
      <c r="AR72" s="1337"/>
      <c r="AS72" s="1337"/>
      <c r="AT72" s="1337"/>
      <c r="AU72" s="1295">
        <f>COUNTIFS('refer admin discharge'!AH15:AH2984,"NO")</f>
        <v>0</v>
      </c>
      <c r="AV72" s="1295"/>
      <c r="AW72" s="1295"/>
      <c r="AX72" s="1295"/>
      <c r="AY72" s="1295"/>
      <c r="AZ72" s="1295"/>
      <c r="BA72" s="1295"/>
      <c r="BB72" s="137"/>
      <c r="BC72" s="137"/>
      <c r="BD72" s="137"/>
      <c r="BE72" s="137"/>
      <c r="BF72" s="137"/>
      <c r="BG72" s="137"/>
    </row>
    <row r="73" spans="1:59" x14ac:dyDescent="0.25">
      <c r="A73" s="377" t="s">
        <v>374</v>
      </c>
      <c r="B73" s="378"/>
      <c r="C73" s="378"/>
      <c r="D73" s="378"/>
      <c r="E73" s="378"/>
      <c r="F73" s="378"/>
      <c r="G73" s="378"/>
      <c r="H73" s="378"/>
      <c r="I73" s="378"/>
      <c r="J73" s="378"/>
      <c r="K73" s="378"/>
      <c r="L73" s="378"/>
      <c r="M73" s="378"/>
      <c r="N73" s="378"/>
      <c r="O73" s="378"/>
      <c r="P73" s="378"/>
      <c r="Q73" s="378"/>
      <c r="R73" s="378"/>
      <c r="S73" s="378"/>
      <c r="T73" s="378"/>
      <c r="U73" s="379"/>
      <c r="V73" s="1206">
        <f>COUNTIFS('refer admin discharge'!AX15:AX2976,"Buprenorphine Oral")</f>
        <v>0</v>
      </c>
      <c r="W73" s="1207"/>
      <c r="X73" s="1207"/>
      <c r="Y73" s="1207"/>
      <c r="Z73" s="1208"/>
      <c r="AA73" s="2"/>
      <c r="AB73" s="2"/>
      <c r="AC73" s="2"/>
      <c r="AM73" s="1337"/>
      <c r="AN73" s="1337"/>
      <c r="AO73" s="1337"/>
      <c r="AP73" s="1337"/>
      <c r="AQ73" s="1337"/>
      <c r="AR73" s="1337"/>
      <c r="AS73" s="1337"/>
      <c r="AT73" s="1337"/>
      <c r="AU73" s="1295"/>
      <c r="AV73" s="1295"/>
      <c r="AW73" s="1295"/>
      <c r="AX73" s="1295"/>
      <c r="AY73" s="1295"/>
      <c r="AZ73" s="1295"/>
      <c r="BA73" s="1295"/>
      <c r="BB73" s="137"/>
      <c r="BC73" s="137"/>
      <c r="BD73" s="137"/>
      <c r="BE73" s="137"/>
      <c r="BF73" s="137"/>
      <c r="BG73" s="137"/>
    </row>
    <row r="74" spans="1:59" ht="15.75" x14ac:dyDescent="0.25">
      <c r="A74" s="631" t="s">
        <v>375</v>
      </c>
      <c r="B74" s="632"/>
      <c r="C74" s="632"/>
      <c r="D74" s="632"/>
      <c r="E74" s="632"/>
      <c r="F74" s="632"/>
      <c r="G74" s="632"/>
      <c r="H74" s="632"/>
      <c r="I74" s="632"/>
      <c r="J74" s="632"/>
      <c r="K74" s="632"/>
      <c r="L74" s="632"/>
      <c r="M74" s="632"/>
      <c r="N74" s="632"/>
      <c r="O74" s="632"/>
      <c r="P74" s="632"/>
      <c r="Q74" s="632"/>
      <c r="R74" s="632"/>
      <c r="S74" s="632"/>
      <c r="T74" s="632"/>
      <c r="U74" s="633"/>
      <c r="V74" s="1539">
        <f>COUNTIFS('refer admin discharge'!AX15:AX2976,"Buprenorphine - Injectable")</f>
        <v>0</v>
      </c>
      <c r="W74" s="1540"/>
      <c r="X74" s="1540"/>
      <c r="Y74" s="1540"/>
      <c r="Z74" s="1541"/>
      <c r="AA74" s="2"/>
      <c r="AB74" s="2"/>
      <c r="AC74" s="2"/>
      <c r="AM74" s="1550" t="s">
        <v>390</v>
      </c>
      <c r="AN74" s="1550"/>
      <c r="AO74" s="1550"/>
      <c r="AP74" s="1550"/>
      <c r="AQ74" s="1550"/>
      <c r="AR74" s="1550"/>
      <c r="AS74" s="1550"/>
      <c r="AT74" s="1550"/>
      <c r="AU74" s="1550">
        <f>SUM(AU71:AU73)</f>
        <v>0</v>
      </c>
      <c r="AV74" s="1550"/>
      <c r="AW74" s="1550"/>
      <c r="AX74" s="1550"/>
      <c r="AY74" s="1550"/>
      <c r="AZ74" s="1550"/>
      <c r="BA74" s="1550"/>
      <c r="BB74" s="137"/>
      <c r="BC74" s="137"/>
      <c r="BD74" s="137"/>
      <c r="BE74" s="137"/>
      <c r="BF74" s="137"/>
      <c r="BG74" s="137"/>
    </row>
    <row r="75" spans="1:59" x14ac:dyDescent="0.25">
      <c r="A75" s="377" t="s">
        <v>376</v>
      </c>
      <c r="B75" s="378"/>
      <c r="C75" s="378"/>
      <c r="D75" s="378"/>
      <c r="E75" s="378"/>
      <c r="F75" s="378"/>
      <c r="G75" s="378"/>
      <c r="H75" s="378"/>
      <c r="I75" s="378"/>
      <c r="J75" s="378"/>
      <c r="K75" s="378"/>
      <c r="L75" s="378"/>
      <c r="M75" s="378"/>
      <c r="N75" s="378"/>
      <c r="O75" s="378"/>
      <c r="P75" s="378"/>
      <c r="Q75" s="378"/>
      <c r="R75" s="378"/>
      <c r="S75" s="378"/>
      <c r="T75" s="378"/>
      <c r="U75" s="379"/>
      <c r="V75" s="1206">
        <f>COUNTIFS('refer admin discharge'!AX15:AX2976,"Buprenorphine Implant")</f>
        <v>0</v>
      </c>
      <c r="W75" s="1207"/>
      <c r="X75" s="1207"/>
      <c r="Y75" s="1207"/>
      <c r="Z75" s="1208"/>
      <c r="AA75" s="2"/>
      <c r="AB75" s="2"/>
      <c r="AC75" s="2"/>
    </row>
    <row r="76" spans="1:59" x14ac:dyDescent="0.25">
      <c r="A76" s="631" t="s">
        <v>377</v>
      </c>
      <c r="B76" s="632"/>
      <c r="C76" s="632"/>
      <c r="D76" s="632"/>
      <c r="E76" s="632"/>
      <c r="F76" s="632"/>
      <c r="G76" s="632"/>
      <c r="H76" s="632"/>
      <c r="I76" s="632"/>
      <c r="J76" s="632"/>
      <c r="K76" s="632"/>
      <c r="L76" s="632"/>
      <c r="M76" s="632"/>
      <c r="N76" s="632"/>
      <c r="O76" s="632"/>
      <c r="P76" s="632"/>
      <c r="Q76" s="632"/>
      <c r="R76" s="632"/>
      <c r="S76" s="632"/>
      <c r="T76" s="632"/>
      <c r="U76" s="633"/>
      <c r="V76" s="1539">
        <f>COUNTIFS('refer admin discharge'!AX15:AX2976,"Naltrexone - Oral")</f>
        <v>0</v>
      </c>
      <c r="W76" s="1540"/>
      <c r="X76" s="1540"/>
      <c r="Y76" s="1540"/>
      <c r="Z76" s="1541"/>
      <c r="AA76" s="2"/>
      <c r="AB76" s="2"/>
      <c r="AC76" s="2"/>
    </row>
    <row r="77" spans="1:59" x14ac:dyDescent="0.25">
      <c r="A77" s="212" t="s">
        <v>435</v>
      </c>
      <c r="B77" s="213"/>
      <c r="C77" s="213"/>
      <c r="D77" s="213"/>
      <c r="E77" s="213"/>
      <c r="F77" s="213"/>
      <c r="G77" s="213"/>
      <c r="H77" s="213"/>
      <c r="I77" s="318"/>
      <c r="J77" s="213"/>
      <c r="K77" s="213"/>
      <c r="L77" s="213"/>
      <c r="M77" s="213"/>
      <c r="N77" s="213"/>
      <c r="O77" s="213"/>
      <c r="P77" s="213"/>
      <c r="Q77" s="213"/>
      <c r="R77" s="213"/>
      <c r="S77" s="213"/>
      <c r="T77" s="213"/>
      <c r="U77" s="214"/>
      <c r="V77" s="1206">
        <f>COUNTIFS('refer admin discharge'!AX15:AX2976,"Naltrexone - Injectable ")</f>
        <v>0</v>
      </c>
      <c r="W77" s="1207"/>
      <c r="X77" s="1207"/>
      <c r="Y77" s="1207"/>
      <c r="Z77" s="1208"/>
      <c r="AA77" s="2"/>
      <c r="AB77" s="2"/>
      <c r="AC77" s="2"/>
    </row>
    <row r="78" spans="1:59" x14ac:dyDescent="0.25">
      <c r="A78" s="631" t="s">
        <v>501</v>
      </c>
      <c r="B78" s="632"/>
      <c r="C78" s="632"/>
      <c r="D78" s="632"/>
      <c r="E78" s="632"/>
      <c r="F78" s="632"/>
      <c r="G78" s="632"/>
      <c r="H78" s="632"/>
      <c r="I78" s="632"/>
      <c r="J78" s="632"/>
      <c r="K78" s="632"/>
      <c r="L78" s="632"/>
      <c r="M78" s="632"/>
      <c r="N78" s="632"/>
      <c r="O78" s="632"/>
      <c r="P78" s="632"/>
      <c r="Q78" s="632"/>
      <c r="R78" s="632"/>
      <c r="S78" s="632"/>
      <c r="T78" s="632"/>
      <c r="U78" s="633"/>
      <c r="V78" s="1539">
        <f>COUNTIFS('refer admin discharge'!AX15:AX2976,"Not Receiving MAT ")</f>
        <v>0</v>
      </c>
      <c r="W78" s="1540"/>
      <c r="X78" s="1540"/>
      <c r="Y78" s="1540"/>
      <c r="Z78" s="1541"/>
      <c r="AA78" s="2"/>
      <c r="AB78" s="2"/>
      <c r="AC78" s="2"/>
    </row>
    <row r="79" spans="1:59" x14ac:dyDescent="0.25">
      <c r="A79" s="631" t="s">
        <v>552</v>
      </c>
      <c r="B79" s="632"/>
      <c r="C79" s="632"/>
      <c r="D79" s="632"/>
      <c r="E79" s="632"/>
      <c r="F79" s="632"/>
      <c r="G79" s="632"/>
      <c r="H79" s="632"/>
      <c r="I79" s="632"/>
      <c r="J79" s="632"/>
      <c r="K79" s="632"/>
      <c r="L79" s="632"/>
      <c r="M79" s="632"/>
      <c r="N79" s="632"/>
      <c r="O79" s="632"/>
      <c r="P79" s="632"/>
      <c r="Q79" s="632"/>
      <c r="R79" s="632"/>
      <c r="S79" s="632"/>
      <c r="T79" s="632"/>
      <c r="U79" s="633"/>
      <c r="V79" s="1539">
        <f>COUNTIFS('refer admin discharge'!AX15:AX2976,"Changed MAT (Specify in Notes) ")</f>
        <v>0</v>
      </c>
      <c r="W79" s="1540"/>
      <c r="X79" s="1540"/>
      <c r="Y79" s="1540"/>
      <c r="Z79" s="1541"/>
      <c r="AA79" s="2"/>
      <c r="AB79" s="2"/>
      <c r="AC79" s="2"/>
    </row>
    <row r="80" spans="1:59" ht="18.75" x14ac:dyDescent="0.3">
      <c r="A80" s="1547" t="s">
        <v>13</v>
      </c>
      <c r="B80" s="1547"/>
      <c r="C80" s="1547"/>
      <c r="D80" s="1547"/>
      <c r="E80" s="1547"/>
      <c r="F80" s="1547"/>
      <c r="G80" s="1547"/>
      <c r="H80" s="1547"/>
      <c r="I80" s="1547"/>
      <c r="J80" s="1547"/>
      <c r="K80" s="1547"/>
      <c r="L80" s="1547"/>
      <c r="M80" s="1547"/>
      <c r="N80" s="1547"/>
      <c r="O80" s="1547"/>
      <c r="P80" s="1547"/>
      <c r="Q80" s="1547"/>
      <c r="R80" s="1547"/>
      <c r="S80" s="1547"/>
      <c r="T80" s="1547"/>
      <c r="U80" s="1547"/>
      <c r="V80" s="1573">
        <f>SUM(V72:V79)</f>
        <v>0</v>
      </c>
      <c r="W80" s="1573"/>
      <c r="X80" s="1573"/>
      <c r="Y80" s="1573"/>
      <c r="Z80" s="1573"/>
      <c r="AA80" s="2"/>
      <c r="AB80" s="2"/>
      <c r="AC80" s="2"/>
    </row>
    <row r="81" spans="1:59" ht="21" x14ac:dyDescent="0.25">
      <c r="A81" s="1549" t="s">
        <v>484</v>
      </c>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1549"/>
      <c r="AV81" s="1549"/>
      <c r="AW81" s="1549"/>
      <c r="AX81" s="1549"/>
      <c r="AY81" s="1549"/>
      <c r="AZ81" s="1549"/>
      <c r="BA81" s="1549"/>
      <c r="BB81" s="1549"/>
      <c r="BC81" s="1549"/>
      <c r="BD81" s="1549"/>
      <c r="BE81" s="1549"/>
      <c r="BF81" s="1549"/>
      <c r="BG81" s="1549"/>
    </row>
    <row r="82" spans="1:59" ht="21" x14ac:dyDescent="0.25">
      <c r="A82" s="1570" t="s">
        <v>485</v>
      </c>
      <c r="B82" s="1570"/>
      <c r="C82" s="1570"/>
      <c r="D82" s="1570"/>
      <c r="E82" s="1570"/>
      <c r="F82" s="1570"/>
      <c r="G82" s="1570"/>
      <c r="H82" s="1570"/>
      <c r="I82" s="1570"/>
      <c r="J82" s="1570"/>
      <c r="K82" s="1570"/>
      <c r="L82" s="1570"/>
      <c r="M82" s="1570"/>
      <c r="N82" s="1570"/>
      <c r="O82" s="1570"/>
      <c r="P82" s="202"/>
      <c r="Q82" s="202"/>
      <c r="R82" s="202"/>
      <c r="S82" s="202"/>
      <c r="T82" s="202"/>
      <c r="U82" s="6"/>
      <c r="V82" s="6"/>
      <c r="W82" s="6"/>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row>
    <row r="83" spans="1:59" ht="21" x14ac:dyDescent="0.25">
      <c r="A83" s="1571" t="s">
        <v>486</v>
      </c>
      <c r="B83" s="1571"/>
      <c r="C83" s="1571"/>
      <c r="D83" s="1571"/>
      <c r="E83" s="1571"/>
      <c r="F83" s="1571"/>
      <c r="G83" s="1571"/>
      <c r="H83" s="1571"/>
      <c r="I83" s="1571"/>
      <c r="J83" s="1571"/>
      <c r="K83" s="1567">
        <f>COUNTIFS('refer admin discharge'!BF15:BF2976,"Referred to another PRSS ")</f>
        <v>0</v>
      </c>
      <c r="L83" s="1567"/>
      <c r="M83" s="1567"/>
      <c r="N83" s="1567"/>
      <c r="O83" s="1567"/>
      <c r="P83" s="202"/>
      <c r="Q83" s="202"/>
      <c r="R83" s="202"/>
      <c r="T83" s="6"/>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row>
    <row r="84" spans="1:59" ht="21" x14ac:dyDescent="0.25">
      <c r="A84" s="1566" t="s">
        <v>440</v>
      </c>
      <c r="B84" s="1566"/>
      <c r="C84" s="1566"/>
      <c r="D84" s="1566"/>
      <c r="E84" s="1566"/>
      <c r="F84" s="1566"/>
      <c r="G84" s="1566"/>
      <c r="H84" s="1566"/>
      <c r="I84" s="1566"/>
      <c r="J84" s="1566"/>
      <c r="K84" s="1572">
        <f>COUNTIFS('refer admin discharge'!BF15:BF2976,"mutually agreed cessation of PRSS")</f>
        <v>0</v>
      </c>
      <c r="L84" s="1572"/>
      <c r="M84" s="1572"/>
      <c r="N84" s="1572"/>
      <c r="O84" s="1572"/>
      <c r="P84" s="202"/>
      <c r="Q84" s="202"/>
      <c r="R84" s="202"/>
      <c r="T84" s="6"/>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row>
    <row r="85" spans="1:59" ht="21" x14ac:dyDescent="0.25">
      <c r="A85" s="1571" t="s">
        <v>441</v>
      </c>
      <c r="B85" s="1571"/>
      <c r="C85" s="1571"/>
      <c r="D85" s="1571"/>
      <c r="E85" s="1571"/>
      <c r="F85" s="1571"/>
      <c r="G85" s="1571"/>
      <c r="H85" s="1571"/>
      <c r="I85" s="1571"/>
      <c r="J85" s="1571"/>
      <c r="K85" s="1567">
        <f>COUNTIFS('refer admin discharge'!BF15:BF2976,"Withdrew from / DECLINED ")</f>
        <v>0</v>
      </c>
      <c r="L85" s="1567"/>
      <c r="M85" s="1567"/>
      <c r="N85" s="1567"/>
      <c r="O85" s="1567"/>
      <c r="P85" s="202"/>
      <c r="Q85" s="202"/>
      <c r="R85" s="202"/>
      <c r="T85" s="6"/>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row>
    <row r="86" spans="1:59" ht="21" x14ac:dyDescent="0.25">
      <c r="A86" s="1566" t="s">
        <v>385</v>
      </c>
      <c r="B86" s="1566"/>
      <c r="C86" s="1566"/>
      <c r="D86" s="1566"/>
      <c r="E86" s="1566"/>
      <c r="F86" s="1566"/>
      <c r="G86" s="1566"/>
      <c r="H86" s="1566"/>
      <c r="I86" s="1566"/>
      <c r="J86" s="1566"/>
      <c r="K86" s="1567">
        <f>COUNTIFS('refer admin discharge'!BF15:BF2976,"Other (Specify in Notes) ")</f>
        <v>0</v>
      </c>
      <c r="L86" s="1567"/>
      <c r="M86" s="1567"/>
      <c r="N86" s="1567"/>
      <c r="O86" s="1567"/>
      <c r="P86" s="202"/>
      <c r="Q86" s="202"/>
      <c r="R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row>
    <row r="87" spans="1:59" ht="21" x14ac:dyDescent="0.3">
      <c r="A87" s="1568" t="s">
        <v>13</v>
      </c>
      <c r="B87" s="1568"/>
      <c r="C87" s="1568"/>
      <c r="D87" s="1568"/>
      <c r="E87" s="1568"/>
      <c r="F87" s="1568"/>
      <c r="G87" s="1568"/>
      <c r="H87" s="1568"/>
      <c r="I87" s="1568"/>
      <c r="J87" s="1568"/>
      <c r="K87" s="1569">
        <f>SUM(K83:K86)</f>
        <v>0</v>
      </c>
      <c r="L87" s="1569"/>
      <c r="M87" s="1569"/>
      <c r="N87" s="1569"/>
      <c r="O87" s="1569"/>
      <c r="P87" s="202"/>
      <c r="Q87" s="202"/>
      <c r="R87" s="202"/>
      <c r="S87" s="202"/>
      <c r="T87" s="202"/>
      <c r="U87" s="202"/>
      <c r="V87" s="202"/>
      <c r="W87" s="202"/>
      <c r="X87" s="202"/>
      <c r="Y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row>
    <row r="88" spans="1:59" ht="21" x14ac:dyDescent="0.25">
      <c r="P88" s="202"/>
      <c r="Q88" s="202"/>
      <c r="R88" s="202"/>
      <c r="S88" s="202"/>
      <c r="T88" s="202"/>
      <c r="U88" s="202"/>
      <c r="V88" s="202"/>
      <c r="W88" s="202"/>
      <c r="X88" s="202"/>
      <c r="Y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row>
    <row r="89" spans="1:59" ht="21" x14ac:dyDescent="0.25">
      <c r="A89" s="1553" t="s">
        <v>920</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553"/>
      <c r="AV89" s="1553"/>
      <c r="AW89" s="1553"/>
      <c r="AX89" s="1553"/>
      <c r="AY89" s="1553"/>
      <c r="AZ89" s="1553"/>
      <c r="BA89" s="1553"/>
      <c r="BB89" s="1553"/>
      <c r="BC89" s="1553"/>
      <c r="BD89" s="1553"/>
      <c r="BE89" s="1553"/>
      <c r="BF89" s="1553"/>
      <c r="BG89" s="1553"/>
    </row>
    <row r="90" spans="1:59" ht="45" customHeight="1" x14ac:dyDescent="0.25">
      <c r="A90" s="1551" t="s">
        <v>921</v>
      </c>
      <c r="B90" s="1552"/>
      <c r="C90" s="1552"/>
      <c r="D90" s="1552"/>
      <c r="E90" s="1552"/>
      <c r="F90" s="1552"/>
      <c r="G90" s="1552"/>
      <c r="H90" s="1552"/>
      <c r="I90" s="1552"/>
      <c r="J90" s="1552"/>
      <c r="K90" s="1552"/>
      <c r="L90" s="1552"/>
      <c r="M90" s="1554" t="s">
        <v>910</v>
      </c>
      <c r="N90" s="1554"/>
      <c r="O90" s="1554"/>
      <c r="P90" s="1554"/>
      <c r="Q90" s="1554" t="s">
        <v>911</v>
      </c>
      <c r="R90" s="1554"/>
      <c r="S90" s="1554"/>
      <c r="T90" s="1554"/>
      <c r="U90" s="319"/>
      <c r="V90" s="319"/>
      <c r="W90" s="319"/>
      <c r="X90" s="319"/>
      <c r="Y90" s="319"/>
      <c r="Z90" s="319"/>
      <c r="AA90" s="319"/>
      <c r="AB90" s="319"/>
      <c r="AC90" s="319"/>
      <c r="AD90" s="319"/>
      <c r="AE90" s="319"/>
      <c r="AF90" s="319"/>
    </row>
    <row r="91" spans="1:59" ht="30" customHeight="1" x14ac:dyDescent="0.25">
      <c r="A91" s="1559" t="s">
        <v>166</v>
      </c>
      <c r="B91" s="1560"/>
      <c r="C91" s="1560"/>
      <c r="D91" s="1560"/>
      <c r="E91" s="1560"/>
      <c r="F91" s="1560"/>
      <c r="G91" s="1560"/>
      <c r="H91" s="1560"/>
      <c r="I91" s="1560"/>
      <c r="J91" s="1560"/>
      <c r="K91" s="1560"/>
      <c r="L91" s="1560"/>
      <c r="M91" s="1557">
        <f>SUM('NOMS PRE ADM POST DISC'!H14:H5000)</f>
        <v>0</v>
      </c>
      <c r="N91" s="1557"/>
      <c r="O91" s="1557"/>
      <c r="P91" s="1557"/>
      <c r="Q91" s="1555">
        <f>SUM('NOMS PRE ADM POST DISC'!X14:X5000)</f>
        <v>0</v>
      </c>
      <c r="R91" s="1555"/>
      <c r="S91" s="1555"/>
      <c r="T91" s="1555"/>
      <c r="U91" s="320"/>
      <c r="V91" s="320"/>
      <c r="W91" s="320"/>
      <c r="X91" s="320"/>
      <c r="Y91" s="320"/>
      <c r="Z91" s="320"/>
      <c r="AA91" s="320"/>
      <c r="AB91" s="320"/>
      <c r="AC91" s="320"/>
      <c r="AD91" s="320"/>
      <c r="AE91" s="320"/>
      <c r="AF91" s="320"/>
      <c r="AH91" s="233"/>
      <c r="AI91" s="233"/>
      <c r="AJ91" s="233"/>
      <c r="AK91" s="233"/>
      <c r="AL91" s="323"/>
      <c r="AM91" s="323"/>
      <c r="AN91" s="324"/>
      <c r="AO91" s="324"/>
      <c r="AP91" s="323"/>
      <c r="AQ91" s="323"/>
      <c r="AR91" s="323"/>
      <c r="AS91" s="323"/>
      <c r="AT91" s="323"/>
      <c r="AU91" s="323"/>
      <c r="AV91" s="323"/>
      <c r="AW91" s="323"/>
      <c r="AX91" s="323"/>
      <c r="AY91" s="323"/>
    </row>
    <row r="92" spans="1:59" ht="30" customHeight="1" x14ac:dyDescent="0.25">
      <c r="A92" s="1561" t="s">
        <v>906</v>
      </c>
      <c r="B92" s="1562"/>
      <c r="C92" s="1562"/>
      <c r="D92" s="1562"/>
      <c r="E92" s="1562"/>
      <c r="F92" s="1562"/>
      <c r="G92" s="1562"/>
      <c r="H92" s="1562"/>
      <c r="I92" s="1562"/>
      <c r="J92" s="1562"/>
      <c r="K92" s="1562"/>
      <c r="L92" s="1562"/>
      <c r="M92" s="1558">
        <f>SUM('NOMS PRE ADM POST DISC'!J14:J5000)</f>
        <v>0</v>
      </c>
      <c r="N92" s="1558"/>
      <c r="O92" s="1558"/>
      <c r="P92" s="1558"/>
      <c r="Q92" s="1556">
        <f>SUM('NOMS PRE ADM POST DISC'!Z14:Z5000)</f>
        <v>0</v>
      </c>
      <c r="R92" s="1556"/>
      <c r="S92" s="1556"/>
      <c r="T92" s="1556"/>
      <c r="U92" s="321"/>
      <c r="V92" s="321"/>
      <c r="W92" s="321"/>
      <c r="X92" s="321"/>
      <c r="Y92" s="321"/>
      <c r="Z92" s="321"/>
      <c r="AA92" s="321"/>
      <c r="AB92" s="321"/>
      <c r="AC92" s="321"/>
      <c r="AD92" s="321"/>
      <c r="AE92" s="321"/>
      <c r="AF92" s="321"/>
    </row>
    <row r="93" spans="1:59" ht="30" customHeight="1" x14ac:dyDescent="0.25">
      <c r="A93" s="1559" t="s">
        <v>912</v>
      </c>
      <c r="B93" s="1560"/>
      <c r="C93" s="1560"/>
      <c r="D93" s="1560"/>
      <c r="E93" s="1560"/>
      <c r="F93" s="1560"/>
      <c r="G93" s="1560"/>
      <c r="H93" s="1560"/>
      <c r="I93" s="1560"/>
      <c r="J93" s="1560"/>
      <c r="K93" s="1560"/>
      <c r="L93" s="1560"/>
      <c r="M93" s="1557">
        <f>SUM('NOMS PRE ADM POST DISC'!L14:L5000)</f>
        <v>0</v>
      </c>
      <c r="N93" s="1557"/>
      <c r="O93" s="1557"/>
      <c r="P93" s="1557"/>
      <c r="Q93" s="1555">
        <f>SUM('NOMS PRE ADM POST DISC'!AB14:AB5000)</f>
        <v>0</v>
      </c>
      <c r="R93" s="1555"/>
      <c r="S93" s="1555"/>
      <c r="T93" s="1555"/>
      <c r="U93" s="320"/>
      <c r="V93" s="320"/>
      <c r="W93" s="320"/>
      <c r="X93" s="320"/>
      <c r="Y93" s="320"/>
      <c r="Z93" s="320"/>
      <c r="AA93" s="320"/>
      <c r="AB93" s="320"/>
      <c r="AC93" s="320"/>
      <c r="AD93" s="320"/>
      <c r="AE93" s="320"/>
      <c r="AF93" s="320"/>
      <c r="AH93" s="233"/>
      <c r="AI93" s="233"/>
      <c r="AJ93" s="233"/>
      <c r="AK93" s="233"/>
      <c r="AL93" s="233"/>
      <c r="AM93" s="233"/>
      <c r="AN93" s="233"/>
      <c r="AO93" s="233"/>
      <c r="AP93" s="233"/>
    </row>
    <row r="94" spans="1:59" ht="30" customHeight="1" x14ac:dyDescent="0.25">
      <c r="A94" s="1329" t="s">
        <v>916</v>
      </c>
      <c r="B94" s="1330"/>
      <c r="C94" s="1330"/>
      <c r="D94" s="1330"/>
      <c r="E94" s="1330"/>
      <c r="F94" s="1330"/>
      <c r="G94" s="1330"/>
      <c r="H94" s="1330"/>
      <c r="I94" s="1330"/>
      <c r="J94" s="1330"/>
      <c r="K94" s="1330"/>
      <c r="L94" s="1330"/>
      <c r="M94" s="1331">
        <f>SUM('NOMS PRE ADM POST DISC'!N14:N5000)</f>
        <v>0</v>
      </c>
      <c r="N94" s="1331"/>
      <c r="O94" s="1331"/>
      <c r="P94" s="1331"/>
      <c r="Q94" s="1332">
        <f>SUM('NOMS PRE ADM POST DISC'!AD14:AD5000)</f>
        <v>0</v>
      </c>
      <c r="R94" s="1332"/>
      <c r="S94" s="1332"/>
      <c r="T94" s="1332"/>
      <c r="U94" s="320"/>
      <c r="V94" s="320"/>
      <c r="W94" s="320"/>
      <c r="X94" s="320"/>
      <c r="Y94" s="320"/>
      <c r="Z94" s="320"/>
      <c r="AA94" s="320"/>
      <c r="AB94" s="320"/>
      <c r="AC94" s="320"/>
      <c r="AD94" s="320"/>
      <c r="AE94" s="320"/>
      <c r="AF94" s="320"/>
    </row>
    <row r="95" spans="1:59" ht="30" customHeight="1" x14ac:dyDescent="0.25">
      <c r="A95" s="1333" t="s">
        <v>913</v>
      </c>
      <c r="B95" s="1334"/>
      <c r="C95" s="1334"/>
      <c r="D95" s="1334"/>
      <c r="E95" s="1334"/>
      <c r="F95" s="1334"/>
      <c r="G95" s="1334"/>
      <c r="H95" s="1334"/>
      <c r="I95" s="1334"/>
      <c r="J95" s="1334"/>
      <c r="K95" s="1334"/>
      <c r="L95" s="1334"/>
      <c r="M95" s="1335">
        <f>SUM('NOMS PRE ADM POST DISC'!P14:P5000)</f>
        <v>0</v>
      </c>
      <c r="N95" s="1335"/>
      <c r="O95" s="1335"/>
      <c r="P95" s="1335"/>
      <c r="Q95" s="1336">
        <f>SUM('NOMS PRE ADM POST DISC'!AF14:AF5000)</f>
        <v>0</v>
      </c>
      <c r="R95" s="1336"/>
      <c r="S95" s="1336"/>
      <c r="T95" s="1336"/>
      <c r="U95" s="322"/>
      <c r="V95" s="322"/>
      <c r="W95" s="322"/>
      <c r="X95" s="322"/>
      <c r="Y95" s="322"/>
      <c r="Z95" s="322"/>
      <c r="AA95" s="322"/>
      <c r="AB95" s="322"/>
      <c r="AC95" s="322"/>
      <c r="AD95" s="322"/>
      <c r="AE95" s="322"/>
      <c r="AF95" s="322"/>
    </row>
    <row r="96" spans="1:59" ht="30" customHeight="1" x14ac:dyDescent="0.25">
      <c r="A96" s="1329" t="s">
        <v>914</v>
      </c>
      <c r="B96" s="1330"/>
      <c r="C96" s="1330"/>
      <c r="D96" s="1330"/>
      <c r="E96" s="1330"/>
      <c r="F96" s="1330"/>
      <c r="G96" s="1330"/>
      <c r="H96" s="1330"/>
      <c r="I96" s="1330"/>
      <c r="J96" s="1330"/>
      <c r="K96" s="1330"/>
      <c r="L96" s="1330"/>
      <c r="M96" s="1331">
        <f>SUM('NOMS PRE ADM POST DISC'!R14:R5000)</f>
        <v>0</v>
      </c>
      <c r="N96" s="1331"/>
      <c r="O96" s="1331"/>
      <c r="P96" s="1331"/>
      <c r="Q96" s="1332">
        <f>SUM('NOMS PRE ADM POST DISC'!AH14:AH5000)</f>
        <v>0</v>
      </c>
      <c r="R96" s="1332"/>
      <c r="S96" s="1332"/>
      <c r="T96" s="1332"/>
      <c r="U96" s="320"/>
      <c r="V96" s="320"/>
      <c r="W96" s="320"/>
      <c r="X96" s="320"/>
      <c r="Y96" s="320"/>
      <c r="Z96" s="320"/>
      <c r="AA96" s="320"/>
      <c r="AB96" s="320"/>
      <c r="AC96" s="320"/>
      <c r="AD96" s="320"/>
      <c r="AE96" s="320"/>
      <c r="AF96" s="320"/>
    </row>
    <row r="97" spans="1:100" ht="30" customHeight="1" x14ac:dyDescent="0.25">
      <c r="A97" s="1333" t="s">
        <v>915</v>
      </c>
      <c r="B97" s="1334"/>
      <c r="C97" s="1334"/>
      <c r="D97" s="1334"/>
      <c r="E97" s="1334"/>
      <c r="F97" s="1334"/>
      <c r="G97" s="1334"/>
      <c r="H97" s="1334"/>
      <c r="I97" s="1334"/>
      <c r="J97" s="1334"/>
      <c r="K97" s="1334"/>
      <c r="L97" s="1334"/>
      <c r="M97" s="1335">
        <f>SUM('NOMS PRE ADM POST DISC'!L14:L5000)</f>
        <v>0</v>
      </c>
      <c r="N97" s="1335"/>
      <c r="O97" s="1335"/>
      <c r="P97" s="1335"/>
      <c r="Q97" s="1336">
        <f>SUM('NOMS PRE ADM POST DISC'!AJ14:AJ5000)</f>
        <v>0</v>
      </c>
      <c r="R97" s="1336"/>
      <c r="S97" s="1336"/>
      <c r="T97" s="1336"/>
      <c r="U97" s="322"/>
      <c r="V97" s="322"/>
      <c r="W97" s="322"/>
      <c r="X97" s="322"/>
      <c r="Y97" s="322"/>
      <c r="Z97" s="322"/>
      <c r="AA97" s="322"/>
      <c r="AB97" s="322"/>
      <c r="AC97" s="322"/>
      <c r="AD97" s="322"/>
      <c r="AE97" s="322"/>
      <c r="AF97" s="322"/>
    </row>
    <row r="100" spans="1:100" ht="30" customHeight="1" x14ac:dyDescent="0.25">
      <c r="A100" s="1307" t="s">
        <v>929</v>
      </c>
      <c r="B100" s="1308"/>
      <c r="C100" s="1308"/>
      <c r="D100" s="1308"/>
      <c r="E100" s="1308"/>
      <c r="F100" s="1308"/>
      <c r="G100" s="1308"/>
      <c r="H100" s="1309"/>
      <c r="I100" s="1328" t="s">
        <v>558</v>
      </c>
      <c r="J100" s="1328"/>
      <c r="K100" s="1328"/>
      <c r="L100" s="1328"/>
      <c r="M100" s="1328"/>
      <c r="N100" s="1328"/>
      <c r="O100" s="1328" t="s">
        <v>559</v>
      </c>
      <c r="P100" s="1328"/>
      <c r="Q100" s="1328"/>
      <c r="R100" s="1328"/>
      <c r="S100" s="1328"/>
      <c r="T100" s="1328"/>
      <c r="U100" s="1328" t="s">
        <v>560</v>
      </c>
      <c r="V100" s="1328"/>
      <c r="W100" s="1328"/>
      <c r="X100" s="1328"/>
      <c r="Y100" s="1328"/>
      <c r="Z100" s="1328"/>
      <c r="AA100" s="1328" t="s">
        <v>561</v>
      </c>
      <c r="AB100" s="1328"/>
      <c r="AC100" s="1328"/>
      <c r="AD100" s="1328"/>
      <c r="AE100" s="1328"/>
      <c r="AF100" s="1328"/>
      <c r="AG100" s="1328" t="s">
        <v>562</v>
      </c>
      <c r="AH100" s="1328"/>
      <c r="AI100" s="1328"/>
      <c r="AJ100" s="1328"/>
      <c r="AK100" s="1328"/>
      <c r="AL100" s="1328"/>
      <c r="AM100" s="1328" t="s">
        <v>563</v>
      </c>
      <c r="AN100" s="1328"/>
      <c r="AO100" s="1328"/>
      <c r="AP100" s="1328"/>
      <c r="AQ100" s="1328"/>
      <c r="AR100" s="1328"/>
      <c r="AS100" s="1328" t="s">
        <v>564</v>
      </c>
      <c r="AT100" s="1328"/>
      <c r="AU100" s="1328"/>
      <c r="AV100" s="1328"/>
      <c r="AW100" s="1328"/>
      <c r="AX100" s="1328"/>
      <c r="AY100" s="1328" t="s">
        <v>565</v>
      </c>
      <c r="AZ100" s="1328"/>
      <c r="BA100" s="1328"/>
      <c r="BB100" s="1328"/>
      <c r="BC100" s="1328"/>
      <c r="BD100" s="1328"/>
      <c r="BE100" s="1328" t="s">
        <v>566</v>
      </c>
      <c r="BF100" s="1328"/>
      <c r="BG100" s="1328"/>
      <c r="BH100" s="1328"/>
      <c r="BI100" s="1328"/>
      <c r="BJ100" s="1328"/>
      <c r="BK100" s="1328" t="s">
        <v>567</v>
      </c>
      <c r="BL100" s="1328"/>
      <c r="BM100" s="1328"/>
      <c r="BN100" s="1328"/>
      <c r="BO100" s="1328"/>
      <c r="BP100" s="1328"/>
      <c r="BQ100" s="1328" t="s">
        <v>568</v>
      </c>
      <c r="BR100" s="1328"/>
      <c r="BS100" s="1328"/>
      <c r="BT100" s="1328"/>
      <c r="BU100" s="1328"/>
      <c r="BV100" s="1328"/>
      <c r="BW100" s="1328" t="s">
        <v>569</v>
      </c>
      <c r="BX100" s="1328"/>
      <c r="BY100" s="1328"/>
      <c r="BZ100" s="1328"/>
      <c r="CA100" s="1328"/>
      <c r="CB100" s="1328"/>
    </row>
    <row r="101" spans="1:100" ht="21" x14ac:dyDescent="0.35">
      <c r="A101" s="631"/>
      <c r="B101" s="632"/>
      <c r="C101" s="632"/>
      <c r="D101" s="632"/>
      <c r="E101" s="632"/>
      <c r="F101" s="632"/>
      <c r="G101" s="632"/>
      <c r="H101" s="633"/>
      <c r="I101" s="1303">
        <f>'GRANTEE SET UP INFO &amp; DATE '!C11</f>
        <v>0</v>
      </c>
      <c r="J101" s="1304"/>
      <c r="K101" s="1304"/>
      <c r="L101" s="1304"/>
      <c r="M101" s="1304"/>
      <c r="N101" s="1305"/>
      <c r="O101" s="1303">
        <f>'GRANTEE SET UP INFO &amp; DATE '!C12</f>
        <v>0</v>
      </c>
      <c r="P101" s="1304"/>
      <c r="Q101" s="1304"/>
      <c r="R101" s="1304"/>
      <c r="S101" s="1304"/>
      <c r="T101" s="1305"/>
      <c r="U101" s="1303">
        <f>'GRANTEE SET UP INFO &amp; DATE '!C13</f>
        <v>0</v>
      </c>
      <c r="V101" s="1304"/>
      <c r="W101" s="1304"/>
      <c r="X101" s="1304"/>
      <c r="Y101" s="1304"/>
      <c r="Z101" s="1305"/>
      <c r="AA101" s="1303">
        <f>'GRANTEE SET UP INFO &amp; DATE '!C14</f>
        <v>0</v>
      </c>
      <c r="AB101" s="1304"/>
      <c r="AC101" s="1304"/>
      <c r="AD101" s="1304"/>
      <c r="AE101" s="1304"/>
      <c r="AF101" s="1305"/>
      <c r="AG101" s="1303">
        <f>'GRANTEE SET UP INFO &amp; DATE '!C15</f>
        <v>0</v>
      </c>
      <c r="AH101" s="1304"/>
      <c r="AI101" s="1304"/>
      <c r="AJ101" s="1304"/>
      <c r="AK101" s="1304"/>
      <c r="AL101" s="1305"/>
      <c r="AM101" s="1303">
        <f>'GRANTEE SET UP INFO &amp; DATE '!C16</f>
        <v>0</v>
      </c>
      <c r="AN101" s="1304"/>
      <c r="AO101" s="1304"/>
      <c r="AP101" s="1304"/>
      <c r="AQ101" s="1304"/>
      <c r="AR101" s="1305"/>
      <c r="AS101" s="1303">
        <f>'GRANTEE SET UP INFO &amp; DATE '!C17</f>
        <v>0</v>
      </c>
      <c r="AT101" s="1304"/>
      <c r="AU101" s="1304"/>
      <c r="AV101" s="1304"/>
      <c r="AW101" s="1304"/>
      <c r="AX101" s="1305"/>
      <c r="AY101" s="1303">
        <f>'GRANTEE SET UP INFO &amp; DATE '!C18</f>
        <v>0</v>
      </c>
      <c r="AZ101" s="1304"/>
      <c r="BA101" s="1304"/>
      <c r="BB101" s="1304"/>
      <c r="BC101" s="1304"/>
      <c r="BD101" s="1305"/>
      <c r="BE101" s="1303">
        <f>'GRANTEE SET UP INFO &amp; DATE '!W11</f>
        <v>0</v>
      </c>
      <c r="BF101" s="1304"/>
      <c r="BG101" s="1304"/>
      <c r="BH101" s="1304"/>
      <c r="BI101" s="1304"/>
      <c r="BJ101" s="1305"/>
      <c r="BK101" s="1303">
        <f>'GRANTEE SET UP INFO &amp; DATE '!W12</f>
        <v>0</v>
      </c>
      <c r="BL101" s="1304"/>
      <c r="BM101" s="1304"/>
      <c r="BN101" s="1304"/>
      <c r="BO101" s="1304"/>
      <c r="BP101" s="1305"/>
      <c r="BQ101" s="1297">
        <f>'GRANTEE SET UP INFO &amp; DATE '!W13</f>
        <v>0</v>
      </c>
      <c r="BR101" s="1298"/>
      <c r="BS101" s="1298"/>
      <c r="BT101" s="1298"/>
      <c r="BU101" s="1298"/>
      <c r="BV101" s="1299"/>
      <c r="BW101" s="1297">
        <f>'GRANTEE SET UP INFO &amp; DATE '!W14</f>
        <v>0</v>
      </c>
      <c r="BX101" s="1298"/>
      <c r="BY101" s="1298"/>
      <c r="BZ101" s="1298"/>
      <c r="CA101" s="1298"/>
      <c r="CB101" s="1299"/>
    </row>
    <row r="102" spans="1:100" ht="30" customHeight="1" x14ac:dyDescent="0.25">
      <c r="A102" s="1310" t="s">
        <v>930</v>
      </c>
      <c r="B102" s="1311"/>
      <c r="C102" s="1311"/>
      <c r="D102" s="1311"/>
      <c r="E102" s="1311"/>
      <c r="F102" s="1311"/>
      <c r="G102" s="1311"/>
      <c r="H102" s="1312"/>
      <c r="I102" s="1316">
        <f>COUNTIFS('refer admin discharge'!L15:L2995,"b")</f>
        <v>0</v>
      </c>
      <c r="J102" s="1317"/>
      <c r="K102" s="1317"/>
      <c r="L102" s="1317"/>
      <c r="M102" s="1317"/>
      <c r="N102" s="1318"/>
      <c r="O102" s="1316">
        <f>COUNTIFS('refer admin discharge'!L15:L2995,"b")</f>
        <v>0</v>
      </c>
      <c r="P102" s="1317"/>
      <c r="Q102" s="1317"/>
      <c r="R102" s="1317"/>
      <c r="S102" s="1317"/>
      <c r="T102" s="1318"/>
      <c r="U102" s="1316">
        <f>COUNTIFS('refer admin discharge'!L15:L2995,"a")</f>
        <v>0</v>
      </c>
      <c r="V102" s="1317"/>
      <c r="W102" s="1317"/>
      <c r="X102" s="1317"/>
      <c r="Y102" s="1317"/>
      <c r="Z102" s="1318"/>
      <c r="AA102" s="1316">
        <f>COUNTIFS('refer admin discharge'!L15:L2995,"a")</f>
        <v>0</v>
      </c>
      <c r="AB102" s="1317"/>
      <c r="AC102" s="1317"/>
      <c r="AD102" s="1317"/>
      <c r="AE102" s="1317"/>
      <c r="AF102" s="1318"/>
      <c r="AG102" s="1316">
        <f>COUNTIFS('refer admin discharge'!L15:L2995,"a")</f>
        <v>0</v>
      </c>
      <c r="AH102" s="1317"/>
      <c r="AI102" s="1317"/>
      <c r="AJ102" s="1317"/>
      <c r="AK102" s="1317"/>
      <c r="AL102" s="1318"/>
      <c r="AM102" s="1316">
        <f>COUNTIFS('refer admin discharge'!L15:L2995,"a")</f>
        <v>0</v>
      </c>
      <c r="AN102" s="1317"/>
      <c r="AO102" s="1317"/>
      <c r="AP102" s="1317"/>
      <c r="AQ102" s="1317"/>
      <c r="AR102" s="1318"/>
      <c r="AS102" s="1316">
        <f>COUNTIFS('refer admin discharge'!L15:L2995,"a")</f>
        <v>0</v>
      </c>
      <c r="AT102" s="1317"/>
      <c r="AU102" s="1317"/>
      <c r="AV102" s="1317"/>
      <c r="AW102" s="1317"/>
      <c r="AX102" s="1318"/>
      <c r="AY102" s="1316">
        <f>COUNTIFS('refer admin discharge'!L15:L2995,"a")</f>
        <v>0</v>
      </c>
      <c r="AZ102" s="1317"/>
      <c r="BA102" s="1317"/>
      <c r="BB102" s="1317"/>
      <c r="BC102" s="1317"/>
      <c r="BD102" s="1318"/>
      <c r="BE102" s="1316">
        <f>COUNTIFS('refer admin discharge'!L15:L2995,"a")</f>
        <v>0</v>
      </c>
      <c r="BF102" s="1317"/>
      <c r="BG102" s="1317"/>
      <c r="BH102" s="1317"/>
      <c r="BI102" s="1317"/>
      <c r="BJ102" s="1318"/>
      <c r="BK102" s="1316">
        <f>COUNTIFS('refer admin discharge'!L15:L2995,"a")</f>
        <v>0</v>
      </c>
      <c r="BL102" s="1317"/>
      <c r="BM102" s="1317"/>
      <c r="BN102" s="1317"/>
      <c r="BO102" s="1317"/>
      <c r="BP102" s="1318"/>
      <c r="BQ102" s="1316">
        <f>COUNTIFS('refer admin discharge'!L15:L2995,"a")</f>
        <v>0</v>
      </c>
      <c r="BR102" s="1317"/>
      <c r="BS102" s="1317"/>
      <c r="BT102" s="1317"/>
      <c r="BU102" s="1317"/>
      <c r="BV102" s="1318"/>
      <c r="BW102" s="1316">
        <f>COUNTIFS('refer admin discharge'!L15:L2995,"a")</f>
        <v>0</v>
      </c>
      <c r="BX102" s="1317"/>
      <c r="BY102" s="1317"/>
      <c r="BZ102" s="1317"/>
      <c r="CA102" s="1317"/>
      <c r="CB102" s="1318"/>
    </row>
    <row r="103" spans="1:100" ht="23.25" x14ac:dyDescent="0.35">
      <c r="A103" s="1313" t="s">
        <v>899</v>
      </c>
      <c r="B103" s="1314"/>
      <c r="C103" s="1314"/>
      <c r="D103" s="1314"/>
      <c r="E103" s="1314"/>
      <c r="F103" s="1314"/>
      <c r="G103" s="1314"/>
      <c r="H103" s="1315"/>
      <c r="I103" s="1297">
        <f>SUM(I101:I102)</f>
        <v>0</v>
      </c>
      <c r="J103" s="1298"/>
      <c r="K103" s="1298"/>
      <c r="L103" s="1298"/>
      <c r="M103" s="1298"/>
      <c r="N103" s="1299"/>
      <c r="O103" s="1300">
        <f>SUM(O101:O102)</f>
        <v>0</v>
      </c>
      <c r="P103" s="1301"/>
      <c r="Q103" s="1301"/>
      <c r="R103" s="1301"/>
      <c r="S103" s="1301"/>
      <c r="T103" s="1302"/>
      <c r="U103" s="1300">
        <f>SUM(U101:U102)</f>
        <v>0</v>
      </c>
      <c r="V103" s="1301"/>
      <c r="W103" s="1301"/>
      <c r="X103" s="1301"/>
      <c r="Y103" s="1301"/>
      <c r="Z103" s="1302"/>
      <c r="AA103" s="1303">
        <f>SUM(AA101:AA102)</f>
        <v>0</v>
      </c>
      <c r="AB103" s="1304"/>
      <c r="AC103" s="1304"/>
      <c r="AD103" s="1304"/>
      <c r="AE103" s="1304"/>
      <c r="AF103" s="1305"/>
      <c r="AG103" s="1303">
        <f>SUM(AG101:AG102)</f>
        <v>0</v>
      </c>
      <c r="AH103" s="1304"/>
      <c r="AI103" s="1304"/>
      <c r="AJ103" s="1304"/>
      <c r="AK103" s="1304"/>
      <c r="AL103" s="1305"/>
      <c r="AM103" s="1303">
        <f>SUM(AM101:AM102)</f>
        <v>0</v>
      </c>
      <c r="AN103" s="1304"/>
      <c r="AO103" s="1304"/>
      <c r="AP103" s="1304"/>
      <c r="AQ103" s="1304"/>
      <c r="AR103" s="1305"/>
      <c r="AS103" s="1303">
        <f>SUM(AS101:AS102)</f>
        <v>0</v>
      </c>
      <c r="AT103" s="1304"/>
      <c r="AU103" s="1304"/>
      <c r="AV103" s="1304"/>
      <c r="AW103" s="1304"/>
      <c r="AX103" s="1305"/>
      <c r="AY103" s="1303">
        <f>SUM(AY101:AY102)</f>
        <v>0</v>
      </c>
      <c r="AZ103" s="1304"/>
      <c r="BA103" s="1304"/>
      <c r="BB103" s="1304"/>
      <c r="BC103" s="1304"/>
      <c r="BD103" s="1305"/>
      <c r="BE103" s="1303">
        <f>SUM(BE101:BE102)</f>
        <v>0</v>
      </c>
      <c r="BF103" s="1304"/>
      <c r="BG103" s="1304"/>
      <c r="BH103" s="1304"/>
      <c r="BI103" s="1304"/>
      <c r="BJ103" s="1305"/>
      <c r="BK103" s="1297">
        <f>SUM(BK101:BK102)</f>
        <v>0</v>
      </c>
      <c r="BL103" s="1298"/>
      <c r="BM103" s="1298"/>
      <c r="BN103" s="1298"/>
      <c r="BO103" s="1298"/>
      <c r="BP103" s="1299"/>
      <c r="BQ103" s="1303">
        <f>SUM(BQ101:BQ102)</f>
        <v>0</v>
      </c>
      <c r="BR103" s="1304"/>
      <c r="BS103" s="1304"/>
      <c r="BT103" s="1304"/>
      <c r="BU103" s="1304"/>
      <c r="BV103" s="1305"/>
      <c r="BW103" s="1303">
        <f>SUM(BW101:BW102)</f>
        <v>0</v>
      </c>
      <c r="BX103" s="1304"/>
      <c r="BY103" s="1304"/>
      <c r="BZ103" s="1304"/>
      <c r="CA103" s="1304"/>
      <c r="CB103" s="1305"/>
    </row>
    <row r="104" spans="1:100" x14ac:dyDescent="0.25">
      <c r="L104" s="339" t="s">
        <v>931</v>
      </c>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row>
    <row r="108" spans="1:100" ht="18.75" x14ac:dyDescent="0.3">
      <c r="A108" s="1587" t="s">
        <v>917</v>
      </c>
      <c r="B108" s="1587"/>
      <c r="C108" s="1587"/>
      <c r="D108" s="1587"/>
      <c r="E108" s="1587"/>
      <c r="F108" s="1587"/>
      <c r="G108" s="1587"/>
      <c r="H108" s="1587"/>
      <c r="I108" s="1587"/>
      <c r="J108" s="1587"/>
      <c r="K108" s="1587"/>
      <c r="L108" s="1587"/>
      <c r="M108" s="1587"/>
      <c r="N108" s="1587"/>
      <c r="O108" s="1587"/>
      <c r="P108" s="1587"/>
      <c r="Q108" s="1587"/>
      <c r="R108" s="1587"/>
      <c r="S108" s="1587"/>
      <c r="T108" s="1587"/>
      <c r="U108" s="1587"/>
      <c r="V108" s="1587"/>
      <c r="W108" s="1587"/>
      <c r="X108" s="1587"/>
      <c r="Y108" s="1587"/>
      <c r="Z108" s="1587"/>
      <c r="AA108" s="1587"/>
      <c r="AB108" s="1587"/>
      <c r="AC108" s="1587"/>
      <c r="AD108" s="1587"/>
      <c r="AE108" s="1587"/>
      <c r="AF108" s="1587"/>
      <c r="AG108" s="1587"/>
      <c r="AH108" s="1587"/>
      <c r="AI108" s="1587"/>
      <c r="AJ108" s="1587"/>
      <c r="AK108" s="1587"/>
      <c r="AL108" s="1587"/>
      <c r="AM108" s="1587"/>
      <c r="AN108" s="1587"/>
      <c r="AO108" s="1587"/>
      <c r="AP108" s="1587"/>
      <c r="AQ108" s="1587"/>
      <c r="AR108" s="1587"/>
      <c r="AS108" s="1587"/>
      <c r="AT108" s="1587"/>
      <c r="AU108" s="1587"/>
      <c r="AV108" s="1587"/>
      <c r="AW108" s="1587"/>
      <c r="AX108" s="1587"/>
      <c r="AY108" s="1587"/>
      <c r="AZ108" s="1587"/>
      <c r="BA108" s="1587"/>
      <c r="BB108" s="1587"/>
      <c r="BC108" s="1587"/>
      <c r="BD108" s="1587"/>
      <c r="BE108" s="1587"/>
      <c r="BF108" s="1587"/>
      <c r="BG108" s="1587"/>
      <c r="BH108" s="1587"/>
      <c r="BI108" s="1587"/>
      <c r="BJ108" s="1587"/>
      <c r="BK108" s="1587"/>
      <c r="BL108" s="1587"/>
      <c r="BM108" s="1587"/>
      <c r="BN108" s="1587"/>
      <c r="BO108" s="1587"/>
      <c r="BP108" s="1587"/>
      <c r="BQ108" s="1587"/>
      <c r="BR108" s="1587"/>
      <c r="BS108" s="1587"/>
      <c r="BT108" s="1587"/>
      <c r="BU108" s="1587"/>
      <c r="BV108" s="1587"/>
      <c r="BW108" s="1587"/>
      <c r="BX108" s="1587"/>
      <c r="BY108" s="1587"/>
      <c r="BZ108" s="1587"/>
      <c r="CA108" s="1587"/>
      <c r="CB108" s="1587"/>
      <c r="CC108" s="1587"/>
      <c r="CD108" s="1587"/>
      <c r="CE108" s="1587"/>
      <c r="CF108" s="1587"/>
      <c r="CG108" s="1587"/>
      <c r="CH108" s="1587"/>
      <c r="CI108" s="1587"/>
      <c r="CJ108" s="1587"/>
      <c r="CK108" s="1587"/>
      <c r="CL108" s="1587"/>
      <c r="CM108" s="1587"/>
      <c r="CN108" s="1587"/>
      <c r="CO108" s="1587"/>
      <c r="CP108" s="1587"/>
      <c r="CQ108" s="1587"/>
      <c r="CR108" s="1587"/>
      <c r="CS108" s="1587"/>
      <c r="CT108" s="1587"/>
      <c r="CU108" s="1587"/>
      <c r="CV108" s="1587"/>
    </row>
    <row r="110" spans="1:100" x14ac:dyDescent="0.25">
      <c r="A110" s="1588" t="s">
        <v>798</v>
      </c>
      <c r="B110" s="1588"/>
      <c r="C110" s="1588"/>
      <c r="D110" s="1588"/>
      <c r="E110" s="1588"/>
      <c r="F110" s="1588"/>
      <c r="G110" s="1588"/>
      <c r="H110" s="1588"/>
      <c r="I110" s="1588"/>
      <c r="J110" s="1588"/>
      <c r="K110" s="1588"/>
      <c r="L110" s="1588"/>
      <c r="M110" s="1588"/>
      <c r="N110" s="1588"/>
      <c r="O110" s="1588"/>
      <c r="P110" s="1588"/>
      <c r="Q110" s="1588"/>
      <c r="R110" s="1588"/>
      <c r="S110" s="1588"/>
      <c r="T110" s="1588"/>
      <c r="U110" s="1588"/>
      <c r="V110" s="1588"/>
      <c r="W110" s="1590" t="s">
        <v>806</v>
      </c>
      <c r="X110" s="1590"/>
      <c r="Y110" s="1590"/>
      <c r="Z110" s="1590"/>
      <c r="AA110" s="1590"/>
      <c r="AB110" s="1590"/>
      <c r="AC110" s="1590"/>
      <c r="AD110" s="1590"/>
      <c r="AE110" s="1590"/>
      <c r="AF110" s="1590" t="s">
        <v>807</v>
      </c>
      <c r="AG110" s="1590"/>
      <c r="AH110" s="1590"/>
      <c r="AI110" s="1590"/>
      <c r="AJ110" s="1590"/>
      <c r="AK110" s="1590"/>
      <c r="AL110" s="1590"/>
      <c r="AM110" s="1590"/>
      <c r="AN110" s="1590"/>
      <c r="AO110" s="1590"/>
      <c r="AP110" s="1590"/>
      <c r="AQ110" s="1590"/>
      <c r="AR110" s="1590"/>
      <c r="AS110" s="1590" t="s">
        <v>808</v>
      </c>
      <c r="AT110" s="1590"/>
      <c r="AU110" s="1590"/>
      <c r="AV110" s="1590"/>
      <c r="AW110" s="1590"/>
      <c r="AX110" s="1590"/>
      <c r="AY110" s="1590"/>
      <c r="AZ110" s="1590"/>
      <c r="BA110" s="1590"/>
      <c r="BB110" s="1590"/>
      <c r="BC110" s="1590"/>
      <c r="BD110" s="1590"/>
      <c r="BE110" s="1590"/>
      <c r="BF110" s="1590"/>
      <c r="BG110" s="1590"/>
    </row>
    <row r="111" spans="1:100" x14ac:dyDescent="0.25">
      <c r="A111" s="468" t="s">
        <v>776</v>
      </c>
      <c r="B111" s="468"/>
      <c r="C111" s="468"/>
      <c r="D111" s="468"/>
      <c r="E111" s="468"/>
      <c r="F111" s="468"/>
      <c r="G111" s="468"/>
      <c r="H111" s="468"/>
      <c r="I111" s="468"/>
      <c r="J111" s="468"/>
      <c r="K111" s="468"/>
      <c r="L111" s="468"/>
      <c r="M111" s="468"/>
      <c r="N111" s="468"/>
      <c r="O111" s="468"/>
      <c r="P111" s="468"/>
      <c r="Q111" s="468"/>
      <c r="R111" s="468"/>
      <c r="S111" s="468"/>
      <c r="T111" s="468"/>
      <c r="U111" s="468"/>
      <c r="V111" s="468"/>
      <c r="W111" s="1295">
        <f>COUNTIFS(TRAINING!D15:D3000,"Mandatory")</f>
        <v>0</v>
      </c>
      <c r="X111" s="1295"/>
      <c r="Y111" s="1295"/>
      <c r="Z111" s="1295"/>
      <c r="AA111" s="1295"/>
      <c r="AB111" s="1295"/>
      <c r="AC111" s="1295"/>
      <c r="AD111" s="1295"/>
      <c r="AE111" s="1295"/>
      <c r="AF111" s="1295">
        <f>COUNTIFS(TRAINING!D15:D3000,"Mandatory", TRAINING!AK15:AK3000,"YES")</f>
        <v>0</v>
      </c>
      <c r="AG111" s="1295"/>
      <c r="AH111" s="1295"/>
      <c r="AI111" s="1295"/>
      <c r="AJ111" s="1295"/>
      <c r="AK111" s="1295"/>
      <c r="AL111" s="1295"/>
      <c r="AM111" s="1295"/>
      <c r="AN111" s="1295"/>
      <c r="AO111" s="1295"/>
      <c r="AP111" s="1295"/>
      <c r="AQ111" s="1295"/>
      <c r="AR111" s="1295"/>
      <c r="AS111" s="1295">
        <f>COUNTIFS(TRAINING!D15:D3000,"Mandatory", TRAINING!AH15:AH3000,"YES")</f>
        <v>0</v>
      </c>
      <c r="AT111" s="1295"/>
      <c r="AU111" s="1295"/>
      <c r="AV111" s="1295"/>
      <c r="AW111" s="1295"/>
      <c r="AX111" s="1295"/>
      <c r="AY111" s="1295"/>
      <c r="AZ111" s="1295"/>
      <c r="BA111" s="1295"/>
      <c r="BB111" s="1295"/>
      <c r="BC111" s="1295"/>
      <c r="BD111" s="1295"/>
      <c r="BE111" s="1295"/>
      <c r="BF111" s="1295"/>
      <c r="BG111" s="1295"/>
    </row>
    <row r="112" spans="1:100" x14ac:dyDescent="0.25">
      <c r="A112" s="468" t="s">
        <v>799</v>
      </c>
      <c r="B112" s="468"/>
      <c r="C112" s="468"/>
      <c r="D112" s="468"/>
      <c r="E112" s="468"/>
      <c r="F112" s="468"/>
      <c r="G112" s="468"/>
      <c r="H112" s="468"/>
      <c r="I112" s="468"/>
      <c r="J112" s="468"/>
      <c r="K112" s="468"/>
      <c r="L112" s="468"/>
      <c r="M112" s="468"/>
      <c r="N112" s="468"/>
      <c r="O112" s="468"/>
      <c r="P112" s="468"/>
      <c r="Q112" s="468"/>
      <c r="R112" s="468"/>
      <c r="S112" s="468"/>
      <c r="T112" s="468"/>
      <c r="U112" s="468"/>
      <c r="V112" s="468"/>
      <c r="W112" s="1295">
        <f>COUNTIFS(TRAINING!D15:D3000,"Evidence Based Training (EBT)")</f>
        <v>0</v>
      </c>
      <c r="X112" s="1295"/>
      <c r="Y112" s="1295"/>
      <c r="Z112" s="1295"/>
      <c r="AA112" s="1295"/>
      <c r="AB112" s="1295"/>
      <c r="AC112" s="1295"/>
      <c r="AD112" s="1295"/>
      <c r="AE112" s="1295"/>
      <c r="AF112" s="1295">
        <f>COUNTIFS(TRAINING!D15:D3000,"Evidence Based Training (EBT)",TRAINING!AK15:AK3000,"YES")</f>
        <v>0</v>
      </c>
      <c r="AG112" s="1295"/>
      <c r="AH112" s="1295"/>
      <c r="AI112" s="1295"/>
      <c r="AJ112" s="1295"/>
      <c r="AK112" s="1295"/>
      <c r="AL112" s="1295"/>
      <c r="AM112" s="1295"/>
      <c r="AN112" s="1295"/>
      <c r="AO112" s="1295"/>
      <c r="AP112" s="1295"/>
      <c r="AQ112" s="1295"/>
      <c r="AR112" s="1295"/>
      <c r="AS112" s="1295">
        <f>COUNTIFS(TRAINING!D15:D3000,"Evidence Based Training (EBT)", TRAINING!AH15:AH3000,"YES")</f>
        <v>0</v>
      </c>
      <c r="AT112" s="1295"/>
      <c r="AU112" s="1295"/>
      <c r="AV112" s="1295"/>
      <c r="AW112" s="1295"/>
      <c r="AX112" s="1295"/>
      <c r="AY112" s="1295"/>
      <c r="AZ112" s="1295"/>
      <c r="BA112" s="1295"/>
      <c r="BB112" s="1295"/>
      <c r="BC112" s="1295"/>
      <c r="BD112" s="1295"/>
      <c r="BE112" s="1295"/>
      <c r="BF112" s="1295"/>
      <c r="BG112" s="1295"/>
    </row>
    <row r="113" spans="1:100" x14ac:dyDescent="0.25">
      <c r="A113" s="468" t="s">
        <v>800</v>
      </c>
      <c r="B113" s="468"/>
      <c r="C113" s="468"/>
      <c r="D113" s="468"/>
      <c r="E113" s="468"/>
      <c r="F113" s="468"/>
      <c r="G113" s="468"/>
      <c r="H113" s="468"/>
      <c r="I113" s="468"/>
      <c r="J113" s="468"/>
      <c r="K113" s="468"/>
      <c r="L113" s="468"/>
      <c r="M113" s="468"/>
      <c r="N113" s="468"/>
      <c r="O113" s="468"/>
      <c r="P113" s="468"/>
      <c r="Q113" s="468"/>
      <c r="R113" s="468"/>
      <c r="S113" s="468"/>
      <c r="T113" s="468"/>
      <c r="U113" s="468"/>
      <c r="V113" s="468"/>
      <c r="W113" s="1295">
        <f>COUNTIFS(TRAINING!D15:D3000,"Both Mandatory and EBT")</f>
        <v>0</v>
      </c>
      <c r="X113" s="1295"/>
      <c r="Y113" s="1295"/>
      <c r="Z113" s="1295"/>
      <c r="AA113" s="1295"/>
      <c r="AB113" s="1295"/>
      <c r="AC113" s="1295"/>
      <c r="AD113" s="1295"/>
      <c r="AE113" s="1295"/>
      <c r="AF113" s="1295">
        <f>COUNTIFS(TRAINING!D15:D3000,"Both Mandatory and EBT",TRAINING!AK15:AK3000,"YES")</f>
        <v>0</v>
      </c>
      <c r="AG113" s="1295"/>
      <c r="AH113" s="1295"/>
      <c r="AI113" s="1295"/>
      <c r="AJ113" s="1295"/>
      <c r="AK113" s="1295"/>
      <c r="AL113" s="1295"/>
      <c r="AM113" s="1295"/>
      <c r="AN113" s="1295"/>
      <c r="AO113" s="1295"/>
      <c r="AP113" s="1295"/>
      <c r="AQ113" s="1295"/>
      <c r="AR113" s="1295"/>
      <c r="AS113" s="1295">
        <f>COUNTIFS(TRAINING!D15:D3000,"Both Mandatory and EBT", TRAINING!AH15:AH3000,"YES")</f>
        <v>0</v>
      </c>
      <c r="AT113" s="1295"/>
      <c r="AU113" s="1295"/>
      <c r="AV113" s="1295"/>
      <c r="AW113" s="1295"/>
      <c r="AX113" s="1295"/>
      <c r="AY113" s="1295"/>
      <c r="AZ113" s="1295"/>
      <c r="BA113" s="1295"/>
      <c r="BB113" s="1295"/>
      <c r="BC113" s="1295"/>
      <c r="BD113" s="1295"/>
      <c r="BE113" s="1295"/>
      <c r="BF113" s="1295"/>
      <c r="BG113" s="1295"/>
    </row>
    <row r="114" spans="1:100" x14ac:dyDescent="0.25">
      <c r="A114" s="468" t="s">
        <v>779</v>
      </c>
      <c r="B114" s="468"/>
      <c r="C114" s="468"/>
      <c r="D114" s="468"/>
      <c r="E114" s="468"/>
      <c r="F114" s="468"/>
      <c r="G114" s="468"/>
      <c r="H114" s="468"/>
      <c r="I114" s="468"/>
      <c r="J114" s="468"/>
      <c r="K114" s="468"/>
      <c r="L114" s="468"/>
      <c r="M114" s="468"/>
      <c r="N114" s="468"/>
      <c r="O114" s="468"/>
      <c r="P114" s="468"/>
      <c r="Q114" s="468"/>
      <c r="R114" s="468"/>
      <c r="S114" s="468"/>
      <c r="T114" s="468"/>
      <c r="U114" s="468"/>
      <c r="V114" s="468"/>
      <c r="W114" s="1295">
        <f>COUNTIFS(TRAINING!D15:D3000,"Other (Specify in Notes)")</f>
        <v>0</v>
      </c>
      <c r="X114" s="1295"/>
      <c r="Y114" s="1295"/>
      <c r="Z114" s="1295"/>
      <c r="AA114" s="1295"/>
      <c r="AB114" s="1295"/>
      <c r="AC114" s="1295"/>
      <c r="AD114" s="1295"/>
      <c r="AE114" s="1295"/>
      <c r="AF114" s="1295">
        <f>COUNTIFS(TRAINING!D15:D3000,"Other (Specify in Notes)",TRAINING!AK15:AK3000,"YES")</f>
        <v>0</v>
      </c>
      <c r="AG114" s="1295"/>
      <c r="AH114" s="1295"/>
      <c r="AI114" s="1295"/>
      <c r="AJ114" s="1295"/>
      <c r="AK114" s="1295"/>
      <c r="AL114" s="1295"/>
      <c r="AM114" s="1295"/>
      <c r="AN114" s="1295"/>
      <c r="AO114" s="1295"/>
      <c r="AP114" s="1295"/>
      <c r="AQ114" s="1295"/>
      <c r="AR114" s="1295"/>
      <c r="AS114" s="1295">
        <f>COUNTIFS(TRAINING!D15:D3000,"Other (Specify in Notes)", TRAINING!AH15:AH3000,"YES")</f>
        <v>0</v>
      </c>
      <c r="AT114" s="1295"/>
      <c r="AU114" s="1295"/>
      <c r="AV114" s="1295"/>
      <c r="AW114" s="1295"/>
      <c r="AX114" s="1295"/>
      <c r="AY114" s="1295"/>
      <c r="AZ114" s="1295"/>
      <c r="BA114" s="1295"/>
      <c r="BB114" s="1295"/>
      <c r="BC114" s="1295"/>
      <c r="BD114" s="1295"/>
      <c r="BE114" s="1295"/>
      <c r="BF114" s="1295"/>
      <c r="BG114" s="1295"/>
    </row>
    <row r="115" spans="1:100" x14ac:dyDescent="0.25">
      <c r="A115" s="1589" t="s">
        <v>390</v>
      </c>
      <c r="B115" s="1589"/>
      <c r="C115" s="1589"/>
      <c r="D115" s="1589"/>
      <c r="E115" s="1589"/>
      <c r="F115" s="1589"/>
      <c r="G115" s="1589"/>
      <c r="H115" s="1589"/>
      <c r="I115" s="1589"/>
      <c r="J115" s="1589"/>
      <c r="K115" s="1589"/>
      <c r="L115" s="1589"/>
      <c r="M115" s="1589"/>
      <c r="N115" s="1589"/>
      <c r="O115" s="1589"/>
      <c r="P115" s="1589"/>
      <c r="Q115" s="1589"/>
      <c r="R115" s="1589"/>
      <c r="S115" s="1589"/>
      <c r="T115" s="1589"/>
      <c r="U115" s="1589"/>
      <c r="V115" s="1589"/>
      <c r="W115" s="1590">
        <f>SUM(W111:W114)</f>
        <v>0</v>
      </c>
      <c r="X115" s="1590"/>
      <c r="Y115" s="1590"/>
      <c r="Z115" s="1590"/>
      <c r="AA115" s="1590"/>
      <c r="AB115" s="1590"/>
      <c r="AC115" s="1590"/>
      <c r="AD115" s="1590"/>
      <c r="AE115" s="1590"/>
      <c r="AF115" s="1590">
        <f>SUM(AF111:AF114)</f>
        <v>0</v>
      </c>
      <c r="AG115" s="1590"/>
      <c r="AH115" s="1590"/>
      <c r="AI115" s="1590"/>
      <c r="AJ115" s="1590"/>
      <c r="AK115" s="1590"/>
      <c r="AL115" s="1590"/>
      <c r="AM115" s="1590"/>
      <c r="AN115" s="1590"/>
      <c r="AO115" s="1590"/>
      <c r="AP115" s="1590"/>
      <c r="AQ115" s="1590"/>
      <c r="AR115" s="1590"/>
      <c r="AS115" s="1590">
        <f>SUM(AS111:AS114)</f>
        <v>0</v>
      </c>
      <c r="AT115" s="1590"/>
      <c r="AU115" s="1590"/>
      <c r="AV115" s="1590"/>
      <c r="AW115" s="1590"/>
      <c r="AX115" s="1590"/>
      <c r="AY115" s="1590"/>
      <c r="AZ115" s="1590"/>
      <c r="BA115" s="1590"/>
      <c r="BB115" s="1590"/>
      <c r="BC115" s="1590"/>
      <c r="BD115" s="1590"/>
      <c r="BE115" s="1590"/>
      <c r="BF115" s="1590"/>
      <c r="BG115" s="1590"/>
    </row>
    <row r="116" spans="1:100" x14ac:dyDescent="0.25">
      <c r="A116" s="1586" t="s">
        <v>801</v>
      </c>
      <c r="B116" s="1586"/>
      <c r="C116" s="1586"/>
      <c r="D116" s="1586"/>
      <c r="E116" s="1586"/>
      <c r="F116" s="1586"/>
      <c r="G116" s="1586"/>
      <c r="H116" s="1586"/>
      <c r="I116" s="1586"/>
      <c r="J116" s="1586"/>
      <c r="K116" s="1586"/>
      <c r="L116" s="1586"/>
      <c r="M116" s="1586"/>
      <c r="N116" s="1586"/>
      <c r="O116" s="1586"/>
      <c r="P116" s="1586"/>
      <c r="Q116" s="1586"/>
      <c r="R116" s="1586"/>
      <c r="S116" s="1586"/>
      <c r="T116" s="1586"/>
      <c r="U116" s="1586"/>
      <c r="V116" s="1586"/>
      <c r="W116" s="1585"/>
      <c r="X116" s="1585"/>
      <c r="Y116" s="1585"/>
      <c r="Z116" s="1585"/>
      <c r="AA116" s="1585"/>
      <c r="AB116" s="1585"/>
      <c r="AC116" s="1585"/>
      <c r="AD116" s="1585"/>
      <c r="AE116" s="1585"/>
      <c r="AF116" s="1586"/>
      <c r="AG116" s="1586"/>
      <c r="AH116" s="1586"/>
      <c r="AI116" s="1586"/>
      <c r="AJ116" s="1586"/>
      <c r="AK116" s="1586"/>
      <c r="AL116" s="1586"/>
      <c r="AM116" s="1586"/>
      <c r="AN116" s="1586"/>
      <c r="AO116" s="1586"/>
      <c r="AP116" s="1586"/>
      <c r="AQ116" s="1586"/>
      <c r="AR116" s="1586"/>
      <c r="AS116" s="1586"/>
      <c r="AT116" s="1586"/>
      <c r="AU116" s="1586"/>
      <c r="AV116" s="1586"/>
      <c r="AW116" s="1586"/>
      <c r="AX116" s="1586"/>
      <c r="AY116" s="1586"/>
      <c r="AZ116" s="1586"/>
      <c r="BA116" s="1586"/>
      <c r="BB116" s="1586"/>
      <c r="BC116" s="1586"/>
      <c r="BD116" s="1586"/>
      <c r="BE116" s="1586"/>
      <c r="BF116" s="1586"/>
      <c r="BG116" s="1586"/>
    </row>
    <row r="117" spans="1:100" x14ac:dyDescent="0.25">
      <c r="A117" s="1586" t="s">
        <v>801</v>
      </c>
      <c r="B117" s="1586"/>
      <c r="C117" s="1586"/>
      <c r="D117" s="1586"/>
      <c r="E117" s="1586"/>
      <c r="F117" s="1586"/>
      <c r="G117" s="1586"/>
      <c r="H117" s="1586"/>
      <c r="I117" s="1586"/>
      <c r="J117" s="1586"/>
      <c r="K117" s="1586"/>
      <c r="L117" s="1586"/>
      <c r="M117" s="1586"/>
      <c r="N117" s="1586"/>
      <c r="O117" s="1586"/>
      <c r="P117" s="1586"/>
      <c r="Q117" s="1586"/>
      <c r="R117" s="1586"/>
      <c r="S117" s="1586"/>
      <c r="T117" s="1586"/>
      <c r="U117" s="1586"/>
      <c r="V117" s="1586"/>
      <c r="W117" s="1585"/>
      <c r="X117" s="1585"/>
      <c r="Y117" s="1585"/>
      <c r="Z117" s="1585"/>
      <c r="AA117" s="1585"/>
      <c r="AB117" s="1585"/>
      <c r="AC117" s="1585"/>
      <c r="AD117" s="1585"/>
      <c r="AE117" s="1585"/>
      <c r="AF117" s="1586"/>
      <c r="AG117" s="1586"/>
      <c r="AH117" s="1586"/>
      <c r="AI117" s="1586"/>
      <c r="AJ117" s="1586"/>
      <c r="AK117" s="1586"/>
      <c r="AL117" s="1586"/>
      <c r="AM117" s="1586"/>
      <c r="AN117" s="1586"/>
      <c r="AO117" s="1586"/>
      <c r="AP117" s="1586"/>
      <c r="AQ117" s="1586"/>
      <c r="AR117" s="1586"/>
      <c r="AS117" s="1586"/>
      <c r="AT117" s="1586"/>
      <c r="AU117" s="1586"/>
      <c r="AV117" s="1586"/>
      <c r="AW117" s="1586"/>
      <c r="AX117" s="1586"/>
      <c r="AY117" s="1586"/>
      <c r="AZ117" s="1586"/>
      <c r="BA117" s="1586"/>
      <c r="BB117" s="1586"/>
      <c r="BC117" s="1586"/>
      <c r="BD117" s="1586"/>
      <c r="BE117" s="1586"/>
      <c r="BF117" s="1586"/>
      <c r="BG117" s="1586"/>
    </row>
    <row r="118" spans="1:100" x14ac:dyDescent="0.25">
      <c r="A118" s="1586" t="s">
        <v>801</v>
      </c>
      <c r="B118" s="1586"/>
      <c r="C118" s="1586"/>
      <c r="D118" s="1586"/>
      <c r="E118" s="1586"/>
      <c r="F118" s="1586"/>
      <c r="G118" s="1586"/>
      <c r="H118" s="1586"/>
      <c r="I118" s="1586"/>
      <c r="J118" s="1586"/>
      <c r="K118" s="1586"/>
      <c r="L118" s="1586"/>
      <c r="M118" s="1586"/>
      <c r="N118" s="1586"/>
      <c r="O118" s="1586"/>
      <c r="P118" s="1586"/>
      <c r="Q118" s="1586"/>
      <c r="R118" s="1586"/>
      <c r="S118" s="1586"/>
      <c r="T118" s="1586"/>
      <c r="U118" s="1586"/>
      <c r="V118" s="1586"/>
      <c r="W118" s="1585"/>
      <c r="X118" s="1585"/>
      <c r="Y118" s="1585"/>
      <c r="Z118" s="1585"/>
      <c r="AA118" s="1585"/>
      <c r="AB118" s="1585"/>
      <c r="AC118" s="1585"/>
      <c r="AD118" s="1585"/>
      <c r="AE118" s="1585"/>
      <c r="AF118" s="1586"/>
      <c r="AG118" s="1586"/>
      <c r="AH118" s="1586"/>
      <c r="AI118" s="1586"/>
      <c r="AJ118" s="1586"/>
      <c r="AK118" s="1586"/>
      <c r="AL118" s="1586"/>
      <c r="AM118" s="1586"/>
      <c r="AN118" s="1586"/>
      <c r="AO118" s="1586"/>
      <c r="AP118" s="1586"/>
      <c r="AQ118" s="1586"/>
      <c r="AR118" s="1586"/>
      <c r="AS118" s="1586"/>
      <c r="AT118" s="1586"/>
      <c r="AU118" s="1586"/>
      <c r="AV118" s="1586"/>
      <c r="AW118" s="1586"/>
      <c r="AX118" s="1586"/>
      <c r="AY118" s="1586"/>
      <c r="AZ118" s="1586"/>
      <c r="BA118" s="1586"/>
      <c r="BB118" s="1586"/>
      <c r="BC118" s="1586"/>
      <c r="BD118" s="1586"/>
      <c r="BE118" s="1586"/>
      <c r="BF118" s="1586"/>
      <c r="BG118" s="1586"/>
    </row>
    <row r="119" spans="1:100" x14ac:dyDescent="0.25">
      <c r="A119" s="1586" t="s">
        <v>801</v>
      </c>
      <c r="B119" s="1586"/>
      <c r="C119" s="1586"/>
      <c r="D119" s="1586"/>
      <c r="E119" s="1586"/>
      <c r="F119" s="1586"/>
      <c r="G119" s="1586"/>
      <c r="H119" s="1586"/>
      <c r="I119" s="1586"/>
      <c r="J119" s="1586"/>
      <c r="K119" s="1586"/>
      <c r="L119" s="1586"/>
      <c r="M119" s="1586"/>
      <c r="N119" s="1586"/>
      <c r="O119" s="1586"/>
      <c r="P119" s="1586"/>
      <c r="Q119" s="1586"/>
      <c r="R119" s="1586"/>
      <c r="S119" s="1586"/>
      <c r="T119" s="1586"/>
      <c r="U119" s="1586"/>
      <c r="V119" s="1586"/>
      <c r="W119" s="1585"/>
      <c r="X119" s="1585"/>
      <c r="Y119" s="1585"/>
      <c r="Z119" s="1585"/>
      <c r="AA119" s="1585"/>
      <c r="AB119" s="1585"/>
      <c r="AC119" s="1585"/>
      <c r="AD119" s="1585"/>
      <c r="AE119" s="1585"/>
      <c r="AF119" s="1586"/>
      <c r="AG119" s="1586"/>
      <c r="AH119" s="1586"/>
      <c r="AI119" s="1586"/>
      <c r="AJ119" s="1586"/>
      <c r="AK119" s="1586"/>
      <c r="AL119" s="1586"/>
      <c r="AM119" s="1586"/>
      <c r="AN119" s="1586"/>
      <c r="AO119" s="1586"/>
      <c r="AP119" s="1586"/>
      <c r="AQ119" s="1586"/>
      <c r="AR119" s="1586"/>
      <c r="AS119" s="1586"/>
      <c r="AT119" s="1586"/>
      <c r="AU119" s="1586"/>
      <c r="AV119" s="1586"/>
      <c r="AW119" s="1586"/>
      <c r="AX119" s="1586"/>
      <c r="AY119" s="1586"/>
      <c r="AZ119" s="1586"/>
      <c r="BA119" s="1586"/>
      <c r="BB119" s="1586"/>
      <c r="BC119" s="1586"/>
      <c r="BD119" s="1586"/>
      <c r="BE119" s="1586"/>
      <c r="BF119" s="1586"/>
      <c r="BG119" s="1586"/>
    </row>
    <row r="120" spans="1:100" x14ac:dyDescent="0.25">
      <c r="A120" s="1586" t="s">
        <v>801</v>
      </c>
      <c r="B120" s="1586"/>
      <c r="C120" s="1586"/>
      <c r="D120" s="1586"/>
      <c r="E120" s="1586"/>
      <c r="F120" s="1586"/>
      <c r="G120" s="1586"/>
      <c r="H120" s="1586"/>
      <c r="I120" s="1586"/>
      <c r="J120" s="1586"/>
      <c r="K120" s="1586"/>
      <c r="L120" s="1586"/>
      <c r="M120" s="1586"/>
      <c r="N120" s="1586"/>
      <c r="O120" s="1586"/>
      <c r="P120" s="1586"/>
      <c r="Q120" s="1586"/>
      <c r="R120" s="1586"/>
      <c r="S120" s="1586"/>
      <c r="T120" s="1586"/>
      <c r="U120" s="1586"/>
      <c r="V120" s="1586"/>
      <c r="W120" s="1585"/>
      <c r="X120" s="1585"/>
      <c r="Y120" s="1585"/>
      <c r="Z120" s="1585"/>
      <c r="AA120" s="1585"/>
      <c r="AB120" s="1585"/>
      <c r="AC120" s="1585"/>
      <c r="AD120" s="1585"/>
      <c r="AE120" s="1585"/>
      <c r="AF120" s="1586"/>
      <c r="AG120" s="1586"/>
      <c r="AH120" s="1586"/>
      <c r="AI120" s="1586"/>
      <c r="AJ120" s="1586"/>
      <c r="AK120" s="1586"/>
      <c r="AL120" s="1586"/>
      <c r="AM120" s="1586"/>
      <c r="AN120" s="1586"/>
      <c r="AO120" s="1586"/>
      <c r="AP120" s="1586"/>
      <c r="AQ120" s="1586"/>
      <c r="AR120" s="1586"/>
      <c r="AS120" s="1586"/>
      <c r="AT120" s="1586"/>
      <c r="AU120" s="1586"/>
      <c r="AV120" s="1586"/>
      <c r="AW120" s="1586"/>
      <c r="AX120" s="1586"/>
      <c r="AY120" s="1586"/>
      <c r="AZ120" s="1586"/>
      <c r="BA120" s="1586"/>
      <c r="BB120" s="1586"/>
      <c r="BC120" s="1586"/>
      <c r="BD120" s="1586"/>
      <c r="BE120" s="1586"/>
      <c r="BF120" s="1586"/>
      <c r="BG120" s="1586"/>
    </row>
    <row r="121" spans="1:100" x14ac:dyDescent="0.25">
      <c r="A121" s="1586" t="s">
        <v>801</v>
      </c>
      <c r="B121" s="1586"/>
      <c r="C121" s="1586"/>
      <c r="D121" s="1586"/>
      <c r="E121" s="1586"/>
      <c r="F121" s="1586"/>
      <c r="G121" s="1586"/>
      <c r="H121" s="1586"/>
      <c r="I121" s="1586"/>
      <c r="J121" s="1586"/>
      <c r="K121" s="1586"/>
      <c r="L121" s="1586"/>
      <c r="M121" s="1586"/>
      <c r="N121" s="1586"/>
      <c r="O121" s="1586"/>
      <c r="P121" s="1586"/>
      <c r="Q121" s="1586"/>
      <c r="R121" s="1586"/>
      <c r="S121" s="1586"/>
      <c r="T121" s="1586"/>
      <c r="U121" s="1586"/>
      <c r="V121" s="1586"/>
      <c r="W121" s="1585"/>
      <c r="X121" s="1585"/>
      <c r="Y121" s="1585"/>
      <c r="Z121" s="1585"/>
      <c r="AA121" s="1585"/>
      <c r="AB121" s="1585"/>
      <c r="AC121" s="1585"/>
      <c r="AD121" s="1585"/>
      <c r="AE121" s="1585"/>
      <c r="AF121" s="1586"/>
      <c r="AG121" s="1586"/>
      <c r="AH121" s="1586"/>
      <c r="AI121" s="1586"/>
      <c r="AJ121" s="1586"/>
      <c r="AK121" s="1586"/>
      <c r="AL121" s="1586"/>
      <c r="AM121" s="1586"/>
      <c r="AN121" s="1586"/>
      <c r="AO121" s="1586"/>
      <c r="AP121" s="1586"/>
      <c r="AQ121" s="1586"/>
      <c r="AR121" s="1586"/>
      <c r="AS121" s="1586"/>
      <c r="AT121" s="1586"/>
      <c r="AU121" s="1586"/>
      <c r="AV121" s="1586"/>
      <c r="AW121" s="1586"/>
      <c r="AX121" s="1586"/>
      <c r="AY121" s="1586"/>
      <c r="AZ121" s="1586"/>
      <c r="BA121" s="1586"/>
      <c r="BB121" s="1586"/>
      <c r="BC121" s="1586"/>
      <c r="BD121" s="1586"/>
      <c r="BE121" s="1586"/>
      <c r="BF121" s="1586"/>
      <c r="BG121" s="1586"/>
    </row>
    <row r="122" spans="1:100" x14ac:dyDescent="0.25">
      <c r="A122" s="1586" t="s">
        <v>801</v>
      </c>
      <c r="B122" s="1586"/>
      <c r="C122" s="1586"/>
      <c r="D122" s="1586"/>
      <c r="E122" s="1586"/>
      <c r="F122" s="1586"/>
      <c r="G122" s="1586"/>
      <c r="H122" s="1586"/>
      <c r="I122" s="1586"/>
      <c r="J122" s="1586"/>
      <c r="K122" s="1586"/>
      <c r="L122" s="1586"/>
      <c r="M122" s="1586"/>
      <c r="N122" s="1586"/>
      <c r="O122" s="1586"/>
      <c r="P122" s="1586"/>
      <c r="Q122" s="1586"/>
      <c r="R122" s="1586"/>
      <c r="S122" s="1586"/>
      <c r="T122" s="1586"/>
      <c r="U122" s="1586"/>
      <c r="V122" s="1586"/>
      <c r="W122" s="1585"/>
      <c r="X122" s="1585"/>
      <c r="Y122" s="1585"/>
      <c r="Z122" s="1585"/>
      <c r="AA122" s="1585"/>
      <c r="AB122" s="1585"/>
      <c r="AC122" s="1585"/>
      <c r="AD122" s="1585"/>
      <c r="AE122" s="1585"/>
      <c r="AF122" s="1586"/>
      <c r="AG122" s="1586"/>
      <c r="AH122" s="1586"/>
      <c r="AI122" s="1586"/>
      <c r="AJ122" s="1586"/>
      <c r="AK122" s="1586"/>
      <c r="AL122" s="1586"/>
      <c r="AM122" s="1586"/>
      <c r="AN122" s="1586"/>
      <c r="AO122" s="1586"/>
      <c r="AP122" s="1586"/>
      <c r="AQ122" s="1586"/>
      <c r="AR122" s="1586"/>
      <c r="AS122" s="1586"/>
      <c r="AT122" s="1586"/>
      <c r="AU122" s="1586"/>
      <c r="AV122" s="1586"/>
      <c r="AW122" s="1586"/>
      <c r="AX122" s="1586"/>
      <c r="AY122" s="1586"/>
      <c r="AZ122" s="1586"/>
      <c r="BA122" s="1586"/>
      <c r="BB122" s="1586"/>
      <c r="BC122" s="1586"/>
      <c r="BD122" s="1586"/>
      <c r="BE122" s="1586"/>
      <c r="BF122" s="1586"/>
      <c r="BG122" s="1586"/>
    </row>
    <row r="124" spans="1:100" ht="35.1" customHeight="1" x14ac:dyDescent="0.25">
      <c r="A124" s="1593" t="s">
        <v>922</v>
      </c>
      <c r="B124" s="1593"/>
      <c r="C124" s="1593"/>
      <c r="D124" s="1593"/>
      <c r="E124" s="1593"/>
      <c r="F124" s="1593"/>
      <c r="G124" s="1593"/>
      <c r="H124" s="1593"/>
      <c r="I124" s="1593"/>
      <c r="J124" s="1593"/>
      <c r="K124" s="1593"/>
      <c r="L124" s="1593"/>
      <c r="M124" s="1593"/>
      <c r="N124" s="1593"/>
      <c r="O124" s="1593"/>
      <c r="P124" s="1593"/>
      <c r="Q124" s="1593"/>
      <c r="R124" s="1593"/>
      <c r="S124" s="1593"/>
      <c r="T124" s="1593"/>
      <c r="U124" s="1593"/>
      <c r="V124" s="1593"/>
      <c r="W124" s="1321" t="s">
        <v>558</v>
      </c>
      <c r="X124" s="1321"/>
      <c r="Y124" s="1321"/>
      <c r="Z124" s="1321"/>
      <c r="AA124" s="1321"/>
      <c r="AB124" s="1321"/>
      <c r="AC124" s="1321" t="s">
        <v>559</v>
      </c>
      <c r="AD124" s="1321"/>
      <c r="AE124" s="1321"/>
      <c r="AF124" s="1321"/>
      <c r="AG124" s="1321"/>
      <c r="AH124" s="1321"/>
      <c r="AI124" s="1321" t="s">
        <v>560</v>
      </c>
      <c r="AJ124" s="1321"/>
      <c r="AK124" s="1321"/>
      <c r="AL124" s="1321"/>
      <c r="AM124" s="1321"/>
      <c r="AN124" s="1321"/>
      <c r="AO124" s="1321" t="s">
        <v>561</v>
      </c>
      <c r="AP124" s="1321"/>
      <c r="AQ124" s="1321"/>
      <c r="AR124" s="1321"/>
      <c r="AS124" s="1321"/>
      <c r="AT124" s="1321"/>
      <c r="AU124" s="1321" t="s">
        <v>562</v>
      </c>
      <c r="AV124" s="1321"/>
      <c r="AW124" s="1321"/>
      <c r="AX124" s="1321"/>
      <c r="AY124" s="1321"/>
      <c r="AZ124" s="1321"/>
      <c r="BA124" s="1321" t="s">
        <v>563</v>
      </c>
      <c r="BB124" s="1321"/>
      <c r="BC124" s="1321"/>
      <c r="BD124" s="1321"/>
      <c r="BE124" s="1321"/>
      <c r="BF124" s="1321"/>
      <c r="BG124" s="1321" t="s">
        <v>564</v>
      </c>
      <c r="BH124" s="1321"/>
      <c r="BI124" s="1321"/>
      <c r="BJ124" s="1321"/>
      <c r="BK124" s="1321"/>
      <c r="BL124" s="1321"/>
      <c r="BM124" s="1321" t="s">
        <v>565</v>
      </c>
      <c r="BN124" s="1321"/>
      <c r="BO124" s="1321"/>
      <c r="BP124" s="1321"/>
      <c r="BQ124" s="1321"/>
      <c r="BR124" s="1321"/>
      <c r="BS124" s="1321" t="s">
        <v>566</v>
      </c>
      <c r="BT124" s="1321"/>
      <c r="BU124" s="1321"/>
      <c r="BV124" s="1321"/>
      <c r="BW124" s="1321"/>
      <c r="BX124" s="1321"/>
      <c r="BY124" s="1321" t="s">
        <v>567</v>
      </c>
      <c r="BZ124" s="1321"/>
      <c r="CA124" s="1321"/>
      <c r="CB124" s="1321"/>
      <c r="CC124" s="1321"/>
      <c r="CD124" s="1321"/>
      <c r="CE124" s="1321" t="s">
        <v>568</v>
      </c>
      <c r="CF124" s="1321"/>
      <c r="CG124" s="1321"/>
      <c r="CH124" s="1321"/>
      <c r="CI124" s="1321"/>
      <c r="CJ124" s="1321"/>
      <c r="CK124" s="1321" t="s">
        <v>569</v>
      </c>
      <c r="CL124" s="1321"/>
      <c r="CM124" s="1321"/>
      <c r="CN124" s="1321"/>
      <c r="CO124" s="1321"/>
      <c r="CP124" s="1321"/>
      <c r="CQ124" s="19"/>
      <c r="CR124" s="17"/>
      <c r="CS124" s="17"/>
      <c r="CT124" s="17"/>
      <c r="CU124" s="17"/>
      <c r="CV124" s="17"/>
    </row>
    <row r="125" spans="1:100" x14ac:dyDescent="0.25">
      <c r="A125" s="468" t="s">
        <v>776</v>
      </c>
      <c r="B125" s="468"/>
      <c r="C125" s="468"/>
      <c r="D125" s="468"/>
      <c r="E125" s="468"/>
      <c r="F125" s="468"/>
      <c r="G125" s="468"/>
      <c r="H125" s="468"/>
      <c r="I125" s="468"/>
      <c r="J125" s="468"/>
      <c r="K125" s="468"/>
      <c r="L125" s="468"/>
      <c r="M125" s="468"/>
      <c r="N125" s="468"/>
      <c r="O125" s="468"/>
      <c r="P125" s="468"/>
      <c r="Q125" s="468"/>
      <c r="R125" s="468"/>
      <c r="S125" s="468"/>
      <c r="T125" s="468"/>
      <c r="U125" s="468"/>
      <c r="V125" s="468"/>
      <c r="W125" s="1322">
        <f>COUNTIFS(TRAINING!D14:D4989,"Mandatory", TRAINING!AN14:AN4989,"YES")</f>
        <v>0</v>
      </c>
      <c r="X125" s="1323"/>
      <c r="Y125" s="1323"/>
      <c r="Z125" s="1323"/>
      <c r="AA125" s="1323"/>
      <c r="AB125" s="1324"/>
      <c r="AC125" s="1268">
        <f>COUNTIFS(TRAINING!D14:D4989,"Mandatory", TRAINING!AO14:AO4989,"YES")</f>
        <v>0</v>
      </c>
      <c r="AD125" s="1269"/>
      <c r="AE125" s="1269"/>
      <c r="AF125" s="1269"/>
      <c r="AG125" s="1269"/>
      <c r="AH125" s="1270"/>
      <c r="AI125" s="1268">
        <f>COUNTIFS(TRAINING!D14:D4989,"Mandatory", TRAINING!AP14:AP4989,"YES")</f>
        <v>0</v>
      </c>
      <c r="AJ125" s="1269"/>
      <c r="AK125" s="1269"/>
      <c r="AL125" s="1269"/>
      <c r="AM125" s="1269"/>
      <c r="AN125" s="1270"/>
      <c r="AO125" s="1268">
        <f>COUNTIFS(TRAINING!D14:D4989,"Mandatory", TRAINING!AQ14:AQ4989,"YES")</f>
        <v>0</v>
      </c>
      <c r="AP125" s="1269"/>
      <c r="AQ125" s="1269"/>
      <c r="AR125" s="1269"/>
      <c r="AS125" s="1269"/>
      <c r="AT125" s="1270"/>
      <c r="AU125" s="1268">
        <f>COUNTIFS(TRAINING!D14:D4989,"Mandatory", TRAINING!AR14:AR4989,"YES")</f>
        <v>0</v>
      </c>
      <c r="AV125" s="1269"/>
      <c r="AW125" s="1269"/>
      <c r="AX125" s="1269"/>
      <c r="AY125" s="1269"/>
      <c r="AZ125" s="1270"/>
      <c r="BA125" s="1268">
        <f>COUNTIFS(TRAINING!D14:D4989,"Mandatory", TRAINING!AS14:AS4989,"YES")</f>
        <v>0</v>
      </c>
      <c r="BB125" s="1269"/>
      <c r="BC125" s="1269"/>
      <c r="BD125" s="1269"/>
      <c r="BE125" s="1269"/>
      <c r="BF125" s="1270"/>
      <c r="BG125" s="1322">
        <f>COUNTIFS(TRAINING!D14:D4989,"Mandatory", TRAINING!AT14:AT4989,"YES")</f>
        <v>0</v>
      </c>
      <c r="BH125" s="1323"/>
      <c r="BI125" s="1323"/>
      <c r="BJ125" s="1323"/>
      <c r="BK125" s="1323"/>
      <c r="BL125" s="1324"/>
      <c r="BM125" s="1322">
        <f>COUNTIFS(TRAINING!D14:D4989,"Mandatory", TRAINING!AU14:AU4989,"YES")</f>
        <v>0</v>
      </c>
      <c r="BN125" s="1323"/>
      <c r="BO125" s="1323"/>
      <c r="BP125" s="1323"/>
      <c r="BQ125" s="1323"/>
      <c r="BR125" s="1324"/>
      <c r="BS125" s="1322">
        <f>COUNTIFS(TRAINING!D14:D4989,"Mandatory", TRAINING!AV14:AV4989,"YES")</f>
        <v>0</v>
      </c>
      <c r="BT125" s="1323"/>
      <c r="BU125" s="1323"/>
      <c r="BV125" s="1323"/>
      <c r="BW125" s="1323"/>
      <c r="BX125" s="1324"/>
      <c r="BY125" s="1322">
        <f>COUNTIFS(TRAINING!D14:D4989,"Mandatory", TRAINING!AW14:AW4989,"YES")</f>
        <v>0</v>
      </c>
      <c r="BZ125" s="1323"/>
      <c r="CA125" s="1323"/>
      <c r="CB125" s="1323"/>
      <c r="CC125" s="1323"/>
      <c r="CD125" s="1324"/>
      <c r="CE125" s="1268">
        <f>COUNTIFS(TRAINING!D14:D4989,"Mandatory", TRAINING!AX14:AX4989,"YES")</f>
        <v>0</v>
      </c>
      <c r="CF125" s="1269"/>
      <c r="CG125" s="1269"/>
      <c r="CH125" s="1269"/>
      <c r="CI125" s="1269"/>
      <c r="CJ125" s="1270"/>
      <c r="CK125" s="1268">
        <f>COUNTIFS(TRAINING!D14:D4989,"Mandatory", TRAINING!AY14:AY4989,"YES")</f>
        <v>0</v>
      </c>
      <c r="CL125" s="1269"/>
      <c r="CM125" s="1269"/>
      <c r="CN125" s="1269"/>
      <c r="CO125" s="1269"/>
      <c r="CP125" s="1270"/>
      <c r="CQ125" s="332"/>
      <c r="CR125" s="16"/>
      <c r="CS125" s="16"/>
      <c r="CT125" s="16"/>
      <c r="CU125" s="16"/>
      <c r="CV125" s="16"/>
    </row>
    <row r="126" spans="1:100" x14ac:dyDescent="0.25">
      <c r="A126" s="468" t="s">
        <v>799</v>
      </c>
      <c r="B126" s="468"/>
      <c r="C126" s="468"/>
      <c r="D126" s="468"/>
      <c r="E126" s="468"/>
      <c r="F126" s="468"/>
      <c r="G126" s="468"/>
      <c r="H126" s="468"/>
      <c r="I126" s="468"/>
      <c r="J126" s="468"/>
      <c r="K126" s="468"/>
      <c r="L126" s="468"/>
      <c r="M126" s="468"/>
      <c r="N126" s="468"/>
      <c r="O126" s="468"/>
      <c r="P126" s="468"/>
      <c r="Q126" s="468"/>
      <c r="R126" s="468"/>
      <c r="S126" s="468"/>
      <c r="T126" s="468"/>
      <c r="U126" s="468"/>
      <c r="V126" s="468"/>
      <c r="W126" s="1322">
        <f>COUNTIFS(TRAINING!D14:D4989,"Evidence Based Training (EBT)", TRAINING!AN14:AN4989,"YES")</f>
        <v>0</v>
      </c>
      <c r="X126" s="1323"/>
      <c r="Y126" s="1323"/>
      <c r="Z126" s="1323"/>
      <c r="AA126" s="1323"/>
      <c r="AB126" s="1324"/>
      <c r="AC126" s="1268">
        <f>COUNTIFS(TRAINING!D14:D4989,"Evidence Based Training (EBT)", TRAINING!AO14:AO4989,"YES")</f>
        <v>0</v>
      </c>
      <c r="AD126" s="1269"/>
      <c r="AE126" s="1269"/>
      <c r="AF126" s="1269"/>
      <c r="AG126" s="1269"/>
      <c r="AH126" s="1270"/>
      <c r="AI126" s="1268">
        <f>COUNTIFS(TRAINING!D14:D4989,"Evidence Based Training (EBT)", TRAINING!AP14:AP4989,"YES")</f>
        <v>0</v>
      </c>
      <c r="AJ126" s="1269"/>
      <c r="AK126" s="1269"/>
      <c r="AL126" s="1269"/>
      <c r="AM126" s="1269"/>
      <c r="AN126" s="1270"/>
      <c r="AO126" s="1268">
        <f>COUNTIFS(TRAINING!D14:D4989,"Evidence Based Training (EBT)", TRAINING!AQ14:AQ4989,"YES")</f>
        <v>0</v>
      </c>
      <c r="AP126" s="1269"/>
      <c r="AQ126" s="1269"/>
      <c r="AR126" s="1269"/>
      <c r="AS126" s="1269"/>
      <c r="AT126" s="1270"/>
      <c r="AU126" s="1268">
        <f>COUNTIFS(TRAINING!D14:D4989,"Evidence Based Training (EBT)", TRAINING!AR14:AR4989,"YES")</f>
        <v>0</v>
      </c>
      <c r="AV126" s="1269"/>
      <c r="AW126" s="1269"/>
      <c r="AX126" s="1269"/>
      <c r="AY126" s="1269"/>
      <c r="AZ126" s="1270"/>
      <c r="BA126" s="1268">
        <f>COUNTIFS(TRAINING!D14:D4989,"Evidence Based Training (EBT)", TRAINING!AS14:AS4989,"YES")</f>
        <v>0</v>
      </c>
      <c r="BB126" s="1269"/>
      <c r="BC126" s="1269"/>
      <c r="BD126" s="1269"/>
      <c r="BE126" s="1269"/>
      <c r="BF126" s="1270"/>
      <c r="BG126" s="1322">
        <f>COUNTIFS(TRAINING!D14:D4989,"Evidence Based Training (EBT)", TRAINING!AT14:AT4989,"YES")</f>
        <v>0</v>
      </c>
      <c r="BH126" s="1323"/>
      <c r="BI126" s="1323"/>
      <c r="BJ126" s="1323"/>
      <c r="BK126" s="1323"/>
      <c r="BL126" s="1324"/>
      <c r="BM126" s="1322">
        <f>COUNTIFS(TRAINING!D14:D4989,"Evidence Based Training (EBT)", TRAINING!AU14:AU4989,"YES")</f>
        <v>0</v>
      </c>
      <c r="BN126" s="1323"/>
      <c r="BO126" s="1323"/>
      <c r="BP126" s="1323"/>
      <c r="BQ126" s="1323"/>
      <c r="BR126" s="1324"/>
      <c r="BS126" s="1322">
        <f>COUNTIFS(TRAINING!D14:D4989,"Evidence Based Training (EBT)", TRAINING!AV14:AV4989,"YES")</f>
        <v>0</v>
      </c>
      <c r="BT126" s="1323"/>
      <c r="BU126" s="1323"/>
      <c r="BV126" s="1323"/>
      <c r="BW126" s="1323"/>
      <c r="BX126" s="1324"/>
      <c r="BY126" s="1322">
        <f>COUNTIFS(TRAINING!D14:D4989,"Evidence Based Training (EBT)", TRAINING!AW14:AW4989,"YES")</f>
        <v>0</v>
      </c>
      <c r="BZ126" s="1323"/>
      <c r="CA126" s="1323"/>
      <c r="CB126" s="1323"/>
      <c r="CC126" s="1323"/>
      <c r="CD126" s="1324"/>
      <c r="CE126" s="1268">
        <f>COUNTIFS(TRAINING!D14:D4989,"Evidence Based Training (EBT)", TRAINING!AX14:AX4989,"YES")</f>
        <v>0</v>
      </c>
      <c r="CF126" s="1269"/>
      <c r="CG126" s="1269"/>
      <c r="CH126" s="1269"/>
      <c r="CI126" s="1269"/>
      <c r="CJ126" s="1270"/>
      <c r="CK126" s="1268">
        <f>COUNTIFS(TRAINING!D14:D4989,"Evidence Based Training (EBT)", TRAINING!AY14:AY4989,"YES")</f>
        <v>0</v>
      </c>
      <c r="CL126" s="1269"/>
      <c r="CM126" s="1269"/>
      <c r="CN126" s="1269"/>
      <c r="CO126" s="1269"/>
      <c r="CP126" s="1270"/>
      <c r="CQ126" s="332"/>
      <c r="CR126" s="16"/>
      <c r="CS126" s="16"/>
      <c r="CT126" s="16"/>
      <c r="CU126" s="16"/>
      <c r="CV126" s="16"/>
    </row>
    <row r="127" spans="1:100" x14ac:dyDescent="0.25">
      <c r="A127" s="468" t="s">
        <v>800</v>
      </c>
      <c r="B127" s="468"/>
      <c r="C127" s="468"/>
      <c r="D127" s="468"/>
      <c r="E127" s="468"/>
      <c r="F127" s="468"/>
      <c r="G127" s="468"/>
      <c r="H127" s="468"/>
      <c r="I127" s="468"/>
      <c r="J127" s="468"/>
      <c r="K127" s="468"/>
      <c r="L127" s="468"/>
      <c r="M127" s="468"/>
      <c r="N127" s="468"/>
      <c r="O127" s="468"/>
      <c r="P127" s="468"/>
      <c r="Q127" s="468"/>
      <c r="R127" s="468"/>
      <c r="S127" s="468"/>
      <c r="T127" s="468"/>
      <c r="U127" s="468"/>
      <c r="V127" s="468"/>
      <c r="W127" s="1322">
        <f>COUNTIFS(TRAINING!D14:D4989,"Both Mandatory and EBT", TRAINING!AN14:AN4989,"YES")</f>
        <v>0</v>
      </c>
      <c r="X127" s="1323"/>
      <c r="Y127" s="1323"/>
      <c r="Z127" s="1323"/>
      <c r="AA127" s="1323"/>
      <c r="AB127" s="1324"/>
      <c r="AC127" s="1268">
        <f>COUNTIFS(TRAINING!D14:D4989,"Both Mandatory and EBT", TRAINING!AO14:AO4989,"YES")</f>
        <v>0</v>
      </c>
      <c r="AD127" s="1269"/>
      <c r="AE127" s="1269"/>
      <c r="AF127" s="1269"/>
      <c r="AG127" s="1269"/>
      <c r="AH127" s="1270"/>
      <c r="AI127" s="1268">
        <f>COUNTIFS(TRAINING!D14:D4989,"Both Mandatory and EBT", TRAINING!AP14:AP4989,"YES")</f>
        <v>0</v>
      </c>
      <c r="AJ127" s="1269"/>
      <c r="AK127" s="1269"/>
      <c r="AL127" s="1269"/>
      <c r="AM127" s="1269"/>
      <c r="AN127" s="1270"/>
      <c r="AO127" s="1268">
        <f>COUNTIFS(TRAINING!D14:D4989,"Both Mandatory and EBT", TRAINING!AQ14:AQ4989,"YES")</f>
        <v>0</v>
      </c>
      <c r="AP127" s="1269"/>
      <c r="AQ127" s="1269"/>
      <c r="AR127" s="1269"/>
      <c r="AS127" s="1269"/>
      <c r="AT127" s="1270"/>
      <c r="AU127" s="1268">
        <f>COUNTIFS(TRAINING!D14:D4989,"Both Mandatory and EBT", TRAINING!AR14:AR4989,"YES")</f>
        <v>0</v>
      </c>
      <c r="AV127" s="1269"/>
      <c r="AW127" s="1269"/>
      <c r="AX127" s="1269"/>
      <c r="AY127" s="1269"/>
      <c r="AZ127" s="1270"/>
      <c r="BA127" s="1268">
        <f>COUNTIFS(TRAINING!D14:D4989,"Both Mandatory and EBT", TRAINING!AS14:AS4989,"YES")</f>
        <v>0</v>
      </c>
      <c r="BB127" s="1269"/>
      <c r="BC127" s="1269"/>
      <c r="BD127" s="1269"/>
      <c r="BE127" s="1269"/>
      <c r="BF127" s="1270"/>
      <c r="BG127" s="1322">
        <f>COUNTIFS(TRAINING!D14:D4989,"Both Mandatory and EBT", TRAINING!AT14:AT4989,"YES")</f>
        <v>0</v>
      </c>
      <c r="BH127" s="1323"/>
      <c r="BI127" s="1323"/>
      <c r="BJ127" s="1323"/>
      <c r="BK127" s="1323"/>
      <c r="BL127" s="1324"/>
      <c r="BM127" s="1322">
        <f>COUNTIFS(TRAINING!D14:D4989,"Both Mandatory and EBT", TRAINING!AU14:AU4989,"YES")</f>
        <v>0</v>
      </c>
      <c r="BN127" s="1323"/>
      <c r="BO127" s="1323"/>
      <c r="BP127" s="1323"/>
      <c r="BQ127" s="1323"/>
      <c r="BR127" s="1324"/>
      <c r="BS127" s="1322">
        <f>COUNTIFS(TRAINING!D14:D4989,"Both Mandatory and EBT", TRAINING!AV14:AV4989,"YES")</f>
        <v>0</v>
      </c>
      <c r="BT127" s="1323"/>
      <c r="BU127" s="1323"/>
      <c r="BV127" s="1323"/>
      <c r="BW127" s="1323"/>
      <c r="BX127" s="1324"/>
      <c r="BY127" s="1322">
        <f>COUNTIFS(TRAINING!D14:D4989,"Both Mandatory and EBT", TRAINING!AW14:AW4989,"YES")</f>
        <v>0</v>
      </c>
      <c r="BZ127" s="1323"/>
      <c r="CA127" s="1323"/>
      <c r="CB127" s="1323"/>
      <c r="CC127" s="1323"/>
      <c r="CD127" s="1324"/>
      <c r="CE127" s="1268">
        <f>COUNTIFS(TRAINING!D14:D4989,"Both Mandatory and EBT", TRAINING!AX14:AX4989,"YES")</f>
        <v>0</v>
      </c>
      <c r="CF127" s="1269"/>
      <c r="CG127" s="1269"/>
      <c r="CH127" s="1269"/>
      <c r="CI127" s="1269"/>
      <c r="CJ127" s="1270"/>
      <c r="CK127" s="1268">
        <f>COUNTIFS(TRAINING!D14:D4989,"Both Mandatory and EBT", TRAINING!AY14:AY4989,"YES")</f>
        <v>0</v>
      </c>
      <c r="CL127" s="1269"/>
      <c r="CM127" s="1269"/>
      <c r="CN127" s="1269"/>
      <c r="CO127" s="1269"/>
      <c r="CP127" s="1270"/>
      <c r="CQ127" s="332"/>
      <c r="CR127" s="16"/>
      <c r="CS127" s="16"/>
      <c r="CT127" s="16"/>
      <c r="CU127" s="16"/>
      <c r="CV127" s="16"/>
    </row>
    <row r="128" spans="1:100" x14ac:dyDescent="0.25">
      <c r="A128" s="468" t="s">
        <v>779</v>
      </c>
      <c r="B128" s="468"/>
      <c r="C128" s="468"/>
      <c r="D128" s="468"/>
      <c r="E128" s="468"/>
      <c r="F128" s="468"/>
      <c r="G128" s="468"/>
      <c r="H128" s="468"/>
      <c r="I128" s="468"/>
      <c r="J128" s="468"/>
      <c r="K128" s="468"/>
      <c r="L128" s="468"/>
      <c r="M128" s="468"/>
      <c r="N128" s="468"/>
      <c r="O128" s="468"/>
      <c r="P128" s="468"/>
      <c r="Q128" s="468"/>
      <c r="R128" s="468"/>
      <c r="S128" s="468"/>
      <c r="T128" s="468"/>
      <c r="U128" s="468"/>
      <c r="V128" s="468"/>
      <c r="W128" s="1322">
        <f>COUNTIFS(TRAINING!D14:D4989,"Other (Specify in Notes)", TRAINING!AN14:AN4989,"YES")</f>
        <v>0</v>
      </c>
      <c r="X128" s="1323"/>
      <c r="Y128" s="1323"/>
      <c r="Z128" s="1323"/>
      <c r="AA128" s="1323"/>
      <c r="AB128" s="1324"/>
      <c r="AC128" s="1268">
        <f>COUNTIFS(TRAINING!D14:D4989,"Other (Specify in Notes)", TRAINING!AO14:AO4989,"YES")</f>
        <v>0</v>
      </c>
      <c r="AD128" s="1269"/>
      <c r="AE128" s="1269"/>
      <c r="AF128" s="1269"/>
      <c r="AG128" s="1269"/>
      <c r="AH128" s="1270"/>
      <c r="AI128" s="1268">
        <f>COUNTIFS(TRAINING!D14:D4989,"Other (Specify in Notes)", TRAINING!AP14:AP4989,"YES")</f>
        <v>0</v>
      </c>
      <c r="AJ128" s="1269"/>
      <c r="AK128" s="1269"/>
      <c r="AL128" s="1269"/>
      <c r="AM128" s="1269"/>
      <c r="AN128" s="1270"/>
      <c r="AO128" s="1268">
        <f>COUNTIFS(TRAINING!D14:D4989,"Other (Specify in Notes)", TRAINING!AQ14:AQ4989,"YES")</f>
        <v>0</v>
      </c>
      <c r="AP128" s="1269"/>
      <c r="AQ128" s="1269"/>
      <c r="AR128" s="1269"/>
      <c r="AS128" s="1269"/>
      <c r="AT128" s="1270"/>
      <c r="AU128" s="1268">
        <f>COUNTIFS(TRAINING!D14:D4989,"Other (Specify in Notes)", TRAINING!AR14:AR4989,"YES")</f>
        <v>0</v>
      </c>
      <c r="AV128" s="1269"/>
      <c r="AW128" s="1269"/>
      <c r="AX128" s="1269"/>
      <c r="AY128" s="1269"/>
      <c r="AZ128" s="1270"/>
      <c r="BA128" s="1268">
        <f>COUNTIFS(TRAINING!D14:D4989,"Other (Specify in Notes)", TRAINING!AS14:AS4989,"YES")</f>
        <v>0</v>
      </c>
      <c r="BB128" s="1269"/>
      <c r="BC128" s="1269"/>
      <c r="BD128" s="1269"/>
      <c r="BE128" s="1269"/>
      <c r="BF128" s="1270"/>
      <c r="BG128" s="1322">
        <f>COUNTIFS(TRAINING!D14:D4989,"Other (Specify in Notes)", TRAINING!AT14:AT4989,"YES")</f>
        <v>0</v>
      </c>
      <c r="BH128" s="1323"/>
      <c r="BI128" s="1323"/>
      <c r="BJ128" s="1323"/>
      <c r="BK128" s="1323"/>
      <c r="BL128" s="1324"/>
      <c r="BM128" s="1322">
        <f>COUNTIFS(TRAINING!D14:D4989,"Other (Specify in Notes)", TRAINING!AU14:AU4989,"YES")</f>
        <v>0</v>
      </c>
      <c r="BN128" s="1323"/>
      <c r="BO128" s="1323"/>
      <c r="BP128" s="1323"/>
      <c r="BQ128" s="1323"/>
      <c r="BR128" s="1324"/>
      <c r="BS128" s="1322">
        <f>COUNTIFS(TRAINING!D14:D4989,"Other (Specify in Notes)", TRAINING!AV14:AV4989,"YES")</f>
        <v>0</v>
      </c>
      <c r="BT128" s="1323"/>
      <c r="BU128" s="1323"/>
      <c r="BV128" s="1323"/>
      <c r="BW128" s="1323"/>
      <c r="BX128" s="1324"/>
      <c r="BY128" s="1322">
        <f>COUNTIFS(TRAINING!D14:D4989,"Other (Specify in Notes)", TRAINING!AW14:AW4989,"YES")</f>
        <v>0</v>
      </c>
      <c r="BZ128" s="1323"/>
      <c r="CA128" s="1323"/>
      <c r="CB128" s="1323"/>
      <c r="CC128" s="1323"/>
      <c r="CD128" s="1324"/>
      <c r="CE128" s="1268">
        <f>COUNTIFS(TRAINING!D14:D4989,"Other (Specify in Notes)", TRAINING!AX14:AX4989,"YES")</f>
        <v>0</v>
      </c>
      <c r="CF128" s="1269"/>
      <c r="CG128" s="1269"/>
      <c r="CH128" s="1269"/>
      <c r="CI128" s="1269"/>
      <c r="CJ128" s="1270"/>
      <c r="CK128" s="1268">
        <f>COUNTIFS(TRAINING!D14:D4989,"Other (Specify in Notes)", TRAINING!AY14:AY4989,"YES")</f>
        <v>0</v>
      </c>
      <c r="CL128" s="1269"/>
      <c r="CM128" s="1269"/>
      <c r="CN128" s="1269"/>
      <c r="CO128" s="1269"/>
      <c r="CP128" s="1270"/>
      <c r="CQ128" s="332"/>
      <c r="CR128" s="16"/>
      <c r="CS128" s="16"/>
      <c r="CT128" s="16"/>
      <c r="CU128" s="16"/>
      <c r="CV128" s="16"/>
    </row>
    <row r="129" spans="1:100" x14ac:dyDescent="0.25">
      <c r="A129" s="468"/>
      <c r="B129" s="468"/>
      <c r="C129" s="468"/>
      <c r="D129" s="468"/>
      <c r="E129" s="468"/>
      <c r="F129" s="468"/>
      <c r="G129" s="468"/>
      <c r="H129" s="468"/>
      <c r="I129" s="468"/>
      <c r="J129" s="468"/>
      <c r="K129" s="468"/>
      <c r="L129" s="468"/>
      <c r="M129" s="468"/>
      <c r="N129" s="468"/>
      <c r="O129" s="468"/>
      <c r="P129" s="468"/>
      <c r="Q129" s="468"/>
      <c r="R129" s="468"/>
      <c r="S129" s="468"/>
      <c r="T129" s="468"/>
      <c r="U129" s="468"/>
      <c r="V129" s="468"/>
      <c r="W129" s="1322"/>
      <c r="X129" s="1323"/>
      <c r="Y129" s="1323"/>
      <c r="Z129" s="1323"/>
      <c r="AA129" s="1323"/>
      <c r="AB129" s="1324"/>
      <c r="AC129" s="1322"/>
      <c r="AD129" s="1323"/>
      <c r="AE129" s="1323"/>
      <c r="AF129" s="1323"/>
      <c r="AG129" s="1323"/>
      <c r="AH129" s="1324"/>
      <c r="AI129" s="1322"/>
      <c r="AJ129" s="1323"/>
      <c r="AK129" s="1323"/>
      <c r="AL129" s="1323"/>
      <c r="AM129" s="1323"/>
      <c r="AN129" s="1324"/>
      <c r="AO129" s="634"/>
      <c r="AP129" s="509"/>
      <c r="AQ129" s="509"/>
      <c r="AR129" s="509"/>
      <c r="AS129" s="509"/>
      <c r="AT129" s="510"/>
      <c r="AU129" s="634"/>
      <c r="AV129" s="509"/>
      <c r="AW129" s="509"/>
      <c r="AX129" s="509"/>
      <c r="AY129" s="509"/>
      <c r="AZ129" s="510"/>
      <c r="BA129" s="634"/>
      <c r="BB129" s="509"/>
      <c r="BC129" s="509"/>
      <c r="BD129" s="509"/>
      <c r="BE129" s="509"/>
      <c r="BF129" s="510"/>
      <c r="BG129" s="1322"/>
      <c r="BH129" s="1323"/>
      <c r="BI129" s="1323"/>
      <c r="BJ129" s="1323"/>
      <c r="BK129" s="1323"/>
      <c r="BL129" s="1324"/>
      <c r="BM129" s="1322"/>
      <c r="BN129" s="1323"/>
      <c r="BO129" s="1323"/>
      <c r="BP129" s="1323"/>
      <c r="BQ129" s="1323"/>
      <c r="BR129" s="1324"/>
      <c r="BS129" s="1322"/>
      <c r="BT129" s="1323"/>
      <c r="BU129" s="1323"/>
      <c r="BV129" s="1323"/>
      <c r="BW129" s="1323"/>
      <c r="BX129" s="1324"/>
      <c r="BY129" s="1322"/>
      <c r="BZ129" s="1323"/>
      <c r="CA129" s="1323"/>
      <c r="CB129" s="1323"/>
      <c r="CC129" s="1323"/>
      <c r="CD129" s="1324"/>
      <c r="CE129" s="1322"/>
      <c r="CF129" s="1323"/>
      <c r="CG129" s="1323"/>
      <c r="CH129" s="1323"/>
      <c r="CI129" s="1323"/>
      <c r="CJ129" s="1324"/>
      <c r="CK129" s="1322"/>
      <c r="CL129" s="1323"/>
      <c r="CM129" s="1323"/>
      <c r="CN129" s="1323"/>
      <c r="CO129" s="1323"/>
      <c r="CP129" s="1324"/>
      <c r="CQ129" s="333"/>
    </row>
    <row r="130" spans="1:100" ht="15.75" x14ac:dyDescent="0.25">
      <c r="A130" s="1349" t="s">
        <v>13</v>
      </c>
      <c r="B130" s="1349"/>
      <c r="C130" s="1349"/>
      <c r="D130" s="1349"/>
      <c r="E130" s="1349"/>
      <c r="F130" s="1349"/>
      <c r="G130" s="1349"/>
      <c r="H130" s="1349"/>
      <c r="I130" s="1349"/>
      <c r="J130" s="1349"/>
      <c r="K130" s="1349"/>
      <c r="L130" s="1349"/>
      <c r="M130" s="1349"/>
      <c r="N130" s="1349"/>
      <c r="O130" s="1349"/>
      <c r="P130" s="1349"/>
      <c r="Q130" s="1349"/>
      <c r="R130" s="1349"/>
      <c r="S130" s="1349"/>
      <c r="T130" s="1349"/>
      <c r="U130" s="1349"/>
      <c r="V130" s="1349"/>
      <c r="W130" s="1338">
        <f>SUM(W125:W129)</f>
        <v>0</v>
      </c>
      <c r="X130" s="1339"/>
      <c r="Y130" s="1339"/>
      <c r="Z130" s="1339"/>
      <c r="AA130" s="1339"/>
      <c r="AB130" s="1340"/>
      <c r="AC130" s="1350">
        <f>SUM(AC125:AC129)</f>
        <v>0</v>
      </c>
      <c r="AD130" s="1351"/>
      <c r="AE130" s="1351"/>
      <c r="AF130" s="1351"/>
      <c r="AG130" s="1351"/>
      <c r="AH130" s="1352"/>
      <c r="AI130" s="1350">
        <f>SUM(AI125:AI129)</f>
        <v>0</v>
      </c>
      <c r="AJ130" s="1351"/>
      <c r="AK130" s="1351"/>
      <c r="AL130" s="1351"/>
      <c r="AM130" s="1351"/>
      <c r="AN130" s="1352"/>
      <c r="AO130" s="1341">
        <f>SUM(AO125:AO129)</f>
        <v>0</v>
      </c>
      <c r="AP130" s="1342"/>
      <c r="AQ130" s="1342"/>
      <c r="AR130" s="1342"/>
      <c r="AS130" s="1342"/>
      <c r="AT130" s="1343"/>
      <c r="AU130" s="1341">
        <f>SUM(AU125:AU129)</f>
        <v>0</v>
      </c>
      <c r="AV130" s="1342"/>
      <c r="AW130" s="1342"/>
      <c r="AX130" s="1342"/>
      <c r="AY130" s="1342"/>
      <c r="AZ130" s="1343"/>
      <c r="BA130" s="1341">
        <f>SUM(BA125:BA129)</f>
        <v>0</v>
      </c>
      <c r="BB130" s="1342"/>
      <c r="BC130" s="1342"/>
      <c r="BD130" s="1342"/>
      <c r="BE130" s="1342"/>
      <c r="BF130" s="1343"/>
      <c r="BG130" s="1341">
        <f>SUM(BG125:BG129)</f>
        <v>0</v>
      </c>
      <c r="BH130" s="1342"/>
      <c r="BI130" s="1342"/>
      <c r="BJ130" s="1342"/>
      <c r="BK130" s="1342"/>
      <c r="BL130" s="1343"/>
      <c r="BM130" s="1341">
        <f>SUM(BM125:BM129)</f>
        <v>0</v>
      </c>
      <c r="BN130" s="1342"/>
      <c r="BO130" s="1342"/>
      <c r="BP130" s="1342"/>
      <c r="BQ130" s="1342"/>
      <c r="BR130" s="1343"/>
      <c r="BS130" s="1341">
        <f>SUM(BS125:BS129)</f>
        <v>0</v>
      </c>
      <c r="BT130" s="1342"/>
      <c r="BU130" s="1342"/>
      <c r="BV130" s="1342"/>
      <c r="BW130" s="1342"/>
      <c r="BX130" s="1343"/>
      <c r="BY130" s="1338">
        <f>SUM(BY125:BY129)</f>
        <v>0</v>
      </c>
      <c r="BZ130" s="1339"/>
      <c r="CA130" s="1339"/>
      <c r="CB130" s="1339"/>
      <c r="CC130" s="1339"/>
      <c r="CD130" s="1340"/>
      <c r="CE130" s="1341">
        <f>SUM(CE125:CE129)</f>
        <v>0</v>
      </c>
      <c r="CF130" s="1342"/>
      <c r="CG130" s="1342"/>
      <c r="CH130" s="1342"/>
      <c r="CI130" s="1342"/>
      <c r="CJ130" s="1343"/>
      <c r="CK130" s="1341">
        <f>SUM(CK125:CK129)</f>
        <v>0</v>
      </c>
      <c r="CL130" s="1342"/>
      <c r="CM130" s="1342"/>
      <c r="CN130" s="1342"/>
      <c r="CO130" s="1342"/>
      <c r="CP130" s="1343"/>
      <c r="CQ130" s="334"/>
      <c r="CR130" s="108"/>
      <c r="CS130" s="108"/>
      <c r="CT130" s="108"/>
      <c r="CU130" s="108"/>
      <c r="CV130" s="108"/>
    </row>
    <row r="133" spans="1:100" ht="35.1" customHeight="1" x14ac:dyDescent="0.25">
      <c r="A133" s="1597" t="s">
        <v>923</v>
      </c>
      <c r="B133" s="1597"/>
      <c r="C133" s="1597"/>
      <c r="D133" s="1597"/>
      <c r="E133" s="1597"/>
      <c r="F133" s="1597"/>
      <c r="G133" s="1597"/>
      <c r="H133" s="1597"/>
      <c r="I133" s="1597"/>
      <c r="J133" s="1597"/>
      <c r="K133" s="1597"/>
      <c r="L133" s="1597"/>
      <c r="M133" s="1597"/>
      <c r="N133" s="1597"/>
      <c r="O133" s="1597"/>
      <c r="P133" s="1597"/>
      <c r="Q133" s="1597"/>
      <c r="R133" s="1597"/>
      <c r="S133" s="1597"/>
      <c r="T133" s="1597"/>
      <c r="U133" s="1597"/>
      <c r="V133" s="1597"/>
      <c r="W133" s="1598" t="s">
        <v>820</v>
      </c>
      <c r="X133" s="1598"/>
      <c r="Y133" s="1598"/>
      <c r="Z133" s="1598"/>
      <c r="AA133" s="1598"/>
      <c r="AB133" s="1598"/>
      <c r="AC133" s="1598" t="s">
        <v>240</v>
      </c>
      <c r="AD133" s="1598"/>
      <c r="AE133" s="1598"/>
      <c r="AF133" s="1598"/>
      <c r="AG133" s="1598"/>
      <c r="AH133" s="1598"/>
      <c r="AI133" s="1598" t="s">
        <v>241</v>
      </c>
      <c r="AJ133" s="1598"/>
      <c r="AK133" s="1598"/>
      <c r="AL133" s="1598"/>
      <c r="AM133" s="1598"/>
      <c r="AN133" s="1598"/>
      <c r="AO133" s="1598" t="s">
        <v>247</v>
      </c>
      <c r="AP133" s="1598"/>
      <c r="AQ133" s="1598"/>
      <c r="AR133" s="1598"/>
      <c r="AS133" s="1598"/>
      <c r="AT133" s="1598"/>
      <c r="AU133" s="1598" t="s">
        <v>242</v>
      </c>
      <c r="AV133" s="1598"/>
      <c r="AW133" s="1598"/>
      <c r="AX133" s="1598"/>
      <c r="AY133" s="1598"/>
      <c r="AZ133" s="1598"/>
      <c r="BA133" s="1598" t="s">
        <v>243</v>
      </c>
      <c r="BB133" s="1598"/>
      <c r="BC133" s="1598"/>
      <c r="BD133" s="1598"/>
      <c r="BE133" s="1598"/>
      <c r="BF133" s="1598"/>
      <c r="BG133" s="1598" t="s">
        <v>244</v>
      </c>
      <c r="BH133" s="1598"/>
      <c r="BI133" s="1598"/>
      <c r="BJ133" s="1598"/>
      <c r="BK133" s="1598"/>
      <c r="BL133" s="1598"/>
      <c r="BM133" s="1598" t="s">
        <v>245</v>
      </c>
      <c r="BN133" s="1598"/>
      <c r="BO133" s="1598"/>
      <c r="BP133" s="1598"/>
      <c r="BQ133" s="1598"/>
      <c r="BR133" s="1598"/>
      <c r="BS133" s="1596" t="s">
        <v>821</v>
      </c>
      <c r="BT133" s="1596"/>
      <c r="BU133" s="1596"/>
      <c r="BV133" s="1596"/>
      <c r="BW133" s="1596"/>
      <c r="BX133" s="1596"/>
    </row>
    <row r="134" spans="1:100" x14ac:dyDescent="0.25">
      <c r="A134" s="468" t="s">
        <v>776</v>
      </c>
      <c r="B134" s="468"/>
      <c r="C134" s="468"/>
      <c r="D134" s="468"/>
      <c r="E134" s="468"/>
      <c r="F134" s="468"/>
      <c r="G134" s="468"/>
      <c r="H134" s="468"/>
      <c r="I134" s="468"/>
      <c r="J134" s="468"/>
      <c r="K134" s="468"/>
      <c r="L134" s="468"/>
      <c r="M134" s="468"/>
      <c r="N134" s="468"/>
      <c r="O134" s="468"/>
      <c r="P134" s="468"/>
      <c r="Q134" s="468"/>
      <c r="R134" s="468"/>
      <c r="S134" s="468"/>
      <c r="T134" s="468"/>
      <c r="U134" s="468"/>
      <c r="V134" s="468"/>
      <c r="W134" s="1322">
        <f>COUNTIFS(TRAINING!D15:D5000,"Mandatory", TRAINING!AZ15:AZ5000,"YES")</f>
        <v>0</v>
      </c>
      <c r="X134" s="1323"/>
      <c r="Y134" s="1323"/>
      <c r="Z134" s="1323"/>
      <c r="AA134" s="1323"/>
      <c r="AB134" s="1324"/>
      <c r="AC134" s="1268">
        <f>COUNTIFS(TRAINING!D15:D5000,"Mandatory", TRAINING!BA15:BA5000,"YES")</f>
        <v>0</v>
      </c>
      <c r="AD134" s="1269"/>
      <c r="AE134" s="1269"/>
      <c r="AF134" s="1269"/>
      <c r="AG134" s="1269"/>
      <c r="AH134" s="1270"/>
      <c r="AI134" s="1268">
        <f>COUNTIFS(TRAINING!D15:D5000,"Mandatory", TRAINING!BB15:BB5000,"YES")</f>
        <v>0</v>
      </c>
      <c r="AJ134" s="1269"/>
      <c r="AK134" s="1269"/>
      <c r="AL134" s="1269"/>
      <c r="AM134" s="1269"/>
      <c r="AN134" s="1270"/>
      <c r="AO134" s="1268">
        <f>COUNTIFS(TRAINING!D15:D5000,"Mandatory", TRAINING!BC15:BC5000,"YES")</f>
        <v>0</v>
      </c>
      <c r="AP134" s="1269"/>
      <c r="AQ134" s="1269"/>
      <c r="AR134" s="1269"/>
      <c r="AS134" s="1269"/>
      <c r="AT134" s="1270"/>
      <c r="AU134" s="1268">
        <f>COUNTIFS(TRAINING!D15:D5000,"Mandatory", TRAINING!BD15:BD5000,"YES")</f>
        <v>0</v>
      </c>
      <c r="AV134" s="1269"/>
      <c r="AW134" s="1269"/>
      <c r="AX134" s="1269"/>
      <c r="AY134" s="1269"/>
      <c r="AZ134" s="1270"/>
      <c r="BA134" s="1268">
        <f>COUNTIFS(TRAINING!D15:D5000,"Mandatory", TRAINING!BE15:BE5000,"YES")</f>
        <v>0</v>
      </c>
      <c r="BB134" s="1269"/>
      <c r="BC134" s="1269"/>
      <c r="BD134" s="1269"/>
      <c r="BE134" s="1269"/>
      <c r="BF134" s="1270"/>
      <c r="BG134" s="1322">
        <f>COUNTIFS(TRAINING!D15:D5000,"Mandatory", TRAINING!BF15:BF5000,"YES")</f>
        <v>0</v>
      </c>
      <c r="BH134" s="1323"/>
      <c r="BI134" s="1323"/>
      <c r="BJ134" s="1323"/>
      <c r="BK134" s="1323"/>
      <c r="BL134" s="1324"/>
      <c r="BM134" s="1322">
        <f>COUNTIFS(TRAINING!D15:D5000,"Mandatory", TRAINING!BG15:BG5000,"YES")</f>
        <v>0</v>
      </c>
      <c r="BN134" s="1323"/>
      <c r="BO134" s="1323"/>
      <c r="BP134" s="1323"/>
      <c r="BQ134" s="1323"/>
      <c r="BR134" s="1324"/>
      <c r="BS134" s="1322">
        <f>COUNTIFS(TRAINING!D15:D5000,"Mandatory", TRAINING!BH15:BH5000,"YES")</f>
        <v>0</v>
      </c>
      <c r="BT134" s="1323"/>
      <c r="BU134" s="1323"/>
      <c r="BV134" s="1323"/>
      <c r="BW134" s="1323"/>
      <c r="BX134" s="1324"/>
    </row>
    <row r="135" spans="1:100" x14ac:dyDescent="0.25">
      <c r="A135" s="468" t="s">
        <v>799</v>
      </c>
      <c r="B135" s="468"/>
      <c r="C135" s="468"/>
      <c r="D135" s="468"/>
      <c r="E135" s="468"/>
      <c r="F135" s="468"/>
      <c r="G135" s="468"/>
      <c r="H135" s="468"/>
      <c r="I135" s="468"/>
      <c r="J135" s="468"/>
      <c r="K135" s="468"/>
      <c r="L135" s="468"/>
      <c r="M135" s="468"/>
      <c r="N135" s="468"/>
      <c r="O135" s="468"/>
      <c r="P135" s="468"/>
      <c r="Q135" s="468"/>
      <c r="R135" s="468"/>
      <c r="S135" s="468"/>
      <c r="T135" s="468"/>
      <c r="U135" s="468"/>
      <c r="V135" s="468"/>
      <c r="W135" s="1322">
        <f>COUNTIFS(TRAINING!D15:D5000,"Evidence Based Training (EBT)", TRAINING!AZ15:AZ5000,"YES")</f>
        <v>0</v>
      </c>
      <c r="X135" s="1323"/>
      <c r="Y135" s="1323"/>
      <c r="Z135" s="1323"/>
      <c r="AA135" s="1323"/>
      <c r="AB135" s="1324"/>
      <c r="AC135" s="1268">
        <f>COUNTIFS(TRAINING!D15:D5000,"Evidence Based Training (EBT)", TRAINING!BA15:BA5000,"YES")</f>
        <v>0</v>
      </c>
      <c r="AD135" s="1269"/>
      <c r="AE135" s="1269"/>
      <c r="AF135" s="1269"/>
      <c r="AG135" s="1269"/>
      <c r="AH135" s="1270"/>
      <c r="AI135" s="1268">
        <f>COUNTIFS(TRAINING!D15:D5000,"Evidence Based Training (EBT)", TRAINING!BB15:BB5000,"YES")</f>
        <v>0</v>
      </c>
      <c r="AJ135" s="1269"/>
      <c r="AK135" s="1269"/>
      <c r="AL135" s="1269"/>
      <c r="AM135" s="1269"/>
      <c r="AN135" s="1270"/>
      <c r="AO135" s="1268">
        <f>COUNTIFS(TRAINING!D15:D5000,"Evidence Based Training (EBT)", TRAINING!BC15:BC5000,"YES")</f>
        <v>0</v>
      </c>
      <c r="AP135" s="1269"/>
      <c r="AQ135" s="1269"/>
      <c r="AR135" s="1269"/>
      <c r="AS135" s="1269"/>
      <c r="AT135" s="1270"/>
      <c r="AU135" s="1268">
        <f>COUNTIFS(TRAINING!D15:D5000,"Evidence Based Training (EBT)", TRAINING!BD15:BD5000,"YES")</f>
        <v>0</v>
      </c>
      <c r="AV135" s="1269"/>
      <c r="AW135" s="1269"/>
      <c r="AX135" s="1269"/>
      <c r="AY135" s="1269"/>
      <c r="AZ135" s="1270"/>
      <c r="BA135" s="1268">
        <f>COUNTIFS(TRAINING!D15:D5000,"Evidence Based Training (EBT)", TRAINING!BE15:BE5000,"YES")</f>
        <v>0</v>
      </c>
      <c r="BB135" s="1269"/>
      <c r="BC135" s="1269"/>
      <c r="BD135" s="1269"/>
      <c r="BE135" s="1269"/>
      <c r="BF135" s="1270"/>
      <c r="BG135" s="1322">
        <f>COUNTIFS(TRAINING!D15:D5000,"Evidence Based Training (EBT)", TRAINING!BF15:BF5000,"YES")</f>
        <v>0</v>
      </c>
      <c r="BH135" s="1323"/>
      <c r="BI135" s="1323"/>
      <c r="BJ135" s="1323"/>
      <c r="BK135" s="1323"/>
      <c r="BL135" s="1324"/>
      <c r="BM135" s="1322">
        <f>COUNTIFS(TRAINING!D15:D5000,"Evidence Based Training (EBT)", TRAINING!BG15:BG5000,"YES")</f>
        <v>0</v>
      </c>
      <c r="BN135" s="1323"/>
      <c r="BO135" s="1323"/>
      <c r="BP135" s="1323"/>
      <c r="BQ135" s="1323"/>
      <c r="BR135" s="1324"/>
      <c r="BS135" s="1322">
        <f>COUNTIFS(TRAINING!D15:D5000,"Evidence Based Training (EBT)", TRAINING!BH15:BH5000,"YES")</f>
        <v>0</v>
      </c>
      <c r="BT135" s="1323"/>
      <c r="BU135" s="1323"/>
      <c r="BV135" s="1323"/>
      <c r="BW135" s="1323"/>
      <c r="BX135" s="1324"/>
    </row>
    <row r="136" spans="1:100" x14ac:dyDescent="0.25">
      <c r="A136" s="468" t="s">
        <v>800</v>
      </c>
      <c r="B136" s="468"/>
      <c r="C136" s="468"/>
      <c r="D136" s="468"/>
      <c r="E136" s="468"/>
      <c r="F136" s="468"/>
      <c r="G136" s="468"/>
      <c r="H136" s="468"/>
      <c r="I136" s="468"/>
      <c r="J136" s="468"/>
      <c r="K136" s="468"/>
      <c r="L136" s="468"/>
      <c r="M136" s="468"/>
      <c r="N136" s="468"/>
      <c r="O136" s="468"/>
      <c r="P136" s="468"/>
      <c r="Q136" s="468"/>
      <c r="R136" s="468"/>
      <c r="S136" s="468"/>
      <c r="T136" s="468"/>
      <c r="U136" s="468"/>
      <c r="V136" s="468"/>
      <c r="W136" s="1322">
        <f>COUNTIFS(TRAINING!D15:D5000,"Both Mandatory and EBT", TRAINING!AZ15:AZ5000,"YES")</f>
        <v>0</v>
      </c>
      <c r="X136" s="1323"/>
      <c r="Y136" s="1323"/>
      <c r="Z136" s="1323"/>
      <c r="AA136" s="1323"/>
      <c r="AB136" s="1324"/>
      <c r="AC136" s="1268">
        <f>COUNTIFS(TRAINING!D15:D5000,"Both Mandatory and EBT", TRAINING!BA15:BA5000,"YES")</f>
        <v>0</v>
      </c>
      <c r="AD136" s="1269"/>
      <c r="AE136" s="1269"/>
      <c r="AF136" s="1269"/>
      <c r="AG136" s="1269"/>
      <c r="AH136" s="1270"/>
      <c r="AI136" s="1268">
        <f>COUNTIFS(TRAINING!D15:D5000,"Both Mandatory and EBT", TRAINING!BB15:BB5000,"YES")</f>
        <v>0</v>
      </c>
      <c r="AJ136" s="1269"/>
      <c r="AK136" s="1269"/>
      <c r="AL136" s="1269"/>
      <c r="AM136" s="1269"/>
      <c r="AN136" s="1270"/>
      <c r="AO136" s="1268">
        <f>COUNTIFS(TRAINING!D15:D5000,"Both Mandatory and EBT", TRAINING!BC15:BC5000,"YES")</f>
        <v>0</v>
      </c>
      <c r="AP136" s="1269"/>
      <c r="AQ136" s="1269"/>
      <c r="AR136" s="1269"/>
      <c r="AS136" s="1269"/>
      <c r="AT136" s="1270"/>
      <c r="AU136" s="1268">
        <f>COUNTIFS(TRAINING!D15:D5000,"Both Mandatory and EBT", TRAINING!BD15:BD5000,"YES")</f>
        <v>0</v>
      </c>
      <c r="AV136" s="1269"/>
      <c r="AW136" s="1269"/>
      <c r="AX136" s="1269"/>
      <c r="AY136" s="1269"/>
      <c r="AZ136" s="1270"/>
      <c r="BA136" s="1268">
        <f>COUNTIFS(TRAINING!D15:D5000,"Both Mandatory and EBT", TRAINING!BE15:BE5000,"YES")</f>
        <v>0</v>
      </c>
      <c r="BB136" s="1269"/>
      <c r="BC136" s="1269"/>
      <c r="BD136" s="1269"/>
      <c r="BE136" s="1269"/>
      <c r="BF136" s="1270"/>
      <c r="BG136" s="1322">
        <f>COUNTIFS(TRAINING!D15:D5000,"Both Mandatory and EBT", TRAINING!BF15:BF5000,"YES")</f>
        <v>0</v>
      </c>
      <c r="BH136" s="1323"/>
      <c r="BI136" s="1323"/>
      <c r="BJ136" s="1323"/>
      <c r="BK136" s="1323"/>
      <c r="BL136" s="1324"/>
      <c r="BM136" s="1322">
        <f>COUNTIFS(TRAINING!D15:D5000,"Both Mandatory and EBT", TRAINING!BG15:BG5000,"YES")</f>
        <v>0</v>
      </c>
      <c r="BN136" s="1323"/>
      <c r="BO136" s="1323"/>
      <c r="BP136" s="1323"/>
      <c r="BQ136" s="1323"/>
      <c r="BR136" s="1324"/>
      <c r="BS136" s="1322">
        <f>COUNTIFS(TRAINING!D15:D5000,"Both Mandatory and EBT", TRAINING!BH15:BH5000,"YES")</f>
        <v>0</v>
      </c>
      <c r="BT136" s="1323"/>
      <c r="BU136" s="1323"/>
      <c r="BV136" s="1323"/>
      <c r="BW136" s="1323"/>
      <c r="BX136" s="1324"/>
    </row>
    <row r="137" spans="1:100" x14ac:dyDescent="0.25">
      <c r="A137" s="468" t="s">
        <v>779</v>
      </c>
      <c r="B137" s="468"/>
      <c r="C137" s="468"/>
      <c r="D137" s="468"/>
      <c r="E137" s="468"/>
      <c r="F137" s="468"/>
      <c r="G137" s="468"/>
      <c r="H137" s="468"/>
      <c r="I137" s="468"/>
      <c r="J137" s="468"/>
      <c r="K137" s="468"/>
      <c r="L137" s="468"/>
      <c r="M137" s="468"/>
      <c r="N137" s="468"/>
      <c r="O137" s="468"/>
      <c r="P137" s="468"/>
      <c r="Q137" s="468"/>
      <c r="R137" s="468"/>
      <c r="S137" s="468"/>
      <c r="T137" s="468"/>
      <c r="U137" s="468"/>
      <c r="V137" s="468"/>
      <c r="W137" s="1322">
        <f>COUNTIFS(TRAINING!D15:D5000,"Other (Specify in Notes)", TRAINING!AZ15:AZ5000,"YES")</f>
        <v>0</v>
      </c>
      <c r="X137" s="1323"/>
      <c r="Y137" s="1323"/>
      <c r="Z137" s="1323"/>
      <c r="AA137" s="1323"/>
      <c r="AB137" s="1324"/>
      <c r="AC137" s="1268">
        <f>COUNTIFS(TRAINING!D15:D5000,"Other (Specify in Notes)", TRAINING!BA15:BA5000,"YES")</f>
        <v>0</v>
      </c>
      <c r="AD137" s="1269"/>
      <c r="AE137" s="1269"/>
      <c r="AF137" s="1269"/>
      <c r="AG137" s="1269"/>
      <c r="AH137" s="1270"/>
      <c r="AI137" s="1268">
        <f>COUNTIFS(TRAINING!D15:D5000,"Other (Specify in Notes)", TRAINING!BB15:BB5000,"YES")</f>
        <v>0</v>
      </c>
      <c r="AJ137" s="1269"/>
      <c r="AK137" s="1269"/>
      <c r="AL137" s="1269"/>
      <c r="AM137" s="1269"/>
      <c r="AN137" s="1270"/>
      <c r="AO137" s="1268">
        <f>COUNTIFS(TRAINING!D15:D5000,"Other (Specify in Notes)", TRAINING!BC15:BC5000,"YES")</f>
        <v>0</v>
      </c>
      <c r="AP137" s="1269"/>
      <c r="AQ137" s="1269"/>
      <c r="AR137" s="1269"/>
      <c r="AS137" s="1269"/>
      <c r="AT137" s="1270"/>
      <c r="AU137" s="1268">
        <f>COUNTIFS(TRAINING!D15:D5000,"Other (Specify in Notes)", TRAINING!BD15:BD5000,"YES")</f>
        <v>0</v>
      </c>
      <c r="AV137" s="1269"/>
      <c r="AW137" s="1269"/>
      <c r="AX137" s="1269"/>
      <c r="AY137" s="1269"/>
      <c r="AZ137" s="1270"/>
      <c r="BA137" s="1268">
        <f>COUNTIFS(TRAINING!D15:D5000,"Other (Specify in Notes)", TRAINING!BE15:BE5000,"YES")</f>
        <v>0</v>
      </c>
      <c r="BB137" s="1269"/>
      <c r="BC137" s="1269"/>
      <c r="BD137" s="1269"/>
      <c r="BE137" s="1269"/>
      <c r="BF137" s="1270"/>
      <c r="BG137" s="1322">
        <f>COUNTIFS(TRAINING!D15:D5000,"Other (Specify in Notes)", TRAINING!BF15:BF5000,"YES")</f>
        <v>0</v>
      </c>
      <c r="BH137" s="1323"/>
      <c r="BI137" s="1323"/>
      <c r="BJ137" s="1323"/>
      <c r="BK137" s="1323"/>
      <c r="BL137" s="1324"/>
      <c r="BM137" s="1322">
        <f>COUNTIFS(TRAINING!D15:D5000,"Other (Specify in Notes)", TRAINING!BG15:BG5000,"YES")</f>
        <v>0</v>
      </c>
      <c r="BN137" s="1323"/>
      <c r="BO137" s="1323"/>
      <c r="BP137" s="1323"/>
      <c r="BQ137" s="1323"/>
      <c r="BR137" s="1324"/>
      <c r="BS137" s="1322">
        <f>COUNTIFS(TRAINING!D15:D5000,"Other (Specify in Notes)", TRAINING!BH15:BH5000,"YES")</f>
        <v>0</v>
      </c>
      <c r="BT137" s="1323"/>
      <c r="BU137" s="1323"/>
      <c r="BV137" s="1323"/>
      <c r="BW137" s="1323"/>
      <c r="BX137" s="1324"/>
    </row>
    <row r="138" spans="1:100" x14ac:dyDescent="0.25">
      <c r="A138" s="468"/>
      <c r="B138" s="468"/>
      <c r="C138" s="468"/>
      <c r="D138" s="468"/>
      <c r="E138" s="468"/>
      <c r="F138" s="468"/>
      <c r="G138" s="468"/>
      <c r="H138" s="468"/>
      <c r="I138" s="468"/>
      <c r="J138" s="468"/>
      <c r="K138" s="468"/>
      <c r="L138" s="468"/>
      <c r="M138" s="468"/>
      <c r="N138" s="468"/>
      <c r="O138" s="468"/>
      <c r="P138" s="468"/>
      <c r="Q138" s="468"/>
      <c r="R138" s="468"/>
      <c r="S138" s="468"/>
      <c r="T138" s="468"/>
      <c r="U138" s="468"/>
      <c r="V138" s="468"/>
      <c r="W138" s="1322"/>
      <c r="X138" s="1323"/>
      <c r="Y138" s="1323"/>
      <c r="Z138" s="1323"/>
      <c r="AA138" s="1323"/>
      <c r="AB138" s="1324"/>
      <c r="AC138" s="1322"/>
      <c r="AD138" s="1323"/>
      <c r="AE138" s="1323"/>
      <c r="AF138" s="1323"/>
      <c r="AG138" s="1323"/>
      <c r="AH138" s="1324"/>
      <c r="AI138" s="1322"/>
      <c r="AJ138" s="1323"/>
      <c r="AK138" s="1323"/>
      <c r="AL138" s="1323"/>
      <c r="AM138" s="1323"/>
      <c r="AN138" s="1324"/>
      <c r="AO138" s="634"/>
      <c r="AP138" s="509"/>
      <c r="AQ138" s="509"/>
      <c r="AR138" s="509"/>
      <c r="AS138" s="509"/>
      <c r="AT138" s="510"/>
      <c r="AU138" s="634"/>
      <c r="AV138" s="509"/>
      <c r="AW138" s="509"/>
      <c r="AX138" s="509"/>
      <c r="AY138" s="509"/>
      <c r="AZ138" s="510"/>
      <c r="BA138" s="634"/>
      <c r="BB138" s="509"/>
      <c r="BC138" s="509"/>
      <c r="BD138" s="509"/>
      <c r="BE138" s="509"/>
      <c r="BF138" s="510"/>
      <c r="BG138" s="1322"/>
      <c r="BH138" s="1323"/>
      <c r="BI138" s="1323"/>
      <c r="BJ138" s="1323"/>
      <c r="BK138" s="1323"/>
      <c r="BL138" s="1324"/>
      <c r="BM138" s="1322"/>
      <c r="BN138" s="1323"/>
      <c r="BO138" s="1323"/>
      <c r="BP138" s="1323"/>
      <c r="BQ138" s="1323"/>
      <c r="BR138" s="1324"/>
      <c r="BS138" s="1322"/>
      <c r="BT138" s="1323"/>
      <c r="BU138" s="1323"/>
      <c r="BV138" s="1323"/>
      <c r="BW138" s="1323"/>
      <c r="BX138" s="1324"/>
    </row>
    <row r="139" spans="1:100" ht="15.75" x14ac:dyDescent="0.25">
      <c r="A139" s="1599" t="s">
        <v>13</v>
      </c>
      <c r="B139" s="1599"/>
      <c r="C139" s="1599"/>
      <c r="D139" s="1599"/>
      <c r="E139" s="1599"/>
      <c r="F139" s="1599"/>
      <c r="G139" s="1599"/>
      <c r="H139" s="1599"/>
      <c r="I139" s="1599"/>
      <c r="J139" s="1599"/>
      <c r="K139" s="1599"/>
      <c r="L139" s="1599"/>
      <c r="M139" s="1599"/>
      <c r="N139" s="1599"/>
      <c r="O139" s="1599"/>
      <c r="P139" s="1599"/>
      <c r="Q139" s="1599"/>
      <c r="R139" s="1599"/>
      <c r="S139" s="1599"/>
      <c r="T139" s="1599"/>
      <c r="U139" s="1599"/>
      <c r="V139" s="1599"/>
      <c r="W139" s="1600">
        <f>SUM(W134:W138)</f>
        <v>0</v>
      </c>
      <c r="X139" s="1601"/>
      <c r="Y139" s="1601"/>
      <c r="Z139" s="1601"/>
      <c r="AA139" s="1601"/>
      <c r="AB139" s="1602"/>
      <c r="AC139" s="1603">
        <f>SUM(AC134:AC138)</f>
        <v>0</v>
      </c>
      <c r="AD139" s="1604"/>
      <c r="AE139" s="1604"/>
      <c r="AF139" s="1604"/>
      <c r="AG139" s="1604"/>
      <c r="AH139" s="1605"/>
      <c r="AI139" s="1603">
        <f>SUM(AI134:AI138)</f>
        <v>0</v>
      </c>
      <c r="AJ139" s="1604"/>
      <c r="AK139" s="1604"/>
      <c r="AL139" s="1604"/>
      <c r="AM139" s="1604"/>
      <c r="AN139" s="1605"/>
      <c r="AO139" s="1606">
        <f>SUM(AO134:AO138)</f>
        <v>0</v>
      </c>
      <c r="AP139" s="1607"/>
      <c r="AQ139" s="1607"/>
      <c r="AR139" s="1607"/>
      <c r="AS139" s="1607"/>
      <c r="AT139" s="1608"/>
      <c r="AU139" s="1606">
        <f>SUM(AU134:AU138)</f>
        <v>0</v>
      </c>
      <c r="AV139" s="1607"/>
      <c r="AW139" s="1607"/>
      <c r="AX139" s="1607"/>
      <c r="AY139" s="1607"/>
      <c r="AZ139" s="1608"/>
      <c r="BA139" s="1606">
        <f>SUM(BA134:BA138)</f>
        <v>0</v>
      </c>
      <c r="BB139" s="1607"/>
      <c r="BC139" s="1607"/>
      <c r="BD139" s="1607"/>
      <c r="BE139" s="1607"/>
      <c r="BF139" s="1608"/>
      <c r="BG139" s="1606">
        <f>SUM(BG134:BG138)</f>
        <v>0</v>
      </c>
      <c r="BH139" s="1607"/>
      <c r="BI139" s="1607"/>
      <c r="BJ139" s="1607"/>
      <c r="BK139" s="1607"/>
      <c r="BL139" s="1608"/>
      <c r="BM139" s="1606">
        <f>SUM(BM134:BM138)</f>
        <v>0</v>
      </c>
      <c r="BN139" s="1607"/>
      <c r="BO139" s="1607"/>
      <c r="BP139" s="1607"/>
      <c r="BQ139" s="1607"/>
      <c r="BR139" s="1608"/>
      <c r="BS139" s="1606">
        <f>SUM(BS134:BS138)</f>
        <v>0</v>
      </c>
      <c r="BT139" s="1607"/>
      <c r="BU139" s="1607"/>
      <c r="BV139" s="1607"/>
      <c r="BW139" s="1607"/>
      <c r="BX139" s="1608"/>
    </row>
    <row r="141" spans="1:100" ht="18.75" x14ac:dyDescent="0.3">
      <c r="A141" s="1612" t="s">
        <v>891</v>
      </c>
      <c r="B141" s="1612"/>
      <c r="C141" s="1612"/>
      <c r="D141" s="1612"/>
      <c r="E141" s="1612"/>
      <c r="F141" s="1612"/>
      <c r="G141" s="1612"/>
      <c r="H141" s="1612"/>
      <c r="I141" s="1612"/>
      <c r="J141" s="1612"/>
      <c r="K141" s="1612"/>
      <c r="L141" s="1612"/>
      <c r="M141" s="1612"/>
      <c r="N141" s="1612"/>
      <c r="O141" s="1612"/>
      <c r="P141" s="1612"/>
      <c r="Q141" s="1612"/>
      <c r="R141" s="1612"/>
      <c r="S141" s="1612"/>
      <c r="T141" s="1612"/>
      <c r="U141" s="1612"/>
      <c r="V141" s="1612"/>
      <c r="W141" s="1612"/>
      <c r="X141" s="1612"/>
      <c r="Y141" s="1612"/>
      <c r="Z141" s="1612"/>
      <c r="AA141" s="1612"/>
      <c r="AB141" s="1612"/>
      <c r="AC141" s="1612"/>
      <c r="AD141" s="1612"/>
      <c r="AE141" s="1612"/>
      <c r="AF141" s="1612"/>
      <c r="AG141" s="1612"/>
      <c r="AH141" s="1612"/>
      <c r="AI141" s="1612"/>
      <c r="AJ141" s="1612"/>
      <c r="AK141" s="1612"/>
      <c r="AL141" s="1612"/>
      <c r="AM141" s="1612"/>
      <c r="AN141" s="1612"/>
      <c r="AO141" s="1612"/>
      <c r="AP141" s="1612"/>
      <c r="AQ141" s="1612"/>
      <c r="AR141" s="1612"/>
      <c r="AS141" s="1612"/>
      <c r="AT141" s="1612"/>
      <c r="AU141" s="1612"/>
      <c r="AV141" s="1612"/>
      <c r="AW141" s="1612"/>
      <c r="AX141" s="1612"/>
      <c r="AY141" s="1612"/>
      <c r="AZ141" s="1612"/>
      <c r="BA141" s="1612"/>
      <c r="BB141" s="1612"/>
      <c r="BC141" s="1612"/>
      <c r="BD141" s="1612"/>
      <c r="BE141" s="1612"/>
      <c r="BF141" s="1612"/>
      <c r="BG141" s="1612"/>
      <c r="BH141" s="1612"/>
      <c r="BI141" s="1612"/>
      <c r="BJ141" s="1612"/>
      <c r="BK141" s="1612"/>
      <c r="BL141" s="1612"/>
      <c r="BM141" s="1612"/>
      <c r="BN141" s="1612"/>
      <c r="BO141" s="1612"/>
      <c r="BP141" s="1612"/>
      <c r="BQ141" s="1612"/>
      <c r="BR141" s="1612"/>
      <c r="BS141" s="1612"/>
      <c r="BT141" s="1612"/>
      <c r="BU141" s="1612"/>
      <c r="BV141" s="1612"/>
      <c r="BW141" s="1612"/>
      <c r="BX141" s="1612"/>
      <c r="BY141" s="1612"/>
      <c r="BZ141" s="1612"/>
      <c r="CA141" s="1612"/>
      <c r="CB141" s="1612"/>
      <c r="CC141" s="1612"/>
      <c r="CD141" s="1612"/>
      <c r="CE141" s="1612"/>
      <c r="CF141" s="1612"/>
      <c r="CG141" s="1612"/>
      <c r="CH141" s="1612"/>
      <c r="CI141" s="1612"/>
      <c r="CJ141" s="1612"/>
      <c r="CK141" s="1612"/>
      <c r="CL141" s="1612"/>
      <c r="CM141" s="1612"/>
      <c r="CN141" s="1612"/>
      <c r="CO141" s="1612"/>
      <c r="CP141" s="1612"/>
      <c r="CQ141" s="1612"/>
      <c r="CR141" s="1612"/>
      <c r="CS141" s="1612"/>
      <c r="CT141" s="1612"/>
      <c r="CU141" s="1612"/>
      <c r="CV141" s="1612"/>
    </row>
    <row r="142" spans="1:100" ht="18.75" x14ac:dyDescent="0.3">
      <c r="A142" s="313"/>
      <c r="B142" s="313"/>
      <c r="C142" s="313"/>
      <c r="D142" s="313"/>
      <c r="E142" s="313"/>
      <c r="F142" s="313"/>
      <c r="G142" s="313"/>
      <c r="H142" s="313"/>
      <c r="I142" s="338"/>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313"/>
      <c r="AG142" s="313"/>
      <c r="AH142" s="313"/>
      <c r="AI142" s="313"/>
      <c r="AJ142" s="313"/>
      <c r="AK142" s="313"/>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c r="BN142" s="313"/>
      <c r="BO142" s="313"/>
      <c r="BP142" s="313"/>
      <c r="BQ142" s="313"/>
      <c r="BR142" s="313"/>
      <c r="BS142" s="313"/>
      <c r="BT142" s="313"/>
      <c r="BU142" s="313"/>
      <c r="BV142" s="313"/>
      <c r="BW142" s="313"/>
      <c r="BX142" s="313"/>
      <c r="BY142" s="313"/>
      <c r="BZ142" s="313"/>
      <c r="CA142" s="313"/>
      <c r="CB142" s="313"/>
      <c r="CC142" s="313"/>
      <c r="CD142" s="313"/>
      <c r="CE142" s="313"/>
      <c r="CF142" s="313"/>
      <c r="CG142" s="313"/>
      <c r="CH142" s="313"/>
      <c r="CI142" s="313"/>
      <c r="CJ142" s="313"/>
      <c r="CK142" s="313"/>
      <c r="CL142" s="313"/>
      <c r="CM142" s="313"/>
      <c r="CN142" s="313"/>
      <c r="CO142" s="313"/>
      <c r="CP142" s="313"/>
      <c r="CQ142" s="313"/>
      <c r="CR142" s="313"/>
      <c r="CS142" s="313"/>
      <c r="CT142" s="313"/>
      <c r="CU142" s="313"/>
      <c r="CV142" s="313"/>
    </row>
    <row r="143" spans="1:100" ht="21" x14ac:dyDescent="0.3">
      <c r="A143" s="1595" t="s">
        <v>452</v>
      </c>
      <c r="B143" s="1595"/>
      <c r="C143" s="1595"/>
      <c r="D143" s="1595"/>
      <c r="E143" s="1595"/>
      <c r="F143" s="1595"/>
      <c r="G143" s="1595"/>
      <c r="H143" s="1595"/>
      <c r="I143" s="1595"/>
      <c r="J143" s="1595"/>
      <c r="K143" s="1595"/>
      <c r="L143" s="1595"/>
      <c r="M143" s="1595"/>
      <c r="N143" s="1595"/>
      <c r="O143" s="1595"/>
      <c r="P143" s="1595"/>
      <c r="Q143" s="1595"/>
      <c r="R143" s="1595"/>
      <c r="S143" s="1595"/>
      <c r="T143" s="1595"/>
      <c r="U143" s="1595"/>
      <c r="V143" s="313"/>
      <c r="W143" s="313"/>
      <c r="X143" s="1595" t="s">
        <v>897</v>
      </c>
      <c r="Y143" s="1595"/>
      <c r="Z143" s="1595"/>
      <c r="AA143" s="1595"/>
      <c r="AB143" s="1595"/>
      <c r="AC143" s="1595"/>
      <c r="AD143" s="1595"/>
      <c r="AE143" s="1595"/>
      <c r="AF143" s="1595"/>
      <c r="AG143" s="1595"/>
      <c r="AH143" s="1595"/>
      <c r="AI143" s="1595"/>
      <c r="AJ143" s="1595"/>
      <c r="AK143" s="1595"/>
      <c r="AL143" s="1595"/>
      <c r="AM143" s="1595"/>
      <c r="AN143" s="1595"/>
      <c r="AO143" s="1595"/>
      <c r="AP143" s="1595"/>
      <c r="AQ143" s="1595"/>
      <c r="AR143" s="1595"/>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c r="BN143" s="313"/>
      <c r="BO143" s="313"/>
      <c r="BP143" s="313"/>
      <c r="BQ143" s="313"/>
      <c r="BR143" s="313"/>
      <c r="BS143" s="313"/>
      <c r="BT143" s="313"/>
      <c r="BU143" s="313"/>
      <c r="BV143" s="313"/>
      <c r="BW143" s="313"/>
      <c r="BX143" s="313"/>
      <c r="BY143" s="313"/>
      <c r="BZ143" s="313"/>
      <c r="CA143" s="313"/>
      <c r="CB143" s="313"/>
      <c r="CC143" s="313"/>
      <c r="CD143" s="313"/>
      <c r="CE143" s="313"/>
      <c r="CF143" s="313"/>
      <c r="CG143" s="313"/>
      <c r="CH143" s="313"/>
      <c r="CI143" s="313"/>
      <c r="CJ143" s="313"/>
      <c r="CK143" s="313"/>
      <c r="CL143" s="313"/>
      <c r="CM143" s="313"/>
      <c r="CN143" s="313"/>
      <c r="CO143" s="313"/>
      <c r="CP143" s="313"/>
      <c r="CQ143" s="313"/>
      <c r="CR143" s="313"/>
      <c r="CS143" s="313"/>
      <c r="CT143" s="313"/>
      <c r="CU143" s="313"/>
      <c r="CV143" s="313"/>
    </row>
    <row r="144" spans="1:100" ht="21" x14ac:dyDescent="0.3">
      <c r="A144" s="292"/>
      <c r="B144" s="292" t="s">
        <v>896</v>
      </c>
      <c r="C144" s="292"/>
      <c r="D144" s="292"/>
      <c r="E144" s="292"/>
      <c r="F144" s="292"/>
      <c r="G144" s="293"/>
      <c r="H144" s="293"/>
      <c r="I144" s="293"/>
      <c r="J144" s="293"/>
      <c r="K144" s="293"/>
      <c r="L144" s="293"/>
      <c r="M144" s="293"/>
      <c r="N144" s="293"/>
      <c r="O144" s="293"/>
      <c r="P144" s="293"/>
      <c r="Q144" s="293"/>
      <c r="R144" s="293"/>
      <c r="S144" s="293"/>
      <c r="T144" s="293"/>
      <c r="U144" s="293"/>
      <c r="V144" s="313"/>
      <c r="W144" s="313"/>
      <c r="X144" s="292"/>
      <c r="Y144" s="292" t="s">
        <v>896</v>
      </c>
      <c r="Z144" s="292"/>
      <c r="AA144" s="292"/>
      <c r="AB144" s="292"/>
      <c r="AC144" s="292"/>
      <c r="AD144" s="293"/>
      <c r="AE144" s="293"/>
      <c r="AF144" s="293"/>
      <c r="AG144" s="293"/>
      <c r="AH144" s="293"/>
      <c r="AI144" s="293"/>
      <c r="AJ144" s="293"/>
      <c r="AK144" s="293"/>
      <c r="AL144" s="293"/>
      <c r="AM144" s="293"/>
      <c r="AN144" s="293"/>
      <c r="AO144" s="293"/>
      <c r="AP144" s="293"/>
      <c r="AQ144" s="293"/>
      <c r="AR144" s="29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3"/>
      <c r="BV144" s="313"/>
      <c r="BW144" s="313"/>
      <c r="BX144" s="313"/>
      <c r="BY144" s="313"/>
      <c r="BZ144" s="313"/>
      <c r="CA144" s="313"/>
      <c r="CB144" s="313"/>
      <c r="CC144" s="313"/>
      <c r="CD144" s="313"/>
      <c r="CE144" s="313"/>
      <c r="CF144" s="313"/>
      <c r="CG144" s="313"/>
      <c r="CH144" s="313"/>
      <c r="CI144" s="313"/>
      <c r="CJ144" s="313"/>
      <c r="CK144" s="313"/>
      <c r="CL144" s="313"/>
      <c r="CM144" s="313"/>
      <c r="CN144" s="313"/>
      <c r="CO144" s="313"/>
      <c r="CP144" s="313"/>
      <c r="CQ144" s="313"/>
      <c r="CR144" s="313"/>
      <c r="CS144" s="313"/>
      <c r="CT144" s="313"/>
      <c r="CU144" s="313"/>
      <c r="CV144" s="313"/>
    </row>
    <row r="145" spans="1:100" ht="18.75" x14ac:dyDescent="0.3">
      <c r="A145" s="1337" t="s">
        <v>116</v>
      </c>
      <c r="B145" s="1337"/>
      <c r="C145" s="1337"/>
      <c r="D145" s="1337"/>
      <c r="E145" s="1337"/>
      <c r="F145" s="1337"/>
      <c r="G145" s="1337"/>
      <c r="H145" s="1337"/>
      <c r="I145" s="1295">
        <f>COUNTIF('Naloxone Training Distribution'!R15:R4940, "YES")</f>
        <v>0</v>
      </c>
      <c r="J145" s="1295"/>
      <c r="K145" s="1295"/>
      <c r="L145" s="1295"/>
      <c r="M145" s="1295"/>
      <c r="N145" s="1295"/>
      <c r="O145" s="1295"/>
      <c r="P145" s="137"/>
      <c r="Q145" s="137"/>
      <c r="R145" s="137"/>
      <c r="S145" s="137"/>
      <c r="T145" s="137"/>
      <c r="U145" s="137"/>
      <c r="V145" s="313"/>
      <c r="W145" s="313"/>
      <c r="X145" s="1337" t="s">
        <v>116</v>
      </c>
      <c r="Y145" s="1337"/>
      <c r="Z145" s="1337"/>
      <c r="AA145" s="1337"/>
      <c r="AB145" s="1337"/>
      <c r="AC145" s="1337"/>
      <c r="AD145" s="1337"/>
      <c r="AE145" s="1337"/>
      <c r="AF145" s="1295">
        <f>COUNTIF('Naloxone Training Distribution'!U15:U4940, "YES")</f>
        <v>0</v>
      </c>
      <c r="AG145" s="1295"/>
      <c r="AH145" s="1295"/>
      <c r="AI145" s="1295"/>
      <c r="AJ145" s="1295"/>
      <c r="AK145" s="1295"/>
      <c r="AL145" s="1295"/>
      <c r="AM145" s="137"/>
      <c r="AN145" s="137"/>
      <c r="AO145" s="137"/>
      <c r="AP145" s="137"/>
      <c r="AQ145" s="137"/>
      <c r="AR145" s="137"/>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c r="BQ145" s="313"/>
      <c r="BR145" s="313"/>
      <c r="BS145" s="313"/>
      <c r="BT145" s="313"/>
      <c r="BU145" s="313"/>
      <c r="BV145" s="313"/>
      <c r="BW145" s="313"/>
      <c r="BX145" s="313"/>
      <c r="BY145" s="313"/>
      <c r="BZ145" s="313"/>
      <c r="CA145" s="313"/>
      <c r="CB145" s="313"/>
      <c r="CC145" s="313"/>
      <c r="CD145" s="313"/>
      <c r="CE145" s="313"/>
      <c r="CF145" s="313"/>
      <c r="CG145" s="313"/>
      <c r="CH145" s="313"/>
      <c r="CI145" s="313"/>
      <c r="CJ145" s="313"/>
      <c r="CK145" s="313"/>
      <c r="CL145" s="313"/>
      <c r="CM145" s="313"/>
      <c r="CN145" s="313"/>
      <c r="CO145" s="313"/>
      <c r="CP145" s="313"/>
      <c r="CQ145" s="313"/>
      <c r="CR145" s="313"/>
      <c r="CS145" s="313"/>
      <c r="CT145" s="313"/>
      <c r="CU145" s="313"/>
      <c r="CV145" s="313"/>
    </row>
    <row r="146" spans="1:100" ht="18.75" x14ac:dyDescent="0.3">
      <c r="A146" s="1337" t="s">
        <v>117</v>
      </c>
      <c r="B146" s="1337"/>
      <c r="C146" s="1337"/>
      <c r="D146" s="1337"/>
      <c r="E146" s="1337"/>
      <c r="F146" s="1337"/>
      <c r="G146" s="1337"/>
      <c r="H146" s="1337"/>
      <c r="I146" s="1295">
        <f>COUNTIF('Naloxone Training Distribution'!R15:R4940, "NO")</f>
        <v>0</v>
      </c>
      <c r="J146" s="1295"/>
      <c r="K146" s="1295"/>
      <c r="L146" s="1295"/>
      <c r="M146" s="1295"/>
      <c r="N146" s="1295"/>
      <c r="O146" s="1295"/>
      <c r="P146" s="137"/>
      <c r="Q146" s="137"/>
      <c r="R146" s="137"/>
      <c r="S146" s="137"/>
      <c r="T146" s="137"/>
      <c r="U146" s="137"/>
      <c r="V146" s="313"/>
      <c r="W146" s="313"/>
      <c r="X146" s="1337" t="s">
        <v>117</v>
      </c>
      <c r="Y146" s="1337"/>
      <c r="Z146" s="1337"/>
      <c r="AA146" s="1337"/>
      <c r="AB146" s="1337"/>
      <c r="AC146" s="1337"/>
      <c r="AD146" s="1337"/>
      <c r="AE146" s="1337"/>
      <c r="AF146" s="1295">
        <f>COUNTIF('Naloxone Training Distribution'!U15:U4940, "NO")</f>
        <v>0</v>
      </c>
      <c r="AG146" s="1295"/>
      <c r="AH146" s="1295"/>
      <c r="AI146" s="1295"/>
      <c r="AJ146" s="1295"/>
      <c r="AK146" s="1295"/>
      <c r="AL146" s="1295"/>
      <c r="AM146" s="137"/>
      <c r="AN146" s="137"/>
      <c r="AO146" s="137"/>
      <c r="AP146" s="137"/>
      <c r="AQ146" s="137"/>
      <c r="AR146" s="137"/>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c r="BQ146" s="313"/>
      <c r="BR146" s="313"/>
      <c r="BS146" s="313"/>
      <c r="BT146" s="313"/>
      <c r="BU146" s="313"/>
      <c r="BV146" s="313"/>
      <c r="BW146" s="313"/>
      <c r="BX146" s="313"/>
      <c r="BY146" s="313"/>
      <c r="BZ146" s="313"/>
      <c r="CA146" s="313"/>
      <c r="CB146" s="313"/>
      <c r="CC146" s="313"/>
      <c r="CD146" s="313"/>
      <c r="CE146" s="313"/>
      <c r="CF146" s="313"/>
      <c r="CG146" s="313"/>
      <c r="CH146" s="313"/>
      <c r="CI146" s="313"/>
      <c r="CJ146" s="313"/>
      <c r="CK146" s="313"/>
      <c r="CL146" s="313"/>
      <c r="CM146" s="313"/>
      <c r="CN146" s="313"/>
      <c r="CO146" s="313"/>
      <c r="CP146" s="313"/>
      <c r="CQ146" s="313"/>
      <c r="CR146" s="313"/>
      <c r="CS146" s="313"/>
      <c r="CT146" s="313"/>
      <c r="CU146" s="313"/>
      <c r="CV146" s="313"/>
    </row>
    <row r="147" spans="1:100" ht="18.75" x14ac:dyDescent="0.3">
      <c r="A147" s="1337"/>
      <c r="B147" s="1337"/>
      <c r="C147" s="1337"/>
      <c r="D147" s="1337"/>
      <c r="E147" s="1337"/>
      <c r="F147" s="1337"/>
      <c r="G147" s="1337"/>
      <c r="H147" s="1337"/>
      <c r="I147" s="1295"/>
      <c r="J147" s="1295"/>
      <c r="K147" s="1295"/>
      <c r="L147" s="1295"/>
      <c r="M147" s="1295"/>
      <c r="N147" s="1295"/>
      <c r="O147" s="1295"/>
      <c r="P147" s="137"/>
      <c r="Q147" s="137"/>
      <c r="R147" s="137"/>
      <c r="S147" s="137"/>
      <c r="T147" s="137"/>
      <c r="U147" s="137"/>
      <c r="V147" s="313"/>
      <c r="W147" s="313"/>
      <c r="X147" s="1337"/>
      <c r="Y147" s="1337"/>
      <c r="Z147" s="1337"/>
      <c r="AA147" s="1337"/>
      <c r="AB147" s="1337"/>
      <c r="AC147" s="1337"/>
      <c r="AD147" s="1337"/>
      <c r="AE147" s="1337"/>
      <c r="AF147" s="1295"/>
      <c r="AG147" s="1295"/>
      <c r="AH147" s="1295"/>
      <c r="AI147" s="1295"/>
      <c r="AJ147" s="1295"/>
      <c r="AK147" s="1295"/>
      <c r="AL147" s="1295"/>
      <c r="AM147" s="137"/>
      <c r="AN147" s="137"/>
      <c r="AO147" s="137"/>
      <c r="AP147" s="137"/>
      <c r="AQ147" s="137"/>
      <c r="AR147" s="137"/>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c r="CR147" s="313"/>
      <c r="CS147" s="313"/>
      <c r="CT147" s="313"/>
      <c r="CU147" s="313"/>
      <c r="CV147" s="313"/>
    </row>
    <row r="148" spans="1:100" ht="18.75" x14ac:dyDescent="0.3">
      <c r="A148" s="1594" t="s">
        <v>390</v>
      </c>
      <c r="B148" s="1594"/>
      <c r="C148" s="1594"/>
      <c r="D148" s="1594"/>
      <c r="E148" s="1594"/>
      <c r="F148" s="1594"/>
      <c r="G148" s="1594"/>
      <c r="H148" s="1594"/>
      <c r="I148" s="1594">
        <f>SUM(I145:I147)</f>
        <v>0</v>
      </c>
      <c r="J148" s="1594"/>
      <c r="K148" s="1594"/>
      <c r="L148" s="1594"/>
      <c r="M148" s="1594"/>
      <c r="N148" s="1594"/>
      <c r="O148" s="1594"/>
      <c r="P148" s="96"/>
      <c r="Q148" s="96"/>
      <c r="R148" s="137"/>
      <c r="S148" s="137"/>
      <c r="T148" s="137"/>
      <c r="U148" s="137"/>
      <c r="V148" s="313"/>
      <c r="W148" s="313"/>
      <c r="X148" s="1594" t="s">
        <v>390</v>
      </c>
      <c r="Y148" s="1594"/>
      <c r="Z148" s="1594"/>
      <c r="AA148" s="1594"/>
      <c r="AB148" s="1594"/>
      <c r="AC148" s="1594"/>
      <c r="AD148" s="1594"/>
      <c r="AE148" s="1594"/>
      <c r="AF148" s="1594">
        <f>SUM(AF145:AF147)</f>
        <v>0</v>
      </c>
      <c r="AG148" s="1594"/>
      <c r="AH148" s="1594"/>
      <c r="AI148" s="1594"/>
      <c r="AJ148" s="1594"/>
      <c r="AK148" s="1594"/>
      <c r="AL148" s="1594"/>
      <c r="AM148" s="137"/>
      <c r="AN148" s="137"/>
      <c r="AO148" s="137"/>
      <c r="AP148" s="137"/>
      <c r="AQ148" s="137"/>
      <c r="AR148" s="137"/>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I148" s="313"/>
      <c r="CJ148" s="313"/>
      <c r="CK148" s="313"/>
      <c r="CL148" s="313"/>
      <c r="CM148" s="313"/>
      <c r="CN148" s="313"/>
      <c r="CO148" s="313"/>
      <c r="CP148" s="313"/>
      <c r="CQ148" s="313"/>
      <c r="CR148" s="313"/>
      <c r="CS148" s="313"/>
      <c r="CT148" s="313"/>
      <c r="CU148" s="313"/>
      <c r="CV148" s="313"/>
    </row>
    <row r="150" spans="1:100" ht="21" x14ac:dyDescent="0.25">
      <c r="A150" s="1595" t="s">
        <v>898</v>
      </c>
      <c r="B150" s="1595"/>
      <c r="C150" s="1595"/>
      <c r="D150" s="1595"/>
      <c r="E150" s="1595"/>
      <c r="F150" s="1595"/>
      <c r="G150" s="1595"/>
      <c r="H150" s="1595"/>
      <c r="I150" s="1595"/>
      <c r="J150" s="1595"/>
      <c r="K150" s="1595"/>
      <c r="L150" s="1595"/>
      <c r="M150" s="1595"/>
      <c r="N150" s="1595"/>
      <c r="O150" s="1595"/>
      <c r="P150" s="1595"/>
      <c r="Q150" s="1595"/>
      <c r="R150" s="1595"/>
      <c r="S150" s="1595"/>
      <c r="T150" s="1595"/>
      <c r="U150" s="1595"/>
      <c r="X150" s="1595" t="s">
        <v>893</v>
      </c>
      <c r="Y150" s="1595"/>
      <c r="Z150" s="1595"/>
      <c r="AA150" s="1595"/>
      <c r="AB150" s="1595"/>
      <c r="AC150" s="1595"/>
      <c r="AD150" s="1595"/>
      <c r="AE150" s="1595"/>
      <c r="AF150" s="1595"/>
      <c r="AG150" s="1595"/>
      <c r="AH150" s="1595"/>
      <c r="AI150" s="1595"/>
      <c r="AJ150" s="1595"/>
      <c r="AK150" s="1595"/>
      <c r="AL150" s="1595"/>
      <c r="AM150" s="1595"/>
      <c r="AN150" s="1595"/>
      <c r="AO150" s="1595"/>
      <c r="AP150" s="1595"/>
      <c r="AQ150" s="1595"/>
      <c r="AR150" s="1595"/>
      <c r="AU150" s="1595" t="s">
        <v>894</v>
      </c>
      <c r="AV150" s="1595"/>
      <c r="AW150" s="1595"/>
      <c r="AX150" s="1595"/>
      <c r="AY150" s="1595"/>
      <c r="AZ150" s="1595"/>
      <c r="BA150" s="1595"/>
      <c r="BB150" s="1595"/>
      <c r="BC150" s="1595"/>
      <c r="BD150" s="1595"/>
      <c r="BE150" s="1595"/>
      <c r="BF150" s="1595"/>
      <c r="BG150" s="1595"/>
      <c r="BH150" s="1595"/>
      <c r="BI150" s="1595"/>
      <c r="BJ150" s="1595"/>
      <c r="BK150" s="1595"/>
      <c r="BL150" s="1595"/>
      <c r="BM150" s="1595"/>
      <c r="BN150" s="1595"/>
      <c r="BO150" s="1595"/>
    </row>
    <row r="151" spans="1:100" ht="21" x14ac:dyDescent="0.25">
      <c r="A151" s="292"/>
      <c r="B151" s="292" t="s">
        <v>892</v>
      </c>
      <c r="C151" s="292"/>
      <c r="D151" s="292"/>
      <c r="E151" s="292"/>
      <c r="F151" s="292"/>
      <c r="G151" s="293"/>
      <c r="H151" s="293"/>
      <c r="I151" s="293"/>
      <c r="J151" s="293"/>
      <c r="K151" s="293"/>
      <c r="L151" s="293"/>
      <c r="M151" s="293"/>
      <c r="N151" s="293"/>
      <c r="O151" s="293"/>
      <c r="P151" s="293"/>
      <c r="Q151" s="293"/>
      <c r="R151" s="293"/>
      <c r="S151" s="293"/>
      <c r="T151" s="293"/>
      <c r="U151" s="293"/>
      <c r="X151" s="292"/>
      <c r="Y151" s="292" t="s">
        <v>892</v>
      </c>
      <c r="Z151" s="292"/>
      <c r="AA151" s="292"/>
      <c r="AB151" s="292"/>
      <c r="AC151" s="292"/>
      <c r="AD151" s="293"/>
      <c r="AE151" s="293"/>
      <c r="AF151" s="293"/>
      <c r="AG151" s="293"/>
      <c r="AH151" s="293"/>
      <c r="AI151" s="293"/>
      <c r="AJ151" s="293"/>
      <c r="AK151" s="293"/>
      <c r="AL151" s="293"/>
      <c r="AM151" s="293"/>
      <c r="AN151" s="293"/>
      <c r="AO151" s="293"/>
      <c r="AP151" s="293"/>
      <c r="AQ151" s="293"/>
      <c r="AR151" s="293"/>
      <c r="AU151" s="1614" t="s">
        <v>895</v>
      </c>
      <c r="AV151" s="1614"/>
      <c r="AW151" s="1614"/>
      <c r="AX151" s="1614"/>
      <c r="AY151" s="1614"/>
      <c r="AZ151" s="1614"/>
      <c r="BA151" s="1614"/>
      <c r="BB151" s="1614"/>
      <c r="BC151" s="1614"/>
      <c r="BD151" s="1614"/>
      <c r="BE151" s="1614"/>
      <c r="BF151" s="1614"/>
      <c r="BG151" s="1614"/>
      <c r="BH151" s="1614"/>
      <c r="BI151" s="1614"/>
      <c r="BJ151" s="293"/>
      <c r="BK151" s="293"/>
      <c r="BL151" s="293"/>
      <c r="BM151" s="293"/>
      <c r="BN151" s="293"/>
      <c r="BO151" s="293"/>
    </row>
    <row r="152" spans="1:100" x14ac:dyDescent="0.25">
      <c r="A152" s="1337" t="s">
        <v>918</v>
      </c>
      <c r="B152" s="1337"/>
      <c r="C152" s="1337"/>
      <c r="D152" s="1337"/>
      <c r="E152" s="1337"/>
      <c r="F152" s="1337"/>
      <c r="G152" s="1337"/>
      <c r="H152" s="1337"/>
      <c r="I152" s="1295">
        <f>SUM('Naloxone Training Distribution'!BD13:BD4948)</f>
        <v>11</v>
      </c>
      <c r="J152" s="1295"/>
      <c r="K152" s="1295"/>
      <c r="L152" s="1295"/>
      <c r="M152" s="1295"/>
      <c r="N152" s="1295"/>
      <c r="O152" s="1295"/>
      <c r="P152" s="137"/>
      <c r="Q152" s="137"/>
      <c r="R152" s="137"/>
      <c r="S152" s="137"/>
      <c r="T152" s="137"/>
      <c r="U152" s="137"/>
      <c r="X152" s="1337" t="s">
        <v>918</v>
      </c>
      <c r="Y152" s="1337"/>
      <c r="Z152" s="1337"/>
      <c r="AA152" s="1337"/>
      <c r="AB152" s="1337"/>
      <c r="AC152" s="1337"/>
      <c r="AD152" s="1337"/>
      <c r="AE152" s="1337"/>
      <c r="AF152" s="1295">
        <f>COUNTIFS('Naloxone Training Distribution'!BK15:BK4948,"YES")</f>
        <v>100</v>
      </c>
      <c r="AG152" s="1295"/>
      <c r="AH152" s="1295"/>
      <c r="AI152" s="1295"/>
      <c r="AJ152" s="1295"/>
      <c r="AK152" s="1295"/>
      <c r="AL152" s="1295"/>
      <c r="AM152" s="137"/>
      <c r="AN152" s="137"/>
      <c r="AO152" s="137"/>
      <c r="AP152" s="137"/>
      <c r="AQ152" s="137"/>
      <c r="AR152" s="137"/>
      <c r="AU152" s="1337" t="s">
        <v>918</v>
      </c>
      <c r="AV152" s="1337"/>
      <c r="AW152" s="1337"/>
      <c r="AX152" s="1337"/>
      <c r="AY152" s="1337"/>
      <c r="AZ152" s="1337"/>
      <c r="BA152" s="1337"/>
      <c r="BB152" s="1337"/>
      <c r="BC152" s="1295">
        <f>SUMIF('Naloxone Training Distribution'!BS15:BS4948,"&gt;=0")</f>
        <v>0</v>
      </c>
      <c r="BD152" s="1295"/>
      <c r="BE152" s="1295"/>
      <c r="BF152" s="1295"/>
      <c r="BG152" s="1295"/>
      <c r="BH152" s="1295"/>
      <c r="BI152" s="1295"/>
      <c r="BJ152" s="137"/>
      <c r="BK152" s="137"/>
      <c r="BL152" s="137"/>
      <c r="BM152" s="137"/>
      <c r="BN152" s="137"/>
      <c r="BO152" s="137"/>
    </row>
    <row r="153" spans="1:100" x14ac:dyDescent="0.25">
      <c r="A153" s="1337"/>
      <c r="B153" s="1337"/>
      <c r="C153" s="1337"/>
      <c r="D153" s="1337"/>
      <c r="E153" s="1337"/>
      <c r="F153" s="1337"/>
      <c r="G153" s="1337"/>
      <c r="H153" s="1337"/>
      <c r="I153" s="1295"/>
      <c r="J153" s="1295"/>
      <c r="K153" s="1295"/>
      <c r="L153" s="1295"/>
      <c r="M153" s="1295"/>
      <c r="N153" s="1295"/>
      <c r="O153" s="1295"/>
      <c r="P153" s="137"/>
      <c r="Q153" s="137"/>
      <c r="R153" s="137"/>
      <c r="S153" s="137"/>
      <c r="T153" s="137"/>
      <c r="U153" s="137"/>
      <c r="X153" s="1337"/>
      <c r="Y153" s="1337"/>
      <c r="Z153" s="1337"/>
      <c r="AA153" s="1337"/>
      <c r="AB153" s="1337"/>
      <c r="AC153" s="1337"/>
      <c r="AD153" s="1337"/>
      <c r="AE153" s="1337"/>
      <c r="AF153" s="1295"/>
      <c r="AG153" s="1295"/>
      <c r="AH153" s="1295"/>
      <c r="AI153" s="1295"/>
      <c r="AJ153" s="1295"/>
      <c r="AK153" s="1295"/>
      <c r="AL153" s="1295"/>
      <c r="AM153" s="137"/>
      <c r="AN153" s="137"/>
      <c r="AO153" s="137"/>
      <c r="AP153" s="137"/>
      <c r="AQ153" s="137"/>
      <c r="AR153" s="137"/>
      <c r="AU153" s="1337"/>
      <c r="AV153" s="1337"/>
      <c r="AW153" s="1337"/>
      <c r="AX153" s="1337"/>
      <c r="AY153" s="1337"/>
      <c r="AZ153" s="1337"/>
      <c r="BA153" s="1337"/>
      <c r="BB153" s="1337"/>
      <c r="BC153" s="1295"/>
      <c r="BD153" s="1295"/>
      <c r="BE153" s="1295"/>
      <c r="BF153" s="1295"/>
      <c r="BG153" s="1295"/>
      <c r="BH153" s="1295"/>
      <c r="BI153" s="1295"/>
      <c r="BJ153" s="137"/>
      <c r="BK153" s="137"/>
      <c r="BL153" s="137"/>
      <c r="BM153" s="137"/>
      <c r="BN153" s="137"/>
      <c r="BO153" s="137"/>
    </row>
    <row r="154" spans="1:100" x14ac:dyDescent="0.25">
      <c r="A154" s="1337"/>
      <c r="B154" s="1337"/>
      <c r="C154" s="1337"/>
      <c r="D154" s="1337"/>
      <c r="E154" s="1337"/>
      <c r="F154" s="1337"/>
      <c r="G154" s="1337"/>
      <c r="H154" s="1337"/>
      <c r="I154" s="1295"/>
      <c r="J154" s="1295"/>
      <c r="K154" s="1295"/>
      <c r="L154" s="1295"/>
      <c r="M154" s="1295"/>
      <c r="N154" s="1295"/>
      <c r="O154" s="1295"/>
      <c r="P154" s="137"/>
      <c r="Q154" s="137"/>
      <c r="R154" s="137"/>
      <c r="S154" s="137"/>
      <c r="T154" s="137"/>
      <c r="U154" s="137"/>
      <c r="X154" s="1337"/>
      <c r="Y154" s="1337"/>
      <c r="Z154" s="1337"/>
      <c r="AA154" s="1337"/>
      <c r="AB154" s="1337"/>
      <c r="AC154" s="1337"/>
      <c r="AD154" s="1337"/>
      <c r="AE154" s="1337"/>
      <c r="AF154" s="1295"/>
      <c r="AG154" s="1295"/>
      <c r="AH154" s="1295"/>
      <c r="AI154" s="1295"/>
      <c r="AJ154" s="1295"/>
      <c r="AK154" s="1295"/>
      <c r="AL154" s="1295"/>
      <c r="AM154" s="137"/>
      <c r="AN154" s="137"/>
      <c r="AO154" s="137"/>
      <c r="AP154" s="137"/>
      <c r="AQ154" s="137"/>
      <c r="AR154" s="137"/>
      <c r="AU154" s="1337"/>
      <c r="AV154" s="1337"/>
      <c r="AW154" s="1337"/>
      <c r="AX154" s="1337"/>
      <c r="AY154" s="1337"/>
      <c r="AZ154" s="1337"/>
      <c r="BA154" s="1337"/>
      <c r="BB154" s="1337"/>
      <c r="BC154" s="1295"/>
      <c r="BD154" s="1295"/>
      <c r="BE154" s="1295"/>
      <c r="BF154" s="1295"/>
      <c r="BG154" s="1295"/>
      <c r="BH154" s="1295"/>
      <c r="BI154" s="1295"/>
      <c r="BJ154" s="137"/>
      <c r="BK154" s="137"/>
      <c r="BL154" s="137"/>
      <c r="BM154" s="137"/>
      <c r="BN154" s="137"/>
      <c r="BO154" s="137"/>
    </row>
    <row r="155" spans="1:100" ht="15.75" x14ac:dyDescent="0.25">
      <c r="A155" s="1594" t="s">
        <v>390</v>
      </c>
      <c r="B155" s="1594"/>
      <c r="C155" s="1594"/>
      <c r="D155" s="1594"/>
      <c r="E155" s="1594"/>
      <c r="F155" s="1594"/>
      <c r="G155" s="1594"/>
      <c r="H155" s="1594"/>
      <c r="I155" s="1594">
        <f>SUM(I152:I154)</f>
        <v>11</v>
      </c>
      <c r="J155" s="1594"/>
      <c r="K155" s="1594"/>
      <c r="L155" s="1594"/>
      <c r="M155" s="1594"/>
      <c r="N155" s="1594"/>
      <c r="O155" s="1594"/>
      <c r="P155" s="137"/>
      <c r="Q155" s="137"/>
      <c r="R155" s="137"/>
      <c r="S155" s="137"/>
      <c r="T155" s="137"/>
      <c r="U155" s="137"/>
      <c r="X155" s="1594" t="s">
        <v>390</v>
      </c>
      <c r="Y155" s="1594"/>
      <c r="Z155" s="1594"/>
      <c r="AA155" s="1594"/>
      <c r="AB155" s="1594"/>
      <c r="AC155" s="1594"/>
      <c r="AD155" s="1594"/>
      <c r="AE155" s="1594"/>
      <c r="AF155" s="1594">
        <f>SUM(AF152:AF154)</f>
        <v>100</v>
      </c>
      <c r="AG155" s="1594"/>
      <c r="AH155" s="1594"/>
      <c r="AI155" s="1594"/>
      <c r="AJ155" s="1594"/>
      <c r="AK155" s="1594"/>
      <c r="AL155" s="1594"/>
      <c r="AM155" s="137"/>
      <c r="AN155" s="137"/>
      <c r="AO155" s="137"/>
      <c r="AP155" s="137"/>
      <c r="AQ155" s="137"/>
      <c r="AR155" s="137"/>
      <c r="AU155" s="1594" t="s">
        <v>390</v>
      </c>
      <c r="AV155" s="1594"/>
      <c r="AW155" s="1594"/>
      <c r="AX155" s="1594"/>
      <c r="AY155" s="1594"/>
      <c r="AZ155" s="1594"/>
      <c r="BA155" s="1594"/>
      <c r="BB155" s="1594"/>
      <c r="BC155" s="1594">
        <f>SUM(BC152:BC154)</f>
        <v>0</v>
      </c>
      <c r="BD155" s="1594"/>
      <c r="BE155" s="1594"/>
      <c r="BF155" s="1594"/>
      <c r="BG155" s="1594"/>
      <c r="BH155" s="1594"/>
      <c r="BI155" s="1594"/>
      <c r="BJ155" s="137"/>
      <c r="BK155" s="137"/>
      <c r="BL155" s="137"/>
      <c r="BM155" s="137"/>
      <c r="BN155" s="137"/>
      <c r="BO155" s="137"/>
    </row>
    <row r="156" spans="1:100" ht="15.75" x14ac:dyDescent="0.25">
      <c r="A156" s="314"/>
      <c r="B156" s="314"/>
      <c r="C156" s="314"/>
      <c r="D156" s="314"/>
      <c r="E156" s="314"/>
      <c r="F156" s="314"/>
      <c r="G156" s="314"/>
      <c r="H156" s="314"/>
      <c r="I156" s="314"/>
      <c r="J156" s="314"/>
      <c r="K156" s="314"/>
      <c r="L156" s="314"/>
      <c r="M156" s="314"/>
      <c r="N156" s="314"/>
      <c r="O156" s="314"/>
      <c r="P156" s="137"/>
      <c r="Q156" s="137"/>
      <c r="R156" s="137"/>
      <c r="S156" s="137"/>
      <c r="T156" s="137"/>
      <c r="U156" s="137"/>
      <c r="X156" s="314"/>
      <c r="Y156" s="314"/>
      <c r="Z156" s="314"/>
      <c r="AA156" s="314"/>
      <c r="AB156" s="314"/>
      <c r="AC156" s="314"/>
      <c r="AD156" s="314"/>
      <c r="AE156" s="314"/>
      <c r="AF156" s="314"/>
      <c r="AG156" s="314"/>
      <c r="AH156" s="314"/>
      <c r="AI156" s="314"/>
      <c r="AJ156" s="314"/>
      <c r="AK156" s="314"/>
      <c r="AL156" s="314"/>
      <c r="AM156" s="137"/>
      <c r="AN156" s="137"/>
      <c r="AO156" s="137"/>
      <c r="AP156" s="137"/>
      <c r="AQ156" s="137"/>
      <c r="AR156" s="137"/>
      <c r="AU156" s="314"/>
      <c r="AV156" s="314"/>
      <c r="AW156" s="314"/>
      <c r="AX156" s="314"/>
      <c r="AY156" s="314"/>
      <c r="AZ156" s="314"/>
      <c r="BA156" s="314"/>
      <c r="BB156" s="314"/>
      <c r="BC156" s="314"/>
      <c r="BD156" s="314"/>
      <c r="BE156" s="314"/>
      <c r="BF156" s="314"/>
      <c r="BG156" s="314"/>
      <c r="BH156" s="314"/>
      <c r="BI156" s="314"/>
      <c r="BJ156" s="137"/>
      <c r="BK156" s="137"/>
      <c r="BL156" s="137"/>
      <c r="BM156" s="137"/>
      <c r="BN156" s="137"/>
      <c r="BO156" s="137"/>
    </row>
    <row r="157" spans="1:100" ht="15.75" x14ac:dyDescent="0.25">
      <c r="A157" s="315"/>
      <c r="B157" s="315"/>
      <c r="C157" s="315"/>
      <c r="D157" s="315"/>
      <c r="E157" s="315"/>
      <c r="F157" s="315"/>
      <c r="G157" s="315"/>
      <c r="H157" s="315"/>
      <c r="I157" s="315"/>
      <c r="J157" s="315"/>
      <c r="K157" s="315"/>
      <c r="L157" s="315"/>
      <c r="M157" s="315"/>
      <c r="N157" s="315"/>
      <c r="O157" s="315"/>
      <c r="X157" s="315"/>
      <c r="Y157" s="315"/>
      <c r="Z157" s="315"/>
      <c r="AA157" s="315"/>
      <c r="AB157" s="315"/>
      <c r="AC157" s="315"/>
      <c r="AD157" s="315"/>
      <c r="AE157" s="315"/>
      <c r="AF157" s="315"/>
      <c r="AG157" s="315"/>
      <c r="AH157" s="315"/>
      <c r="AI157" s="315"/>
      <c r="AJ157" s="315"/>
      <c r="AK157" s="315"/>
      <c r="AL157" s="315"/>
      <c r="AU157" s="315"/>
      <c r="AV157" s="315"/>
      <c r="AW157" s="315"/>
      <c r="AX157" s="315"/>
      <c r="AY157" s="315"/>
      <c r="AZ157" s="315"/>
      <c r="BA157" s="315"/>
      <c r="BB157" s="315"/>
      <c r="BC157" s="315"/>
      <c r="BD157" s="315"/>
      <c r="BE157" s="315"/>
      <c r="BF157" s="315"/>
      <c r="BG157" s="315"/>
      <c r="BH157" s="315"/>
      <c r="BI157" s="315"/>
    </row>
    <row r="158" spans="1:100" ht="30" customHeight="1" x14ac:dyDescent="0.25">
      <c r="A158" s="1346" t="s">
        <v>925</v>
      </c>
      <c r="B158" s="1346"/>
      <c r="C158" s="1346"/>
      <c r="D158" s="1346"/>
      <c r="E158" s="1346"/>
      <c r="F158" s="1346"/>
      <c r="G158" s="1346"/>
      <c r="H158" s="1346"/>
      <c r="I158" s="1346"/>
      <c r="J158" s="1346"/>
      <c r="K158" s="1346"/>
      <c r="L158" s="1346"/>
      <c r="M158" s="1346"/>
      <c r="N158" s="1346"/>
      <c r="O158" s="1346"/>
      <c r="P158" s="1346"/>
      <c r="Q158" s="1346"/>
      <c r="R158" s="1346"/>
      <c r="S158" s="1346"/>
      <c r="T158" s="1346"/>
      <c r="U158" s="1346"/>
      <c r="V158" s="1346"/>
      <c r="W158" s="1346"/>
      <c r="X158" s="1346"/>
      <c r="Y158" s="1346"/>
      <c r="Z158" s="1346"/>
      <c r="AA158" s="1346"/>
      <c r="AB158" s="1346"/>
      <c r="AG158" s="1347" t="s">
        <v>934</v>
      </c>
      <c r="AH158" s="1347"/>
      <c r="AI158" s="1347"/>
      <c r="AJ158" s="1347"/>
      <c r="AK158" s="1347"/>
      <c r="AL158" s="1347"/>
      <c r="AM158" s="1347"/>
      <c r="AN158" s="1347"/>
      <c r="AO158" s="1347"/>
      <c r="AP158" s="1347"/>
      <c r="AQ158" s="1347"/>
      <c r="AR158" s="1347"/>
      <c r="AS158" s="1347"/>
      <c r="AT158" s="1347"/>
      <c r="AU158" s="1347"/>
      <c r="AV158" s="1347"/>
      <c r="AW158" s="1347"/>
      <c r="BA158" s="1347" t="s">
        <v>901</v>
      </c>
      <c r="BB158" s="1347"/>
      <c r="BC158" s="1347"/>
      <c r="BD158" s="1347"/>
      <c r="BE158" s="1347"/>
      <c r="BF158" s="1347"/>
      <c r="BG158" s="1347"/>
      <c r="BH158" s="1347"/>
      <c r="BI158" s="1347"/>
      <c r="BJ158" s="1347"/>
      <c r="BK158" s="1347"/>
      <c r="BL158" s="1347"/>
      <c r="BM158" s="1347"/>
      <c r="BN158" s="1347"/>
      <c r="BO158" s="1347"/>
      <c r="BP158" s="1347"/>
      <c r="BQ158" s="1347"/>
    </row>
    <row r="159" spans="1:100" ht="30" customHeight="1" x14ac:dyDescent="0.25">
      <c r="A159" s="1620" t="s">
        <v>810</v>
      </c>
      <c r="B159" s="1620"/>
      <c r="C159" s="1620"/>
      <c r="D159" s="1620"/>
      <c r="E159" s="1620"/>
      <c r="F159" s="1620"/>
      <c r="G159" s="1620"/>
      <c r="H159" s="1620"/>
      <c r="I159" s="1620" t="s">
        <v>803</v>
      </c>
      <c r="J159" s="1620"/>
      <c r="K159" s="1620"/>
      <c r="L159" s="1620"/>
      <c r="M159" s="1615" t="s">
        <v>804</v>
      </c>
      <c r="N159" s="1615"/>
      <c r="O159" s="1615"/>
      <c r="P159" s="1615"/>
      <c r="Q159" s="1615"/>
      <c r="R159" s="1616" t="s">
        <v>805</v>
      </c>
      <c r="S159" s="1617"/>
      <c r="T159" s="1617"/>
      <c r="U159" s="1617"/>
      <c r="V159" s="1618"/>
      <c r="W159" s="1344" t="s">
        <v>924</v>
      </c>
      <c r="X159" s="1345"/>
      <c r="Y159" s="1345"/>
      <c r="Z159" s="1345"/>
      <c r="AA159" s="1345"/>
      <c r="AB159" s="1345"/>
      <c r="AG159" s="1624" t="s">
        <v>901</v>
      </c>
      <c r="AH159" s="1624"/>
      <c r="AI159" s="1624"/>
      <c r="AJ159" s="1624"/>
      <c r="AK159" s="1624"/>
      <c r="AL159" s="1624"/>
      <c r="AM159" s="1624"/>
      <c r="AN159" s="1624"/>
      <c r="AO159" s="1624"/>
      <c r="AP159" s="1624"/>
      <c r="AQ159" s="1624"/>
      <c r="AR159" s="1624"/>
      <c r="AS159" s="1624"/>
      <c r="AT159" s="1624"/>
      <c r="AU159" s="1624"/>
      <c r="AV159" s="1624"/>
      <c r="AW159" s="1624"/>
      <c r="BA159" s="1348" t="s">
        <v>901</v>
      </c>
      <c r="BB159" s="1348"/>
      <c r="BC159" s="1348"/>
      <c r="BD159" s="1348"/>
      <c r="BE159" s="1348"/>
      <c r="BF159" s="1348"/>
      <c r="BG159" s="1348"/>
      <c r="BH159" s="1348"/>
      <c r="BI159" s="1348"/>
      <c r="BJ159" s="1348"/>
      <c r="BK159" s="1348"/>
      <c r="BL159" s="1348"/>
      <c r="BM159" s="1348"/>
      <c r="BN159" s="1348"/>
      <c r="BO159" s="1348"/>
      <c r="BP159" s="1348"/>
      <c r="BQ159" s="1348"/>
    </row>
    <row r="160" spans="1:100" x14ac:dyDescent="0.25">
      <c r="A160" s="1619" t="s">
        <v>811</v>
      </c>
      <c r="B160" s="1619"/>
      <c r="C160" s="1619"/>
      <c r="D160" s="1619"/>
      <c r="E160" s="1619"/>
      <c r="F160" s="1619"/>
      <c r="G160" s="1619"/>
      <c r="H160" s="1619"/>
      <c r="I160" s="1585">
        <f>'GRANTEE SET UP INFO &amp; DATE '!C11</f>
        <v>0</v>
      </c>
      <c r="J160" s="1585"/>
      <c r="K160" s="1585"/>
      <c r="L160" s="1585"/>
      <c r="M160" s="1592">
        <f>'GRANTEE SET UP INFO &amp; DATE '!F11</f>
        <v>0</v>
      </c>
      <c r="N160" s="1592"/>
      <c r="O160" s="1592"/>
      <c r="P160" s="1592"/>
      <c r="Q160" s="1592"/>
      <c r="R160" s="1591">
        <f>'GRANTEE SET UP INFO &amp; DATE '!J11</f>
        <v>0</v>
      </c>
      <c r="S160" s="1591"/>
      <c r="T160" s="1591"/>
      <c r="U160" s="1591"/>
      <c r="V160" s="1591"/>
      <c r="W160" s="1306">
        <f>'GRANTEE SET UP INFO &amp; DATE '!N11</f>
        <v>0</v>
      </c>
      <c r="X160" s="468"/>
      <c r="Y160" s="468"/>
      <c r="Z160" s="468"/>
      <c r="AA160" s="468"/>
      <c r="AB160" s="468"/>
      <c r="AG160" s="468" t="s">
        <v>811</v>
      </c>
      <c r="AH160" s="468"/>
      <c r="AI160" s="468"/>
      <c r="AJ160" s="468"/>
      <c r="AK160" s="468"/>
      <c r="AL160" s="468"/>
      <c r="AM160" s="468"/>
      <c r="AN160" s="468"/>
      <c r="AO160" s="468"/>
      <c r="AP160" s="468"/>
      <c r="AQ160" s="1295">
        <f>COUNTIFS('Naloxone Training Distribution'!X15:X5000,"YES")</f>
        <v>0</v>
      </c>
      <c r="AR160" s="1295"/>
      <c r="AS160" s="1295"/>
      <c r="AT160" s="1295"/>
      <c r="AU160" s="1295"/>
      <c r="AV160" s="1295"/>
      <c r="AW160" s="1295"/>
      <c r="BA160" s="468" t="s">
        <v>820</v>
      </c>
      <c r="BB160" s="468"/>
      <c r="BC160" s="468"/>
      <c r="BD160" s="468"/>
      <c r="BE160" s="468"/>
      <c r="BF160" s="468"/>
      <c r="BG160" s="468"/>
      <c r="BH160" s="468"/>
      <c r="BI160" s="468"/>
      <c r="BJ160" s="468"/>
      <c r="BK160" s="1295">
        <f>COUNTIFS('Naloxone Training Distribution'!AJ15:AJ5000,"YES")</f>
        <v>0</v>
      </c>
      <c r="BL160" s="1295"/>
      <c r="BM160" s="1295"/>
      <c r="BN160" s="1295"/>
      <c r="BO160" s="1295"/>
      <c r="BP160" s="1295"/>
      <c r="BQ160" s="1295"/>
    </row>
    <row r="161" spans="1:100" x14ac:dyDescent="0.25">
      <c r="A161" s="1619" t="s">
        <v>812</v>
      </c>
      <c r="B161" s="1619"/>
      <c r="C161" s="1619"/>
      <c r="D161" s="1619"/>
      <c r="E161" s="1619"/>
      <c r="F161" s="1619"/>
      <c r="G161" s="1619"/>
      <c r="H161" s="1619"/>
      <c r="I161" s="1585">
        <f>'GRANTEE SET UP INFO &amp; DATE '!C12</f>
        <v>0</v>
      </c>
      <c r="J161" s="1585"/>
      <c r="K161" s="1585"/>
      <c r="L161" s="1585"/>
      <c r="M161" s="1592">
        <f>'GRANTEE SET UP INFO &amp; DATE '!F12</f>
        <v>0</v>
      </c>
      <c r="N161" s="1592"/>
      <c r="O161" s="1592"/>
      <c r="P161" s="1592"/>
      <c r="Q161" s="1592"/>
      <c r="R161" s="1591">
        <f>'GRANTEE SET UP INFO &amp; DATE '!J12</f>
        <v>0</v>
      </c>
      <c r="S161" s="1591"/>
      <c r="T161" s="1591"/>
      <c r="U161" s="1591"/>
      <c r="V161" s="1591"/>
      <c r="W161" s="1306">
        <f>'GRANTEE SET UP INFO &amp; DATE '!N12</f>
        <v>0</v>
      </c>
      <c r="X161" s="468"/>
      <c r="Y161" s="468"/>
      <c r="Z161" s="468"/>
      <c r="AA161" s="468"/>
      <c r="AB161" s="468"/>
      <c r="AG161" s="468" t="s">
        <v>812</v>
      </c>
      <c r="AH161" s="468"/>
      <c r="AI161" s="468"/>
      <c r="AJ161" s="468"/>
      <c r="AK161" s="468"/>
      <c r="AL161" s="468"/>
      <c r="AM161" s="468"/>
      <c r="AN161" s="468"/>
      <c r="AO161" s="468"/>
      <c r="AP161" s="468"/>
      <c r="AQ161" s="1295">
        <f>COUNTIFS('Naloxone Training Distribution'!Y15:Y5000,"YES")</f>
        <v>0</v>
      </c>
      <c r="AR161" s="1295"/>
      <c r="AS161" s="1295"/>
      <c r="AT161" s="1295"/>
      <c r="AU161" s="1295"/>
      <c r="AV161" s="1295"/>
      <c r="AW161" s="1295"/>
      <c r="BA161" s="468" t="s">
        <v>240</v>
      </c>
      <c r="BB161" s="468"/>
      <c r="BC161" s="468"/>
      <c r="BD161" s="468"/>
      <c r="BE161" s="468"/>
      <c r="BF161" s="468"/>
      <c r="BG161" s="468"/>
      <c r="BH161" s="468"/>
      <c r="BI161" s="468"/>
      <c r="BJ161" s="468"/>
      <c r="BK161" s="1295">
        <f>COUNTIFS('Naloxone Training Distribution'!AK15:AK5000,"YES")</f>
        <v>0</v>
      </c>
      <c r="BL161" s="1295"/>
      <c r="BM161" s="1295"/>
      <c r="BN161" s="1295"/>
      <c r="BO161" s="1295"/>
      <c r="BP161" s="1295"/>
      <c r="BQ161" s="1295"/>
    </row>
    <row r="162" spans="1:100" x14ac:dyDescent="0.25">
      <c r="A162" s="1619" t="s">
        <v>813</v>
      </c>
      <c r="B162" s="1619"/>
      <c r="C162" s="1619"/>
      <c r="D162" s="1619"/>
      <c r="E162" s="1619"/>
      <c r="F162" s="1619"/>
      <c r="G162" s="1619"/>
      <c r="H162" s="1619"/>
      <c r="I162" s="1585">
        <f>'GRANTEE SET UP INFO &amp; DATE '!C13</f>
        <v>0</v>
      </c>
      <c r="J162" s="1585"/>
      <c r="K162" s="1585"/>
      <c r="L162" s="1585"/>
      <c r="M162" s="1592">
        <f>'GRANTEE SET UP INFO &amp; DATE '!F13</f>
        <v>0</v>
      </c>
      <c r="N162" s="1592"/>
      <c r="O162" s="1592"/>
      <c r="P162" s="1592"/>
      <c r="Q162" s="1592"/>
      <c r="R162" s="1591">
        <f>'GRANTEE SET UP INFO &amp; DATE '!J13</f>
        <v>0</v>
      </c>
      <c r="S162" s="1591"/>
      <c r="T162" s="1591"/>
      <c r="U162" s="1591"/>
      <c r="V162" s="1591"/>
      <c r="W162" s="1306">
        <f>'GRANTEE SET UP INFO &amp; DATE '!N13</f>
        <v>0</v>
      </c>
      <c r="X162" s="468"/>
      <c r="Y162" s="468"/>
      <c r="Z162" s="468"/>
      <c r="AA162" s="468"/>
      <c r="AB162" s="468"/>
      <c r="AG162" s="468" t="s">
        <v>813</v>
      </c>
      <c r="AH162" s="468"/>
      <c r="AI162" s="468"/>
      <c r="AJ162" s="468"/>
      <c r="AK162" s="468"/>
      <c r="AL162" s="468"/>
      <c r="AM162" s="468"/>
      <c r="AN162" s="468"/>
      <c r="AO162" s="468"/>
      <c r="AP162" s="468"/>
      <c r="AQ162" s="1295">
        <f>COUNTIFS('Naloxone Training Distribution'!Z15:Z5000,"YES")</f>
        <v>0</v>
      </c>
      <c r="AR162" s="1295"/>
      <c r="AS162" s="1295"/>
      <c r="AT162" s="1295"/>
      <c r="AU162" s="1295"/>
      <c r="AV162" s="1295"/>
      <c r="AW162" s="1295"/>
      <c r="BA162" s="468" t="s">
        <v>241</v>
      </c>
      <c r="BB162" s="468"/>
      <c r="BC162" s="468"/>
      <c r="BD162" s="468"/>
      <c r="BE162" s="468"/>
      <c r="BF162" s="468"/>
      <c r="BG162" s="468"/>
      <c r="BH162" s="468"/>
      <c r="BI162" s="468"/>
      <c r="BJ162" s="468"/>
      <c r="BK162" s="1295">
        <f>COUNTIFS('Naloxone Training Distribution'!AL15:AL5000,"YES")</f>
        <v>0</v>
      </c>
      <c r="BL162" s="1295"/>
      <c r="BM162" s="1295"/>
      <c r="BN162" s="1295"/>
      <c r="BO162" s="1295"/>
      <c r="BP162" s="1295"/>
      <c r="BQ162" s="1295"/>
    </row>
    <row r="163" spans="1:100" x14ac:dyDescent="0.25">
      <c r="A163" s="1619" t="s">
        <v>814</v>
      </c>
      <c r="B163" s="1619"/>
      <c r="C163" s="1619"/>
      <c r="D163" s="1619"/>
      <c r="E163" s="1619"/>
      <c r="F163" s="1619"/>
      <c r="G163" s="1619"/>
      <c r="H163" s="1619"/>
      <c r="I163" s="1585">
        <f>'GRANTEE SET UP INFO &amp; DATE '!C14</f>
        <v>0</v>
      </c>
      <c r="J163" s="1585"/>
      <c r="K163" s="1585"/>
      <c r="L163" s="1585"/>
      <c r="M163" s="1592">
        <f>'GRANTEE SET UP INFO &amp; DATE '!F14</f>
        <v>0</v>
      </c>
      <c r="N163" s="1592"/>
      <c r="O163" s="1592"/>
      <c r="P163" s="1592"/>
      <c r="Q163" s="1592"/>
      <c r="R163" s="1591">
        <f>'GRANTEE SET UP INFO &amp; DATE '!J14</f>
        <v>0</v>
      </c>
      <c r="S163" s="1591"/>
      <c r="T163" s="1591"/>
      <c r="U163" s="1591"/>
      <c r="V163" s="1591"/>
      <c r="W163" s="1306">
        <f>'GRANTEE SET UP INFO &amp; DATE '!N14</f>
        <v>0</v>
      </c>
      <c r="X163" s="468"/>
      <c r="Y163" s="468"/>
      <c r="Z163" s="468"/>
      <c r="AA163" s="468"/>
      <c r="AB163" s="468"/>
      <c r="AG163" s="468" t="s">
        <v>814</v>
      </c>
      <c r="AH163" s="468"/>
      <c r="AI163" s="468"/>
      <c r="AJ163" s="468"/>
      <c r="AK163" s="468"/>
      <c r="AL163" s="468"/>
      <c r="AM163" s="468"/>
      <c r="AN163" s="468"/>
      <c r="AO163" s="468"/>
      <c r="AP163" s="468"/>
      <c r="AQ163" s="1295">
        <f>COUNTIFS('Naloxone Training Distribution'!AA15:AA5000,"YES")</f>
        <v>0</v>
      </c>
      <c r="AR163" s="1295"/>
      <c r="AS163" s="1295"/>
      <c r="AT163" s="1295"/>
      <c r="AU163" s="1295"/>
      <c r="AV163" s="1295"/>
      <c r="AW163" s="1295"/>
      <c r="BA163" s="468" t="s">
        <v>247</v>
      </c>
      <c r="BB163" s="468"/>
      <c r="BC163" s="468"/>
      <c r="BD163" s="468"/>
      <c r="BE163" s="468"/>
      <c r="BF163" s="468"/>
      <c r="BG163" s="468"/>
      <c r="BH163" s="468"/>
      <c r="BI163" s="468"/>
      <c r="BJ163" s="468"/>
      <c r="BK163" s="1295">
        <f>COUNTIFS('Naloxone Training Distribution'!AM15:AM5000,"YES")</f>
        <v>0</v>
      </c>
      <c r="BL163" s="1295"/>
      <c r="BM163" s="1295"/>
      <c r="BN163" s="1295"/>
      <c r="BO163" s="1295"/>
      <c r="BP163" s="1295"/>
      <c r="BQ163" s="1295"/>
    </row>
    <row r="164" spans="1:100" x14ac:dyDescent="0.25">
      <c r="A164" s="1619" t="s">
        <v>815</v>
      </c>
      <c r="B164" s="1619"/>
      <c r="C164" s="1619"/>
      <c r="D164" s="1619"/>
      <c r="E164" s="1619"/>
      <c r="F164" s="1619"/>
      <c r="G164" s="1619"/>
      <c r="H164" s="1619"/>
      <c r="I164" s="1585">
        <f>'GRANTEE SET UP INFO &amp; DATE '!C15</f>
        <v>0</v>
      </c>
      <c r="J164" s="1585"/>
      <c r="K164" s="1585"/>
      <c r="L164" s="1585"/>
      <c r="M164" s="1592">
        <f>'GRANTEE SET UP INFO &amp; DATE '!F15</f>
        <v>0</v>
      </c>
      <c r="N164" s="1592"/>
      <c r="O164" s="1592"/>
      <c r="P164" s="1592"/>
      <c r="Q164" s="1592"/>
      <c r="R164" s="1591">
        <f>'GRANTEE SET UP INFO &amp; DATE '!J15</f>
        <v>0</v>
      </c>
      <c r="S164" s="1591"/>
      <c r="T164" s="1591"/>
      <c r="U164" s="1591"/>
      <c r="V164" s="1591"/>
      <c r="W164" s="1306">
        <f>'GRANTEE SET UP INFO &amp; DATE '!N15</f>
        <v>0</v>
      </c>
      <c r="X164" s="468"/>
      <c r="Y164" s="468"/>
      <c r="Z164" s="468"/>
      <c r="AA164" s="468"/>
      <c r="AB164" s="468"/>
      <c r="AG164" s="468" t="s">
        <v>815</v>
      </c>
      <c r="AH164" s="468"/>
      <c r="AI164" s="468"/>
      <c r="AJ164" s="468"/>
      <c r="AK164" s="468"/>
      <c r="AL164" s="468"/>
      <c r="AM164" s="468"/>
      <c r="AN164" s="468"/>
      <c r="AO164" s="468"/>
      <c r="AP164" s="468"/>
      <c r="AQ164" s="1295">
        <f>COUNTIFS('Naloxone Training Distribution'!AB15:AB5000,"YES")</f>
        <v>0</v>
      </c>
      <c r="AR164" s="1295"/>
      <c r="AS164" s="1295"/>
      <c r="AT164" s="1295"/>
      <c r="AU164" s="1295"/>
      <c r="AV164" s="1295"/>
      <c r="AW164" s="1295"/>
      <c r="BA164" s="468" t="s">
        <v>242</v>
      </c>
      <c r="BB164" s="468"/>
      <c r="BC164" s="468"/>
      <c r="BD164" s="468"/>
      <c r="BE164" s="468"/>
      <c r="BF164" s="468"/>
      <c r="BG164" s="468"/>
      <c r="BH164" s="468"/>
      <c r="BI164" s="468"/>
      <c r="BJ164" s="468"/>
      <c r="BK164" s="1295">
        <f>COUNTIFS('Naloxone Training Distribution'!AN15:AN5000,"YES")</f>
        <v>0</v>
      </c>
      <c r="BL164" s="1295"/>
      <c r="BM164" s="1295"/>
      <c r="BN164" s="1295"/>
      <c r="BO164" s="1295"/>
      <c r="BP164" s="1295"/>
      <c r="BQ164" s="1295"/>
    </row>
    <row r="165" spans="1:100" x14ac:dyDescent="0.25">
      <c r="A165" s="1619" t="s">
        <v>816</v>
      </c>
      <c r="B165" s="1619"/>
      <c r="C165" s="1619"/>
      <c r="D165" s="1619"/>
      <c r="E165" s="1619"/>
      <c r="F165" s="1619"/>
      <c r="G165" s="1619"/>
      <c r="H165" s="1619"/>
      <c r="I165" s="1585">
        <f>'GRANTEE SET UP INFO &amp; DATE '!C16</f>
        <v>0</v>
      </c>
      <c r="J165" s="1585"/>
      <c r="K165" s="1585"/>
      <c r="L165" s="1585"/>
      <c r="M165" s="1592">
        <f>'GRANTEE SET UP INFO &amp; DATE '!F16</f>
        <v>0</v>
      </c>
      <c r="N165" s="1592"/>
      <c r="O165" s="1592"/>
      <c r="P165" s="1592"/>
      <c r="Q165" s="1592"/>
      <c r="R165" s="1591">
        <f>'GRANTEE SET UP INFO &amp; DATE '!J16</f>
        <v>0</v>
      </c>
      <c r="S165" s="1591"/>
      <c r="T165" s="1591"/>
      <c r="U165" s="1591"/>
      <c r="V165" s="1591"/>
      <c r="W165" s="1306">
        <f>'GRANTEE SET UP INFO &amp; DATE '!N16</f>
        <v>0</v>
      </c>
      <c r="X165" s="468"/>
      <c r="Y165" s="468"/>
      <c r="Z165" s="468"/>
      <c r="AA165" s="468"/>
      <c r="AB165" s="468"/>
      <c r="AG165" s="468" t="s">
        <v>816</v>
      </c>
      <c r="AH165" s="468"/>
      <c r="AI165" s="468"/>
      <c r="AJ165" s="468"/>
      <c r="AK165" s="468"/>
      <c r="AL165" s="468"/>
      <c r="AM165" s="468"/>
      <c r="AN165" s="468"/>
      <c r="AO165" s="468"/>
      <c r="AP165" s="468"/>
      <c r="AQ165" s="1295">
        <f>COUNTIFS('Naloxone Training Distribution'!AC15:AC5000,"YES")</f>
        <v>0</v>
      </c>
      <c r="AR165" s="1295"/>
      <c r="AS165" s="1295"/>
      <c r="AT165" s="1295"/>
      <c r="AU165" s="1295"/>
      <c r="AV165" s="1295"/>
      <c r="AW165" s="1295"/>
      <c r="BA165" s="468" t="s">
        <v>243</v>
      </c>
      <c r="BB165" s="468"/>
      <c r="BC165" s="468"/>
      <c r="BD165" s="468"/>
      <c r="BE165" s="468"/>
      <c r="BF165" s="468"/>
      <c r="BG165" s="468"/>
      <c r="BH165" s="468"/>
      <c r="BI165" s="468"/>
      <c r="BJ165" s="468"/>
      <c r="BK165" s="1295">
        <f>COUNTIFS('Naloxone Training Distribution'!AO15:AO5000,"YES")</f>
        <v>0</v>
      </c>
      <c r="BL165" s="1295"/>
      <c r="BM165" s="1295"/>
      <c r="BN165" s="1295"/>
      <c r="BO165" s="1295"/>
      <c r="BP165" s="1295"/>
      <c r="BQ165" s="1295"/>
    </row>
    <row r="166" spans="1:100" x14ac:dyDescent="0.25">
      <c r="A166" s="1619" t="s">
        <v>817</v>
      </c>
      <c r="B166" s="1619"/>
      <c r="C166" s="1619"/>
      <c r="D166" s="1619"/>
      <c r="E166" s="1619"/>
      <c r="F166" s="1619"/>
      <c r="G166" s="1619"/>
      <c r="H166" s="1619"/>
      <c r="I166" s="1585">
        <f>'GRANTEE SET UP INFO &amp; DATE '!C17</f>
        <v>0</v>
      </c>
      <c r="J166" s="1585"/>
      <c r="K166" s="1585"/>
      <c r="L166" s="1585"/>
      <c r="M166" s="1592">
        <f>'GRANTEE SET UP INFO &amp; DATE '!F17</f>
        <v>0</v>
      </c>
      <c r="N166" s="1592"/>
      <c r="O166" s="1592"/>
      <c r="P166" s="1592"/>
      <c r="Q166" s="1592"/>
      <c r="R166" s="1591">
        <f>'GRANTEE SET UP INFO &amp; DATE '!J17</f>
        <v>0</v>
      </c>
      <c r="S166" s="1591"/>
      <c r="T166" s="1591"/>
      <c r="U166" s="1591"/>
      <c r="V166" s="1591"/>
      <c r="W166" s="1306">
        <f>'GRANTEE SET UP INFO &amp; DATE '!N17</f>
        <v>0</v>
      </c>
      <c r="X166" s="468"/>
      <c r="Y166" s="468"/>
      <c r="Z166" s="468"/>
      <c r="AA166" s="468"/>
      <c r="AB166" s="468"/>
      <c r="AG166" s="468" t="s">
        <v>817</v>
      </c>
      <c r="AH166" s="468"/>
      <c r="AI166" s="468"/>
      <c r="AJ166" s="468"/>
      <c r="AK166" s="468"/>
      <c r="AL166" s="468"/>
      <c r="AM166" s="468"/>
      <c r="AN166" s="468"/>
      <c r="AO166" s="468"/>
      <c r="AP166" s="468"/>
      <c r="AQ166" s="1295">
        <f>COUNTIFS('Naloxone Training Distribution'!AD15:AD5000,"YES")</f>
        <v>0</v>
      </c>
      <c r="AR166" s="1295"/>
      <c r="AS166" s="1295"/>
      <c r="AT166" s="1295"/>
      <c r="AU166" s="1295"/>
      <c r="AV166" s="1295"/>
      <c r="AW166" s="1295"/>
      <c r="BA166" s="468" t="s">
        <v>244</v>
      </c>
      <c r="BB166" s="468"/>
      <c r="BC166" s="468"/>
      <c r="BD166" s="468"/>
      <c r="BE166" s="468"/>
      <c r="BF166" s="468"/>
      <c r="BG166" s="468"/>
      <c r="BH166" s="468"/>
      <c r="BI166" s="468"/>
      <c r="BJ166" s="468"/>
      <c r="BK166" s="1295">
        <f>COUNTIFS('Naloxone Training Distribution'!AP15:AP5000,"YES")</f>
        <v>0</v>
      </c>
      <c r="BL166" s="1295"/>
      <c r="BM166" s="1295"/>
      <c r="BN166" s="1295"/>
      <c r="BO166" s="1295"/>
      <c r="BP166" s="1295"/>
      <c r="BQ166" s="1295"/>
    </row>
    <row r="167" spans="1:100" x14ac:dyDescent="0.25">
      <c r="A167" s="1619" t="s">
        <v>818</v>
      </c>
      <c r="B167" s="1619"/>
      <c r="C167" s="1619"/>
      <c r="D167" s="1619"/>
      <c r="E167" s="1619"/>
      <c r="F167" s="1619"/>
      <c r="G167" s="1619"/>
      <c r="H167" s="1619"/>
      <c r="I167" s="1585">
        <f>'GRANTEE SET UP INFO &amp; DATE '!C18</f>
        <v>0</v>
      </c>
      <c r="J167" s="1585"/>
      <c r="K167" s="1585"/>
      <c r="L167" s="1585"/>
      <c r="M167" s="1592">
        <f>'GRANTEE SET UP INFO &amp; DATE '!F18</f>
        <v>0</v>
      </c>
      <c r="N167" s="1592"/>
      <c r="O167" s="1592"/>
      <c r="P167" s="1592"/>
      <c r="Q167" s="1592"/>
      <c r="R167" s="1591">
        <f>'GRANTEE SET UP INFO &amp; DATE '!J18</f>
        <v>0</v>
      </c>
      <c r="S167" s="1591"/>
      <c r="T167" s="1591"/>
      <c r="U167" s="1591"/>
      <c r="V167" s="1591"/>
      <c r="W167" s="1306">
        <f>'GRANTEE SET UP INFO &amp; DATE '!N18</f>
        <v>0</v>
      </c>
      <c r="X167" s="468"/>
      <c r="Y167" s="468"/>
      <c r="Z167" s="468"/>
      <c r="AA167" s="468"/>
      <c r="AB167" s="468"/>
      <c r="AG167" s="468" t="s">
        <v>818</v>
      </c>
      <c r="AH167" s="468"/>
      <c r="AI167" s="468"/>
      <c r="AJ167" s="468"/>
      <c r="AK167" s="468"/>
      <c r="AL167" s="468"/>
      <c r="AM167" s="468"/>
      <c r="AN167" s="468"/>
      <c r="AO167" s="468"/>
      <c r="AP167" s="468"/>
      <c r="AQ167" s="1295">
        <f>COUNTIFS('Naloxone Training Distribution'!AE15:AE5000,"YES")</f>
        <v>0</v>
      </c>
      <c r="AR167" s="1295"/>
      <c r="AS167" s="1295"/>
      <c r="AT167" s="1295"/>
      <c r="AU167" s="1295"/>
      <c r="AV167" s="1295"/>
      <c r="AW167" s="1295"/>
      <c r="BA167" s="468" t="s">
        <v>245</v>
      </c>
      <c r="BB167" s="468"/>
      <c r="BC167" s="468"/>
      <c r="BD167" s="468"/>
      <c r="BE167" s="468"/>
      <c r="BF167" s="468"/>
      <c r="BG167" s="468"/>
      <c r="BH167" s="468"/>
      <c r="BI167" s="468"/>
      <c r="BJ167" s="468"/>
      <c r="BK167" s="1295">
        <f>COUNTIFS('Naloxone Training Distribution'!AQ15:AQ5000,"YES")</f>
        <v>0</v>
      </c>
      <c r="BL167" s="1295"/>
      <c r="BM167" s="1295"/>
      <c r="BN167" s="1295"/>
      <c r="BO167" s="1295"/>
      <c r="BP167" s="1295"/>
      <c r="BQ167" s="1295"/>
    </row>
    <row r="168" spans="1:100" x14ac:dyDescent="0.25">
      <c r="A168" s="1619" t="s">
        <v>819</v>
      </c>
      <c r="B168" s="1619"/>
      <c r="C168" s="1619"/>
      <c r="D168" s="1619"/>
      <c r="E168" s="1619"/>
      <c r="F168" s="1619"/>
      <c r="G168" s="1619"/>
      <c r="H168" s="1619"/>
      <c r="I168" s="1585">
        <f>'GRANTEE SET UP INFO &amp; DATE '!W11</f>
        <v>0</v>
      </c>
      <c r="J168" s="1585"/>
      <c r="K168" s="1585"/>
      <c r="L168" s="1585"/>
      <c r="M168" s="1592">
        <f>'GRANTEE SET UP INFO &amp; DATE '!Z11</f>
        <v>0</v>
      </c>
      <c r="N168" s="1592"/>
      <c r="O168" s="1592"/>
      <c r="P168" s="1592"/>
      <c r="Q168" s="1592"/>
      <c r="R168" s="1591">
        <f>'GRANTEE SET UP INFO &amp; DATE '!AD11</f>
        <v>0</v>
      </c>
      <c r="S168" s="1591"/>
      <c r="T168" s="1591"/>
      <c r="U168" s="1591"/>
      <c r="V168" s="1591"/>
      <c r="W168" s="1306">
        <f>'GRANTEE SET UP INFO &amp; DATE '!AH11</f>
        <v>0</v>
      </c>
      <c r="X168" s="468"/>
      <c r="Y168" s="468"/>
      <c r="Z168" s="468"/>
      <c r="AA168" s="468"/>
      <c r="AB168" s="468"/>
      <c r="AG168" s="468" t="s">
        <v>819</v>
      </c>
      <c r="AH168" s="468"/>
      <c r="AI168" s="468"/>
      <c r="AJ168" s="468"/>
      <c r="AK168" s="468"/>
      <c r="AL168" s="468"/>
      <c r="AM168" s="468"/>
      <c r="AN168" s="468"/>
      <c r="AO168" s="468"/>
      <c r="AP168" s="468"/>
      <c r="AQ168" s="1295">
        <f>COUNTIFS('Naloxone Training Distribution'!AF15:AF5000,"YES")</f>
        <v>0</v>
      </c>
      <c r="AR168" s="1295"/>
      <c r="AS168" s="1295"/>
      <c r="AT168" s="1295"/>
      <c r="AU168" s="1295"/>
      <c r="AV168" s="1295"/>
      <c r="AW168" s="1295"/>
      <c r="BA168" s="468" t="s">
        <v>246</v>
      </c>
      <c r="BB168" s="468"/>
      <c r="BC168" s="468"/>
      <c r="BD168" s="468"/>
      <c r="BE168" s="468"/>
      <c r="BF168" s="468"/>
      <c r="BG168" s="468"/>
      <c r="BH168" s="468"/>
      <c r="BI168" s="468"/>
      <c r="BJ168" s="468"/>
      <c r="BK168" s="1295">
        <f>COUNTIFS('Naloxone Training Distribution'!AR15:AR5000,"YES")</f>
        <v>0</v>
      </c>
      <c r="BL168" s="1295"/>
      <c r="BM168" s="1295"/>
      <c r="BN168" s="1295"/>
      <c r="BO168" s="1295"/>
      <c r="BP168" s="1295"/>
      <c r="BQ168" s="1295"/>
    </row>
    <row r="169" spans="1:100" x14ac:dyDescent="0.25">
      <c r="A169" s="1619" t="s">
        <v>830</v>
      </c>
      <c r="B169" s="1619"/>
      <c r="C169" s="1619"/>
      <c r="D169" s="1619"/>
      <c r="E169" s="1619"/>
      <c r="F169" s="1619"/>
      <c r="G169" s="1619"/>
      <c r="H169" s="1619"/>
      <c r="I169" s="1585">
        <f>'GRANTEE SET UP INFO &amp; DATE '!W12</f>
        <v>0</v>
      </c>
      <c r="J169" s="1585"/>
      <c r="K169" s="1585"/>
      <c r="L169" s="1585"/>
      <c r="M169" s="1592">
        <f>'GRANTEE SET UP INFO &amp; DATE '!Z12</f>
        <v>0</v>
      </c>
      <c r="N169" s="1592"/>
      <c r="O169" s="1592"/>
      <c r="P169" s="1592"/>
      <c r="Q169" s="1592"/>
      <c r="R169" s="1591">
        <f>'GRANTEE SET UP INFO &amp; DATE '!AD12</f>
        <v>0</v>
      </c>
      <c r="S169" s="1591"/>
      <c r="T169" s="1591"/>
      <c r="U169" s="1591"/>
      <c r="V169" s="1591"/>
      <c r="W169" s="1306">
        <f>'GRANTEE SET UP INFO &amp; DATE '!AH12</f>
        <v>0</v>
      </c>
      <c r="X169" s="468"/>
      <c r="Y169" s="468"/>
      <c r="Z169" s="468"/>
      <c r="AA169" s="468"/>
      <c r="AB169" s="468"/>
      <c r="AG169" s="468" t="s">
        <v>830</v>
      </c>
      <c r="AH169" s="468"/>
      <c r="AI169" s="468"/>
      <c r="AJ169" s="468"/>
      <c r="AK169" s="468"/>
      <c r="AL169" s="468"/>
      <c r="AM169" s="468"/>
      <c r="AN169" s="468"/>
      <c r="AO169" s="468"/>
      <c r="AP169" s="468"/>
      <c r="AQ169" s="1295">
        <f>COUNTIFS('Naloxone Training Distribution'!AG15:AG5000,"YES")</f>
        <v>0</v>
      </c>
      <c r="AR169" s="1295"/>
      <c r="AS169" s="1295"/>
      <c r="AT169" s="1295"/>
      <c r="AU169" s="1295"/>
      <c r="AV169" s="1295"/>
      <c r="AW169" s="1295"/>
      <c r="BA169" s="468"/>
      <c r="BB169" s="468"/>
      <c r="BC169" s="468"/>
      <c r="BD169" s="468"/>
      <c r="BE169" s="468"/>
      <c r="BF169" s="468"/>
      <c r="BG169" s="468"/>
      <c r="BH169" s="468"/>
      <c r="BI169" s="468"/>
      <c r="BJ169" s="468"/>
      <c r="BK169" s="1295"/>
      <c r="BL169" s="1295"/>
      <c r="BM169" s="1295"/>
      <c r="BN169" s="1295"/>
      <c r="BO169" s="1295"/>
      <c r="BP169" s="1295"/>
      <c r="BQ169" s="1295"/>
    </row>
    <row r="170" spans="1:100" x14ac:dyDescent="0.25">
      <c r="A170" s="1619" t="s">
        <v>831</v>
      </c>
      <c r="B170" s="1619"/>
      <c r="C170" s="1619"/>
      <c r="D170" s="1619"/>
      <c r="E170" s="1619"/>
      <c r="F170" s="1619"/>
      <c r="G170" s="1619"/>
      <c r="H170" s="1619"/>
      <c r="I170" s="1585">
        <f>'GRANTEE SET UP INFO &amp; DATE '!W13</f>
        <v>0</v>
      </c>
      <c r="J170" s="1585"/>
      <c r="K170" s="1585"/>
      <c r="L170" s="1585"/>
      <c r="M170" s="1592">
        <f>'GRANTEE SET UP INFO &amp; DATE '!Z13</f>
        <v>0</v>
      </c>
      <c r="N170" s="1592"/>
      <c r="O170" s="1592"/>
      <c r="P170" s="1592"/>
      <c r="Q170" s="1592"/>
      <c r="R170" s="1591">
        <f>'GRANTEE SET UP INFO &amp; DATE '!AD13</f>
        <v>0</v>
      </c>
      <c r="S170" s="1591"/>
      <c r="T170" s="1591"/>
      <c r="U170" s="1591"/>
      <c r="V170" s="1591"/>
      <c r="W170" s="1306">
        <f>'GRANTEE SET UP INFO &amp; DATE '!AH13</f>
        <v>0</v>
      </c>
      <c r="X170" s="468"/>
      <c r="Y170" s="468"/>
      <c r="Z170" s="468"/>
      <c r="AA170" s="468"/>
      <c r="AB170" s="468"/>
      <c r="AG170" s="468" t="s">
        <v>831</v>
      </c>
      <c r="AH170" s="468"/>
      <c r="AI170" s="468"/>
      <c r="AJ170" s="468"/>
      <c r="AK170" s="468"/>
      <c r="AL170" s="468"/>
      <c r="AM170" s="468"/>
      <c r="AN170" s="468"/>
      <c r="AO170" s="468"/>
      <c r="AP170" s="468"/>
      <c r="AQ170" s="1295">
        <f>COUNTIFS('Naloxone Training Distribution'!AH15:AH5000,"YES")</f>
        <v>0</v>
      </c>
      <c r="AR170" s="1295"/>
      <c r="AS170" s="1295"/>
      <c r="AT170" s="1295"/>
      <c r="AU170" s="1295"/>
      <c r="AV170" s="1295"/>
      <c r="AW170" s="1295"/>
      <c r="BA170" s="468"/>
      <c r="BB170" s="468"/>
      <c r="BC170" s="468"/>
      <c r="BD170" s="468"/>
      <c r="BE170" s="468"/>
      <c r="BF170" s="468"/>
      <c r="BG170" s="468"/>
      <c r="BH170" s="468"/>
      <c r="BI170" s="468"/>
      <c r="BJ170" s="468"/>
      <c r="BK170" s="1295"/>
      <c r="BL170" s="1295"/>
      <c r="BM170" s="1295"/>
      <c r="BN170" s="1295"/>
      <c r="BO170" s="1295"/>
      <c r="BP170" s="1295"/>
      <c r="BQ170" s="1295"/>
    </row>
    <row r="171" spans="1:100" x14ac:dyDescent="0.25">
      <c r="A171" s="1619" t="s">
        <v>832</v>
      </c>
      <c r="B171" s="1619"/>
      <c r="C171" s="1619"/>
      <c r="D171" s="1619"/>
      <c r="E171" s="1619"/>
      <c r="F171" s="1619"/>
      <c r="G171" s="1619"/>
      <c r="H171" s="1619"/>
      <c r="I171" s="1585">
        <f>'GRANTEE SET UP INFO &amp; DATE '!W14</f>
        <v>0</v>
      </c>
      <c r="J171" s="1585"/>
      <c r="K171" s="1585"/>
      <c r="L171" s="1585"/>
      <c r="M171" s="1592">
        <f>'GRANTEE SET UP INFO &amp; DATE '!Z14</f>
        <v>0</v>
      </c>
      <c r="N171" s="1592"/>
      <c r="O171" s="1592"/>
      <c r="P171" s="1592"/>
      <c r="Q171" s="1592"/>
      <c r="R171" s="1591">
        <f>'GRANTEE SET UP INFO &amp; DATE '!AD14</f>
        <v>0</v>
      </c>
      <c r="S171" s="1591"/>
      <c r="T171" s="1591"/>
      <c r="U171" s="1591"/>
      <c r="V171" s="1591"/>
      <c r="W171" s="1306">
        <f>'GRANTEE SET UP INFO &amp; DATE '!AH14</f>
        <v>0</v>
      </c>
      <c r="X171" s="468"/>
      <c r="Y171" s="468"/>
      <c r="Z171" s="468"/>
      <c r="AA171" s="468"/>
      <c r="AB171" s="468"/>
      <c r="AG171" s="468" t="s">
        <v>832</v>
      </c>
      <c r="AH171" s="468"/>
      <c r="AI171" s="468"/>
      <c r="AJ171" s="468"/>
      <c r="AK171" s="468"/>
      <c r="AL171" s="468"/>
      <c r="AM171" s="468"/>
      <c r="AN171" s="468"/>
      <c r="AO171" s="468"/>
      <c r="AP171" s="468"/>
      <c r="AQ171" s="1295">
        <f>COUNTIFS('Naloxone Training Distribution'!AI15:AI5000,"YES")</f>
        <v>0</v>
      </c>
      <c r="AR171" s="1295"/>
      <c r="AS171" s="1295"/>
      <c r="AT171" s="1295"/>
      <c r="AU171" s="1295"/>
      <c r="AV171" s="1295"/>
      <c r="AW171" s="1295"/>
      <c r="BA171" s="468"/>
      <c r="BB171" s="468"/>
      <c r="BC171" s="468"/>
      <c r="BD171" s="468"/>
      <c r="BE171" s="468"/>
      <c r="BF171" s="468"/>
      <c r="BG171" s="468"/>
      <c r="BH171" s="468"/>
      <c r="BI171" s="468"/>
      <c r="BJ171" s="468"/>
      <c r="BK171" s="1295"/>
      <c r="BL171" s="1295"/>
      <c r="BM171" s="1295"/>
      <c r="BN171" s="1295"/>
      <c r="BO171" s="1295"/>
      <c r="BP171" s="1295"/>
      <c r="BQ171" s="1295"/>
    </row>
    <row r="172" spans="1:100" x14ac:dyDescent="0.25">
      <c r="A172" s="1619"/>
      <c r="B172" s="1619"/>
      <c r="C172" s="1619"/>
      <c r="D172" s="1619"/>
      <c r="E172" s="1619"/>
      <c r="F172" s="1619"/>
      <c r="G172" s="1619"/>
      <c r="H172" s="1619"/>
      <c r="I172" s="1586"/>
      <c r="J172" s="1586"/>
      <c r="K172" s="1586"/>
      <c r="L172" s="1586"/>
      <c r="M172" s="1621"/>
      <c r="N172" s="1592"/>
      <c r="O172" s="1592"/>
      <c r="P172" s="1592"/>
      <c r="Q172" s="1592"/>
      <c r="R172" s="1622"/>
      <c r="S172" s="1623"/>
      <c r="T172" s="1623"/>
      <c r="U172" s="1623"/>
      <c r="V172" s="1623"/>
      <c r="W172" s="1306"/>
      <c r="X172" s="468"/>
      <c r="Y172" s="468"/>
      <c r="Z172" s="468"/>
      <c r="AA172" s="468"/>
      <c r="AB172" s="468"/>
      <c r="AG172" s="468"/>
      <c r="AH172" s="468"/>
      <c r="AI172" s="468"/>
      <c r="AJ172" s="468"/>
      <c r="AK172" s="468"/>
      <c r="AL172" s="468"/>
      <c r="AM172" s="468"/>
      <c r="AN172" s="468"/>
      <c r="AO172" s="468"/>
      <c r="AP172" s="468"/>
      <c r="AQ172" s="1295"/>
      <c r="AR172" s="1295"/>
      <c r="AS172" s="1295"/>
      <c r="AT172" s="1295"/>
      <c r="AU172" s="1295"/>
      <c r="AV172" s="1295"/>
      <c r="AW172" s="1295"/>
      <c r="BA172" s="468"/>
      <c r="BB172" s="468"/>
      <c r="BC172" s="468"/>
      <c r="BD172" s="468"/>
      <c r="BE172" s="468"/>
      <c r="BF172" s="468"/>
      <c r="BG172" s="468"/>
      <c r="BH172" s="468"/>
      <c r="BI172" s="468"/>
      <c r="BJ172" s="468"/>
      <c r="BK172" s="1295"/>
      <c r="BL172" s="1295"/>
      <c r="BM172" s="1295"/>
      <c r="BN172" s="1295"/>
      <c r="BO172" s="1295"/>
      <c r="BP172" s="1295"/>
      <c r="BQ172" s="1295"/>
    </row>
    <row r="173" spans="1:100" ht="18.75" x14ac:dyDescent="0.3">
      <c r="A173" s="1626" t="s">
        <v>926</v>
      </c>
      <c r="B173" s="1627"/>
      <c r="C173" s="1627"/>
      <c r="D173" s="1627"/>
      <c r="E173" s="1627"/>
      <c r="F173" s="1627"/>
      <c r="G173" s="1627"/>
      <c r="H173" s="1627"/>
      <c r="I173" s="1627"/>
      <c r="J173" s="1627"/>
      <c r="K173" s="1627"/>
      <c r="L173" s="1627"/>
      <c r="M173" s="1627"/>
      <c r="N173" s="1627"/>
      <c r="O173" s="1627"/>
      <c r="P173" s="1627"/>
      <c r="Q173" s="1627"/>
      <c r="R173" s="1627"/>
      <c r="S173" s="1627"/>
      <c r="T173" s="1627"/>
      <c r="U173" s="1627"/>
      <c r="V173" s="1628"/>
      <c r="W173" s="1319">
        <f>COUNTIFS(W160:W171,"&gt;=07/01/2010",W160:W171,"&lt;=09/30/2021")</f>
        <v>0</v>
      </c>
      <c r="X173" s="1320"/>
      <c r="Y173" s="1320"/>
      <c r="Z173" s="1320"/>
      <c r="AA173" s="1320"/>
      <c r="AB173" s="1320"/>
      <c r="AG173" s="1625" t="s">
        <v>13</v>
      </c>
      <c r="AH173" s="1625"/>
      <c r="AI173" s="1625"/>
      <c r="AJ173" s="1625"/>
      <c r="AK173" s="1625"/>
      <c r="AL173" s="1625"/>
      <c r="AM173" s="1625"/>
      <c r="AN173" s="1625"/>
      <c r="AO173" s="1625"/>
      <c r="AP173" s="1625"/>
      <c r="AQ173" s="1296">
        <f>SUM(AQ160:AQ172)</f>
        <v>0</v>
      </c>
      <c r="AR173" s="1296"/>
      <c r="AS173" s="1296"/>
      <c r="AT173" s="1296"/>
      <c r="AU173" s="1296"/>
      <c r="AV173" s="1296"/>
      <c r="AW173" s="1296"/>
      <c r="BA173" s="1296" t="s">
        <v>13</v>
      </c>
      <c r="BB173" s="1296"/>
      <c r="BC173" s="1296"/>
      <c r="BD173" s="1296"/>
      <c r="BE173" s="1296"/>
      <c r="BF173" s="1296"/>
      <c r="BG173" s="1296"/>
      <c r="BH173" s="1296"/>
      <c r="BI173" s="1296"/>
      <c r="BJ173" s="1296"/>
      <c r="BK173" s="1296">
        <f>SUM(BK160:BK172)</f>
        <v>0</v>
      </c>
      <c r="BL173" s="1296"/>
      <c r="BM173" s="1296"/>
      <c r="BN173" s="1296"/>
      <c r="BO173" s="1296"/>
      <c r="BP173" s="1296"/>
      <c r="BQ173" s="1296"/>
    </row>
    <row r="175" spans="1:100" ht="18.75" x14ac:dyDescent="0.3">
      <c r="A175" s="1587" t="s">
        <v>822</v>
      </c>
      <c r="B175" s="1587"/>
      <c r="C175" s="1587"/>
      <c r="D175" s="1587"/>
      <c r="E175" s="1587"/>
      <c r="F175" s="1587"/>
      <c r="G175" s="1587"/>
      <c r="H175" s="1587"/>
      <c r="I175" s="1587"/>
      <c r="J175" s="1587"/>
      <c r="K175" s="1587"/>
      <c r="L175" s="1587"/>
      <c r="M175" s="1587"/>
      <c r="N175" s="1587"/>
      <c r="O175" s="1587"/>
      <c r="P175" s="1587"/>
      <c r="Q175" s="1587"/>
      <c r="R175" s="1587"/>
      <c r="S175" s="1587"/>
      <c r="T175" s="1587"/>
      <c r="U175" s="1587"/>
      <c r="V175" s="1587"/>
      <c r="W175" s="1587"/>
      <c r="X175" s="1587"/>
      <c r="Y175" s="1587"/>
      <c r="Z175" s="1587"/>
      <c r="AA175" s="1587"/>
      <c r="AB175" s="1587"/>
      <c r="AC175" s="1587"/>
      <c r="AD175" s="1587"/>
      <c r="AE175" s="1587"/>
      <c r="AF175" s="1587"/>
      <c r="AG175" s="1587"/>
      <c r="AH175" s="1587"/>
      <c r="AI175" s="1587"/>
      <c r="AJ175" s="1587"/>
      <c r="AK175" s="1587"/>
      <c r="AL175" s="1587"/>
      <c r="AM175" s="1587"/>
      <c r="AN175" s="1587"/>
      <c r="AO175" s="1587"/>
      <c r="AP175" s="1587"/>
      <c r="AQ175" s="1587"/>
      <c r="AR175" s="1587"/>
      <c r="AS175" s="1587"/>
      <c r="AT175" s="1587"/>
      <c r="AU175" s="1587"/>
      <c r="AV175" s="1587"/>
      <c r="AW175" s="1587"/>
      <c r="AX175" s="1587"/>
      <c r="AY175" s="1587"/>
      <c r="AZ175" s="1587"/>
      <c r="BA175" s="1587"/>
      <c r="BB175" s="1587"/>
      <c r="BC175" s="1587"/>
      <c r="BD175" s="1587"/>
      <c r="BE175" s="1587"/>
      <c r="BF175" s="1587"/>
      <c r="BG175" s="1587"/>
      <c r="BH175" s="1587"/>
      <c r="BI175" s="1587"/>
      <c r="BJ175" s="1587"/>
      <c r="BK175" s="1587"/>
      <c r="BL175" s="1587"/>
      <c r="BM175" s="1587"/>
      <c r="BN175" s="1587"/>
      <c r="BO175" s="1587"/>
      <c r="BP175" s="1587"/>
      <c r="BQ175" s="1587"/>
      <c r="BR175" s="1587"/>
      <c r="BS175" s="1587"/>
      <c r="BT175" s="1587"/>
      <c r="BU175" s="1587"/>
      <c r="BV175" s="1587"/>
      <c r="BW175" s="1587"/>
      <c r="BX175" s="1587"/>
      <c r="BY175" s="1587"/>
      <c r="BZ175" s="1587"/>
      <c r="CA175" s="1587"/>
      <c r="CB175" s="1587"/>
      <c r="CC175" s="1587"/>
      <c r="CD175" s="1587"/>
      <c r="CE175" s="1587"/>
      <c r="CF175" s="1587"/>
      <c r="CG175" s="1587"/>
      <c r="CH175" s="1587"/>
      <c r="CI175" s="1587"/>
      <c r="CJ175" s="1587"/>
      <c r="CK175" s="1587"/>
      <c r="CL175" s="1587"/>
      <c r="CM175" s="1587"/>
      <c r="CN175" s="1587"/>
      <c r="CO175" s="1587"/>
      <c r="CP175" s="1587"/>
      <c r="CQ175" s="1587"/>
      <c r="CR175" s="1587"/>
      <c r="CS175" s="1587"/>
      <c r="CT175" s="1587"/>
      <c r="CU175" s="1587"/>
      <c r="CV175" s="1587"/>
    </row>
    <row r="177" spans="1:100" x14ac:dyDescent="0.25">
      <c r="A177" s="1588" t="s">
        <v>823</v>
      </c>
      <c r="B177" s="1588"/>
      <c r="C177" s="1588"/>
      <c r="D177" s="1588"/>
      <c r="E177" s="1588"/>
      <c r="F177" s="1588"/>
      <c r="G177" s="1588"/>
      <c r="H177" s="1588"/>
      <c r="I177" s="1588"/>
      <c r="J177" s="1588"/>
      <c r="K177" s="1588"/>
      <c r="L177" s="1588"/>
      <c r="M177" s="1588"/>
      <c r="N177" s="1588"/>
      <c r="O177" s="1588"/>
      <c r="P177" s="1588"/>
      <c r="Q177" s="1588"/>
      <c r="R177" s="1588"/>
      <c r="S177" s="1588"/>
      <c r="T177" s="1588"/>
      <c r="U177" s="1588"/>
      <c r="V177" s="1588"/>
      <c r="W177" s="1588"/>
      <c r="X177" s="1588"/>
      <c r="Y177" s="1588"/>
      <c r="Z177" s="1588"/>
      <c r="AA177" s="1588"/>
      <c r="AB177" s="1588"/>
      <c r="AC177" s="1588"/>
      <c r="AD177" s="1590" t="s">
        <v>824</v>
      </c>
      <c r="AE177" s="1590"/>
      <c r="AF177" s="1590"/>
      <c r="AG177" s="1590"/>
      <c r="AH177" s="1590"/>
      <c r="AI177" s="1590"/>
      <c r="AJ177" s="1590"/>
      <c r="AK177" s="1590"/>
      <c r="AL177" s="1590"/>
      <c r="AM177" s="1590" t="s">
        <v>825</v>
      </c>
      <c r="AN177" s="1590"/>
      <c r="AO177" s="1590"/>
      <c r="AP177" s="1590"/>
      <c r="AQ177" s="1590"/>
      <c r="AR177" s="1590"/>
      <c r="AS177" s="1590"/>
      <c r="AT177" s="1590"/>
      <c r="AU177" s="1590"/>
      <c r="AV177" s="1539" t="s">
        <v>826</v>
      </c>
      <c r="AW177" s="1540"/>
      <c r="AX177" s="1540"/>
      <c r="AY177" s="1540"/>
      <c r="AZ177" s="1540"/>
      <c r="BA177" s="1540"/>
      <c r="BB177" s="1540"/>
      <c r="BC177" s="1540"/>
      <c r="BD177" s="1541"/>
      <c r="BE177" s="16"/>
      <c r="BF177" s="16"/>
      <c r="BG177" s="16"/>
      <c r="BH177" s="16"/>
    </row>
    <row r="178" spans="1:100" x14ac:dyDescent="0.25">
      <c r="A178" s="468" t="s">
        <v>692</v>
      </c>
      <c r="B178" s="468"/>
      <c r="C178" s="468"/>
      <c r="D178" s="468"/>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1322">
        <f>COUNTIFS('ACTIVITIES MEETINGS EVENTS '!D13:D4948,"Cross Planning Initiatives")</f>
        <v>0</v>
      </c>
      <c r="AE178" s="1323"/>
      <c r="AF178" s="1323"/>
      <c r="AG178" s="1323"/>
      <c r="AH178" s="1323"/>
      <c r="AI178" s="1323"/>
      <c r="AJ178" s="1323"/>
      <c r="AK178" s="1323"/>
      <c r="AL178" s="1324"/>
      <c r="AM178" s="1268">
        <f>SUMIF('ACTIVITIES MEETINGS EVENTS '!D13:D4948,"Cross Planning Initiatives",'ACTIVITIES MEETINGS EVENTS '!Y13:Y4948)</f>
        <v>0</v>
      </c>
      <c r="AN178" s="1269"/>
      <c r="AO178" s="1269"/>
      <c r="AP178" s="1269"/>
      <c r="AQ178" s="1269"/>
      <c r="AR178" s="1269"/>
      <c r="AS178" s="1269"/>
      <c r="AT178" s="1269"/>
      <c r="AU178" s="1270"/>
      <c r="AV178" s="1268">
        <f>COUNTIFS('ACTIVITIES MEETINGS EVENTS '!D13:D4948,"Cross Planning Initiatives",'ACTIVITIES MEETINGS EVENTS '!AW13:AW4948,"YES")</f>
        <v>0</v>
      </c>
      <c r="AW178" s="1269"/>
      <c r="AX178" s="1269"/>
      <c r="AY178" s="1269"/>
      <c r="AZ178" s="1269"/>
      <c r="BA178" s="1269"/>
      <c r="BB178" s="1269"/>
      <c r="BC178" s="1269"/>
      <c r="BD178" s="1270"/>
    </row>
    <row r="179" spans="1:100" x14ac:dyDescent="0.25">
      <c r="A179" s="468" t="s">
        <v>693</v>
      </c>
      <c r="B179" s="468"/>
      <c r="C179" s="468"/>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1322">
        <f>COUNTIFS('ACTIVITIES MEETINGS EVENTS '!D13:D4948,"Service Activity Implemented with other sectors")</f>
        <v>0</v>
      </c>
      <c r="AE179" s="1323"/>
      <c r="AF179" s="1323"/>
      <c r="AG179" s="1323"/>
      <c r="AH179" s="1323"/>
      <c r="AI179" s="1323"/>
      <c r="AJ179" s="1323"/>
      <c r="AK179" s="1323"/>
      <c r="AL179" s="1324"/>
      <c r="AM179" s="1268">
        <f>SUMIF('ACTIVITIES MEETINGS EVENTS '!D13:D4948,"Service Activity Implemented with other sectors",'ACTIVITIES MEETINGS EVENTS '!Y13:Y4948)</f>
        <v>0</v>
      </c>
      <c r="AN179" s="1269"/>
      <c r="AO179" s="1269"/>
      <c r="AP179" s="1269"/>
      <c r="AQ179" s="1269"/>
      <c r="AR179" s="1269"/>
      <c r="AS179" s="1269"/>
      <c r="AT179" s="1269"/>
      <c r="AU179" s="1270"/>
      <c r="AV179" s="1268">
        <f>COUNTIFS('ACTIVITIES MEETINGS EVENTS '!D13:D4948,"Service Activity Implemented with other sectors",'ACTIVITIES MEETINGS EVENTS '!AW13:AW4948,"YES")</f>
        <v>0</v>
      </c>
      <c r="AW179" s="1269"/>
      <c r="AX179" s="1269"/>
      <c r="AY179" s="1269"/>
      <c r="AZ179" s="1269"/>
      <c r="BA179" s="1269"/>
      <c r="BB179" s="1269"/>
      <c r="BC179" s="1269"/>
      <c r="BD179" s="1270"/>
    </row>
    <row r="180" spans="1:100" x14ac:dyDescent="0.25">
      <c r="A180" s="468" t="s">
        <v>694</v>
      </c>
      <c r="B180" s="468"/>
      <c r="C180" s="468"/>
      <c r="D180" s="468"/>
      <c r="E180" s="468"/>
      <c r="F180" s="468"/>
      <c r="G180" s="468"/>
      <c r="H180" s="468"/>
      <c r="I180" s="468"/>
      <c r="J180" s="468"/>
      <c r="K180" s="468"/>
      <c r="L180" s="468"/>
      <c r="M180" s="468"/>
      <c r="N180" s="468"/>
      <c r="O180" s="468"/>
      <c r="P180" s="468"/>
      <c r="Q180" s="468"/>
      <c r="R180" s="468"/>
      <c r="S180" s="468"/>
      <c r="T180" s="468"/>
      <c r="U180" s="468"/>
      <c r="V180" s="468"/>
      <c r="W180" s="468"/>
      <c r="X180" s="468"/>
      <c r="Y180" s="468"/>
      <c r="Z180" s="468"/>
      <c r="AA180" s="468"/>
      <c r="AB180" s="468"/>
      <c r="AC180" s="468"/>
      <c r="AD180" s="1322">
        <f>COUNTIFS('ACTIVITIES MEETINGS EVENTS '!D13:D4948,"Meeting Attended ")</f>
        <v>0</v>
      </c>
      <c r="AE180" s="1323"/>
      <c r="AF180" s="1323"/>
      <c r="AG180" s="1323"/>
      <c r="AH180" s="1323"/>
      <c r="AI180" s="1323"/>
      <c r="AJ180" s="1323"/>
      <c r="AK180" s="1323"/>
      <c r="AL180" s="1324"/>
      <c r="AM180" s="1268">
        <f>SUMIF('ACTIVITIES MEETINGS EVENTS '!D13:D4948,"Meeting Attended ",'ACTIVITIES MEETINGS EVENTS '!Y13:Y4948)</f>
        <v>0</v>
      </c>
      <c r="AN180" s="1269"/>
      <c r="AO180" s="1269"/>
      <c r="AP180" s="1269"/>
      <c r="AQ180" s="1269"/>
      <c r="AR180" s="1269"/>
      <c r="AS180" s="1269"/>
      <c r="AT180" s="1269"/>
      <c r="AU180" s="1270"/>
      <c r="AV180" s="1268">
        <f>COUNTIFS('ACTIVITIES MEETINGS EVENTS '!D13:D4948,"Meeting Attended ",'ACTIVITIES MEETINGS EVENTS '!AW13:AW4948,"YES")</f>
        <v>0</v>
      </c>
      <c r="AW180" s="1269"/>
      <c r="AX180" s="1269"/>
      <c r="AY180" s="1269"/>
      <c r="AZ180" s="1269"/>
      <c r="BA180" s="1269"/>
      <c r="BB180" s="1269"/>
      <c r="BC180" s="1269"/>
      <c r="BD180" s="1270"/>
    </row>
    <row r="181" spans="1:100" x14ac:dyDescent="0.25">
      <c r="A181" s="468" t="s">
        <v>695</v>
      </c>
      <c r="B181" s="468"/>
      <c r="C181" s="468"/>
      <c r="D181" s="468"/>
      <c r="E181" s="468"/>
      <c r="F181" s="468"/>
      <c r="G181" s="468"/>
      <c r="H181" s="468"/>
      <c r="I181" s="468"/>
      <c r="J181" s="468"/>
      <c r="K181" s="468"/>
      <c r="L181" s="468"/>
      <c r="M181" s="468"/>
      <c r="N181" s="468"/>
      <c r="O181" s="468"/>
      <c r="P181" s="468"/>
      <c r="Q181" s="468"/>
      <c r="R181" s="468"/>
      <c r="S181" s="468"/>
      <c r="T181" s="468"/>
      <c r="U181" s="468"/>
      <c r="V181" s="468"/>
      <c r="W181" s="468"/>
      <c r="X181" s="468"/>
      <c r="Y181" s="468"/>
      <c r="Z181" s="468"/>
      <c r="AA181" s="468"/>
      <c r="AB181" s="468"/>
      <c r="AC181" s="468"/>
      <c r="AD181" s="1322">
        <f>COUNTIFS('ACTIVITIES MEETINGS EVENTS '!D13:D4948,"Specific Activities with goal  to Reach High-Risk Populations (Specify Population in Notes)")</f>
        <v>0</v>
      </c>
      <c r="AE181" s="1323"/>
      <c r="AF181" s="1323"/>
      <c r="AG181" s="1323"/>
      <c r="AH181" s="1323"/>
      <c r="AI181" s="1323"/>
      <c r="AJ181" s="1323"/>
      <c r="AK181" s="1323"/>
      <c r="AL181" s="1324"/>
      <c r="AM181" s="1268">
        <f>SUMIF('ACTIVITIES MEETINGS EVENTS '!D13:D4948,"Specific Activities with goal  to Reach High-Risk Populations (Specify Population in Notes)",'ACTIVITIES MEETINGS EVENTS '!Y13:Y4948)</f>
        <v>0</v>
      </c>
      <c r="AN181" s="1269"/>
      <c r="AO181" s="1269"/>
      <c r="AP181" s="1269"/>
      <c r="AQ181" s="1269"/>
      <c r="AR181" s="1269"/>
      <c r="AS181" s="1269"/>
      <c r="AT181" s="1269"/>
      <c r="AU181" s="1270"/>
      <c r="AV181" s="1268">
        <f>COUNTIFS('ACTIVITIES MEETINGS EVENTS '!D13:D4948,"Specific Activities with goal  to Reach High-Risk Populations (Specify Population in Notes)",'ACTIVITIES MEETINGS EVENTS '!AW13:AW4948,"YES")</f>
        <v>0</v>
      </c>
      <c r="AW181" s="1269"/>
      <c r="AX181" s="1269"/>
      <c r="AY181" s="1269"/>
      <c r="AZ181" s="1269"/>
      <c r="BA181" s="1269"/>
      <c r="BB181" s="1269"/>
      <c r="BC181" s="1269"/>
      <c r="BD181" s="1270"/>
    </row>
    <row r="182" spans="1:100" x14ac:dyDescent="0.25">
      <c r="A182" s="468" t="s">
        <v>696</v>
      </c>
      <c r="B182" s="468"/>
      <c r="C182" s="468"/>
      <c r="D182" s="468"/>
      <c r="E182" s="468"/>
      <c r="F182" s="468"/>
      <c r="G182" s="468"/>
      <c r="H182" s="468"/>
      <c r="I182" s="468"/>
      <c r="J182" s="468"/>
      <c r="K182" s="468"/>
      <c r="L182" s="468"/>
      <c r="M182" s="468"/>
      <c r="N182" s="468"/>
      <c r="O182" s="468"/>
      <c r="P182" s="468"/>
      <c r="Q182" s="468"/>
      <c r="R182" s="468"/>
      <c r="S182" s="468"/>
      <c r="T182" s="468"/>
      <c r="U182" s="468"/>
      <c r="V182" s="468"/>
      <c r="W182" s="468"/>
      <c r="X182" s="468"/>
      <c r="Y182" s="468"/>
      <c r="Z182" s="468"/>
      <c r="AA182" s="468"/>
      <c r="AB182" s="468"/>
      <c r="AC182" s="468"/>
      <c r="AD182" s="1322">
        <f>COUNTIFS('ACTIVITIES MEETINGS EVENTS '!D13:D4948,"Peer Reviews")</f>
        <v>0</v>
      </c>
      <c r="AE182" s="1323"/>
      <c r="AF182" s="1323"/>
      <c r="AG182" s="1323"/>
      <c r="AH182" s="1323"/>
      <c r="AI182" s="1323"/>
      <c r="AJ182" s="1323"/>
      <c r="AK182" s="1323"/>
      <c r="AL182" s="1324"/>
      <c r="AM182" s="1268">
        <f>SUMIF('ACTIVITIES MEETINGS EVENTS '!D13:D4948,"Peer Reviews",'ACTIVITIES MEETINGS EVENTS '!Y13:Y4948)</f>
        <v>0</v>
      </c>
      <c r="AN182" s="1269"/>
      <c r="AO182" s="1269"/>
      <c r="AP182" s="1269"/>
      <c r="AQ182" s="1269"/>
      <c r="AR182" s="1269"/>
      <c r="AS182" s="1269"/>
      <c r="AT182" s="1269"/>
      <c r="AU182" s="1270"/>
      <c r="AV182" s="1268">
        <f>COUNTIFS('ACTIVITIES MEETINGS EVENTS '!D13:D4948,"Peer Reviews",'ACTIVITIES MEETINGS EVENTS '!AW13:AW4948,"YES")</f>
        <v>0</v>
      </c>
      <c r="AW182" s="1269"/>
      <c r="AX182" s="1269"/>
      <c r="AY182" s="1269"/>
      <c r="AZ182" s="1269"/>
      <c r="BA182" s="1269"/>
      <c r="BB182" s="1269"/>
      <c r="BC182" s="1269"/>
      <c r="BD182" s="1270"/>
    </row>
    <row r="183" spans="1:100" x14ac:dyDescent="0.25">
      <c r="A183" s="468" t="s">
        <v>697</v>
      </c>
      <c r="B183" s="468"/>
      <c r="C183" s="468"/>
      <c r="D183" s="468"/>
      <c r="E183" s="468"/>
      <c r="F183" s="468"/>
      <c r="G183" s="468"/>
      <c r="H183" s="468"/>
      <c r="I183" s="468"/>
      <c r="J183" s="468"/>
      <c r="K183" s="468"/>
      <c r="L183" s="468"/>
      <c r="M183" s="468"/>
      <c r="N183" s="468"/>
      <c r="O183" s="468"/>
      <c r="P183" s="468"/>
      <c r="Q183" s="468"/>
      <c r="R183" s="468"/>
      <c r="S183" s="468"/>
      <c r="T183" s="468"/>
      <c r="U183" s="468"/>
      <c r="V183" s="468"/>
      <c r="W183" s="468"/>
      <c r="X183" s="468"/>
      <c r="Y183" s="468"/>
      <c r="Z183" s="468"/>
      <c r="AA183" s="468"/>
      <c r="AB183" s="468"/>
      <c r="AC183" s="468"/>
      <c r="AD183" s="1322">
        <f>COUNTIFS('ACTIVITIES MEETINGS EVENTS '!D13:D4948,"Peer Support Groups")</f>
        <v>0</v>
      </c>
      <c r="AE183" s="1323"/>
      <c r="AF183" s="1323"/>
      <c r="AG183" s="1323"/>
      <c r="AH183" s="1323"/>
      <c r="AI183" s="1323"/>
      <c r="AJ183" s="1323"/>
      <c r="AK183" s="1323"/>
      <c r="AL183" s="1324"/>
      <c r="AM183" s="1268">
        <f>SUMIF('ACTIVITIES MEETINGS EVENTS '!D13:D4948,"Peer Support Groups",'ACTIVITIES MEETINGS EVENTS '!Y13:Y4948)</f>
        <v>0</v>
      </c>
      <c r="AN183" s="1269"/>
      <c r="AO183" s="1269"/>
      <c r="AP183" s="1269"/>
      <c r="AQ183" s="1269"/>
      <c r="AR183" s="1269"/>
      <c r="AS183" s="1269"/>
      <c r="AT183" s="1269"/>
      <c r="AU183" s="1270"/>
      <c r="AV183" s="1268">
        <f>COUNTIFS('ACTIVITIES MEETINGS EVENTS '!D13:D4948,"Peer Support Groups",'ACTIVITIES MEETINGS EVENTS '!AW13:AW4948,"YES")</f>
        <v>0</v>
      </c>
      <c r="AW183" s="1269"/>
      <c r="AX183" s="1269"/>
      <c r="AY183" s="1269"/>
      <c r="AZ183" s="1269"/>
      <c r="BA183" s="1269"/>
      <c r="BB183" s="1269"/>
      <c r="BC183" s="1269"/>
      <c r="BD183" s="1270"/>
    </row>
    <row r="184" spans="1:100" x14ac:dyDescent="0.25">
      <c r="A184" s="468" t="s">
        <v>698</v>
      </c>
      <c r="B184" s="468"/>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1322">
        <f>COUNTIFS('ACTIVITIES MEETINGS EVENTS '!D13:D4948,"Coalitions")</f>
        <v>0</v>
      </c>
      <c r="AE184" s="1323"/>
      <c r="AF184" s="1323"/>
      <c r="AG184" s="1323"/>
      <c r="AH184" s="1323"/>
      <c r="AI184" s="1323"/>
      <c r="AJ184" s="1323"/>
      <c r="AK184" s="1323"/>
      <c r="AL184" s="1324"/>
      <c r="AM184" s="1268">
        <f>SUMIF('ACTIVITIES MEETINGS EVENTS '!D13:D4948,"Coalitions",'ACTIVITIES MEETINGS EVENTS '!Y13:Y4948)</f>
        <v>0</v>
      </c>
      <c r="AN184" s="1269"/>
      <c r="AO184" s="1269"/>
      <c r="AP184" s="1269"/>
      <c r="AQ184" s="1269"/>
      <c r="AR184" s="1269"/>
      <c r="AS184" s="1269"/>
      <c r="AT184" s="1269"/>
      <c r="AU184" s="1270"/>
      <c r="AV184" s="1268">
        <f>COUNTIFS('ACTIVITIES MEETINGS EVENTS '!D13:D4948,"Coalitions",'ACTIVITIES MEETINGS EVENTS '!AW13:AW4948,"YES")</f>
        <v>0</v>
      </c>
      <c r="AW184" s="1269"/>
      <c r="AX184" s="1269"/>
      <c r="AY184" s="1269"/>
      <c r="AZ184" s="1269"/>
      <c r="BA184" s="1269"/>
      <c r="BB184" s="1269"/>
      <c r="BC184" s="1269"/>
      <c r="BD184" s="1270"/>
    </row>
    <row r="185" spans="1:100" x14ac:dyDescent="0.25">
      <c r="A185" s="468" t="s">
        <v>699</v>
      </c>
      <c r="B185" s="468"/>
      <c r="C185" s="468"/>
      <c r="D185" s="468"/>
      <c r="E185" s="468"/>
      <c r="F185" s="468"/>
      <c r="G185" s="468"/>
      <c r="H185" s="468"/>
      <c r="I185" s="468"/>
      <c r="J185" s="468"/>
      <c r="K185" s="468"/>
      <c r="L185" s="468"/>
      <c r="M185" s="468"/>
      <c r="N185" s="468"/>
      <c r="O185" s="468"/>
      <c r="P185" s="468"/>
      <c r="Q185" s="468"/>
      <c r="R185" s="468"/>
      <c r="S185" s="468"/>
      <c r="T185" s="468"/>
      <c r="U185" s="468"/>
      <c r="V185" s="468"/>
      <c r="W185" s="468"/>
      <c r="X185" s="468"/>
      <c r="Y185" s="468"/>
      <c r="Z185" s="468"/>
      <c r="AA185" s="468"/>
      <c r="AB185" s="468"/>
      <c r="AC185" s="468"/>
      <c r="AD185" s="1322">
        <f>COUNTIFS('ACTIVITIES MEETINGS EVENTS '!D13:D4948,"Materials Distributed (specify kind &amp; amount in notes) ")</f>
        <v>0</v>
      </c>
      <c r="AE185" s="1323"/>
      <c r="AF185" s="1323"/>
      <c r="AG185" s="1323"/>
      <c r="AH185" s="1323"/>
      <c r="AI185" s="1323"/>
      <c r="AJ185" s="1323"/>
      <c r="AK185" s="1323"/>
      <c r="AL185" s="1324"/>
      <c r="AM185" s="1268">
        <f>SUMIF('ACTIVITIES MEETINGS EVENTS '!D13:D4948,"Materials Distributed (specify kind &amp; amount in notes) ",'ACTIVITIES MEETINGS EVENTS '!Y13:Y4948)</f>
        <v>0</v>
      </c>
      <c r="AN185" s="1269"/>
      <c r="AO185" s="1269"/>
      <c r="AP185" s="1269"/>
      <c r="AQ185" s="1269"/>
      <c r="AR185" s="1269"/>
      <c r="AS185" s="1269"/>
      <c r="AT185" s="1269"/>
      <c r="AU185" s="1270"/>
      <c r="AV185" s="1268">
        <f>COUNTIFS('ACTIVITIES MEETINGS EVENTS '!D13:D4948,"Materials Distributed (specify kind &amp; amount in notes) ",'ACTIVITIES MEETINGS EVENTS '!AW13:AW4948,"YES")</f>
        <v>0</v>
      </c>
      <c r="AW185" s="1269"/>
      <c r="AX185" s="1269"/>
      <c r="AY185" s="1269"/>
      <c r="AZ185" s="1269"/>
      <c r="BA185" s="1269"/>
      <c r="BB185" s="1269"/>
      <c r="BC185" s="1269"/>
      <c r="BD185" s="1270"/>
    </row>
    <row r="186" spans="1:100" x14ac:dyDescent="0.25">
      <c r="A186" s="468" t="s">
        <v>396</v>
      </c>
      <c r="B186" s="468"/>
      <c r="C186" s="468"/>
      <c r="D186" s="468"/>
      <c r="E186" s="468"/>
      <c r="F186" s="468"/>
      <c r="G186" s="468"/>
      <c r="H186" s="468"/>
      <c r="I186" s="468"/>
      <c r="J186" s="468"/>
      <c r="K186" s="468"/>
      <c r="L186" s="468"/>
      <c r="M186" s="468"/>
      <c r="N186" s="468"/>
      <c r="O186" s="468"/>
      <c r="P186" s="468"/>
      <c r="Q186" s="468"/>
      <c r="R186" s="468"/>
      <c r="S186" s="468"/>
      <c r="T186" s="468"/>
      <c r="U186" s="468"/>
      <c r="V186" s="468"/>
      <c r="W186" s="468"/>
      <c r="X186" s="468"/>
      <c r="Y186" s="468"/>
      <c r="Z186" s="468"/>
      <c r="AA186" s="468"/>
      <c r="AB186" s="468"/>
      <c r="AC186" s="468"/>
      <c r="AD186" s="1322">
        <f>COUNTIFS('ACTIVITIES MEETINGS EVENTS '!D13:D4948,"Other (Specify in Notes) ")</f>
        <v>0</v>
      </c>
      <c r="AE186" s="1323"/>
      <c r="AF186" s="1323"/>
      <c r="AG186" s="1323"/>
      <c r="AH186" s="1323"/>
      <c r="AI186" s="1323"/>
      <c r="AJ186" s="1323"/>
      <c r="AK186" s="1323"/>
      <c r="AL186" s="1324"/>
      <c r="AM186" s="1268">
        <f>SUMIF('ACTIVITIES MEETINGS EVENTS '!D13:D4948,"Other (Specify in Notes) ",'ACTIVITIES MEETINGS EVENTS '!Y13:Y4948)</f>
        <v>0</v>
      </c>
      <c r="AN186" s="1269"/>
      <c r="AO186" s="1269"/>
      <c r="AP186" s="1269"/>
      <c r="AQ186" s="1269"/>
      <c r="AR186" s="1269"/>
      <c r="AS186" s="1269"/>
      <c r="AT186" s="1269"/>
      <c r="AU186" s="1270"/>
      <c r="AV186" s="1268">
        <f>COUNTIFS('ACTIVITIES MEETINGS EVENTS '!D13:D4948,"Other (Specify in Notes) ",'ACTIVITIES MEETINGS EVENTS '!AW13:AW4948,"YES")</f>
        <v>0</v>
      </c>
      <c r="AW186" s="1269"/>
      <c r="AX186" s="1269"/>
      <c r="AY186" s="1269"/>
      <c r="AZ186" s="1269"/>
      <c r="BA186" s="1269"/>
      <c r="BB186" s="1269"/>
      <c r="BC186" s="1269"/>
      <c r="BD186" s="1270"/>
    </row>
    <row r="187" spans="1:100" ht="15.75" x14ac:dyDescent="0.25">
      <c r="A187" s="468"/>
      <c r="B187" s="468"/>
      <c r="C187" s="468"/>
      <c r="D187" s="468"/>
      <c r="E187" s="468"/>
      <c r="F187" s="468"/>
      <c r="G187" s="468"/>
      <c r="H187" s="468"/>
      <c r="I187" s="468"/>
      <c r="J187" s="468"/>
      <c r="K187" s="468"/>
      <c r="L187" s="468"/>
      <c r="M187" s="468"/>
      <c r="N187" s="468"/>
      <c r="O187" s="468"/>
      <c r="P187" s="468"/>
      <c r="Q187" s="468"/>
      <c r="R187" s="468"/>
      <c r="S187" s="468"/>
      <c r="T187" s="468"/>
      <c r="U187" s="468"/>
      <c r="V187" s="468"/>
      <c r="W187" s="468"/>
      <c r="X187" s="468"/>
      <c r="Y187" s="468"/>
      <c r="Z187" s="468"/>
      <c r="AA187" s="468"/>
      <c r="AB187" s="468"/>
      <c r="AC187" s="468"/>
      <c r="AD187" s="1609"/>
      <c r="AE187" s="1610"/>
      <c r="AF187" s="1610"/>
      <c r="AG187" s="1610"/>
      <c r="AH187" s="1610"/>
      <c r="AI187" s="1610"/>
      <c r="AJ187" s="1610"/>
      <c r="AK187" s="1610"/>
      <c r="AL187" s="1611"/>
      <c r="AM187" s="1268"/>
      <c r="AN187" s="1269"/>
      <c r="AO187" s="1269"/>
      <c r="AP187" s="1269"/>
      <c r="AQ187" s="1269"/>
      <c r="AR187" s="1269"/>
      <c r="AS187" s="1269"/>
      <c r="AT187" s="1269"/>
      <c r="AU187" s="1270"/>
      <c r="AV187" s="1268"/>
      <c r="AW187" s="1269"/>
      <c r="AX187" s="1269"/>
      <c r="AY187" s="1269"/>
      <c r="AZ187" s="1269"/>
      <c r="BA187" s="1269"/>
      <c r="BB187" s="1269"/>
      <c r="BC187" s="1269"/>
      <c r="BD187" s="1270"/>
    </row>
    <row r="188" spans="1:100" ht="15.75" x14ac:dyDescent="0.25">
      <c r="A188" s="1349" t="s">
        <v>390</v>
      </c>
      <c r="B188" s="1349"/>
      <c r="C188" s="1349"/>
      <c r="D188" s="1349"/>
      <c r="E188" s="1349"/>
      <c r="F188" s="1349"/>
      <c r="G188" s="1349"/>
      <c r="H188" s="1349"/>
      <c r="I188" s="1349"/>
      <c r="J188" s="1349"/>
      <c r="K188" s="1349"/>
      <c r="L188" s="1349"/>
      <c r="M188" s="1349"/>
      <c r="N188" s="1349"/>
      <c r="O188" s="1349"/>
      <c r="P188" s="1349"/>
      <c r="Q188" s="1349"/>
      <c r="R188" s="1349"/>
      <c r="S188" s="1349"/>
      <c r="T188" s="1349"/>
      <c r="U188" s="1349"/>
      <c r="V188" s="1349"/>
      <c r="W188" s="1349"/>
      <c r="X188" s="1349"/>
      <c r="Y188" s="1349"/>
      <c r="Z188" s="1349"/>
      <c r="AA188" s="1349"/>
      <c r="AB188" s="1349"/>
      <c r="AC188" s="1349"/>
      <c r="AD188" s="1341">
        <f>SUM(AD178:AD187)</f>
        <v>0</v>
      </c>
      <c r="AE188" s="1342"/>
      <c r="AF188" s="1342"/>
      <c r="AG188" s="1342"/>
      <c r="AH188" s="1342"/>
      <c r="AI188" s="1342"/>
      <c r="AJ188" s="1342"/>
      <c r="AK188" s="1342"/>
      <c r="AL188" s="1343"/>
      <c r="AM188" s="1338">
        <f>SUM(AM178:AM187)</f>
        <v>0</v>
      </c>
      <c r="AN188" s="1339"/>
      <c r="AO188" s="1339"/>
      <c r="AP188" s="1339"/>
      <c r="AQ188" s="1339"/>
      <c r="AR188" s="1339"/>
      <c r="AS188" s="1339"/>
      <c r="AT188" s="1339"/>
      <c r="AU188" s="1340"/>
      <c r="AV188" s="1338">
        <f>SUM(AV178:AV187)</f>
        <v>0</v>
      </c>
      <c r="AW188" s="1339"/>
      <c r="AX188" s="1339"/>
      <c r="AY188" s="1339"/>
      <c r="AZ188" s="1339"/>
      <c r="BA188" s="1339"/>
      <c r="BB188" s="1339"/>
      <c r="BC188" s="1339"/>
      <c r="BD188" s="1340"/>
    </row>
    <row r="191" spans="1:100" ht="18.75" x14ac:dyDescent="0.3">
      <c r="A191" s="1587" t="s">
        <v>827</v>
      </c>
      <c r="B191" s="1587"/>
      <c r="C191" s="1587"/>
      <c r="D191" s="1587"/>
      <c r="E191" s="1587"/>
      <c r="F191" s="1587"/>
      <c r="G191" s="1587"/>
      <c r="H191" s="1587"/>
      <c r="I191" s="1587"/>
      <c r="J191" s="1587"/>
      <c r="K191" s="1587"/>
      <c r="L191" s="1587"/>
      <c r="M191" s="1587"/>
      <c r="N191" s="1587"/>
      <c r="O191" s="1587"/>
      <c r="P191" s="1587"/>
      <c r="Q191" s="1587"/>
      <c r="R191" s="1587"/>
      <c r="S191" s="1587"/>
      <c r="T191" s="1587"/>
      <c r="U191" s="1587"/>
      <c r="V191" s="1587"/>
      <c r="W191" s="1587"/>
      <c r="X191" s="1587"/>
      <c r="Y191" s="1587"/>
      <c r="Z191" s="1587"/>
      <c r="AA191" s="1587"/>
      <c r="AB191" s="1587"/>
      <c r="AC191" s="1587"/>
      <c r="AD191" s="1587"/>
      <c r="AE191" s="1587"/>
      <c r="AF191" s="1587"/>
      <c r="AG191" s="1587"/>
      <c r="AH191" s="1587"/>
      <c r="AI191" s="1587"/>
      <c r="AJ191" s="1587"/>
      <c r="AK191" s="1587"/>
      <c r="AL191" s="1587"/>
      <c r="AM191" s="1587"/>
      <c r="AN191" s="1587"/>
      <c r="AO191" s="1587"/>
      <c r="AP191" s="1587"/>
      <c r="AQ191" s="1587"/>
      <c r="AR191" s="1587"/>
      <c r="AS191" s="1587"/>
      <c r="AT191" s="1587"/>
      <c r="AU191" s="1587"/>
      <c r="AV191" s="1587"/>
      <c r="AW191" s="1587"/>
      <c r="AX191" s="1587"/>
      <c r="AY191" s="1587"/>
      <c r="AZ191" s="1587"/>
      <c r="BA191" s="1587"/>
      <c r="BB191" s="1587"/>
      <c r="BC191" s="1587"/>
      <c r="BD191" s="1587"/>
      <c r="BE191" s="1587"/>
      <c r="BF191" s="1587"/>
      <c r="BG191" s="1587"/>
      <c r="BH191" s="1587"/>
      <c r="BI191" s="1587"/>
      <c r="BJ191" s="1587"/>
      <c r="BK191" s="1587"/>
      <c r="BL191" s="1587"/>
      <c r="BM191" s="1587"/>
      <c r="BN191" s="1587"/>
      <c r="BO191" s="1587"/>
      <c r="BP191" s="1587"/>
      <c r="BQ191" s="1587"/>
      <c r="BR191" s="1587"/>
      <c r="BS191" s="1587"/>
      <c r="BT191" s="1587"/>
      <c r="BU191" s="1587"/>
      <c r="BV191" s="1587"/>
      <c r="BW191" s="1587"/>
      <c r="BX191" s="1587"/>
      <c r="BY191" s="1587"/>
      <c r="BZ191" s="1587"/>
      <c r="CA191" s="1587"/>
      <c r="CB191" s="1587"/>
      <c r="CC191" s="1587"/>
      <c r="CD191" s="1587"/>
      <c r="CE191" s="1587"/>
      <c r="CF191" s="1587"/>
      <c r="CG191" s="1587"/>
      <c r="CH191" s="1587"/>
      <c r="CI191" s="1587"/>
      <c r="CJ191" s="1587"/>
      <c r="CK191" s="1587"/>
      <c r="CL191" s="1587"/>
      <c r="CM191" s="1587"/>
      <c r="CN191" s="1587"/>
      <c r="CO191" s="1587"/>
      <c r="CP191" s="1587"/>
      <c r="CQ191" s="1587"/>
      <c r="CR191" s="1587"/>
      <c r="CS191" s="1587"/>
      <c r="CT191" s="1587"/>
      <c r="CU191" s="1587"/>
      <c r="CV191" s="1587"/>
    </row>
    <row r="193" spans="1:19" x14ac:dyDescent="0.25">
      <c r="A193" s="1588" t="s">
        <v>828</v>
      </c>
      <c r="B193" s="1588"/>
      <c r="C193" s="1588"/>
      <c r="D193" s="1588"/>
      <c r="E193" s="1588"/>
      <c r="F193" s="1588"/>
      <c r="G193" s="1588"/>
      <c r="H193" s="1588"/>
      <c r="I193" s="1588"/>
      <c r="J193" s="1588"/>
      <c r="K193" s="1590" t="s">
        <v>824</v>
      </c>
      <c r="L193" s="1590"/>
      <c r="M193" s="1590"/>
      <c r="N193" s="1590"/>
      <c r="O193" s="1590"/>
      <c r="P193" s="1590"/>
      <c r="Q193" s="1590"/>
      <c r="R193" s="1590"/>
      <c r="S193" s="1590"/>
    </row>
    <row r="194" spans="1:19" x14ac:dyDescent="0.25">
      <c r="A194" s="468" t="s">
        <v>748</v>
      </c>
      <c r="B194" s="468"/>
      <c r="C194" s="468"/>
      <c r="D194" s="468"/>
      <c r="E194" s="468"/>
      <c r="F194" s="468"/>
      <c r="G194" s="468"/>
      <c r="H194" s="468"/>
      <c r="I194" s="468"/>
      <c r="J194" s="468"/>
      <c r="K194" s="1268">
        <f>COUNTIFS('CONSUMER FEEDBACK'!E13:E5000,"Focus Group")</f>
        <v>0</v>
      </c>
      <c r="L194" s="1269"/>
      <c r="M194" s="1269"/>
      <c r="N194" s="1269"/>
      <c r="O194" s="1269"/>
      <c r="P194" s="1269"/>
      <c r="Q194" s="1269"/>
      <c r="R194" s="1269"/>
      <c r="S194" s="1270"/>
    </row>
    <row r="195" spans="1:19" x14ac:dyDescent="0.25">
      <c r="A195" s="468" t="s">
        <v>749</v>
      </c>
      <c r="B195" s="468"/>
      <c r="C195" s="468"/>
      <c r="D195" s="468"/>
      <c r="E195" s="468"/>
      <c r="F195" s="468"/>
      <c r="G195" s="468"/>
      <c r="H195" s="468"/>
      <c r="I195" s="468"/>
      <c r="J195" s="468"/>
      <c r="K195" s="1268">
        <f>COUNTIFS('CONSUMER FEEDBACK'!E13:E5000,"Key-informant interview")</f>
        <v>0</v>
      </c>
      <c r="L195" s="1269"/>
      <c r="M195" s="1269"/>
      <c r="N195" s="1269"/>
      <c r="O195" s="1269"/>
      <c r="P195" s="1269"/>
      <c r="Q195" s="1269"/>
      <c r="R195" s="1269"/>
      <c r="S195" s="1270"/>
    </row>
    <row r="196" spans="1:19" x14ac:dyDescent="0.25">
      <c r="A196" s="468" t="s">
        <v>750</v>
      </c>
      <c r="B196" s="468"/>
      <c r="C196" s="468"/>
      <c r="D196" s="468"/>
      <c r="E196" s="468"/>
      <c r="F196" s="468"/>
      <c r="G196" s="468"/>
      <c r="H196" s="468"/>
      <c r="I196" s="468"/>
      <c r="J196" s="468"/>
      <c r="K196" s="1268">
        <f>COUNTIFS('CONSUMER FEEDBACK'!E13:E5000,"Survey")</f>
        <v>0</v>
      </c>
      <c r="L196" s="1269"/>
      <c r="M196" s="1269"/>
      <c r="N196" s="1269"/>
      <c r="O196" s="1269"/>
      <c r="P196" s="1269"/>
      <c r="Q196" s="1269"/>
      <c r="R196" s="1269"/>
      <c r="S196" s="1270"/>
    </row>
    <row r="197" spans="1:19" x14ac:dyDescent="0.25">
      <c r="A197" s="468" t="s">
        <v>751</v>
      </c>
      <c r="B197" s="468"/>
      <c r="C197" s="468"/>
      <c r="D197" s="468"/>
      <c r="E197" s="468"/>
      <c r="F197" s="468"/>
      <c r="G197" s="468"/>
      <c r="H197" s="468"/>
      <c r="I197" s="468"/>
      <c r="J197" s="468"/>
      <c r="K197" s="1268">
        <f>COUNTIFS('CONSUMER FEEDBACK'!E13:E5000,"Other (specify in Note Section) ")</f>
        <v>0</v>
      </c>
      <c r="L197" s="1269"/>
      <c r="M197" s="1269"/>
      <c r="N197" s="1269"/>
      <c r="O197" s="1269"/>
      <c r="P197" s="1269"/>
      <c r="Q197" s="1269"/>
      <c r="R197" s="1269"/>
      <c r="S197" s="1270"/>
    </row>
    <row r="198" spans="1:19" x14ac:dyDescent="0.25">
      <c r="A198" s="634"/>
      <c r="B198" s="509"/>
      <c r="C198" s="509"/>
      <c r="D198" s="509"/>
      <c r="E198" s="509"/>
      <c r="F198" s="509"/>
      <c r="G198" s="509"/>
      <c r="H198" s="509"/>
      <c r="I198" s="509"/>
      <c r="J198" s="510"/>
      <c r="K198" s="1268"/>
      <c r="L198" s="1269"/>
      <c r="M198" s="1269"/>
      <c r="N198" s="1269"/>
      <c r="O198" s="1269"/>
      <c r="P198" s="1269"/>
      <c r="Q198" s="1269"/>
      <c r="R198" s="1269"/>
      <c r="S198" s="1270"/>
    </row>
    <row r="199" spans="1:19" ht="15.75" x14ac:dyDescent="0.25">
      <c r="A199" s="1349" t="s">
        <v>390</v>
      </c>
      <c r="B199" s="1349"/>
      <c r="C199" s="1349"/>
      <c r="D199" s="1349"/>
      <c r="E199" s="1349"/>
      <c r="F199" s="1349"/>
      <c r="G199" s="1349"/>
      <c r="H199" s="1349"/>
      <c r="I199" s="1349"/>
      <c r="J199" s="1349"/>
      <c r="K199" s="1613">
        <f>SUM(K194:K198)</f>
        <v>0</v>
      </c>
      <c r="L199" s="1613"/>
      <c r="M199" s="1613"/>
      <c r="N199" s="1613"/>
      <c r="O199" s="1613"/>
      <c r="P199" s="1613"/>
      <c r="Q199" s="1613"/>
      <c r="R199" s="1613"/>
      <c r="S199" s="1613"/>
    </row>
  </sheetData>
  <sheetProtection algorithmName="SHA-512" hashValue="dCBWfVFkj9cHYyjbjZ+C84SYC2FGKIKbdt9b49FNmz/e2NLeCavt6cTYNS3gNdXvbA+foV5QnurSAs2haW6ToA==" saltValue="APC+/VnAV/doqpOzbwRZ9A==" spinCount="100000" sheet="1" objects="1" scenarios="1"/>
  <mergeCells count="1195">
    <mergeCell ref="AG158:AW158"/>
    <mergeCell ref="AG159:AW159"/>
    <mergeCell ref="AG169:AP169"/>
    <mergeCell ref="AQ169:AW169"/>
    <mergeCell ref="AQ171:AW171"/>
    <mergeCell ref="AG172:AP172"/>
    <mergeCell ref="AQ172:AW172"/>
    <mergeCell ref="AG173:AP173"/>
    <mergeCell ref="AQ173:AW173"/>
    <mergeCell ref="A173:V173"/>
    <mergeCell ref="AG160:AP160"/>
    <mergeCell ref="AG161:AP161"/>
    <mergeCell ref="AG162:AP162"/>
    <mergeCell ref="AG163:AP163"/>
    <mergeCell ref="AG164:AP164"/>
    <mergeCell ref="AG165:AP165"/>
    <mergeCell ref="AG166:AP166"/>
    <mergeCell ref="AG167:AP167"/>
    <mergeCell ref="AG168:AP168"/>
    <mergeCell ref="AQ160:AW160"/>
    <mergeCell ref="AQ161:AW161"/>
    <mergeCell ref="AQ162:AW162"/>
    <mergeCell ref="AQ163:AW163"/>
    <mergeCell ref="AQ164:AW164"/>
    <mergeCell ref="AQ165:AW165"/>
    <mergeCell ref="AQ166:AW166"/>
    <mergeCell ref="AQ167:AW167"/>
    <mergeCell ref="AQ168:AW168"/>
    <mergeCell ref="A165:H165"/>
    <mergeCell ref="I165:L165"/>
    <mergeCell ref="M165:Q165"/>
    <mergeCell ref="A166:H166"/>
    <mergeCell ref="I166:L166"/>
    <mergeCell ref="M166:Q166"/>
    <mergeCell ref="A167:H167"/>
    <mergeCell ref="I167:L167"/>
    <mergeCell ref="M167:Q167"/>
    <mergeCell ref="A168:H168"/>
    <mergeCell ref="AG170:AP170"/>
    <mergeCell ref="A169:H169"/>
    <mergeCell ref="A170:H170"/>
    <mergeCell ref="A171:H171"/>
    <mergeCell ref="A172:H172"/>
    <mergeCell ref="I172:L172"/>
    <mergeCell ref="M172:Q172"/>
    <mergeCell ref="R172:V172"/>
    <mergeCell ref="W170:AB170"/>
    <mergeCell ref="W171:AB171"/>
    <mergeCell ref="W172:AB172"/>
    <mergeCell ref="AG171:AP171"/>
    <mergeCell ref="I169:L169"/>
    <mergeCell ref="M169:Q169"/>
    <mergeCell ref="R169:V169"/>
    <mergeCell ref="I168:L168"/>
    <mergeCell ref="I171:L171"/>
    <mergeCell ref="M171:Q171"/>
    <mergeCell ref="R171:V171"/>
    <mergeCell ref="I170:L170"/>
    <mergeCell ref="M170:Q170"/>
    <mergeCell ref="R170:V170"/>
    <mergeCell ref="M159:Q159"/>
    <mergeCell ref="R159:V159"/>
    <mergeCell ref="A160:H160"/>
    <mergeCell ref="I160:L160"/>
    <mergeCell ref="M160:Q160"/>
    <mergeCell ref="R160:V160"/>
    <mergeCell ref="A161:H161"/>
    <mergeCell ref="I161:L161"/>
    <mergeCell ref="M161:Q161"/>
    <mergeCell ref="R161:V161"/>
    <mergeCell ref="A162:H162"/>
    <mergeCell ref="I162:L162"/>
    <mergeCell ref="M162:Q162"/>
    <mergeCell ref="A163:H163"/>
    <mergeCell ref="I163:L163"/>
    <mergeCell ref="M163:Q163"/>
    <mergeCell ref="A164:H164"/>
    <mergeCell ref="I164:L164"/>
    <mergeCell ref="M164:Q164"/>
    <mergeCell ref="A159:H159"/>
    <mergeCell ref="I159:L159"/>
    <mergeCell ref="R163:V163"/>
    <mergeCell ref="R162:V162"/>
    <mergeCell ref="R164:V164"/>
    <mergeCell ref="AU150:BO150"/>
    <mergeCell ref="AU152:BB152"/>
    <mergeCell ref="BC152:BI152"/>
    <mergeCell ref="AU153:BB153"/>
    <mergeCell ref="BC153:BI153"/>
    <mergeCell ref="AU154:BB154"/>
    <mergeCell ref="BC154:BI154"/>
    <mergeCell ref="AU155:BB155"/>
    <mergeCell ref="BC155:BI155"/>
    <mergeCell ref="AU151:BI151"/>
    <mergeCell ref="A143:U143"/>
    <mergeCell ref="A145:H145"/>
    <mergeCell ref="I145:O145"/>
    <mergeCell ref="A146:H146"/>
    <mergeCell ref="I146:O146"/>
    <mergeCell ref="A147:H147"/>
    <mergeCell ref="I147:O147"/>
    <mergeCell ref="A148:H148"/>
    <mergeCell ref="I148:O148"/>
    <mergeCell ref="X143:AR143"/>
    <mergeCell ref="X145:AE145"/>
    <mergeCell ref="AF145:AL145"/>
    <mergeCell ref="X146:AE146"/>
    <mergeCell ref="AF146:AL146"/>
    <mergeCell ref="X147:AE147"/>
    <mergeCell ref="AF147:AL147"/>
    <mergeCell ref="X148:AE148"/>
    <mergeCell ref="AF148:AL148"/>
    <mergeCell ref="A197:J197"/>
    <mergeCell ref="A199:J199"/>
    <mergeCell ref="K193:S193"/>
    <mergeCell ref="K194:S194"/>
    <mergeCell ref="K195:S195"/>
    <mergeCell ref="K196:S196"/>
    <mergeCell ref="K197:S197"/>
    <mergeCell ref="K199:S199"/>
    <mergeCell ref="A198:J198"/>
    <mergeCell ref="K198:S198"/>
    <mergeCell ref="A188:AC188"/>
    <mergeCell ref="AD188:AL188"/>
    <mergeCell ref="AM188:AU188"/>
    <mergeCell ref="AV188:BD188"/>
    <mergeCell ref="A191:CV191"/>
    <mergeCell ref="A193:J193"/>
    <mergeCell ref="A194:J194"/>
    <mergeCell ref="A195:J195"/>
    <mergeCell ref="A196:J196"/>
    <mergeCell ref="BS139:BX139"/>
    <mergeCell ref="AD178:AL178"/>
    <mergeCell ref="AD179:AL179"/>
    <mergeCell ref="AD180:AL180"/>
    <mergeCell ref="AD181:AL181"/>
    <mergeCell ref="AD182:AL182"/>
    <mergeCell ref="AD183:AL183"/>
    <mergeCell ref="AD184:AL184"/>
    <mergeCell ref="AM178:AU178"/>
    <mergeCell ref="AM179:AU179"/>
    <mergeCell ref="AM180:AU180"/>
    <mergeCell ref="AM181:AU181"/>
    <mergeCell ref="AM182:AU182"/>
    <mergeCell ref="AM183:AU183"/>
    <mergeCell ref="AM184:AU184"/>
    <mergeCell ref="AV178:BD178"/>
    <mergeCell ref="AV179:BD179"/>
    <mergeCell ref="AV180:BD180"/>
    <mergeCell ref="AV181:BD181"/>
    <mergeCell ref="AV182:BD182"/>
    <mergeCell ref="AV183:BD183"/>
    <mergeCell ref="AV184:BD184"/>
    <mergeCell ref="AV177:BD177"/>
    <mergeCell ref="A141:CV141"/>
    <mergeCell ref="A150:U150"/>
    <mergeCell ref="A152:H152"/>
    <mergeCell ref="I152:O152"/>
    <mergeCell ref="A153:H153"/>
    <mergeCell ref="I153:O153"/>
    <mergeCell ref="A154:H154"/>
    <mergeCell ref="I154:O154"/>
    <mergeCell ref="A155:H155"/>
    <mergeCell ref="A185:AC185"/>
    <mergeCell ref="A186:AC186"/>
    <mergeCell ref="A187:AC187"/>
    <mergeCell ref="AD177:AL177"/>
    <mergeCell ref="AM177:AU177"/>
    <mergeCell ref="A139:V139"/>
    <mergeCell ref="W139:AB139"/>
    <mergeCell ref="AC139:AH139"/>
    <mergeCell ref="AI139:AN139"/>
    <mergeCell ref="AO139:AT139"/>
    <mergeCell ref="AU139:AZ139"/>
    <mergeCell ref="BA139:BF139"/>
    <mergeCell ref="BG139:BL139"/>
    <mergeCell ref="AD185:AL185"/>
    <mergeCell ref="AD186:AL186"/>
    <mergeCell ref="AD187:AL187"/>
    <mergeCell ref="AM185:AU185"/>
    <mergeCell ref="AM186:AU186"/>
    <mergeCell ref="AM187:AU187"/>
    <mergeCell ref="AV185:BD185"/>
    <mergeCell ref="AV186:BD186"/>
    <mergeCell ref="AV187:BD187"/>
    <mergeCell ref="A175:CV175"/>
    <mergeCell ref="A177:AC177"/>
    <mergeCell ref="A178:AC178"/>
    <mergeCell ref="A179:AC179"/>
    <mergeCell ref="A180:AC180"/>
    <mergeCell ref="A181:AC181"/>
    <mergeCell ref="A182:AC182"/>
    <mergeCell ref="A183:AC183"/>
    <mergeCell ref="A184:AC184"/>
    <mergeCell ref="BM139:BR139"/>
    <mergeCell ref="BM136:BR136"/>
    <mergeCell ref="BM137:BR137"/>
    <mergeCell ref="BM138:BR138"/>
    <mergeCell ref="BS134:BX134"/>
    <mergeCell ref="BS135:BX135"/>
    <mergeCell ref="BS136:BX136"/>
    <mergeCell ref="BS137:BX137"/>
    <mergeCell ref="BS138:BX138"/>
    <mergeCell ref="BA134:BF134"/>
    <mergeCell ref="BA135:BF135"/>
    <mergeCell ref="BA136:BF136"/>
    <mergeCell ref="BA137:BF137"/>
    <mergeCell ref="BA138:BF138"/>
    <mergeCell ref="BG134:BL134"/>
    <mergeCell ref="BG135:BL135"/>
    <mergeCell ref="BG136:BL136"/>
    <mergeCell ref="BG137:BL137"/>
    <mergeCell ref="BG138:BL138"/>
    <mergeCell ref="BS133:BX133"/>
    <mergeCell ref="A133:V133"/>
    <mergeCell ref="W133:AB133"/>
    <mergeCell ref="AC133:AH133"/>
    <mergeCell ref="AI133:AN133"/>
    <mergeCell ref="AO133:AT133"/>
    <mergeCell ref="AU133:AZ133"/>
    <mergeCell ref="BA133:BF133"/>
    <mergeCell ref="BG133:BL133"/>
    <mergeCell ref="BM133:BR133"/>
    <mergeCell ref="AO134:AT134"/>
    <mergeCell ref="AO135:AT135"/>
    <mergeCell ref="AO136:AT136"/>
    <mergeCell ref="AO137:AT137"/>
    <mergeCell ref="AO138:AT138"/>
    <mergeCell ref="AU134:AZ134"/>
    <mergeCell ref="AU135:AZ135"/>
    <mergeCell ref="AU136:AZ136"/>
    <mergeCell ref="AU137:AZ137"/>
    <mergeCell ref="AU138:AZ138"/>
    <mergeCell ref="AC134:AH134"/>
    <mergeCell ref="AC135:AH135"/>
    <mergeCell ref="AC136:AH136"/>
    <mergeCell ref="AC137:AH137"/>
    <mergeCell ref="AC138:AH138"/>
    <mergeCell ref="AI134:AN134"/>
    <mergeCell ref="AI135:AN135"/>
    <mergeCell ref="AI136:AN136"/>
    <mergeCell ref="AI137:AN137"/>
    <mergeCell ref="AI138:AN138"/>
    <mergeCell ref="BM134:BR134"/>
    <mergeCell ref="BM135:BR135"/>
    <mergeCell ref="A135:V135"/>
    <mergeCell ref="A136:V136"/>
    <mergeCell ref="A137:V137"/>
    <mergeCell ref="A138:V138"/>
    <mergeCell ref="W134:AB134"/>
    <mergeCell ref="W135:AB135"/>
    <mergeCell ref="W136:AB136"/>
    <mergeCell ref="W137:AB137"/>
    <mergeCell ref="W138:AB138"/>
    <mergeCell ref="I155:O155"/>
    <mergeCell ref="X150:AR150"/>
    <mergeCell ref="X152:AE152"/>
    <mergeCell ref="AF152:AL152"/>
    <mergeCell ref="X153:AE153"/>
    <mergeCell ref="AF153:AL153"/>
    <mergeCell ref="X154:AE154"/>
    <mergeCell ref="AF154:AL154"/>
    <mergeCell ref="X155:AE155"/>
    <mergeCell ref="AF155:AL155"/>
    <mergeCell ref="R165:V165"/>
    <mergeCell ref="BA166:BJ166"/>
    <mergeCell ref="BK166:BQ166"/>
    <mergeCell ref="BA167:BJ167"/>
    <mergeCell ref="BK167:BQ167"/>
    <mergeCell ref="BA168:BJ168"/>
    <mergeCell ref="BK168:BQ168"/>
    <mergeCell ref="M168:Q168"/>
    <mergeCell ref="R168:V168"/>
    <mergeCell ref="R166:V166"/>
    <mergeCell ref="R167:V167"/>
    <mergeCell ref="BA169:BJ169"/>
    <mergeCell ref="BK169:BQ169"/>
    <mergeCell ref="BA170:BJ170"/>
    <mergeCell ref="BK170:BQ170"/>
    <mergeCell ref="AQ170:AW170"/>
    <mergeCell ref="AS122:BG122"/>
    <mergeCell ref="W122:AE122"/>
    <mergeCell ref="AF122:AR122"/>
    <mergeCell ref="A124:V124"/>
    <mergeCell ref="W124:AB124"/>
    <mergeCell ref="AC124:AH124"/>
    <mergeCell ref="AI124:AN124"/>
    <mergeCell ref="AO124:AT124"/>
    <mergeCell ref="AU124:AZ124"/>
    <mergeCell ref="BA124:BF124"/>
    <mergeCell ref="BG124:BL124"/>
    <mergeCell ref="BM124:BR124"/>
    <mergeCell ref="AC127:AH127"/>
    <mergeCell ref="AI127:AN127"/>
    <mergeCell ref="AO127:AT127"/>
    <mergeCell ref="AU127:AZ127"/>
    <mergeCell ref="W110:AE110"/>
    <mergeCell ref="AF110:AR110"/>
    <mergeCell ref="AS110:BG110"/>
    <mergeCell ref="W111:AE111"/>
    <mergeCell ref="W112:AE112"/>
    <mergeCell ref="W113:AE113"/>
    <mergeCell ref="W114:AE114"/>
    <mergeCell ref="AF111:AR111"/>
    <mergeCell ref="AF112:AR112"/>
    <mergeCell ref="AF113:AR113"/>
    <mergeCell ref="AF114:AR114"/>
    <mergeCell ref="AS111:BG111"/>
    <mergeCell ref="AS112:BG112"/>
    <mergeCell ref="AS113:BG113"/>
    <mergeCell ref="AS114:BG114"/>
    <mergeCell ref="W115:AE115"/>
    <mergeCell ref="AF115:AR115"/>
    <mergeCell ref="AS115:BG115"/>
    <mergeCell ref="W119:AE119"/>
    <mergeCell ref="AF119:AR119"/>
    <mergeCell ref="A122:V122"/>
    <mergeCell ref="A108:CV108"/>
    <mergeCell ref="A110:V110"/>
    <mergeCell ref="A111:V111"/>
    <mergeCell ref="A112:V112"/>
    <mergeCell ref="A113:V113"/>
    <mergeCell ref="A114:V114"/>
    <mergeCell ref="A115:V115"/>
    <mergeCell ref="A116:V116"/>
    <mergeCell ref="A117:V117"/>
    <mergeCell ref="A118:V118"/>
    <mergeCell ref="AS119:BG119"/>
    <mergeCell ref="W120:AE120"/>
    <mergeCell ref="AF120:AR120"/>
    <mergeCell ref="AS120:BG120"/>
    <mergeCell ref="W121:AE121"/>
    <mergeCell ref="AF121:AR121"/>
    <mergeCell ref="AS121:BG121"/>
    <mergeCell ref="W116:AE116"/>
    <mergeCell ref="AF116:AR116"/>
    <mergeCell ref="AS116:BG116"/>
    <mergeCell ref="W117:AE117"/>
    <mergeCell ref="AF117:AR117"/>
    <mergeCell ref="AS117:BG117"/>
    <mergeCell ref="W118:AE118"/>
    <mergeCell ref="AF118:AR118"/>
    <mergeCell ref="AS118:BG118"/>
    <mergeCell ref="A119:V119"/>
    <mergeCell ref="A120:V120"/>
    <mergeCell ref="A121:V121"/>
    <mergeCell ref="G57:P57"/>
    <mergeCell ref="Q57:T57"/>
    <mergeCell ref="A49:L49"/>
    <mergeCell ref="A50:J50"/>
    <mergeCell ref="K50:N50"/>
    <mergeCell ref="W46:X46"/>
    <mergeCell ref="Y46:Z46"/>
    <mergeCell ref="AT46:AU46"/>
    <mergeCell ref="AV46:AW46"/>
    <mergeCell ref="Q46:R46"/>
    <mergeCell ref="S46:T46"/>
    <mergeCell ref="U46:V46"/>
    <mergeCell ref="AC44:AD44"/>
    <mergeCell ref="AE44:AF44"/>
    <mergeCell ref="AG44:AH44"/>
    <mergeCell ref="AA45:AB45"/>
    <mergeCell ref="AC45:AD45"/>
    <mergeCell ref="AE45:AF45"/>
    <mergeCell ref="AG45:AH45"/>
    <mergeCell ref="AI45:AJ45"/>
    <mergeCell ref="AK45:AL45"/>
    <mergeCell ref="A47:AL47"/>
    <mergeCell ref="AM47:AP47"/>
    <mergeCell ref="K44:L44"/>
    <mergeCell ref="M44:N44"/>
    <mergeCell ref="O44:P44"/>
    <mergeCell ref="Q44:R44"/>
    <mergeCell ref="S44:T44"/>
    <mergeCell ref="U44:V44"/>
    <mergeCell ref="W44:X44"/>
    <mergeCell ref="AR47:BC47"/>
    <mergeCell ref="AZ45:BA45"/>
    <mergeCell ref="A79:U79"/>
    <mergeCell ref="V79:Z79"/>
    <mergeCell ref="G54:P54"/>
    <mergeCell ref="Q54:T54"/>
    <mergeCell ref="G55:P55"/>
    <mergeCell ref="Q55:T55"/>
    <mergeCell ref="G56:P56"/>
    <mergeCell ref="A86:J86"/>
    <mergeCell ref="K86:O86"/>
    <mergeCell ref="A71:U71"/>
    <mergeCell ref="A87:J87"/>
    <mergeCell ref="K87:O87"/>
    <mergeCell ref="A82:O82"/>
    <mergeCell ref="A83:J83"/>
    <mergeCell ref="K83:O83"/>
    <mergeCell ref="A84:J84"/>
    <mergeCell ref="K84:O84"/>
    <mergeCell ref="A85:J85"/>
    <mergeCell ref="K85:O85"/>
    <mergeCell ref="A81:BG81"/>
    <mergeCell ref="A72:U72"/>
    <mergeCell ref="V72:Z72"/>
    <mergeCell ref="A73:U73"/>
    <mergeCell ref="A74:U74"/>
    <mergeCell ref="V74:Z74"/>
    <mergeCell ref="A75:U75"/>
    <mergeCell ref="A76:U76"/>
    <mergeCell ref="V76:Z76"/>
    <mergeCell ref="A78:U78"/>
    <mergeCell ref="V78:Z78"/>
    <mergeCell ref="A80:U80"/>
    <mergeCell ref="V80:Z80"/>
    <mergeCell ref="A95:L95"/>
    <mergeCell ref="A90:L90"/>
    <mergeCell ref="A89:BG89"/>
    <mergeCell ref="M95:P95"/>
    <mergeCell ref="M90:P90"/>
    <mergeCell ref="Q90:T90"/>
    <mergeCell ref="Q91:T91"/>
    <mergeCell ref="Q92:T92"/>
    <mergeCell ref="Q94:T94"/>
    <mergeCell ref="Q95:T95"/>
    <mergeCell ref="M91:P91"/>
    <mergeCell ref="M92:P92"/>
    <mergeCell ref="M94:P94"/>
    <mergeCell ref="A93:L93"/>
    <mergeCell ref="M93:P93"/>
    <mergeCell ref="Q93:T93"/>
    <mergeCell ref="A91:L91"/>
    <mergeCell ref="A92:L92"/>
    <mergeCell ref="A94:L94"/>
    <mergeCell ref="V73:Z73"/>
    <mergeCell ref="V75:Z75"/>
    <mergeCell ref="V77:Z77"/>
    <mergeCell ref="V68:Z68"/>
    <mergeCell ref="Q56:T56"/>
    <mergeCell ref="AM48:AP48"/>
    <mergeCell ref="AR48:BC48"/>
    <mergeCell ref="A52:T52"/>
    <mergeCell ref="A69:U69"/>
    <mergeCell ref="V69:Z69"/>
    <mergeCell ref="A70:U70"/>
    <mergeCell ref="V70:Z70"/>
    <mergeCell ref="A62:U62"/>
    <mergeCell ref="V67:Z67"/>
    <mergeCell ref="A48:AL48"/>
    <mergeCell ref="AM61:BG61"/>
    <mergeCell ref="AM63:AT63"/>
    <mergeCell ref="AM64:AT64"/>
    <mergeCell ref="AM65:AT65"/>
    <mergeCell ref="AM66:AT66"/>
    <mergeCell ref="AU63:BA63"/>
    <mergeCell ref="AU64:BA64"/>
    <mergeCell ref="AU65:BA65"/>
    <mergeCell ref="AU66:BA66"/>
    <mergeCell ref="AM69:BG69"/>
    <mergeCell ref="AM71:AT71"/>
    <mergeCell ref="AU71:BA71"/>
    <mergeCell ref="AU72:BA72"/>
    <mergeCell ref="AM73:AT73"/>
    <mergeCell ref="AU73:BA73"/>
    <mergeCell ref="AM74:AT74"/>
    <mergeCell ref="AU74:BA74"/>
    <mergeCell ref="AE42:AF42"/>
    <mergeCell ref="AG42:AH42"/>
    <mergeCell ref="AI42:AJ42"/>
    <mergeCell ref="O42:P42"/>
    <mergeCell ref="Q42:R42"/>
    <mergeCell ref="AA46:AB46"/>
    <mergeCell ref="AC46:AD46"/>
    <mergeCell ref="AE46:AF46"/>
    <mergeCell ref="AG46:AH46"/>
    <mergeCell ref="AI46:AJ46"/>
    <mergeCell ref="AK46:AL46"/>
    <mergeCell ref="AM46:AN46"/>
    <mergeCell ref="AO46:AP46"/>
    <mergeCell ref="A46:J46"/>
    <mergeCell ref="K46:L46"/>
    <mergeCell ref="M46:N46"/>
    <mergeCell ref="O46:P46"/>
    <mergeCell ref="M45:N45"/>
    <mergeCell ref="O45:P45"/>
    <mergeCell ref="Q45:R45"/>
    <mergeCell ref="S45:T45"/>
    <mergeCell ref="U45:V45"/>
    <mergeCell ref="W45:X45"/>
    <mergeCell ref="Y45:Z45"/>
    <mergeCell ref="AO45:AP45"/>
    <mergeCell ref="A45:J45"/>
    <mergeCell ref="K45:L45"/>
    <mergeCell ref="AM45:AN45"/>
    <mergeCell ref="M43:N43"/>
    <mergeCell ref="O43:P43"/>
    <mergeCell ref="Q43:R43"/>
    <mergeCell ref="A44:J44"/>
    <mergeCell ref="AK41:AL41"/>
    <mergeCell ref="AO41:AP41"/>
    <mergeCell ref="AC41:AD41"/>
    <mergeCell ref="AE41:AF41"/>
    <mergeCell ref="AG41:AH41"/>
    <mergeCell ref="AI41:AJ41"/>
    <mergeCell ref="AM41:AN41"/>
    <mergeCell ref="AT40:AU40"/>
    <mergeCell ref="Y40:Z40"/>
    <mergeCell ref="AR41:AS41"/>
    <mergeCell ref="M42:N42"/>
    <mergeCell ref="AE40:AF40"/>
    <mergeCell ref="AA43:AB43"/>
    <mergeCell ref="A43:J43"/>
    <mergeCell ref="K43:L43"/>
    <mergeCell ref="Y44:Z44"/>
    <mergeCell ref="AA44:AB44"/>
    <mergeCell ref="AI44:AJ44"/>
    <mergeCell ref="AK44:AL44"/>
    <mergeCell ref="AK43:AL43"/>
    <mergeCell ref="AC43:AD43"/>
    <mergeCell ref="AE43:AF43"/>
    <mergeCell ref="AG43:AH43"/>
    <mergeCell ref="AI43:AJ43"/>
    <mergeCell ref="S43:T43"/>
    <mergeCell ref="U43:V43"/>
    <mergeCell ref="W43:X43"/>
    <mergeCell ref="Y43:Z43"/>
    <mergeCell ref="S42:T42"/>
    <mergeCell ref="U42:V42"/>
    <mergeCell ref="W42:X42"/>
    <mergeCell ref="Y42:Z42"/>
    <mergeCell ref="AA40:AB40"/>
    <mergeCell ref="A40:J40"/>
    <mergeCell ref="K40:L40"/>
    <mergeCell ref="M40:N40"/>
    <mergeCell ref="O40:P40"/>
    <mergeCell ref="Q40:R40"/>
    <mergeCell ref="S40:T40"/>
    <mergeCell ref="U40:V40"/>
    <mergeCell ref="W40:X40"/>
    <mergeCell ref="M41:N41"/>
    <mergeCell ref="O41:P41"/>
    <mergeCell ref="Q41:R41"/>
    <mergeCell ref="S41:T41"/>
    <mergeCell ref="U41:V41"/>
    <mergeCell ref="W41:X41"/>
    <mergeCell ref="Y41:Z41"/>
    <mergeCell ref="AC42:AD42"/>
    <mergeCell ref="AA41:AB41"/>
    <mergeCell ref="AA42:AB42"/>
    <mergeCell ref="A39:J39"/>
    <mergeCell ref="K39:L39"/>
    <mergeCell ref="M39:N39"/>
    <mergeCell ref="O39:P39"/>
    <mergeCell ref="Q39:R39"/>
    <mergeCell ref="S39:T39"/>
    <mergeCell ref="U39:V39"/>
    <mergeCell ref="W39:X39"/>
    <mergeCell ref="Y39:Z39"/>
    <mergeCell ref="AA39:AB39"/>
    <mergeCell ref="AC39:AD39"/>
    <mergeCell ref="AE39:AF39"/>
    <mergeCell ref="AG39:AH39"/>
    <mergeCell ref="AI39:AJ39"/>
    <mergeCell ref="AK39:AL39"/>
    <mergeCell ref="AM39:AN39"/>
    <mergeCell ref="AO39:AP39"/>
    <mergeCell ref="BF28:BG28"/>
    <mergeCell ref="BF26:BG26"/>
    <mergeCell ref="AZ28:BA28"/>
    <mergeCell ref="BB28:BC28"/>
    <mergeCell ref="AR26:AS26"/>
    <mergeCell ref="AI28:AJ28"/>
    <mergeCell ref="AK28:AL28"/>
    <mergeCell ref="AM28:AN28"/>
    <mergeCell ref="BD27:BE27"/>
    <mergeCell ref="BD28:BE28"/>
    <mergeCell ref="AT26:AU26"/>
    <mergeCell ref="AR29:AS29"/>
    <mergeCell ref="O25:P25"/>
    <mergeCell ref="Q25:R25"/>
    <mergeCell ref="AI40:AJ40"/>
    <mergeCell ref="AK40:AL40"/>
    <mergeCell ref="AM40:AN40"/>
    <mergeCell ref="AO40:AP40"/>
    <mergeCell ref="AR39:AS39"/>
    <mergeCell ref="AT39:AU39"/>
    <mergeCell ref="AZ40:BA40"/>
    <mergeCell ref="AE38:AF38"/>
    <mergeCell ref="AC31:AD31"/>
    <mergeCell ref="AE31:AF31"/>
    <mergeCell ref="AO26:AP26"/>
    <mergeCell ref="AG28:AH28"/>
    <mergeCell ref="AI30:AJ30"/>
    <mergeCell ref="AA30:AB30"/>
    <mergeCell ref="AC30:AD30"/>
    <mergeCell ref="BD38:BE38"/>
    <mergeCell ref="BD36:BG36"/>
    <mergeCell ref="O37:P37"/>
    <mergeCell ref="AO30:AP30"/>
    <mergeCell ref="AG31:AH31"/>
    <mergeCell ref="AI31:AJ31"/>
    <mergeCell ref="AK31:AL31"/>
    <mergeCell ref="AM31:AN31"/>
    <mergeCell ref="AO31:AP31"/>
    <mergeCell ref="Y28:Z28"/>
    <mergeCell ref="BF25:BG25"/>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AO29:AP29"/>
    <mergeCell ref="W28:X28"/>
    <mergeCell ref="AX28:AY28"/>
    <mergeCell ref="AK27:AL27"/>
    <mergeCell ref="AT28:AU28"/>
    <mergeCell ref="M27:N27"/>
    <mergeCell ref="O27:P27"/>
    <mergeCell ref="Q27:R27"/>
    <mergeCell ref="BF27:BG27"/>
    <mergeCell ref="BD29:BE29"/>
    <mergeCell ref="AZ27:BA27"/>
    <mergeCell ref="BB27:BC27"/>
    <mergeCell ref="A28:J28"/>
    <mergeCell ref="K28:L28"/>
    <mergeCell ref="M28:N28"/>
    <mergeCell ref="O28:P28"/>
    <mergeCell ref="Q28:R28"/>
    <mergeCell ref="S28:T28"/>
    <mergeCell ref="AM27:AN27"/>
    <mergeCell ref="AO27:AP27"/>
    <mergeCell ref="AR27:AS27"/>
    <mergeCell ref="AT27:AU27"/>
    <mergeCell ref="AV27:AW27"/>
    <mergeCell ref="AX27:AY27"/>
    <mergeCell ref="AA27:AB27"/>
    <mergeCell ref="AC27:AD27"/>
    <mergeCell ref="AE27:AF27"/>
    <mergeCell ref="AG27:AH27"/>
    <mergeCell ref="AI27:AJ27"/>
    <mergeCell ref="U28:V28"/>
    <mergeCell ref="S27:T27"/>
    <mergeCell ref="U27:V27"/>
    <mergeCell ref="W27:X27"/>
    <mergeCell ref="AA28:AB28"/>
    <mergeCell ref="AC28:AD28"/>
    <mergeCell ref="AE28:AF28"/>
    <mergeCell ref="A3:AU3"/>
    <mergeCell ref="A2:AU2"/>
    <mergeCell ref="A1:AU1"/>
    <mergeCell ref="X19:AE19"/>
    <mergeCell ref="BD23:BG23"/>
    <mergeCell ref="K24:L24"/>
    <mergeCell ref="M24:N24"/>
    <mergeCell ref="O24:P24"/>
    <mergeCell ref="Q24:R24"/>
    <mergeCell ref="S24:T24"/>
    <mergeCell ref="AV23:AY23"/>
    <mergeCell ref="AZ23:BC23"/>
    <mergeCell ref="A21:BG21"/>
    <mergeCell ref="S23:V23"/>
    <mergeCell ref="K8:R8"/>
    <mergeCell ref="S8:U8"/>
    <mergeCell ref="W8:AE8"/>
    <mergeCell ref="A16:W16"/>
    <mergeCell ref="X16:AE16"/>
    <mergeCell ref="A17:W17"/>
    <mergeCell ref="X18:AE18"/>
    <mergeCell ref="BF24:BG24"/>
    <mergeCell ref="X17:AE17"/>
    <mergeCell ref="A19:W19"/>
    <mergeCell ref="A18:W18"/>
    <mergeCell ref="A14:W14"/>
    <mergeCell ref="X14:AE14"/>
    <mergeCell ref="A8:J8"/>
    <mergeCell ref="A11:BG11"/>
    <mergeCell ref="A12:W12"/>
    <mergeCell ref="AZ24:BA24"/>
    <mergeCell ref="AM24:AN24"/>
    <mergeCell ref="BB24:BC24"/>
    <mergeCell ref="A10:BG10"/>
    <mergeCell ref="X20:AE20"/>
    <mergeCell ref="AZ26:BA26"/>
    <mergeCell ref="BB26:BC26"/>
    <mergeCell ref="BD26:BE26"/>
    <mergeCell ref="AG26:AH26"/>
    <mergeCell ref="O23:R23"/>
    <mergeCell ref="AE26:AF26"/>
    <mergeCell ref="AA26:AB26"/>
    <mergeCell ref="AC26:AD26"/>
    <mergeCell ref="BD24:BE24"/>
    <mergeCell ref="AV25:AW25"/>
    <mergeCell ref="AX25:AY25"/>
    <mergeCell ref="AZ25:BA25"/>
    <mergeCell ref="BB25:BC25"/>
    <mergeCell ref="BD25:BE25"/>
    <mergeCell ref="AO24:AP24"/>
    <mergeCell ref="AR24:AS24"/>
    <mergeCell ref="AT24:AU24"/>
    <mergeCell ref="AV24:AW24"/>
    <mergeCell ref="AX24:AY24"/>
    <mergeCell ref="AV26:AW26"/>
    <mergeCell ref="AX26:AY26"/>
    <mergeCell ref="AI26:AJ26"/>
    <mergeCell ref="AK26:AL26"/>
    <mergeCell ref="AM26:AN26"/>
    <mergeCell ref="S25:T25"/>
    <mergeCell ref="A26:J26"/>
    <mergeCell ref="U25:V25"/>
    <mergeCell ref="W25:X25"/>
    <mergeCell ref="Y25:Z25"/>
    <mergeCell ref="Y32:Z32"/>
    <mergeCell ref="S32:T32"/>
    <mergeCell ref="AA32:AB32"/>
    <mergeCell ref="AZ33:BA33"/>
    <mergeCell ref="A32:J32"/>
    <mergeCell ref="Q38:R38"/>
    <mergeCell ref="A42:J42"/>
    <mergeCell ref="K42:L42"/>
    <mergeCell ref="K5:U5"/>
    <mergeCell ref="K6:U7"/>
    <mergeCell ref="A6:J7"/>
    <mergeCell ref="K4:U4"/>
    <mergeCell ref="A4:J4"/>
    <mergeCell ref="A5:J5"/>
    <mergeCell ref="W4:AE4"/>
    <mergeCell ref="W5:AE5"/>
    <mergeCell ref="W6:AE6"/>
    <mergeCell ref="W7:AE7"/>
    <mergeCell ref="AO28:AP28"/>
    <mergeCell ref="AR28:AS28"/>
    <mergeCell ref="AV28:AW28"/>
    <mergeCell ref="Y27:Z27"/>
    <mergeCell ref="AA25:AB25"/>
    <mergeCell ref="AC25:AD25"/>
    <mergeCell ref="AE25:AF25"/>
    <mergeCell ref="AG25:AH25"/>
    <mergeCell ref="AI25:AJ25"/>
    <mergeCell ref="AK25:AL25"/>
    <mergeCell ref="AM25:AN25"/>
    <mergeCell ref="AO25:AP25"/>
    <mergeCell ref="Y26:Z26"/>
    <mergeCell ref="AM30:AN30"/>
    <mergeCell ref="BD47:BG47"/>
    <mergeCell ref="AR46:AS46"/>
    <mergeCell ref="BD46:BE46"/>
    <mergeCell ref="BF46:BG46"/>
    <mergeCell ref="AZ30:BA30"/>
    <mergeCell ref="BB30:BC30"/>
    <mergeCell ref="BB31:BC31"/>
    <mergeCell ref="BD33:BE33"/>
    <mergeCell ref="BF33:BG33"/>
    <mergeCell ref="BF32:BG32"/>
    <mergeCell ref="AT32:AU32"/>
    <mergeCell ref="AV32:AW32"/>
    <mergeCell ref="AX32:AY32"/>
    <mergeCell ref="AZ32:BA32"/>
    <mergeCell ref="BB32:BC32"/>
    <mergeCell ref="BD32:BE32"/>
    <mergeCell ref="AR34:BC34"/>
    <mergeCell ref="BD40:BE40"/>
    <mergeCell ref="BF40:BG40"/>
    <mergeCell ref="AR37:AS37"/>
    <mergeCell ref="AT37:AU37"/>
    <mergeCell ref="AV37:AW37"/>
    <mergeCell ref="AX37:AY37"/>
    <mergeCell ref="AZ37:BA37"/>
    <mergeCell ref="BB37:BC37"/>
    <mergeCell ref="BD37:BE37"/>
    <mergeCell ref="BF37:BG37"/>
    <mergeCell ref="AR36:AU36"/>
    <mergeCell ref="AV36:AY36"/>
    <mergeCell ref="AZ36:BC36"/>
    <mergeCell ref="BF38:BG38"/>
    <mergeCell ref="BB38:BC38"/>
    <mergeCell ref="A33:J33"/>
    <mergeCell ref="K33:L33"/>
    <mergeCell ref="M33:N33"/>
    <mergeCell ref="O33:P33"/>
    <mergeCell ref="K38:L38"/>
    <mergeCell ref="M38:N38"/>
    <mergeCell ref="O38:P38"/>
    <mergeCell ref="Q33:R33"/>
    <mergeCell ref="S33:T33"/>
    <mergeCell ref="U33:V33"/>
    <mergeCell ref="W33:X33"/>
    <mergeCell ref="Y33:Z33"/>
    <mergeCell ref="AA33:AB33"/>
    <mergeCell ref="AC33:AD33"/>
    <mergeCell ref="S38:T38"/>
    <mergeCell ref="Y38:Z38"/>
    <mergeCell ref="AA38:AB38"/>
    <mergeCell ref="K37:L37"/>
    <mergeCell ref="M37:N37"/>
    <mergeCell ref="Q37:R37"/>
    <mergeCell ref="S37:T37"/>
    <mergeCell ref="AC38:AD38"/>
    <mergeCell ref="AO44:AP44"/>
    <mergeCell ref="AO43:AP43"/>
    <mergeCell ref="AM43:AN43"/>
    <mergeCell ref="AZ42:BA42"/>
    <mergeCell ref="BB42:BC42"/>
    <mergeCell ref="A63:U63"/>
    <mergeCell ref="V63:Z63"/>
    <mergeCell ref="A64:U64"/>
    <mergeCell ref="V64:Z64"/>
    <mergeCell ref="A65:U65"/>
    <mergeCell ref="V65:Z65"/>
    <mergeCell ref="A66:U66"/>
    <mergeCell ref="V66:Z66"/>
    <mergeCell ref="A67:U67"/>
    <mergeCell ref="A68:U68"/>
    <mergeCell ref="W37:X37"/>
    <mergeCell ref="Y37:Z37"/>
    <mergeCell ref="AA37:AB37"/>
    <mergeCell ref="AC37:AD37"/>
    <mergeCell ref="AC40:AD40"/>
    <mergeCell ref="AV39:AW39"/>
    <mergeCell ref="AX39:AY39"/>
    <mergeCell ref="AZ39:BA39"/>
    <mergeCell ref="BB39:BC39"/>
    <mergeCell ref="AZ41:BA41"/>
    <mergeCell ref="A41:J41"/>
    <mergeCell ref="K41:L41"/>
    <mergeCell ref="AI37:AJ37"/>
    <mergeCell ref="AV40:AW40"/>
    <mergeCell ref="AX40:AY40"/>
    <mergeCell ref="AT41:AU41"/>
    <mergeCell ref="AR40:AS40"/>
    <mergeCell ref="AK38:AL38"/>
    <mergeCell ref="AM38:AN38"/>
    <mergeCell ref="AG38:AH38"/>
    <mergeCell ref="AI38:AJ38"/>
    <mergeCell ref="AO38:AP38"/>
    <mergeCell ref="AR38:AS38"/>
    <mergeCell ref="AT38:AU38"/>
    <mergeCell ref="AK37:AL37"/>
    <mergeCell ref="A31:J31"/>
    <mergeCell ref="AM36:AP36"/>
    <mergeCell ref="AG37:AH37"/>
    <mergeCell ref="U32:V32"/>
    <mergeCell ref="W32:X32"/>
    <mergeCell ref="AE33:AF33"/>
    <mergeCell ref="X12:AE12"/>
    <mergeCell ref="BD48:BG48"/>
    <mergeCell ref="AK42:AL42"/>
    <mergeCell ref="AM42:AN42"/>
    <mergeCell ref="K25:L25"/>
    <mergeCell ref="M25:N25"/>
    <mergeCell ref="AO42:AP42"/>
    <mergeCell ref="BD43:BE43"/>
    <mergeCell ref="BF43:BG43"/>
    <mergeCell ref="AR42:AS42"/>
    <mergeCell ref="AT42:AU42"/>
    <mergeCell ref="AV42:AW42"/>
    <mergeCell ref="AX42:AY42"/>
    <mergeCell ref="BD42:BE42"/>
    <mergeCell ref="BF42:BG42"/>
    <mergeCell ref="AM44:AN44"/>
    <mergeCell ref="BD45:BE45"/>
    <mergeCell ref="BF45:BG45"/>
    <mergeCell ref="AX46:AY46"/>
    <mergeCell ref="AZ46:BA46"/>
    <mergeCell ref="BB46:BC46"/>
    <mergeCell ref="BB29:BC29"/>
    <mergeCell ref="AR33:AS33"/>
    <mergeCell ref="AT33:AU33"/>
    <mergeCell ref="AV33:AW33"/>
    <mergeCell ref="AT29:AU29"/>
    <mergeCell ref="AV29:AW29"/>
    <mergeCell ref="AX29:AY29"/>
    <mergeCell ref="AZ29:BA29"/>
    <mergeCell ref="AR32:AS32"/>
    <mergeCell ref="AR45:AS45"/>
    <mergeCell ref="AT45:AU45"/>
    <mergeCell ref="AV45:AW45"/>
    <mergeCell ref="BB41:BC41"/>
    <mergeCell ref="AT30:AU30"/>
    <mergeCell ref="AV30:AW30"/>
    <mergeCell ref="AX30:AY30"/>
    <mergeCell ref="AR43:AS43"/>
    <mergeCell ref="AV38:AW38"/>
    <mergeCell ref="BB40:BC40"/>
    <mergeCell ref="AX33:AY33"/>
    <mergeCell ref="AV41:AW41"/>
    <mergeCell ref="AX41:AY41"/>
    <mergeCell ref="BB33:BC33"/>
    <mergeCell ref="AX38:AY38"/>
    <mergeCell ref="AZ38:BA38"/>
    <mergeCell ref="AR44:AS44"/>
    <mergeCell ref="AT44:AU44"/>
    <mergeCell ref="AV44:AW44"/>
    <mergeCell ref="AX44:AY44"/>
    <mergeCell ref="AV31:AW31"/>
    <mergeCell ref="AX31:AY31"/>
    <mergeCell ref="AZ31:BA31"/>
    <mergeCell ref="AR30:AS30"/>
    <mergeCell ref="AT43:AU43"/>
    <mergeCell ref="AV43:AW43"/>
    <mergeCell ref="AX43:AY43"/>
    <mergeCell ref="AZ43:BA43"/>
    <mergeCell ref="BB43:BC43"/>
    <mergeCell ref="BD41:BE41"/>
    <mergeCell ref="BF41:BG41"/>
    <mergeCell ref="BD30:BE30"/>
    <mergeCell ref="BF30:BG30"/>
    <mergeCell ref="BD31:BE31"/>
    <mergeCell ref="BF31:BG31"/>
    <mergeCell ref="BD34:BG34"/>
    <mergeCell ref="BB45:BC45"/>
    <mergeCell ref="AZ44:BA44"/>
    <mergeCell ref="BB44:BC44"/>
    <mergeCell ref="BD44:BE44"/>
    <mergeCell ref="BF44:BG44"/>
    <mergeCell ref="AX45:AY45"/>
    <mergeCell ref="BD39:BE39"/>
    <mergeCell ref="BF39:BG39"/>
    <mergeCell ref="AM33:AN33"/>
    <mergeCell ref="AE37:AF37"/>
    <mergeCell ref="U38:V38"/>
    <mergeCell ref="W38:X38"/>
    <mergeCell ref="AG40:AH40"/>
    <mergeCell ref="A22:BG22"/>
    <mergeCell ref="A23:J24"/>
    <mergeCell ref="AR23:AU23"/>
    <mergeCell ref="AI23:AL23"/>
    <mergeCell ref="U24:V24"/>
    <mergeCell ref="W24:X24"/>
    <mergeCell ref="Y24:Z24"/>
    <mergeCell ref="AA24:AB24"/>
    <mergeCell ref="AC24:AD24"/>
    <mergeCell ref="AE24:AF24"/>
    <mergeCell ref="AG24:AH24"/>
    <mergeCell ref="AI24:AJ24"/>
    <mergeCell ref="AK24:AL24"/>
    <mergeCell ref="AR25:AS25"/>
    <mergeCell ref="AT25:AU25"/>
    <mergeCell ref="K31:L31"/>
    <mergeCell ref="M31:N31"/>
    <mergeCell ref="O31:P31"/>
    <mergeCell ref="Q31:R31"/>
    <mergeCell ref="S31:T31"/>
    <mergeCell ref="W31:X31"/>
    <mergeCell ref="Y31:Z31"/>
    <mergeCell ref="U31:V31"/>
    <mergeCell ref="AA31:AB31"/>
    <mergeCell ref="BF29:BG29"/>
    <mergeCell ref="AR31:AS31"/>
    <mergeCell ref="AT31:AU31"/>
    <mergeCell ref="S26:T26"/>
    <mergeCell ref="U26:V26"/>
    <mergeCell ref="W26:X26"/>
    <mergeCell ref="K32:L32"/>
    <mergeCell ref="M32:N32"/>
    <mergeCell ref="O32:P32"/>
    <mergeCell ref="Q32:R32"/>
    <mergeCell ref="A29:J29"/>
    <mergeCell ref="A27:J27"/>
    <mergeCell ref="K27:L27"/>
    <mergeCell ref="A61:AC61"/>
    <mergeCell ref="A13:W13"/>
    <mergeCell ref="X13:AE13"/>
    <mergeCell ref="A20:W20"/>
    <mergeCell ref="AG33:AH33"/>
    <mergeCell ref="AI33:AJ33"/>
    <mergeCell ref="AK33:AL33"/>
    <mergeCell ref="A30:J30"/>
    <mergeCell ref="K30:L30"/>
    <mergeCell ref="AE30:AF30"/>
    <mergeCell ref="M30:N30"/>
    <mergeCell ref="O30:P30"/>
    <mergeCell ref="Q30:R30"/>
    <mergeCell ref="S30:T30"/>
    <mergeCell ref="U30:V30"/>
    <mergeCell ref="W30:X30"/>
    <mergeCell ref="Y30:Z30"/>
    <mergeCell ref="AG30:AH30"/>
    <mergeCell ref="A36:J37"/>
    <mergeCell ref="K36:N36"/>
    <mergeCell ref="O36:R36"/>
    <mergeCell ref="A38:J38"/>
    <mergeCell ref="A9:AN9"/>
    <mergeCell ref="AI32:AJ32"/>
    <mergeCell ref="AO32:AP32"/>
    <mergeCell ref="AK30:AL30"/>
    <mergeCell ref="U37:V37"/>
    <mergeCell ref="AO33:AP33"/>
    <mergeCell ref="AC32:AD32"/>
    <mergeCell ref="AE32:AF32"/>
    <mergeCell ref="AG32:AH32"/>
    <mergeCell ref="AK32:AL32"/>
    <mergeCell ref="AM32:AN32"/>
    <mergeCell ref="S36:V36"/>
    <mergeCell ref="W36:Z36"/>
    <mergeCell ref="AA36:AD36"/>
    <mergeCell ref="AE36:AH36"/>
    <mergeCell ref="AI36:AL36"/>
    <mergeCell ref="K23:N23"/>
    <mergeCell ref="AM23:AP23"/>
    <mergeCell ref="A25:J25"/>
    <mergeCell ref="A34:AL34"/>
    <mergeCell ref="AM34:AP34"/>
    <mergeCell ref="A15:W15"/>
    <mergeCell ref="X15:AE15"/>
    <mergeCell ref="W23:Z23"/>
    <mergeCell ref="AA23:AD23"/>
    <mergeCell ref="AE23:AH23"/>
    <mergeCell ref="AM37:AN37"/>
    <mergeCell ref="AO37:AP37"/>
    <mergeCell ref="K26:L26"/>
    <mergeCell ref="M26:N26"/>
    <mergeCell ref="O26:P26"/>
    <mergeCell ref="Q26:R26"/>
    <mergeCell ref="AO125:AT125"/>
    <mergeCell ref="AU125:AZ125"/>
    <mergeCell ref="BA125:BF125"/>
    <mergeCell ref="BG125:BL125"/>
    <mergeCell ref="BM125:BR125"/>
    <mergeCell ref="BS125:BX125"/>
    <mergeCell ref="W129:AB129"/>
    <mergeCell ref="AC129:AH129"/>
    <mergeCell ref="AI129:AN129"/>
    <mergeCell ref="AO129:AT129"/>
    <mergeCell ref="AU129:AZ129"/>
    <mergeCell ref="BA129:BF129"/>
    <mergeCell ref="BG129:BL129"/>
    <mergeCell ref="BM129:BR129"/>
    <mergeCell ref="BS129:BX129"/>
    <mergeCell ref="A126:V126"/>
    <mergeCell ref="W126:AB126"/>
    <mergeCell ref="AC126:AH126"/>
    <mergeCell ref="AI126:AN126"/>
    <mergeCell ref="AO126:AT126"/>
    <mergeCell ref="AU126:AZ126"/>
    <mergeCell ref="BA126:BF126"/>
    <mergeCell ref="BG126:BL126"/>
    <mergeCell ref="BM126:BR126"/>
    <mergeCell ref="BS126:BX126"/>
    <mergeCell ref="A127:V127"/>
    <mergeCell ref="W127:AB127"/>
    <mergeCell ref="CE124:CJ124"/>
    <mergeCell ref="CK124:CP124"/>
    <mergeCell ref="BY125:CD125"/>
    <mergeCell ref="CE125:CJ125"/>
    <mergeCell ref="CK125:CP125"/>
    <mergeCell ref="BY126:CD126"/>
    <mergeCell ref="CE126:CJ126"/>
    <mergeCell ref="CK126:CP126"/>
    <mergeCell ref="BY127:CD127"/>
    <mergeCell ref="CE127:CJ127"/>
    <mergeCell ref="CK127:CP127"/>
    <mergeCell ref="BY128:CD128"/>
    <mergeCell ref="CE128:CJ128"/>
    <mergeCell ref="CK128:CP128"/>
    <mergeCell ref="BY129:CD129"/>
    <mergeCell ref="CE129:CJ129"/>
    <mergeCell ref="BA127:BF127"/>
    <mergeCell ref="BG127:BL127"/>
    <mergeCell ref="BM127:BR127"/>
    <mergeCell ref="BS127:BX127"/>
    <mergeCell ref="BS124:BX124"/>
    <mergeCell ref="CK129:CP129"/>
    <mergeCell ref="BY130:CD130"/>
    <mergeCell ref="CE130:CJ130"/>
    <mergeCell ref="CK130:CP130"/>
    <mergeCell ref="W159:AB159"/>
    <mergeCell ref="W160:AB160"/>
    <mergeCell ref="A158:AB158"/>
    <mergeCell ref="BA158:BQ158"/>
    <mergeCell ref="BA159:BQ159"/>
    <mergeCell ref="BA160:BJ160"/>
    <mergeCell ref="BK160:BQ160"/>
    <mergeCell ref="W128:AB128"/>
    <mergeCell ref="AC128:AH128"/>
    <mergeCell ref="AI128:AN128"/>
    <mergeCell ref="AO128:AT128"/>
    <mergeCell ref="AU128:AZ128"/>
    <mergeCell ref="BA128:BF128"/>
    <mergeCell ref="BG128:BL128"/>
    <mergeCell ref="BM128:BR128"/>
    <mergeCell ref="BS128:BX128"/>
    <mergeCell ref="A129:V129"/>
    <mergeCell ref="A130:V130"/>
    <mergeCell ref="W130:AB130"/>
    <mergeCell ref="AC130:AH130"/>
    <mergeCell ref="AI130:AN130"/>
    <mergeCell ref="AO130:AT130"/>
    <mergeCell ref="AU130:AZ130"/>
    <mergeCell ref="BA130:BF130"/>
    <mergeCell ref="BG130:BL130"/>
    <mergeCell ref="BM130:BR130"/>
    <mergeCell ref="BS130:BX130"/>
    <mergeCell ref="A128:V128"/>
    <mergeCell ref="A134:V134"/>
    <mergeCell ref="V71:Z71"/>
    <mergeCell ref="I100:N100"/>
    <mergeCell ref="O100:T100"/>
    <mergeCell ref="U100:Z100"/>
    <mergeCell ref="AA100:AF100"/>
    <mergeCell ref="AG100:AL100"/>
    <mergeCell ref="AM100:AR100"/>
    <mergeCell ref="AS100:AX100"/>
    <mergeCell ref="AY100:BD100"/>
    <mergeCell ref="BE100:BJ100"/>
    <mergeCell ref="BK100:BP100"/>
    <mergeCell ref="BQ100:BV100"/>
    <mergeCell ref="BW100:CB100"/>
    <mergeCell ref="I101:N101"/>
    <mergeCell ref="O101:T101"/>
    <mergeCell ref="U101:Z101"/>
    <mergeCell ref="AA101:AF101"/>
    <mergeCell ref="AG101:AL101"/>
    <mergeCell ref="AM101:AR101"/>
    <mergeCell ref="AS101:AX101"/>
    <mergeCell ref="AY101:BD101"/>
    <mergeCell ref="BE101:BJ101"/>
    <mergeCell ref="BK101:BP101"/>
    <mergeCell ref="BQ101:BV101"/>
    <mergeCell ref="BW101:CB101"/>
    <mergeCell ref="A96:L96"/>
    <mergeCell ref="M96:P96"/>
    <mergeCell ref="Q96:T96"/>
    <mergeCell ref="A97:L97"/>
    <mergeCell ref="M97:P97"/>
    <mergeCell ref="Q97:T97"/>
    <mergeCell ref="AM72:AT72"/>
    <mergeCell ref="BK161:BQ161"/>
    <mergeCell ref="BA162:BJ162"/>
    <mergeCell ref="BK162:BQ162"/>
    <mergeCell ref="BA163:BJ163"/>
    <mergeCell ref="BK163:BQ163"/>
    <mergeCell ref="BW103:CB103"/>
    <mergeCell ref="A100:H100"/>
    <mergeCell ref="A101:H101"/>
    <mergeCell ref="A102:H102"/>
    <mergeCell ref="A103:H103"/>
    <mergeCell ref="AS102:AX102"/>
    <mergeCell ref="AY102:BD102"/>
    <mergeCell ref="BE102:BJ102"/>
    <mergeCell ref="BK102:BP102"/>
    <mergeCell ref="BQ102:BV102"/>
    <mergeCell ref="BW102:CB102"/>
    <mergeCell ref="W173:AB173"/>
    <mergeCell ref="I102:N102"/>
    <mergeCell ref="O102:T102"/>
    <mergeCell ref="U102:Z102"/>
    <mergeCell ref="AA102:AF102"/>
    <mergeCell ref="AG102:AL102"/>
    <mergeCell ref="AM102:AR102"/>
    <mergeCell ref="BY124:CD124"/>
    <mergeCell ref="BA164:BJ164"/>
    <mergeCell ref="BK164:BQ164"/>
    <mergeCell ref="BA165:BJ165"/>
    <mergeCell ref="BK165:BQ165"/>
    <mergeCell ref="A125:V125"/>
    <mergeCell ref="W125:AB125"/>
    <mergeCell ref="AC125:AH125"/>
    <mergeCell ref="AI125:AN125"/>
    <mergeCell ref="AF4:AU4"/>
    <mergeCell ref="AF5:AU5"/>
    <mergeCell ref="AF6:AU6"/>
    <mergeCell ref="AF7:AU7"/>
    <mergeCell ref="AF8:AU8"/>
    <mergeCell ref="BA171:BJ171"/>
    <mergeCell ref="BK171:BQ171"/>
    <mergeCell ref="BA172:BJ172"/>
    <mergeCell ref="BK172:BQ172"/>
    <mergeCell ref="BA173:BJ173"/>
    <mergeCell ref="BK173:BQ173"/>
    <mergeCell ref="I103:N103"/>
    <mergeCell ref="O103:T103"/>
    <mergeCell ref="U103:Z103"/>
    <mergeCell ref="AA103:AF103"/>
    <mergeCell ref="AG103:AL103"/>
    <mergeCell ref="AM103:AR103"/>
    <mergeCell ref="AS103:AX103"/>
    <mergeCell ref="AY103:BD103"/>
    <mergeCell ref="BE103:BJ103"/>
    <mergeCell ref="BK103:BP103"/>
    <mergeCell ref="BQ103:BV103"/>
    <mergeCell ref="W161:AB161"/>
    <mergeCell ref="W162:AB162"/>
    <mergeCell ref="W163:AB163"/>
    <mergeCell ref="W164:AB164"/>
    <mergeCell ref="W165:AB165"/>
    <mergeCell ref="W166:AB166"/>
    <mergeCell ref="W167:AB167"/>
    <mergeCell ref="W168:AB168"/>
    <mergeCell ref="W169:AB169"/>
    <mergeCell ref="BA161:BJ161"/>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564AEA8-B8FF-4F2B-A3D0-DA24409E8D0D}">
          <x14:formula1>
            <xm:f>'Drop-Down Boxes '!$H$3:$H$5</xm:f>
          </x14:formula1>
          <xm:sqref>S8</xm:sqref>
        </x14:dataValidation>
        <x14:dataValidation type="list" allowBlank="1" showInputMessage="1" showErrorMessage="1" xr:uid="{9EF3172B-169D-4E4F-A763-0ED45AE7B70E}">
          <x14:formula1>
            <xm:f>'Drop-Down Boxes '!$D$3:$D$14</xm:f>
          </x14:formula1>
          <xm:sqref>K8:R8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F04F2-F0C1-40E3-A5B0-11650AD273C6}">
  <dimension ref="A2:BW89"/>
  <sheetViews>
    <sheetView workbookViewId="0">
      <selection activeCell="I8" sqref="I8:L8"/>
    </sheetView>
  </sheetViews>
  <sheetFormatPr defaultRowHeight="15" x14ac:dyDescent="0.25"/>
  <sheetData>
    <row r="2" spans="1:75" x14ac:dyDescent="0.25">
      <c r="A2" s="277"/>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row>
    <row r="3" spans="1:75" ht="18.75" x14ac:dyDescent="0.25">
      <c r="A3" s="1702" t="s">
        <v>833</v>
      </c>
      <c r="B3" s="1702"/>
      <c r="C3" s="1702"/>
      <c r="D3" s="1702"/>
      <c r="E3" s="1702"/>
      <c r="F3" s="1702"/>
      <c r="G3" s="1702"/>
      <c r="H3" s="1702"/>
      <c r="I3" s="1702"/>
      <c r="J3" s="1702"/>
      <c r="K3" s="1702"/>
      <c r="L3" s="1702"/>
      <c r="M3" s="1702"/>
      <c r="N3" s="1702"/>
      <c r="O3" s="1702"/>
      <c r="P3" s="1702"/>
      <c r="Q3" s="1702"/>
      <c r="R3" s="1702"/>
      <c r="S3" s="1702"/>
      <c r="T3" s="1702"/>
      <c r="U3" s="1702"/>
      <c r="V3" s="1702"/>
      <c r="W3" s="1678" t="s">
        <v>802</v>
      </c>
      <c r="X3" s="1679"/>
      <c r="Y3" s="1679"/>
      <c r="Z3" s="1679"/>
      <c r="AA3" s="1679"/>
      <c r="AB3" s="1679"/>
      <c r="AC3" s="1679"/>
      <c r="AD3" s="1679"/>
      <c r="AE3" s="1679"/>
      <c r="AF3" s="1679"/>
      <c r="AG3" s="1679"/>
      <c r="AH3" s="1679"/>
      <c r="AI3" s="1679"/>
      <c r="AJ3" s="1679"/>
      <c r="AK3" s="1679"/>
      <c r="AL3" s="1679"/>
      <c r="AM3" s="1679"/>
      <c r="AN3" s="1679"/>
      <c r="AO3" s="1679"/>
      <c r="AP3" s="1679"/>
      <c r="AQ3" s="1679"/>
      <c r="AR3" s="1679"/>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c r="BP3" s="1679"/>
      <c r="BQ3" s="1679"/>
      <c r="BR3" s="1679"/>
      <c r="BS3" s="1679"/>
      <c r="BT3" s="1679"/>
      <c r="BU3" s="1679"/>
      <c r="BV3" s="1680"/>
      <c r="BW3" s="278"/>
    </row>
    <row r="4" spans="1:75" x14ac:dyDescent="0.25">
      <c r="A4" s="1704" t="s">
        <v>810</v>
      </c>
      <c r="B4" s="1704"/>
      <c r="C4" s="1704"/>
      <c r="D4" s="1704"/>
      <c r="E4" s="1704"/>
      <c r="F4" s="1704"/>
      <c r="G4" s="1704"/>
      <c r="H4" s="1704"/>
      <c r="I4" s="1704" t="s">
        <v>803</v>
      </c>
      <c r="J4" s="1704"/>
      <c r="K4" s="1704"/>
      <c r="L4" s="1704"/>
      <c r="M4" s="1705" t="s">
        <v>804</v>
      </c>
      <c r="N4" s="1705"/>
      <c r="O4" s="1705"/>
      <c r="P4" s="1705"/>
      <c r="Q4" s="1705"/>
      <c r="R4" s="1706" t="s">
        <v>805</v>
      </c>
      <c r="S4" s="1707"/>
      <c r="T4" s="1707"/>
      <c r="U4" s="1707"/>
      <c r="V4" s="1708"/>
      <c r="W4" s="1709" t="s">
        <v>829</v>
      </c>
      <c r="X4" s="1709"/>
      <c r="Y4" s="1709"/>
      <c r="Z4" s="1709"/>
      <c r="AA4" s="977" t="s">
        <v>839</v>
      </c>
      <c r="AB4" s="977"/>
      <c r="AC4" s="977"/>
      <c r="AD4" s="977"/>
      <c r="AE4" s="1683" t="s">
        <v>840</v>
      </c>
      <c r="AF4" s="1683"/>
      <c r="AG4" s="1683"/>
      <c r="AH4" s="1683"/>
      <c r="AI4" s="977" t="s">
        <v>849</v>
      </c>
      <c r="AJ4" s="977"/>
      <c r="AK4" s="977"/>
      <c r="AL4" s="977"/>
      <c r="AM4" s="1683" t="s">
        <v>841</v>
      </c>
      <c r="AN4" s="1683"/>
      <c r="AO4" s="1683"/>
      <c r="AP4" s="1683"/>
      <c r="AQ4" s="1681" t="s">
        <v>842</v>
      </c>
      <c r="AR4" s="1681"/>
      <c r="AS4" s="1681"/>
      <c r="AT4" s="1681"/>
      <c r="AU4" s="1682" t="s">
        <v>843</v>
      </c>
      <c r="AV4" s="1682"/>
      <c r="AW4" s="1682"/>
      <c r="AX4" s="1682"/>
      <c r="AY4" s="1681" t="s">
        <v>850</v>
      </c>
      <c r="AZ4" s="1681"/>
      <c r="BA4" s="1681"/>
      <c r="BB4" s="1681"/>
      <c r="BC4" s="1682" t="s">
        <v>844</v>
      </c>
      <c r="BD4" s="1682"/>
      <c r="BE4" s="1682"/>
      <c r="BF4" s="1682"/>
      <c r="BG4" s="1677" t="s">
        <v>845</v>
      </c>
      <c r="BH4" s="1677"/>
      <c r="BI4" s="1677"/>
      <c r="BJ4" s="1677"/>
      <c r="BK4" s="1676" t="s">
        <v>846</v>
      </c>
      <c r="BL4" s="1676"/>
      <c r="BM4" s="1676"/>
      <c r="BN4" s="1676"/>
      <c r="BO4" s="1677" t="s">
        <v>847</v>
      </c>
      <c r="BP4" s="1677"/>
      <c r="BQ4" s="1677"/>
      <c r="BR4" s="1677"/>
      <c r="BS4" s="1676" t="s">
        <v>848</v>
      </c>
      <c r="BT4" s="1676"/>
      <c r="BU4" s="1676"/>
      <c r="BV4" s="1676"/>
      <c r="BW4" s="277"/>
    </row>
    <row r="5" spans="1:75" ht="15.75" x14ac:dyDescent="0.25">
      <c r="A5" s="1619" t="s">
        <v>811</v>
      </c>
      <c r="B5" s="1619"/>
      <c r="C5" s="1619"/>
      <c r="D5" s="1619"/>
      <c r="E5" s="1619"/>
      <c r="F5" s="1619"/>
      <c r="G5" s="1619"/>
      <c r="H5" s="1619"/>
      <c r="I5" s="1585">
        <f>'GRANTEE SET UP INFO &amp; DATE '!C11</f>
        <v>0</v>
      </c>
      <c r="J5" s="1585"/>
      <c r="K5" s="1585"/>
      <c r="L5" s="1585"/>
      <c r="M5" s="1592">
        <f>'GRANTEE SET UP INFO &amp; DATE '!F11</f>
        <v>0</v>
      </c>
      <c r="N5" s="1592"/>
      <c r="O5" s="1592"/>
      <c r="P5" s="1592"/>
      <c r="Q5" s="1592"/>
      <c r="R5" s="1591" t="e">
        <f>'GRANTEE SET UP INFO &amp; DATE '!#REF!</f>
        <v>#REF!</v>
      </c>
      <c r="S5" s="1591"/>
      <c r="T5" s="1591"/>
      <c r="U5" s="1591"/>
      <c r="V5" s="1591"/>
      <c r="W5" s="1660">
        <f>COUNTIFS(TRAINING!B12:B5000,"&gt;=07/01/2000",TRAINING!B12:B5000,"&lt;=09/30/2019",TRAINING!D12:D5000,"Mandatory",TRAINING!AN12:AN5000,"YES")</f>
        <v>0</v>
      </c>
      <c r="X5" s="1660"/>
      <c r="Y5" s="1660"/>
      <c r="Z5" s="1660"/>
      <c r="AA5" s="1675">
        <f>COUNTIFS(TRAINING!B12:B5000,"&gt;=10/01/2019",TRAINING!B12:B5000,"&lt;=12/31/2019",TRAINING!D12:D5000,"Mandatory",TRAINING!AN12:AN5000,"YES")</f>
        <v>0</v>
      </c>
      <c r="AB5" s="1675"/>
      <c r="AC5" s="1675"/>
      <c r="AD5" s="1675"/>
      <c r="AE5" s="1585">
        <f>COUNTIFS(TRAINING!B12:B5000,"&gt;=01/01/2020",TRAINING!B12:B5000,"&lt;=03/31/2020",TRAINING!D12:D5000,"Mandatory",TRAINING!AN12:AN5000,"YES")</f>
        <v>0</v>
      </c>
      <c r="AF5" s="1585"/>
      <c r="AG5" s="1585"/>
      <c r="AH5" s="1585"/>
      <c r="AI5" s="1674">
        <f>COUNTIFS(TRAINING!B12:B5000,"&gt;=04/01/2020",TRAINING!B12:B5000,"&lt;=06/30/2020",TRAINING!D12:D5000,"Mandatory",TRAINING!AN12:AN5000,"YES")</f>
        <v>0</v>
      </c>
      <c r="AJ5" s="1674"/>
      <c r="AK5" s="1674"/>
      <c r="AL5" s="1674"/>
      <c r="AM5" s="1585">
        <f>COUNTIFS(TRAINING!B12:B5000,"&gt;=07/01/2020",TRAINING!B12:B5000,"&lt;=09/30/2020",TRAINING!D12:D5000,"Mandatory",TRAINING!AN12:AN5000,"YES")</f>
        <v>0</v>
      </c>
      <c r="AN5" s="1585"/>
      <c r="AO5" s="1585"/>
      <c r="AP5" s="1585"/>
      <c r="AQ5" s="1637">
        <f>COUNTIFS(TRAINING!B12:B5000,"&gt;=10/01/2020",TRAINING!B12:B5000,"&lt;=12/31/2020",TRAINING!D12:D5000,"Mandatory",TRAINING!AN12:AN5000,"YES")</f>
        <v>0</v>
      </c>
      <c r="AR5" s="1637"/>
      <c r="AS5" s="1637"/>
      <c r="AT5" s="1637"/>
      <c r="AU5" s="1649">
        <f>COUNTIFS(TRAINING!B12:B5000,"&gt;=01/01/2021",TRAINING!B12:B5000,"&lt;=03/31/2021",TRAINING!D12:D5000,"Mandatory",TRAINING!AN12:AN5000,"YES")</f>
        <v>0</v>
      </c>
      <c r="AV5" s="1649"/>
      <c r="AW5" s="1649"/>
      <c r="AX5" s="1649"/>
      <c r="AY5" s="1637">
        <f>COUNTIFS(TRAINING!B12:B5000,"&gt;=04/01/2020",TRAINING!B12:B5000,"&lt;=06/30/2020",TRAINING!D12:D5000,"Mandatory",TRAINING!AN12:AN5000,"YES")</f>
        <v>0</v>
      </c>
      <c r="AZ5" s="1637"/>
      <c r="BA5" s="1637"/>
      <c r="BB5" s="1637"/>
      <c r="BC5" s="1649">
        <f>COUNTIFS(TRAINING!B12:B5000,"&gt;=07/01/2021",TRAINING!B12:B5000,"&lt;=09/30/2021",TRAINING!D12:D5000,"Mandatory",TRAINING!AN12:AN5000,"YES")</f>
        <v>0</v>
      </c>
      <c r="BD5" s="1649"/>
      <c r="BE5" s="1649"/>
      <c r="BF5" s="1649"/>
      <c r="BG5" s="1650">
        <f>COUNTIFS(TRAINING!B12:B5000,"&gt;=10/01/2021",TRAINING!B12:B5000,"&lt;=12/31/2021",TRAINING!D12:D5000,"Mandatory",TRAINING!AN12:AN5000,"YES")</f>
        <v>0</v>
      </c>
      <c r="BH5" s="1650"/>
      <c r="BI5" s="1650"/>
      <c r="BJ5" s="1650"/>
      <c r="BK5" s="1651">
        <f>COUNTIFS(TRAINING!B12:B5000,"&gt;=01/01/2022",TRAINING!B12:B5000,"&lt;=03/31/2022",TRAINING!D12:D5000,"Mandatory",TRAINING!AN12:AN5000,"YES")</f>
        <v>0</v>
      </c>
      <c r="BL5" s="1651"/>
      <c r="BM5" s="1651"/>
      <c r="BN5" s="1651"/>
      <c r="BO5" s="1650">
        <f>COUNTIFS(TRAINING!B12:B5000,"&gt;=04/01/2022",TRAINING!B12:B5000,"&lt;=06/30/2022",TRAINING!D12:D5000,"Mandatory",TRAINING!AN12:AN5000,"YES")</f>
        <v>0</v>
      </c>
      <c r="BP5" s="1650"/>
      <c r="BQ5" s="1650"/>
      <c r="BR5" s="1650"/>
      <c r="BS5" s="1673">
        <f>COUNTIFS(TRAINING!B12:B5000,"&gt;=07/01/2022",TRAINING!B12:B5000,"&lt;=09/30/2022",TRAINING!D12:D5000,"Mandatory",TRAINING!AN12:AN5000,"YES")</f>
        <v>0</v>
      </c>
      <c r="BT5" s="1673"/>
      <c r="BU5" s="1673"/>
      <c r="BV5" s="1673"/>
      <c r="BW5" s="279"/>
    </row>
    <row r="6" spans="1:75" ht="15.75" x14ac:dyDescent="0.25">
      <c r="A6" s="1619" t="s">
        <v>812</v>
      </c>
      <c r="B6" s="1619"/>
      <c r="C6" s="1619"/>
      <c r="D6" s="1619"/>
      <c r="E6" s="1619"/>
      <c r="F6" s="1619"/>
      <c r="G6" s="1619"/>
      <c r="H6" s="1619"/>
      <c r="I6" s="1585">
        <f>'GRANTEE SET UP INFO &amp; DATE '!C12</f>
        <v>0</v>
      </c>
      <c r="J6" s="1585"/>
      <c r="K6" s="1585"/>
      <c r="L6" s="1585"/>
      <c r="M6" s="1592">
        <f>'GRANTEE SET UP INFO &amp; DATE '!F12</f>
        <v>0</v>
      </c>
      <c r="N6" s="1592"/>
      <c r="O6" s="1592"/>
      <c r="P6" s="1592"/>
      <c r="Q6" s="1592"/>
      <c r="R6" s="1591" t="e">
        <f>'GRANTEE SET UP INFO &amp; DATE '!#REF!</f>
        <v>#REF!</v>
      </c>
      <c r="S6" s="1591"/>
      <c r="T6" s="1591"/>
      <c r="U6" s="1591"/>
      <c r="V6" s="1591"/>
      <c r="W6" s="1660">
        <f>COUNTIFS(TRAINING!B12:B5000,"&gt;=07/01/2000",TRAINING!B12:B5000,"&lt;=09/30/2019",TRAINING!D12:D5000,"Mandatory",TRAINING!AO12:AO5000,"YES")</f>
        <v>0</v>
      </c>
      <c r="X6" s="1660"/>
      <c r="Y6" s="1660"/>
      <c r="Z6" s="1660"/>
      <c r="AA6" s="1675">
        <f>COUNTIFS(TRAINING!B12:B5000,"&gt;=10/01/2019",TRAINING!B12:B5000,"&lt;=12/31/2019",TRAINING!D12:D5000,"Mandatory",TRAINING!AO12:AO5000,"YES")</f>
        <v>0</v>
      </c>
      <c r="AB6" s="1675"/>
      <c r="AC6" s="1675"/>
      <c r="AD6" s="1675"/>
      <c r="AE6" s="1585">
        <f>COUNTIFS(TRAINING!B12:B5000,"&gt;=01/01/2020",TRAINING!B12:B5000,"&lt;=03/31/2020",TRAINING!D12:D5000,"Mandatory",TRAINING!AO12:AO5000,"YES")</f>
        <v>0</v>
      </c>
      <c r="AF6" s="1585"/>
      <c r="AG6" s="1585"/>
      <c r="AH6" s="1585"/>
      <c r="AI6" s="1674">
        <f>COUNTIFS(TRAINING!B12:B5000,"&gt;=04/01/2020",TRAINING!B12:B5000,"&lt;=06/30/2020",TRAINING!D12:D5000,"Mandatory",TRAINING!AO12:AO5000,"YES")</f>
        <v>0</v>
      </c>
      <c r="AJ6" s="1674"/>
      <c r="AK6" s="1674"/>
      <c r="AL6" s="1674"/>
      <c r="AM6" s="1661">
        <f>COUNTIFS(TRAINING!B12:B5000,"&gt;=07/01/2020",TRAINING!B12:B5000,"&lt;=09/30/2020",TRAINING!D12:D5000,"Mandatory",TRAINING!AO12:AO5000,"YES")</f>
        <v>0</v>
      </c>
      <c r="AN6" s="1661"/>
      <c r="AO6" s="1661"/>
      <c r="AP6" s="1661"/>
      <c r="AQ6" s="1637">
        <f>COUNTIFS(TRAINING!B12:B5000,"&gt;=10/01/2020",TRAINING!B12:B5000,"&lt;=12/31/2020",TRAINING!D12:D5000,"Mandatory",TRAINING!AO12:AO5000,"YES")</f>
        <v>0</v>
      </c>
      <c r="AR6" s="1637"/>
      <c r="AS6" s="1637"/>
      <c r="AT6" s="1637"/>
      <c r="AU6" s="1649">
        <f>COUNTIFS(TRAINING!B12:B5000,"&gt;=01/01/2021",TRAINING!B12:B5000,"&lt;=03/31/2021",TRAINING!D12:D5000,"Mandatory",TRAINING!AO12:AO5000,"YES")</f>
        <v>0</v>
      </c>
      <c r="AV6" s="1649"/>
      <c r="AW6" s="1649"/>
      <c r="AX6" s="1649"/>
      <c r="AY6" s="1637">
        <f>COUNTIFS(TRAINING!B12:B5000,"&gt;=04/01/2020",TRAINING!B12:B5000,"&lt;=06/30/2020",TRAINING!D12:D5000,"Mandatory",TRAINING!AO12:AO5000,"YES")</f>
        <v>0</v>
      </c>
      <c r="AZ6" s="1637"/>
      <c r="BA6" s="1637"/>
      <c r="BB6" s="1637"/>
      <c r="BC6" s="1649">
        <f>COUNTIFS(TRAINING!B12:B5000,"&gt;=07/01/2021",TRAINING!B12:B5000,"&lt;=09/30/2021",TRAINING!D12:D5000,"Mandatory",TRAINING!AO12:AO5000,"YES")</f>
        <v>0</v>
      </c>
      <c r="BD6" s="1649"/>
      <c r="BE6" s="1649"/>
      <c r="BF6" s="1649"/>
      <c r="BG6" s="1650">
        <f>COUNTIFS(TRAINING!B12:B5000,"&gt;=10/01/2021",TRAINING!B12:B5000,"&lt;=12/31/2021",TRAINING!D12:D5000,"Mandatory",TRAINING!AO12:AO5000,"YES")</f>
        <v>0</v>
      </c>
      <c r="BH6" s="1650"/>
      <c r="BI6" s="1650"/>
      <c r="BJ6" s="1650"/>
      <c r="BK6" s="1651">
        <f>COUNTIFS(TRAINING!B12:B5000,"&gt;=01/01/2022",TRAINING!B12:B5000,"&lt;=03/31/2022",TRAINING!D12:D5000,"Mandatory",TRAINING!AO12:AO5000,"YES")</f>
        <v>0</v>
      </c>
      <c r="BL6" s="1651"/>
      <c r="BM6" s="1651"/>
      <c r="BN6" s="1651"/>
      <c r="BO6" s="1650">
        <f>COUNTIFS(TRAINING!B12:B5000,"&gt;=04/01/2022",TRAINING!B12:B5000,"&lt;=06/30/2022",TRAINING!D12:D5000,"Mandatory",TRAINING!AO12:AO5000,"YES")</f>
        <v>0</v>
      </c>
      <c r="BP6" s="1650"/>
      <c r="BQ6" s="1650"/>
      <c r="BR6" s="1650"/>
      <c r="BS6" s="1673">
        <f>COUNTIFS(TRAINING!B12:B5000,"&gt;=07/01/2022",TRAINING!B12:B5000,"&lt;=09/30/2022",TRAINING!D12:D5000,"Mandatory",TRAINING!AO12:AO5000,"YES")</f>
        <v>0</v>
      </c>
      <c r="BT6" s="1673"/>
      <c r="BU6" s="1673"/>
      <c r="BV6" s="1673"/>
      <c r="BW6" s="277"/>
    </row>
    <row r="7" spans="1:75" ht="15.75" x14ac:dyDescent="0.25">
      <c r="A7" s="1619" t="s">
        <v>813</v>
      </c>
      <c r="B7" s="1619"/>
      <c r="C7" s="1619"/>
      <c r="D7" s="1619"/>
      <c r="E7" s="1619"/>
      <c r="F7" s="1619"/>
      <c r="G7" s="1619"/>
      <c r="H7" s="1619"/>
      <c r="I7" s="1585">
        <f>'GRANTEE SET UP INFO &amp; DATE '!C13</f>
        <v>0</v>
      </c>
      <c r="J7" s="1585"/>
      <c r="K7" s="1585"/>
      <c r="L7" s="1585"/>
      <c r="M7" s="1592">
        <f>'GRANTEE SET UP INFO &amp; DATE '!F13</f>
        <v>0</v>
      </c>
      <c r="N7" s="1592"/>
      <c r="O7" s="1592"/>
      <c r="P7" s="1592"/>
      <c r="Q7" s="1592"/>
      <c r="R7" s="1591" t="e">
        <f>'GRANTEE SET UP INFO &amp; DATE '!#REF!</f>
        <v>#REF!</v>
      </c>
      <c r="S7" s="1591"/>
      <c r="T7" s="1591"/>
      <c r="U7" s="1591"/>
      <c r="V7" s="1591"/>
      <c r="W7" s="1660">
        <f>COUNTIFS(TRAINING!B12:B5000,"&gt;=07/01/2000",TRAINING!B12:B5000,"&lt;=09/30/2019",TRAINING!D12:D5000,"Mandatory",TRAINING!AP12:AP5000,"YES")</f>
        <v>0</v>
      </c>
      <c r="X7" s="1660"/>
      <c r="Y7" s="1660"/>
      <c r="Z7" s="1660"/>
      <c r="AA7" s="1675">
        <f>COUNTIFS(TRAINING!B12:B5000,"&gt;=10/01/2019",TRAINING!B12:B5000,"&lt;=12/31/2019",TRAINING!D12:D5000,"Mandatory",TRAINING!AP12:AP5000,"YES")</f>
        <v>0</v>
      </c>
      <c r="AB7" s="1675"/>
      <c r="AC7" s="1675"/>
      <c r="AD7" s="1675"/>
      <c r="AE7" s="1585">
        <f>COUNTIFS(TRAINING!B12:B5000,"&gt;=01/01/2020",TRAINING!B12:B5000,"&lt;=03/31/2020",TRAINING!D12:D5000,"Mandatory",TRAINING!AP12:AP5000,"YES")</f>
        <v>0</v>
      </c>
      <c r="AF7" s="1585"/>
      <c r="AG7" s="1585"/>
      <c r="AH7" s="1585"/>
      <c r="AI7" s="1674">
        <f>COUNTIFS(TRAINING!B12:B5000,"&gt;=04/01/2020",TRAINING!B12:B5000,"&lt;=06/30/2020",TRAINING!D12:D5000,"Mandatory",TRAINING!AP12:AP5000,"YES")</f>
        <v>0</v>
      </c>
      <c r="AJ7" s="1674"/>
      <c r="AK7" s="1674"/>
      <c r="AL7" s="1674"/>
      <c r="AM7" s="1661">
        <f>COUNTIFS(TRAINING!B12:B5000,"&gt;=07/01/2020",TRAINING!B12:B5000,"&lt;=09/30/2020",TRAINING!D12:D5000,"Mandatory",TRAINING!AP12:AP5000,"YES")</f>
        <v>0</v>
      </c>
      <c r="AN7" s="1661"/>
      <c r="AO7" s="1661"/>
      <c r="AP7" s="1661"/>
      <c r="AQ7" s="1637">
        <f>COUNTIFS(TRAINING!B12:B5000,"&gt;=10/01/2020",TRAINING!B12:B5000,"&lt;=12/31/2020",TRAINING!D12:D5000,"Mandatory",TRAINING!AP12:AP5000,"YES")</f>
        <v>0</v>
      </c>
      <c r="AR7" s="1637"/>
      <c r="AS7" s="1637"/>
      <c r="AT7" s="1637"/>
      <c r="AU7" s="1649">
        <f>COUNTIFS(TRAINING!B12:B5000,"&gt;=01/01/2021",TRAINING!B12:B5000,"&lt;=03/31/2021",TRAINING!D12:D5000,"Mandatory",TRAINING!AP12:AP5000,"YES")</f>
        <v>0</v>
      </c>
      <c r="AV7" s="1649"/>
      <c r="AW7" s="1649"/>
      <c r="AX7" s="1649"/>
      <c r="AY7" s="1637">
        <f>COUNTIFS(TRAINING!B12:B5000,"&gt;=04/01/2020",TRAINING!B12:B5000,"&lt;=06/30/2020",TRAINING!D12:D5000,"Mandatory",TRAINING!AP12:AP5000,"YES")</f>
        <v>0</v>
      </c>
      <c r="AZ7" s="1637"/>
      <c r="BA7" s="1637"/>
      <c r="BB7" s="1637"/>
      <c r="BC7" s="1649">
        <f>COUNTIFS(TRAINING!B12:B5000,"&gt;=07/01/2021",TRAINING!B12:B5000,"&lt;=09/30/2021",TRAINING!D12:D5000,"Mandatory",TRAINING!AP12:AP5000,"YES")</f>
        <v>0</v>
      </c>
      <c r="BD7" s="1649"/>
      <c r="BE7" s="1649"/>
      <c r="BF7" s="1649"/>
      <c r="BG7" s="1650">
        <f>COUNTIFS(TRAINING!B12:B5000,"&gt;=10/01/2021",TRAINING!B12:B5000,"&lt;=12/31/2021",TRAINING!D12:D5000,"Mandatory",TRAINING!AP12:AP5000,"YES")</f>
        <v>0</v>
      </c>
      <c r="BH7" s="1650"/>
      <c r="BI7" s="1650"/>
      <c r="BJ7" s="1650"/>
      <c r="BK7" s="1651">
        <f>COUNTIFS(TRAINING!B12:B5000,"&gt;=01/01/2022",TRAINING!B12:B5000,"&lt;=03/31/2022",TRAINING!D12:D5000,"Mandatory",TRAINING!AP12:AP5000,"YES")</f>
        <v>0</v>
      </c>
      <c r="BL7" s="1651"/>
      <c r="BM7" s="1651"/>
      <c r="BN7" s="1651"/>
      <c r="BO7" s="1650">
        <f>COUNTIFS(TRAINING!B12:B5000,"&gt;=04/01/2022",TRAINING!B12:B5000,"&lt;=06/30/2022",TRAINING!D12:D5000,"Mandatory",TRAINING!AP12:AP5000,"YES")</f>
        <v>0</v>
      </c>
      <c r="BP7" s="1650"/>
      <c r="BQ7" s="1650"/>
      <c r="BR7" s="1650"/>
      <c r="BS7" s="1673">
        <f>COUNTIFS(TRAINING!B12:B5000,"&gt;=07/01/2022",TRAINING!B12:B5000,"&lt;=09/30/2022",TRAINING!D12:D5000,"Mandatory",TRAINING!AP12:AP5000,"YES")</f>
        <v>0</v>
      </c>
      <c r="BT7" s="1673"/>
      <c r="BU7" s="1673"/>
      <c r="BV7" s="1673"/>
      <c r="BW7" s="277"/>
    </row>
    <row r="8" spans="1:75" ht="15.75" x14ac:dyDescent="0.25">
      <c r="A8" s="1619" t="s">
        <v>814</v>
      </c>
      <c r="B8" s="1619"/>
      <c r="C8" s="1619"/>
      <c r="D8" s="1619"/>
      <c r="E8" s="1619"/>
      <c r="F8" s="1619"/>
      <c r="G8" s="1619"/>
      <c r="H8" s="1619"/>
      <c r="I8" s="1585">
        <f>'GRANTEE SET UP INFO &amp; DATE '!C14</f>
        <v>0</v>
      </c>
      <c r="J8" s="1585"/>
      <c r="K8" s="1585"/>
      <c r="L8" s="1585"/>
      <c r="M8" s="1592">
        <f>'GRANTEE SET UP INFO &amp; DATE '!F14</f>
        <v>0</v>
      </c>
      <c r="N8" s="1592"/>
      <c r="O8" s="1592"/>
      <c r="P8" s="1592"/>
      <c r="Q8" s="1592"/>
      <c r="R8" s="1591" t="e">
        <f>'GRANTEE SET UP INFO &amp; DATE '!#REF!</f>
        <v>#REF!</v>
      </c>
      <c r="S8" s="1591"/>
      <c r="T8" s="1591"/>
      <c r="U8" s="1591"/>
      <c r="V8" s="1591"/>
      <c r="W8" s="1660">
        <f>COUNTIFS(TRAINING!B12:B5000,"&gt;=07/01/2000",TRAINING!B12:B5000,"&lt;=09/30/2019",TRAINING!D12:D5000,"Mandatory",TRAINING!AQ12:AQ5000,"YES")</f>
        <v>0</v>
      </c>
      <c r="X8" s="1660"/>
      <c r="Y8" s="1660"/>
      <c r="Z8" s="1660"/>
      <c r="AA8" s="1675">
        <f>COUNTIFS(TRAINING!B12:B5000,"&gt;=10/01/2019",TRAINING!B12:B5000,"&lt;=12/31/2019",TRAINING!D12:D5000,"Mandatory",TRAINING!AQ12:AQ5000,"YES")</f>
        <v>0</v>
      </c>
      <c r="AB8" s="1675"/>
      <c r="AC8" s="1675"/>
      <c r="AD8" s="1675"/>
      <c r="AE8" s="1585">
        <f>COUNTIFS(TRAINING!B12:B5000,"&gt;=01/01/2020",TRAINING!B12:B5000,"&lt;=03/31/2020",TRAINING!D12:D5000,"Mandatory",TRAINING!AQ12:AQ5000,"YES")</f>
        <v>0</v>
      </c>
      <c r="AF8" s="1585"/>
      <c r="AG8" s="1585"/>
      <c r="AH8" s="1585"/>
      <c r="AI8" s="1674">
        <f>COUNTIFS(TRAINING!B12:B5000,"&gt;=04/01/2020",TRAINING!B12:B5000,"&lt;=06/30/2020",TRAINING!D12:D5000,"Mandatory",TRAINING!AQ12:AQ5000,"YES")</f>
        <v>0</v>
      </c>
      <c r="AJ8" s="1674"/>
      <c r="AK8" s="1674"/>
      <c r="AL8" s="1674"/>
      <c r="AM8" s="1661">
        <f>COUNTIFS(TRAINING!B12:B5000,"&gt;=07/01/2020",TRAINING!B12:B5000,"&lt;=09/30/2020",TRAINING!D12:D5000,"Mandatory",TRAINING!AQ12:AQ5000,"YES")</f>
        <v>0</v>
      </c>
      <c r="AN8" s="1661"/>
      <c r="AO8" s="1661"/>
      <c r="AP8" s="1661"/>
      <c r="AQ8" s="1637">
        <f>COUNTIFS(TRAINING!B12:B5000,"&gt;=10/01/2020",TRAINING!B12:B5000,"&lt;=12/31/2020",TRAINING!D12:D5000,"Mandatory",TRAINING!AQ12:AQ5000,"YES")</f>
        <v>0</v>
      </c>
      <c r="AR8" s="1637"/>
      <c r="AS8" s="1637"/>
      <c r="AT8" s="1637"/>
      <c r="AU8" s="1649">
        <f>COUNTIFS(TRAINING!B12:B5000,"&gt;=01/01/2021",TRAINING!B12:B5000,"&lt;=03/31/2021",TRAINING!D12:D5000,"Mandatory",TRAINING!AQ12:AQ5000,"YES")</f>
        <v>0</v>
      </c>
      <c r="AV8" s="1649"/>
      <c r="AW8" s="1649"/>
      <c r="AX8" s="1649"/>
      <c r="AY8" s="1637">
        <f>COUNTIFS(TRAINING!B12:B5000,"&gt;=04/01/2020",TRAINING!B12:B5000,"&lt;=06/30/2020",TRAINING!D12:D5000,"Mandatory",TRAINING!AQ12:AQ5000,"YES")</f>
        <v>0</v>
      </c>
      <c r="AZ8" s="1637"/>
      <c r="BA8" s="1637"/>
      <c r="BB8" s="1637"/>
      <c r="BC8" s="1649">
        <f>COUNTIFS(TRAINING!B12:B5000,"&gt;=07/01/2021",TRAINING!B12:B5000,"&lt;=09/30/2021",TRAINING!D12:D5000,"Mandatory",TRAINING!AQ12:AQ5000,"YES")</f>
        <v>0</v>
      </c>
      <c r="BD8" s="1649"/>
      <c r="BE8" s="1649"/>
      <c r="BF8" s="1649"/>
      <c r="BG8" s="1650">
        <f>COUNTIFS(TRAINING!B12:B5000,"&gt;=10/01/2021",TRAINING!B12:B5000,"&lt;=12/31/2021",TRAINING!D12:D5000,"Mandatory",TRAINING!AQ12:AQ5000,"YES")</f>
        <v>0</v>
      </c>
      <c r="BH8" s="1650"/>
      <c r="BI8" s="1650"/>
      <c r="BJ8" s="1650"/>
      <c r="BK8" s="1651">
        <f>COUNTIFS(TRAINING!B12:B5000,"&gt;=01/01/2022",TRAINING!B12:B5000,"&lt;=03/31/2022",TRAINING!D12:D5000,"Mandatory",TRAINING!AQ12:AQ5000,"YES")</f>
        <v>0</v>
      </c>
      <c r="BL8" s="1651"/>
      <c r="BM8" s="1651"/>
      <c r="BN8" s="1651"/>
      <c r="BO8" s="1650">
        <f>COUNTIFS(TRAINING!B12:B5000,"&gt;=04/01/2022",TRAINING!B12:B5000,"&lt;=06/30/2022",TRAINING!D12:D5000,"Mandatory",TRAINING!AQ12:AQ5000,"YES")</f>
        <v>0</v>
      </c>
      <c r="BP8" s="1650"/>
      <c r="BQ8" s="1650"/>
      <c r="BR8" s="1650"/>
      <c r="BS8" s="1673">
        <f>COUNTIFS(TRAINING!B12:B5000,"&gt;=07/01/2022",TRAINING!B12:B5000,"&lt;=09/30/2022",TRAINING!D12:D5000,"Mandatory",TRAINING!AQ12:AQ5000,"YES")</f>
        <v>0</v>
      </c>
      <c r="BT8" s="1673"/>
      <c r="BU8" s="1673"/>
      <c r="BV8" s="1673"/>
      <c r="BW8" s="277"/>
    </row>
    <row r="9" spans="1:75" ht="15.75" x14ac:dyDescent="0.25">
      <c r="A9" s="1619" t="s">
        <v>815</v>
      </c>
      <c r="B9" s="1619"/>
      <c r="C9" s="1619"/>
      <c r="D9" s="1619"/>
      <c r="E9" s="1619"/>
      <c r="F9" s="1619"/>
      <c r="G9" s="1619"/>
      <c r="H9" s="1619"/>
      <c r="I9" s="1585">
        <f>'GRANTEE SET UP INFO &amp; DATE '!C15</f>
        <v>0</v>
      </c>
      <c r="J9" s="1585"/>
      <c r="K9" s="1585"/>
      <c r="L9" s="1585"/>
      <c r="M9" s="1592">
        <f>'GRANTEE SET UP INFO &amp; DATE '!F15</f>
        <v>0</v>
      </c>
      <c r="N9" s="1592"/>
      <c r="O9" s="1592"/>
      <c r="P9" s="1592"/>
      <c r="Q9" s="1592"/>
      <c r="R9" s="1591" t="e">
        <f>'GRANTEE SET UP INFO &amp; DATE '!#REF!</f>
        <v>#REF!</v>
      </c>
      <c r="S9" s="1591"/>
      <c r="T9" s="1591"/>
      <c r="U9" s="1591"/>
      <c r="V9" s="1591"/>
      <c r="W9" s="1660">
        <f>COUNTIFS(TRAINING!B12:B5000,"&gt;=07/01/2000",TRAINING!B12:B5000,"&lt;=09/30/2019",TRAINING!D12:D5000,"Mandatory",TRAINING!AR12:AR5000,"YES")</f>
        <v>0</v>
      </c>
      <c r="X9" s="1660"/>
      <c r="Y9" s="1660"/>
      <c r="Z9" s="1660"/>
      <c r="AA9" s="1675">
        <f>COUNTIFS(TRAINING!B12:B5000,"&gt;=10/01/2019",TRAINING!B12:B5000,"&lt;=12/31/2019",TRAINING!D12:D5000,"Mandatory",TRAINING!AR12:AR5000,"YES")</f>
        <v>0</v>
      </c>
      <c r="AB9" s="1675"/>
      <c r="AC9" s="1675"/>
      <c r="AD9" s="1675"/>
      <c r="AE9" s="1585">
        <f>COUNTIFS(TRAINING!B12:B5000,"&gt;=01/01/2020",TRAINING!B12:B5000,"&lt;=03/31/2020",TRAINING!D12:D5000,"Mandatory",TRAINING!AR12:AR5000,"YES")</f>
        <v>0</v>
      </c>
      <c r="AF9" s="1585"/>
      <c r="AG9" s="1585"/>
      <c r="AH9" s="1585"/>
      <c r="AI9" s="1674">
        <f>COUNTIFS(TRAINING!B12:B5000,"&gt;=04/01/2020",TRAINING!B12:B5000,"&lt;=06/30/2020",TRAINING!D12:D5000,"Mandatory",TRAINING!AR12:AR5000,"YES")</f>
        <v>0</v>
      </c>
      <c r="AJ9" s="1674"/>
      <c r="AK9" s="1674"/>
      <c r="AL9" s="1674"/>
      <c r="AM9" s="1661">
        <f>COUNTIFS(TRAINING!B12:B5000,"&gt;=07/01/2020",TRAINING!B12:B5000,"&lt;=09/30/2020",TRAINING!D12:D5000,"Mandatory",TRAINING!AR12:AR5000,"YES")</f>
        <v>0</v>
      </c>
      <c r="AN9" s="1661"/>
      <c r="AO9" s="1661"/>
      <c r="AP9" s="1661"/>
      <c r="AQ9" s="1637">
        <f>COUNTIFS(TRAINING!B12:B5000,"&gt;=10/01/2020",TRAINING!B12:B5000,"&lt;=12/31/2020",TRAINING!D12:D5000,"Mandatory",TRAINING!AR12:AR5000,"YES")</f>
        <v>0</v>
      </c>
      <c r="AR9" s="1637"/>
      <c r="AS9" s="1637"/>
      <c r="AT9" s="1637"/>
      <c r="AU9" s="1649">
        <f>COUNTIFS(TRAINING!B12:B5000,"&gt;=01/01/2021",TRAINING!B12:B5000,"&lt;=03/31/2021",TRAINING!D12:D5000,"Mandatory",TRAINING!AR12:AR5000,"YES")</f>
        <v>0</v>
      </c>
      <c r="AV9" s="1649"/>
      <c r="AW9" s="1649"/>
      <c r="AX9" s="1649"/>
      <c r="AY9" s="1637">
        <f>COUNTIFS(TRAINING!B12:B5000,"&gt;=04/01/2020",TRAINING!B12:B5000,"&lt;=06/30/2020",TRAINING!D12:D5000,"Mandatory",TRAINING!AR12:AR5000,"YES")</f>
        <v>0</v>
      </c>
      <c r="AZ9" s="1637"/>
      <c r="BA9" s="1637"/>
      <c r="BB9" s="1637"/>
      <c r="BC9" s="1649">
        <f>COUNTIFS(TRAINING!B12:B5000,"&gt;=07/01/2021",TRAINING!B12:B5000,"&lt;=09/30/2021",TRAINING!D12:D5000,"Mandatory",TRAINING!AR12:AR5000,"YES")</f>
        <v>0</v>
      </c>
      <c r="BD9" s="1649"/>
      <c r="BE9" s="1649"/>
      <c r="BF9" s="1649"/>
      <c r="BG9" s="1650">
        <f>COUNTIFS(TRAINING!B12:B5000,"&gt;=10/01/2021",TRAINING!B12:B5000,"&lt;=12/31/2021",TRAINING!D12:D5000,"Mandatory",TRAINING!AR12:AR5000,"YES")</f>
        <v>0</v>
      </c>
      <c r="BH9" s="1650"/>
      <c r="BI9" s="1650"/>
      <c r="BJ9" s="1650"/>
      <c r="BK9" s="1651">
        <f>COUNTIFS(TRAINING!B12:B5000,"&gt;=01/01/2022",TRAINING!B12:B5000,"&lt;=03/31/2022",TRAINING!D12:D5000,"Mandatory",TRAINING!AR12:AR5000,"YES")</f>
        <v>0</v>
      </c>
      <c r="BL9" s="1651"/>
      <c r="BM9" s="1651"/>
      <c r="BN9" s="1651"/>
      <c r="BO9" s="1650">
        <f>COUNTIFS(TRAINING!B12:B5000,"&gt;=04/01/2022",TRAINING!B12:B5000,"&lt;=06/30/2022",TRAINING!D12:D5000,"Mandatory",TRAINING!AR12:AR5000,"YES")</f>
        <v>0</v>
      </c>
      <c r="BP9" s="1650"/>
      <c r="BQ9" s="1650"/>
      <c r="BR9" s="1650"/>
      <c r="BS9" s="1673">
        <f>COUNTIFS(TRAINING!B12:B5000,"&gt;=07/01/2022",TRAINING!B12:B5000,"&lt;=09/30/2022",TRAINING!D12:D5000,"Mandatory",TRAINING!AR12:AR5000,"YES")</f>
        <v>0</v>
      </c>
      <c r="BT9" s="1673"/>
      <c r="BU9" s="1673"/>
      <c r="BV9" s="1673"/>
      <c r="BW9" s="277"/>
    </row>
    <row r="10" spans="1:75" ht="15.75" x14ac:dyDescent="0.25">
      <c r="A10" s="1619" t="s">
        <v>816</v>
      </c>
      <c r="B10" s="1619"/>
      <c r="C10" s="1619"/>
      <c r="D10" s="1619"/>
      <c r="E10" s="1619"/>
      <c r="F10" s="1619"/>
      <c r="G10" s="1619"/>
      <c r="H10" s="1619"/>
      <c r="I10" s="1585">
        <f>'GRANTEE SET UP INFO &amp; DATE '!C16</f>
        <v>0</v>
      </c>
      <c r="J10" s="1585"/>
      <c r="K10" s="1585"/>
      <c r="L10" s="1585"/>
      <c r="M10" s="1592">
        <f>'GRANTEE SET UP INFO &amp; DATE '!F16</f>
        <v>0</v>
      </c>
      <c r="N10" s="1592"/>
      <c r="O10" s="1592"/>
      <c r="P10" s="1592"/>
      <c r="Q10" s="1592"/>
      <c r="R10" s="1591" t="e">
        <f>'GRANTEE SET UP INFO &amp; DATE '!#REF!</f>
        <v>#REF!</v>
      </c>
      <c r="S10" s="1591"/>
      <c r="T10" s="1591"/>
      <c r="U10" s="1591"/>
      <c r="V10" s="1591"/>
      <c r="W10" s="1660">
        <f>COUNTIFS(TRAINING!B12:B5000,"&gt;=07/01/2000",TRAINING!B12:B5000,"&lt;=09/30/2019",TRAINING!D12:D5000,"Mandatory",TRAINING!AS12:AS5000,"YES")</f>
        <v>0</v>
      </c>
      <c r="X10" s="1660"/>
      <c r="Y10" s="1660"/>
      <c r="Z10" s="1660"/>
      <c r="AA10" s="1675">
        <f>COUNTIFS(TRAINING!B12:B5000,"&gt;=10/01/2019",TRAINING!B12:B5000,"&lt;=12/31/2019",TRAINING!D12:D5000,"Mandatory",TRAINING!AS12:AS5000,"YES")</f>
        <v>0</v>
      </c>
      <c r="AB10" s="1675"/>
      <c r="AC10" s="1675"/>
      <c r="AD10" s="1675"/>
      <c r="AE10" s="1585">
        <f>COUNTIFS(TRAINING!B12:B5000,"&gt;=01/01/2020",TRAINING!B12:B5000,"&lt;=03/31/2020",TRAINING!D12:D5000,"Mandatory",TRAINING!AS12:AS5000,"YES")</f>
        <v>0</v>
      </c>
      <c r="AF10" s="1585"/>
      <c r="AG10" s="1585"/>
      <c r="AH10" s="1585"/>
      <c r="AI10" s="1674">
        <f>COUNTIFS(TRAINING!B12:B5000,"&gt;=04/01/2020",TRAINING!B12:B5000,"&lt;=06/30/2020",TRAINING!D12:D5000,"Mandatory",TRAINING!AS12:AS5000,"YES")</f>
        <v>0</v>
      </c>
      <c r="AJ10" s="1674"/>
      <c r="AK10" s="1674"/>
      <c r="AL10" s="1674"/>
      <c r="AM10" s="1661">
        <f>COUNTIFS(TRAINING!B12:B5000,"&gt;=07/01/2020",TRAINING!B12:B5000,"&lt;=09/30/2020",TRAINING!D12:D5000,"Mandatory",TRAINING!AS12:AS5000,"YES")</f>
        <v>0</v>
      </c>
      <c r="AN10" s="1661"/>
      <c r="AO10" s="1661"/>
      <c r="AP10" s="1661"/>
      <c r="AQ10" s="1637">
        <f>COUNTIFS(TRAINING!B12:B5000,"&gt;=10/01/2020",TRAINING!B12:B5000,"&lt;=12/31/2020",TRAINING!D12:D5000,"Mandatory",TRAINING!AS12:AS5000,"YES")</f>
        <v>0</v>
      </c>
      <c r="AR10" s="1637"/>
      <c r="AS10" s="1637"/>
      <c r="AT10" s="1637"/>
      <c r="AU10" s="1649">
        <f>COUNTIFS(TRAINING!B12:B5000,"&gt;=01/01/2021",TRAINING!B12:B5000,"&lt;=03/31/2021",TRAINING!D12:D5000,"Mandatory",TRAINING!AS12:AS5000,"YES")</f>
        <v>0</v>
      </c>
      <c r="AV10" s="1649"/>
      <c r="AW10" s="1649"/>
      <c r="AX10" s="1649"/>
      <c r="AY10" s="1637">
        <f>COUNTIFS(TRAINING!B12:B5000,"&gt;=04/01/2020",TRAINING!B12:B5000,"&lt;=06/30/2020",TRAINING!D12:D5000,"Mandatory",TRAINING!AS12:AS5000,"YES")</f>
        <v>0</v>
      </c>
      <c r="AZ10" s="1637"/>
      <c r="BA10" s="1637"/>
      <c r="BB10" s="1637"/>
      <c r="BC10" s="1649">
        <f>COUNTIFS(TRAINING!B12:B5000,"&gt;=07/01/2021",TRAINING!B12:B5000,"&lt;=09/30/2021",TRAINING!D12:D5000,"Mandatory",TRAINING!AS12:AS5000,"YES")</f>
        <v>0</v>
      </c>
      <c r="BD10" s="1649"/>
      <c r="BE10" s="1649"/>
      <c r="BF10" s="1649"/>
      <c r="BG10" s="1650">
        <f>COUNTIFS(TRAINING!B12:B5000,"&gt;=10/01/2021",TRAINING!B12:B5000,"&lt;=12/31/2021",TRAINING!D12:D5000,"Mandatory",TRAINING!AS12:AS5000,"YES")</f>
        <v>0</v>
      </c>
      <c r="BH10" s="1650"/>
      <c r="BI10" s="1650"/>
      <c r="BJ10" s="1650"/>
      <c r="BK10" s="1651">
        <f>COUNTIFS(TRAINING!B12:B5000,"&gt;=01/01/2022",TRAINING!B12:B5000,"&lt;=03/31/2022",TRAINING!D12:D5000,"Mandatory",TRAINING!AS12:AS5000,"YES")</f>
        <v>0</v>
      </c>
      <c r="BL10" s="1651"/>
      <c r="BM10" s="1651"/>
      <c r="BN10" s="1651"/>
      <c r="BO10" s="1650">
        <f>COUNTIFS(TRAINING!B12:B5000,"&gt;=04/01/2022",TRAINING!B12:B5000,"&lt;=06/30/2022",TRAINING!D12:D5000,"Mandatory",TRAINING!AS12:AS5000,"YES")</f>
        <v>0</v>
      </c>
      <c r="BP10" s="1650"/>
      <c r="BQ10" s="1650"/>
      <c r="BR10" s="1650"/>
      <c r="BS10" s="1673">
        <f>COUNTIFS(TRAINING!B12:B5000,"&gt;=07/01/2022",TRAINING!B12:B5000,"&lt;=09/30/2022",TRAINING!D12:D5000,"Mandatory",TRAINING!AS12:AS5000,"YES")</f>
        <v>0</v>
      </c>
      <c r="BT10" s="1673"/>
      <c r="BU10" s="1673"/>
      <c r="BV10" s="1673"/>
      <c r="BW10" s="277"/>
    </row>
    <row r="11" spans="1:75" ht="15.75" x14ac:dyDescent="0.25">
      <c r="A11" s="1619" t="s">
        <v>817</v>
      </c>
      <c r="B11" s="1619"/>
      <c r="C11" s="1619"/>
      <c r="D11" s="1619"/>
      <c r="E11" s="1619"/>
      <c r="F11" s="1619"/>
      <c r="G11" s="1619"/>
      <c r="H11" s="1619"/>
      <c r="I11" s="1585">
        <f>'GRANTEE SET UP INFO &amp; DATE '!C17</f>
        <v>0</v>
      </c>
      <c r="J11" s="1585"/>
      <c r="K11" s="1585"/>
      <c r="L11" s="1585"/>
      <c r="M11" s="1592">
        <f>'GRANTEE SET UP INFO &amp; DATE '!F17</f>
        <v>0</v>
      </c>
      <c r="N11" s="1592"/>
      <c r="O11" s="1592"/>
      <c r="P11" s="1592"/>
      <c r="Q11" s="1592"/>
      <c r="R11" s="1591" t="e">
        <f>'GRANTEE SET UP INFO &amp; DATE '!#REF!</f>
        <v>#REF!</v>
      </c>
      <c r="S11" s="1591"/>
      <c r="T11" s="1591"/>
      <c r="U11" s="1591"/>
      <c r="V11" s="1591"/>
      <c r="W11" s="1660">
        <f>COUNTIFS(TRAINING!B12:B5000,"&gt;=07/01/2000",TRAINING!B12:B5000,"&lt;=09/30/2019",TRAINING!D12:D5000,"Mandatory",TRAINING!AT12:AT5000,"YES")</f>
        <v>0</v>
      </c>
      <c r="X11" s="1660"/>
      <c r="Y11" s="1660"/>
      <c r="Z11" s="1660"/>
      <c r="AA11" s="1675">
        <f>COUNTIFS(TRAINING!B12:B5000,"&gt;=10/01/2019",TRAINING!B12:B5000,"&lt;=12/31/2019",TRAINING!D12:D5000,"Mandatory",TRAINING!AT12:AT5000,"YES")</f>
        <v>0</v>
      </c>
      <c r="AB11" s="1675"/>
      <c r="AC11" s="1675"/>
      <c r="AD11" s="1675"/>
      <c r="AE11" s="1585">
        <f>COUNTIFS(TRAINING!B12:B5000,"&gt;=01/01/2020",TRAINING!B12:B5000,"&lt;=03/31/2020",TRAINING!D12:D5000,"Mandatory",TRAINING!AT12:AT5000,"YES")</f>
        <v>0</v>
      </c>
      <c r="AF11" s="1585"/>
      <c r="AG11" s="1585"/>
      <c r="AH11" s="1585"/>
      <c r="AI11" s="1674">
        <f>COUNTIFS(TRAINING!B12:B5000,"&gt;=04/01/2020",TRAINING!B12:B5000,"&lt;=06/30/2020",TRAINING!D12:D5000,"Mandatory",TRAINING!AT12:AT5000,"YES")</f>
        <v>0</v>
      </c>
      <c r="AJ11" s="1674"/>
      <c r="AK11" s="1674"/>
      <c r="AL11" s="1674"/>
      <c r="AM11" s="1661">
        <f>COUNTIFS(TRAINING!B12:B5000,"&gt;=07/01/2020",TRAINING!B12:B5000,"&lt;=09/30/2020",TRAINING!D12:D5000,"Mandatory",TRAINING!AT12:AT5000,"YES")</f>
        <v>0</v>
      </c>
      <c r="AN11" s="1661"/>
      <c r="AO11" s="1661"/>
      <c r="AP11" s="1661"/>
      <c r="AQ11" s="1637">
        <f>COUNTIFS(TRAINING!B12:B5000,"&gt;=10/01/2020",TRAINING!B12:B5000,"&lt;=12/31/2020",TRAINING!D12:D5000,"Mandatory",TRAINING!AT12:AT5000,"YES")</f>
        <v>0</v>
      </c>
      <c r="AR11" s="1637"/>
      <c r="AS11" s="1637"/>
      <c r="AT11" s="1637"/>
      <c r="AU11" s="1649">
        <f>COUNTIFS(TRAINING!B12:B5000,"&gt;=01/01/2021",TRAINING!B12:B5000,"&lt;=03/31/2021",TRAINING!D12:D5000,"Mandatory",TRAINING!AT12:AT5000,"YES")</f>
        <v>0</v>
      </c>
      <c r="AV11" s="1649"/>
      <c r="AW11" s="1649"/>
      <c r="AX11" s="1649"/>
      <c r="AY11" s="1637">
        <f>COUNTIFS(TRAINING!B12:B5000,"&gt;=04/01/2020",TRAINING!B12:B5000,"&lt;=06/30/2020",TRAINING!D12:D5000,"Mandatory",TRAINING!AT12:AT5000,"YES")</f>
        <v>0</v>
      </c>
      <c r="AZ11" s="1637"/>
      <c r="BA11" s="1637"/>
      <c r="BB11" s="1637"/>
      <c r="BC11" s="1649">
        <f>COUNTIFS(TRAINING!B12:B5000,"&gt;=07/01/2021",TRAINING!B12:B5000,"&lt;=09/30/2021",TRAINING!D12:D5000,"Mandatory",TRAINING!AT12:AT5000,"YES")</f>
        <v>0</v>
      </c>
      <c r="BD11" s="1649"/>
      <c r="BE11" s="1649"/>
      <c r="BF11" s="1649"/>
      <c r="BG11" s="1650">
        <f>COUNTIFS(TRAINING!B12:B5000,"&gt;=10/01/2021",TRAINING!B12:B5000,"&lt;=12/31/2021",TRAINING!D12:D5000,"Mandatory",TRAINING!AT12:AT5000,"YES")</f>
        <v>0</v>
      </c>
      <c r="BH11" s="1650"/>
      <c r="BI11" s="1650"/>
      <c r="BJ11" s="1650"/>
      <c r="BK11" s="1651">
        <f>COUNTIFS(TRAINING!B12:B5000,"&gt;=01/01/2022",TRAINING!B12:B5000,"&lt;=03/31/2022",TRAINING!D12:D5000,"Mandatory",TRAINING!AT12:AT5000,"YES")</f>
        <v>0</v>
      </c>
      <c r="BL11" s="1651"/>
      <c r="BM11" s="1651"/>
      <c r="BN11" s="1651"/>
      <c r="BO11" s="1650">
        <f>COUNTIFS(TRAINING!B12:B5000,"&gt;=04/01/2022",TRAINING!B12:B5000,"&lt;=06/30/2022",TRAINING!D12:D5000,"Mandatory",TRAINING!AT12:AT5000,"YES")</f>
        <v>0</v>
      </c>
      <c r="BP11" s="1650"/>
      <c r="BQ11" s="1650"/>
      <c r="BR11" s="1650"/>
      <c r="BS11" s="1673">
        <f>COUNTIFS(TRAINING!B12:B5000,"&gt;=07/01/2022",TRAINING!B12:B5000,"&lt;=09/30/2022",TRAINING!D12:D5000,"Mandatory",TRAINING!AT12:AT5000,"YES")</f>
        <v>0</v>
      </c>
      <c r="BT11" s="1673"/>
      <c r="BU11" s="1673"/>
      <c r="BV11" s="1673"/>
      <c r="BW11" s="277"/>
    </row>
    <row r="12" spans="1:75" ht="15.75" x14ac:dyDescent="0.25">
      <c r="A12" s="1619" t="s">
        <v>818</v>
      </c>
      <c r="B12" s="1619"/>
      <c r="C12" s="1619"/>
      <c r="D12" s="1619"/>
      <c r="E12" s="1619"/>
      <c r="F12" s="1619"/>
      <c r="G12" s="1619"/>
      <c r="H12" s="1619"/>
      <c r="I12" s="1585">
        <f>'GRANTEE SET UP INFO &amp; DATE '!C18</f>
        <v>0</v>
      </c>
      <c r="J12" s="1585"/>
      <c r="K12" s="1585"/>
      <c r="L12" s="1585"/>
      <c r="M12" s="1592">
        <f>'GRANTEE SET UP INFO &amp; DATE '!F18</f>
        <v>0</v>
      </c>
      <c r="N12" s="1592"/>
      <c r="O12" s="1592"/>
      <c r="P12" s="1592"/>
      <c r="Q12" s="1592"/>
      <c r="R12" s="1591" t="e">
        <f>'GRANTEE SET UP INFO &amp; DATE '!#REF!</f>
        <v>#REF!</v>
      </c>
      <c r="S12" s="1591"/>
      <c r="T12" s="1591"/>
      <c r="U12" s="1591"/>
      <c r="V12" s="1591"/>
      <c r="W12" s="1660">
        <f>COUNTIFS(TRAINING!B12:B5000,"&gt;=07/01/2000",TRAINING!B12:B5000,"&lt;=09/30/2019",TRAINING!D12:D5000,"Mandatory",TRAINING!AU12:AU5000,"YES")</f>
        <v>0</v>
      </c>
      <c r="X12" s="1660"/>
      <c r="Y12" s="1660"/>
      <c r="Z12" s="1660"/>
      <c r="AA12" s="1675">
        <f>COUNTIFS(TRAINING!B12:B5000,"&gt;=10/01/2019",TRAINING!B12:B5000,"&lt;=12/31/2019",TRAINING!D12:D5000,"Mandatory",TRAINING!AU12:AU5000,"YES")</f>
        <v>0</v>
      </c>
      <c r="AB12" s="1675"/>
      <c r="AC12" s="1675"/>
      <c r="AD12" s="1675"/>
      <c r="AE12" s="1585">
        <f>COUNTIFS(TRAINING!B12:B5000,"&gt;=01/01/2020",TRAINING!B12:B5000,"&lt;=03/31/2020",TRAINING!D12:D5000,"Mandatory",TRAINING!AU12:AU5000,"YES")</f>
        <v>0</v>
      </c>
      <c r="AF12" s="1585"/>
      <c r="AG12" s="1585"/>
      <c r="AH12" s="1585"/>
      <c r="AI12" s="1674">
        <f>COUNTIFS(TRAINING!B12:B5000,"&gt;=04/01/2020",TRAINING!B12:B5000,"&lt;=06/30/2020",TRAINING!D12:D5000,"Mandatory",TRAINING!AU12:AU5000,"YES")</f>
        <v>0</v>
      </c>
      <c r="AJ12" s="1674"/>
      <c r="AK12" s="1674"/>
      <c r="AL12" s="1674"/>
      <c r="AM12" s="1661">
        <f>COUNTIFS(TRAINING!B12:B5000,"&gt;=07/01/2020",TRAINING!B12:B5000,"&lt;=09/30/2020",TRAINING!D12:D5000,"Mandatory",TRAINING!AU12:AU5000,"YES")</f>
        <v>0</v>
      </c>
      <c r="AN12" s="1661"/>
      <c r="AO12" s="1661"/>
      <c r="AP12" s="1661"/>
      <c r="AQ12" s="1637">
        <f>COUNTIFS(TRAINING!B12:B5000,"&gt;=10/01/2020",TRAINING!B12:B5000,"&lt;=12/31/2020",TRAINING!D12:D5000,"Mandatory",TRAINING!AU12:AU5000,"YES")</f>
        <v>0</v>
      </c>
      <c r="AR12" s="1637"/>
      <c r="AS12" s="1637"/>
      <c r="AT12" s="1637"/>
      <c r="AU12" s="1649">
        <f>COUNTIFS(TRAINING!B12:B5000,"&gt;=01/01/2021",TRAINING!B12:B5000,"&lt;=03/31/2021",TRAINING!D12:D5000,"Mandatory",TRAINING!AU12:AU5000,"YES")</f>
        <v>0</v>
      </c>
      <c r="AV12" s="1649"/>
      <c r="AW12" s="1649"/>
      <c r="AX12" s="1649"/>
      <c r="AY12" s="1637">
        <f>COUNTIFS(TRAINING!B12:B5000,"&gt;=04/01/2020",TRAINING!B12:B5000,"&lt;=06/30/2020",TRAINING!D12:D5000,"Mandatory",TRAINING!AU12:AU5000,"YES")</f>
        <v>0</v>
      </c>
      <c r="AZ12" s="1637"/>
      <c r="BA12" s="1637"/>
      <c r="BB12" s="1637"/>
      <c r="BC12" s="1649">
        <f>COUNTIFS(TRAINING!B12:B5000,"&gt;=07/01/2021",TRAINING!B12:B5000,"&lt;=09/30/2021",TRAINING!D12:D5000,"Mandatory",TRAINING!AU12:AU5000,"YES")</f>
        <v>0</v>
      </c>
      <c r="BD12" s="1649"/>
      <c r="BE12" s="1649"/>
      <c r="BF12" s="1649"/>
      <c r="BG12" s="1650">
        <f>COUNTIFS(TRAINING!B12:B5000,"&gt;=10/01/2021",TRAINING!B12:B5000,"&lt;=12/31/2021",TRAINING!D12:D5000,"Mandatory",TRAINING!AU12:AU5000,"YES")</f>
        <v>0</v>
      </c>
      <c r="BH12" s="1650"/>
      <c r="BI12" s="1650"/>
      <c r="BJ12" s="1650"/>
      <c r="BK12" s="1651">
        <f>COUNTIFS(TRAINING!B12:B5000,"&gt;=01/01/2022",TRAINING!B12:B5000,"&lt;=03/31/2022",TRAINING!D12:D5000,"Mandatory",TRAINING!AU12:AU5000,"YES")</f>
        <v>0</v>
      </c>
      <c r="BL12" s="1651"/>
      <c r="BM12" s="1651"/>
      <c r="BN12" s="1651"/>
      <c r="BO12" s="1650">
        <f>COUNTIFS(TRAINING!B12:B5000,"&gt;=04/01/2022",TRAINING!B12:B5000,"&lt;=06/30/2022",TRAINING!D12:D5000,"Mandatory",TRAINING!AU12:AU5000,"YES")</f>
        <v>0</v>
      </c>
      <c r="BP12" s="1650"/>
      <c r="BQ12" s="1650"/>
      <c r="BR12" s="1650"/>
      <c r="BS12" s="1673">
        <f>COUNTIFS(TRAINING!B12:B5000,"&gt;=07/01/2022",TRAINING!B12:B5000,"&lt;=09/30/2022",TRAINING!D12:D5000,"Mandatory",TRAINING!AU12:AU5000,"YES")</f>
        <v>0</v>
      </c>
      <c r="BT12" s="1673"/>
      <c r="BU12" s="1673"/>
      <c r="BV12" s="1673"/>
      <c r="BW12" s="277"/>
    </row>
    <row r="13" spans="1:75" ht="15.75" x14ac:dyDescent="0.25">
      <c r="A13" s="1619" t="s">
        <v>819</v>
      </c>
      <c r="B13" s="1619"/>
      <c r="C13" s="1619"/>
      <c r="D13" s="1619"/>
      <c r="E13" s="1619"/>
      <c r="F13" s="1619"/>
      <c r="G13" s="1619"/>
      <c r="H13" s="1619"/>
      <c r="I13" s="1585" t="e">
        <f>'GRANTEE SET UP INFO &amp; DATE '!#REF!</f>
        <v>#REF!</v>
      </c>
      <c r="J13" s="1585"/>
      <c r="K13" s="1585"/>
      <c r="L13" s="1585"/>
      <c r="M13" s="1621" t="e">
        <f>'GRANTEE SET UP INFO &amp; DATE '!#REF!</f>
        <v>#REF!</v>
      </c>
      <c r="N13" s="1592"/>
      <c r="O13" s="1592"/>
      <c r="P13" s="1592"/>
      <c r="Q13" s="1592"/>
      <c r="R13" s="1622" t="e">
        <f>'GRANTEE SET UP INFO &amp; DATE '!#REF!</f>
        <v>#REF!</v>
      </c>
      <c r="S13" s="1623"/>
      <c r="T13" s="1623"/>
      <c r="U13" s="1623"/>
      <c r="V13" s="1623"/>
      <c r="W13" s="1660">
        <f>COUNTIFS(TRAINING!B12:B5000,"&gt;=07/01/2000",TRAINING!B12:B5000,"&lt;=09/30/2019",TRAINING!D12:D5000,"Mandatory",TRAINING!AV12:AV5000,"YES")</f>
        <v>0</v>
      </c>
      <c r="X13" s="1660"/>
      <c r="Y13" s="1660"/>
      <c r="Z13" s="1660"/>
      <c r="AA13" s="1675">
        <f>COUNTIFS(TRAINING!B12:B5000,"&gt;=10/01/2019",TRAINING!B12:B5000,"&lt;=12/31/2019",TRAINING!D12:D5000,"Mandatory",TRAINING!AV12:AV5000,"YES")</f>
        <v>0</v>
      </c>
      <c r="AB13" s="1675"/>
      <c r="AC13" s="1675"/>
      <c r="AD13" s="1675"/>
      <c r="AE13" s="1585">
        <f>COUNTIFS(TRAINING!B12:B5000,"&gt;=01/01/2020",TRAINING!B12:B5000,"&lt;=03/31/2020",TRAINING!D12:D5000,"Mandatory",TRAINING!AV12:AV5000,"YES")</f>
        <v>0</v>
      </c>
      <c r="AF13" s="1585"/>
      <c r="AG13" s="1585"/>
      <c r="AH13" s="1585"/>
      <c r="AI13" s="1674">
        <f>COUNTIFS(TRAINING!B12:B5000,"&gt;=04/01/2020",TRAINING!B12:B5000,"&lt;=06/30/2020",TRAINING!D12:D5000,"Mandatory",TRAINING!AV12:AV5000,"YES")</f>
        <v>0</v>
      </c>
      <c r="AJ13" s="1674"/>
      <c r="AK13" s="1674"/>
      <c r="AL13" s="1674"/>
      <c r="AM13" s="1661">
        <f>COUNTIFS(TRAINING!B12:B5000,"&gt;=07/01/2020",TRAINING!B12:B5000,"&lt;=09/30/2020",TRAINING!D12:D5000,"Mandatory",TRAINING!AV12:AV5000,"YES")</f>
        <v>0</v>
      </c>
      <c r="AN13" s="1661"/>
      <c r="AO13" s="1661"/>
      <c r="AP13" s="1661"/>
      <c r="AQ13" s="1637">
        <f>COUNTIFS(TRAINING!B12:B5000,"&gt;=10/01/2020",TRAINING!B12:B5000,"&lt;=12/31/2020",TRAINING!D12:D5000,"Mandatory",TRAINING!AV12:AV5000,"YES")</f>
        <v>0</v>
      </c>
      <c r="AR13" s="1637"/>
      <c r="AS13" s="1637"/>
      <c r="AT13" s="1637"/>
      <c r="AU13" s="1649">
        <f>COUNTIFS(TRAINING!B12:B5000,"&gt;=01/01/2021",TRAINING!B12:B5000,"&lt;=03/31/2021",TRAINING!D12:D5000,"Mandatory",TRAINING!AV12:AV5000,"YES")</f>
        <v>0</v>
      </c>
      <c r="AV13" s="1649"/>
      <c r="AW13" s="1649"/>
      <c r="AX13" s="1649"/>
      <c r="AY13" s="1637">
        <f>COUNTIFS(TRAINING!B12:B5000,"&gt;=04/01/2020",TRAINING!B12:B5000,"&lt;=06/30/2020",TRAINING!D12:D5000,"Mandatory",TRAINING!AV12:AV5000,"YES")</f>
        <v>0</v>
      </c>
      <c r="AZ13" s="1637"/>
      <c r="BA13" s="1637"/>
      <c r="BB13" s="1637"/>
      <c r="BC13" s="1649">
        <f>COUNTIFS(TRAINING!B12:B5000,"&gt;=07/01/2021",TRAINING!B12:B5000,"&lt;=09/30/2021",TRAINING!D12:D5000,"Mandatory",TRAINING!AV12:AV5000,"YES")</f>
        <v>0</v>
      </c>
      <c r="BD13" s="1649"/>
      <c r="BE13" s="1649"/>
      <c r="BF13" s="1649"/>
      <c r="BG13" s="1650">
        <f>COUNTIFS(TRAINING!B12:B5000,"&gt;=10/01/2021",TRAINING!B12:B5000,"&lt;=12/31/2021",TRAINING!D12:D5000,"Mandatory",TRAINING!AV12:AV5000,"YES")</f>
        <v>0</v>
      </c>
      <c r="BH13" s="1650"/>
      <c r="BI13" s="1650"/>
      <c r="BJ13" s="1650"/>
      <c r="BK13" s="1651">
        <f>COUNTIFS(TRAINING!B12:B5000,"&gt;=01/01/2022",TRAINING!B12:B5000,"&lt;=03/31/2022",TRAINING!D12:D5000,"Mandatory",TRAINING!AV12:AV5000,"YES")</f>
        <v>0</v>
      </c>
      <c r="BL13" s="1651"/>
      <c r="BM13" s="1651"/>
      <c r="BN13" s="1651"/>
      <c r="BO13" s="1650">
        <f>COUNTIFS(TRAINING!B12:B5000,"&gt;=04/01/2022",TRAINING!B12:B5000,"&lt;=06/30/2022",TRAINING!D12:D5000,"Mandatory",TRAINING!AV12:AV5000,"YES")</f>
        <v>0</v>
      </c>
      <c r="BP13" s="1650"/>
      <c r="BQ13" s="1650"/>
      <c r="BR13" s="1650"/>
      <c r="BS13" s="1673">
        <f>COUNTIFS(TRAINING!B12:B5000,"&gt;=07/01/2022",TRAINING!B12:B5000,"&lt;=09/30/2022",TRAINING!D12:D5000,"Mandatory",TRAINING!AV12:AV5000,"YES")</f>
        <v>0</v>
      </c>
      <c r="BT13" s="1673"/>
      <c r="BU13" s="1673"/>
      <c r="BV13" s="1673"/>
      <c r="BW13" s="277"/>
    </row>
    <row r="14" spans="1:75" ht="15.75" x14ac:dyDescent="0.25">
      <c r="A14" s="1619" t="s">
        <v>830</v>
      </c>
      <c r="B14" s="1619"/>
      <c r="C14" s="1619"/>
      <c r="D14" s="1619"/>
      <c r="E14" s="1619"/>
      <c r="F14" s="1619"/>
      <c r="G14" s="1619"/>
      <c r="H14" s="1619"/>
      <c r="I14" s="1585" t="e">
        <f>'GRANTEE SET UP INFO &amp; DATE '!#REF!</f>
        <v>#REF!</v>
      </c>
      <c r="J14" s="1585"/>
      <c r="K14" s="1585"/>
      <c r="L14" s="1585"/>
      <c r="M14" s="1621" t="e">
        <f>'GRANTEE SET UP INFO &amp; DATE '!#REF!</f>
        <v>#REF!</v>
      </c>
      <c r="N14" s="1592"/>
      <c r="O14" s="1592"/>
      <c r="P14" s="1592"/>
      <c r="Q14" s="1592"/>
      <c r="R14" s="1622" t="e">
        <f>'GRANTEE SET UP INFO &amp; DATE '!#REF!</f>
        <v>#REF!</v>
      </c>
      <c r="S14" s="1623"/>
      <c r="T14" s="1623"/>
      <c r="U14" s="1623"/>
      <c r="V14" s="1623"/>
      <c r="W14" s="1660">
        <f>COUNTIFS(TRAINING!B12:B5000,"&gt;=07/01/2000",TRAINING!B12:B5000,"&lt;=09/30/2019",TRAINING!D12:D5000,"Mandatory",TRAINING!AW12:AW5000,"YES")</f>
        <v>0</v>
      </c>
      <c r="X14" s="1660"/>
      <c r="Y14" s="1660"/>
      <c r="Z14" s="1660"/>
      <c r="AA14" s="1675">
        <f>COUNTIFS(TRAINING!B12:B5000,"&gt;=10/01/2019",TRAINING!B12:B5000,"&lt;=12/31/2019",TRAINING!D12:D5000,"Mandatory",TRAINING!AW12:AW5000,"YES")</f>
        <v>0</v>
      </c>
      <c r="AB14" s="1675"/>
      <c r="AC14" s="1675"/>
      <c r="AD14" s="1675"/>
      <c r="AE14" s="1585">
        <f>COUNTIFS(TRAINING!B12:B5000,"&gt;=01/01/2020",TRAINING!B12:B5000,"&lt;=03/31/2020",TRAINING!D12:D5000,"Mandatory",TRAINING!AW12:AW5000,"YES")</f>
        <v>0</v>
      </c>
      <c r="AF14" s="1585"/>
      <c r="AG14" s="1585"/>
      <c r="AH14" s="1585"/>
      <c r="AI14" s="1674">
        <f>COUNTIFS(TRAINING!B12:B5000,"&gt;=04/01/2020",TRAINING!B12:B5000,"&lt;=06/30/2020",TRAINING!D12:D5000,"Mandatory",TRAINING!AW12:AW5000,"YES")</f>
        <v>0</v>
      </c>
      <c r="AJ14" s="1674"/>
      <c r="AK14" s="1674"/>
      <c r="AL14" s="1674"/>
      <c r="AM14" s="1661">
        <f>COUNTIFS(TRAINING!B12:B5000,"&gt;=07/01/2020",TRAINING!B12:B5000,"&lt;=09/30/2020",TRAINING!D12:D5000,"Mandatory",TRAINING!AW12:AW5000,"YES")</f>
        <v>0</v>
      </c>
      <c r="AN14" s="1661"/>
      <c r="AO14" s="1661"/>
      <c r="AP14" s="1661"/>
      <c r="AQ14" s="1637">
        <f>COUNTIFS(TRAINING!B12:B5000,"&gt;=10/01/2020",TRAINING!B12:B5000,"&lt;=12/31/2020",TRAINING!D12:D5000,"Mandatory",TRAINING!AW12:AW5000,"YES")</f>
        <v>0</v>
      </c>
      <c r="AR14" s="1637"/>
      <c r="AS14" s="1637"/>
      <c r="AT14" s="1637"/>
      <c r="AU14" s="1649">
        <f>COUNTIFS(TRAINING!B12:B5000,"&gt;=01/01/2021",TRAINING!B12:B5000,"&lt;=03/31/2021",TRAINING!D12:D5000,"Mandatory",TRAINING!AW12:AW5000,"YES")</f>
        <v>0</v>
      </c>
      <c r="AV14" s="1649"/>
      <c r="AW14" s="1649"/>
      <c r="AX14" s="1649"/>
      <c r="AY14" s="1637">
        <f>COUNTIFS(TRAINING!B12:B5000,"&gt;=04/01/2020",TRAINING!B12:B5000,"&lt;=06/30/2020",TRAINING!D12:D5000,"Mandatory",TRAINING!AW12:AW5000,"YES")</f>
        <v>0</v>
      </c>
      <c r="AZ14" s="1637"/>
      <c r="BA14" s="1637"/>
      <c r="BB14" s="1637"/>
      <c r="BC14" s="1649">
        <f>COUNTIFS(TRAINING!B12:B5000,"&gt;=07/01/2021",TRAINING!B12:B5000,"&lt;=09/30/2021",TRAINING!D12:D5000,"Mandatory",TRAINING!AW12:AW5000,"YES")</f>
        <v>0</v>
      </c>
      <c r="BD14" s="1649"/>
      <c r="BE14" s="1649"/>
      <c r="BF14" s="1649"/>
      <c r="BG14" s="1650">
        <f>COUNTIFS(TRAINING!B12:B5000,"&gt;=10/01/2021",TRAINING!B12:B5000,"&lt;=12/31/2021",TRAINING!D12:D5000,"Mandatory",TRAINING!AW12:AW5000,"YES")</f>
        <v>0</v>
      </c>
      <c r="BH14" s="1650"/>
      <c r="BI14" s="1650"/>
      <c r="BJ14" s="1650"/>
      <c r="BK14" s="1651">
        <f>COUNTIFS(TRAINING!B12:B5000,"&gt;=01/01/2022",TRAINING!B12:B5000,"&lt;=03/31/2022",TRAINING!D12:D5000,"Mandatory",TRAINING!AW12:AW5000,"YES")</f>
        <v>0</v>
      </c>
      <c r="BL14" s="1651"/>
      <c r="BM14" s="1651"/>
      <c r="BN14" s="1651"/>
      <c r="BO14" s="1650">
        <f>COUNTIFS(TRAINING!B12:B5000,"&gt;=04/01/2022",TRAINING!B12:B5000,"&lt;=06/30/2022",TRAINING!D12:D5000,"Mandatory",TRAINING!AW12:AW5000,"YES")</f>
        <v>0</v>
      </c>
      <c r="BP14" s="1650"/>
      <c r="BQ14" s="1650"/>
      <c r="BR14" s="1650"/>
      <c r="BS14" s="1673">
        <f>COUNTIFS(TRAINING!B12:B5000,"&gt;=07/01/2022",TRAINING!B12:B5000,"&lt;=09/30/2022",TRAINING!D12:D5000,"Mandatory",TRAINING!AW12:AW5000,"YES")</f>
        <v>0</v>
      </c>
      <c r="BT14" s="1673"/>
      <c r="BU14" s="1673"/>
      <c r="BV14" s="1673"/>
      <c r="BW14" s="277"/>
    </row>
    <row r="15" spans="1:75" ht="15.75" x14ac:dyDescent="0.25">
      <c r="A15" s="1619" t="s">
        <v>831</v>
      </c>
      <c r="B15" s="1619"/>
      <c r="C15" s="1619"/>
      <c r="D15" s="1619"/>
      <c r="E15" s="1619"/>
      <c r="F15" s="1619"/>
      <c r="G15" s="1619"/>
      <c r="H15" s="1619"/>
      <c r="I15" s="1585" t="e">
        <f>'GRANTEE SET UP INFO &amp; DATE '!#REF!</f>
        <v>#REF!</v>
      </c>
      <c r="J15" s="1585"/>
      <c r="K15" s="1585"/>
      <c r="L15" s="1585"/>
      <c r="M15" s="1621" t="e">
        <f>'GRANTEE SET UP INFO &amp; DATE '!#REF!</f>
        <v>#REF!</v>
      </c>
      <c r="N15" s="1592"/>
      <c r="O15" s="1592"/>
      <c r="P15" s="1592"/>
      <c r="Q15" s="1592"/>
      <c r="R15" s="1622" t="e">
        <f>'GRANTEE SET UP INFO &amp; DATE '!#REF!</f>
        <v>#REF!</v>
      </c>
      <c r="S15" s="1623"/>
      <c r="T15" s="1623"/>
      <c r="U15" s="1623"/>
      <c r="V15" s="1623"/>
      <c r="W15" s="1660">
        <f>COUNTIFS(TRAINING!B12:B5000,"&gt;=07/01/2000",TRAINING!B12:B5000,"&lt;=09/30/2019",TRAINING!D12:D5000,"Mandatory",TRAINING!AX12:AX5000,"YES")</f>
        <v>0</v>
      </c>
      <c r="X15" s="1660"/>
      <c r="Y15" s="1660"/>
      <c r="Z15" s="1660"/>
      <c r="AA15" s="1675">
        <f>COUNTIFS(TRAINING!B12:B5000,"&gt;=10/01/2019",TRAINING!B12:B5000,"&lt;=12/31/2019",TRAINING!D12:D5000,"Mandatory",TRAINING!AX12:AX5000,"YES")</f>
        <v>0</v>
      </c>
      <c r="AB15" s="1675"/>
      <c r="AC15" s="1675"/>
      <c r="AD15" s="1675"/>
      <c r="AE15" s="1585">
        <f>COUNTIFS(TRAINING!B12:B5000,"&gt;=01/01/2020",TRAINING!B12:B5000,"&lt;=03/31/2020",TRAINING!D12:D5000,"Mandatory",TRAINING!AX12:AX5000,"YES")</f>
        <v>0</v>
      </c>
      <c r="AF15" s="1585"/>
      <c r="AG15" s="1585"/>
      <c r="AH15" s="1585"/>
      <c r="AI15" s="1674">
        <f>COUNTIFS(TRAINING!B12:B5000,"&gt;=04/01/2020",TRAINING!B12:B5000,"&lt;=06/30/2020",TRAINING!D12:D5000,"Mandatory",TRAINING!AX12:AX5000,"YES")</f>
        <v>0</v>
      </c>
      <c r="AJ15" s="1674"/>
      <c r="AK15" s="1674"/>
      <c r="AL15" s="1674"/>
      <c r="AM15" s="1661">
        <f>COUNTIFS(TRAINING!B12:B5000,"&gt;=07/01/2020",TRAINING!B12:B5000,"&lt;=09/30/2020",TRAINING!D12:D5000,"Mandatory",TRAINING!AX12:AX5000,"YES")</f>
        <v>0</v>
      </c>
      <c r="AN15" s="1661"/>
      <c r="AO15" s="1661"/>
      <c r="AP15" s="1661"/>
      <c r="AQ15" s="1637">
        <f>COUNTIFS(TRAINING!B12:B5000,"&gt;=10/01/2020",TRAINING!B12:B5000,"&lt;=12/31/2020",TRAINING!D12:D5000,"Mandatory",TRAINING!AX12:AX5000,"YES")</f>
        <v>0</v>
      </c>
      <c r="AR15" s="1637"/>
      <c r="AS15" s="1637"/>
      <c r="AT15" s="1637"/>
      <c r="AU15" s="1649">
        <f>COUNTIFS(TRAINING!B12:B5000,"&gt;=01/01/2021",TRAINING!B12:B5000,"&lt;=03/31/2021",TRAINING!D12:D5000,"Mandatory",TRAINING!AX12:AX5000,"YES")</f>
        <v>0</v>
      </c>
      <c r="AV15" s="1649"/>
      <c r="AW15" s="1649"/>
      <c r="AX15" s="1649"/>
      <c r="AY15" s="1637">
        <f>COUNTIFS(TRAINING!B12:B5000,"&gt;=04/01/2020",TRAINING!B12:B5000,"&lt;=06/30/2020",TRAINING!D12:D5000,"Mandatory",TRAINING!AX12:AX5000,"YES")</f>
        <v>0</v>
      </c>
      <c r="AZ15" s="1637"/>
      <c r="BA15" s="1637"/>
      <c r="BB15" s="1637"/>
      <c r="BC15" s="1649">
        <f>COUNTIFS(TRAINING!B12:B5000,"&gt;=07/01/2021",TRAINING!B12:B5000,"&lt;=09/30/2021",TRAINING!D12:D5000,"Mandatory",TRAINING!AX12:AX5000,"YES")</f>
        <v>0</v>
      </c>
      <c r="BD15" s="1649"/>
      <c r="BE15" s="1649"/>
      <c r="BF15" s="1649"/>
      <c r="BG15" s="1650">
        <f>COUNTIFS(TRAINING!B12:B5000,"&gt;=10/01/2021",TRAINING!B12:B5000,"&lt;=12/31/2021",TRAINING!D12:D5000,"Mandatory",TRAINING!AX12:AX5000,"YES")</f>
        <v>0</v>
      </c>
      <c r="BH15" s="1650"/>
      <c r="BI15" s="1650"/>
      <c r="BJ15" s="1650"/>
      <c r="BK15" s="1651">
        <f>COUNTIFS(TRAINING!B12:B5000,"&gt;=01/01/2022",TRAINING!B12:B5000,"&lt;=03/31/2022",TRAINING!D12:D5000,"Mandatory",TRAINING!AX12:AX5000,"YES")</f>
        <v>0</v>
      </c>
      <c r="BL15" s="1651"/>
      <c r="BM15" s="1651"/>
      <c r="BN15" s="1651"/>
      <c r="BO15" s="1650">
        <f>COUNTIFS(TRAINING!B12:B5000,"&gt;=04/01/2022",TRAINING!B12:B5000,"&lt;=06/30/2022",TRAINING!D12:D5000,"Mandatory",TRAINING!AX12:AX5000,"YES")</f>
        <v>0</v>
      </c>
      <c r="BP15" s="1650"/>
      <c r="BQ15" s="1650"/>
      <c r="BR15" s="1650"/>
      <c r="BS15" s="1673">
        <f>COUNTIFS(TRAINING!B12:B5000,"&gt;=07/01/2022",TRAINING!B12:B5000,"&lt;=09/30/2022",TRAINING!D12:D5000,"Mandatory",TRAINING!AX12:AX5000,"YES")</f>
        <v>0</v>
      </c>
      <c r="BT15" s="1673"/>
      <c r="BU15" s="1673"/>
      <c r="BV15" s="1673"/>
      <c r="BW15" s="277"/>
    </row>
    <row r="16" spans="1:75" ht="15.75" x14ac:dyDescent="0.25">
      <c r="A16" s="1619" t="s">
        <v>832</v>
      </c>
      <c r="B16" s="1619"/>
      <c r="C16" s="1619"/>
      <c r="D16" s="1619"/>
      <c r="E16" s="1619"/>
      <c r="F16" s="1619"/>
      <c r="G16" s="1619"/>
      <c r="H16" s="1619"/>
      <c r="I16" s="1585" t="e">
        <f>'GRANTEE SET UP INFO &amp; DATE '!#REF!</f>
        <v>#REF!</v>
      </c>
      <c r="J16" s="1585"/>
      <c r="K16" s="1585"/>
      <c r="L16" s="1585"/>
      <c r="M16" s="1621" t="e">
        <f>'GRANTEE SET UP INFO &amp; DATE '!#REF!</f>
        <v>#REF!</v>
      </c>
      <c r="N16" s="1592"/>
      <c r="O16" s="1592"/>
      <c r="P16" s="1592"/>
      <c r="Q16" s="1592"/>
      <c r="R16" s="1622" t="e">
        <f>'GRANTEE SET UP INFO &amp; DATE '!#REF!</f>
        <v>#REF!</v>
      </c>
      <c r="S16" s="1623"/>
      <c r="T16" s="1623"/>
      <c r="U16" s="1623"/>
      <c r="V16" s="1623"/>
      <c r="W16" s="1660">
        <f>COUNTIFS(TRAINING!B12:B5000,"&gt;=07/01/2000",TRAINING!B12:B5000,"&lt;=09/30/2019",TRAINING!D12:D5000,"Mandatory",TRAINING!AY12:AY5000,"YES")</f>
        <v>0</v>
      </c>
      <c r="X16" s="1660"/>
      <c r="Y16" s="1660"/>
      <c r="Z16" s="1660"/>
      <c r="AA16" s="1675">
        <f>COUNTIFS(TRAINING!B12:B5000,"&gt;=10/01/2019",TRAINING!B12:B5000,"&lt;=12/31/2019",TRAINING!D12:D5000,"Mandatory",TRAINING!AY12:AY5000,"YES")</f>
        <v>0</v>
      </c>
      <c r="AB16" s="1675"/>
      <c r="AC16" s="1675"/>
      <c r="AD16" s="1675"/>
      <c r="AE16" s="1585">
        <f>COUNTIFS(TRAINING!B12:B5000,"&gt;=01/01/2020",TRAINING!B12:B5000,"&lt;=03/31/2020",TRAINING!D12:D5000,"Mandatory",TRAINING!AY12:AY5000,"YES")</f>
        <v>0</v>
      </c>
      <c r="AF16" s="1585"/>
      <c r="AG16" s="1585"/>
      <c r="AH16" s="1585"/>
      <c r="AI16" s="1674">
        <f>COUNTIFS(TRAINING!B12:B5000,"&gt;=04/01/2020",TRAINING!B12:B5000,"&lt;=06/30/2020",TRAINING!D12:D5000,"Mandatory",TRAINING!AY12:AY5000,"YES")</f>
        <v>0</v>
      </c>
      <c r="AJ16" s="1674"/>
      <c r="AK16" s="1674"/>
      <c r="AL16" s="1674"/>
      <c r="AM16" s="1661">
        <f>COUNTIFS(TRAINING!B12:B5000,"&gt;=07/01/2020",TRAINING!B12:B5000,"&lt;=09/30/2020",TRAINING!D12:D5000,"Mandatory",TRAINING!AY12:AY5000,"YES")</f>
        <v>0</v>
      </c>
      <c r="AN16" s="1661"/>
      <c r="AO16" s="1661"/>
      <c r="AP16" s="1661"/>
      <c r="AQ16" s="1637">
        <f>COUNTIFS(TRAINING!B12:B5000,"&gt;=10/01/2020",TRAINING!B12:B5000,"&lt;=12/31/2020",TRAINING!D12:D5000,"Mandatory",TRAINING!AY12:AY5000,"YES")</f>
        <v>0</v>
      </c>
      <c r="AR16" s="1637"/>
      <c r="AS16" s="1637"/>
      <c r="AT16" s="1637"/>
      <c r="AU16" s="1649">
        <f>COUNTIFS(TRAINING!B12:B5000,"&gt;=01/01/2021",TRAINING!B12:B5000,"&lt;=03/31/2021",TRAINING!D12:D5000,"Mandatory",TRAINING!AY12:AY5000,"YES")</f>
        <v>0</v>
      </c>
      <c r="AV16" s="1649"/>
      <c r="AW16" s="1649"/>
      <c r="AX16" s="1649"/>
      <c r="AY16" s="1637">
        <f>COUNTIFS(TRAINING!B12:B5000,"&gt;=04/01/2020",TRAINING!B12:B5000,"&lt;=06/30/2020",TRAINING!D12:D5000,"Mandatory",TRAINING!AY12:AY5000,"YES")</f>
        <v>0</v>
      </c>
      <c r="AZ16" s="1637"/>
      <c r="BA16" s="1637"/>
      <c r="BB16" s="1637"/>
      <c r="BC16" s="1649">
        <f>COUNTIFS(TRAINING!B12:B5000,"&gt;=07/01/2021",TRAINING!B12:B5000,"&lt;=09/30/2021",TRAINING!D12:D5000,"Mandatory",TRAINING!AY12:AY5000,"YES")</f>
        <v>0</v>
      </c>
      <c r="BD16" s="1649"/>
      <c r="BE16" s="1649"/>
      <c r="BF16" s="1649"/>
      <c r="BG16" s="1650">
        <f>COUNTIFS(TRAINING!B12:B5000,"&gt;=10/01/2021",TRAINING!B12:B5000,"&lt;=12/31/2021",TRAINING!D12:D5000,"Mandatory",TRAINING!AY12:AY5000,"YES")</f>
        <v>0</v>
      </c>
      <c r="BH16" s="1650"/>
      <c r="BI16" s="1650"/>
      <c r="BJ16" s="1650"/>
      <c r="BK16" s="1651">
        <f>COUNTIFS(TRAINING!B12:B5000,"&gt;=01/01/2022",TRAINING!B12:B5000,"&lt;=03/31/2022",TRAINING!D12:D5000,"Mandatory",TRAINING!AY12:AY5000,"YES")</f>
        <v>0</v>
      </c>
      <c r="BL16" s="1651"/>
      <c r="BM16" s="1651"/>
      <c r="BN16" s="1651"/>
      <c r="BO16" s="1650">
        <f>COUNTIFS(TRAINING!B12:B5000,"&gt;=04/01/2022",TRAINING!B12:B5000,"&lt;=06/30/2022",TRAINING!D12:D5000,"Mandatory",TRAINING!AY12:AY5000,"YES")</f>
        <v>0</v>
      </c>
      <c r="BP16" s="1650"/>
      <c r="BQ16" s="1650"/>
      <c r="BR16" s="1650"/>
      <c r="BS16" s="1673">
        <f>COUNTIFS(TRAINING!B12:B5000,"&gt;=07/01/2022",TRAINING!B12:B5000,"&lt;=09/30/2022",TRAINING!D12:D5000,"Mandatory",TRAINING!AY12:AY5000,"YES")</f>
        <v>0</v>
      </c>
      <c r="BT16" s="1673"/>
      <c r="BU16" s="1673"/>
      <c r="BV16" s="1673"/>
      <c r="BW16" s="277"/>
    </row>
    <row r="17" spans="1:75" ht="15.75" x14ac:dyDescent="0.25">
      <c r="A17" s="1619"/>
      <c r="B17" s="1619"/>
      <c r="C17" s="1619"/>
      <c r="D17" s="1619"/>
      <c r="E17" s="1619"/>
      <c r="F17" s="1619"/>
      <c r="G17" s="1619"/>
      <c r="H17" s="1619"/>
      <c r="I17" s="1586"/>
      <c r="J17" s="1586"/>
      <c r="K17" s="1586"/>
      <c r="L17" s="1586"/>
      <c r="M17" s="1621"/>
      <c r="N17" s="1592"/>
      <c r="O17" s="1592"/>
      <c r="P17" s="1592"/>
      <c r="Q17" s="1592"/>
      <c r="R17" s="1622"/>
      <c r="S17" s="1623"/>
      <c r="T17" s="1623"/>
      <c r="U17" s="1623"/>
      <c r="V17" s="1623"/>
      <c r="W17" s="1660"/>
      <c r="X17" s="1660"/>
      <c r="Y17" s="1660"/>
      <c r="Z17" s="1660"/>
      <c r="AA17" s="1588"/>
      <c r="AB17" s="1588"/>
      <c r="AC17" s="1588"/>
      <c r="AD17" s="1588"/>
      <c r="AE17" s="1585"/>
      <c r="AF17" s="1585"/>
      <c r="AG17" s="1585"/>
      <c r="AH17" s="1585"/>
      <c r="AI17" s="1666"/>
      <c r="AJ17" s="1666"/>
      <c r="AK17" s="1666"/>
      <c r="AL17" s="1666"/>
      <c r="AM17" s="1586"/>
      <c r="AN17" s="1586"/>
      <c r="AO17" s="1586"/>
      <c r="AP17" s="1586"/>
      <c r="AQ17" s="1641"/>
      <c r="AR17" s="1641"/>
      <c r="AS17" s="1641"/>
      <c r="AT17" s="1641"/>
      <c r="AU17" s="1649"/>
      <c r="AV17" s="1649"/>
      <c r="AW17" s="1649"/>
      <c r="AX17" s="1649"/>
      <c r="AY17" s="1641"/>
      <c r="AZ17" s="1641"/>
      <c r="BA17" s="1641"/>
      <c r="BB17" s="1641"/>
      <c r="BC17" s="1649"/>
      <c r="BD17" s="1649"/>
      <c r="BE17" s="1649"/>
      <c r="BF17" s="1649"/>
      <c r="BG17" s="1650"/>
      <c r="BH17" s="1650"/>
      <c r="BI17" s="1650"/>
      <c r="BJ17" s="1650"/>
      <c r="BK17" s="1651"/>
      <c r="BL17" s="1651"/>
      <c r="BM17" s="1651"/>
      <c r="BN17" s="1651"/>
      <c r="BO17" s="1635"/>
      <c r="BP17" s="1635"/>
      <c r="BQ17" s="1635"/>
      <c r="BR17" s="1635"/>
      <c r="BS17" s="1636"/>
      <c r="BT17" s="1636"/>
      <c r="BU17" s="1636"/>
      <c r="BV17" s="1636"/>
      <c r="BW17" s="277"/>
    </row>
    <row r="18" spans="1:75" ht="15.75" x14ac:dyDescent="0.25">
      <c r="A18" s="1657" t="s">
        <v>390</v>
      </c>
      <c r="B18" s="1658"/>
      <c r="C18" s="1658"/>
      <c r="D18" s="1658"/>
      <c r="E18" s="1658"/>
      <c r="F18" s="1658"/>
      <c r="G18" s="1658"/>
      <c r="H18" s="1658"/>
      <c r="I18" s="1658"/>
      <c r="J18" s="1658"/>
      <c r="K18" s="1658"/>
      <c r="L18" s="1658"/>
      <c r="M18" s="1658"/>
      <c r="N18" s="1658"/>
      <c r="O18" s="1658"/>
      <c r="P18" s="1658"/>
      <c r="Q18" s="1658"/>
      <c r="R18" s="1658"/>
      <c r="S18" s="1658"/>
      <c r="T18" s="1658"/>
      <c r="U18" s="1658"/>
      <c r="V18" s="1659"/>
      <c r="W18" s="1632">
        <f>SUM(W5:W17)</f>
        <v>0</v>
      </c>
      <c r="X18" s="1632"/>
      <c r="Y18" s="1632"/>
      <c r="Z18" s="1632"/>
      <c r="AA18" s="1550">
        <f>SUM(AA5:AA17)</f>
        <v>0</v>
      </c>
      <c r="AB18" s="1550"/>
      <c r="AC18" s="1550"/>
      <c r="AD18" s="1550"/>
      <c r="AE18" s="1613">
        <f>SUM(AE5:AE17)</f>
        <v>0</v>
      </c>
      <c r="AF18" s="1613"/>
      <c r="AG18" s="1613"/>
      <c r="AH18" s="1613"/>
      <c r="AI18" s="1550">
        <f>SUM(AI5:AI17)</f>
        <v>0</v>
      </c>
      <c r="AJ18" s="1550"/>
      <c r="AK18" s="1550"/>
      <c r="AL18" s="1550"/>
      <c r="AM18" s="1613">
        <f>SUM(AM5:AM17)</f>
        <v>0</v>
      </c>
      <c r="AN18" s="1613"/>
      <c r="AO18" s="1613"/>
      <c r="AP18" s="1613"/>
      <c r="AQ18" s="1669">
        <f>SUM(AQ5:AQ17)</f>
        <v>0</v>
      </c>
      <c r="AR18" s="1669"/>
      <c r="AS18" s="1669"/>
      <c r="AT18" s="1669"/>
      <c r="AU18" s="1670">
        <f>SUM(AU5:AU17)</f>
        <v>0</v>
      </c>
      <c r="AV18" s="1670"/>
      <c r="AW18" s="1670"/>
      <c r="AX18" s="1670"/>
      <c r="AY18" s="1669">
        <f>SUM(AY5:BB17)</f>
        <v>0</v>
      </c>
      <c r="AZ18" s="1669"/>
      <c r="BA18" s="1669"/>
      <c r="BB18" s="1669"/>
      <c r="BC18" s="1670">
        <f>SUM(BC5:BC17)</f>
        <v>0</v>
      </c>
      <c r="BD18" s="1670"/>
      <c r="BE18" s="1670"/>
      <c r="BF18" s="1670"/>
      <c r="BG18" s="1671">
        <f>SUM(BG5:BG17)</f>
        <v>0</v>
      </c>
      <c r="BH18" s="1671"/>
      <c r="BI18" s="1671"/>
      <c r="BJ18" s="1671"/>
      <c r="BK18" s="1672">
        <f>SUM(BK5:BK17)</f>
        <v>0</v>
      </c>
      <c r="BL18" s="1672"/>
      <c r="BM18" s="1672"/>
      <c r="BN18" s="1672"/>
      <c r="BO18" s="1667">
        <f>SUM(BO5:BO17)</f>
        <v>0</v>
      </c>
      <c r="BP18" s="1667"/>
      <c r="BQ18" s="1667"/>
      <c r="BR18" s="1667"/>
      <c r="BS18" s="1668">
        <f>SUM(BS5:BS17)</f>
        <v>0</v>
      </c>
      <c r="BT18" s="1668"/>
      <c r="BU18" s="1668"/>
      <c r="BV18" s="1668"/>
      <c r="BW18" s="277"/>
    </row>
    <row r="19" spans="1:75" x14ac:dyDescent="0.25">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row>
    <row r="20" spans="1:75" ht="18.75" x14ac:dyDescent="0.25">
      <c r="A20" s="1702" t="s">
        <v>834</v>
      </c>
      <c r="B20" s="1702"/>
      <c r="C20" s="1702"/>
      <c r="D20" s="1702"/>
      <c r="E20" s="1702"/>
      <c r="F20" s="1702"/>
      <c r="G20" s="1702"/>
      <c r="H20" s="1702"/>
      <c r="I20" s="1702"/>
      <c r="J20" s="1702"/>
      <c r="K20" s="1702"/>
      <c r="L20" s="1702"/>
      <c r="M20" s="1702"/>
      <c r="N20" s="1702"/>
      <c r="O20" s="1702"/>
      <c r="P20" s="1702"/>
      <c r="Q20" s="1702"/>
      <c r="R20" s="1702"/>
      <c r="S20" s="1702"/>
      <c r="T20" s="1702"/>
      <c r="U20" s="1702"/>
      <c r="V20" s="1702"/>
      <c r="W20" s="1703" t="s">
        <v>809</v>
      </c>
      <c r="X20" s="1703"/>
      <c r="Y20" s="1703"/>
      <c r="Z20" s="1703"/>
      <c r="AA20" s="1703"/>
      <c r="AB20" s="1703"/>
      <c r="AC20" s="1703"/>
      <c r="AD20" s="1703"/>
      <c r="AE20" s="1703"/>
      <c r="AF20" s="1703"/>
      <c r="AG20" s="1703"/>
      <c r="AH20" s="1703"/>
      <c r="AI20" s="1703"/>
      <c r="AJ20" s="1703"/>
      <c r="AK20" s="1703"/>
      <c r="AL20" s="1703"/>
      <c r="AM20" s="1703"/>
      <c r="AN20" s="1703"/>
      <c r="AO20" s="1703"/>
      <c r="AP20" s="1703"/>
      <c r="AQ20" s="1703"/>
      <c r="AR20" s="1703"/>
      <c r="AS20" s="1703"/>
      <c r="AT20" s="1703"/>
      <c r="AU20" s="1703"/>
      <c r="AV20" s="1703"/>
      <c r="AW20" s="1703"/>
      <c r="AX20" s="1703"/>
      <c r="AY20" s="1703"/>
      <c r="AZ20" s="1703"/>
      <c r="BA20" s="1703"/>
      <c r="BB20" s="1703"/>
      <c r="BC20" s="1703"/>
      <c r="BD20" s="1703"/>
      <c r="BE20" s="1703"/>
      <c r="BF20" s="1703"/>
      <c r="BG20" s="1703"/>
      <c r="BH20" s="1703"/>
      <c r="BI20" s="1703"/>
      <c r="BJ20" s="1703"/>
      <c r="BK20" s="1703"/>
      <c r="BL20" s="1703"/>
      <c r="BM20" s="1703"/>
      <c r="BN20" s="1703"/>
      <c r="BO20" s="1703"/>
      <c r="BP20" s="1703"/>
      <c r="BQ20" s="1703"/>
      <c r="BR20" s="1703"/>
      <c r="BS20" s="1703"/>
      <c r="BT20" s="1703"/>
      <c r="BU20" s="1703"/>
      <c r="BV20" s="1703"/>
      <c r="BW20" s="277"/>
    </row>
    <row r="21" spans="1:75" x14ac:dyDescent="0.25">
      <c r="A21" s="1704" t="s">
        <v>810</v>
      </c>
      <c r="B21" s="1704"/>
      <c r="C21" s="1704"/>
      <c r="D21" s="1704"/>
      <c r="E21" s="1704"/>
      <c r="F21" s="1704"/>
      <c r="G21" s="1704"/>
      <c r="H21" s="1704"/>
      <c r="I21" s="1704" t="s">
        <v>803</v>
      </c>
      <c r="J21" s="1704"/>
      <c r="K21" s="1704"/>
      <c r="L21" s="1704"/>
      <c r="M21" s="1705" t="s">
        <v>804</v>
      </c>
      <c r="N21" s="1705"/>
      <c r="O21" s="1705"/>
      <c r="P21" s="1705"/>
      <c r="Q21" s="1705"/>
      <c r="R21" s="1706" t="s">
        <v>805</v>
      </c>
      <c r="S21" s="1707"/>
      <c r="T21" s="1707"/>
      <c r="U21" s="1707"/>
      <c r="V21" s="1708"/>
      <c r="W21" s="1709" t="s">
        <v>829</v>
      </c>
      <c r="X21" s="1709"/>
      <c r="Y21" s="1709"/>
      <c r="Z21" s="1709"/>
      <c r="AA21" s="977" t="s">
        <v>839</v>
      </c>
      <c r="AB21" s="977"/>
      <c r="AC21" s="977"/>
      <c r="AD21" s="977"/>
      <c r="AE21" s="1683" t="s">
        <v>840</v>
      </c>
      <c r="AF21" s="1683"/>
      <c r="AG21" s="1683"/>
      <c r="AH21" s="1683"/>
      <c r="AI21" s="977" t="s">
        <v>849</v>
      </c>
      <c r="AJ21" s="977"/>
      <c r="AK21" s="977"/>
      <c r="AL21" s="977"/>
      <c r="AM21" s="1683" t="s">
        <v>841</v>
      </c>
      <c r="AN21" s="1683"/>
      <c r="AO21" s="1683"/>
      <c r="AP21" s="1683"/>
      <c r="AQ21" s="1681" t="s">
        <v>842</v>
      </c>
      <c r="AR21" s="1681"/>
      <c r="AS21" s="1681"/>
      <c r="AT21" s="1681"/>
      <c r="AU21" s="1682" t="s">
        <v>843</v>
      </c>
      <c r="AV21" s="1682"/>
      <c r="AW21" s="1682"/>
      <c r="AX21" s="1682"/>
      <c r="AY21" s="1681" t="s">
        <v>850</v>
      </c>
      <c r="AZ21" s="1681"/>
      <c r="BA21" s="1681"/>
      <c r="BB21" s="1681"/>
      <c r="BC21" s="1682" t="s">
        <v>844</v>
      </c>
      <c r="BD21" s="1682"/>
      <c r="BE21" s="1682"/>
      <c r="BF21" s="1682"/>
      <c r="BG21" s="1677" t="s">
        <v>845</v>
      </c>
      <c r="BH21" s="1677"/>
      <c r="BI21" s="1677"/>
      <c r="BJ21" s="1677"/>
      <c r="BK21" s="1676" t="s">
        <v>846</v>
      </c>
      <c r="BL21" s="1676"/>
      <c r="BM21" s="1676"/>
      <c r="BN21" s="1676"/>
      <c r="BO21" s="1677" t="s">
        <v>847</v>
      </c>
      <c r="BP21" s="1677"/>
      <c r="BQ21" s="1677"/>
      <c r="BR21" s="1677"/>
      <c r="BS21" s="1676" t="s">
        <v>848</v>
      </c>
      <c r="BT21" s="1676"/>
      <c r="BU21" s="1676"/>
      <c r="BV21" s="1676"/>
      <c r="BW21" s="277"/>
    </row>
    <row r="22" spans="1:75" x14ac:dyDescent="0.25">
      <c r="A22" s="1619" t="s">
        <v>811</v>
      </c>
      <c r="B22" s="1619"/>
      <c r="C22" s="1619"/>
      <c r="D22" s="1619"/>
      <c r="E22" s="1619"/>
      <c r="F22" s="1619"/>
      <c r="G22" s="1619"/>
      <c r="H22" s="1619"/>
      <c r="I22" s="1585">
        <f>'GRANTEE SET UP INFO &amp; DATE '!C11</f>
        <v>0</v>
      </c>
      <c r="J22" s="1585"/>
      <c r="K22" s="1585"/>
      <c r="L22" s="1585"/>
      <c r="M22" s="1591">
        <f>'GRANTEE SET UP INFO &amp; DATE '!F11</f>
        <v>0</v>
      </c>
      <c r="N22" s="1586"/>
      <c r="O22" s="1586"/>
      <c r="P22" s="1586"/>
      <c r="Q22" s="1586"/>
      <c r="R22" s="1591" t="e">
        <f>'GRANTEE SET UP INFO &amp; DATE '!#REF!</f>
        <v>#REF!</v>
      </c>
      <c r="S22" s="1586"/>
      <c r="T22" s="1586"/>
      <c r="U22" s="1586"/>
      <c r="V22" s="1586"/>
      <c r="W22" s="1660">
        <f>COUNTIFS(TRAINING!B12:B5000,"&gt;=07/01/2000",TRAINING!B12:B5000,"&lt;=09/30/2019",TRAINING!D12:D5000,"Evidence Based Training (EBT)",TRAINING!AN12:AN5000,"YES")</f>
        <v>0</v>
      </c>
      <c r="X22" s="1660"/>
      <c r="Y22" s="1660"/>
      <c r="Z22" s="1660"/>
      <c r="AA22" s="1590">
        <f>COUNTIFS(TRAINING!B12:B5000,"&gt;=10/01/2019",TRAINING!B12:B5000,"&lt;=12/31/2019",TRAINING!D12:D5000,"Evidence Based Training (EBT)",TRAINING!AN12:AN5000,"YES")</f>
        <v>0</v>
      </c>
      <c r="AB22" s="1590"/>
      <c r="AC22" s="1590"/>
      <c r="AD22" s="1590"/>
      <c r="AE22" s="1661">
        <f>COUNTIFS(TRAINING!B12:B5000,"&gt;=01/01/2020",TRAINING!B12:B5000,"&lt;=03/31/2020",TRAINING!D12:D5000,"Evidence Based Training (EBT)",TRAINING!AN12:AN5000,"YES")</f>
        <v>0</v>
      </c>
      <c r="AF22" s="1661"/>
      <c r="AG22" s="1661"/>
      <c r="AH22" s="1661"/>
      <c r="AI22" s="1654">
        <f>COUNTIFS(TRAINING!B12:B5000,"&gt;=04/01/2020",TRAINING!B12:B5000,"&lt;=06/30/2020",TRAINING!D12:D5000,"Evidence Based Training (EBT)",TRAINING!AN12:AN5000,"YES")</f>
        <v>0</v>
      </c>
      <c r="AJ22" s="1654"/>
      <c r="AK22" s="1654"/>
      <c r="AL22" s="1654"/>
      <c r="AM22" s="1586">
        <f>COUNTIFS(TRAINING!B12:B5000,"&gt;=07/01/2020",TRAINING!B12:B5000,"&lt;=09/30/2020",TRAINING!D12:D5000,"Evidence Based Training (EBT)",TRAINING!AN12:AN5000,"YES")</f>
        <v>0</v>
      </c>
      <c r="AN22" s="1586"/>
      <c r="AO22" s="1586"/>
      <c r="AP22" s="1586"/>
      <c r="AQ22" s="1641">
        <f>COUNTIFS(TRAINING!B12:B5000,"&gt;=10/01/2020",TRAINING!B12:B5000,"&lt;=12/31/2020",TRAINING!D12:D5000,"Evidence Based Training (EBT)",TRAINING!AN12:AN5000,"YES")</f>
        <v>0</v>
      </c>
      <c r="AR22" s="1641"/>
      <c r="AS22" s="1641"/>
      <c r="AT22" s="1641"/>
      <c r="AU22" s="1642">
        <f>COUNTIFS(TRAINING!B12:B5000,"&gt;=01/01/2021",TRAINING!B12:B5000,"&lt;=03/31/2021",TRAINING!D12:D5000,"Evidence Based Training (EBT)",TRAINING!AN12:AN5000,"YES")</f>
        <v>0</v>
      </c>
      <c r="AV22" s="1642"/>
      <c r="AW22" s="1642"/>
      <c r="AX22" s="1642"/>
      <c r="AY22" s="1641">
        <f>COUNTIFS(TRAINING!B12:B5000,"&gt;=04/01/2020",TRAINING!B12:B5000,"&lt;=06/30/2020",TRAINING!D12:D5000,"Evidence Based Training (EBT)",TRAINING!AN12:AN5000,"YES")</f>
        <v>0</v>
      </c>
      <c r="AZ22" s="1641"/>
      <c r="BA22" s="1641"/>
      <c r="BB22" s="1641"/>
      <c r="BC22" s="1642">
        <f>COUNTIFS(TRAINING!B12:B5000,"&gt;=07/01/2021",TRAINING!B12:B5000,"&lt;=09/30/2021",TRAINING!D12:D5000,"Evidence Based Training (EBT)",TRAINING!AN12:AN5000,"YES")</f>
        <v>0</v>
      </c>
      <c r="BD22" s="1642"/>
      <c r="BE22" s="1642"/>
      <c r="BF22" s="1642"/>
      <c r="BG22" s="1635">
        <f>COUNTIFS(TRAINING!B12:B5000,"&gt;=10/01/2021",TRAINING!B12:B5000,"&lt;=12/31/2021",TRAINING!D12:D5000,"Evidence Based Training (EBT)",TRAINING!AN12:AN5000,"YES")</f>
        <v>0</v>
      </c>
      <c r="BH22" s="1635"/>
      <c r="BI22" s="1635"/>
      <c r="BJ22" s="1635"/>
      <c r="BK22" s="1636">
        <f>COUNTIFS(TRAINING!B12:B5000,"&gt;=01/01/2022",TRAINING!B12:B5000,"&lt;=03/31/2022",TRAINING!D12:D5000,"Evidence Based Training (EBT)",TRAINING!AN12:AN5000,"YES")</f>
        <v>0</v>
      </c>
      <c r="BL22" s="1636"/>
      <c r="BM22" s="1636"/>
      <c r="BN22" s="1636"/>
      <c r="BO22" s="1635">
        <f>COUNTIFS(TRAINING!B12:B5000,"&gt;=04/01/2022",TRAINING!B12:B5000,"&lt;=06/30/2022",TRAINING!D12:D5000,"Evidence Based Training (EBT)",TRAINING!AN12:AN5000,"YES")</f>
        <v>0</v>
      </c>
      <c r="BP22" s="1635"/>
      <c r="BQ22" s="1635"/>
      <c r="BR22" s="1635"/>
      <c r="BS22" s="1636">
        <f>COUNTIFS(TRAINING!B12:B5000,"&gt;=07/01/2022",TRAINING!B12:B5000,"&lt;=09/30/2022",TRAINING!D12:D5000,"Evidence Based Training (EBT)",TRAINING!AN12:AN5000,"YES")</f>
        <v>0</v>
      </c>
      <c r="BT22" s="1636"/>
      <c r="BU22" s="1636"/>
      <c r="BV22" s="1636"/>
      <c r="BW22" s="277"/>
    </row>
    <row r="23" spans="1:75" x14ac:dyDescent="0.25">
      <c r="A23" s="1619" t="s">
        <v>812</v>
      </c>
      <c r="B23" s="1619"/>
      <c r="C23" s="1619"/>
      <c r="D23" s="1619"/>
      <c r="E23" s="1619"/>
      <c r="F23" s="1619"/>
      <c r="G23" s="1619"/>
      <c r="H23" s="1619"/>
      <c r="I23" s="1585">
        <f>'GRANTEE SET UP INFO &amp; DATE '!C12</f>
        <v>0</v>
      </c>
      <c r="J23" s="1585"/>
      <c r="K23" s="1585"/>
      <c r="L23" s="1585"/>
      <c r="M23" s="1591">
        <f>'GRANTEE SET UP INFO &amp; DATE '!F12</f>
        <v>0</v>
      </c>
      <c r="N23" s="1586"/>
      <c r="O23" s="1586"/>
      <c r="P23" s="1586"/>
      <c r="Q23" s="1586"/>
      <c r="R23" s="1591" t="e">
        <f>'GRANTEE SET UP INFO &amp; DATE '!#REF!</f>
        <v>#REF!</v>
      </c>
      <c r="S23" s="1586"/>
      <c r="T23" s="1586"/>
      <c r="U23" s="1586"/>
      <c r="V23" s="1586"/>
      <c r="W23" s="1660">
        <f>COUNTIFS(TRAINING!B12:B5000,"&gt;=07/01/2000",TRAINING!B12:B5000,"&lt;=09/30/2019",TRAINING!D12:D5000,"Evidence Based Training (EBT)",TRAINING!AO12:AO5000,"YES")</f>
        <v>0</v>
      </c>
      <c r="X23" s="1660"/>
      <c r="Y23" s="1660"/>
      <c r="Z23" s="1660"/>
      <c r="AA23" s="1590">
        <f>COUNTIFS(TRAINING!B12:B5000,"&gt;=10/01/2019",TRAINING!B12:B5000,"&lt;=12/31/2019",TRAINING!D12:D5000,"Evidence Based Training (EBT)",TRAINING!AO12:AO5000,"YES")</f>
        <v>0</v>
      </c>
      <c r="AB23" s="1590"/>
      <c r="AC23" s="1590"/>
      <c r="AD23" s="1590"/>
      <c r="AE23" s="1661">
        <f>COUNTIFS(TRAINING!B12:B5000,"&gt;=01/01/2020",TRAINING!B12:B5000,"&lt;=03/31/2020",TRAINING!D12:D5000,"Evidence Based Training (EBT)",TRAINING!AO12:AO5000,"YES")</f>
        <v>0</v>
      </c>
      <c r="AF23" s="1661"/>
      <c r="AG23" s="1661"/>
      <c r="AH23" s="1661"/>
      <c r="AI23" s="1654">
        <f>COUNTIFS(TRAINING!B12:B5000,"&gt;=04/01/2020",TRAINING!B12:B5000,"&lt;=06/30/2020",TRAINING!D12:D5000,"Evidence Based Training (EBT)",TRAINING!AO12:AO5000,"YES")</f>
        <v>0</v>
      </c>
      <c r="AJ23" s="1654"/>
      <c r="AK23" s="1654"/>
      <c r="AL23" s="1654"/>
      <c r="AM23" s="1586">
        <f>COUNTIFS(TRAINING!B12:B5000,"&gt;=07/01/2020",TRAINING!B12:B5000,"&lt;=09/30/2020",TRAINING!D12:D5000,"Evidence Based Training (EBT)",TRAINING!AO12:AO5000,"YES")</f>
        <v>0</v>
      </c>
      <c r="AN23" s="1586"/>
      <c r="AO23" s="1586"/>
      <c r="AP23" s="1586"/>
      <c r="AQ23" s="1641">
        <f>COUNTIFS(TRAINING!B12:B5000,"&gt;=10/01/2020",TRAINING!B12:B5000,"&lt;=12/31/2020",TRAINING!D12:D5000,"Evidence Based Training (EBT)",TRAINING!AO12:AO5000,"YES")</f>
        <v>0</v>
      </c>
      <c r="AR23" s="1641"/>
      <c r="AS23" s="1641"/>
      <c r="AT23" s="1641"/>
      <c r="AU23" s="1642">
        <f>COUNTIFS(TRAINING!B12:B5000,"&gt;=01/01/2021",TRAINING!B12:B5000,"&lt;=03/31/2021",TRAINING!D12:D5000,"Evidence Based Training (EBT)",TRAINING!AO12:AO5000,"YES")</f>
        <v>0</v>
      </c>
      <c r="AV23" s="1642"/>
      <c r="AW23" s="1642"/>
      <c r="AX23" s="1642"/>
      <c r="AY23" s="1641">
        <f>COUNTIFS(TRAINING!B12:B5000,"&gt;=04/01/2020",TRAINING!B12:B5000,"&lt;=06/30/2020",TRAINING!D12:D5000,"Evidence Based Training (EBT)",TRAINING!AO12:AO5000,"YES")</f>
        <v>0</v>
      </c>
      <c r="AZ23" s="1641"/>
      <c r="BA23" s="1641"/>
      <c r="BB23" s="1641"/>
      <c r="BC23" s="1642">
        <f>COUNTIFS(TRAINING!B12:B5000,"&gt;=07/01/2021",TRAINING!B12:B5000,"&lt;=09/30/2021",TRAINING!D12:D5000,"Evidence Based Training (EBT)",TRAINING!AO12:AO5000,"YES")</f>
        <v>0</v>
      </c>
      <c r="BD23" s="1642"/>
      <c r="BE23" s="1642"/>
      <c r="BF23" s="1642"/>
      <c r="BG23" s="1635">
        <f>COUNTIFS(TRAINING!B12:B5000,"&gt;=10/01/2021",TRAINING!B12:B5000,"&lt;=12/31/2021",TRAINING!D12:D5000,"Evidence Based Training (EBT)",TRAINING!AO12:AO5000,"YES")</f>
        <v>0</v>
      </c>
      <c r="BH23" s="1635"/>
      <c r="BI23" s="1635"/>
      <c r="BJ23" s="1635"/>
      <c r="BK23" s="1636">
        <f>COUNTIFS(TRAINING!B12:B5000,"&gt;=01/01/2022",TRAINING!B12:B5000,"&lt;=03/31/2022",TRAINING!D12:D5000,"Evidence Based Training (EBT)",TRAINING!AO12:AO5000,"YES")</f>
        <v>0</v>
      </c>
      <c r="BL23" s="1636"/>
      <c r="BM23" s="1636"/>
      <c r="BN23" s="1636"/>
      <c r="BO23" s="1635">
        <f>COUNTIFS(TRAINING!B12:B5000,"&gt;=04/01/2022",TRAINING!B12:B5000,"&lt;=06/30/2022",TRAINING!D12:D5000,"Evidence Based Training (EBT)",TRAINING!AO12:AO5000,"YES")</f>
        <v>0</v>
      </c>
      <c r="BP23" s="1635"/>
      <c r="BQ23" s="1635"/>
      <c r="BR23" s="1635"/>
      <c r="BS23" s="1636">
        <f>COUNTIFS(TRAINING!B12:B5000,"&gt;=07/01/2022",TRAINING!B12:B5000,"&lt;=09/30/2022",TRAINING!D12:D5000,"Evidence Based Training (EBT)",TRAINING!AO12:AO5000,"YES")</f>
        <v>0</v>
      </c>
      <c r="BT23" s="1636"/>
      <c r="BU23" s="1636"/>
      <c r="BV23" s="1636"/>
      <c r="BW23" s="277"/>
    </row>
    <row r="24" spans="1:75" x14ac:dyDescent="0.25">
      <c r="A24" s="1619" t="s">
        <v>813</v>
      </c>
      <c r="B24" s="1619"/>
      <c r="C24" s="1619"/>
      <c r="D24" s="1619"/>
      <c r="E24" s="1619"/>
      <c r="F24" s="1619"/>
      <c r="G24" s="1619"/>
      <c r="H24" s="1619"/>
      <c r="I24" s="1585">
        <f>'GRANTEE SET UP INFO &amp; DATE '!C13</f>
        <v>0</v>
      </c>
      <c r="J24" s="1585"/>
      <c r="K24" s="1585"/>
      <c r="L24" s="1585"/>
      <c r="M24" s="1591">
        <f>'GRANTEE SET UP INFO &amp; DATE '!F13</f>
        <v>0</v>
      </c>
      <c r="N24" s="1586"/>
      <c r="O24" s="1586"/>
      <c r="P24" s="1586"/>
      <c r="Q24" s="1586"/>
      <c r="R24" s="1591" t="e">
        <f>'GRANTEE SET UP INFO &amp; DATE '!#REF!</f>
        <v>#REF!</v>
      </c>
      <c r="S24" s="1586"/>
      <c r="T24" s="1586"/>
      <c r="U24" s="1586"/>
      <c r="V24" s="1586"/>
      <c r="W24" s="1660">
        <f>COUNTIFS(TRAINING!B12:B5000,"&gt;=07/01/2000",TRAINING!B12:B5000,"&lt;=09/30/2019",TRAINING!D12:D5000,"Evidence Based Training (EBT)",TRAINING!AP12:AP5000,"YES")</f>
        <v>0</v>
      </c>
      <c r="X24" s="1660"/>
      <c r="Y24" s="1660"/>
      <c r="Z24" s="1660"/>
      <c r="AA24" s="1590">
        <f>COUNTIFS(TRAINING!B12:B5000,"&gt;=10/01/2019",TRAINING!B12:B5000,"&lt;=12/31/2019",TRAINING!D12:D5000,"Evidence Based Training (EBT)",TRAINING!AP12:AP5000,"YES")</f>
        <v>0</v>
      </c>
      <c r="AB24" s="1590"/>
      <c r="AC24" s="1590"/>
      <c r="AD24" s="1590"/>
      <c r="AE24" s="1661">
        <f>COUNTIFS(TRAINING!B12:B5000,"&gt;=01/01/2020",TRAINING!B12:B5000,"&lt;=03/31/2020",TRAINING!D12:D5000,"Evidence Based Training (EBT)",TRAINING!AP12:AP5000,"YES")</f>
        <v>0</v>
      </c>
      <c r="AF24" s="1661"/>
      <c r="AG24" s="1661"/>
      <c r="AH24" s="1661"/>
      <c r="AI24" s="1654">
        <f>COUNTIFS(TRAINING!B12:B5000,"&gt;=04/01/2020",TRAINING!B12:B5000,"&lt;=06/30/2020",TRAINING!D12:D5000,"Evidence Based Training (EBT)",TRAINING!AP12:AP5000,"YES")</f>
        <v>0</v>
      </c>
      <c r="AJ24" s="1654"/>
      <c r="AK24" s="1654"/>
      <c r="AL24" s="1654"/>
      <c r="AM24" s="1586">
        <f>COUNTIFS(TRAINING!B12:B5000,"&gt;=07/01/2020",TRAINING!B12:B5000,"&lt;=09/30/2020",TRAINING!D12:D5000,"Evidence Based Training (EBT)",TRAINING!AP12:AP5000,"YES")</f>
        <v>0</v>
      </c>
      <c r="AN24" s="1586"/>
      <c r="AO24" s="1586"/>
      <c r="AP24" s="1586"/>
      <c r="AQ24" s="1641">
        <f>COUNTIFS(TRAINING!B12:B5000,"&gt;=10/01/2020",TRAINING!B12:B5000,"&lt;=12/31/2020",TRAINING!D12:D5000,"Evidence Based Training (EBT)",TRAINING!AP12:AP5000,"YES")</f>
        <v>0</v>
      </c>
      <c r="AR24" s="1641"/>
      <c r="AS24" s="1641"/>
      <c r="AT24" s="1641"/>
      <c r="AU24" s="1642">
        <f>COUNTIFS(TRAINING!B12:B5000,"&gt;=01/01/2021",TRAINING!B12:B5000,"&lt;=03/31/2021",TRAINING!D12:D5000,"Evidence Based Training (EBT)",TRAINING!AP12:AP5000,"YES")</f>
        <v>0</v>
      </c>
      <c r="AV24" s="1642"/>
      <c r="AW24" s="1642"/>
      <c r="AX24" s="1642"/>
      <c r="AY24" s="1641">
        <f>COUNTIFS(TRAINING!B12:B5000,"&gt;=04/01/2020",TRAINING!B12:B5000,"&lt;=06/30/2020",TRAINING!D12:D5000,"Evidence Based Training (EBT)",TRAINING!AP12:AP5000,"YES")</f>
        <v>0</v>
      </c>
      <c r="AZ24" s="1641"/>
      <c r="BA24" s="1641"/>
      <c r="BB24" s="1641"/>
      <c r="BC24" s="1642">
        <f>COUNTIFS(TRAINING!B12:B5000,"&gt;=07/01/2021",TRAINING!B12:B5000,"&lt;=09/30/2021",TRAINING!D12:D5000,"Evidence Based Training (EBT)",TRAINING!AP12:AP5000,"YES")</f>
        <v>0</v>
      </c>
      <c r="BD24" s="1642"/>
      <c r="BE24" s="1642"/>
      <c r="BF24" s="1642"/>
      <c r="BG24" s="1635">
        <f>COUNTIFS(TRAINING!B12:B5000,"&gt;=10/01/2021",TRAINING!B12:B5000,"&lt;=12/31/2021",TRAINING!D12:D5000,"Evidence Based Training (EBT)",TRAINING!AP12:AP5000,"YES")</f>
        <v>0</v>
      </c>
      <c r="BH24" s="1635"/>
      <c r="BI24" s="1635"/>
      <c r="BJ24" s="1635"/>
      <c r="BK24" s="1636">
        <f>COUNTIFS(TRAINING!B12:B5000,"&gt;=01/01/2022",TRAINING!B12:B5000,"&lt;=03/31/2022",TRAINING!D12:D5000,"Evidence Based Training (EBT)",TRAINING!AP12:AP5000,"YES")</f>
        <v>0</v>
      </c>
      <c r="BL24" s="1636"/>
      <c r="BM24" s="1636"/>
      <c r="BN24" s="1636"/>
      <c r="BO24" s="1635">
        <f>COUNTIFS(TRAINING!B12:B5000,"&gt;=04/01/2022",TRAINING!B12:B5000,"&lt;=06/30/2022",TRAINING!D12:D5000,"Evidence Based Training (EBT)",TRAINING!AP12:AP5000,"YES")</f>
        <v>0</v>
      </c>
      <c r="BP24" s="1635"/>
      <c r="BQ24" s="1635"/>
      <c r="BR24" s="1635"/>
      <c r="BS24" s="1636">
        <f>COUNTIFS(TRAINING!B12:B5000,"&gt;=07/01/2022",TRAINING!B12:B5000,"&lt;=09/30/2022",TRAINING!D12:D5000,"Evidence Based Training (EBT)",TRAINING!AP12:AP5000,"YES")</f>
        <v>0</v>
      </c>
      <c r="BT24" s="1636"/>
      <c r="BU24" s="1636"/>
      <c r="BV24" s="1636"/>
      <c r="BW24" s="277"/>
    </row>
    <row r="25" spans="1:75" x14ac:dyDescent="0.25">
      <c r="A25" s="1619" t="s">
        <v>814</v>
      </c>
      <c r="B25" s="1619"/>
      <c r="C25" s="1619"/>
      <c r="D25" s="1619"/>
      <c r="E25" s="1619"/>
      <c r="F25" s="1619"/>
      <c r="G25" s="1619"/>
      <c r="H25" s="1619"/>
      <c r="I25" s="1585">
        <f>'GRANTEE SET UP INFO &amp; DATE '!C14</f>
        <v>0</v>
      </c>
      <c r="J25" s="1585"/>
      <c r="K25" s="1585"/>
      <c r="L25" s="1585"/>
      <c r="M25" s="1591">
        <f>'GRANTEE SET UP INFO &amp; DATE '!F14</f>
        <v>0</v>
      </c>
      <c r="N25" s="1586"/>
      <c r="O25" s="1586"/>
      <c r="P25" s="1586"/>
      <c r="Q25" s="1586"/>
      <c r="R25" s="1591" t="e">
        <f>'GRANTEE SET UP INFO &amp; DATE '!#REF!</f>
        <v>#REF!</v>
      </c>
      <c r="S25" s="1586"/>
      <c r="T25" s="1586"/>
      <c r="U25" s="1586"/>
      <c r="V25" s="1586"/>
      <c r="W25" s="1660">
        <f>COUNTIFS(TRAINING!B12:B5000,"&gt;=07/01/2000",TRAINING!B12:B5000,"&lt;=09/30/2019",TRAINING!D12:D5000,"Evidence Based Training (EBT)",TRAINING!AQ12:AQ5000,"YES")</f>
        <v>0</v>
      </c>
      <c r="X25" s="1660"/>
      <c r="Y25" s="1660"/>
      <c r="Z25" s="1660"/>
      <c r="AA25" s="1590">
        <f>COUNTIFS(TRAINING!B12:B5000,"&gt;=10/01/2019",TRAINING!B12:B5000,"&lt;=12/31/2019",TRAINING!D12:D5000,"Evidence Based Training (EBT)",TRAINING!AQ12:AQ5000,"YES")</f>
        <v>0</v>
      </c>
      <c r="AB25" s="1590"/>
      <c r="AC25" s="1590"/>
      <c r="AD25" s="1590"/>
      <c r="AE25" s="1661">
        <f>COUNTIFS(TRAINING!B12:B5000,"&gt;=01/01/2020",TRAINING!B12:B5000,"&lt;=03/31/2020",TRAINING!D12:D5000,"Evidence Based Training (EBT)",TRAINING!AQ12:AQ5000,"YES")</f>
        <v>0</v>
      </c>
      <c r="AF25" s="1661"/>
      <c r="AG25" s="1661"/>
      <c r="AH25" s="1661"/>
      <c r="AI25" s="1654">
        <f>COUNTIFS(TRAINING!B12:B5000,"&gt;=04/01/2020",TRAINING!B12:B5000,"&lt;=06/30/2020",TRAINING!D12:D5000,"Evidence Based Training (EBT)",TRAINING!AQ12:AQ5000,"YES")</f>
        <v>0</v>
      </c>
      <c r="AJ25" s="1654"/>
      <c r="AK25" s="1654"/>
      <c r="AL25" s="1654"/>
      <c r="AM25" s="1586">
        <f>COUNTIFS(TRAINING!B12:B5000,"&gt;=07/01/2020",TRAINING!B12:B5000,"&lt;=09/30/2020",TRAINING!D12:D5000,"Evidence Based Training (EBT)",TRAINING!AQ12:AQ5000,"YES")</f>
        <v>0</v>
      </c>
      <c r="AN25" s="1586"/>
      <c r="AO25" s="1586"/>
      <c r="AP25" s="1586"/>
      <c r="AQ25" s="1641">
        <f>COUNTIFS(TRAINING!B12:B5000,"&gt;=10/01/2020",TRAINING!B12:B5000,"&lt;=12/31/2020",TRAINING!D12:D5000,"Evidence Based Training (EBT)",TRAINING!AQ12:AQ5000,"YES")</f>
        <v>0</v>
      </c>
      <c r="AR25" s="1641"/>
      <c r="AS25" s="1641"/>
      <c r="AT25" s="1641"/>
      <c r="AU25" s="1642">
        <f>COUNTIFS(TRAINING!B12:B5000,"&gt;=01/01/2021",TRAINING!B12:B5000,"&lt;=03/31/2021",TRAINING!D12:D5000,"Evidence Based Training (EBT)",TRAINING!AQ12:AQ5000,"YES")</f>
        <v>0</v>
      </c>
      <c r="AV25" s="1642"/>
      <c r="AW25" s="1642"/>
      <c r="AX25" s="1642"/>
      <c r="AY25" s="1641">
        <f>COUNTIFS(TRAINING!B12:B5000,"&gt;=04/01/2020",TRAINING!B12:B5000,"&lt;=06/30/2020",TRAINING!D12:D5000,"Evidence Based Training (EBT)",TRAINING!AQ12:AQ5000,"YES")</f>
        <v>0</v>
      </c>
      <c r="AZ25" s="1641"/>
      <c r="BA25" s="1641"/>
      <c r="BB25" s="1641"/>
      <c r="BC25" s="1642">
        <f>COUNTIFS(TRAINING!B12:B5000,"&gt;=07/01/2021",TRAINING!B12:B5000,"&lt;=09/30/2021",TRAINING!D12:D5000,"Evidence Based Training (EBT)",TRAINING!AQ12:AQ5000,"YES")</f>
        <v>0</v>
      </c>
      <c r="BD25" s="1642"/>
      <c r="BE25" s="1642"/>
      <c r="BF25" s="1642"/>
      <c r="BG25" s="1635">
        <f>COUNTIFS(TRAINING!B12:B5000,"&gt;=10/01/2021",TRAINING!B12:B5000,"&lt;=12/31/2021",TRAINING!D12:D5000,"Evidence Based Training (EBT)",TRAINING!AQ12:AQ5000,"YES")</f>
        <v>0</v>
      </c>
      <c r="BH25" s="1635"/>
      <c r="BI25" s="1635"/>
      <c r="BJ25" s="1635"/>
      <c r="BK25" s="1636">
        <f>COUNTIFS(TRAINING!B12:B5000,"&gt;=01/01/2022",TRAINING!B12:B5000,"&lt;=03/31/2022",TRAINING!D12:D5000,"Evidence Based Training (EBT)",TRAINING!AQ12:AQ5000,"YES")</f>
        <v>0</v>
      </c>
      <c r="BL25" s="1636"/>
      <c r="BM25" s="1636"/>
      <c r="BN25" s="1636"/>
      <c r="BO25" s="1635">
        <f>COUNTIFS(TRAINING!B12:B5000,"&gt;=04/01/2022",TRAINING!B12:B5000,"&lt;=06/30/2022",TRAINING!D12:D5000,"Evidence Based Training (EBT)",TRAINING!AQ12:AQ5000,"YES")</f>
        <v>0</v>
      </c>
      <c r="BP25" s="1635"/>
      <c r="BQ25" s="1635"/>
      <c r="BR25" s="1635"/>
      <c r="BS25" s="1636">
        <f>COUNTIFS(TRAINING!B12:B5000,"&gt;=07/01/2022",TRAINING!B12:B5000,"&lt;=09/30/2022",TRAINING!D12:D5000,"Evidence Based Training (EBT)",TRAINING!AQ12:AQ5000,"YES")</f>
        <v>0</v>
      </c>
      <c r="BT25" s="1636"/>
      <c r="BU25" s="1636"/>
      <c r="BV25" s="1636"/>
      <c r="BW25" s="277"/>
    </row>
    <row r="26" spans="1:75" x14ac:dyDescent="0.25">
      <c r="A26" s="1619" t="s">
        <v>815</v>
      </c>
      <c r="B26" s="1619"/>
      <c r="C26" s="1619"/>
      <c r="D26" s="1619"/>
      <c r="E26" s="1619"/>
      <c r="F26" s="1619"/>
      <c r="G26" s="1619"/>
      <c r="H26" s="1619"/>
      <c r="I26" s="1585">
        <f>'GRANTEE SET UP INFO &amp; DATE '!C15</f>
        <v>0</v>
      </c>
      <c r="J26" s="1585"/>
      <c r="K26" s="1585"/>
      <c r="L26" s="1585"/>
      <c r="M26" s="1591">
        <f>'GRANTEE SET UP INFO &amp; DATE '!F15</f>
        <v>0</v>
      </c>
      <c r="N26" s="1586"/>
      <c r="O26" s="1586"/>
      <c r="P26" s="1586"/>
      <c r="Q26" s="1586"/>
      <c r="R26" s="1591" t="e">
        <f>'GRANTEE SET UP INFO &amp; DATE '!#REF!</f>
        <v>#REF!</v>
      </c>
      <c r="S26" s="1586"/>
      <c r="T26" s="1586"/>
      <c r="U26" s="1586"/>
      <c r="V26" s="1586"/>
      <c r="W26" s="1660">
        <f>COUNTIFS(TRAINING!B12:B5000,"&gt;=07/01/2000",TRAINING!B12:B5000,"&lt;=09/30/2019",TRAINING!D12:D5000,"Evidence Based Training (EBT)",TRAINING!AR12:AR5000,"YES")</f>
        <v>0</v>
      </c>
      <c r="X26" s="1660"/>
      <c r="Y26" s="1660"/>
      <c r="Z26" s="1660"/>
      <c r="AA26" s="1590">
        <f>COUNTIFS(TRAINING!B12:B5000,"&gt;=10/01/2019",TRAINING!B12:B5000,"&lt;=12/31/2019",TRAINING!D12:D5000,"Evidence Based Training (EBT)",TRAINING!AR12:AR5000,"YES")</f>
        <v>0</v>
      </c>
      <c r="AB26" s="1590"/>
      <c r="AC26" s="1590"/>
      <c r="AD26" s="1590"/>
      <c r="AE26" s="1661">
        <f>COUNTIFS(TRAINING!B12:B5000,"&gt;=01/01/2020",TRAINING!B12:B5000,"&lt;=03/31/2020",TRAINING!D12:D5000,"Evidence Based Training (EBT)",TRAINING!AR12:AR5000,"YES")</f>
        <v>0</v>
      </c>
      <c r="AF26" s="1661"/>
      <c r="AG26" s="1661"/>
      <c r="AH26" s="1661"/>
      <c r="AI26" s="1654">
        <f>COUNTIFS(TRAINING!B12:B5000,"&gt;=04/01/2020",TRAINING!B12:B5000,"&lt;=06/30/2020",TRAINING!D12:D5000,"Evidence Based Training (EBT)",TRAINING!AR12:AR5000,"YES")</f>
        <v>0</v>
      </c>
      <c r="AJ26" s="1654"/>
      <c r="AK26" s="1654"/>
      <c r="AL26" s="1654"/>
      <c r="AM26" s="1586">
        <f>COUNTIFS(TRAINING!B12:B5000,"&gt;=07/01/2020",TRAINING!B12:B5000,"&lt;=09/30/2020",TRAINING!D12:D5000,"Evidence Based Training (EBT)",TRAINING!AR12:AR5000,"YES")</f>
        <v>0</v>
      </c>
      <c r="AN26" s="1586"/>
      <c r="AO26" s="1586"/>
      <c r="AP26" s="1586"/>
      <c r="AQ26" s="1641">
        <f>COUNTIFS(TRAINING!B12:B5000,"&gt;=10/01/2020",TRAINING!B12:B5000,"&lt;=12/31/2020",TRAINING!D12:D5000,"Evidence Based Training (EBT)",TRAINING!AR12:AR5000,"YES")</f>
        <v>0</v>
      </c>
      <c r="AR26" s="1641"/>
      <c r="AS26" s="1641"/>
      <c r="AT26" s="1641"/>
      <c r="AU26" s="1642">
        <f>COUNTIFS(TRAINING!B12:B5000,"&gt;=01/01/2021",TRAINING!B12:B5000,"&lt;=03/31/2021",TRAINING!D12:D5000,"Evidence Based Training (EBT)",TRAINING!AR12:AR5000,"YES")</f>
        <v>0</v>
      </c>
      <c r="AV26" s="1642"/>
      <c r="AW26" s="1642"/>
      <c r="AX26" s="1642"/>
      <c r="AY26" s="1641">
        <f>COUNTIFS(TRAINING!B12:B5000,"&gt;=04/01/2020",TRAINING!B12:B5000,"&lt;=06/30/2020",TRAINING!D12:D5000,"Evidence Based Training (EBT)",TRAINING!AR12:AR5000,"YES")</f>
        <v>0</v>
      </c>
      <c r="AZ26" s="1641"/>
      <c r="BA26" s="1641"/>
      <c r="BB26" s="1641"/>
      <c r="BC26" s="1642">
        <f>COUNTIFS(TRAINING!B12:B5000,"&gt;=07/01/2021",TRAINING!B12:B5000,"&lt;=09/30/2021",TRAINING!D12:D5000,"Evidence Based Training (EBT)",TRAINING!AR12:AR5000,"YES")</f>
        <v>0</v>
      </c>
      <c r="BD26" s="1642"/>
      <c r="BE26" s="1642"/>
      <c r="BF26" s="1642"/>
      <c r="BG26" s="1635">
        <f>COUNTIFS(TRAINING!B12:B5000,"&gt;=10/01/2021",TRAINING!B12:B5000,"&lt;=12/31/2021",TRAINING!D12:D5000,"Evidence Based Training (EBT)",TRAINING!AR12:AR5000,"YES")</f>
        <v>0</v>
      </c>
      <c r="BH26" s="1635"/>
      <c r="BI26" s="1635"/>
      <c r="BJ26" s="1635"/>
      <c r="BK26" s="1636">
        <f>COUNTIFS(TRAINING!B12:B5000,"&gt;=01/01/2022",TRAINING!B12:B5000,"&lt;=03/31/2022",TRAINING!D12:D5000,"Evidence Based Training (EBT)",TRAINING!AR12:AR5000,"YES")</f>
        <v>0</v>
      </c>
      <c r="BL26" s="1636"/>
      <c r="BM26" s="1636"/>
      <c r="BN26" s="1636"/>
      <c r="BO26" s="1635">
        <f>COUNTIFS(TRAINING!B12:B5000,"&gt;=04/01/2022",TRAINING!B12:B5000,"&lt;=06/30/2022",TRAINING!D12:D5000,"Evidence Based Training (EBT)",TRAINING!AR12:AR5000,"YES")</f>
        <v>0</v>
      </c>
      <c r="BP26" s="1635"/>
      <c r="BQ26" s="1635"/>
      <c r="BR26" s="1635"/>
      <c r="BS26" s="1636">
        <f>COUNTIFS(TRAINING!B12:B5000,"&gt;=07/01/2022",TRAINING!B12:B5000,"&lt;=09/30/2022",TRAINING!D12:D5000,"Evidence Based Training (EBT)",TRAINING!AR12:AR5000,"YES")</f>
        <v>0</v>
      </c>
      <c r="BT26" s="1636"/>
      <c r="BU26" s="1636"/>
      <c r="BV26" s="1636"/>
      <c r="BW26" s="277"/>
    </row>
    <row r="27" spans="1:75" x14ac:dyDescent="0.25">
      <c r="A27" s="1619" t="s">
        <v>816</v>
      </c>
      <c r="B27" s="1619"/>
      <c r="C27" s="1619"/>
      <c r="D27" s="1619"/>
      <c r="E27" s="1619"/>
      <c r="F27" s="1619"/>
      <c r="G27" s="1619"/>
      <c r="H27" s="1619"/>
      <c r="I27" s="1585">
        <f>'GRANTEE SET UP INFO &amp; DATE '!C16</f>
        <v>0</v>
      </c>
      <c r="J27" s="1585"/>
      <c r="K27" s="1585"/>
      <c r="L27" s="1585"/>
      <c r="M27" s="1591">
        <f>'GRANTEE SET UP INFO &amp; DATE '!F16</f>
        <v>0</v>
      </c>
      <c r="N27" s="1586"/>
      <c r="O27" s="1586"/>
      <c r="P27" s="1586"/>
      <c r="Q27" s="1586"/>
      <c r="R27" s="1591" t="e">
        <f>'GRANTEE SET UP INFO &amp; DATE '!#REF!</f>
        <v>#REF!</v>
      </c>
      <c r="S27" s="1586"/>
      <c r="T27" s="1586"/>
      <c r="U27" s="1586"/>
      <c r="V27" s="1586"/>
      <c r="W27" s="1660">
        <f>COUNTIFS(TRAINING!B12:B5000,"&gt;=07/01/2000",TRAINING!B12:B5000,"&lt;=09/30/2019",TRAINING!D12:D5000,"Evidence Based Training (EBT)",TRAINING!AS12:AS5000,"YES")</f>
        <v>0</v>
      </c>
      <c r="X27" s="1660"/>
      <c r="Y27" s="1660"/>
      <c r="Z27" s="1660"/>
      <c r="AA27" s="1590">
        <f>COUNTIFS(TRAINING!B12:B5000,"&gt;=10/01/2019",TRAINING!B12:B5000,"&lt;=12/31/2019",TRAINING!D12:D5000,"Evidence Based Training (EBT)",TRAINING!AS12:AS5000,"YES")</f>
        <v>0</v>
      </c>
      <c r="AB27" s="1590"/>
      <c r="AC27" s="1590"/>
      <c r="AD27" s="1590"/>
      <c r="AE27" s="1661">
        <f>COUNTIFS(TRAINING!B12:B5000,"&gt;=01/01/2020",TRAINING!B12:B5000,"&lt;=03/31/2020",TRAINING!D12:D5000,"Evidence Based Training (EBT)",TRAINING!AS12:AS5000,"YES")</f>
        <v>0</v>
      </c>
      <c r="AF27" s="1661"/>
      <c r="AG27" s="1661"/>
      <c r="AH27" s="1661"/>
      <c r="AI27" s="1654">
        <f>COUNTIFS(TRAINING!B12:B5000,"&gt;=04/01/2020",TRAINING!B12:B5000,"&lt;=06/30/2020",TRAINING!D12:D5000,"Evidence Based Training (EBT)",TRAINING!AS12:AS5000,"YES")</f>
        <v>0</v>
      </c>
      <c r="AJ27" s="1654"/>
      <c r="AK27" s="1654"/>
      <c r="AL27" s="1654"/>
      <c r="AM27" s="1586">
        <f>COUNTIFS(TRAINING!B12:B5000,"&gt;=07/01/2020",TRAINING!B12:B5000,"&lt;=09/30/2020",TRAINING!D12:D5000,"Evidence Based Training (EBT)",TRAINING!AS12:AS5000,"YES")</f>
        <v>0</v>
      </c>
      <c r="AN27" s="1586"/>
      <c r="AO27" s="1586"/>
      <c r="AP27" s="1586"/>
      <c r="AQ27" s="1641">
        <f>COUNTIFS(TRAINING!B12:B5000,"&gt;=10/01/2020",TRAINING!B12:B5000,"&lt;=12/31/2020",TRAINING!D12:D5000,"Evidence Based Training (EBT)",TRAINING!AS12:AS5000,"YES")</f>
        <v>0</v>
      </c>
      <c r="AR27" s="1641"/>
      <c r="AS27" s="1641"/>
      <c r="AT27" s="1641"/>
      <c r="AU27" s="1642">
        <f>COUNTIFS(TRAINING!B12:B5000,"&gt;=01/01/2021",TRAINING!B12:B5000,"&lt;=03/31/2021",TRAINING!D12:D5000,"Evidence Based Training (EBT)",TRAINING!AS12:AS5000,"YES")</f>
        <v>0</v>
      </c>
      <c r="AV27" s="1642"/>
      <c r="AW27" s="1642"/>
      <c r="AX27" s="1642"/>
      <c r="AY27" s="1641">
        <f>COUNTIFS(TRAINING!B12:B5000,"&gt;=04/01/2020",TRAINING!B12:B5000,"&lt;=06/30/2020",TRAINING!D12:D5000,"Evidence Based Training (EBT)",TRAINING!AS12:AS5000,"YES")</f>
        <v>0</v>
      </c>
      <c r="AZ27" s="1641"/>
      <c r="BA27" s="1641"/>
      <c r="BB27" s="1641"/>
      <c r="BC27" s="1642">
        <f>COUNTIFS(TRAINING!B12:B5000,"&gt;=07/01/2021",TRAINING!B12:B5000,"&lt;=09/30/2021",TRAINING!D12:D5000,"Evidence Based Training (EBT)",TRAINING!AS12:AS5000,"YES")</f>
        <v>0</v>
      </c>
      <c r="BD27" s="1642"/>
      <c r="BE27" s="1642"/>
      <c r="BF27" s="1642"/>
      <c r="BG27" s="1635">
        <f>COUNTIFS(TRAINING!B12:B5000,"&gt;=10/01/2021",TRAINING!B12:B5000,"&lt;=12/31/2021",TRAINING!D12:D5000,"Evidence Based Training (EBT)",TRAINING!AS12:AS5000,"YES")</f>
        <v>0</v>
      </c>
      <c r="BH27" s="1635"/>
      <c r="BI27" s="1635"/>
      <c r="BJ27" s="1635"/>
      <c r="BK27" s="1636">
        <f>COUNTIFS(TRAINING!B12:B5000,"&gt;=01/01/2022",TRAINING!B12:B5000,"&lt;=03/31/2022",TRAINING!D12:D5000,"Evidence Based Training (EBT)",TRAINING!AS12:AS5000,"YES")</f>
        <v>0</v>
      </c>
      <c r="BL27" s="1636"/>
      <c r="BM27" s="1636"/>
      <c r="BN27" s="1636"/>
      <c r="BO27" s="1635">
        <f>COUNTIFS(TRAINING!B12:B5000,"&gt;=04/01/2022",TRAINING!B12:B5000,"&lt;=06/30/2022",TRAINING!D12:D5000,"Evidence Based Training (EBT)",TRAINING!AS12:AS5000,"YES")</f>
        <v>0</v>
      </c>
      <c r="BP27" s="1635"/>
      <c r="BQ27" s="1635"/>
      <c r="BR27" s="1635"/>
      <c r="BS27" s="1636">
        <f>COUNTIFS(TRAINING!B12:B5000,"&gt;=07/01/2022",TRAINING!B12:B5000,"&lt;=09/30/2022",TRAINING!D12:D5000,"Evidence Based Training (EBT)",TRAINING!AS12:AS5000,"YES")</f>
        <v>0</v>
      </c>
      <c r="BT27" s="1636"/>
      <c r="BU27" s="1636"/>
      <c r="BV27" s="1636"/>
      <c r="BW27" s="277"/>
    </row>
    <row r="28" spans="1:75" x14ac:dyDescent="0.25">
      <c r="A28" s="1619" t="s">
        <v>817</v>
      </c>
      <c r="B28" s="1619"/>
      <c r="C28" s="1619"/>
      <c r="D28" s="1619"/>
      <c r="E28" s="1619"/>
      <c r="F28" s="1619"/>
      <c r="G28" s="1619"/>
      <c r="H28" s="1619"/>
      <c r="I28" s="1585">
        <f>'GRANTEE SET UP INFO &amp; DATE '!C17</f>
        <v>0</v>
      </c>
      <c r="J28" s="1585"/>
      <c r="K28" s="1585"/>
      <c r="L28" s="1585"/>
      <c r="M28" s="1591">
        <f>'GRANTEE SET UP INFO &amp; DATE '!F17</f>
        <v>0</v>
      </c>
      <c r="N28" s="1586"/>
      <c r="O28" s="1586"/>
      <c r="P28" s="1586"/>
      <c r="Q28" s="1586"/>
      <c r="R28" s="1591" t="e">
        <f>'GRANTEE SET UP INFO &amp; DATE '!#REF!</f>
        <v>#REF!</v>
      </c>
      <c r="S28" s="1586"/>
      <c r="T28" s="1586"/>
      <c r="U28" s="1586"/>
      <c r="V28" s="1586"/>
      <c r="W28" s="1660">
        <f>COUNTIFS(TRAINING!B12:B5000,"&gt;=07/01/2000",TRAINING!B12:B5000,"&lt;=09/30/2019",TRAINING!D12:D5000,"Evidence Based Training (EBT)",TRAINING!AT12:AT5000,"YES")</f>
        <v>0</v>
      </c>
      <c r="X28" s="1660"/>
      <c r="Y28" s="1660"/>
      <c r="Z28" s="1660"/>
      <c r="AA28" s="1590">
        <f>COUNTIFS(TRAINING!B12:B5000,"&gt;=10/01/2019",TRAINING!B12:B5000,"&lt;=12/31/2019",TRAINING!D12:D5000,"Evidence Based Training (EBT)",TRAINING!AT12:AT5000,"YES")</f>
        <v>0</v>
      </c>
      <c r="AB28" s="1590"/>
      <c r="AC28" s="1590"/>
      <c r="AD28" s="1590"/>
      <c r="AE28" s="1661">
        <f>COUNTIFS(TRAINING!B12:B5000,"&gt;=01/01/2020",TRAINING!B12:B5000,"&lt;=03/31/2020",TRAINING!D12:D5000,"Evidence Based Training (EBT)",TRAINING!AT12:AT5000,"YES")</f>
        <v>0</v>
      </c>
      <c r="AF28" s="1661"/>
      <c r="AG28" s="1661"/>
      <c r="AH28" s="1661"/>
      <c r="AI28" s="1654">
        <f>COUNTIFS(TRAINING!B12:B5000,"&gt;=04/01/2020",TRAINING!B12:B5000,"&lt;=06/30/2020",TRAINING!D12:D5000,"Evidence Based Training (EBT)",TRAINING!AT12:AT5000,"YES")</f>
        <v>0</v>
      </c>
      <c r="AJ28" s="1654"/>
      <c r="AK28" s="1654"/>
      <c r="AL28" s="1654"/>
      <c r="AM28" s="1586">
        <f>COUNTIFS(TRAINING!B12:B5000,"&gt;=07/01/2020",TRAINING!B12:B5000,"&lt;=09/30/2020",TRAINING!D12:D5000,"Evidence Based Training (EBT)",TRAINING!AT12:AT5000,"YES")</f>
        <v>0</v>
      </c>
      <c r="AN28" s="1586"/>
      <c r="AO28" s="1586"/>
      <c r="AP28" s="1586"/>
      <c r="AQ28" s="1641">
        <f>COUNTIFS(TRAINING!B12:B5000,"&gt;=10/01/2020",TRAINING!B12:B5000,"&lt;=12/31/2020",TRAINING!D12:D5000,"Evidence Based Training (EBT)",TRAINING!AT12:AT5000,"YES")</f>
        <v>0</v>
      </c>
      <c r="AR28" s="1641"/>
      <c r="AS28" s="1641"/>
      <c r="AT28" s="1641"/>
      <c r="AU28" s="1642">
        <f>COUNTIFS(TRAINING!B12:B5000,"&gt;=01/01/2021",TRAINING!B12:B5000,"&lt;=03/31/2021",TRAINING!D12:D5000,"Evidence Based Training (EBT)",TRAINING!AT12:AT5000,"YES")</f>
        <v>0</v>
      </c>
      <c r="AV28" s="1642"/>
      <c r="AW28" s="1642"/>
      <c r="AX28" s="1642"/>
      <c r="AY28" s="1641">
        <f>COUNTIFS(TRAINING!B12:B5000,"&gt;=04/01/2020",TRAINING!B12:B5000,"&lt;=06/30/2020",TRAINING!D12:D5000,"Evidence Based Training (EBT)",TRAINING!AT12:AT5000,"YES")</f>
        <v>0</v>
      </c>
      <c r="AZ28" s="1641"/>
      <c r="BA28" s="1641"/>
      <c r="BB28" s="1641"/>
      <c r="BC28" s="1642">
        <f>COUNTIFS(TRAINING!B12:B5000,"&gt;=07/01/2021",TRAINING!B12:B5000,"&lt;=09/30/2021",TRAINING!D12:D5000,"Evidence Based Training (EBT)",TRAINING!AT12:AT5000,"YES")</f>
        <v>0</v>
      </c>
      <c r="BD28" s="1642"/>
      <c r="BE28" s="1642"/>
      <c r="BF28" s="1642"/>
      <c r="BG28" s="1635">
        <f>COUNTIFS(TRAINING!B12:B5000,"&gt;=10/01/2021",TRAINING!B12:B5000,"&lt;=12/31/2021",TRAINING!D12:D5000,"Evidence Based Training (EBT)",TRAINING!AT12:AT5000,"YES")</f>
        <v>0</v>
      </c>
      <c r="BH28" s="1635"/>
      <c r="BI28" s="1635"/>
      <c r="BJ28" s="1635"/>
      <c r="BK28" s="1636">
        <f>COUNTIFS(TRAINING!B12:B5000,"&gt;=01/01/2022",TRAINING!B12:B5000,"&lt;=03/31/2022",TRAINING!D12:D5000,"Evidence Based Training (EBT)",TRAINING!AT12:AT5000,"YES")</f>
        <v>0</v>
      </c>
      <c r="BL28" s="1636"/>
      <c r="BM28" s="1636"/>
      <c r="BN28" s="1636"/>
      <c r="BO28" s="1635">
        <f>COUNTIFS(TRAINING!B12:B5000,"&gt;=04/01/2022",TRAINING!B12:B5000,"&lt;=06/30/2022",TRAINING!D12:D5000,"Evidence Based Training (EBT)",TRAINING!AT12:AT5000,"YES")</f>
        <v>0</v>
      </c>
      <c r="BP28" s="1635"/>
      <c r="BQ28" s="1635"/>
      <c r="BR28" s="1635"/>
      <c r="BS28" s="1636">
        <f>COUNTIFS(TRAINING!B12:B5000,"&gt;=07/01/2022",TRAINING!B12:B5000,"&lt;=09/30/2022",TRAINING!D12:D5000,"Evidence Based Training (EBT)",TRAINING!AT12:AT5000,"YES")</f>
        <v>0</v>
      </c>
      <c r="BT28" s="1636"/>
      <c r="BU28" s="1636"/>
      <c r="BV28" s="1636"/>
      <c r="BW28" s="277"/>
    </row>
    <row r="29" spans="1:75" x14ac:dyDescent="0.25">
      <c r="A29" s="1619" t="s">
        <v>818</v>
      </c>
      <c r="B29" s="1619"/>
      <c r="C29" s="1619"/>
      <c r="D29" s="1619"/>
      <c r="E29" s="1619"/>
      <c r="F29" s="1619"/>
      <c r="G29" s="1619"/>
      <c r="H29" s="1619"/>
      <c r="I29" s="1585">
        <f>'GRANTEE SET UP INFO &amp; DATE '!C18</f>
        <v>0</v>
      </c>
      <c r="J29" s="1585"/>
      <c r="K29" s="1585"/>
      <c r="L29" s="1585"/>
      <c r="M29" s="1591">
        <f>'GRANTEE SET UP INFO &amp; DATE '!F18</f>
        <v>0</v>
      </c>
      <c r="N29" s="1586"/>
      <c r="O29" s="1586"/>
      <c r="P29" s="1586"/>
      <c r="Q29" s="1586"/>
      <c r="R29" s="1591" t="e">
        <f>'GRANTEE SET UP INFO &amp; DATE '!#REF!</f>
        <v>#REF!</v>
      </c>
      <c r="S29" s="1586"/>
      <c r="T29" s="1586"/>
      <c r="U29" s="1586"/>
      <c r="V29" s="1586"/>
      <c r="W29" s="1660">
        <f>COUNTIFS(TRAINING!B12:B5000,"&gt;=07/01/2000",TRAINING!B12:B5000,"&lt;=09/30/2019",TRAINING!D12:D5000,"Evidence Based Training (EBT)",TRAINING!AU12:AU5000,"YES")</f>
        <v>0</v>
      </c>
      <c r="X29" s="1660"/>
      <c r="Y29" s="1660"/>
      <c r="Z29" s="1660"/>
      <c r="AA29" s="1590">
        <f>COUNTIFS(TRAINING!B12:B5000,"&gt;=10/01/2019",TRAINING!B12:B5000,"&lt;=12/31/2019",TRAINING!D12:D5000,"Evidence Based Training (EBT)",TRAINING!AU12:AU5000,"YES")</f>
        <v>0</v>
      </c>
      <c r="AB29" s="1590"/>
      <c r="AC29" s="1590"/>
      <c r="AD29" s="1590"/>
      <c r="AE29" s="1661">
        <f>COUNTIFS(TRAINING!B12:B5000,"&gt;=01/01/2020",TRAINING!B12:B5000,"&lt;=03/31/2020",TRAINING!D12:D5000,"Evidence Based Training (EBT)",TRAINING!AU12:AU5000,"YES")</f>
        <v>0</v>
      </c>
      <c r="AF29" s="1661"/>
      <c r="AG29" s="1661"/>
      <c r="AH29" s="1661"/>
      <c r="AI29" s="1654">
        <f>COUNTIFS(TRAINING!B12:B5000,"&gt;=04/01/2020",TRAINING!B12:B5000,"&lt;=06/30/2020",TRAINING!D12:D5000,"Evidence Based Training (EBT)",TRAINING!AU12:AU5000,"YES")</f>
        <v>0</v>
      </c>
      <c r="AJ29" s="1654"/>
      <c r="AK29" s="1654"/>
      <c r="AL29" s="1654"/>
      <c r="AM29" s="1586">
        <f>COUNTIFS(TRAINING!B12:B5000,"&gt;=07/01/2020",TRAINING!B12:B5000,"&lt;=09/30/2020",TRAINING!D12:D5000,"Evidence Based Training (EBT)",TRAINING!AU12:AU5000,"YES")</f>
        <v>0</v>
      </c>
      <c r="AN29" s="1586"/>
      <c r="AO29" s="1586"/>
      <c r="AP29" s="1586"/>
      <c r="AQ29" s="1641">
        <f>COUNTIFS(TRAINING!B12:B5000,"&gt;=10/01/2020",TRAINING!B12:B5000,"&lt;=12/31/2020",TRAINING!D12:D5000,"Evidence Based Training (EBT)",TRAINING!AU12:AU5000,"YES")</f>
        <v>0</v>
      </c>
      <c r="AR29" s="1641"/>
      <c r="AS29" s="1641"/>
      <c r="AT29" s="1641"/>
      <c r="AU29" s="1642">
        <f>COUNTIFS(TRAINING!B12:B5000,"&gt;=01/01/2021",TRAINING!B12:B5000,"&lt;=03/31/2021",TRAINING!D12:D5000,"Evidence Based Training (EBT)",TRAINING!AU12:AU5000,"YES")</f>
        <v>0</v>
      </c>
      <c r="AV29" s="1642"/>
      <c r="AW29" s="1642"/>
      <c r="AX29" s="1642"/>
      <c r="AY29" s="1641">
        <f>COUNTIFS(TRAINING!B12:B5000,"&gt;=04/01/2020",TRAINING!B12:B5000,"&lt;=06/30/2020",TRAINING!D12:D5000,"Evidence Based Training (EBT)",TRAINING!AU12:AU5000,"YES")</f>
        <v>0</v>
      </c>
      <c r="AZ29" s="1641"/>
      <c r="BA29" s="1641"/>
      <c r="BB29" s="1641"/>
      <c r="BC29" s="1642">
        <f>COUNTIFS(TRAINING!B12:B5000,"&gt;=07/01/2021",TRAINING!B12:B5000,"&lt;=09/30/2021",TRAINING!D12:D5000,"Evidence Based Training (EBT)",TRAINING!AU12:AU5000,"YES")</f>
        <v>0</v>
      </c>
      <c r="BD29" s="1642"/>
      <c r="BE29" s="1642"/>
      <c r="BF29" s="1642"/>
      <c r="BG29" s="1635">
        <f>COUNTIFS(TRAINING!B12:B5000,"&gt;=10/01/2021",TRAINING!B12:B5000,"&lt;=12/31/2021",TRAINING!D12:D5000,"Evidence Based Training (EBT)",TRAINING!AU12:AU5000,"YES")</f>
        <v>0</v>
      </c>
      <c r="BH29" s="1635"/>
      <c r="BI29" s="1635"/>
      <c r="BJ29" s="1635"/>
      <c r="BK29" s="1636">
        <f>COUNTIFS(TRAINING!B12:B5000,"&gt;=01/01/2022",TRAINING!B12:B5000,"&lt;=03/31/2022",TRAINING!D12:D5000,"Evidence Based Training (EBT)",TRAINING!AU12:AU5000,"YES")</f>
        <v>0</v>
      </c>
      <c r="BL29" s="1636"/>
      <c r="BM29" s="1636"/>
      <c r="BN29" s="1636"/>
      <c r="BO29" s="1635">
        <f>COUNTIFS(TRAINING!B12:B5000,"&gt;=04/01/2022",TRAINING!B12:B5000,"&lt;=06/30/2022",TRAINING!D12:D5000,"Evidence Based Training (EBT)",TRAINING!AU12:AU5000,"YES")</f>
        <v>0</v>
      </c>
      <c r="BP29" s="1635"/>
      <c r="BQ29" s="1635"/>
      <c r="BR29" s="1635"/>
      <c r="BS29" s="1636">
        <f>COUNTIFS(TRAINING!B12:B5000,"&gt;=07/01/2022",TRAINING!B12:B5000,"&lt;=09/30/2022",TRAINING!D12:D5000,"Evidence Based Training (EBT)",TRAINING!AU12:AU5000,"YES")</f>
        <v>0</v>
      </c>
      <c r="BT29" s="1636"/>
      <c r="BU29" s="1636"/>
      <c r="BV29" s="1636"/>
      <c r="BW29" s="277"/>
    </row>
    <row r="30" spans="1:75" x14ac:dyDescent="0.25">
      <c r="A30" s="1619" t="s">
        <v>819</v>
      </c>
      <c r="B30" s="1619"/>
      <c r="C30" s="1619"/>
      <c r="D30" s="1619"/>
      <c r="E30" s="1619"/>
      <c r="F30" s="1619"/>
      <c r="G30" s="1619"/>
      <c r="H30" s="1619"/>
      <c r="I30" s="1585" t="e">
        <f>'GRANTEE SET UP INFO &amp; DATE '!#REF!</f>
        <v>#REF!</v>
      </c>
      <c r="J30" s="1585"/>
      <c r="K30" s="1585"/>
      <c r="L30" s="1585"/>
      <c r="M30" s="1622" t="e">
        <f>'GRANTEE SET UP INFO &amp; DATE '!#REF!</f>
        <v>#REF!</v>
      </c>
      <c r="N30" s="1710"/>
      <c r="O30" s="1710"/>
      <c r="P30" s="1710"/>
      <c r="Q30" s="1710"/>
      <c r="R30" s="1622" t="e">
        <f>'GRANTEE SET UP INFO &amp; DATE '!#REF!</f>
        <v>#REF!</v>
      </c>
      <c r="S30" s="1623"/>
      <c r="T30" s="1623"/>
      <c r="U30" s="1623"/>
      <c r="V30" s="1623"/>
      <c r="W30" s="1660">
        <f>COUNTIFS(TRAINING!B12:B5000,"&gt;=07/01/2000",TRAINING!B12:B5000,"&lt;=09/30/2019",TRAINING!D12:D5000,"Evidence Based Training (EBT)",TRAINING!AV12:AV5000,"YES")</f>
        <v>0</v>
      </c>
      <c r="X30" s="1660"/>
      <c r="Y30" s="1660"/>
      <c r="Z30" s="1660"/>
      <c r="AA30" s="1590">
        <f>COUNTIFS(TRAINING!B12:B5000,"&gt;=10/01/2019",TRAINING!B12:B5000,"&lt;=12/31/2019",TRAINING!D12:D5000,"Evidence Based Training (EBT)",TRAINING!AV12:AV5000,"YES")</f>
        <v>0</v>
      </c>
      <c r="AB30" s="1590"/>
      <c r="AC30" s="1590"/>
      <c r="AD30" s="1590"/>
      <c r="AE30" s="1661">
        <f>COUNTIFS(TRAINING!B12:B5000,"&gt;=01/01/2020",TRAINING!B12:B5000,"&lt;=03/31/2020",TRAINING!D12:D5000,"Evidence Based Training (EBT)",TRAINING!AV12:AV5000,"YES")</f>
        <v>0</v>
      </c>
      <c r="AF30" s="1661"/>
      <c r="AG30" s="1661"/>
      <c r="AH30" s="1661"/>
      <c r="AI30" s="1654">
        <f>COUNTIFS(TRAINING!B12:B5000,"&gt;=04/01/2020",TRAINING!B12:B5000,"&lt;=06/30/2020",TRAINING!D12:D5000,"Evidence Based Training (EBT)",TRAINING!AV12:AV5000,"YES")</f>
        <v>0</v>
      </c>
      <c r="AJ30" s="1654"/>
      <c r="AK30" s="1654"/>
      <c r="AL30" s="1654"/>
      <c r="AM30" s="1586">
        <f>COUNTIFS(TRAINING!B12:B5000,"&gt;=07/01/2020",TRAINING!B12:B5000,"&lt;=09/30/2020",TRAINING!D12:D5000,"Evidence Based Training (EBT)",TRAINING!AV12:AV5000,"YES")</f>
        <v>0</v>
      </c>
      <c r="AN30" s="1586"/>
      <c r="AO30" s="1586"/>
      <c r="AP30" s="1586"/>
      <c r="AQ30" s="1641">
        <f>COUNTIFS(TRAINING!B12:B5000,"&gt;=10/01/2020",TRAINING!B12:B5000,"&lt;=12/31/2020",TRAINING!D12:D5000,"Evidence Based Training (EBT)",TRAINING!AV12:AV5000,"YES")</f>
        <v>0</v>
      </c>
      <c r="AR30" s="1641"/>
      <c r="AS30" s="1641"/>
      <c r="AT30" s="1641"/>
      <c r="AU30" s="1642">
        <f>COUNTIFS(TRAINING!B12:B5000,"&gt;=01/01/2021",TRAINING!B12:B5000,"&lt;=03/31/2021",TRAINING!D12:D5000,"Evidence Based Training (EBT)",TRAINING!AV12:AV5000,"YES")</f>
        <v>0</v>
      </c>
      <c r="AV30" s="1642"/>
      <c r="AW30" s="1642"/>
      <c r="AX30" s="1642"/>
      <c r="AY30" s="1641">
        <f>COUNTIFS(TRAINING!B12:B5000,"&gt;=04/01/2020",TRAINING!B12:B5000,"&lt;=06/30/2020",TRAINING!D12:D5000,"Evidence Based Training (EBT)",TRAINING!AV12:AV5000,"YES")</f>
        <v>0</v>
      </c>
      <c r="AZ30" s="1641"/>
      <c r="BA30" s="1641"/>
      <c r="BB30" s="1641"/>
      <c r="BC30" s="1642">
        <f>COUNTIFS(TRAINING!B12:B5000,"&gt;=07/01/2021",TRAINING!B12:B5000,"&lt;=09/30/2021",TRAINING!D12:D5000,"Evidence Based Training (EBT)",TRAINING!AV12:AV5000,"YES")</f>
        <v>0</v>
      </c>
      <c r="BD30" s="1642"/>
      <c r="BE30" s="1642"/>
      <c r="BF30" s="1642"/>
      <c r="BG30" s="1635">
        <f>COUNTIFS(TRAINING!B12:B5000,"&gt;=10/01/2021",TRAINING!B12:B5000,"&lt;=12/31/2021",TRAINING!D12:D5000,"Evidence Based Training (EBT)",TRAINING!AV12:AV5000,"YES")</f>
        <v>0</v>
      </c>
      <c r="BH30" s="1635"/>
      <c r="BI30" s="1635"/>
      <c r="BJ30" s="1635"/>
      <c r="BK30" s="1636">
        <f>COUNTIFS(TRAINING!B12:B5000,"&gt;=01/01/2022",TRAINING!B12:B5000,"&lt;=03/31/2022",TRAINING!D12:D5000,"Evidence Based Training (EBT)",TRAINING!AV12:AV5000,"YES")</f>
        <v>0</v>
      </c>
      <c r="BL30" s="1636"/>
      <c r="BM30" s="1636"/>
      <c r="BN30" s="1636"/>
      <c r="BO30" s="1635">
        <f>COUNTIFS(TRAINING!B12:B5000,"&gt;=04/01/2022",TRAINING!B12:B5000,"&lt;=06/30/2022",TRAINING!D12:D5000,"Evidence Based Training (EBT)",TRAINING!AV12:AV5000,"YES")</f>
        <v>0</v>
      </c>
      <c r="BP30" s="1635"/>
      <c r="BQ30" s="1635"/>
      <c r="BR30" s="1635"/>
      <c r="BS30" s="1636">
        <f>COUNTIFS(TRAINING!B12:B5000,"&gt;=07/01/2022",TRAINING!B12:B5000,"&lt;=09/30/2022",TRAINING!D12:D5000,"Evidence Based Training (EBT)",TRAINING!AV12:AV5000,"YES")</f>
        <v>0</v>
      </c>
      <c r="BT30" s="1636"/>
      <c r="BU30" s="1636"/>
      <c r="BV30" s="1636"/>
      <c r="BW30" s="277"/>
    </row>
    <row r="31" spans="1:75" x14ac:dyDescent="0.25">
      <c r="A31" s="1619" t="s">
        <v>830</v>
      </c>
      <c r="B31" s="1619"/>
      <c r="C31" s="1619"/>
      <c r="D31" s="1619"/>
      <c r="E31" s="1619"/>
      <c r="F31" s="1619"/>
      <c r="G31" s="1619"/>
      <c r="H31" s="1619"/>
      <c r="I31" s="1585" t="e">
        <f>'GRANTEE SET UP INFO &amp; DATE '!#REF!</f>
        <v>#REF!</v>
      </c>
      <c r="J31" s="1585"/>
      <c r="K31" s="1585"/>
      <c r="L31" s="1585"/>
      <c r="M31" s="1621" t="e">
        <f>'GRANTEE SET UP INFO &amp; DATE '!#REF!</f>
        <v>#REF!</v>
      </c>
      <c r="N31" s="1592"/>
      <c r="O31" s="1592"/>
      <c r="P31" s="1592"/>
      <c r="Q31" s="1592"/>
      <c r="R31" s="1622" t="e">
        <f>'GRANTEE SET UP INFO &amp; DATE '!#REF!</f>
        <v>#REF!</v>
      </c>
      <c r="S31" s="1623"/>
      <c r="T31" s="1623"/>
      <c r="U31" s="1623"/>
      <c r="V31" s="1623"/>
      <c r="W31" s="1660">
        <f>COUNTIFS(TRAINING!B12:B5000,"&gt;=07/01/2000",TRAINING!B12:B5000,"&lt;=09/30/2019",TRAINING!D12:D5000,"Evidence Based Training (EBT)",TRAINING!AW12:AW5000,"YES")</f>
        <v>0</v>
      </c>
      <c r="X31" s="1660"/>
      <c r="Y31" s="1660"/>
      <c r="Z31" s="1660"/>
      <c r="AA31" s="1590">
        <f>COUNTIFS(TRAINING!B12:B5000,"&gt;=10/01/2019",TRAINING!B12:B5000,"&lt;=12/31/2019",TRAINING!D12:D5000,"Evidence Based Training (EBT)",TRAINING!AW12:AW5000,"YES")</f>
        <v>0</v>
      </c>
      <c r="AB31" s="1590"/>
      <c r="AC31" s="1590"/>
      <c r="AD31" s="1590"/>
      <c r="AE31" s="1661">
        <f>COUNTIFS(TRAINING!B12:B5000,"&gt;=01/01/2020",TRAINING!B12:B5000,"&lt;=03/31/2020",TRAINING!D12:D5000,"Evidence Based Training (EBT)",TRAINING!AW12:AW5000,"YES")</f>
        <v>0</v>
      </c>
      <c r="AF31" s="1661"/>
      <c r="AG31" s="1661"/>
      <c r="AH31" s="1661"/>
      <c r="AI31" s="1654">
        <f>COUNTIFS(TRAINING!B12:B5000,"&gt;=04/01/2020",TRAINING!B12:B5000,"&lt;=06/30/2020",TRAINING!D12:D5000,"Evidence Based Training (EBT)",TRAINING!AW12:AW5000,"YES")</f>
        <v>0</v>
      </c>
      <c r="AJ31" s="1654"/>
      <c r="AK31" s="1654"/>
      <c r="AL31" s="1654"/>
      <c r="AM31" s="1586">
        <f>COUNTIFS(TRAINING!B12:B5000,"&gt;=07/01/2020",TRAINING!B12:B5000,"&lt;=09/30/2020",TRAINING!D12:D5000,"Evidence Based Training (EBT)",TRAINING!AW12:AW5000,"YES")</f>
        <v>0</v>
      </c>
      <c r="AN31" s="1586"/>
      <c r="AO31" s="1586"/>
      <c r="AP31" s="1586"/>
      <c r="AQ31" s="1641">
        <f>COUNTIFS(TRAINING!B12:B5000,"&gt;=10/01/2020",TRAINING!B12:B5000,"&lt;=12/31/2020",TRAINING!D12:D5000,"Evidence Based Training (EBT)",TRAINING!AW12:AW5000,"YES")</f>
        <v>0</v>
      </c>
      <c r="AR31" s="1641"/>
      <c r="AS31" s="1641"/>
      <c r="AT31" s="1641"/>
      <c r="AU31" s="1642">
        <f>COUNTIFS(TRAINING!B12:B5000,"&gt;=01/01/2021",TRAINING!B12:B5000,"&lt;=03/31/2021",TRAINING!D12:D5000,"Evidence Based Training (EBT)",TRAINING!AW12:AW5000,"YES")</f>
        <v>0</v>
      </c>
      <c r="AV31" s="1642"/>
      <c r="AW31" s="1642"/>
      <c r="AX31" s="1642"/>
      <c r="AY31" s="1641">
        <f>COUNTIFS(TRAINING!B12:B5000,"&gt;=04/01/2020",TRAINING!B12:B5000,"&lt;=06/30/2020",TRAINING!D12:D5000,"Evidence Based Training (EBT)",TRAINING!AW12:AW5000,"YES")</f>
        <v>0</v>
      </c>
      <c r="AZ31" s="1641"/>
      <c r="BA31" s="1641"/>
      <c r="BB31" s="1641"/>
      <c r="BC31" s="1642">
        <f>COUNTIFS(TRAINING!B12:B5000,"&gt;=07/01/2021",TRAINING!B12:B5000,"&lt;=09/30/2021",TRAINING!D12:D5000,"Evidence Based Training (EBT)",TRAINING!AW12:AW5000,"YES")</f>
        <v>0</v>
      </c>
      <c r="BD31" s="1642"/>
      <c r="BE31" s="1642"/>
      <c r="BF31" s="1642"/>
      <c r="BG31" s="1635">
        <f>COUNTIFS(TRAINING!B12:B5000,"&gt;=10/01/2021",TRAINING!B12:B5000,"&lt;=12/31/2021",TRAINING!D12:D5000,"Evidence Based Training (EBT)",TRAINING!AW12:AW5000,"YES")</f>
        <v>0</v>
      </c>
      <c r="BH31" s="1635"/>
      <c r="BI31" s="1635"/>
      <c r="BJ31" s="1635"/>
      <c r="BK31" s="1636">
        <f>COUNTIFS(TRAINING!B12:B5000,"&gt;=01/01/2022",TRAINING!B12:B5000,"&lt;=03/31/2022",TRAINING!D12:D5000,"Evidence Based Training (EBT)",TRAINING!AW12:AW5000,"YES")</f>
        <v>0</v>
      </c>
      <c r="BL31" s="1636"/>
      <c r="BM31" s="1636"/>
      <c r="BN31" s="1636"/>
      <c r="BO31" s="1635">
        <f>COUNTIFS(TRAINING!B12:B5000,"&gt;=04/01/2022",TRAINING!B12:B5000,"&lt;=06/30/2022",TRAINING!D12:D5000,"Evidence Based Training (EBT)",TRAINING!AW12:AW5000,"YES")</f>
        <v>0</v>
      </c>
      <c r="BP31" s="1635"/>
      <c r="BQ31" s="1635"/>
      <c r="BR31" s="1635"/>
      <c r="BS31" s="1636">
        <f>COUNTIFS(TRAINING!B12:B5000,"&gt;=07/01/2022",TRAINING!B12:B5000,"&lt;=09/30/2022",TRAINING!D12:D5000,"Evidence Based Training (EBT)",TRAINING!AW12:AW5000,"YES")</f>
        <v>0</v>
      </c>
      <c r="BT31" s="1636"/>
      <c r="BU31" s="1636"/>
      <c r="BV31" s="1636"/>
      <c r="BW31" s="277"/>
    </row>
    <row r="32" spans="1:75" x14ac:dyDescent="0.25">
      <c r="A32" s="1619" t="s">
        <v>831</v>
      </c>
      <c r="B32" s="1619"/>
      <c r="C32" s="1619"/>
      <c r="D32" s="1619"/>
      <c r="E32" s="1619"/>
      <c r="F32" s="1619"/>
      <c r="G32" s="1619"/>
      <c r="H32" s="1619"/>
      <c r="I32" s="1585" t="e">
        <f>'GRANTEE SET UP INFO &amp; DATE '!#REF!</f>
        <v>#REF!</v>
      </c>
      <c r="J32" s="1585"/>
      <c r="K32" s="1585"/>
      <c r="L32" s="1585"/>
      <c r="M32" s="1621" t="e">
        <f>'GRANTEE SET UP INFO &amp; DATE '!#REF!</f>
        <v>#REF!</v>
      </c>
      <c r="N32" s="1592"/>
      <c r="O32" s="1592"/>
      <c r="P32" s="1592"/>
      <c r="Q32" s="1592"/>
      <c r="R32" s="1622" t="e">
        <f>'GRANTEE SET UP INFO &amp; DATE '!#REF!</f>
        <v>#REF!</v>
      </c>
      <c r="S32" s="1623"/>
      <c r="T32" s="1623"/>
      <c r="U32" s="1623"/>
      <c r="V32" s="1623"/>
      <c r="W32" s="1660">
        <f>COUNTIFS(TRAINING!B12:B5000,"&gt;=07/01/2000",TRAINING!B12:B5000,"&lt;=09/30/2019",TRAINING!D12:D5000,"Evidence Based Training (EBT)",TRAINING!AX12:AX5000,"YES")</f>
        <v>0</v>
      </c>
      <c r="X32" s="1660"/>
      <c r="Y32" s="1660"/>
      <c r="Z32" s="1660"/>
      <c r="AA32" s="1590">
        <f>COUNTIFS(TRAINING!B12:B5000,"&gt;=10/01/2019",TRAINING!B12:B5000,"&lt;=12/31/2019",TRAINING!D12:D5000,"Evidence Based Training (EBT)",TRAINING!AX12:AX5000,"YES")</f>
        <v>0</v>
      </c>
      <c r="AB32" s="1590"/>
      <c r="AC32" s="1590"/>
      <c r="AD32" s="1590"/>
      <c r="AE32" s="1661">
        <f>COUNTIFS(TRAINING!B12:B5000,"&gt;=01/01/2020",TRAINING!B12:B5000,"&lt;=03/31/2020",TRAINING!D12:D5000,"Evidence Based Training (EBT)",TRAINING!AX12:AX5000,"YES")</f>
        <v>0</v>
      </c>
      <c r="AF32" s="1661"/>
      <c r="AG32" s="1661"/>
      <c r="AH32" s="1661"/>
      <c r="AI32" s="1654">
        <f>COUNTIFS(TRAINING!B12:B5000,"&gt;=04/01/2020",TRAINING!B12:B5000,"&lt;=06/30/2020",TRAINING!D12:D5000,"Evidence Based Training (EBT)",TRAINING!AX12:AX5000,"YES")</f>
        <v>0</v>
      </c>
      <c r="AJ32" s="1654"/>
      <c r="AK32" s="1654"/>
      <c r="AL32" s="1654"/>
      <c r="AM32" s="1586">
        <f>COUNTIFS(TRAINING!B12:B5000,"&gt;=07/01/2020",TRAINING!B12:B5000,"&lt;=09/30/2020",TRAINING!D12:D5000,"Evidence Based Training (EBT)",TRAINING!AX12:AX5000,"YES")</f>
        <v>0</v>
      </c>
      <c r="AN32" s="1586"/>
      <c r="AO32" s="1586"/>
      <c r="AP32" s="1586"/>
      <c r="AQ32" s="1641">
        <f>COUNTIFS(TRAINING!B12:B5000,"&gt;=10/01/2020",TRAINING!B12:B5000,"&lt;=12/31/2020",TRAINING!D12:D5000,"Evidence Based Training (EBT)",TRAINING!AX12:AX5000,"YES")</f>
        <v>0</v>
      </c>
      <c r="AR32" s="1641"/>
      <c r="AS32" s="1641"/>
      <c r="AT32" s="1641"/>
      <c r="AU32" s="1642">
        <f>COUNTIFS(TRAINING!B12:B5000,"&gt;=01/01/2021",TRAINING!B12:B5000,"&lt;=03/31/2021",TRAINING!D12:D5000,"Evidence Based Training (EBT)",TRAINING!AX12:AX5000,"YES")</f>
        <v>0</v>
      </c>
      <c r="AV32" s="1642"/>
      <c r="AW32" s="1642"/>
      <c r="AX32" s="1642"/>
      <c r="AY32" s="1641">
        <f>COUNTIFS(TRAINING!B12:B5000,"&gt;=04/01/2020",TRAINING!B12:B5000,"&lt;=06/30/2020",TRAINING!D12:D5000,"Evidence Based Training (EBT)",TRAINING!AX12:AX5000,"YES")</f>
        <v>0</v>
      </c>
      <c r="AZ32" s="1641"/>
      <c r="BA32" s="1641"/>
      <c r="BB32" s="1641"/>
      <c r="BC32" s="1642">
        <f>COUNTIFS(TRAINING!B12:B5000,"&gt;=07/01/2021",TRAINING!B12:B5000,"&lt;=09/30/2021",TRAINING!D12:D5000,"Evidence Based Training (EBT)",TRAINING!AX12:AX5000,"YES")</f>
        <v>0</v>
      </c>
      <c r="BD32" s="1642"/>
      <c r="BE32" s="1642"/>
      <c r="BF32" s="1642"/>
      <c r="BG32" s="1635">
        <f>COUNTIFS(TRAINING!B12:B5000,"&gt;=10/01/2021",TRAINING!B12:B5000,"&lt;=12/31/2021",TRAINING!D12:D5000,"Evidence Based Training (EBT)",TRAINING!AX12:AX5000,"YES")</f>
        <v>0</v>
      </c>
      <c r="BH32" s="1635"/>
      <c r="BI32" s="1635"/>
      <c r="BJ32" s="1635"/>
      <c r="BK32" s="1636">
        <f>COUNTIFS(TRAINING!B12:B5000,"&gt;=01/01/2022",TRAINING!B12:B5000,"&lt;=03/31/2022",TRAINING!D12:D5000,"Evidence Based Training (EBT)",TRAINING!AX12:AX5000,"YES")</f>
        <v>0</v>
      </c>
      <c r="BL32" s="1636"/>
      <c r="BM32" s="1636"/>
      <c r="BN32" s="1636"/>
      <c r="BO32" s="1635">
        <f>COUNTIFS(TRAINING!B12:B5000,"&gt;=04/01/2022",TRAINING!B12:B5000,"&lt;=06/30/2022",TRAINING!D12:D5000,"Evidence Based Training (EBT)",TRAINING!AX12:AX5000,"YES")</f>
        <v>0</v>
      </c>
      <c r="BP32" s="1635"/>
      <c r="BQ32" s="1635"/>
      <c r="BR32" s="1635"/>
      <c r="BS32" s="1636">
        <f>COUNTIFS(TRAINING!B12:B5000,"&gt;=07/01/2022",TRAINING!B12:B5000,"&lt;=09/30/2022",TRAINING!D12:D5000,"Evidence Based Training (EBT)",TRAINING!AX12:AX5000,"YES")</f>
        <v>0</v>
      </c>
      <c r="BT32" s="1636"/>
      <c r="BU32" s="1636"/>
      <c r="BV32" s="1636"/>
      <c r="BW32" s="277"/>
    </row>
    <row r="33" spans="1:75" x14ac:dyDescent="0.25">
      <c r="A33" s="1619" t="s">
        <v>832</v>
      </c>
      <c r="B33" s="1619"/>
      <c r="C33" s="1619"/>
      <c r="D33" s="1619"/>
      <c r="E33" s="1619"/>
      <c r="F33" s="1619"/>
      <c r="G33" s="1619"/>
      <c r="H33" s="1619"/>
      <c r="I33" s="1585" t="e">
        <f>'GRANTEE SET UP INFO &amp; DATE '!#REF!</f>
        <v>#REF!</v>
      </c>
      <c r="J33" s="1585"/>
      <c r="K33" s="1585"/>
      <c r="L33" s="1585"/>
      <c r="M33" s="1621" t="e">
        <f>'GRANTEE SET UP INFO &amp; DATE '!#REF!</f>
        <v>#REF!</v>
      </c>
      <c r="N33" s="1592"/>
      <c r="O33" s="1592"/>
      <c r="P33" s="1592"/>
      <c r="Q33" s="1592"/>
      <c r="R33" s="1622" t="e">
        <f>'GRANTEE SET UP INFO &amp; DATE '!#REF!</f>
        <v>#REF!</v>
      </c>
      <c r="S33" s="1623"/>
      <c r="T33" s="1623"/>
      <c r="U33" s="1623"/>
      <c r="V33" s="1623"/>
      <c r="W33" s="1660">
        <f>COUNTIFS(TRAINING!B12:B5000,"&gt;=07/01/2000",TRAINING!B12:B5000,"&lt;=09/30/2019",TRAINING!D12:D5000,"Evidence Based Training (EBT)",TRAINING!AY12:AY5000,"YES")</f>
        <v>0</v>
      </c>
      <c r="X33" s="1660"/>
      <c r="Y33" s="1660"/>
      <c r="Z33" s="1660"/>
      <c r="AA33" s="1590">
        <f>COUNTIFS(TRAINING!B12:B5000,"&gt;=10/01/2019",TRAINING!B12:B5000,"&lt;=12/31/2019",TRAINING!D12:D5000,"Evidence Based Training (EBT)",TRAINING!AY12:AY5000,"YES")</f>
        <v>0</v>
      </c>
      <c r="AB33" s="1590"/>
      <c r="AC33" s="1590"/>
      <c r="AD33" s="1590"/>
      <c r="AE33" s="1661">
        <f>COUNTIFS(TRAINING!B12:B5000,"&gt;=01/01/2020",TRAINING!B12:B5000,"&lt;=03/31/2020",TRAINING!D12:D5000,"Evidence Based Training (EBT)",TRAINING!AY12:AY5000,"YES")</f>
        <v>0</v>
      </c>
      <c r="AF33" s="1661"/>
      <c r="AG33" s="1661"/>
      <c r="AH33" s="1661"/>
      <c r="AI33" s="1654">
        <f>COUNTIFS(TRAINING!B12:B5000,"&gt;=04/01/2020",TRAINING!B12:B5000,"&lt;=06/30/2020",TRAINING!D12:D5000,"Evidence Based Training (EBT)",TRAINING!AY12:AY5000,"YES")</f>
        <v>0</v>
      </c>
      <c r="AJ33" s="1654"/>
      <c r="AK33" s="1654"/>
      <c r="AL33" s="1654"/>
      <c r="AM33" s="1586">
        <f>COUNTIFS(TRAINING!B12:B5000,"&gt;=07/01/2020",TRAINING!B12:B5000,"&lt;=09/30/2020",TRAINING!D12:D5000,"Evidence Based Training (EBT)",TRAINING!AY12:AY5000,"YES")</f>
        <v>0</v>
      </c>
      <c r="AN33" s="1586"/>
      <c r="AO33" s="1586"/>
      <c r="AP33" s="1586"/>
      <c r="AQ33" s="1641">
        <f>COUNTIFS(TRAINING!B12:B5000,"&gt;=10/01/2020",TRAINING!B12:B5000,"&lt;=12/31/2020",TRAINING!D12:D5000,"Evidence Based Training (EBT)",TRAINING!AY12:AY5000,"YES")</f>
        <v>0</v>
      </c>
      <c r="AR33" s="1641"/>
      <c r="AS33" s="1641"/>
      <c r="AT33" s="1641"/>
      <c r="AU33" s="1642">
        <f>COUNTIFS(TRAINING!B12:B5000,"&gt;=01/01/2021",TRAINING!B12:B5000,"&lt;=03/31/2021",TRAINING!D12:D5000,"Evidence Based Training (EBT)",TRAINING!AY12:AY5000,"YES")</f>
        <v>0</v>
      </c>
      <c r="AV33" s="1642"/>
      <c r="AW33" s="1642"/>
      <c r="AX33" s="1642"/>
      <c r="AY33" s="1641">
        <f>COUNTIFS(TRAINING!B12:B5000,"&gt;=04/01/2020",TRAINING!B12:B5000,"&lt;=06/30/2020",TRAINING!D12:D5000,"Evidence Based Training (EBT)",TRAINING!AY12:AY5000,"YES")</f>
        <v>0</v>
      </c>
      <c r="AZ33" s="1641"/>
      <c r="BA33" s="1641"/>
      <c r="BB33" s="1641"/>
      <c r="BC33" s="1642">
        <f>COUNTIFS(TRAINING!B12:B5000,"&gt;=07/01/2021",TRAINING!B12:B5000,"&lt;=09/30/2021",TRAINING!D12:D5000,"Evidence Based Training (EBT)",TRAINING!AY12:AY5000,"YES")</f>
        <v>0</v>
      </c>
      <c r="BD33" s="1642"/>
      <c r="BE33" s="1642"/>
      <c r="BF33" s="1642"/>
      <c r="BG33" s="1635">
        <f>COUNTIFS(TRAINING!B12:B5000,"&gt;=10/01/2021",TRAINING!B12:B5000,"&lt;=12/31/2021",TRAINING!D12:D5000,"Evidence Based Training (EBT)",TRAINING!AY12:AY5000,"YES")</f>
        <v>0</v>
      </c>
      <c r="BH33" s="1635"/>
      <c r="BI33" s="1635"/>
      <c r="BJ33" s="1635"/>
      <c r="BK33" s="1636">
        <f>COUNTIFS(TRAINING!B12:B5000,"&gt;=01/01/2022",TRAINING!B12:B5000,"&lt;=03/31/2022",TRAINING!D12:D5000,"Evidence Based Training (EBT)",TRAINING!AY12:AY5000,"YES")</f>
        <v>0</v>
      </c>
      <c r="BL33" s="1636"/>
      <c r="BM33" s="1636"/>
      <c r="BN33" s="1636"/>
      <c r="BO33" s="1635">
        <f>COUNTIFS(TRAINING!B12:B5000,"&gt;=04/01/2022",TRAINING!B12:B5000,"&lt;=06/30/2022",TRAINING!D12:D5000,"Evidence Based Training (EBT)",TRAINING!AY12:AY5000,"YES")</f>
        <v>0</v>
      </c>
      <c r="BP33" s="1635"/>
      <c r="BQ33" s="1635"/>
      <c r="BR33" s="1635"/>
      <c r="BS33" s="1636">
        <f>COUNTIFS(TRAINING!B12:B5000,"&gt;=07/01/2022",TRAINING!B12:B5000,"&lt;=09/30/2022",TRAINING!D12:D5000,"Evidence Based Training (EBT)",TRAINING!AY12:AY5000,"YES")</f>
        <v>0</v>
      </c>
      <c r="BT33" s="1636"/>
      <c r="BU33" s="1636"/>
      <c r="BV33" s="1636"/>
      <c r="BW33" s="277"/>
    </row>
    <row r="34" spans="1:75" x14ac:dyDescent="0.25">
      <c r="A34" s="1619"/>
      <c r="B34" s="1619"/>
      <c r="C34" s="1619"/>
      <c r="D34" s="1619"/>
      <c r="E34" s="1619"/>
      <c r="F34" s="1619"/>
      <c r="G34" s="1619"/>
      <c r="H34" s="1619"/>
      <c r="I34" s="1586"/>
      <c r="J34" s="1586"/>
      <c r="K34" s="1586"/>
      <c r="L34" s="1586"/>
      <c r="M34" s="1621"/>
      <c r="N34" s="1592"/>
      <c r="O34" s="1592"/>
      <c r="P34" s="1592"/>
      <c r="Q34" s="1592"/>
      <c r="R34" s="1622"/>
      <c r="S34" s="1623"/>
      <c r="T34" s="1623"/>
      <c r="U34" s="1623"/>
      <c r="V34" s="1623"/>
      <c r="W34" s="1660"/>
      <c r="X34" s="1660"/>
      <c r="Y34" s="1660"/>
      <c r="Z34" s="1660"/>
      <c r="AA34" s="1590"/>
      <c r="AB34" s="1590"/>
      <c r="AC34" s="1590"/>
      <c r="AD34" s="1590"/>
      <c r="AE34" s="1661"/>
      <c r="AF34" s="1661"/>
      <c r="AG34" s="1661"/>
      <c r="AH34" s="1661"/>
      <c r="AI34" s="1654"/>
      <c r="AJ34" s="1654"/>
      <c r="AK34" s="1654"/>
      <c r="AL34" s="1654"/>
      <c r="AM34" s="1586"/>
      <c r="AN34" s="1586"/>
      <c r="AO34" s="1586"/>
      <c r="AP34" s="1586"/>
      <c r="AQ34" s="1641"/>
      <c r="AR34" s="1641"/>
      <c r="AS34" s="1641"/>
      <c r="AT34" s="1641"/>
      <c r="AU34" s="1642"/>
      <c r="AV34" s="1642"/>
      <c r="AW34" s="1642"/>
      <c r="AX34" s="1642"/>
      <c r="AY34" s="1641"/>
      <c r="AZ34" s="1641"/>
      <c r="BA34" s="1641"/>
      <c r="BB34" s="1641"/>
      <c r="BC34" s="1642"/>
      <c r="BD34" s="1642"/>
      <c r="BE34" s="1642"/>
      <c r="BF34" s="1642"/>
      <c r="BG34" s="1635"/>
      <c r="BH34" s="1635"/>
      <c r="BI34" s="1635"/>
      <c r="BJ34" s="1635"/>
      <c r="BK34" s="1636"/>
      <c r="BL34" s="1636"/>
      <c r="BM34" s="1636"/>
      <c r="BN34" s="1636"/>
      <c r="BO34" s="1635"/>
      <c r="BP34" s="1635"/>
      <c r="BQ34" s="1635"/>
      <c r="BR34" s="1635"/>
      <c r="BS34" s="1636"/>
      <c r="BT34" s="1636"/>
      <c r="BU34" s="1636"/>
      <c r="BV34" s="1636"/>
      <c r="BW34" s="277"/>
    </row>
    <row r="35" spans="1:75" ht="15.75" x14ac:dyDescent="0.25">
      <c r="A35" s="1657" t="s">
        <v>390</v>
      </c>
      <c r="B35" s="1658"/>
      <c r="C35" s="1658"/>
      <c r="D35" s="1658"/>
      <c r="E35" s="1658"/>
      <c r="F35" s="1658"/>
      <c r="G35" s="1658"/>
      <c r="H35" s="1658"/>
      <c r="I35" s="1658"/>
      <c r="J35" s="1658"/>
      <c r="K35" s="1658"/>
      <c r="L35" s="1658"/>
      <c r="M35" s="1658"/>
      <c r="N35" s="1658"/>
      <c r="O35" s="1658"/>
      <c r="P35" s="1658"/>
      <c r="Q35" s="1658"/>
      <c r="R35" s="1658"/>
      <c r="S35" s="1658"/>
      <c r="T35" s="1658"/>
      <c r="U35" s="1658"/>
      <c r="V35" s="1659"/>
      <c r="W35" s="1632">
        <f>SUM(W22:W34)</f>
        <v>0</v>
      </c>
      <c r="X35" s="1632"/>
      <c r="Y35" s="1632"/>
      <c r="Z35" s="1632"/>
      <c r="AA35" s="1550">
        <f>SUM(AA22:AA34)</f>
        <v>0</v>
      </c>
      <c r="AB35" s="1550"/>
      <c r="AC35" s="1550"/>
      <c r="AD35" s="1550"/>
      <c r="AE35" s="1664">
        <f>SUM(AE22:AE34)</f>
        <v>0</v>
      </c>
      <c r="AF35" s="1664"/>
      <c r="AG35" s="1664"/>
      <c r="AH35" s="1664"/>
      <c r="AI35" s="1633">
        <f>SUM(AI22:AI34)</f>
        <v>0</v>
      </c>
      <c r="AJ35" s="1633"/>
      <c r="AK35" s="1633"/>
      <c r="AL35" s="1633"/>
      <c r="AM35" s="1665">
        <f>SUM(AM22:AM34)</f>
        <v>0</v>
      </c>
      <c r="AN35" s="1665"/>
      <c r="AO35" s="1665"/>
      <c r="AP35" s="1665"/>
      <c r="AQ35" s="1662">
        <f>SUM(AQ22:AQ34)</f>
        <v>0</v>
      </c>
      <c r="AR35" s="1662"/>
      <c r="AS35" s="1662"/>
      <c r="AT35" s="1662"/>
      <c r="AU35" s="1663">
        <f>SUM(AU22:AU34)</f>
        <v>0</v>
      </c>
      <c r="AV35" s="1663"/>
      <c r="AW35" s="1663"/>
      <c r="AX35" s="1663"/>
      <c r="AY35" s="1662">
        <f>SUM(AY22:AY34)</f>
        <v>0</v>
      </c>
      <c r="AZ35" s="1662"/>
      <c r="BA35" s="1662"/>
      <c r="BB35" s="1662"/>
      <c r="BC35" s="1663">
        <f>SUM(BC22:BC34)</f>
        <v>0</v>
      </c>
      <c r="BD35" s="1663"/>
      <c r="BE35" s="1663"/>
      <c r="BF35" s="1663"/>
      <c r="BG35" s="1655">
        <f>SUM(BG22:BG34)</f>
        <v>0</v>
      </c>
      <c r="BH35" s="1655"/>
      <c r="BI35" s="1655"/>
      <c r="BJ35" s="1655"/>
      <c r="BK35" s="1656">
        <f>SUM(BK22:BK34)</f>
        <v>0</v>
      </c>
      <c r="BL35" s="1656"/>
      <c r="BM35" s="1656"/>
      <c r="BN35" s="1656"/>
      <c r="BO35" s="1655">
        <f>SUM(BO22:BO34)</f>
        <v>0</v>
      </c>
      <c r="BP35" s="1655"/>
      <c r="BQ35" s="1655"/>
      <c r="BR35" s="1655"/>
      <c r="BS35" s="1656">
        <f>SUM(BS22:BS34)</f>
        <v>0</v>
      </c>
      <c r="BT35" s="1656"/>
      <c r="BU35" s="1656"/>
      <c r="BV35" s="1656"/>
      <c r="BW35" s="277"/>
    </row>
    <row r="36" spans="1:75" x14ac:dyDescent="0.25">
      <c r="A36" s="277"/>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row>
    <row r="37" spans="1:75" ht="18.75" x14ac:dyDescent="0.25">
      <c r="A37" s="1713" t="s">
        <v>835</v>
      </c>
      <c r="B37" s="1714"/>
      <c r="C37" s="1714"/>
      <c r="D37" s="1714"/>
      <c r="E37" s="1714"/>
      <c r="F37" s="1714"/>
      <c r="G37" s="1714"/>
      <c r="H37" s="1714"/>
      <c r="I37" s="1714"/>
      <c r="J37" s="1714"/>
      <c r="K37" s="1714"/>
      <c r="L37" s="1714"/>
      <c r="M37" s="1714"/>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c r="AN37" s="1714"/>
      <c r="AO37" s="1714"/>
      <c r="AP37" s="276"/>
      <c r="AQ37" s="276"/>
      <c r="AR37" s="276"/>
      <c r="AS37" s="276"/>
      <c r="AT37" s="276"/>
      <c r="AU37" s="276"/>
      <c r="AV37" s="276"/>
      <c r="AW37" s="276"/>
      <c r="AX37" s="276"/>
      <c r="AY37" s="276"/>
      <c r="AZ37" s="276"/>
      <c r="BA37" s="276"/>
      <c r="BB37" s="276"/>
      <c r="BC37" s="274" t="s">
        <v>838</v>
      </c>
      <c r="BD37" s="274"/>
      <c r="BE37" s="274"/>
      <c r="BF37" s="274"/>
      <c r="BG37" s="274"/>
      <c r="BH37" s="274"/>
      <c r="BI37" s="274"/>
      <c r="BJ37" s="274"/>
      <c r="BK37" s="274"/>
      <c r="BL37" s="274"/>
      <c r="BM37" s="274"/>
      <c r="BN37" s="274"/>
      <c r="BO37" s="274"/>
      <c r="BP37" s="274"/>
      <c r="BQ37" s="274"/>
      <c r="BR37" s="274"/>
      <c r="BS37" s="274"/>
      <c r="BT37" s="274"/>
      <c r="BU37" s="274"/>
      <c r="BV37" s="275"/>
      <c r="BW37" s="277"/>
    </row>
    <row r="38" spans="1:75" x14ac:dyDescent="0.25">
      <c r="A38" s="1704" t="s">
        <v>810</v>
      </c>
      <c r="B38" s="1704"/>
      <c r="C38" s="1704"/>
      <c r="D38" s="1704"/>
      <c r="E38" s="1704"/>
      <c r="F38" s="1704"/>
      <c r="G38" s="1704"/>
      <c r="H38" s="1704"/>
      <c r="I38" s="1704" t="s">
        <v>803</v>
      </c>
      <c r="J38" s="1704"/>
      <c r="K38" s="1704"/>
      <c r="L38" s="1704"/>
      <c r="M38" s="1705" t="s">
        <v>804</v>
      </c>
      <c r="N38" s="1705"/>
      <c r="O38" s="1705"/>
      <c r="P38" s="1705"/>
      <c r="Q38" s="1705"/>
      <c r="R38" s="1706" t="s">
        <v>805</v>
      </c>
      <c r="S38" s="1707"/>
      <c r="T38" s="1707"/>
      <c r="U38" s="1707"/>
      <c r="V38" s="1708"/>
      <c r="W38" s="1709" t="s">
        <v>829</v>
      </c>
      <c r="X38" s="1709"/>
      <c r="Y38" s="1709"/>
      <c r="Z38" s="1709"/>
      <c r="AA38" s="977" t="s">
        <v>839</v>
      </c>
      <c r="AB38" s="977"/>
      <c r="AC38" s="977"/>
      <c r="AD38" s="977"/>
      <c r="AE38" s="1683" t="s">
        <v>840</v>
      </c>
      <c r="AF38" s="1683"/>
      <c r="AG38" s="1683"/>
      <c r="AH38" s="1683"/>
      <c r="AI38" s="977" t="s">
        <v>849</v>
      </c>
      <c r="AJ38" s="977"/>
      <c r="AK38" s="977"/>
      <c r="AL38" s="977"/>
      <c r="AM38" s="1683" t="s">
        <v>841</v>
      </c>
      <c r="AN38" s="1683"/>
      <c r="AO38" s="1683"/>
      <c r="AP38" s="1683"/>
      <c r="AQ38" s="1681" t="s">
        <v>842</v>
      </c>
      <c r="AR38" s="1681"/>
      <c r="AS38" s="1681"/>
      <c r="AT38" s="1681"/>
      <c r="AU38" s="1682" t="s">
        <v>843</v>
      </c>
      <c r="AV38" s="1682"/>
      <c r="AW38" s="1682"/>
      <c r="AX38" s="1682"/>
      <c r="AY38" s="1681" t="s">
        <v>850</v>
      </c>
      <c r="AZ38" s="1681"/>
      <c r="BA38" s="1681"/>
      <c r="BB38" s="1681"/>
      <c r="BC38" s="1682" t="s">
        <v>844</v>
      </c>
      <c r="BD38" s="1682"/>
      <c r="BE38" s="1682"/>
      <c r="BF38" s="1682"/>
      <c r="BG38" s="1677" t="s">
        <v>845</v>
      </c>
      <c r="BH38" s="1677"/>
      <c r="BI38" s="1677"/>
      <c r="BJ38" s="1677"/>
      <c r="BK38" s="1676" t="s">
        <v>846</v>
      </c>
      <c r="BL38" s="1676"/>
      <c r="BM38" s="1676"/>
      <c r="BN38" s="1676"/>
      <c r="BO38" s="1677" t="s">
        <v>847</v>
      </c>
      <c r="BP38" s="1677"/>
      <c r="BQ38" s="1677"/>
      <c r="BR38" s="1677"/>
      <c r="BS38" s="1676" t="s">
        <v>848</v>
      </c>
      <c r="BT38" s="1676"/>
      <c r="BU38" s="1676"/>
      <c r="BV38" s="1676"/>
      <c r="BW38" s="277"/>
    </row>
    <row r="39" spans="1:75" x14ac:dyDescent="0.25">
      <c r="A39" s="1619" t="s">
        <v>811</v>
      </c>
      <c r="B39" s="1619"/>
      <c r="C39" s="1619"/>
      <c r="D39" s="1619"/>
      <c r="E39" s="1619"/>
      <c r="F39" s="1619"/>
      <c r="G39" s="1619"/>
      <c r="H39" s="1619"/>
      <c r="I39" s="1585">
        <f>'GRANTEE SET UP INFO &amp; DATE '!C11</f>
        <v>0</v>
      </c>
      <c r="J39" s="1585"/>
      <c r="K39" s="1585"/>
      <c r="L39" s="1585"/>
      <c r="M39" s="1591">
        <f>'GRANTEE SET UP INFO &amp; DATE '!F11</f>
        <v>0</v>
      </c>
      <c r="N39" s="1586"/>
      <c r="O39" s="1586"/>
      <c r="P39" s="1586"/>
      <c r="Q39" s="1586"/>
      <c r="R39" s="1591" t="e">
        <f>'GRANTEE SET UP INFO &amp; DATE '!#REF!</f>
        <v>#REF!</v>
      </c>
      <c r="S39" s="1586"/>
      <c r="T39" s="1586"/>
      <c r="U39" s="1586"/>
      <c r="V39" s="1586"/>
      <c r="W39" s="1647">
        <f>COUNTIFS(TRAINING!B12:B5000,"&gt;=07/01/2000",TRAINING!B12:B5000,"&lt;=09/30/2019",TRAINING!D12:D5000,"Both Mandatory and EBT",TRAINING!AN12:AN5000,"YES")</f>
        <v>0</v>
      </c>
      <c r="X39" s="1647"/>
      <c r="Y39" s="1647"/>
      <c r="Z39" s="1647"/>
      <c r="AA39" s="1588">
        <f>COUNTIFS(TRAINING!B12:B5000,"&gt;=10/01/2019",TRAINING!B12:B5000,"&lt;=12/31/2019",TRAINING!D12:D5000,"Both Mandatory and EBT",TRAINING!AN12:AN5000,"YES")</f>
        <v>0</v>
      </c>
      <c r="AB39" s="1588"/>
      <c r="AC39" s="1588"/>
      <c r="AD39" s="1588"/>
      <c r="AE39" s="1586">
        <f>COUNTIFS(TRAINING!B12:B5000,"&gt;=01/01/2020",TRAINING!B12:B5000,"&lt;=03/31/2020",TRAINING!D12:D5000,"Both Mandatory and EBT",TRAINING!AN12:AN5000,"YES")</f>
        <v>0</v>
      </c>
      <c r="AF39" s="1586"/>
      <c r="AG39" s="1586"/>
      <c r="AH39" s="1586"/>
      <c r="AI39" s="1588">
        <f>COUNTIFS(TRAINING!B12:B5000,"&gt;=04/01/2020",TRAINING!B12:B5000,"&lt;=06/30/2020",TRAINING!D12:D5000,"Both Mandatory and EBT",TRAINING!AN12:AN5000,"YES")</f>
        <v>0</v>
      </c>
      <c r="AJ39" s="1588"/>
      <c r="AK39" s="1588"/>
      <c r="AL39" s="1588"/>
      <c r="AM39" s="1586">
        <f>COUNTIFS(TRAINING!B12:B5000,"&gt;=07/01/2020",TRAINING!B12:B5000,"&lt;=09/30/2020",TRAINING!D12:D5000,"Both Mandatory and EBT",TRAINING!AN12:AN5000,"YES")</f>
        <v>0</v>
      </c>
      <c r="AN39" s="1586"/>
      <c r="AO39" s="1586"/>
      <c r="AP39" s="1586"/>
      <c r="AQ39" s="1641">
        <f>COUNTIFS(TRAINING!B12:B5000,"&gt;=10/01/2020",TRAINING!B12:B5000,"&lt;=12/31/2020",TRAINING!D12:D5000,"Both Mandatory and EBT",TRAINING!AN12:AN5000,"YES")</f>
        <v>0</v>
      </c>
      <c r="AR39" s="1641"/>
      <c r="AS39" s="1641"/>
      <c r="AT39" s="1641"/>
      <c r="AU39" s="1642">
        <f>COUNTIFS(TRAINING!B12:B5000,"&gt;=01/01/2021",TRAINING!B12:B5000,"&lt;=03/31/2021",TRAINING!D12:D5000,"Both Mandatory and EBT",TRAINING!AN12:AN5000,"YES")</f>
        <v>0</v>
      </c>
      <c r="AV39" s="1642"/>
      <c r="AW39" s="1642"/>
      <c r="AX39" s="1642"/>
      <c r="AY39" s="1641">
        <f>COUNTIFS(TRAINING!B12:B5000,"&gt;=04/01/2020",TRAINING!B12:B5000,"&lt;=06/30/2020",TRAINING!D12:D5000,"Both Mandatory and EBT",TRAINING!AN12:AN5000,"YES")</f>
        <v>0</v>
      </c>
      <c r="AZ39" s="1641"/>
      <c r="BA39" s="1641"/>
      <c r="BB39" s="1641"/>
      <c r="BC39" s="1642">
        <f>COUNTIFS(TRAINING!B12:B5000,"&gt;=07/01/2021",TRAINING!B12:B5000,"&lt;=09/30/2021",TRAINING!D12:D5000,"Both Mandatory and EBT",TRAINING!AN12:AN5000,"YES")</f>
        <v>0</v>
      </c>
      <c r="BD39" s="1642"/>
      <c r="BE39" s="1642"/>
      <c r="BF39" s="1642"/>
      <c r="BG39" s="1635">
        <f>COUNTIFS(TRAINING!B12:B5000,"&gt;=10/01/2021",TRAINING!B12:B5000,"&lt;=12/31/2021",TRAINING!D12:D5000,"Both Mandatory and EBT",TRAINING!AN12:AN5000,"YES")</f>
        <v>0</v>
      </c>
      <c r="BH39" s="1635"/>
      <c r="BI39" s="1635"/>
      <c r="BJ39" s="1635"/>
      <c r="BK39" s="1636">
        <f>COUNTIFS(TRAINING!B12:B5000,"&gt;=01/01/2022",TRAINING!B12:B5000,"&lt;=03/31/2022",TRAINING!D12:D5000,"Both Mandatory and EBT",TRAINING!AN12:AN5000,"YES")</f>
        <v>0</v>
      </c>
      <c r="BL39" s="1636"/>
      <c r="BM39" s="1636"/>
      <c r="BN39" s="1636"/>
      <c r="BO39" s="1635">
        <f>COUNTIFS(TRAINING!B12:B5000,"&gt;=04/01/2022",TRAINING!B12:B5000,"&lt;=06/30/2022",TRAINING!D12:D5000,"Both Mandatory and EBT",TRAINING!AN12:AN5000,"YES")</f>
        <v>0</v>
      </c>
      <c r="BP39" s="1635"/>
      <c r="BQ39" s="1635"/>
      <c r="BR39" s="1635"/>
      <c r="BS39" s="1636">
        <f>COUNTIFS(TRAINING!B12:B5000,"&gt;=07/01/2022",TRAINING!B12:B5000,"&lt;=09/30/2022",TRAINING!D12:D5000,"Both Mandatory and EBT",TRAINING!AN12:AN5000,"YES")</f>
        <v>0</v>
      </c>
      <c r="BT39" s="1636"/>
      <c r="BU39" s="1636"/>
      <c r="BV39" s="1636"/>
      <c r="BW39" s="277"/>
    </row>
    <row r="40" spans="1:75" x14ac:dyDescent="0.25">
      <c r="A40" s="1619" t="s">
        <v>812</v>
      </c>
      <c r="B40" s="1619"/>
      <c r="C40" s="1619"/>
      <c r="D40" s="1619"/>
      <c r="E40" s="1619"/>
      <c r="F40" s="1619"/>
      <c r="G40" s="1619"/>
      <c r="H40" s="1619"/>
      <c r="I40" s="1585">
        <f>'GRANTEE SET UP INFO &amp; DATE '!C12</f>
        <v>0</v>
      </c>
      <c r="J40" s="1585"/>
      <c r="K40" s="1585"/>
      <c r="L40" s="1585"/>
      <c r="M40" s="1591">
        <f>'GRANTEE SET UP INFO &amp; DATE '!F12</f>
        <v>0</v>
      </c>
      <c r="N40" s="1586"/>
      <c r="O40" s="1586"/>
      <c r="P40" s="1586"/>
      <c r="Q40" s="1586"/>
      <c r="R40" s="1591" t="e">
        <f>'GRANTEE SET UP INFO &amp; DATE '!#REF!</f>
        <v>#REF!</v>
      </c>
      <c r="S40" s="1586"/>
      <c r="T40" s="1586"/>
      <c r="U40" s="1586"/>
      <c r="V40" s="1586"/>
      <c r="W40" s="1647">
        <f>COUNTIFS(TRAINING!B12:B5000,"&gt;=07/01/2000",TRAINING!B12:B5000,"&lt;=09/30/2019",TRAINING!D12:D5000,"Both Mandatory and EBT",TRAINING!AO12:AO5000,"YES")</f>
        <v>0</v>
      </c>
      <c r="X40" s="1647"/>
      <c r="Y40" s="1647"/>
      <c r="Z40" s="1647"/>
      <c r="AA40" s="1588">
        <f>COUNTIFS(TRAINING!B12:B5000,"&gt;=10/01/2019",TRAINING!B12:B5000,"&lt;=12/31/2019",TRAINING!D12:D5000,"Both Mandatory and EBT",TRAINING!AO12:AO5000,"YES")</f>
        <v>0</v>
      </c>
      <c r="AB40" s="1588"/>
      <c r="AC40" s="1588"/>
      <c r="AD40" s="1588"/>
      <c r="AE40" s="1586">
        <f>COUNTIFS(TRAINING!B12:B5000,"&gt;=01/01/2020",TRAINING!B12:B5000,"&lt;=03/31/2020",TRAINING!D12:D5000,"Both Mandatory and EBT",TRAINING!AO12:AO5000,"YES")</f>
        <v>0</v>
      </c>
      <c r="AF40" s="1586"/>
      <c r="AG40" s="1586"/>
      <c r="AH40" s="1586"/>
      <c r="AI40" s="1588">
        <f>COUNTIFS(TRAINING!B12:B5000,"&gt;=04/01/2020",TRAINING!B12:B5000,"&lt;=06/30/2020",TRAINING!D12:D5000,"Both Mandatory and EBT",TRAINING!AO12:AO5000,"YES")</f>
        <v>0</v>
      </c>
      <c r="AJ40" s="1588"/>
      <c r="AK40" s="1588"/>
      <c r="AL40" s="1588"/>
      <c r="AM40" s="1586">
        <f>COUNTIFS(TRAINING!B12:B5000,"&gt;=07/01/2020",TRAINING!B12:B5000,"&lt;=09/30/2020",TRAINING!D12:D5000,"Both Mandatory and EBT",TRAINING!AO12:AO5000,"YES")</f>
        <v>0</v>
      </c>
      <c r="AN40" s="1586"/>
      <c r="AO40" s="1586"/>
      <c r="AP40" s="1586"/>
      <c r="AQ40" s="1641">
        <f>COUNTIFS(TRAINING!B12:B5000,"&gt;=10/01/2020",TRAINING!B12:B5000,"&lt;=12/31/2020",TRAINING!D12:D5000,"Both Mandatory and EBT",TRAINING!AO12:AO5000,"YES")</f>
        <v>0</v>
      </c>
      <c r="AR40" s="1641"/>
      <c r="AS40" s="1641"/>
      <c r="AT40" s="1641"/>
      <c r="AU40" s="1642">
        <f>COUNTIFS(TRAINING!B12:B5000,"&gt;=01/01/2021",TRAINING!B12:B5000,"&lt;=03/31/2021",TRAINING!D12:D5000,"Both Mandatory and EBT",TRAINING!AO12:AO5000,"YES")</f>
        <v>0</v>
      </c>
      <c r="AV40" s="1642"/>
      <c r="AW40" s="1642"/>
      <c r="AX40" s="1642"/>
      <c r="AY40" s="1641">
        <f>COUNTIFS(TRAINING!B12:B5000,"&gt;=04/01/2020",TRAINING!B12:B5000,"&lt;=06/30/2020",TRAINING!D12:D5000,"Both Mandatory and EBT",TRAINING!AO12:AO5000,"YES")</f>
        <v>0</v>
      </c>
      <c r="AZ40" s="1641"/>
      <c r="BA40" s="1641"/>
      <c r="BB40" s="1641"/>
      <c r="BC40" s="1642">
        <f>COUNTIFS(TRAINING!B12:B5000,"&gt;=07/01/2021",TRAINING!B12:B5000,"&lt;=09/30/2021",TRAINING!D12:D5000,"Both Mandatory and EBT",TRAINING!AO12:AO5000,"YES")</f>
        <v>0</v>
      </c>
      <c r="BD40" s="1642"/>
      <c r="BE40" s="1642"/>
      <c r="BF40" s="1642"/>
      <c r="BG40" s="1635">
        <f>COUNTIFS(TRAINING!B12:B5000,"&gt;=10/01/2021",TRAINING!B12:B5000,"&lt;=12/31/2021",TRAINING!D12:D5000,"Both Mandatory and EBT",TRAINING!AO12:AO5000,"YES")</f>
        <v>0</v>
      </c>
      <c r="BH40" s="1635"/>
      <c r="BI40" s="1635"/>
      <c r="BJ40" s="1635"/>
      <c r="BK40" s="1636">
        <f>COUNTIFS(TRAINING!B12:B5000,"&gt;=01/01/2022",TRAINING!B12:B5000,"&lt;=03/31/2022",TRAINING!D12:D5000,"Both Mandatory and EBT",TRAINING!AO12:AO5000,"YES")</f>
        <v>0</v>
      </c>
      <c r="BL40" s="1636"/>
      <c r="BM40" s="1636"/>
      <c r="BN40" s="1636"/>
      <c r="BO40" s="1635">
        <f>COUNTIFS(TRAINING!B12:B5000,"&gt;=04/01/2022",TRAINING!B12:B5000,"&lt;=06/30/2022",TRAINING!D12:D5000,"Both Mandatory and EBT",TRAINING!AO12:AO5000,"YES")</f>
        <v>0</v>
      </c>
      <c r="BP40" s="1635"/>
      <c r="BQ40" s="1635"/>
      <c r="BR40" s="1635"/>
      <c r="BS40" s="1636">
        <f>COUNTIFS(TRAINING!B12:B5000,"&gt;=07/01/2022",TRAINING!B12:B5000,"&lt;=09/30/2022",TRAINING!D12:D5000,"Both Mandatory and EBT",TRAINING!AO12:AO5000,"YES")</f>
        <v>0</v>
      </c>
      <c r="BT40" s="1636"/>
      <c r="BU40" s="1636"/>
      <c r="BV40" s="1636"/>
      <c r="BW40" s="277"/>
    </row>
    <row r="41" spans="1:75" x14ac:dyDescent="0.25">
      <c r="A41" s="1619" t="s">
        <v>813</v>
      </c>
      <c r="B41" s="1619"/>
      <c r="C41" s="1619"/>
      <c r="D41" s="1619"/>
      <c r="E41" s="1619"/>
      <c r="F41" s="1619"/>
      <c r="G41" s="1619"/>
      <c r="H41" s="1619"/>
      <c r="I41" s="1585">
        <f>'GRANTEE SET UP INFO &amp; DATE '!C13</f>
        <v>0</v>
      </c>
      <c r="J41" s="1585"/>
      <c r="K41" s="1585"/>
      <c r="L41" s="1585"/>
      <c r="M41" s="1591">
        <f>'GRANTEE SET UP INFO &amp; DATE '!F13</f>
        <v>0</v>
      </c>
      <c r="N41" s="1586"/>
      <c r="O41" s="1586"/>
      <c r="P41" s="1586"/>
      <c r="Q41" s="1586"/>
      <c r="R41" s="1591" t="e">
        <f>'GRANTEE SET UP INFO &amp; DATE '!#REF!</f>
        <v>#REF!</v>
      </c>
      <c r="S41" s="1586"/>
      <c r="T41" s="1586"/>
      <c r="U41" s="1586"/>
      <c r="V41" s="1586"/>
      <c r="W41" s="1647">
        <f>COUNTIFS(TRAINING!B12:B5000,"&gt;=07/01/2000",TRAINING!B12:B5000,"&lt;=09/30/2019",TRAINING!D12:D5000,"Both Mandatory and EBT",TRAINING!AP12:AP5000,"YES")</f>
        <v>0</v>
      </c>
      <c r="X41" s="1647"/>
      <c r="Y41" s="1647"/>
      <c r="Z41" s="1647"/>
      <c r="AA41" s="1588">
        <f>COUNTIFS(TRAINING!B12:B5000,"&gt;=10/01/2019",TRAINING!B12:B5000,"&lt;=12/31/2019",TRAINING!D12:D5000,"Both Mandatory and EBT",TRAINING!AP12:AP5000,"YES")</f>
        <v>0</v>
      </c>
      <c r="AB41" s="1588"/>
      <c r="AC41" s="1588"/>
      <c r="AD41" s="1588"/>
      <c r="AE41" s="1586">
        <f>COUNTIFS(TRAINING!B12:B5000,"&gt;=01/01/2020",TRAINING!B12:B5000,"&lt;=03/31/2020",TRAINING!D12:D5000,"Both Mandatory and EBT",TRAINING!AP12:AP5000,"YES")</f>
        <v>0</v>
      </c>
      <c r="AF41" s="1586"/>
      <c r="AG41" s="1586"/>
      <c r="AH41" s="1586"/>
      <c r="AI41" s="1588">
        <f>COUNTIFS(TRAINING!B12:B5000,"&gt;=04/01/2020",TRAINING!B12:B5000,"&lt;=06/30/2020",TRAINING!D12:D5000,"Both Mandatory and EBT",TRAINING!AP12:AP5000,"YES")</f>
        <v>0</v>
      </c>
      <c r="AJ41" s="1588"/>
      <c r="AK41" s="1588"/>
      <c r="AL41" s="1588"/>
      <c r="AM41" s="1586">
        <f>COUNTIFS(TRAINING!B12:B5000,"&gt;=07/01/2020",TRAINING!B12:B5000,"&lt;=09/30/2020",TRAINING!D12:D5000,"Both Mandatory and EBT",TRAINING!AP12:AP5000,"YES")</f>
        <v>0</v>
      </c>
      <c r="AN41" s="1586"/>
      <c r="AO41" s="1586"/>
      <c r="AP41" s="1586"/>
      <c r="AQ41" s="1641">
        <f>COUNTIFS(TRAINING!B12:B5000,"&gt;=10/01/2020",TRAINING!B12:B5000,"&lt;=12/31/2020",TRAINING!D12:D5000,"Both Mandatory and EBT",TRAINING!AP12:AP5000,"YES")</f>
        <v>0</v>
      </c>
      <c r="AR41" s="1641"/>
      <c r="AS41" s="1641"/>
      <c r="AT41" s="1641"/>
      <c r="AU41" s="1642">
        <f>COUNTIFS(TRAINING!B12:B5000,"&gt;=01/01/2021",TRAINING!B12:B5000,"&lt;=03/31/2021",TRAINING!D12:D5000,"Both Mandatory and EBT",TRAINING!AP12:AP5000,"YES")</f>
        <v>0</v>
      </c>
      <c r="AV41" s="1642"/>
      <c r="AW41" s="1642"/>
      <c r="AX41" s="1642"/>
      <c r="AY41" s="1641">
        <f>COUNTIFS(TRAINING!B12:B5000,"&gt;=04/01/2020",TRAINING!B12:B5000,"&lt;=06/30/2020",TRAINING!D12:D5000,"Both Mandatory and EBT",TRAINING!AP12:AP5000,"YES")</f>
        <v>0</v>
      </c>
      <c r="AZ41" s="1641"/>
      <c r="BA41" s="1641"/>
      <c r="BB41" s="1641"/>
      <c r="BC41" s="1642">
        <f>COUNTIFS(TRAINING!B12:B5000,"&gt;=07/01/2021",TRAINING!B12:B5000,"&lt;=09/30/2021",TRAINING!D12:D5000,"Both Mandatory and EBT",TRAINING!AP12:AP5000,"YES")</f>
        <v>0</v>
      </c>
      <c r="BD41" s="1642"/>
      <c r="BE41" s="1642"/>
      <c r="BF41" s="1642"/>
      <c r="BG41" s="1635">
        <f>COUNTIFS(TRAINING!B12:B5000,"&gt;=10/01/2021",TRAINING!B12:B5000,"&lt;=12/31/2021",TRAINING!D12:D5000,"Both Mandatory and EBT",TRAINING!AP12:AP5000,"YES")</f>
        <v>0</v>
      </c>
      <c r="BH41" s="1635"/>
      <c r="BI41" s="1635"/>
      <c r="BJ41" s="1635"/>
      <c r="BK41" s="1636">
        <f>COUNTIFS(TRAINING!B12:B5000,"&gt;=01/01/2022",TRAINING!B12:B5000,"&lt;=03/31/2022",TRAINING!D12:D5000,"Both Mandatory and EBT",TRAINING!AP12:AP5000,"YES")</f>
        <v>0</v>
      </c>
      <c r="BL41" s="1636"/>
      <c r="BM41" s="1636"/>
      <c r="BN41" s="1636"/>
      <c r="BO41" s="1635">
        <f>COUNTIFS(TRAINING!B12:B5000,"&gt;=04/01/2022",TRAINING!B12:B5000,"&lt;=06/30/2022",TRAINING!D12:D5000,"Both Mandatory and EBT",TRAINING!AP12:AP5000,"YES")</f>
        <v>0</v>
      </c>
      <c r="BP41" s="1635"/>
      <c r="BQ41" s="1635"/>
      <c r="BR41" s="1635"/>
      <c r="BS41" s="1636">
        <f>COUNTIFS(TRAINING!B12:B5000,"&gt;=07/01/2022",TRAINING!B12:B5000,"&lt;=09/30/2022",TRAINING!D12:D5000,"Both Mandatory and EBT",TRAINING!AP12:AP5000,"YES")</f>
        <v>0</v>
      </c>
      <c r="BT41" s="1636"/>
      <c r="BU41" s="1636"/>
      <c r="BV41" s="1636"/>
      <c r="BW41" s="277"/>
    </row>
    <row r="42" spans="1:75" x14ac:dyDescent="0.25">
      <c r="A42" s="1619" t="s">
        <v>814</v>
      </c>
      <c r="B42" s="1619"/>
      <c r="C42" s="1619"/>
      <c r="D42" s="1619"/>
      <c r="E42" s="1619"/>
      <c r="F42" s="1619"/>
      <c r="G42" s="1619"/>
      <c r="H42" s="1619"/>
      <c r="I42" s="1585">
        <f>'GRANTEE SET UP INFO &amp; DATE '!C14</f>
        <v>0</v>
      </c>
      <c r="J42" s="1585"/>
      <c r="K42" s="1585"/>
      <c r="L42" s="1585"/>
      <c r="M42" s="1591">
        <f>'GRANTEE SET UP INFO &amp; DATE '!F14</f>
        <v>0</v>
      </c>
      <c r="N42" s="1586"/>
      <c r="O42" s="1586"/>
      <c r="P42" s="1586"/>
      <c r="Q42" s="1586"/>
      <c r="R42" s="1591" t="e">
        <f>'GRANTEE SET UP INFO &amp; DATE '!#REF!</f>
        <v>#REF!</v>
      </c>
      <c r="S42" s="1586"/>
      <c r="T42" s="1586"/>
      <c r="U42" s="1586"/>
      <c r="V42" s="1586"/>
      <c r="W42" s="1647">
        <f>COUNTIFS(TRAINING!B12:B5000,"&gt;=07/01/2000",TRAINING!B12:B5000,"&lt;=09/30/2019",TRAINING!D12:D5000,"Both Mandatory and EBT",TRAINING!AQ12:AQ5000,"YES")</f>
        <v>0</v>
      </c>
      <c r="X42" s="1647"/>
      <c r="Y42" s="1647"/>
      <c r="Z42" s="1647"/>
      <c r="AA42" s="1588">
        <f>COUNTIFS(TRAINING!B12:B5000,"&gt;=10/01/2019",TRAINING!B12:B5000,"&lt;=12/31/2019",TRAINING!D12:D5000,"Both Mandatory and EBT",TRAINING!AQ12:AQ5000,"YES")</f>
        <v>0</v>
      </c>
      <c r="AB42" s="1588"/>
      <c r="AC42" s="1588"/>
      <c r="AD42" s="1588"/>
      <c r="AE42" s="1586">
        <f>COUNTIFS(TRAINING!B12:B5000,"&gt;=01/01/2020",TRAINING!B12:B5000,"&lt;=03/31/2020",TRAINING!D12:D5000,"Both Mandatory and EBT",TRAINING!AQ12:AQ5000,"YES")</f>
        <v>0</v>
      </c>
      <c r="AF42" s="1586"/>
      <c r="AG42" s="1586"/>
      <c r="AH42" s="1586"/>
      <c r="AI42" s="1588">
        <f>COUNTIFS(TRAINING!B12:B5000,"&gt;=04/01/2020",TRAINING!B12:B5000,"&lt;=06/30/2020",TRAINING!D12:D5000,"Both Mandatory and EBT",TRAINING!AQ12:AQ5000,"YES")</f>
        <v>0</v>
      </c>
      <c r="AJ42" s="1588"/>
      <c r="AK42" s="1588"/>
      <c r="AL42" s="1588"/>
      <c r="AM42" s="1586">
        <f>COUNTIFS(TRAINING!B12:B5000,"&gt;=07/01/2020",TRAINING!B12:B5000,"&lt;=09/30/2020",TRAINING!D12:D5000,"Both Mandatory and EBT",TRAINING!AQ12:AQ5000,"YES")</f>
        <v>0</v>
      </c>
      <c r="AN42" s="1586"/>
      <c r="AO42" s="1586"/>
      <c r="AP42" s="1586"/>
      <c r="AQ42" s="1641">
        <f>COUNTIFS(TRAINING!B12:B5000,"&gt;=10/01/2020",TRAINING!B12:B5000,"&lt;=12/31/2020",TRAINING!D12:D5000,"Both Mandatory and EBT",TRAINING!AQ12:AQ5000,"YES")</f>
        <v>0</v>
      </c>
      <c r="AR42" s="1641"/>
      <c r="AS42" s="1641"/>
      <c r="AT42" s="1641"/>
      <c r="AU42" s="1642">
        <f>COUNTIFS(TRAINING!B12:B5000,"&gt;=01/01/2021",TRAINING!B12:B5000,"&lt;=03/31/2021",TRAINING!D12:D5000,"Both Mandatory and EBT",TRAINING!AQ12:AQ5000,"YES")</f>
        <v>0</v>
      </c>
      <c r="AV42" s="1642"/>
      <c r="AW42" s="1642"/>
      <c r="AX42" s="1642"/>
      <c r="AY42" s="1641">
        <f>COUNTIFS(TRAINING!B12:B5000,"&gt;=04/01/2020",TRAINING!B12:B5000,"&lt;=06/30/2020",TRAINING!D12:D5000,"Both Mandatory and EBT",TRAINING!AQ12:AQ5000,"YES")</f>
        <v>0</v>
      </c>
      <c r="AZ42" s="1641"/>
      <c r="BA42" s="1641"/>
      <c r="BB42" s="1641"/>
      <c r="BC42" s="1642">
        <f>COUNTIFS(TRAINING!B12:B5000,"&gt;=07/01/2021",TRAINING!B12:B5000,"&lt;=09/30/2021",TRAINING!D12:D5000,"Both Mandatory and EBT",TRAINING!AQ12:AQ5000,"YES")</f>
        <v>0</v>
      </c>
      <c r="BD42" s="1642"/>
      <c r="BE42" s="1642"/>
      <c r="BF42" s="1642"/>
      <c r="BG42" s="1635">
        <f>COUNTIFS(TRAINING!B12:B5000,"&gt;=10/01/2021",TRAINING!B12:B5000,"&lt;=12/31/2021",TRAINING!D12:D5000,"Both Mandatory and EBT",TRAINING!AQ12:AQ5000,"YES")</f>
        <v>0</v>
      </c>
      <c r="BH42" s="1635"/>
      <c r="BI42" s="1635"/>
      <c r="BJ42" s="1635"/>
      <c r="BK42" s="1636">
        <f>COUNTIFS(TRAINING!B12:B5000,"&gt;=01/01/2022",TRAINING!B12:B5000,"&lt;=03/31/2022",TRAINING!D12:D5000,"Both Mandatory and EBT",TRAINING!AQ12:AQ5000,"YES")</f>
        <v>0</v>
      </c>
      <c r="BL42" s="1636"/>
      <c r="BM42" s="1636"/>
      <c r="BN42" s="1636"/>
      <c r="BO42" s="1635">
        <f>COUNTIFS(TRAINING!B12:B5000,"&gt;=04/01/2022",TRAINING!B12:B5000,"&lt;=06/30/2022",TRAINING!D12:D5000,"Both Mandatory and EBT",TRAINING!AQ12:AQ5000,"YES")</f>
        <v>0</v>
      </c>
      <c r="BP42" s="1635"/>
      <c r="BQ42" s="1635"/>
      <c r="BR42" s="1635"/>
      <c r="BS42" s="1636">
        <f>COUNTIFS(TRAINING!B12:B5000,"&gt;=07/01/2022",TRAINING!B12:B5000,"&lt;=09/30/2022",TRAINING!D12:D5000,"Both Mandatory and EBT",TRAINING!AQ12:AQ5000,"YES")</f>
        <v>0</v>
      </c>
      <c r="BT42" s="1636"/>
      <c r="BU42" s="1636"/>
      <c r="BV42" s="1636"/>
      <c r="BW42" s="277"/>
    </row>
    <row r="43" spans="1:75" x14ac:dyDescent="0.25">
      <c r="A43" s="1619" t="s">
        <v>815</v>
      </c>
      <c r="B43" s="1619"/>
      <c r="C43" s="1619"/>
      <c r="D43" s="1619"/>
      <c r="E43" s="1619"/>
      <c r="F43" s="1619"/>
      <c r="G43" s="1619"/>
      <c r="H43" s="1619"/>
      <c r="I43" s="1585">
        <f>'GRANTEE SET UP INFO &amp; DATE '!C15</f>
        <v>0</v>
      </c>
      <c r="J43" s="1585"/>
      <c r="K43" s="1585"/>
      <c r="L43" s="1585"/>
      <c r="M43" s="1591">
        <f>'GRANTEE SET UP INFO &amp; DATE '!F15</f>
        <v>0</v>
      </c>
      <c r="N43" s="1586"/>
      <c r="O43" s="1586"/>
      <c r="P43" s="1586"/>
      <c r="Q43" s="1586"/>
      <c r="R43" s="1591" t="e">
        <f>'GRANTEE SET UP INFO &amp; DATE '!#REF!</f>
        <v>#REF!</v>
      </c>
      <c r="S43" s="1586"/>
      <c r="T43" s="1586"/>
      <c r="U43" s="1586"/>
      <c r="V43" s="1586"/>
      <c r="W43" s="1647">
        <f>COUNTIFS(TRAINING!B12:B5000,"&gt;=07/01/2000",TRAINING!B12:B5000,"&lt;=09/30/2019",TRAINING!D12:D5000,"Both Mandatory and EBT",TRAINING!AR12:AR5000,"YES")</f>
        <v>0</v>
      </c>
      <c r="X43" s="1647"/>
      <c r="Y43" s="1647"/>
      <c r="Z43" s="1647"/>
      <c r="AA43" s="1588">
        <f>COUNTIFS(TRAINING!B12:B5000,"&gt;=10/01/2019",TRAINING!B12:B5000,"&lt;=12/31/2019",TRAINING!D12:D5000,"Both Mandatory and EBT",TRAINING!AR12:AR5000,"YES")</f>
        <v>0</v>
      </c>
      <c r="AB43" s="1588"/>
      <c r="AC43" s="1588"/>
      <c r="AD43" s="1588"/>
      <c r="AE43" s="1586">
        <f>COUNTIFS(TRAINING!B12:B5000,"&gt;=01/01/2020",TRAINING!B12:B5000,"&lt;=03/31/2020",TRAINING!D12:D5000,"Both Mandatory and EBT",TRAINING!AR12:AR5000,"YES")</f>
        <v>0</v>
      </c>
      <c r="AF43" s="1586"/>
      <c r="AG43" s="1586"/>
      <c r="AH43" s="1586"/>
      <c r="AI43" s="1588">
        <f>COUNTIFS(TRAINING!B12:B5000,"&gt;=04/01/2020",TRAINING!B12:B5000,"&lt;=06/30/2020",TRAINING!D12:D5000,"Both Mandatory and EBT",TRAINING!AR12:AR5000,"YES")</f>
        <v>0</v>
      </c>
      <c r="AJ43" s="1588"/>
      <c r="AK43" s="1588"/>
      <c r="AL43" s="1588"/>
      <c r="AM43" s="1586">
        <f>COUNTIFS(TRAINING!B12:B5000,"&gt;=07/01/2020",TRAINING!B12:B5000,"&lt;=09/30/2020",TRAINING!D12:D5000,"Both Mandatory and EBT",TRAINING!AR12:AR5000,"YES")</f>
        <v>0</v>
      </c>
      <c r="AN43" s="1586"/>
      <c r="AO43" s="1586"/>
      <c r="AP43" s="1586"/>
      <c r="AQ43" s="1641">
        <f>COUNTIFS(TRAINING!B12:B5000,"&gt;=10/01/2020",TRAINING!B12:B5000,"&lt;=12/31/2020",TRAINING!D12:D5000,"Both Mandatory and EBT",TRAINING!AR12:AR5000,"YES")</f>
        <v>0</v>
      </c>
      <c r="AR43" s="1641"/>
      <c r="AS43" s="1641"/>
      <c r="AT43" s="1641"/>
      <c r="AU43" s="1642">
        <f>COUNTIFS(TRAINING!B12:B5000,"&gt;=01/01/2021",TRAINING!B12:B5000,"&lt;=03/31/2021",TRAINING!D12:D5000,"Both Mandatory and EBT",TRAINING!AR12:AR5000,"YES")</f>
        <v>0</v>
      </c>
      <c r="AV43" s="1642"/>
      <c r="AW43" s="1642"/>
      <c r="AX43" s="1642"/>
      <c r="AY43" s="1641">
        <f>COUNTIFS(TRAINING!B12:B5000,"&gt;=04/01/2020",TRAINING!B12:B5000,"&lt;=06/30/2020",TRAINING!D12:D5000,"Both Mandatory and EBT",TRAINING!AR12:AR5000,"YES")</f>
        <v>0</v>
      </c>
      <c r="AZ43" s="1641"/>
      <c r="BA43" s="1641"/>
      <c r="BB43" s="1641"/>
      <c r="BC43" s="1642">
        <f>COUNTIFS(TRAINING!B12:B5000,"&gt;=07/01/2021",TRAINING!B12:B5000,"&lt;=09/30/2021",TRAINING!D12:D5000,"Both Mandatory and EBT",TRAINING!AR12:AR5000,"YES")</f>
        <v>0</v>
      </c>
      <c r="BD43" s="1642"/>
      <c r="BE43" s="1642"/>
      <c r="BF43" s="1642"/>
      <c r="BG43" s="1635">
        <f>COUNTIFS(TRAINING!B12:B5000,"&gt;=10/01/2021",TRAINING!B12:B5000,"&lt;=12/31/2021",TRAINING!D12:D5000,"Both Mandatory and EBT",TRAINING!AR12:AR5000,"YES")</f>
        <v>0</v>
      </c>
      <c r="BH43" s="1635"/>
      <c r="BI43" s="1635"/>
      <c r="BJ43" s="1635"/>
      <c r="BK43" s="1636">
        <f>COUNTIFS(TRAINING!B12:B5000,"&gt;=01/01/2022",TRAINING!B12:B5000,"&lt;=03/31/2022",TRAINING!D12:D5000,"Both Mandatory and EBT",TRAINING!AR12:AR5000,"YES")</f>
        <v>0</v>
      </c>
      <c r="BL43" s="1636"/>
      <c r="BM43" s="1636"/>
      <c r="BN43" s="1636"/>
      <c r="BO43" s="1635">
        <f>COUNTIFS(TRAINING!B12:B5000,"&gt;=04/01/2022",TRAINING!B12:B5000,"&lt;=06/30/2022",TRAINING!D12:D5000,"Both Mandatory and EBT",TRAINING!AR12:AR5000,"YES")</f>
        <v>0</v>
      </c>
      <c r="BP43" s="1635"/>
      <c r="BQ43" s="1635"/>
      <c r="BR43" s="1635"/>
      <c r="BS43" s="1636">
        <f>COUNTIFS(TRAINING!B12:B5000,"&gt;=07/01/2022",TRAINING!B12:B5000,"&lt;=09/30/2022",TRAINING!D12:D5000,"Both Mandatory and EBT",TRAINING!AR12:AR5000,"YES")</f>
        <v>0</v>
      </c>
      <c r="BT43" s="1636"/>
      <c r="BU43" s="1636"/>
      <c r="BV43" s="1636"/>
      <c r="BW43" s="277"/>
    </row>
    <row r="44" spans="1:75" x14ac:dyDescent="0.25">
      <c r="A44" s="1619" t="s">
        <v>816</v>
      </c>
      <c r="B44" s="1619"/>
      <c r="C44" s="1619"/>
      <c r="D44" s="1619"/>
      <c r="E44" s="1619"/>
      <c r="F44" s="1619"/>
      <c r="G44" s="1619"/>
      <c r="H44" s="1619"/>
      <c r="I44" s="1585">
        <f>'GRANTEE SET UP INFO &amp; DATE '!C16</f>
        <v>0</v>
      </c>
      <c r="J44" s="1585"/>
      <c r="K44" s="1585"/>
      <c r="L44" s="1585"/>
      <c r="M44" s="1591">
        <f>'GRANTEE SET UP INFO &amp; DATE '!F16</f>
        <v>0</v>
      </c>
      <c r="N44" s="1586"/>
      <c r="O44" s="1586"/>
      <c r="P44" s="1586"/>
      <c r="Q44" s="1586"/>
      <c r="R44" s="1591" t="e">
        <f>'GRANTEE SET UP INFO &amp; DATE '!#REF!</f>
        <v>#REF!</v>
      </c>
      <c r="S44" s="1586"/>
      <c r="T44" s="1586"/>
      <c r="U44" s="1586"/>
      <c r="V44" s="1586"/>
      <c r="W44" s="1647">
        <f>COUNTIFS(TRAINING!B12:B5000,"&gt;=07/01/2000",TRAINING!B12:B5000,"&lt;=09/30/2019",TRAINING!D12:D5000,"Both Mandatory and EBT",TRAINING!AS12:AS5000,"YES")</f>
        <v>0</v>
      </c>
      <c r="X44" s="1647"/>
      <c r="Y44" s="1647"/>
      <c r="Z44" s="1647"/>
      <c r="AA44" s="1588">
        <f>COUNTIFS(TRAINING!B12:B5000,"&gt;=10/01/2019",TRAINING!B12:B5000,"&lt;=12/31/2019",TRAINING!D12:D5000,"Both Mandatory and EBT",TRAINING!AS12:AS5000,"YES")</f>
        <v>0</v>
      </c>
      <c r="AB44" s="1588"/>
      <c r="AC44" s="1588"/>
      <c r="AD44" s="1588"/>
      <c r="AE44" s="1586">
        <f>COUNTIFS(TRAINING!B12:B5000,"&gt;=01/01/2020",TRAINING!B12:B5000,"&lt;=03/31/2020",TRAINING!D12:D5000,"Both Mandatory and EBT",TRAINING!AS12:AS5000,"YES")</f>
        <v>0</v>
      </c>
      <c r="AF44" s="1586"/>
      <c r="AG44" s="1586"/>
      <c r="AH44" s="1586"/>
      <c r="AI44" s="1588">
        <f>COUNTIFS(TRAINING!B12:B5000,"&gt;=04/01/2020",TRAINING!B12:B5000,"&lt;=06/30/2020",TRAINING!D12:D5000,"Both Mandatory and EBT",TRAINING!AS12:AS5000,"YES")</f>
        <v>0</v>
      </c>
      <c r="AJ44" s="1588"/>
      <c r="AK44" s="1588"/>
      <c r="AL44" s="1588"/>
      <c r="AM44" s="1586">
        <f>COUNTIFS(TRAINING!B12:B5000,"&gt;=07/01/2020",TRAINING!B12:B5000,"&lt;=09/30/2020",TRAINING!D12:D5000,"Both Mandatory and EBT",TRAINING!AS12:AS5000,"YES")</f>
        <v>0</v>
      </c>
      <c r="AN44" s="1586"/>
      <c r="AO44" s="1586"/>
      <c r="AP44" s="1586"/>
      <c r="AQ44" s="1641">
        <f>COUNTIFS(TRAINING!B12:B5000,"&gt;=10/01/2020",TRAINING!B12:B5000,"&lt;=12/31/2020",TRAINING!D12:D5000,"Both Mandatory and EBT",TRAINING!AS12:AS5000,"YES")</f>
        <v>0</v>
      </c>
      <c r="AR44" s="1641"/>
      <c r="AS44" s="1641"/>
      <c r="AT44" s="1641"/>
      <c r="AU44" s="1642">
        <f>COUNTIFS(TRAINING!B12:B5000,"&gt;=01/01/2021",TRAINING!B12:B5000,"&lt;=03/31/2021",TRAINING!D12:D5000,"Both Mandatory and EBT",TRAINING!AS12:AS5000,"YES")</f>
        <v>0</v>
      </c>
      <c r="AV44" s="1642"/>
      <c r="AW44" s="1642"/>
      <c r="AX44" s="1642"/>
      <c r="AY44" s="1641">
        <f>COUNTIFS(TRAINING!B12:B5000,"&gt;=04/01/2020",TRAINING!B12:B5000,"&lt;=06/30/2020",TRAINING!D12:D5000,"Both Mandatory and EBT",TRAINING!AS12:AS5000,"YES")</f>
        <v>0</v>
      </c>
      <c r="AZ44" s="1641"/>
      <c r="BA44" s="1641"/>
      <c r="BB44" s="1641"/>
      <c r="BC44" s="1642">
        <f>COUNTIFS(TRAINING!B12:B5000,"&gt;=07/01/2021",TRAINING!B12:B5000,"&lt;=09/30/2021",TRAINING!D12:D5000,"Both Mandatory and EBT",TRAINING!AS12:AS5000,"YES")</f>
        <v>0</v>
      </c>
      <c r="BD44" s="1642"/>
      <c r="BE44" s="1642"/>
      <c r="BF44" s="1642"/>
      <c r="BG44" s="1635">
        <f>COUNTIFS(TRAINING!B12:B5000,"&gt;=10/01/2021",TRAINING!B12:B5000,"&lt;=12/31/2021",TRAINING!D12:D5000,"Both Mandatory and EBT",TRAINING!AS12:AS5000,"YES")</f>
        <v>0</v>
      </c>
      <c r="BH44" s="1635"/>
      <c r="BI44" s="1635"/>
      <c r="BJ44" s="1635"/>
      <c r="BK44" s="1636">
        <f>COUNTIFS(TRAINING!B12:B5000,"&gt;=01/01/2022",TRAINING!B12:B5000,"&lt;=03/31/2022",TRAINING!D12:D5000,"Both Mandatory and EBT",TRAINING!AS12:AS5000,"YES")</f>
        <v>0</v>
      </c>
      <c r="BL44" s="1636"/>
      <c r="BM44" s="1636"/>
      <c r="BN44" s="1636"/>
      <c r="BO44" s="1635">
        <f>COUNTIFS(TRAINING!B12:B5000,"&gt;=04/01/2022",TRAINING!B12:B5000,"&lt;=06/30/2022",TRAINING!D12:D5000,"Both Mandatory and EBT",TRAINING!AS12:AS5000,"YES")</f>
        <v>0</v>
      </c>
      <c r="BP44" s="1635"/>
      <c r="BQ44" s="1635"/>
      <c r="BR44" s="1635"/>
      <c r="BS44" s="1636">
        <f>COUNTIFS(TRAINING!B12:B5000,"&gt;=07/01/2022",TRAINING!B12:B5000,"&lt;=09/30/2022",TRAINING!D12:D5000,"Both Mandatory and EBT",TRAINING!AS12:AS5000,"YES")</f>
        <v>0</v>
      </c>
      <c r="BT44" s="1636"/>
      <c r="BU44" s="1636"/>
      <c r="BV44" s="1636"/>
      <c r="BW44" s="277"/>
    </row>
    <row r="45" spans="1:75" x14ac:dyDescent="0.25">
      <c r="A45" s="1619" t="s">
        <v>817</v>
      </c>
      <c r="B45" s="1619"/>
      <c r="C45" s="1619"/>
      <c r="D45" s="1619"/>
      <c r="E45" s="1619"/>
      <c r="F45" s="1619"/>
      <c r="G45" s="1619"/>
      <c r="H45" s="1619"/>
      <c r="I45" s="1585">
        <f>'GRANTEE SET UP INFO &amp; DATE '!C17</f>
        <v>0</v>
      </c>
      <c r="J45" s="1585"/>
      <c r="K45" s="1585"/>
      <c r="L45" s="1585"/>
      <c r="M45" s="1591">
        <f>'GRANTEE SET UP INFO &amp; DATE '!F17</f>
        <v>0</v>
      </c>
      <c r="N45" s="1586"/>
      <c r="O45" s="1586"/>
      <c r="P45" s="1586"/>
      <c r="Q45" s="1586"/>
      <c r="R45" s="1591" t="e">
        <f>'GRANTEE SET UP INFO &amp; DATE '!#REF!</f>
        <v>#REF!</v>
      </c>
      <c r="S45" s="1586"/>
      <c r="T45" s="1586"/>
      <c r="U45" s="1586"/>
      <c r="V45" s="1586"/>
      <c r="W45" s="1647">
        <f>COUNTIFS(TRAINING!B12:B5000,"&gt;=07/01/2000",TRAINING!B12:B5000,"&lt;=09/30/2019",TRAINING!D12:D5000,"Both Mandatory and EBT",TRAINING!AT12:AT5000,"YES")</f>
        <v>0</v>
      </c>
      <c r="X45" s="1647"/>
      <c r="Y45" s="1647"/>
      <c r="Z45" s="1647"/>
      <c r="AA45" s="1588">
        <f>COUNTIFS(TRAINING!B12:B5000,"&gt;=10/01/2019",TRAINING!B12:B5000,"&lt;=12/31/2019",TRAINING!D12:D5000,"Both Mandatory and EBT",TRAINING!AT12:AT5000,"YES")</f>
        <v>0</v>
      </c>
      <c r="AB45" s="1588"/>
      <c r="AC45" s="1588"/>
      <c r="AD45" s="1588"/>
      <c r="AE45" s="1586">
        <f>COUNTIFS(TRAINING!B12:B5000,"&gt;=01/01/2020",TRAINING!B12:B5000,"&lt;=03/31/2020",TRAINING!D12:D5000,"Both Mandatory and EBT",TRAINING!AT12:AT5000,"YES")</f>
        <v>0</v>
      </c>
      <c r="AF45" s="1586"/>
      <c r="AG45" s="1586"/>
      <c r="AH45" s="1586"/>
      <c r="AI45" s="1588">
        <f>COUNTIFS(TRAINING!B12:B5000,"&gt;=04/01/2020",TRAINING!B12:B5000,"&lt;=06/30/2020",TRAINING!D12:D5000,"Both Mandatory and EBT",TRAINING!AT12:AT5000,"YES")</f>
        <v>0</v>
      </c>
      <c r="AJ45" s="1588"/>
      <c r="AK45" s="1588"/>
      <c r="AL45" s="1588"/>
      <c r="AM45" s="1586">
        <f>COUNTIFS(TRAINING!B12:B5000,"&gt;=07/01/2020",TRAINING!B12:B5000,"&lt;=09/30/2020",TRAINING!D12:D5000,"Both Mandatory and EBT",TRAINING!AT12:AT5000,"YES")</f>
        <v>0</v>
      </c>
      <c r="AN45" s="1586"/>
      <c r="AO45" s="1586"/>
      <c r="AP45" s="1586"/>
      <c r="AQ45" s="1641">
        <f>COUNTIFS(TRAINING!B12:B5000,"&gt;=10/01/2020",TRAINING!B12:B5000,"&lt;=12/31/2020",TRAINING!D12:D5000,"Both Mandatory and EBT",TRAINING!AT12:AT5000,"YES")</f>
        <v>0</v>
      </c>
      <c r="AR45" s="1641"/>
      <c r="AS45" s="1641"/>
      <c r="AT45" s="1641"/>
      <c r="AU45" s="1642">
        <f>COUNTIFS(TRAINING!B12:B5000,"&gt;=01/01/2021",TRAINING!B12:B5000,"&lt;=03/31/2021",TRAINING!D12:D5000,"Both Mandatory and EBT",TRAINING!AT12:AT5000,"YES")</f>
        <v>0</v>
      </c>
      <c r="AV45" s="1642"/>
      <c r="AW45" s="1642"/>
      <c r="AX45" s="1642"/>
      <c r="AY45" s="1641">
        <f>COUNTIFS(TRAINING!B12:B5000,"&gt;=04/01/2020",TRAINING!B12:B5000,"&lt;=06/30/2020",TRAINING!D12:D5000,"Both Mandatory and EBT",TRAINING!AT12:AT5000,"YES")</f>
        <v>0</v>
      </c>
      <c r="AZ45" s="1641"/>
      <c r="BA45" s="1641"/>
      <c r="BB45" s="1641"/>
      <c r="BC45" s="1642">
        <f>COUNTIFS(TRAINING!B12:B5000,"&gt;=07/01/2021",TRAINING!B12:B5000,"&lt;=09/30/2021",TRAINING!D12:D5000,"Both Mandatory and EBT",TRAINING!AT12:AT5000,"YES")</f>
        <v>0</v>
      </c>
      <c r="BD45" s="1642"/>
      <c r="BE45" s="1642"/>
      <c r="BF45" s="1642"/>
      <c r="BG45" s="1635">
        <f>COUNTIFS(TRAINING!B12:B5000,"&gt;=10/01/2021",TRAINING!B12:B5000,"&lt;=12/31/2021",TRAINING!D12:D5000,"Both Mandatory and EBT",TRAINING!AT12:AT5000,"YES")</f>
        <v>0</v>
      </c>
      <c r="BH45" s="1635"/>
      <c r="BI45" s="1635"/>
      <c r="BJ45" s="1635"/>
      <c r="BK45" s="1636">
        <f>COUNTIFS(TRAINING!B12:B5000,"&gt;=01/01/2022",TRAINING!B12:B5000,"&lt;=03/31/2022",TRAINING!D12:D5000,"Both Mandatory and EBT",TRAINING!AT12:AT5000,"YES")</f>
        <v>0</v>
      </c>
      <c r="BL45" s="1636"/>
      <c r="BM45" s="1636"/>
      <c r="BN45" s="1636"/>
      <c r="BO45" s="1635">
        <f>COUNTIFS(TRAINING!B12:B5000,"&gt;=04/01/2022",TRAINING!B12:B5000,"&lt;=06/30/2022",TRAINING!D12:D5000,"Both Mandatory and EBT",TRAINING!AT12:AT5000,"YES")</f>
        <v>0</v>
      </c>
      <c r="BP45" s="1635"/>
      <c r="BQ45" s="1635"/>
      <c r="BR45" s="1635"/>
      <c r="BS45" s="1636">
        <f>COUNTIFS(TRAINING!B12:B5000,"&gt;=07/01/2022",TRAINING!B12:B5000,"&lt;=09/30/2022",TRAINING!D12:D5000,"Both Mandatory and EBT",TRAINING!AT12:AT5000,"YES")</f>
        <v>0</v>
      </c>
      <c r="BT45" s="1636"/>
      <c r="BU45" s="1636"/>
      <c r="BV45" s="1636"/>
      <c r="BW45" s="277"/>
    </row>
    <row r="46" spans="1:75" x14ac:dyDescent="0.25">
      <c r="A46" s="1619" t="s">
        <v>818</v>
      </c>
      <c r="B46" s="1619"/>
      <c r="C46" s="1619"/>
      <c r="D46" s="1619"/>
      <c r="E46" s="1619"/>
      <c r="F46" s="1619"/>
      <c r="G46" s="1619"/>
      <c r="H46" s="1619"/>
      <c r="I46" s="1585">
        <f>'GRANTEE SET UP INFO &amp; DATE '!C18</f>
        <v>0</v>
      </c>
      <c r="J46" s="1585"/>
      <c r="K46" s="1585"/>
      <c r="L46" s="1585"/>
      <c r="M46" s="1591">
        <f>'GRANTEE SET UP INFO &amp; DATE '!F18</f>
        <v>0</v>
      </c>
      <c r="N46" s="1591"/>
      <c r="O46" s="1591"/>
      <c r="P46" s="1591"/>
      <c r="Q46" s="1591"/>
      <c r="R46" s="1591" t="e">
        <f>'GRANTEE SET UP INFO &amp; DATE '!#REF!</f>
        <v>#REF!</v>
      </c>
      <c r="S46" s="1591"/>
      <c r="T46" s="1591"/>
      <c r="U46" s="1591"/>
      <c r="V46" s="1591"/>
      <c r="W46" s="1647">
        <f>COUNTIFS(TRAINING!B12:B5000,"&gt;=07/01/2000",TRAINING!B12:B5000,"&lt;=09/30/2019",TRAINING!D12:D5000,"Both Mandatory and EBT",TRAINING!AU12:AU5000,"YES")</f>
        <v>0</v>
      </c>
      <c r="X46" s="1647"/>
      <c r="Y46" s="1647"/>
      <c r="Z46" s="1647"/>
      <c r="AA46" s="1588">
        <f>COUNTIFS(TRAINING!B12:B5000,"&gt;=10/01/2019",TRAINING!B12:B5000,"&lt;=12/31/2019",TRAINING!D12:D5000,"Both Mandatory and EBT",TRAINING!AU12:AU5000,"YES")</f>
        <v>0</v>
      </c>
      <c r="AB46" s="1588"/>
      <c r="AC46" s="1588"/>
      <c r="AD46" s="1588"/>
      <c r="AE46" s="1586">
        <f>COUNTIFS(TRAINING!B12:B5000,"&gt;=01/01/2020",TRAINING!B12:B5000,"&lt;=03/31/2020",TRAINING!D12:D5000,"Both Mandatory and EBT",TRAINING!AU12:AU5000,"YES")</f>
        <v>0</v>
      </c>
      <c r="AF46" s="1586"/>
      <c r="AG46" s="1586"/>
      <c r="AH46" s="1586"/>
      <c r="AI46" s="1588">
        <f>COUNTIFS(TRAINING!B12:B5000,"&gt;=04/01/2020",TRAINING!B12:B5000,"&lt;=06/30/2020",TRAINING!D12:D5000,"Both Mandatory and EBT",TRAINING!AU12:AU5000,"YES")</f>
        <v>0</v>
      </c>
      <c r="AJ46" s="1588"/>
      <c r="AK46" s="1588"/>
      <c r="AL46" s="1588"/>
      <c r="AM46" s="1586">
        <f>COUNTIFS(TRAINING!B12:B5000,"&gt;=07/01/2020",TRAINING!B12:B5000,"&lt;=09/30/2020",TRAINING!D12:D5000,"Both Mandatory and EBT",TRAINING!AU12:AU5000,"YES")</f>
        <v>0</v>
      </c>
      <c r="AN46" s="1586"/>
      <c r="AO46" s="1586"/>
      <c r="AP46" s="1586"/>
      <c r="AQ46" s="1641">
        <f>COUNTIFS(TRAINING!B12:B5000,"&gt;=10/01/2020",TRAINING!B12:B5000,"&lt;=12/31/2020",TRAINING!D12:D5000,"Both Mandatory and EBT",TRAINING!AU12:AU5000,"YES")</f>
        <v>0</v>
      </c>
      <c r="AR46" s="1641"/>
      <c r="AS46" s="1641"/>
      <c r="AT46" s="1641"/>
      <c r="AU46" s="1642">
        <f>COUNTIFS(TRAINING!B12:B5000,"&gt;=01/01/2021",TRAINING!B12:B5000,"&lt;=03/31/2021",TRAINING!D12:D5000,"Both Mandatory and EBT",TRAINING!AU12:AU5000,"YES")</f>
        <v>0</v>
      </c>
      <c r="AV46" s="1642"/>
      <c r="AW46" s="1642"/>
      <c r="AX46" s="1642"/>
      <c r="AY46" s="1641">
        <f>COUNTIFS(TRAINING!B12:B5000,"&gt;=04/01/2020",TRAINING!B12:B5000,"&lt;=06/30/2020",TRAINING!D12:D5000,"Both Mandatory and EBT",TRAINING!AU12:AU5000,"YES")</f>
        <v>0</v>
      </c>
      <c r="AZ46" s="1641"/>
      <c r="BA46" s="1641"/>
      <c r="BB46" s="1641"/>
      <c r="BC46" s="1642">
        <f>COUNTIFS(TRAINING!B12:B5000,"&gt;=07/01/2021",TRAINING!B12:B5000,"&lt;=09/30/2021",TRAINING!D12:D5000,"Both Mandatory and EBT",TRAINING!AU12:AU5000,"YES")</f>
        <v>0</v>
      </c>
      <c r="BD46" s="1642"/>
      <c r="BE46" s="1642"/>
      <c r="BF46" s="1642"/>
      <c r="BG46" s="1635">
        <f>COUNTIFS(TRAINING!B12:B5000,"&gt;=10/01/2021",TRAINING!B12:B5000,"&lt;=12/31/2021",TRAINING!D12:D5000,"Both Mandatory and EBT",TRAINING!AU12:AU5000,"YES")</f>
        <v>0</v>
      </c>
      <c r="BH46" s="1635"/>
      <c r="BI46" s="1635"/>
      <c r="BJ46" s="1635"/>
      <c r="BK46" s="1636">
        <f>COUNTIFS(TRAINING!B12:B5000,"&gt;=01/01/2022",TRAINING!B12:B5000,"&lt;=03/31/2022",TRAINING!D12:D5000,"Both Mandatory and EBT",TRAINING!AU12:AU5000,"YES")</f>
        <v>0</v>
      </c>
      <c r="BL46" s="1636"/>
      <c r="BM46" s="1636"/>
      <c r="BN46" s="1636"/>
      <c r="BO46" s="1635">
        <f>COUNTIFS(TRAINING!B12:B5000,"&gt;=04/01/2022",TRAINING!B12:B5000,"&lt;=06/30/2022",TRAINING!D12:D5000,"Both Mandatory and EBT",TRAINING!AU12:AU5000,"YES")</f>
        <v>0</v>
      </c>
      <c r="BP46" s="1635"/>
      <c r="BQ46" s="1635"/>
      <c r="BR46" s="1635"/>
      <c r="BS46" s="1636">
        <f>COUNTIFS(TRAINING!B12:B5000,"&gt;=07/01/2022",TRAINING!B12:B5000,"&lt;=09/30/2022",TRAINING!D12:D5000,"Both Mandatory and EBT",TRAINING!AU12:AU5000,"YES")</f>
        <v>0</v>
      </c>
      <c r="BT46" s="1636"/>
      <c r="BU46" s="1636"/>
      <c r="BV46" s="1636"/>
      <c r="BW46" s="277"/>
    </row>
    <row r="47" spans="1:75" x14ac:dyDescent="0.25">
      <c r="A47" s="1619" t="s">
        <v>819</v>
      </c>
      <c r="B47" s="1619"/>
      <c r="C47" s="1619"/>
      <c r="D47" s="1619"/>
      <c r="E47" s="1619"/>
      <c r="F47" s="1619"/>
      <c r="G47" s="1619"/>
      <c r="H47" s="1619"/>
      <c r="I47" s="1585" t="e">
        <f>'GRANTEE SET UP INFO &amp; DATE '!#REF!</f>
        <v>#REF!</v>
      </c>
      <c r="J47" s="1585"/>
      <c r="K47" s="1585"/>
      <c r="L47" s="1585"/>
      <c r="M47" s="1623" t="e">
        <f>'GRANTEE SET UP INFO &amp; DATE '!#REF!</f>
        <v>#REF!</v>
      </c>
      <c r="N47" s="1623"/>
      <c r="O47" s="1623"/>
      <c r="P47" s="1623"/>
      <c r="Q47" s="1623"/>
      <c r="R47" s="1623" t="e">
        <f>'GRANTEE SET UP INFO &amp; DATE '!#REF!</f>
        <v>#REF!</v>
      </c>
      <c r="S47" s="1623"/>
      <c r="T47" s="1623"/>
      <c r="U47" s="1623"/>
      <c r="V47" s="1623"/>
      <c r="W47" s="1647">
        <f>COUNTIFS(TRAINING!B12:B5000,"&gt;=07/01/2000",TRAINING!B12:B5000,"&lt;=09/30/2019",TRAINING!D12:D5000,"Both Mandatory and EBT",TRAINING!AV12:AV5000,"YES")</f>
        <v>0</v>
      </c>
      <c r="X47" s="1647"/>
      <c r="Y47" s="1647"/>
      <c r="Z47" s="1647"/>
      <c r="AA47" s="1588">
        <f>COUNTIFS(TRAINING!B12:B5000,"&gt;=10/01/2019",TRAINING!B12:B5000,"&lt;=12/31/2019",TRAINING!D12:D5000,"Both Mandatory and EBT",TRAINING!AV12:AV5000,"YES")</f>
        <v>0</v>
      </c>
      <c r="AB47" s="1588"/>
      <c r="AC47" s="1588"/>
      <c r="AD47" s="1588"/>
      <c r="AE47" s="1586">
        <f>COUNTIFS(TRAINING!B12:B5000,"&gt;=01/01/2020",TRAINING!B12:B5000,"&lt;=03/31/2020",TRAINING!D12:D5000,"Both Mandatory and EBT",TRAINING!AV12:AV5000,"YES")</f>
        <v>0</v>
      </c>
      <c r="AF47" s="1586"/>
      <c r="AG47" s="1586"/>
      <c r="AH47" s="1586"/>
      <c r="AI47" s="1588">
        <f>COUNTIFS(TRAINING!B12:B5000,"&gt;=04/01/2020",TRAINING!B12:B5000,"&lt;=06/30/2020",TRAINING!D12:D5000,"Both Mandatory and EBT",TRAINING!AV12:AV5000,"YES")</f>
        <v>0</v>
      </c>
      <c r="AJ47" s="1588"/>
      <c r="AK47" s="1588"/>
      <c r="AL47" s="1588"/>
      <c r="AM47" s="1586">
        <f>COUNTIFS(TRAINING!B12:B5000,"&gt;=07/01/2020",TRAINING!B12:B5000,"&lt;=09/30/2020",TRAINING!D12:D5000,"Both Mandatory and EBT",TRAINING!AV12:AV5000,"YES")</f>
        <v>0</v>
      </c>
      <c r="AN47" s="1586"/>
      <c r="AO47" s="1586"/>
      <c r="AP47" s="1586"/>
      <c r="AQ47" s="1641">
        <f>COUNTIFS(TRAINING!B12:B5000,"&gt;=10/01/2020",TRAINING!B12:B5000,"&lt;=12/31/2020",TRAINING!D12:D5000,"Both Mandatory and EBT",TRAINING!AV12:AV5000,"YES")</f>
        <v>0</v>
      </c>
      <c r="AR47" s="1641"/>
      <c r="AS47" s="1641"/>
      <c r="AT47" s="1641"/>
      <c r="AU47" s="1642">
        <f>COUNTIFS(TRAINING!B12:B5000,"&gt;=01/01/2021",TRAINING!B12:B5000,"&lt;=03/31/2021",TRAINING!D12:D5000,"Both Mandatory and EBT",TRAINING!AV12:AV5000,"YES")</f>
        <v>0</v>
      </c>
      <c r="AV47" s="1642"/>
      <c r="AW47" s="1642"/>
      <c r="AX47" s="1642"/>
      <c r="AY47" s="1641">
        <f>COUNTIFS(TRAINING!B12:B5000,"&gt;=04/01/2020",TRAINING!B12:B5000,"&lt;=06/30/2020",TRAINING!D12:D5000,"Both Mandatory and EBT",TRAINING!AV12:AV5000,"YES")</f>
        <v>0</v>
      </c>
      <c r="AZ47" s="1641"/>
      <c r="BA47" s="1641"/>
      <c r="BB47" s="1641"/>
      <c r="BC47" s="1642">
        <f>COUNTIFS(TRAINING!B12:B5000,"&gt;=07/01/2021",TRAINING!B12:B5000,"&lt;=09/30/2021",TRAINING!D12:D5000,"Both Mandatory and EBT",TRAINING!AV12:AV5000,"YES")</f>
        <v>0</v>
      </c>
      <c r="BD47" s="1642"/>
      <c r="BE47" s="1642"/>
      <c r="BF47" s="1642"/>
      <c r="BG47" s="1635">
        <f>COUNTIFS(TRAINING!B12:B5000,"&gt;=10/01/2021",TRAINING!B12:B5000,"&lt;=12/31/2021",TRAINING!D12:D5000,"Both Mandatory and EBT",TRAINING!AV12:AV5000,"YES")</f>
        <v>0</v>
      </c>
      <c r="BH47" s="1635"/>
      <c r="BI47" s="1635"/>
      <c r="BJ47" s="1635"/>
      <c r="BK47" s="1636">
        <f>COUNTIFS(TRAINING!B12:B5000,"&gt;=01/01/2022",TRAINING!B12:B5000,"&lt;=03/31/2022",TRAINING!D12:D5000,"Both Mandatory and EBT",TRAINING!AV12:AV5000,"YES")</f>
        <v>0</v>
      </c>
      <c r="BL47" s="1636"/>
      <c r="BM47" s="1636"/>
      <c r="BN47" s="1636"/>
      <c r="BO47" s="1635">
        <f>COUNTIFS(TRAINING!B12:B5000,"&gt;=04/01/2022",TRAINING!B12:B5000,"&lt;=06/30/2022",TRAINING!D12:D5000,"Both Mandatory and EBT",TRAINING!AV12:AV5000,"YES")</f>
        <v>0</v>
      </c>
      <c r="BP47" s="1635"/>
      <c r="BQ47" s="1635"/>
      <c r="BR47" s="1635"/>
      <c r="BS47" s="1636">
        <f>COUNTIFS(TRAINING!B12:B5000,"&gt;=07/01/2022",TRAINING!B12:B5000,"&lt;=09/30/2022",TRAINING!D12:D5000,"Both Mandatory and EBT",TRAINING!AV12:AV5000,"YES")</f>
        <v>0</v>
      </c>
      <c r="BT47" s="1636"/>
      <c r="BU47" s="1636"/>
      <c r="BV47" s="1636"/>
      <c r="BW47" s="277"/>
    </row>
    <row r="48" spans="1:75" x14ac:dyDescent="0.25">
      <c r="A48" s="1619" t="s">
        <v>830</v>
      </c>
      <c r="B48" s="1619"/>
      <c r="C48" s="1619"/>
      <c r="D48" s="1619"/>
      <c r="E48" s="1619"/>
      <c r="F48" s="1619"/>
      <c r="G48" s="1619"/>
      <c r="H48" s="1619"/>
      <c r="I48" s="1585" t="e">
        <f>'GRANTEE SET UP INFO &amp; DATE '!#REF!</f>
        <v>#REF!</v>
      </c>
      <c r="J48" s="1585"/>
      <c r="K48" s="1585"/>
      <c r="L48" s="1585"/>
      <c r="M48" s="1592" t="e">
        <f>'GRANTEE SET UP INFO &amp; DATE '!#REF!</f>
        <v>#REF!</v>
      </c>
      <c r="N48" s="1592"/>
      <c r="O48" s="1592"/>
      <c r="P48" s="1592"/>
      <c r="Q48" s="1592"/>
      <c r="R48" s="1623" t="e">
        <f>'GRANTEE SET UP INFO &amp; DATE '!#REF!</f>
        <v>#REF!</v>
      </c>
      <c r="S48" s="1623"/>
      <c r="T48" s="1623"/>
      <c r="U48" s="1623"/>
      <c r="V48" s="1623"/>
      <c r="W48" s="1647">
        <f>COUNTIFS(TRAINING!B12:B5000,"&gt;=07/01/2000",TRAINING!B12:B5000,"&lt;=09/30/2019",TRAINING!D12:D5000,"Both Mandatory and EBT",TRAINING!AW12:AW5000,"YES")</f>
        <v>0</v>
      </c>
      <c r="X48" s="1647"/>
      <c r="Y48" s="1647"/>
      <c r="Z48" s="1647"/>
      <c r="AA48" s="1588">
        <f>COUNTIFS(TRAINING!B12:B5000,"&gt;=10/01/2019",TRAINING!B12:B5000,"&lt;=12/31/2019",TRAINING!D12:D5000,"Both Mandatory and EBT",TRAINING!AW12:AW5000,"YES")</f>
        <v>0</v>
      </c>
      <c r="AB48" s="1588"/>
      <c r="AC48" s="1588"/>
      <c r="AD48" s="1588"/>
      <c r="AE48" s="1586">
        <f>COUNTIFS(TRAINING!B12:B5000,"&gt;=01/01/2020",TRAINING!B12:B5000,"&lt;=03/31/2020",TRAINING!D12:D5000,"Both Mandatory and EBT",TRAINING!AW12:AW5000,"YES")</f>
        <v>0</v>
      </c>
      <c r="AF48" s="1586"/>
      <c r="AG48" s="1586"/>
      <c r="AH48" s="1586"/>
      <c r="AI48" s="1588">
        <f>COUNTIFS(TRAINING!B12:B5000,"&gt;=04/01/2020",TRAINING!B12:B5000,"&lt;=06/30/2020",TRAINING!D12:D5000,"Both Mandatory and EBT",TRAINING!AW12:AW5000,"YES")</f>
        <v>0</v>
      </c>
      <c r="AJ48" s="1588"/>
      <c r="AK48" s="1588"/>
      <c r="AL48" s="1588"/>
      <c r="AM48" s="1586">
        <f>COUNTIFS(TRAINING!B12:B5000,"&gt;=07/01/2020",TRAINING!B12:B5000,"&lt;=09/30/2020",TRAINING!D12:D5000,"Both Mandatory and EBT",TRAINING!AW12:AW5000,"YES")</f>
        <v>0</v>
      </c>
      <c r="AN48" s="1586"/>
      <c r="AO48" s="1586"/>
      <c r="AP48" s="1586"/>
      <c r="AQ48" s="1641">
        <f>COUNTIFS(TRAINING!B12:B5000,"&gt;=10/01/2020",TRAINING!B12:B5000,"&lt;=12/31/2020",TRAINING!D12:D5000,"Both Mandatory and EBT",TRAINING!AW12:AW5000,"YES")</f>
        <v>0</v>
      </c>
      <c r="AR48" s="1641"/>
      <c r="AS48" s="1641"/>
      <c r="AT48" s="1641"/>
      <c r="AU48" s="1642">
        <f>COUNTIFS(TRAINING!B12:B5000,"&gt;=01/01/2021",TRAINING!B12:B5000,"&lt;=03/31/2021",TRAINING!D12:D5000,"Both Mandatory and EBT",TRAINING!AW12:AW5000,"YES")</f>
        <v>0</v>
      </c>
      <c r="AV48" s="1642"/>
      <c r="AW48" s="1642"/>
      <c r="AX48" s="1642"/>
      <c r="AY48" s="1641">
        <f>COUNTIFS(TRAINING!B12:B5000,"&gt;=04/01/2020",TRAINING!B12:B5000,"&lt;=06/30/2020",TRAINING!D12:D5000,"Both Mandatory and EBT",TRAINING!AW12:AW5000,"YES")</f>
        <v>0</v>
      </c>
      <c r="AZ48" s="1641"/>
      <c r="BA48" s="1641"/>
      <c r="BB48" s="1641"/>
      <c r="BC48" s="1642">
        <f>COUNTIFS(TRAINING!B12:B5000,"&gt;=07/01/2021",TRAINING!B12:B5000,"&lt;=09/30/2021",TRAINING!D12:D5000,"Both Mandatory and EBT",TRAINING!AW12:AW5000,"YES")</f>
        <v>0</v>
      </c>
      <c r="BD48" s="1642"/>
      <c r="BE48" s="1642"/>
      <c r="BF48" s="1642"/>
      <c r="BG48" s="1635">
        <f>COUNTIFS(TRAINING!B12:B5000,"&gt;=10/01/2021",TRAINING!B12:B5000,"&lt;=12/31/2021",TRAINING!D12:D5000,"Both Mandatory and EBT",TRAINING!AW12:AW5000,"YES")</f>
        <v>0</v>
      </c>
      <c r="BH48" s="1635"/>
      <c r="BI48" s="1635"/>
      <c r="BJ48" s="1635"/>
      <c r="BK48" s="1636">
        <f>COUNTIFS(TRAINING!B12:B5000,"&gt;=01/01/2022",TRAINING!B12:B5000,"&lt;=03/31/2022",TRAINING!D12:D5000,"Both Mandatory and EBT",TRAINING!AW12:AW5000,"YES")</f>
        <v>0</v>
      </c>
      <c r="BL48" s="1636"/>
      <c r="BM48" s="1636"/>
      <c r="BN48" s="1636"/>
      <c r="BO48" s="1635">
        <f>COUNTIFS(TRAINING!B12:B5000,"&gt;=04/01/2022",TRAINING!B12:B5000,"&lt;=06/30/2022",TRAINING!D12:D5000,"Both Mandatory and EBT",TRAINING!AW12:AW5000,"YES")</f>
        <v>0</v>
      </c>
      <c r="BP48" s="1635"/>
      <c r="BQ48" s="1635"/>
      <c r="BR48" s="1635"/>
      <c r="BS48" s="1636">
        <f>COUNTIFS(TRAINING!B12:B5000,"&gt;=07/01/2022",TRAINING!B12:B5000,"&lt;=09/30/2022",TRAINING!D12:D5000,"Both Mandatory and EBT",TRAINING!AW12:AW5000,"YES")</f>
        <v>0</v>
      </c>
      <c r="BT48" s="1636"/>
      <c r="BU48" s="1636"/>
      <c r="BV48" s="1636"/>
      <c r="BW48" s="277"/>
    </row>
    <row r="49" spans="1:75" x14ac:dyDescent="0.25">
      <c r="A49" s="1619" t="s">
        <v>831</v>
      </c>
      <c r="B49" s="1619"/>
      <c r="C49" s="1619"/>
      <c r="D49" s="1619"/>
      <c r="E49" s="1619"/>
      <c r="F49" s="1619"/>
      <c r="G49" s="1619"/>
      <c r="H49" s="1619"/>
      <c r="I49" s="1585" t="e">
        <f>'GRANTEE SET UP INFO &amp; DATE '!#REF!</f>
        <v>#REF!</v>
      </c>
      <c r="J49" s="1585"/>
      <c r="K49" s="1585"/>
      <c r="L49" s="1585"/>
      <c r="M49" s="1592" t="e">
        <f>'GRANTEE SET UP INFO &amp; DATE '!#REF!</f>
        <v>#REF!</v>
      </c>
      <c r="N49" s="1592"/>
      <c r="O49" s="1592"/>
      <c r="P49" s="1592"/>
      <c r="Q49" s="1592"/>
      <c r="R49" s="1623" t="e">
        <f>'GRANTEE SET UP INFO &amp; DATE '!#REF!</f>
        <v>#REF!</v>
      </c>
      <c r="S49" s="1623"/>
      <c r="T49" s="1623"/>
      <c r="U49" s="1623"/>
      <c r="V49" s="1623"/>
      <c r="W49" s="1647">
        <f>COUNTIFS(TRAINING!B12:B5000,"&gt;=07/01/2000",TRAINING!B12:B5000,"&lt;=09/30/2019",TRAINING!D12:D5000,"Both Mandatory and EBT",TRAINING!AX12:AX5000,"YES")</f>
        <v>0</v>
      </c>
      <c r="X49" s="1647"/>
      <c r="Y49" s="1647"/>
      <c r="Z49" s="1647"/>
      <c r="AA49" s="1588">
        <f>COUNTIFS(TRAINING!B12:B5000,"&gt;=10/01/2019",TRAINING!B12:B5000,"&lt;=12/31/2019",TRAINING!D12:D5000,"Both Mandatory and EBT",TRAINING!AX12:AX5000,"YES")</f>
        <v>0</v>
      </c>
      <c r="AB49" s="1588"/>
      <c r="AC49" s="1588"/>
      <c r="AD49" s="1588"/>
      <c r="AE49" s="1586">
        <f>COUNTIFS(TRAINING!B12:B5000,"&gt;=01/01/2020",TRAINING!B12:B5000,"&lt;=03/31/2020",TRAINING!D12:D5000,"Both Mandatory and EBT",TRAINING!AX12:AX5000,"YES")</f>
        <v>0</v>
      </c>
      <c r="AF49" s="1586"/>
      <c r="AG49" s="1586"/>
      <c r="AH49" s="1586"/>
      <c r="AI49" s="1588">
        <f>COUNTIFS(TRAINING!B12:B5000,"&gt;=04/01/2020",TRAINING!B12:B5000,"&lt;=06/30/2020",TRAINING!D12:D5000,"Both Mandatory and EBT",TRAINING!AX12:AX5000,"YES")</f>
        <v>0</v>
      </c>
      <c r="AJ49" s="1588"/>
      <c r="AK49" s="1588"/>
      <c r="AL49" s="1588"/>
      <c r="AM49" s="1586">
        <f>COUNTIFS(TRAINING!B12:B5000,"&gt;=07/01/2020",TRAINING!B12:B5000,"&lt;=09/30/2020",TRAINING!D12:D5000,"Both Mandatory and EBT",TRAINING!AX12:AX5000,"YES")</f>
        <v>0</v>
      </c>
      <c r="AN49" s="1586"/>
      <c r="AO49" s="1586"/>
      <c r="AP49" s="1586"/>
      <c r="AQ49" s="1641">
        <f>COUNTIFS(TRAINING!B12:B5000,"&gt;=10/01/2020",TRAINING!B12:B5000,"&lt;=12/31/2020",TRAINING!D12:D5000,"Both Mandatory and EBT",TRAINING!AX12:AX5000,"YES")</f>
        <v>0</v>
      </c>
      <c r="AR49" s="1641"/>
      <c r="AS49" s="1641"/>
      <c r="AT49" s="1641"/>
      <c r="AU49" s="1642">
        <f>COUNTIFS(TRAINING!B12:B5000,"&gt;=01/01/2021",TRAINING!B12:B5000,"&lt;=03/31/2021",TRAINING!D12:D5000,"Both Mandatory and EBT",TRAINING!AX12:AX5000,"YES")</f>
        <v>0</v>
      </c>
      <c r="AV49" s="1642"/>
      <c r="AW49" s="1642"/>
      <c r="AX49" s="1642"/>
      <c r="AY49" s="1641">
        <f>COUNTIFS(TRAINING!B12:B5000,"&gt;=04/01/2020",TRAINING!B12:B5000,"&lt;=06/30/2020",TRAINING!D12:D5000,"Both Mandatory and EBT",TRAINING!AX12:AX5000,"YES")</f>
        <v>0</v>
      </c>
      <c r="AZ49" s="1641"/>
      <c r="BA49" s="1641"/>
      <c r="BB49" s="1641"/>
      <c r="BC49" s="1642">
        <f>COUNTIFS(TRAINING!B12:B5000,"&gt;=07/01/2021",TRAINING!B12:B5000,"&lt;=09/30/2021",TRAINING!D12:D5000,"Both Mandatory and EBT",TRAINING!AX12:AX5000,"YES")</f>
        <v>0</v>
      </c>
      <c r="BD49" s="1642"/>
      <c r="BE49" s="1642"/>
      <c r="BF49" s="1642"/>
      <c r="BG49" s="1635">
        <f>COUNTIFS(TRAINING!B12:B5000,"&gt;=10/01/2021",TRAINING!B12:B5000,"&lt;=12/31/2021",TRAINING!D12:D5000,"Both Mandatory and EBT",TRAINING!AX12:AX5000,"YES")</f>
        <v>0</v>
      </c>
      <c r="BH49" s="1635"/>
      <c r="BI49" s="1635"/>
      <c r="BJ49" s="1635"/>
      <c r="BK49" s="1636">
        <f>COUNTIFS(TRAINING!B12:B5000,"&gt;=01/01/2022",TRAINING!B12:B5000,"&lt;=03/31/2022",TRAINING!D12:D5000,"Both Mandatory and EBT",TRAINING!AX12:AX5000,"YES")</f>
        <v>0</v>
      </c>
      <c r="BL49" s="1636"/>
      <c r="BM49" s="1636"/>
      <c r="BN49" s="1636"/>
      <c r="BO49" s="1635">
        <f>COUNTIFS(TRAINING!B12:B5000,"&gt;=04/01/2022",TRAINING!B12:B5000,"&lt;=06/30/2022",TRAINING!D12:D5000,"Both Mandatory and EBT",TRAINING!AX12:AX5000,"YES")</f>
        <v>0</v>
      </c>
      <c r="BP49" s="1635"/>
      <c r="BQ49" s="1635"/>
      <c r="BR49" s="1635"/>
      <c r="BS49" s="1636">
        <f>COUNTIFS(TRAINING!B12:B5000,"&gt;=07/01/2022",TRAINING!B12:B5000,"&lt;=09/30/2022",TRAINING!D12:D5000,"Both Mandatory and EBT",TRAINING!AX12:AX5000,"YES")</f>
        <v>0</v>
      </c>
      <c r="BT49" s="1636"/>
      <c r="BU49" s="1636"/>
      <c r="BV49" s="1636"/>
      <c r="BW49" s="277"/>
    </row>
    <row r="50" spans="1:75" x14ac:dyDescent="0.25">
      <c r="A50" s="1619" t="s">
        <v>832</v>
      </c>
      <c r="B50" s="1619"/>
      <c r="C50" s="1619"/>
      <c r="D50" s="1619"/>
      <c r="E50" s="1619"/>
      <c r="F50" s="1619"/>
      <c r="G50" s="1619"/>
      <c r="H50" s="1619"/>
      <c r="I50" s="1585" t="e">
        <f>'GRANTEE SET UP INFO &amp; DATE '!#REF!</f>
        <v>#REF!</v>
      </c>
      <c r="J50" s="1585"/>
      <c r="K50" s="1585"/>
      <c r="L50" s="1585"/>
      <c r="M50" s="1592" t="e">
        <f>'GRANTEE SET UP INFO &amp; DATE '!#REF!</f>
        <v>#REF!</v>
      </c>
      <c r="N50" s="1592"/>
      <c r="O50" s="1592"/>
      <c r="P50" s="1592"/>
      <c r="Q50" s="1592"/>
      <c r="R50" s="1623" t="e">
        <f>'GRANTEE SET UP INFO &amp; DATE '!#REF!</f>
        <v>#REF!</v>
      </c>
      <c r="S50" s="1623"/>
      <c r="T50" s="1623"/>
      <c r="U50" s="1623"/>
      <c r="V50" s="1623"/>
      <c r="W50" s="1647">
        <f>COUNTIFS(TRAINING!B12:B5000,"&gt;=07/01/2000",TRAINING!B12:B5000,"&lt;=09/30/2019",TRAINING!D12:D5000,"Both Mandatory and EBT",TRAINING!AY12:AY5000,"YES")</f>
        <v>0</v>
      </c>
      <c r="X50" s="1647"/>
      <c r="Y50" s="1647"/>
      <c r="Z50" s="1647"/>
      <c r="AA50" s="1588">
        <f>COUNTIFS(TRAINING!B12:B5000,"&gt;=10/01/2019",TRAINING!B12:B5000,"&lt;=12/31/2019",TRAINING!D12:D5000,"Both Mandatory and EBT",TRAINING!AY12:AY5000,"YES")</f>
        <v>0</v>
      </c>
      <c r="AB50" s="1588"/>
      <c r="AC50" s="1588"/>
      <c r="AD50" s="1588"/>
      <c r="AE50" s="1586">
        <f>COUNTIFS(TRAINING!B12:B5000,"&gt;=01/01/2020",TRAINING!B12:B5000,"&lt;=03/31/2020",TRAINING!D12:D5000,"Both Mandatory and EBT",TRAINING!AY12:AY5000,"YES")</f>
        <v>0</v>
      </c>
      <c r="AF50" s="1586"/>
      <c r="AG50" s="1586"/>
      <c r="AH50" s="1586"/>
      <c r="AI50" s="1588">
        <f>COUNTIFS(TRAINING!B12:B5000,"&gt;=04/01/2020",TRAINING!B12:B5000,"&lt;=06/30/2020",TRAINING!D12:D5000,"Both Mandatory and EBT",TRAINING!AY12:AY5000,"YES")</f>
        <v>0</v>
      </c>
      <c r="AJ50" s="1588"/>
      <c r="AK50" s="1588"/>
      <c r="AL50" s="1588"/>
      <c r="AM50" s="1586">
        <f>COUNTIFS(TRAINING!B12:B5000,"&gt;=07/01/2020",TRAINING!B12:B5000,"&lt;=09/30/2020",TRAINING!D12:D5000,"Both Mandatory and EBT",TRAINING!AY12:AY5000,"YES")</f>
        <v>0</v>
      </c>
      <c r="AN50" s="1586"/>
      <c r="AO50" s="1586"/>
      <c r="AP50" s="1586"/>
      <c r="AQ50" s="1641">
        <f>COUNTIFS(TRAINING!B12:B5000,"&gt;=10/01/2020",TRAINING!B12:B5000,"&lt;=12/31/2020",TRAINING!D12:D5000,"Both Mandatory and EBT",TRAINING!AY12:AY5000,"YES")</f>
        <v>0</v>
      </c>
      <c r="AR50" s="1641"/>
      <c r="AS50" s="1641"/>
      <c r="AT50" s="1641"/>
      <c r="AU50" s="1642">
        <f>COUNTIFS(TRAINING!B12:B5000,"&gt;=01/01/2021",TRAINING!B12:B5000,"&lt;=03/31/2021",TRAINING!D12:D5000,"Both Mandatory and EBT",TRAINING!AY12:AY5000,"YES")</f>
        <v>0</v>
      </c>
      <c r="AV50" s="1642"/>
      <c r="AW50" s="1642"/>
      <c r="AX50" s="1642"/>
      <c r="AY50" s="1641">
        <f>COUNTIFS(TRAINING!B12:B5000,"&gt;=04/01/2020",TRAINING!B12:B5000,"&lt;=06/30/2020",TRAINING!D12:D5000,"Both Mandatory and EBT",TRAINING!AY12:AY5000,"YES")</f>
        <v>0</v>
      </c>
      <c r="AZ50" s="1641"/>
      <c r="BA50" s="1641"/>
      <c r="BB50" s="1641"/>
      <c r="BC50" s="1642">
        <f>COUNTIFS(TRAINING!B12:B5000,"&gt;=07/01/2021",TRAINING!B12:B5000,"&lt;=09/30/2021",TRAINING!D12:D5000,"Both Mandatory and EBT",TRAINING!AY12:AY5000,"YES")</f>
        <v>0</v>
      </c>
      <c r="BD50" s="1642"/>
      <c r="BE50" s="1642"/>
      <c r="BF50" s="1642"/>
      <c r="BG50" s="1635">
        <f>COUNTIFS(TRAINING!B12:B5000,"&gt;=10/01/2021",TRAINING!B12:B5000,"&lt;=12/31/2021",TRAINING!D12:D5000,"Both Mandatory and EBT",TRAINING!AY12:AY5000,"YES")</f>
        <v>0</v>
      </c>
      <c r="BH50" s="1635"/>
      <c r="BI50" s="1635"/>
      <c r="BJ50" s="1635"/>
      <c r="BK50" s="1636">
        <f>COUNTIFS(TRAINING!B12:B5000,"&gt;=01/01/2022",TRAINING!B12:B5000,"&lt;=03/31/2022",TRAINING!D12:D5000,"Both Mandatory and EBT",TRAINING!AY12:AY5000,"YES")</f>
        <v>0</v>
      </c>
      <c r="BL50" s="1636"/>
      <c r="BM50" s="1636"/>
      <c r="BN50" s="1636"/>
      <c r="BO50" s="1635">
        <f>COUNTIFS(TRAINING!B12:B5000,"&gt;=04/01/2022",TRAINING!B12:B5000,"&lt;=06/30/2022",TRAINING!D12:D5000,"Both Mandatory and EBT",TRAINING!AY12:AY5000,"YES")</f>
        <v>0</v>
      </c>
      <c r="BP50" s="1635"/>
      <c r="BQ50" s="1635"/>
      <c r="BR50" s="1635"/>
      <c r="BS50" s="1636">
        <f>COUNTIFS(TRAINING!B12:B5000,"&gt;=07/01/2022",TRAINING!B12:B5000,"&lt;=09/30/2022",TRAINING!D12:D5000,"Both Mandatory and EBT",TRAINING!AY12:AY5000,"YES")</f>
        <v>0</v>
      </c>
      <c r="BT50" s="1636"/>
      <c r="BU50" s="1636"/>
      <c r="BV50" s="1636"/>
      <c r="BW50" s="277"/>
    </row>
    <row r="51" spans="1:75" x14ac:dyDescent="0.25">
      <c r="A51" s="1619"/>
      <c r="B51" s="1619"/>
      <c r="C51" s="1619"/>
      <c r="D51" s="1619"/>
      <c r="E51" s="1619"/>
      <c r="F51" s="1619"/>
      <c r="G51" s="1619"/>
      <c r="H51" s="1619"/>
      <c r="I51" s="1586"/>
      <c r="J51" s="1586"/>
      <c r="K51" s="1586"/>
      <c r="L51" s="1586"/>
      <c r="M51" s="1621"/>
      <c r="N51" s="1592"/>
      <c r="O51" s="1592"/>
      <c r="P51" s="1592"/>
      <c r="Q51" s="1592"/>
      <c r="R51" s="1622"/>
      <c r="S51" s="1623"/>
      <c r="T51" s="1623"/>
      <c r="U51" s="1623"/>
      <c r="V51" s="1623"/>
      <c r="W51" s="1653"/>
      <c r="X51" s="1653"/>
      <c r="Y51" s="1653"/>
      <c r="Z51" s="1653"/>
      <c r="AA51" s="1588"/>
      <c r="AB51" s="1588"/>
      <c r="AC51" s="1588"/>
      <c r="AD51" s="1588"/>
      <c r="AE51" s="1586"/>
      <c r="AF51" s="1586"/>
      <c r="AG51" s="1586"/>
      <c r="AH51" s="1586"/>
      <c r="AI51" s="1588"/>
      <c r="AJ51" s="1588"/>
      <c r="AK51" s="1588"/>
      <c r="AL51" s="1588"/>
      <c r="AM51" s="1586"/>
      <c r="AN51" s="1586"/>
      <c r="AO51" s="1586"/>
      <c r="AP51" s="1586"/>
      <c r="AQ51" s="1641"/>
      <c r="AR51" s="1641"/>
      <c r="AS51" s="1641"/>
      <c r="AT51" s="1641"/>
      <c r="AU51" s="1642"/>
      <c r="AV51" s="1642"/>
      <c r="AW51" s="1642"/>
      <c r="AX51" s="1642"/>
      <c r="AY51" s="1641"/>
      <c r="AZ51" s="1641"/>
      <c r="BA51" s="1641"/>
      <c r="BB51" s="1641"/>
      <c r="BC51" s="1642"/>
      <c r="BD51" s="1642"/>
      <c r="BE51" s="1642"/>
      <c r="BF51" s="1642"/>
      <c r="BG51" s="1635"/>
      <c r="BH51" s="1635"/>
      <c r="BI51" s="1635"/>
      <c r="BJ51" s="1635"/>
      <c r="BK51" s="1636"/>
      <c r="BL51" s="1636"/>
      <c r="BM51" s="1636"/>
      <c r="BN51" s="1636"/>
      <c r="BO51" s="1635"/>
      <c r="BP51" s="1635"/>
      <c r="BQ51" s="1635"/>
      <c r="BR51" s="1635"/>
      <c r="BS51" s="1636"/>
      <c r="BT51" s="1636"/>
      <c r="BU51" s="1636"/>
      <c r="BV51" s="1636"/>
      <c r="BW51" s="277"/>
    </row>
    <row r="52" spans="1:75" ht="15.75" x14ac:dyDescent="0.25">
      <c r="A52" s="1629" t="s">
        <v>390</v>
      </c>
      <c r="B52" s="1630"/>
      <c r="C52" s="1630"/>
      <c r="D52" s="1630"/>
      <c r="E52" s="1630"/>
      <c r="F52" s="1630"/>
      <c r="G52" s="1630"/>
      <c r="H52" s="1630"/>
      <c r="I52" s="1630"/>
      <c r="J52" s="1630"/>
      <c r="K52" s="1630"/>
      <c r="L52" s="1630"/>
      <c r="M52" s="1630"/>
      <c r="N52" s="1630"/>
      <c r="O52" s="1630"/>
      <c r="P52" s="1630"/>
      <c r="Q52" s="1630"/>
      <c r="R52" s="1630"/>
      <c r="S52" s="1630"/>
      <c r="T52" s="1630"/>
      <c r="U52" s="1630"/>
      <c r="V52" s="1631"/>
      <c r="W52" s="1632">
        <f>SUM(W39:W51)</f>
        <v>0</v>
      </c>
      <c r="X52" s="1632"/>
      <c r="Y52" s="1632"/>
      <c r="Z52" s="1632"/>
      <c r="AA52" s="1633">
        <f>SUM(AA39:AA51)</f>
        <v>0</v>
      </c>
      <c r="AB52" s="1633"/>
      <c r="AC52" s="1633"/>
      <c r="AD52" s="1633"/>
      <c r="AE52" s="1338">
        <f>SUM(AE39:AE51)</f>
        <v>0</v>
      </c>
      <c r="AF52" s="1339"/>
      <c r="AG52" s="1339"/>
      <c r="AH52" s="1340"/>
      <c r="AI52" s="1634">
        <f>SUM(AI39:AI51)</f>
        <v>0</v>
      </c>
      <c r="AJ52" s="1634"/>
      <c r="AK52" s="1634"/>
      <c r="AL52" s="1634"/>
      <c r="AM52" s="1338">
        <f>SUM(AM39:AM51)</f>
        <v>0</v>
      </c>
      <c r="AN52" s="1339"/>
      <c r="AO52" s="1339"/>
      <c r="AP52" s="1340"/>
      <c r="AQ52" s="1696">
        <f>SUM(AQ39:AQ51)</f>
        <v>0</v>
      </c>
      <c r="AR52" s="1697"/>
      <c r="AS52" s="1697"/>
      <c r="AT52" s="1698"/>
      <c r="AU52" s="1600">
        <f>SUM(AU39:AU51)</f>
        <v>0</v>
      </c>
      <c r="AV52" s="1601"/>
      <c r="AW52" s="1601"/>
      <c r="AX52" s="1602"/>
      <c r="AY52" s="1696">
        <f>SUM(AY39:AY51)</f>
        <v>0</v>
      </c>
      <c r="AZ52" s="1697"/>
      <c r="BA52" s="1697"/>
      <c r="BB52" s="1698"/>
      <c r="BC52" s="1600">
        <f>SUM(BC39:BC51)</f>
        <v>0</v>
      </c>
      <c r="BD52" s="1601"/>
      <c r="BE52" s="1601"/>
      <c r="BF52" s="1602"/>
      <c r="BG52" s="1684">
        <f>SUM(BG39:BG51)</f>
        <v>0</v>
      </c>
      <c r="BH52" s="1685"/>
      <c r="BI52" s="1685"/>
      <c r="BJ52" s="1686"/>
      <c r="BK52" s="1699">
        <f>SUM(BK39:BK51)</f>
        <v>0</v>
      </c>
      <c r="BL52" s="1700"/>
      <c r="BM52" s="1700"/>
      <c r="BN52" s="1701"/>
      <c r="BO52" s="1684">
        <f>SUM(BO39:BO51)</f>
        <v>0</v>
      </c>
      <c r="BP52" s="1685"/>
      <c r="BQ52" s="1685"/>
      <c r="BR52" s="1686"/>
      <c r="BS52" s="1668">
        <f>SUM(BS39:BS51)</f>
        <v>0</v>
      </c>
      <c r="BT52" s="1668"/>
      <c r="BU52" s="1668"/>
      <c r="BV52" s="1668"/>
      <c r="BW52" s="277"/>
    </row>
    <row r="53" spans="1:75" x14ac:dyDescent="0.25">
      <c r="A53" s="277"/>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row>
    <row r="54" spans="1:75" ht="18.75" x14ac:dyDescent="0.25">
      <c r="A54" s="1702" t="s">
        <v>836</v>
      </c>
      <c r="B54" s="1702"/>
      <c r="C54" s="1702"/>
      <c r="D54" s="1702"/>
      <c r="E54" s="1702"/>
      <c r="F54" s="1702"/>
      <c r="G54" s="1702"/>
      <c r="H54" s="1702"/>
      <c r="I54" s="1702"/>
      <c r="J54" s="1702"/>
      <c r="K54" s="1702"/>
      <c r="L54" s="1702"/>
      <c r="M54" s="1702"/>
      <c r="N54" s="1702"/>
      <c r="O54" s="1702"/>
      <c r="P54" s="1702"/>
      <c r="Q54" s="1702"/>
      <c r="R54" s="1702"/>
      <c r="S54" s="1702"/>
      <c r="T54" s="1702"/>
      <c r="U54" s="1702"/>
      <c r="V54" s="1702"/>
      <c r="W54" s="1703" t="s">
        <v>779</v>
      </c>
      <c r="X54" s="1703"/>
      <c r="Y54" s="1703"/>
      <c r="Z54" s="1703"/>
      <c r="AA54" s="1703"/>
      <c r="AB54" s="1703"/>
      <c r="AC54" s="1703"/>
      <c r="AD54" s="1703"/>
      <c r="AE54" s="1703"/>
      <c r="AF54" s="1703"/>
      <c r="AG54" s="1703"/>
      <c r="AH54" s="1703"/>
      <c r="AI54" s="1703"/>
      <c r="AJ54" s="1703"/>
      <c r="AK54" s="1703"/>
      <c r="AL54" s="1703"/>
      <c r="AM54" s="1703"/>
      <c r="AN54" s="1703"/>
      <c r="AO54" s="1703"/>
      <c r="AP54" s="1703"/>
      <c r="AQ54" s="1703"/>
      <c r="AR54" s="1703"/>
      <c r="AS54" s="1703"/>
      <c r="AT54" s="1703"/>
      <c r="AU54" s="1703"/>
      <c r="AV54" s="1703"/>
      <c r="AW54" s="1703"/>
      <c r="AX54" s="1703"/>
      <c r="AY54" s="1703"/>
      <c r="AZ54" s="1703"/>
      <c r="BA54" s="1703"/>
      <c r="BB54" s="1703"/>
      <c r="BC54" s="1703"/>
      <c r="BD54" s="1703"/>
      <c r="BE54" s="1703"/>
      <c r="BF54" s="1703"/>
      <c r="BG54" s="1703"/>
      <c r="BH54" s="1703"/>
      <c r="BI54" s="1703"/>
      <c r="BJ54" s="1703"/>
      <c r="BK54" s="1703"/>
      <c r="BL54" s="1703"/>
      <c r="BM54" s="1703"/>
      <c r="BN54" s="1703"/>
      <c r="BO54" s="1703"/>
      <c r="BP54" s="1703"/>
      <c r="BQ54" s="1703"/>
      <c r="BR54" s="1703"/>
      <c r="BS54" s="1703"/>
      <c r="BT54" s="1703"/>
      <c r="BU54" s="1703"/>
      <c r="BV54" s="1703"/>
      <c r="BW54" s="277"/>
    </row>
    <row r="55" spans="1:75" x14ac:dyDescent="0.25">
      <c r="A55" s="1704" t="s">
        <v>810</v>
      </c>
      <c r="B55" s="1704"/>
      <c r="C55" s="1704"/>
      <c r="D55" s="1704"/>
      <c r="E55" s="1704"/>
      <c r="F55" s="1704"/>
      <c r="G55" s="1704"/>
      <c r="H55" s="1704"/>
      <c r="I55" s="1704" t="s">
        <v>803</v>
      </c>
      <c r="J55" s="1704"/>
      <c r="K55" s="1704"/>
      <c r="L55" s="1704"/>
      <c r="M55" s="1705" t="s">
        <v>804</v>
      </c>
      <c r="N55" s="1705"/>
      <c r="O55" s="1705"/>
      <c r="P55" s="1705"/>
      <c r="Q55" s="1705"/>
      <c r="R55" s="1706" t="s">
        <v>805</v>
      </c>
      <c r="S55" s="1707"/>
      <c r="T55" s="1707"/>
      <c r="U55" s="1707"/>
      <c r="V55" s="1708"/>
      <c r="W55" s="1709" t="s">
        <v>829</v>
      </c>
      <c r="X55" s="1709"/>
      <c r="Y55" s="1709"/>
      <c r="Z55" s="1709"/>
      <c r="AA55" s="977" t="s">
        <v>839</v>
      </c>
      <c r="AB55" s="977"/>
      <c r="AC55" s="977"/>
      <c r="AD55" s="977"/>
      <c r="AE55" s="1683" t="s">
        <v>840</v>
      </c>
      <c r="AF55" s="1683"/>
      <c r="AG55" s="1683"/>
      <c r="AH55" s="1683"/>
      <c r="AI55" s="977" t="s">
        <v>849</v>
      </c>
      <c r="AJ55" s="977"/>
      <c r="AK55" s="977"/>
      <c r="AL55" s="977"/>
      <c r="AM55" s="1683" t="s">
        <v>841</v>
      </c>
      <c r="AN55" s="1683"/>
      <c r="AO55" s="1683"/>
      <c r="AP55" s="1683"/>
      <c r="AQ55" s="1681" t="s">
        <v>842</v>
      </c>
      <c r="AR55" s="1681"/>
      <c r="AS55" s="1681"/>
      <c r="AT55" s="1681"/>
      <c r="AU55" s="1682" t="s">
        <v>843</v>
      </c>
      <c r="AV55" s="1682"/>
      <c r="AW55" s="1682"/>
      <c r="AX55" s="1682"/>
      <c r="AY55" s="1681" t="s">
        <v>850</v>
      </c>
      <c r="AZ55" s="1681"/>
      <c r="BA55" s="1681"/>
      <c r="BB55" s="1681"/>
      <c r="BC55" s="1682" t="s">
        <v>844</v>
      </c>
      <c r="BD55" s="1682"/>
      <c r="BE55" s="1682"/>
      <c r="BF55" s="1682"/>
      <c r="BG55" s="1677" t="s">
        <v>845</v>
      </c>
      <c r="BH55" s="1677"/>
      <c r="BI55" s="1677"/>
      <c r="BJ55" s="1677"/>
      <c r="BK55" s="1676" t="s">
        <v>846</v>
      </c>
      <c r="BL55" s="1676"/>
      <c r="BM55" s="1676"/>
      <c r="BN55" s="1676"/>
      <c r="BO55" s="1677" t="s">
        <v>847</v>
      </c>
      <c r="BP55" s="1677"/>
      <c r="BQ55" s="1677"/>
      <c r="BR55" s="1677"/>
      <c r="BS55" s="1676" t="s">
        <v>848</v>
      </c>
      <c r="BT55" s="1676"/>
      <c r="BU55" s="1676"/>
      <c r="BV55" s="1676"/>
      <c r="BW55" s="277"/>
    </row>
    <row r="56" spans="1:75" x14ac:dyDescent="0.25">
      <c r="A56" s="1619" t="s">
        <v>811</v>
      </c>
      <c r="B56" s="1619"/>
      <c r="C56" s="1619"/>
      <c r="D56" s="1619"/>
      <c r="E56" s="1619"/>
      <c r="F56" s="1619"/>
      <c r="G56" s="1619"/>
      <c r="H56" s="1619"/>
      <c r="I56" s="1585">
        <f>'GRANTEE SET UP INFO &amp; DATE '!C11</f>
        <v>0</v>
      </c>
      <c r="J56" s="1585"/>
      <c r="K56" s="1585"/>
      <c r="L56" s="1585"/>
      <c r="M56" s="1591">
        <f>'GRANTEE SET UP INFO &amp; DATE '!F11</f>
        <v>0</v>
      </c>
      <c r="N56" s="1586"/>
      <c r="O56" s="1586"/>
      <c r="P56" s="1586"/>
      <c r="Q56" s="1586"/>
      <c r="R56" s="1591" t="e">
        <f>'GRANTEE SET UP INFO &amp; DATE '!#REF!</f>
        <v>#REF!</v>
      </c>
      <c r="S56" s="1586"/>
      <c r="T56" s="1586"/>
      <c r="U56" s="1586"/>
      <c r="V56" s="1586"/>
      <c r="W56" s="1647">
        <f>COUNTIFS(TRAINING!B12:B5000,"&gt;=07/01/2000",TRAINING!B12:B5000,"&lt;=09/30/2019",TRAINING!D12:D5000,"Other (Specify in Notes)",TRAINING!AN12:AN5000,"YES")</f>
        <v>0</v>
      </c>
      <c r="X56" s="1647"/>
      <c r="Y56" s="1647"/>
      <c r="Z56" s="1647"/>
      <c r="AA56" s="1588">
        <f>COUNTIFS(TRAINING!B12:B5000,"&gt;=10/01/2019",TRAINING!B12:B5000,"&lt;=12/31/2019",TRAINING!D12:D5000,"Other (Specify in Notes)",TRAINING!AN12:AN5000,"YES")</f>
        <v>0</v>
      </c>
      <c r="AB56" s="1588"/>
      <c r="AC56" s="1588"/>
      <c r="AD56" s="1588"/>
      <c r="AE56" s="1586">
        <f>COUNTIFS(TRAINING!B12:B5000,"&gt;=01/01/2020",TRAINING!B12:B5000,"&lt;=03/31/2020",TRAINING!D12:D5000,"Other (Specify in Notes)",TRAINING!AN12:AN5000,"YES")</f>
        <v>0</v>
      </c>
      <c r="AF56" s="1586"/>
      <c r="AG56" s="1586"/>
      <c r="AH56" s="1586"/>
      <c r="AI56" s="1588">
        <f>COUNTIFS(TRAINING!B12:B5000,"&gt;=04/01/2020",TRAINING!B12:B5000,"&lt;=06/30/2020",TRAINING!D12:D5000,"Other (Specify in Notes)",TRAINING!AN12:AN5000,"YES")</f>
        <v>0</v>
      </c>
      <c r="AJ56" s="1588"/>
      <c r="AK56" s="1588"/>
      <c r="AL56" s="1588"/>
      <c r="AM56" s="1586">
        <f>COUNTIFS(TRAINING!B12:B5000,"&gt;=07/01/2020",TRAINING!B12:B5000,"&lt;=09/30/2020",TRAINING!D12:D5000,"Other (Specify in Notes)",TRAINING!AN12:AN5000,"YES")</f>
        <v>0</v>
      </c>
      <c r="AN56" s="1586"/>
      <c r="AO56" s="1586"/>
      <c r="AP56" s="1586"/>
      <c r="AQ56" s="1641">
        <f>COUNTIFS(TRAINING!B12:B5000,"&gt;=10/01/2020",TRAINING!B12:B5000,"&lt;=12/31/2020",TRAINING!D12:D5000,"Other (Specify in Notes)",TRAINING!AN12:AN5000,"YES")</f>
        <v>0</v>
      </c>
      <c r="AR56" s="1641"/>
      <c r="AS56" s="1641"/>
      <c r="AT56" s="1641"/>
      <c r="AU56" s="1642">
        <f>COUNTIFS(TRAINING!B12:B5000,"&gt;=01/01/2021",TRAINING!B12:B5000,"&lt;=03/31/2021",TRAINING!D12:D5000,"Other (Specify in Notes)",TRAINING!AN12:AN5000,"YES")</f>
        <v>0</v>
      </c>
      <c r="AV56" s="1642"/>
      <c r="AW56" s="1642"/>
      <c r="AX56" s="1642"/>
      <c r="AY56" s="1641">
        <f>COUNTIFS(TRAINING!B12:B5000,"&gt;=04/01/2020",TRAINING!B12:B5000,"&lt;=06/30/2020",TRAINING!D12:D5000,"Other (Specify in Notes)",TRAINING!AN12:AN5000,"YES")</f>
        <v>0</v>
      </c>
      <c r="AZ56" s="1641"/>
      <c r="BA56" s="1641"/>
      <c r="BB56" s="1641"/>
      <c r="BC56" s="1642">
        <f>COUNTIFS(TRAINING!B12:B5000,"&gt;=07/01/2021",TRAINING!B12:B5000,"&lt;=09/30/2021",TRAINING!D12:D5000,"Other (Specify in Notes)",TRAINING!AN12:AN5000,"YES")</f>
        <v>0</v>
      </c>
      <c r="BD56" s="1642"/>
      <c r="BE56" s="1642"/>
      <c r="BF56" s="1642"/>
      <c r="BG56" s="1635">
        <f>COUNTIFS(TRAINING!B12:B5000,"&gt;=10/01/2021",TRAINING!B12:B5000,"&lt;=12/31/2021",TRAINING!D12:D5000,"Other (Specify in Notes)",TRAINING!AN12:AN5000,"YES")</f>
        <v>0</v>
      </c>
      <c r="BH56" s="1635"/>
      <c r="BI56" s="1635"/>
      <c r="BJ56" s="1635"/>
      <c r="BK56" s="1636">
        <f>COUNTIFS(TRAINING!B12:B5000,"&gt;=01/01/2022",TRAINING!B12:B5000,"&lt;=03/31/2022",TRAINING!D12:D5000,"Other (Specify in Notes)",TRAINING!AN12:AN5000,"YES")</f>
        <v>0</v>
      </c>
      <c r="BL56" s="1636"/>
      <c r="BM56" s="1636"/>
      <c r="BN56" s="1636"/>
      <c r="BO56" s="1635">
        <f>COUNTIFS(TRAINING!B12:B5000,"&gt;=04/01/2022",TRAINING!B12:B5000,"&lt;=06/30/2022",TRAINING!D12:D5000,"Other (Specify in Notes)",TRAINING!AN12:AN5000,"YES")</f>
        <v>0</v>
      </c>
      <c r="BP56" s="1635"/>
      <c r="BQ56" s="1635"/>
      <c r="BR56" s="1635"/>
      <c r="BS56" s="1636">
        <f>COUNTIFS(TRAINING!B12:B5000,"&gt;=07/01/2022",TRAINING!B12:B5000,"&lt;=09/30/2022",TRAINING!D12:D5000,"Other (Specify in Notes)",TRAINING!AN12:AN5000,"YES")</f>
        <v>0</v>
      </c>
      <c r="BT56" s="1636"/>
      <c r="BU56" s="1636"/>
      <c r="BV56" s="1636"/>
      <c r="BW56" s="277"/>
    </row>
    <row r="57" spans="1:75" x14ac:dyDescent="0.25">
      <c r="A57" s="1619" t="s">
        <v>812</v>
      </c>
      <c r="B57" s="1619"/>
      <c r="C57" s="1619"/>
      <c r="D57" s="1619"/>
      <c r="E57" s="1619"/>
      <c r="F57" s="1619"/>
      <c r="G57" s="1619"/>
      <c r="H57" s="1619"/>
      <c r="I57" s="1585">
        <f>'GRANTEE SET UP INFO &amp; DATE '!C12</f>
        <v>0</v>
      </c>
      <c r="J57" s="1585"/>
      <c r="K57" s="1585"/>
      <c r="L57" s="1585"/>
      <c r="M57" s="1591">
        <f>'GRANTEE SET UP INFO &amp; DATE '!F12</f>
        <v>0</v>
      </c>
      <c r="N57" s="1586"/>
      <c r="O57" s="1586"/>
      <c r="P57" s="1586"/>
      <c r="Q57" s="1586"/>
      <c r="R57" s="1591" t="e">
        <f>'GRANTEE SET UP INFO &amp; DATE '!#REF!</f>
        <v>#REF!</v>
      </c>
      <c r="S57" s="1586"/>
      <c r="T57" s="1586"/>
      <c r="U57" s="1586"/>
      <c r="V57" s="1586"/>
      <c r="W57" s="1647">
        <f>COUNTIFS(TRAINING!B12:B5000,"&gt;=07/01/2000",TRAINING!B12:B5000,"&lt;=09/30/2019",TRAINING!D12:D5000,"Other (Specify in Notes)",TRAINING!AO12:AO5000,"YES")</f>
        <v>0</v>
      </c>
      <c r="X57" s="1647"/>
      <c r="Y57" s="1647"/>
      <c r="Z57" s="1647"/>
      <c r="AA57" s="1588">
        <f>COUNTIFS(TRAINING!B12:B5000,"&gt;=10/01/2019",TRAINING!B12:B5000,"&lt;=12/31/2019",TRAINING!D12:D5000,"Other (Specify in Notes)",TRAINING!AO12:AO5000,"YES")</f>
        <v>0</v>
      </c>
      <c r="AB57" s="1588"/>
      <c r="AC57" s="1588"/>
      <c r="AD57" s="1588"/>
      <c r="AE57" s="1586">
        <f>COUNTIFS(TRAINING!B12:B5000,"&gt;=01/01/2020",TRAINING!B12:B5000,"&lt;=03/31/2020",TRAINING!D12:D5000,"Other (Specify in Notes)",TRAINING!AO12:AO5000,"YES")</f>
        <v>0</v>
      </c>
      <c r="AF57" s="1586"/>
      <c r="AG57" s="1586"/>
      <c r="AH57" s="1586"/>
      <c r="AI57" s="1588">
        <f>COUNTIFS(TRAINING!B12:B5000,"&gt;=04/01/2020",TRAINING!B12:B5000,"&lt;=06/30/2020",TRAINING!D12:D5000,"Other (Specify in Notes)",TRAINING!AO12:AO5000,"YES")</f>
        <v>0</v>
      </c>
      <c r="AJ57" s="1588"/>
      <c r="AK57" s="1588"/>
      <c r="AL57" s="1588"/>
      <c r="AM57" s="1586">
        <f>COUNTIFS(TRAINING!B12:B5000,"&gt;=07/01/2020",TRAINING!B12:B5000,"&lt;=09/30/2020",TRAINING!D12:D5000,"Other (Specify in Notes)",TRAINING!AO12:AO5000,"YES")</f>
        <v>0</v>
      </c>
      <c r="AN57" s="1586"/>
      <c r="AO57" s="1586"/>
      <c r="AP57" s="1586"/>
      <c r="AQ57" s="1641">
        <f>COUNTIFS(TRAINING!B12:B5000,"&gt;=10/01/2020",TRAINING!B12:B5000,"&lt;=12/31/2020",TRAINING!D12:D5000,"Other (Specify in Notes)",TRAINING!AO12:AO5000,"YES")</f>
        <v>0</v>
      </c>
      <c r="AR57" s="1641"/>
      <c r="AS57" s="1641"/>
      <c r="AT57" s="1641"/>
      <c r="AU57" s="1642">
        <f>COUNTIFS(TRAINING!B12:B5000,"&gt;=01/01/2021",TRAINING!B12:B5000,"&lt;=03/31/2021",TRAINING!D12:D5000,"Other (Specify in Notes)",TRAINING!AO12:AO5000,"YES")</f>
        <v>0</v>
      </c>
      <c r="AV57" s="1642"/>
      <c r="AW57" s="1642"/>
      <c r="AX57" s="1642"/>
      <c r="AY57" s="1641">
        <f>COUNTIFS(TRAINING!B12:B5000,"&gt;=04/01/2020",TRAINING!B12:B5000,"&lt;=06/30/2020",TRAINING!D12:D5000,"Other (Specify in Notes)",TRAINING!AO12:AO5000,"YES")</f>
        <v>0</v>
      </c>
      <c r="AZ57" s="1641"/>
      <c r="BA57" s="1641"/>
      <c r="BB57" s="1641"/>
      <c r="BC57" s="1642">
        <f>COUNTIFS(TRAINING!B12:B5000,"&gt;=07/01/2021",TRAINING!B12:B5000,"&lt;=09/30/2021",TRAINING!D12:D5000,"Other (Specify in Notes)",TRAINING!AO12:AO5000,"YES")</f>
        <v>0</v>
      </c>
      <c r="BD57" s="1642"/>
      <c r="BE57" s="1642"/>
      <c r="BF57" s="1642"/>
      <c r="BG57" s="1635">
        <f>COUNTIFS(TRAINING!B12:B5000,"&gt;=10/01/2021",TRAINING!B12:B5000,"&lt;=12/31/2021",TRAINING!D12:D5000,"Other (Specify in Notes)",TRAINING!AO12:AO5000,"YES")</f>
        <v>0</v>
      </c>
      <c r="BH57" s="1635"/>
      <c r="BI57" s="1635"/>
      <c r="BJ57" s="1635"/>
      <c r="BK57" s="1636">
        <f>COUNTIFS(TRAINING!B12:B5000,"&gt;=01/01/2022",TRAINING!B12:B5000,"&lt;=03/31/2022",TRAINING!D12:D5000,"Other (Specify in Notes)",TRAINING!AO12:AO5000,"YES")</f>
        <v>0</v>
      </c>
      <c r="BL57" s="1636"/>
      <c r="BM57" s="1636"/>
      <c r="BN57" s="1636"/>
      <c r="BO57" s="1635">
        <f>COUNTIFS(TRAINING!B12:B5000,"&gt;=04/01/2022",TRAINING!B12:B5000,"&lt;=06/30/2022",TRAINING!D12:D5000,"Other (Specify in Notes)",TRAINING!AO12:AO5000,"YES")</f>
        <v>0</v>
      </c>
      <c r="BP57" s="1635"/>
      <c r="BQ57" s="1635"/>
      <c r="BR57" s="1635"/>
      <c r="BS57" s="1636">
        <f>COUNTIFS(TRAINING!B12:B5000,"&gt;=07/01/2022",TRAINING!B12:B5000,"&lt;=09/30/2022",TRAINING!D12:D5000,"Other (Specify in Notes)",TRAINING!AO12:AO5000,"YES")</f>
        <v>0</v>
      </c>
      <c r="BT57" s="1636"/>
      <c r="BU57" s="1636"/>
      <c r="BV57" s="1636"/>
      <c r="BW57" s="277"/>
    </row>
    <row r="58" spans="1:75" x14ac:dyDescent="0.25">
      <c r="A58" s="1619" t="s">
        <v>813</v>
      </c>
      <c r="B58" s="1619"/>
      <c r="C58" s="1619"/>
      <c r="D58" s="1619"/>
      <c r="E58" s="1619"/>
      <c r="F58" s="1619"/>
      <c r="G58" s="1619"/>
      <c r="H58" s="1619"/>
      <c r="I58" s="1585">
        <f>'GRANTEE SET UP INFO &amp; DATE '!C13</f>
        <v>0</v>
      </c>
      <c r="J58" s="1585"/>
      <c r="K58" s="1585"/>
      <c r="L58" s="1585"/>
      <c r="M58" s="1591">
        <f>'GRANTEE SET UP INFO &amp; DATE '!F13</f>
        <v>0</v>
      </c>
      <c r="N58" s="1586"/>
      <c r="O58" s="1586"/>
      <c r="P58" s="1586"/>
      <c r="Q58" s="1586"/>
      <c r="R58" s="1591" t="e">
        <f>'GRANTEE SET UP INFO &amp; DATE '!#REF!</f>
        <v>#REF!</v>
      </c>
      <c r="S58" s="1586"/>
      <c r="T58" s="1586"/>
      <c r="U58" s="1586"/>
      <c r="V58" s="1586"/>
      <c r="W58" s="1647">
        <f>COUNTIFS(TRAINING!B12:B5000,"&gt;=07/01/2000",TRAINING!B12:B5000,"&lt;=09/30/2019",TRAINING!D12:D5000,"Other (Specify in Notes)",TRAINING!AP12:AP5000,"YES")</f>
        <v>0</v>
      </c>
      <c r="X58" s="1647"/>
      <c r="Y58" s="1647"/>
      <c r="Z58" s="1647"/>
      <c r="AA58" s="1588">
        <f>COUNTIFS(TRAINING!B12:B5000,"&gt;=10/01/2019",TRAINING!B12:B5000,"&lt;=12/31/2019",TRAINING!D12:D5000,"Other (Specify in Notes)",TRAINING!AP12:AP5000,"YES")</f>
        <v>0</v>
      </c>
      <c r="AB58" s="1588"/>
      <c r="AC58" s="1588"/>
      <c r="AD58" s="1588"/>
      <c r="AE58" s="1586">
        <f>COUNTIFS(TRAINING!B12:B5000,"&gt;=01/01/2020",TRAINING!B12:B5000,"&lt;=03/31/2020",TRAINING!D12:D5000,"Other (Specify in Notes)",TRAINING!AP12:AP5000,"YES")</f>
        <v>0</v>
      </c>
      <c r="AF58" s="1586"/>
      <c r="AG58" s="1586"/>
      <c r="AH58" s="1586"/>
      <c r="AI58" s="1588">
        <f>COUNTIFS(TRAINING!B12:B5000,"&gt;=04/01/2020",TRAINING!B12:B5000,"&lt;=06/30/2020",TRAINING!D12:D5000,"Other (Specify in Notes)",TRAINING!AP12:AP5000,"YES")</f>
        <v>0</v>
      </c>
      <c r="AJ58" s="1588"/>
      <c r="AK58" s="1588"/>
      <c r="AL58" s="1588"/>
      <c r="AM58" s="1586">
        <f>COUNTIFS(TRAINING!B12:B5000,"&gt;=07/01/2020",TRAINING!B12:B5000,"&lt;=09/30/2020",TRAINING!D12:D5000,"Other (Specify in Notes)",TRAINING!AP12:AP5000,"YES")</f>
        <v>0</v>
      </c>
      <c r="AN58" s="1586"/>
      <c r="AO58" s="1586"/>
      <c r="AP58" s="1586"/>
      <c r="AQ58" s="1641">
        <f>COUNTIFS(TRAINING!B12:B5000,"&gt;=10/01/2020",TRAINING!B12:B5000,"&lt;=12/31/2020",TRAINING!D12:D5000,"Other (Specify in Notes)",TRAINING!AP12:AP5000,"YES")</f>
        <v>0</v>
      </c>
      <c r="AR58" s="1641"/>
      <c r="AS58" s="1641"/>
      <c r="AT58" s="1641"/>
      <c r="AU58" s="1642">
        <f>COUNTIFS(TRAINING!B12:B5000,"&gt;=01/01/2021",TRAINING!B12:B5000,"&lt;=03/31/2021",TRAINING!D12:D5000,"Other (Specify in Notes)",TRAINING!AP12:AP5000,"YES")</f>
        <v>0</v>
      </c>
      <c r="AV58" s="1642"/>
      <c r="AW58" s="1642"/>
      <c r="AX58" s="1642"/>
      <c r="AY58" s="1641">
        <f>COUNTIFS(TRAINING!B12:B5000,"&gt;=04/01/2020",TRAINING!B12:B5000,"&lt;=06/30/2020",TRAINING!D12:D5000,"Other (Specify in Notes)",TRAINING!AP12:AP5000,"YES")</f>
        <v>0</v>
      </c>
      <c r="AZ58" s="1641"/>
      <c r="BA58" s="1641"/>
      <c r="BB58" s="1641"/>
      <c r="BC58" s="1642">
        <f>COUNTIFS(TRAINING!B12:B5000,"&gt;=07/01/2021",TRAINING!B12:B5000,"&lt;=09/30/2021",TRAINING!D12:D5000,"Other (Specify in Notes)",TRAINING!AP12:AP5000,"YES")</f>
        <v>0</v>
      </c>
      <c r="BD58" s="1642"/>
      <c r="BE58" s="1642"/>
      <c r="BF58" s="1642"/>
      <c r="BG58" s="1635">
        <f>COUNTIFS(TRAINING!B12:B5000,"&gt;=10/01/2021",TRAINING!B12:B5000,"&lt;=12/31/2021",TRAINING!D12:D5000,"Other (Specify in Notes)",TRAINING!AP12:AP5000,"YES")</f>
        <v>0</v>
      </c>
      <c r="BH58" s="1635"/>
      <c r="BI58" s="1635"/>
      <c r="BJ58" s="1635"/>
      <c r="BK58" s="1636">
        <f>COUNTIFS(TRAINING!B12:B5000,"&gt;=01/01/2022",TRAINING!B12:B5000,"&lt;=03/31/2022",TRAINING!D12:D5000,"Other (Specify in Notes)",TRAINING!AP12:AP5000,"YES")</f>
        <v>0</v>
      </c>
      <c r="BL58" s="1636"/>
      <c r="BM58" s="1636"/>
      <c r="BN58" s="1636"/>
      <c r="BO58" s="1635">
        <f>COUNTIFS(TRAINING!B12:B5000,"&gt;=04/01/2022",TRAINING!B12:B5000,"&lt;=06/30/2022",TRAINING!D12:D5000,"Other (Specify in Notes)",TRAINING!AP12:AP5000,"YES")</f>
        <v>0</v>
      </c>
      <c r="BP58" s="1635"/>
      <c r="BQ58" s="1635"/>
      <c r="BR58" s="1635"/>
      <c r="BS58" s="1636">
        <f>COUNTIFS(TRAINING!B12:B5000,"&gt;=07/01/2022",TRAINING!B12:B5000,"&lt;=09/30/2022",TRAINING!D12:D5000,"Other (Specify in Notes)",TRAINING!AP12:AP5000,"YES")</f>
        <v>0</v>
      </c>
      <c r="BT58" s="1636"/>
      <c r="BU58" s="1636"/>
      <c r="BV58" s="1636"/>
      <c r="BW58" s="277"/>
    </row>
    <row r="59" spans="1:75" x14ac:dyDescent="0.25">
      <c r="A59" s="1619" t="s">
        <v>814</v>
      </c>
      <c r="B59" s="1619"/>
      <c r="C59" s="1619"/>
      <c r="D59" s="1619"/>
      <c r="E59" s="1619"/>
      <c r="F59" s="1619"/>
      <c r="G59" s="1619"/>
      <c r="H59" s="1619"/>
      <c r="I59" s="1585">
        <f>'GRANTEE SET UP INFO &amp; DATE '!C14</f>
        <v>0</v>
      </c>
      <c r="J59" s="1585"/>
      <c r="K59" s="1585"/>
      <c r="L59" s="1585"/>
      <c r="M59" s="1591">
        <f>'GRANTEE SET UP INFO &amp; DATE '!F14</f>
        <v>0</v>
      </c>
      <c r="N59" s="1586"/>
      <c r="O59" s="1586"/>
      <c r="P59" s="1586"/>
      <c r="Q59" s="1586"/>
      <c r="R59" s="1591" t="e">
        <f>'GRANTEE SET UP INFO &amp; DATE '!#REF!</f>
        <v>#REF!</v>
      </c>
      <c r="S59" s="1586"/>
      <c r="T59" s="1586"/>
      <c r="U59" s="1586"/>
      <c r="V59" s="1586"/>
      <c r="W59" s="1647">
        <f>COUNTIFS(TRAINING!B12:B5000,"&gt;=07/01/2000",TRAINING!B12:B5000,"&lt;=09/30/2019",TRAINING!D12:D5000,"Other (Specify in Notes)",TRAINING!AQ12:AQ5000,"YES")</f>
        <v>0</v>
      </c>
      <c r="X59" s="1647"/>
      <c r="Y59" s="1647"/>
      <c r="Z59" s="1647"/>
      <c r="AA59" s="1588">
        <f>COUNTIFS(TRAINING!B12:B5000,"&gt;=10/01/2019",TRAINING!B12:B5000,"&lt;=12/31/2019",TRAINING!D12:D5000,"Other (Specify in Notes)",TRAINING!AQ12:AQ5000,"YES")</f>
        <v>0</v>
      </c>
      <c r="AB59" s="1588"/>
      <c r="AC59" s="1588"/>
      <c r="AD59" s="1588"/>
      <c r="AE59" s="1586">
        <f>COUNTIFS(TRAINING!B12:B5000,"&gt;=01/01/2020",TRAINING!B12:B5000,"&lt;=03/31/2020",TRAINING!D12:D5000,"Other (Specify in Notes)",TRAINING!AQ12:AQ5000,"YES")</f>
        <v>0</v>
      </c>
      <c r="AF59" s="1586"/>
      <c r="AG59" s="1586"/>
      <c r="AH59" s="1586"/>
      <c r="AI59" s="1588">
        <f>COUNTIFS(TRAINING!B12:B5000,"&gt;=04/01/2020",TRAINING!B12:B5000,"&lt;=06/30/2020",TRAINING!D12:D5000,"Other (Specify in Notes)",TRAINING!AQ12:AQ5000,"YES")</f>
        <v>0</v>
      </c>
      <c r="AJ59" s="1588"/>
      <c r="AK59" s="1588"/>
      <c r="AL59" s="1588"/>
      <c r="AM59" s="1586">
        <f>COUNTIFS(TRAINING!B12:B5000,"&gt;=07/01/2020",TRAINING!B12:B5000,"&lt;=09/30/2020",TRAINING!D12:D5000,"Other (Specify in Notes)",TRAINING!AQ12:AQ5000,"YES")</f>
        <v>0</v>
      </c>
      <c r="AN59" s="1586"/>
      <c r="AO59" s="1586"/>
      <c r="AP59" s="1586"/>
      <c r="AQ59" s="1641">
        <f>COUNTIFS(TRAINING!B12:B5000,"&gt;=10/01/2020",TRAINING!B12:B5000,"&lt;=12/31/2020",TRAINING!D12:D5000,"Other (Specify in Notes)",TRAINING!AQ12:AQ5000,"YES")</f>
        <v>0</v>
      </c>
      <c r="AR59" s="1641"/>
      <c r="AS59" s="1641"/>
      <c r="AT59" s="1641"/>
      <c r="AU59" s="1642">
        <f>COUNTIFS(TRAINING!B12:B5000,"&gt;=01/01/2021",TRAINING!B12:B5000,"&lt;=03/31/2021",TRAINING!D12:D5000,"Other (Specify in Notes)",TRAINING!AQ12:AQ5000,"YES")</f>
        <v>0</v>
      </c>
      <c r="AV59" s="1642"/>
      <c r="AW59" s="1642"/>
      <c r="AX59" s="1642"/>
      <c r="AY59" s="1641">
        <f>COUNTIFS(TRAINING!B12:B5000,"&gt;=04/01/2020",TRAINING!B12:B5000,"&lt;=06/30/2020",TRAINING!D12:D5000,"Other (Specify in Notes)",TRAINING!AQ12:AQ5000,"YES")</f>
        <v>0</v>
      </c>
      <c r="AZ59" s="1641"/>
      <c r="BA59" s="1641"/>
      <c r="BB59" s="1641"/>
      <c r="BC59" s="1642">
        <f>COUNTIFS(TRAINING!B12:B5000,"&gt;=07/01/2021",TRAINING!B12:B5000,"&lt;=09/30/2021",TRAINING!D12:D5000,"Other (Specify in Notes)",TRAINING!AQ12:AQ5000,"YES")</f>
        <v>0</v>
      </c>
      <c r="BD59" s="1642"/>
      <c r="BE59" s="1642"/>
      <c r="BF59" s="1642"/>
      <c r="BG59" s="1635">
        <f>COUNTIFS(TRAINING!B12:B5000,"&gt;=10/01/2021",TRAINING!B12:B5000,"&lt;=12/31/2021",TRAINING!D12:D5000,"Other (Specify in Notes)",TRAINING!AQ12:AQ5000,"YES")</f>
        <v>0</v>
      </c>
      <c r="BH59" s="1635"/>
      <c r="BI59" s="1635"/>
      <c r="BJ59" s="1635"/>
      <c r="BK59" s="1636">
        <f>COUNTIFS(TRAINING!B12:B5000,"&gt;=01/01/2022",TRAINING!B12:B5000,"&lt;=03/31/2022",TRAINING!D12:D5000,"Other (Specify in Notes)",TRAINING!AQ12:AQ5000,"YES")</f>
        <v>0</v>
      </c>
      <c r="BL59" s="1636"/>
      <c r="BM59" s="1636"/>
      <c r="BN59" s="1636"/>
      <c r="BO59" s="1635">
        <f>COUNTIFS(TRAINING!B12:B5000,"&gt;=04/01/2022",TRAINING!B12:B5000,"&lt;=06/30/2022",TRAINING!D12:D5000,"Other (Specify in Notes)",TRAINING!AQ12:AQ5000,"YES")</f>
        <v>0</v>
      </c>
      <c r="BP59" s="1635"/>
      <c r="BQ59" s="1635"/>
      <c r="BR59" s="1635"/>
      <c r="BS59" s="1636">
        <f>COUNTIFS(TRAINING!B12:B5000,"&gt;=07/01/2022",TRAINING!B12:B5000,"&lt;=09/30/2022",TRAINING!D12:D5000,"Other (Specify in Notes)",TRAINING!AQ12:AQ5000,"YES")</f>
        <v>0</v>
      </c>
      <c r="BT59" s="1636"/>
      <c r="BU59" s="1636"/>
      <c r="BV59" s="1636"/>
      <c r="BW59" s="277"/>
    </row>
    <row r="60" spans="1:75" x14ac:dyDescent="0.25">
      <c r="A60" s="1619" t="s">
        <v>815</v>
      </c>
      <c r="B60" s="1619"/>
      <c r="C60" s="1619"/>
      <c r="D60" s="1619"/>
      <c r="E60" s="1619"/>
      <c r="F60" s="1619"/>
      <c r="G60" s="1619"/>
      <c r="H60" s="1619"/>
      <c r="I60" s="1585">
        <f>'GRANTEE SET UP INFO &amp; DATE '!C15</f>
        <v>0</v>
      </c>
      <c r="J60" s="1585"/>
      <c r="K60" s="1585"/>
      <c r="L60" s="1585"/>
      <c r="M60" s="1591">
        <f>'GRANTEE SET UP INFO &amp; DATE '!F15</f>
        <v>0</v>
      </c>
      <c r="N60" s="1586"/>
      <c r="O60" s="1586"/>
      <c r="P60" s="1586"/>
      <c r="Q60" s="1586"/>
      <c r="R60" s="1591" t="e">
        <f>'GRANTEE SET UP INFO &amp; DATE '!#REF!</f>
        <v>#REF!</v>
      </c>
      <c r="S60" s="1586"/>
      <c r="T60" s="1586"/>
      <c r="U60" s="1586"/>
      <c r="V60" s="1586"/>
      <c r="W60" s="1647">
        <f>COUNTIFS(TRAINING!B12:B5000,"&gt;=07/01/2000",TRAINING!B12:B5000,"&lt;=09/30/2019",TRAINING!D12:D5000,"Other (Specify in Notes)",TRAINING!AR12:AR5000,"YES")</f>
        <v>0</v>
      </c>
      <c r="X60" s="1647"/>
      <c r="Y60" s="1647"/>
      <c r="Z60" s="1647"/>
      <c r="AA60" s="1588">
        <f>COUNTIFS(TRAINING!B12:B5000,"&gt;=10/01/2019",TRAINING!B12:B5000,"&lt;=12/31/2019",TRAINING!D12:D5000,"Other (Specify in Notes)",TRAINING!AR12:AR5000,"YES")</f>
        <v>0</v>
      </c>
      <c r="AB60" s="1588"/>
      <c r="AC60" s="1588"/>
      <c r="AD60" s="1588"/>
      <c r="AE60" s="1586">
        <f>COUNTIFS(TRAINING!B12:B5000,"&gt;=01/01/2020",TRAINING!B12:B5000,"&lt;=03/31/2020",TRAINING!D12:D5000,"Other (Specify in Notes)",TRAINING!AR12:AR5000,"YES")</f>
        <v>0</v>
      </c>
      <c r="AF60" s="1586"/>
      <c r="AG60" s="1586"/>
      <c r="AH60" s="1586"/>
      <c r="AI60" s="1588">
        <f>COUNTIFS(TRAINING!B12:B5000,"&gt;=04/01/2020",TRAINING!B12:B5000,"&lt;=06/30/2020",TRAINING!D12:D5000,"Other (Specify in Notes)",TRAINING!AR12:AR5000,"YES")</f>
        <v>0</v>
      </c>
      <c r="AJ60" s="1588"/>
      <c r="AK60" s="1588"/>
      <c r="AL60" s="1588"/>
      <c r="AM60" s="1586">
        <f>COUNTIFS(TRAINING!B12:B5000,"&gt;=07/01/2020",TRAINING!B12:B5000,"&lt;=09/30/2020",TRAINING!D12:D5000,"Other (Specify in Notes)",TRAINING!AR12:AR5000,"YES")</f>
        <v>0</v>
      </c>
      <c r="AN60" s="1586"/>
      <c r="AO60" s="1586"/>
      <c r="AP60" s="1586"/>
      <c r="AQ60" s="1641">
        <f>COUNTIFS(TRAINING!B12:B5000,"&gt;=10/01/2020",TRAINING!B12:B5000,"&lt;=12/31/2020",TRAINING!D12:D5000,"Other (Specify in Notes)",TRAINING!AR12:AR5000,"YES")</f>
        <v>0</v>
      </c>
      <c r="AR60" s="1641"/>
      <c r="AS60" s="1641"/>
      <c r="AT60" s="1641"/>
      <c r="AU60" s="1642">
        <f>COUNTIFS(TRAINING!B12:B5000,"&gt;=01/01/2021",TRAINING!B12:B5000,"&lt;=03/31/2021",TRAINING!D12:D5000,"Other (Specify in Notes)",TRAINING!AR12:AR5000,"YES")</f>
        <v>0</v>
      </c>
      <c r="AV60" s="1642"/>
      <c r="AW60" s="1642"/>
      <c r="AX60" s="1642"/>
      <c r="AY60" s="1641">
        <f>COUNTIFS(TRAINING!B12:B5000,"&gt;=04/01/2020",TRAINING!B12:B5000,"&lt;=06/30/2020",TRAINING!D12:D5000,"Other (Specify in Notes)",TRAINING!AR12:AR5000,"YES")</f>
        <v>0</v>
      </c>
      <c r="AZ60" s="1641"/>
      <c r="BA60" s="1641"/>
      <c r="BB60" s="1641"/>
      <c r="BC60" s="1642">
        <f>COUNTIFS(TRAINING!B12:B5000,"&gt;=07/01/2021",TRAINING!B12:B5000,"&lt;=09/30/2021",TRAINING!D12:D5000,"Other (Specify in Notes)",TRAINING!AR12:AR5000,"YES")</f>
        <v>0</v>
      </c>
      <c r="BD60" s="1642"/>
      <c r="BE60" s="1642"/>
      <c r="BF60" s="1642"/>
      <c r="BG60" s="1635">
        <f>COUNTIFS(TRAINING!B12:B5000,"&gt;=10/01/2021",TRAINING!B12:B5000,"&lt;=12/31/2021",TRAINING!D12:D5000,"Other (Specify in Notes)",TRAINING!AR12:AR5000,"YES")</f>
        <v>0</v>
      </c>
      <c r="BH60" s="1635"/>
      <c r="BI60" s="1635"/>
      <c r="BJ60" s="1635"/>
      <c r="BK60" s="1636">
        <f>COUNTIFS(TRAINING!B12:B5000,"&gt;=01/01/2022",TRAINING!B12:B5000,"&lt;=03/31/2022",TRAINING!D12:D5000,"Other (Specify in Notes)",TRAINING!AR12:AR5000,"YES")</f>
        <v>0</v>
      </c>
      <c r="BL60" s="1636"/>
      <c r="BM60" s="1636"/>
      <c r="BN60" s="1636"/>
      <c r="BO60" s="1635">
        <f>COUNTIFS(TRAINING!B12:B5000,"&gt;=04/01/2022",TRAINING!B12:B5000,"&lt;=06/30/2022",TRAINING!D12:D5000,"Other (Specify in Notes)",TRAINING!AR12:AR5000,"YES")</f>
        <v>0</v>
      </c>
      <c r="BP60" s="1635"/>
      <c r="BQ60" s="1635"/>
      <c r="BR60" s="1635"/>
      <c r="BS60" s="1636">
        <f>COUNTIFS(TRAINING!B12:B5000,"&gt;=07/01/2022",TRAINING!B12:B5000,"&lt;=09/30/2022",TRAINING!D12:D5000,"Other (Specify in Notes)",TRAINING!AR12:AR5000,"YES")</f>
        <v>0</v>
      </c>
      <c r="BT60" s="1636"/>
      <c r="BU60" s="1636"/>
      <c r="BV60" s="1636"/>
      <c r="BW60" s="277"/>
    </row>
    <row r="61" spans="1:75" x14ac:dyDescent="0.25">
      <c r="A61" s="1619" t="s">
        <v>816</v>
      </c>
      <c r="B61" s="1619"/>
      <c r="C61" s="1619"/>
      <c r="D61" s="1619"/>
      <c r="E61" s="1619"/>
      <c r="F61" s="1619"/>
      <c r="G61" s="1619"/>
      <c r="H61" s="1619"/>
      <c r="I61" s="1585">
        <f>'GRANTEE SET UP INFO &amp; DATE '!C16</f>
        <v>0</v>
      </c>
      <c r="J61" s="1585"/>
      <c r="K61" s="1585"/>
      <c r="L61" s="1585"/>
      <c r="M61" s="1591">
        <f>'GRANTEE SET UP INFO &amp; DATE '!F16</f>
        <v>0</v>
      </c>
      <c r="N61" s="1586"/>
      <c r="O61" s="1586"/>
      <c r="P61" s="1586"/>
      <c r="Q61" s="1586"/>
      <c r="R61" s="1591" t="e">
        <f>'GRANTEE SET UP INFO &amp; DATE '!#REF!</f>
        <v>#REF!</v>
      </c>
      <c r="S61" s="1586"/>
      <c r="T61" s="1586"/>
      <c r="U61" s="1586"/>
      <c r="V61" s="1586"/>
      <c r="W61" s="1647">
        <f>COUNTIFS(TRAINING!B12:B5000,"&gt;=07/01/2000",TRAINING!B12:B5000,"&lt;=09/30/2019",TRAINING!D12:D5000,"Other (Specify in Notes)",TRAINING!AS12:AS5000,"YES")</f>
        <v>0</v>
      </c>
      <c r="X61" s="1647"/>
      <c r="Y61" s="1647"/>
      <c r="Z61" s="1647"/>
      <c r="AA61" s="1588">
        <f>COUNTIFS(TRAINING!B12:B5000,"&gt;=10/01/2019",TRAINING!B12:B5000,"&lt;=12/31/2019",TRAINING!D12:D5000,"Other (Specify in Notes)",TRAINING!AS12:AS5000,"YES")</f>
        <v>0</v>
      </c>
      <c r="AB61" s="1588"/>
      <c r="AC61" s="1588"/>
      <c r="AD61" s="1588"/>
      <c r="AE61" s="1586">
        <f>COUNTIFS(TRAINING!B12:B5000,"&gt;=01/01/2020",TRAINING!B12:B5000,"&lt;=03/31/2020",TRAINING!D12:D5000,"Other (Specify in Notes)",TRAINING!AS12:AS5000,"YES")</f>
        <v>0</v>
      </c>
      <c r="AF61" s="1586"/>
      <c r="AG61" s="1586"/>
      <c r="AH61" s="1586"/>
      <c r="AI61" s="1588">
        <f>COUNTIFS(TRAINING!B12:B5000,"&gt;=04/01/2020",TRAINING!B12:B5000,"&lt;=06/30/2020",TRAINING!D12:D5000,"Other (Specify in Notes)",TRAINING!AS12:AS5000,"YES")</f>
        <v>0</v>
      </c>
      <c r="AJ61" s="1588"/>
      <c r="AK61" s="1588"/>
      <c r="AL61" s="1588"/>
      <c r="AM61" s="1586">
        <f>COUNTIFS(TRAINING!B12:B5000,"&gt;=07/01/2020",TRAINING!B12:B5000,"&lt;=09/30/2020",TRAINING!D12:D5000,"Other (Specify in Notes)",TRAINING!AS12:AS5000,"YES")</f>
        <v>0</v>
      </c>
      <c r="AN61" s="1586"/>
      <c r="AO61" s="1586"/>
      <c r="AP61" s="1586"/>
      <c r="AQ61" s="1641">
        <f>COUNTIFS(TRAINING!B12:B5000,"&gt;=10/01/2020",TRAINING!B12:B5000,"&lt;=12/31/2020",TRAINING!D12:D5000,"Other (Specify in Notes)",TRAINING!AS12:AS5000,"YES")</f>
        <v>0</v>
      </c>
      <c r="AR61" s="1641"/>
      <c r="AS61" s="1641"/>
      <c r="AT61" s="1641"/>
      <c r="AU61" s="1642">
        <f>COUNTIFS(TRAINING!B12:B5000,"&gt;=01/01/2021",TRAINING!B12:B5000,"&lt;=03/31/2021",TRAINING!D12:D5000,"Other (Specify in Notes)",TRAINING!AS12:AS5000,"YES")</f>
        <v>0</v>
      </c>
      <c r="AV61" s="1642"/>
      <c r="AW61" s="1642"/>
      <c r="AX61" s="1642"/>
      <c r="AY61" s="1641">
        <f>COUNTIFS(TRAINING!B12:B5000,"&gt;=04/01/2020",TRAINING!B12:B5000,"&lt;=06/30/2020",TRAINING!D12:D5000,"Other (Specify in Notes)",TRAINING!AS12:AS5000,"YES")</f>
        <v>0</v>
      </c>
      <c r="AZ61" s="1641"/>
      <c r="BA61" s="1641"/>
      <c r="BB61" s="1641"/>
      <c r="BC61" s="1642">
        <f>COUNTIFS(TRAINING!B12:B5000,"&gt;=07/01/2021",TRAINING!B12:B5000,"&lt;=09/30/2021",TRAINING!D12:D5000,"Other (Specify in Notes)",TRAINING!AS12:AS5000,"YES")</f>
        <v>0</v>
      </c>
      <c r="BD61" s="1642"/>
      <c r="BE61" s="1642"/>
      <c r="BF61" s="1642"/>
      <c r="BG61" s="1635">
        <f>COUNTIFS(TRAINING!B12:B5000,"&gt;=10/01/2021",TRAINING!B12:B5000,"&lt;=12/31/2021",TRAINING!D12:D5000,"Other (Specify in Notes)",TRAINING!AS12:AS5000,"YES")</f>
        <v>0</v>
      </c>
      <c r="BH61" s="1635"/>
      <c r="BI61" s="1635"/>
      <c r="BJ61" s="1635"/>
      <c r="BK61" s="1636">
        <f>COUNTIFS(TRAINING!B12:B5000,"&gt;=01/01/2022",TRAINING!B12:B5000,"&lt;=03/31/2022",TRAINING!D12:D5000,"Other (Specify in Notes)",TRAINING!AS12:AS5000,"YES")</f>
        <v>0</v>
      </c>
      <c r="BL61" s="1636"/>
      <c r="BM61" s="1636"/>
      <c r="BN61" s="1636"/>
      <c r="BO61" s="1635">
        <f>COUNTIFS(TRAINING!B12:B5000,"&gt;=04/01/2022",TRAINING!B12:B5000,"&lt;=06/30/2022",TRAINING!D12:D5000,"Other (Specify in Notes)",TRAINING!AS12:AS5000,"YES")</f>
        <v>0</v>
      </c>
      <c r="BP61" s="1635"/>
      <c r="BQ61" s="1635"/>
      <c r="BR61" s="1635"/>
      <c r="BS61" s="1636">
        <f>COUNTIFS(TRAINING!B12:B5000,"&gt;=07/01/2022",TRAINING!B12:B5000,"&lt;=09/30/2022",TRAINING!D12:D5000,"Other (Specify in Notes)",TRAINING!AS12:AS5000,"YES")</f>
        <v>0</v>
      </c>
      <c r="BT61" s="1636"/>
      <c r="BU61" s="1636"/>
      <c r="BV61" s="1636"/>
      <c r="BW61" s="277"/>
    </row>
    <row r="62" spans="1:75" x14ac:dyDescent="0.25">
      <c r="A62" s="1619" t="s">
        <v>817</v>
      </c>
      <c r="B62" s="1619"/>
      <c r="C62" s="1619"/>
      <c r="D62" s="1619"/>
      <c r="E62" s="1619"/>
      <c r="F62" s="1619"/>
      <c r="G62" s="1619"/>
      <c r="H62" s="1619"/>
      <c r="I62" s="1585">
        <f>'GRANTEE SET UP INFO &amp; DATE '!C17</f>
        <v>0</v>
      </c>
      <c r="J62" s="1585"/>
      <c r="K62" s="1585"/>
      <c r="L62" s="1585"/>
      <c r="M62" s="1591">
        <f>'GRANTEE SET UP INFO &amp; DATE '!F17</f>
        <v>0</v>
      </c>
      <c r="N62" s="1586"/>
      <c r="O62" s="1586"/>
      <c r="P62" s="1586"/>
      <c r="Q62" s="1586"/>
      <c r="R62" s="1591" t="e">
        <f>'GRANTEE SET UP INFO &amp; DATE '!#REF!</f>
        <v>#REF!</v>
      </c>
      <c r="S62" s="1586"/>
      <c r="T62" s="1586"/>
      <c r="U62" s="1586"/>
      <c r="V62" s="1586"/>
      <c r="W62" s="1647">
        <f>COUNTIFS(TRAINING!B12:B5000,"&gt;=07/01/2000",TRAINING!B12:B5000,"&lt;=09/30/2019",TRAINING!D12:D5000,"Other (Specify in Notes)",TRAINING!AT12:AT5000,"YES")</f>
        <v>0</v>
      </c>
      <c r="X62" s="1647"/>
      <c r="Y62" s="1647"/>
      <c r="Z62" s="1647"/>
      <c r="AA62" s="1588">
        <f>COUNTIFS(TRAINING!B12:B5000,"&gt;=10/01/2019",TRAINING!B12:B5000,"&lt;=12/31/2019",TRAINING!D12:D5000,"Other (Specify in Notes)",TRAINING!AT12:AT5000,"YES")</f>
        <v>0</v>
      </c>
      <c r="AB62" s="1588"/>
      <c r="AC62" s="1588"/>
      <c r="AD62" s="1588"/>
      <c r="AE62" s="1586">
        <f>COUNTIFS(TRAINING!B12:B5000,"&gt;=01/01/2020",TRAINING!B12:B5000,"&lt;=03/31/2020",TRAINING!D12:D5000,"Other (Specify in Notes)",TRAINING!AT12:AT5000,"YES")</f>
        <v>0</v>
      </c>
      <c r="AF62" s="1586"/>
      <c r="AG62" s="1586"/>
      <c r="AH62" s="1586"/>
      <c r="AI62" s="1588">
        <f>COUNTIFS(TRAINING!B12:B5000,"&gt;=04/01/2020",TRAINING!B12:B5000,"&lt;=06/30/2020",TRAINING!D12:D5000,"Other (Specify in Notes)",TRAINING!AT12:AT5000,"YES")</f>
        <v>0</v>
      </c>
      <c r="AJ62" s="1588"/>
      <c r="AK62" s="1588"/>
      <c r="AL62" s="1588"/>
      <c r="AM62" s="1586">
        <f>COUNTIFS(TRAINING!B12:B5000,"&gt;=07/01/2020",TRAINING!B12:B5000,"&lt;=09/30/2020",TRAINING!D12:D5000,"Other (Specify in Notes)",TRAINING!AT12:AT5000,"YES")</f>
        <v>0</v>
      </c>
      <c r="AN62" s="1586"/>
      <c r="AO62" s="1586"/>
      <c r="AP62" s="1586"/>
      <c r="AQ62" s="1641">
        <f>COUNTIFS(TRAINING!B12:B5000,"&gt;=10/01/2020",TRAINING!B12:B5000,"&lt;=12/31/2020",TRAINING!D12:D5000,"Other (Specify in Notes)",TRAINING!AT12:AT5000,"YES")</f>
        <v>0</v>
      </c>
      <c r="AR62" s="1641"/>
      <c r="AS62" s="1641"/>
      <c r="AT62" s="1641"/>
      <c r="AU62" s="1642">
        <f>COUNTIFS(TRAINING!B12:B5000,"&gt;=01/01/2021",TRAINING!B12:B5000,"&lt;=03/31/2021",TRAINING!D12:D5000,"Other (Specify in Notes)",TRAINING!AT12:AT5000,"YES")</f>
        <v>0</v>
      </c>
      <c r="AV62" s="1642"/>
      <c r="AW62" s="1642"/>
      <c r="AX62" s="1642"/>
      <c r="AY62" s="1641">
        <f>COUNTIFS(TRAINING!B12:B5000,"&gt;=04/01/2020",TRAINING!B12:B5000,"&lt;=06/30/2020",TRAINING!D12:D5000,"Other (Specify in Notes)",TRAINING!AT12:AT5000,"YES")</f>
        <v>0</v>
      </c>
      <c r="AZ62" s="1641"/>
      <c r="BA62" s="1641"/>
      <c r="BB62" s="1641"/>
      <c r="BC62" s="1642">
        <f>COUNTIFS(TRAINING!B12:B5000,"&gt;=07/01/2021",TRAINING!B12:B5000,"&lt;=09/30/2021",TRAINING!D12:D5000,"Other (Specify in Notes)",TRAINING!AT12:AT5000,"YES")</f>
        <v>0</v>
      </c>
      <c r="BD62" s="1642"/>
      <c r="BE62" s="1642"/>
      <c r="BF62" s="1642"/>
      <c r="BG62" s="1635">
        <f>COUNTIFS(TRAINING!B12:B5000,"&gt;=10/01/2021",TRAINING!B12:B5000,"&lt;=12/31/2021",TRAINING!D12:D5000,"Other (Specify in Notes)",TRAINING!AT12:AT5000,"YES")</f>
        <v>0</v>
      </c>
      <c r="BH62" s="1635"/>
      <c r="BI62" s="1635"/>
      <c r="BJ62" s="1635"/>
      <c r="BK62" s="1636">
        <f>COUNTIFS(TRAINING!B12:B5000,"&gt;=01/01/2022",TRAINING!B12:B5000,"&lt;=03/31/2022",TRAINING!D12:D5000,"Other (Specify in Notes)",TRAINING!AT12:AT5000,"YES")</f>
        <v>0</v>
      </c>
      <c r="BL62" s="1636"/>
      <c r="BM62" s="1636"/>
      <c r="BN62" s="1636"/>
      <c r="BO62" s="1635">
        <f>COUNTIFS(TRAINING!B12:B5000,"&gt;=04/01/2022",TRAINING!B12:B5000,"&lt;=06/30/2022",TRAINING!D12:D5000,"Other (Specify in Notes)",TRAINING!AT12:AT5000,"YES")</f>
        <v>0</v>
      </c>
      <c r="BP62" s="1635"/>
      <c r="BQ62" s="1635"/>
      <c r="BR62" s="1635"/>
      <c r="BS62" s="1636">
        <f>COUNTIFS(TRAINING!B12:B5000,"&gt;=07/01/2022",TRAINING!B12:B5000,"&lt;=09/30/2022",TRAINING!D12:D5000,"Other (Specify in Notes)",TRAINING!AT12:AT5000,"YES")</f>
        <v>0</v>
      </c>
      <c r="BT62" s="1636"/>
      <c r="BU62" s="1636"/>
      <c r="BV62" s="1636"/>
      <c r="BW62" s="277"/>
    </row>
    <row r="63" spans="1:75" x14ac:dyDescent="0.25">
      <c r="A63" s="1619" t="s">
        <v>818</v>
      </c>
      <c r="B63" s="1619"/>
      <c r="C63" s="1619"/>
      <c r="D63" s="1619"/>
      <c r="E63" s="1619"/>
      <c r="F63" s="1619"/>
      <c r="G63" s="1619"/>
      <c r="H63" s="1619"/>
      <c r="I63" s="1585">
        <f>'GRANTEE SET UP INFO &amp; DATE '!C18</f>
        <v>0</v>
      </c>
      <c r="J63" s="1585"/>
      <c r="K63" s="1585"/>
      <c r="L63" s="1585"/>
      <c r="M63" s="1591">
        <f>'GRANTEE SET UP INFO &amp; DATE '!F18</f>
        <v>0</v>
      </c>
      <c r="N63" s="1591"/>
      <c r="O63" s="1591"/>
      <c r="P63" s="1591"/>
      <c r="Q63" s="1591"/>
      <c r="R63" s="1591" t="e">
        <f>'GRANTEE SET UP INFO &amp; DATE '!#REF!</f>
        <v>#REF!</v>
      </c>
      <c r="S63" s="1591"/>
      <c r="T63" s="1591"/>
      <c r="U63" s="1591"/>
      <c r="V63" s="1591"/>
      <c r="W63" s="1647">
        <f>COUNTIFS(TRAINING!B12:B5000,"&gt;=07/01/2000",TRAINING!B12:B5000,"&lt;=09/30/2019",TRAINING!D12:D5000,"Other (Specify in Notes)",TRAINING!AU12:AU5000,"YES")</f>
        <v>0</v>
      </c>
      <c r="X63" s="1647"/>
      <c r="Y63" s="1647"/>
      <c r="Z63" s="1647"/>
      <c r="AA63" s="1588">
        <f>COUNTIFS(TRAINING!B12:B5000,"&gt;=10/01/2019",TRAINING!B12:B5000,"&lt;=12/31/2019",TRAINING!D12:D5000,"Other (Specify in Notes)",TRAINING!AU12:AU5000,"YES")</f>
        <v>0</v>
      </c>
      <c r="AB63" s="1588"/>
      <c r="AC63" s="1588"/>
      <c r="AD63" s="1588"/>
      <c r="AE63" s="1586">
        <f>COUNTIFS(TRAINING!B12:B5000,"&gt;=01/01/2020",TRAINING!B12:B5000,"&lt;=03/31/2020",TRAINING!D12:D5000,"Other (Specify in Notes)",TRAINING!AU12:AU5000,"YES")</f>
        <v>0</v>
      </c>
      <c r="AF63" s="1586"/>
      <c r="AG63" s="1586"/>
      <c r="AH63" s="1586"/>
      <c r="AI63" s="1588">
        <f>COUNTIFS(TRAINING!B12:B5000,"&gt;=04/01/2020",TRAINING!B12:B5000,"&lt;=06/30/2020",TRAINING!D12:D5000,"Other (Specify in Notes)",TRAINING!AU12:AU5000,"YES")</f>
        <v>0</v>
      </c>
      <c r="AJ63" s="1588"/>
      <c r="AK63" s="1588"/>
      <c r="AL63" s="1588"/>
      <c r="AM63" s="1586">
        <f>COUNTIFS(TRAINING!B12:B5000,"&gt;=07/01/2020",TRAINING!B12:B5000,"&lt;=09/30/2020",TRAINING!D12:D5000,"Other (Specify in Notes)",TRAINING!AU12:AU5000,"YES")</f>
        <v>0</v>
      </c>
      <c r="AN63" s="1586"/>
      <c r="AO63" s="1586"/>
      <c r="AP63" s="1586"/>
      <c r="AQ63" s="1641">
        <f>COUNTIFS(TRAINING!B12:B5000,"&gt;=10/01/2020",TRAINING!B12:B5000,"&lt;=12/31/2020",TRAINING!D12:D5000,"Other (Specify in Notes)",TRAINING!AU12:AU5000,"YES")</f>
        <v>0</v>
      </c>
      <c r="AR63" s="1641"/>
      <c r="AS63" s="1641"/>
      <c r="AT63" s="1641"/>
      <c r="AU63" s="1642">
        <f>COUNTIFS(TRAINING!B12:B5000,"&gt;=01/01/2021",TRAINING!B12:B5000,"&lt;=03/31/2021",TRAINING!D12:D5000,"Other (Specify in Notes)",TRAINING!AU12:AU5000,"YES")</f>
        <v>0</v>
      </c>
      <c r="AV63" s="1642"/>
      <c r="AW63" s="1642"/>
      <c r="AX63" s="1642"/>
      <c r="AY63" s="1641">
        <f>COUNTIFS(TRAINING!B12:B5000,"&gt;=04/01/2020",TRAINING!B12:B5000,"&lt;=06/30/2020",TRAINING!D12:D5000,"Other (Specify in Notes)",TRAINING!AU12:AU5000,"YES")</f>
        <v>0</v>
      </c>
      <c r="AZ63" s="1641"/>
      <c r="BA63" s="1641"/>
      <c r="BB63" s="1641"/>
      <c r="BC63" s="1642">
        <f>COUNTIFS(TRAINING!B12:B5000,"&gt;=07/01/2021",TRAINING!B12:B5000,"&lt;=09/30/2021",TRAINING!D12:D5000,"Other (Specify in Notes)",TRAINING!AU12:AU5000,"YES")</f>
        <v>0</v>
      </c>
      <c r="BD63" s="1642"/>
      <c r="BE63" s="1642"/>
      <c r="BF63" s="1642"/>
      <c r="BG63" s="1635">
        <f>COUNTIFS(TRAINING!B12:B5000,"&gt;=10/01/2021",TRAINING!B12:B5000,"&lt;=12/31/2021",TRAINING!D12:D5000,"Other (Specify in Notes)",TRAINING!AU12:AU5000,"YES")</f>
        <v>0</v>
      </c>
      <c r="BH63" s="1635"/>
      <c r="BI63" s="1635"/>
      <c r="BJ63" s="1635"/>
      <c r="BK63" s="1636">
        <f>COUNTIFS(TRAINING!B12:B5000,"&gt;=01/01/2022",TRAINING!B12:B5000,"&lt;=03/31/2022",TRAINING!D12:D5000,"Other (Specify in Notes)",TRAINING!AU12:AU5000,"YES")</f>
        <v>0</v>
      </c>
      <c r="BL63" s="1636"/>
      <c r="BM63" s="1636"/>
      <c r="BN63" s="1636"/>
      <c r="BO63" s="1635">
        <f>COUNTIFS(TRAINING!B12:B5000,"&gt;=04/01/2022",TRAINING!B12:B5000,"&lt;=06/30/2022",TRAINING!D12:D5000,"Other (Specify in Notes)",TRAINING!AU12:AU5000,"YES")</f>
        <v>0</v>
      </c>
      <c r="BP63" s="1635"/>
      <c r="BQ63" s="1635"/>
      <c r="BR63" s="1635"/>
      <c r="BS63" s="1636">
        <f>COUNTIFS(TRAINING!B12:B5000,"&gt;=07/01/2022",TRAINING!B12:B5000,"&lt;=09/30/2022",TRAINING!D12:D5000,"Other (Specify in Notes)",TRAINING!AU12:AU5000,"YES")</f>
        <v>0</v>
      </c>
      <c r="BT63" s="1636"/>
      <c r="BU63" s="1636"/>
      <c r="BV63" s="1636"/>
      <c r="BW63" s="277"/>
    </row>
    <row r="64" spans="1:75" x14ac:dyDescent="0.25">
      <c r="A64" s="1619" t="s">
        <v>819</v>
      </c>
      <c r="B64" s="1619"/>
      <c r="C64" s="1619"/>
      <c r="D64" s="1619"/>
      <c r="E64" s="1619"/>
      <c r="F64" s="1619"/>
      <c r="G64" s="1619"/>
      <c r="H64" s="1619"/>
      <c r="I64" s="1585" t="e">
        <f>'GRANTEE SET UP INFO &amp; DATE '!#REF!</f>
        <v>#REF!</v>
      </c>
      <c r="J64" s="1585"/>
      <c r="K64" s="1585"/>
      <c r="L64" s="1585"/>
      <c r="M64" s="1623" t="e">
        <f>'GRANTEE SET UP INFO &amp; DATE '!#REF!</f>
        <v>#REF!</v>
      </c>
      <c r="N64" s="1623"/>
      <c r="O64" s="1623"/>
      <c r="P64" s="1623"/>
      <c r="Q64" s="1623"/>
      <c r="R64" s="1623" t="e">
        <f>'GRANTEE SET UP INFO &amp; DATE '!#REF!</f>
        <v>#REF!</v>
      </c>
      <c r="S64" s="1623"/>
      <c r="T64" s="1623"/>
      <c r="U64" s="1623"/>
      <c r="V64" s="1623"/>
      <c r="W64" s="1647">
        <f>COUNTIFS(TRAINING!B12:B5000,"&gt;=07/01/2000",TRAINING!B12:B5000,"&lt;=09/30/2019",TRAINING!D12:D5000,"Other (Specify in Notes)",TRAINING!AV12:AV5000,"YES")</f>
        <v>0</v>
      </c>
      <c r="X64" s="1647"/>
      <c r="Y64" s="1647"/>
      <c r="Z64" s="1647"/>
      <c r="AA64" s="1588">
        <f>COUNTIFS(TRAINING!B12:B5000,"&gt;=10/01/2019",TRAINING!B12:B5000,"&lt;=12/31/2019",TRAINING!D12:D5000,"Other (Specify in Notes)",TRAINING!AV12:AV5000,"YES")</f>
        <v>0</v>
      </c>
      <c r="AB64" s="1588"/>
      <c r="AC64" s="1588"/>
      <c r="AD64" s="1588"/>
      <c r="AE64" s="1586">
        <f>COUNTIFS(TRAINING!B12:B5000,"&gt;=01/01/2020",TRAINING!B12:B5000,"&lt;=03/31/2020",TRAINING!D12:D5000,"Other (Specify in Notes)",TRAINING!AV12:AV5000,"YES")</f>
        <v>0</v>
      </c>
      <c r="AF64" s="1586"/>
      <c r="AG64" s="1586"/>
      <c r="AH64" s="1586"/>
      <c r="AI64" s="1588">
        <f>COUNTIFS(TRAINING!B12:B5000,"&gt;=04/01/2020",TRAINING!B12:B5000,"&lt;=06/30/2020",TRAINING!D12:D5000,"Other (Specify in Notes)",TRAINING!AV12:AV5000,"YES")</f>
        <v>0</v>
      </c>
      <c r="AJ64" s="1588"/>
      <c r="AK64" s="1588"/>
      <c r="AL64" s="1588"/>
      <c r="AM64" s="1586">
        <f>COUNTIFS(TRAINING!B12:B5000,"&gt;=07/01/2020",TRAINING!B12:B5000,"&lt;=09/30/2020",TRAINING!D12:D5000,"Other (Specify in Notes)",TRAINING!AV12:AV5000,"YES")</f>
        <v>0</v>
      </c>
      <c r="AN64" s="1586"/>
      <c r="AO64" s="1586"/>
      <c r="AP64" s="1586"/>
      <c r="AQ64" s="1641">
        <f>COUNTIFS(TRAINING!B12:B5000,"&gt;=10/01/2020",TRAINING!B12:B5000,"&lt;=12/31/2020",TRAINING!D12:D5000,"Other (Specify in Notes)",TRAINING!AV12:AV5000,"YES")</f>
        <v>0</v>
      </c>
      <c r="AR64" s="1641"/>
      <c r="AS64" s="1641"/>
      <c r="AT64" s="1641"/>
      <c r="AU64" s="1642">
        <f>COUNTIFS(TRAINING!B12:B5000,"&gt;=01/01/2021",TRAINING!B12:B5000,"&lt;=03/31/2021",TRAINING!D12:D5000,"Other (Specify in Notes)",TRAINING!AV12:AV5000,"YES")</f>
        <v>0</v>
      </c>
      <c r="AV64" s="1642"/>
      <c r="AW64" s="1642"/>
      <c r="AX64" s="1642"/>
      <c r="AY64" s="1641">
        <f>COUNTIFS(TRAINING!B12:B5000,"&gt;=04/01/2020",TRAINING!B12:B5000,"&lt;=06/30/2020",TRAINING!D12:D5000,"Other (Specify in Notes)",TRAINING!AV12:AV5000,"YES")</f>
        <v>0</v>
      </c>
      <c r="AZ64" s="1641"/>
      <c r="BA64" s="1641"/>
      <c r="BB64" s="1641"/>
      <c r="BC64" s="1642">
        <f>COUNTIFS(TRAINING!B12:B5000,"&gt;=07/01/2021",TRAINING!B12:B5000,"&lt;=09/30/2021",TRAINING!D12:D5000,"Other (Specify in Notes)",TRAINING!AV12:AV5000,"YES")</f>
        <v>0</v>
      </c>
      <c r="BD64" s="1642"/>
      <c r="BE64" s="1642"/>
      <c r="BF64" s="1642"/>
      <c r="BG64" s="1635">
        <f>COUNTIFS(TRAINING!B12:B5000,"&gt;=10/01/2021",TRAINING!B12:B5000,"&lt;=12/31/2021",TRAINING!D12:D5000,"Other (Specify in Notes)",TRAINING!AV12:AV5000,"YES")</f>
        <v>0</v>
      </c>
      <c r="BH64" s="1635"/>
      <c r="BI64" s="1635"/>
      <c r="BJ64" s="1635"/>
      <c r="BK64" s="1636">
        <f>COUNTIFS(TRAINING!B12:B5000,"&gt;=01/01/2022",TRAINING!B12:B5000,"&lt;=03/31/2022",TRAINING!D12:D5000,"Other (Specify in Notes)",TRAINING!AV12:AV5000,"YES")</f>
        <v>0</v>
      </c>
      <c r="BL64" s="1636"/>
      <c r="BM64" s="1636"/>
      <c r="BN64" s="1636"/>
      <c r="BO64" s="1635">
        <f>COUNTIFS(TRAINING!B12:B5000,"&gt;=04/01/2022",TRAINING!B12:B5000,"&lt;=06/30/2022",TRAINING!D12:D5000,"Other (Specify in Notes)",TRAINING!AV12:AV5000,"YES")</f>
        <v>0</v>
      </c>
      <c r="BP64" s="1635"/>
      <c r="BQ64" s="1635"/>
      <c r="BR64" s="1635"/>
      <c r="BS64" s="1636">
        <f>COUNTIFS(TRAINING!B12:B5000,"&gt;=07/01/2022",TRAINING!B12:B5000,"&lt;=09/30/2022",TRAINING!D12:D5000,"Other (Specify in Notes)",TRAINING!AV12:AV5000,"YES")</f>
        <v>0</v>
      </c>
      <c r="BT64" s="1636"/>
      <c r="BU64" s="1636"/>
      <c r="BV64" s="1636"/>
      <c r="BW64" s="277"/>
    </row>
    <row r="65" spans="1:75" x14ac:dyDescent="0.25">
      <c r="A65" s="1619" t="s">
        <v>830</v>
      </c>
      <c r="B65" s="1619"/>
      <c r="C65" s="1619"/>
      <c r="D65" s="1619"/>
      <c r="E65" s="1619"/>
      <c r="F65" s="1619"/>
      <c r="G65" s="1619"/>
      <c r="H65" s="1619"/>
      <c r="I65" s="1585" t="e">
        <f>'GRANTEE SET UP INFO &amp; DATE '!#REF!</f>
        <v>#REF!</v>
      </c>
      <c r="J65" s="1585"/>
      <c r="K65" s="1585"/>
      <c r="L65" s="1585"/>
      <c r="M65" s="1644" t="e">
        <f>'GRANTEE SET UP INFO &amp; DATE '!#REF!</f>
        <v>#REF!</v>
      </c>
      <c r="N65" s="1645"/>
      <c r="O65" s="1645"/>
      <c r="P65" s="1645"/>
      <c r="Q65" s="1646"/>
      <c r="R65" s="1592" t="e">
        <f>'GRANTEE SET UP INFO &amp; DATE '!#REF!</f>
        <v>#REF!</v>
      </c>
      <c r="S65" s="1592"/>
      <c r="T65" s="1592"/>
      <c r="U65" s="1592"/>
      <c r="V65" s="1592"/>
      <c r="W65" s="1647">
        <f>COUNTIFS(TRAINING!B12:B5000,"&gt;=07/01/2000",TRAINING!B12:B5000,"&lt;=09/30/2019",TRAINING!D12:D5000,"Other (Specify in Notes)",TRAINING!AW12:AW5000,"YES")</f>
        <v>0</v>
      </c>
      <c r="X65" s="1647"/>
      <c r="Y65" s="1647"/>
      <c r="Z65" s="1647"/>
      <c r="AA65" s="1588">
        <f>COUNTIFS(TRAINING!B12:B5000,"&gt;=10/01/2019",TRAINING!B12:B5000,"&lt;=12/31/2019",TRAINING!D12:D5000,"Other (Specify in Notes)",TRAINING!AW12:AW5000,"YES")</f>
        <v>0</v>
      </c>
      <c r="AB65" s="1588"/>
      <c r="AC65" s="1588"/>
      <c r="AD65" s="1588"/>
      <c r="AE65" s="1586">
        <f>COUNTIFS(TRAINING!B12:B5000,"&gt;=01/01/2020",TRAINING!B12:B5000,"&lt;=03/31/2020",TRAINING!D12:D5000,"Other (Specify in Notes)",TRAINING!AW12:AW5000,"YES")</f>
        <v>0</v>
      </c>
      <c r="AF65" s="1586"/>
      <c r="AG65" s="1586"/>
      <c r="AH65" s="1586"/>
      <c r="AI65" s="1588">
        <f>COUNTIFS(TRAINING!B12:B5000,"&gt;=04/01/2020",TRAINING!B12:B5000,"&lt;=06/30/2020",TRAINING!D12:D5000,"Other (Specify in Notes)",TRAINING!AW12:AW5000,"YES")</f>
        <v>0</v>
      </c>
      <c r="AJ65" s="1588"/>
      <c r="AK65" s="1588"/>
      <c r="AL65" s="1588"/>
      <c r="AM65" s="1586">
        <f>COUNTIFS(TRAINING!B12:B5000,"&gt;=07/01/2020",TRAINING!B12:B5000,"&lt;=09/30/2020",TRAINING!D12:D5000,"Other (Specify in Notes)",TRAINING!AW12:AW5000,"YES")</f>
        <v>0</v>
      </c>
      <c r="AN65" s="1586"/>
      <c r="AO65" s="1586"/>
      <c r="AP65" s="1586"/>
      <c r="AQ65" s="1641">
        <f>COUNTIFS(TRAINING!B12:B5000,"&gt;=10/01/2020",TRAINING!B12:B5000,"&lt;=12/31/2020",TRAINING!D12:D5000,"Other (Specify in Notes)",TRAINING!AW12:AW5000,"YES")</f>
        <v>0</v>
      </c>
      <c r="AR65" s="1641"/>
      <c r="AS65" s="1641"/>
      <c r="AT65" s="1641"/>
      <c r="AU65" s="1642">
        <f>COUNTIFS(TRAINING!B12:B5000,"&gt;=01/01/2021",TRAINING!B12:B5000,"&lt;=03/31/2021",TRAINING!D12:D5000,"Other (Specify in Notes)",TRAINING!AW12:AW5000,"YES")</f>
        <v>0</v>
      </c>
      <c r="AV65" s="1642"/>
      <c r="AW65" s="1642"/>
      <c r="AX65" s="1642"/>
      <c r="AY65" s="1641">
        <f>COUNTIFS(TRAINING!B12:B5000,"&gt;=04/01/2020",TRAINING!B12:B5000,"&lt;=06/30/2020",TRAINING!D12:D5000,"Other (Specify in Notes)",TRAINING!AW12:AW5000,"YES")</f>
        <v>0</v>
      </c>
      <c r="AZ65" s="1641"/>
      <c r="BA65" s="1641"/>
      <c r="BB65" s="1641"/>
      <c r="BC65" s="1642">
        <f>COUNTIFS(TRAINING!B12:B5000,"&gt;=07/01/2021",TRAINING!B12:B5000,"&lt;=09/30/2021",TRAINING!D12:D5000,"Other (Specify in Notes)",TRAINING!AW12:AW5000,"YES")</f>
        <v>0</v>
      </c>
      <c r="BD65" s="1642"/>
      <c r="BE65" s="1642"/>
      <c r="BF65" s="1642"/>
      <c r="BG65" s="1635">
        <f>COUNTIFS(TRAINING!B12:B5000,"&gt;=10/01/2021",TRAINING!B12:B5000,"&lt;=12/31/2021",TRAINING!D12:D5000,"Other (Specify in Notes)",TRAINING!AW12:AW5000,"YES")</f>
        <v>0</v>
      </c>
      <c r="BH65" s="1635"/>
      <c r="BI65" s="1635"/>
      <c r="BJ65" s="1635"/>
      <c r="BK65" s="1636">
        <f>COUNTIFS(TRAINING!B12:B5000,"&gt;=01/01/2022",TRAINING!B12:B5000,"&lt;=03/31/2022",TRAINING!D12:D5000,"Other (Specify in Notes)",TRAINING!AW12:AW5000,"YES")</f>
        <v>0</v>
      </c>
      <c r="BL65" s="1636"/>
      <c r="BM65" s="1636"/>
      <c r="BN65" s="1636"/>
      <c r="BO65" s="1635">
        <f>COUNTIFS(TRAINING!B12:B5000,"&gt;=04/01/2022",TRAINING!B12:B5000,"&lt;=06/30/2022",TRAINING!D12:D5000,"Other (Specify in Notes)",TRAINING!AW12:AW5000,"YES")</f>
        <v>0</v>
      </c>
      <c r="BP65" s="1635"/>
      <c r="BQ65" s="1635"/>
      <c r="BR65" s="1635"/>
      <c r="BS65" s="1636">
        <f>COUNTIFS(TRAINING!B12:B5000,"&gt;=07/01/2022",TRAINING!B12:B5000,"&lt;=09/30/2022",TRAINING!D12:D5000,"Other (Specify in Notes)",TRAINING!AW12:AW5000,"YES")</f>
        <v>0</v>
      </c>
      <c r="BT65" s="1636"/>
      <c r="BU65" s="1636"/>
      <c r="BV65" s="1636"/>
      <c r="BW65" s="277"/>
    </row>
    <row r="66" spans="1:75" x14ac:dyDescent="0.25">
      <c r="A66" s="1619" t="s">
        <v>831</v>
      </c>
      <c r="B66" s="1619"/>
      <c r="C66" s="1619"/>
      <c r="D66" s="1619"/>
      <c r="E66" s="1619"/>
      <c r="F66" s="1619"/>
      <c r="G66" s="1619"/>
      <c r="H66" s="1619"/>
      <c r="I66" s="1585" t="e">
        <f>'GRANTEE SET UP INFO &amp; DATE '!#REF!</f>
        <v>#REF!</v>
      </c>
      <c r="J66" s="1585"/>
      <c r="K66" s="1585"/>
      <c r="L66" s="1585"/>
      <c r="M66" s="1644" t="e">
        <f>'GRANTEE SET UP INFO &amp; DATE '!#REF!</f>
        <v>#REF!</v>
      </c>
      <c r="N66" s="1645"/>
      <c r="O66" s="1645"/>
      <c r="P66" s="1645"/>
      <c r="Q66" s="1646"/>
      <c r="R66" s="1592" t="e">
        <f>'GRANTEE SET UP INFO &amp; DATE '!#REF!</f>
        <v>#REF!</v>
      </c>
      <c r="S66" s="1592"/>
      <c r="T66" s="1592"/>
      <c r="U66" s="1592"/>
      <c r="V66" s="1592"/>
      <c r="W66" s="1647">
        <f>COUNTIFS(TRAINING!B12:B5000,"&gt;=07/01/2000",TRAINING!B12:B5000,"&lt;=09/30/2019",TRAINING!D12:D5000,"Other (Specify in Notes)",TRAINING!AX12:AX5000,"YES")</f>
        <v>0</v>
      </c>
      <c r="X66" s="1647"/>
      <c r="Y66" s="1647"/>
      <c r="Z66" s="1647"/>
      <c r="AA66" s="1588">
        <f>COUNTIFS(TRAINING!B12:B5000,"&gt;=10/01/2019",TRAINING!B12:B5000,"&lt;=12/31/2019",TRAINING!D12:D5000,"Other (Specify in Notes)",TRAINING!AX12:AX5000,"YES")</f>
        <v>0</v>
      </c>
      <c r="AB66" s="1588"/>
      <c r="AC66" s="1588"/>
      <c r="AD66" s="1588"/>
      <c r="AE66" s="1586">
        <f>COUNTIFS(TRAINING!B12:B5000,"&gt;=01/01/2020",TRAINING!B12:B5000,"&lt;=03/31/2020",TRAINING!D12:D5000,"Other (Specify in Notes)",TRAINING!AX12:AX5000,"YES")</f>
        <v>0</v>
      </c>
      <c r="AF66" s="1586"/>
      <c r="AG66" s="1586"/>
      <c r="AH66" s="1586"/>
      <c r="AI66" s="1588">
        <f>COUNTIFS(TRAINING!B12:B5000,"&gt;=04/01/2020",TRAINING!B12:B5000,"&lt;=06/30/2020",TRAINING!D12:D5000,"Other (Specify in Notes)",TRAINING!AX12:AX5000,"YES")</f>
        <v>0</v>
      </c>
      <c r="AJ66" s="1588"/>
      <c r="AK66" s="1588"/>
      <c r="AL66" s="1588"/>
      <c r="AM66" s="1586">
        <f>COUNTIFS(TRAINING!B12:B5000,"&gt;=07/01/2020",TRAINING!B12:B5000,"&lt;=09/30/2020",TRAINING!D12:D5000,"Other (Specify in Notes)",TRAINING!AX12:AX5000,"YES")</f>
        <v>0</v>
      </c>
      <c r="AN66" s="1586"/>
      <c r="AO66" s="1586"/>
      <c r="AP66" s="1586"/>
      <c r="AQ66" s="1641">
        <f>COUNTIFS(TRAINING!B12:B5000,"&gt;=10/01/2020",TRAINING!B12:B5000,"&lt;=12/31/2020",TRAINING!D12:D5000,"Other (Specify in Notes)",TRAINING!AX12:AX5000,"YES")</f>
        <v>0</v>
      </c>
      <c r="AR66" s="1641"/>
      <c r="AS66" s="1641"/>
      <c r="AT66" s="1641"/>
      <c r="AU66" s="1642">
        <f>COUNTIFS(TRAINING!B12:B5000,"&gt;=01/01/2021",TRAINING!B12:B5000,"&lt;=03/31/2021",TRAINING!D12:D5000,"Other (Specify in Notes)",TRAINING!AX12:AX5000,"YES")</f>
        <v>0</v>
      </c>
      <c r="AV66" s="1642"/>
      <c r="AW66" s="1642"/>
      <c r="AX66" s="1642"/>
      <c r="AY66" s="1641">
        <f>COUNTIFS(TRAINING!B12:B5000,"&gt;=04/01/2020",TRAINING!B12:B5000,"&lt;=06/30/2020",TRAINING!D12:D5000,"Other (Specify in Notes)",TRAINING!AX12:AX5000,"YES")</f>
        <v>0</v>
      </c>
      <c r="AZ66" s="1641"/>
      <c r="BA66" s="1641"/>
      <c r="BB66" s="1641"/>
      <c r="BC66" s="1642">
        <f>COUNTIFS(TRAINING!B12:B5000,"&gt;=07/01/2021",TRAINING!B12:B5000,"&lt;=09/30/2021",TRAINING!D12:D5000,"Other (Specify in Notes)",TRAINING!AX12:AX5000,"YES")</f>
        <v>0</v>
      </c>
      <c r="BD66" s="1642"/>
      <c r="BE66" s="1642"/>
      <c r="BF66" s="1642"/>
      <c r="BG66" s="1635">
        <f>COUNTIFS(TRAINING!B12:B5000,"&gt;=10/01/2021",TRAINING!B12:B5000,"&lt;=12/31/2021",TRAINING!D12:D5000,"Other (Specify in Notes)",TRAINING!AX12:AX5000,"YES")</f>
        <v>0</v>
      </c>
      <c r="BH66" s="1635"/>
      <c r="BI66" s="1635"/>
      <c r="BJ66" s="1635"/>
      <c r="BK66" s="1636">
        <f>COUNTIFS(TRAINING!B12:B5000,"&gt;=01/01/2022",TRAINING!B12:B5000,"&lt;=03/31/2022",TRAINING!D12:D5000,"Other (Specify in Notes)",TRAINING!AX12:AX5000,"YES")</f>
        <v>0</v>
      </c>
      <c r="BL66" s="1636"/>
      <c r="BM66" s="1636"/>
      <c r="BN66" s="1636"/>
      <c r="BO66" s="1635">
        <f>COUNTIFS(TRAINING!B12:B5000,"&gt;=04/01/2022",TRAINING!B12:B5000,"&lt;=06/30/2022",TRAINING!D12:D5000,"Other (Specify in Notes)",TRAINING!AX12:AX5000,"YES")</f>
        <v>0</v>
      </c>
      <c r="BP66" s="1635"/>
      <c r="BQ66" s="1635"/>
      <c r="BR66" s="1635"/>
      <c r="BS66" s="1636">
        <f>COUNTIFS(TRAINING!B12:B5000,"&gt;=07/01/2022",TRAINING!B12:B5000,"&lt;=09/30/2022",TRAINING!D12:D5000,"Other (Specify in Notes)",TRAINING!AX12:AX5000,"YES")</f>
        <v>0</v>
      </c>
      <c r="BT66" s="1636"/>
      <c r="BU66" s="1636"/>
      <c r="BV66" s="1636"/>
      <c r="BW66" s="277"/>
    </row>
    <row r="67" spans="1:75" x14ac:dyDescent="0.25">
      <c r="A67" s="1619" t="s">
        <v>832</v>
      </c>
      <c r="B67" s="1619"/>
      <c r="C67" s="1619"/>
      <c r="D67" s="1619"/>
      <c r="E67" s="1619"/>
      <c r="F67" s="1619"/>
      <c r="G67" s="1619"/>
      <c r="H67" s="1619"/>
      <c r="I67" s="1585" t="e">
        <f>'GRANTEE SET UP INFO &amp; DATE '!#REF!</f>
        <v>#REF!</v>
      </c>
      <c r="J67" s="1585"/>
      <c r="K67" s="1585"/>
      <c r="L67" s="1585"/>
      <c r="M67" s="1644" t="e">
        <f>'GRANTEE SET UP INFO &amp; DATE '!#REF!</f>
        <v>#REF!</v>
      </c>
      <c r="N67" s="1645"/>
      <c r="O67" s="1645"/>
      <c r="P67" s="1645"/>
      <c r="Q67" s="1646"/>
      <c r="R67" s="1592" t="e">
        <f>'GRANTEE SET UP INFO &amp; DATE '!#REF!</f>
        <v>#REF!</v>
      </c>
      <c r="S67" s="1592"/>
      <c r="T67" s="1592"/>
      <c r="U67" s="1592"/>
      <c r="V67" s="1592"/>
      <c r="W67" s="1647">
        <f>COUNTIFS(TRAINING!B12:B5000,"&gt;=07/01/2000",TRAINING!B12:B5000,"&lt;=09/30/2019",TRAINING!D12:D5000,"Other (Specify in Notes)",TRAINING!AY12:AY5000,"YES")</f>
        <v>0</v>
      </c>
      <c r="X67" s="1647"/>
      <c r="Y67" s="1647"/>
      <c r="Z67" s="1647"/>
      <c r="AA67" s="1588">
        <f>COUNTIFS(TRAINING!B12:B5000,"&gt;=10/01/2019",TRAINING!B12:B5000,"&lt;=12/31/2019",TRAINING!D12:D5000,"Other (Specify in Notes)",TRAINING!AY12:AY5000,"YES")</f>
        <v>0</v>
      </c>
      <c r="AB67" s="1588"/>
      <c r="AC67" s="1588"/>
      <c r="AD67" s="1588"/>
      <c r="AE67" s="1586">
        <f>COUNTIFS(TRAINING!B12:B5000,"&gt;=01/01/2020",TRAINING!B12:B5000,"&lt;=03/31/2020",TRAINING!D12:D5000,"Other (Specify in Notes)",TRAINING!AY12:AY5000,"YES")</f>
        <v>0</v>
      </c>
      <c r="AF67" s="1586"/>
      <c r="AG67" s="1586"/>
      <c r="AH67" s="1586"/>
      <c r="AI67" s="1588">
        <f>COUNTIFS(TRAINING!B12:B5000,"&gt;=04/01/2020",TRAINING!B12:B5000,"&lt;=06/30/2020",TRAINING!D12:D5000,"Other (Specify in Notes)",TRAINING!AY12:AY5000,"YES")</f>
        <v>0</v>
      </c>
      <c r="AJ67" s="1588"/>
      <c r="AK67" s="1588"/>
      <c r="AL67" s="1588"/>
      <c r="AM67" s="1586">
        <f>COUNTIFS(TRAINING!B12:B5000,"&gt;=07/01/2020",TRAINING!B12:B5000,"&lt;=09/30/2020",TRAINING!D12:D5000,"Other (Specify in Notes)",TRAINING!AY12:AY5000,"YES")</f>
        <v>0</v>
      </c>
      <c r="AN67" s="1586"/>
      <c r="AO67" s="1586"/>
      <c r="AP67" s="1586"/>
      <c r="AQ67" s="1641">
        <f>COUNTIFS(TRAINING!B12:B5000,"&gt;=10/01/2020",TRAINING!B12:B5000,"&lt;=12/31/2020",TRAINING!D12:D5000,"Other (Specify in Notes)",TRAINING!AY12:AY5000,"YES")</f>
        <v>0</v>
      </c>
      <c r="AR67" s="1641"/>
      <c r="AS67" s="1641"/>
      <c r="AT67" s="1641"/>
      <c r="AU67" s="1642">
        <f>COUNTIFS(TRAINING!B12:B5000,"&gt;=01/01/2021",TRAINING!B12:B5000,"&lt;=03/31/2021",TRAINING!D12:D5000,"Other (Specify in Notes)",TRAINING!AY12:AY5000,"YES")</f>
        <v>0</v>
      </c>
      <c r="AV67" s="1642"/>
      <c r="AW67" s="1642"/>
      <c r="AX67" s="1642"/>
      <c r="AY67" s="1641">
        <f>COUNTIFS(TRAINING!B12:B5000,"&gt;=04/01/2020",TRAINING!B12:B5000,"&lt;=06/30/2020",TRAINING!D12:D5000,"Other (Specify in Notes)",TRAINING!AY12:AY5000,"YES")</f>
        <v>0</v>
      </c>
      <c r="AZ67" s="1641"/>
      <c r="BA67" s="1641"/>
      <c r="BB67" s="1641"/>
      <c r="BC67" s="1642">
        <f>COUNTIFS(TRAINING!B12:B5000,"&gt;=07/01/2021",TRAINING!B12:B5000,"&lt;=09/30/2021",TRAINING!D12:D5000,"Other (Specify in Notes)",TRAINING!AY12:AY5000,"YES")</f>
        <v>0</v>
      </c>
      <c r="BD67" s="1642"/>
      <c r="BE67" s="1642"/>
      <c r="BF67" s="1642"/>
      <c r="BG67" s="1635">
        <f>COUNTIFS(TRAINING!B12:B5000,"&gt;=10/01/2021",TRAINING!B12:B5000,"&lt;=12/31/2021",TRAINING!D12:D5000,"Other (Specify in Notes)",TRAINING!AY12:AY5000,"YES")</f>
        <v>0</v>
      </c>
      <c r="BH67" s="1635"/>
      <c r="BI67" s="1635"/>
      <c r="BJ67" s="1635"/>
      <c r="BK67" s="1636">
        <f>COUNTIFS(TRAINING!B12:B5000,"&gt;=01/01/2022",TRAINING!B12:B5000,"&lt;=03/31/2022",TRAINING!D12:D5000,"Other (Specify in Notes)",TRAINING!AY12:AY5000,"YES")</f>
        <v>0</v>
      </c>
      <c r="BL67" s="1636"/>
      <c r="BM67" s="1636"/>
      <c r="BN67" s="1636"/>
      <c r="BO67" s="1635">
        <f>COUNTIFS(TRAINING!B12:B5000,"&gt;=04/01/2022",TRAINING!B12:B5000,"&lt;=06/30/2022",TRAINING!D12:D5000,"Other (Specify in Notes)",TRAINING!AY12:AY5000,"YES")</f>
        <v>0</v>
      </c>
      <c r="BP67" s="1635"/>
      <c r="BQ67" s="1635"/>
      <c r="BR67" s="1635"/>
      <c r="BS67" s="1636">
        <f>COUNTIFS(TRAINING!B12:B5000,"&gt;=07/01/2022",TRAINING!B12:B5000,"&lt;=09/30/2022",TRAINING!D12:D5000,"Other (Specify in Notes)",TRAINING!AY12:AY5000,"YES")</f>
        <v>0</v>
      </c>
      <c r="BT67" s="1636"/>
      <c r="BU67" s="1636"/>
      <c r="BV67" s="1636"/>
      <c r="BW67" s="277"/>
    </row>
    <row r="68" spans="1:75" x14ac:dyDescent="0.25">
      <c r="A68" s="1687"/>
      <c r="B68" s="1687"/>
      <c r="C68" s="1687"/>
      <c r="D68" s="1687"/>
      <c r="E68" s="1687"/>
      <c r="F68" s="1687"/>
      <c r="G68" s="1687"/>
      <c r="H68" s="1687"/>
      <c r="I68" s="1688"/>
      <c r="J68" s="1689"/>
      <c r="K68" s="1689"/>
      <c r="L68" s="1690"/>
      <c r="M68" s="1691"/>
      <c r="N68" s="1692"/>
      <c r="O68" s="1692"/>
      <c r="P68" s="1692"/>
      <c r="Q68" s="1017"/>
      <c r="R68" s="1691"/>
      <c r="S68" s="1692"/>
      <c r="T68" s="1692"/>
      <c r="U68" s="1692"/>
      <c r="V68" s="1017"/>
      <c r="W68" s="1647"/>
      <c r="X68" s="1647"/>
      <c r="Y68" s="1647"/>
      <c r="Z68" s="1647"/>
      <c r="AA68" s="1654"/>
      <c r="AB68" s="1654"/>
      <c r="AC68" s="1654"/>
      <c r="AD68" s="1654"/>
      <c r="AE68" s="1693"/>
      <c r="AF68" s="1694"/>
      <c r="AG68" s="1694"/>
      <c r="AH68" s="1695"/>
      <c r="AI68" s="1588"/>
      <c r="AJ68" s="1588"/>
      <c r="AK68" s="1588"/>
      <c r="AL68" s="1588"/>
      <c r="AM68" s="1586"/>
      <c r="AN68" s="1586"/>
      <c r="AO68" s="1586"/>
      <c r="AP68" s="1586"/>
      <c r="AQ68" s="1637"/>
      <c r="AR68" s="1637"/>
      <c r="AS68" s="1637"/>
      <c r="AT68" s="1637"/>
      <c r="AU68" s="1638"/>
      <c r="AV68" s="1639"/>
      <c r="AW68" s="1639"/>
      <c r="AX68" s="1640"/>
      <c r="AY68" s="1641"/>
      <c r="AZ68" s="1641"/>
      <c r="BA68" s="1641"/>
      <c r="BB68" s="1641"/>
      <c r="BC68" s="1642"/>
      <c r="BD68" s="1642"/>
      <c r="BE68" s="1642"/>
      <c r="BF68" s="1642"/>
      <c r="BG68" s="1635"/>
      <c r="BH68" s="1635"/>
      <c r="BI68" s="1635"/>
      <c r="BJ68" s="1635"/>
      <c r="BK68" s="1636"/>
      <c r="BL68" s="1636"/>
      <c r="BM68" s="1636"/>
      <c r="BN68" s="1636"/>
      <c r="BO68" s="1635"/>
      <c r="BP68" s="1635"/>
      <c r="BQ68" s="1635"/>
      <c r="BR68" s="1635"/>
      <c r="BS68" s="1636"/>
      <c r="BT68" s="1636"/>
      <c r="BU68" s="1636"/>
      <c r="BV68" s="1636"/>
      <c r="BW68" s="277"/>
    </row>
    <row r="69" spans="1:75" ht="15.75" x14ac:dyDescent="0.25">
      <c r="A69" s="1629" t="s">
        <v>390</v>
      </c>
      <c r="B69" s="1630"/>
      <c r="C69" s="1630"/>
      <c r="D69" s="1630"/>
      <c r="E69" s="1630"/>
      <c r="F69" s="1630"/>
      <c r="G69" s="1630"/>
      <c r="H69" s="1630"/>
      <c r="I69" s="1630"/>
      <c r="J69" s="1630"/>
      <c r="K69" s="1630"/>
      <c r="L69" s="1630"/>
      <c r="M69" s="1630"/>
      <c r="N69" s="1630"/>
      <c r="O69" s="1630"/>
      <c r="P69" s="1630"/>
      <c r="Q69" s="1630"/>
      <c r="R69" s="1630"/>
      <c r="S69" s="1630"/>
      <c r="T69" s="1630"/>
      <c r="U69" s="1630"/>
      <c r="V69" s="1631"/>
      <c r="W69" s="1632">
        <f>SUM(W56:W68)</f>
        <v>0</v>
      </c>
      <c r="X69" s="1632"/>
      <c r="Y69" s="1632"/>
      <c r="Z69" s="1632"/>
      <c r="AA69" s="1633">
        <f>SUM(AA56:AA68)</f>
        <v>0</v>
      </c>
      <c r="AB69" s="1633"/>
      <c r="AC69" s="1633"/>
      <c r="AD69" s="1633"/>
      <c r="AE69" s="1338">
        <f>SUM(AE56:AE68)</f>
        <v>0</v>
      </c>
      <c r="AF69" s="1339"/>
      <c r="AG69" s="1339"/>
      <c r="AH69" s="1340"/>
      <c r="AI69" s="1634">
        <f>SUM(AI56:AI68)</f>
        <v>0</v>
      </c>
      <c r="AJ69" s="1634"/>
      <c r="AK69" s="1634"/>
      <c r="AL69" s="1634"/>
      <c r="AM69" s="1338">
        <f>SUM(AM56:AM68)</f>
        <v>0</v>
      </c>
      <c r="AN69" s="1339"/>
      <c r="AO69" s="1339"/>
      <c r="AP69" s="1340"/>
      <c r="AQ69" s="1696">
        <f>SUM(AQ56:AQ68)</f>
        <v>0</v>
      </c>
      <c r="AR69" s="1697"/>
      <c r="AS69" s="1697"/>
      <c r="AT69" s="1698"/>
      <c r="AU69" s="1600">
        <f>SUM(AU56:AU68)</f>
        <v>0</v>
      </c>
      <c r="AV69" s="1601"/>
      <c r="AW69" s="1601"/>
      <c r="AX69" s="1602"/>
      <c r="AY69" s="1696">
        <f>SUM(AY56:AY68)</f>
        <v>0</v>
      </c>
      <c r="AZ69" s="1697"/>
      <c r="BA69" s="1697"/>
      <c r="BB69" s="1698"/>
      <c r="BC69" s="1600">
        <f>SUM(BC56:BC68)</f>
        <v>0</v>
      </c>
      <c r="BD69" s="1601"/>
      <c r="BE69" s="1601"/>
      <c r="BF69" s="1602"/>
      <c r="BG69" s="1684">
        <f>SUM(BG56:BG68)</f>
        <v>0</v>
      </c>
      <c r="BH69" s="1685"/>
      <c r="BI69" s="1685"/>
      <c r="BJ69" s="1686"/>
      <c r="BK69" s="1699">
        <f>SUM(BK56:BK68)</f>
        <v>0</v>
      </c>
      <c r="BL69" s="1700"/>
      <c r="BM69" s="1700"/>
      <c r="BN69" s="1701"/>
      <c r="BO69" s="1684">
        <f>SUM(BO56:BO68)</f>
        <v>0</v>
      </c>
      <c r="BP69" s="1685"/>
      <c r="BQ69" s="1685"/>
      <c r="BR69" s="1686"/>
      <c r="BS69" s="1668">
        <f>SUM(BS56:BS68)</f>
        <v>0</v>
      </c>
      <c r="BT69" s="1668"/>
      <c r="BU69" s="1668"/>
      <c r="BV69" s="1668"/>
      <c r="BW69" s="277"/>
    </row>
    <row r="70" spans="1:75" x14ac:dyDescent="0.2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row>
    <row r="71" spans="1:75" ht="15.75" thickBot="1" x14ac:dyDescent="0.3">
      <c r="A71" s="26" t="s">
        <v>851</v>
      </c>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row>
    <row r="72" spans="1:75" ht="24" thickTop="1" x14ac:dyDescent="0.25">
      <c r="A72" s="1730" t="s">
        <v>837</v>
      </c>
      <c r="B72" s="1731"/>
      <c r="C72" s="1731"/>
      <c r="D72" s="1731"/>
      <c r="E72" s="1731"/>
      <c r="F72" s="1731"/>
      <c r="G72" s="1731"/>
      <c r="H72" s="1731"/>
      <c r="I72" s="1731"/>
      <c r="J72" s="1731"/>
      <c r="K72" s="1731"/>
      <c r="L72" s="1731"/>
      <c r="M72" s="1731"/>
      <c r="N72" s="1731"/>
      <c r="O72" s="1731"/>
      <c r="P72" s="1731"/>
      <c r="Q72" s="1731"/>
      <c r="R72" s="1731"/>
      <c r="S72" s="1731"/>
      <c r="T72" s="1731"/>
      <c r="U72" s="1731"/>
      <c r="V72" s="1731"/>
      <c r="W72" s="1731"/>
      <c r="X72" s="1731"/>
      <c r="Y72" s="1731"/>
      <c r="Z72" s="1731"/>
      <c r="AA72" s="1731"/>
      <c r="AB72" s="1731"/>
      <c r="AC72" s="1731"/>
      <c r="AD72" s="1731"/>
      <c r="AE72" s="1731"/>
      <c r="AF72" s="1731"/>
      <c r="AG72" s="1731"/>
      <c r="AH72" s="1731"/>
      <c r="AI72" s="1731"/>
      <c r="AJ72" s="1731"/>
      <c r="AK72" s="1731"/>
      <c r="AL72" s="1731"/>
      <c r="AM72" s="1731"/>
      <c r="AN72" s="1731"/>
      <c r="AO72" s="1731"/>
      <c r="AP72" s="1731"/>
      <c r="AQ72" s="1731"/>
      <c r="AR72" s="1731"/>
      <c r="AS72" s="1731"/>
      <c r="AT72" s="1731"/>
      <c r="AU72" s="1731"/>
      <c r="AV72" s="1731"/>
      <c r="AW72" s="1731"/>
      <c r="AX72" s="1731"/>
      <c r="AY72" s="1731"/>
      <c r="AZ72" s="1731"/>
      <c r="BA72" s="1731"/>
      <c r="BB72" s="1731"/>
      <c r="BC72" s="1731"/>
      <c r="BD72" s="1731"/>
      <c r="BE72" s="1731"/>
      <c r="BF72" s="1731"/>
      <c r="BG72" s="1731"/>
      <c r="BH72" s="1731"/>
      <c r="BI72" s="1731"/>
      <c r="BJ72" s="1731"/>
      <c r="BK72" s="1731"/>
      <c r="BL72" s="1731"/>
      <c r="BM72" s="1731"/>
      <c r="BN72" s="1731"/>
      <c r="BO72" s="1731"/>
      <c r="BP72" s="1731"/>
      <c r="BQ72" s="1731"/>
      <c r="BR72" s="1731"/>
      <c r="BS72" s="1731"/>
      <c r="BT72" s="1731"/>
      <c r="BU72" s="1731"/>
      <c r="BV72" s="1732"/>
      <c r="BW72" s="2"/>
    </row>
    <row r="73" spans="1:75" ht="194.25" x14ac:dyDescent="0.25">
      <c r="A73" s="1712" t="s">
        <v>810</v>
      </c>
      <c r="B73" s="1704"/>
      <c r="C73" s="1704"/>
      <c r="D73" s="1704"/>
      <c r="E73" s="1704"/>
      <c r="F73" s="1704"/>
      <c r="G73" s="1704"/>
      <c r="H73" s="1704"/>
      <c r="I73" s="1704" t="s">
        <v>803</v>
      </c>
      <c r="J73" s="1704"/>
      <c r="K73" s="1704"/>
      <c r="L73" s="1704"/>
      <c r="M73" s="1705" t="s">
        <v>804</v>
      </c>
      <c r="N73" s="1705"/>
      <c r="O73" s="1705"/>
      <c r="P73" s="1705"/>
      <c r="Q73" s="1705"/>
      <c r="R73" s="1706" t="s">
        <v>805</v>
      </c>
      <c r="S73" s="1707"/>
      <c r="T73" s="1707"/>
      <c r="U73" s="1707"/>
      <c r="V73" s="1708"/>
      <c r="W73" s="1709" t="s">
        <v>829</v>
      </c>
      <c r="X73" s="1709"/>
      <c r="Y73" s="1709"/>
      <c r="Z73" s="1709"/>
      <c r="AA73" s="977" t="s">
        <v>839</v>
      </c>
      <c r="AB73" s="977"/>
      <c r="AC73" s="977"/>
      <c r="AD73" s="977"/>
      <c r="AE73" s="1683" t="s">
        <v>840</v>
      </c>
      <c r="AF73" s="1683"/>
      <c r="AG73" s="1683"/>
      <c r="AH73" s="1683"/>
      <c r="AI73" s="977" t="s">
        <v>849</v>
      </c>
      <c r="AJ73" s="977"/>
      <c r="AK73" s="977"/>
      <c r="AL73" s="977"/>
      <c r="AM73" s="1683" t="s">
        <v>841</v>
      </c>
      <c r="AN73" s="1683"/>
      <c r="AO73" s="1683"/>
      <c r="AP73" s="1683"/>
      <c r="AQ73" s="1681" t="s">
        <v>842</v>
      </c>
      <c r="AR73" s="1681"/>
      <c r="AS73" s="1681"/>
      <c r="AT73" s="1681"/>
      <c r="AU73" s="1682" t="s">
        <v>843</v>
      </c>
      <c r="AV73" s="1682"/>
      <c r="AW73" s="1682"/>
      <c r="AX73" s="1682"/>
      <c r="AY73" s="1681" t="s">
        <v>850</v>
      </c>
      <c r="AZ73" s="1681"/>
      <c r="BA73" s="1681"/>
      <c r="BB73" s="1681"/>
      <c r="BC73" s="1682" t="s">
        <v>844</v>
      </c>
      <c r="BD73" s="1682"/>
      <c r="BE73" s="1682"/>
      <c r="BF73" s="1682"/>
      <c r="BG73" s="1677" t="s">
        <v>845</v>
      </c>
      <c r="BH73" s="1677"/>
      <c r="BI73" s="1677"/>
      <c r="BJ73" s="1677"/>
      <c r="BK73" s="1676" t="s">
        <v>846</v>
      </c>
      <c r="BL73" s="1676"/>
      <c r="BM73" s="1676"/>
      <c r="BN73" s="1676"/>
      <c r="BO73" s="1677" t="s">
        <v>847</v>
      </c>
      <c r="BP73" s="1677"/>
      <c r="BQ73" s="1677"/>
      <c r="BR73" s="1677"/>
      <c r="BS73" s="1676" t="s">
        <v>848</v>
      </c>
      <c r="BT73" s="1676"/>
      <c r="BU73" s="1676"/>
      <c r="BV73" s="1711"/>
      <c r="BW73" s="280" t="s">
        <v>853</v>
      </c>
    </row>
    <row r="74" spans="1:75" x14ac:dyDescent="0.25">
      <c r="A74" s="1715" t="s">
        <v>811</v>
      </c>
      <c r="B74" s="1619"/>
      <c r="C74" s="1619"/>
      <c r="D74" s="1619"/>
      <c r="E74" s="1619"/>
      <c r="F74" s="1619"/>
      <c r="G74" s="1619"/>
      <c r="H74" s="1619"/>
      <c r="I74" s="1585">
        <f>'GRANTEE SET UP INFO &amp; DATE '!C11</f>
        <v>0</v>
      </c>
      <c r="J74" s="1585"/>
      <c r="K74" s="1585"/>
      <c r="L74" s="1585"/>
      <c r="M74" s="1591">
        <f>'GRANTEE SET UP INFO &amp; DATE '!F11</f>
        <v>0</v>
      </c>
      <c r="N74" s="1586"/>
      <c r="O74" s="1586"/>
      <c r="P74" s="1586"/>
      <c r="Q74" s="1586"/>
      <c r="R74" s="1591" t="e">
        <f>'GRANTEE SET UP INFO &amp; DATE '!#REF!</f>
        <v>#REF!</v>
      </c>
      <c r="S74" s="1586"/>
      <c r="T74" s="1586"/>
      <c r="U74" s="1586"/>
      <c r="V74" s="1586"/>
      <c r="W74" s="1647">
        <f t="shared" ref="W74:W85" si="0">W5+W22+W39+W56</f>
        <v>0</v>
      </c>
      <c r="X74" s="1647"/>
      <c r="Y74" s="1647"/>
      <c r="Z74" s="1647"/>
      <c r="AA74" s="1590">
        <f t="shared" ref="AA74:AA85" si="1">AA5+AA22+AA39+AA56</f>
        <v>0</v>
      </c>
      <c r="AB74" s="1590"/>
      <c r="AC74" s="1590"/>
      <c r="AD74" s="1590"/>
      <c r="AE74" s="1585">
        <f t="shared" ref="AE74:AE85" si="2">AE5+AE22+AE39+AE56</f>
        <v>0</v>
      </c>
      <c r="AF74" s="1585"/>
      <c r="AG74" s="1585"/>
      <c r="AH74" s="1585"/>
      <c r="AI74" s="1590">
        <f t="shared" ref="AI74:AI85" si="3">AI5+AI22+AI39+AI56</f>
        <v>0</v>
      </c>
      <c r="AJ74" s="1590"/>
      <c r="AK74" s="1590"/>
      <c r="AL74" s="1590"/>
      <c r="AM74" s="1585">
        <f t="shared" ref="AM74:AM85" si="4">AM5+AM22+AM39+AM56</f>
        <v>0</v>
      </c>
      <c r="AN74" s="1585"/>
      <c r="AO74" s="1585"/>
      <c r="AP74" s="1585"/>
      <c r="AQ74" s="1648">
        <f t="shared" ref="AQ74:AQ85" si="5">AQ5+AQ22+AQ39+AQ56</f>
        <v>0</v>
      </c>
      <c r="AR74" s="1648"/>
      <c r="AS74" s="1648"/>
      <c r="AT74" s="1648"/>
      <c r="AU74" s="1649">
        <f t="shared" ref="AU74:AU85" si="6">AU5+AU22+AU39+AU56</f>
        <v>0</v>
      </c>
      <c r="AV74" s="1649"/>
      <c r="AW74" s="1649"/>
      <c r="AX74" s="1649"/>
      <c r="AY74" s="1648">
        <f t="shared" ref="AY74:AY85" si="7">AY5+AY22+AY39+AY56</f>
        <v>0</v>
      </c>
      <c r="AZ74" s="1648"/>
      <c r="BA74" s="1648"/>
      <c r="BB74" s="1648"/>
      <c r="BC74" s="1649">
        <f t="shared" ref="BC74:BC85" si="8">BC5+BC22+BC39+BC56</f>
        <v>0</v>
      </c>
      <c r="BD74" s="1649"/>
      <c r="BE74" s="1649"/>
      <c r="BF74" s="1649"/>
      <c r="BG74" s="1650">
        <f t="shared" ref="BG74:BG85" si="9">BG5+BG22+BG39+BG56</f>
        <v>0</v>
      </c>
      <c r="BH74" s="1650"/>
      <c r="BI74" s="1650"/>
      <c r="BJ74" s="1650"/>
      <c r="BK74" s="1651">
        <f t="shared" ref="BK74:BK85" si="10">BK5+BK22+BK39+BK56</f>
        <v>0</v>
      </c>
      <c r="BL74" s="1651"/>
      <c r="BM74" s="1651"/>
      <c r="BN74" s="1651"/>
      <c r="BO74" s="1650">
        <f t="shared" ref="BO74:BO85" si="11">BO5+BO22+BO39+BO56</f>
        <v>0</v>
      </c>
      <c r="BP74" s="1650"/>
      <c r="BQ74" s="1650"/>
      <c r="BR74" s="1650"/>
      <c r="BS74" s="1651">
        <f t="shared" ref="BS74:BS85" si="12">BS5+BS22+BS39+BS56</f>
        <v>0</v>
      </c>
      <c r="BT74" s="1651"/>
      <c r="BU74" s="1651"/>
      <c r="BV74" s="1652"/>
      <c r="BW74" s="1733" t="s">
        <v>854</v>
      </c>
    </row>
    <row r="75" spans="1:75" x14ac:dyDescent="0.25">
      <c r="A75" s="1715" t="s">
        <v>812</v>
      </c>
      <c r="B75" s="1619"/>
      <c r="C75" s="1619"/>
      <c r="D75" s="1619"/>
      <c r="E75" s="1619"/>
      <c r="F75" s="1619"/>
      <c r="G75" s="1619"/>
      <c r="H75" s="1619"/>
      <c r="I75" s="1585">
        <f>'GRANTEE SET UP INFO &amp; DATE '!C12</f>
        <v>0</v>
      </c>
      <c r="J75" s="1585"/>
      <c r="K75" s="1585"/>
      <c r="L75" s="1585"/>
      <c r="M75" s="1591">
        <f>'GRANTEE SET UP INFO &amp; DATE '!F12</f>
        <v>0</v>
      </c>
      <c r="N75" s="1586"/>
      <c r="O75" s="1586"/>
      <c r="P75" s="1586"/>
      <c r="Q75" s="1586"/>
      <c r="R75" s="1591" t="e">
        <f>'GRANTEE SET UP INFO &amp; DATE '!#REF!</f>
        <v>#REF!</v>
      </c>
      <c r="S75" s="1586"/>
      <c r="T75" s="1586"/>
      <c r="U75" s="1586"/>
      <c r="V75" s="1586"/>
      <c r="W75" s="1647">
        <f t="shared" si="0"/>
        <v>0</v>
      </c>
      <c r="X75" s="1647"/>
      <c r="Y75" s="1647"/>
      <c r="Z75" s="1647"/>
      <c r="AA75" s="1590">
        <f t="shared" si="1"/>
        <v>0</v>
      </c>
      <c r="AB75" s="1590"/>
      <c r="AC75" s="1590"/>
      <c r="AD75" s="1590"/>
      <c r="AE75" s="1585">
        <f t="shared" si="2"/>
        <v>0</v>
      </c>
      <c r="AF75" s="1585"/>
      <c r="AG75" s="1585"/>
      <c r="AH75" s="1585"/>
      <c r="AI75" s="1590">
        <f t="shared" si="3"/>
        <v>0</v>
      </c>
      <c r="AJ75" s="1590"/>
      <c r="AK75" s="1590"/>
      <c r="AL75" s="1590"/>
      <c r="AM75" s="1585">
        <f t="shared" si="4"/>
        <v>0</v>
      </c>
      <c r="AN75" s="1585"/>
      <c r="AO75" s="1585"/>
      <c r="AP75" s="1585"/>
      <c r="AQ75" s="1648">
        <f t="shared" si="5"/>
        <v>0</v>
      </c>
      <c r="AR75" s="1648"/>
      <c r="AS75" s="1648"/>
      <c r="AT75" s="1648"/>
      <c r="AU75" s="1649">
        <f t="shared" si="6"/>
        <v>0</v>
      </c>
      <c r="AV75" s="1649"/>
      <c r="AW75" s="1649"/>
      <c r="AX75" s="1649"/>
      <c r="AY75" s="1648">
        <f t="shared" si="7"/>
        <v>0</v>
      </c>
      <c r="AZ75" s="1648"/>
      <c r="BA75" s="1648"/>
      <c r="BB75" s="1648"/>
      <c r="BC75" s="1649">
        <f t="shared" si="8"/>
        <v>0</v>
      </c>
      <c r="BD75" s="1649"/>
      <c r="BE75" s="1649"/>
      <c r="BF75" s="1649"/>
      <c r="BG75" s="1650">
        <f t="shared" si="9"/>
        <v>0</v>
      </c>
      <c r="BH75" s="1650"/>
      <c r="BI75" s="1650"/>
      <c r="BJ75" s="1650"/>
      <c r="BK75" s="1651">
        <f t="shared" si="10"/>
        <v>0</v>
      </c>
      <c r="BL75" s="1651"/>
      <c r="BM75" s="1651"/>
      <c r="BN75" s="1651"/>
      <c r="BO75" s="1650">
        <f t="shared" si="11"/>
        <v>0</v>
      </c>
      <c r="BP75" s="1650"/>
      <c r="BQ75" s="1650"/>
      <c r="BR75" s="1650"/>
      <c r="BS75" s="1651">
        <f t="shared" si="12"/>
        <v>0</v>
      </c>
      <c r="BT75" s="1651"/>
      <c r="BU75" s="1651"/>
      <c r="BV75" s="1652"/>
      <c r="BW75" s="1733"/>
    </row>
    <row r="76" spans="1:75" x14ac:dyDescent="0.25">
      <c r="A76" s="1715" t="s">
        <v>813</v>
      </c>
      <c r="B76" s="1619"/>
      <c r="C76" s="1619"/>
      <c r="D76" s="1619"/>
      <c r="E76" s="1619"/>
      <c r="F76" s="1619"/>
      <c r="G76" s="1619"/>
      <c r="H76" s="1619"/>
      <c r="I76" s="1585">
        <f>'GRANTEE SET UP INFO &amp; DATE '!C13</f>
        <v>0</v>
      </c>
      <c r="J76" s="1585"/>
      <c r="K76" s="1585"/>
      <c r="L76" s="1585"/>
      <c r="M76" s="1591">
        <f>'GRANTEE SET UP INFO &amp; DATE '!F13</f>
        <v>0</v>
      </c>
      <c r="N76" s="1586"/>
      <c r="O76" s="1586"/>
      <c r="P76" s="1586"/>
      <c r="Q76" s="1586"/>
      <c r="R76" s="1591" t="e">
        <f>'GRANTEE SET UP INFO &amp; DATE '!#REF!</f>
        <v>#REF!</v>
      </c>
      <c r="S76" s="1586"/>
      <c r="T76" s="1586"/>
      <c r="U76" s="1586"/>
      <c r="V76" s="1586"/>
      <c r="W76" s="1647">
        <f t="shared" si="0"/>
        <v>0</v>
      </c>
      <c r="X76" s="1647"/>
      <c r="Y76" s="1647"/>
      <c r="Z76" s="1647"/>
      <c r="AA76" s="1590">
        <f t="shared" si="1"/>
        <v>0</v>
      </c>
      <c r="AB76" s="1590"/>
      <c r="AC76" s="1590"/>
      <c r="AD76" s="1590"/>
      <c r="AE76" s="1585">
        <f t="shared" si="2"/>
        <v>0</v>
      </c>
      <c r="AF76" s="1585"/>
      <c r="AG76" s="1585"/>
      <c r="AH76" s="1585"/>
      <c r="AI76" s="1590">
        <f t="shared" si="3"/>
        <v>0</v>
      </c>
      <c r="AJ76" s="1590"/>
      <c r="AK76" s="1590"/>
      <c r="AL76" s="1590"/>
      <c r="AM76" s="1585">
        <f t="shared" si="4"/>
        <v>0</v>
      </c>
      <c r="AN76" s="1585"/>
      <c r="AO76" s="1585"/>
      <c r="AP76" s="1585"/>
      <c r="AQ76" s="1648">
        <f t="shared" si="5"/>
        <v>0</v>
      </c>
      <c r="AR76" s="1648"/>
      <c r="AS76" s="1648"/>
      <c r="AT76" s="1648"/>
      <c r="AU76" s="1649">
        <f t="shared" si="6"/>
        <v>0</v>
      </c>
      <c r="AV76" s="1649"/>
      <c r="AW76" s="1649"/>
      <c r="AX76" s="1649"/>
      <c r="AY76" s="1648">
        <f t="shared" si="7"/>
        <v>0</v>
      </c>
      <c r="AZ76" s="1648"/>
      <c r="BA76" s="1648"/>
      <c r="BB76" s="1648"/>
      <c r="BC76" s="1649">
        <f t="shared" si="8"/>
        <v>0</v>
      </c>
      <c r="BD76" s="1649"/>
      <c r="BE76" s="1649"/>
      <c r="BF76" s="1649"/>
      <c r="BG76" s="1650">
        <f t="shared" si="9"/>
        <v>0</v>
      </c>
      <c r="BH76" s="1650"/>
      <c r="BI76" s="1650"/>
      <c r="BJ76" s="1650"/>
      <c r="BK76" s="1651">
        <f t="shared" si="10"/>
        <v>0</v>
      </c>
      <c r="BL76" s="1651"/>
      <c r="BM76" s="1651"/>
      <c r="BN76" s="1651"/>
      <c r="BO76" s="1650">
        <f t="shared" si="11"/>
        <v>0</v>
      </c>
      <c r="BP76" s="1650"/>
      <c r="BQ76" s="1650"/>
      <c r="BR76" s="1650"/>
      <c r="BS76" s="1651">
        <f t="shared" si="12"/>
        <v>0</v>
      </c>
      <c r="BT76" s="1651"/>
      <c r="BU76" s="1651"/>
      <c r="BV76" s="1652"/>
      <c r="BW76" s="1733"/>
    </row>
    <row r="77" spans="1:75" x14ac:dyDescent="0.25">
      <c r="A77" s="1715" t="s">
        <v>814</v>
      </c>
      <c r="B77" s="1619"/>
      <c r="C77" s="1619"/>
      <c r="D77" s="1619"/>
      <c r="E77" s="1619"/>
      <c r="F77" s="1619"/>
      <c r="G77" s="1619"/>
      <c r="H77" s="1619"/>
      <c r="I77" s="1585">
        <f>'GRANTEE SET UP INFO &amp; DATE '!C14</f>
        <v>0</v>
      </c>
      <c r="J77" s="1585"/>
      <c r="K77" s="1585"/>
      <c r="L77" s="1585"/>
      <c r="M77" s="1591">
        <f>'GRANTEE SET UP INFO &amp; DATE '!F14</f>
        <v>0</v>
      </c>
      <c r="N77" s="1586"/>
      <c r="O77" s="1586"/>
      <c r="P77" s="1586"/>
      <c r="Q77" s="1586"/>
      <c r="R77" s="1591" t="e">
        <f>'GRANTEE SET UP INFO &amp; DATE '!#REF!</f>
        <v>#REF!</v>
      </c>
      <c r="S77" s="1586"/>
      <c r="T77" s="1586"/>
      <c r="U77" s="1586"/>
      <c r="V77" s="1586"/>
      <c r="W77" s="1647">
        <f t="shared" si="0"/>
        <v>0</v>
      </c>
      <c r="X77" s="1647"/>
      <c r="Y77" s="1647"/>
      <c r="Z77" s="1647"/>
      <c r="AA77" s="1590">
        <f t="shared" si="1"/>
        <v>0</v>
      </c>
      <c r="AB77" s="1590"/>
      <c r="AC77" s="1590"/>
      <c r="AD77" s="1590"/>
      <c r="AE77" s="1585">
        <f t="shared" si="2"/>
        <v>0</v>
      </c>
      <c r="AF77" s="1585"/>
      <c r="AG77" s="1585"/>
      <c r="AH77" s="1585"/>
      <c r="AI77" s="1590">
        <f t="shared" si="3"/>
        <v>0</v>
      </c>
      <c r="AJ77" s="1590"/>
      <c r="AK77" s="1590"/>
      <c r="AL77" s="1590"/>
      <c r="AM77" s="1585">
        <f t="shared" si="4"/>
        <v>0</v>
      </c>
      <c r="AN77" s="1585"/>
      <c r="AO77" s="1585"/>
      <c r="AP77" s="1585"/>
      <c r="AQ77" s="1648">
        <f t="shared" si="5"/>
        <v>0</v>
      </c>
      <c r="AR77" s="1648"/>
      <c r="AS77" s="1648"/>
      <c r="AT77" s="1648"/>
      <c r="AU77" s="1649">
        <f t="shared" si="6"/>
        <v>0</v>
      </c>
      <c r="AV77" s="1649"/>
      <c r="AW77" s="1649"/>
      <c r="AX77" s="1649"/>
      <c r="AY77" s="1648">
        <f t="shared" si="7"/>
        <v>0</v>
      </c>
      <c r="AZ77" s="1648"/>
      <c r="BA77" s="1648"/>
      <c r="BB77" s="1648"/>
      <c r="BC77" s="1649">
        <f t="shared" si="8"/>
        <v>0</v>
      </c>
      <c r="BD77" s="1649"/>
      <c r="BE77" s="1649"/>
      <c r="BF77" s="1649"/>
      <c r="BG77" s="1650">
        <f t="shared" si="9"/>
        <v>0</v>
      </c>
      <c r="BH77" s="1650"/>
      <c r="BI77" s="1650"/>
      <c r="BJ77" s="1650"/>
      <c r="BK77" s="1651">
        <f t="shared" si="10"/>
        <v>0</v>
      </c>
      <c r="BL77" s="1651"/>
      <c r="BM77" s="1651"/>
      <c r="BN77" s="1651"/>
      <c r="BO77" s="1650">
        <f t="shared" si="11"/>
        <v>0</v>
      </c>
      <c r="BP77" s="1650"/>
      <c r="BQ77" s="1650"/>
      <c r="BR77" s="1650"/>
      <c r="BS77" s="1651">
        <f t="shared" si="12"/>
        <v>0</v>
      </c>
      <c r="BT77" s="1651"/>
      <c r="BU77" s="1651"/>
      <c r="BV77" s="1652"/>
      <c r="BW77" s="1733"/>
    </row>
    <row r="78" spans="1:75" x14ac:dyDescent="0.25">
      <c r="A78" s="1715" t="s">
        <v>815</v>
      </c>
      <c r="B78" s="1619"/>
      <c r="C78" s="1619"/>
      <c r="D78" s="1619"/>
      <c r="E78" s="1619"/>
      <c r="F78" s="1619"/>
      <c r="G78" s="1619"/>
      <c r="H78" s="1619"/>
      <c r="I78" s="1585">
        <f>'GRANTEE SET UP INFO &amp; DATE '!C15</f>
        <v>0</v>
      </c>
      <c r="J78" s="1585"/>
      <c r="K78" s="1585"/>
      <c r="L78" s="1585"/>
      <c r="M78" s="1591">
        <f>'GRANTEE SET UP INFO &amp; DATE '!F15</f>
        <v>0</v>
      </c>
      <c r="N78" s="1586"/>
      <c r="O78" s="1586"/>
      <c r="P78" s="1586"/>
      <c r="Q78" s="1586"/>
      <c r="R78" s="1591" t="e">
        <f>'GRANTEE SET UP INFO &amp; DATE '!#REF!</f>
        <v>#REF!</v>
      </c>
      <c r="S78" s="1586"/>
      <c r="T78" s="1586"/>
      <c r="U78" s="1586"/>
      <c r="V78" s="1586"/>
      <c r="W78" s="1647">
        <f t="shared" si="0"/>
        <v>0</v>
      </c>
      <c r="X78" s="1647"/>
      <c r="Y78" s="1647"/>
      <c r="Z78" s="1647"/>
      <c r="AA78" s="1590">
        <f t="shared" si="1"/>
        <v>0</v>
      </c>
      <c r="AB78" s="1590"/>
      <c r="AC78" s="1590"/>
      <c r="AD78" s="1590"/>
      <c r="AE78" s="1585">
        <f t="shared" si="2"/>
        <v>0</v>
      </c>
      <c r="AF78" s="1585"/>
      <c r="AG78" s="1585"/>
      <c r="AH78" s="1585"/>
      <c r="AI78" s="1590">
        <f t="shared" si="3"/>
        <v>0</v>
      </c>
      <c r="AJ78" s="1590"/>
      <c r="AK78" s="1590"/>
      <c r="AL78" s="1590"/>
      <c r="AM78" s="1585">
        <f t="shared" si="4"/>
        <v>0</v>
      </c>
      <c r="AN78" s="1585"/>
      <c r="AO78" s="1585"/>
      <c r="AP78" s="1585"/>
      <c r="AQ78" s="1648">
        <f t="shared" si="5"/>
        <v>0</v>
      </c>
      <c r="AR78" s="1648"/>
      <c r="AS78" s="1648"/>
      <c r="AT78" s="1648"/>
      <c r="AU78" s="1649">
        <f t="shared" si="6"/>
        <v>0</v>
      </c>
      <c r="AV78" s="1649"/>
      <c r="AW78" s="1649"/>
      <c r="AX78" s="1649"/>
      <c r="AY78" s="1648">
        <f t="shared" si="7"/>
        <v>0</v>
      </c>
      <c r="AZ78" s="1648"/>
      <c r="BA78" s="1648"/>
      <c r="BB78" s="1648"/>
      <c r="BC78" s="1649">
        <f t="shared" si="8"/>
        <v>0</v>
      </c>
      <c r="BD78" s="1649"/>
      <c r="BE78" s="1649"/>
      <c r="BF78" s="1649"/>
      <c r="BG78" s="1650">
        <f t="shared" si="9"/>
        <v>0</v>
      </c>
      <c r="BH78" s="1650"/>
      <c r="BI78" s="1650"/>
      <c r="BJ78" s="1650"/>
      <c r="BK78" s="1651">
        <f t="shared" si="10"/>
        <v>0</v>
      </c>
      <c r="BL78" s="1651"/>
      <c r="BM78" s="1651"/>
      <c r="BN78" s="1651"/>
      <c r="BO78" s="1650">
        <f t="shared" si="11"/>
        <v>0</v>
      </c>
      <c r="BP78" s="1650"/>
      <c r="BQ78" s="1650"/>
      <c r="BR78" s="1650"/>
      <c r="BS78" s="1651">
        <f t="shared" si="12"/>
        <v>0</v>
      </c>
      <c r="BT78" s="1651"/>
      <c r="BU78" s="1651"/>
      <c r="BV78" s="1652"/>
      <c r="BW78" s="1733"/>
    </row>
    <row r="79" spans="1:75" x14ac:dyDescent="0.25">
      <c r="A79" s="1715" t="s">
        <v>816</v>
      </c>
      <c r="B79" s="1619"/>
      <c r="C79" s="1619"/>
      <c r="D79" s="1619"/>
      <c r="E79" s="1619"/>
      <c r="F79" s="1619"/>
      <c r="G79" s="1619"/>
      <c r="H79" s="1619"/>
      <c r="I79" s="1585">
        <f>'GRANTEE SET UP INFO &amp; DATE '!C16</f>
        <v>0</v>
      </c>
      <c r="J79" s="1585"/>
      <c r="K79" s="1585"/>
      <c r="L79" s="1585"/>
      <c r="M79" s="1591">
        <f>'GRANTEE SET UP INFO &amp; DATE '!F16</f>
        <v>0</v>
      </c>
      <c r="N79" s="1586"/>
      <c r="O79" s="1586"/>
      <c r="P79" s="1586"/>
      <c r="Q79" s="1586"/>
      <c r="R79" s="1591" t="e">
        <f>'GRANTEE SET UP INFO &amp; DATE '!#REF!</f>
        <v>#REF!</v>
      </c>
      <c r="S79" s="1586"/>
      <c r="T79" s="1586"/>
      <c r="U79" s="1586"/>
      <c r="V79" s="1586"/>
      <c r="W79" s="1647">
        <f t="shared" si="0"/>
        <v>0</v>
      </c>
      <c r="X79" s="1647"/>
      <c r="Y79" s="1647"/>
      <c r="Z79" s="1647"/>
      <c r="AA79" s="1590">
        <f t="shared" si="1"/>
        <v>0</v>
      </c>
      <c r="AB79" s="1590"/>
      <c r="AC79" s="1590"/>
      <c r="AD79" s="1590"/>
      <c r="AE79" s="1585">
        <f t="shared" si="2"/>
        <v>0</v>
      </c>
      <c r="AF79" s="1585"/>
      <c r="AG79" s="1585"/>
      <c r="AH79" s="1585"/>
      <c r="AI79" s="1590">
        <f t="shared" si="3"/>
        <v>0</v>
      </c>
      <c r="AJ79" s="1590"/>
      <c r="AK79" s="1590"/>
      <c r="AL79" s="1590"/>
      <c r="AM79" s="1585">
        <f t="shared" si="4"/>
        <v>0</v>
      </c>
      <c r="AN79" s="1585"/>
      <c r="AO79" s="1585"/>
      <c r="AP79" s="1585"/>
      <c r="AQ79" s="1648">
        <f t="shared" si="5"/>
        <v>0</v>
      </c>
      <c r="AR79" s="1648"/>
      <c r="AS79" s="1648"/>
      <c r="AT79" s="1648"/>
      <c r="AU79" s="1649">
        <f t="shared" si="6"/>
        <v>0</v>
      </c>
      <c r="AV79" s="1649"/>
      <c r="AW79" s="1649"/>
      <c r="AX79" s="1649"/>
      <c r="AY79" s="1648">
        <f t="shared" si="7"/>
        <v>0</v>
      </c>
      <c r="AZ79" s="1648"/>
      <c r="BA79" s="1648"/>
      <c r="BB79" s="1648"/>
      <c r="BC79" s="1649">
        <f t="shared" si="8"/>
        <v>0</v>
      </c>
      <c r="BD79" s="1649"/>
      <c r="BE79" s="1649"/>
      <c r="BF79" s="1649"/>
      <c r="BG79" s="1650">
        <f t="shared" si="9"/>
        <v>0</v>
      </c>
      <c r="BH79" s="1650"/>
      <c r="BI79" s="1650"/>
      <c r="BJ79" s="1650"/>
      <c r="BK79" s="1651">
        <f t="shared" si="10"/>
        <v>0</v>
      </c>
      <c r="BL79" s="1651"/>
      <c r="BM79" s="1651"/>
      <c r="BN79" s="1651"/>
      <c r="BO79" s="1650">
        <f t="shared" si="11"/>
        <v>0</v>
      </c>
      <c r="BP79" s="1650"/>
      <c r="BQ79" s="1650"/>
      <c r="BR79" s="1650"/>
      <c r="BS79" s="1651">
        <f t="shared" si="12"/>
        <v>0</v>
      </c>
      <c r="BT79" s="1651"/>
      <c r="BU79" s="1651"/>
      <c r="BV79" s="1652"/>
      <c r="BW79" s="1733"/>
    </row>
    <row r="80" spans="1:75" x14ac:dyDescent="0.25">
      <c r="A80" s="1715" t="s">
        <v>817</v>
      </c>
      <c r="B80" s="1619"/>
      <c r="C80" s="1619"/>
      <c r="D80" s="1619"/>
      <c r="E80" s="1619"/>
      <c r="F80" s="1619"/>
      <c r="G80" s="1619"/>
      <c r="H80" s="1619"/>
      <c r="I80" s="1585">
        <f>'GRANTEE SET UP INFO &amp; DATE '!C17</f>
        <v>0</v>
      </c>
      <c r="J80" s="1585"/>
      <c r="K80" s="1585"/>
      <c r="L80" s="1585"/>
      <c r="M80" s="1591">
        <f>'GRANTEE SET UP INFO &amp; DATE '!F17</f>
        <v>0</v>
      </c>
      <c r="N80" s="1586"/>
      <c r="O80" s="1586"/>
      <c r="P80" s="1586"/>
      <c r="Q80" s="1586"/>
      <c r="R80" s="1591" t="e">
        <f>'GRANTEE SET UP INFO &amp; DATE '!#REF!</f>
        <v>#REF!</v>
      </c>
      <c r="S80" s="1586"/>
      <c r="T80" s="1586"/>
      <c r="U80" s="1586"/>
      <c r="V80" s="1586"/>
      <c r="W80" s="1647">
        <f t="shared" si="0"/>
        <v>0</v>
      </c>
      <c r="X80" s="1647"/>
      <c r="Y80" s="1647"/>
      <c r="Z80" s="1647"/>
      <c r="AA80" s="1590">
        <f t="shared" si="1"/>
        <v>0</v>
      </c>
      <c r="AB80" s="1590"/>
      <c r="AC80" s="1590"/>
      <c r="AD80" s="1590"/>
      <c r="AE80" s="1585">
        <f t="shared" si="2"/>
        <v>0</v>
      </c>
      <c r="AF80" s="1585"/>
      <c r="AG80" s="1585"/>
      <c r="AH80" s="1585"/>
      <c r="AI80" s="1590">
        <f t="shared" si="3"/>
        <v>0</v>
      </c>
      <c r="AJ80" s="1590"/>
      <c r="AK80" s="1590"/>
      <c r="AL80" s="1590"/>
      <c r="AM80" s="1585">
        <f t="shared" si="4"/>
        <v>0</v>
      </c>
      <c r="AN80" s="1585"/>
      <c r="AO80" s="1585"/>
      <c r="AP80" s="1585"/>
      <c r="AQ80" s="1648">
        <f t="shared" si="5"/>
        <v>0</v>
      </c>
      <c r="AR80" s="1648"/>
      <c r="AS80" s="1648"/>
      <c r="AT80" s="1648"/>
      <c r="AU80" s="1649">
        <f t="shared" si="6"/>
        <v>0</v>
      </c>
      <c r="AV80" s="1649"/>
      <c r="AW80" s="1649"/>
      <c r="AX80" s="1649"/>
      <c r="AY80" s="1648">
        <f t="shared" si="7"/>
        <v>0</v>
      </c>
      <c r="AZ80" s="1648"/>
      <c r="BA80" s="1648"/>
      <c r="BB80" s="1648"/>
      <c r="BC80" s="1649">
        <f t="shared" si="8"/>
        <v>0</v>
      </c>
      <c r="BD80" s="1649"/>
      <c r="BE80" s="1649"/>
      <c r="BF80" s="1649"/>
      <c r="BG80" s="1650">
        <f t="shared" si="9"/>
        <v>0</v>
      </c>
      <c r="BH80" s="1650"/>
      <c r="BI80" s="1650"/>
      <c r="BJ80" s="1650"/>
      <c r="BK80" s="1651">
        <f t="shared" si="10"/>
        <v>0</v>
      </c>
      <c r="BL80" s="1651"/>
      <c r="BM80" s="1651"/>
      <c r="BN80" s="1651"/>
      <c r="BO80" s="1650">
        <f t="shared" si="11"/>
        <v>0</v>
      </c>
      <c r="BP80" s="1650"/>
      <c r="BQ80" s="1650"/>
      <c r="BR80" s="1650"/>
      <c r="BS80" s="1651">
        <f t="shared" si="12"/>
        <v>0</v>
      </c>
      <c r="BT80" s="1651"/>
      <c r="BU80" s="1651"/>
      <c r="BV80" s="1652"/>
      <c r="BW80" s="1733"/>
    </row>
    <row r="81" spans="1:75" x14ac:dyDescent="0.25">
      <c r="A81" s="1715" t="s">
        <v>818</v>
      </c>
      <c r="B81" s="1619"/>
      <c r="C81" s="1619"/>
      <c r="D81" s="1619"/>
      <c r="E81" s="1619"/>
      <c r="F81" s="1619"/>
      <c r="G81" s="1619"/>
      <c r="H81" s="1619"/>
      <c r="I81" s="1585">
        <f>'GRANTEE SET UP INFO &amp; DATE '!C18</f>
        <v>0</v>
      </c>
      <c r="J81" s="1585"/>
      <c r="K81" s="1585"/>
      <c r="L81" s="1585"/>
      <c r="M81" s="1591">
        <f>'GRANTEE SET UP INFO &amp; DATE '!F18</f>
        <v>0</v>
      </c>
      <c r="N81" s="1586"/>
      <c r="O81" s="1586"/>
      <c r="P81" s="1586"/>
      <c r="Q81" s="1586"/>
      <c r="R81" s="1591" t="e">
        <f>'GRANTEE SET UP INFO &amp; DATE '!#REF!</f>
        <v>#REF!</v>
      </c>
      <c r="S81" s="1586"/>
      <c r="T81" s="1586"/>
      <c r="U81" s="1586"/>
      <c r="V81" s="1586"/>
      <c r="W81" s="1647">
        <f t="shared" si="0"/>
        <v>0</v>
      </c>
      <c r="X81" s="1647"/>
      <c r="Y81" s="1647"/>
      <c r="Z81" s="1647"/>
      <c r="AA81" s="1590">
        <f t="shared" si="1"/>
        <v>0</v>
      </c>
      <c r="AB81" s="1590"/>
      <c r="AC81" s="1590"/>
      <c r="AD81" s="1590"/>
      <c r="AE81" s="1585">
        <f t="shared" si="2"/>
        <v>0</v>
      </c>
      <c r="AF81" s="1585"/>
      <c r="AG81" s="1585"/>
      <c r="AH81" s="1585"/>
      <c r="AI81" s="1590">
        <f t="shared" si="3"/>
        <v>0</v>
      </c>
      <c r="AJ81" s="1590"/>
      <c r="AK81" s="1590"/>
      <c r="AL81" s="1590"/>
      <c r="AM81" s="1585">
        <f t="shared" si="4"/>
        <v>0</v>
      </c>
      <c r="AN81" s="1585"/>
      <c r="AO81" s="1585"/>
      <c r="AP81" s="1585"/>
      <c r="AQ81" s="1648">
        <f t="shared" si="5"/>
        <v>0</v>
      </c>
      <c r="AR81" s="1648"/>
      <c r="AS81" s="1648"/>
      <c r="AT81" s="1648"/>
      <c r="AU81" s="1649">
        <f t="shared" si="6"/>
        <v>0</v>
      </c>
      <c r="AV81" s="1649"/>
      <c r="AW81" s="1649"/>
      <c r="AX81" s="1649"/>
      <c r="AY81" s="1648">
        <f t="shared" si="7"/>
        <v>0</v>
      </c>
      <c r="AZ81" s="1648"/>
      <c r="BA81" s="1648"/>
      <c r="BB81" s="1648"/>
      <c r="BC81" s="1649">
        <f t="shared" si="8"/>
        <v>0</v>
      </c>
      <c r="BD81" s="1649"/>
      <c r="BE81" s="1649"/>
      <c r="BF81" s="1649"/>
      <c r="BG81" s="1650">
        <f t="shared" si="9"/>
        <v>0</v>
      </c>
      <c r="BH81" s="1650"/>
      <c r="BI81" s="1650"/>
      <c r="BJ81" s="1650"/>
      <c r="BK81" s="1651">
        <f t="shared" si="10"/>
        <v>0</v>
      </c>
      <c r="BL81" s="1651"/>
      <c r="BM81" s="1651"/>
      <c r="BN81" s="1651"/>
      <c r="BO81" s="1650">
        <f t="shared" si="11"/>
        <v>0</v>
      </c>
      <c r="BP81" s="1650"/>
      <c r="BQ81" s="1650"/>
      <c r="BR81" s="1650"/>
      <c r="BS81" s="1651">
        <f t="shared" si="12"/>
        <v>0</v>
      </c>
      <c r="BT81" s="1651"/>
      <c r="BU81" s="1651"/>
      <c r="BV81" s="1652"/>
      <c r="BW81" s="1733"/>
    </row>
    <row r="82" spans="1:75" x14ac:dyDescent="0.25">
      <c r="A82" s="1715" t="s">
        <v>819</v>
      </c>
      <c r="B82" s="1619"/>
      <c r="C82" s="1619"/>
      <c r="D82" s="1619"/>
      <c r="E82" s="1619"/>
      <c r="F82" s="1619"/>
      <c r="G82" s="1619"/>
      <c r="H82" s="1619"/>
      <c r="I82" s="1585" t="e">
        <f>'GRANTEE SET UP INFO &amp; DATE '!#REF!</f>
        <v>#REF!</v>
      </c>
      <c r="J82" s="1585"/>
      <c r="K82" s="1585"/>
      <c r="L82" s="1585"/>
      <c r="M82" s="1623" t="e">
        <f>'GRANTEE SET UP INFO &amp; DATE '!#REF!</f>
        <v>#REF!</v>
      </c>
      <c r="N82" s="1623"/>
      <c r="O82" s="1623"/>
      <c r="P82" s="1623"/>
      <c r="Q82" s="1623"/>
      <c r="R82" s="1623" t="e">
        <f>'GRANTEE SET UP INFO &amp; DATE '!#REF!</f>
        <v>#REF!</v>
      </c>
      <c r="S82" s="1623"/>
      <c r="T82" s="1623"/>
      <c r="U82" s="1623"/>
      <c r="V82" s="1623"/>
      <c r="W82" s="1647">
        <f t="shared" si="0"/>
        <v>0</v>
      </c>
      <c r="X82" s="1647"/>
      <c r="Y82" s="1647"/>
      <c r="Z82" s="1647"/>
      <c r="AA82" s="1590">
        <f t="shared" si="1"/>
        <v>0</v>
      </c>
      <c r="AB82" s="1590"/>
      <c r="AC82" s="1590"/>
      <c r="AD82" s="1590"/>
      <c r="AE82" s="1585">
        <f t="shared" si="2"/>
        <v>0</v>
      </c>
      <c r="AF82" s="1585"/>
      <c r="AG82" s="1585"/>
      <c r="AH82" s="1585"/>
      <c r="AI82" s="1590">
        <f t="shared" si="3"/>
        <v>0</v>
      </c>
      <c r="AJ82" s="1590"/>
      <c r="AK82" s="1590"/>
      <c r="AL82" s="1590"/>
      <c r="AM82" s="1585">
        <f t="shared" si="4"/>
        <v>0</v>
      </c>
      <c r="AN82" s="1585"/>
      <c r="AO82" s="1585"/>
      <c r="AP82" s="1585"/>
      <c r="AQ82" s="1648">
        <f t="shared" si="5"/>
        <v>0</v>
      </c>
      <c r="AR82" s="1648"/>
      <c r="AS82" s="1648"/>
      <c r="AT82" s="1648"/>
      <c r="AU82" s="1649">
        <f t="shared" si="6"/>
        <v>0</v>
      </c>
      <c r="AV82" s="1649"/>
      <c r="AW82" s="1649"/>
      <c r="AX82" s="1649"/>
      <c r="AY82" s="1648">
        <f t="shared" si="7"/>
        <v>0</v>
      </c>
      <c r="AZ82" s="1648"/>
      <c r="BA82" s="1648"/>
      <c r="BB82" s="1648"/>
      <c r="BC82" s="1649">
        <f t="shared" si="8"/>
        <v>0</v>
      </c>
      <c r="BD82" s="1649"/>
      <c r="BE82" s="1649"/>
      <c r="BF82" s="1649"/>
      <c r="BG82" s="1650">
        <f t="shared" si="9"/>
        <v>0</v>
      </c>
      <c r="BH82" s="1650"/>
      <c r="BI82" s="1650"/>
      <c r="BJ82" s="1650"/>
      <c r="BK82" s="1651">
        <f t="shared" si="10"/>
        <v>0</v>
      </c>
      <c r="BL82" s="1651"/>
      <c r="BM82" s="1651"/>
      <c r="BN82" s="1651"/>
      <c r="BO82" s="1650">
        <f t="shared" si="11"/>
        <v>0</v>
      </c>
      <c r="BP82" s="1650"/>
      <c r="BQ82" s="1650"/>
      <c r="BR82" s="1650"/>
      <c r="BS82" s="1651">
        <f t="shared" si="12"/>
        <v>0</v>
      </c>
      <c r="BT82" s="1651"/>
      <c r="BU82" s="1651"/>
      <c r="BV82" s="1652"/>
      <c r="BW82" s="1733"/>
    </row>
    <row r="83" spans="1:75" x14ac:dyDescent="0.25">
      <c r="A83" s="1715" t="s">
        <v>830</v>
      </c>
      <c r="B83" s="1619"/>
      <c r="C83" s="1619"/>
      <c r="D83" s="1619"/>
      <c r="E83" s="1619"/>
      <c r="F83" s="1619"/>
      <c r="G83" s="1619"/>
      <c r="H83" s="1619"/>
      <c r="I83" s="1585" t="e">
        <f>'GRANTEE SET UP INFO &amp; DATE '!#REF!</f>
        <v>#REF!</v>
      </c>
      <c r="J83" s="1585"/>
      <c r="K83" s="1585"/>
      <c r="L83" s="1585"/>
      <c r="M83" s="1644" t="e">
        <f>'GRANTEE SET UP INFO &amp; DATE '!#REF!</f>
        <v>#REF!</v>
      </c>
      <c r="N83" s="1645"/>
      <c r="O83" s="1645"/>
      <c r="P83" s="1645"/>
      <c r="Q83" s="1646"/>
      <c r="R83" s="1592" t="e">
        <f>'GRANTEE SET UP INFO &amp; DATE '!#REF!</f>
        <v>#REF!</v>
      </c>
      <c r="S83" s="1592"/>
      <c r="T83" s="1592"/>
      <c r="U83" s="1592"/>
      <c r="V83" s="1592"/>
      <c r="W83" s="1647">
        <f t="shared" si="0"/>
        <v>0</v>
      </c>
      <c r="X83" s="1647"/>
      <c r="Y83" s="1647"/>
      <c r="Z83" s="1647"/>
      <c r="AA83" s="1590">
        <f t="shared" si="1"/>
        <v>0</v>
      </c>
      <c r="AB83" s="1590"/>
      <c r="AC83" s="1590"/>
      <c r="AD83" s="1590"/>
      <c r="AE83" s="1585">
        <f t="shared" si="2"/>
        <v>0</v>
      </c>
      <c r="AF83" s="1585"/>
      <c r="AG83" s="1585"/>
      <c r="AH83" s="1585"/>
      <c r="AI83" s="1590">
        <f t="shared" si="3"/>
        <v>0</v>
      </c>
      <c r="AJ83" s="1590"/>
      <c r="AK83" s="1590"/>
      <c r="AL83" s="1590"/>
      <c r="AM83" s="1585">
        <f t="shared" si="4"/>
        <v>0</v>
      </c>
      <c r="AN83" s="1585"/>
      <c r="AO83" s="1585"/>
      <c r="AP83" s="1585"/>
      <c r="AQ83" s="1648">
        <f t="shared" si="5"/>
        <v>0</v>
      </c>
      <c r="AR83" s="1648"/>
      <c r="AS83" s="1648"/>
      <c r="AT83" s="1648"/>
      <c r="AU83" s="1649">
        <f t="shared" si="6"/>
        <v>0</v>
      </c>
      <c r="AV83" s="1649"/>
      <c r="AW83" s="1649"/>
      <c r="AX83" s="1649"/>
      <c r="AY83" s="1648">
        <f t="shared" si="7"/>
        <v>0</v>
      </c>
      <c r="AZ83" s="1648"/>
      <c r="BA83" s="1648"/>
      <c r="BB83" s="1648"/>
      <c r="BC83" s="1649">
        <f t="shared" si="8"/>
        <v>0</v>
      </c>
      <c r="BD83" s="1649"/>
      <c r="BE83" s="1649"/>
      <c r="BF83" s="1649"/>
      <c r="BG83" s="1650">
        <f t="shared" si="9"/>
        <v>0</v>
      </c>
      <c r="BH83" s="1650"/>
      <c r="BI83" s="1650"/>
      <c r="BJ83" s="1650"/>
      <c r="BK83" s="1651">
        <f t="shared" si="10"/>
        <v>0</v>
      </c>
      <c r="BL83" s="1651"/>
      <c r="BM83" s="1651"/>
      <c r="BN83" s="1651"/>
      <c r="BO83" s="1650">
        <f t="shared" si="11"/>
        <v>0</v>
      </c>
      <c r="BP83" s="1650"/>
      <c r="BQ83" s="1650"/>
      <c r="BR83" s="1650"/>
      <c r="BS83" s="1651">
        <f t="shared" si="12"/>
        <v>0</v>
      </c>
      <c r="BT83" s="1651"/>
      <c r="BU83" s="1651"/>
      <c r="BV83" s="1652"/>
      <c r="BW83" s="1733"/>
    </row>
    <row r="84" spans="1:75" x14ac:dyDescent="0.25">
      <c r="A84" s="1715" t="s">
        <v>831</v>
      </c>
      <c r="B84" s="1619"/>
      <c r="C84" s="1619"/>
      <c r="D84" s="1619"/>
      <c r="E84" s="1619"/>
      <c r="F84" s="1619"/>
      <c r="G84" s="1619"/>
      <c r="H84" s="1619"/>
      <c r="I84" s="1585" t="e">
        <f>'GRANTEE SET UP INFO &amp; DATE '!#REF!</f>
        <v>#REF!</v>
      </c>
      <c r="J84" s="1585"/>
      <c r="K84" s="1585"/>
      <c r="L84" s="1585"/>
      <c r="M84" s="1644" t="e">
        <f>'GRANTEE SET UP INFO &amp; DATE '!#REF!</f>
        <v>#REF!</v>
      </c>
      <c r="N84" s="1645"/>
      <c r="O84" s="1645"/>
      <c r="P84" s="1645"/>
      <c r="Q84" s="1646"/>
      <c r="R84" s="1592" t="e">
        <f>'GRANTEE SET UP INFO &amp; DATE '!#REF!</f>
        <v>#REF!</v>
      </c>
      <c r="S84" s="1592"/>
      <c r="T84" s="1592"/>
      <c r="U84" s="1592"/>
      <c r="V84" s="1592"/>
      <c r="W84" s="1647">
        <f t="shared" si="0"/>
        <v>0</v>
      </c>
      <c r="X84" s="1647"/>
      <c r="Y84" s="1647"/>
      <c r="Z84" s="1647"/>
      <c r="AA84" s="1590">
        <f t="shared" si="1"/>
        <v>0</v>
      </c>
      <c r="AB84" s="1590"/>
      <c r="AC84" s="1590"/>
      <c r="AD84" s="1590"/>
      <c r="AE84" s="1585">
        <f t="shared" si="2"/>
        <v>0</v>
      </c>
      <c r="AF84" s="1585"/>
      <c r="AG84" s="1585"/>
      <c r="AH84" s="1585"/>
      <c r="AI84" s="1590">
        <f t="shared" si="3"/>
        <v>0</v>
      </c>
      <c r="AJ84" s="1590"/>
      <c r="AK84" s="1590"/>
      <c r="AL84" s="1590"/>
      <c r="AM84" s="1585">
        <f t="shared" si="4"/>
        <v>0</v>
      </c>
      <c r="AN84" s="1585"/>
      <c r="AO84" s="1585"/>
      <c r="AP84" s="1585"/>
      <c r="AQ84" s="1648">
        <f t="shared" si="5"/>
        <v>0</v>
      </c>
      <c r="AR84" s="1648"/>
      <c r="AS84" s="1648"/>
      <c r="AT84" s="1648"/>
      <c r="AU84" s="1649">
        <f t="shared" si="6"/>
        <v>0</v>
      </c>
      <c r="AV84" s="1649"/>
      <c r="AW84" s="1649"/>
      <c r="AX84" s="1649"/>
      <c r="AY84" s="1648">
        <f t="shared" si="7"/>
        <v>0</v>
      </c>
      <c r="AZ84" s="1648"/>
      <c r="BA84" s="1648"/>
      <c r="BB84" s="1648"/>
      <c r="BC84" s="1649">
        <f t="shared" si="8"/>
        <v>0</v>
      </c>
      <c r="BD84" s="1649"/>
      <c r="BE84" s="1649"/>
      <c r="BF84" s="1649"/>
      <c r="BG84" s="1650">
        <f t="shared" si="9"/>
        <v>0</v>
      </c>
      <c r="BH84" s="1650"/>
      <c r="BI84" s="1650"/>
      <c r="BJ84" s="1650"/>
      <c r="BK84" s="1651">
        <f t="shared" si="10"/>
        <v>0</v>
      </c>
      <c r="BL84" s="1651"/>
      <c r="BM84" s="1651"/>
      <c r="BN84" s="1651"/>
      <c r="BO84" s="1650">
        <f t="shared" si="11"/>
        <v>0</v>
      </c>
      <c r="BP84" s="1650"/>
      <c r="BQ84" s="1650"/>
      <c r="BR84" s="1650"/>
      <c r="BS84" s="1651">
        <f t="shared" si="12"/>
        <v>0</v>
      </c>
      <c r="BT84" s="1651"/>
      <c r="BU84" s="1651"/>
      <c r="BV84" s="1652"/>
      <c r="BW84" s="1733"/>
    </row>
    <row r="85" spans="1:75" x14ac:dyDescent="0.25">
      <c r="A85" s="1715" t="s">
        <v>832</v>
      </c>
      <c r="B85" s="1619"/>
      <c r="C85" s="1619"/>
      <c r="D85" s="1619"/>
      <c r="E85" s="1619"/>
      <c r="F85" s="1619"/>
      <c r="G85" s="1619"/>
      <c r="H85" s="1619"/>
      <c r="I85" s="1585" t="e">
        <f>'GRANTEE SET UP INFO &amp; DATE '!#REF!</f>
        <v>#REF!</v>
      </c>
      <c r="J85" s="1585"/>
      <c r="K85" s="1585"/>
      <c r="L85" s="1585"/>
      <c r="M85" s="1644" t="e">
        <f>'GRANTEE SET UP INFO &amp; DATE '!#REF!</f>
        <v>#REF!</v>
      </c>
      <c r="N85" s="1645"/>
      <c r="O85" s="1645"/>
      <c r="P85" s="1645"/>
      <c r="Q85" s="1646"/>
      <c r="R85" s="1592" t="e">
        <f>'GRANTEE SET UP INFO &amp; DATE '!#REF!</f>
        <v>#REF!</v>
      </c>
      <c r="S85" s="1592"/>
      <c r="T85" s="1592"/>
      <c r="U85" s="1592"/>
      <c r="V85" s="1592"/>
      <c r="W85" s="1647">
        <f t="shared" si="0"/>
        <v>0</v>
      </c>
      <c r="X85" s="1647"/>
      <c r="Y85" s="1647"/>
      <c r="Z85" s="1647"/>
      <c r="AA85" s="1590">
        <f t="shared" si="1"/>
        <v>0</v>
      </c>
      <c r="AB85" s="1590"/>
      <c r="AC85" s="1590"/>
      <c r="AD85" s="1590"/>
      <c r="AE85" s="1585">
        <f t="shared" si="2"/>
        <v>0</v>
      </c>
      <c r="AF85" s="1585"/>
      <c r="AG85" s="1585"/>
      <c r="AH85" s="1585"/>
      <c r="AI85" s="1590">
        <f t="shared" si="3"/>
        <v>0</v>
      </c>
      <c r="AJ85" s="1590"/>
      <c r="AK85" s="1590"/>
      <c r="AL85" s="1590"/>
      <c r="AM85" s="1585">
        <f t="shared" si="4"/>
        <v>0</v>
      </c>
      <c r="AN85" s="1585"/>
      <c r="AO85" s="1585"/>
      <c r="AP85" s="1585"/>
      <c r="AQ85" s="1648">
        <f t="shared" si="5"/>
        <v>0</v>
      </c>
      <c r="AR85" s="1648"/>
      <c r="AS85" s="1648"/>
      <c r="AT85" s="1648"/>
      <c r="AU85" s="1649">
        <f t="shared" si="6"/>
        <v>0</v>
      </c>
      <c r="AV85" s="1649"/>
      <c r="AW85" s="1649"/>
      <c r="AX85" s="1649"/>
      <c r="AY85" s="1648">
        <f t="shared" si="7"/>
        <v>0</v>
      </c>
      <c r="AZ85" s="1648"/>
      <c r="BA85" s="1648"/>
      <c r="BB85" s="1648"/>
      <c r="BC85" s="1649">
        <f t="shared" si="8"/>
        <v>0</v>
      </c>
      <c r="BD85" s="1649"/>
      <c r="BE85" s="1649"/>
      <c r="BF85" s="1649"/>
      <c r="BG85" s="1650">
        <f t="shared" si="9"/>
        <v>0</v>
      </c>
      <c r="BH85" s="1650"/>
      <c r="BI85" s="1650"/>
      <c r="BJ85" s="1650"/>
      <c r="BK85" s="1651">
        <f t="shared" si="10"/>
        <v>0</v>
      </c>
      <c r="BL85" s="1651"/>
      <c r="BM85" s="1651"/>
      <c r="BN85" s="1651"/>
      <c r="BO85" s="1650">
        <f t="shared" si="11"/>
        <v>0</v>
      </c>
      <c r="BP85" s="1650"/>
      <c r="BQ85" s="1650"/>
      <c r="BR85" s="1650"/>
      <c r="BS85" s="1651">
        <f t="shared" si="12"/>
        <v>0</v>
      </c>
      <c r="BT85" s="1651"/>
      <c r="BU85" s="1651"/>
      <c r="BV85" s="1652"/>
      <c r="BW85" s="1733"/>
    </row>
    <row r="86" spans="1:75" ht="15.75" x14ac:dyDescent="0.25">
      <c r="A86" s="1717"/>
      <c r="B86" s="1687"/>
      <c r="C86" s="1687"/>
      <c r="D86" s="1687"/>
      <c r="E86" s="1687"/>
      <c r="F86" s="1687"/>
      <c r="G86" s="1687"/>
      <c r="H86" s="1687"/>
      <c r="I86" s="1688"/>
      <c r="J86" s="1689"/>
      <c r="K86" s="1689"/>
      <c r="L86" s="1690"/>
      <c r="M86" s="1691"/>
      <c r="N86" s="1692"/>
      <c r="O86" s="1692"/>
      <c r="P86" s="1692"/>
      <c r="Q86" s="1017"/>
      <c r="R86" s="1691"/>
      <c r="S86" s="1692"/>
      <c r="T86" s="1692"/>
      <c r="U86" s="1692"/>
      <c r="V86" s="1017"/>
      <c r="W86" s="1647"/>
      <c r="X86" s="1647"/>
      <c r="Y86" s="1647"/>
      <c r="Z86" s="1647"/>
      <c r="AA86" s="1718"/>
      <c r="AB86" s="1718"/>
      <c r="AC86" s="1718"/>
      <c r="AD86" s="1718"/>
      <c r="AE86" s="1693"/>
      <c r="AF86" s="1694"/>
      <c r="AG86" s="1694"/>
      <c r="AH86" s="1695"/>
      <c r="AI86" s="1590"/>
      <c r="AJ86" s="1590"/>
      <c r="AK86" s="1590"/>
      <c r="AL86" s="1590"/>
      <c r="AM86" s="1586"/>
      <c r="AN86" s="1586"/>
      <c r="AO86" s="1586"/>
      <c r="AP86" s="1586"/>
      <c r="AQ86" s="1648"/>
      <c r="AR86" s="1648"/>
      <c r="AS86" s="1648"/>
      <c r="AT86" s="1648"/>
      <c r="AU86" s="1638"/>
      <c r="AV86" s="1639"/>
      <c r="AW86" s="1639"/>
      <c r="AX86" s="1640"/>
      <c r="AY86" s="1641"/>
      <c r="AZ86" s="1641"/>
      <c r="BA86" s="1641"/>
      <c r="BB86" s="1641"/>
      <c r="BC86" s="1642"/>
      <c r="BD86" s="1642"/>
      <c r="BE86" s="1642"/>
      <c r="BF86" s="1642"/>
      <c r="BG86" s="1635"/>
      <c r="BH86" s="1635"/>
      <c r="BI86" s="1635"/>
      <c r="BJ86" s="1635"/>
      <c r="BK86" s="1651"/>
      <c r="BL86" s="1651"/>
      <c r="BM86" s="1651"/>
      <c r="BN86" s="1651"/>
      <c r="BO86" s="1635"/>
      <c r="BP86" s="1635"/>
      <c r="BQ86" s="1635"/>
      <c r="BR86" s="1635"/>
      <c r="BS86" s="1636"/>
      <c r="BT86" s="1636"/>
      <c r="BU86" s="1636"/>
      <c r="BV86" s="1716"/>
      <c r="BW86" s="1733"/>
    </row>
    <row r="87" spans="1:75" ht="16.5" thickBot="1" x14ac:dyDescent="0.3">
      <c r="A87" s="1734" t="s">
        <v>390</v>
      </c>
      <c r="B87" s="1735"/>
      <c r="C87" s="1735"/>
      <c r="D87" s="1735"/>
      <c r="E87" s="1735"/>
      <c r="F87" s="1735"/>
      <c r="G87" s="1735"/>
      <c r="H87" s="1735"/>
      <c r="I87" s="1735"/>
      <c r="J87" s="1735"/>
      <c r="K87" s="1735"/>
      <c r="L87" s="1735"/>
      <c r="M87" s="1735"/>
      <c r="N87" s="1735"/>
      <c r="O87" s="1735"/>
      <c r="P87" s="1735"/>
      <c r="Q87" s="1735"/>
      <c r="R87" s="1735"/>
      <c r="S87" s="1735"/>
      <c r="T87" s="1735"/>
      <c r="U87" s="1735"/>
      <c r="V87" s="1736"/>
      <c r="W87" s="1737">
        <f>SUM(W74:W86)</f>
        <v>0</v>
      </c>
      <c r="X87" s="1737"/>
      <c r="Y87" s="1737"/>
      <c r="Z87" s="1737"/>
      <c r="AA87" s="1738">
        <f>SUM(AA74:AA86)</f>
        <v>0</v>
      </c>
      <c r="AB87" s="1738"/>
      <c r="AC87" s="1738"/>
      <c r="AD87" s="1738"/>
      <c r="AE87" s="1739">
        <f>SUM(AE74:AE86)</f>
        <v>0</v>
      </c>
      <c r="AF87" s="1740"/>
      <c r="AG87" s="1740"/>
      <c r="AH87" s="1741"/>
      <c r="AI87" s="1742">
        <f>SUM(AI74:AI86)</f>
        <v>0</v>
      </c>
      <c r="AJ87" s="1742"/>
      <c r="AK87" s="1742"/>
      <c r="AL87" s="1742"/>
      <c r="AM87" s="1739">
        <f>SUM(AM74:AM86)</f>
        <v>0</v>
      </c>
      <c r="AN87" s="1740"/>
      <c r="AO87" s="1740"/>
      <c r="AP87" s="1741"/>
      <c r="AQ87" s="1743">
        <f>SUM(AQ74:AQ86)</f>
        <v>0</v>
      </c>
      <c r="AR87" s="1744"/>
      <c r="AS87" s="1744"/>
      <c r="AT87" s="1745"/>
      <c r="AU87" s="1719">
        <f>SUM(AU74:AU86)</f>
        <v>0</v>
      </c>
      <c r="AV87" s="1720"/>
      <c r="AW87" s="1720"/>
      <c r="AX87" s="1721"/>
      <c r="AY87" s="1743">
        <f>SUM(AY74:AY86)</f>
        <v>0</v>
      </c>
      <c r="AZ87" s="1744"/>
      <c r="BA87" s="1744"/>
      <c r="BB87" s="1745"/>
      <c r="BC87" s="1719">
        <f>SUM(BC74:BC86)</f>
        <v>0</v>
      </c>
      <c r="BD87" s="1720"/>
      <c r="BE87" s="1720"/>
      <c r="BF87" s="1721"/>
      <c r="BG87" s="1722">
        <f>SUM(BG74:BG86)</f>
        <v>0</v>
      </c>
      <c r="BH87" s="1723"/>
      <c r="BI87" s="1723"/>
      <c r="BJ87" s="1724"/>
      <c r="BK87" s="1725">
        <f>SUM(BK74:BK86)</f>
        <v>0</v>
      </c>
      <c r="BL87" s="1726"/>
      <c r="BM87" s="1726"/>
      <c r="BN87" s="1727"/>
      <c r="BO87" s="1722">
        <f>SUM(BO74:BO86)</f>
        <v>0</v>
      </c>
      <c r="BP87" s="1723"/>
      <c r="BQ87" s="1723"/>
      <c r="BR87" s="1724"/>
      <c r="BS87" s="1728">
        <f>SUM(BS74:BS86)</f>
        <v>0</v>
      </c>
      <c r="BT87" s="1728"/>
      <c r="BU87" s="1728"/>
      <c r="BV87" s="1729"/>
      <c r="BW87" s="280"/>
    </row>
    <row r="88" spans="1:75" ht="15.75" thickTop="1" x14ac:dyDescent="0.25">
      <c r="A88" s="1643" t="s">
        <v>852</v>
      </c>
      <c r="B88" s="1643"/>
      <c r="C88" s="1643"/>
      <c r="D88" s="1643"/>
      <c r="E88" s="1643"/>
      <c r="F88" s="1643"/>
      <c r="G88" s="1643"/>
      <c r="H88" s="1643"/>
      <c r="I88" s="1643"/>
      <c r="J88" s="1643"/>
      <c r="K88" s="1643"/>
      <c r="L88" s="1643"/>
      <c r="M88" s="164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c r="AL88" s="1643"/>
      <c r="AM88" s="1643"/>
      <c r="AN88" s="1643"/>
      <c r="AO88" s="1643"/>
      <c r="AP88" s="1643"/>
      <c r="AQ88" s="1643"/>
      <c r="AR88" s="1643"/>
      <c r="AS88" s="1643"/>
      <c r="AT88" s="1643"/>
      <c r="AU88" s="1643"/>
      <c r="AV88" s="1643"/>
      <c r="AW88" s="1643"/>
      <c r="AX88" s="1643"/>
      <c r="AY88" s="1643"/>
      <c r="AZ88" s="1643"/>
      <c r="BA88" s="1643"/>
      <c r="BB88" s="1643"/>
      <c r="BC88" s="1643"/>
      <c r="BD88" s="1643"/>
      <c r="BE88" s="1643"/>
      <c r="BF88" s="1643"/>
      <c r="BG88" s="1643"/>
      <c r="BH88" s="1643"/>
      <c r="BI88" s="1643"/>
      <c r="BJ88" s="1643"/>
      <c r="BK88" s="1643"/>
      <c r="BL88" s="1643"/>
      <c r="BM88" s="1643"/>
      <c r="BN88" s="1643"/>
      <c r="BO88" s="1643"/>
      <c r="BP88" s="1643"/>
      <c r="BQ88" s="1643"/>
      <c r="BR88" s="1643"/>
      <c r="BS88" s="1643"/>
      <c r="BT88" s="1643"/>
      <c r="BU88" s="1643"/>
      <c r="BV88" s="1643"/>
      <c r="BW88" s="1643"/>
    </row>
    <row r="89" spans="1:75" x14ac:dyDescent="0.25">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row>
  </sheetData>
  <mergeCells count="1270">
    <mergeCell ref="BC87:BF87"/>
    <mergeCell ref="BG87:BJ87"/>
    <mergeCell ref="BK87:BN87"/>
    <mergeCell ref="BO87:BR87"/>
    <mergeCell ref="BS87:BV87"/>
    <mergeCell ref="A72:BV72"/>
    <mergeCell ref="AQ86:AT86"/>
    <mergeCell ref="AU86:AX86"/>
    <mergeCell ref="AY86:BB86"/>
    <mergeCell ref="BC86:BF86"/>
    <mergeCell ref="BW74:BW86"/>
    <mergeCell ref="A87:V87"/>
    <mergeCell ref="W87:Z87"/>
    <mergeCell ref="AA87:AD87"/>
    <mergeCell ref="AE87:AH87"/>
    <mergeCell ref="AI87:AL87"/>
    <mergeCell ref="AM87:AP87"/>
    <mergeCell ref="AQ87:AT87"/>
    <mergeCell ref="AU87:AX87"/>
    <mergeCell ref="AY87:BB87"/>
    <mergeCell ref="A84:H84"/>
    <mergeCell ref="I84:L84"/>
    <mergeCell ref="M84:Q84"/>
    <mergeCell ref="R84:V84"/>
    <mergeCell ref="W84:Z84"/>
    <mergeCell ref="AE85:AH85"/>
    <mergeCell ref="AI85:AL85"/>
    <mergeCell ref="AM85:AP85"/>
    <mergeCell ref="AQ85:AT85"/>
    <mergeCell ref="AU85:AX85"/>
    <mergeCell ref="AY85:BB85"/>
    <mergeCell ref="BG86:BJ86"/>
    <mergeCell ref="BK86:BN86"/>
    <mergeCell ref="BO86:BR86"/>
    <mergeCell ref="BS86:BV86"/>
    <mergeCell ref="A85:H85"/>
    <mergeCell ref="I85:L85"/>
    <mergeCell ref="M85:Q85"/>
    <mergeCell ref="R85:V85"/>
    <mergeCell ref="W85:Z85"/>
    <mergeCell ref="AA85:AD85"/>
    <mergeCell ref="A86:H86"/>
    <mergeCell ref="I86:L86"/>
    <mergeCell ref="M86:Q86"/>
    <mergeCell ref="R86:V86"/>
    <mergeCell ref="W86:Z86"/>
    <mergeCell ref="AA86:AD86"/>
    <mergeCell ref="AE86:AH86"/>
    <mergeCell ref="AI86:AL86"/>
    <mergeCell ref="AM86:AP86"/>
    <mergeCell ref="AY84:BB84"/>
    <mergeCell ref="BC84:BF84"/>
    <mergeCell ref="BG84:BJ84"/>
    <mergeCell ref="BK84:BN84"/>
    <mergeCell ref="BO84:BR84"/>
    <mergeCell ref="BS84:BV84"/>
    <mergeCell ref="AA84:AD84"/>
    <mergeCell ref="AE84:AH84"/>
    <mergeCell ref="AI84:AL84"/>
    <mergeCell ref="AM84:AP84"/>
    <mergeCell ref="AQ84:AT84"/>
    <mergeCell ref="AU84:AX84"/>
    <mergeCell ref="BC85:BF85"/>
    <mergeCell ref="BG85:BJ85"/>
    <mergeCell ref="BK85:BN85"/>
    <mergeCell ref="BO85:BR85"/>
    <mergeCell ref="BS85:BV85"/>
    <mergeCell ref="A82:H82"/>
    <mergeCell ref="I82:L82"/>
    <mergeCell ref="M82:Q82"/>
    <mergeCell ref="R82:V82"/>
    <mergeCell ref="W82:Z82"/>
    <mergeCell ref="AE83:AH83"/>
    <mergeCell ref="AI83:AL83"/>
    <mergeCell ref="AM83:AP83"/>
    <mergeCell ref="AQ83:AT83"/>
    <mergeCell ref="AU83:AX83"/>
    <mergeCell ref="AY83:BB83"/>
    <mergeCell ref="A83:H83"/>
    <mergeCell ref="I83:L83"/>
    <mergeCell ref="M83:Q83"/>
    <mergeCell ref="R83:V83"/>
    <mergeCell ref="W83:Z83"/>
    <mergeCell ref="AA83:AD83"/>
    <mergeCell ref="AY82:BB82"/>
    <mergeCell ref="BC82:BF82"/>
    <mergeCell ref="BG82:BJ82"/>
    <mergeCell ref="BK82:BN82"/>
    <mergeCell ref="BO82:BR82"/>
    <mergeCell ref="BS82:BV82"/>
    <mergeCell ref="AA82:AD82"/>
    <mergeCell ref="AE82:AH82"/>
    <mergeCell ref="AI82:AL82"/>
    <mergeCell ref="AM82:AP82"/>
    <mergeCell ref="AQ82:AT82"/>
    <mergeCell ref="AU82:AX82"/>
    <mergeCell ref="BC83:BF83"/>
    <mergeCell ref="BG83:BJ83"/>
    <mergeCell ref="BK83:BN83"/>
    <mergeCell ref="BO83:BR83"/>
    <mergeCell ref="BS83:BV83"/>
    <mergeCell ref="A80:H80"/>
    <mergeCell ref="I80:L80"/>
    <mergeCell ref="M80:Q80"/>
    <mergeCell ref="R80:V80"/>
    <mergeCell ref="W80:Z80"/>
    <mergeCell ref="AE81:AH81"/>
    <mergeCell ref="AI81:AL81"/>
    <mergeCell ref="AM81:AP81"/>
    <mergeCell ref="AQ81:AT81"/>
    <mergeCell ref="AU81:AX81"/>
    <mergeCell ref="AY81:BB81"/>
    <mergeCell ref="A81:H81"/>
    <mergeCell ref="I81:L81"/>
    <mergeCell ref="M81:Q81"/>
    <mergeCell ref="R81:V81"/>
    <mergeCell ref="W81:Z81"/>
    <mergeCell ref="AA81:AD81"/>
    <mergeCell ref="AY80:BB80"/>
    <mergeCell ref="BC80:BF80"/>
    <mergeCell ref="BG80:BJ80"/>
    <mergeCell ref="BK80:BN80"/>
    <mergeCell ref="BO80:BR80"/>
    <mergeCell ref="BS80:BV80"/>
    <mergeCell ref="AA80:AD80"/>
    <mergeCell ref="AE80:AH80"/>
    <mergeCell ref="AI80:AL80"/>
    <mergeCell ref="AM80:AP80"/>
    <mergeCell ref="AQ80:AT80"/>
    <mergeCell ref="AU80:AX80"/>
    <mergeCell ref="BC81:BF81"/>
    <mergeCell ref="BG81:BJ81"/>
    <mergeCell ref="BK81:BN81"/>
    <mergeCell ref="BO81:BR81"/>
    <mergeCell ref="BS81:BV81"/>
    <mergeCell ref="A78:H78"/>
    <mergeCell ref="I78:L78"/>
    <mergeCell ref="M78:Q78"/>
    <mergeCell ref="R78:V78"/>
    <mergeCell ref="W78:Z78"/>
    <mergeCell ref="AE79:AH79"/>
    <mergeCell ref="AI79:AL79"/>
    <mergeCell ref="AM79:AP79"/>
    <mergeCell ref="AQ79:AT79"/>
    <mergeCell ref="AU79:AX79"/>
    <mergeCell ref="AY79:BB79"/>
    <mergeCell ref="A79:H79"/>
    <mergeCell ref="I79:L79"/>
    <mergeCell ref="M79:Q79"/>
    <mergeCell ref="R79:V79"/>
    <mergeCell ref="W79:Z79"/>
    <mergeCell ref="AA79:AD79"/>
    <mergeCell ref="AY78:BB78"/>
    <mergeCell ref="BC78:BF78"/>
    <mergeCell ref="BG78:BJ78"/>
    <mergeCell ref="BK78:BN78"/>
    <mergeCell ref="BO78:BR78"/>
    <mergeCell ref="BS78:BV78"/>
    <mergeCell ref="AA78:AD78"/>
    <mergeCell ref="AE78:AH78"/>
    <mergeCell ref="AI78:AL78"/>
    <mergeCell ref="AM78:AP78"/>
    <mergeCell ref="AQ78:AT78"/>
    <mergeCell ref="AU78:AX78"/>
    <mergeCell ref="BC79:BF79"/>
    <mergeCell ref="BG79:BJ79"/>
    <mergeCell ref="BK79:BN79"/>
    <mergeCell ref="BO79:BR79"/>
    <mergeCell ref="BS79:BV79"/>
    <mergeCell ref="A76:H76"/>
    <mergeCell ref="I76:L76"/>
    <mergeCell ref="M76:Q76"/>
    <mergeCell ref="R76:V76"/>
    <mergeCell ref="W76:Z76"/>
    <mergeCell ref="AE77:AH77"/>
    <mergeCell ref="AI77:AL77"/>
    <mergeCell ref="AM77:AP77"/>
    <mergeCell ref="AQ77:AT77"/>
    <mergeCell ref="AU77:AX77"/>
    <mergeCell ref="AY77:BB77"/>
    <mergeCell ref="A77:H77"/>
    <mergeCell ref="I77:L77"/>
    <mergeCell ref="M77:Q77"/>
    <mergeCell ref="R77:V77"/>
    <mergeCell ref="W77:Z77"/>
    <mergeCell ref="AA77:AD77"/>
    <mergeCell ref="AY76:BB76"/>
    <mergeCell ref="BC76:BF76"/>
    <mergeCell ref="BG76:BJ76"/>
    <mergeCell ref="BK76:BN76"/>
    <mergeCell ref="BO76:BR76"/>
    <mergeCell ref="BS76:BV76"/>
    <mergeCell ref="AA76:AD76"/>
    <mergeCell ref="AE76:AH76"/>
    <mergeCell ref="AI76:AL76"/>
    <mergeCell ref="AM76:AP76"/>
    <mergeCell ref="AQ76:AT76"/>
    <mergeCell ref="AU76:AX76"/>
    <mergeCell ref="BC77:BF77"/>
    <mergeCell ref="BG77:BJ77"/>
    <mergeCell ref="BK77:BN77"/>
    <mergeCell ref="BO77:BR77"/>
    <mergeCell ref="BS77:BV77"/>
    <mergeCell ref="AM74:AP74"/>
    <mergeCell ref="AQ74:AT74"/>
    <mergeCell ref="AU74:AX74"/>
    <mergeCell ref="BC75:BF75"/>
    <mergeCell ref="BG75:BJ75"/>
    <mergeCell ref="BK75:BN75"/>
    <mergeCell ref="BO75:BR75"/>
    <mergeCell ref="BS75:BV75"/>
    <mergeCell ref="A74:H74"/>
    <mergeCell ref="I74:L74"/>
    <mergeCell ref="M74:Q74"/>
    <mergeCell ref="R74:V74"/>
    <mergeCell ref="W74:Z74"/>
    <mergeCell ref="AE75:AH75"/>
    <mergeCell ref="AI75:AL75"/>
    <mergeCell ref="AM75:AP75"/>
    <mergeCell ref="AQ75:AT75"/>
    <mergeCell ref="AU75:AX75"/>
    <mergeCell ref="AY75:BB75"/>
    <mergeCell ref="A75:H75"/>
    <mergeCell ref="I75:L75"/>
    <mergeCell ref="M75:Q75"/>
    <mergeCell ref="R75:V75"/>
    <mergeCell ref="W75:Z75"/>
    <mergeCell ref="AA75:AD75"/>
    <mergeCell ref="W4:Z4"/>
    <mergeCell ref="A5:H5"/>
    <mergeCell ref="A6:H6"/>
    <mergeCell ref="A7:H7"/>
    <mergeCell ref="A8:H8"/>
    <mergeCell ref="A9:H9"/>
    <mergeCell ref="BC73:BF73"/>
    <mergeCell ref="BG73:BJ73"/>
    <mergeCell ref="BK73:BN73"/>
    <mergeCell ref="BO73:BR73"/>
    <mergeCell ref="BS73:BV73"/>
    <mergeCell ref="A3:V3"/>
    <mergeCell ref="A4:H4"/>
    <mergeCell ref="I4:L4"/>
    <mergeCell ref="M4:Q4"/>
    <mergeCell ref="R4:V4"/>
    <mergeCell ref="AE73:AH73"/>
    <mergeCell ref="AI73:AL73"/>
    <mergeCell ref="AM73:AP73"/>
    <mergeCell ref="AQ73:AT73"/>
    <mergeCell ref="AU73:AX73"/>
    <mergeCell ref="AY73:BB73"/>
    <mergeCell ref="A73:H73"/>
    <mergeCell ref="I73:L73"/>
    <mergeCell ref="M73:Q73"/>
    <mergeCell ref="R73:V73"/>
    <mergeCell ref="W73:Z73"/>
    <mergeCell ref="AA73:AD73"/>
    <mergeCell ref="A37:AO37"/>
    <mergeCell ref="M11:Q11"/>
    <mergeCell ref="M12:Q12"/>
    <mergeCell ref="M13:Q13"/>
    <mergeCell ref="I5:L5"/>
    <mergeCell ref="I6:L6"/>
    <mergeCell ref="I7:L7"/>
    <mergeCell ref="I8:L8"/>
    <mergeCell ref="I9:L9"/>
    <mergeCell ref="I10:L10"/>
    <mergeCell ref="I11:L11"/>
    <mergeCell ref="A10:H10"/>
    <mergeCell ref="A11:H11"/>
    <mergeCell ref="A12:H12"/>
    <mergeCell ref="A13:H13"/>
    <mergeCell ref="M5:Q5"/>
    <mergeCell ref="M6:Q6"/>
    <mergeCell ref="M7:Q7"/>
    <mergeCell ref="M8:Q8"/>
    <mergeCell ref="M9:Q9"/>
    <mergeCell ref="M10:Q10"/>
    <mergeCell ref="AM21:AP21"/>
    <mergeCell ref="AQ21:AT21"/>
    <mergeCell ref="R11:V11"/>
    <mergeCell ref="R12:V12"/>
    <mergeCell ref="R13:V13"/>
    <mergeCell ref="AM22:AP22"/>
    <mergeCell ref="A20:V20"/>
    <mergeCell ref="W20:BV20"/>
    <mergeCell ref="A21:H21"/>
    <mergeCell ref="I21:L21"/>
    <mergeCell ref="M21:Q21"/>
    <mergeCell ref="R21:V21"/>
    <mergeCell ref="W13:Z13"/>
    <mergeCell ref="R5:V5"/>
    <mergeCell ref="A25:H25"/>
    <mergeCell ref="I25:L25"/>
    <mergeCell ref="M25:Q25"/>
    <mergeCell ref="R6:V6"/>
    <mergeCell ref="R7:V7"/>
    <mergeCell ref="R8:V8"/>
    <mergeCell ref="R9:V9"/>
    <mergeCell ref="R10:V10"/>
    <mergeCell ref="I12:L12"/>
    <mergeCell ref="I13:L13"/>
    <mergeCell ref="W5:Z5"/>
    <mergeCell ref="W6:Z6"/>
    <mergeCell ref="W7:Z7"/>
    <mergeCell ref="W8:Z8"/>
    <mergeCell ref="W9:Z9"/>
    <mergeCell ref="W10:Z10"/>
    <mergeCell ref="W11:Z11"/>
    <mergeCell ref="W12:Z12"/>
    <mergeCell ref="M22:Q22"/>
    <mergeCell ref="R22:V22"/>
    <mergeCell ref="W22:Z22"/>
    <mergeCell ref="AA22:AD22"/>
    <mergeCell ref="AE23:AH23"/>
    <mergeCell ref="AI23:AL23"/>
    <mergeCell ref="AM23:AP23"/>
    <mergeCell ref="AQ23:AT23"/>
    <mergeCell ref="AU23:AX23"/>
    <mergeCell ref="AY23:BB23"/>
    <mergeCell ref="A23:H23"/>
    <mergeCell ref="I23:L23"/>
    <mergeCell ref="M23:Q23"/>
    <mergeCell ref="R23:V23"/>
    <mergeCell ref="W23:Z23"/>
    <mergeCell ref="AA23:AD23"/>
    <mergeCell ref="BS21:BV21"/>
    <mergeCell ref="AQ22:AT22"/>
    <mergeCell ref="BG22:BJ22"/>
    <mergeCell ref="BK22:BN22"/>
    <mergeCell ref="BO22:BR22"/>
    <mergeCell ref="BS22:BV22"/>
    <mergeCell ref="AU21:AX21"/>
    <mergeCell ref="AY21:BB21"/>
    <mergeCell ref="BC21:BF21"/>
    <mergeCell ref="BG21:BJ21"/>
    <mergeCell ref="BK21:BN21"/>
    <mergeCell ref="BO21:BR21"/>
    <mergeCell ref="W21:Z21"/>
    <mergeCell ref="AA21:AD21"/>
    <mergeCell ref="AE21:AH21"/>
    <mergeCell ref="AI21:AL21"/>
    <mergeCell ref="AM24:AP24"/>
    <mergeCell ref="AQ24:AT24"/>
    <mergeCell ref="AU24:AX24"/>
    <mergeCell ref="AY24:BB24"/>
    <mergeCell ref="BC24:BF24"/>
    <mergeCell ref="BG24:BJ24"/>
    <mergeCell ref="AM25:AP25"/>
    <mergeCell ref="BS23:BV23"/>
    <mergeCell ref="A24:H24"/>
    <mergeCell ref="I24:L24"/>
    <mergeCell ref="M24:Q24"/>
    <mergeCell ref="R24:V24"/>
    <mergeCell ref="W24:Z24"/>
    <mergeCell ref="AA24:AD24"/>
    <mergeCell ref="AE24:AH24"/>
    <mergeCell ref="AI24:AL24"/>
    <mergeCell ref="AE22:AH22"/>
    <mergeCell ref="AI22:AL22"/>
    <mergeCell ref="AU22:AX22"/>
    <mergeCell ref="AY22:BB22"/>
    <mergeCell ref="BC22:BF22"/>
    <mergeCell ref="R25:V25"/>
    <mergeCell ref="W25:Z25"/>
    <mergeCell ref="AA25:AD25"/>
    <mergeCell ref="AE25:AH25"/>
    <mergeCell ref="AI25:AL25"/>
    <mergeCell ref="BC23:BF23"/>
    <mergeCell ref="BG23:BJ23"/>
    <mergeCell ref="BK23:BN23"/>
    <mergeCell ref="BO23:BR23"/>
    <mergeCell ref="A22:H22"/>
    <mergeCell ref="I22:L22"/>
    <mergeCell ref="BS25:BV25"/>
    <mergeCell ref="BS27:BV27"/>
    <mergeCell ref="AQ28:AT28"/>
    <mergeCell ref="AU28:AX28"/>
    <mergeCell ref="AY28:BB28"/>
    <mergeCell ref="BC28:BF28"/>
    <mergeCell ref="BG28:BJ28"/>
    <mergeCell ref="BK28:BN28"/>
    <mergeCell ref="BO28:BR28"/>
    <mergeCell ref="BS28:BV28"/>
    <mergeCell ref="BK24:BN24"/>
    <mergeCell ref="BO24:BR24"/>
    <mergeCell ref="BS24:BV24"/>
    <mergeCell ref="AQ25:AT25"/>
    <mergeCell ref="AU25:AX25"/>
    <mergeCell ref="AY25:BB25"/>
    <mergeCell ref="BC25:BF25"/>
    <mergeCell ref="BG25:BJ25"/>
    <mergeCell ref="BK25:BN25"/>
    <mergeCell ref="BO25:BR25"/>
    <mergeCell ref="BS26:BV26"/>
    <mergeCell ref="A27:H27"/>
    <mergeCell ref="I27:L27"/>
    <mergeCell ref="M27:Q27"/>
    <mergeCell ref="R27:V27"/>
    <mergeCell ref="W27:Z27"/>
    <mergeCell ref="AA27:AD27"/>
    <mergeCell ref="A28:H28"/>
    <mergeCell ref="I28:L28"/>
    <mergeCell ref="M28:Q28"/>
    <mergeCell ref="R28:V28"/>
    <mergeCell ref="W28:Z28"/>
    <mergeCell ref="AA28:AD28"/>
    <mergeCell ref="BC26:BF26"/>
    <mergeCell ref="BG26:BJ26"/>
    <mergeCell ref="BK26:BN26"/>
    <mergeCell ref="BO26:BR26"/>
    <mergeCell ref="AE26:AH26"/>
    <mergeCell ref="AI26:AL26"/>
    <mergeCell ref="AM26:AP26"/>
    <mergeCell ref="AQ26:AT26"/>
    <mergeCell ref="AU26:AX26"/>
    <mergeCell ref="AY26:BB26"/>
    <mergeCell ref="A26:H26"/>
    <mergeCell ref="I26:L26"/>
    <mergeCell ref="M26:Q26"/>
    <mergeCell ref="R26:V26"/>
    <mergeCell ref="W26:Z26"/>
    <mergeCell ref="AA26:AD26"/>
    <mergeCell ref="BC27:BF27"/>
    <mergeCell ref="BG27:BJ27"/>
    <mergeCell ref="BK27:BN27"/>
    <mergeCell ref="BO27:BR27"/>
    <mergeCell ref="BO39:BR39"/>
    <mergeCell ref="BK30:BN30"/>
    <mergeCell ref="BO30:BR30"/>
    <mergeCell ref="BC38:BF38"/>
    <mergeCell ref="AE27:AH27"/>
    <mergeCell ref="AI27:AL27"/>
    <mergeCell ref="AM27:AP27"/>
    <mergeCell ref="AQ27:AT27"/>
    <mergeCell ref="AU27:AX27"/>
    <mergeCell ref="AY27:BB27"/>
    <mergeCell ref="AE28:AH28"/>
    <mergeCell ref="AI28:AL28"/>
    <mergeCell ref="AM28:AP28"/>
    <mergeCell ref="AU29:AX29"/>
    <mergeCell ref="AY29:BB29"/>
    <mergeCell ref="BC29:BF29"/>
    <mergeCell ref="BG29:BJ29"/>
    <mergeCell ref="BK29:BN29"/>
    <mergeCell ref="BO29:BR29"/>
    <mergeCell ref="AQ29:AT29"/>
    <mergeCell ref="BK38:BN38"/>
    <mergeCell ref="BO38:BR38"/>
    <mergeCell ref="AE38:AH38"/>
    <mergeCell ref="AI38:AL38"/>
    <mergeCell ref="AM38:AP38"/>
    <mergeCell ref="AQ38:AT38"/>
    <mergeCell ref="AU38:AX38"/>
    <mergeCell ref="AY38:BB38"/>
    <mergeCell ref="AY32:BB32"/>
    <mergeCell ref="BC32:BF32"/>
    <mergeCell ref="BG32:BJ32"/>
    <mergeCell ref="BK32:BN32"/>
    <mergeCell ref="BS30:BV30"/>
    <mergeCell ref="A29:H29"/>
    <mergeCell ref="I29:L29"/>
    <mergeCell ref="M29:Q29"/>
    <mergeCell ref="R29:V29"/>
    <mergeCell ref="W29:Z29"/>
    <mergeCell ref="AA29:AD29"/>
    <mergeCell ref="AE29:AH29"/>
    <mergeCell ref="AI29:AL29"/>
    <mergeCell ref="AM29:AP29"/>
    <mergeCell ref="AM30:AP30"/>
    <mergeCell ref="AQ30:AT30"/>
    <mergeCell ref="AU30:AX30"/>
    <mergeCell ref="AY30:BB30"/>
    <mergeCell ref="BC30:BF30"/>
    <mergeCell ref="BG30:BJ30"/>
    <mergeCell ref="BS39:BV39"/>
    <mergeCell ref="BS29:BV29"/>
    <mergeCell ref="A30:H30"/>
    <mergeCell ref="I30:L30"/>
    <mergeCell ref="M30:Q30"/>
    <mergeCell ref="R30:V30"/>
    <mergeCell ref="BG38:BJ38"/>
    <mergeCell ref="W30:Z30"/>
    <mergeCell ref="AA30:AD30"/>
    <mergeCell ref="AE30:AH30"/>
    <mergeCell ref="AI30:AL30"/>
    <mergeCell ref="BS38:BV38"/>
    <mergeCell ref="AQ39:AT39"/>
    <mergeCell ref="AU39:AX39"/>
    <mergeCell ref="AY39:BB39"/>
    <mergeCell ref="BC39:BF39"/>
    <mergeCell ref="A38:H38"/>
    <mergeCell ref="I38:L38"/>
    <mergeCell ref="M38:Q38"/>
    <mergeCell ref="R38:V38"/>
    <mergeCell ref="W38:Z38"/>
    <mergeCell ref="AA38:AD38"/>
    <mergeCell ref="A39:H39"/>
    <mergeCell ref="I39:L39"/>
    <mergeCell ref="M39:Q39"/>
    <mergeCell ref="R39:V39"/>
    <mergeCell ref="W39:Z39"/>
    <mergeCell ref="AA39:AD39"/>
    <mergeCell ref="AE39:AH39"/>
    <mergeCell ref="AI39:AL39"/>
    <mergeCell ref="AM39:AP39"/>
    <mergeCell ref="BG40:BJ40"/>
    <mergeCell ref="BK40:BN40"/>
    <mergeCell ref="BG39:BJ39"/>
    <mergeCell ref="BK39:BN39"/>
    <mergeCell ref="BO40:BR40"/>
    <mergeCell ref="BS40:BV40"/>
    <mergeCell ref="BO43:BR43"/>
    <mergeCell ref="BS43:BV43"/>
    <mergeCell ref="BK44:BN44"/>
    <mergeCell ref="BO44:BR44"/>
    <mergeCell ref="BS44:BV44"/>
    <mergeCell ref="A41:H41"/>
    <mergeCell ref="I41:L41"/>
    <mergeCell ref="M41:Q41"/>
    <mergeCell ref="R41:V41"/>
    <mergeCell ref="W41:Z41"/>
    <mergeCell ref="AI40:AL40"/>
    <mergeCell ref="AM40:AP40"/>
    <mergeCell ref="AQ40:AT40"/>
    <mergeCell ref="AU40:AX40"/>
    <mergeCell ref="AY40:BB40"/>
    <mergeCell ref="BC40:BF40"/>
    <mergeCell ref="BK42:BN42"/>
    <mergeCell ref="BO42:BR42"/>
    <mergeCell ref="BS42:BV42"/>
    <mergeCell ref="A40:H40"/>
    <mergeCell ref="I40:L40"/>
    <mergeCell ref="M40:Q40"/>
    <mergeCell ref="R40:V40"/>
    <mergeCell ref="W40:Z40"/>
    <mergeCell ref="AA40:AD40"/>
    <mergeCell ref="AE40:AH40"/>
    <mergeCell ref="AA42:AD42"/>
    <mergeCell ref="AE42:AH42"/>
    <mergeCell ref="A42:H42"/>
    <mergeCell ref="AA44:AD44"/>
    <mergeCell ref="AE44:AH44"/>
    <mergeCell ref="AI44:AL44"/>
    <mergeCell ref="AM44:AP44"/>
    <mergeCell ref="AQ44:AT44"/>
    <mergeCell ref="AU44:AX44"/>
    <mergeCell ref="AY44:BB44"/>
    <mergeCell ref="BC44:BF44"/>
    <mergeCell ref="W44:Z44"/>
    <mergeCell ref="AY41:BB41"/>
    <mergeCell ref="BC41:BF41"/>
    <mergeCell ref="BG41:BJ41"/>
    <mergeCell ref="BK41:BN41"/>
    <mergeCell ref="BO41:BR41"/>
    <mergeCell ref="BS41:BV41"/>
    <mergeCell ref="AA41:AD41"/>
    <mergeCell ref="AE41:AH41"/>
    <mergeCell ref="AI41:AL41"/>
    <mergeCell ref="AM41:AP41"/>
    <mergeCell ref="AQ41:AT41"/>
    <mergeCell ref="AU41:AX41"/>
    <mergeCell ref="AQ43:AT43"/>
    <mergeCell ref="AU43:AX43"/>
    <mergeCell ref="AY43:BB43"/>
    <mergeCell ref="BC43:BF43"/>
    <mergeCell ref="BG43:BJ43"/>
    <mergeCell ref="BK43:BN43"/>
    <mergeCell ref="BG42:BJ42"/>
    <mergeCell ref="BG44:BJ44"/>
    <mergeCell ref="A43:H43"/>
    <mergeCell ref="I43:L43"/>
    <mergeCell ref="M43:Q43"/>
    <mergeCell ref="R43:V43"/>
    <mergeCell ref="W43:Z43"/>
    <mergeCell ref="AA43:AD43"/>
    <mergeCell ref="AE43:AH43"/>
    <mergeCell ref="AI43:AL43"/>
    <mergeCell ref="AM43:AP43"/>
    <mergeCell ref="AI42:AL42"/>
    <mergeCell ref="AM42:AP42"/>
    <mergeCell ref="AQ42:AT42"/>
    <mergeCell ref="AU42:AX42"/>
    <mergeCell ref="AY42:BB42"/>
    <mergeCell ref="BC42:BF42"/>
    <mergeCell ref="I42:L42"/>
    <mergeCell ref="M42:Q42"/>
    <mergeCell ref="R42:V42"/>
    <mergeCell ref="W42:Z42"/>
    <mergeCell ref="A44:H44"/>
    <mergeCell ref="I44:L44"/>
    <mergeCell ref="M48:Q48"/>
    <mergeCell ref="R48:V48"/>
    <mergeCell ref="W48:Z48"/>
    <mergeCell ref="AA48:AD48"/>
    <mergeCell ref="AA47:AD47"/>
    <mergeCell ref="AA46:AD46"/>
    <mergeCell ref="AY45:BB45"/>
    <mergeCell ref="BC45:BF45"/>
    <mergeCell ref="BG45:BJ45"/>
    <mergeCell ref="BK45:BN45"/>
    <mergeCell ref="BO45:BR45"/>
    <mergeCell ref="BS45:BV45"/>
    <mergeCell ref="AA45:AD45"/>
    <mergeCell ref="AE45:AH45"/>
    <mergeCell ref="AI45:AL45"/>
    <mergeCell ref="AM45:AP45"/>
    <mergeCell ref="AQ45:AT45"/>
    <mergeCell ref="AU45:AX45"/>
    <mergeCell ref="AY46:BB46"/>
    <mergeCell ref="BC46:BF46"/>
    <mergeCell ref="BG46:BJ46"/>
    <mergeCell ref="BK46:BN46"/>
    <mergeCell ref="BO46:BR46"/>
    <mergeCell ref="A45:H45"/>
    <mergeCell ref="I45:L45"/>
    <mergeCell ref="M45:Q45"/>
    <mergeCell ref="R45:V45"/>
    <mergeCell ref="W45:Z45"/>
    <mergeCell ref="M44:Q44"/>
    <mergeCell ref="R44:V44"/>
    <mergeCell ref="R46:V46"/>
    <mergeCell ref="W46:Z46"/>
    <mergeCell ref="AE47:AH47"/>
    <mergeCell ref="AI47:AL47"/>
    <mergeCell ref="AM47:AP47"/>
    <mergeCell ref="AQ47:AT47"/>
    <mergeCell ref="AU47:AX47"/>
    <mergeCell ref="AY47:BB47"/>
    <mergeCell ref="AE48:AH48"/>
    <mergeCell ref="AI48:AL48"/>
    <mergeCell ref="AM48:AP48"/>
    <mergeCell ref="BS46:BV46"/>
    <mergeCell ref="A47:H47"/>
    <mergeCell ref="I47:L47"/>
    <mergeCell ref="M47:Q47"/>
    <mergeCell ref="R47:V47"/>
    <mergeCell ref="W47:Z47"/>
    <mergeCell ref="A48:H48"/>
    <mergeCell ref="I48:L48"/>
    <mergeCell ref="AQ48:AT48"/>
    <mergeCell ref="AU48:AX48"/>
    <mergeCell ref="AY48:BB48"/>
    <mergeCell ref="BC48:BF48"/>
    <mergeCell ref="BG48:BJ48"/>
    <mergeCell ref="AE46:AH46"/>
    <mergeCell ref="AI46:AL46"/>
    <mergeCell ref="AM46:AP46"/>
    <mergeCell ref="AQ46:AT46"/>
    <mergeCell ref="AU46:AX46"/>
    <mergeCell ref="A46:H46"/>
    <mergeCell ref="I46:L46"/>
    <mergeCell ref="BC47:BF47"/>
    <mergeCell ref="BG47:BJ47"/>
    <mergeCell ref="BK47:BN47"/>
    <mergeCell ref="BO47:BR47"/>
    <mergeCell ref="BS47:BV47"/>
    <mergeCell ref="AA56:AD56"/>
    <mergeCell ref="AE56:AH56"/>
    <mergeCell ref="AI56:AL56"/>
    <mergeCell ref="BO52:BR52"/>
    <mergeCell ref="BS52:BV52"/>
    <mergeCell ref="AY56:BB56"/>
    <mergeCell ref="BC56:BF56"/>
    <mergeCell ref="BG56:BJ56"/>
    <mergeCell ref="BK56:BN56"/>
    <mergeCell ref="BG55:BJ55"/>
    <mergeCell ref="BK55:BN55"/>
    <mergeCell ref="BO55:BR55"/>
    <mergeCell ref="BS55:BV55"/>
    <mergeCell ref="AI55:AL55"/>
    <mergeCell ref="AM55:AP55"/>
    <mergeCell ref="BS48:BV48"/>
    <mergeCell ref="BS56:BV56"/>
    <mergeCell ref="BK51:BN51"/>
    <mergeCell ref="BO51:BR51"/>
    <mergeCell ref="BS51:BV51"/>
    <mergeCell ref="AA51:AD51"/>
    <mergeCell ref="AE51:AH51"/>
    <mergeCell ref="AI51:AL51"/>
    <mergeCell ref="AM51:AP51"/>
    <mergeCell ref="AQ51:AT51"/>
    <mergeCell ref="AU51:AX51"/>
    <mergeCell ref="BC50:BF50"/>
    <mergeCell ref="BS59:BV59"/>
    <mergeCell ref="A58:H58"/>
    <mergeCell ref="I58:L58"/>
    <mergeCell ref="M58:Q58"/>
    <mergeCell ref="A56:H56"/>
    <mergeCell ref="I56:L56"/>
    <mergeCell ref="AQ52:AT52"/>
    <mergeCell ref="AU52:AX52"/>
    <mergeCell ref="AY52:BB52"/>
    <mergeCell ref="BC52:BF52"/>
    <mergeCell ref="BG52:BJ52"/>
    <mergeCell ref="BK52:BN52"/>
    <mergeCell ref="A52:V52"/>
    <mergeCell ref="W52:Z52"/>
    <mergeCell ref="AA52:AD52"/>
    <mergeCell ref="AE52:AH52"/>
    <mergeCell ref="AI52:AL52"/>
    <mergeCell ref="BC57:BF57"/>
    <mergeCell ref="BG57:BJ57"/>
    <mergeCell ref="BK57:BN57"/>
    <mergeCell ref="AY58:BB58"/>
    <mergeCell ref="BC58:BF58"/>
    <mergeCell ref="BG58:BJ58"/>
    <mergeCell ref="BK58:BN58"/>
    <mergeCell ref="AM52:AP52"/>
    <mergeCell ref="M57:Q57"/>
    <mergeCell ref="R57:V57"/>
    <mergeCell ref="W57:Z57"/>
    <mergeCell ref="AA57:AD57"/>
    <mergeCell ref="AQ55:AT55"/>
    <mergeCell ref="AU55:AX55"/>
    <mergeCell ref="AY55:BB55"/>
    <mergeCell ref="AE57:AH57"/>
    <mergeCell ref="AI57:AL57"/>
    <mergeCell ref="AM57:AP57"/>
    <mergeCell ref="AQ57:AT57"/>
    <mergeCell ref="AU57:AX57"/>
    <mergeCell ref="AY57:BB57"/>
    <mergeCell ref="BK48:BN48"/>
    <mergeCell ref="BO48:BR48"/>
    <mergeCell ref="AQ56:AT56"/>
    <mergeCell ref="AU56:AX56"/>
    <mergeCell ref="A54:V54"/>
    <mergeCell ref="W54:BV54"/>
    <mergeCell ref="A55:H55"/>
    <mergeCell ref="I55:L55"/>
    <mergeCell ref="M55:Q55"/>
    <mergeCell ref="R55:V55"/>
    <mergeCell ref="W55:Z55"/>
    <mergeCell ref="AA55:AD55"/>
    <mergeCell ref="AE55:AH55"/>
    <mergeCell ref="M56:Q56"/>
    <mergeCell ref="R56:V56"/>
    <mergeCell ref="W56:Z56"/>
    <mergeCell ref="BC55:BF55"/>
    <mergeCell ref="AM56:AP56"/>
    <mergeCell ref="BS57:BV57"/>
    <mergeCell ref="BO57:BR57"/>
    <mergeCell ref="BO56:BR56"/>
    <mergeCell ref="A62:H62"/>
    <mergeCell ref="BG61:BJ61"/>
    <mergeCell ref="BK61:BN61"/>
    <mergeCell ref="AQ59:AT59"/>
    <mergeCell ref="AU59:AX59"/>
    <mergeCell ref="AY59:BB59"/>
    <mergeCell ref="AQ58:AT58"/>
    <mergeCell ref="AU58:AX58"/>
    <mergeCell ref="AE59:AH59"/>
    <mergeCell ref="AI59:AL59"/>
    <mergeCell ref="AM59:AP59"/>
    <mergeCell ref="R58:V58"/>
    <mergeCell ref="W58:Z58"/>
    <mergeCell ref="AA58:AD58"/>
    <mergeCell ref="AE58:AH58"/>
    <mergeCell ref="AI58:AL58"/>
    <mergeCell ref="AM58:AP58"/>
    <mergeCell ref="R61:V61"/>
    <mergeCell ref="W61:Z61"/>
    <mergeCell ref="AA61:AD61"/>
    <mergeCell ref="AE61:AH61"/>
    <mergeCell ref="AI61:AL61"/>
    <mergeCell ref="AM61:AP61"/>
    <mergeCell ref="A59:H59"/>
    <mergeCell ref="I59:L59"/>
    <mergeCell ref="M59:Q59"/>
    <mergeCell ref="R59:V59"/>
    <mergeCell ref="W59:Z59"/>
    <mergeCell ref="AA59:AD59"/>
    <mergeCell ref="AA64:AD64"/>
    <mergeCell ref="AQ62:AT62"/>
    <mergeCell ref="AU62:AX62"/>
    <mergeCell ref="AY62:BB62"/>
    <mergeCell ref="AA63:AD63"/>
    <mergeCell ref="AE63:AH63"/>
    <mergeCell ref="AI63:AL63"/>
    <mergeCell ref="AM63:AP63"/>
    <mergeCell ref="AQ63:AT63"/>
    <mergeCell ref="AU63:AX63"/>
    <mergeCell ref="AY63:BB63"/>
    <mergeCell ref="AM62:AP62"/>
    <mergeCell ref="W63:Z63"/>
    <mergeCell ref="I62:L62"/>
    <mergeCell ref="M62:Q62"/>
    <mergeCell ref="R62:V62"/>
    <mergeCell ref="W62:Z62"/>
    <mergeCell ref="AA62:AD62"/>
    <mergeCell ref="AE62:AH62"/>
    <mergeCell ref="AI62:AL62"/>
    <mergeCell ref="AQ69:AT69"/>
    <mergeCell ref="AU69:AX69"/>
    <mergeCell ref="AY69:BB69"/>
    <mergeCell ref="BC69:BF69"/>
    <mergeCell ref="BG69:BJ69"/>
    <mergeCell ref="BK69:BN69"/>
    <mergeCell ref="BC64:BF64"/>
    <mergeCell ref="BG64:BJ64"/>
    <mergeCell ref="BK64:BN64"/>
    <mergeCell ref="BO64:BR64"/>
    <mergeCell ref="BS64:BV64"/>
    <mergeCell ref="A63:H63"/>
    <mergeCell ref="I63:L63"/>
    <mergeCell ref="M63:Q63"/>
    <mergeCell ref="R63:V63"/>
    <mergeCell ref="AE10:AH10"/>
    <mergeCell ref="AI10:AL10"/>
    <mergeCell ref="A60:H60"/>
    <mergeCell ref="I60:L60"/>
    <mergeCell ref="M60:Q60"/>
    <mergeCell ref="AQ12:AT12"/>
    <mergeCell ref="AE64:AH64"/>
    <mergeCell ref="AI64:AL64"/>
    <mergeCell ref="AM64:AP64"/>
    <mergeCell ref="AQ64:AT64"/>
    <mergeCell ref="AU64:AX64"/>
    <mergeCell ref="AY64:BB64"/>
    <mergeCell ref="A64:H64"/>
    <mergeCell ref="I64:L64"/>
    <mergeCell ref="M64:Q64"/>
    <mergeCell ref="R64:V64"/>
    <mergeCell ref="W64:Z64"/>
    <mergeCell ref="AA4:AD4"/>
    <mergeCell ref="AE4:AH4"/>
    <mergeCell ref="AI4:AL4"/>
    <mergeCell ref="AM4:AP4"/>
    <mergeCell ref="AA5:AD5"/>
    <mergeCell ref="AY12:BB12"/>
    <mergeCell ref="BC12:BF12"/>
    <mergeCell ref="AY9:BB9"/>
    <mergeCell ref="BC9:BF9"/>
    <mergeCell ref="AQ8:AT8"/>
    <mergeCell ref="AU8:AX8"/>
    <mergeCell ref="AY8:BB8"/>
    <mergeCell ref="BC8:BF8"/>
    <mergeCell ref="AA10:AD10"/>
    <mergeCell ref="A61:H61"/>
    <mergeCell ref="I61:L61"/>
    <mergeCell ref="M61:Q61"/>
    <mergeCell ref="R60:V60"/>
    <mergeCell ref="W60:Z60"/>
    <mergeCell ref="AA60:AD60"/>
    <mergeCell ref="AQ61:AT61"/>
    <mergeCell ref="AU61:AX61"/>
    <mergeCell ref="AY61:BB61"/>
    <mergeCell ref="AE60:AH60"/>
    <mergeCell ref="AI60:AL60"/>
    <mergeCell ref="AM60:AP60"/>
    <mergeCell ref="AQ60:AT60"/>
    <mergeCell ref="AU60:AX60"/>
    <mergeCell ref="AY60:BB60"/>
    <mergeCell ref="BC61:BF61"/>
    <mergeCell ref="A57:H57"/>
    <mergeCell ref="I57:L57"/>
    <mergeCell ref="W3:BV3"/>
    <mergeCell ref="BK10:BN10"/>
    <mergeCell ref="BO10:BR10"/>
    <mergeCell ref="BS10:BV10"/>
    <mergeCell ref="BG11:BJ11"/>
    <mergeCell ref="BK11:BN11"/>
    <mergeCell ref="BO11:BR11"/>
    <mergeCell ref="AY10:BB10"/>
    <mergeCell ref="BC10:BF10"/>
    <mergeCell ref="AQ11:AT11"/>
    <mergeCell ref="AU11:AX11"/>
    <mergeCell ref="AY11:BB11"/>
    <mergeCell ref="BC11:BF11"/>
    <mergeCell ref="AQ13:AT13"/>
    <mergeCell ref="AU13:AX13"/>
    <mergeCell ref="AY13:BB13"/>
    <mergeCell ref="BC13:BF13"/>
    <mergeCell ref="BG4:BJ4"/>
    <mergeCell ref="AQ4:AT4"/>
    <mergeCell ref="AU4:AX4"/>
    <mergeCell ref="AY4:BB4"/>
    <mergeCell ref="BC4:BF4"/>
    <mergeCell ref="AQ5:AT5"/>
    <mergeCell ref="AU5:AX5"/>
    <mergeCell ref="AY5:BB5"/>
    <mergeCell ref="BC5:BF5"/>
    <mergeCell ref="AA6:AD6"/>
    <mergeCell ref="AE6:AH6"/>
    <mergeCell ref="AI6:AL6"/>
    <mergeCell ref="AM6:AP6"/>
    <mergeCell ref="AA13:AD13"/>
    <mergeCell ref="AE13:AH13"/>
    <mergeCell ref="AE5:AH5"/>
    <mergeCell ref="AI5:AL5"/>
    <mergeCell ref="AM5:AP5"/>
    <mergeCell ref="AE8:AH8"/>
    <mergeCell ref="AI8:AL8"/>
    <mergeCell ref="AM8:AP8"/>
    <mergeCell ref="AA9:AD9"/>
    <mergeCell ref="AE9:AH9"/>
    <mergeCell ref="AI9:AL9"/>
    <mergeCell ref="AU12:AX12"/>
    <mergeCell ref="BG13:BJ13"/>
    <mergeCell ref="AQ9:AT9"/>
    <mergeCell ref="AU9:AX9"/>
    <mergeCell ref="AI11:AL11"/>
    <mergeCell ref="AM11:AP11"/>
    <mergeCell ref="BO6:BR6"/>
    <mergeCell ref="AM10:AP10"/>
    <mergeCell ref="AQ10:AT10"/>
    <mergeCell ref="AU10:AX10"/>
    <mergeCell ref="AQ6:AT6"/>
    <mergeCell ref="AU6:AX6"/>
    <mergeCell ref="AY6:BB6"/>
    <mergeCell ref="BC6:BF6"/>
    <mergeCell ref="AQ7:AT7"/>
    <mergeCell ref="AU7:AX7"/>
    <mergeCell ref="AY7:BB7"/>
    <mergeCell ref="BC7:BF7"/>
    <mergeCell ref="BK13:BN13"/>
    <mergeCell ref="BO13:BR13"/>
    <mergeCell ref="AI13:AL13"/>
    <mergeCell ref="AM13:AP13"/>
    <mergeCell ref="AA11:AD11"/>
    <mergeCell ref="W15:Z15"/>
    <mergeCell ref="AA15:AD15"/>
    <mergeCell ref="AE15:AH15"/>
    <mergeCell ref="AI15:AL15"/>
    <mergeCell ref="BG14:BJ14"/>
    <mergeCell ref="BK14:BN14"/>
    <mergeCell ref="BO14:BR14"/>
    <mergeCell ref="BS14:BV14"/>
    <mergeCell ref="AM9:AP9"/>
    <mergeCell ref="AA12:AD12"/>
    <mergeCell ref="AE12:AH12"/>
    <mergeCell ref="AI12:AL12"/>
    <mergeCell ref="AM12:AP12"/>
    <mergeCell ref="AA7:AD7"/>
    <mergeCell ref="AE7:AH7"/>
    <mergeCell ref="AI7:AL7"/>
    <mergeCell ref="AM7:AP7"/>
    <mergeCell ref="BK8:BN8"/>
    <mergeCell ref="BG7:BJ7"/>
    <mergeCell ref="BS13:BV13"/>
    <mergeCell ref="AE11:AH11"/>
    <mergeCell ref="AA8:AD8"/>
    <mergeCell ref="BK4:BN4"/>
    <mergeCell ref="BO4:BR4"/>
    <mergeCell ref="BS4:BV4"/>
    <mergeCell ref="BG5:BJ5"/>
    <mergeCell ref="BK5:BN5"/>
    <mergeCell ref="BO5:BR5"/>
    <mergeCell ref="BS5:BV5"/>
    <mergeCell ref="BO8:BR8"/>
    <mergeCell ref="BS8:BV8"/>
    <mergeCell ref="BG9:BJ9"/>
    <mergeCell ref="BK9:BN9"/>
    <mergeCell ref="BO9:BR9"/>
    <mergeCell ref="BS9:BV9"/>
    <mergeCell ref="BS11:BV11"/>
    <mergeCell ref="BG12:BJ12"/>
    <mergeCell ref="BK12:BN12"/>
    <mergeCell ref="BO12:BR12"/>
    <mergeCell ref="BS12:BV12"/>
    <mergeCell ref="BK7:BN7"/>
    <mergeCell ref="BO7:BR7"/>
    <mergeCell ref="BS7:BV7"/>
    <mergeCell ref="BG8:BJ8"/>
    <mergeCell ref="BG10:BJ10"/>
    <mergeCell ref="BS6:BV6"/>
    <mergeCell ref="BG6:BJ6"/>
    <mergeCell ref="BK6:BN6"/>
    <mergeCell ref="A16:H16"/>
    <mergeCell ref="I16:L16"/>
    <mergeCell ref="M16:Q16"/>
    <mergeCell ref="R16:V16"/>
    <mergeCell ref="W16:Z16"/>
    <mergeCell ref="AA16:AD16"/>
    <mergeCell ref="AI14:AL14"/>
    <mergeCell ref="AM14:AP14"/>
    <mergeCell ref="AQ14:AT14"/>
    <mergeCell ref="AU14:AX14"/>
    <mergeCell ref="AY14:BB14"/>
    <mergeCell ref="BC14:BF14"/>
    <mergeCell ref="BK15:BN15"/>
    <mergeCell ref="BO15:BR15"/>
    <mergeCell ref="BS15:BV15"/>
    <mergeCell ref="A14:H14"/>
    <mergeCell ref="I14:L14"/>
    <mergeCell ref="M14:Q14"/>
    <mergeCell ref="R14:V14"/>
    <mergeCell ref="W14:Z14"/>
    <mergeCell ref="AA14:AD14"/>
    <mergeCell ref="AE14:AH14"/>
    <mergeCell ref="AM15:AP15"/>
    <mergeCell ref="AQ15:AT15"/>
    <mergeCell ref="AU15:AX15"/>
    <mergeCell ref="AY15:BB15"/>
    <mergeCell ref="BC15:BF15"/>
    <mergeCell ref="BG15:BJ15"/>
    <mergeCell ref="A15:H15"/>
    <mergeCell ref="I15:L15"/>
    <mergeCell ref="M15:Q15"/>
    <mergeCell ref="R15:V15"/>
    <mergeCell ref="M17:Q17"/>
    <mergeCell ref="R17:V17"/>
    <mergeCell ref="W17:Z17"/>
    <mergeCell ref="AA17:AD17"/>
    <mergeCell ref="AE17:AH17"/>
    <mergeCell ref="AQ18:AT18"/>
    <mergeCell ref="AU18:AX18"/>
    <mergeCell ref="AY18:BB18"/>
    <mergeCell ref="BC18:BF18"/>
    <mergeCell ref="BG18:BJ18"/>
    <mergeCell ref="BK18:BN18"/>
    <mergeCell ref="BC16:BF16"/>
    <mergeCell ref="BG16:BJ16"/>
    <mergeCell ref="BK16:BN16"/>
    <mergeCell ref="BO16:BR16"/>
    <mergeCell ref="BS16:BV16"/>
    <mergeCell ref="W18:Z18"/>
    <mergeCell ref="AA18:AD18"/>
    <mergeCell ref="AE18:AH18"/>
    <mergeCell ref="AI18:AL18"/>
    <mergeCell ref="AM18:AP18"/>
    <mergeCell ref="AE16:AH16"/>
    <mergeCell ref="AI16:AL16"/>
    <mergeCell ref="AM16:AP16"/>
    <mergeCell ref="AQ16:AT16"/>
    <mergeCell ref="AU16:AX16"/>
    <mergeCell ref="AY16:BB16"/>
    <mergeCell ref="A32:H32"/>
    <mergeCell ref="I32:L32"/>
    <mergeCell ref="M32:Q32"/>
    <mergeCell ref="R32:V32"/>
    <mergeCell ref="W32:Z32"/>
    <mergeCell ref="AE31:AH31"/>
    <mergeCell ref="AI31:AL31"/>
    <mergeCell ref="AM31:AP31"/>
    <mergeCell ref="AQ31:AT31"/>
    <mergeCell ref="AU31:AX31"/>
    <mergeCell ref="AY31:BB31"/>
    <mergeCell ref="BG17:BJ17"/>
    <mergeCell ref="BK17:BN17"/>
    <mergeCell ref="BO17:BR17"/>
    <mergeCell ref="BS17:BV17"/>
    <mergeCell ref="A31:H31"/>
    <mergeCell ref="I31:L31"/>
    <mergeCell ref="M31:Q31"/>
    <mergeCell ref="R31:V31"/>
    <mergeCell ref="W31:Z31"/>
    <mergeCell ref="AA31:AD31"/>
    <mergeCell ref="AI17:AL17"/>
    <mergeCell ref="AM17:AP17"/>
    <mergeCell ref="AQ17:AT17"/>
    <mergeCell ref="AU17:AX17"/>
    <mergeCell ref="AY17:BB17"/>
    <mergeCell ref="BC17:BF17"/>
    <mergeCell ref="BO18:BR18"/>
    <mergeCell ref="BS18:BV18"/>
    <mergeCell ref="A18:V18"/>
    <mergeCell ref="A17:H17"/>
    <mergeCell ref="I17:L17"/>
    <mergeCell ref="BO32:BR32"/>
    <mergeCell ref="BS32:BV32"/>
    <mergeCell ref="AA32:AD32"/>
    <mergeCell ref="AE32:AH32"/>
    <mergeCell ref="AI32:AL32"/>
    <mergeCell ref="AM32:AP32"/>
    <mergeCell ref="AQ32:AT32"/>
    <mergeCell ref="AU32:AX32"/>
    <mergeCell ref="BC31:BF31"/>
    <mergeCell ref="BG31:BJ31"/>
    <mergeCell ref="BK31:BN31"/>
    <mergeCell ref="BO31:BR31"/>
    <mergeCell ref="BS31:BV31"/>
    <mergeCell ref="BC33:BF33"/>
    <mergeCell ref="BG33:BJ33"/>
    <mergeCell ref="BK33:BN33"/>
    <mergeCell ref="BO33:BR33"/>
    <mergeCell ref="BS33:BV33"/>
    <mergeCell ref="W35:Z35"/>
    <mergeCell ref="AA35:AD35"/>
    <mergeCell ref="AE35:AH35"/>
    <mergeCell ref="AI35:AL35"/>
    <mergeCell ref="AM35:AP35"/>
    <mergeCell ref="AE33:AH33"/>
    <mergeCell ref="AI33:AL33"/>
    <mergeCell ref="AM33:AP33"/>
    <mergeCell ref="AQ33:AT33"/>
    <mergeCell ref="AU33:AX33"/>
    <mergeCell ref="AY33:BB33"/>
    <mergeCell ref="A33:H33"/>
    <mergeCell ref="I33:L33"/>
    <mergeCell ref="M33:Q33"/>
    <mergeCell ref="R33:V33"/>
    <mergeCell ref="W33:Z33"/>
    <mergeCell ref="AA33:AD33"/>
    <mergeCell ref="BG34:BJ34"/>
    <mergeCell ref="BK34:BN34"/>
    <mergeCell ref="BO34:BR34"/>
    <mergeCell ref="BS34:BV34"/>
    <mergeCell ref="I49:L49"/>
    <mergeCell ref="M49:Q49"/>
    <mergeCell ref="R49:V49"/>
    <mergeCell ref="W49:Z49"/>
    <mergeCell ref="AA49:AD49"/>
    <mergeCell ref="AE49:AH49"/>
    <mergeCell ref="AI34:AL34"/>
    <mergeCell ref="AM34:AP34"/>
    <mergeCell ref="AQ34:AT34"/>
    <mergeCell ref="AU34:AX34"/>
    <mergeCell ref="AY34:BB34"/>
    <mergeCell ref="BC34:BF34"/>
    <mergeCell ref="BO35:BR35"/>
    <mergeCell ref="BS35:BV35"/>
    <mergeCell ref="A35:V35"/>
    <mergeCell ref="A34:H34"/>
    <mergeCell ref="I34:L34"/>
    <mergeCell ref="M34:Q34"/>
    <mergeCell ref="R34:V34"/>
    <mergeCell ref="W34:Z34"/>
    <mergeCell ref="AA34:AD34"/>
    <mergeCell ref="AE34:AH34"/>
    <mergeCell ref="AQ35:AT35"/>
    <mergeCell ref="AU35:AX35"/>
    <mergeCell ref="AY35:BB35"/>
    <mergeCell ref="BC35:BF35"/>
    <mergeCell ref="BG35:BJ35"/>
    <mergeCell ref="BK35:BN35"/>
    <mergeCell ref="M46:Q46"/>
    <mergeCell ref="A51:H51"/>
    <mergeCell ref="I51:L51"/>
    <mergeCell ref="M51:Q51"/>
    <mergeCell ref="R51:V51"/>
    <mergeCell ref="W51:Z51"/>
    <mergeCell ref="AE50:AH50"/>
    <mergeCell ref="AI50:AL50"/>
    <mergeCell ref="AM50:AP50"/>
    <mergeCell ref="AQ50:AT50"/>
    <mergeCell ref="AU50:AX50"/>
    <mergeCell ref="AY50:BB50"/>
    <mergeCell ref="BG49:BJ49"/>
    <mergeCell ref="BK49:BN49"/>
    <mergeCell ref="BO49:BR49"/>
    <mergeCell ref="BS49:BV49"/>
    <mergeCell ref="A50:H50"/>
    <mergeCell ref="I50:L50"/>
    <mergeCell ref="M50:Q50"/>
    <mergeCell ref="R50:V50"/>
    <mergeCell ref="W50:Z50"/>
    <mergeCell ref="AA50:AD50"/>
    <mergeCell ref="AI49:AL49"/>
    <mergeCell ref="AM49:AP49"/>
    <mergeCell ref="AQ49:AT49"/>
    <mergeCell ref="AU49:AX49"/>
    <mergeCell ref="AY49:BB49"/>
    <mergeCell ref="BC49:BF49"/>
    <mergeCell ref="A49:H49"/>
    <mergeCell ref="AY51:BB51"/>
    <mergeCell ref="BC51:BF51"/>
    <mergeCell ref="BG51:BJ51"/>
    <mergeCell ref="BG50:BJ50"/>
    <mergeCell ref="BK50:BN50"/>
    <mergeCell ref="BO50:BR50"/>
    <mergeCell ref="BS50:BV50"/>
    <mergeCell ref="BC65:BF65"/>
    <mergeCell ref="BG65:BJ65"/>
    <mergeCell ref="BK65:BN65"/>
    <mergeCell ref="BO65:BR65"/>
    <mergeCell ref="BS65:BV65"/>
    <mergeCell ref="BS62:BV62"/>
    <mergeCell ref="BS60:BV60"/>
    <mergeCell ref="BC60:BF60"/>
    <mergeCell ref="BG60:BJ60"/>
    <mergeCell ref="BK60:BN60"/>
    <mergeCell ref="BO60:BR60"/>
    <mergeCell ref="BO58:BR58"/>
    <mergeCell ref="BS58:BV58"/>
    <mergeCell ref="BC59:BF59"/>
    <mergeCell ref="BG59:BJ59"/>
    <mergeCell ref="BS61:BV61"/>
    <mergeCell ref="BK63:BN63"/>
    <mergeCell ref="BO63:BR63"/>
    <mergeCell ref="BC62:BF62"/>
    <mergeCell ref="BG62:BJ62"/>
    <mergeCell ref="BK62:BN62"/>
    <mergeCell ref="BO62:BR62"/>
    <mergeCell ref="BK59:BN59"/>
    <mergeCell ref="BO61:BR61"/>
    <mergeCell ref="BS63:BV63"/>
    <mergeCell ref="BC63:BF63"/>
    <mergeCell ref="BG63:BJ63"/>
    <mergeCell ref="BO59:BR59"/>
    <mergeCell ref="A66:H66"/>
    <mergeCell ref="I66:L66"/>
    <mergeCell ref="M66:Q66"/>
    <mergeCell ref="R66:V66"/>
    <mergeCell ref="W66:Z66"/>
    <mergeCell ref="AE65:AH65"/>
    <mergeCell ref="AI65:AL65"/>
    <mergeCell ref="AM65:AP65"/>
    <mergeCell ref="AQ65:AT65"/>
    <mergeCell ref="AU65:AX65"/>
    <mergeCell ref="AY65:BB65"/>
    <mergeCell ref="A65:H65"/>
    <mergeCell ref="I65:L65"/>
    <mergeCell ref="M65:Q65"/>
    <mergeCell ref="R65:V65"/>
    <mergeCell ref="W65:Z65"/>
    <mergeCell ref="AA65:AD65"/>
    <mergeCell ref="A88:BW88"/>
    <mergeCell ref="A67:H67"/>
    <mergeCell ref="I67:L67"/>
    <mergeCell ref="M67:Q67"/>
    <mergeCell ref="R67:V67"/>
    <mergeCell ref="W67:Z67"/>
    <mergeCell ref="AA67:AD67"/>
    <mergeCell ref="AE67:AH67"/>
    <mergeCell ref="AI67:AL67"/>
    <mergeCell ref="AM67:AP67"/>
    <mergeCell ref="AY66:BB66"/>
    <mergeCell ref="BC66:BF66"/>
    <mergeCell ref="BG66:BJ66"/>
    <mergeCell ref="BK66:BN66"/>
    <mergeCell ref="BO66:BR66"/>
    <mergeCell ref="BS66:BV66"/>
    <mergeCell ref="AA66:AD66"/>
    <mergeCell ref="AE66:AH66"/>
    <mergeCell ref="AI66:AL66"/>
    <mergeCell ref="AM66:AP66"/>
    <mergeCell ref="AQ66:AT66"/>
    <mergeCell ref="AU66:AX66"/>
    <mergeCell ref="AM68:AP68"/>
    <mergeCell ref="AY74:BB74"/>
    <mergeCell ref="BC74:BF74"/>
    <mergeCell ref="BG74:BJ74"/>
    <mergeCell ref="BK74:BN74"/>
    <mergeCell ref="BO74:BR74"/>
    <mergeCell ref="BS74:BV74"/>
    <mergeCell ref="AA74:AD74"/>
    <mergeCell ref="AE74:AH74"/>
    <mergeCell ref="AI74:AL74"/>
    <mergeCell ref="A69:V69"/>
    <mergeCell ref="W69:Z69"/>
    <mergeCell ref="AA69:AD69"/>
    <mergeCell ref="AE69:AH69"/>
    <mergeCell ref="AI69:AL69"/>
    <mergeCell ref="AM69:AP69"/>
    <mergeCell ref="BO67:BR67"/>
    <mergeCell ref="BS67:BV67"/>
    <mergeCell ref="AQ68:AT68"/>
    <mergeCell ref="AU68:AX68"/>
    <mergeCell ref="AY68:BB68"/>
    <mergeCell ref="BC68:BF68"/>
    <mergeCell ref="BG68:BJ68"/>
    <mergeCell ref="BK68:BN68"/>
    <mergeCell ref="BO68:BR68"/>
    <mergeCell ref="BS68:BV68"/>
    <mergeCell ref="AQ67:AT67"/>
    <mergeCell ref="AU67:AX67"/>
    <mergeCell ref="AY67:BB67"/>
    <mergeCell ref="BC67:BF67"/>
    <mergeCell ref="BG67:BJ67"/>
    <mergeCell ref="BK67:BN67"/>
    <mergeCell ref="BO69:BR69"/>
    <mergeCell ref="BS69:BV69"/>
    <mergeCell ref="A68:H68"/>
    <mergeCell ref="I68:L68"/>
    <mergeCell ref="M68:Q68"/>
    <mergeCell ref="R68:V68"/>
    <mergeCell ref="W68:Z68"/>
    <mergeCell ref="AA68:AD68"/>
    <mergeCell ref="AE68:AH68"/>
    <mergeCell ref="AI68:AL6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C108"/>
  <sheetViews>
    <sheetView workbookViewId="0">
      <selection activeCell="J80" sqref="J80:J83"/>
    </sheetView>
  </sheetViews>
  <sheetFormatPr defaultRowHeight="15" x14ac:dyDescent="0.25"/>
  <cols>
    <col min="1" max="1" width="26.5703125" customWidth="1"/>
    <col min="2" max="11" width="8.85546875" customWidth="1"/>
  </cols>
  <sheetData>
    <row r="2" spans="1:15" x14ac:dyDescent="0.25">
      <c r="A2" s="5" t="s">
        <v>49</v>
      </c>
      <c r="D2" s="5" t="s">
        <v>151</v>
      </c>
    </row>
    <row r="3" spans="1:15" x14ac:dyDescent="0.25">
      <c r="A3" s="6" t="s">
        <v>50</v>
      </c>
      <c r="D3" s="6" t="s">
        <v>183</v>
      </c>
      <c r="F3" s="6" t="s">
        <v>3</v>
      </c>
      <c r="H3" s="6">
        <v>2017</v>
      </c>
      <c r="K3" t="s">
        <v>230</v>
      </c>
    </row>
    <row r="4" spans="1:15" x14ac:dyDescent="0.25">
      <c r="A4" s="6" t="s">
        <v>631</v>
      </c>
      <c r="D4" s="6" t="s">
        <v>184</v>
      </c>
      <c r="F4" s="6" t="s">
        <v>32</v>
      </c>
      <c r="H4" s="6">
        <v>2018</v>
      </c>
      <c r="K4" t="s">
        <v>334</v>
      </c>
    </row>
    <row r="5" spans="1:15" x14ac:dyDescent="0.25">
      <c r="A5" s="6" t="s">
        <v>7</v>
      </c>
      <c r="D5" s="6" t="s">
        <v>185</v>
      </c>
      <c r="F5" s="6" t="s">
        <v>33</v>
      </c>
      <c r="H5" s="6">
        <v>2019</v>
      </c>
      <c r="K5" t="s">
        <v>231</v>
      </c>
    </row>
    <row r="6" spans="1:15" x14ac:dyDescent="0.25">
      <c r="A6" s="6" t="s">
        <v>143</v>
      </c>
      <c r="D6" s="6" t="s">
        <v>186</v>
      </c>
      <c r="F6" s="6" t="s">
        <v>34</v>
      </c>
      <c r="H6" s="6">
        <v>2020</v>
      </c>
    </row>
    <row r="7" spans="1:15" x14ac:dyDescent="0.25">
      <c r="A7" s="6" t="s">
        <v>52</v>
      </c>
      <c r="D7" s="6" t="s">
        <v>187</v>
      </c>
      <c r="F7" s="6" t="s">
        <v>35</v>
      </c>
      <c r="H7" s="6">
        <v>2021</v>
      </c>
    </row>
    <row r="8" spans="1:15" x14ac:dyDescent="0.25">
      <c r="A8" s="6" t="s">
        <v>388</v>
      </c>
      <c r="D8" s="6" t="s">
        <v>188</v>
      </c>
      <c r="F8" s="6" t="s">
        <v>36</v>
      </c>
      <c r="H8" s="6">
        <v>2022</v>
      </c>
      <c r="K8" s="6"/>
    </row>
    <row r="9" spans="1:15" x14ac:dyDescent="0.25">
      <c r="A9" s="6" t="s">
        <v>8</v>
      </c>
      <c r="D9" s="6" t="s">
        <v>189</v>
      </c>
      <c r="F9" s="6" t="s">
        <v>37</v>
      </c>
      <c r="H9" s="6">
        <v>2023</v>
      </c>
    </row>
    <row r="10" spans="1:15" x14ac:dyDescent="0.25">
      <c r="D10" s="6" t="s">
        <v>215</v>
      </c>
      <c r="F10" s="6" t="s">
        <v>38</v>
      </c>
      <c r="H10" s="6">
        <v>2024</v>
      </c>
    </row>
    <row r="11" spans="1:15" x14ac:dyDescent="0.25">
      <c r="A11" s="5" t="s">
        <v>54</v>
      </c>
      <c r="D11" s="6" t="s">
        <v>190</v>
      </c>
      <c r="F11" s="6" t="s">
        <v>39</v>
      </c>
      <c r="H11" s="6">
        <v>2025</v>
      </c>
      <c r="J11" s="6"/>
      <c r="O11" t="s">
        <v>248</v>
      </c>
    </row>
    <row r="12" spans="1:15" x14ac:dyDescent="0.25">
      <c r="A12" s="6" t="s">
        <v>9</v>
      </c>
      <c r="D12" s="6" t="s">
        <v>191</v>
      </c>
      <c r="F12" s="6" t="s">
        <v>14</v>
      </c>
    </row>
    <row r="13" spans="1:15" x14ac:dyDescent="0.25">
      <c r="A13" s="6" t="s">
        <v>55</v>
      </c>
      <c r="D13" s="6" t="s">
        <v>192</v>
      </c>
      <c r="F13" s="6" t="s">
        <v>167</v>
      </c>
      <c r="J13" s="6" t="s">
        <v>55</v>
      </c>
    </row>
    <row r="14" spans="1:15" x14ac:dyDescent="0.25">
      <c r="A14" s="6" t="s">
        <v>8</v>
      </c>
      <c r="D14" s="6" t="s">
        <v>193</v>
      </c>
      <c r="F14" s="6" t="s">
        <v>5</v>
      </c>
    </row>
    <row r="16" spans="1:15" x14ac:dyDescent="0.25">
      <c r="A16" s="5" t="s">
        <v>56</v>
      </c>
      <c r="O16" t="s">
        <v>337</v>
      </c>
    </row>
    <row r="17" spans="1:55" x14ac:dyDescent="0.25">
      <c r="A17" s="6" t="s">
        <v>57</v>
      </c>
      <c r="D17" s="6" t="s">
        <v>173</v>
      </c>
      <c r="G17" s="6" t="s">
        <v>116</v>
      </c>
      <c r="J17" t="s">
        <v>223</v>
      </c>
      <c r="O17" t="s">
        <v>339</v>
      </c>
    </row>
    <row r="18" spans="1:55" x14ac:dyDescent="0.25">
      <c r="A18" s="6" t="s">
        <v>58</v>
      </c>
      <c r="D18" s="6" t="s">
        <v>177</v>
      </c>
      <c r="J18" t="s">
        <v>218</v>
      </c>
      <c r="O18" t="s">
        <v>226</v>
      </c>
    </row>
    <row r="19" spans="1:55" x14ac:dyDescent="0.25">
      <c r="D19" s="6" t="s">
        <v>174</v>
      </c>
      <c r="G19" s="6" t="s">
        <v>178</v>
      </c>
      <c r="J19" t="s">
        <v>219</v>
      </c>
      <c r="O19" t="s">
        <v>227</v>
      </c>
    </row>
    <row r="20" spans="1:55" x14ac:dyDescent="0.25">
      <c r="A20" s="5" t="s">
        <v>59</v>
      </c>
      <c r="B20" s="5" t="s">
        <v>115</v>
      </c>
      <c r="D20" s="6" t="s">
        <v>175</v>
      </c>
      <c r="J20" t="s">
        <v>220</v>
      </c>
      <c r="O20" t="s">
        <v>321</v>
      </c>
    </row>
    <row r="21" spans="1:55" x14ac:dyDescent="0.25">
      <c r="A21" s="8" t="s">
        <v>81</v>
      </c>
      <c r="B21" s="9">
        <v>4</v>
      </c>
      <c r="D21" s="6" t="s">
        <v>224</v>
      </c>
      <c r="J21" t="s">
        <v>222</v>
      </c>
    </row>
    <row r="22" spans="1:55" x14ac:dyDescent="0.25">
      <c r="A22" s="8" t="s">
        <v>65</v>
      </c>
      <c r="B22" s="9">
        <v>2</v>
      </c>
      <c r="D22" s="6" t="s">
        <v>176</v>
      </c>
      <c r="J22" t="s">
        <v>221</v>
      </c>
    </row>
    <row r="23" spans="1:55" x14ac:dyDescent="0.25">
      <c r="A23" s="8" t="s">
        <v>94</v>
      </c>
      <c r="B23" s="9">
        <v>5</v>
      </c>
      <c r="D23" s="6" t="s">
        <v>304</v>
      </c>
    </row>
    <row r="24" spans="1:55" x14ac:dyDescent="0.25">
      <c r="A24" s="8" t="s">
        <v>82</v>
      </c>
      <c r="B24" s="9">
        <v>4</v>
      </c>
      <c r="D24" s="6" t="s">
        <v>305</v>
      </c>
    </row>
    <row r="25" spans="1:55" x14ac:dyDescent="0.25">
      <c r="A25" s="7" t="s">
        <v>60</v>
      </c>
      <c r="B25" s="9">
        <v>1</v>
      </c>
      <c r="G25" s="6" t="s">
        <v>117</v>
      </c>
    </row>
    <row r="26" spans="1:55" x14ac:dyDescent="0.25">
      <c r="A26" s="8" t="s">
        <v>95</v>
      </c>
      <c r="B26" s="9">
        <v>5</v>
      </c>
      <c r="D26" s="6"/>
    </row>
    <row r="27" spans="1:55" x14ac:dyDescent="0.25">
      <c r="A27" s="8" t="s">
        <v>73</v>
      </c>
      <c r="B27" s="9">
        <v>3</v>
      </c>
      <c r="D27" s="6"/>
    </row>
    <row r="28" spans="1:55" x14ac:dyDescent="0.25">
      <c r="A28" s="8" t="s">
        <v>96</v>
      </c>
      <c r="B28" s="9">
        <v>5</v>
      </c>
      <c r="D28" s="6"/>
      <c r="R28" s="1746"/>
      <c r="S28" s="1747"/>
      <c r="T28" s="1747"/>
      <c r="U28" s="1747"/>
      <c r="V28" s="1747"/>
      <c r="W28" s="1747"/>
      <c r="X28" s="1747"/>
      <c r="Y28" s="1747"/>
      <c r="Z28" s="1747"/>
      <c r="AA28" s="1747"/>
      <c r="AB28" s="1747"/>
      <c r="AC28" s="1747"/>
      <c r="AD28" s="1747"/>
      <c r="AE28" s="1747"/>
      <c r="AF28" s="1747"/>
      <c r="AG28" s="1747"/>
      <c r="AH28" s="1747"/>
      <c r="AI28" s="1747"/>
      <c r="AJ28" s="1747"/>
      <c r="AK28" s="1747"/>
      <c r="AL28" s="1747"/>
      <c r="AM28" s="1747"/>
      <c r="AN28" s="1747"/>
      <c r="AO28" s="1747"/>
      <c r="AP28" s="1747"/>
      <c r="AQ28" s="1747"/>
      <c r="AR28" s="1747"/>
      <c r="AS28" s="1747"/>
      <c r="AT28" s="1747"/>
      <c r="AU28" s="1747"/>
      <c r="AV28" s="1747"/>
      <c r="AW28" s="1747"/>
      <c r="AX28" s="1747"/>
      <c r="AY28" s="1747"/>
      <c r="AZ28" s="1747"/>
      <c r="BA28" s="1747"/>
      <c r="BB28" s="1747"/>
      <c r="BC28" s="1748"/>
    </row>
    <row r="29" spans="1:55" x14ac:dyDescent="0.25">
      <c r="A29" s="8" t="s">
        <v>83</v>
      </c>
      <c r="B29" s="9">
        <v>4</v>
      </c>
      <c r="D29" s="6"/>
      <c r="R29" s="1749"/>
      <c r="S29" s="1750"/>
      <c r="T29" s="1750"/>
      <c r="U29" s="1750"/>
      <c r="V29" s="1750"/>
      <c r="W29" s="1750"/>
      <c r="X29" s="1750"/>
      <c r="Y29" s="1750"/>
      <c r="Z29" s="1750"/>
      <c r="AA29" s="1750"/>
      <c r="AB29" s="1750"/>
      <c r="AC29" s="1750"/>
      <c r="AD29" s="1750"/>
      <c r="AE29" s="1750"/>
      <c r="AF29" s="1750"/>
      <c r="AG29" s="1750"/>
      <c r="AH29" s="1750"/>
      <c r="AI29" s="1750"/>
      <c r="AJ29" s="1750"/>
      <c r="AK29" s="1750"/>
      <c r="AL29" s="1750"/>
      <c r="AM29" s="1750"/>
      <c r="AN29" s="1750"/>
      <c r="AO29" s="1750"/>
      <c r="AP29" s="1750"/>
      <c r="AQ29" s="1750"/>
      <c r="AR29" s="1750"/>
      <c r="AS29" s="1750"/>
      <c r="AT29" s="1750"/>
      <c r="AU29" s="1750"/>
      <c r="AV29" s="1750"/>
      <c r="AW29" s="1750"/>
      <c r="AX29" s="1750"/>
      <c r="AY29" s="1750"/>
      <c r="AZ29" s="1750"/>
      <c r="BA29" s="1750"/>
      <c r="BB29" s="1750"/>
      <c r="BC29" s="1751"/>
    </row>
    <row r="30" spans="1:55" x14ac:dyDescent="0.25">
      <c r="A30" s="8" t="s">
        <v>104</v>
      </c>
      <c r="B30" s="9">
        <v>6</v>
      </c>
      <c r="R30" s="1749"/>
      <c r="S30" s="1750"/>
      <c r="T30" s="1750"/>
      <c r="U30" s="1750"/>
      <c r="V30" s="1750"/>
      <c r="W30" s="1750"/>
      <c r="X30" s="1750"/>
      <c r="Y30" s="1750"/>
      <c r="Z30" s="1750"/>
      <c r="AA30" s="1750"/>
      <c r="AB30" s="1750"/>
      <c r="AC30" s="1750"/>
      <c r="AD30" s="1750"/>
      <c r="AE30" s="1750"/>
      <c r="AF30" s="1750"/>
      <c r="AG30" s="1750"/>
      <c r="AH30" s="1750"/>
      <c r="AI30" s="1750"/>
      <c r="AJ30" s="1750"/>
      <c r="AK30" s="1750"/>
      <c r="AL30" s="1750"/>
      <c r="AM30" s="1750"/>
      <c r="AN30" s="1750"/>
      <c r="AO30" s="1750"/>
      <c r="AP30" s="1750"/>
      <c r="AQ30" s="1750"/>
      <c r="AR30" s="1750"/>
      <c r="AS30" s="1750"/>
      <c r="AT30" s="1750"/>
      <c r="AU30" s="1750"/>
      <c r="AV30" s="1750"/>
      <c r="AW30" s="1750"/>
      <c r="AX30" s="1750"/>
      <c r="AY30" s="1750"/>
      <c r="AZ30" s="1750"/>
      <c r="BA30" s="1750"/>
      <c r="BB30" s="1750"/>
      <c r="BC30" s="1751"/>
    </row>
    <row r="31" spans="1:55" x14ac:dyDescent="0.25">
      <c r="A31" s="8" t="s">
        <v>84</v>
      </c>
      <c r="B31" s="9">
        <v>4</v>
      </c>
      <c r="R31" s="1749"/>
      <c r="S31" s="1750"/>
      <c r="T31" s="1750"/>
      <c r="U31" s="1750"/>
      <c r="V31" s="1750"/>
      <c r="W31" s="1750"/>
      <c r="X31" s="1750"/>
      <c r="Y31" s="1750"/>
      <c r="Z31" s="1750"/>
      <c r="AA31" s="1750"/>
      <c r="AB31" s="1750"/>
      <c r="AC31" s="1750"/>
      <c r="AD31" s="1750"/>
      <c r="AE31" s="1750"/>
      <c r="AF31" s="1750"/>
      <c r="AG31" s="1750"/>
      <c r="AH31" s="1750"/>
      <c r="AI31" s="1750"/>
      <c r="AJ31" s="1750"/>
      <c r="AK31" s="1750"/>
      <c r="AL31" s="1750"/>
      <c r="AM31" s="1750"/>
      <c r="AN31" s="1750"/>
      <c r="AO31" s="1750"/>
      <c r="AP31" s="1750"/>
      <c r="AQ31" s="1750"/>
      <c r="AR31" s="1750"/>
      <c r="AS31" s="1750"/>
      <c r="AT31" s="1750"/>
      <c r="AU31" s="1750"/>
      <c r="AV31" s="1750"/>
      <c r="AW31" s="1750"/>
      <c r="AX31" s="1750"/>
      <c r="AY31" s="1750"/>
      <c r="AZ31" s="1750"/>
      <c r="BA31" s="1750"/>
      <c r="BB31" s="1750"/>
      <c r="BC31" s="1751"/>
    </row>
    <row r="32" spans="1:55" x14ac:dyDescent="0.25">
      <c r="A32" s="8" t="s">
        <v>66</v>
      </c>
      <c r="B32" s="9">
        <v>2</v>
      </c>
      <c r="D32" s="6" t="s">
        <v>179</v>
      </c>
      <c r="J32" s="941" t="s">
        <v>163</v>
      </c>
      <c r="K32" s="942"/>
      <c r="L32" s="943"/>
      <c r="R32" s="1749"/>
      <c r="S32" s="1750"/>
      <c r="T32" s="1750"/>
      <c r="U32" s="1750"/>
      <c r="V32" s="1750"/>
      <c r="W32" s="1750"/>
      <c r="X32" s="1750"/>
      <c r="Y32" s="1750"/>
      <c r="Z32" s="1750"/>
      <c r="AA32" s="1750"/>
      <c r="AB32" s="1750"/>
      <c r="AC32" s="1750"/>
      <c r="AD32" s="1750"/>
      <c r="AE32" s="1750"/>
      <c r="AF32" s="1750"/>
      <c r="AG32" s="1750"/>
      <c r="AH32" s="1750"/>
      <c r="AI32" s="1750"/>
      <c r="AJ32" s="1750"/>
      <c r="AK32" s="1750"/>
      <c r="AL32" s="1750"/>
      <c r="AM32" s="1750"/>
      <c r="AN32" s="1750"/>
      <c r="AO32" s="1750"/>
      <c r="AP32" s="1750"/>
      <c r="AQ32" s="1750"/>
      <c r="AR32" s="1750"/>
      <c r="AS32" s="1750"/>
      <c r="AT32" s="1750"/>
      <c r="AU32" s="1750"/>
      <c r="AV32" s="1750"/>
      <c r="AW32" s="1750"/>
      <c r="AX32" s="1750"/>
      <c r="AY32" s="1750"/>
      <c r="AZ32" s="1750"/>
      <c r="BA32" s="1750"/>
      <c r="BB32" s="1750"/>
      <c r="BC32" s="1751"/>
    </row>
    <row r="33" spans="1:55" x14ac:dyDescent="0.25">
      <c r="A33" s="8" t="s">
        <v>105</v>
      </c>
      <c r="B33" s="9">
        <v>6</v>
      </c>
      <c r="D33" s="6" t="s">
        <v>180</v>
      </c>
      <c r="J33" s="941" t="s">
        <v>164</v>
      </c>
      <c r="K33" s="942"/>
      <c r="L33" s="943"/>
      <c r="R33" s="1749"/>
      <c r="S33" s="1750"/>
      <c r="T33" s="1750"/>
      <c r="U33" s="1750"/>
      <c r="V33" s="1750"/>
      <c r="W33" s="1750"/>
      <c r="X33" s="1750"/>
      <c r="Y33" s="1750"/>
      <c r="Z33" s="1750"/>
      <c r="AA33" s="1750"/>
      <c r="AB33" s="1750"/>
      <c r="AC33" s="1750"/>
      <c r="AD33" s="1750"/>
      <c r="AE33" s="1750"/>
      <c r="AF33" s="1750"/>
      <c r="AG33" s="1750"/>
      <c r="AH33" s="1750"/>
      <c r="AI33" s="1750"/>
      <c r="AJ33" s="1750"/>
      <c r="AK33" s="1750"/>
      <c r="AL33" s="1750"/>
      <c r="AM33" s="1750"/>
      <c r="AN33" s="1750"/>
      <c r="AO33" s="1750"/>
      <c r="AP33" s="1750"/>
      <c r="AQ33" s="1750"/>
      <c r="AR33" s="1750"/>
      <c r="AS33" s="1750"/>
      <c r="AT33" s="1750"/>
      <c r="AU33" s="1750"/>
      <c r="AV33" s="1750"/>
      <c r="AW33" s="1750"/>
      <c r="AX33" s="1750"/>
      <c r="AY33" s="1750"/>
      <c r="AZ33" s="1750"/>
      <c r="BA33" s="1750"/>
      <c r="BB33" s="1750"/>
      <c r="BC33" s="1751"/>
    </row>
    <row r="34" spans="1:55" x14ac:dyDescent="0.25">
      <c r="A34" s="8" t="s">
        <v>67</v>
      </c>
      <c r="B34" s="9">
        <v>2</v>
      </c>
      <c r="D34" s="6" t="s">
        <v>182</v>
      </c>
      <c r="J34" s="941" t="s">
        <v>225</v>
      </c>
      <c r="K34" s="942"/>
      <c r="L34" s="943"/>
      <c r="R34" s="1749"/>
      <c r="S34" s="1750"/>
      <c r="T34" s="1750"/>
      <c r="U34" s="1750"/>
      <c r="V34" s="1750"/>
      <c r="W34" s="1750"/>
      <c r="X34" s="1750"/>
      <c r="Y34" s="1750"/>
      <c r="Z34" s="1750"/>
      <c r="AA34" s="1750"/>
      <c r="AB34" s="1750"/>
      <c r="AC34" s="1750"/>
      <c r="AD34" s="1750"/>
      <c r="AE34" s="1750"/>
      <c r="AF34" s="1750"/>
      <c r="AG34" s="1750"/>
      <c r="AH34" s="1750"/>
      <c r="AI34" s="1750"/>
      <c r="AJ34" s="1750"/>
      <c r="AK34" s="1750"/>
      <c r="AL34" s="1750"/>
      <c r="AM34" s="1750"/>
      <c r="AN34" s="1750"/>
      <c r="AO34" s="1750"/>
      <c r="AP34" s="1750"/>
      <c r="AQ34" s="1750"/>
      <c r="AR34" s="1750"/>
      <c r="AS34" s="1750"/>
      <c r="AT34" s="1750"/>
      <c r="AU34" s="1750"/>
      <c r="AV34" s="1750"/>
      <c r="AW34" s="1750"/>
      <c r="AX34" s="1750"/>
      <c r="AY34" s="1750"/>
      <c r="AZ34" s="1750"/>
      <c r="BA34" s="1750"/>
      <c r="BB34" s="1750"/>
      <c r="BC34" s="1751"/>
    </row>
    <row r="35" spans="1:55" x14ac:dyDescent="0.25">
      <c r="A35" s="7" t="s">
        <v>61</v>
      </c>
      <c r="B35" s="9">
        <v>1</v>
      </c>
      <c r="D35" s="6" t="s">
        <v>181</v>
      </c>
      <c r="J35" s="941" t="s">
        <v>165</v>
      </c>
      <c r="K35" s="942"/>
      <c r="L35" s="943"/>
      <c r="R35" s="502"/>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503"/>
      <c r="BC35" s="504"/>
    </row>
    <row r="36" spans="1:55" x14ac:dyDescent="0.25">
      <c r="A36" s="8" t="s">
        <v>68</v>
      </c>
      <c r="B36" s="9">
        <v>2</v>
      </c>
    </row>
    <row r="37" spans="1:55" x14ac:dyDescent="0.25">
      <c r="A37" s="8" t="s">
        <v>85</v>
      </c>
      <c r="B37" s="9">
        <v>4</v>
      </c>
    </row>
    <row r="38" spans="1:55" x14ac:dyDescent="0.25">
      <c r="A38" s="8" t="s">
        <v>74</v>
      </c>
      <c r="B38" s="9">
        <v>3</v>
      </c>
    </row>
    <row r="39" spans="1:55" x14ac:dyDescent="0.25">
      <c r="A39" s="8" t="s">
        <v>69</v>
      </c>
      <c r="B39" s="9">
        <v>2</v>
      </c>
    </row>
    <row r="40" spans="1:55" x14ac:dyDescent="0.25">
      <c r="A40" s="8" t="s">
        <v>97</v>
      </c>
      <c r="B40" s="9">
        <v>5</v>
      </c>
    </row>
    <row r="41" spans="1:55" x14ac:dyDescent="0.25">
      <c r="A41" s="8" t="s">
        <v>86</v>
      </c>
      <c r="B41" s="9">
        <v>4</v>
      </c>
    </row>
    <row r="42" spans="1:55" x14ac:dyDescent="0.25">
      <c r="A42" s="8" t="s">
        <v>98</v>
      </c>
      <c r="B42" s="9">
        <v>5</v>
      </c>
      <c r="AS42" s="6" t="s">
        <v>384</v>
      </c>
      <c r="AT42" s="6"/>
      <c r="AU42" s="6"/>
      <c r="AV42" s="6"/>
      <c r="AW42" s="6"/>
      <c r="AX42" s="6"/>
      <c r="AY42" s="6"/>
    </row>
    <row r="43" spans="1:55" x14ac:dyDescent="0.25">
      <c r="A43" s="8" t="s">
        <v>99</v>
      </c>
      <c r="B43" s="9">
        <v>5</v>
      </c>
      <c r="I43" t="s">
        <v>432</v>
      </c>
      <c r="O43" t="s">
        <v>373</v>
      </c>
      <c r="T43" t="s">
        <v>391</v>
      </c>
      <c r="AL43" t="s">
        <v>373</v>
      </c>
      <c r="AS43" s="6" t="s">
        <v>380</v>
      </c>
      <c r="AT43" s="6"/>
      <c r="AU43" s="6"/>
      <c r="AV43" s="6"/>
      <c r="AW43" s="6"/>
      <c r="AX43" s="6"/>
      <c r="AY43" s="6"/>
    </row>
    <row r="44" spans="1:55" x14ac:dyDescent="0.25">
      <c r="A44" s="8" t="s">
        <v>87</v>
      </c>
      <c r="B44" s="9">
        <v>4</v>
      </c>
      <c r="I44" t="s">
        <v>379</v>
      </c>
      <c r="O44" t="s">
        <v>374</v>
      </c>
      <c r="T44" t="s">
        <v>166</v>
      </c>
      <c r="AL44" t="s">
        <v>374</v>
      </c>
      <c r="AS44" s="6" t="s">
        <v>381</v>
      </c>
      <c r="AT44" s="6"/>
      <c r="AU44" s="6"/>
      <c r="AV44" s="6"/>
      <c r="AW44" s="6"/>
      <c r="AX44" s="6"/>
      <c r="AY44" s="6"/>
    </row>
    <row r="45" spans="1:55" x14ac:dyDescent="0.25">
      <c r="A45" s="7" t="s">
        <v>62</v>
      </c>
      <c r="B45" s="9">
        <v>1</v>
      </c>
      <c r="I45" t="s">
        <v>378</v>
      </c>
      <c r="O45" t="s">
        <v>375</v>
      </c>
      <c r="T45" t="s">
        <v>392</v>
      </c>
      <c r="AL45" t="s">
        <v>375</v>
      </c>
      <c r="AS45" s="6" t="s">
        <v>434</v>
      </c>
      <c r="AT45" s="6"/>
      <c r="AU45" s="6"/>
      <c r="AV45" s="6"/>
      <c r="AW45" s="6"/>
      <c r="AX45" s="6"/>
      <c r="AY45" s="6"/>
    </row>
    <row r="46" spans="1:55" x14ac:dyDescent="0.25">
      <c r="A46" s="8" t="s">
        <v>100</v>
      </c>
      <c r="B46" s="9">
        <v>5</v>
      </c>
      <c r="I46" t="s">
        <v>428</v>
      </c>
      <c r="O46" t="s">
        <v>376</v>
      </c>
      <c r="T46" t="s">
        <v>393</v>
      </c>
      <c r="AL46" t="s">
        <v>376</v>
      </c>
      <c r="AS46" s="6" t="s">
        <v>382</v>
      </c>
      <c r="AT46" s="6"/>
      <c r="AU46" s="6"/>
      <c r="AV46" s="6"/>
      <c r="AW46" s="6"/>
      <c r="AX46" s="6"/>
      <c r="AY46" s="6"/>
    </row>
    <row r="47" spans="1:55" x14ac:dyDescent="0.25">
      <c r="A47" s="8" t="s">
        <v>106</v>
      </c>
      <c r="B47" s="9">
        <v>6</v>
      </c>
      <c r="I47" t="s">
        <v>430</v>
      </c>
      <c r="O47" t="s">
        <v>377</v>
      </c>
      <c r="T47" t="s">
        <v>394</v>
      </c>
      <c r="AL47" t="s">
        <v>377</v>
      </c>
      <c r="AS47" s="6" t="s">
        <v>383</v>
      </c>
      <c r="AT47" s="6"/>
      <c r="AU47" s="6"/>
      <c r="AV47" s="6"/>
      <c r="AW47" s="6"/>
      <c r="AX47" s="6"/>
      <c r="AY47" s="6"/>
    </row>
    <row r="48" spans="1:55" x14ac:dyDescent="0.25">
      <c r="A48" s="8" t="s">
        <v>107</v>
      </c>
      <c r="B48" s="9">
        <v>6</v>
      </c>
      <c r="I48" t="s">
        <v>431</v>
      </c>
      <c r="O48" t="s">
        <v>435</v>
      </c>
      <c r="T48" t="s">
        <v>433</v>
      </c>
      <c r="AL48" t="s">
        <v>435</v>
      </c>
      <c r="AS48" s="6" t="s">
        <v>386</v>
      </c>
      <c r="AT48" s="6"/>
      <c r="AU48" s="6"/>
      <c r="AV48" s="6"/>
      <c r="AW48" s="6"/>
      <c r="AX48" s="6"/>
      <c r="AY48" s="6"/>
    </row>
    <row r="49" spans="1:52" x14ac:dyDescent="0.25">
      <c r="A49" s="8" t="s">
        <v>70</v>
      </c>
      <c r="B49" s="9">
        <v>2</v>
      </c>
      <c r="I49" t="s">
        <v>426</v>
      </c>
      <c r="O49" t="s">
        <v>503</v>
      </c>
      <c r="T49" t="s">
        <v>409</v>
      </c>
      <c r="AS49" s="6" t="s">
        <v>385</v>
      </c>
      <c r="AT49" s="6"/>
      <c r="AU49" s="6"/>
      <c r="AV49" s="6"/>
      <c r="AW49" s="6"/>
      <c r="AX49" s="6"/>
      <c r="AY49" s="6"/>
      <c r="AZ49" s="6"/>
    </row>
    <row r="50" spans="1:52" x14ac:dyDescent="0.25">
      <c r="A50" s="8" t="s">
        <v>101</v>
      </c>
      <c r="B50" s="9">
        <v>5</v>
      </c>
      <c r="I50" t="s">
        <v>427</v>
      </c>
      <c r="O50" t="s">
        <v>551</v>
      </c>
      <c r="T50" t="s">
        <v>410</v>
      </c>
    </row>
    <row r="51" spans="1:52" x14ac:dyDescent="0.25">
      <c r="A51" s="8" t="s">
        <v>88</v>
      </c>
      <c r="B51" s="9">
        <v>4</v>
      </c>
      <c r="I51" t="s">
        <v>429</v>
      </c>
      <c r="T51" t="s">
        <v>411</v>
      </c>
    </row>
    <row r="52" spans="1:52" x14ac:dyDescent="0.25">
      <c r="A52" s="8" t="s">
        <v>108</v>
      </c>
      <c r="B52" s="9">
        <v>6</v>
      </c>
      <c r="M52" t="s">
        <v>179</v>
      </c>
      <c r="T52" t="s">
        <v>395</v>
      </c>
      <c r="AQ52" t="s">
        <v>419</v>
      </c>
    </row>
    <row r="53" spans="1:52" x14ac:dyDescent="0.25">
      <c r="A53" s="8" t="s">
        <v>71</v>
      </c>
      <c r="B53" s="9">
        <v>2</v>
      </c>
      <c r="M53" t="s">
        <v>422</v>
      </c>
      <c r="T53" t="s">
        <v>414</v>
      </c>
    </row>
    <row r="54" spans="1:52" x14ac:dyDescent="0.25">
      <c r="A54" s="8" t="s">
        <v>109</v>
      </c>
      <c r="B54" s="9">
        <v>6</v>
      </c>
      <c r="M54" t="s">
        <v>487</v>
      </c>
      <c r="T54" t="s">
        <v>412</v>
      </c>
    </row>
    <row r="55" spans="1:52" x14ac:dyDescent="0.25">
      <c r="A55" s="7" t="s">
        <v>63</v>
      </c>
      <c r="B55" s="9">
        <v>1</v>
      </c>
      <c r="M55" t="s">
        <v>420</v>
      </c>
    </row>
    <row r="56" spans="1:52" x14ac:dyDescent="0.25">
      <c r="A56" s="8" t="s">
        <v>72</v>
      </c>
      <c r="B56" s="9">
        <v>2</v>
      </c>
      <c r="M56" t="s">
        <v>421</v>
      </c>
    </row>
    <row r="57" spans="1:52" x14ac:dyDescent="0.25">
      <c r="A57" s="8" t="s">
        <v>75</v>
      </c>
      <c r="B57" s="9">
        <v>3</v>
      </c>
      <c r="M57" t="s">
        <v>423</v>
      </c>
    </row>
    <row r="58" spans="1:52" x14ac:dyDescent="0.25">
      <c r="A58" s="8" t="s">
        <v>110</v>
      </c>
      <c r="B58" s="9">
        <v>6</v>
      </c>
      <c r="M58" t="s">
        <v>8</v>
      </c>
    </row>
    <row r="59" spans="1:52" x14ac:dyDescent="0.25">
      <c r="A59" s="8" t="s">
        <v>89</v>
      </c>
      <c r="B59" s="9">
        <v>4</v>
      </c>
    </row>
    <row r="60" spans="1:52" x14ac:dyDescent="0.25">
      <c r="A60" s="8" t="s">
        <v>102</v>
      </c>
      <c r="B60" s="9">
        <v>5</v>
      </c>
    </row>
    <row r="61" spans="1:52" x14ac:dyDescent="0.25">
      <c r="A61" s="8" t="s">
        <v>111</v>
      </c>
      <c r="B61" s="9">
        <v>6</v>
      </c>
    </row>
    <row r="62" spans="1:52" x14ac:dyDescent="0.25">
      <c r="A62" s="8" t="s">
        <v>90</v>
      </c>
      <c r="B62" s="9">
        <v>4</v>
      </c>
    </row>
    <row r="63" spans="1:52" x14ac:dyDescent="0.25">
      <c r="A63" s="8" t="s">
        <v>76</v>
      </c>
      <c r="B63" s="9">
        <v>3</v>
      </c>
    </row>
    <row r="64" spans="1:52" x14ac:dyDescent="0.25">
      <c r="A64" s="8" t="s">
        <v>77</v>
      </c>
      <c r="B64" s="9">
        <v>3</v>
      </c>
      <c r="I64" t="s">
        <v>398</v>
      </c>
      <c r="L64" t="s">
        <v>404</v>
      </c>
    </row>
    <row r="65" spans="1:15" x14ac:dyDescent="0.25">
      <c r="A65" s="8" t="s">
        <v>112</v>
      </c>
      <c r="B65" s="9">
        <v>6</v>
      </c>
      <c r="I65" t="s">
        <v>399</v>
      </c>
      <c r="L65" t="s">
        <v>397</v>
      </c>
    </row>
    <row r="66" spans="1:15" x14ac:dyDescent="0.25">
      <c r="A66" s="8" t="s">
        <v>91</v>
      </c>
      <c r="B66" s="9">
        <v>4</v>
      </c>
      <c r="I66" t="s">
        <v>400</v>
      </c>
      <c r="L66" t="s">
        <v>396</v>
      </c>
    </row>
    <row r="67" spans="1:15" x14ac:dyDescent="0.25">
      <c r="A67" s="8" t="s">
        <v>92</v>
      </c>
      <c r="B67" s="9">
        <v>4</v>
      </c>
      <c r="I67" t="s">
        <v>401</v>
      </c>
    </row>
    <row r="68" spans="1:15" x14ac:dyDescent="0.25">
      <c r="A68" s="8" t="s">
        <v>78</v>
      </c>
      <c r="B68" s="9">
        <v>3</v>
      </c>
      <c r="I68" t="s">
        <v>402</v>
      </c>
      <c r="O68" t="s">
        <v>230</v>
      </c>
    </row>
    <row r="69" spans="1:15" x14ac:dyDescent="0.25">
      <c r="A69" s="8" t="s">
        <v>93</v>
      </c>
      <c r="B69" s="9">
        <v>4</v>
      </c>
      <c r="I69" t="s">
        <v>403</v>
      </c>
      <c r="O69" t="s">
        <v>334</v>
      </c>
    </row>
    <row r="70" spans="1:15" x14ac:dyDescent="0.25">
      <c r="A70" s="8" t="s">
        <v>103</v>
      </c>
      <c r="B70" s="9">
        <v>5</v>
      </c>
      <c r="O70" t="s">
        <v>231</v>
      </c>
    </row>
    <row r="71" spans="1:15" x14ac:dyDescent="0.25">
      <c r="A71" s="8" t="s">
        <v>113</v>
      </c>
      <c r="B71" s="9">
        <v>6</v>
      </c>
    </row>
    <row r="72" spans="1:15" x14ac:dyDescent="0.25">
      <c r="A72" s="7" t="s">
        <v>64</v>
      </c>
      <c r="B72" s="9">
        <v>1</v>
      </c>
    </row>
    <row r="73" spans="1:15" x14ac:dyDescent="0.25">
      <c r="A73" s="8" t="s">
        <v>79</v>
      </c>
      <c r="B73" s="9">
        <v>3</v>
      </c>
    </row>
    <row r="74" spans="1:15" x14ac:dyDescent="0.25">
      <c r="A74" s="8" t="s">
        <v>80</v>
      </c>
      <c r="B74" s="9">
        <v>3</v>
      </c>
    </row>
    <row r="75" spans="1:15" x14ac:dyDescent="0.25">
      <c r="A75" s="8" t="s">
        <v>114</v>
      </c>
      <c r="B75" s="9">
        <v>6</v>
      </c>
    </row>
    <row r="76" spans="1:15" x14ac:dyDescent="0.25">
      <c r="O76" t="s">
        <v>404</v>
      </c>
    </row>
    <row r="77" spans="1:15" x14ac:dyDescent="0.25">
      <c r="O77" t="s">
        <v>397</v>
      </c>
    </row>
    <row r="78" spans="1:15" x14ac:dyDescent="0.25">
      <c r="A78" s="4" t="s">
        <v>130</v>
      </c>
      <c r="D78" s="6" t="s">
        <v>169</v>
      </c>
      <c r="O78" t="s">
        <v>396</v>
      </c>
    </row>
    <row r="79" spans="1:15" x14ac:dyDescent="0.25">
      <c r="A79" s="6" t="s">
        <v>116</v>
      </c>
      <c r="D79" s="6" t="s">
        <v>170</v>
      </c>
    </row>
    <row r="80" spans="1:15" x14ac:dyDescent="0.25">
      <c r="A80" s="6" t="s">
        <v>117</v>
      </c>
      <c r="D80" s="6" t="s">
        <v>171</v>
      </c>
      <c r="J80" s="6" t="s">
        <v>439</v>
      </c>
      <c r="K80" s="6"/>
      <c r="L80" s="6"/>
    </row>
    <row r="81" spans="1:15" x14ac:dyDescent="0.25">
      <c r="D81" s="6" t="s">
        <v>172</v>
      </c>
      <c r="J81" s="6" t="s">
        <v>440</v>
      </c>
      <c r="K81" s="6"/>
      <c r="L81" s="6"/>
      <c r="M81" s="6"/>
    </row>
    <row r="82" spans="1:15" x14ac:dyDescent="0.25">
      <c r="J82" s="6" t="s">
        <v>441</v>
      </c>
      <c r="M82" s="6"/>
    </row>
    <row r="83" spans="1:15" x14ac:dyDescent="0.25">
      <c r="A83" s="4" t="s">
        <v>131</v>
      </c>
      <c r="J83" s="6" t="s">
        <v>396</v>
      </c>
      <c r="K83" s="6"/>
      <c r="L83" s="6"/>
      <c r="M83" s="6"/>
    </row>
    <row r="84" spans="1:15" x14ac:dyDescent="0.25">
      <c r="A84" s="6" t="s">
        <v>116</v>
      </c>
      <c r="J84" s="6"/>
      <c r="K84" s="6"/>
      <c r="L84" s="6"/>
      <c r="M84" s="6"/>
      <c r="O84" t="s">
        <v>230</v>
      </c>
    </row>
    <row r="85" spans="1:15" x14ac:dyDescent="0.25">
      <c r="A85" s="6" t="s">
        <v>117</v>
      </c>
      <c r="K85" s="6"/>
      <c r="L85" s="6"/>
      <c r="M85" s="6"/>
      <c r="O85" t="s">
        <v>498</v>
      </c>
    </row>
    <row r="86" spans="1:15" x14ac:dyDescent="0.25">
      <c r="D86" t="s">
        <v>116</v>
      </c>
      <c r="J86" s="6"/>
      <c r="K86" s="6"/>
      <c r="L86" s="6"/>
      <c r="M86" s="6"/>
      <c r="O86" t="s">
        <v>231</v>
      </c>
    </row>
    <row r="87" spans="1:15" x14ac:dyDescent="0.25">
      <c r="D87" t="s">
        <v>117</v>
      </c>
      <c r="J87" s="6"/>
      <c r="K87" s="6"/>
      <c r="L87" s="6"/>
      <c r="M87" s="6"/>
    </row>
    <row r="88" spans="1:15" x14ac:dyDescent="0.25">
      <c r="A88" s="4" t="s">
        <v>132</v>
      </c>
      <c r="D88" t="s">
        <v>178</v>
      </c>
      <c r="J88" s="6"/>
      <c r="K88" s="6"/>
      <c r="L88" s="6"/>
      <c r="M88" s="6"/>
    </row>
    <row r="89" spans="1:15" x14ac:dyDescent="0.25">
      <c r="A89" s="6" t="s">
        <v>116</v>
      </c>
      <c r="H89" t="s">
        <v>116</v>
      </c>
    </row>
    <row r="90" spans="1:15" x14ac:dyDescent="0.25">
      <c r="A90" s="6" t="s">
        <v>117</v>
      </c>
      <c r="H90" t="s">
        <v>117</v>
      </c>
    </row>
    <row r="91" spans="1:15" x14ac:dyDescent="0.25">
      <c r="K91" t="s">
        <v>116</v>
      </c>
      <c r="O91" t="s">
        <v>116</v>
      </c>
    </row>
    <row r="92" spans="1:15" x14ac:dyDescent="0.25">
      <c r="K92" t="s">
        <v>117</v>
      </c>
      <c r="O92" t="s">
        <v>117</v>
      </c>
    </row>
    <row r="93" spans="1:15" x14ac:dyDescent="0.25">
      <c r="K93" t="s">
        <v>632</v>
      </c>
      <c r="O93" t="s">
        <v>500</v>
      </c>
    </row>
    <row r="94" spans="1:15" x14ac:dyDescent="0.25">
      <c r="D94" t="s">
        <v>692</v>
      </c>
    </row>
    <row r="95" spans="1:15" x14ac:dyDescent="0.25">
      <c r="D95" t="s">
        <v>693</v>
      </c>
    </row>
    <row r="96" spans="1:15" x14ac:dyDescent="0.25">
      <c r="D96" t="s">
        <v>694</v>
      </c>
    </row>
    <row r="97" spans="4:15" x14ac:dyDescent="0.25">
      <c r="D97" t="s">
        <v>695</v>
      </c>
    </row>
    <row r="98" spans="4:15" x14ac:dyDescent="0.25">
      <c r="D98" t="s">
        <v>696</v>
      </c>
      <c r="O98" t="s">
        <v>776</v>
      </c>
    </row>
    <row r="99" spans="4:15" x14ac:dyDescent="0.25">
      <c r="D99" t="s">
        <v>697</v>
      </c>
      <c r="O99" t="s">
        <v>777</v>
      </c>
    </row>
    <row r="100" spans="4:15" x14ac:dyDescent="0.25">
      <c r="D100" t="s">
        <v>698</v>
      </c>
      <c r="O100" t="s">
        <v>778</v>
      </c>
    </row>
    <row r="101" spans="4:15" x14ac:dyDescent="0.25">
      <c r="D101" t="s">
        <v>699</v>
      </c>
      <c r="O101" t="s">
        <v>779</v>
      </c>
    </row>
    <row r="102" spans="4:15" x14ac:dyDescent="0.25">
      <c r="D102" t="s">
        <v>396</v>
      </c>
    </row>
    <row r="105" spans="4:15" x14ac:dyDescent="0.25">
      <c r="D105" t="s">
        <v>748</v>
      </c>
    </row>
    <row r="106" spans="4:15" x14ac:dyDescent="0.25">
      <c r="D106" t="s">
        <v>749</v>
      </c>
    </row>
    <row r="107" spans="4:15" x14ac:dyDescent="0.25">
      <c r="D107" t="s">
        <v>750</v>
      </c>
    </row>
    <row r="108" spans="4:15" x14ac:dyDescent="0.25">
      <c r="D108" t="s">
        <v>751</v>
      </c>
    </row>
  </sheetData>
  <sheetProtection algorithmName="SHA-512" hashValue="ZaG/jrkXM6dQQFsD1lC4XfM71qD38igAWseKU9YZNxMfPEdd3uXvC5kK2hdKcWr34okGQXYtuc1RAvENjU1T6A==" saltValue="Q+TbDEqsSXeH2bYOPCtipA==" spinCount="100000" sheet="1" objects="1" scenarios="1"/>
  <sortState xmlns:xlrd2="http://schemas.microsoft.com/office/spreadsheetml/2017/richdata2" ref="A21:B75">
    <sortCondition ref="A21"/>
  </sortState>
  <mergeCells count="12">
    <mergeCell ref="J32:L32"/>
    <mergeCell ref="J33:L33"/>
    <mergeCell ref="J34:L34"/>
    <mergeCell ref="J35:L35"/>
    <mergeCell ref="R28:BC28"/>
    <mergeCell ref="R29:BC29"/>
    <mergeCell ref="R30:BC30"/>
    <mergeCell ref="R31:BC31"/>
    <mergeCell ref="R32:BC32"/>
    <mergeCell ref="R33:BC33"/>
    <mergeCell ref="R34:BC34"/>
    <mergeCell ref="R35:BC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A1:AW187"/>
  <sheetViews>
    <sheetView topLeftCell="A22" workbookViewId="0">
      <selection activeCell="AC36" sqref="AC36"/>
    </sheetView>
  </sheetViews>
  <sheetFormatPr defaultColWidth="8.85546875" defaultRowHeight="15" x14ac:dyDescent="0.25"/>
  <cols>
    <col min="1" max="17" width="5.7109375" customWidth="1"/>
    <col min="18" max="18" width="6.85546875" customWidth="1"/>
    <col min="19" max="26" width="5.7109375" customWidth="1"/>
    <col min="27" max="27" width="6.5703125" customWidth="1"/>
    <col min="28" max="28" width="6.140625" customWidth="1"/>
    <col min="29" max="29" width="6.5703125" customWidth="1"/>
    <col min="30" max="30" width="10" customWidth="1"/>
    <col min="31" max="31" width="5.7109375" customWidth="1"/>
    <col min="32" max="32" width="12.28515625" customWidth="1"/>
    <col min="33" max="39" width="5.7109375" customWidth="1"/>
    <col min="40" max="50" width="4.7109375" customWidth="1"/>
  </cols>
  <sheetData>
    <row r="1" spans="1:37" ht="18.75" x14ac:dyDescent="0.25">
      <c r="A1" s="1278" t="s">
        <v>213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row>
    <row r="2" spans="1:37" ht="16.5" thickBot="1" x14ac:dyDescent="0.3">
      <c r="A2" s="887" t="s">
        <v>214</v>
      </c>
      <c r="B2" s="887"/>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row>
    <row r="3" spans="1:37" ht="15.75" thickTop="1" x14ac:dyDescent="0.25">
      <c r="A3" s="535" t="s">
        <v>342</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7"/>
    </row>
    <row r="4" spans="1:37" x14ac:dyDescent="0.25">
      <c r="A4" s="468" t="s">
        <v>42</v>
      </c>
      <c r="B4" s="468"/>
      <c r="C4" s="468"/>
      <c r="D4" s="468"/>
      <c r="E4" s="468"/>
      <c r="F4" s="541"/>
      <c r="G4" s="541"/>
      <c r="H4" s="541"/>
      <c r="I4" s="541"/>
      <c r="J4" s="541"/>
      <c r="K4" s="541"/>
      <c r="L4" s="541"/>
      <c r="M4" s="541"/>
      <c r="N4" s="541"/>
      <c r="O4" s="541"/>
      <c r="P4" s="541"/>
      <c r="Q4" s="2"/>
      <c r="R4" s="3" t="s">
        <v>0</v>
      </c>
      <c r="S4" s="3"/>
      <c r="T4" s="3"/>
      <c r="U4" s="541" t="str">
        <f>'GRANTEE SET UP INFO &amp; DATE '!Z4</f>
        <v xml:space="preserve">Grantee formal Name (name on grant agreement) </v>
      </c>
      <c r="V4" s="541"/>
      <c r="W4" s="541"/>
      <c r="X4" s="541"/>
      <c r="Y4" s="541"/>
      <c r="Z4" s="541"/>
      <c r="AA4" s="541"/>
      <c r="AB4" s="541"/>
      <c r="AC4" s="541"/>
    </row>
    <row r="5" spans="1:37" x14ac:dyDescent="0.25">
      <c r="A5" s="468" t="s">
        <v>43</v>
      </c>
      <c r="B5" s="468"/>
      <c r="C5" s="468"/>
      <c r="D5" s="468"/>
      <c r="E5" s="468"/>
      <c r="F5" s="541" t="str">
        <f>'GRANTEE SET UP INFO &amp; DATE '!H5</f>
        <v>Jobs and Hope</v>
      </c>
      <c r="G5" s="541"/>
      <c r="H5" s="541"/>
      <c r="I5" s="541"/>
      <c r="J5" s="541"/>
      <c r="K5" s="541"/>
      <c r="L5" s="541"/>
      <c r="M5" s="541"/>
      <c r="N5" s="541"/>
      <c r="O5" s="541"/>
      <c r="P5" s="541"/>
      <c r="Q5" s="2"/>
      <c r="R5" s="3" t="s">
        <v>4</v>
      </c>
      <c r="S5" s="3"/>
      <c r="T5" s="3"/>
      <c r="U5" s="884" t="str">
        <f>'GRANTEE SET UP INFO &amp; DATE '!Z5</f>
        <v>Names of Contact(s):</v>
      </c>
      <c r="V5" s="885"/>
      <c r="W5" s="885"/>
      <c r="X5" s="885"/>
      <c r="Y5" s="885"/>
      <c r="Z5" s="885"/>
      <c r="AA5" s="885"/>
      <c r="AB5" s="885"/>
      <c r="AC5" s="886"/>
    </row>
    <row r="6" spans="1:37" ht="14.45" customHeight="1" x14ac:dyDescent="0.25">
      <c r="A6" s="965" t="s">
        <v>1</v>
      </c>
      <c r="B6" s="965"/>
      <c r="C6" s="965"/>
      <c r="D6" s="965"/>
      <c r="E6" s="965"/>
      <c r="F6" s="387" t="str">
        <f>'GRANTEE SET UP INFO &amp; DATE '!H6</f>
        <v>123 Any Street, Any City, WV 12345</v>
      </c>
      <c r="G6" s="387"/>
      <c r="H6" s="387"/>
      <c r="I6" s="387"/>
      <c r="J6" s="387"/>
      <c r="K6" s="387"/>
      <c r="L6" s="387"/>
      <c r="M6" s="387"/>
      <c r="N6" s="387"/>
      <c r="O6" s="387"/>
      <c r="P6" s="387"/>
      <c r="Q6" s="2"/>
      <c r="R6" s="3" t="s">
        <v>2</v>
      </c>
      <c r="S6" s="3"/>
      <c r="T6" s="3"/>
      <c r="U6" s="541" t="str">
        <f>'GRANTEE SET UP INFO &amp; DATE '!Z6</f>
        <v>Phone numbers for contacts</v>
      </c>
      <c r="V6" s="541"/>
      <c r="W6" s="541"/>
      <c r="X6" s="541"/>
      <c r="Y6" s="541"/>
      <c r="Z6" s="541"/>
      <c r="AA6" s="541"/>
      <c r="AB6" s="541"/>
      <c r="AC6" s="541"/>
    </row>
    <row r="7" spans="1:37" x14ac:dyDescent="0.25">
      <c r="A7" s="965"/>
      <c r="B7" s="965"/>
      <c r="C7" s="965"/>
      <c r="D7" s="965"/>
      <c r="E7" s="965"/>
      <c r="F7" s="387"/>
      <c r="G7" s="387"/>
      <c r="H7" s="387"/>
      <c r="I7" s="387"/>
      <c r="J7" s="387"/>
      <c r="K7" s="387"/>
      <c r="L7" s="387"/>
      <c r="M7" s="387"/>
      <c r="N7" s="387"/>
      <c r="O7" s="387"/>
      <c r="P7" s="387"/>
      <c r="Q7" s="2"/>
      <c r="R7" s="634" t="s">
        <v>31</v>
      </c>
      <c r="S7" s="509"/>
      <c r="T7" s="510"/>
      <c r="U7" s="377" t="str">
        <f>'GRANTEE SET UP INFO &amp; DATE '!Z7</f>
        <v xml:space="preserve">number on grant agreement or TFB </v>
      </c>
      <c r="V7" s="378"/>
      <c r="W7" s="378"/>
      <c r="X7" s="378"/>
      <c r="Y7" s="378"/>
      <c r="Z7" s="378"/>
      <c r="AA7" s="378"/>
      <c r="AB7" s="378"/>
      <c r="AC7" s="379"/>
    </row>
    <row r="8" spans="1:37" ht="15.6" customHeight="1" x14ac:dyDescent="0.25">
      <c r="A8" s="1887" t="s">
        <v>45</v>
      </c>
      <c r="B8" s="1887"/>
      <c r="C8" s="1887"/>
      <c r="D8" s="1887"/>
      <c r="E8" s="1887"/>
      <c r="F8" s="1894" t="str">
        <f>'GRANTEE SET UP INFO &amp; DATE '!H8</f>
        <v>October 1 - 31</v>
      </c>
      <c r="G8" s="1894"/>
      <c r="H8" s="1894"/>
      <c r="I8" s="1894"/>
      <c r="J8" s="1894"/>
      <c r="K8" s="1894"/>
      <c r="L8" s="1894"/>
      <c r="M8" s="1894"/>
      <c r="N8" s="1895">
        <f>'GRANTEE SET UP INFO &amp; DATE '!P8</f>
        <v>2024</v>
      </c>
      <c r="O8" s="1896"/>
      <c r="P8" s="1897"/>
      <c r="Q8" s="26"/>
      <c r="R8" s="3" t="s">
        <v>17</v>
      </c>
      <c r="S8" s="3"/>
      <c r="T8" s="3"/>
      <c r="U8" s="1907" t="str">
        <f>'GRANTEE SET UP INFO &amp; DATE '!Z8</f>
        <v>program code can locate on SOW or  TFB</v>
      </c>
      <c r="V8" s="872"/>
      <c r="W8" s="872"/>
      <c r="X8" s="872"/>
      <c r="Y8" s="872"/>
      <c r="Z8" s="872"/>
      <c r="AA8" s="872"/>
      <c r="AB8" s="872"/>
      <c r="AC8" s="873"/>
    </row>
    <row r="9" spans="1:37" ht="25.15" customHeight="1" x14ac:dyDescent="0.25">
      <c r="A9" s="1279" t="s">
        <v>229</v>
      </c>
      <c r="B9" s="1279"/>
      <c r="C9" s="1279"/>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row>
    <row r="10" spans="1:37" ht="21" customHeight="1" x14ac:dyDescent="0.25">
      <c r="A10" s="1917" t="s">
        <v>359</v>
      </c>
      <c r="B10" s="1917"/>
      <c r="C10" s="1917"/>
      <c r="D10" s="1917"/>
      <c r="E10" s="1917"/>
      <c r="F10" s="1917"/>
      <c r="G10" s="1917"/>
      <c r="H10" s="1917"/>
      <c r="I10" s="1917"/>
      <c r="J10" s="1917"/>
      <c r="K10" s="1917"/>
      <c r="L10" s="1917"/>
      <c r="M10" s="1917"/>
      <c r="N10" s="1917"/>
      <c r="O10" s="1917"/>
      <c r="P10" s="1917"/>
      <c r="Q10" s="1917"/>
      <c r="R10" s="1917"/>
      <c r="S10" s="1917"/>
      <c r="T10" s="1917"/>
      <c r="U10" s="1917"/>
      <c r="V10" s="1917"/>
      <c r="W10" s="1917"/>
      <c r="X10" s="1917"/>
      <c r="Y10" s="1917"/>
      <c r="Z10" s="1917"/>
      <c r="AA10" s="1917"/>
      <c r="AB10" s="1917"/>
      <c r="AC10" s="1917"/>
    </row>
    <row r="11" spans="1:37" x14ac:dyDescent="0.25">
      <c r="A11" s="1917"/>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row>
    <row r="12" spans="1:37" ht="30" customHeight="1" x14ac:dyDescent="0.25">
      <c r="A12" s="1928" t="s">
        <v>360</v>
      </c>
      <c r="B12" s="1928"/>
      <c r="C12" s="1928"/>
      <c r="D12" s="1928"/>
      <c r="E12" s="1928"/>
      <c r="F12" s="1928"/>
      <c r="G12" s="1928"/>
      <c r="H12" s="1928"/>
      <c r="I12" s="1928"/>
      <c r="J12" s="1928"/>
      <c r="K12" s="1928"/>
      <c r="L12" s="1928"/>
      <c r="M12" s="1928"/>
      <c r="N12" s="1929"/>
      <c r="O12" s="11"/>
      <c r="P12" s="1821" t="s">
        <v>13</v>
      </c>
      <c r="Q12" s="1823"/>
      <c r="AB12" s="1290"/>
      <c r="AC12" s="1290"/>
    </row>
    <row r="13" spans="1:37" ht="30" customHeight="1" x14ac:dyDescent="0.25">
      <c r="A13" s="1930" t="s">
        <v>149</v>
      </c>
      <c r="B13" s="1930"/>
      <c r="C13" s="1930"/>
      <c r="D13" s="1930"/>
      <c r="E13" s="1930"/>
      <c r="F13" s="1930"/>
      <c r="G13" s="1930"/>
      <c r="H13" s="1930"/>
      <c r="I13" s="1930"/>
      <c r="J13" s="1930"/>
      <c r="K13" s="1930"/>
      <c r="L13" s="1930"/>
      <c r="M13" s="1930"/>
      <c r="N13" s="1931"/>
      <c r="O13" s="119"/>
      <c r="P13" s="1890" t="s">
        <v>142</v>
      </c>
      <c r="Q13" s="1890"/>
      <c r="R13" s="17"/>
      <c r="S13" s="17"/>
      <c r="T13" s="17"/>
      <c r="U13" s="17"/>
      <c r="V13" s="17"/>
      <c r="W13" s="17"/>
      <c r="X13" s="16"/>
      <c r="Y13" s="16"/>
      <c r="Z13" s="16"/>
      <c r="AA13" s="16"/>
      <c r="AB13" s="1874"/>
      <c r="AC13" s="1874"/>
    </row>
    <row r="14" spans="1:37" ht="16.899999999999999" customHeight="1" x14ac:dyDescent="0.25">
      <c r="A14" s="1915" t="s">
        <v>232</v>
      </c>
      <c r="B14" s="1915"/>
      <c r="C14" s="1915"/>
      <c r="D14" s="1915"/>
      <c r="E14" s="1915"/>
      <c r="F14" s="1915"/>
      <c r="G14" s="1915"/>
      <c r="H14" s="1915"/>
      <c r="I14" s="1915"/>
      <c r="J14" s="1915"/>
      <c r="K14" s="1915"/>
      <c r="L14" s="1915"/>
      <c r="M14" s="1915"/>
      <c r="N14" s="1915"/>
      <c r="O14" s="119"/>
      <c r="P14" s="1885">
        <f>COUNTIFS('refer admin discharge'!H20:H1020,"&gt;=01/01/2000",'refer admin discharge'!H20:H1020,"&lt;=06/30/2018")</f>
        <v>0</v>
      </c>
      <c r="Q14" s="1885"/>
      <c r="R14" s="17"/>
      <c r="S14" s="17"/>
      <c r="T14" s="17"/>
      <c r="U14" s="17"/>
      <c r="V14" s="17"/>
      <c r="W14" s="17"/>
      <c r="X14" s="16"/>
      <c r="Y14" s="16"/>
      <c r="Z14" s="16"/>
      <c r="AA14" s="16"/>
      <c r="AB14" s="1877"/>
      <c r="AC14" s="1877"/>
    </row>
    <row r="15" spans="1:37" ht="16.899999999999999" customHeight="1" x14ac:dyDescent="0.25">
      <c r="A15" s="1880" t="s">
        <v>233</v>
      </c>
      <c r="B15" s="1880"/>
      <c r="C15" s="1880"/>
      <c r="D15" s="1880"/>
      <c r="E15" s="1880"/>
      <c r="F15" s="1880"/>
      <c r="G15" s="1880"/>
      <c r="H15" s="1880"/>
      <c r="I15" s="1880"/>
      <c r="J15" s="1880"/>
      <c r="K15" s="1880"/>
      <c r="L15" s="1880"/>
      <c r="M15" s="1880"/>
      <c r="N15" s="1880"/>
      <c r="O15" s="18"/>
      <c r="P15" s="1885">
        <f>COUNTIFS('refer admin discharge'!H20:H1020,"&gt;=07/01/2018",'refer admin discharge'!H20:H1020,"&lt;=06/30/2019")</f>
        <v>0</v>
      </c>
      <c r="Q15" s="1885"/>
      <c r="R15" s="17"/>
      <c r="S15" s="17"/>
      <c r="T15" s="17"/>
      <c r="U15" s="17"/>
      <c r="V15" s="17"/>
      <c r="W15" s="17"/>
      <c r="X15" s="16"/>
      <c r="Y15" s="16"/>
      <c r="Z15" s="16"/>
      <c r="AA15" s="16"/>
      <c r="AB15" s="1879"/>
      <c r="AC15" s="1879"/>
    </row>
    <row r="16" spans="1:37" ht="16.899999999999999" customHeight="1" x14ac:dyDescent="0.25">
      <c r="A16" s="1833" t="s">
        <v>292</v>
      </c>
      <c r="B16" s="1833"/>
      <c r="C16" s="1833"/>
      <c r="D16" s="1833"/>
      <c r="E16" s="1833"/>
      <c r="F16" s="1833"/>
      <c r="G16" s="1833"/>
      <c r="H16" s="1833"/>
      <c r="I16" s="1833"/>
      <c r="J16" s="1833"/>
      <c r="K16" s="1833"/>
      <c r="L16" s="1833"/>
      <c r="M16" s="1833"/>
      <c r="N16" s="1834"/>
      <c r="O16" s="18"/>
      <c r="P16" s="1831">
        <f>COUNTIFS('refer admin discharge'!L30:L1020,"YES")</f>
        <v>0</v>
      </c>
      <c r="Q16" s="1832"/>
      <c r="R16" s="19"/>
      <c r="S16" s="17"/>
      <c r="T16" s="17"/>
      <c r="U16" s="17"/>
      <c r="V16" s="17"/>
      <c r="W16" s="17"/>
      <c r="X16" s="17"/>
      <c r="Y16" s="16"/>
      <c r="Z16" s="16"/>
      <c r="AA16" s="16"/>
      <c r="AB16" s="120"/>
      <c r="AC16" s="120"/>
    </row>
    <row r="17" spans="1:36" ht="16.899999999999999" customHeight="1" x14ac:dyDescent="0.25">
      <c r="A17" s="1891" t="s">
        <v>234</v>
      </c>
      <c r="B17" s="1891"/>
      <c r="C17" s="1891"/>
      <c r="D17" s="1891"/>
      <c r="E17" s="1891"/>
      <c r="F17" s="1891"/>
      <c r="G17" s="1891"/>
      <c r="H17" s="1891"/>
      <c r="I17" s="1891"/>
      <c r="J17" s="1891"/>
      <c r="K17" s="1891"/>
      <c r="L17" s="1891"/>
      <c r="M17" s="1891"/>
      <c r="N17" s="1891"/>
      <c r="O17" s="18"/>
      <c r="P17" s="1885" t="e">
        <f>COUNTIFS(#REF!,"&gt;=07/01/2018",#REF!,"&lt;=06/30/2019")</f>
        <v>#REF!</v>
      </c>
      <c r="Q17" s="1885"/>
      <c r="R17" s="17"/>
      <c r="S17" s="17"/>
      <c r="T17" s="17"/>
      <c r="U17" s="17"/>
      <c r="V17" s="17"/>
      <c r="W17" s="17"/>
      <c r="X17" s="16"/>
      <c r="Y17" s="16"/>
      <c r="Z17" s="16"/>
      <c r="AA17" s="16"/>
      <c r="AB17" s="1879"/>
      <c r="AC17" s="1879"/>
    </row>
    <row r="18" spans="1:36" ht="16.899999999999999" customHeight="1" x14ac:dyDescent="0.25">
      <c r="A18" s="1880" t="s">
        <v>235</v>
      </c>
      <c r="B18" s="1880"/>
      <c r="C18" s="1880"/>
      <c r="D18" s="1880"/>
      <c r="E18" s="1880"/>
      <c r="F18" s="1880"/>
      <c r="G18" s="1880"/>
      <c r="H18" s="1880"/>
      <c r="I18" s="1880"/>
      <c r="J18" s="1880"/>
      <c r="K18" s="1880"/>
      <c r="L18" s="1880"/>
      <c r="M18" s="1880"/>
      <c r="N18" s="1880"/>
      <c r="O18" s="18"/>
      <c r="P18" s="1885" t="e">
        <f>P15-P17</f>
        <v>#REF!</v>
      </c>
      <c r="Q18" s="1885"/>
      <c r="R18" s="17"/>
      <c r="S18" s="17"/>
      <c r="T18" s="17"/>
      <c r="U18" s="17"/>
      <c r="V18" s="17"/>
      <c r="W18" s="17"/>
      <c r="X18" s="16"/>
      <c r="Y18" s="16"/>
      <c r="Z18" s="16"/>
      <c r="AA18" s="16"/>
      <c r="AB18" s="1879"/>
      <c r="AC18" s="1879"/>
    </row>
    <row r="19" spans="1:36" ht="16.899999999999999" customHeight="1" x14ac:dyDescent="0.25">
      <c r="A19" s="1878" t="s">
        <v>150</v>
      </c>
      <c r="B19" s="1878"/>
      <c r="C19" s="1878"/>
      <c r="D19" s="1878"/>
      <c r="E19" s="1878"/>
      <c r="F19" s="1878"/>
      <c r="G19" s="1878"/>
      <c r="H19" s="1878"/>
      <c r="I19" s="1878"/>
      <c r="J19" s="1878"/>
      <c r="K19" s="1878"/>
      <c r="L19" s="1878"/>
      <c r="M19" s="1878"/>
      <c r="N19" s="1878"/>
      <c r="O19" s="18"/>
      <c r="P19" s="1885">
        <f>P14+P15</f>
        <v>0</v>
      </c>
      <c r="Q19" s="1885"/>
      <c r="R19" s="1835" t="s">
        <v>293</v>
      </c>
      <c r="S19" s="1836"/>
      <c r="T19" s="20"/>
      <c r="U19" s="20"/>
      <c r="V19" s="20"/>
      <c r="W19" s="20"/>
      <c r="X19" s="20"/>
      <c r="Y19" s="16"/>
      <c r="Z19" s="16"/>
      <c r="AA19" s="16"/>
      <c r="AB19" s="1879"/>
      <c r="AC19" s="1879"/>
    </row>
    <row r="20" spans="1:36" ht="16.899999999999999" customHeight="1" x14ac:dyDescent="0.25">
      <c r="A20" s="1892" t="s">
        <v>236</v>
      </c>
      <c r="B20" s="1892"/>
      <c r="C20" s="1892"/>
      <c r="D20" s="1892"/>
      <c r="E20" s="1892"/>
      <c r="F20" s="1892"/>
      <c r="G20" s="1892"/>
      <c r="H20" s="1892"/>
      <c r="I20" s="1892"/>
      <c r="J20" s="1892"/>
      <c r="K20" s="1892"/>
      <c r="L20" s="1892"/>
      <c r="M20" s="1892"/>
      <c r="N20" s="1892"/>
      <c r="O20" s="18"/>
      <c r="P20" s="1885" t="e">
        <f>SUM(#REF!)</f>
        <v>#REF!</v>
      </c>
      <c r="Q20" s="1885"/>
      <c r="R20" s="17"/>
      <c r="S20" s="17"/>
      <c r="T20" s="17"/>
      <c r="U20" s="17"/>
      <c r="V20" s="17"/>
      <c r="W20" s="17"/>
      <c r="X20" s="16"/>
      <c r="Y20" s="16"/>
      <c r="Z20" s="16"/>
      <c r="AA20" s="16"/>
      <c r="AB20" s="1879"/>
      <c r="AC20" s="1879"/>
    </row>
    <row r="21" spans="1:36" ht="16.899999999999999" customHeight="1" x14ac:dyDescent="0.25">
      <c r="A21" s="1880" t="s">
        <v>237</v>
      </c>
      <c r="B21" s="1880"/>
      <c r="C21" s="1880"/>
      <c r="D21" s="1880"/>
      <c r="E21" s="1880"/>
      <c r="F21" s="1880"/>
      <c r="G21" s="1880"/>
      <c r="H21" s="1880"/>
      <c r="I21" s="1880"/>
      <c r="J21" s="1880"/>
      <c r="K21" s="1880"/>
      <c r="L21" s="1880"/>
      <c r="M21" s="1880"/>
      <c r="N21" s="1880"/>
      <c r="O21" s="18"/>
      <c r="P21" s="1889" t="e">
        <f>P20/P19</f>
        <v>#REF!</v>
      </c>
      <c r="Q21" s="1889"/>
      <c r="R21" s="17"/>
      <c r="S21" s="17"/>
      <c r="T21" s="17"/>
      <c r="U21" s="17"/>
      <c r="V21" s="17"/>
      <c r="W21" s="17"/>
      <c r="X21" s="16"/>
      <c r="Y21" s="16"/>
      <c r="Z21" s="16"/>
      <c r="AA21" s="16"/>
      <c r="AB21" s="1879"/>
      <c r="AC21" s="1879"/>
    </row>
    <row r="22" spans="1:36" ht="30" customHeight="1" x14ac:dyDescent="0.35">
      <c r="A22" s="158" t="s">
        <v>238</v>
      </c>
      <c r="B22" s="158"/>
      <c r="C22" s="158"/>
      <c r="D22" s="158"/>
      <c r="E22" s="158"/>
      <c r="F22" s="158"/>
      <c r="G22" s="158"/>
      <c r="H22" s="158"/>
      <c r="I22" s="158"/>
      <c r="J22" s="158"/>
      <c r="K22" s="158"/>
      <c r="L22" s="158"/>
      <c r="M22" s="159"/>
      <c r="N22" s="159"/>
      <c r="O22" s="21"/>
      <c r="P22" s="1890" t="s">
        <v>142</v>
      </c>
      <c r="Q22" s="1890"/>
      <c r="R22" s="16"/>
      <c r="S22" s="16"/>
      <c r="T22" s="22"/>
      <c r="U22" s="23"/>
      <c r="V22" s="23"/>
      <c r="W22" s="24"/>
      <c r="X22" s="23"/>
      <c r="Y22" s="23"/>
      <c r="Z22" s="23"/>
      <c r="AA22" s="23"/>
      <c r="AB22" s="23"/>
      <c r="AC22" s="23"/>
      <c r="AD22" s="23"/>
      <c r="AE22" s="23"/>
      <c r="AF22" s="25"/>
      <c r="AG22" s="25"/>
      <c r="AH22" s="29"/>
      <c r="AI22" s="124"/>
      <c r="AJ22" s="124"/>
    </row>
    <row r="23" spans="1:36" x14ac:dyDescent="0.25">
      <c r="A23" s="1843" t="s">
        <v>251</v>
      </c>
      <c r="B23" s="1843"/>
      <c r="C23" s="1843"/>
      <c r="D23" s="1843"/>
      <c r="E23" s="1843"/>
      <c r="F23" s="1843"/>
      <c r="G23" s="1843"/>
      <c r="H23" s="1843"/>
      <c r="I23" s="1843"/>
      <c r="J23" s="1843"/>
      <c r="K23" s="1843"/>
      <c r="L23" s="1843"/>
      <c r="M23" s="26"/>
      <c r="N23" s="26"/>
      <c r="O23" s="21"/>
      <c r="P23" s="1845"/>
      <c r="Q23" s="1845"/>
      <c r="R23" s="27"/>
      <c r="S23" s="27"/>
      <c r="T23" s="28"/>
      <c r="U23" s="28"/>
      <c r="V23" s="28"/>
      <c r="W23" s="28"/>
      <c r="X23" s="28"/>
      <c r="Y23" s="28"/>
      <c r="Z23" s="28"/>
      <c r="AA23" s="28"/>
      <c r="AB23" s="28"/>
      <c r="AC23" s="28"/>
      <c r="AD23" s="28"/>
      <c r="AE23" s="28"/>
      <c r="AF23" s="29"/>
      <c r="AG23" s="29"/>
      <c r="AH23" s="29"/>
      <c r="AI23" s="29"/>
      <c r="AJ23" s="29"/>
    </row>
    <row r="24" spans="1:36" ht="20.100000000000001" customHeight="1" x14ac:dyDescent="0.25">
      <c r="A24" s="1846" t="s">
        <v>267</v>
      </c>
      <c r="B24" s="1846"/>
      <c r="C24" s="1846"/>
      <c r="D24" s="1846"/>
      <c r="E24" s="1846"/>
      <c r="F24" s="1846"/>
      <c r="G24" s="1846"/>
      <c r="H24" s="1846"/>
      <c r="I24" s="1846"/>
      <c r="J24" s="1846"/>
      <c r="K24" s="1846"/>
      <c r="L24" s="1846"/>
      <c r="M24" s="1846"/>
      <c r="N24" s="1846"/>
      <c r="O24" s="21" t="s">
        <v>273</v>
      </c>
      <c r="P24" s="1847" t="e">
        <f>COUNTIFS('refer admin discharge'!N30:N1020,"employed",#REF!, "employed")</f>
        <v>#REF!</v>
      </c>
      <c r="Q24" s="1848"/>
      <c r="R24" s="16"/>
      <c r="S24" s="16"/>
      <c r="T24" s="30"/>
      <c r="U24" s="30"/>
      <c r="V24" s="30"/>
      <c r="W24" s="30"/>
      <c r="X24" s="30"/>
      <c r="Y24" s="30"/>
      <c r="Z24" s="30"/>
      <c r="AA24" s="30"/>
      <c r="AB24" s="30"/>
      <c r="AC24" s="30"/>
      <c r="AD24" s="30"/>
      <c r="AE24" s="30"/>
      <c r="AF24" s="30"/>
      <c r="AG24" s="30"/>
      <c r="AH24" s="29"/>
      <c r="AI24" s="179"/>
      <c r="AJ24" s="179"/>
    </row>
    <row r="25" spans="1:36" ht="20.100000000000001" customHeight="1" x14ac:dyDescent="0.25">
      <c r="A25" s="1003" t="s">
        <v>287</v>
      </c>
      <c r="B25" s="1003"/>
      <c r="C25" s="1003"/>
      <c r="D25" s="1003"/>
      <c r="E25" s="1003"/>
      <c r="F25" s="1003"/>
      <c r="G25" s="1003"/>
      <c r="H25" s="1003"/>
      <c r="I25" s="1003"/>
      <c r="J25" s="1003"/>
      <c r="K25" s="1003"/>
      <c r="L25" s="1003"/>
      <c r="M25" s="1003"/>
      <c r="N25" s="1003"/>
      <c r="O25" s="21" t="s">
        <v>133</v>
      </c>
      <c r="P25" s="1875">
        <f>COUNTIFS('refer admin discharge'!N30:N1020,"employed")</f>
        <v>0</v>
      </c>
      <c r="Q25" s="1876"/>
      <c r="R25" s="16"/>
      <c r="S25" s="16"/>
      <c r="T25" s="30"/>
      <c r="U25" s="30"/>
      <c r="V25" s="30"/>
      <c r="W25" s="30"/>
      <c r="X25" s="30"/>
      <c r="Y25" s="30"/>
      <c r="Z25" s="30"/>
      <c r="AA25" s="30"/>
      <c r="AB25" s="30"/>
      <c r="AC25" s="30"/>
      <c r="AD25" s="30"/>
      <c r="AE25" s="30"/>
      <c r="AF25" s="30"/>
      <c r="AG25" s="30"/>
      <c r="AH25" s="29"/>
      <c r="AI25" s="179"/>
      <c r="AJ25" s="179"/>
    </row>
    <row r="26" spans="1:36" ht="20.100000000000001" customHeight="1" x14ac:dyDescent="0.25">
      <c r="A26" s="1893" t="s">
        <v>253</v>
      </c>
      <c r="B26" s="1893"/>
      <c r="C26" s="1893"/>
      <c r="D26" s="1893"/>
      <c r="E26" s="1893"/>
      <c r="F26" s="1893"/>
      <c r="G26" s="1893"/>
      <c r="H26" s="1893"/>
      <c r="I26" s="1893"/>
      <c r="J26" s="1893"/>
      <c r="K26" s="1893"/>
      <c r="L26" s="1893"/>
      <c r="M26" s="1893"/>
      <c r="N26" s="1893"/>
      <c r="O26" s="21" t="s">
        <v>136</v>
      </c>
      <c r="P26" s="1856" t="e">
        <f>COUNTIFS(#REF!,"employed")</f>
        <v>#REF!</v>
      </c>
      <c r="Q26" s="1857"/>
      <c r="R26" s="16"/>
      <c r="S26" s="16"/>
      <c r="T26" s="30"/>
      <c r="U26" s="30"/>
      <c r="V26" s="30"/>
      <c r="W26" s="30"/>
      <c r="X26" s="30"/>
      <c r="Y26" s="30"/>
      <c r="Z26" s="30"/>
      <c r="AA26" s="30"/>
      <c r="AB26" s="30"/>
      <c r="AC26" s="30"/>
      <c r="AD26" s="30"/>
      <c r="AE26" s="30"/>
      <c r="AF26" s="30"/>
      <c r="AG26" s="30"/>
      <c r="AH26" s="29"/>
      <c r="AI26" s="179"/>
      <c r="AJ26" s="179"/>
    </row>
    <row r="27" spans="1:36" ht="20.100000000000001" customHeight="1" x14ac:dyDescent="0.25">
      <c r="A27" s="1840" t="s">
        <v>254</v>
      </c>
      <c r="B27" s="1840"/>
      <c r="C27" s="1840"/>
      <c r="D27" s="1840"/>
      <c r="E27" s="1840"/>
      <c r="F27" s="1840"/>
      <c r="G27" s="1840"/>
      <c r="H27" s="1840"/>
      <c r="I27" s="1840"/>
      <c r="J27" s="1840"/>
      <c r="K27" s="1840"/>
      <c r="L27" s="1840"/>
      <c r="M27" s="1840"/>
      <c r="N27" s="1840"/>
      <c r="O27" s="21" t="s">
        <v>141</v>
      </c>
      <c r="P27" s="1841" t="e">
        <f>COUNTIFS(#REF!,"employed")</f>
        <v>#REF!</v>
      </c>
      <c r="Q27" s="1842"/>
      <c r="R27" s="16"/>
      <c r="S27" s="16"/>
      <c r="T27" s="30"/>
      <c r="U27" s="30"/>
      <c r="V27" s="30"/>
      <c r="W27" s="30"/>
      <c r="X27" s="30"/>
      <c r="Y27" s="30"/>
      <c r="Z27" s="30"/>
      <c r="AA27" s="30"/>
      <c r="AB27" s="30"/>
      <c r="AC27" s="30"/>
      <c r="AD27" s="30"/>
      <c r="AE27" s="30"/>
      <c r="AF27" s="30"/>
      <c r="AG27" s="30"/>
      <c r="AH27" s="29"/>
      <c r="AI27" s="179"/>
      <c r="AJ27" s="179"/>
    </row>
    <row r="28" spans="1:36" ht="20.100000000000001" customHeight="1" x14ac:dyDescent="0.25">
      <c r="A28" s="1843" t="s">
        <v>252</v>
      </c>
      <c r="B28" s="1843"/>
      <c r="C28" s="1843"/>
      <c r="D28" s="1843"/>
      <c r="E28" s="1843"/>
      <c r="F28" s="1843"/>
      <c r="G28" s="1843"/>
      <c r="H28" s="1843"/>
      <c r="I28" s="1843"/>
      <c r="J28" s="1843"/>
      <c r="K28" s="1843"/>
      <c r="L28" s="1843"/>
      <c r="M28" s="26"/>
      <c r="N28" s="26"/>
      <c r="O28" s="31"/>
      <c r="P28" s="1844"/>
      <c r="Q28" s="1845"/>
      <c r="R28" s="16"/>
      <c r="S28" s="16"/>
      <c r="T28" s="30"/>
      <c r="U28" s="30"/>
      <c r="V28" s="30"/>
      <c r="W28" s="30"/>
      <c r="X28" s="30"/>
      <c r="Y28" s="30"/>
      <c r="Z28" s="30"/>
      <c r="AA28" s="30"/>
      <c r="AB28" s="30"/>
      <c r="AC28" s="30"/>
      <c r="AD28" s="30"/>
      <c r="AE28" s="30"/>
      <c r="AF28" s="30"/>
      <c r="AG28" s="30"/>
      <c r="AH28" s="29"/>
      <c r="AI28" s="179"/>
      <c r="AJ28" s="179"/>
    </row>
    <row r="29" spans="1:36" ht="20.100000000000001" customHeight="1" x14ac:dyDescent="0.25">
      <c r="A29" s="1846" t="s">
        <v>256</v>
      </c>
      <c r="B29" s="1846"/>
      <c r="C29" s="1846"/>
      <c r="D29" s="1846"/>
      <c r="E29" s="1846"/>
      <c r="F29" s="1846"/>
      <c r="G29" s="1846"/>
      <c r="H29" s="1846"/>
      <c r="I29" s="1846"/>
      <c r="J29" s="1846"/>
      <c r="K29" s="1846"/>
      <c r="L29" s="1846"/>
      <c r="M29" s="1846"/>
      <c r="N29" s="1846"/>
      <c r="O29" s="21" t="s">
        <v>278</v>
      </c>
      <c r="P29" s="1847" t="e">
        <f>COUNTIFS('refer admin discharge'!P30:P1020,"YES",#REF!, "YES")</f>
        <v>#REF!</v>
      </c>
      <c r="Q29" s="1848"/>
      <c r="R29" s="16"/>
      <c r="S29" s="16"/>
      <c r="T29" s="30"/>
      <c r="U29" s="30"/>
      <c r="V29" s="30"/>
      <c r="W29" s="30"/>
      <c r="X29" s="30"/>
      <c r="Y29" s="30"/>
      <c r="Z29" s="30"/>
      <c r="AA29" s="30"/>
      <c r="AB29" s="30"/>
      <c r="AC29" s="30"/>
      <c r="AD29" s="30"/>
      <c r="AE29" s="30"/>
      <c r="AF29" s="30"/>
      <c r="AG29" s="30"/>
      <c r="AH29" s="29"/>
      <c r="AI29" s="179"/>
      <c r="AJ29" s="179"/>
    </row>
    <row r="30" spans="1:36" ht="20.100000000000001" customHeight="1" x14ac:dyDescent="0.25">
      <c r="A30" s="1003" t="s">
        <v>288</v>
      </c>
      <c r="B30" s="1003"/>
      <c r="C30" s="1003"/>
      <c r="D30" s="1003"/>
      <c r="E30" s="1003"/>
      <c r="F30" s="1003"/>
      <c r="G30" s="1003"/>
      <c r="H30" s="1003"/>
      <c r="I30" s="1003"/>
      <c r="J30" s="1003"/>
      <c r="K30" s="1003"/>
      <c r="L30" s="1003"/>
      <c r="M30" s="1003"/>
      <c r="N30" s="1003"/>
      <c r="O30" s="21" t="s">
        <v>135</v>
      </c>
      <c r="P30" s="1849">
        <f>COUNTIFS('refer admin discharge'!P30:P1020,"YES")</f>
        <v>0</v>
      </c>
      <c r="Q30" s="1850"/>
      <c r="R30" s="16"/>
      <c r="S30" s="16"/>
      <c r="T30" s="30"/>
      <c r="U30" s="30"/>
      <c r="V30" s="30"/>
      <c r="W30" s="30"/>
      <c r="X30" s="30"/>
      <c r="Y30" s="30"/>
      <c r="Z30" s="30"/>
      <c r="AA30" s="30"/>
      <c r="AB30" s="30"/>
      <c r="AC30" s="30"/>
      <c r="AD30" s="30"/>
      <c r="AE30" s="30"/>
      <c r="AF30" s="30"/>
      <c r="AG30" s="30"/>
      <c r="AH30" s="29"/>
      <c r="AI30" s="179"/>
      <c r="AJ30" s="179"/>
    </row>
    <row r="31" spans="1:36" ht="20.100000000000001" customHeight="1" x14ac:dyDescent="0.25">
      <c r="A31" s="1893" t="s">
        <v>255</v>
      </c>
      <c r="B31" s="1893"/>
      <c r="C31" s="1893"/>
      <c r="D31" s="1893"/>
      <c r="E31" s="1893"/>
      <c r="F31" s="1893"/>
      <c r="G31" s="1893"/>
      <c r="H31" s="1893"/>
      <c r="I31" s="1893"/>
      <c r="J31" s="1893"/>
      <c r="K31" s="1893"/>
      <c r="L31" s="1893"/>
      <c r="M31" s="1893"/>
      <c r="N31" s="1893"/>
      <c r="O31" s="21" t="s">
        <v>137</v>
      </c>
      <c r="P31" s="1856" t="e">
        <f>COUNTIFS(#REF!,"YES")</f>
        <v>#REF!</v>
      </c>
      <c r="Q31" s="1857"/>
      <c r="R31" s="16"/>
      <c r="S31" s="16"/>
      <c r="T31" s="30"/>
      <c r="U31" s="30"/>
      <c r="V31" s="30"/>
      <c r="W31" s="30"/>
      <c r="X31" s="30"/>
      <c r="Y31" s="30"/>
      <c r="Z31" s="30"/>
      <c r="AA31" s="30"/>
      <c r="AB31" s="30"/>
      <c r="AC31" s="30"/>
      <c r="AD31" s="30"/>
      <c r="AE31" s="30"/>
      <c r="AF31" s="30"/>
      <c r="AG31" s="30"/>
      <c r="AH31" s="29"/>
      <c r="AI31" s="179"/>
      <c r="AJ31" s="179"/>
    </row>
    <row r="32" spans="1:36" ht="20.100000000000001" customHeight="1" x14ac:dyDescent="0.25">
      <c r="A32" s="1840" t="s">
        <v>257</v>
      </c>
      <c r="B32" s="1840"/>
      <c r="C32" s="1840"/>
      <c r="D32" s="1840"/>
      <c r="E32" s="1840"/>
      <c r="F32" s="1840"/>
      <c r="G32" s="1840"/>
      <c r="H32" s="1840"/>
      <c r="I32" s="1840"/>
      <c r="J32" s="1840"/>
      <c r="K32" s="1840"/>
      <c r="L32" s="1840"/>
      <c r="M32" s="1840"/>
      <c r="N32" s="1840"/>
      <c r="O32" s="21" t="s">
        <v>259</v>
      </c>
      <c r="P32" s="1841" t="e">
        <f>COUNTIFS(#REF!,"YES")</f>
        <v>#REF!</v>
      </c>
      <c r="Q32" s="1842"/>
      <c r="R32" s="16"/>
      <c r="S32" s="16"/>
      <c r="T32" s="30"/>
      <c r="U32" s="30"/>
      <c r="V32" s="30"/>
      <c r="W32" s="30"/>
      <c r="X32" s="30"/>
      <c r="Y32" s="30"/>
      <c r="Z32" s="30"/>
      <c r="AA32" s="30"/>
      <c r="AB32" s="30"/>
      <c r="AC32" s="30"/>
      <c r="AD32" s="30"/>
      <c r="AE32" s="30"/>
      <c r="AF32" s="30"/>
      <c r="AG32" s="30"/>
      <c r="AH32" s="29"/>
      <c r="AI32" s="179"/>
      <c r="AJ32" s="179"/>
    </row>
    <row r="33" spans="1:36" ht="15" customHeight="1" x14ac:dyDescent="0.25">
      <c r="A33" s="26"/>
      <c r="B33" s="26"/>
      <c r="C33" s="26"/>
      <c r="D33" s="26"/>
      <c r="E33" s="26"/>
      <c r="F33" s="26"/>
      <c r="G33" s="26"/>
      <c r="H33" s="2"/>
      <c r="I33" s="26"/>
      <c r="J33" s="26"/>
      <c r="K33" s="26"/>
      <c r="L33" s="26"/>
      <c r="M33" s="26"/>
      <c r="N33" s="26"/>
      <c r="O33" s="21"/>
      <c r="P33" s="1860"/>
      <c r="Q33" s="1860"/>
      <c r="R33" s="27"/>
      <c r="S33" s="27"/>
      <c r="T33" s="29"/>
      <c r="U33" s="29"/>
      <c r="V33" s="29"/>
      <c r="W33" s="29"/>
      <c r="X33" s="29"/>
      <c r="Y33" s="29"/>
      <c r="Z33" s="29"/>
      <c r="AB33" s="29"/>
      <c r="AC33" s="29"/>
      <c r="AD33" s="29"/>
      <c r="AE33" s="29"/>
      <c r="AF33" s="29"/>
      <c r="AG33" s="29"/>
      <c r="AH33" s="29"/>
      <c r="AI33" s="180"/>
      <c r="AJ33" s="180"/>
    </row>
    <row r="34" spans="1:36" x14ac:dyDescent="0.25">
      <c r="A34" s="1843" t="s">
        <v>18</v>
      </c>
      <c r="B34" s="1843"/>
      <c r="C34" s="1843"/>
      <c r="D34" s="1843"/>
      <c r="E34" s="1843"/>
      <c r="F34" s="1843"/>
      <c r="G34" s="1843"/>
      <c r="H34" s="1843"/>
      <c r="I34" s="1843"/>
      <c r="J34" s="1843"/>
      <c r="K34" s="1843"/>
      <c r="L34" s="1843"/>
      <c r="M34" s="26"/>
      <c r="N34" s="26"/>
      <c r="O34" s="21"/>
      <c r="P34" s="1845"/>
      <c r="Q34" s="1845"/>
      <c r="R34" s="27"/>
      <c r="S34" s="27"/>
      <c r="T34" s="28"/>
      <c r="U34" s="28"/>
      <c r="V34" s="28"/>
      <c r="W34" s="28"/>
      <c r="X34" s="28"/>
      <c r="Y34" s="28"/>
      <c r="Z34" s="28"/>
      <c r="AA34" s="28"/>
      <c r="AB34" s="28"/>
      <c r="AC34" s="28"/>
      <c r="AD34" s="28"/>
      <c r="AE34" s="28"/>
      <c r="AF34" s="29"/>
      <c r="AG34" s="29"/>
      <c r="AH34" s="29"/>
      <c r="AI34" s="29"/>
      <c r="AJ34" s="29"/>
    </row>
    <row r="35" spans="1:36" ht="20.100000000000001" customHeight="1" x14ac:dyDescent="0.25">
      <c r="A35" s="1898" t="s">
        <v>22</v>
      </c>
      <c r="B35" s="1899"/>
      <c r="C35" s="1899"/>
      <c r="D35" s="1899"/>
      <c r="E35" s="1899"/>
      <c r="F35" s="1899"/>
      <c r="G35" s="1899"/>
      <c r="H35" s="1899"/>
      <c r="I35" s="1899"/>
      <c r="J35" s="1899"/>
      <c r="K35" s="1899"/>
      <c r="L35" s="1899"/>
      <c r="M35" s="1899"/>
      <c r="N35" s="1900"/>
      <c r="O35" s="21" t="s">
        <v>274</v>
      </c>
      <c r="P35" s="1858" t="e">
        <f>COUNTIFS('refer admin discharge'!Q30:Q1020,"YES",#REF!, "YES")</f>
        <v>#REF!</v>
      </c>
      <c r="Q35" s="1858"/>
      <c r="R35" s="16"/>
      <c r="S35" s="16"/>
      <c r="T35" s="32"/>
      <c r="U35" s="32"/>
      <c r="V35" s="32"/>
      <c r="W35" s="32"/>
      <c r="X35" s="32"/>
      <c r="Y35" s="32"/>
      <c r="Z35" s="32"/>
      <c r="AA35" s="32"/>
      <c r="AB35" s="32"/>
      <c r="AC35" s="32"/>
      <c r="AD35" s="32"/>
      <c r="AE35" s="32"/>
      <c r="AF35" s="32"/>
      <c r="AG35" s="32"/>
      <c r="AH35" s="29"/>
      <c r="AI35" s="179"/>
      <c r="AJ35" s="179"/>
    </row>
    <row r="36" spans="1:36" ht="20.100000000000001" customHeight="1" x14ac:dyDescent="0.25">
      <c r="A36" s="1901" t="s">
        <v>23</v>
      </c>
      <c r="B36" s="1902"/>
      <c r="C36" s="1902"/>
      <c r="D36" s="1902"/>
      <c r="E36" s="1902"/>
      <c r="F36" s="1902"/>
      <c r="G36" s="1902"/>
      <c r="H36" s="1902"/>
      <c r="I36" s="1902"/>
      <c r="J36" s="1902"/>
      <c r="K36" s="1902"/>
      <c r="L36" s="1902"/>
      <c r="M36" s="1902"/>
      <c r="N36" s="1903"/>
      <c r="O36" s="21" t="s">
        <v>268</v>
      </c>
      <c r="P36" s="1859">
        <f>COUNTIFS('refer admin discharge'!Q30:Q1020,"YES")</f>
        <v>0</v>
      </c>
      <c r="Q36" s="1859"/>
      <c r="R36" s="33"/>
      <c r="S36" s="33"/>
      <c r="T36" s="6"/>
      <c r="U36" s="6"/>
      <c r="V36" s="6"/>
      <c r="W36" s="6"/>
      <c r="X36" s="6"/>
      <c r="Y36" s="6"/>
      <c r="Z36" s="6"/>
      <c r="AA36" s="6"/>
      <c r="AB36" s="6"/>
      <c r="AC36" s="6"/>
      <c r="AD36" s="6"/>
      <c r="AE36" s="6"/>
      <c r="AF36" s="6"/>
      <c r="AG36" s="6"/>
      <c r="AH36" s="29"/>
      <c r="AI36" s="181"/>
      <c r="AJ36" s="181"/>
    </row>
    <row r="37" spans="1:36" ht="20.100000000000001" customHeight="1" x14ac:dyDescent="0.25">
      <c r="A37" s="1904" t="s">
        <v>24</v>
      </c>
      <c r="B37" s="1905"/>
      <c r="C37" s="1905"/>
      <c r="D37" s="1905"/>
      <c r="E37" s="1905"/>
      <c r="F37" s="1905"/>
      <c r="G37" s="1905"/>
      <c r="H37" s="1905"/>
      <c r="I37" s="1905"/>
      <c r="J37" s="1905"/>
      <c r="K37" s="1905"/>
      <c r="L37" s="1905"/>
      <c r="M37" s="1905"/>
      <c r="N37" s="1906"/>
      <c r="O37" s="21" t="s">
        <v>138</v>
      </c>
      <c r="P37" s="1863" t="e">
        <f>COUNTIFS(#REF!,"YES")</f>
        <v>#REF!</v>
      </c>
      <c r="Q37" s="1863"/>
      <c r="R37" s="16"/>
      <c r="S37" s="16"/>
      <c r="T37" s="6"/>
      <c r="U37" s="6"/>
      <c r="V37" s="6"/>
      <c r="W37" s="6"/>
      <c r="X37" s="6"/>
      <c r="Y37" s="6"/>
      <c r="Z37" s="6"/>
      <c r="AA37" s="6"/>
      <c r="AB37" s="6"/>
      <c r="AC37" s="6"/>
      <c r="AD37" s="6"/>
      <c r="AE37" s="6"/>
      <c r="AF37" s="6"/>
      <c r="AG37" s="6"/>
      <c r="AH37" s="29"/>
      <c r="AI37" s="179"/>
      <c r="AJ37" s="179"/>
    </row>
    <row r="38" spans="1:36" ht="20.100000000000001" customHeight="1" x14ac:dyDescent="0.25">
      <c r="A38" s="1840" t="s">
        <v>258</v>
      </c>
      <c r="B38" s="1840"/>
      <c r="C38" s="1840"/>
      <c r="D38" s="1840"/>
      <c r="E38" s="1840"/>
      <c r="F38" s="1840"/>
      <c r="G38" s="1840"/>
      <c r="H38" s="1840"/>
      <c r="I38" s="1840"/>
      <c r="J38" s="1840"/>
      <c r="K38" s="1840"/>
      <c r="L38" s="1840"/>
      <c r="M38" s="1840"/>
      <c r="N38" s="1840"/>
      <c r="O38" s="21" t="s">
        <v>260</v>
      </c>
      <c r="P38" s="1841" t="e">
        <f>COUNTIFS(#REF!,"YES")</f>
        <v>#REF!</v>
      </c>
      <c r="Q38" s="1842"/>
      <c r="R38" s="16"/>
      <c r="S38" s="16"/>
      <c r="T38" s="6"/>
      <c r="U38" s="6"/>
      <c r="V38" s="6"/>
      <c r="W38" s="6"/>
      <c r="X38" s="6"/>
      <c r="Y38" s="6"/>
      <c r="Z38" s="6"/>
      <c r="AA38" s="6"/>
      <c r="AB38" s="6"/>
      <c r="AC38" s="6"/>
      <c r="AD38" s="6"/>
      <c r="AE38" s="6"/>
      <c r="AF38" s="6"/>
      <c r="AG38" s="6"/>
      <c r="AH38" s="29"/>
      <c r="AI38" s="179"/>
      <c r="AJ38" s="179"/>
    </row>
    <row r="39" spans="1:36" ht="15" customHeight="1" x14ac:dyDescent="0.25">
      <c r="A39" s="26"/>
      <c r="B39" s="26"/>
      <c r="C39" s="26"/>
      <c r="D39" s="26"/>
      <c r="E39" s="26"/>
      <c r="F39" s="26"/>
      <c r="G39" s="26"/>
      <c r="H39" s="2"/>
      <c r="I39" s="26"/>
      <c r="J39" s="26"/>
      <c r="K39" s="26"/>
      <c r="L39" s="26"/>
      <c r="M39" s="26"/>
      <c r="N39" s="26"/>
      <c r="O39" s="21"/>
      <c r="P39" s="1860"/>
      <c r="Q39" s="1860"/>
      <c r="R39" s="27"/>
      <c r="S39" s="27"/>
      <c r="T39" s="29"/>
      <c r="U39" s="29"/>
      <c r="V39" s="29"/>
      <c r="W39" s="29"/>
      <c r="X39" s="29"/>
      <c r="Y39" s="29"/>
      <c r="Z39" s="29"/>
      <c r="AB39" s="29"/>
      <c r="AC39" s="29"/>
      <c r="AD39" s="29"/>
      <c r="AE39" s="29"/>
      <c r="AF39" s="29"/>
      <c r="AG39" s="29"/>
      <c r="AH39" s="29"/>
      <c r="AI39" s="180"/>
      <c r="AJ39" s="180"/>
    </row>
    <row r="40" spans="1:36" x14ac:dyDescent="0.25">
      <c r="A40" s="1843" t="s">
        <v>19</v>
      </c>
      <c r="B40" s="1843"/>
      <c r="C40" s="1843"/>
      <c r="D40" s="1843"/>
      <c r="E40" s="1843"/>
      <c r="F40" s="1843"/>
      <c r="G40" s="1843"/>
      <c r="H40" s="1843"/>
      <c r="I40" s="1843"/>
      <c r="J40" s="1843"/>
      <c r="K40" s="1843"/>
      <c r="L40" s="1843"/>
      <c r="M40" s="26"/>
      <c r="N40" s="26"/>
      <c r="O40" s="21"/>
      <c r="P40" s="1845"/>
      <c r="Q40" s="1845"/>
      <c r="R40" s="27"/>
      <c r="S40" s="27"/>
      <c r="T40" s="28"/>
      <c r="U40" s="28"/>
      <c r="V40" s="28"/>
      <c r="W40" s="28"/>
      <c r="X40" s="28"/>
      <c r="Y40" s="28"/>
      <c r="Z40" s="28"/>
      <c r="AA40" s="28"/>
      <c r="AB40" s="28"/>
      <c r="AC40" s="28"/>
      <c r="AD40" s="28"/>
      <c r="AE40" s="28"/>
      <c r="AF40" s="29"/>
      <c r="AG40" s="29"/>
      <c r="AH40" s="29"/>
      <c r="AI40" s="29"/>
      <c r="AJ40" s="29"/>
    </row>
    <row r="41" spans="1:36" ht="20.100000000000001" customHeight="1" x14ac:dyDescent="0.25">
      <c r="A41" s="1846" t="s">
        <v>25</v>
      </c>
      <c r="B41" s="1846"/>
      <c r="C41" s="1846"/>
      <c r="D41" s="1846"/>
      <c r="E41" s="1846"/>
      <c r="F41" s="1846"/>
      <c r="G41" s="1846"/>
      <c r="H41" s="1846"/>
      <c r="I41" s="1846"/>
      <c r="J41" s="1846"/>
      <c r="K41" s="1846"/>
      <c r="L41" s="1846"/>
      <c r="M41" s="1846"/>
      <c r="N41" s="1846"/>
      <c r="O41" s="21" t="s">
        <v>275</v>
      </c>
      <c r="P41" s="1886" t="e">
        <f>COUNTIFS('refer admin discharge'!R30:R1020,"YES",#REF!, "YES")</f>
        <v>#REF!</v>
      </c>
      <c r="Q41" s="1886"/>
      <c r="R41" s="16"/>
      <c r="S41" s="16"/>
      <c r="T41" s="30"/>
      <c r="U41" s="30"/>
      <c r="V41" s="30"/>
      <c r="W41" s="30"/>
      <c r="X41" s="30"/>
      <c r="Y41" s="30"/>
      <c r="Z41" s="30"/>
      <c r="AA41" s="30"/>
      <c r="AB41" s="30"/>
      <c r="AC41" s="30"/>
      <c r="AD41" s="30"/>
      <c r="AE41" s="30"/>
      <c r="AF41" s="30"/>
      <c r="AG41" s="30"/>
      <c r="AH41" s="29"/>
      <c r="AI41" s="179"/>
      <c r="AJ41" s="179"/>
    </row>
    <row r="42" spans="1:36" ht="20.100000000000001" customHeight="1" x14ac:dyDescent="0.25">
      <c r="A42" s="1228" t="s">
        <v>289</v>
      </c>
      <c r="B42" s="1228"/>
      <c r="C42" s="1228"/>
      <c r="D42" s="1228"/>
      <c r="E42" s="1228"/>
      <c r="F42" s="1228"/>
      <c r="G42" s="1228"/>
      <c r="H42" s="1228"/>
      <c r="I42" s="1228"/>
      <c r="J42" s="1228"/>
      <c r="K42" s="1228"/>
      <c r="L42" s="1228"/>
      <c r="M42" s="1228"/>
      <c r="N42" s="1228"/>
      <c r="O42" s="21" t="s">
        <v>269</v>
      </c>
      <c r="P42" s="1859">
        <f>COUNTIFS('refer admin discharge'!R30:R1020,"NO")</f>
        <v>0</v>
      </c>
      <c r="Q42" s="1859"/>
      <c r="R42" s="33"/>
      <c r="S42" s="33"/>
      <c r="T42" s="34"/>
      <c r="U42" s="34"/>
      <c r="V42" s="34"/>
      <c r="W42" s="34"/>
      <c r="X42" s="34"/>
      <c r="Y42" s="34"/>
      <c r="Z42" s="34"/>
      <c r="AA42" s="34"/>
      <c r="AB42" s="34"/>
      <c r="AC42" s="34"/>
      <c r="AD42" s="34"/>
      <c r="AE42" s="34"/>
      <c r="AF42" s="34"/>
      <c r="AG42" s="34"/>
      <c r="AH42" s="29"/>
      <c r="AI42" s="181"/>
      <c r="AJ42" s="181"/>
    </row>
    <row r="43" spans="1:36" ht="20.100000000000001" customHeight="1" x14ac:dyDescent="0.25">
      <c r="A43" s="1914" t="s">
        <v>280</v>
      </c>
      <c r="B43" s="1914"/>
      <c r="C43" s="1914"/>
      <c r="D43" s="1914"/>
      <c r="E43" s="1914"/>
      <c r="F43" s="1914"/>
      <c r="G43" s="1914"/>
      <c r="H43" s="1914"/>
      <c r="I43" s="1914"/>
      <c r="J43" s="1914"/>
      <c r="K43" s="1914"/>
      <c r="L43" s="1914"/>
      <c r="M43" s="1914"/>
      <c r="N43" s="1914"/>
      <c r="O43" s="21" t="s">
        <v>261</v>
      </c>
      <c r="P43" s="1863" t="e">
        <f>COUNTIFS(#REF!,"NO")</f>
        <v>#REF!</v>
      </c>
      <c r="Q43" s="1863"/>
      <c r="R43" s="16"/>
      <c r="S43" s="16"/>
      <c r="T43" s="34"/>
      <c r="U43" s="34"/>
      <c r="V43" s="34"/>
      <c r="W43" s="34"/>
      <c r="X43" s="34"/>
      <c r="Y43" s="34"/>
      <c r="Z43" s="34"/>
      <c r="AA43" s="34"/>
      <c r="AB43" s="34"/>
      <c r="AC43" s="34"/>
      <c r="AD43" s="34"/>
      <c r="AE43" s="34"/>
      <c r="AF43" s="34"/>
      <c r="AG43" s="34"/>
      <c r="AH43" s="29"/>
      <c r="AI43" s="179"/>
      <c r="AJ43" s="179"/>
    </row>
    <row r="44" spans="1:36" ht="20.100000000000001" customHeight="1" x14ac:dyDescent="0.25">
      <c r="A44" s="1840" t="s">
        <v>281</v>
      </c>
      <c r="B44" s="1840"/>
      <c r="C44" s="1840"/>
      <c r="D44" s="1840"/>
      <c r="E44" s="1840"/>
      <c r="F44" s="1840"/>
      <c r="G44" s="1840"/>
      <c r="H44" s="1840"/>
      <c r="I44" s="1840"/>
      <c r="J44" s="1840"/>
      <c r="K44" s="1840"/>
      <c r="L44" s="1840"/>
      <c r="M44" s="1840"/>
      <c r="N44" s="1840"/>
      <c r="O44" s="21" t="s">
        <v>262</v>
      </c>
      <c r="P44" s="1841" t="e">
        <f>COUNTIFS(#REF!,"NO")</f>
        <v>#REF!</v>
      </c>
      <c r="Q44" s="1842"/>
      <c r="R44" s="16"/>
      <c r="S44" s="16"/>
      <c r="T44" s="34"/>
      <c r="U44" s="34"/>
      <c r="V44" s="34"/>
      <c r="W44" s="34"/>
      <c r="X44" s="34"/>
      <c r="Y44" s="34"/>
      <c r="Z44" s="34"/>
      <c r="AA44" s="34"/>
      <c r="AB44" s="34"/>
      <c r="AC44" s="34"/>
      <c r="AD44" s="34"/>
      <c r="AE44" s="34"/>
      <c r="AF44" s="34"/>
      <c r="AG44" s="34"/>
      <c r="AH44" s="29"/>
      <c r="AI44" s="179"/>
      <c r="AJ44" s="179"/>
    </row>
    <row r="45" spans="1:36" ht="15" customHeight="1" x14ac:dyDescent="0.25">
      <c r="A45" s="26"/>
      <c r="B45" s="26"/>
      <c r="C45" s="26"/>
      <c r="D45" s="26"/>
      <c r="E45" s="26"/>
      <c r="F45" s="26"/>
      <c r="G45" s="26"/>
      <c r="H45" s="2"/>
      <c r="I45" s="26"/>
      <c r="J45" s="26"/>
      <c r="K45" s="26"/>
      <c r="L45" s="26"/>
      <c r="M45" s="26"/>
      <c r="N45" s="26"/>
      <c r="O45" s="21"/>
      <c r="P45" s="1860"/>
      <c r="Q45" s="1860"/>
      <c r="R45" s="27"/>
      <c r="S45" s="27"/>
      <c r="T45" s="29"/>
      <c r="U45" s="29"/>
      <c r="V45" s="29"/>
      <c r="W45" s="29"/>
      <c r="X45" s="29"/>
      <c r="Y45" s="29"/>
      <c r="Z45" s="29"/>
      <c r="AB45" s="29"/>
      <c r="AC45" s="29"/>
      <c r="AD45" s="29"/>
      <c r="AE45" s="29"/>
      <c r="AF45" s="29"/>
      <c r="AG45" s="29"/>
      <c r="AH45" s="29"/>
      <c r="AI45" s="180"/>
      <c r="AJ45" s="180"/>
    </row>
    <row r="46" spans="1:36" x14ac:dyDescent="0.25">
      <c r="A46" s="1843" t="s">
        <v>20</v>
      </c>
      <c r="B46" s="1843"/>
      <c r="C46" s="1843"/>
      <c r="D46" s="1843"/>
      <c r="E46" s="1843"/>
      <c r="F46" s="1843"/>
      <c r="G46" s="1843"/>
      <c r="H46" s="1843"/>
      <c r="I46" s="1843"/>
      <c r="J46" s="1843"/>
      <c r="K46" s="1843"/>
      <c r="L46" s="1843"/>
      <c r="M46" s="26"/>
      <c r="N46" s="26"/>
      <c r="O46" s="21"/>
      <c r="P46" s="1845"/>
      <c r="Q46" s="1845"/>
      <c r="R46" s="27"/>
      <c r="S46" s="27"/>
      <c r="T46" s="28"/>
      <c r="U46" s="28"/>
      <c r="V46" s="28"/>
      <c r="W46" s="28"/>
      <c r="X46" s="28"/>
      <c r="Y46" s="28"/>
      <c r="Z46" s="28"/>
      <c r="AA46" s="28"/>
      <c r="AB46" s="28"/>
      <c r="AC46" s="28"/>
      <c r="AD46" s="28"/>
      <c r="AE46" s="28"/>
      <c r="AF46" s="29"/>
      <c r="AG46" s="29"/>
      <c r="AH46" s="29"/>
      <c r="AI46" s="29"/>
      <c r="AJ46" s="29"/>
    </row>
    <row r="47" spans="1:36" ht="20.100000000000001" customHeight="1" x14ac:dyDescent="0.25">
      <c r="A47" s="1908" t="s">
        <v>26</v>
      </c>
      <c r="B47" s="1909"/>
      <c r="C47" s="1909"/>
      <c r="D47" s="1909"/>
      <c r="E47" s="1909"/>
      <c r="F47" s="1909"/>
      <c r="G47" s="1909"/>
      <c r="H47" s="1909"/>
      <c r="I47" s="1909"/>
      <c r="J47" s="1909"/>
      <c r="K47" s="1909"/>
      <c r="L47" s="1909"/>
      <c r="M47" s="1909"/>
      <c r="N47" s="1910"/>
      <c r="O47" s="21" t="s">
        <v>279</v>
      </c>
      <c r="P47" s="1886" t="e">
        <f>COUNTIFS('refer admin discharge'!S30:S1020,"NO",#REF!, "NO")</f>
        <v>#REF!</v>
      </c>
      <c r="Q47" s="1886"/>
      <c r="R47" s="16"/>
      <c r="S47" s="16"/>
      <c r="T47" s="30"/>
      <c r="U47" s="30"/>
      <c r="V47" s="30"/>
      <c r="W47" s="30"/>
      <c r="X47" s="30"/>
      <c r="Y47" s="30"/>
      <c r="Z47" s="30"/>
      <c r="AA47" s="30"/>
      <c r="AB47" s="30"/>
      <c r="AC47" s="30"/>
      <c r="AD47" s="30"/>
      <c r="AE47" s="30"/>
      <c r="AF47" s="30"/>
      <c r="AG47" s="30"/>
      <c r="AH47" s="29"/>
      <c r="AI47" s="179"/>
      <c r="AJ47" s="179"/>
    </row>
    <row r="48" spans="1:36" ht="20.100000000000001" customHeight="1" x14ac:dyDescent="0.25">
      <c r="A48" s="599" t="s">
        <v>290</v>
      </c>
      <c r="B48" s="1223"/>
      <c r="C48" s="1223"/>
      <c r="D48" s="1223"/>
      <c r="E48" s="1223"/>
      <c r="F48" s="1223"/>
      <c r="G48" s="1223"/>
      <c r="H48" s="1223"/>
      <c r="I48" s="1223"/>
      <c r="J48" s="1223"/>
      <c r="K48" s="1223"/>
      <c r="L48" s="1223"/>
      <c r="M48" s="1223"/>
      <c r="N48" s="600"/>
      <c r="O48" s="21" t="s">
        <v>270</v>
      </c>
      <c r="P48" s="1859">
        <f>COUNTIFS('refer admin discharge'!S30:S1020,"NO")</f>
        <v>0</v>
      </c>
      <c r="Q48" s="1859"/>
      <c r="R48" s="33"/>
      <c r="S48" s="33"/>
      <c r="T48" s="34"/>
      <c r="U48" s="34"/>
      <c r="V48" s="34"/>
      <c r="W48" s="34"/>
      <c r="X48" s="34"/>
      <c r="Y48" s="34"/>
      <c r="Z48" s="34"/>
      <c r="AA48" s="34"/>
      <c r="AB48" s="34"/>
      <c r="AC48" s="34"/>
      <c r="AD48" s="34"/>
      <c r="AE48" s="34"/>
      <c r="AF48" s="34"/>
      <c r="AG48" s="34"/>
      <c r="AH48" s="29"/>
      <c r="AI48" s="181"/>
      <c r="AJ48" s="181"/>
    </row>
    <row r="49" spans="1:36" ht="20.100000000000001" customHeight="1" x14ac:dyDescent="0.25">
      <c r="A49" s="1911" t="s">
        <v>282</v>
      </c>
      <c r="B49" s="1912"/>
      <c r="C49" s="1912"/>
      <c r="D49" s="1912"/>
      <c r="E49" s="1912"/>
      <c r="F49" s="1912"/>
      <c r="G49" s="1912"/>
      <c r="H49" s="1912"/>
      <c r="I49" s="1912"/>
      <c r="J49" s="1912"/>
      <c r="K49" s="1912"/>
      <c r="L49" s="1912"/>
      <c r="M49" s="1912"/>
      <c r="N49" s="1913"/>
      <c r="O49" s="21" t="s">
        <v>263</v>
      </c>
      <c r="P49" s="1863" t="e">
        <f>COUNTIFS(#REF!,"NO")</f>
        <v>#REF!</v>
      </c>
      <c r="Q49" s="1863"/>
      <c r="R49" s="16"/>
      <c r="S49" s="16"/>
      <c r="T49" s="34"/>
      <c r="U49" s="34"/>
      <c r="V49" s="34"/>
      <c r="W49" s="34"/>
      <c r="X49" s="34"/>
      <c r="Y49" s="34"/>
      <c r="Z49" s="34"/>
      <c r="AA49" s="34"/>
      <c r="AB49" s="34"/>
      <c r="AC49" s="34"/>
      <c r="AD49" s="34"/>
      <c r="AE49" s="34"/>
      <c r="AF49" s="34"/>
      <c r="AG49" s="34"/>
      <c r="AH49" s="29"/>
      <c r="AI49" s="179"/>
      <c r="AJ49" s="179"/>
    </row>
    <row r="50" spans="1:36" ht="20.100000000000001" customHeight="1" x14ac:dyDescent="0.25">
      <c r="A50" s="1840" t="s">
        <v>283</v>
      </c>
      <c r="B50" s="1840"/>
      <c r="C50" s="1840"/>
      <c r="D50" s="1840"/>
      <c r="E50" s="1840"/>
      <c r="F50" s="1840"/>
      <c r="G50" s="1840"/>
      <c r="H50" s="1840"/>
      <c r="I50" s="1840"/>
      <c r="J50" s="1840"/>
      <c r="K50" s="1840"/>
      <c r="L50" s="1840"/>
      <c r="M50" s="1840"/>
      <c r="N50" s="1840"/>
      <c r="O50" s="21" t="s">
        <v>264</v>
      </c>
      <c r="P50" s="1841" t="e">
        <f>COUNTIFS(#REF!,"NO")</f>
        <v>#REF!</v>
      </c>
      <c r="Q50" s="1842"/>
      <c r="R50" s="16"/>
      <c r="S50" s="16"/>
      <c r="T50" s="34"/>
      <c r="U50" s="34"/>
      <c r="V50" s="34"/>
      <c r="W50" s="34"/>
      <c r="X50" s="34"/>
      <c r="Y50" s="34"/>
      <c r="Z50" s="34"/>
      <c r="AA50" s="34"/>
      <c r="AB50" s="34"/>
      <c r="AC50" s="34"/>
      <c r="AD50" s="34"/>
      <c r="AE50" s="34"/>
      <c r="AF50" s="34"/>
      <c r="AG50" s="34"/>
      <c r="AH50" s="29"/>
      <c r="AI50" s="179"/>
      <c r="AJ50" s="179"/>
    </row>
    <row r="51" spans="1:36" ht="15" customHeight="1" x14ac:dyDescent="0.25">
      <c r="A51" s="26"/>
      <c r="B51" s="26"/>
      <c r="C51" s="26"/>
      <c r="D51" s="26"/>
      <c r="E51" s="26"/>
      <c r="F51" s="26"/>
      <c r="G51" s="26"/>
      <c r="H51" s="2"/>
      <c r="I51" s="26"/>
      <c r="J51" s="26"/>
      <c r="K51" s="26"/>
      <c r="L51" s="26"/>
      <c r="M51" s="26"/>
      <c r="N51" s="26"/>
      <c r="O51" s="21"/>
      <c r="P51" s="1860"/>
      <c r="Q51" s="1860"/>
      <c r="R51" s="27"/>
      <c r="S51" s="27"/>
      <c r="T51" s="29"/>
      <c r="U51" s="29"/>
      <c r="V51" s="29"/>
      <c r="W51" s="29"/>
      <c r="X51" s="29"/>
      <c r="Y51" s="29"/>
      <c r="Z51" s="29"/>
      <c r="AB51" s="29"/>
      <c r="AC51" s="29"/>
      <c r="AD51" s="29"/>
      <c r="AE51" s="29"/>
      <c r="AF51" s="29"/>
      <c r="AG51" s="29"/>
      <c r="AH51" s="29"/>
      <c r="AI51" s="180"/>
      <c r="AJ51" s="180"/>
    </row>
    <row r="52" spans="1:36" x14ac:dyDescent="0.25">
      <c r="A52" s="1843" t="s">
        <v>29</v>
      </c>
      <c r="B52" s="1843"/>
      <c r="C52" s="1843"/>
      <c r="D52" s="1843"/>
      <c r="E52" s="1843"/>
      <c r="F52" s="1843"/>
      <c r="G52" s="1843"/>
      <c r="H52" s="1843"/>
      <c r="I52" s="1843"/>
      <c r="J52" s="1843"/>
      <c r="K52" s="1843"/>
      <c r="L52" s="1843"/>
      <c r="M52" s="26"/>
      <c r="N52" s="26"/>
      <c r="O52" s="21"/>
      <c r="P52" s="1845"/>
      <c r="Q52" s="1845"/>
      <c r="R52" s="27"/>
      <c r="S52" s="27"/>
      <c r="T52" s="28"/>
      <c r="U52" s="28"/>
      <c r="V52" s="28"/>
      <c r="W52" s="28"/>
      <c r="X52" s="28"/>
      <c r="Y52" s="28"/>
      <c r="Z52" s="28"/>
      <c r="AA52" s="28"/>
      <c r="AB52" s="28"/>
      <c r="AC52" s="28"/>
      <c r="AD52" s="28"/>
      <c r="AE52" s="28"/>
      <c r="AF52" s="29"/>
      <c r="AG52" s="29"/>
      <c r="AH52" s="29"/>
      <c r="AI52" s="29"/>
      <c r="AJ52" s="29"/>
    </row>
    <row r="53" spans="1:36" ht="20.100000000000001" customHeight="1" x14ac:dyDescent="0.25">
      <c r="A53" s="1908" t="s">
        <v>27</v>
      </c>
      <c r="B53" s="1909"/>
      <c r="C53" s="1909"/>
      <c r="D53" s="1909"/>
      <c r="E53" s="1909"/>
      <c r="F53" s="1909"/>
      <c r="G53" s="1909"/>
      <c r="H53" s="1909"/>
      <c r="I53" s="1909"/>
      <c r="J53" s="1909"/>
      <c r="K53" s="1909"/>
      <c r="L53" s="1909"/>
      <c r="M53" s="1909"/>
      <c r="N53" s="1910"/>
      <c r="O53" s="21" t="s">
        <v>276</v>
      </c>
      <c r="P53" s="1881" t="e">
        <f>COUNTIFS('refer admin discharge'!T30:T1020,"YES",#REF!, "YES")</f>
        <v>#REF!</v>
      </c>
      <c r="Q53" s="1881"/>
      <c r="R53" s="16"/>
      <c r="S53" s="16"/>
      <c r="T53" s="30"/>
      <c r="U53" s="30"/>
      <c r="V53" s="30"/>
      <c r="W53" s="30"/>
      <c r="X53" s="30"/>
      <c r="Y53" s="30"/>
      <c r="Z53" s="30"/>
      <c r="AA53" s="30"/>
      <c r="AB53" s="30"/>
      <c r="AC53" s="30"/>
      <c r="AD53" s="30"/>
      <c r="AE53" s="30"/>
      <c r="AF53" s="30"/>
      <c r="AG53" s="30"/>
      <c r="AH53" s="29"/>
      <c r="AI53" s="179"/>
      <c r="AJ53" s="179"/>
    </row>
    <row r="54" spans="1:36" ht="20.100000000000001" customHeight="1" x14ac:dyDescent="0.25">
      <c r="A54" s="599" t="s">
        <v>291</v>
      </c>
      <c r="B54" s="1223"/>
      <c r="C54" s="1223"/>
      <c r="D54" s="1223"/>
      <c r="E54" s="1223"/>
      <c r="F54" s="1223"/>
      <c r="G54" s="1223"/>
      <c r="H54" s="1223"/>
      <c r="I54" s="1223"/>
      <c r="J54" s="1223"/>
      <c r="K54" s="1223"/>
      <c r="L54" s="1223"/>
      <c r="M54" s="1223"/>
      <c r="N54" s="600"/>
      <c r="O54" s="21" t="s">
        <v>271</v>
      </c>
      <c r="P54" s="1859">
        <f>COUNTIFS('refer admin discharge'!T30:T1020,"NO")</f>
        <v>0</v>
      </c>
      <c r="Q54" s="1859"/>
      <c r="R54" s="33"/>
      <c r="S54" s="33"/>
      <c r="T54" s="34"/>
      <c r="U54" s="34"/>
      <c r="V54" s="34"/>
      <c r="W54" s="34"/>
      <c r="X54" s="34"/>
      <c r="Y54" s="34"/>
      <c r="Z54" s="34"/>
      <c r="AA54" s="34"/>
      <c r="AB54" s="34"/>
      <c r="AC54" s="34"/>
      <c r="AD54" s="34"/>
      <c r="AE54" s="34"/>
      <c r="AF54" s="34"/>
      <c r="AG54" s="34"/>
      <c r="AH54" s="29"/>
      <c r="AI54" s="181"/>
      <c r="AJ54" s="181"/>
    </row>
    <row r="55" spans="1:36" ht="20.100000000000001" customHeight="1" x14ac:dyDescent="0.25">
      <c r="A55" s="1911" t="s">
        <v>284</v>
      </c>
      <c r="B55" s="1912"/>
      <c r="C55" s="1912"/>
      <c r="D55" s="1912"/>
      <c r="E55" s="1912"/>
      <c r="F55" s="1912"/>
      <c r="G55" s="1912"/>
      <c r="H55" s="1912"/>
      <c r="I55" s="1912"/>
      <c r="J55" s="1912"/>
      <c r="K55" s="1912"/>
      <c r="L55" s="1912"/>
      <c r="M55" s="1912"/>
      <c r="N55" s="1913"/>
      <c r="O55" s="21" t="s">
        <v>139</v>
      </c>
      <c r="P55" s="1863" t="e">
        <f>COUNTIFS(#REF!,"NO")</f>
        <v>#REF!</v>
      </c>
      <c r="Q55" s="1863"/>
      <c r="R55" s="16"/>
      <c r="S55" s="16"/>
      <c r="T55" s="34"/>
      <c r="U55" s="34"/>
      <c r="V55" s="34"/>
      <c r="W55" s="34"/>
      <c r="X55" s="34"/>
      <c r="Y55" s="34"/>
      <c r="Z55" s="34"/>
      <c r="AA55" s="34"/>
      <c r="AB55" s="34"/>
      <c r="AC55" s="34"/>
      <c r="AD55" s="34"/>
      <c r="AE55" s="34"/>
      <c r="AF55" s="34"/>
      <c r="AG55" s="34"/>
      <c r="AH55" s="29"/>
      <c r="AI55" s="179"/>
      <c r="AJ55" s="179"/>
    </row>
    <row r="56" spans="1:36" ht="20.100000000000001" customHeight="1" x14ac:dyDescent="0.25">
      <c r="A56" s="1840" t="s">
        <v>285</v>
      </c>
      <c r="B56" s="1840"/>
      <c r="C56" s="1840"/>
      <c r="D56" s="1840"/>
      <c r="E56" s="1840"/>
      <c r="F56" s="1840"/>
      <c r="G56" s="1840"/>
      <c r="H56" s="1840"/>
      <c r="I56" s="1840"/>
      <c r="J56" s="1840"/>
      <c r="K56" s="1840"/>
      <c r="L56" s="1840"/>
      <c r="M56" s="1840"/>
      <c r="N56" s="1840"/>
      <c r="O56" s="21" t="s">
        <v>265</v>
      </c>
      <c r="P56" s="1841" t="e">
        <f>COUNTIFS(#REF!,"NO")</f>
        <v>#REF!</v>
      </c>
      <c r="Q56" s="1842"/>
      <c r="R56" s="16"/>
      <c r="S56" s="16"/>
      <c r="T56" s="34"/>
      <c r="U56" s="34"/>
      <c r="V56" s="34"/>
      <c r="W56" s="34"/>
      <c r="X56" s="34"/>
      <c r="Y56" s="34"/>
      <c r="Z56" s="34"/>
      <c r="AA56" s="34"/>
      <c r="AB56" s="34"/>
      <c r="AC56" s="34"/>
      <c r="AD56" s="34"/>
      <c r="AE56" s="34"/>
      <c r="AF56" s="34"/>
      <c r="AG56" s="34"/>
      <c r="AH56" s="29"/>
      <c r="AI56" s="179"/>
      <c r="AJ56" s="179"/>
    </row>
    <row r="57" spans="1:36" x14ac:dyDescent="0.25">
      <c r="A57" s="26"/>
      <c r="B57" s="26"/>
      <c r="C57" s="26"/>
      <c r="D57" s="26"/>
      <c r="E57" s="26"/>
      <c r="F57" s="26"/>
      <c r="G57" s="26"/>
      <c r="H57" s="2"/>
      <c r="I57" s="26"/>
      <c r="J57" s="26"/>
      <c r="K57" s="26"/>
      <c r="L57" s="26"/>
      <c r="M57" s="26"/>
      <c r="N57" s="26"/>
      <c r="O57" s="21"/>
      <c r="P57" s="1860"/>
      <c r="Q57" s="1860"/>
      <c r="R57" s="27"/>
      <c r="S57" s="27"/>
      <c r="T57" s="29"/>
      <c r="U57" s="29"/>
      <c r="V57" s="29"/>
      <c r="W57" s="29"/>
      <c r="X57" s="29"/>
      <c r="Y57" s="29"/>
      <c r="Z57" s="29"/>
      <c r="AB57" s="29"/>
      <c r="AC57" s="29"/>
      <c r="AD57" s="29"/>
      <c r="AE57" s="29"/>
      <c r="AF57" s="29"/>
      <c r="AG57" s="29"/>
      <c r="AH57" s="29"/>
      <c r="AI57" s="180"/>
      <c r="AJ57" s="180"/>
    </row>
    <row r="58" spans="1:36" x14ac:dyDescent="0.25">
      <c r="A58" s="1843" t="s">
        <v>21</v>
      </c>
      <c r="B58" s="1843"/>
      <c r="C58" s="1843"/>
      <c r="D58" s="1843"/>
      <c r="E58" s="1843"/>
      <c r="F58" s="1843"/>
      <c r="G58" s="1843"/>
      <c r="H58" s="1843"/>
      <c r="I58" s="1843"/>
      <c r="J58" s="1843"/>
      <c r="K58" s="1843"/>
      <c r="L58" s="1843"/>
      <c r="M58" s="26"/>
      <c r="N58" s="26"/>
      <c r="O58" s="21"/>
      <c r="P58" s="1845"/>
      <c r="Q58" s="1845"/>
      <c r="R58" s="27"/>
      <c r="S58" s="27"/>
      <c r="T58" s="28"/>
      <c r="U58" s="28"/>
      <c r="V58" s="28"/>
      <c r="W58" s="28"/>
      <c r="X58" s="28"/>
      <c r="Y58" s="28"/>
      <c r="Z58" s="28"/>
      <c r="AA58" s="28"/>
      <c r="AB58" s="28"/>
      <c r="AC58" s="28"/>
      <c r="AD58" s="28"/>
      <c r="AE58" s="28"/>
      <c r="AF58" s="29"/>
      <c r="AG58" s="29"/>
      <c r="AH58" s="29"/>
      <c r="AI58" s="29"/>
      <c r="AJ58" s="29"/>
    </row>
    <row r="59" spans="1:36" ht="20.100000000000001" customHeight="1" x14ac:dyDescent="0.25">
      <c r="A59" s="1908" t="s">
        <v>28</v>
      </c>
      <c r="B59" s="1909"/>
      <c r="C59" s="1909"/>
      <c r="D59" s="1909"/>
      <c r="E59" s="1909"/>
      <c r="F59" s="1909"/>
      <c r="G59" s="1909"/>
      <c r="H59" s="1909"/>
      <c r="I59" s="1909"/>
      <c r="J59" s="1909"/>
      <c r="K59" s="1909"/>
      <c r="L59" s="1909"/>
      <c r="M59" s="1909"/>
      <c r="N59" s="1910"/>
      <c r="O59" s="21" t="s">
        <v>277</v>
      </c>
      <c r="P59" s="1881" t="e">
        <f>COUNTIFS('refer admin discharge'!U30:U1020,"YES",#REF!, "YES")</f>
        <v>#REF!</v>
      </c>
      <c r="Q59" s="1881"/>
      <c r="R59" s="16"/>
      <c r="S59" s="16"/>
      <c r="T59" s="30"/>
      <c r="U59" s="30"/>
      <c r="V59" s="30"/>
      <c r="W59" s="30"/>
      <c r="X59" s="30"/>
      <c r="Y59" s="30"/>
      <c r="Z59" s="30"/>
      <c r="AA59" s="30"/>
      <c r="AB59" s="30"/>
      <c r="AC59" s="30"/>
      <c r="AD59" s="30"/>
      <c r="AE59" s="30"/>
      <c r="AF59" s="30"/>
      <c r="AG59" s="30"/>
      <c r="AH59" s="29"/>
      <c r="AI59" s="179"/>
      <c r="AJ59" s="179"/>
    </row>
    <row r="60" spans="1:36" ht="20.100000000000001" customHeight="1" x14ac:dyDescent="0.25">
      <c r="A60" s="599" t="s">
        <v>40</v>
      </c>
      <c r="B60" s="1223"/>
      <c r="C60" s="1223"/>
      <c r="D60" s="1223"/>
      <c r="E60" s="1223"/>
      <c r="F60" s="1223"/>
      <c r="G60" s="1223"/>
      <c r="H60" s="1223"/>
      <c r="I60" s="1223"/>
      <c r="J60" s="1223"/>
      <c r="K60" s="1223"/>
      <c r="L60" s="1223"/>
      <c r="M60" s="1223"/>
      <c r="N60" s="600"/>
      <c r="O60" s="21" t="s">
        <v>272</v>
      </c>
      <c r="P60" s="1859">
        <f>COUNTIFS('refer admin discharge'!U30:U1020,"YES")</f>
        <v>0</v>
      </c>
      <c r="Q60" s="1859"/>
      <c r="R60" s="33"/>
      <c r="S60" s="33"/>
      <c r="T60" s="34"/>
      <c r="U60" s="34"/>
      <c r="V60" s="34"/>
      <c r="W60" s="34"/>
      <c r="X60" s="34"/>
      <c r="Y60" s="34"/>
      <c r="Z60" s="34"/>
      <c r="AA60" s="34"/>
      <c r="AB60" s="34"/>
      <c r="AC60" s="34"/>
      <c r="AD60" s="34"/>
      <c r="AE60" s="34"/>
      <c r="AF60" s="34"/>
      <c r="AG60" s="34"/>
      <c r="AH60" s="29"/>
      <c r="AI60" s="181"/>
      <c r="AJ60" s="181"/>
    </row>
    <row r="61" spans="1:36" ht="20.100000000000001" customHeight="1" x14ac:dyDescent="0.25">
      <c r="A61" s="1911" t="s">
        <v>41</v>
      </c>
      <c r="B61" s="1912"/>
      <c r="C61" s="1912"/>
      <c r="D61" s="1912"/>
      <c r="E61" s="1912"/>
      <c r="F61" s="1912"/>
      <c r="G61" s="1912"/>
      <c r="H61" s="1912"/>
      <c r="I61" s="1912"/>
      <c r="J61" s="1912"/>
      <c r="K61" s="1912"/>
      <c r="L61" s="1912"/>
      <c r="M61" s="1912"/>
      <c r="N61" s="1913"/>
      <c r="O61" s="21" t="s">
        <v>140</v>
      </c>
      <c r="P61" s="1863" t="e">
        <f>COUNTIFS(#REF!,"YES")</f>
        <v>#REF!</v>
      </c>
      <c r="Q61" s="1863"/>
      <c r="R61" s="16"/>
      <c r="S61" s="16"/>
      <c r="T61" s="34"/>
      <c r="U61" s="34"/>
      <c r="V61" s="34"/>
      <c r="W61" s="34"/>
      <c r="X61" s="34"/>
      <c r="Y61" s="34"/>
      <c r="Z61" s="34"/>
      <c r="AA61" s="34"/>
      <c r="AB61" s="34"/>
      <c r="AC61" s="34"/>
      <c r="AD61" s="34"/>
      <c r="AE61" s="34"/>
      <c r="AF61" s="34"/>
      <c r="AG61" s="34"/>
      <c r="AH61" s="29"/>
      <c r="AI61" s="179"/>
      <c r="AJ61" s="179"/>
    </row>
    <row r="62" spans="1:36" ht="20.100000000000001" customHeight="1" x14ac:dyDescent="0.25">
      <c r="A62" s="1840" t="s">
        <v>329</v>
      </c>
      <c r="B62" s="1840"/>
      <c r="C62" s="1840"/>
      <c r="D62" s="1840"/>
      <c r="E62" s="1840"/>
      <c r="F62" s="1840"/>
      <c r="G62" s="1840"/>
      <c r="H62" s="1840"/>
      <c r="I62" s="1840"/>
      <c r="J62" s="1840"/>
      <c r="K62" s="1840"/>
      <c r="L62" s="1840"/>
      <c r="M62" s="1840"/>
      <c r="N62" s="1840"/>
      <c r="O62" s="21" t="s">
        <v>266</v>
      </c>
      <c r="P62" s="1841" t="e">
        <f>COUNTIFS(#REF!,"YES")</f>
        <v>#REF!</v>
      </c>
      <c r="Q62" s="1842"/>
      <c r="R62" s="16"/>
      <c r="S62" s="16"/>
      <c r="T62" s="34"/>
      <c r="U62" s="34"/>
      <c r="V62" s="34"/>
      <c r="W62" s="34"/>
      <c r="X62" s="34"/>
      <c r="Y62" s="34"/>
      <c r="Z62" s="34"/>
      <c r="AA62" s="34"/>
      <c r="AB62" s="34"/>
      <c r="AC62" s="34"/>
      <c r="AD62" s="34"/>
      <c r="AE62" s="34"/>
      <c r="AF62" s="34"/>
      <c r="AG62" s="34"/>
      <c r="AH62" s="29"/>
      <c r="AI62" s="179"/>
      <c r="AJ62" s="179"/>
    </row>
    <row r="63" spans="1:36" ht="15" customHeight="1" x14ac:dyDescent="0.25">
      <c r="A63" s="1796" t="s">
        <v>368</v>
      </c>
      <c r="B63" s="1796"/>
      <c r="C63" s="1796"/>
      <c r="D63" s="1796"/>
      <c r="E63" s="1796"/>
      <c r="F63" s="1796"/>
      <c r="G63" s="1796"/>
      <c r="H63" s="1796"/>
      <c r="I63" s="1796"/>
      <c r="J63" s="1796"/>
      <c r="K63" s="1796"/>
      <c r="L63" s="1796"/>
      <c r="M63" s="1796"/>
      <c r="N63" s="1796"/>
      <c r="O63" s="1796"/>
      <c r="P63" s="1796"/>
      <c r="Q63" s="1796"/>
      <c r="R63" s="1796"/>
      <c r="S63" s="1796"/>
      <c r="T63" s="86"/>
      <c r="U63" s="86"/>
      <c r="V63" s="86"/>
      <c r="W63" s="86"/>
      <c r="X63" s="86"/>
      <c r="Y63" s="86"/>
      <c r="Z63" s="86"/>
      <c r="AA63" s="86"/>
      <c r="AB63" s="86"/>
      <c r="AC63" s="86"/>
      <c r="AD63" s="86"/>
      <c r="AE63" s="86"/>
      <c r="AF63" s="86"/>
    </row>
    <row r="64" spans="1:36" x14ac:dyDescent="0.25">
      <c r="A64" s="1888" t="s">
        <v>129</v>
      </c>
      <c r="B64" s="1888"/>
      <c r="C64" s="1888"/>
      <c r="D64" s="1888"/>
      <c r="E64" s="1888"/>
      <c r="F64" s="1888"/>
      <c r="G64" s="1888"/>
      <c r="H64" s="1888"/>
      <c r="I64" s="1888"/>
      <c r="J64" s="1888"/>
      <c r="K64" s="1888"/>
      <c r="L64" s="1888"/>
      <c r="M64" s="1888"/>
      <c r="N64" s="1888"/>
      <c r="O64" s="1888"/>
      <c r="P64" s="1888"/>
      <c r="Q64" s="1888"/>
      <c r="R64" s="1888"/>
      <c r="S64" s="1888"/>
      <c r="T64" s="1888"/>
      <c r="U64" s="1888"/>
      <c r="V64" s="1888"/>
      <c r="W64" s="1888"/>
      <c r="X64" s="1888"/>
      <c r="Y64" s="1888"/>
      <c r="Z64" s="1888"/>
      <c r="AA64" s="1888"/>
      <c r="AB64" s="1888"/>
      <c r="AC64" s="1888"/>
      <c r="AD64" s="35" t="s">
        <v>49</v>
      </c>
      <c r="AF64" s="35" t="s">
        <v>250</v>
      </c>
    </row>
    <row r="65" spans="1:36" x14ac:dyDescent="0.25">
      <c r="A65" s="36"/>
      <c r="B65" s="36"/>
      <c r="C65" s="36"/>
      <c r="D65" s="36"/>
      <c r="E65" s="36"/>
      <c r="F65" s="1797" t="s">
        <v>49</v>
      </c>
      <c r="G65" s="1798"/>
      <c r="H65" s="1798"/>
      <c r="I65" s="1798"/>
      <c r="J65" s="1798"/>
      <c r="K65" s="1798"/>
      <c r="L65" s="1798"/>
      <c r="M65" s="1798"/>
      <c r="N65" s="1798"/>
      <c r="O65" s="1798"/>
      <c r="P65" s="1798"/>
      <c r="Q65" s="1798"/>
      <c r="R65" s="1798"/>
      <c r="S65" s="1798"/>
      <c r="T65" s="37"/>
      <c r="U65" s="1851" t="s">
        <v>249</v>
      </c>
      <c r="V65" s="1851"/>
      <c r="W65" s="1851"/>
      <c r="X65" s="1851"/>
      <c r="Y65" s="1851"/>
      <c r="Z65" s="1852"/>
      <c r="AA65" s="136"/>
      <c r="AB65" s="136"/>
      <c r="AC65" s="136"/>
      <c r="AD65" s="173"/>
      <c r="AF65" s="173"/>
    </row>
    <row r="66" spans="1:36" ht="39.950000000000003" customHeight="1" x14ac:dyDescent="0.25">
      <c r="A66" s="1801" t="s">
        <v>154</v>
      </c>
      <c r="B66" s="1802"/>
      <c r="C66" s="1802"/>
      <c r="D66" s="1802"/>
      <c r="E66" s="1803"/>
      <c r="F66" s="1804" t="s">
        <v>143</v>
      </c>
      <c r="G66" s="1754"/>
      <c r="H66" s="1754" t="s">
        <v>50</v>
      </c>
      <c r="I66" s="1754"/>
      <c r="J66" s="1754" t="s">
        <v>153</v>
      </c>
      <c r="K66" s="1754"/>
      <c r="L66" s="1754" t="s">
        <v>7</v>
      </c>
      <c r="M66" s="1754"/>
      <c r="N66" s="1754" t="s">
        <v>144</v>
      </c>
      <c r="O66" s="1754"/>
      <c r="P66" s="1754" t="s">
        <v>145</v>
      </c>
      <c r="Q66" s="1754"/>
      <c r="R66" s="1754" t="s">
        <v>8</v>
      </c>
      <c r="S66" s="1754"/>
      <c r="T66" s="40"/>
      <c r="U66" s="1755" t="s">
        <v>9</v>
      </c>
      <c r="V66" s="1755"/>
      <c r="W66" s="1755" t="s">
        <v>146</v>
      </c>
      <c r="X66" s="1755"/>
      <c r="Y66" s="1755" t="s">
        <v>148</v>
      </c>
      <c r="Z66" s="1755"/>
      <c r="AA66" s="137"/>
      <c r="AB66" s="137"/>
      <c r="AC66" s="137"/>
      <c r="AD66" s="173"/>
      <c r="AF66" s="173"/>
    </row>
    <row r="67" spans="1:36" ht="15.6" customHeight="1" x14ac:dyDescent="0.25">
      <c r="A67" s="1814" t="s">
        <v>118</v>
      </c>
      <c r="B67" s="1814"/>
      <c r="C67" s="1814"/>
      <c r="D67" s="1814"/>
      <c r="E67" s="1814"/>
      <c r="F67" s="41" t="s">
        <v>134</v>
      </c>
      <c r="G67" s="42" t="s">
        <v>147</v>
      </c>
      <c r="H67" s="41" t="s">
        <v>134</v>
      </c>
      <c r="I67" s="42" t="s">
        <v>147</v>
      </c>
      <c r="J67" s="41" t="s">
        <v>134</v>
      </c>
      <c r="K67" s="42" t="s">
        <v>147</v>
      </c>
      <c r="L67" s="41" t="s">
        <v>134</v>
      </c>
      <c r="M67" s="42" t="s">
        <v>147</v>
      </c>
      <c r="N67" s="41" t="s">
        <v>134</v>
      </c>
      <c r="O67" s="42" t="s">
        <v>147</v>
      </c>
      <c r="P67" s="41" t="s">
        <v>134</v>
      </c>
      <c r="Q67" s="42" t="s">
        <v>147</v>
      </c>
      <c r="R67" s="41" t="s">
        <v>134</v>
      </c>
      <c r="S67" s="42" t="s">
        <v>147</v>
      </c>
      <c r="T67" s="11"/>
      <c r="U67" s="138" t="s">
        <v>134</v>
      </c>
      <c r="V67" s="146" t="s">
        <v>147</v>
      </c>
      <c r="W67" s="138" t="s">
        <v>134</v>
      </c>
      <c r="X67" s="146" t="s">
        <v>147</v>
      </c>
      <c r="Y67" s="138" t="s">
        <v>134</v>
      </c>
      <c r="Z67" s="146" t="s">
        <v>147</v>
      </c>
      <c r="AA67" s="137"/>
      <c r="AB67" s="137"/>
      <c r="AC67" s="137"/>
      <c r="AD67" s="173"/>
      <c r="AF67" s="173"/>
    </row>
    <row r="68" spans="1:36" ht="15.75" x14ac:dyDescent="0.25">
      <c r="A68" s="1765" t="s">
        <v>119</v>
      </c>
      <c r="B68" s="1766"/>
      <c r="C68" s="1767"/>
      <c r="D68" s="1585" t="e">
        <f>COUNTIFS('refer admin discharge'!#REF!,"&gt;=0",'refer admin discharge'!#REF!,"&lt;=12")</f>
        <v>#REF!</v>
      </c>
      <c r="E68" s="1585"/>
      <c r="F68" s="43" t="e">
        <f>COUNTIFS('refer admin discharge'!#REF!,"&gt;=0",'refer admin discharge'!#REF!,"&lt;=12",'refer admin discharge'!#REF!,"White",'refer admin discharge'!#REF!,"Male")</f>
        <v>#REF!</v>
      </c>
      <c r="G68" s="44" t="e">
        <f>COUNTIFS('refer admin discharge'!#REF!,"&gt;=0",'refer admin discharge'!#REF!,"&lt;=12",'refer admin discharge'!#REF!,"White",'refer admin discharge'!#REF!,"Female")</f>
        <v>#REF!</v>
      </c>
      <c r="H68" s="43" t="e">
        <f>COUNTIFS('refer admin discharge'!#REF!,"&gt;=0",'refer admin discharge'!#REF!,"&lt;=12",'refer admin discharge'!#REF!,"African American /Black",'refer admin discharge'!#REF!,"Male")</f>
        <v>#REF!</v>
      </c>
      <c r="I68" s="44" t="e">
        <f>COUNTIFS('refer admin discharge'!#REF!,"&gt;=0",'refer admin discharge'!#REF!,"&lt;=12",'refer admin discharge'!#REF!,"African American /Black",'refer admin discharge'!#REF!,"Female")</f>
        <v>#REF!</v>
      </c>
      <c r="J68" s="43" t="e">
        <f>COUNTIFS('refer admin discharge'!#REF!,"&gt;=0",'refer admin discharge'!#REF!,"&lt;=12",'refer admin discharge'!#REF!,"Native Hawaiian/Pacific",'refer admin discharge'!#REF!,"Male")</f>
        <v>#REF!</v>
      </c>
      <c r="K68" s="44" t="e">
        <f>COUNTIFS('refer admin discharge'!#REF!,"&gt;=0",'refer admin discharge'!#REF!,"&lt;=12",'refer admin discharge'!#REF!,"Native Hawaiian/Pacific",'refer admin discharge'!#REF!,"Female")</f>
        <v>#REF!</v>
      </c>
      <c r="L68" s="43" t="e">
        <f>COUNTIFS('refer admin discharge'!#REF!,"&gt;=0",'refer admin discharge'!#REF!,"&lt;=12",'refer admin discharge'!#REF!,"Asian",'refer admin discharge'!#REF!,"Male")</f>
        <v>#REF!</v>
      </c>
      <c r="M68" s="44" t="e">
        <f>COUNTIFS('refer admin discharge'!#REF!,"&gt;=0",'refer admin discharge'!#REF!,"&lt;=12",'refer admin discharge'!#REF!,"Asian",'refer admin discharge'!#REF!,"Female")</f>
        <v>#REF!</v>
      </c>
      <c r="N68" s="43" t="e">
        <f>COUNTIFS('refer admin discharge'!#REF!,"&gt;=0",'refer admin discharge'!#REF!,"&lt;=12",'refer admin discharge'!#REF!,"American Indian Alaskan Native",'refer admin discharge'!#REF!,"Male")</f>
        <v>#REF!</v>
      </c>
      <c r="O68" s="44" t="e">
        <f>COUNTIFS('refer admin discharge'!#REF!,"&gt;=0",'refer admin discharge'!#REF!,"&lt;=12",'refer admin discharge'!#REF!,"American Indian Alaskan Native",'refer admin discharge'!#REF!,"Female")</f>
        <v>#REF!</v>
      </c>
      <c r="P68" s="43" t="e">
        <f>COUNTIFS('refer admin discharge'!#REF!,"&gt;=0",'refer admin discharge'!#REF!,"&lt;=12",'refer admin discharge'!#REF!,"More than one race reported",'refer admin discharge'!#REF!,"Male")</f>
        <v>#REF!</v>
      </c>
      <c r="Q68" s="44" t="e">
        <f>COUNTIFS('refer admin discharge'!#REF!,"&gt;=0",'refer admin discharge'!#REF!,"&lt;=12",'refer admin discharge'!#REF!,"More than one race reported",'refer admin discharge'!#REF!,"Female")</f>
        <v>#REF!</v>
      </c>
      <c r="R68" s="43" t="e">
        <f>COUNTIFS('refer admin discharge'!#REF!,"&gt;=0",'refer admin discharge'!#REF!,"&lt;=12",'refer admin discharge'!#REF!,"Unknown",'refer admin discharge'!#REF!,"Male")</f>
        <v>#REF!</v>
      </c>
      <c r="S68" s="44" t="e">
        <f>COUNTIFS('refer admin discharge'!#REF!,"&gt;=0",'refer admin discharge'!#REF!,"&lt;=12",'refer admin discharge'!#REF!,"Unknown",'refer admin discharge'!#REF!,"Female")</f>
        <v>#REF!</v>
      </c>
      <c r="T68" s="11"/>
      <c r="U68" s="167" t="e">
        <f>COUNTIFS('refer admin discharge'!#REF!,"&gt;=0",'refer admin discharge'!#REF!,"&lt;=12",'refer admin discharge'!#REF!,"Not Hispanic or Latino",'refer admin discharge'!#REF!,"Male")</f>
        <v>#REF!</v>
      </c>
      <c r="V68" s="169" t="e">
        <f>COUNTIFS('refer admin discharge'!#REF!,"&gt;=0",'refer admin discharge'!#REF!,"&lt;=12",'refer admin discharge'!#REF!,"Not Hispanic or Latino",'refer admin discharge'!#REF!,"Female")</f>
        <v>#REF!</v>
      </c>
      <c r="W68" s="167" t="e">
        <f>COUNTIFS('refer admin discharge'!#REF!,"&gt;=0",'refer admin discharge'!#REF!,"&lt;=12",'refer admin discharge'!#REF!,"Hispanic-Latino ",'refer admin discharge'!#REF!,"Male")</f>
        <v>#REF!</v>
      </c>
      <c r="X68" s="169" t="e">
        <f>COUNTIFS('refer admin discharge'!#REF!,"&gt;=0",'refer admin discharge'!#REF!,"&lt;=12",'refer admin discharge'!#REF!,"Hispanic-Latino ",'refer admin discharge'!#REF!,"Female")</f>
        <v>#REF!</v>
      </c>
      <c r="Y68" s="167" t="e">
        <f>COUNTIFS('refer admin discharge'!#REF!,"&gt;=0",'refer admin discharge'!#REF!,"&lt;=12",'refer admin discharge'!#REF!,"Unknown",'refer admin discharge'!#REF!,"Male")</f>
        <v>#REF!</v>
      </c>
      <c r="Z68" s="169" t="e">
        <f>COUNTIFS('refer admin discharge'!#REF!,"&gt;=0",'refer admin discharge'!#REF!,"&lt;=12",'refer admin discharge'!#REF!,"Unknown",'refer admin discharge'!#REF!,"Female")</f>
        <v>#REF!</v>
      </c>
      <c r="AA68" s="137"/>
      <c r="AB68" s="137"/>
      <c r="AC68" s="137"/>
      <c r="AD68" s="174" t="e">
        <f t="shared" ref="AD68:AD76" si="0">SUM(F68:S68)</f>
        <v>#REF!</v>
      </c>
      <c r="AF68" s="176" t="e">
        <f t="shared" ref="AF68:AF76" si="1">SUM(U68:Z68)</f>
        <v>#REF!</v>
      </c>
      <c r="AH68" s="182">
        <v>7</v>
      </c>
    </row>
    <row r="69" spans="1:36" ht="15.6" customHeight="1" x14ac:dyDescent="0.25">
      <c r="A69" s="1768" t="s">
        <v>120</v>
      </c>
      <c r="B69" s="1768"/>
      <c r="C69" s="1768"/>
      <c r="D69" s="1853" t="e">
        <f>COUNTIFS('refer admin discharge'!#REF!,"&gt;=13",'refer admin discharge'!#REF!,"&lt;=17")</f>
        <v>#REF!</v>
      </c>
      <c r="E69" s="1853"/>
      <c r="F69" s="45" t="e">
        <f>COUNTIFS('refer admin discharge'!#REF!,"&gt;=13",'refer admin discharge'!#REF!,"&lt;=17",'refer admin discharge'!#REF!,"White",'refer admin discharge'!#REF!,"Male")</f>
        <v>#REF!</v>
      </c>
      <c r="G69" s="46" t="e">
        <f>COUNTIFS('refer admin discharge'!#REF!,"&gt;=13",'refer admin discharge'!#REF!,"&lt;=17",'refer admin discharge'!#REF!,"White",'refer admin discharge'!#REF!,"Female")</f>
        <v>#REF!</v>
      </c>
      <c r="H69" s="45" t="e">
        <f>COUNTIFS('refer admin discharge'!#REF!,"&gt;=13",'refer admin discharge'!#REF!,"&lt;=17",'refer admin discharge'!#REF!,"African American /Black",'refer admin discharge'!#REF!,"Male")</f>
        <v>#REF!</v>
      </c>
      <c r="I69" s="46" t="e">
        <f>COUNTIFS('refer admin discharge'!#REF!,"&gt;=13",'refer admin discharge'!#REF!,"&lt;=17",'refer admin discharge'!#REF!,"African American /Black",'refer admin discharge'!#REF!,"Female")</f>
        <v>#REF!</v>
      </c>
      <c r="J69" s="45" t="e">
        <f>COUNTIFS('refer admin discharge'!#REF!,"&gt;=13",'refer admin discharge'!#REF!,"&lt;=17",'refer admin discharge'!#REF!,"Native Hawaiian/Pacific",'refer admin discharge'!#REF!,"Male")</f>
        <v>#REF!</v>
      </c>
      <c r="K69" s="46" t="e">
        <f>COUNTIFS('refer admin discharge'!#REF!,"&gt;=13",'refer admin discharge'!#REF!,"&lt;=17",'refer admin discharge'!#REF!,"Native Hawaiian/Pacific",'refer admin discharge'!#REF!,"Female")</f>
        <v>#REF!</v>
      </c>
      <c r="L69" s="45" t="e">
        <f>COUNTIFS('refer admin discharge'!#REF!,"&gt;=13",'refer admin discharge'!#REF!,"&lt;=17",'refer admin discharge'!#REF!,"Asian",'refer admin discharge'!#REF!,"Male")</f>
        <v>#REF!</v>
      </c>
      <c r="M69" s="46" t="e">
        <f>COUNTIFS('refer admin discharge'!#REF!,"&gt;=13",'refer admin discharge'!#REF!,"&lt;=17",'refer admin discharge'!#REF!,"Asian",'refer admin discharge'!#REF!,"Female")</f>
        <v>#REF!</v>
      </c>
      <c r="N69" s="45" t="e">
        <f>COUNTIFS('refer admin discharge'!#REF!,"&gt;=13",'refer admin discharge'!#REF!,"&lt;=17",'refer admin discharge'!#REF!,"American Indian Alaskan Native",'refer admin discharge'!#REF!,"Male")</f>
        <v>#REF!</v>
      </c>
      <c r="O69" s="46" t="e">
        <f>COUNTIFS('refer admin discharge'!#REF!,"&gt;=13",'refer admin discharge'!#REF!,"&lt;=17",'refer admin discharge'!#REF!,"American Indian Alaskan Native",'refer admin discharge'!#REF!,"Female")</f>
        <v>#REF!</v>
      </c>
      <c r="P69" s="45" t="e">
        <f>COUNTIFS('refer admin discharge'!#REF!,"&gt;=13",'refer admin discharge'!#REF!,"&lt;=17",'refer admin discharge'!#REF!,"More than one race reported",'refer admin discharge'!#REF!,"Male")</f>
        <v>#REF!</v>
      </c>
      <c r="Q69" s="46" t="e">
        <f>COUNTIFS('refer admin discharge'!#REF!,"&gt;=13",'refer admin discharge'!#REF!,"&lt;=17",'refer admin discharge'!#REF!,"More than one race reported",'refer admin discharge'!#REF!,"Female")</f>
        <v>#REF!</v>
      </c>
      <c r="R69" s="45" t="e">
        <f>COUNTIFS('refer admin discharge'!#REF!,"&gt;=13",'refer admin discharge'!#REF!,"&lt;=17",'refer admin discharge'!#REF!,"Unknown",'refer admin discharge'!#REF!,"Male")</f>
        <v>#REF!</v>
      </c>
      <c r="S69" s="46" t="e">
        <f>COUNTIFS('refer admin discharge'!#REF!,"&gt;=13",'refer admin discharge'!#REF!,"&lt;=17",'refer admin discharge'!#REF!,"Unknown",'refer admin discharge'!#REF!,"Female")</f>
        <v>#REF!</v>
      </c>
      <c r="T69" s="11"/>
      <c r="U69" s="169" t="e">
        <f>COUNTIFS('refer admin discharge'!#REF!,"&gt;=13",'refer admin discharge'!#REF!,"&lt;=17",'refer admin discharge'!#REF!,"Not Hispanic or Latino",'refer admin discharge'!#REF!,"Male")</f>
        <v>#REF!</v>
      </c>
      <c r="V69" s="165" t="e">
        <f>COUNTIFS('refer admin discharge'!#REF!,"&gt;=13",'refer admin discharge'!#REF!,"&lt;=17",'refer admin discharge'!#REF!,"Not Hispanic or Latino",'refer admin discharge'!#REF!,"Female")</f>
        <v>#REF!</v>
      </c>
      <c r="W69" s="169" t="e">
        <f>COUNTIFS('refer admin discharge'!#REF!,"&gt;=13",'refer admin discharge'!#REF!,"&lt;=17",'refer admin discharge'!#REF!,"Hispanic-Latino ",'refer admin discharge'!#REF!,"Male")</f>
        <v>#REF!</v>
      </c>
      <c r="X69" s="165" t="e">
        <f>COUNTIFS('refer admin discharge'!#REF!,"&gt;=13",'refer admin discharge'!#REF!,"&lt;=17",'refer admin discharge'!#REF!,"Hispanic-Latino ",'refer admin discharge'!#REF!,"Female")</f>
        <v>#REF!</v>
      </c>
      <c r="Y69" s="169" t="e">
        <f>COUNTIFS('refer admin discharge'!#REF!,"&gt;=13",'refer admin discharge'!#REF!,"&lt;=17",'refer admin discharge'!#REF!,"Unknown",'refer admin discharge'!#REF!,"Male")</f>
        <v>#REF!</v>
      </c>
      <c r="Z69" s="165" t="e">
        <f>COUNTIFS('refer admin discharge'!#REF!,"&gt;=13",'refer admin discharge'!#REF!,"&lt;=17",'refer admin discharge'!#REF!,"Unknown",'refer admin discharge'!#REF!,"Female")</f>
        <v>#REF!</v>
      </c>
      <c r="AA69" s="137"/>
      <c r="AB69" s="137"/>
      <c r="AC69" s="137"/>
      <c r="AD69" s="174" t="e">
        <f t="shared" si="0"/>
        <v>#REF!</v>
      </c>
      <c r="AF69" s="176" t="e">
        <f t="shared" si="1"/>
        <v>#REF!</v>
      </c>
      <c r="AH69" s="182">
        <v>7</v>
      </c>
    </row>
    <row r="70" spans="1:36" ht="15.75" x14ac:dyDescent="0.25">
      <c r="A70" s="1769" t="s">
        <v>121</v>
      </c>
      <c r="B70" s="1769"/>
      <c r="C70" s="1769"/>
      <c r="D70" s="1585" t="e">
        <f>COUNTIFS('refer admin discharge'!#REF!,"&gt;=18",'refer admin discharge'!#REF!,"&lt;=20")</f>
        <v>#REF!</v>
      </c>
      <c r="E70" s="1585"/>
      <c r="F70" s="43" t="e">
        <f>COUNTIFS('refer admin discharge'!#REF!,"&gt;=18",'refer admin discharge'!#REF!,"&lt;=20",'refer admin discharge'!#REF!,"White",'refer admin discharge'!#REF!,"Male")</f>
        <v>#REF!</v>
      </c>
      <c r="G70" s="44" t="e">
        <f>COUNTIFS('refer admin discharge'!#REF!,"&gt;=18",'refer admin discharge'!#REF!,"&lt;=20",'refer admin discharge'!#REF!,"White",'refer admin discharge'!#REF!,"Female")</f>
        <v>#REF!</v>
      </c>
      <c r="H70" s="43" t="e">
        <f>COUNTIFS('refer admin discharge'!#REF!,"&gt;=18",'refer admin discharge'!#REF!,"&lt;=20",'refer admin discharge'!#REF!,"African American /Black",'refer admin discharge'!#REF!,"Male")</f>
        <v>#REF!</v>
      </c>
      <c r="I70" s="44" t="e">
        <f>COUNTIFS('refer admin discharge'!#REF!,"&gt;=18",'refer admin discharge'!#REF!,"&lt;=20",'refer admin discharge'!#REF!,"African American /Black",'refer admin discharge'!#REF!,"Female")</f>
        <v>#REF!</v>
      </c>
      <c r="J70" s="43" t="e">
        <f>COUNTIFS('refer admin discharge'!#REF!,"&gt;=18",'refer admin discharge'!#REF!,"&lt;=20",'refer admin discharge'!#REF!,"Native Hawaiian/Pacific",'refer admin discharge'!#REF!,"Male")</f>
        <v>#REF!</v>
      </c>
      <c r="K70" s="44" t="e">
        <f>COUNTIFS('refer admin discharge'!#REF!,"&gt;=18",'refer admin discharge'!#REF!,"&lt;=20",'refer admin discharge'!#REF!,"Native Hawaiian/Pacific",'refer admin discharge'!#REF!,"Female")</f>
        <v>#REF!</v>
      </c>
      <c r="L70" s="43" t="e">
        <f>COUNTIFS('refer admin discharge'!#REF!,"&gt;=18",'refer admin discharge'!#REF!,"&lt;=20",'refer admin discharge'!#REF!,"Asian",'refer admin discharge'!#REF!,"Male")</f>
        <v>#REF!</v>
      </c>
      <c r="M70" s="44" t="e">
        <f>COUNTIFS('refer admin discharge'!#REF!,"&gt;=18",'refer admin discharge'!#REF!,"&lt;=20",'refer admin discharge'!#REF!,"Asian",'refer admin discharge'!#REF!,"Female")</f>
        <v>#REF!</v>
      </c>
      <c r="N70" s="43" t="e">
        <f>COUNTIFS('refer admin discharge'!#REF!,"&gt;=18",'refer admin discharge'!#REF!,"&lt;=20",'refer admin discharge'!#REF!,"American Indian Alaskan Native",'refer admin discharge'!#REF!,"Male")</f>
        <v>#REF!</v>
      </c>
      <c r="O70" s="44" t="e">
        <f>COUNTIFS('refer admin discharge'!#REF!,"&gt;=18",'refer admin discharge'!#REF!,"&lt;=20",'refer admin discharge'!#REF!,"American Indian Alaskan Native",'refer admin discharge'!#REF!,"Female")</f>
        <v>#REF!</v>
      </c>
      <c r="P70" s="43" t="e">
        <f>COUNTIFS('refer admin discharge'!#REF!,"&gt;=18",'refer admin discharge'!#REF!,"&lt;=20",'refer admin discharge'!#REF!,"More than one race reported",'refer admin discharge'!#REF!,"Male")</f>
        <v>#REF!</v>
      </c>
      <c r="Q70" s="44" t="e">
        <f>COUNTIFS('refer admin discharge'!#REF!,"&gt;=18",'refer admin discharge'!#REF!,"&lt;=20",'refer admin discharge'!#REF!,"More than one race reported",'refer admin discharge'!#REF!,"Female")</f>
        <v>#REF!</v>
      </c>
      <c r="R70" s="43" t="e">
        <f>COUNTIFS('refer admin discharge'!#REF!,"&gt;=18",'refer admin discharge'!#REF!,"&lt;=20",'refer admin discharge'!#REF!,"Unknown",'refer admin discharge'!#REF!,"Male")</f>
        <v>#REF!</v>
      </c>
      <c r="S70" s="44" t="e">
        <f>COUNTIFS('refer admin discharge'!#REF!,"&gt;=18",'refer admin discharge'!#REF!,"&lt;=20",'refer admin discharge'!#REF!,"Unknown",'refer admin discharge'!#REF!,"Female")</f>
        <v>#REF!</v>
      </c>
      <c r="T70" s="11"/>
      <c r="U70" s="167" t="e">
        <f>COUNTIFS('refer admin discharge'!#REF!,"&gt;=18",'refer admin discharge'!#REF!,"&lt;=20",'refer admin discharge'!#REF!,"Not Hispanic or Latino",'refer admin discharge'!#REF!,"Male")</f>
        <v>#REF!</v>
      </c>
      <c r="V70" s="169" t="e">
        <f>COUNTIFS('refer admin discharge'!#REF!,"&gt;=18",'refer admin discharge'!#REF!,"&lt;=20",'refer admin discharge'!#REF!,"Not Hispanic or Latino",'refer admin discharge'!#REF!,"Female")</f>
        <v>#REF!</v>
      </c>
      <c r="W70" s="167" t="e">
        <f>COUNTIFS('refer admin discharge'!#REF!,"&gt;=18",'refer admin discharge'!#REF!,"&lt;=20",'refer admin discharge'!#REF!,"Hispanic-Latino ",'refer admin discharge'!#REF!,"Male")</f>
        <v>#REF!</v>
      </c>
      <c r="X70" s="169" t="e">
        <f>COUNTIFS('refer admin discharge'!#REF!,"&gt;=18",'refer admin discharge'!#REF!,"&lt;=20",'refer admin discharge'!#REF!,"Hispanic-Latino ",'refer admin discharge'!#REF!,"Female")</f>
        <v>#REF!</v>
      </c>
      <c r="Y70" s="167" t="e">
        <f>COUNTIFS('refer admin discharge'!#REF!,"&gt;=18",'refer admin discharge'!#REF!,"&lt;=20",'refer admin discharge'!#REF!,"Unknown",'refer admin discharge'!#REF!,"Male")</f>
        <v>#REF!</v>
      </c>
      <c r="Z70" s="169" t="e">
        <f>COUNTIFS('refer admin discharge'!#REF!,"&gt;=18",'refer admin discharge'!#REF!,"&lt;=20",'refer admin discharge'!#REF!,"Unknown",'refer admin discharge'!#REF!,"Female")</f>
        <v>#REF!</v>
      </c>
      <c r="AA70" s="137"/>
      <c r="AB70" s="137"/>
      <c r="AC70" s="137"/>
      <c r="AD70" s="174" t="e">
        <f t="shared" si="0"/>
        <v>#REF!</v>
      </c>
      <c r="AF70" s="176" t="e">
        <f t="shared" si="1"/>
        <v>#REF!</v>
      </c>
      <c r="AH70" s="182">
        <v>7</v>
      </c>
    </row>
    <row r="71" spans="1:36" ht="15.75" x14ac:dyDescent="0.25">
      <c r="A71" s="1768" t="s">
        <v>10</v>
      </c>
      <c r="B71" s="1768"/>
      <c r="C71" s="1768"/>
      <c r="D71" s="1853" t="e">
        <f>COUNTIFS('refer admin discharge'!#REF!,"&gt;=21",'refer admin discharge'!#REF!,"&lt;=24")</f>
        <v>#REF!</v>
      </c>
      <c r="E71" s="1853"/>
      <c r="F71" s="45" t="e">
        <f>COUNTIFS('refer admin discharge'!#REF!,"&gt;=21",'refer admin discharge'!#REF!,"&lt;=24",'refer admin discharge'!#REF!,"White",'refer admin discharge'!#REF!,"Male")</f>
        <v>#REF!</v>
      </c>
      <c r="G71" s="46" t="e">
        <f>COUNTIFS('refer admin discharge'!#REF!,"&gt;=21",'refer admin discharge'!#REF!,"&lt;=24",'refer admin discharge'!#REF!,"White",'refer admin discharge'!#REF!,"Female")</f>
        <v>#REF!</v>
      </c>
      <c r="H71" s="45" t="e">
        <f>COUNTIFS('refer admin discharge'!#REF!,"&gt;=21",'refer admin discharge'!#REF!,"&lt;=24",'refer admin discharge'!#REF!,"African American /Black",'refer admin discharge'!#REF!,"Male")</f>
        <v>#REF!</v>
      </c>
      <c r="I71" s="46" t="e">
        <f>COUNTIFS('refer admin discharge'!#REF!,"&gt;=21",'refer admin discharge'!#REF!,"&lt;=24",'refer admin discharge'!#REF!,"African American /Black",'refer admin discharge'!#REF!,"Female")</f>
        <v>#REF!</v>
      </c>
      <c r="J71" s="45" t="e">
        <f>COUNTIFS('refer admin discharge'!#REF!,"&gt;=21",'refer admin discharge'!#REF!,"&lt;=24",'refer admin discharge'!#REF!,"Native Hawaiian/Pacific",'refer admin discharge'!#REF!,"Male")</f>
        <v>#REF!</v>
      </c>
      <c r="K71" s="46" t="e">
        <f>COUNTIFS('refer admin discharge'!#REF!,"&gt;=21",'refer admin discharge'!#REF!,"&lt;=24",'refer admin discharge'!#REF!,"Native Hawaiian/Pacific",'refer admin discharge'!#REF!,"Female")</f>
        <v>#REF!</v>
      </c>
      <c r="L71" s="45" t="e">
        <f>COUNTIFS('refer admin discharge'!#REF!,"&gt;=21",'refer admin discharge'!#REF!,"&lt;=24",'refer admin discharge'!#REF!,"Asian",'refer admin discharge'!#REF!,"Male")</f>
        <v>#REF!</v>
      </c>
      <c r="M71" s="46" t="e">
        <f>COUNTIFS('refer admin discharge'!#REF!,"&gt;=21",'refer admin discharge'!#REF!,"&lt;=24",'refer admin discharge'!#REF!,"Asian",'refer admin discharge'!#REF!,"Female")</f>
        <v>#REF!</v>
      </c>
      <c r="N71" s="45" t="e">
        <f>COUNTIFS('refer admin discharge'!#REF!,"&gt;=21",'refer admin discharge'!#REF!,"&lt;=24",'refer admin discharge'!#REF!,"American Indian Alaskan Native",'refer admin discharge'!#REF!,"Male")</f>
        <v>#REF!</v>
      </c>
      <c r="O71" s="46" t="e">
        <f>COUNTIFS('refer admin discharge'!#REF!,"&gt;=21",'refer admin discharge'!#REF!,"&lt;=24",'refer admin discharge'!#REF!,"American Indian Alaskan Native",'refer admin discharge'!#REF!,"Female")</f>
        <v>#REF!</v>
      </c>
      <c r="P71" s="45" t="e">
        <f>COUNTIFS('refer admin discharge'!#REF!,"&gt;=21",'refer admin discharge'!#REF!,"&lt;=24",'refer admin discharge'!#REF!,"More than one race reported",'refer admin discharge'!#REF!,"Male")</f>
        <v>#REF!</v>
      </c>
      <c r="Q71" s="46" t="e">
        <f>COUNTIFS('refer admin discharge'!#REF!,"&gt;=21",'refer admin discharge'!#REF!,"&lt;=24",'refer admin discharge'!#REF!,"More than one race reported",'refer admin discharge'!#REF!,"Female")</f>
        <v>#REF!</v>
      </c>
      <c r="R71" s="45" t="e">
        <f>COUNTIFS('refer admin discharge'!#REF!,"&gt;=21",'refer admin discharge'!#REF!,"&lt;=24",'refer admin discharge'!#REF!,"Unknown",'refer admin discharge'!#REF!,"Male")</f>
        <v>#REF!</v>
      </c>
      <c r="S71" s="46" t="e">
        <f>COUNTIFS('refer admin discharge'!#REF!,"&gt;=21",'refer admin discharge'!#REF!,"&lt;=24",'refer admin discharge'!#REF!,"Unknown",'refer admin discharge'!#REF!,"Female")</f>
        <v>#REF!</v>
      </c>
      <c r="T71" s="11"/>
      <c r="U71" s="169" t="e">
        <f>COUNTIFS('refer admin discharge'!#REF!,"&gt;=21",'refer admin discharge'!#REF!,"&lt;=24",'refer admin discharge'!#REF!,"Not Hispanic or Latino",'refer admin discharge'!#REF!,"Male")</f>
        <v>#REF!</v>
      </c>
      <c r="V71" s="165" t="e">
        <f>COUNTIFS('refer admin discharge'!#REF!,"&gt;=21",'refer admin discharge'!#REF!,"&lt;=24",'refer admin discharge'!#REF!,"Not Hispanic or Latino",'refer admin discharge'!#REF!,"Female")</f>
        <v>#REF!</v>
      </c>
      <c r="W71" s="169" t="e">
        <f>COUNTIFS('refer admin discharge'!#REF!,"&gt;=21",'refer admin discharge'!#REF!,"&lt;=24",'refer admin discharge'!#REF!,"Hispanic-Latino ",'refer admin discharge'!#REF!,"Male")</f>
        <v>#REF!</v>
      </c>
      <c r="X71" s="165" t="e">
        <f>COUNTIFS('refer admin discharge'!#REF!,"&gt;=21",'refer admin discharge'!#REF!,"&lt;=24",'refer admin discharge'!#REF!,"Hispanic-Latino ",'refer admin discharge'!#REF!,"Female")</f>
        <v>#REF!</v>
      </c>
      <c r="Y71" s="169" t="e">
        <f>COUNTIFS('refer admin discharge'!#REF!,"&gt;=21",'refer admin discharge'!#REF!,"&lt;=24",'refer admin discharge'!#REF!,"Unknown",'refer admin discharge'!#REF!,"Male")</f>
        <v>#REF!</v>
      </c>
      <c r="Z71" s="165" t="e">
        <f>COUNTIFS('refer admin discharge'!#REF!,"&gt;=21",'refer admin discharge'!#REF!,"&lt;=24",'refer admin discharge'!#REF!,"Unknown",'refer admin discharge'!#REF!,"Female")</f>
        <v>#REF!</v>
      </c>
      <c r="AA71" s="137"/>
      <c r="AB71" s="137"/>
      <c r="AC71" s="137"/>
      <c r="AD71" s="174" t="e">
        <f t="shared" si="0"/>
        <v>#REF!</v>
      </c>
      <c r="AF71" s="176" t="e">
        <f t="shared" si="1"/>
        <v>#REF!</v>
      </c>
      <c r="AH71" s="182">
        <v>7</v>
      </c>
    </row>
    <row r="72" spans="1:36" ht="15.75" x14ac:dyDescent="0.25">
      <c r="A72" s="1769" t="s">
        <v>11</v>
      </c>
      <c r="B72" s="1769"/>
      <c r="C72" s="1769"/>
      <c r="D72" s="1585" t="e">
        <f>COUNTIFS('refer admin discharge'!#REF!,"&gt;=25",'refer admin discharge'!#REF!,"&lt;=44")</f>
        <v>#REF!</v>
      </c>
      <c r="E72" s="1585"/>
      <c r="F72" s="43" t="e">
        <f>COUNTIFS('refer admin discharge'!#REF!,"&gt;=25",'refer admin discharge'!#REF!,"&lt;=44",'refer admin discharge'!#REF!,"White",'refer admin discharge'!#REF!,"Male")</f>
        <v>#REF!</v>
      </c>
      <c r="G72" s="44" t="e">
        <f>COUNTIFS('refer admin discharge'!#REF!,"&gt;=25",'refer admin discharge'!#REF!,"&lt;=44",'refer admin discharge'!#REF!,"White",'refer admin discharge'!#REF!,"Female")</f>
        <v>#REF!</v>
      </c>
      <c r="H72" s="43" t="e">
        <f>COUNTIFS('refer admin discharge'!#REF!,"&gt;=25",'refer admin discharge'!#REF!,"&lt;=44",'refer admin discharge'!#REF!,"African American /Black",'refer admin discharge'!#REF!,"Male")</f>
        <v>#REF!</v>
      </c>
      <c r="I72" s="44" t="e">
        <f>COUNTIFS('refer admin discharge'!#REF!,"&gt;=25",'refer admin discharge'!#REF!,"&lt;=44",'refer admin discharge'!#REF!,"African American /Black",'refer admin discharge'!#REF!,"Female")</f>
        <v>#REF!</v>
      </c>
      <c r="J72" s="43" t="e">
        <f>COUNTIFS('refer admin discharge'!#REF!,"&gt;=25",'refer admin discharge'!#REF!,"&lt;=44",'refer admin discharge'!#REF!,"Native Hawaiian/Pacific",'refer admin discharge'!#REF!,"Male")</f>
        <v>#REF!</v>
      </c>
      <c r="K72" s="44" t="e">
        <f>COUNTIFS('refer admin discharge'!#REF!,"&gt;=25",'refer admin discharge'!#REF!,"&lt;=44",'refer admin discharge'!#REF!,"Native Hawaiian/Pacific",'refer admin discharge'!#REF!,"Female")</f>
        <v>#REF!</v>
      </c>
      <c r="L72" s="43" t="e">
        <f>COUNTIFS('refer admin discharge'!#REF!,"&gt;=25",'refer admin discharge'!#REF!,"&lt;=44",'refer admin discharge'!#REF!,"Asian",'refer admin discharge'!#REF!,"Male")</f>
        <v>#REF!</v>
      </c>
      <c r="M72" s="44" t="e">
        <f>COUNTIFS('refer admin discharge'!#REF!,"&gt;=25",'refer admin discharge'!#REF!,"&lt;=44",'refer admin discharge'!#REF!,"Asian",'refer admin discharge'!#REF!,"Female")</f>
        <v>#REF!</v>
      </c>
      <c r="N72" s="43" t="e">
        <f>COUNTIFS('refer admin discharge'!#REF!,"&gt;=25",'refer admin discharge'!#REF!,"&lt;=44",'refer admin discharge'!#REF!,"American Indian Alaskan Native",'refer admin discharge'!#REF!,"Male")</f>
        <v>#REF!</v>
      </c>
      <c r="O72" s="44" t="e">
        <f>COUNTIFS('refer admin discharge'!#REF!,"&gt;=25",'refer admin discharge'!#REF!,"&lt;=44",'refer admin discharge'!#REF!,"American Indian Alaskan Native",'refer admin discharge'!#REF!,"Female")</f>
        <v>#REF!</v>
      </c>
      <c r="P72" s="43" t="e">
        <f>COUNTIFS('refer admin discharge'!#REF!,"&gt;=25",'refer admin discharge'!#REF!,"&lt;=44",'refer admin discharge'!#REF!,"More than one race reported",'refer admin discharge'!#REF!,"Male")</f>
        <v>#REF!</v>
      </c>
      <c r="Q72" s="44" t="e">
        <f>COUNTIFS('refer admin discharge'!#REF!,"&gt;=25",'refer admin discharge'!#REF!,"&lt;=44",'refer admin discharge'!#REF!,"More than one race reported",'refer admin discharge'!#REF!,"Female")</f>
        <v>#REF!</v>
      </c>
      <c r="R72" s="43" t="e">
        <f>COUNTIFS('refer admin discharge'!#REF!,"&gt;=25",'refer admin discharge'!#REF!,"&lt;=44",'refer admin discharge'!#REF!,"Unknown",'refer admin discharge'!#REF!,"Male")</f>
        <v>#REF!</v>
      </c>
      <c r="S72" s="44" t="e">
        <f>COUNTIFS('refer admin discharge'!#REF!,"&gt;=25",'refer admin discharge'!#REF!,"&lt;=44",'refer admin discharge'!#REF!,"Unknown",'refer admin discharge'!#REF!,"Female")</f>
        <v>#REF!</v>
      </c>
      <c r="T72" s="11"/>
      <c r="U72" s="167" t="e">
        <f>COUNTIFS('refer admin discharge'!#REF!,"&gt;=25",'refer admin discharge'!#REF!,"&lt;=44",'refer admin discharge'!#REF!,"Not Hispanic or Latino",'refer admin discharge'!#REF!,"Male")</f>
        <v>#REF!</v>
      </c>
      <c r="V72" s="169" t="e">
        <f>COUNTIFS('refer admin discharge'!#REF!,"&gt;=25",'refer admin discharge'!#REF!,"&lt;=44",'refer admin discharge'!#REF!,"Not Hispanic or Latino",'refer admin discharge'!#REF!,"Female")</f>
        <v>#REF!</v>
      </c>
      <c r="W72" s="167" t="e">
        <f>COUNTIFS('refer admin discharge'!#REF!,"&gt;=25",'refer admin discharge'!#REF!,"&lt;=44",'refer admin discharge'!#REF!,"Hispanic-Latino ",'refer admin discharge'!#REF!,"Male")</f>
        <v>#REF!</v>
      </c>
      <c r="X72" s="169" t="e">
        <f>COUNTIFS('refer admin discharge'!#REF!,"&gt;=25",'refer admin discharge'!#REF!,"&lt;=44",'refer admin discharge'!#REF!,"Hispanic-Latino ",'refer admin discharge'!#REF!,"Female")</f>
        <v>#REF!</v>
      </c>
      <c r="Y72" s="167" t="e">
        <f>COUNTIFS('refer admin discharge'!#REF!,"&gt;=25",'refer admin discharge'!#REF!,"&lt;=44",'refer admin discharge'!#REF!,"Unknown",'refer admin discharge'!#REF!,"Male")</f>
        <v>#REF!</v>
      </c>
      <c r="Z72" s="169" t="e">
        <f>COUNTIFS('refer admin discharge'!#REF!,"&gt;=25",'refer admin discharge'!#REF!,"&lt;=44",'refer admin discharge'!#REF!,"Unknown",'refer admin discharge'!#REF!,"Female")</f>
        <v>#REF!</v>
      </c>
      <c r="AA72" s="137"/>
      <c r="AB72" s="137"/>
      <c r="AC72" s="137"/>
      <c r="AD72" s="174" t="e">
        <f t="shared" si="0"/>
        <v>#REF!</v>
      </c>
      <c r="AF72" s="176" t="e">
        <f t="shared" si="1"/>
        <v>#REF!</v>
      </c>
      <c r="AH72" s="182">
        <v>28</v>
      </c>
    </row>
    <row r="73" spans="1:36" x14ac:dyDescent="0.25">
      <c r="A73" s="1768" t="s">
        <v>12</v>
      </c>
      <c r="B73" s="1768"/>
      <c r="C73" s="1768"/>
      <c r="D73" s="1853" t="e">
        <f>COUNTIFS('refer admin discharge'!#REF!,"&gt;=45",'refer admin discharge'!#REF!,"&lt;=64")</f>
        <v>#REF!</v>
      </c>
      <c r="E73" s="1853"/>
      <c r="F73" s="47" t="e">
        <f>COUNTIFS('refer admin discharge'!#REF!,"&gt;=45",'refer admin discharge'!#REF!,"&lt;=64",'refer admin discharge'!#REF!,"White",'refer admin discharge'!#REF!,"Male")</f>
        <v>#REF!</v>
      </c>
      <c r="G73" s="48" t="e">
        <f>COUNTIFS('refer admin discharge'!#REF!,"&gt;=45",'refer admin discharge'!#REF!,"&lt;=64",'refer admin discharge'!#REF!,"White",'refer admin discharge'!#REF!,"Female")</f>
        <v>#REF!</v>
      </c>
      <c r="H73" s="47" t="e">
        <f>COUNTIFS('refer admin discharge'!#REF!,"&gt;=45",'refer admin discharge'!#REF!,"&lt;=64",'refer admin discharge'!#REF!,"African American /Black",'refer admin discharge'!#REF!,"Male")</f>
        <v>#REF!</v>
      </c>
      <c r="I73" s="48" t="e">
        <f>COUNTIFS('refer admin discharge'!#REF!,"&gt;=45",'refer admin discharge'!#REF!,"&lt;=64",'refer admin discharge'!#REF!,"African American /Black",'refer admin discharge'!#REF!,"Female")</f>
        <v>#REF!</v>
      </c>
      <c r="J73" s="47" t="e">
        <f>COUNTIFS('refer admin discharge'!#REF!,"&gt;=45",'refer admin discharge'!#REF!,"&lt;=64",'refer admin discharge'!#REF!,"Native Hawaiian/Pacific",'refer admin discharge'!#REF!,"Male")</f>
        <v>#REF!</v>
      </c>
      <c r="K73" s="48" t="e">
        <f>COUNTIFS('refer admin discharge'!#REF!,"&gt;=45",'refer admin discharge'!#REF!,"&lt;=64",'refer admin discharge'!#REF!,"Native Hawaiian/Pacific",'refer admin discharge'!#REF!,"Female")</f>
        <v>#REF!</v>
      </c>
      <c r="L73" s="47" t="e">
        <f>COUNTIFS('refer admin discharge'!#REF!,"&gt;=45",'refer admin discharge'!#REF!,"&lt;=64",'refer admin discharge'!#REF!,"Asian",'refer admin discharge'!#REF!,"Male")</f>
        <v>#REF!</v>
      </c>
      <c r="M73" s="48" t="e">
        <f>COUNTIFS('refer admin discharge'!#REF!,"&gt;=45",'refer admin discharge'!#REF!,"&lt;=64",'refer admin discharge'!#REF!,"Asian",'refer admin discharge'!#REF!,"Female")</f>
        <v>#REF!</v>
      </c>
      <c r="N73" s="47" t="e">
        <f>COUNTIFS('refer admin discharge'!#REF!,"&gt;=45",'refer admin discharge'!#REF!,"&lt;=64",'refer admin discharge'!#REF!,"American Indian Alaskan Native",'refer admin discharge'!#REF!,"Male")</f>
        <v>#REF!</v>
      </c>
      <c r="O73" s="48" t="e">
        <f>COUNTIFS('refer admin discharge'!#REF!,"&gt;=45",'refer admin discharge'!#REF!,"&lt;=64",'refer admin discharge'!#REF!,"American Indian Alaskan Native",'refer admin discharge'!#REF!,"Female")</f>
        <v>#REF!</v>
      </c>
      <c r="P73" s="47" t="e">
        <f>COUNTIFS('refer admin discharge'!#REF!,"&gt;=45",'refer admin discharge'!#REF!,"&lt;=64",'refer admin discharge'!#REF!,"More than one race reported",'refer admin discharge'!#REF!,"Male")</f>
        <v>#REF!</v>
      </c>
      <c r="Q73" s="48" t="e">
        <f>COUNTIFS('refer admin discharge'!#REF!,"&gt;=45",'refer admin discharge'!#REF!,"&lt;=64",'refer admin discharge'!#REF!,"More than one race reported",'refer admin discharge'!#REF!,"Female")</f>
        <v>#REF!</v>
      </c>
      <c r="R73" s="47" t="e">
        <f>COUNTIFS('refer admin discharge'!#REF!,"&gt;=45",'refer admin discharge'!#REF!,"&lt;=64",'refer admin discharge'!#REF!,"Unknown",'refer admin discharge'!#REF!,"Male")</f>
        <v>#REF!</v>
      </c>
      <c r="S73" s="48" t="e">
        <f>COUNTIFS('refer admin discharge'!#REF!,"&gt;=45",'refer admin discharge'!#REF!,"&lt;=64",'refer admin discharge'!#REF!,"Unknown",'refer admin discharge'!#REF!,"Female")</f>
        <v>#REF!</v>
      </c>
      <c r="T73" s="11"/>
      <c r="U73" s="170" t="e">
        <f>COUNTIFS('refer admin discharge'!#REF!,"&gt;=45",'refer admin discharge'!#REF!,"&lt;=64",'refer admin discharge'!#REF!,"Not Hispanic or Latino",'refer admin discharge'!#REF!,"Male")</f>
        <v>#REF!</v>
      </c>
      <c r="V73" s="166" t="e">
        <f>COUNTIFS('refer admin discharge'!#REF!,"&gt;=45",'refer admin discharge'!#REF!,"&lt;=64",'refer admin discharge'!#REF!,"Not Hispanic or Latino",'refer admin discharge'!#REF!,"Female")</f>
        <v>#REF!</v>
      </c>
      <c r="W73" s="170" t="e">
        <f>COUNTIFS('refer admin discharge'!#REF!,"&gt;=45",'refer admin discharge'!#REF!,"&lt;=64",'refer admin discharge'!#REF!,"Hispanic-Latino ",'refer admin discharge'!#REF!,"Male")</f>
        <v>#REF!</v>
      </c>
      <c r="X73" s="166" t="e">
        <f>COUNTIFS('refer admin discharge'!#REF!,"&gt;=45",'refer admin discharge'!#REF!,"&lt;=64",'refer admin discharge'!#REF!,"Hispanic-Latino ",'refer admin discharge'!#REF!,"Female")</f>
        <v>#REF!</v>
      </c>
      <c r="Y73" s="170" t="e">
        <f>COUNTIFS('refer admin discharge'!#REF!,"&gt;=45",'refer admin discharge'!#REF!,"&lt;=64",'refer admin discharge'!#REF!,"Unknown",'refer admin discharge'!#REF!,"Male")</f>
        <v>#REF!</v>
      </c>
      <c r="Z73" s="166" t="e">
        <f>COUNTIFS('refer admin discharge'!#REF!,"&gt;=45",'refer admin discharge'!#REF!,"&lt;=64",'refer admin discharge'!#REF!,"Unknown",'refer admin discharge'!#REF!,"Female")</f>
        <v>#REF!</v>
      </c>
      <c r="AA73" s="137"/>
      <c r="AB73" s="137"/>
      <c r="AC73" s="137"/>
      <c r="AD73" s="174" t="e">
        <f t="shared" si="0"/>
        <v>#REF!</v>
      </c>
      <c r="AF73" s="176" t="e">
        <f t="shared" si="1"/>
        <v>#REF!</v>
      </c>
      <c r="AH73" s="182">
        <v>28</v>
      </c>
    </row>
    <row r="74" spans="1:36" x14ac:dyDescent="0.25">
      <c r="A74" s="1769" t="s">
        <v>122</v>
      </c>
      <c r="B74" s="1769"/>
      <c r="C74" s="1769"/>
      <c r="D74" s="1585" t="e">
        <f>COUNTIFS('refer admin discharge'!#REF!,"&gt;=65",'refer admin discharge'!#REF!,"&lt;=74")</f>
        <v>#REF!</v>
      </c>
      <c r="E74" s="1585"/>
      <c r="F74" s="49" t="e">
        <f>COUNTIFS('refer admin discharge'!#REF!,"&gt;=65",'refer admin discharge'!#REF!,"&lt;=74",'refer admin discharge'!#REF!,"White",'refer admin discharge'!#REF!,"Male")</f>
        <v>#REF!</v>
      </c>
      <c r="G74" s="50" t="e">
        <f>COUNTIFS('refer admin discharge'!#REF!,"&gt;=65",'refer admin discharge'!#REF!,"&lt;=74",'refer admin discharge'!#REF!,"White",'refer admin discharge'!#REF!,"Female")</f>
        <v>#REF!</v>
      </c>
      <c r="H74" s="49" t="e">
        <f>COUNTIFS('refer admin discharge'!#REF!,"&gt;=65",'refer admin discharge'!#REF!,"&lt;=74",'refer admin discharge'!#REF!,"African American /Black",'refer admin discharge'!#REF!,"Male")</f>
        <v>#REF!</v>
      </c>
      <c r="I74" s="50" t="e">
        <f>COUNTIFS('refer admin discharge'!#REF!,"&gt;=65",'refer admin discharge'!#REF!,"&lt;=74",'refer admin discharge'!#REF!,"African American /Black",'refer admin discharge'!#REF!,"Female")</f>
        <v>#REF!</v>
      </c>
      <c r="J74" s="49" t="e">
        <f>COUNTIFS('refer admin discharge'!#REF!,"&gt;=65",'refer admin discharge'!#REF!,"&lt;=74",'refer admin discharge'!#REF!,"Native Hawaiian/Pacific",'refer admin discharge'!#REF!,"Male")</f>
        <v>#REF!</v>
      </c>
      <c r="K74" s="50" t="e">
        <f>COUNTIFS('refer admin discharge'!#REF!,"&gt;=65",'refer admin discharge'!#REF!,"&lt;=74",'refer admin discharge'!#REF!,"Native Hawaiian/Pacific",'refer admin discharge'!#REF!,"Female")</f>
        <v>#REF!</v>
      </c>
      <c r="L74" s="49" t="e">
        <f>COUNTIFS('refer admin discharge'!#REF!,"&gt;=65",'refer admin discharge'!#REF!,"&lt;=74",'refer admin discharge'!#REF!,"Asian",'refer admin discharge'!#REF!,"Male")</f>
        <v>#REF!</v>
      </c>
      <c r="M74" s="50" t="e">
        <f>COUNTIFS('refer admin discharge'!#REF!,"&gt;=65",'refer admin discharge'!#REF!,"&lt;=74",'refer admin discharge'!#REF!,"Asian",'refer admin discharge'!#REF!,"Female")</f>
        <v>#REF!</v>
      </c>
      <c r="N74" s="49" t="e">
        <f>COUNTIFS('refer admin discharge'!#REF!,"&gt;=65",'refer admin discharge'!#REF!,"&lt;=74",'refer admin discharge'!#REF!,"American Indian Alaskan Native",'refer admin discharge'!#REF!,"Male")</f>
        <v>#REF!</v>
      </c>
      <c r="O74" s="50" t="e">
        <f>COUNTIFS('refer admin discharge'!#REF!,"&gt;=65",'refer admin discharge'!#REF!,"&lt;=74",'refer admin discharge'!#REF!,"American Indian Alaskan Native",'refer admin discharge'!#REF!,"Female")</f>
        <v>#REF!</v>
      </c>
      <c r="P74" s="49" t="e">
        <f>COUNTIFS('refer admin discharge'!#REF!,"&gt;=65",'refer admin discharge'!#REF!,"&lt;=74",'refer admin discharge'!#REF!,"More than one race reported",'refer admin discharge'!#REF!,"Male")</f>
        <v>#REF!</v>
      </c>
      <c r="Q74" s="50" t="e">
        <f>COUNTIFS('refer admin discharge'!#REF!,"&gt;=65",'refer admin discharge'!#REF!,"&lt;=74",'refer admin discharge'!#REF!,"More than one race reported",'refer admin discharge'!#REF!,"Female")</f>
        <v>#REF!</v>
      </c>
      <c r="R74" s="49" t="e">
        <f>COUNTIFS('refer admin discharge'!#REF!,"&gt;=65",'refer admin discharge'!#REF!,"&lt;=74",'refer admin discharge'!#REF!,"Unknown",'refer admin discharge'!#REF!,"Male")</f>
        <v>#REF!</v>
      </c>
      <c r="S74" s="50" t="e">
        <f>COUNTIFS('refer admin discharge'!#REF!,"&gt;=65",'refer admin discharge'!#REF!,"&lt;=74",'refer admin discharge'!#REF!,"Unknown",'refer admin discharge'!#REF!,"Female")</f>
        <v>#REF!</v>
      </c>
      <c r="T74" s="11"/>
      <c r="U74" s="168" t="e">
        <f>COUNTIFS('refer admin discharge'!#REF!,"&gt;=65",'refer admin discharge'!#REF!,"&lt;=74",'refer admin discharge'!#REF!,"Not Hispanic or Latino",'refer admin discharge'!#REF!,"Male")</f>
        <v>#REF!</v>
      </c>
      <c r="V74" s="170" t="e">
        <f>COUNTIFS('refer admin discharge'!#REF!,"&gt;=65",'refer admin discharge'!#REF!,"&lt;=74",'refer admin discharge'!#REF!,"Not Hispanic or Latino",'refer admin discharge'!#REF!,"Female")</f>
        <v>#REF!</v>
      </c>
      <c r="W74" s="168" t="e">
        <f>COUNTIFS('refer admin discharge'!#REF!,"&gt;=65",'refer admin discharge'!#REF!,"&lt;=74",'refer admin discharge'!#REF!,"Hispanic-Latino ",'refer admin discharge'!#REF!,"Male")</f>
        <v>#REF!</v>
      </c>
      <c r="X74" s="170" t="e">
        <f>COUNTIFS('refer admin discharge'!#REF!,"&gt;=65",'refer admin discharge'!#REF!,"&lt;=74",'refer admin discharge'!#REF!,"Hispanic-Latino ",'refer admin discharge'!#REF!,"Female")</f>
        <v>#REF!</v>
      </c>
      <c r="Y74" s="168" t="e">
        <f>COUNTIFS('refer admin discharge'!#REF!,"&gt;=65",'refer admin discharge'!#REF!,"&lt;=74",'refer admin discharge'!#REF!,"Unknown",'refer admin discharge'!#REF!,"Male")</f>
        <v>#REF!</v>
      </c>
      <c r="Z74" s="170" t="e">
        <f>COUNTIFS('refer admin discharge'!#REF!,"&gt;=65",'refer admin discharge'!#REF!,"&lt;=74",'refer admin discharge'!#REF!,"Unknown",'refer admin discharge'!#REF!,"Female")</f>
        <v>#REF!</v>
      </c>
      <c r="AA74" s="137"/>
      <c r="AB74" s="137"/>
      <c r="AC74" s="137"/>
      <c r="AD74" s="174" t="e">
        <f t="shared" si="0"/>
        <v>#REF!</v>
      </c>
      <c r="AF74" s="176" t="e">
        <f t="shared" si="1"/>
        <v>#REF!</v>
      </c>
      <c r="AH74" s="182">
        <v>14</v>
      </c>
    </row>
    <row r="75" spans="1:36" x14ac:dyDescent="0.25">
      <c r="A75" s="1770" t="s">
        <v>123</v>
      </c>
      <c r="B75" s="1771"/>
      <c r="C75" s="1772"/>
      <c r="D75" s="1853" t="e">
        <f>COUNTIFS('refer admin discharge'!#REF!,"&gt;=75",'refer admin discharge'!#REF!,"&lt;=150")</f>
        <v>#REF!</v>
      </c>
      <c r="E75" s="1853"/>
      <c r="F75" s="47" t="e">
        <f>COUNTIFS('refer admin discharge'!#REF!,"&gt;=75",'refer admin discharge'!#REF!,"&lt;=150",'refer admin discharge'!#REF!,"White",'refer admin discharge'!#REF!,"Male")</f>
        <v>#REF!</v>
      </c>
      <c r="G75" s="48" t="e">
        <f>COUNTIFS('refer admin discharge'!#REF!,"&gt;=75",'refer admin discharge'!#REF!,"&lt;=150",'refer admin discharge'!#REF!,"White",'refer admin discharge'!#REF!,"Female")</f>
        <v>#REF!</v>
      </c>
      <c r="H75" s="47" t="e">
        <f>COUNTIFS('refer admin discharge'!#REF!,"&gt;=75",'refer admin discharge'!#REF!,"&lt;=150",'refer admin discharge'!#REF!,"African American /Black",'refer admin discharge'!#REF!,"Male")</f>
        <v>#REF!</v>
      </c>
      <c r="I75" s="48" t="e">
        <f>COUNTIFS('refer admin discharge'!#REF!,"&gt;=75",'refer admin discharge'!#REF!,"&lt;=150",'refer admin discharge'!#REF!,"African American /Black",'refer admin discharge'!#REF!,"Female")</f>
        <v>#REF!</v>
      </c>
      <c r="J75" s="47" t="e">
        <f>COUNTIFS('refer admin discharge'!#REF!,"&gt;=75",'refer admin discharge'!#REF!,"&lt;=150",'refer admin discharge'!#REF!,"Native Hawaiian/Pacific",'refer admin discharge'!#REF!,"Male")</f>
        <v>#REF!</v>
      </c>
      <c r="K75" s="48" t="e">
        <f>COUNTIFS('refer admin discharge'!#REF!,"&gt;=75",'refer admin discharge'!#REF!,"&lt;=150",'refer admin discharge'!#REF!,"Native Hawaiian/Pacific",'refer admin discharge'!#REF!,"Female")</f>
        <v>#REF!</v>
      </c>
      <c r="L75" s="47" t="e">
        <f>COUNTIFS('refer admin discharge'!#REF!,"&gt;=75",'refer admin discharge'!#REF!,"&lt;=150",'refer admin discharge'!#REF!,"Asian",'refer admin discharge'!#REF!,"Male")</f>
        <v>#REF!</v>
      </c>
      <c r="M75" s="48" t="e">
        <f>COUNTIFS('refer admin discharge'!#REF!,"&gt;=75",'refer admin discharge'!#REF!,"&lt;=150",'refer admin discharge'!#REF!,"Asian",'refer admin discharge'!#REF!,"Female")</f>
        <v>#REF!</v>
      </c>
      <c r="N75" s="47" t="e">
        <f>COUNTIFS('refer admin discharge'!#REF!,"&gt;=75",'refer admin discharge'!#REF!,"&lt;=150",'refer admin discharge'!#REF!,"American Indian Alaskan Native",'refer admin discharge'!#REF!,"Male")</f>
        <v>#REF!</v>
      </c>
      <c r="O75" s="48" t="e">
        <f>COUNTIFS('refer admin discharge'!#REF!,"&gt;=75",'refer admin discharge'!#REF!,"&lt;=150",'refer admin discharge'!#REF!,"American Indian Alaskan Native",'refer admin discharge'!#REF!,"Female")</f>
        <v>#REF!</v>
      </c>
      <c r="P75" s="47" t="e">
        <f>COUNTIFS('refer admin discharge'!#REF!,"&gt;=75",'refer admin discharge'!#REF!,"&lt;=150",'refer admin discharge'!#REF!,"More than one race reported",'refer admin discharge'!#REF!,"Male")</f>
        <v>#REF!</v>
      </c>
      <c r="Q75" s="48" t="e">
        <f>COUNTIFS('refer admin discharge'!#REF!,"&gt;=75",'refer admin discharge'!#REF!,"&lt;=150",'refer admin discharge'!#REF!,"More than one race reported",'refer admin discharge'!#REF!,"Female")</f>
        <v>#REF!</v>
      </c>
      <c r="R75" s="47" t="e">
        <f>COUNTIFS('refer admin discharge'!#REF!,"&gt;=75",'refer admin discharge'!#REF!,"&lt;=150",'refer admin discharge'!#REF!,"Unknown",'refer admin discharge'!#REF!,"Male")</f>
        <v>#REF!</v>
      </c>
      <c r="S75" s="48" t="e">
        <f>COUNTIFS('refer admin discharge'!#REF!,"&gt;=75",'refer admin discharge'!#REF!,"&lt;=150",'refer admin discharge'!#REF!,"Unknown",'refer admin discharge'!#REF!,"Female")</f>
        <v>#REF!</v>
      </c>
      <c r="T75" s="11"/>
      <c r="U75" s="170" t="e">
        <f>COUNTIFS('refer admin discharge'!#REF!,"&gt;=75",'refer admin discharge'!#REF!,"&lt;=150",'refer admin discharge'!#REF!,"Not Hispanic or Latino",'refer admin discharge'!#REF!,"Male")</f>
        <v>#REF!</v>
      </c>
      <c r="V75" s="166" t="e">
        <f>COUNTIFS('refer admin discharge'!#REF!,"&gt;=75",'refer admin discharge'!#REF!,"&lt;=150",'refer admin discharge'!#REF!,"Not Hispanic or Latino",'refer admin discharge'!#REF!,"Female")</f>
        <v>#REF!</v>
      </c>
      <c r="W75" s="170" t="e">
        <f>COUNTIFS('refer admin discharge'!#REF!,"&gt;=75",'refer admin discharge'!#REF!,"&lt;=150",'refer admin discharge'!#REF!,"Hispanic-Latino ",'refer admin discharge'!#REF!,"Male")</f>
        <v>#REF!</v>
      </c>
      <c r="X75" s="166" t="e">
        <f>COUNTIFS('refer admin discharge'!#REF!,"&gt;=75",'refer admin discharge'!#REF!,"&lt;=150",'refer admin discharge'!#REF!,"Hispanic-Latino ",'refer admin discharge'!#REF!,"Female")</f>
        <v>#REF!</v>
      </c>
      <c r="Y75" s="170" t="e">
        <f>COUNTIFS('refer admin discharge'!#REF!,"&gt;=75",'refer admin discharge'!#REF!,"&lt;=150",'refer admin discharge'!#REF!,"Unknown",'refer admin discharge'!#REF!,"Male")</f>
        <v>#REF!</v>
      </c>
      <c r="Z75" s="166" t="e">
        <f>COUNTIFS('refer admin discharge'!#REF!,"&gt;=75",'refer admin discharge'!#REF!,"&lt;=150",'refer admin discharge'!#REF!,"Unknown",'refer admin discharge'!#REF!,"Female")</f>
        <v>#REF!</v>
      </c>
      <c r="AA75" s="137"/>
      <c r="AB75" s="137"/>
      <c r="AC75" s="137"/>
      <c r="AD75" s="174" t="e">
        <f t="shared" si="0"/>
        <v>#REF!</v>
      </c>
      <c r="AF75" s="176" t="e">
        <f t="shared" si="1"/>
        <v>#REF!</v>
      </c>
      <c r="AH75" s="182">
        <v>14</v>
      </c>
    </row>
    <row r="76" spans="1:36" x14ac:dyDescent="0.25">
      <c r="A76" s="1787" t="s">
        <v>124</v>
      </c>
      <c r="B76" s="1787"/>
      <c r="C76" s="1787"/>
      <c r="D76" s="1788" t="e">
        <f>SUM(D68:D75)</f>
        <v>#REF!</v>
      </c>
      <c r="E76" s="1788"/>
      <c r="F76" s="51" t="e">
        <f t="shared" ref="F76:S76" si="2">SUM(F68:F75)</f>
        <v>#REF!</v>
      </c>
      <c r="G76" s="52" t="e">
        <f t="shared" si="2"/>
        <v>#REF!</v>
      </c>
      <c r="H76" s="51" t="e">
        <f t="shared" si="2"/>
        <v>#REF!</v>
      </c>
      <c r="I76" s="52" t="e">
        <f t="shared" si="2"/>
        <v>#REF!</v>
      </c>
      <c r="J76" s="51" t="e">
        <f t="shared" si="2"/>
        <v>#REF!</v>
      </c>
      <c r="K76" s="52" t="e">
        <f t="shared" si="2"/>
        <v>#REF!</v>
      </c>
      <c r="L76" s="51" t="e">
        <f t="shared" si="2"/>
        <v>#REF!</v>
      </c>
      <c r="M76" s="52" t="e">
        <f t="shared" si="2"/>
        <v>#REF!</v>
      </c>
      <c r="N76" s="51" t="e">
        <f t="shared" si="2"/>
        <v>#REF!</v>
      </c>
      <c r="O76" s="52" t="e">
        <f t="shared" si="2"/>
        <v>#REF!</v>
      </c>
      <c r="P76" s="51" t="e">
        <f t="shared" si="2"/>
        <v>#REF!</v>
      </c>
      <c r="Q76" s="52" t="e">
        <f t="shared" si="2"/>
        <v>#REF!</v>
      </c>
      <c r="R76" s="51" t="e">
        <f t="shared" si="2"/>
        <v>#REF!</v>
      </c>
      <c r="S76" s="52" t="e">
        <f t="shared" si="2"/>
        <v>#REF!</v>
      </c>
      <c r="T76" s="53"/>
      <c r="U76" s="171" t="e">
        <f t="shared" ref="U76:Z76" si="3">SUM(U68:U75)</f>
        <v>#REF!</v>
      </c>
      <c r="V76" s="172" t="e">
        <f t="shared" si="3"/>
        <v>#REF!</v>
      </c>
      <c r="W76" s="171" t="e">
        <f t="shared" si="3"/>
        <v>#REF!</v>
      </c>
      <c r="X76" s="172" t="e">
        <f>SUM(X68:X75)</f>
        <v>#REF!</v>
      </c>
      <c r="Y76" s="171" t="e">
        <f t="shared" si="3"/>
        <v>#REF!</v>
      </c>
      <c r="Z76" s="172" t="e">
        <f t="shared" si="3"/>
        <v>#REF!</v>
      </c>
      <c r="AA76" s="137"/>
      <c r="AB76" s="137"/>
      <c r="AC76" s="137"/>
      <c r="AD76" s="35" t="e">
        <f t="shared" si="0"/>
        <v>#REF!</v>
      </c>
      <c r="AF76" s="175" t="e">
        <f t="shared" si="1"/>
        <v>#REF!</v>
      </c>
      <c r="AH76" s="182"/>
    </row>
    <row r="77" spans="1:36" x14ac:dyDescent="0.25">
      <c r="A77" s="1861" t="s">
        <v>367</v>
      </c>
      <c r="B77" s="1861"/>
      <c r="C77" s="1861"/>
      <c r="D77" s="1861"/>
      <c r="E77" s="1861"/>
      <c r="F77" s="1861"/>
      <c r="G77" s="1861"/>
      <c r="H77" s="1861"/>
      <c r="I77" s="1861"/>
      <c r="J77" s="1861"/>
      <c r="K77" s="1861"/>
      <c r="L77" s="1861"/>
      <c r="M77" s="1861"/>
      <c r="N77" s="1861"/>
      <c r="O77" s="1861"/>
      <c r="P77" s="1861"/>
      <c r="Q77" s="1861"/>
      <c r="R77" s="1861"/>
      <c r="S77" s="1862"/>
      <c r="T77" s="53"/>
      <c r="U77" s="178"/>
      <c r="V77" s="178"/>
      <c r="W77" s="178"/>
      <c r="X77" s="178"/>
      <c r="Y77" s="178"/>
      <c r="Z77" s="178"/>
      <c r="AA77" s="2"/>
      <c r="AB77" s="2"/>
      <c r="AC77" s="2"/>
      <c r="AD77" s="39"/>
      <c r="AE77" s="2"/>
      <c r="AF77" s="39"/>
      <c r="AH77" s="182"/>
    </row>
    <row r="78" spans="1:36" ht="39.950000000000003" customHeight="1" x14ac:dyDescent="0.25">
      <c r="A78" s="1762" t="s">
        <v>154</v>
      </c>
      <c r="B78" s="1762"/>
      <c r="C78" s="1762"/>
      <c r="D78" s="1762"/>
      <c r="E78" s="1763"/>
      <c r="F78" s="1754" t="s">
        <v>143</v>
      </c>
      <c r="G78" s="1754"/>
      <c r="H78" s="1754" t="s">
        <v>50</v>
      </c>
      <c r="I78" s="1754"/>
      <c r="J78" s="1754" t="s">
        <v>153</v>
      </c>
      <c r="K78" s="1754"/>
      <c r="L78" s="1754" t="s">
        <v>7</v>
      </c>
      <c r="M78" s="1754"/>
      <c r="N78" s="1754" t="s">
        <v>144</v>
      </c>
      <c r="O78" s="1754"/>
      <c r="P78" s="1754" t="s">
        <v>145</v>
      </c>
      <c r="Q78" s="1754"/>
      <c r="R78" s="1754" t="s">
        <v>8</v>
      </c>
      <c r="S78" s="1754"/>
      <c r="T78" s="40"/>
      <c r="U78" s="1754" t="s">
        <v>9</v>
      </c>
      <c r="V78" s="1754"/>
      <c r="W78" s="1754" t="s">
        <v>146</v>
      </c>
      <c r="X78" s="1754"/>
      <c r="Y78" s="1754" t="s">
        <v>148</v>
      </c>
      <c r="Z78" s="1754"/>
      <c r="AA78" s="137"/>
      <c r="AB78" s="137"/>
      <c r="AC78" s="137"/>
      <c r="AD78" s="35" t="s">
        <v>49</v>
      </c>
      <c r="AF78" s="35" t="s">
        <v>250</v>
      </c>
      <c r="AH78" s="182">
        <f>SUM(AH67:AH76)</f>
        <v>112</v>
      </c>
    </row>
    <row r="79" spans="1:36" ht="15" customHeight="1" x14ac:dyDescent="0.25">
      <c r="A79" s="121"/>
      <c r="B79" s="121"/>
      <c r="C79" s="121"/>
      <c r="D79" s="121"/>
      <c r="E79" s="122"/>
      <c r="F79" s="41" t="s">
        <v>134</v>
      </c>
      <c r="G79" s="42" t="s">
        <v>147</v>
      </c>
      <c r="H79" s="41" t="s">
        <v>134</v>
      </c>
      <c r="I79" s="42" t="s">
        <v>147</v>
      </c>
      <c r="J79" s="41" t="s">
        <v>134</v>
      </c>
      <c r="K79" s="42" t="s">
        <v>147</v>
      </c>
      <c r="L79" s="41" t="s">
        <v>134</v>
      </c>
      <c r="M79" s="42" t="s">
        <v>147</v>
      </c>
      <c r="N79" s="41" t="s">
        <v>134</v>
      </c>
      <c r="O79" s="42" t="s">
        <v>147</v>
      </c>
      <c r="P79" s="41" t="s">
        <v>134</v>
      </c>
      <c r="Q79" s="42" t="s">
        <v>147</v>
      </c>
      <c r="R79" s="41" t="s">
        <v>134</v>
      </c>
      <c r="S79" s="42" t="s">
        <v>147</v>
      </c>
      <c r="T79" s="11"/>
      <c r="U79" s="41" t="s">
        <v>134</v>
      </c>
      <c r="V79" s="42" t="s">
        <v>147</v>
      </c>
      <c r="W79" s="41" t="s">
        <v>134</v>
      </c>
      <c r="X79" s="42" t="s">
        <v>147</v>
      </c>
      <c r="Y79" s="41" t="s">
        <v>134</v>
      </c>
      <c r="Z79" s="42" t="s">
        <v>147</v>
      </c>
      <c r="AA79" s="137"/>
      <c r="AB79" s="137"/>
      <c r="AC79" s="137"/>
      <c r="AD79" s="35"/>
      <c r="AF79" s="35"/>
    </row>
    <row r="80" spans="1:36" ht="30" customHeight="1" x14ac:dyDescent="0.25">
      <c r="A80" s="1855" t="s">
        <v>353</v>
      </c>
      <c r="B80" s="1855"/>
      <c r="C80" s="1855"/>
      <c r="D80" s="1793" t="s">
        <v>299</v>
      </c>
      <c r="E80" s="1793"/>
      <c r="F80" s="55"/>
      <c r="G80" s="56" t="e">
        <f>COUNTIFS('refer admin discharge'!#REF!,"White",'refer admin discharge'!#REF!,"Female",'refer admin discharge'!#REF!,"Yes")</f>
        <v>#REF!</v>
      </c>
      <c r="H80" s="57"/>
      <c r="I80" s="56" t="e">
        <f>COUNTIFS('refer admin discharge'!#REF!,"African American /Black",'refer admin discharge'!#REF!,"Female",'refer admin discharge'!#REF!,"Yes")</f>
        <v>#REF!</v>
      </c>
      <c r="J80" s="57"/>
      <c r="K80" s="56" t="e">
        <f>COUNTIFS('refer admin discharge'!#REF!,"Native Hawaiian/Pacific",'refer admin discharge'!#REF!,"Female",'refer admin discharge'!#REF!,"Yes")</f>
        <v>#REF!</v>
      </c>
      <c r="L80" s="57"/>
      <c r="M80" s="56" t="e">
        <f>COUNTIFS('refer admin discharge'!#REF!,"Asian",'refer admin discharge'!#REF!,"Female",'refer admin discharge'!#REF!,"Yes")</f>
        <v>#REF!</v>
      </c>
      <c r="N80" s="57"/>
      <c r="O80" s="56" t="e">
        <f>COUNTIFS('refer admin discharge'!#REF!,"American Indian Alaskan Native",'refer admin discharge'!#REF!,"Female",'refer admin discharge'!#REF!,"Yes")</f>
        <v>#REF!</v>
      </c>
      <c r="P80" s="57"/>
      <c r="Q80" s="56" t="e">
        <f>COUNTIFS('refer admin discharge'!#REF!,"More than one race reported",'refer admin discharge'!#REF!,"Female",'refer admin discharge'!#REF!,"Yes")</f>
        <v>#REF!</v>
      </c>
      <c r="R80" s="57"/>
      <c r="S80" s="56" t="e">
        <f>COUNTIFS('refer admin discharge'!#REF!,"Unknown",'refer admin discharge'!#REF!,"Female",'refer admin discharge'!#REF!,"Yes")</f>
        <v>#REF!</v>
      </c>
      <c r="T80" s="57"/>
      <c r="U80" s="57"/>
      <c r="V80" s="56" t="e">
        <f>COUNTIFS('refer admin discharge'!#REF!,"Not Hispanic or Latino",'refer admin discharge'!#REF!,"Female",'refer admin discharge'!#REF!,"YES")</f>
        <v>#REF!</v>
      </c>
      <c r="W80" s="57"/>
      <c r="X80" s="56" t="e">
        <f>COUNTIFS('refer admin discharge'!#REF!,"Hispanic-Latino ",'refer admin discharge'!#REF!,"Female",'refer admin discharge'!#REF!,"YES")</f>
        <v>#REF!</v>
      </c>
      <c r="Y80" s="57"/>
      <c r="Z80" s="58" t="e">
        <f>COUNTIFS('refer admin discharge'!#REF!,"Unknown",'refer admin discharge'!#REF!,"Female",'refer admin discharge'!#REF!,"YES")</f>
        <v>#REF!</v>
      </c>
      <c r="AA80" s="1837" t="s">
        <v>294</v>
      </c>
      <c r="AB80" s="1838"/>
      <c r="AC80" s="1839"/>
      <c r="AD80" s="59" t="e">
        <f>SUM(G80+I80+K80+M80+O80+Q80+S80)</f>
        <v>#REF!</v>
      </c>
      <c r="AE80" s="16"/>
      <c r="AF80" s="59" t="e">
        <f>SUM(V80+X80+Z80)</f>
        <v>#REF!</v>
      </c>
      <c r="AH80" s="183" t="s">
        <v>364</v>
      </c>
      <c r="AI80" s="183"/>
      <c r="AJ80" s="183"/>
    </row>
    <row r="81" spans="1:37" ht="30" customHeight="1" x14ac:dyDescent="0.25">
      <c r="A81" s="1926" t="s">
        <v>363</v>
      </c>
      <c r="B81" s="1926"/>
      <c r="C81" s="1926"/>
      <c r="D81" s="1793" t="s">
        <v>300</v>
      </c>
      <c r="E81" s="1793"/>
      <c r="F81" s="55"/>
      <c r="G81" s="154" t="e">
        <f>COUNTIFS('refer admin discharge'!#REF!,"White",'refer admin discharge'!#REF!,"Female",'refer admin discharge'!#REF!,"Yes",'refer admin discharge'!#REF!,"Yes")</f>
        <v>#REF!</v>
      </c>
      <c r="H81" s="57"/>
      <c r="I81" s="154" t="e">
        <f>COUNTIFS('refer admin discharge'!#REF!,"African American /Black",'refer admin discharge'!#REF!,"Female",'refer admin discharge'!#REF!,"Yes",'refer admin discharge'!#REF!,"Yes")</f>
        <v>#REF!</v>
      </c>
      <c r="J81" s="57"/>
      <c r="K81" s="154" t="e">
        <f>COUNTIFS('refer admin discharge'!#REF!,"Native Hawaiian/Pacific",'refer admin discharge'!#REF!,"Female",'refer admin discharge'!#REF!,"Yes",'refer admin discharge'!#REF!,"Yes")</f>
        <v>#REF!</v>
      </c>
      <c r="L81" s="57"/>
      <c r="M81" s="154" t="e">
        <f>COUNTIFS('refer admin discharge'!#REF!,"Asian",'refer admin discharge'!#REF!,"Female",'refer admin discharge'!#REF!,"Yes",'refer admin discharge'!#REF!,"Yes")</f>
        <v>#REF!</v>
      </c>
      <c r="N81" s="57"/>
      <c r="O81" s="154" t="e">
        <f>COUNTIFS('refer admin discharge'!#REF!,"American Indian Alaskan Native",'refer admin discharge'!#REF!,"Female",'refer admin discharge'!#REF!,"Yes",'refer admin discharge'!#REF!,"Yes")</f>
        <v>#REF!</v>
      </c>
      <c r="P81" s="57"/>
      <c r="Q81" s="154" t="e">
        <f>COUNTIFS('refer admin discharge'!#REF!,"More than one race reported",'refer admin discharge'!#REF!,"Female",'refer admin discharge'!#REF!,"Yes",'refer admin discharge'!#REF!,"Yes")</f>
        <v>#REF!</v>
      </c>
      <c r="R81" s="57"/>
      <c r="S81" s="154" t="e">
        <f>COUNTIFS('refer admin discharge'!#REF!,"Unknown",'refer admin discharge'!#REF!,"Female",'refer admin discharge'!#REF!,"Yes",'refer admin discharge'!#REF!,"Yes")</f>
        <v>#REF!</v>
      </c>
      <c r="T81" s="57"/>
      <c r="U81" s="57"/>
      <c r="V81" s="154" t="e">
        <f>COUNTIFS('refer admin discharge'!#REF!,"Not Hispanic or Latino",'refer admin discharge'!#REF!,"Female",'refer admin discharge'!#REF!,"YES",'refer admin discharge'!#REF!,"Yes")</f>
        <v>#REF!</v>
      </c>
      <c r="W81" s="57"/>
      <c r="X81" s="154" t="e">
        <f>COUNTIFS('refer admin discharge'!#REF!,"Hispanic-Latino ",'refer admin discharge'!#REF!,"Female",'refer admin discharge'!#REF!,"YES",'refer admin discharge'!#REF!,"Yes")</f>
        <v>#REF!</v>
      </c>
      <c r="Y81" s="57"/>
      <c r="Z81" s="155" t="e">
        <f>COUNTIFS('refer admin discharge'!#REF!,"Unknown",'refer admin discharge'!#REF!,"Female",'refer admin discharge'!#REF!,"YES",'refer admin discharge'!#REF!,"Yes")</f>
        <v>#REF!</v>
      </c>
      <c r="AA81" s="1927" t="s">
        <v>363</v>
      </c>
      <c r="AB81" s="1927"/>
      <c r="AC81" s="1927"/>
      <c r="AD81" s="156" t="e">
        <f>SUM(G81+I81+K81+M81+O81+Q81+S81)</f>
        <v>#REF!</v>
      </c>
      <c r="AE81" s="16"/>
      <c r="AF81" s="156" t="e">
        <f>SUM(V81+X81+Z81)</f>
        <v>#REF!</v>
      </c>
      <c r="AH81" s="183" t="s">
        <v>365</v>
      </c>
      <c r="AI81" s="183"/>
      <c r="AJ81" s="183"/>
    </row>
    <row r="82" spans="1:37" ht="30" customHeight="1" x14ac:dyDescent="0.25">
      <c r="A82" s="1794" t="s">
        <v>354</v>
      </c>
      <c r="B82" s="1794"/>
      <c r="C82" s="1794"/>
      <c r="D82" s="1793" t="s">
        <v>300</v>
      </c>
      <c r="E82" s="1793"/>
      <c r="F82" s="60" t="e">
        <f>COUNTIFS('refer admin discharge'!#REF!,"White",'refer admin discharge'!#REF!,"Male",'refer admin discharge'!#REF!,"Yes")</f>
        <v>#REF!</v>
      </c>
      <c r="G82" s="61" t="e">
        <f>COUNTIFS('refer admin discharge'!#REF!,"White",'refer admin discharge'!#REF!,"Female",'refer admin discharge'!#REF!,"Yes")</f>
        <v>#REF!</v>
      </c>
      <c r="H82" s="60" t="e">
        <f>COUNTIFS('refer admin discharge'!#REF!,"African American /Black",'refer admin discharge'!#REF!,"Male",'refer admin discharge'!#REF!,"Yes")</f>
        <v>#REF!</v>
      </c>
      <c r="I82" s="61" t="e">
        <f>COUNTIFS('refer admin discharge'!#REF!,"African American /Black",'refer admin discharge'!#REF!,"Female",'refer admin discharge'!#REF!,"Yes")</f>
        <v>#REF!</v>
      </c>
      <c r="J82" s="60" t="e">
        <f>COUNTIFS('refer admin discharge'!#REF!,"Native Hawaiian/Pacific",'refer admin discharge'!#REF!,"Male",'refer admin discharge'!#REF!,"Yes")</f>
        <v>#REF!</v>
      </c>
      <c r="K82" s="61" t="e">
        <f>COUNTIFS('refer admin discharge'!#REF!,"Native Hawaiian/Pacific",'refer admin discharge'!#REF!,"Female",'refer admin discharge'!#REF!,"Yes")</f>
        <v>#REF!</v>
      </c>
      <c r="L82" s="60" t="e">
        <f>COUNTIFS('refer admin discharge'!#REF!,"Asian",'refer admin discharge'!#REF!,"Male",'refer admin discharge'!#REF!,"Yes")</f>
        <v>#REF!</v>
      </c>
      <c r="M82" s="61" t="e">
        <f>COUNTIFS('refer admin discharge'!#REF!,"Asian",'refer admin discharge'!#REF!,"Female",'refer admin discharge'!#REF!,"Yes")</f>
        <v>#REF!</v>
      </c>
      <c r="N82" s="60" t="e">
        <f>COUNTIFS('refer admin discharge'!#REF!,"American Indian Alaskan Native",'refer admin discharge'!#REF!,"Male",'refer admin discharge'!#REF!,"Yes")</f>
        <v>#REF!</v>
      </c>
      <c r="O82" s="61" t="e">
        <f>COUNTIFS('refer admin discharge'!#REF!,"American Indian Alaskan Native",'refer admin discharge'!#REF!,"Female",'refer admin discharge'!#REF!,"Yes")</f>
        <v>#REF!</v>
      </c>
      <c r="P82" s="60" t="e">
        <f>COUNTIFS('refer admin discharge'!#REF!,"More than one race reported",'refer admin discharge'!#REF!,"Male",'refer admin discharge'!#REF!,"Yes")</f>
        <v>#REF!</v>
      </c>
      <c r="Q82" s="61" t="e">
        <f>COUNTIFS('refer admin discharge'!#REF!,"More than one race reported",'refer admin discharge'!#REF!,"Female",'refer admin discharge'!#REF!,"Yes")</f>
        <v>#REF!</v>
      </c>
      <c r="R82" s="60" t="e">
        <f>COUNTIFS('refer admin discharge'!#REF!,"Unknown",'refer admin discharge'!#REF!,"Male",'refer admin discharge'!#REF!,"Yes")</f>
        <v>#REF!</v>
      </c>
      <c r="S82" s="61" t="e">
        <f>COUNTIFS('refer admin discharge'!#REF!,"Unknown",'refer admin discharge'!#REF!,"Female",'refer admin discharge'!#REF!,"Yes")</f>
        <v>#REF!</v>
      </c>
      <c r="T82" s="55"/>
      <c r="U82" s="60" t="e">
        <f>COUNTIFS('refer admin discharge'!#REF!,"Not Hispanic or Latino",'refer admin discharge'!#REF!,"Male",'refer admin discharge'!#REF!,"YES")</f>
        <v>#REF!</v>
      </c>
      <c r="V82" s="61" t="e">
        <f>COUNTIFS('refer admin discharge'!#REF!,"Not Hispanic or Latino",'refer admin discharge'!#REF!,"Female",'refer admin discharge'!#REF!,"YES")</f>
        <v>#REF!</v>
      </c>
      <c r="W82" s="60" t="e">
        <f>COUNTIFS('refer admin discharge'!#REF!,"Hispanic-Latino ",'refer admin discharge'!#REF!,"Male",'refer admin discharge'!#REF!,"YES")</f>
        <v>#REF!</v>
      </c>
      <c r="X82" s="61" t="e">
        <f>COUNTIFS('refer admin discharge'!#REF!,"Hispanic-Latino ",'refer admin discharge'!#REF!,"Female",'refer admin discharge'!#REF!,"YES")</f>
        <v>#REF!</v>
      </c>
      <c r="Y82" s="60" t="e">
        <f>COUNTIFS('refer admin discharge'!#REF!,"Unknown",'refer admin discharge'!#REF!,"Male",'refer admin discharge'!#REF!,"YES")</f>
        <v>#REF!</v>
      </c>
      <c r="Z82" s="62" t="e">
        <f>COUNTIFS('refer admin discharge'!#REF!,"Unknown",'refer admin discharge'!#REF!,"Female",'refer admin discharge'!#REF!,"YES")</f>
        <v>#REF!</v>
      </c>
      <c r="AA82" s="1837" t="s">
        <v>295</v>
      </c>
      <c r="AB82" s="1838"/>
      <c r="AC82" s="1839"/>
      <c r="AD82" s="63" t="e">
        <f t="shared" ref="AD82:AD87" si="4">SUM(F82:S82)</f>
        <v>#REF!</v>
      </c>
      <c r="AE82" s="16"/>
      <c r="AF82" s="63" t="e">
        <f t="shared" ref="AF82:AF86" si="5">SUM(U82:Z82)</f>
        <v>#REF!</v>
      </c>
    </row>
    <row r="83" spans="1:37" ht="30" customHeight="1" x14ac:dyDescent="0.25">
      <c r="A83" s="1854" t="s">
        <v>217</v>
      </c>
      <c r="B83" s="1854"/>
      <c r="C83" s="1854"/>
      <c r="D83" s="1793" t="s">
        <v>301</v>
      </c>
      <c r="E83" s="1793"/>
      <c r="F83" s="64" t="e">
        <f>COUNTIFS('refer admin discharge'!#REF!,"White",'refer admin discharge'!#REF!,"Male",'refer admin discharge'!#REF!,"Yes")</f>
        <v>#REF!</v>
      </c>
      <c r="G83" s="65" t="e">
        <f>COUNTIFS('refer admin discharge'!#REF!,"White",'refer admin discharge'!#REF!,"Female",'refer admin discharge'!#REF!,"Yes")</f>
        <v>#REF!</v>
      </c>
      <c r="H83" s="64" t="e">
        <f>COUNTIFS('refer admin discharge'!#REF!,"African American /Black",'refer admin discharge'!#REF!,"Male",'refer admin discharge'!#REF!,"Yes")</f>
        <v>#REF!</v>
      </c>
      <c r="I83" s="65" t="e">
        <f>COUNTIFS('refer admin discharge'!#REF!,"African American /Black",'refer admin discharge'!#REF!,"Female",'refer admin discharge'!#REF!,"Yes")</f>
        <v>#REF!</v>
      </c>
      <c r="J83" s="64" t="e">
        <f>COUNTIFS('refer admin discharge'!#REF!,"Native Hawaiian/Pacific",'refer admin discharge'!#REF!,"Male",'refer admin discharge'!#REF!,"Yes")</f>
        <v>#REF!</v>
      </c>
      <c r="K83" s="65" t="e">
        <f>COUNTIFS('refer admin discharge'!#REF!,"Native Hawaiian/Pacific",'refer admin discharge'!#REF!,"Female",'refer admin discharge'!#REF!,"Yes")</f>
        <v>#REF!</v>
      </c>
      <c r="L83" s="64" t="e">
        <f>COUNTIFS('refer admin discharge'!#REF!,"Asian",'refer admin discharge'!#REF!,"Male",'refer admin discharge'!#REF!,"Yes")</f>
        <v>#REF!</v>
      </c>
      <c r="M83" s="65" t="e">
        <f>COUNTIFS('refer admin discharge'!#REF!,"Asian",'refer admin discharge'!#REF!,"Female",'refer admin discharge'!#REF!,"Yes")</f>
        <v>#REF!</v>
      </c>
      <c r="N83" s="64" t="e">
        <f>COUNTIFS('refer admin discharge'!#REF!,"American Indian Alaskan Native",'refer admin discharge'!#REF!,"Male",'refer admin discharge'!#REF!,"Yes")</f>
        <v>#REF!</v>
      </c>
      <c r="O83" s="65" t="e">
        <f>COUNTIFS('refer admin discharge'!#REF!,"American Indian Alaskan Native",'refer admin discharge'!#REF!,"Female",'refer admin discharge'!#REF!,"Yes")</f>
        <v>#REF!</v>
      </c>
      <c r="P83" s="64" t="e">
        <f>COUNTIFS('refer admin discharge'!#REF!,"More than one race reported",'refer admin discharge'!#REF!,"Male",'refer admin discharge'!#REF!,"Yes")</f>
        <v>#REF!</v>
      </c>
      <c r="Q83" s="65" t="e">
        <f>COUNTIFS('refer admin discharge'!#REF!,"More than one race reported",'refer admin discharge'!#REF!,"Female",'refer admin discharge'!#REF!,"Yes")</f>
        <v>#REF!</v>
      </c>
      <c r="R83" s="64" t="e">
        <f>COUNTIFS('refer admin discharge'!#REF!,"Unknown",'refer admin discharge'!#REF!,"Male",'refer admin discharge'!#REF!,"Yes")</f>
        <v>#REF!</v>
      </c>
      <c r="S83" s="65" t="e">
        <f>COUNTIFS('refer admin discharge'!#REF!,"Unknown",'refer admin discharge'!#REF!,"Female",'refer admin discharge'!#REF!,"Yes")</f>
        <v>#REF!</v>
      </c>
      <c r="T83" s="55"/>
      <c r="U83" s="64" t="e">
        <f>COUNTIFS('refer admin discharge'!#REF!,"Not Hispanic or Latino",'refer admin discharge'!#REF!,"Male",'refer admin discharge'!#REF!,"YES")</f>
        <v>#REF!</v>
      </c>
      <c r="V83" s="65" t="e">
        <f>COUNTIFS('refer admin discharge'!#REF!,"Not Hispanic or Latino",'refer admin discharge'!#REF!,"Female",'refer admin discharge'!#REF!,"YES")</f>
        <v>#REF!</v>
      </c>
      <c r="W83" s="64" t="e">
        <f>COUNTIFS('refer admin discharge'!#REF!,"Hispanic-Latino ",'refer admin discharge'!#REF!,"Male",'refer admin discharge'!#REF!,"YES")</f>
        <v>#REF!</v>
      </c>
      <c r="X83" s="65" t="e">
        <f>COUNTIFS('refer admin discharge'!#REF!,"Hispanic-Latino ",'refer admin discharge'!#REF!,"Female",'refer admin discharge'!#REF!,"YES")</f>
        <v>#REF!</v>
      </c>
      <c r="Y83" s="64" t="e">
        <f>COUNTIFS('refer admin discharge'!#REF!,"Unknown",'refer admin discharge'!#REF!,"Male",'refer admin discharge'!#REF!,"YES")</f>
        <v>#REF!</v>
      </c>
      <c r="Z83" s="66" t="e">
        <f>COUNTIFS('refer admin discharge'!#REF!,"Unknown",'refer admin discharge'!#REF!,"Female",'refer admin discharge'!#REF!,"YES")</f>
        <v>#REF!</v>
      </c>
      <c r="AA83" s="1837" t="s">
        <v>296</v>
      </c>
      <c r="AB83" s="1838"/>
      <c r="AC83" s="1839"/>
      <c r="AD83" s="67" t="e">
        <f t="shared" si="4"/>
        <v>#REF!</v>
      </c>
      <c r="AE83" s="16"/>
      <c r="AF83" s="67" t="e">
        <f t="shared" si="5"/>
        <v>#REF!</v>
      </c>
    </row>
    <row r="84" spans="1:37" ht="30" customHeight="1" x14ac:dyDescent="0.25">
      <c r="A84" s="1882" t="s">
        <v>297</v>
      </c>
      <c r="B84" s="1882"/>
      <c r="C84" s="1882"/>
      <c r="D84" s="1793" t="s">
        <v>259</v>
      </c>
      <c r="E84" s="1793"/>
      <c r="F84" s="68" t="e">
        <f>COUNTIFS('refer admin discharge'!#REF!,"White",'refer admin discharge'!#REF!,"Male",'refer admin discharge'!#REF!,"Yes")</f>
        <v>#REF!</v>
      </c>
      <c r="G84" s="69" t="e">
        <f>COUNTIFS('refer admin discharge'!#REF!,"White",'refer admin discharge'!#REF!,"Female",'refer admin discharge'!#REF!,"Yes")</f>
        <v>#REF!</v>
      </c>
      <c r="H84" s="68" t="e">
        <f>COUNTIFS('refer admin discharge'!#REF!,"African American /Black",'refer admin discharge'!#REF!,"Male",'refer admin discharge'!#REF!,"Yes")</f>
        <v>#REF!</v>
      </c>
      <c r="I84" s="69" t="e">
        <f>COUNTIFS('refer admin discharge'!#REF!,"African American /Black",'refer admin discharge'!#REF!,"Female",'refer admin discharge'!#REF!,"Yes")</f>
        <v>#REF!</v>
      </c>
      <c r="J84" s="68" t="e">
        <f>COUNTIFS('refer admin discharge'!#REF!,"Native Hawaiian/Pacific",'refer admin discharge'!#REF!,"Male",'refer admin discharge'!#REF!,"Yes")</f>
        <v>#REF!</v>
      </c>
      <c r="K84" s="69" t="e">
        <f>COUNTIFS('refer admin discharge'!#REF!,"Native Hawaiian/Pacific",'refer admin discharge'!#REF!,"Female",'refer admin discharge'!#REF!,"Yes")</f>
        <v>#REF!</v>
      </c>
      <c r="L84" s="68" t="e">
        <f>COUNTIFS('refer admin discharge'!#REF!,"Asian",'refer admin discharge'!#REF!,"Male",'refer admin discharge'!#REF!,"Yes")</f>
        <v>#REF!</v>
      </c>
      <c r="M84" s="69" t="e">
        <f>COUNTIFS('refer admin discharge'!#REF!,"Asian",'refer admin discharge'!#REF!,"Female",'refer admin discharge'!#REF!,"Yes")</f>
        <v>#REF!</v>
      </c>
      <c r="N84" s="68" t="e">
        <f>COUNTIFS('refer admin discharge'!#REF!,"American Indian Alaskan Native",'refer admin discharge'!#REF!,"Male",'refer admin discharge'!#REF!,"Yes")</f>
        <v>#REF!</v>
      </c>
      <c r="O84" s="69" t="e">
        <f>COUNTIFS('refer admin discharge'!#REF!,"American Indian Alaskan Native",'refer admin discharge'!#REF!,"Female",'refer admin discharge'!#REF!,"Yes")</f>
        <v>#REF!</v>
      </c>
      <c r="P84" s="68" t="e">
        <f>COUNTIFS('refer admin discharge'!#REF!,"More than one race reported",'refer admin discharge'!#REF!,"Male",'refer admin discharge'!#REF!,"Yes")</f>
        <v>#REF!</v>
      </c>
      <c r="Q84" s="69" t="e">
        <f>COUNTIFS('refer admin discharge'!#REF!,"More than one race reported",'refer admin discharge'!#REF!,"Female",'refer admin discharge'!#REF!,"Yes")</f>
        <v>#REF!</v>
      </c>
      <c r="R84" s="68" t="e">
        <f>COUNTIFS('refer admin discharge'!#REF!,"Unknown",'refer admin discharge'!#REF!,"Male",'refer admin discharge'!#REF!,"Yes")</f>
        <v>#REF!</v>
      </c>
      <c r="S84" s="69" t="e">
        <f>COUNTIFS('refer admin discharge'!#REF!,"Unknown",'refer admin discharge'!#REF!,"Female",'refer admin discharge'!#REF!,"Yes")</f>
        <v>#REF!</v>
      </c>
      <c r="T84" s="55"/>
      <c r="U84" s="68" t="e">
        <f>COUNTIFS('refer admin discharge'!#REF!,"Not Hispanic or Latino",'refer admin discharge'!#REF!,"Male",'refer admin discharge'!#REF!,"YES")</f>
        <v>#REF!</v>
      </c>
      <c r="V84" s="69" t="e">
        <f>COUNTIFS('refer admin discharge'!#REF!,"Not Hispanic or Latino",'refer admin discharge'!#REF!,"Female",'refer admin discharge'!#REF!,"YES")</f>
        <v>#REF!</v>
      </c>
      <c r="W84" s="68" t="e">
        <f>COUNTIFS('refer admin discharge'!#REF!,"Hispanic-Latino ",'refer admin discharge'!#REF!,"Male",'refer admin discharge'!#REF!,"YES")</f>
        <v>#REF!</v>
      </c>
      <c r="X84" s="69" t="e">
        <f>COUNTIFS('refer admin discharge'!#REF!,"Hispanic-Latino ",'refer admin discharge'!#REF!,"Female",'refer admin discharge'!#REF!,"YES")</f>
        <v>#REF!</v>
      </c>
      <c r="Y84" s="68" t="e">
        <f>COUNTIFS('refer admin discharge'!#REF!,"Unknown",'refer admin discharge'!#REF!,"Male",'refer admin discharge'!#REF!,"YES")</f>
        <v>#REF!</v>
      </c>
      <c r="Z84" s="70" t="e">
        <f>COUNTIFS('refer admin discharge'!#REF!,"Unknown",'refer admin discharge'!#REF!,"Female",'refer admin discharge'!#REF!,"YES")</f>
        <v>#REF!</v>
      </c>
      <c r="AA84" s="1837" t="s">
        <v>298</v>
      </c>
      <c r="AB84" s="1838"/>
      <c r="AC84" s="1839"/>
      <c r="AD84" s="71" t="e">
        <f t="shared" si="4"/>
        <v>#REF!</v>
      </c>
      <c r="AE84" s="16"/>
      <c r="AF84" s="71" t="e">
        <f t="shared" si="5"/>
        <v>#REF!</v>
      </c>
    </row>
    <row r="85" spans="1:37" ht="30" customHeight="1" x14ac:dyDescent="0.25">
      <c r="A85" s="1883" t="s">
        <v>330</v>
      </c>
      <c r="B85" s="1883"/>
      <c r="C85" s="1883"/>
      <c r="D85" s="1793" t="s">
        <v>140</v>
      </c>
      <c r="E85" s="1793"/>
      <c r="F85" s="72" t="e">
        <f>COUNTIFS('refer admin discharge'!#REF!,"White",'refer admin discharge'!#REF!,"Male",'refer admin discharge'!AD30:AD1020,"Yes")</f>
        <v>#REF!</v>
      </c>
      <c r="G85" s="73" t="e">
        <f>COUNTIFS('refer admin discharge'!#REF!,"White",'refer admin discharge'!#REF!,"Female",'refer admin discharge'!AD30:AD1020,"Yes")</f>
        <v>#REF!</v>
      </c>
      <c r="H85" s="72" t="e">
        <f>COUNTIFS('refer admin discharge'!#REF!,"African American /Black",'refer admin discharge'!#REF!,"Male",'refer admin discharge'!AD30:AD1020,"Yes")</f>
        <v>#REF!</v>
      </c>
      <c r="I85" s="73" t="e">
        <f>COUNTIFS('refer admin discharge'!#REF!,"African American /Black",'refer admin discharge'!#REF!,"Female",'refer admin discharge'!AD30:AD1020,"Yes")</f>
        <v>#REF!</v>
      </c>
      <c r="J85" s="72" t="e">
        <f>COUNTIFS('refer admin discharge'!#REF!,"Native Hawaiian/Pacific",'refer admin discharge'!#REF!,"Male",'refer admin discharge'!AD30:AD1020,"Yes")</f>
        <v>#REF!</v>
      </c>
      <c r="K85" s="73" t="e">
        <f>COUNTIFS('refer admin discharge'!#REF!,"Native Hawaiian/Pacific",'refer admin discharge'!#REF!,"Female",'refer admin discharge'!AD30:AD1020,"Yes")</f>
        <v>#REF!</v>
      </c>
      <c r="L85" s="72" t="e">
        <f>COUNTIFS('refer admin discharge'!#REF!,"Asian",'refer admin discharge'!#REF!,"Male",'refer admin discharge'!AD30:AD1020,"Yes")</f>
        <v>#REF!</v>
      </c>
      <c r="M85" s="73" t="e">
        <f>COUNTIFS('refer admin discharge'!#REF!,"Asian",'refer admin discharge'!#REF!,"Female",'refer admin discharge'!AD30:AD1020,"Yes")</f>
        <v>#REF!</v>
      </c>
      <c r="N85" s="72" t="e">
        <f>COUNTIFS('refer admin discharge'!#REF!,"American Indian Alaskan Native",'refer admin discharge'!#REF!,"Male",'refer admin discharge'!AD30:AD1020,"Yes")</f>
        <v>#REF!</v>
      </c>
      <c r="O85" s="73" t="e">
        <f>COUNTIFS('refer admin discharge'!#REF!,"American Indian Alaskan Native",'refer admin discharge'!#REF!,"Female",'refer admin discharge'!AD30:AD1020,"Yes")</f>
        <v>#REF!</v>
      </c>
      <c r="P85" s="72" t="e">
        <f>COUNTIFS('refer admin discharge'!#REF!,"More than one race reported",'refer admin discharge'!#REF!,"Male",'refer admin discharge'!AD30:AD1020,"Yes")</f>
        <v>#REF!</v>
      </c>
      <c r="Q85" s="73" t="e">
        <f>COUNTIFS('refer admin discharge'!#REF!,"More than one race reported",'refer admin discharge'!#REF!,"Female",'refer admin discharge'!AD30:AD1020,"Yes")</f>
        <v>#REF!</v>
      </c>
      <c r="R85" s="72" t="e">
        <f>COUNTIFS('refer admin discharge'!#REF!,"Unknown",'refer admin discharge'!#REF!,"Male",'refer admin discharge'!AD30:AD1020,"Yes")</f>
        <v>#REF!</v>
      </c>
      <c r="S85" s="73" t="e">
        <f>COUNTIFS('refer admin discharge'!#REF!,"Unknown",'refer admin discharge'!#REF!,"Female",'refer admin discharge'!AD30:AD1020,"Yes")</f>
        <v>#REF!</v>
      </c>
      <c r="T85" s="55"/>
      <c r="U85" s="72" t="e">
        <f>COUNTIFS('refer admin discharge'!#REF!,"Not Hispanic or Latino",'refer admin discharge'!#REF!,"Male",'refer admin discharge'!AD30:AD1020,"YES")</f>
        <v>#REF!</v>
      </c>
      <c r="V85" s="73" t="e">
        <f>COUNTIFS('refer admin discharge'!#REF!,"Not Hispanic or Latino",'refer admin discharge'!#REF!,"Female",'refer admin discharge'!AD30:AD1020,"YES")</f>
        <v>#REF!</v>
      </c>
      <c r="W85" s="72" t="e">
        <f>COUNTIFS('refer admin discharge'!#REF!,"Hispanic-Latino ",'refer admin discharge'!#REF!,"Male",'refer admin discharge'!AD30:AD1020,"YES")</f>
        <v>#REF!</v>
      </c>
      <c r="X85" s="73" t="e">
        <f>COUNTIFS('refer admin discharge'!#REF!,"Hispanic-Latino ",'refer admin discharge'!#REF!,"Female",'refer admin discharge'!AD30:AD1020,"YES")</f>
        <v>#REF!</v>
      </c>
      <c r="Y85" s="72" t="e">
        <f>COUNTIFS('refer admin discharge'!#REF!,"Unknown",'refer admin discharge'!#REF!,"Male",'refer admin discharge'!AD30:AD1020,"YES")</f>
        <v>#REF!</v>
      </c>
      <c r="Z85" s="74" t="e">
        <f>COUNTIFS('refer admin discharge'!#REF!,"Unknown",'refer admin discharge'!#REF!,"Female",'refer admin discharge'!AD30:AD1020,"YES")</f>
        <v>#REF!</v>
      </c>
      <c r="AA85" s="1837" t="s">
        <v>331</v>
      </c>
      <c r="AB85" s="1838"/>
      <c r="AC85" s="1839"/>
      <c r="AD85" s="75" t="e">
        <f t="shared" si="4"/>
        <v>#REF!</v>
      </c>
      <c r="AE85" s="16"/>
      <c r="AF85" s="75" t="e">
        <f t="shared" si="5"/>
        <v>#REF!</v>
      </c>
    </row>
    <row r="86" spans="1:37" ht="30" customHeight="1" x14ac:dyDescent="0.25">
      <c r="A86" s="1884" t="s">
        <v>332</v>
      </c>
      <c r="B86" s="1884"/>
      <c r="C86" s="1884"/>
      <c r="D86" s="1793" t="s">
        <v>141</v>
      </c>
      <c r="E86" s="1793"/>
      <c r="F86" s="76" t="e">
        <f>COUNTIFS('refer admin discharge'!#REF!,"White",'refer admin discharge'!#REF!,"Male",'refer admin discharge'!AE30:AE1020,"Yes")</f>
        <v>#REF!</v>
      </c>
      <c r="G86" s="77" t="e">
        <f>COUNTIFS('refer admin discharge'!#REF!,"White",'refer admin discharge'!#REF!,"Female",'refer admin discharge'!AE30:AE1020,"Yes")</f>
        <v>#REF!</v>
      </c>
      <c r="H86" s="76" t="e">
        <f>COUNTIFS('refer admin discharge'!#REF!,"African American /Black",'refer admin discharge'!#REF!,"Male",'refer admin discharge'!AE30:AE1020,"Yes")</f>
        <v>#REF!</v>
      </c>
      <c r="I86" s="77" t="e">
        <f>COUNTIFS('refer admin discharge'!#REF!,"African American /Black",'refer admin discharge'!#REF!,"Female",'refer admin discharge'!AE30:AE1020,"Yes")</f>
        <v>#REF!</v>
      </c>
      <c r="J86" s="76" t="e">
        <f>COUNTIFS('refer admin discharge'!#REF!,"Native Hawaiian/Pacific",'refer admin discharge'!#REF!,"Male",'refer admin discharge'!AE30:AE1020,"Yes")</f>
        <v>#REF!</v>
      </c>
      <c r="K86" s="77" t="e">
        <f>COUNTIFS('refer admin discharge'!#REF!,"Native Hawaiian/Pacific",'refer admin discharge'!#REF!,"Female",'refer admin discharge'!AE30:AE1020,"Yes")</f>
        <v>#REF!</v>
      </c>
      <c r="L86" s="76" t="e">
        <f>COUNTIFS('refer admin discharge'!#REF!,"Asian",'refer admin discharge'!#REF!,"Male",'refer admin discharge'!AE30:AE1020,"Yes")</f>
        <v>#REF!</v>
      </c>
      <c r="M86" s="77" t="e">
        <f>COUNTIFS('refer admin discharge'!#REF!,"Asian",'refer admin discharge'!#REF!,"Female",'refer admin discharge'!AE30:AE1020,"Yes")</f>
        <v>#REF!</v>
      </c>
      <c r="N86" s="76" t="e">
        <f>COUNTIFS('refer admin discharge'!#REF!,"American Indian Alaskan Native",'refer admin discharge'!#REF!,"Male",'refer admin discharge'!AE30:AE1020,"Yes")</f>
        <v>#REF!</v>
      </c>
      <c r="O86" s="77" t="e">
        <f>COUNTIFS('refer admin discharge'!#REF!,"American Indian Alaskan Native",'refer admin discharge'!#REF!,"Female",'refer admin discharge'!AE30:AE1020,"Yes")</f>
        <v>#REF!</v>
      </c>
      <c r="P86" s="76" t="e">
        <f>COUNTIFS('refer admin discharge'!#REF!,"More than one race reported",'refer admin discharge'!#REF!,"Male",'refer admin discharge'!AE30:AE1020,"Yes")</f>
        <v>#REF!</v>
      </c>
      <c r="Q86" s="77" t="e">
        <f>COUNTIFS('refer admin discharge'!#REF!,"More than one race reported",'refer admin discharge'!#REF!,"Female",'refer admin discharge'!AE30:AE1020,"Yes")</f>
        <v>#REF!</v>
      </c>
      <c r="R86" s="76" t="e">
        <f>COUNTIFS('refer admin discharge'!#REF!,"Unknown",'refer admin discharge'!#REF!,"Male",'refer admin discharge'!AE30:AE1020,"Yes")</f>
        <v>#REF!</v>
      </c>
      <c r="S86" s="77" t="e">
        <f>COUNTIFS('refer admin discharge'!#REF!,"Unknown",'refer admin discharge'!#REF!,"Female",'refer admin discharge'!AE30:AE1020,"Yes")</f>
        <v>#REF!</v>
      </c>
      <c r="T86" s="55"/>
      <c r="U86" s="76" t="e">
        <f>COUNTIFS('refer admin discharge'!#REF!,"Not Hispanic or Latino",'refer admin discharge'!#REF!,"Male",'refer admin discharge'!AE30:AE1020,"YES")</f>
        <v>#REF!</v>
      </c>
      <c r="V86" s="77" t="e">
        <f>COUNTIFS('refer admin discharge'!#REF!,"Not Hispanic or Latino",'refer admin discharge'!#REF!,"Female",'refer admin discharge'!AE30:AE1020,"YES")</f>
        <v>#REF!</v>
      </c>
      <c r="W86" s="76" t="e">
        <f>COUNTIFS('refer admin discharge'!#REF!,"Hispanic-Latino ",'refer admin discharge'!#REF!,"Male",'refer admin discharge'!AE30:AE1020,"YES")</f>
        <v>#REF!</v>
      </c>
      <c r="X86" s="77" t="e">
        <f>COUNTIFS('refer admin discharge'!#REF!,"Hispanic-Latino ",'refer admin discharge'!#REF!,"Female",'refer admin discharge'!AE30:AE1020,"YES")</f>
        <v>#REF!</v>
      </c>
      <c r="Y86" s="76" t="e">
        <f>COUNTIFS('refer admin discharge'!#REF!,"Unknown",'refer admin discharge'!#REF!,"Male",'refer admin discharge'!AE30:AE1020,"YES")</f>
        <v>#REF!</v>
      </c>
      <c r="Z86" s="78" t="e">
        <f>COUNTIFS('refer admin discharge'!#REF!,"Unknown",'refer admin discharge'!#REF!,"Female",'refer admin discharge'!AE30:AE1020,"YES")</f>
        <v>#REF!</v>
      </c>
      <c r="AA86" s="1837" t="s">
        <v>333</v>
      </c>
      <c r="AB86" s="1838"/>
      <c r="AC86" s="1839"/>
      <c r="AD86" s="79" t="e">
        <f>SUM(F86:S86)</f>
        <v>#REF!</v>
      </c>
      <c r="AE86" s="16"/>
      <c r="AF86" s="79" t="e">
        <f t="shared" si="5"/>
        <v>#REF!</v>
      </c>
    </row>
    <row r="87" spans="1:37" ht="30" customHeight="1" x14ac:dyDescent="0.25">
      <c r="A87" s="1934" t="s">
        <v>302</v>
      </c>
      <c r="B87" s="1934"/>
      <c r="C87" s="1934"/>
      <c r="D87" s="1793" t="s">
        <v>263</v>
      </c>
      <c r="E87" s="1793"/>
      <c r="F87" s="80" t="e">
        <f>COUNTIFS('refer admin discharge'!#REF!,"White",'refer admin discharge'!#REF!,"Male",'refer admin discharge'!#REF!,"Yes")</f>
        <v>#REF!</v>
      </c>
      <c r="G87" s="81" t="e">
        <f>COUNTIFS('refer admin discharge'!#REF!,"White",'refer admin discharge'!#REF!,"Female",'refer admin discharge'!#REF!,"Yes")</f>
        <v>#REF!</v>
      </c>
      <c r="H87" s="80" t="e">
        <f>COUNTIFS('refer admin discharge'!#REF!,"African American /Black",'refer admin discharge'!#REF!,"Male",'refer admin discharge'!#REF!,"Yes")</f>
        <v>#REF!</v>
      </c>
      <c r="I87" s="81" t="e">
        <f>COUNTIFS('refer admin discharge'!#REF!,"African American /Black",'refer admin discharge'!#REF!,"Female",'refer admin discharge'!#REF!,"Yes")</f>
        <v>#REF!</v>
      </c>
      <c r="J87" s="80" t="e">
        <f>COUNTIFS('refer admin discharge'!#REF!,"Native Hawaiian/Pacific",'refer admin discharge'!#REF!,"Male",'refer admin discharge'!#REF!,"Yes")</f>
        <v>#REF!</v>
      </c>
      <c r="K87" s="81" t="e">
        <f>COUNTIFS('refer admin discharge'!#REF!,"Native Hawaiian/Pacific",'refer admin discharge'!#REF!,"Female",'refer admin discharge'!#REF!,"Yes")</f>
        <v>#REF!</v>
      </c>
      <c r="L87" s="80" t="e">
        <f>COUNTIFS('refer admin discharge'!#REF!,"Asian",'refer admin discharge'!#REF!,"Male",'refer admin discharge'!#REF!,"Yes")</f>
        <v>#REF!</v>
      </c>
      <c r="M87" s="81" t="e">
        <f>COUNTIFS('refer admin discharge'!#REF!,"Asian",'refer admin discharge'!#REF!,"Female",'refer admin discharge'!#REF!,"Yes")</f>
        <v>#REF!</v>
      </c>
      <c r="N87" s="80" t="e">
        <f>COUNTIFS('refer admin discharge'!#REF!,"American Indian Alaskan Native",'refer admin discharge'!#REF!,"Male",'refer admin discharge'!#REF!,"Yes")</f>
        <v>#REF!</v>
      </c>
      <c r="O87" s="81" t="e">
        <f>COUNTIFS('refer admin discharge'!#REF!,"American Indian Alaskan Native",'refer admin discharge'!#REF!,"Female",'refer admin discharge'!#REF!,"Yes")</f>
        <v>#REF!</v>
      </c>
      <c r="P87" s="80" t="e">
        <f>COUNTIFS('refer admin discharge'!#REF!,"More than one race reported",'refer admin discharge'!#REF!,"Male",'refer admin discharge'!#REF!,"Yes")</f>
        <v>#REF!</v>
      </c>
      <c r="Q87" s="81" t="e">
        <f>COUNTIFS('refer admin discharge'!#REF!,"More than one race reported",'refer admin discharge'!#REF!,"Female",'refer admin discharge'!#REF!,"Yes")</f>
        <v>#REF!</v>
      </c>
      <c r="R87" s="80" t="e">
        <f>COUNTIFS('refer admin discharge'!#REF!,"Unknown",'refer admin discharge'!#REF!,"Male",'refer admin discharge'!#REF!,"Yes")</f>
        <v>#REF!</v>
      </c>
      <c r="S87" s="81" t="e">
        <f>COUNTIFS('refer admin discharge'!#REF!,"Unknown",'refer admin discharge'!#REF!,"Female",'refer admin discharge'!#REF!,"Yes")</f>
        <v>#REF!</v>
      </c>
      <c r="T87" s="55"/>
      <c r="U87" s="80" t="e">
        <f>COUNTIFS('refer admin discharge'!#REF!,"Not Hispanic or Latino",'refer admin discharge'!#REF!,"Male",'refer admin discharge'!#REF!,"YES")</f>
        <v>#REF!</v>
      </c>
      <c r="V87" s="81" t="e">
        <f>COUNTIFS('refer admin discharge'!#REF!,"Not Hispanic or Latino",'refer admin discharge'!#REF!,"Female",'refer admin discharge'!#REF!,"YES")</f>
        <v>#REF!</v>
      </c>
      <c r="W87" s="80" t="e">
        <f>COUNTIFS('refer admin discharge'!#REF!,"Hispanic-Latino ",'refer admin discharge'!#REF!,"Male",'refer admin discharge'!#REF!,"YES")</f>
        <v>#REF!</v>
      </c>
      <c r="X87" s="81" t="e">
        <f>COUNTIFS('refer admin discharge'!#REF!,"Hispanic-Latino ",'refer admin discharge'!#REF!,"Female",'refer admin discharge'!#REF!,"YES")</f>
        <v>#REF!</v>
      </c>
      <c r="Y87" s="80" t="e">
        <f>COUNTIFS('refer admin discharge'!#REF!,"Unknown",'refer admin discharge'!#REF!,"Male",'refer admin discharge'!#REF!,"YES")</f>
        <v>#REF!</v>
      </c>
      <c r="Z87" s="82" t="e">
        <f>COUNTIFS('refer admin discharge'!#REF!,"Unknown",'refer admin discharge'!#REF!,"Female",'refer admin discharge'!#REF!,"YES")</f>
        <v>#REF!</v>
      </c>
      <c r="AA87" s="1837" t="s">
        <v>303</v>
      </c>
      <c r="AB87" s="1838"/>
      <c r="AC87" s="1839"/>
      <c r="AD87" s="83" t="e">
        <f t="shared" si="4"/>
        <v>#REF!</v>
      </c>
      <c r="AE87" s="16"/>
      <c r="AF87" s="83" t="e">
        <f>SUM(U87:Z87)</f>
        <v>#REF!</v>
      </c>
    </row>
    <row r="88" spans="1:37" ht="15" customHeight="1" x14ac:dyDescent="0.25">
      <c r="A88" s="84"/>
      <c r="B88" s="84"/>
      <c r="C88" s="84"/>
      <c r="D88" s="85"/>
      <c r="E88" s="85"/>
      <c r="F88" s="1795" t="s">
        <v>357</v>
      </c>
      <c r="G88" s="1795"/>
      <c r="H88" s="1795"/>
      <c r="I88" s="1795"/>
      <c r="J88" s="1795"/>
      <c r="K88" s="1795"/>
      <c r="L88" s="1795"/>
      <c r="M88" s="1795"/>
      <c r="N88" s="1795"/>
      <c r="O88" s="1795"/>
      <c r="P88" s="1795"/>
      <c r="Q88" s="1795"/>
      <c r="R88" s="1795"/>
      <c r="S88" s="1795"/>
      <c r="T88" s="86"/>
      <c r="U88" s="1916" t="s">
        <v>358</v>
      </c>
      <c r="V88" s="1916"/>
      <c r="W88" s="1916"/>
      <c r="X88" s="1916"/>
      <c r="Y88" s="1916"/>
      <c r="Z88" s="1916"/>
      <c r="AA88" s="1916"/>
      <c r="AB88" s="1916"/>
      <c r="AC88" s="1916"/>
      <c r="AD88" s="1916"/>
      <c r="AE88" s="16"/>
      <c r="AF88" s="88"/>
    </row>
    <row r="89" spans="1:37" ht="39.950000000000003" customHeight="1" x14ac:dyDescent="0.25">
      <c r="A89" s="1762" t="s">
        <v>154</v>
      </c>
      <c r="B89" s="1762"/>
      <c r="C89" s="1762"/>
      <c r="D89" s="1762"/>
      <c r="E89" s="1763"/>
      <c r="F89" s="1754" t="s">
        <v>143</v>
      </c>
      <c r="G89" s="1754"/>
      <c r="H89" s="1754" t="s">
        <v>50</v>
      </c>
      <c r="I89" s="1754"/>
      <c r="J89" s="1754" t="s">
        <v>153</v>
      </c>
      <c r="K89" s="1754"/>
      <c r="L89" s="1754" t="s">
        <v>7</v>
      </c>
      <c r="M89" s="1754"/>
      <c r="N89" s="1754" t="s">
        <v>144</v>
      </c>
      <c r="O89" s="1754"/>
      <c r="P89" s="1754" t="s">
        <v>145</v>
      </c>
      <c r="Q89" s="1754"/>
      <c r="R89" s="1754" t="s">
        <v>8</v>
      </c>
      <c r="S89" s="1754"/>
      <c r="T89" s="40"/>
      <c r="U89" s="1755" t="s">
        <v>9</v>
      </c>
      <c r="V89" s="1755"/>
      <c r="W89" s="1755" t="s">
        <v>146</v>
      </c>
      <c r="X89" s="1755"/>
      <c r="Y89" s="1755" t="s">
        <v>148</v>
      </c>
      <c r="Z89" s="1755"/>
      <c r="AA89" s="137"/>
      <c r="AB89" s="137"/>
      <c r="AC89" s="137"/>
      <c r="AD89" s="35" t="s">
        <v>49</v>
      </c>
      <c r="AF89" s="35" t="s">
        <v>250</v>
      </c>
    </row>
    <row r="90" spans="1:37" ht="30" customHeight="1" x14ac:dyDescent="0.25">
      <c r="A90" s="160"/>
      <c r="B90" s="160"/>
      <c r="C90" s="160"/>
      <c r="D90" s="160"/>
      <c r="E90" s="161"/>
      <c r="F90" s="41" t="s">
        <v>134</v>
      </c>
      <c r="G90" s="42" t="s">
        <v>147</v>
      </c>
      <c r="H90" s="41" t="s">
        <v>134</v>
      </c>
      <c r="I90" s="42" t="s">
        <v>147</v>
      </c>
      <c r="J90" s="41" t="s">
        <v>134</v>
      </c>
      <c r="K90" s="42" t="s">
        <v>147</v>
      </c>
      <c r="L90" s="41" t="s">
        <v>134</v>
      </c>
      <c r="M90" s="42" t="s">
        <v>147</v>
      </c>
      <c r="N90" s="41" t="s">
        <v>134</v>
      </c>
      <c r="O90" s="42" t="s">
        <v>147</v>
      </c>
      <c r="P90" s="41" t="s">
        <v>134</v>
      </c>
      <c r="Q90" s="42" t="s">
        <v>147</v>
      </c>
      <c r="R90" s="41" t="s">
        <v>134</v>
      </c>
      <c r="S90" s="42" t="s">
        <v>147</v>
      </c>
      <c r="T90" s="11"/>
      <c r="U90" s="138" t="s">
        <v>134</v>
      </c>
      <c r="V90" s="143" t="s">
        <v>147</v>
      </c>
      <c r="W90" s="138" t="s">
        <v>134</v>
      </c>
      <c r="X90" s="143" t="s">
        <v>147</v>
      </c>
      <c r="Y90" s="138" t="s">
        <v>134</v>
      </c>
      <c r="Z90" s="143" t="s">
        <v>147</v>
      </c>
      <c r="AA90" s="137"/>
      <c r="AB90" s="137"/>
      <c r="AC90" s="137"/>
      <c r="AD90" s="35"/>
      <c r="AF90" s="35"/>
    </row>
    <row r="91" spans="1:37" ht="24.95" customHeight="1" x14ac:dyDescent="0.25">
      <c r="A91" s="1773" t="s">
        <v>179</v>
      </c>
      <c r="B91" s="1773"/>
      <c r="C91" s="1773"/>
      <c r="D91" s="1791" t="s">
        <v>137</v>
      </c>
      <c r="E91" s="1791"/>
      <c r="F91" s="49" t="e">
        <f>COUNTIFS('refer admin discharge'!#REF!,"White",'refer admin discharge'!#REF!,"Male",'refer admin discharge'!AA30:AA1020,"Medicaid Only")</f>
        <v>#REF!</v>
      </c>
      <c r="G91" s="49" t="e">
        <f>COUNTIFS('refer admin discharge'!#REF!,"White",'refer admin discharge'!#REF!,"Female",'refer admin discharge'!AA30:AA1020,"Medicaid Only")</f>
        <v>#REF!</v>
      </c>
      <c r="H91" s="49" t="e">
        <f>COUNTIFS('refer admin discharge'!#REF!,"African American /Black",'refer admin discharge'!#REF!,"Male",'refer admin discharge'!AA30:AA1020,"Medicaid Only")</f>
        <v>#REF!</v>
      </c>
      <c r="I91" s="49" t="e">
        <f>COUNTIFS('refer admin discharge'!#REF!,"African American /Black",'refer admin discharge'!#REF!,"Female",'refer admin discharge'!AA30:AA1020,"Medicaid Only")</f>
        <v>#REF!</v>
      </c>
      <c r="J91" s="49" t="e">
        <f>COUNTIFS('refer admin discharge'!#REF!,"Native Hawaiian/Pacific",'refer admin discharge'!#REF!,"Male",'refer admin discharge'!AA30:AA1020,"Medicaid Only")</f>
        <v>#REF!</v>
      </c>
      <c r="K91" s="49" t="e">
        <f>COUNTIFS('refer admin discharge'!#REF!,"Native Hawaiian/Pacific",'refer admin discharge'!#REF!,"Female",'refer admin discharge'!AA30:AA1020,"Medicaid Only")</f>
        <v>#REF!</v>
      </c>
      <c r="L91" s="49" t="e">
        <f>COUNTIFS('refer admin discharge'!#REF!,"Asian",'refer admin discharge'!#REF!,"Male",'refer admin discharge'!AA30:AA1020,"Medicaid Only")</f>
        <v>#REF!</v>
      </c>
      <c r="M91" s="49" t="e">
        <f>COUNTIFS('refer admin discharge'!#REF!,"Asian",'refer admin discharge'!#REF!,"Female",'refer admin discharge'!AA30:AA1020,"Medicaid Only")</f>
        <v>#REF!</v>
      </c>
      <c r="N91" s="49" t="e">
        <f>COUNTIFS('refer admin discharge'!#REF!,"American Indian Alaskan Native",'refer admin discharge'!#REF!,"Male",'refer admin discharge'!AA30:AA1020,"Medicaid Only")</f>
        <v>#REF!</v>
      </c>
      <c r="O91" s="49" t="e">
        <f>COUNTIFS('refer admin discharge'!#REF!,"American Indian Alaskan Native",'refer admin discharge'!#REF!,"Female",'refer admin discharge'!AA30:AA1020,"Medicaid Only")</f>
        <v>#REF!</v>
      </c>
      <c r="P91" s="49" t="e">
        <f>COUNTIFS('refer admin discharge'!#REF!,"More than one race reported",'refer admin discharge'!#REF!,"Male",'refer admin discharge'!AA30:AA1020,"Medicaid Only")</f>
        <v>#REF!</v>
      </c>
      <c r="Q91" s="49" t="e">
        <f>COUNTIFS('refer admin discharge'!#REF!,"More than one race reported",'refer admin discharge'!#REF!,"Female",'refer admin discharge'!AA30:AA1020,"Medicaid Only")</f>
        <v>#REF!</v>
      </c>
      <c r="R91" s="49" t="e">
        <f>COUNTIFS('refer admin discharge'!#REF!,"Unknown",'refer admin discharge'!#REF!,"Male",'refer admin discharge'!AA30:AA1020,"Medicaid Only")</f>
        <v>#REF!</v>
      </c>
      <c r="S91" s="49" t="e">
        <f>COUNTIFS('refer admin discharge'!#REF!,"Unknown",'refer admin discharge'!#REF!,"Female",'refer admin discharge'!AA30:AA1020,"Medicaid Only")</f>
        <v>#REF!</v>
      </c>
      <c r="T91" s="89"/>
      <c r="U91" s="139" t="e">
        <f>COUNTIFS('refer admin discharge'!#REF!,"Not Hispanic or Latino",'refer admin discharge'!#REF!,"Male",'refer admin discharge'!AA30:AA1020,"Medicaid Only")</f>
        <v>#REF!</v>
      </c>
      <c r="V91" s="139" t="e">
        <f>COUNTIFS('refer admin discharge'!#REF!,"Not Hispanic or Latino",'refer admin discharge'!#REF!,"Female",'refer admin discharge'!AA30:AA1020,"Medicaid Only")</f>
        <v>#REF!</v>
      </c>
      <c r="W91" s="139" t="e">
        <f>COUNTIFS('refer admin discharge'!#REF!,"Hispanic-Latino ",'refer admin discharge'!#REF!,"Male",'refer admin discharge'!AA30:AA1020,"Medicaid Only")</f>
        <v>#REF!</v>
      </c>
      <c r="X91" s="139" t="e">
        <f>COUNTIFS('refer admin discharge'!#REF!,"Hispanic-Latino ",'refer admin discharge'!#REF!,"Female",'refer admin discharge'!AA30:AA1020,"Medicaid Only")</f>
        <v>#REF!</v>
      </c>
      <c r="Y91" s="139" t="e">
        <f>COUNTIFS('refer admin discharge'!#REF!,"Unknown",'refer admin discharge'!#REF!,"Male",'refer admin discharge'!AA30:AA1020,"Medicaid Only")</f>
        <v>#REF!</v>
      </c>
      <c r="Z91" s="139" t="e">
        <f>COUNTIFS('refer admin discharge'!#REF!,"Unknown",'refer admin discharge'!#REF!,"Female",'refer admin discharge'!AA30:AA1020,"Medicaid Only")</f>
        <v>#REF!</v>
      </c>
      <c r="AA91" s="1773" t="s">
        <v>179</v>
      </c>
      <c r="AB91" s="1773"/>
      <c r="AC91" s="1773"/>
      <c r="AD91" s="123" t="e">
        <f>SUM(F91:S91)</f>
        <v>#REF!</v>
      </c>
      <c r="AF91" s="140" t="e">
        <f>SUM(U91:Z91)</f>
        <v>#REF!</v>
      </c>
      <c r="AI91" s="183"/>
      <c r="AJ91" s="183"/>
      <c r="AK91" s="183" t="e">
        <f>AF91</f>
        <v>#REF!</v>
      </c>
    </row>
    <row r="92" spans="1:37" ht="24.95" customHeight="1" x14ac:dyDescent="0.25">
      <c r="A92" s="1774" t="s">
        <v>180</v>
      </c>
      <c r="B92" s="1774"/>
      <c r="C92" s="1774"/>
      <c r="D92" s="1776" t="s">
        <v>137</v>
      </c>
      <c r="E92" s="1776"/>
      <c r="F92" s="90" t="e">
        <f>COUNTIFS('refer admin discharge'!#REF!,"White",'refer admin discharge'!#REF!,"Male",'refer admin discharge'!AA30:AA1020,"Non-Medicaid Sources only")</f>
        <v>#REF!</v>
      </c>
      <c r="G92" s="90" t="e">
        <f>COUNTIFS('refer admin discharge'!#REF!,"White",'refer admin discharge'!#REF!,"Female",'refer admin discharge'!AA30:AA1020,"Non-Medicaid Sources only")</f>
        <v>#REF!</v>
      </c>
      <c r="H92" s="90" t="e">
        <f>COUNTIFS('refer admin discharge'!#REF!,"African American /Black",'refer admin discharge'!#REF!,"Male",'refer admin discharge'!AA30:AA1020,"Non-Medicaid Sources only")</f>
        <v>#REF!</v>
      </c>
      <c r="I92" s="90" t="e">
        <f>COUNTIFS('refer admin discharge'!#REF!,"African American /Black",'refer admin discharge'!#REF!,"Female",'refer admin discharge'!AA30:AA1020,"Non-Medicaid Sources only")</f>
        <v>#REF!</v>
      </c>
      <c r="J92" s="90" t="e">
        <f>COUNTIFS('refer admin discharge'!#REF!,"Native Hawaiian/Pacific",'refer admin discharge'!#REF!,"Male",'refer admin discharge'!AA30:AA1020,"Non-Medicaid Sources only")</f>
        <v>#REF!</v>
      </c>
      <c r="K92" s="90" t="e">
        <f>COUNTIFS('refer admin discharge'!#REF!,"Native Hawaiian/Pacific",'refer admin discharge'!#REF!,"Female",'refer admin discharge'!AA30:AA1020,"Non-Medicaid Sources only")</f>
        <v>#REF!</v>
      </c>
      <c r="L92" s="90" t="e">
        <f>COUNTIFS('refer admin discharge'!#REF!,"Asian",'refer admin discharge'!#REF!,"Male",'refer admin discharge'!AA30:AA1020,"Non-Medicaid Sources only")</f>
        <v>#REF!</v>
      </c>
      <c r="M92" s="90" t="e">
        <f>COUNTIFS('refer admin discharge'!#REF!,"Asian",'refer admin discharge'!#REF!,"Female",'refer admin discharge'!AA30:AA1020,"Non-Medicaid Sources only")</f>
        <v>#REF!</v>
      </c>
      <c r="N92" s="90" t="e">
        <f>COUNTIFS('refer admin discharge'!#REF!,"American Indian Alaskan Native",'refer admin discharge'!#REF!,"Male",'refer admin discharge'!AA30:AA1020,"Non-Medicaid Sources only")</f>
        <v>#REF!</v>
      </c>
      <c r="O92" s="90" t="e">
        <f>COUNTIFS('refer admin discharge'!#REF!,"American Indian Alaskan Native",'refer admin discharge'!#REF!,"Female",'refer admin discharge'!AA30:AA1020,"Non-Medicaid Sources only")</f>
        <v>#REF!</v>
      </c>
      <c r="P92" s="90" t="e">
        <f>COUNTIFS('refer admin discharge'!#REF!,"More than one race reported",'refer admin discharge'!#REF!,"Male",'refer admin discharge'!AA30:AA1020,"Non-Medicaid Sources only")</f>
        <v>#REF!</v>
      </c>
      <c r="Q92" s="90" t="e">
        <f>COUNTIFS('refer admin discharge'!#REF!,"More than one race reported",'refer admin discharge'!#REF!,"Female",'refer admin discharge'!AA30:AA1020,"Non-Medicaid Sources only")</f>
        <v>#REF!</v>
      </c>
      <c r="R92" s="90" t="e">
        <f>COUNTIFS('refer admin discharge'!#REF!,"Unknown",'refer admin discharge'!#REF!,"Male",'refer admin discharge'!AA30:AA1020,"Non-Medicaid Sources only")</f>
        <v>#REF!</v>
      </c>
      <c r="S92" s="90" t="e">
        <f>COUNTIFS('refer admin discharge'!#REF!,"Unknown",'refer admin discharge'!#REF!,"Female",'refer admin discharge'!AA30:AA1020,"Non-Medicaid Sources only")</f>
        <v>#REF!</v>
      </c>
      <c r="T92" s="89"/>
      <c r="U92" s="141" t="e">
        <f>COUNTIFS('refer admin discharge'!#REF!,"Not Hispanic or Latino",'refer admin discharge'!#REF!,"Male",'refer admin discharge'!AA30:AA1020,"Non-Medicaid Sources only")</f>
        <v>#REF!</v>
      </c>
      <c r="V92" s="141" t="e">
        <f>COUNTIFS('refer admin discharge'!#REF!,"Not Hispanic or Latino",'refer admin discharge'!#REF!,"Female",'refer admin discharge'!AA30:AA1020,"Non-Medicaid Sources only")</f>
        <v>#REF!</v>
      </c>
      <c r="W92" s="141" t="e">
        <f>COUNTIFS('refer admin discharge'!#REF!,"Hispanic-Latino ",'refer admin discharge'!#REF!,"Male",'refer admin discharge'!AA30:AA1020,"Non-Medicaid Sources only")</f>
        <v>#REF!</v>
      </c>
      <c r="X92" s="141" t="e">
        <f>COUNTIFS('refer admin discharge'!#REF!,"Hispanic-Latino ",'refer admin discharge'!#REF!,"Female",'refer admin discharge'!AA30:AA1020,"Non-Medicaid Sources only")</f>
        <v>#REF!</v>
      </c>
      <c r="Y92" s="141" t="e">
        <f>COUNTIFS('refer admin discharge'!#REF!,"Unknown",'refer admin discharge'!#REF!,"Male",'refer admin discharge'!AA30:AA1020,"Non-Medicaid Sources only")</f>
        <v>#REF!</v>
      </c>
      <c r="Z92" s="141" t="e">
        <f>COUNTIFS('refer admin discharge'!#REF!,"Unknown",'refer admin discharge'!#REF!,"Female",'refer admin discharge'!AA30:AA1020,"Non-Medicaid Sources only")</f>
        <v>#REF!</v>
      </c>
      <c r="AA92" s="1774" t="s">
        <v>180</v>
      </c>
      <c r="AB92" s="1774"/>
      <c r="AC92" s="1774"/>
      <c r="AD92" s="91" t="e">
        <f>SUM(F92:S92)</f>
        <v>#REF!</v>
      </c>
      <c r="AF92" s="142" t="e">
        <f>SUM(U92:Z92)</f>
        <v>#REF!</v>
      </c>
      <c r="AI92" s="183"/>
      <c r="AJ92" s="183"/>
      <c r="AK92" s="183" t="e">
        <f>AF92</f>
        <v>#REF!</v>
      </c>
    </row>
    <row r="93" spans="1:37" ht="24.95" customHeight="1" x14ac:dyDescent="0.25">
      <c r="A93" s="1773" t="s">
        <v>182</v>
      </c>
      <c r="B93" s="1773"/>
      <c r="C93" s="1773"/>
      <c r="D93" s="1791" t="s">
        <v>137</v>
      </c>
      <c r="E93" s="1791"/>
      <c r="F93" s="49" t="e">
        <f>COUNTIFS('refer admin discharge'!#REF!,"White",'refer admin discharge'!#REF!,"Male",'refer admin discharge'!AA30:AA1020,"Both Medicaid and Non-Medicaid ")</f>
        <v>#REF!</v>
      </c>
      <c r="G93" s="49" t="e">
        <f>COUNTIFS('refer admin discharge'!#REF!,"White",'refer admin discharge'!#REF!,"Female",'refer admin discharge'!AA30:AA1020,"Both Medicaid and Non-Medicaid ")</f>
        <v>#REF!</v>
      </c>
      <c r="H93" s="49" t="e">
        <f>COUNTIFS('refer admin discharge'!#REF!,"African American /Black",'refer admin discharge'!#REF!,"Male",'refer admin discharge'!AA30:AA1020,"Both Medicaid and Non-Medicaid ")</f>
        <v>#REF!</v>
      </c>
      <c r="I93" s="49" t="e">
        <f>COUNTIFS('refer admin discharge'!#REF!,"African American /Black",'refer admin discharge'!#REF!,"Female",'refer admin discharge'!AA30:AA1020,"Both Medicaid and Non-Medicaid ")</f>
        <v>#REF!</v>
      </c>
      <c r="J93" s="49" t="e">
        <f>COUNTIFS('refer admin discharge'!#REF!,"Native Hawaiian/Pacific",'refer admin discharge'!#REF!,"Male",'refer admin discharge'!AA30:AA1020,"Both Medicaid and Non-Medicaid ")</f>
        <v>#REF!</v>
      </c>
      <c r="K93" s="49" t="e">
        <f>COUNTIFS('refer admin discharge'!#REF!,"Native Hawaiian/Pacific",'refer admin discharge'!#REF!,"Female",'refer admin discharge'!AA30:AA1020,"Both Medicaid and Non-Medicaid ")</f>
        <v>#REF!</v>
      </c>
      <c r="L93" s="49" t="e">
        <f>COUNTIFS('refer admin discharge'!#REF!,"Asian",'refer admin discharge'!#REF!,"Male",'refer admin discharge'!AA30:AA1020,"Both Medicaid and Non-Medicaid ")</f>
        <v>#REF!</v>
      </c>
      <c r="M93" s="49" t="e">
        <f>COUNTIFS('refer admin discharge'!#REF!,"Asian",'refer admin discharge'!#REF!,"Female",'refer admin discharge'!AA30:AA1020,"Both Medicaid and Non-Medicaid ")</f>
        <v>#REF!</v>
      </c>
      <c r="N93" s="49" t="e">
        <f>COUNTIFS('refer admin discharge'!#REF!,"American Indian Alaskan Native",'refer admin discharge'!#REF!,"Male",'refer admin discharge'!AA30:AA1020,"Both Medicaid and Non-Medicaid ")</f>
        <v>#REF!</v>
      </c>
      <c r="O93" s="49" t="e">
        <f>COUNTIFS('refer admin discharge'!#REF!,"American Indian Alaskan Native",'refer admin discharge'!#REF!,"Female",'refer admin discharge'!AA30:AA1020,"Both Medicaid and Non-Medicaid ")</f>
        <v>#REF!</v>
      </c>
      <c r="P93" s="49" t="e">
        <f>COUNTIFS('refer admin discharge'!#REF!,"More than one race reported",'refer admin discharge'!#REF!,"Male",'refer admin discharge'!AA30:AA1020,"Both Medicaid and Non-Medicaid ")</f>
        <v>#REF!</v>
      </c>
      <c r="Q93" s="49" t="e">
        <f>COUNTIFS('refer admin discharge'!#REF!,"More than one race reported",'refer admin discharge'!#REF!,"Female",'refer admin discharge'!AA30:AA1020,"Both Medicaid and Non-Medicaid ")</f>
        <v>#REF!</v>
      </c>
      <c r="R93" s="49" t="e">
        <f>COUNTIFS('refer admin discharge'!#REF!,"Unknown",'refer admin discharge'!#REF!,"Male",'refer admin discharge'!AA30:AA1020,"Both Medicaid and Non-Medicaid ")</f>
        <v>#REF!</v>
      </c>
      <c r="S93" s="49" t="e">
        <f>COUNTIFS('refer admin discharge'!#REF!,"Unknown",'refer admin discharge'!#REF!,"Female",'refer admin discharge'!AA30:AA1020,"Both Medicaid and Non-Medicaid ")</f>
        <v>#REF!</v>
      </c>
      <c r="T93" s="89"/>
      <c r="U93" s="139" t="e">
        <f>COUNTIFS('refer admin discharge'!#REF!,"Not Hispanic or Latino",'refer admin discharge'!#REF!,"Male",'refer admin discharge'!AA30:AA1020,"Both Medicaid and Non-Medicaid ")</f>
        <v>#REF!</v>
      </c>
      <c r="V93" s="139" t="e">
        <f>COUNTIFS('refer admin discharge'!#REF!,"Not Hispanic or Latino",'refer admin discharge'!#REF!,"Female",'refer admin discharge'!AA30:AA1020,"Both Medicaid and Non-Medicaid ")</f>
        <v>#REF!</v>
      </c>
      <c r="W93" s="139" t="e">
        <f>COUNTIFS('refer admin discharge'!#REF!,"Hispanic-Latino ",'refer admin discharge'!#REF!,"Male",'refer admin discharge'!AA30:AA1020,"Both Medicaid and Non-Medicaid ")</f>
        <v>#REF!</v>
      </c>
      <c r="X93" s="139" t="e">
        <f>COUNTIFS('refer admin discharge'!#REF!,"Hispanic-Latino ",'refer admin discharge'!#REF!,"Female",'refer admin discharge'!AA30:AA1020,"Both Medicaid and Non-Medicaid ")</f>
        <v>#REF!</v>
      </c>
      <c r="Y93" s="139" t="e">
        <f>COUNTIFS('refer admin discharge'!#REF!,"Unknown",'refer admin discharge'!#REF!,"Male",'refer admin discharge'!AA30:AA1020,"Both Medicaid and Non-Medicaid ")</f>
        <v>#REF!</v>
      </c>
      <c r="Z93" s="139" t="e">
        <f>COUNTIFS('refer admin discharge'!#REF!,"Unknown",'refer admin discharge'!#REF!,"Female",'refer admin discharge'!AA30:AA1020,"Both Medicaid and Non-Medicaid ")</f>
        <v>#REF!</v>
      </c>
      <c r="AA93" s="1773" t="s">
        <v>182</v>
      </c>
      <c r="AB93" s="1773"/>
      <c r="AC93" s="1773"/>
      <c r="AD93" s="123" t="e">
        <f>SUM(F93:S93)</f>
        <v>#REF!</v>
      </c>
      <c r="AF93" s="140" t="e">
        <f>SUM(U93:Z93)</f>
        <v>#REF!</v>
      </c>
      <c r="AI93" s="183"/>
      <c r="AJ93" s="183"/>
      <c r="AK93" s="183" t="e">
        <f>AF93</f>
        <v>#REF!</v>
      </c>
    </row>
    <row r="94" spans="1:37" ht="24.95" customHeight="1" x14ac:dyDescent="0.25">
      <c r="A94" s="1774" t="s">
        <v>181</v>
      </c>
      <c r="B94" s="1774"/>
      <c r="C94" s="1774"/>
      <c r="D94" s="1776" t="s">
        <v>137</v>
      </c>
      <c r="E94" s="1776"/>
      <c r="F94" s="90" t="e">
        <f>COUNTIFS('refer admin discharge'!#REF!,"White",'refer admin discharge'!#REF!,"Male",'refer admin discharge'!AA30:AA1020,"Not known ")</f>
        <v>#REF!</v>
      </c>
      <c r="G94" s="90" t="e">
        <f>COUNTIFS('refer admin discharge'!#REF!,"White",'refer admin discharge'!#REF!,"Female",'refer admin discharge'!AA30:AA1020,"Not known ")</f>
        <v>#REF!</v>
      </c>
      <c r="H94" s="90" t="e">
        <f>COUNTIFS('refer admin discharge'!#REF!,"African American /Black",'refer admin discharge'!#REF!,"Male",'refer admin discharge'!AA30:AA1020,"Not known ")</f>
        <v>#REF!</v>
      </c>
      <c r="I94" s="90" t="e">
        <f>COUNTIFS('refer admin discharge'!#REF!,"African American /Black",'refer admin discharge'!#REF!,"Female",'refer admin discharge'!AA30:AA1020,"Not known ")</f>
        <v>#REF!</v>
      </c>
      <c r="J94" s="90" t="e">
        <f>COUNTIFS('refer admin discharge'!#REF!,"Native Hawaiian/Pacific",'refer admin discharge'!#REF!,"Male",'refer admin discharge'!AA30:AA1020,"Not known ")</f>
        <v>#REF!</v>
      </c>
      <c r="K94" s="90" t="e">
        <f>COUNTIFS('refer admin discharge'!#REF!,"Native Hawaiian/Pacific",'refer admin discharge'!#REF!,"Female",'refer admin discharge'!AA30:AA1020,"Not known ")</f>
        <v>#REF!</v>
      </c>
      <c r="L94" s="90" t="e">
        <f>COUNTIFS('refer admin discharge'!#REF!,"Asian",'refer admin discharge'!#REF!,"Male",'refer admin discharge'!AA30:AA1020,"Not known ")</f>
        <v>#REF!</v>
      </c>
      <c r="M94" s="90" t="e">
        <f>COUNTIFS('refer admin discharge'!#REF!,"Asian",'refer admin discharge'!#REF!,"Female",'refer admin discharge'!AA30:AA1020,"Not known ")</f>
        <v>#REF!</v>
      </c>
      <c r="N94" s="90" t="e">
        <f>COUNTIFS('refer admin discharge'!#REF!,"American Indian Alaskan Native",'refer admin discharge'!#REF!,"Male",'refer admin discharge'!AA30:AA1020,"Not known ")</f>
        <v>#REF!</v>
      </c>
      <c r="O94" s="90" t="e">
        <f>COUNTIFS('refer admin discharge'!#REF!,"American Indian Alaskan Native",'refer admin discharge'!#REF!,"Female",'refer admin discharge'!AA30:AA1020,"Not known ")</f>
        <v>#REF!</v>
      </c>
      <c r="P94" s="90" t="e">
        <f>COUNTIFS('refer admin discharge'!#REF!,"More than one race reported",'refer admin discharge'!#REF!,"Male",'refer admin discharge'!AA30:AA1020,"Not known ")</f>
        <v>#REF!</v>
      </c>
      <c r="Q94" s="90" t="e">
        <f>COUNTIFS('refer admin discharge'!#REF!,"More than one race reported",'refer admin discharge'!#REF!,"Female",'refer admin discharge'!AA30:AA1020,"Not known ")</f>
        <v>#REF!</v>
      </c>
      <c r="R94" s="90" t="e">
        <f>COUNTIFS('refer admin discharge'!#REF!,"Unknown",'refer admin discharge'!#REF!,"Male",'refer admin discharge'!AA30:AA1020,"Not known ")</f>
        <v>#REF!</v>
      </c>
      <c r="S94" s="90" t="e">
        <f>COUNTIFS('refer admin discharge'!#REF!,"Unknown",'refer admin discharge'!#REF!,"Female",'refer admin discharge'!AA30:AA1020,"Not known ")</f>
        <v>#REF!</v>
      </c>
      <c r="T94" s="89"/>
      <c r="U94" s="141" t="e">
        <f>COUNTIFS('refer admin discharge'!#REF!,"Not Hispanic or Latino",'refer admin discharge'!#REF!,"Male",'refer admin discharge'!AA30:AA1020,"Not known ")</f>
        <v>#REF!</v>
      </c>
      <c r="V94" s="141" t="e">
        <f>COUNTIFS('refer admin discharge'!#REF!,"Not Hispanic or Latino",'refer admin discharge'!#REF!,"Female",'refer admin discharge'!AA30:AA1020,"Not known ")</f>
        <v>#REF!</v>
      </c>
      <c r="W94" s="141" t="e">
        <f>COUNTIFS('refer admin discharge'!#REF!,"Hispanic-Latino ",'refer admin discharge'!#REF!,"Male",'refer admin discharge'!AA30:AA1020,"Not known ")</f>
        <v>#REF!</v>
      </c>
      <c r="X94" s="141" t="e">
        <f>COUNTIFS('refer admin discharge'!#REF!,"Hispanic-Latino ",'refer admin discharge'!#REF!,"Female",'refer admin discharge'!AA30:AA1020,"Not known ")</f>
        <v>#REF!</v>
      </c>
      <c r="Y94" s="141" t="e">
        <f>COUNTIFS('refer admin discharge'!#REF!,"Unknown",'refer admin discharge'!#REF!,"Male",'refer admin discharge'!AA30:AA1020,"Not known ")</f>
        <v>#REF!</v>
      </c>
      <c r="Z94" s="141" t="e">
        <f>COUNTIFS('refer admin discharge'!#REF!,"Unknown",'refer admin discharge'!#REF!,"Female",'refer admin discharge'!AA30:AA1020,"Not known ")</f>
        <v>#REF!</v>
      </c>
      <c r="AA94" s="1774" t="s">
        <v>181</v>
      </c>
      <c r="AB94" s="1774"/>
      <c r="AC94" s="1774"/>
      <c r="AD94" s="91" t="e">
        <f>SUM(F94:S94)</f>
        <v>#REF!</v>
      </c>
      <c r="AF94" s="142" t="e">
        <f>SUM(U94:Z94)</f>
        <v>#REF!</v>
      </c>
      <c r="AI94" s="183"/>
      <c r="AJ94" s="183"/>
      <c r="AK94" s="183" t="e">
        <f>AF94</f>
        <v>#REF!</v>
      </c>
    </row>
    <row r="95" spans="1:37" ht="20.100000000000001" customHeight="1" x14ac:dyDescent="0.25">
      <c r="A95" s="92"/>
      <c r="B95" s="92"/>
      <c r="C95" s="92"/>
      <c r="D95" s="93"/>
      <c r="E95" s="93"/>
      <c r="F95" s="94" t="e">
        <f t="shared" ref="F95:S95" si="6">SUM(F91:F94)</f>
        <v>#REF!</v>
      </c>
      <c r="G95" s="94" t="e">
        <f t="shared" si="6"/>
        <v>#REF!</v>
      </c>
      <c r="H95" s="94" t="e">
        <f t="shared" si="6"/>
        <v>#REF!</v>
      </c>
      <c r="I95" s="94" t="e">
        <f t="shared" si="6"/>
        <v>#REF!</v>
      </c>
      <c r="J95" s="94" t="e">
        <f t="shared" si="6"/>
        <v>#REF!</v>
      </c>
      <c r="K95" s="94" t="e">
        <f t="shared" si="6"/>
        <v>#REF!</v>
      </c>
      <c r="L95" s="94" t="e">
        <f t="shared" si="6"/>
        <v>#REF!</v>
      </c>
      <c r="M95" s="94" t="e">
        <f t="shared" si="6"/>
        <v>#REF!</v>
      </c>
      <c r="N95" s="94" t="e">
        <f t="shared" si="6"/>
        <v>#REF!</v>
      </c>
      <c r="O95" s="94" t="e">
        <f t="shared" si="6"/>
        <v>#REF!</v>
      </c>
      <c r="P95" s="94" t="e">
        <f t="shared" si="6"/>
        <v>#REF!</v>
      </c>
      <c r="Q95" s="94" t="e">
        <f t="shared" si="6"/>
        <v>#REF!</v>
      </c>
      <c r="R95" s="94" t="e">
        <f t="shared" si="6"/>
        <v>#REF!</v>
      </c>
      <c r="S95" s="94" t="e">
        <f t="shared" si="6"/>
        <v>#REF!</v>
      </c>
      <c r="T95" s="95"/>
      <c r="U95" s="94" t="e">
        <f t="shared" ref="U95:Z95" si="7">SUM(U91:U94)</f>
        <v>#REF!</v>
      </c>
      <c r="V95" s="94" t="e">
        <f t="shared" si="7"/>
        <v>#REF!</v>
      </c>
      <c r="W95" s="94" t="e">
        <f t="shared" si="7"/>
        <v>#REF!</v>
      </c>
      <c r="X95" s="94" t="e">
        <f t="shared" si="7"/>
        <v>#REF!</v>
      </c>
      <c r="Y95" s="94" t="e">
        <f t="shared" si="7"/>
        <v>#REF!</v>
      </c>
      <c r="Z95" s="94" t="e">
        <f t="shared" si="7"/>
        <v>#REF!</v>
      </c>
      <c r="AA95" s="1775" t="s">
        <v>13</v>
      </c>
      <c r="AB95" s="1775"/>
      <c r="AC95" s="1775"/>
      <c r="AD95" s="96" t="e">
        <f>SUM(F95:S95)</f>
        <v>#REF!</v>
      </c>
      <c r="AE95" s="29"/>
      <c r="AF95" s="96" t="e">
        <f>SUM(U95:Z95)</f>
        <v>#REF!</v>
      </c>
      <c r="AI95" s="183"/>
      <c r="AJ95" s="183"/>
      <c r="AK95" s="183"/>
    </row>
    <row r="96" spans="1:37" ht="20.100000000000001" customHeight="1" x14ac:dyDescent="0.25">
      <c r="A96" s="84"/>
      <c r="B96" s="84"/>
      <c r="C96" s="84"/>
      <c r="D96" s="85"/>
      <c r="E96" s="85"/>
      <c r="F96" s="1795" t="s">
        <v>369</v>
      </c>
      <c r="G96" s="1795"/>
      <c r="H96" s="1795"/>
      <c r="I96" s="1795"/>
      <c r="J96" s="1795"/>
      <c r="K96" s="1795"/>
      <c r="L96" s="1795"/>
      <c r="M96" s="1795"/>
      <c r="N96" s="1795"/>
      <c r="O96" s="1795"/>
      <c r="P96" s="1795"/>
      <c r="Q96" s="1795"/>
      <c r="R96" s="1795"/>
      <c r="S96" s="1795"/>
      <c r="T96" s="86"/>
      <c r="U96" s="1795" t="s">
        <v>370</v>
      </c>
      <c r="V96" s="1795"/>
      <c r="W96" s="1795"/>
      <c r="X96" s="1795"/>
      <c r="Y96" s="1795"/>
      <c r="Z96" s="1795"/>
      <c r="AA96" s="87"/>
      <c r="AB96" s="87"/>
      <c r="AC96" s="87"/>
      <c r="AD96" s="88"/>
      <c r="AE96" s="16"/>
      <c r="AF96" s="88"/>
      <c r="AI96" s="183"/>
      <c r="AJ96" s="183"/>
      <c r="AK96" s="183"/>
    </row>
    <row r="97" spans="1:37" ht="20.100000000000001" customHeight="1" x14ac:dyDescent="0.25">
      <c r="A97" s="1873" t="s">
        <v>173</v>
      </c>
      <c r="B97" s="1873"/>
      <c r="C97" s="1873"/>
      <c r="D97" s="1829" t="s">
        <v>136</v>
      </c>
      <c r="E97" s="1829"/>
      <c r="F97" s="97" t="e">
        <f>COUNTIFS('refer admin discharge'!#REF!,"White",'refer admin discharge'!#REF!,"Male",'refer admin discharge'!Y30:Y1020,"Private Residence")</f>
        <v>#REF!</v>
      </c>
      <c r="G97" s="97" t="e">
        <f>COUNTIFS('refer admin discharge'!#REF!,"White",'refer admin discharge'!#REF!,"Female",'refer admin discharge'!Y30:Y1020,"Private Residence")</f>
        <v>#REF!</v>
      </c>
      <c r="H97" s="97" t="e">
        <f>COUNTIFS('refer admin discharge'!#REF!,"African American /Black",'refer admin discharge'!#REF!,"Male",'refer admin discharge'!Y30:Y1020,"Private Residence")</f>
        <v>#REF!</v>
      </c>
      <c r="I97" s="97" t="e">
        <f>COUNTIFS('refer admin discharge'!#REF!,"African American /Black",'refer admin discharge'!#REF!,"Female",'refer admin discharge'!Y30:Y1020,"Private Residence")</f>
        <v>#REF!</v>
      </c>
      <c r="J97" s="97" t="e">
        <f>COUNTIFS('refer admin discharge'!#REF!,"Native Hawaiian/Pacific",'refer admin discharge'!#REF!,"Male",'refer admin discharge'!Y30:Y1020,"Private Residence")</f>
        <v>#REF!</v>
      </c>
      <c r="K97" s="97" t="e">
        <f>COUNTIFS('refer admin discharge'!#REF!,"Native Hawaiian/Pacific",'refer admin discharge'!#REF!,"Female",'refer admin discharge'!Y30:Y1020,"Private Residence")</f>
        <v>#REF!</v>
      </c>
      <c r="L97" s="97" t="e">
        <f>COUNTIFS('refer admin discharge'!#REF!,"Asian",'refer admin discharge'!#REF!,"Male",'refer admin discharge'!Y30:Y1020,"Private Residence")</f>
        <v>#REF!</v>
      </c>
      <c r="M97" s="97" t="e">
        <f>COUNTIFS('refer admin discharge'!#REF!,"Asian",'refer admin discharge'!#REF!,"Female",'refer admin discharge'!Y30:Y1020,"Private Residence")</f>
        <v>#REF!</v>
      </c>
      <c r="N97" s="97" t="e">
        <f>COUNTIFS('refer admin discharge'!#REF!,"American Indian Alaskan Native",'refer admin discharge'!#REF!,"Male",'refer admin discharge'!Y30:Y1020,"Private Residence")</f>
        <v>#REF!</v>
      </c>
      <c r="O97" s="97" t="e">
        <f>COUNTIFS('refer admin discharge'!#REF!,"American Indian Alaskan Native",'refer admin discharge'!#REF!,"Female",'refer admin discharge'!Y30:Y1020,"Private Residence")</f>
        <v>#REF!</v>
      </c>
      <c r="P97" s="97" t="e">
        <f>COUNTIFS('refer admin discharge'!#REF!,"More than one race reported",'refer admin discharge'!#REF!,"Male",'refer admin discharge'!Y30:Y1020,"Private Residence")</f>
        <v>#REF!</v>
      </c>
      <c r="Q97" s="97" t="e">
        <f>COUNTIFS('refer admin discharge'!#REF!,"More than one race reported",'refer admin discharge'!#REF!,"Female",'refer admin discharge'!Y30:Y1020,"Private Residence")</f>
        <v>#REF!</v>
      </c>
      <c r="R97" s="97" t="e">
        <f>COUNTIFS('refer admin discharge'!#REF!,"Unknown",'refer admin discharge'!#REF!,"Male",'refer admin discharge'!Y30:Y1020,"Private Residence")</f>
        <v>#REF!</v>
      </c>
      <c r="S97" s="97" t="e">
        <f>COUNTIFS('refer admin discharge'!#REF!,"Unknown",'refer admin discharge'!#REF!,"Female",'refer admin discharge'!Y30:Y1020,"Private Residence")</f>
        <v>#REF!</v>
      </c>
      <c r="T97" s="89"/>
      <c r="U97" s="97" t="e">
        <f>COUNTIFS('refer admin discharge'!#REF!,"Not Hispanic or Latino",'refer admin discharge'!#REF!,"Male",'refer admin discharge'!Y30:Y1020,"Private Residence")</f>
        <v>#REF!</v>
      </c>
      <c r="V97" s="97" t="e">
        <f>COUNTIFS('refer admin discharge'!#REF!,"Not Hispanic or Latino",'refer admin discharge'!#REF!,"Female",'refer admin discharge'!Y30:Y1020,"Private Residence")</f>
        <v>#REF!</v>
      </c>
      <c r="W97" s="97" t="e">
        <f>COUNTIFS('refer admin discharge'!#REF!,"Hispanic-Latino ",'refer admin discharge'!#REF!,"Male",'refer admin discharge'!Y30:Y1020,"Private Residence")</f>
        <v>#REF!</v>
      </c>
      <c r="X97" s="97" t="e">
        <f>COUNTIFS('refer admin discharge'!#REF!,"Hispanic-Latino ",'refer admin discharge'!#REF!,"Female",'refer admin discharge'!Y30:Y1020,"Private Residence")</f>
        <v>#REF!</v>
      </c>
      <c r="Y97" s="97" t="e">
        <f>COUNTIFS('refer admin discharge'!#REF!,"Unknown",'refer admin discharge'!#REF!,"Male",'refer admin discharge'!Y30:Y1020,"Private Residence")</f>
        <v>#REF!</v>
      </c>
      <c r="Z97" s="97" t="e">
        <f>COUNTIFS('refer admin discharge'!#REF!,"Unknown",'refer admin discharge'!#REF!,"Female",'refer admin discharge'!Y30:Y1020,"Private Residence")</f>
        <v>#REF!</v>
      </c>
      <c r="AA97" s="1815" t="s">
        <v>173</v>
      </c>
      <c r="AB97" s="1815"/>
      <c r="AC97" s="1815"/>
      <c r="AD97" s="98" t="e">
        <f>SUM(F97:S97)</f>
        <v>#REF!</v>
      </c>
      <c r="AE97" s="99"/>
      <c r="AF97" s="98" t="e">
        <f>SUM(U97:Z97)</f>
        <v>#REF!</v>
      </c>
      <c r="AI97" s="183"/>
      <c r="AJ97" s="183"/>
      <c r="AK97" s="183"/>
    </row>
    <row r="98" spans="1:37" ht="20.100000000000001" customHeight="1" x14ac:dyDescent="0.25">
      <c r="A98" s="1870" t="s">
        <v>177</v>
      </c>
      <c r="B98" s="1870"/>
      <c r="C98" s="1870"/>
      <c r="D98" s="1872" t="s">
        <v>306</v>
      </c>
      <c r="E98" s="1872"/>
      <c r="F98" s="100" t="e">
        <f>COUNTIFS('refer admin discharge'!#REF!,"White",'refer admin discharge'!#REF!,"Male",'refer admin discharge'!Y30:Y1020,"Homeless ")</f>
        <v>#REF!</v>
      </c>
      <c r="G98" s="100" t="e">
        <f>COUNTIFS('refer admin discharge'!#REF!,"White",'refer admin discharge'!#REF!,"Female",'refer admin discharge'!Y30:Y1020,"Homeless ")</f>
        <v>#REF!</v>
      </c>
      <c r="H98" s="100" t="e">
        <f>COUNTIFS('refer admin discharge'!#REF!,"African American /Black",'refer admin discharge'!#REF!,"Male",'refer admin discharge'!Y30:Y1020,"Homeless ")</f>
        <v>#REF!</v>
      </c>
      <c r="I98" s="100" t="e">
        <f>COUNTIFS('refer admin discharge'!#REF!,"African American /Black",'refer admin discharge'!#REF!,"Female",'refer admin discharge'!Y30:Y1020,"Homeless ")</f>
        <v>#REF!</v>
      </c>
      <c r="J98" s="100" t="e">
        <f>COUNTIFS('refer admin discharge'!#REF!,"Native Hawaiian/Pacific",'refer admin discharge'!#REF!,"Male",'refer admin discharge'!Y30:Y1020,"Homeless ")</f>
        <v>#REF!</v>
      </c>
      <c r="K98" s="100" t="e">
        <f>COUNTIFS('refer admin discharge'!#REF!,"Native Hawaiian/Pacific",'refer admin discharge'!#REF!,"Female",'refer admin discharge'!Y30:Y1020,"Homeless ")</f>
        <v>#REF!</v>
      </c>
      <c r="L98" s="100" t="e">
        <f>COUNTIFS('refer admin discharge'!#REF!,"Asian",'refer admin discharge'!#REF!,"Male",'refer admin discharge'!Y30:Y1020,"Homeless ")</f>
        <v>#REF!</v>
      </c>
      <c r="M98" s="100" t="e">
        <f>COUNTIFS('refer admin discharge'!#REF!,"Asian",'refer admin discharge'!#REF!,"Female",'refer admin discharge'!Y30:Y1020,"Homeless ")</f>
        <v>#REF!</v>
      </c>
      <c r="N98" s="100" t="e">
        <f>COUNTIFS('refer admin discharge'!#REF!,"American Indian Alaskan Native",'refer admin discharge'!#REF!,"Male",'refer admin discharge'!Y30:Y1020,"Homeless ")</f>
        <v>#REF!</v>
      </c>
      <c r="O98" s="100" t="e">
        <f>COUNTIFS('refer admin discharge'!#REF!,"American Indian Alaskan Native",'refer admin discharge'!#REF!,"Female",'refer admin discharge'!Y30:Y1020,"Homeless ")</f>
        <v>#REF!</v>
      </c>
      <c r="P98" s="100" t="e">
        <f>COUNTIFS('refer admin discharge'!#REF!,"More than one race reported",'refer admin discharge'!#REF!,"Male",'refer admin discharge'!Y30:Y1020,"Homeless ")</f>
        <v>#REF!</v>
      </c>
      <c r="Q98" s="100" t="e">
        <f>COUNTIFS('refer admin discharge'!#REF!,"More than one race reported",'refer admin discharge'!#REF!,"Female",'refer admin discharge'!Y30:Y1020,"Homeless ")</f>
        <v>#REF!</v>
      </c>
      <c r="R98" s="100" t="e">
        <f>COUNTIFS('refer admin discharge'!#REF!,"Unknown",'refer admin discharge'!#REF!,"Male",'refer admin discharge'!Y30:Y1020,"Homeless ")</f>
        <v>#REF!</v>
      </c>
      <c r="S98" s="100" t="e">
        <f>COUNTIFS('refer admin discharge'!#REF!,"Unknown",'refer admin discharge'!#REF!,"Female",'refer admin discharge'!Y30:Y1020,"Homeless ")</f>
        <v>#REF!</v>
      </c>
      <c r="T98" s="89"/>
      <c r="U98" s="100" t="e">
        <f>COUNTIFS('refer admin discharge'!#REF!,"Not Hispanic or Latino",'refer admin discharge'!#REF!,"Male",'refer admin discharge'!Y30:Y1020,"Homeless ")</f>
        <v>#REF!</v>
      </c>
      <c r="V98" s="100" t="e">
        <f>COUNTIFS('refer admin discharge'!#REF!,"Not Hispanic or Latino",'refer admin discharge'!#REF!,"Female",'refer admin discharge'!Y30:Y1020,"Homeless ")</f>
        <v>#REF!</v>
      </c>
      <c r="W98" s="100" t="e">
        <f>COUNTIFS('refer admin discharge'!#REF!,"Hispanic-Latino ",'refer admin discharge'!#REF!,"Male",'refer admin discharge'!Y30:Y1020,"Homeless ")</f>
        <v>#REF!</v>
      </c>
      <c r="X98" s="100" t="e">
        <f>COUNTIFS('refer admin discharge'!#REF!,"Hispanic-Latino ",'refer admin discharge'!#REF!,"Female",'refer admin discharge'!Y30:Y1020,"Homeless ")</f>
        <v>#REF!</v>
      </c>
      <c r="Y98" s="100" t="e">
        <f>COUNTIFS('refer admin discharge'!#REF!,"Unknown",'refer admin discharge'!#REF!,"Male",'refer admin discharge'!Y30:Y1020,"Homeless ")</f>
        <v>#REF!</v>
      </c>
      <c r="Z98" s="100" t="e">
        <f>COUNTIFS('refer admin discharge'!#REF!,"Unknown",'refer admin discharge'!#REF!,"Female",'refer admin discharge'!Y30:Y1020,"Homeless ")</f>
        <v>#REF!</v>
      </c>
      <c r="AA98" s="1816" t="s">
        <v>177</v>
      </c>
      <c r="AB98" s="1816"/>
      <c r="AC98" s="1816"/>
      <c r="AD98" s="101" t="e">
        <f t="shared" ref="AD98:AD105" si="8">SUM(F98:S98)</f>
        <v>#REF!</v>
      </c>
      <c r="AE98" s="99"/>
      <c r="AF98" s="101" t="e">
        <f t="shared" ref="AF98:AF105" si="9">SUM(U98:Z98)</f>
        <v>#REF!</v>
      </c>
      <c r="AI98" s="183"/>
      <c r="AJ98" s="183"/>
      <c r="AK98" s="183"/>
    </row>
    <row r="99" spans="1:37" ht="20.100000000000001" customHeight="1" x14ac:dyDescent="0.25">
      <c r="A99" s="1873" t="s">
        <v>174</v>
      </c>
      <c r="B99" s="1873"/>
      <c r="C99" s="1873"/>
      <c r="D99" s="1829" t="s">
        <v>136</v>
      </c>
      <c r="E99" s="1829"/>
      <c r="F99" s="97" t="e">
        <f>COUNTIFS('refer admin discharge'!#REF!,"White",'refer admin discharge'!#REF!,"Male",'refer admin discharge'!Y30:Y1020,"Residential Care")</f>
        <v>#REF!</v>
      </c>
      <c r="G99" s="97" t="e">
        <f>COUNTIFS('refer admin discharge'!#REF!,"White",'refer admin discharge'!#REF!,"Female",'refer admin discharge'!Y30:Y1020,"Residential Care")</f>
        <v>#REF!</v>
      </c>
      <c r="H99" s="97" t="e">
        <f>COUNTIFS('refer admin discharge'!#REF!,"African American /Black",'refer admin discharge'!#REF!,"Male",'refer admin discharge'!Y30:Y1020,"Residential Care")</f>
        <v>#REF!</v>
      </c>
      <c r="I99" s="97" t="e">
        <f>COUNTIFS('refer admin discharge'!#REF!,"African American /Black",'refer admin discharge'!#REF!,"Female",'refer admin discharge'!Y30:Y1020,"Residential Care")</f>
        <v>#REF!</v>
      </c>
      <c r="J99" s="97" t="e">
        <f>COUNTIFS('refer admin discharge'!#REF!,"Native Hawaiian/Pacific",'refer admin discharge'!#REF!,"Male",'refer admin discharge'!Y30:Y1020,"Residential Care")</f>
        <v>#REF!</v>
      </c>
      <c r="K99" s="97" t="e">
        <f>COUNTIFS('refer admin discharge'!#REF!,"Native Hawaiian/Pacific",'refer admin discharge'!#REF!,"Female",'refer admin discharge'!Y30:Y1020,"Residential Care")</f>
        <v>#REF!</v>
      </c>
      <c r="L99" s="97" t="e">
        <f>COUNTIFS('refer admin discharge'!#REF!,"Asian",'refer admin discharge'!#REF!,"Male",'refer admin discharge'!Y30:Y1020,"Residential Care")</f>
        <v>#REF!</v>
      </c>
      <c r="M99" s="97" t="e">
        <f>COUNTIFS('refer admin discharge'!#REF!,"Asian",'refer admin discharge'!#REF!,"Female",'refer admin discharge'!Y30:Y1020,"Residential Care")</f>
        <v>#REF!</v>
      </c>
      <c r="N99" s="97" t="e">
        <f>COUNTIFS('refer admin discharge'!#REF!,"American Indian Alaskan Native",'refer admin discharge'!#REF!,"Male",'refer admin discharge'!Y30:Y1020,"Residential Care")</f>
        <v>#REF!</v>
      </c>
      <c r="O99" s="97" t="e">
        <f>COUNTIFS('refer admin discharge'!#REF!,"American Indian Alaskan Native",'refer admin discharge'!#REF!,"Female",'refer admin discharge'!Y30:Y1020,"Residential Care")</f>
        <v>#REF!</v>
      </c>
      <c r="P99" s="97" t="e">
        <f>COUNTIFS('refer admin discharge'!#REF!,"More than one race reported",'refer admin discharge'!#REF!,"Male",'refer admin discharge'!Y30:Y1020,"Residential Care")</f>
        <v>#REF!</v>
      </c>
      <c r="Q99" s="97" t="e">
        <f>COUNTIFS('refer admin discharge'!#REF!,"More than one race reported",'refer admin discharge'!#REF!,"Female",'refer admin discharge'!Y30:Y1020,"Residential Care")</f>
        <v>#REF!</v>
      </c>
      <c r="R99" s="97" t="e">
        <f>COUNTIFS('refer admin discharge'!#REF!,"Unknown",'refer admin discharge'!#REF!,"Male",'refer admin discharge'!Y30:Y1020,"Residential Care")</f>
        <v>#REF!</v>
      </c>
      <c r="S99" s="97" t="e">
        <f>COUNTIFS('refer admin discharge'!#REF!,"Unknown",'refer admin discharge'!#REF!,"Female",'refer admin discharge'!Y30:Y1020,"Residential Care")</f>
        <v>#REF!</v>
      </c>
      <c r="T99" s="89"/>
      <c r="U99" s="97" t="e">
        <f>COUNTIFS('refer admin discharge'!#REF!,"Not Hispanic or Latino",'refer admin discharge'!#REF!,"Male",'refer admin discharge'!Y30:Y1020,"Residential Care")</f>
        <v>#REF!</v>
      </c>
      <c r="V99" s="97" t="e">
        <f>COUNTIFS('refer admin discharge'!#REF!,"Not Hispanic or Latino",'refer admin discharge'!#REF!,"Female",'refer admin discharge'!Y30:Y1020,"Residential Care")</f>
        <v>#REF!</v>
      </c>
      <c r="W99" s="97" t="e">
        <f>COUNTIFS('refer admin discharge'!#REF!,"Hispanic-Latino ",'refer admin discharge'!#REF!,"Male",'refer admin discharge'!Y30:Y1020,"Residential Care")</f>
        <v>#REF!</v>
      </c>
      <c r="X99" s="97" t="e">
        <f>COUNTIFS('refer admin discharge'!#REF!,"Hispanic-Latino ",'refer admin discharge'!#REF!,"Female",'refer admin discharge'!Y30:Y1020,"Residential Care")</f>
        <v>#REF!</v>
      </c>
      <c r="Y99" s="97" t="e">
        <f>COUNTIFS('refer admin discharge'!#REF!,"Unknown",'refer admin discharge'!#REF!,"Male",'refer admin discharge'!Y30:Y1020,"Residential Care")</f>
        <v>#REF!</v>
      </c>
      <c r="Z99" s="97" t="e">
        <f>COUNTIFS('refer admin discharge'!#REF!,"Unknown",'refer admin discharge'!#REF!,"Female",'refer admin discharge'!Y30:Y1020,"Residential Care")</f>
        <v>#REF!</v>
      </c>
      <c r="AA99" s="1815" t="s">
        <v>174</v>
      </c>
      <c r="AB99" s="1815"/>
      <c r="AC99" s="1815"/>
      <c r="AD99" s="98" t="e">
        <f t="shared" si="8"/>
        <v>#REF!</v>
      </c>
      <c r="AE99" s="99"/>
      <c r="AF99" s="98" t="e">
        <f t="shared" si="9"/>
        <v>#REF!</v>
      </c>
      <c r="AI99" s="183"/>
      <c r="AJ99" s="183"/>
      <c r="AK99" s="183"/>
    </row>
    <row r="100" spans="1:37" ht="20.100000000000001" customHeight="1" x14ac:dyDescent="0.25">
      <c r="A100" s="1870" t="s">
        <v>175</v>
      </c>
      <c r="B100" s="1870"/>
      <c r="C100" s="1870"/>
      <c r="D100" s="1872" t="s">
        <v>306</v>
      </c>
      <c r="E100" s="1872"/>
      <c r="F100" s="100" t="e">
        <f>COUNTIFS('refer admin discharge'!#REF!,"White",'refer admin discharge'!#REF!,"Male",'refer admin discharge'!Y30:Y1020,"Crisis Residence")</f>
        <v>#REF!</v>
      </c>
      <c r="G100" s="100" t="e">
        <f>COUNTIFS('refer admin discharge'!#REF!,"White",'refer admin discharge'!#REF!,"Female",'refer admin discharge'!Y30:Y1020,"Crisis Residence")</f>
        <v>#REF!</v>
      </c>
      <c r="H100" s="100" t="e">
        <f>COUNTIFS('refer admin discharge'!#REF!,"African American /Black",'refer admin discharge'!#REF!,"Male",'refer admin discharge'!Y30:Y1020,"Crisis Residence")</f>
        <v>#REF!</v>
      </c>
      <c r="I100" s="100" t="e">
        <f>COUNTIFS('refer admin discharge'!#REF!,"African American /Black",'refer admin discharge'!#REF!,"Female",'refer admin discharge'!Y30:Y1020,"Crisis Residence")</f>
        <v>#REF!</v>
      </c>
      <c r="J100" s="100" t="e">
        <f>COUNTIFS('refer admin discharge'!#REF!,"Native Hawaiian/Pacific",'refer admin discharge'!#REF!,"Male",'refer admin discharge'!Y30:Y1020,"Crisis Residence")</f>
        <v>#REF!</v>
      </c>
      <c r="K100" s="100" t="e">
        <f>COUNTIFS('refer admin discharge'!#REF!,"Native Hawaiian/Pacific",'refer admin discharge'!#REF!,"Female",'refer admin discharge'!Y30:Y1020,"Crisis Residence")</f>
        <v>#REF!</v>
      </c>
      <c r="L100" s="100" t="e">
        <f>COUNTIFS('refer admin discharge'!#REF!,"Asian",'refer admin discharge'!#REF!,"Male",'refer admin discharge'!Y30:Y1020,"Crisis Residence")</f>
        <v>#REF!</v>
      </c>
      <c r="M100" s="100" t="e">
        <f>COUNTIFS('refer admin discharge'!#REF!,"Asian",'refer admin discharge'!#REF!,"Female",'refer admin discharge'!Y30:Y1020,"Crisis Residence")</f>
        <v>#REF!</v>
      </c>
      <c r="N100" s="100" t="e">
        <f>COUNTIFS('refer admin discharge'!#REF!,"American Indian Alaskan Native",'refer admin discharge'!#REF!,"Male",'refer admin discharge'!Y30:Y1020,"Crisis Residence")</f>
        <v>#REF!</v>
      </c>
      <c r="O100" s="100" t="e">
        <f>COUNTIFS('refer admin discharge'!#REF!,"American Indian Alaskan Native",'refer admin discharge'!#REF!,"Female",'refer admin discharge'!Y30:Y1020,"Crisis Residence")</f>
        <v>#REF!</v>
      </c>
      <c r="P100" s="100" t="e">
        <f>COUNTIFS('refer admin discharge'!#REF!,"More than one race reported",'refer admin discharge'!#REF!,"Male",'refer admin discharge'!Y30:Y1020,"Crisis Residence")</f>
        <v>#REF!</v>
      </c>
      <c r="Q100" s="100" t="e">
        <f>COUNTIFS('refer admin discharge'!#REF!,"More than one race reported",'refer admin discharge'!#REF!,"Female",'refer admin discharge'!Y30:Y1020,"Crisis Residence")</f>
        <v>#REF!</v>
      </c>
      <c r="R100" s="100" t="e">
        <f>COUNTIFS('refer admin discharge'!#REF!,"Unknown",'refer admin discharge'!#REF!,"Male",'refer admin discharge'!Y30:Y1020,"Crisis Residence")</f>
        <v>#REF!</v>
      </c>
      <c r="S100" s="100" t="e">
        <f>COUNTIFS('refer admin discharge'!#REF!,"Unknown",'refer admin discharge'!#REF!,"Female",'refer admin discharge'!Y30:Y1020,"Crisis Residence")</f>
        <v>#REF!</v>
      </c>
      <c r="T100" s="89"/>
      <c r="U100" s="100" t="e">
        <f>COUNTIFS('refer admin discharge'!#REF!,"Not Hispanic or Latino",'refer admin discharge'!#REF!,"Male",'refer admin discharge'!Y30:Y1020,"Crisis Residence")</f>
        <v>#REF!</v>
      </c>
      <c r="V100" s="100" t="e">
        <f>COUNTIFS('refer admin discharge'!#REF!,"Not Hispanic or Latino",'refer admin discharge'!#REF!,"Female",'refer admin discharge'!Y30:Y1020,"Crisis Residence")</f>
        <v>#REF!</v>
      </c>
      <c r="W100" s="100" t="e">
        <f>COUNTIFS('refer admin discharge'!#REF!,"Hispanic-Latino ",'refer admin discharge'!#REF!,"Male",'refer admin discharge'!Y30:Y1020,"Crisis Residence")</f>
        <v>#REF!</v>
      </c>
      <c r="X100" s="100" t="e">
        <f>COUNTIFS('refer admin discharge'!#REF!,"Hispanic-Latino ",'refer admin discharge'!#REF!,"Female",'refer admin discharge'!Y30:Y1020,"Crisis Residence")</f>
        <v>#REF!</v>
      </c>
      <c r="Y100" s="100" t="e">
        <f>COUNTIFS('refer admin discharge'!#REF!,"Unknown",'refer admin discharge'!#REF!,"Male",'refer admin discharge'!Y30:Y1020,"Crisis Residence")</f>
        <v>#REF!</v>
      </c>
      <c r="Z100" s="100" t="e">
        <f>COUNTIFS('refer admin discharge'!#REF!,"Unknown",'refer admin discharge'!#REF!,"Female",'refer admin discharge'!Y30:Y1020,"Crisis Residence")</f>
        <v>#REF!</v>
      </c>
      <c r="AA100" s="1816" t="s">
        <v>175</v>
      </c>
      <c r="AB100" s="1816"/>
      <c r="AC100" s="1816"/>
      <c r="AD100" s="101" t="e">
        <f t="shared" si="8"/>
        <v>#REF!</v>
      </c>
      <c r="AE100" s="99"/>
      <c r="AF100" s="101" t="e">
        <f t="shared" si="9"/>
        <v>#REF!</v>
      </c>
      <c r="AI100" s="183"/>
      <c r="AJ100" s="183"/>
      <c r="AK100" s="183"/>
    </row>
    <row r="101" spans="1:37" ht="20.100000000000001" customHeight="1" x14ac:dyDescent="0.25">
      <c r="A101" s="1873" t="s">
        <v>224</v>
      </c>
      <c r="B101" s="1873"/>
      <c r="C101" s="1873"/>
      <c r="D101" s="1829" t="s">
        <v>136</v>
      </c>
      <c r="E101" s="1829"/>
      <c r="F101" s="97" t="e">
        <f>COUNTIFS('refer admin discharge'!#REF!,"White",'refer admin discharge'!#REF!,"Male",'refer admin discharge'!Y30:Y1020,"Institutional Setting")</f>
        <v>#REF!</v>
      </c>
      <c r="G101" s="97" t="e">
        <f>COUNTIFS('refer admin discharge'!#REF!,"White",'refer admin discharge'!#REF!,"Female",'refer admin discharge'!Y30:Y1020,"Institutional Setting")</f>
        <v>#REF!</v>
      </c>
      <c r="H101" s="97" t="e">
        <f>COUNTIFS('refer admin discharge'!#REF!,"African American /Black",'refer admin discharge'!#REF!,"Male",'refer admin discharge'!Y30:Y1020,"Institutional Setting")</f>
        <v>#REF!</v>
      </c>
      <c r="I101" s="97" t="e">
        <f>COUNTIFS('refer admin discharge'!#REF!,"African American /Black",'refer admin discharge'!#REF!,"Female",'refer admin discharge'!Y30:Y1020,"Institutional Setting")</f>
        <v>#REF!</v>
      </c>
      <c r="J101" s="97" t="e">
        <f>COUNTIFS('refer admin discharge'!#REF!,"Native Hawaiian/Pacific",'refer admin discharge'!#REF!,"Male",'refer admin discharge'!Y30:Y1020,"Institutional Setting")</f>
        <v>#REF!</v>
      </c>
      <c r="K101" s="97" t="e">
        <f>COUNTIFS('refer admin discharge'!#REF!,"Native Hawaiian/Pacific",'refer admin discharge'!#REF!,"Female",'refer admin discharge'!Y30:Y1020,"Institutional Setting")</f>
        <v>#REF!</v>
      </c>
      <c r="L101" s="97" t="e">
        <f>COUNTIFS('refer admin discharge'!#REF!,"Asian",'refer admin discharge'!#REF!,"Male",'refer admin discharge'!Y30:Y1020,"Institutional Setting")</f>
        <v>#REF!</v>
      </c>
      <c r="M101" s="97" t="e">
        <f>COUNTIFS('refer admin discharge'!#REF!,"Asian",'refer admin discharge'!#REF!,"Female",'refer admin discharge'!Y30:Y1020,"Institutional Setting")</f>
        <v>#REF!</v>
      </c>
      <c r="N101" s="97" t="e">
        <f>COUNTIFS('refer admin discharge'!#REF!,"American Indian Alaskan Native",'refer admin discharge'!#REF!,"Male",'refer admin discharge'!Y30:Y1020,"Institutional Setting")</f>
        <v>#REF!</v>
      </c>
      <c r="O101" s="97" t="e">
        <f>COUNTIFS('refer admin discharge'!#REF!,"American Indian Alaskan Native",'refer admin discharge'!#REF!,"Female",'refer admin discharge'!Y30:Y1020,"Institutional Setting")</f>
        <v>#REF!</v>
      </c>
      <c r="P101" s="97" t="e">
        <f>COUNTIFS('refer admin discharge'!#REF!,"More than one race reported",'refer admin discharge'!#REF!,"Male",'refer admin discharge'!Y30:Y1020,"Institutional Setting")</f>
        <v>#REF!</v>
      </c>
      <c r="Q101" s="97" t="e">
        <f>COUNTIFS('refer admin discharge'!#REF!,"More than one race reported",'refer admin discharge'!#REF!,"Female",'refer admin discharge'!Y30:Y1020,"Institutional Setting")</f>
        <v>#REF!</v>
      </c>
      <c r="R101" s="97" t="e">
        <f>COUNTIFS('refer admin discharge'!#REF!,"Unknown",'refer admin discharge'!#REF!,"Male",'refer admin discharge'!Y30:Y1020,"Institutional Setting")</f>
        <v>#REF!</v>
      </c>
      <c r="S101" s="97" t="e">
        <f>COUNTIFS('refer admin discharge'!#REF!,"Unknown",'refer admin discharge'!#REF!,"Female",'refer admin discharge'!Y30:Y1020,"Institutional Setting")</f>
        <v>#REF!</v>
      </c>
      <c r="T101" s="89"/>
      <c r="U101" s="97" t="e">
        <f>COUNTIFS('refer admin discharge'!#REF!,"Not Hispanic or Latino",'refer admin discharge'!#REF!,"Male",'refer admin discharge'!Y30:Y1020,"Institutional Setting")</f>
        <v>#REF!</v>
      </c>
      <c r="V101" s="97" t="e">
        <f>COUNTIFS('refer admin discharge'!#REF!,"Not Hispanic or Latino",'refer admin discharge'!#REF!,"Female",'refer admin discharge'!Y30:Y1020,"Institutional Setting")</f>
        <v>#REF!</v>
      </c>
      <c r="W101" s="97" t="e">
        <f>COUNTIFS('refer admin discharge'!#REF!,"Hispanic-Latino ",'refer admin discharge'!#REF!,"Male",'refer admin discharge'!Y30:Y1020,"Institutional Setting")</f>
        <v>#REF!</v>
      </c>
      <c r="X101" s="97" t="e">
        <f>COUNTIFS('refer admin discharge'!#REF!,"Hispanic-Latino ",'refer admin discharge'!#REF!,"Female",'refer admin discharge'!Y30:Y1020,"Institutional Setting")</f>
        <v>#REF!</v>
      </c>
      <c r="Y101" s="97" t="e">
        <f>COUNTIFS('refer admin discharge'!#REF!,"Unknown",'refer admin discharge'!#REF!,"Male",'refer admin discharge'!Y30:Y1020,"Institutional Setting")</f>
        <v>#REF!</v>
      </c>
      <c r="Z101" s="97" t="e">
        <f>COUNTIFS('refer admin discharge'!#REF!,"Unknown",'refer admin discharge'!#REF!,"Female",'refer admin discharge'!Y30:Y1020,"Institutional Setting")</f>
        <v>#REF!</v>
      </c>
      <c r="AA101" s="1815" t="s">
        <v>224</v>
      </c>
      <c r="AB101" s="1815"/>
      <c r="AC101" s="1815"/>
      <c r="AD101" s="98" t="e">
        <f t="shared" si="8"/>
        <v>#REF!</v>
      </c>
      <c r="AE101" s="99"/>
      <c r="AF101" s="98" t="e">
        <f t="shared" si="9"/>
        <v>#REF!</v>
      </c>
      <c r="AI101" s="183"/>
      <c r="AJ101" s="183"/>
      <c r="AK101" s="183"/>
    </row>
    <row r="102" spans="1:37" ht="20.100000000000001" customHeight="1" x14ac:dyDescent="0.25">
      <c r="A102" s="1870" t="s">
        <v>176</v>
      </c>
      <c r="B102" s="1870"/>
      <c r="C102" s="1870"/>
      <c r="D102" s="1872" t="s">
        <v>306</v>
      </c>
      <c r="E102" s="1872"/>
      <c r="F102" s="100" t="e">
        <f>COUNTIFS('refer admin discharge'!#REF!,"White",'refer admin discharge'!#REF!,"Male",'refer admin discharge'!Y30:Y1020,"Jail/Correction Facility")</f>
        <v>#REF!</v>
      </c>
      <c r="G102" s="100" t="e">
        <f>COUNTIFS('refer admin discharge'!#REF!,"White",'refer admin discharge'!#REF!,"Female",'refer admin discharge'!Y30:Y1020,"Jail/Correction Facility")</f>
        <v>#REF!</v>
      </c>
      <c r="H102" s="100" t="e">
        <f>COUNTIFS('refer admin discharge'!#REF!,"African American /Black",'refer admin discharge'!#REF!,"Male",'refer admin discharge'!Y30:Y1020,"Jail/Correction Facility")</f>
        <v>#REF!</v>
      </c>
      <c r="I102" s="100" t="e">
        <f>COUNTIFS('refer admin discharge'!#REF!,"African American /Black",'refer admin discharge'!#REF!,"Female",'refer admin discharge'!Y30:Y1020,"Jail/Correction Facility")</f>
        <v>#REF!</v>
      </c>
      <c r="J102" s="100" t="e">
        <f>COUNTIFS('refer admin discharge'!#REF!,"Native Hawaiian/Pacific",'refer admin discharge'!#REF!,"Male",'refer admin discharge'!Y30:Y1020,"Jail/Correction Facility")</f>
        <v>#REF!</v>
      </c>
      <c r="K102" s="100" t="e">
        <f>COUNTIFS('refer admin discharge'!#REF!,"Native Hawaiian/Pacific",'refer admin discharge'!#REF!,"Female",'refer admin discharge'!Y30:Y1020,"Jail/Correction Facility")</f>
        <v>#REF!</v>
      </c>
      <c r="L102" s="100" t="e">
        <f>COUNTIFS('refer admin discharge'!#REF!,"Asian",'refer admin discharge'!#REF!,"Male",'refer admin discharge'!Y30:Y1020,"Jail/Correction Facility")</f>
        <v>#REF!</v>
      </c>
      <c r="M102" s="100" t="e">
        <f>COUNTIFS('refer admin discharge'!#REF!,"Asian",'refer admin discharge'!#REF!,"Female",'refer admin discharge'!Y30:Y1020,"Jail/Correction Facility")</f>
        <v>#REF!</v>
      </c>
      <c r="N102" s="100" t="e">
        <f>COUNTIFS('refer admin discharge'!#REF!,"American Indian Alaskan Native",'refer admin discharge'!#REF!,"Male",'refer admin discharge'!Y30:Y1020,"Jail/Correction Facility")</f>
        <v>#REF!</v>
      </c>
      <c r="O102" s="100" t="e">
        <f>COUNTIFS('refer admin discharge'!#REF!,"American Indian Alaskan Native",'refer admin discharge'!#REF!,"Female",'refer admin discharge'!Y30:Y1020,"Jail/Correction Facility")</f>
        <v>#REF!</v>
      </c>
      <c r="P102" s="100" t="e">
        <f>COUNTIFS('refer admin discharge'!#REF!,"More than one race reported",'refer admin discharge'!#REF!,"Male",'refer admin discharge'!Y30:Y1020,"Jail/Correction Facility")</f>
        <v>#REF!</v>
      </c>
      <c r="Q102" s="100" t="e">
        <f>COUNTIFS('refer admin discharge'!#REF!,"More than one race reported",'refer admin discharge'!#REF!,"Female",'refer admin discharge'!Y30:Y1020,"Jail/Correction Facility")</f>
        <v>#REF!</v>
      </c>
      <c r="R102" s="100" t="e">
        <f>COUNTIFS('refer admin discharge'!#REF!,"Unknown",'refer admin discharge'!#REF!,"Male",'refer admin discharge'!Y30:Y1020,"Jail/Correction Facility")</f>
        <v>#REF!</v>
      </c>
      <c r="S102" s="100" t="e">
        <f>COUNTIFS('refer admin discharge'!#REF!,"Unknown",'refer admin discharge'!#REF!,"Female",'refer admin discharge'!Y30:Y1020,"Jail/Correction Facility")</f>
        <v>#REF!</v>
      </c>
      <c r="T102" s="89"/>
      <c r="U102" s="100" t="e">
        <f>COUNTIFS('refer admin discharge'!#REF!,"Not Hispanic or Latino",'refer admin discharge'!#REF!,"Male",'refer admin discharge'!Y30:Y1020,"Jail/Correction Facility")</f>
        <v>#REF!</v>
      </c>
      <c r="V102" s="100" t="e">
        <f>COUNTIFS('refer admin discharge'!#REF!,"Not Hispanic or Latino",'refer admin discharge'!#REF!,"Female",'refer admin discharge'!Y30:Y1020,"Jail/Correction Facility")</f>
        <v>#REF!</v>
      </c>
      <c r="W102" s="100" t="e">
        <f>COUNTIFS('refer admin discharge'!#REF!,"Hispanic-Latino ",'refer admin discharge'!#REF!,"Male",'refer admin discharge'!Y30:Y1020,"Jail/Correction Facility")</f>
        <v>#REF!</v>
      </c>
      <c r="X102" s="100" t="e">
        <f>COUNTIFS('refer admin discharge'!#REF!,"Hispanic-Latino ",'refer admin discharge'!#REF!,"Female",'refer admin discharge'!Y30:Y1020,"Jail/Correction Facility")</f>
        <v>#REF!</v>
      </c>
      <c r="Y102" s="100" t="e">
        <f>COUNTIFS('refer admin discharge'!#REF!,"Unknown",'refer admin discharge'!#REF!,"Male",'refer admin discharge'!Y30:Y1020,"Jail/Correction Facility")</f>
        <v>#REF!</v>
      </c>
      <c r="Z102" s="100" t="e">
        <f>COUNTIFS('refer admin discharge'!#REF!,"Unknown",'refer admin discharge'!#REF!,"Female",'refer admin discharge'!Y30:Y1020,"Jail/Correction Facility")</f>
        <v>#REF!</v>
      </c>
      <c r="AA102" s="1816" t="s">
        <v>176</v>
      </c>
      <c r="AB102" s="1816"/>
      <c r="AC102" s="1816"/>
      <c r="AD102" s="101" t="e">
        <f t="shared" si="8"/>
        <v>#REF!</v>
      </c>
      <c r="AE102" s="99"/>
      <c r="AF102" s="101" t="e">
        <f t="shared" si="9"/>
        <v>#REF!</v>
      </c>
      <c r="AI102" s="183"/>
      <c r="AJ102" s="183"/>
      <c r="AK102" s="183"/>
    </row>
    <row r="103" spans="1:37" ht="20.100000000000001" customHeight="1" x14ac:dyDescent="0.25">
      <c r="A103" s="1873" t="s">
        <v>304</v>
      </c>
      <c r="B103" s="1873"/>
      <c r="C103" s="1873"/>
      <c r="D103" s="1829" t="s">
        <v>136</v>
      </c>
      <c r="E103" s="1829"/>
      <c r="F103" s="97" t="e">
        <f>COUNTIFS('refer admin discharge'!#REF!,"White",'refer admin discharge'!#REF!,"Male",'refer admin discharge'!Y30:Y1020,"Foster Home/Foster Care (under 18)")</f>
        <v>#REF!</v>
      </c>
      <c r="G103" s="97" t="e">
        <f>COUNTIFS('refer admin discharge'!#REF!,"White",'refer admin discharge'!#REF!,"Female",'refer admin discharge'!Y30:Y1020,"Foster Home/Foster Care (under 18)")</f>
        <v>#REF!</v>
      </c>
      <c r="H103" s="97" t="e">
        <f>COUNTIFS('refer admin discharge'!#REF!,"African American /Black",'refer admin discharge'!#REF!,"Male",'refer admin discharge'!Y30:Y1020,"Foster Home/Foster Care (under 18)")</f>
        <v>#REF!</v>
      </c>
      <c r="I103" s="97" t="e">
        <f>COUNTIFS('refer admin discharge'!#REF!,"African American /Black",'refer admin discharge'!#REF!,"Female",'refer admin discharge'!Y30:Y1020,"Foster Home/Foster Care (under 18)")</f>
        <v>#REF!</v>
      </c>
      <c r="J103" s="97" t="e">
        <f>COUNTIFS('refer admin discharge'!#REF!,"Native Hawaiian/Pacific",'refer admin discharge'!#REF!,"Male",'refer admin discharge'!Y30:Y1020,"Foster Home/Foster Care (under 18)")</f>
        <v>#REF!</v>
      </c>
      <c r="K103" s="97" t="e">
        <f>COUNTIFS('refer admin discharge'!#REF!,"Native Hawaiian/Pacific",'refer admin discharge'!#REF!,"Female",'refer admin discharge'!Y30:Y1020,"Foster Home/Foster Care (under 18)")</f>
        <v>#REF!</v>
      </c>
      <c r="L103" s="97" t="e">
        <f>COUNTIFS('refer admin discharge'!#REF!,"Asian",'refer admin discharge'!#REF!,"Male",'refer admin discharge'!Y30:Y1020,"Foster Home/Foster Care (under 18)")</f>
        <v>#REF!</v>
      </c>
      <c r="M103" s="97" t="e">
        <f>COUNTIFS('refer admin discharge'!#REF!,"Asian",'refer admin discharge'!#REF!,"Female",'refer admin discharge'!Y30:Y1020,"Foster Home/Foster Care (under 18)")</f>
        <v>#REF!</v>
      </c>
      <c r="N103" s="97" t="e">
        <f>COUNTIFS('refer admin discharge'!#REF!,"American Indian Alaskan Native",'refer admin discharge'!#REF!,"Male",'refer admin discharge'!Y30:Y1020,"Foster Home/Foster Care (under 18)")</f>
        <v>#REF!</v>
      </c>
      <c r="O103" s="97" t="e">
        <f>COUNTIFS('refer admin discharge'!#REF!,"American Indian Alaskan Native",'refer admin discharge'!#REF!,"Female",'refer admin discharge'!Y30:Y1020,"Foster Home/Foster Care (under 18)")</f>
        <v>#REF!</v>
      </c>
      <c r="P103" s="97" t="e">
        <f>COUNTIFS('refer admin discharge'!#REF!,"More than one race reported",'refer admin discharge'!#REF!,"Male",'refer admin discharge'!Y30:Y1020,"Foster Home/Foster Care (under 18)")</f>
        <v>#REF!</v>
      </c>
      <c r="Q103" s="97" t="e">
        <f>COUNTIFS('refer admin discharge'!#REF!,"More than one race reported",'refer admin discharge'!#REF!,"Female",'refer admin discharge'!Y30:Y1020,"Foster Home/Foster Care (under 18)")</f>
        <v>#REF!</v>
      </c>
      <c r="R103" s="97" t="e">
        <f>COUNTIFS('refer admin discharge'!#REF!,"Unknown",'refer admin discharge'!#REF!,"Male",'refer admin discharge'!Y30:Y1020,"Foster Home/Foster Care (under 18)")</f>
        <v>#REF!</v>
      </c>
      <c r="S103" s="97" t="e">
        <f>COUNTIFS('refer admin discharge'!#REF!,"Unknown",'refer admin discharge'!#REF!,"Female",'refer admin discharge'!Y30:Y1020,"Foster Home/Foster Care (under 18)")</f>
        <v>#REF!</v>
      </c>
      <c r="T103" s="89"/>
      <c r="U103" s="97" t="e">
        <f>COUNTIFS('refer admin discharge'!#REF!,"Not Hispanic or Latino",'refer admin discharge'!#REF!,"Male",'refer admin discharge'!Y30:Y1020,"Foster Home/Foster Care (under 18)")</f>
        <v>#REF!</v>
      </c>
      <c r="V103" s="97" t="e">
        <f>COUNTIFS('refer admin discharge'!#REF!,"Not Hispanic or Latino",'refer admin discharge'!#REF!,"Female",'refer admin discharge'!Y30:Y1020,"Foster Home/Foster Care (under 18)")</f>
        <v>#REF!</v>
      </c>
      <c r="W103" s="97" t="e">
        <f>COUNTIFS('refer admin discharge'!#REF!,"Hispanic-Latino ",'refer admin discharge'!#REF!,"Male",'refer admin discharge'!Y30:Y1020,"Foster Home/Foster Care (under 18)")</f>
        <v>#REF!</v>
      </c>
      <c r="X103" s="97" t="e">
        <f>COUNTIFS('refer admin discharge'!#REF!,"Hispanic-Latino ",'refer admin discharge'!#REF!,"Female",'refer admin discharge'!Y30:Y1020,"Foster Home/Foster Care (under 18)")</f>
        <v>#REF!</v>
      </c>
      <c r="Y103" s="97" t="e">
        <f>COUNTIFS('refer admin discharge'!#REF!,"Unknown",'refer admin discharge'!#REF!,"Male",'refer admin discharge'!Y30:Y1020,"Foster Home/Foster Care (under 18)")</f>
        <v>#REF!</v>
      </c>
      <c r="Z103" s="97" t="e">
        <f>COUNTIFS('refer admin discharge'!#REF!,"Unknown",'refer admin discharge'!#REF!,"Female",'refer admin discharge'!Y30:Y1020,"Foster Home/Foster Care (under 18)")</f>
        <v>#REF!</v>
      </c>
      <c r="AA103" s="1815" t="s">
        <v>304</v>
      </c>
      <c r="AB103" s="1815"/>
      <c r="AC103" s="1815"/>
      <c r="AD103" s="98" t="e">
        <f t="shared" si="8"/>
        <v>#REF!</v>
      </c>
      <c r="AE103" s="99"/>
      <c r="AF103" s="98" t="e">
        <f t="shared" si="9"/>
        <v>#REF!</v>
      </c>
      <c r="AI103" s="183"/>
      <c r="AJ103" s="183"/>
      <c r="AK103" s="183"/>
    </row>
    <row r="104" spans="1:37" ht="20.100000000000001" customHeight="1" x14ac:dyDescent="0.25">
      <c r="A104" s="1870" t="s">
        <v>305</v>
      </c>
      <c r="B104" s="1870"/>
      <c r="C104" s="1870"/>
      <c r="D104" s="1872" t="s">
        <v>306</v>
      </c>
      <c r="E104" s="1872"/>
      <c r="F104" s="100" t="e">
        <f>COUNTIFS('refer admin discharge'!#REF!,"White",'refer admin discharge'!#REF!,"Male",'refer admin discharge'!Y30:Y1020,"Other (Detail in Notes) ")</f>
        <v>#REF!</v>
      </c>
      <c r="G104" s="100" t="e">
        <f>COUNTIFS('refer admin discharge'!#REF!,"White",'refer admin discharge'!#REF!,"Female",'refer admin discharge'!Y30:Y1020,"Other (Detail in Notes) ")</f>
        <v>#REF!</v>
      </c>
      <c r="H104" s="100" t="e">
        <f>COUNTIFS('refer admin discharge'!#REF!,"African American /Black",'refer admin discharge'!#REF!,"Male",'refer admin discharge'!Y30:Y1020,"Other (Detail in Notes) ")</f>
        <v>#REF!</v>
      </c>
      <c r="I104" s="100" t="e">
        <f>COUNTIFS('refer admin discharge'!#REF!,"African American /Black",'refer admin discharge'!#REF!,"Female",'refer admin discharge'!Y30:Y1020,"Other (Detail in Notes) ")</f>
        <v>#REF!</v>
      </c>
      <c r="J104" s="100" t="e">
        <f>COUNTIFS('refer admin discharge'!#REF!,"Native Hawaiian/Pacific",'refer admin discharge'!#REF!,"Male",'refer admin discharge'!Y30:Y1020,"Other (Detail in Notes) ")</f>
        <v>#REF!</v>
      </c>
      <c r="K104" s="100" t="e">
        <f>COUNTIFS('refer admin discharge'!#REF!,"Native Hawaiian/Pacific",'refer admin discharge'!#REF!,"Female",'refer admin discharge'!Y30:Y1020,"Other (Detail in Notes) ")</f>
        <v>#REF!</v>
      </c>
      <c r="L104" s="100" t="e">
        <f>COUNTIFS('refer admin discharge'!#REF!,"Asian",'refer admin discharge'!#REF!,"Male",'refer admin discharge'!Y30:Y1020,"Other (Detail in Notes) ")</f>
        <v>#REF!</v>
      </c>
      <c r="M104" s="100" t="e">
        <f>COUNTIFS('refer admin discharge'!#REF!,"Asian",'refer admin discharge'!#REF!,"Female",'refer admin discharge'!Y30:Y1020,"Other (Detail in Notes) ")</f>
        <v>#REF!</v>
      </c>
      <c r="N104" s="100" t="e">
        <f>COUNTIFS('refer admin discharge'!#REF!,"American Indian Alaskan Native",'refer admin discharge'!#REF!,"Male",'refer admin discharge'!Y30:Y1020,"Other (Detail in Notes) ")</f>
        <v>#REF!</v>
      </c>
      <c r="O104" s="100" t="e">
        <f>COUNTIFS('refer admin discharge'!#REF!,"American Indian Alaskan Native",'refer admin discharge'!#REF!,"Female",'refer admin discharge'!Y30:Y1020,"Other (Detail in Notes) ")</f>
        <v>#REF!</v>
      </c>
      <c r="P104" s="100" t="e">
        <f>COUNTIFS('refer admin discharge'!#REF!,"More than one race reported",'refer admin discharge'!#REF!,"Male",'refer admin discharge'!Y30:Y1020,"Other (Detail in Notes) ")</f>
        <v>#REF!</v>
      </c>
      <c r="Q104" s="100" t="e">
        <f>COUNTIFS('refer admin discharge'!#REF!,"More than one race reported",'refer admin discharge'!#REF!,"Female",'refer admin discharge'!Y30:Y1020,"Other (Detail in Notes) ")</f>
        <v>#REF!</v>
      </c>
      <c r="R104" s="100" t="e">
        <f>COUNTIFS('refer admin discharge'!#REF!,"Unknown",'refer admin discharge'!#REF!,"Male",'refer admin discharge'!Y30:Y1020,"Other (Detail in Notes) ")</f>
        <v>#REF!</v>
      </c>
      <c r="S104" s="100" t="e">
        <f>COUNTIFS('refer admin discharge'!#REF!,"Unknown",'refer admin discharge'!#REF!,"Female",'refer admin discharge'!Y30:Y1020,"Other (Detail in Notes) ")</f>
        <v>#REF!</v>
      </c>
      <c r="T104" s="89"/>
      <c r="U104" s="100" t="e">
        <f>COUNTIFS('refer admin discharge'!#REF!,"Not Hispanic or Latino",'refer admin discharge'!#REF!,"Male",'refer admin discharge'!Y30:Y1020,"Other (Detail in Notes) ")</f>
        <v>#REF!</v>
      </c>
      <c r="V104" s="100" t="e">
        <f>COUNTIFS('refer admin discharge'!#REF!,"Not Hispanic or Latino",'refer admin discharge'!#REF!,"Female",'refer admin discharge'!Y30:Y1020,"Other (Detail in Notes) ")</f>
        <v>#REF!</v>
      </c>
      <c r="W104" s="100" t="e">
        <f>COUNTIFS('refer admin discharge'!#REF!,"Hispanic-Latino ",'refer admin discharge'!#REF!,"Male",'refer admin discharge'!Y30:Y1020,"Other (Detail in Notes) ")</f>
        <v>#REF!</v>
      </c>
      <c r="X104" s="100" t="e">
        <f>COUNTIFS('refer admin discharge'!#REF!,"Hispanic-Latino ",'refer admin discharge'!#REF!,"Female",'refer admin discharge'!Y30:Y1020,"Other (Detail in Notes) ")</f>
        <v>#REF!</v>
      </c>
      <c r="Y104" s="100" t="e">
        <f>COUNTIFS('refer admin discharge'!#REF!,"Unknown",'refer admin discharge'!#REF!,"Male",'refer admin discharge'!Y30:Y1020,"Other (Detail in Notes) ")</f>
        <v>#REF!</v>
      </c>
      <c r="Z104" s="100" t="e">
        <f>COUNTIFS('refer admin discharge'!#REF!,"Unknown",'refer admin discharge'!#REF!,"Female",'refer admin discharge'!Y30:Y1020,"Other (Detail in Notes) ")</f>
        <v>#REF!</v>
      </c>
      <c r="AA104" s="1816" t="s">
        <v>305</v>
      </c>
      <c r="AB104" s="1816"/>
      <c r="AC104" s="1816"/>
      <c r="AD104" s="101" t="e">
        <f t="shared" si="8"/>
        <v>#REF!</v>
      </c>
      <c r="AE104" s="99"/>
      <c r="AF104" s="101" t="e">
        <f t="shared" si="9"/>
        <v>#REF!</v>
      </c>
      <c r="AI104" s="183"/>
      <c r="AJ104" s="183"/>
      <c r="AK104" s="183"/>
    </row>
    <row r="105" spans="1:37" ht="20.100000000000001" customHeight="1" x14ac:dyDescent="0.25">
      <c r="A105" s="102"/>
      <c r="B105" s="102"/>
      <c r="C105" s="102"/>
      <c r="D105" s="103"/>
      <c r="E105" s="103"/>
      <c r="F105" s="104" t="e">
        <f t="shared" ref="F105:S105" si="10">SUM(F97:F104)</f>
        <v>#REF!</v>
      </c>
      <c r="G105" s="104" t="e">
        <f t="shared" si="10"/>
        <v>#REF!</v>
      </c>
      <c r="H105" s="104" t="e">
        <f t="shared" si="10"/>
        <v>#REF!</v>
      </c>
      <c r="I105" s="104" t="e">
        <f t="shared" si="10"/>
        <v>#REF!</v>
      </c>
      <c r="J105" s="104" t="e">
        <f t="shared" si="10"/>
        <v>#REF!</v>
      </c>
      <c r="K105" s="104" t="e">
        <f t="shared" si="10"/>
        <v>#REF!</v>
      </c>
      <c r="L105" s="104" t="e">
        <f t="shared" si="10"/>
        <v>#REF!</v>
      </c>
      <c r="M105" s="104" t="e">
        <f t="shared" si="10"/>
        <v>#REF!</v>
      </c>
      <c r="N105" s="104" t="e">
        <f t="shared" si="10"/>
        <v>#REF!</v>
      </c>
      <c r="O105" s="104" t="e">
        <f t="shared" si="10"/>
        <v>#REF!</v>
      </c>
      <c r="P105" s="104" t="e">
        <f t="shared" si="10"/>
        <v>#REF!</v>
      </c>
      <c r="Q105" s="104" t="e">
        <f t="shared" si="10"/>
        <v>#REF!</v>
      </c>
      <c r="R105" s="104" t="e">
        <f t="shared" si="10"/>
        <v>#REF!</v>
      </c>
      <c r="S105" s="104" t="e">
        <f t="shared" si="10"/>
        <v>#REF!</v>
      </c>
      <c r="T105" s="95"/>
      <c r="U105" s="104" t="e">
        <f t="shared" ref="U105:Z105" si="11">SUM(U97:U104)</f>
        <v>#REF!</v>
      </c>
      <c r="V105" s="104" t="e">
        <f t="shared" si="11"/>
        <v>#REF!</v>
      </c>
      <c r="W105" s="104" t="e">
        <f t="shared" si="11"/>
        <v>#REF!</v>
      </c>
      <c r="X105" s="104" t="e">
        <f t="shared" si="11"/>
        <v>#REF!</v>
      </c>
      <c r="Y105" s="104" t="e">
        <f t="shared" si="11"/>
        <v>#REF!</v>
      </c>
      <c r="Z105" s="104" t="e">
        <f t="shared" si="11"/>
        <v>#REF!</v>
      </c>
      <c r="AA105" s="1817" t="s">
        <v>13</v>
      </c>
      <c r="AB105" s="1817"/>
      <c r="AC105" s="1817"/>
      <c r="AD105" s="105" t="e">
        <f t="shared" si="8"/>
        <v>#REF!</v>
      </c>
      <c r="AE105" s="29"/>
      <c r="AF105" s="105" t="e">
        <f t="shared" si="9"/>
        <v>#REF!</v>
      </c>
      <c r="AI105" s="183"/>
      <c r="AJ105" s="183"/>
      <c r="AK105" s="183"/>
    </row>
    <row r="106" spans="1:37" ht="20.100000000000001" customHeight="1" x14ac:dyDescent="0.25">
      <c r="A106" s="34"/>
      <c r="B106" s="34"/>
      <c r="C106" s="34"/>
      <c r="D106" s="106"/>
      <c r="E106" s="106"/>
      <c r="F106" s="27"/>
      <c r="G106" s="27"/>
      <c r="H106" s="27"/>
      <c r="I106" s="27"/>
      <c r="J106" s="27"/>
      <c r="K106" s="27"/>
      <c r="L106" s="27"/>
      <c r="M106" s="27"/>
      <c r="N106" s="27"/>
      <c r="O106" s="27"/>
      <c r="P106" s="27"/>
      <c r="Q106" s="27"/>
      <c r="R106" s="27"/>
      <c r="S106" s="27"/>
      <c r="T106" s="16"/>
      <c r="U106" s="27"/>
      <c r="V106" s="27"/>
      <c r="W106" s="27"/>
      <c r="X106" s="27"/>
      <c r="Y106" s="27"/>
      <c r="Z106" s="27"/>
      <c r="AA106" s="107"/>
      <c r="AB106" s="107"/>
      <c r="AC106" s="107"/>
      <c r="AD106" s="29"/>
      <c r="AE106" s="29"/>
      <c r="AF106" s="29"/>
      <c r="AI106" s="183"/>
      <c r="AJ106" s="183"/>
      <c r="AK106" s="183"/>
    </row>
    <row r="107" spans="1:37" x14ac:dyDescent="0.25">
      <c r="AI107" s="183">
        <f>SUM(AI91:AI95)</f>
        <v>0</v>
      </c>
      <c r="AJ107" s="183"/>
      <c r="AK107" s="183" t="e">
        <f>SUM(AK91:AK95)</f>
        <v>#REF!</v>
      </c>
    </row>
    <row r="108" spans="1:37" x14ac:dyDescent="0.25">
      <c r="A108" s="1864" t="s">
        <v>56</v>
      </c>
      <c r="B108" s="1865"/>
      <c r="C108" s="1865"/>
      <c r="D108" s="1865"/>
      <c r="E108" s="1865"/>
      <c r="F108" s="1865"/>
      <c r="G108" s="1866"/>
      <c r="J108" s="1864" t="s">
        <v>49</v>
      </c>
      <c r="K108" s="1865"/>
      <c r="L108" s="1865"/>
      <c r="M108" s="1865"/>
      <c r="N108" s="1865"/>
      <c r="O108" s="1865"/>
      <c r="P108" s="1866"/>
    </row>
    <row r="109" spans="1:37" x14ac:dyDescent="0.25">
      <c r="A109" s="1586" t="s">
        <v>58</v>
      </c>
      <c r="B109" s="1586"/>
      <c r="C109" s="1586"/>
      <c r="D109" s="1871" t="e">
        <f>COUNTIFS('refer admin discharge'!#REF!,"Female")</f>
        <v>#REF!</v>
      </c>
      <c r="E109" s="1871"/>
      <c r="F109" s="1871"/>
      <c r="G109" s="1871"/>
      <c r="J109" s="1830" t="s">
        <v>125</v>
      </c>
      <c r="K109" s="1830"/>
      <c r="L109" s="1830"/>
      <c r="M109" s="1830"/>
      <c r="N109" s="1661" t="e">
        <f>COUNTIFS('refer admin discharge'!#REF!,"African American /Black")</f>
        <v>#REF!</v>
      </c>
      <c r="O109" s="1661"/>
      <c r="P109" s="1661"/>
    </row>
    <row r="110" spans="1:37" x14ac:dyDescent="0.25">
      <c r="A110" s="1586" t="s">
        <v>57</v>
      </c>
      <c r="B110" s="1586"/>
      <c r="C110" s="1586"/>
      <c r="D110" s="1871" t="e">
        <f>COUNTIFS('refer admin discharge'!#REF!,"Male")</f>
        <v>#REF!</v>
      </c>
      <c r="E110" s="1871"/>
      <c r="F110" s="1871"/>
      <c r="G110" s="1871"/>
      <c r="J110" s="1830" t="s">
        <v>51</v>
      </c>
      <c r="K110" s="1830"/>
      <c r="L110" s="1830"/>
      <c r="M110" s="1830"/>
      <c r="N110" s="1661" t="e">
        <f>COUNTIFS('refer admin discharge'!#REF!,"American Indian Alaskan Native")</f>
        <v>#REF!</v>
      </c>
      <c r="O110" s="1661"/>
      <c r="P110" s="1661"/>
    </row>
    <row r="111" spans="1:37" x14ac:dyDescent="0.25">
      <c r="A111" s="1826" t="s">
        <v>13</v>
      </c>
      <c r="B111" s="1826"/>
      <c r="C111" s="1826"/>
      <c r="D111" s="1828" t="e">
        <f>SUM(D109:D110)</f>
        <v>#REF!</v>
      </c>
      <c r="E111" s="1828"/>
      <c r="F111" s="1828"/>
      <c r="G111" s="1828"/>
      <c r="J111" s="1830" t="s">
        <v>126</v>
      </c>
      <c r="K111" s="1830"/>
      <c r="L111" s="1830"/>
      <c r="M111" s="1830"/>
      <c r="N111" s="1661" t="e">
        <f>COUNTIFS('refer admin discharge'!#REF!,"Asian")</f>
        <v>#REF!</v>
      </c>
      <c r="O111" s="1661"/>
      <c r="P111" s="1661"/>
    </row>
    <row r="112" spans="1:37" x14ac:dyDescent="0.25">
      <c r="A112" s="1827"/>
      <c r="B112" s="1827"/>
      <c r="C112" s="1827"/>
      <c r="D112" s="1827"/>
      <c r="E112" s="1827"/>
      <c r="F112" s="1827"/>
      <c r="G112" s="1827"/>
      <c r="J112" s="1830" t="s">
        <v>52</v>
      </c>
      <c r="K112" s="1830"/>
      <c r="L112" s="1830"/>
      <c r="M112" s="1830"/>
      <c r="N112" s="1661" t="e">
        <f>COUNTIFS('refer admin discharge'!#REF!,"More than one race reported")</f>
        <v>#REF!</v>
      </c>
      <c r="O112" s="1661"/>
      <c r="P112" s="1661"/>
      <c r="V112" s="6"/>
    </row>
    <row r="113" spans="1:32" x14ac:dyDescent="0.25">
      <c r="J113" s="1867" t="s">
        <v>53</v>
      </c>
      <c r="K113" s="1868"/>
      <c r="L113" s="1868"/>
      <c r="M113" s="1869"/>
      <c r="N113" s="1661" t="e">
        <f>COUNTIFS('refer admin discharge'!#REF!,"Native Hawaiian/Pacific")</f>
        <v>#REF!</v>
      </c>
      <c r="O113" s="1661"/>
      <c r="P113" s="1661"/>
      <c r="V113" s="6"/>
    </row>
    <row r="114" spans="1:32" x14ac:dyDescent="0.25">
      <c r="J114" s="1830" t="s">
        <v>127</v>
      </c>
      <c r="K114" s="1830"/>
      <c r="L114" s="1830"/>
      <c r="M114" s="1830"/>
      <c r="N114" s="1661" t="e">
        <f>COUNTIFS('refer admin discharge'!#REF!,"White")</f>
        <v>#REF!</v>
      </c>
      <c r="O114" s="1661"/>
      <c r="P114" s="1661"/>
      <c r="V114" s="6"/>
    </row>
    <row r="115" spans="1:32" x14ac:dyDescent="0.25">
      <c r="J115" s="1830" t="s">
        <v>16</v>
      </c>
      <c r="K115" s="1830"/>
      <c r="L115" s="1830"/>
      <c r="M115" s="1830"/>
      <c r="N115" s="1661" t="e">
        <f>COUNTIFS('refer admin discharge'!#REF!,"Unknown")</f>
        <v>#REF!</v>
      </c>
      <c r="O115" s="1661"/>
      <c r="P115" s="1661"/>
      <c r="V115" s="6"/>
    </row>
    <row r="116" spans="1:32" x14ac:dyDescent="0.25">
      <c r="J116" s="1818" t="s">
        <v>13</v>
      </c>
      <c r="K116" s="1819"/>
      <c r="L116" s="1819"/>
      <c r="M116" s="1820"/>
      <c r="N116" s="1821" t="e">
        <f>SUM(N109:N115)</f>
        <v>#REF!</v>
      </c>
      <c r="O116" s="1822"/>
      <c r="P116" s="1823"/>
      <c r="V116" s="6"/>
    </row>
    <row r="117" spans="1:32" x14ac:dyDescent="0.25">
      <c r="J117" s="1824"/>
      <c r="K117" s="1824"/>
      <c r="L117" s="1824"/>
      <c r="M117" s="1824"/>
      <c r="N117" s="1825"/>
      <c r="O117" s="1825"/>
      <c r="P117" s="1825"/>
      <c r="V117" s="6"/>
    </row>
    <row r="118" spans="1:32" x14ac:dyDescent="0.25">
      <c r="J118" s="1864" t="s">
        <v>128</v>
      </c>
      <c r="K118" s="1865"/>
      <c r="L118" s="1865"/>
      <c r="M118" s="1865"/>
      <c r="N118" s="1865"/>
      <c r="O118" s="1865"/>
      <c r="P118" s="1866"/>
      <c r="V118" s="6"/>
    </row>
    <row r="119" spans="1:32" x14ac:dyDescent="0.25">
      <c r="J119" s="1830" t="s">
        <v>9</v>
      </c>
      <c r="K119" s="1830"/>
      <c r="L119" s="1830"/>
      <c r="M119" s="1830"/>
      <c r="N119" s="1661" t="e">
        <f>COUNTIFS('refer admin discharge'!#REF!,"Not Hispanic or Latino")</f>
        <v>#REF!</v>
      </c>
      <c r="O119" s="1661"/>
      <c r="P119" s="1661"/>
      <c r="V119" s="6"/>
    </row>
    <row r="120" spans="1:32" x14ac:dyDescent="0.25">
      <c r="J120" s="1830" t="s">
        <v>55</v>
      </c>
      <c r="K120" s="1830"/>
      <c r="L120" s="1830"/>
      <c r="M120" s="1830"/>
      <c r="N120" s="1661" t="e">
        <f>COUNTIFS('refer admin discharge'!#REF!,"Hispanic-Latino ")</f>
        <v>#REF!</v>
      </c>
      <c r="O120" s="1661"/>
      <c r="P120" s="1661"/>
    </row>
    <row r="121" spans="1:32" ht="15.75" x14ac:dyDescent="0.25">
      <c r="A121" s="108"/>
      <c r="B121" s="108"/>
      <c r="C121" s="108"/>
      <c r="J121" s="1830" t="s">
        <v>16</v>
      </c>
      <c r="K121" s="1830"/>
      <c r="L121" s="1830"/>
      <c r="M121" s="1830"/>
      <c r="N121" s="1661" t="e">
        <f>COUNTIFS('refer admin discharge'!#REF!,"Unknown")</f>
        <v>#REF!</v>
      </c>
      <c r="O121" s="1661"/>
      <c r="P121" s="1661"/>
    </row>
    <row r="122" spans="1:32" x14ac:dyDescent="0.25">
      <c r="J122" s="1818" t="s">
        <v>13</v>
      </c>
      <c r="K122" s="1819"/>
      <c r="L122" s="1819"/>
      <c r="M122" s="1820"/>
      <c r="N122" s="1821" t="e">
        <f>SUM(N119:N121)</f>
        <v>#REF!</v>
      </c>
      <c r="O122" s="1822"/>
      <c r="P122" s="1823"/>
    </row>
    <row r="123" spans="1:32" x14ac:dyDescent="0.25">
      <c r="J123" s="1824"/>
      <c r="K123" s="1824"/>
      <c r="L123" s="1824"/>
      <c r="M123" s="1824"/>
      <c r="N123" s="1825"/>
      <c r="O123" s="1825"/>
      <c r="P123" s="1825"/>
    </row>
    <row r="125" spans="1:32" x14ac:dyDescent="0.25">
      <c r="A125" s="1932" t="s">
        <v>366</v>
      </c>
      <c r="B125" s="1932"/>
      <c r="C125" s="1932"/>
      <c r="D125" s="1932"/>
      <c r="E125" s="1932"/>
      <c r="F125" s="1932"/>
      <c r="G125" s="1932"/>
      <c r="H125" s="1932"/>
      <c r="I125" s="1932"/>
      <c r="J125" s="1932"/>
      <c r="K125" s="1932"/>
      <c r="L125" s="1932"/>
      <c r="M125" s="1932"/>
      <c r="N125" s="1932"/>
      <c r="O125" s="1932"/>
      <c r="P125" s="1932"/>
      <c r="Q125" s="1932"/>
      <c r="R125" s="1932"/>
      <c r="S125" s="1933"/>
      <c r="T125" s="55"/>
      <c r="U125" s="57"/>
      <c r="V125" s="57"/>
      <c r="W125" s="57"/>
      <c r="X125" s="57"/>
      <c r="Y125" s="57"/>
      <c r="Z125" s="177"/>
      <c r="AA125" s="87"/>
      <c r="AB125" s="87"/>
      <c r="AC125" s="87"/>
      <c r="AD125" s="88"/>
      <c r="AE125" s="16"/>
      <c r="AF125" s="88"/>
    </row>
    <row r="126" spans="1:32" ht="45" customHeight="1" x14ac:dyDescent="0.25">
      <c r="A126" s="1762" t="s">
        <v>154</v>
      </c>
      <c r="B126" s="1762"/>
      <c r="C126" s="1762"/>
      <c r="D126" s="1762"/>
      <c r="E126" s="1763"/>
      <c r="F126" s="1754" t="s">
        <v>143</v>
      </c>
      <c r="G126" s="1754"/>
      <c r="H126" s="1754" t="s">
        <v>50</v>
      </c>
      <c r="I126" s="1754"/>
      <c r="J126" s="1754" t="s">
        <v>153</v>
      </c>
      <c r="K126" s="1754"/>
      <c r="L126" s="1754" t="s">
        <v>7</v>
      </c>
      <c r="M126" s="1754"/>
      <c r="N126" s="1754" t="s">
        <v>144</v>
      </c>
      <c r="O126" s="1754"/>
      <c r="P126" s="1754" t="s">
        <v>145</v>
      </c>
      <c r="Q126" s="1754"/>
      <c r="R126" s="1754" t="s">
        <v>8</v>
      </c>
      <c r="S126" s="1754"/>
      <c r="T126" s="40"/>
      <c r="U126" s="1754" t="s">
        <v>9</v>
      </c>
      <c r="V126" s="1754"/>
      <c r="W126" s="1754" t="s">
        <v>146</v>
      </c>
      <c r="X126" s="1754"/>
      <c r="Y126" s="1754" t="s">
        <v>148</v>
      </c>
      <c r="Z126" s="1754"/>
      <c r="AA126" s="135"/>
      <c r="AB126" s="135"/>
      <c r="AC126" s="135"/>
      <c r="AD126" s="157" t="s">
        <v>49</v>
      </c>
      <c r="AF126" s="157" t="s">
        <v>250</v>
      </c>
    </row>
    <row r="127" spans="1:32" ht="15" customHeight="1" x14ac:dyDescent="0.25">
      <c r="A127" s="121"/>
      <c r="B127" s="121"/>
      <c r="C127" s="121"/>
      <c r="D127" s="121"/>
      <c r="E127" s="122"/>
      <c r="F127" s="133" t="s">
        <v>134</v>
      </c>
      <c r="G127" s="134" t="s">
        <v>147</v>
      </c>
      <c r="H127" s="133" t="s">
        <v>134</v>
      </c>
      <c r="I127" s="134" t="s">
        <v>147</v>
      </c>
      <c r="J127" s="133" t="s">
        <v>134</v>
      </c>
      <c r="K127" s="134" t="s">
        <v>147</v>
      </c>
      <c r="L127" s="133" t="s">
        <v>134</v>
      </c>
      <c r="M127" s="134" t="s">
        <v>147</v>
      </c>
      <c r="N127" s="133" t="s">
        <v>134</v>
      </c>
      <c r="O127" s="134" t="s">
        <v>147</v>
      </c>
      <c r="P127" s="133" t="s">
        <v>134</v>
      </c>
      <c r="Q127" s="134" t="s">
        <v>147</v>
      </c>
      <c r="R127" s="133" t="s">
        <v>134</v>
      </c>
      <c r="S127" s="134" t="s">
        <v>147</v>
      </c>
      <c r="T127" s="11"/>
      <c r="U127" s="133" t="s">
        <v>134</v>
      </c>
      <c r="V127" s="134" t="s">
        <v>147</v>
      </c>
      <c r="W127" s="133" t="s">
        <v>134</v>
      </c>
      <c r="X127" s="134" t="s">
        <v>147</v>
      </c>
      <c r="Y127" s="133" t="s">
        <v>134</v>
      </c>
      <c r="Z127" s="134" t="s">
        <v>147</v>
      </c>
      <c r="AA127" s="135"/>
      <c r="AB127" s="135"/>
      <c r="AC127" s="135"/>
      <c r="AD127" s="157"/>
      <c r="AF127" s="157"/>
    </row>
    <row r="128" spans="1:32" x14ac:dyDescent="0.25">
      <c r="A128" s="1753" t="s">
        <v>355</v>
      </c>
      <c r="B128" s="1753"/>
      <c r="C128" s="1753"/>
      <c r="D128" s="1753"/>
      <c r="E128" s="1753"/>
      <c r="F128" s="1753"/>
      <c r="G128" s="1753"/>
      <c r="H128" s="1753"/>
      <c r="I128" s="1753"/>
      <c r="J128" s="1753"/>
      <c r="K128" s="1753"/>
      <c r="L128" s="1753"/>
      <c r="M128" s="1753"/>
      <c r="N128" s="1753"/>
      <c r="O128" s="1753"/>
      <c r="P128" s="1753"/>
      <c r="Q128" s="1753"/>
      <c r="R128" s="1753"/>
      <c r="S128" s="1753"/>
      <c r="T128" s="128"/>
      <c r="U128" s="1756" t="s">
        <v>348</v>
      </c>
      <c r="V128" s="1756"/>
      <c r="W128" s="1756"/>
      <c r="X128" s="1756"/>
      <c r="Y128" s="1756"/>
      <c r="Z128" s="1756"/>
      <c r="AA128" s="1756"/>
      <c r="AB128" s="1756"/>
      <c r="AC128" s="1756"/>
      <c r="AD128" s="129"/>
      <c r="AE128" s="16"/>
      <c r="AF128" s="129"/>
    </row>
    <row r="129" spans="1:39" ht="24.95" customHeight="1" x14ac:dyDescent="0.25">
      <c r="A129" s="1757" t="s">
        <v>345</v>
      </c>
      <c r="B129" s="1757"/>
      <c r="C129" s="1757"/>
      <c r="D129" s="1758" t="s">
        <v>350</v>
      </c>
      <c r="E129" s="1758"/>
      <c r="F129" s="131" t="e">
        <f>COUNTIFS('refer admin discharge'!#REF!,"White",'refer admin discharge'!#REF!,"Male",#REF!,"Yes")</f>
        <v>#REF!</v>
      </c>
      <c r="G129" s="131" t="e">
        <f>COUNTIFS('refer admin discharge'!#REF!,"White",'refer admin discharge'!#REF!,"Female",#REF!,"Yes")</f>
        <v>#REF!</v>
      </c>
      <c r="H129" s="131" t="e">
        <f>COUNTIFS('refer admin discharge'!#REF!,"African American /Black",'refer admin discharge'!#REF!,"Male",#REF!,"Yes")</f>
        <v>#REF!</v>
      </c>
      <c r="I129" s="131" t="e">
        <f>COUNTIFS('refer admin discharge'!#REF!,"African American /Black",'refer admin discharge'!#REF!,"Female",#REF!,"Yes")</f>
        <v>#REF!</v>
      </c>
      <c r="J129" s="131" t="e">
        <f>COUNTIFS('refer admin discharge'!#REF!,"Native Hawaiian/Pacific",'refer admin discharge'!#REF!,"Male",#REF!,"Yes")</f>
        <v>#REF!</v>
      </c>
      <c r="K129" s="131" t="e">
        <f>COUNTIFS('refer admin discharge'!#REF!,"Native Hawaiian/Pacific",'refer admin discharge'!#REF!,"Female",#REF!,"Yes")</f>
        <v>#REF!</v>
      </c>
      <c r="L129" s="131" t="e">
        <f>COUNTIFS('refer admin discharge'!#REF!,"Asian",'refer admin discharge'!#REF!,"Male",#REF!,"Yes")</f>
        <v>#REF!</v>
      </c>
      <c r="M129" s="131" t="e">
        <f>COUNTIFS('refer admin discharge'!#REF!,"Asian",'refer admin discharge'!#REF!,"Female",#REF!,"Yes")</f>
        <v>#REF!</v>
      </c>
      <c r="N129" s="131" t="e">
        <f>COUNTIFS('refer admin discharge'!#REF!,"American Indian Alaskan Native",'refer admin discharge'!#REF!,"Male",#REF!,"Yes")</f>
        <v>#REF!</v>
      </c>
      <c r="O129" s="131" t="e">
        <f>COUNTIFS('refer admin discharge'!#REF!,"American Indian Alaskan Native",'refer admin discharge'!#REF!,"Female",#REF!,"Yes")</f>
        <v>#REF!</v>
      </c>
      <c r="P129" s="131" t="e">
        <f>COUNTIFS('refer admin discharge'!#REF!,"More than one race reported",'refer admin discharge'!#REF!,"Male",#REF!,"Yes")</f>
        <v>#REF!</v>
      </c>
      <c r="Q129" s="131" t="e">
        <f>COUNTIFS('refer admin discharge'!#REF!,"More than one race reported",'refer admin discharge'!#REF!,"Female",#REF!,"Yes")</f>
        <v>#REF!</v>
      </c>
      <c r="R129" s="131" t="e">
        <f>COUNTIFS('refer admin discharge'!#REF!,"Unknown",'refer admin discharge'!#REF!,"Male",#REF!,"Yes")</f>
        <v>#REF!</v>
      </c>
      <c r="S129" s="131" t="e">
        <f>COUNTIFS('refer admin discharge'!#REF!,"Unknown",'refer admin discharge'!#REF!,"Female",#REF!,"Yes")</f>
        <v>#REF!</v>
      </c>
      <c r="T129" s="89"/>
      <c r="U129" s="131" t="e">
        <f>COUNTIFS('refer admin discharge'!#REF!,"Not Hispanic or Latino",'refer admin discharge'!#REF!,"Male",#REF!,"Yes")</f>
        <v>#REF!</v>
      </c>
      <c r="V129" s="131" t="e">
        <f>COUNTIFS('refer admin discharge'!#REF!,"Not Hispanic or Latino",'refer admin discharge'!#REF!,"Female",#REF!,"Yes")</f>
        <v>#REF!</v>
      </c>
      <c r="W129" s="131" t="e">
        <f>COUNTIFS('refer admin discharge'!#REF!,"Hispanic-Latino ",'refer admin discharge'!#REF!,"Male",#REF!,"Yes")</f>
        <v>#REF!</v>
      </c>
      <c r="X129" s="131" t="e">
        <f>COUNTIFS('refer admin discharge'!#REF!,"Hispanic-Latino ",'refer admin discharge'!#REF!,"Female",#REF!,"Yes")</f>
        <v>#REF!</v>
      </c>
      <c r="Y129" s="131" t="e">
        <f>COUNTIFS('refer admin discharge'!#REF!,"Unknown",'refer admin discharge'!#REF!,"Male",#REF!,"Yes")</f>
        <v>#REF!</v>
      </c>
      <c r="Z129" s="131" t="e">
        <f>COUNTIFS('refer admin discharge'!#REF!,"Unknown",'refer admin discharge'!#REF!,"Female",#REF!,"Yes")</f>
        <v>#REF!</v>
      </c>
      <c r="AA129" s="1757" t="s">
        <v>179</v>
      </c>
      <c r="AB129" s="1757"/>
      <c r="AC129" s="1757"/>
      <c r="AD129" s="132" t="e">
        <f>SUM(F129:S129)</f>
        <v>#REF!</v>
      </c>
      <c r="AF129" s="123" t="e">
        <f>SUM(U129:Z129)</f>
        <v>#REF!</v>
      </c>
    </row>
    <row r="130" spans="1:39" ht="24.95" customHeight="1" x14ac:dyDescent="0.25">
      <c r="A130" s="1759" t="s">
        <v>346</v>
      </c>
      <c r="B130" s="1759"/>
      <c r="C130" s="1759"/>
      <c r="D130" s="1760" t="s">
        <v>351</v>
      </c>
      <c r="E130" s="1760"/>
      <c r="F130" s="126" t="e">
        <f>COUNTIFS('refer admin discharge'!#REF!,"White",'refer admin discharge'!#REF!,"Male",#REF!,"Yes")</f>
        <v>#REF!</v>
      </c>
      <c r="G130" s="126" t="e">
        <f>COUNTIFS('refer admin discharge'!#REF!,"White",'refer admin discharge'!#REF!,"Female",#REF!,"Yes")</f>
        <v>#REF!</v>
      </c>
      <c r="H130" s="126" t="e">
        <f>COUNTIFS('refer admin discharge'!#REF!,"African American /Black",'refer admin discharge'!#REF!,"Male",#REF!,"Yes")</f>
        <v>#REF!</v>
      </c>
      <c r="I130" s="126" t="e">
        <f>COUNTIFS('refer admin discharge'!#REF!,"African American /Black",'refer admin discharge'!#REF!,"Female",#REF!,"Yes")</f>
        <v>#REF!</v>
      </c>
      <c r="J130" s="126" t="e">
        <f>COUNTIFS('refer admin discharge'!#REF!,"Native Hawaiian/Pacific",'refer admin discharge'!#REF!,"Male",#REF!,"Yes")</f>
        <v>#REF!</v>
      </c>
      <c r="K130" s="126" t="e">
        <f>COUNTIFS('refer admin discharge'!#REF!,"Native Hawaiian/Pacific",'refer admin discharge'!#REF!,"Female",#REF!,"Yes")</f>
        <v>#REF!</v>
      </c>
      <c r="L130" s="126" t="e">
        <f>COUNTIFS('refer admin discharge'!#REF!,"Asian",'refer admin discharge'!#REF!,"Male",#REF!,"Yes")</f>
        <v>#REF!</v>
      </c>
      <c r="M130" s="126" t="e">
        <f>COUNTIFS('refer admin discharge'!#REF!,"Asian",'refer admin discharge'!#REF!,"Female",#REF!,"Yes")</f>
        <v>#REF!</v>
      </c>
      <c r="N130" s="126" t="e">
        <f>COUNTIFS('refer admin discharge'!#REF!,"American Indian Alaskan Native",'refer admin discharge'!#REF!,"Male",#REF!,"Yes")</f>
        <v>#REF!</v>
      </c>
      <c r="O130" s="126" t="e">
        <f>COUNTIFS('refer admin discharge'!#REF!,"American Indian Alaskan Native",'refer admin discharge'!#REF!,"Female",#REF!,"Yes")</f>
        <v>#REF!</v>
      </c>
      <c r="P130" s="126" t="e">
        <f>COUNTIFS('refer admin discharge'!#REF!,"More than one race reported",'refer admin discharge'!#REF!,"Male",#REF!,"Yes")</f>
        <v>#REF!</v>
      </c>
      <c r="Q130" s="126" t="e">
        <f>COUNTIFS('refer admin discharge'!#REF!,"More than one race reported",'refer admin discharge'!#REF!,"Female",#REF!,"Yes")</f>
        <v>#REF!</v>
      </c>
      <c r="R130" s="126" t="e">
        <f>COUNTIFS('refer admin discharge'!#REF!,"Unknown",'refer admin discharge'!#REF!,"Male",#REF!,"Yes")</f>
        <v>#REF!</v>
      </c>
      <c r="S130" s="126" t="e">
        <f>COUNTIFS('refer admin discharge'!#REF!,"Unknown",'refer admin discharge'!#REF!,"Female",#REF!,"Yes")</f>
        <v>#REF!</v>
      </c>
      <c r="T130" s="89"/>
      <c r="U130" s="126" t="e">
        <f>COUNTIFS('refer admin discharge'!#REF!,"Not Hispanic or Latino",'refer admin discharge'!#REF!,"Male",#REF!,"Yes")</f>
        <v>#REF!</v>
      </c>
      <c r="V130" s="126" t="e">
        <f>COUNTIFS('refer admin discharge'!#REF!,"Not Hispanic or Latino",'refer admin discharge'!#REF!,"Female",#REF!,"Yes")</f>
        <v>#REF!</v>
      </c>
      <c r="W130" s="126" t="e">
        <f>COUNTIFS('refer admin discharge'!#REF!,"Hispanic-Latino ",'refer admin discharge'!#REF!,"Male",#REF!,"Yes")</f>
        <v>#REF!</v>
      </c>
      <c r="X130" s="126" t="e">
        <f>COUNTIFS('refer admin discharge'!#REF!,"Hispanic-Latino ",'refer admin discharge'!#REF!,"Female",#REF!,"Yes")</f>
        <v>#REF!</v>
      </c>
      <c r="Y130" s="126" t="e">
        <f>COUNTIFS('refer admin discharge'!#REF!,"Unknown",'refer admin discharge'!#REF!,"Male",#REF!,"Yes")</f>
        <v>#REF!</v>
      </c>
      <c r="Z130" s="126" t="e">
        <f>COUNTIFS('refer admin discharge'!#REF!,"Unknown",'refer admin discharge'!#REF!,"Female",#REF!,"Yes")</f>
        <v>#REF!</v>
      </c>
      <c r="AA130" s="1759" t="s">
        <v>180</v>
      </c>
      <c r="AB130" s="1759"/>
      <c r="AC130" s="1759"/>
      <c r="AD130" s="127" t="e">
        <f>SUM(F130:S130)</f>
        <v>#REF!</v>
      </c>
      <c r="AF130" s="127" t="e">
        <f>SUM(U130:Z130)</f>
        <v>#REF!</v>
      </c>
    </row>
    <row r="131" spans="1:39" ht="24.95" customHeight="1" x14ac:dyDescent="0.25">
      <c r="A131" s="1757" t="s">
        <v>347</v>
      </c>
      <c r="B131" s="1757"/>
      <c r="C131" s="1757"/>
      <c r="D131" s="1761" t="s">
        <v>352</v>
      </c>
      <c r="E131" s="1761"/>
      <c r="F131" s="131" t="e">
        <f>COUNTIFS('refer admin discharge'!#REF!,"White",'refer admin discharge'!#REF!,"Male",#REF!,"Yes")</f>
        <v>#REF!</v>
      </c>
      <c r="G131" s="131" t="e">
        <f>COUNTIFS('refer admin discharge'!#REF!,"White",'refer admin discharge'!#REF!,"Female",#REF!,"Yes")</f>
        <v>#REF!</v>
      </c>
      <c r="H131" s="131" t="e">
        <f>COUNTIFS('refer admin discharge'!#REF!,"African American /Black",'refer admin discharge'!#REF!,"Male",#REF!,"Yes")</f>
        <v>#REF!</v>
      </c>
      <c r="I131" s="131" t="e">
        <f>COUNTIFS('refer admin discharge'!#REF!,"African American /Black",'refer admin discharge'!#REF!,"Female",#REF!,"Yes")</f>
        <v>#REF!</v>
      </c>
      <c r="J131" s="131" t="e">
        <f>COUNTIFS('refer admin discharge'!#REF!,"Native Hawaiian/Pacific",'refer admin discharge'!#REF!,"Male",#REF!,"Yes")</f>
        <v>#REF!</v>
      </c>
      <c r="K131" s="131" t="e">
        <f>COUNTIFS('refer admin discharge'!#REF!,"Native Hawaiian/Pacific",'refer admin discharge'!#REF!,"Female",#REF!,"Yes")</f>
        <v>#REF!</v>
      </c>
      <c r="L131" s="131" t="e">
        <f>COUNTIFS('refer admin discharge'!#REF!,"Asian",'refer admin discharge'!#REF!,"Male",#REF!,"Yes")</f>
        <v>#REF!</v>
      </c>
      <c r="M131" s="131" t="e">
        <f>COUNTIFS('refer admin discharge'!#REF!,"Asian",'refer admin discharge'!#REF!,"Female",#REF!,"Yes")</f>
        <v>#REF!</v>
      </c>
      <c r="N131" s="131" t="e">
        <f>COUNTIFS('refer admin discharge'!#REF!,"American Indian Alaskan Native",'refer admin discharge'!#REF!,"Male",#REF!,"Yes")</f>
        <v>#REF!</v>
      </c>
      <c r="O131" s="131" t="e">
        <f>COUNTIFS('refer admin discharge'!#REF!,"American Indian Alaskan Native",'refer admin discharge'!#REF!,"Female",#REF!,"Yes")</f>
        <v>#REF!</v>
      </c>
      <c r="P131" s="131" t="e">
        <f>COUNTIFS('refer admin discharge'!#REF!,"More than one race reported",'refer admin discharge'!#REF!,"Male",#REF!,"Yes")</f>
        <v>#REF!</v>
      </c>
      <c r="Q131" s="131" t="e">
        <f>COUNTIFS('refer admin discharge'!#REF!,"More than one race reported",'refer admin discharge'!#REF!,"Female",#REF!,"Yes")</f>
        <v>#REF!</v>
      </c>
      <c r="R131" s="131" t="e">
        <f>COUNTIFS('refer admin discharge'!#REF!,"Unknown",'refer admin discharge'!#REF!,"Male",#REF!,"Yes")</f>
        <v>#REF!</v>
      </c>
      <c r="S131" s="131" t="e">
        <f>COUNTIFS('refer admin discharge'!#REF!,"Unknown",'refer admin discharge'!#REF!,"Female",#REF!,"Yes")</f>
        <v>#REF!</v>
      </c>
      <c r="T131" s="89"/>
      <c r="U131" s="131" t="e">
        <f>COUNTIFS('refer admin discharge'!#REF!,"Not Hispanic or Latino",'refer admin discharge'!#REF!,"Male",#REF!,"Yes")</f>
        <v>#REF!</v>
      </c>
      <c r="V131" s="131" t="e">
        <f>COUNTIFS('refer admin discharge'!#REF!,"Not Hispanic or Latino",'refer admin discharge'!#REF!,"Female",#REF!,"Yes")</f>
        <v>#REF!</v>
      </c>
      <c r="W131" s="131" t="e">
        <f>COUNTIFS('refer admin discharge'!#REF!,"Hispanic-Latino ",'refer admin discharge'!#REF!,"Male",#REF!,"Yes")</f>
        <v>#REF!</v>
      </c>
      <c r="X131" s="131" t="e">
        <f>COUNTIFS('refer admin discharge'!#REF!,"Hispanic-Latino ",'refer admin discharge'!#REF!,"Female",#REF!,"Yes")</f>
        <v>#REF!</v>
      </c>
      <c r="Y131" s="131" t="e">
        <f>COUNTIFS('refer admin discharge'!#REF!,"Unknown",'refer admin discharge'!#REF!,"Male",#REF!,"Yes")</f>
        <v>#REF!</v>
      </c>
      <c r="Z131" s="131" t="e">
        <f>COUNTIFS('refer admin discharge'!#REF!,"Unknown",'refer admin discharge'!#REF!,"Female",#REF!,"Yes")</f>
        <v>#REF!</v>
      </c>
      <c r="AA131" s="1757" t="s">
        <v>182</v>
      </c>
      <c r="AB131" s="1757"/>
      <c r="AC131" s="1757"/>
      <c r="AD131" s="132" t="e">
        <f>SUM(F131:S131)</f>
        <v>#REF!</v>
      </c>
      <c r="AF131" s="132" t="e">
        <f>SUM(U131:Z131)</f>
        <v>#REF!</v>
      </c>
    </row>
    <row r="132" spans="1:39" ht="15" customHeight="1" x14ac:dyDescent="0.25">
      <c r="A132" s="1752" t="s">
        <v>356</v>
      </c>
      <c r="B132" s="1753"/>
      <c r="C132" s="1753"/>
      <c r="D132" s="1753"/>
      <c r="E132" s="1753"/>
      <c r="F132" s="1753"/>
      <c r="G132" s="1753"/>
      <c r="H132" s="1753"/>
      <c r="I132" s="1753"/>
      <c r="J132" s="1753"/>
      <c r="K132" s="1753"/>
      <c r="L132" s="1753"/>
      <c r="M132" s="1753"/>
      <c r="N132" s="1753"/>
      <c r="O132" s="1753"/>
      <c r="P132" s="1753"/>
      <c r="Q132" s="1753"/>
      <c r="R132" s="1753"/>
      <c r="S132" s="1753"/>
      <c r="T132" s="130"/>
      <c r="U132" s="1756" t="s">
        <v>349</v>
      </c>
      <c r="V132" s="1756"/>
      <c r="W132" s="1756"/>
      <c r="X132" s="1756"/>
      <c r="Y132" s="1756"/>
      <c r="Z132" s="1756"/>
      <c r="AA132" s="1756"/>
      <c r="AB132" s="1756"/>
      <c r="AC132" s="1756"/>
      <c r="AD132" s="125"/>
      <c r="AE132" s="16"/>
      <c r="AF132" s="125"/>
    </row>
    <row r="133" spans="1:39" ht="24.95" customHeight="1" x14ac:dyDescent="0.25">
      <c r="A133" s="1757" t="s">
        <v>345</v>
      </c>
      <c r="B133" s="1757"/>
      <c r="C133" s="1757"/>
      <c r="D133" s="1758" t="s">
        <v>350</v>
      </c>
      <c r="E133" s="1758"/>
      <c r="F133" s="89"/>
      <c r="G133" s="131" t="e">
        <f>COUNTIFS('refer admin discharge'!#REF!,"White",'refer admin discharge'!#REF!,"Female",#REF!,"Yes",#REF!,"Yes")</f>
        <v>#REF!</v>
      </c>
      <c r="H133" s="89"/>
      <c r="I133" s="131" t="e">
        <f>COUNTIFS('refer admin discharge'!#REF!,"African American /Black",'refer admin discharge'!#REF!,"Female",#REF!,"Yes",#REF!,"Yes")</f>
        <v>#REF!</v>
      </c>
      <c r="J133" s="89"/>
      <c r="K133" s="131" t="e">
        <f>COUNTIFS('refer admin discharge'!#REF!,"Native Hawaiian/Pacific",'refer admin discharge'!#REF!,"Female",#REF!,"Yes",#REF!,"Yes")</f>
        <v>#REF!</v>
      </c>
      <c r="L133" s="89"/>
      <c r="M133" s="131" t="e">
        <f>COUNTIFS('refer admin discharge'!#REF!,"Asian",'refer admin discharge'!#REF!,"Female",#REF!,"Yes",#REF!,"Yes")</f>
        <v>#REF!</v>
      </c>
      <c r="N133" s="89"/>
      <c r="O133" s="131" t="e">
        <f>COUNTIFS('refer admin discharge'!#REF!,"American Indian Alaskan Native",'refer admin discharge'!#REF!,"Female",#REF!,"Yes",#REF!,"Yes")</f>
        <v>#REF!</v>
      </c>
      <c r="P133" s="89"/>
      <c r="Q133" s="131" t="e">
        <f>COUNTIFS('refer admin discharge'!#REF!,"More than one race reported",'refer admin discharge'!#REF!,"Female",#REF!,"Yes",#REF!,"Yes")</f>
        <v>#REF!</v>
      </c>
      <c r="R133" s="89"/>
      <c r="S133" s="131" t="e">
        <f>COUNTIFS('refer admin discharge'!#REF!,"Unknown",'refer admin discharge'!#REF!,"Female",#REF!,"Yes",#REF!,"Yes")</f>
        <v>#REF!</v>
      </c>
      <c r="T133" s="89"/>
      <c r="U133" s="89"/>
      <c r="V133" s="131" t="e">
        <f>COUNTIFS('refer admin discharge'!#REF!,"Not Hispanic or Latino",'refer admin discharge'!#REF!,"Female",#REF!,"Yes",#REF!,"Yes")</f>
        <v>#REF!</v>
      </c>
      <c r="W133" s="89"/>
      <c r="X133" s="131" t="e">
        <f>COUNTIFS('refer admin discharge'!#REF!,"Hispanic-Latino ",'refer admin discharge'!#REF!,"Female",#REF!,"Yes",#REF!,"Yes")</f>
        <v>#REF!</v>
      </c>
      <c r="Y133" s="89"/>
      <c r="Z133" s="131" t="e">
        <f>COUNTIFS('refer admin discharge'!#REF!,"Unknown",'refer admin discharge'!#REF!,"Female",#REF!,"Yes",#REF!,"Yes")</f>
        <v>#REF!</v>
      </c>
      <c r="AA133" s="1757" t="s">
        <v>179</v>
      </c>
      <c r="AB133" s="1757"/>
      <c r="AC133" s="1757"/>
      <c r="AD133" s="132" t="e">
        <f>SUM(F133:S133)</f>
        <v>#REF!</v>
      </c>
      <c r="AF133" s="132" t="e">
        <f>SUM(U133:Z133)</f>
        <v>#REF!</v>
      </c>
    </row>
    <row r="134" spans="1:39" ht="24.95" customHeight="1" x14ac:dyDescent="0.25">
      <c r="A134" s="1759" t="s">
        <v>346</v>
      </c>
      <c r="B134" s="1759"/>
      <c r="C134" s="1759"/>
      <c r="D134" s="1760" t="s">
        <v>351</v>
      </c>
      <c r="E134" s="1760"/>
      <c r="F134" s="89"/>
      <c r="G134" s="126" t="e">
        <f>COUNTIFS('refer admin discharge'!#REF!,"White",'refer admin discharge'!#REF!,"Female",#REF!,"Yes",#REF!,"Yes")</f>
        <v>#REF!</v>
      </c>
      <c r="H134" s="89"/>
      <c r="I134" s="126" t="e">
        <f>COUNTIFS('refer admin discharge'!#REF!,"African American /Black",'refer admin discharge'!#REF!,"Female",#REF!,"Yes",#REF!,"Yes")</f>
        <v>#REF!</v>
      </c>
      <c r="J134" s="89"/>
      <c r="K134" s="126" t="e">
        <f>COUNTIFS('refer admin discharge'!#REF!,"Native Hawaiian/Pacific",'refer admin discharge'!#REF!,"Female",#REF!,"Yes",#REF!,"Yes")</f>
        <v>#REF!</v>
      </c>
      <c r="L134" s="89"/>
      <c r="M134" s="126" t="e">
        <f>COUNTIFS('refer admin discharge'!#REF!,"Asian",'refer admin discharge'!#REF!,"Female",#REF!,"Yes",#REF!,"Yes")</f>
        <v>#REF!</v>
      </c>
      <c r="N134" s="89"/>
      <c r="O134" s="126" t="e">
        <f>COUNTIFS('refer admin discharge'!#REF!,"American Indian Alaskan Native",'refer admin discharge'!#REF!,"Female",#REF!,"Yes",#REF!,"Yes")</f>
        <v>#REF!</v>
      </c>
      <c r="P134" s="89"/>
      <c r="Q134" s="126" t="e">
        <f>COUNTIFS('refer admin discharge'!#REF!,"More than one race reported",'refer admin discharge'!#REF!,"Female",#REF!,"Yes",#REF!,"Yes")</f>
        <v>#REF!</v>
      </c>
      <c r="R134" s="89"/>
      <c r="S134" s="126" t="e">
        <f>COUNTIFS('refer admin discharge'!#REF!,"Unknown",'refer admin discharge'!#REF!,"Female",#REF!,"Yes",#REF!,"Yes")</f>
        <v>#REF!</v>
      </c>
      <c r="T134" s="89"/>
      <c r="U134" s="89"/>
      <c r="V134" s="126" t="e">
        <f>COUNTIFS('refer admin discharge'!#REF!,"Not Hispanic or Latino",'refer admin discharge'!#REF!,"Female",#REF!,"Yes",#REF!,"Yes")</f>
        <v>#REF!</v>
      </c>
      <c r="W134" s="89"/>
      <c r="X134" s="126" t="e">
        <f>COUNTIFS('refer admin discharge'!#REF!,"Hispanic-Latino ",'refer admin discharge'!#REF!,"Female",#REF!,"Yes",#REF!,"Yes")</f>
        <v>#REF!</v>
      </c>
      <c r="Y134" s="89"/>
      <c r="Z134" s="126" t="e">
        <f>COUNTIFS('refer admin discharge'!#REF!,"Unknown",'refer admin discharge'!#REF!,"Female",#REF!,"Yes",#REF!,"Yes")</f>
        <v>#REF!</v>
      </c>
      <c r="AA134" s="1759" t="s">
        <v>180</v>
      </c>
      <c r="AB134" s="1759"/>
      <c r="AC134" s="1759"/>
      <c r="AD134" s="132" t="e">
        <f>SUM(F134:S134)</f>
        <v>#REF!</v>
      </c>
      <c r="AF134" s="127" t="e">
        <f>SUM(U134:Z134)</f>
        <v>#REF!</v>
      </c>
    </row>
    <row r="135" spans="1:39" ht="24.95" customHeight="1" x14ac:dyDescent="0.25">
      <c r="A135" s="1757" t="s">
        <v>347</v>
      </c>
      <c r="B135" s="1757"/>
      <c r="C135" s="1757"/>
      <c r="D135" s="1761" t="s">
        <v>352</v>
      </c>
      <c r="E135" s="1761"/>
      <c r="F135" s="89"/>
      <c r="G135" s="131" t="e">
        <f>COUNTIFS('refer admin discharge'!#REF!,"White",'refer admin discharge'!#REF!,"Female",#REF!,"Yes",#REF!,"Yes")</f>
        <v>#REF!</v>
      </c>
      <c r="H135" s="89"/>
      <c r="I135" s="131" t="e">
        <f>COUNTIFS('refer admin discharge'!#REF!,"African American /Black",'refer admin discharge'!#REF!,"Female",#REF!,"Yes",#REF!,"Yes")</f>
        <v>#REF!</v>
      </c>
      <c r="J135" s="89"/>
      <c r="K135" s="131" t="e">
        <f>COUNTIFS('refer admin discharge'!#REF!,"Native Hawaiian/Pacific",'refer admin discharge'!#REF!,"Female",#REF!,"Yes",#REF!,"Yes")</f>
        <v>#REF!</v>
      </c>
      <c r="L135" s="89"/>
      <c r="M135" s="131" t="e">
        <f>COUNTIFS('refer admin discharge'!#REF!,"Asian",'refer admin discharge'!#REF!,"Female",#REF!,"Yes",#REF!,"Yes")</f>
        <v>#REF!</v>
      </c>
      <c r="N135" s="89"/>
      <c r="O135" s="131" t="e">
        <f>COUNTIFS('refer admin discharge'!#REF!,"American Indian Alaskan Native",'refer admin discharge'!#REF!,"Female",#REF!,"Yes",#REF!,"Yes")</f>
        <v>#REF!</v>
      </c>
      <c r="P135" s="89"/>
      <c r="Q135" s="131" t="e">
        <f>COUNTIFS('refer admin discharge'!#REF!,"More than one race reported",'refer admin discharge'!#REF!,"Female",#REF!,"Yes",#REF!,"Yes")</f>
        <v>#REF!</v>
      </c>
      <c r="R135" s="89"/>
      <c r="S135" s="131" t="e">
        <f>COUNTIFS('refer admin discharge'!#REF!,"Unknown",'refer admin discharge'!#REF!,"Female",#REF!,"Yes",#REF!,"Yes")</f>
        <v>#REF!</v>
      </c>
      <c r="T135" s="89"/>
      <c r="U135" s="89"/>
      <c r="V135" s="131" t="e">
        <f>COUNTIFS('refer admin discharge'!#REF!,"Not Hispanic or Latino",'refer admin discharge'!#REF!,"Female",#REF!,"Yes",#REF!,"Yes")</f>
        <v>#REF!</v>
      </c>
      <c r="W135" s="89"/>
      <c r="X135" s="131" t="e">
        <f>COUNTIFS('refer admin discharge'!#REF!,"Hispanic-Latino ",'refer admin discharge'!#REF!,"Female",#REF!,"Yes",#REF!,"Yes")</f>
        <v>#REF!</v>
      </c>
      <c r="Y135" s="89"/>
      <c r="Z135" s="131" t="e">
        <f>COUNTIFS('refer admin discharge'!#REF!,"Unknown",'refer admin discharge'!#REF!,"Female",#REF!,"Yes",#REF!,"Yes")</f>
        <v>#REF!</v>
      </c>
      <c r="AA135" s="1757" t="s">
        <v>182</v>
      </c>
      <c r="AB135" s="1757"/>
      <c r="AC135" s="1757"/>
      <c r="AD135" s="132" t="e">
        <f>SUM(F135:S135)</f>
        <v>#REF!</v>
      </c>
      <c r="AF135" s="132" t="e">
        <f>SUM(U135:Z135)</f>
        <v>#REF!</v>
      </c>
    </row>
    <row r="136" spans="1:39" ht="15" customHeight="1" x14ac:dyDescent="0.25"/>
    <row r="137" spans="1:39" ht="30" customHeight="1" x14ac:dyDescent="0.25">
      <c r="A137" s="1786" t="s">
        <v>343</v>
      </c>
      <c r="B137" s="1786"/>
      <c r="C137" s="1786"/>
      <c r="D137" s="1786"/>
      <c r="E137" s="1786"/>
      <c r="F137" s="1786"/>
      <c r="G137" s="1786"/>
      <c r="H137" s="1786"/>
      <c r="I137" s="1786"/>
      <c r="J137" s="1786"/>
      <c r="K137" s="1786"/>
      <c r="L137" s="1786"/>
      <c r="M137" s="1786"/>
      <c r="N137" s="1786"/>
      <c r="O137" s="1786"/>
      <c r="P137" s="1786"/>
      <c r="Q137" s="1786"/>
      <c r="R137" s="1786"/>
      <c r="S137" s="1786"/>
      <c r="T137" s="1786"/>
      <c r="U137" s="1786"/>
      <c r="V137" s="1786"/>
      <c r="W137" s="1786"/>
      <c r="X137" s="1786"/>
      <c r="Y137" s="1786"/>
      <c r="Z137" s="1786"/>
      <c r="AA137" s="1786"/>
      <c r="AB137" s="1786"/>
      <c r="AC137" s="1786"/>
      <c r="AD137" s="1786"/>
      <c r="AE137" s="1786"/>
      <c r="AF137" s="1786"/>
      <c r="AG137" s="1786"/>
      <c r="AH137" s="1786"/>
      <c r="AI137" s="1786"/>
    </row>
    <row r="138" spans="1:39" ht="15" customHeight="1" x14ac:dyDescent="0.25">
      <c r="A138" s="1796" t="s">
        <v>371</v>
      </c>
      <c r="B138" s="1796"/>
      <c r="C138" s="1796"/>
      <c r="D138" s="1796"/>
      <c r="E138" s="1796"/>
      <c r="F138" s="1796"/>
      <c r="G138" s="1796"/>
      <c r="H138" s="1796"/>
      <c r="I138" s="1796"/>
      <c r="J138" s="1796"/>
      <c r="K138" s="1796"/>
      <c r="L138" s="1796"/>
      <c r="M138" s="1796"/>
      <c r="N138" s="1796"/>
      <c r="O138" s="1796"/>
      <c r="P138" s="1796"/>
      <c r="Q138" s="1796"/>
      <c r="R138" s="1796"/>
      <c r="S138" s="1796"/>
      <c r="AB138" s="6"/>
    </row>
    <row r="139" spans="1:39" ht="30" customHeight="1" x14ac:dyDescent="0.25">
      <c r="A139" s="162"/>
      <c r="B139" s="163"/>
      <c r="C139" s="163"/>
      <c r="D139" s="163"/>
      <c r="E139" s="164"/>
      <c r="F139" s="1797" t="s">
        <v>49</v>
      </c>
      <c r="G139" s="1798"/>
      <c r="H139" s="1798"/>
      <c r="I139" s="1798"/>
      <c r="J139" s="1798"/>
      <c r="K139" s="1798"/>
      <c r="L139" s="1798"/>
      <c r="M139" s="1798"/>
      <c r="N139" s="1798"/>
      <c r="O139" s="1798"/>
      <c r="P139" s="1798"/>
      <c r="Q139" s="1798"/>
      <c r="R139" s="1798"/>
      <c r="S139" s="1798"/>
      <c r="T139" s="37"/>
      <c r="U139" s="1799" t="s">
        <v>249</v>
      </c>
      <c r="V139" s="1799"/>
      <c r="W139" s="1799"/>
      <c r="X139" s="1799"/>
      <c r="Y139" s="1799"/>
      <c r="Z139" s="1800"/>
      <c r="AA139" s="1805" t="s">
        <v>320</v>
      </c>
      <c r="AB139" s="1806"/>
      <c r="AC139" s="1807"/>
      <c r="AD139" s="35" t="s">
        <v>49</v>
      </c>
      <c r="AF139" s="35" t="s">
        <v>250</v>
      </c>
      <c r="AG139" s="38"/>
      <c r="AH139" s="110"/>
      <c r="AJ139" s="110"/>
    </row>
    <row r="140" spans="1:39" ht="30" customHeight="1" x14ac:dyDescent="0.25">
      <c r="A140" s="1801" t="s">
        <v>154</v>
      </c>
      <c r="B140" s="1802"/>
      <c r="C140" s="1802"/>
      <c r="D140" s="1802"/>
      <c r="E140" s="1803"/>
      <c r="F140" s="1804" t="s">
        <v>143</v>
      </c>
      <c r="G140" s="1754"/>
      <c r="H140" s="1754" t="s">
        <v>50</v>
      </c>
      <c r="I140" s="1754"/>
      <c r="J140" s="1754" t="s">
        <v>153</v>
      </c>
      <c r="K140" s="1754"/>
      <c r="L140" s="1754" t="s">
        <v>7</v>
      </c>
      <c r="M140" s="1754"/>
      <c r="N140" s="1754" t="s">
        <v>144</v>
      </c>
      <c r="O140" s="1754"/>
      <c r="P140" s="1754" t="s">
        <v>145</v>
      </c>
      <c r="Q140" s="1754"/>
      <c r="R140" s="1754" t="s">
        <v>8</v>
      </c>
      <c r="S140" s="1754"/>
      <c r="T140" s="40"/>
      <c r="U140" s="1754" t="s">
        <v>9</v>
      </c>
      <c r="V140" s="1754"/>
      <c r="W140" s="1754" t="s">
        <v>146</v>
      </c>
      <c r="X140" s="1754"/>
      <c r="Y140" s="1754" t="s">
        <v>148</v>
      </c>
      <c r="Z140" s="1754"/>
      <c r="AA140" s="1808"/>
      <c r="AB140" s="1809"/>
      <c r="AC140" s="1810"/>
      <c r="AD140" s="39"/>
      <c r="AF140" s="39"/>
      <c r="AH140" s="110"/>
      <c r="AJ140" s="110"/>
    </row>
    <row r="141" spans="1:39" ht="30" customHeight="1" x14ac:dyDescent="0.25">
      <c r="A141" s="1814" t="s">
        <v>118</v>
      </c>
      <c r="B141" s="1814"/>
      <c r="C141" s="1814"/>
      <c r="D141" s="1814"/>
      <c r="E141" s="1814"/>
      <c r="F141" s="41" t="s">
        <v>134</v>
      </c>
      <c r="G141" s="42" t="s">
        <v>147</v>
      </c>
      <c r="H141" s="41" t="s">
        <v>134</v>
      </c>
      <c r="I141" s="42" t="s">
        <v>147</v>
      </c>
      <c r="J141" s="41" t="s">
        <v>134</v>
      </c>
      <c r="K141" s="42" t="s">
        <v>147</v>
      </c>
      <c r="L141" s="41" t="s">
        <v>134</v>
      </c>
      <c r="M141" s="42" t="s">
        <v>147</v>
      </c>
      <c r="N141" s="41" t="s">
        <v>134</v>
      </c>
      <c r="O141" s="42" t="s">
        <v>147</v>
      </c>
      <c r="P141" s="41" t="s">
        <v>134</v>
      </c>
      <c r="Q141" s="42" t="s">
        <v>147</v>
      </c>
      <c r="R141" s="41" t="s">
        <v>134</v>
      </c>
      <c r="S141" s="42" t="s">
        <v>147</v>
      </c>
      <c r="T141" s="11"/>
      <c r="U141" s="138" t="s">
        <v>134</v>
      </c>
      <c r="V141" s="146" t="s">
        <v>147</v>
      </c>
      <c r="W141" s="138" t="s">
        <v>134</v>
      </c>
      <c r="X141" s="146" t="s">
        <v>147</v>
      </c>
      <c r="Y141" s="41" t="s">
        <v>134</v>
      </c>
      <c r="Z141" s="146" t="s">
        <v>147</v>
      </c>
      <c r="AA141" s="1811"/>
      <c r="AB141" s="1812"/>
      <c r="AC141" s="1813"/>
      <c r="AD141" s="39"/>
      <c r="AF141" s="39"/>
      <c r="AH141" s="110"/>
      <c r="AJ141" s="110"/>
    </row>
    <row r="142" spans="1:39" ht="24.95" customHeight="1" x14ac:dyDescent="0.25">
      <c r="A142" s="1765" t="s">
        <v>119</v>
      </c>
      <c r="B142" s="1766"/>
      <c r="C142" s="1767"/>
      <c r="D142" s="1585" t="e">
        <f>COUNTIFS(#REF!,"&gt;=1",#REF!,"&lt;=12")</f>
        <v>#REF!</v>
      </c>
      <c r="E142" s="1585"/>
      <c r="F142" s="43" t="e">
        <f>COUNTIFS(#REF!,"&gt;=1",#REF!,"&lt;=12",#REF!,"White",#REF!,"Male")</f>
        <v>#REF!</v>
      </c>
      <c r="G142" s="44" t="e">
        <f>COUNTIFS(#REF!,"&gt;=1",#REF!,"&lt;=12",#REF!,"White",#REF!,"Female")</f>
        <v>#REF!</v>
      </c>
      <c r="H142" s="43" t="e">
        <f>COUNTIFS(#REF!,"&gt;=1",#REF!,"&lt;=12",#REF!,"African American /Black",#REF!,"Male")</f>
        <v>#REF!</v>
      </c>
      <c r="I142" s="44" t="e">
        <f>COUNTIFS(#REF!,"&gt;=1",#REF!,"&lt;=12",#REF!,"African American /Black",#REF!,"Female")</f>
        <v>#REF!</v>
      </c>
      <c r="J142" s="43" t="e">
        <f>COUNTIFS(#REF!,"&gt;=1",#REF!,"&lt;=12",#REF!,"Native Hawaiian/Pacific",#REF!,"Male")</f>
        <v>#REF!</v>
      </c>
      <c r="K142" s="44" t="e">
        <f>COUNTIFS(#REF!,"&gt;=1",#REF!,"&lt;=12",#REF!,"Native Hawaiian/Pacific",#REF!,"Female")</f>
        <v>#REF!</v>
      </c>
      <c r="L142" s="43" t="e">
        <f>COUNTIFS(#REF!,"&gt;=1",#REF!,"&lt;=12",#REF!,"Asian",#REF!,"Male")</f>
        <v>#REF!</v>
      </c>
      <c r="M142" s="44" t="e">
        <f>COUNTIFS(#REF!,"&gt;=1",#REF!,"&lt;=12",#REF!,"Asian",#REF!,"Female")</f>
        <v>#REF!</v>
      </c>
      <c r="N142" s="43" t="e">
        <f>COUNTIFS(#REF!,"&gt;=1",#REF!,"&lt;=12",#REF!,"American Indian Alaskan Native",#REF!,"Male")</f>
        <v>#REF!</v>
      </c>
      <c r="O142" s="44" t="e">
        <f>COUNTIFS(#REF!,"&gt;=1",#REF!,"&lt;=12",#REF!,"American Indian Alaskan Native",#REF!,"Female")</f>
        <v>#REF!</v>
      </c>
      <c r="P142" s="43" t="e">
        <f>COUNTIFS(#REF!,"&gt;=1",#REF!,"&lt;=12",#REF!,"More than One Race Reported",#REF!,"Male")</f>
        <v>#REF!</v>
      </c>
      <c r="Q142" s="44" t="e">
        <f>COUNTIFS(#REF!,"&gt;=1",#REF!,"&lt;=12",#REF!,"More than One Race Reported",#REF!,"Female")</f>
        <v>#REF!</v>
      </c>
      <c r="R142" s="43" t="e">
        <f>COUNTIFS(#REF!,"&gt;=1",#REF!,"&lt;=12",#REF!,"Unknown",#REF!,"Male")</f>
        <v>#REF!</v>
      </c>
      <c r="S142" s="44" t="e">
        <f>COUNTIFS(#REF!,"&gt;=1",#REF!,"&lt;=12",#REF!,"Unknown",#REF!,"Female")</f>
        <v>#REF!</v>
      </c>
      <c r="T142" s="11"/>
      <c r="U142" s="145" t="e">
        <f>COUNTIFS(#REF!,"&gt;=1",#REF!,"&lt;=12",#REF!,"Not Hispanic or Latino",#REF!,"Male")</f>
        <v>#REF!</v>
      </c>
      <c r="V142" s="147" t="e">
        <f>COUNTIFS(#REF!,"&gt;=1",#REF!,"&lt;=12",#REF!,"Not Hispanic or Latino",#REF!,"Female")</f>
        <v>#REF!</v>
      </c>
      <c r="W142" s="145" t="e">
        <f>COUNTIFS(#REF!,"&gt;=1",#REF!,"&lt;=12",#REF!,"Hispanic-Latino ",#REF!,"Male")</f>
        <v>#REF!</v>
      </c>
      <c r="X142" s="147" t="e">
        <f>COUNTIFS(#REF!,"&gt;=1",#REF!,"&lt;=12",#REF!,"Hispanic-Latino ",#REF!,"Female")</f>
        <v>#REF!</v>
      </c>
      <c r="Y142" s="145" t="e">
        <f>COUNTIFS(#REF!,"&gt;=1",#REF!,"&lt;=12",#REF!,"Unknown",#REF!,"Male")</f>
        <v>#REF!</v>
      </c>
      <c r="Z142" s="147" t="e">
        <f>COUNTIFS(#REF!,"&gt;=1",#REF!,"&lt;=12",#REF!,"Unknown",#REF!,"Female")</f>
        <v>#REF!</v>
      </c>
      <c r="AA142" s="1765" t="s">
        <v>119</v>
      </c>
      <c r="AB142" s="1766"/>
      <c r="AC142" s="1767"/>
      <c r="AD142" s="149" t="e">
        <f t="shared" ref="AD142:AD150" si="12">SUM(F142:S142)</f>
        <v>#REF!</v>
      </c>
      <c r="AE142" s="99"/>
      <c r="AF142" s="150" t="e">
        <f t="shared" ref="AF142:AF150" si="13">SUM(U142:Z142)</f>
        <v>#REF!</v>
      </c>
      <c r="AH142" s="110"/>
      <c r="AJ142" s="110"/>
      <c r="AM142">
        <v>12</v>
      </c>
    </row>
    <row r="143" spans="1:39" ht="24.95" customHeight="1" x14ac:dyDescent="0.25">
      <c r="A143" s="1768" t="s">
        <v>120</v>
      </c>
      <c r="B143" s="1768"/>
      <c r="C143" s="1768"/>
      <c r="D143" s="1585" t="e">
        <f>COUNTIFS(#REF!,"&gt;=13",#REF!,"&lt;=17")</f>
        <v>#REF!</v>
      </c>
      <c r="E143" s="1585"/>
      <c r="F143" s="45" t="e">
        <f>COUNTIFS(#REF!,"&gt;=13",#REF!,"&lt;=17",#REF!,"White",#REF!,"Male")</f>
        <v>#REF!</v>
      </c>
      <c r="G143" s="46" t="e">
        <f>COUNTIFS(#REF!,"&gt;=13",#REF!,"&lt;=17",#REF!,"White",#REF!,"Female")</f>
        <v>#REF!</v>
      </c>
      <c r="H143" s="45" t="e">
        <f>COUNTIFS(#REF!,"&gt;=13",#REF!,"&lt;=17",#REF!,"African American /Black",#REF!,"Male")</f>
        <v>#REF!</v>
      </c>
      <c r="I143" s="46" t="e">
        <f>COUNTIFS(#REF!,"&gt;=13",#REF!,"&lt;=17",#REF!,"African American /Black",#REF!,"Female")</f>
        <v>#REF!</v>
      </c>
      <c r="J143" s="45" t="e">
        <f>COUNTIFS(#REF!,"&gt;=13",#REF!,"&lt;=17",#REF!,"Native Hawaiian/Pacific",#REF!,"Male")</f>
        <v>#REF!</v>
      </c>
      <c r="K143" s="46" t="e">
        <f>COUNTIFS(#REF!,"&gt;=13",#REF!,"&lt;=17",#REF!,"Native Hawaiian/Pacific",#REF!,"Female")</f>
        <v>#REF!</v>
      </c>
      <c r="L143" s="45" t="e">
        <f>COUNTIFS(#REF!,"&gt;=13",#REF!,"&lt;=17",#REF!,"Asian",#REF!,"Male")</f>
        <v>#REF!</v>
      </c>
      <c r="M143" s="46" t="e">
        <f>COUNTIFS(#REF!,"&gt;=13",#REF!,"&lt;=17",#REF!,"Asian",#REF!,"Female")</f>
        <v>#REF!</v>
      </c>
      <c r="N143" s="45" t="e">
        <f>COUNTIFS(#REF!,"&gt;=13",#REF!,"&lt;=17",#REF!,"American Indian Alaskan Native",#REF!,"Male")</f>
        <v>#REF!</v>
      </c>
      <c r="O143" s="46" t="e">
        <f>COUNTIFS(#REF!,"&gt;=13",#REF!,"&lt;=17",#REF!,"American Indian Alaskan Native",#REF!,"Female")</f>
        <v>#REF!</v>
      </c>
      <c r="P143" s="45" t="e">
        <f>COUNTIFS(#REF!,"&gt;=13",#REF!,"&lt;=17",#REF!,"More than One Race Reported",#REF!,"Male")</f>
        <v>#REF!</v>
      </c>
      <c r="Q143" s="46" t="e">
        <f>COUNTIFS(#REF!,"&gt;=13",#REF!,"&lt;=17",#REF!,"More than One Race Reported",#REF!,"Female")</f>
        <v>#REF!</v>
      </c>
      <c r="R143" s="45" t="e">
        <f>COUNTIFS(#REF!,"&gt;=13",#REF!,"&lt;=17",#REF!,"Unknown",#REF!,"Male")</f>
        <v>#REF!</v>
      </c>
      <c r="S143" s="46" t="e">
        <f>COUNTIFS(#REF!,"&gt;=13",#REF!,"&lt;=17",#REF!,"Unknown",#REF!,"Female")</f>
        <v>#REF!</v>
      </c>
      <c r="T143" s="11"/>
      <c r="U143" s="147" t="e">
        <f>COUNTIFS(#REF!,"&gt;=13",#REF!,"&lt;=17",#REF!,"Not Hispanic or Latino",#REF!,"Male")</f>
        <v>#REF!</v>
      </c>
      <c r="V143" s="144" t="e">
        <f>COUNTIFS(#REF!,"&gt;=13",#REF!,"&lt;=17",#REF!,"Not Hispanic or Latino",#REF!,"Female")</f>
        <v>#REF!</v>
      </c>
      <c r="W143" s="147" t="e">
        <f>COUNTIFS(#REF!,"&gt;=13",#REF!,"&lt;=17",#REF!,"Hispanic-Latino ",#REF!,"Male")</f>
        <v>#REF!</v>
      </c>
      <c r="X143" s="144" t="e">
        <f>COUNTIFS(#REF!,"&gt;=13",#REF!,"&lt;=17",#REF!,"Hispanic-Latino ",#REF!,"Female")</f>
        <v>#REF!</v>
      </c>
      <c r="Y143" s="147" t="e">
        <f>COUNTIFS(#REF!,"&gt;=13",#REF!,"&lt;=17",#REF!,"Unknown",#REF!,"Male")</f>
        <v>#REF!</v>
      </c>
      <c r="Z143" s="144" t="e">
        <f>COUNTIFS(#REF!,"&gt;=13",#REF!,"&lt;=17",#REF!,"Unknown",#REF!,"Female")</f>
        <v>#REF!</v>
      </c>
      <c r="AA143" s="1768" t="s">
        <v>120</v>
      </c>
      <c r="AB143" s="1768"/>
      <c r="AC143" s="1768"/>
      <c r="AD143" s="151" t="e">
        <f t="shared" si="12"/>
        <v>#REF!</v>
      </c>
      <c r="AE143" s="99"/>
      <c r="AF143" s="152" t="e">
        <f t="shared" si="13"/>
        <v>#REF!</v>
      </c>
      <c r="AH143" s="110"/>
      <c r="AI143" t="s">
        <v>307</v>
      </c>
      <c r="AM143">
        <v>6</v>
      </c>
    </row>
    <row r="144" spans="1:39" ht="24.95" customHeight="1" x14ac:dyDescent="0.25">
      <c r="A144" s="1769" t="s">
        <v>121</v>
      </c>
      <c r="B144" s="1769"/>
      <c r="C144" s="1769"/>
      <c r="D144" s="1585" t="e">
        <f>COUNTIFS(#REF!,"&gt;=18",#REF!,"&lt;=20")</f>
        <v>#REF!</v>
      </c>
      <c r="E144" s="1585"/>
      <c r="F144" s="43" t="e">
        <f>COUNTIFS(#REF!,"&gt;=18",#REF!,"&lt;=20",#REF!,"White",#REF!,"Male")</f>
        <v>#REF!</v>
      </c>
      <c r="G144" s="44" t="e">
        <f>COUNTIFS(#REF!,"&gt;=18",#REF!,"&lt;=20",#REF!,"White",#REF!,"Female")</f>
        <v>#REF!</v>
      </c>
      <c r="H144" s="43" t="e">
        <f>COUNTIFS(#REF!,"&gt;=18",#REF!,"&lt;=20",#REF!,"African American /Black",#REF!,"Male")</f>
        <v>#REF!</v>
      </c>
      <c r="I144" s="44" t="e">
        <f>COUNTIFS(#REF!,"&gt;=18",#REF!,"&lt;=20",#REF!,"African American /Black",#REF!,"Female")</f>
        <v>#REF!</v>
      </c>
      <c r="J144" s="43" t="e">
        <f>COUNTIFS(#REF!,"&gt;=18",#REF!,"&lt;=20",#REF!,"Native Hawaiian/Pacific",#REF!,"Male")</f>
        <v>#REF!</v>
      </c>
      <c r="K144" s="44" t="e">
        <f>COUNTIFS(#REF!,"&gt;=18",#REF!,"&lt;=20",#REF!,"Native Hawaiian/Pacific",#REF!,"Female")</f>
        <v>#REF!</v>
      </c>
      <c r="L144" s="43" t="e">
        <f>COUNTIFS(#REF!,"&gt;=18",#REF!,"&lt;=20",#REF!,"Asian",#REF!,"Male")</f>
        <v>#REF!</v>
      </c>
      <c r="M144" s="44" t="e">
        <f>COUNTIFS(#REF!,"&gt;=18",#REF!,"&lt;=20",#REF!,"Asian",#REF!,"Female")</f>
        <v>#REF!</v>
      </c>
      <c r="N144" s="43" t="e">
        <f>COUNTIFS(#REF!,"&gt;=18",#REF!,"&lt;=20",#REF!,"American Indian Alaskan Native",#REF!,"Male")</f>
        <v>#REF!</v>
      </c>
      <c r="O144" s="44" t="e">
        <f>COUNTIFS(#REF!,"&gt;=18",#REF!,"&lt;=20",#REF!,"American Indian Alaskan Native",#REF!,"Female")</f>
        <v>#REF!</v>
      </c>
      <c r="P144" s="43" t="e">
        <f>COUNTIFS(#REF!,"&gt;=18",#REF!,"&lt;=20",#REF!,"More than One Race Reported",#REF!,"Male")</f>
        <v>#REF!</v>
      </c>
      <c r="Q144" s="44" t="e">
        <f>COUNTIFS(#REF!,"&gt;=18",#REF!,"&lt;=20",#REF!,"More than One Race Reported",#REF!,"Female")</f>
        <v>#REF!</v>
      </c>
      <c r="R144" s="43" t="e">
        <f>COUNTIFS(#REF!,"&gt;=18",#REF!,"&lt;=20",#REF!,"Unknown",#REF!,"Male")</f>
        <v>#REF!</v>
      </c>
      <c r="S144" s="44" t="e">
        <f>COUNTIFS(#REF!,"&gt;=18",#REF!,"&lt;=20",#REF!,"Unknown",#REF!,"Female")</f>
        <v>#REF!</v>
      </c>
      <c r="T144" s="11"/>
      <c r="U144" s="145" t="e">
        <f>COUNTIFS(#REF!,"&gt;=18",#REF!,"&lt;=20",#REF!,"Not Hispanic or Latino",#REF!,"Male")</f>
        <v>#REF!</v>
      </c>
      <c r="V144" s="147" t="e">
        <f>COUNTIFS(#REF!,"&gt;=18",#REF!,"&lt;=20",#REF!,"Not Hispanic or Latino",#REF!,"Female")</f>
        <v>#REF!</v>
      </c>
      <c r="W144" s="145" t="e">
        <f>COUNTIFS(#REF!,"&gt;=18",#REF!,"&lt;=20",#REF!,"Hispanic-Latino ",#REF!,"Male")</f>
        <v>#REF!</v>
      </c>
      <c r="X144" s="147" t="e">
        <f>COUNTIFS(#REF!,"&gt;=18",#REF!,"&lt;=20",#REF!,"Hispanic-Latino ",#REF!,"Female")</f>
        <v>#REF!</v>
      </c>
      <c r="Y144" s="145" t="e">
        <f>COUNTIFS(#REF!,"&gt;=18",#REF!,"&lt;=20",#REF!,"Unknown",#REF!,"Male")</f>
        <v>#REF!</v>
      </c>
      <c r="Z144" s="147" t="e">
        <f>COUNTIFS(#REF!,"&gt;=18",#REF!,"&lt;=20",#REF!,"Unknown",#REF!,"Female")</f>
        <v>#REF!</v>
      </c>
      <c r="AA144" s="1769" t="s">
        <v>121</v>
      </c>
      <c r="AB144" s="1769"/>
      <c r="AC144" s="1769"/>
      <c r="AD144" s="149" t="e">
        <f t="shared" si="12"/>
        <v>#REF!</v>
      </c>
      <c r="AE144" s="99"/>
      <c r="AF144" s="150" t="e">
        <f t="shared" si="13"/>
        <v>#REF!</v>
      </c>
      <c r="AH144" s="110"/>
      <c r="AI144" t="s">
        <v>308</v>
      </c>
      <c r="AM144">
        <v>6</v>
      </c>
    </row>
    <row r="145" spans="1:39" ht="24.95" customHeight="1" x14ac:dyDescent="0.25">
      <c r="A145" s="1768" t="s">
        <v>10</v>
      </c>
      <c r="B145" s="1768"/>
      <c r="C145" s="1768"/>
      <c r="D145" s="1585" t="e">
        <f>COUNTIFS(#REF!,"&gt;=21",#REF!,"&lt;=24")</f>
        <v>#REF!</v>
      </c>
      <c r="E145" s="1585"/>
      <c r="F145" s="45" t="e">
        <f>COUNTIFS(#REF!,"&gt;=21",#REF!,"&lt;=24",#REF!,"White",#REF!,"Male")</f>
        <v>#REF!</v>
      </c>
      <c r="G145" s="46" t="e">
        <f>COUNTIFS(#REF!,"&gt;=21",#REF!,"&lt;=24",#REF!,"White",#REF!,"Female")</f>
        <v>#REF!</v>
      </c>
      <c r="H145" s="45" t="e">
        <f>COUNTIFS(#REF!,"&gt;=21",#REF!,"&lt;=24",#REF!,"African American /Black",#REF!,"Male")</f>
        <v>#REF!</v>
      </c>
      <c r="I145" s="46" t="e">
        <f>COUNTIFS(#REF!,"&gt;=21",#REF!,"&lt;=24",#REF!,"African American /Black",#REF!,"Female")</f>
        <v>#REF!</v>
      </c>
      <c r="J145" s="45" t="e">
        <f>COUNTIFS(#REF!,"&gt;=21",#REF!,"&lt;=24",#REF!,"Native Hawaiian/Pacific",#REF!,"Male")</f>
        <v>#REF!</v>
      </c>
      <c r="K145" s="46" t="e">
        <f>COUNTIFS(#REF!,"&gt;=21",#REF!,"&lt;=24",#REF!,"Native Hawaiian/Pacific",#REF!,"Female")</f>
        <v>#REF!</v>
      </c>
      <c r="L145" s="45" t="e">
        <f>COUNTIFS(#REF!,"&gt;=21",#REF!,"&lt;=24",#REF!,"Asian",#REF!,"Male")</f>
        <v>#REF!</v>
      </c>
      <c r="M145" s="46" t="e">
        <f>COUNTIFS(#REF!,"&gt;=21",#REF!,"&lt;=24",#REF!,"Asian",#REF!,"Female")</f>
        <v>#REF!</v>
      </c>
      <c r="N145" s="45" t="e">
        <f>COUNTIFS(#REF!,"&gt;=21",#REF!,"&lt;=24",#REF!,"American Indian Alaskan Native",#REF!,"Male")</f>
        <v>#REF!</v>
      </c>
      <c r="O145" s="46" t="e">
        <f>COUNTIFS(#REF!,"&gt;=21",#REF!,"&lt;=24",#REF!,"American Indian Alaskan Native",#REF!,"Female")</f>
        <v>#REF!</v>
      </c>
      <c r="P145" s="45" t="e">
        <f>COUNTIFS(#REF!,"&gt;=21",#REF!,"&lt;=24",#REF!,"More than One Race Reported",#REF!,"Male")</f>
        <v>#REF!</v>
      </c>
      <c r="Q145" s="46" t="e">
        <f>COUNTIFS(#REF!,"&gt;=21",#REF!,"&lt;=24",#REF!,"More than One Race Reported",#REF!,"Female")</f>
        <v>#REF!</v>
      </c>
      <c r="R145" s="45" t="e">
        <f>COUNTIFS(#REF!,"&gt;=21",#REF!,"&lt;=24",#REF!,"Unknown",#REF!,"Male")</f>
        <v>#REF!</v>
      </c>
      <c r="S145" s="46" t="e">
        <f>COUNTIFS(#REF!,"&gt;=21",#REF!,"&lt;=24",#REF!,"Unknown",#REF!,"Female")</f>
        <v>#REF!</v>
      </c>
      <c r="T145" s="11"/>
      <c r="U145" s="147" t="e">
        <f>COUNTIFS(#REF!,"&gt;=21",#REF!,"&lt;=24",#REF!,"Not Hispanic or Latino",#REF!,"Male")</f>
        <v>#REF!</v>
      </c>
      <c r="V145" s="144" t="e">
        <f>COUNTIFS(#REF!,"&gt;=21",#REF!,"&lt;=24",#REF!,"Not Hispanic or Latino",#REF!,"Female")</f>
        <v>#REF!</v>
      </c>
      <c r="W145" s="147" t="e">
        <f>COUNTIFS(#REF!,"&gt;=21",#REF!,"&lt;=24",#REF!,"Hispanic-Latino ",#REF!,"Male")</f>
        <v>#REF!</v>
      </c>
      <c r="X145" s="144" t="e">
        <f>COUNTIFS(#REF!,"&gt;=21",#REF!,"&lt;=24",#REF!,"Hispanic-Latino ",#REF!,"Female")</f>
        <v>#REF!</v>
      </c>
      <c r="Y145" s="147" t="e">
        <f>COUNTIFS(#REF!,"&gt;=21",#REF!,"&lt;=24",#REF!,"Unknown",#REF!,"Male")</f>
        <v>#REF!</v>
      </c>
      <c r="Z145" s="144" t="e">
        <f>COUNTIFS(#REF!,"&gt;=21",#REF!,"&lt;=24",#REF!,"Unknown",#REF!,"Female")</f>
        <v>#REF!</v>
      </c>
      <c r="AA145" s="1768" t="s">
        <v>10</v>
      </c>
      <c r="AB145" s="1768"/>
      <c r="AC145" s="1768"/>
      <c r="AD145" s="151" t="e">
        <f t="shared" si="12"/>
        <v>#REF!</v>
      </c>
      <c r="AE145" s="99"/>
      <c r="AF145" s="152" t="e">
        <f t="shared" si="13"/>
        <v>#REF!</v>
      </c>
      <c r="AH145" s="110"/>
      <c r="AI145" t="s">
        <v>309</v>
      </c>
      <c r="AM145">
        <v>12</v>
      </c>
    </row>
    <row r="146" spans="1:39" ht="24.95" customHeight="1" x14ac:dyDescent="0.25">
      <c r="A146" s="1769" t="s">
        <v>11</v>
      </c>
      <c r="B146" s="1769"/>
      <c r="C146" s="1769"/>
      <c r="D146" s="1585" t="e">
        <f>COUNTIFS(#REF!,"&gt;=25",#REF!,"&lt;=44")</f>
        <v>#REF!</v>
      </c>
      <c r="E146" s="1585"/>
      <c r="F146" s="43" t="e">
        <f>COUNTIFS(#REF!,"&gt;=25",#REF!,"&lt;=44",#REF!,"White",#REF!,"Male")</f>
        <v>#REF!</v>
      </c>
      <c r="G146" s="44" t="e">
        <f>COUNTIFS(#REF!,"&gt;=25",#REF!,"&lt;=44",#REF!,"White",#REF!,"Female")</f>
        <v>#REF!</v>
      </c>
      <c r="H146" s="43" t="e">
        <f>COUNTIFS(#REF!,"&gt;=25",#REF!,"&lt;=44",#REF!,"African American /Black",#REF!,"Male")</f>
        <v>#REF!</v>
      </c>
      <c r="I146" s="44" t="e">
        <f>COUNTIFS(#REF!,"&gt;=25",#REF!,"&lt;=44",#REF!,"African American /Black",#REF!,"Female")</f>
        <v>#REF!</v>
      </c>
      <c r="J146" s="43" t="e">
        <f>COUNTIFS(#REF!,"&gt;=25",#REF!,"&lt;=44",#REF!,"Native Hawaiian/Pacific",#REF!,"Male")</f>
        <v>#REF!</v>
      </c>
      <c r="K146" s="44" t="e">
        <f>COUNTIFS(#REF!,"&gt;=25",#REF!,"&lt;=44",#REF!,"Native Hawaiian/Pacific",#REF!,"Female")</f>
        <v>#REF!</v>
      </c>
      <c r="L146" s="43" t="e">
        <f>COUNTIFS(#REF!,"&gt;=25",#REF!,"&lt;=44",#REF!,"Asian",#REF!,"Male")</f>
        <v>#REF!</v>
      </c>
      <c r="M146" s="44" t="e">
        <f>COUNTIFS(#REF!,"&gt;=25",#REF!,"&lt;=44",#REF!,"Asian",#REF!,"Female")</f>
        <v>#REF!</v>
      </c>
      <c r="N146" s="43" t="e">
        <f>COUNTIFS(#REF!,"&gt;=25",#REF!,"&lt;=44",#REF!,"American Indian Alaskan Native",#REF!,"Male")</f>
        <v>#REF!</v>
      </c>
      <c r="O146" s="44" t="e">
        <f>COUNTIFS(#REF!,"&gt;=25",#REF!,"&lt;=44",#REF!,"American Indian Alaskan Native",#REF!,"Female")</f>
        <v>#REF!</v>
      </c>
      <c r="P146" s="43" t="e">
        <f>COUNTIFS(#REF!,"&gt;=25",#REF!,"&lt;=44",#REF!,"More than One Race Reported",#REF!,"Male")</f>
        <v>#REF!</v>
      </c>
      <c r="Q146" s="44" t="e">
        <f>COUNTIFS(#REF!,"&gt;=25",#REF!,"&lt;=44",#REF!,"More than One Race Reported",#REF!,"Female")</f>
        <v>#REF!</v>
      </c>
      <c r="R146" s="43" t="e">
        <f>COUNTIFS(#REF!,"&gt;=25",#REF!,"&lt;=44",#REF!,"Unknown",#REF!,"Male")</f>
        <v>#REF!</v>
      </c>
      <c r="S146" s="44" t="e">
        <f>COUNTIFS(#REF!,"&gt;=25",#REF!,"&lt;=44",#REF!,"Unknown",#REF!,"Female")</f>
        <v>#REF!</v>
      </c>
      <c r="T146" s="11"/>
      <c r="U146" s="145" t="e">
        <f>COUNTIFS(#REF!,"&gt;=25",#REF!,"&lt;=44",#REF!,"Not Hispanic or Latino",#REF!,"Male")</f>
        <v>#REF!</v>
      </c>
      <c r="V146" s="147" t="e">
        <f>COUNTIFS(#REF!,"&gt;=25",#REF!,"&lt;=44",#REF!,"Not Hispanic or Latino",#REF!,"Female")</f>
        <v>#REF!</v>
      </c>
      <c r="W146" s="145" t="e">
        <f>COUNTIFS(#REF!,"&gt;=25",#REF!,"&lt;=44",#REF!,"Hispanic-Latino ",#REF!,"Male")</f>
        <v>#REF!</v>
      </c>
      <c r="X146" s="147" t="e">
        <f>COUNTIFS(#REF!,"&gt;=25",#REF!,"&lt;=44",#REF!,"Hispanic-Latino ",#REF!,"Female")</f>
        <v>#REF!</v>
      </c>
      <c r="Y146" s="145" t="e">
        <f>COUNTIFS(#REF!,"&gt;=25",#REF!,"&lt;=44",#REF!,"Unknown",#REF!,"Male")</f>
        <v>#REF!</v>
      </c>
      <c r="Z146" s="147" t="e">
        <f>COUNTIFS(#REF!,"&gt;=25",#REF!,"&lt;=44",#REF!,"Unknown",#REF!,"Female")</f>
        <v>#REF!</v>
      </c>
      <c r="AA146" s="1769" t="s">
        <v>11</v>
      </c>
      <c r="AB146" s="1769"/>
      <c r="AC146" s="1769"/>
      <c r="AD146" s="149" t="e">
        <f t="shared" si="12"/>
        <v>#REF!</v>
      </c>
      <c r="AE146" s="99"/>
      <c r="AF146" s="150" t="e">
        <f t="shared" si="13"/>
        <v>#REF!</v>
      </c>
      <c r="AH146" s="110"/>
      <c r="AI146" t="s">
        <v>310</v>
      </c>
      <c r="AM146">
        <v>31</v>
      </c>
    </row>
    <row r="147" spans="1:39" ht="24.95" customHeight="1" x14ac:dyDescent="0.25">
      <c r="A147" s="1768" t="s">
        <v>12</v>
      </c>
      <c r="B147" s="1768"/>
      <c r="C147" s="1768"/>
      <c r="D147" s="1585" t="e">
        <f>COUNTIFS(#REF!,"&gt;=45",#REF!,"&lt;=64")</f>
        <v>#REF!</v>
      </c>
      <c r="E147" s="1585"/>
      <c r="F147" s="47" t="e">
        <f>COUNTIFS(#REF!,"&gt;=45",#REF!,"&lt;=64",#REF!,"White",#REF!,"Male")</f>
        <v>#REF!</v>
      </c>
      <c r="G147" s="48" t="e">
        <f>COUNTIFS(#REF!,"&gt;=45",#REF!,"&lt;=64",#REF!,"White",#REF!,"Female")</f>
        <v>#REF!</v>
      </c>
      <c r="H147" s="47" t="e">
        <f>COUNTIFS(#REF!,"&gt;=45",#REF!,"&lt;=64",#REF!,"African American /Black",#REF!,"Male")</f>
        <v>#REF!</v>
      </c>
      <c r="I147" s="48" t="e">
        <f>COUNTIFS(#REF!,"&gt;=45",#REF!,"&lt;=64",#REF!,"African American /Black",#REF!,"Female")</f>
        <v>#REF!</v>
      </c>
      <c r="J147" s="47" t="e">
        <f>COUNTIFS(#REF!,"&gt;=45",#REF!,"&lt;=64",#REF!,"Native Hawaiian/Pacific",#REF!,"Male")</f>
        <v>#REF!</v>
      </c>
      <c r="K147" s="48" t="e">
        <f>COUNTIFS(#REF!,"&gt;=45",#REF!,"&lt;=64",#REF!,"Native Hawaiian/Pacific",#REF!,"Female")</f>
        <v>#REF!</v>
      </c>
      <c r="L147" s="47" t="e">
        <f>COUNTIFS(#REF!,"&gt;=45",#REF!,"&lt;=64",#REF!,"Asian",#REF!,"Male")</f>
        <v>#REF!</v>
      </c>
      <c r="M147" s="48" t="e">
        <f>COUNTIFS(#REF!,"&gt;=45",#REF!,"&lt;=64",#REF!,"Asian",#REF!,"Female")</f>
        <v>#REF!</v>
      </c>
      <c r="N147" s="47" t="e">
        <f>COUNTIFS(#REF!,"&gt;=45",#REF!,"&lt;=64",#REF!,"American Indian Alaskan Native",#REF!,"Male")</f>
        <v>#REF!</v>
      </c>
      <c r="O147" s="48" t="e">
        <f>COUNTIFS(#REF!,"&gt;=45",#REF!,"&lt;=64",#REF!,"American Indian Alaskan Native",#REF!,"Female")</f>
        <v>#REF!</v>
      </c>
      <c r="P147" s="47" t="e">
        <f>COUNTIFS(#REF!,"&gt;=45",#REF!,"&lt;=64",#REF!,"More than One Race Reported",#REF!,"Male")</f>
        <v>#REF!</v>
      </c>
      <c r="Q147" s="48" t="e">
        <f>COUNTIFS(#REF!,"&gt;=45",#REF!,"&lt;=64",#REF!,"More than One Race Reported",#REF!,"Female")</f>
        <v>#REF!</v>
      </c>
      <c r="R147" s="47" t="e">
        <f>COUNTIFS(#REF!,"&gt;=45",#REF!,"&lt;=64",#REF!,"Unknown",#REF!,"Male")</f>
        <v>#REF!</v>
      </c>
      <c r="S147" s="48" t="e">
        <f>COUNTIFS(#REF!,"&gt;=45",#REF!,"&lt;=64",#REF!,"Unknown",#REF!,"Female")</f>
        <v>#REF!</v>
      </c>
      <c r="T147" s="11"/>
      <c r="U147" s="148" t="e">
        <f>COUNTIFS(#REF!,"&gt;=45",#REF!,"&lt;=64",#REF!,"Not Hispanic or Latino",#REF!,"Male")</f>
        <v>#REF!</v>
      </c>
      <c r="V147" s="141" t="e">
        <f>COUNTIFS(#REF!,"&gt;=45",#REF!,"&lt;=64",#REF!,"Not Hispanic or Latino",#REF!,"Female")</f>
        <v>#REF!</v>
      </c>
      <c r="W147" s="147" t="e">
        <f>COUNTIFS(#REF!,"&gt;=45",#REF!,"&lt;=64",#REF!,"Hispanic-Latino ",#REF!,"Male")</f>
        <v>#REF!</v>
      </c>
      <c r="X147" s="141" t="e">
        <f>COUNTIFS(#REF!,"&gt;=45",#REF!,"&lt;=64",#REF!,"Hispanic-Latino ",#REF!,"Female")</f>
        <v>#REF!</v>
      </c>
      <c r="Y147" s="148" t="e">
        <f>COUNTIFS(#REF!,"&gt;=45",#REF!,"&lt;=64",#REF!,"Unknown",#REF!,"Male")</f>
        <v>#REF!</v>
      </c>
      <c r="Z147" s="141" t="e">
        <f>COUNTIFS(#REF!,"&gt;=45",#REF!,"&lt;=64",#REF!,"Unknown",#REF!,"Female")</f>
        <v>#REF!</v>
      </c>
      <c r="AA147" s="1768" t="s">
        <v>12</v>
      </c>
      <c r="AB147" s="1768"/>
      <c r="AC147" s="1768"/>
      <c r="AD147" s="151" t="e">
        <f t="shared" si="12"/>
        <v>#REF!</v>
      </c>
      <c r="AE147" s="99"/>
      <c r="AF147" s="152" t="e">
        <f t="shared" si="13"/>
        <v>#REF!</v>
      </c>
      <c r="AH147" s="110"/>
      <c r="AI147" t="s">
        <v>311</v>
      </c>
      <c r="AM147">
        <v>24</v>
      </c>
    </row>
    <row r="148" spans="1:39" ht="24.95" customHeight="1" x14ac:dyDescent="0.25">
      <c r="A148" s="1769" t="s">
        <v>122</v>
      </c>
      <c r="B148" s="1769"/>
      <c r="C148" s="1769"/>
      <c r="D148" s="1585" t="e">
        <f>COUNTIFS(#REF!,"&gt;=65",#REF!,"&lt;=74")</f>
        <v>#REF!</v>
      </c>
      <c r="E148" s="1585"/>
      <c r="F148" s="49" t="e">
        <f>COUNTIFS(#REF!,"&gt;=65",#REF!,"&lt;=74",#REF!,"White",#REF!,"Male")</f>
        <v>#REF!</v>
      </c>
      <c r="G148" s="50" t="e">
        <f>COUNTIFS(#REF!,"&gt;=65",#REF!,"&lt;=74",#REF!,"White",#REF!,"Female")</f>
        <v>#REF!</v>
      </c>
      <c r="H148" s="49" t="e">
        <f>COUNTIFS(#REF!,"&gt;=65",#REF!,"&lt;=74",#REF!,"African American /Black",#REF!,"Male")</f>
        <v>#REF!</v>
      </c>
      <c r="I148" s="50" t="e">
        <f>COUNTIFS(#REF!,"&gt;=65",#REF!,"&lt;=74",#REF!,"African American /Black",#REF!,"Female")</f>
        <v>#REF!</v>
      </c>
      <c r="J148" s="49" t="e">
        <f>COUNTIFS(#REF!,"&gt;=65",#REF!,"&lt;=74",#REF!,"Native Hawaiian/Pacific",#REF!,"Male")</f>
        <v>#REF!</v>
      </c>
      <c r="K148" s="50" t="e">
        <f>COUNTIFS(#REF!,"&gt;=65",#REF!,"&lt;=74",#REF!,"Native Hawaiian/Pacific",#REF!,"Female")</f>
        <v>#REF!</v>
      </c>
      <c r="L148" s="49" t="e">
        <f>COUNTIFS(#REF!,"&gt;=65",#REF!,"&lt;=74",#REF!,"Asian",#REF!,"Male")</f>
        <v>#REF!</v>
      </c>
      <c r="M148" s="50" t="e">
        <f>COUNTIFS(#REF!,"&gt;=65",#REF!,"&lt;=74",#REF!,"Asian",#REF!,"Female")</f>
        <v>#REF!</v>
      </c>
      <c r="N148" s="49" t="e">
        <f>COUNTIFS(#REF!,"&gt;=65",#REF!,"&lt;=74",#REF!,"American Indian Alaskan Native",#REF!,"Male")</f>
        <v>#REF!</v>
      </c>
      <c r="O148" s="50" t="e">
        <f>COUNTIFS(#REF!,"&gt;=65",#REF!,"&lt;=74",#REF!,"American Indian Alaskan Native",#REF!,"Female")</f>
        <v>#REF!</v>
      </c>
      <c r="P148" s="49" t="e">
        <f>COUNTIFS(#REF!,"&gt;=65",#REF!,"&lt;=74",#REF!,"More than One Race Reported",#REF!,"Male")</f>
        <v>#REF!</v>
      </c>
      <c r="Q148" s="50" t="e">
        <f>COUNTIFS(#REF!,"&gt;=65",#REF!,"&lt;=74",#REF!,"More than One Race Reported",#REF!,"Female")</f>
        <v>#REF!</v>
      </c>
      <c r="R148" s="49" t="e">
        <f>COUNTIFS(#REF!,"&gt;=65",#REF!,"&lt;=74",#REF!,"Unknown",#REF!,"Male")</f>
        <v>#REF!</v>
      </c>
      <c r="S148" s="50" t="e">
        <f>COUNTIFS(#REF!,"&gt;=65",#REF!,"&lt;=74",#REF!,"Unknown",#REF!,"Female")</f>
        <v>#REF!</v>
      </c>
      <c r="T148" s="11"/>
      <c r="U148" s="139" t="e">
        <f>COUNTIFS(#REF!,"&gt;=65",#REF!,"&lt;=74",#REF!,"Not Hispanic or Latino",#REF!,"Male")</f>
        <v>#REF!</v>
      </c>
      <c r="V148" s="148" t="e">
        <f>COUNTIFS(#REF!,"&gt;=65",#REF!,"&lt;=74",#REF!,"Not Hispanic or Latino",#REF!,"Female")</f>
        <v>#REF!</v>
      </c>
      <c r="W148" s="145" t="e">
        <f>COUNTIFS(#REF!,"&gt;=65",#REF!,"&lt;=74",#REF!,"Hispanic-Latino ",#REF!,"Male")</f>
        <v>#REF!</v>
      </c>
      <c r="X148" s="148" t="e">
        <f>COUNTIFS(#REF!,"&gt;=65",#REF!,"&lt;=74",#REF!,"Hispanic-Latino ",#REF!,"Female")</f>
        <v>#REF!</v>
      </c>
      <c r="Y148" s="139" t="e">
        <f>COUNTIFS(#REF!,"&gt;=65",#REF!,"&lt;=74",#REF!,"Unknown",#REF!,"Male")</f>
        <v>#REF!</v>
      </c>
      <c r="Z148" s="148" t="e">
        <f>COUNTIFS(#REF!,"&gt;=65",#REF!,"&lt;=74",#REF!,"Unknown",#REF!,"Female")</f>
        <v>#REF!</v>
      </c>
      <c r="AA148" s="1769" t="s">
        <v>122</v>
      </c>
      <c r="AB148" s="1769"/>
      <c r="AC148" s="1769"/>
      <c r="AD148" s="149" t="e">
        <f t="shared" si="12"/>
        <v>#REF!</v>
      </c>
      <c r="AE148" s="99"/>
      <c r="AF148" s="150" t="e">
        <f t="shared" si="13"/>
        <v>#REF!</v>
      </c>
      <c r="AH148" s="110"/>
      <c r="AI148" t="s">
        <v>312</v>
      </c>
      <c r="AM148">
        <v>6</v>
      </c>
    </row>
    <row r="149" spans="1:39" ht="24.95" customHeight="1" x14ac:dyDescent="0.25">
      <c r="A149" s="1770" t="s">
        <v>123</v>
      </c>
      <c r="B149" s="1771"/>
      <c r="C149" s="1772"/>
      <c r="D149" s="1585" t="e">
        <f>COUNTIFS(#REF!,"&gt;=75",#REF!,"&lt;=150")</f>
        <v>#REF!</v>
      </c>
      <c r="E149" s="1585"/>
      <c r="F149" s="47" t="e">
        <f>COUNTIFS(#REF!,"&gt;=75",#REF!,"&lt;=150",#REF!,"White",#REF!,"Male")</f>
        <v>#REF!</v>
      </c>
      <c r="G149" s="48" t="e">
        <f>COUNTIFS(#REF!,"&gt;=75",#REF!,"&lt;=150",#REF!,"White",#REF!,"Female")</f>
        <v>#REF!</v>
      </c>
      <c r="H149" s="47" t="e">
        <f>COUNTIFS(#REF!,"&gt;=75",#REF!,"&lt;=150",#REF!,"African American /Black",#REF!,"Male")</f>
        <v>#REF!</v>
      </c>
      <c r="I149" s="48" t="e">
        <f>COUNTIFS(#REF!,"&gt;=75",#REF!,"&lt;=150",#REF!,"African American /Black",#REF!,"Female")</f>
        <v>#REF!</v>
      </c>
      <c r="J149" s="47" t="e">
        <f>COUNTIFS(#REF!,"&gt;=75",#REF!,"&lt;=150",#REF!,"Native Hawaiian/Pacific",#REF!,"Male")</f>
        <v>#REF!</v>
      </c>
      <c r="K149" s="48" t="e">
        <f>COUNTIFS(#REF!,"&gt;=75",#REF!,"&lt;=150",#REF!,"Native Hawaiian/Pacific",#REF!,"Female")</f>
        <v>#REF!</v>
      </c>
      <c r="L149" s="47" t="e">
        <f>COUNTIFS(#REF!,"&gt;=75",#REF!,"&lt;=150",#REF!,"Asian",#REF!,"Male")</f>
        <v>#REF!</v>
      </c>
      <c r="M149" s="48" t="e">
        <f>COUNTIFS(#REF!,"&gt;=75",#REF!,"&lt;=150",#REF!,"Asian",#REF!,"Female")</f>
        <v>#REF!</v>
      </c>
      <c r="N149" s="47" t="e">
        <f>COUNTIFS(#REF!,"&gt;=75",#REF!,"&lt;=150",#REF!,"American Indian Alaskan Native",#REF!,"Male")</f>
        <v>#REF!</v>
      </c>
      <c r="O149" s="48" t="e">
        <f>COUNTIFS(#REF!,"&gt;=75",#REF!,"&lt;=150",#REF!,"American Indian Alaskan Native",#REF!,"Female")</f>
        <v>#REF!</v>
      </c>
      <c r="P149" s="47" t="e">
        <f>COUNTIFS(#REF!,"&gt;=75",#REF!,"&lt;=150",#REF!,"More than One Race Reported",#REF!,"Male")</f>
        <v>#REF!</v>
      </c>
      <c r="Q149" s="48" t="e">
        <f>COUNTIFS(#REF!,"&gt;=75",#REF!,"&lt;=150",#REF!,"More than One Race Reported",#REF!,"Female")</f>
        <v>#REF!</v>
      </c>
      <c r="R149" s="47" t="e">
        <f>COUNTIFS(#REF!,"&gt;=75",#REF!,"&lt;=150",#REF!,"Unknown",#REF!,"Male")</f>
        <v>#REF!</v>
      </c>
      <c r="S149" s="48" t="e">
        <f>COUNTIFS(#REF!,"&gt;=75",#REF!,"&lt;=150",#REF!,"Unknown",#REF!,"Female")</f>
        <v>#REF!</v>
      </c>
      <c r="T149" s="11"/>
      <c r="U149" s="148" t="e">
        <f>COUNTIFS(#REF!,"&gt;=75",#REF!,"&lt;=150",#REF!,"Not Hispanic or Latino",#REF!,"Male")</f>
        <v>#REF!</v>
      </c>
      <c r="V149" s="141" t="e">
        <f>COUNTIFS(#REF!,"&gt;=75",#REF!,"&lt;=150",#REF!,"Not Hispanic or Latino",#REF!,"Female")</f>
        <v>#REF!</v>
      </c>
      <c r="W149" s="147" t="e">
        <f>COUNTIFS(#REF!,"&gt;=75",#REF!,"&lt;=150",#REF!,"Hispanic-Latino ",#REF!,"Male")</f>
        <v>#REF!</v>
      </c>
      <c r="X149" s="141" t="e">
        <f>COUNTIFS(#REF!,"&gt;=75",#REF!,"&lt;=150",#REF!,"Hispanic-Latino ",#REF!,"Female")</f>
        <v>#REF!</v>
      </c>
      <c r="Y149" s="148" t="e">
        <f>COUNTIFS(#REF!,"&gt;=75",#REF!,"&lt;=150",#REF!,"Unknown",#REF!,"Male")</f>
        <v>#REF!</v>
      </c>
      <c r="Z149" s="141" t="e">
        <f>COUNTIFS(#REF!,"&gt;=75",#REF!,"&lt;=150",#REF!,"Unknown",#REF!,"Female")</f>
        <v>#REF!</v>
      </c>
      <c r="AA149" s="1770" t="s">
        <v>123</v>
      </c>
      <c r="AB149" s="1771"/>
      <c r="AC149" s="1772"/>
      <c r="AD149" s="149" t="e">
        <f t="shared" si="12"/>
        <v>#REF!</v>
      </c>
      <c r="AF149" s="150" t="e">
        <f t="shared" si="13"/>
        <v>#REF!</v>
      </c>
      <c r="AH149" s="110"/>
      <c r="AJ149" s="110"/>
      <c r="AM149">
        <v>15</v>
      </c>
    </row>
    <row r="150" spans="1:39" ht="24.95" customHeight="1" x14ac:dyDescent="0.25">
      <c r="A150" s="1787" t="s">
        <v>124</v>
      </c>
      <c r="B150" s="1787"/>
      <c r="C150" s="1787"/>
      <c r="D150" s="1788" t="e">
        <f>SUM(D142:D149)</f>
        <v>#REF!</v>
      </c>
      <c r="E150" s="1788"/>
      <c r="F150" s="109" t="e">
        <f t="shared" ref="F150:S150" si="14">SUM(F142:F149)</f>
        <v>#REF!</v>
      </c>
      <c r="G150" s="52" t="e">
        <f t="shared" si="14"/>
        <v>#REF!</v>
      </c>
      <c r="H150" s="51" t="e">
        <f t="shared" si="14"/>
        <v>#REF!</v>
      </c>
      <c r="I150" s="52" t="e">
        <f t="shared" si="14"/>
        <v>#REF!</v>
      </c>
      <c r="J150" s="51" t="e">
        <f t="shared" si="14"/>
        <v>#REF!</v>
      </c>
      <c r="K150" s="52" t="e">
        <f t="shared" si="14"/>
        <v>#REF!</v>
      </c>
      <c r="L150" s="51" t="e">
        <f t="shared" si="14"/>
        <v>#REF!</v>
      </c>
      <c r="M150" s="52" t="e">
        <f t="shared" si="14"/>
        <v>#REF!</v>
      </c>
      <c r="N150" s="51" t="e">
        <f t="shared" si="14"/>
        <v>#REF!</v>
      </c>
      <c r="O150" s="52" t="e">
        <f t="shared" si="14"/>
        <v>#REF!</v>
      </c>
      <c r="P150" s="51" t="e">
        <f t="shared" si="14"/>
        <v>#REF!</v>
      </c>
      <c r="Q150" s="52" t="e">
        <f t="shared" si="14"/>
        <v>#REF!</v>
      </c>
      <c r="R150" s="51" t="e">
        <f t="shared" si="14"/>
        <v>#REF!</v>
      </c>
      <c r="S150" s="52" t="e">
        <f t="shared" si="14"/>
        <v>#REF!</v>
      </c>
      <c r="T150" s="53"/>
      <c r="U150" s="51" t="e">
        <f t="shared" ref="U150:Z150" si="15">SUM(U142:U149)</f>
        <v>#REF!</v>
      </c>
      <c r="V150" s="52" t="e">
        <f t="shared" si="15"/>
        <v>#REF!</v>
      </c>
      <c r="W150" s="51" t="e">
        <f t="shared" si="15"/>
        <v>#REF!</v>
      </c>
      <c r="X150" s="52" t="e">
        <f t="shared" si="15"/>
        <v>#REF!</v>
      </c>
      <c r="Y150" s="51" t="e">
        <f t="shared" si="15"/>
        <v>#REF!</v>
      </c>
      <c r="Z150" s="52" t="e">
        <f t="shared" si="15"/>
        <v>#REF!</v>
      </c>
      <c r="AA150" s="184"/>
      <c r="AB150" s="184"/>
      <c r="AC150" s="184"/>
      <c r="AD150" s="54" t="e">
        <f t="shared" si="12"/>
        <v>#REF!</v>
      </c>
      <c r="AF150" s="54" t="e">
        <f t="shared" si="13"/>
        <v>#REF!</v>
      </c>
      <c r="AH150" s="110"/>
      <c r="AJ150" s="110"/>
      <c r="AM150">
        <f>SUM(AM142:AM149)</f>
        <v>112</v>
      </c>
    </row>
    <row r="151" spans="1:39" ht="15" customHeight="1" x14ac:dyDescent="0.25">
      <c r="A151" s="1861" t="s">
        <v>372</v>
      </c>
      <c r="B151" s="1861"/>
      <c r="C151" s="1861"/>
      <c r="D151" s="1861"/>
      <c r="E151" s="1861"/>
      <c r="F151" s="1861"/>
      <c r="G151" s="1861"/>
      <c r="H151" s="1861"/>
      <c r="I151" s="1861"/>
      <c r="J151" s="1861"/>
      <c r="K151" s="1861"/>
      <c r="L151" s="1861"/>
      <c r="M151" s="1861"/>
      <c r="N151" s="1861"/>
      <c r="O151" s="1861"/>
      <c r="P151" s="1861"/>
      <c r="Q151" s="1861"/>
      <c r="R151" s="1861"/>
      <c r="S151" s="1862"/>
      <c r="T151" s="53"/>
      <c r="U151" s="178"/>
      <c r="V151" s="178"/>
      <c r="W151" s="178"/>
      <c r="X151" s="178"/>
      <c r="Y151" s="178"/>
      <c r="Z151" s="178"/>
      <c r="AA151" s="2"/>
      <c r="AB151" s="2"/>
      <c r="AC151" s="2"/>
      <c r="AD151" s="39"/>
      <c r="AF151" s="39"/>
      <c r="AH151" s="110"/>
      <c r="AJ151" s="110"/>
    </row>
    <row r="152" spans="1:39" ht="30" customHeight="1" x14ac:dyDescent="0.25">
      <c r="A152" s="1762" t="s">
        <v>154</v>
      </c>
      <c r="B152" s="1762"/>
      <c r="C152" s="1762"/>
      <c r="D152" s="1762"/>
      <c r="E152" s="1763"/>
      <c r="F152" s="1754" t="s">
        <v>143</v>
      </c>
      <c r="G152" s="1754"/>
      <c r="H152" s="1754" t="s">
        <v>50</v>
      </c>
      <c r="I152" s="1754"/>
      <c r="J152" s="1754" t="s">
        <v>153</v>
      </c>
      <c r="K152" s="1754"/>
      <c r="L152" s="1754" t="s">
        <v>7</v>
      </c>
      <c r="M152" s="1754"/>
      <c r="N152" s="1754" t="s">
        <v>144</v>
      </c>
      <c r="O152" s="1754"/>
      <c r="P152" s="1754" t="s">
        <v>145</v>
      </c>
      <c r="Q152" s="1754"/>
      <c r="R152" s="1754" t="s">
        <v>8</v>
      </c>
      <c r="S152" s="1754"/>
      <c r="T152" s="40"/>
      <c r="U152" s="1754" t="s">
        <v>9</v>
      </c>
      <c r="V152" s="1754"/>
      <c r="W152" s="1754" t="s">
        <v>146</v>
      </c>
      <c r="X152" s="1754"/>
      <c r="Y152" s="1754" t="s">
        <v>148</v>
      </c>
      <c r="Z152" s="1754"/>
      <c r="AA152" s="1008" t="s">
        <v>320</v>
      </c>
      <c r="AB152" s="1009"/>
      <c r="AC152" s="1009"/>
      <c r="AD152" s="35" t="s">
        <v>49</v>
      </c>
      <c r="AF152" s="35" t="s">
        <v>250</v>
      </c>
      <c r="AI152" t="s">
        <v>230</v>
      </c>
    </row>
    <row r="153" spans="1:39" ht="24.95" customHeight="1" x14ac:dyDescent="0.25">
      <c r="A153" s="113"/>
      <c r="B153" s="113"/>
      <c r="C153" s="113"/>
      <c r="D153" s="113"/>
      <c r="E153" s="114"/>
      <c r="F153" s="41" t="s">
        <v>134</v>
      </c>
      <c r="G153" s="42" t="s">
        <v>147</v>
      </c>
      <c r="H153" s="41" t="s">
        <v>134</v>
      </c>
      <c r="I153" s="42" t="s">
        <v>147</v>
      </c>
      <c r="J153" s="41" t="s">
        <v>134</v>
      </c>
      <c r="K153" s="42" t="s">
        <v>147</v>
      </c>
      <c r="L153" s="41" t="s">
        <v>134</v>
      </c>
      <c r="M153" s="42" t="s">
        <v>147</v>
      </c>
      <c r="N153" s="41" t="s">
        <v>134</v>
      </c>
      <c r="O153" s="42" t="s">
        <v>147</v>
      </c>
      <c r="P153" s="41" t="s">
        <v>134</v>
      </c>
      <c r="Q153" s="42" t="s">
        <v>147</v>
      </c>
      <c r="R153" s="41" t="s">
        <v>134</v>
      </c>
      <c r="S153" s="42" t="s">
        <v>147</v>
      </c>
      <c r="T153" s="11"/>
      <c r="U153" s="41" t="s">
        <v>134</v>
      </c>
      <c r="V153" s="42" t="s">
        <v>147</v>
      </c>
      <c r="W153" s="41" t="s">
        <v>134</v>
      </c>
      <c r="X153" s="42" t="s">
        <v>147</v>
      </c>
      <c r="Y153" s="41" t="s">
        <v>134</v>
      </c>
      <c r="Z153" s="115" t="s">
        <v>147</v>
      </c>
      <c r="AA153" s="1008"/>
      <c r="AB153" s="1009"/>
      <c r="AC153" s="1009"/>
      <c r="AD153" s="35"/>
      <c r="AF153" s="35"/>
      <c r="AI153" t="s">
        <v>334</v>
      </c>
    </row>
    <row r="154" spans="1:39" ht="24.95" customHeight="1" x14ac:dyDescent="0.25">
      <c r="A154" s="1792" t="s">
        <v>286</v>
      </c>
      <c r="B154" s="1792"/>
      <c r="C154" s="1792"/>
      <c r="D154" s="1793" t="s">
        <v>299</v>
      </c>
      <c r="E154" s="1793"/>
      <c r="F154" s="55"/>
      <c r="G154" s="111" t="e">
        <f>COUNTIFS(#REF!,"YES",#REF!,"White",#REF!,"Female")</f>
        <v>#REF!</v>
      </c>
      <c r="H154" s="57"/>
      <c r="I154" s="56" t="e">
        <f>COUNTIFS(#REF!,"YES",#REF!,"African American /Black",#REF!,"Female")</f>
        <v>#REF!</v>
      </c>
      <c r="J154" s="57"/>
      <c r="K154" s="56" t="e">
        <f>COUNTIFS(#REF!,"YES",#REF!,"Native Hawaiian/Pacific",#REF!,"Female")</f>
        <v>#REF!</v>
      </c>
      <c r="L154" s="57"/>
      <c r="M154" s="56" t="e">
        <f>COUNTIFS(#REF!,"YES",#REF!,"Asian",#REF!,"Female")</f>
        <v>#REF!</v>
      </c>
      <c r="N154" s="57"/>
      <c r="O154" s="56" t="e">
        <f>COUNTIFS(#REF!,"YES",#REF!,"American Indian Alaskan Native",#REF!,"Female")</f>
        <v>#REF!</v>
      </c>
      <c r="P154" s="57"/>
      <c r="Q154" s="56" t="e">
        <f>COUNTIFS(#REF!,"YES",#REF!,"More than One Race Reported",#REF!,"Female")</f>
        <v>#REF!</v>
      </c>
      <c r="R154" s="57"/>
      <c r="S154" s="56" t="e">
        <f>COUNTIFS(#REF!,"YES",#REF!,"Unknown",#REF!,"Female")</f>
        <v>#REF!</v>
      </c>
      <c r="T154" s="57"/>
      <c r="U154" s="57"/>
      <c r="V154" s="56" t="e">
        <f>COUNTIFS(#REF!,"YES",#REF!,"Not Hispanic or Latino",#REF!,"Female")</f>
        <v>#REF!</v>
      </c>
      <c r="W154" s="57"/>
      <c r="X154" s="56" t="e">
        <f>COUNTIFS(#REF!,"YES",#REF!,"Hispanic-Latino ",#REF!,"Female")</f>
        <v>#REF!</v>
      </c>
      <c r="Y154" s="57"/>
      <c r="Z154" s="56" t="e">
        <f>COUNTIFS(#REF!,"YES",#REF!,"Unknown",#REF!,"Female")</f>
        <v>#REF!</v>
      </c>
      <c r="AA154" s="1789" t="s">
        <v>318</v>
      </c>
      <c r="AB154" s="1789"/>
      <c r="AC154" s="1789"/>
      <c r="AD154" s="185" t="e">
        <f>SUM(F154:S154)</f>
        <v>#REF!</v>
      </c>
      <c r="AF154" s="186" t="e">
        <f>SUM(U154:Z154)</f>
        <v>#REF!</v>
      </c>
      <c r="AI154" t="s">
        <v>231</v>
      </c>
    </row>
    <row r="155" spans="1:39" ht="24.95" customHeight="1" x14ac:dyDescent="0.25">
      <c r="A155" s="1918" t="s">
        <v>362</v>
      </c>
      <c r="B155" s="1919"/>
      <c r="C155" s="1920"/>
      <c r="D155" s="1921"/>
      <c r="E155" s="1922"/>
      <c r="F155" s="55"/>
      <c r="G155" s="153" t="e">
        <f>COUNTIFS(#REF!,"YES",#REF!,"White",#REF!,"Female",#REF!,"YES")</f>
        <v>#REF!</v>
      </c>
      <c r="H155" s="57"/>
      <c r="I155" s="154" t="e">
        <f>COUNTIFS(#REF!,"YES",#REF!,"African American /Black",#REF!,"Female",#REF!,"YES")</f>
        <v>#REF!</v>
      </c>
      <c r="J155" s="57"/>
      <c r="K155" s="154" t="e">
        <f>COUNTIFS(#REF!,"YES",#REF!,"Native Hawaiian/Pacific",#REF!,"Female",#REF!,"YES")</f>
        <v>#REF!</v>
      </c>
      <c r="L155" s="57"/>
      <c r="M155" s="154" t="e">
        <f>COUNTIFS(#REF!,"YES",#REF!,"Asian",#REF!,"Female",#REF!,"YES")</f>
        <v>#REF!</v>
      </c>
      <c r="N155" s="57"/>
      <c r="O155" s="154" t="e">
        <f>COUNTIFS(#REF!,"YES",#REF!,"American Indian Alaskan Native",#REF!,"Female",#REF!,"YES")</f>
        <v>#REF!</v>
      </c>
      <c r="P155" s="57"/>
      <c r="Q155" s="154" t="e">
        <f>COUNTIFS(#REF!,"YES",#REF!,"More than One Race Reported",#REF!,"Female",#REF!,"YES")</f>
        <v>#REF!</v>
      </c>
      <c r="R155" s="57"/>
      <c r="S155" s="154" t="e">
        <f>COUNTIFS(#REF!,"YES",#REF!,"Unknown",#REF!,"Female",#REF!,"YES")</f>
        <v>#REF!</v>
      </c>
      <c r="T155" s="57"/>
      <c r="U155" s="57"/>
      <c r="V155" s="154" t="e">
        <f>COUNTIFS(#REF!,"YES",#REF!,"Not Hispanic or Latino",#REF!,"Female",#REF!,"YES")</f>
        <v>#REF!</v>
      </c>
      <c r="W155" s="57"/>
      <c r="X155" s="154" t="e">
        <f>COUNTIFS(#REF!,"YES",#REF!,"Hispanic-Latino ",#REF!,"Female",#REF!,"YES")</f>
        <v>#REF!</v>
      </c>
      <c r="Y155" s="57"/>
      <c r="Z155" s="154" t="e">
        <f>COUNTIFS(#REF!,"YES",#REF!,"Unknown",#REF!,"Female",#REF!,"YES")</f>
        <v>#REF!</v>
      </c>
      <c r="AA155" s="1923" t="s">
        <v>361</v>
      </c>
      <c r="AB155" s="1924"/>
      <c r="AC155" s="1925"/>
      <c r="AD155" s="187" t="e">
        <f>SUM(F155:S155)</f>
        <v>#REF!</v>
      </c>
      <c r="AF155" s="188" t="e">
        <f>SUM(U155:Z155)</f>
        <v>#REF!</v>
      </c>
    </row>
    <row r="156" spans="1:39" ht="24.95" customHeight="1" x14ac:dyDescent="0.25">
      <c r="A156" s="1794" t="s">
        <v>313</v>
      </c>
      <c r="B156" s="1794"/>
      <c r="C156" s="1794"/>
      <c r="D156" s="1793" t="s">
        <v>300</v>
      </c>
      <c r="E156" s="1793"/>
      <c r="F156" s="60" t="e">
        <f>COUNTIFS(#REF!,"&gt;=YES",#REF!,"White",#REF!,"Male")</f>
        <v>#REF!</v>
      </c>
      <c r="G156" s="112" t="e">
        <f>COUNTIFS(#REF!,"&gt;=YES",#REF!,"White",#REF!,"Female")</f>
        <v>#REF!</v>
      </c>
      <c r="H156" s="60" t="e">
        <f>COUNTIFS(#REF!,"&gt;=YES",#REF!,"African American /Black",#REF!,"Male")</f>
        <v>#REF!</v>
      </c>
      <c r="I156" s="61" t="e">
        <f>COUNTIFS(#REF!,"&gt;=YES",#REF!,"African American /Black",#REF!,"Female")</f>
        <v>#REF!</v>
      </c>
      <c r="J156" s="60" t="e">
        <f>COUNTIFS(#REF!,"&gt;=YES",#REF!,"Native Hawaiian/Pacific",#REF!,"Male")</f>
        <v>#REF!</v>
      </c>
      <c r="K156" s="61" t="e">
        <f>COUNTIFS(#REF!,"&gt;=YES",#REF!,"Native Hawaiian/Pacific",#REF!,"Female")</f>
        <v>#REF!</v>
      </c>
      <c r="L156" s="60" t="e">
        <f>COUNTIFS(#REF!,"&gt;=YES",#REF!,"Asian",#REF!,"Male")</f>
        <v>#REF!</v>
      </c>
      <c r="M156" s="61" t="e">
        <f>COUNTIFS(#REF!,"&gt;=YES",#REF!,"Asian",#REF!,"Female")</f>
        <v>#REF!</v>
      </c>
      <c r="N156" s="60" t="e">
        <f>COUNTIFS(#REF!,"&gt;=YES",#REF!,"American Indian Alaskan Native",#REF!,"Male")</f>
        <v>#REF!</v>
      </c>
      <c r="O156" s="61" t="e">
        <f>COUNTIFS(#REF!,"&gt;=YES",#REF!,"American Indian Alaskan Native",#REF!,"Female")</f>
        <v>#REF!</v>
      </c>
      <c r="P156" s="60" t="e">
        <f>COUNTIFS(#REF!,"&gt;=YES",#REF!,"More than One Race Reported",#REF!,"Male")</f>
        <v>#REF!</v>
      </c>
      <c r="Q156" s="61" t="e">
        <f>COUNTIFS(#REF!,"&gt;=YES",#REF!,"More than One Race Reported",#REF!,"Female")</f>
        <v>#REF!</v>
      </c>
      <c r="R156" s="60" t="e">
        <f>COUNTIFS(#REF!,"&gt;=YES",#REF!,"Unknown",#REF!,"Male")</f>
        <v>#REF!</v>
      </c>
      <c r="S156" s="61" t="e">
        <f>COUNTIFS(#REF!,"&gt;=YES",#REF!,"Unknown",#REF!,"Female")</f>
        <v>#REF!</v>
      </c>
      <c r="T156" s="55"/>
      <c r="U156" s="60" t="e">
        <f>COUNTIFS(#REF!,"YES",#REF!,"Not Hispanic or Latino",#REF!,"Male")</f>
        <v>#REF!</v>
      </c>
      <c r="V156" s="61" t="e">
        <f>COUNTIFS(#REF!,"YES",#REF!,"Not Hispanic or Latino",#REF!,"Female")</f>
        <v>#REF!</v>
      </c>
      <c r="W156" s="60" t="e">
        <f>COUNTIFS(#REF!,"YES",#REF!,"Hispanic-Latino ",#REF!,"Male")</f>
        <v>#REF!</v>
      </c>
      <c r="X156" s="61" t="e">
        <f>COUNTIFS(#REF!,"YES",#REF!,"Hispanic-Latino ",#REF!,"Female")</f>
        <v>#REF!</v>
      </c>
      <c r="Y156" s="60" t="e">
        <f>COUNTIFS(#REF!,"YES",#REF!,"Unknown",#REF!,"Male")</f>
        <v>#REF!</v>
      </c>
      <c r="Z156" s="61" t="e">
        <f>COUNTIFS(#REF!,"YES",#REF!,"Unknown",#REF!,"Female")</f>
        <v>#REF!</v>
      </c>
      <c r="AA156" s="1790" t="s">
        <v>319</v>
      </c>
      <c r="AB156" s="1790"/>
      <c r="AC156" s="1790"/>
      <c r="AD156" s="189" t="e">
        <f>SUM(F156:S156)</f>
        <v>#REF!</v>
      </c>
      <c r="AF156" s="190" t="e">
        <f>SUM(U156:Z156)</f>
        <v>#REF!</v>
      </c>
    </row>
    <row r="157" spans="1:39" x14ac:dyDescent="0.25">
      <c r="A157" s="84"/>
      <c r="B157" s="84"/>
      <c r="C157" s="84"/>
      <c r="D157" s="85"/>
      <c r="E157" s="85"/>
      <c r="F157" s="1795" t="s">
        <v>314</v>
      </c>
      <c r="G157" s="1795"/>
      <c r="H157" s="1795"/>
      <c r="I157" s="1795"/>
      <c r="J157" s="1795"/>
      <c r="K157" s="1795"/>
      <c r="L157" s="1795"/>
      <c r="M157" s="1795"/>
      <c r="N157" s="1795"/>
      <c r="O157" s="1795"/>
      <c r="P157" s="1795"/>
      <c r="Q157" s="1795"/>
      <c r="R157" s="1795"/>
      <c r="S157" s="1795"/>
      <c r="T157" s="86"/>
      <c r="U157" s="1795" t="s">
        <v>314</v>
      </c>
      <c r="V157" s="1795"/>
      <c r="W157" s="1795"/>
      <c r="X157" s="1795"/>
      <c r="Y157" s="1795"/>
      <c r="Z157" s="1796"/>
      <c r="AA157" s="87"/>
      <c r="AB157" s="87"/>
      <c r="AC157" s="87"/>
      <c r="AD157" s="88"/>
      <c r="AE157" s="16"/>
      <c r="AF157" s="88"/>
    </row>
    <row r="158" spans="1:39" ht="24.95" customHeight="1" x14ac:dyDescent="0.25">
      <c r="A158" s="1773" t="s">
        <v>230</v>
      </c>
      <c r="B158" s="1773"/>
      <c r="C158" s="1773"/>
      <c r="D158" s="1791" t="s">
        <v>315</v>
      </c>
      <c r="E158" s="1791"/>
      <c r="F158" s="49" t="e">
        <f>COUNTIFS(#REF!,"accepted",#REF!,"White",#REF!,"Male")</f>
        <v>#REF!</v>
      </c>
      <c r="G158" s="49" t="e">
        <f>COUNTIFS(#REF!,"accepted",#REF!,"White",#REF!,"Female")</f>
        <v>#REF!</v>
      </c>
      <c r="H158" s="49" t="e">
        <f>COUNTIFS(#REF!,"accepted",#REF!,"African American /Black",#REF!,"Male")</f>
        <v>#REF!</v>
      </c>
      <c r="I158" s="49" t="e">
        <f>COUNTIFS(#REF!,"accepted",#REF!,"African American /Black",#REF!,"Female")</f>
        <v>#REF!</v>
      </c>
      <c r="J158" s="49" t="e">
        <f>COUNTIFS(#REF!,"accepted",#REF!,"Native Hawaiian/Pacific",#REF!,"Male")</f>
        <v>#REF!</v>
      </c>
      <c r="K158" s="49" t="e">
        <f>COUNTIFS(#REF!,"accepted",#REF!,"Native Hawaiian/Pacific",#REF!,"Female")</f>
        <v>#REF!</v>
      </c>
      <c r="L158" s="49" t="e">
        <f>COUNTIFS(#REF!,"accepted",#REF!,"Asian",#REF!,"Male")</f>
        <v>#REF!</v>
      </c>
      <c r="M158" s="49" t="e">
        <f>COUNTIFS(#REF!,"accepted",#REF!,"Asian",#REF!,"Female")</f>
        <v>#REF!</v>
      </c>
      <c r="N158" s="49" t="e">
        <f>COUNTIFS(#REF!,"accepted",#REF!,"American Indian Alaskan Native",#REF!,"Male")</f>
        <v>#REF!</v>
      </c>
      <c r="O158" s="49" t="e">
        <f>COUNTIFS(#REF!,"accepted",#REF!,"American Indian Alaskan Native",#REF!,"Female")</f>
        <v>#REF!</v>
      </c>
      <c r="P158" s="49" t="e">
        <f>COUNTIFS(#REF!,"accepted",#REF!,"More than One Race Reported",#REF!,"Male")</f>
        <v>#REF!</v>
      </c>
      <c r="Q158" s="49" t="e">
        <f>COUNTIFS(#REF!,"accepted",#REF!,"More than One Race Reported",#REF!,"Female")</f>
        <v>#REF!</v>
      </c>
      <c r="R158" s="49" t="e">
        <f>COUNTIFS(#REF!,"accepted",#REF!,"Unknown",#REF!,"Male")</f>
        <v>#REF!</v>
      </c>
      <c r="S158" s="49" t="e">
        <f>COUNTIFS(#REF!,"accepted",#REF!,"Unknown",#REF!,"Female")</f>
        <v>#REF!</v>
      </c>
      <c r="T158" s="89"/>
      <c r="U158" s="49" t="e">
        <f>COUNTIFS(#REF!,"accepted",#REF!,"Not Hispanic or Latino",#REF!,"Male")</f>
        <v>#REF!</v>
      </c>
      <c r="V158" s="49" t="e">
        <f>COUNTIFS(#REF!,"accepted",#REF!,"Not Hispanic or Latino",#REF!,"Female")</f>
        <v>#REF!</v>
      </c>
      <c r="W158" s="49" t="e">
        <f>COUNTIFS(#REF!,"accepted",#REF!,"Hispanic-Latino ",#REF!,"Male")</f>
        <v>#REF!</v>
      </c>
      <c r="X158" s="49" t="e">
        <f>COUNTIFS(#REF!,"accepted",#REF!,"Hispanic-Latino ",#REF!,"Female")</f>
        <v>#REF!</v>
      </c>
      <c r="Y158" s="49" t="e">
        <f>COUNTIFS(#REF!,"accepted",#REF!,"Unknown",#REF!,"Male")</f>
        <v>#REF!</v>
      </c>
      <c r="Z158" s="49" t="e">
        <f>COUNTIFS(#REF!,"accepted",#REF!,"Unknown",#REF!,"Female")</f>
        <v>#REF!</v>
      </c>
      <c r="AA158" s="1773" t="s">
        <v>316</v>
      </c>
      <c r="AB158" s="1773"/>
      <c r="AC158" s="1773"/>
      <c r="AD158" s="123" t="e">
        <f>SUM(F158:S158)</f>
        <v>#REF!</v>
      </c>
      <c r="AF158" s="123" t="e">
        <f>SUM(U158:Z158)</f>
        <v>#REF!</v>
      </c>
    </row>
    <row r="159" spans="1:39" ht="24.95" customHeight="1" x14ac:dyDescent="0.25">
      <c r="A159" s="1774" t="s">
        <v>334</v>
      </c>
      <c r="B159" s="1774"/>
      <c r="C159" s="1774"/>
      <c r="D159" s="1776" t="s">
        <v>315</v>
      </c>
      <c r="E159" s="1776"/>
      <c r="F159" s="90" t="e">
        <f>COUNTIFS(#REF!,"wait list (give anticpated time)",#REF!,"White",#REF!,"Male")</f>
        <v>#REF!</v>
      </c>
      <c r="G159" s="90" t="e">
        <f>COUNTIFS(#REF!,"wait list (give anticpated time)",#REF!,"White",#REF!,"Female")</f>
        <v>#REF!</v>
      </c>
      <c r="H159" s="90" t="e">
        <f>COUNTIFS(#REF!,"wait list (give anticpated time)",#REF!,"African American /Black",#REF!,"Male")</f>
        <v>#REF!</v>
      </c>
      <c r="I159" s="90" t="e">
        <f>COUNTIFS(#REF!,"wait list (give anticpated time)",#REF!,"African American /Black",#REF!,"Female")</f>
        <v>#REF!</v>
      </c>
      <c r="J159" s="90" t="e">
        <f>COUNTIFS(#REF!,"wait list (give anticpated time)",#REF!,"Native Hawaiian/Pacific",#REF!,"Male")</f>
        <v>#REF!</v>
      </c>
      <c r="K159" s="90" t="e">
        <f>COUNTIFS(#REF!,"wait list (give anticpated time)",#REF!,"Native Hawaiian/Pacific",#REF!,"Female")</f>
        <v>#REF!</v>
      </c>
      <c r="L159" s="90" t="e">
        <f>COUNTIFS(#REF!,"wait list (give anticpated time)",#REF!,"Asian",#REF!,"Male")</f>
        <v>#REF!</v>
      </c>
      <c r="M159" s="90" t="e">
        <f>COUNTIFS(#REF!,"wait list (give anticpated time)",#REF!,"Asian",#REF!,"Female")</f>
        <v>#REF!</v>
      </c>
      <c r="N159" s="90" t="e">
        <f>COUNTIFS(#REF!,"wait list (give anticpated time)",#REF!,"American Indian Alaskan Native",#REF!,"Male")</f>
        <v>#REF!</v>
      </c>
      <c r="O159" s="90" t="e">
        <f>COUNTIFS(#REF!,"wait list (give anticpated time)",#REF!,"American Indian Alaskan Native",#REF!,"Female")</f>
        <v>#REF!</v>
      </c>
      <c r="P159" s="90" t="e">
        <f>COUNTIFS(#REF!,"wait list (give anticpated time)",#REF!,"More than One Race Reported",#REF!,"Male")</f>
        <v>#REF!</v>
      </c>
      <c r="Q159" s="90" t="e">
        <f>COUNTIFS(#REF!,"wait list (give anticpated time)",#REF!,"More than One Race Reported",#REF!,"Female")</f>
        <v>#REF!</v>
      </c>
      <c r="R159" s="90" t="e">
        <f>COUNTIFS(#REF!,"wait list (give anticpated time)",#REF!,"Unknown",#REF!,"Male")</f>
        <v>#REF!</v>
      </c>
      <c r="S159" s="90" t="e">
        <f>COUNTIFS(#REF!,"wait list (give anticpated time)",#REF!,"Unknown",#REF!,"Female")</f>
        <v>#REF!</v>
      </c>
      <c r="T159" s="89"/>
      <c r="U159" s="90" t="e">
        <f>COUNTIFS(#REF!,"wait list (give anticpated time)",#REF!,"Not Hispanic or Latino",#REF!,"Male")</f>
        <v>#REF!</v>
      </c>
      <c r="V159" s="90" t="e">
        <f>COUNTIFS(#REF!,"wait list (give anticpated time)",#REF!,"Not Hispanic or Latino",#REF!,"Female")</f>
        <v>#REF!</v>
      </c>
      <c r="W159" s="90" t="e">
        <f>COUNTIFS(#REF!,"wait list (give anticpated time)",#REF!,"Hispanic-Latino ",#REF!,"Male")</f>
        <v>#REF!</v>
      </c>
      <c r="X159" s="90" t="e">
        <f>COUNTIFS(#REF!,"wait list (give anticpated time)",#REF!,"Hispanic-Latino ",#REF!,"Female")</f>
        <v>#REF!</v>
      </c>
      <c r="Y159" s="90" t="e">
        <f>COUNTIFS(#REF!,"wait list (give anticpated time)",#REF!,"Unknown",#REF!,"Male")</f>
        <v>#REF!</v>
      </c>
      <c r="Z159" s="90" t="e">
        <f>COUNTIFS(#REF!,"wait list (give anticpated time)",#REF!,"Unknown",#REF!,"Female")</f>
        <v>#REF!</v>
      </c>
      <c r="AA159" s="1774" t="s">
        <v>335</v>
      </c>
      <c r="AB159" s="1774"/>
      <c r="AC159" s="1774"/>
      <c r="AD159" s="91" t="e">
        <f>SUM(F159:S159)</f>
        <v>#REF!</v>
      </c>
      <c r="AF159" s="91" t="e">
        <f>SUM(U159:Z159)</f>
        <v>#REF!</v>
      </c>
    </row>
    <row r="160" spans="1:39" ht="24.95" customHeight="1" x14ac:dyDescent="0.25">
      <c r="A160" s="1773" t="s">
        <v>231</v>
      </c>
      <c r="B160" s="1773"/>
      <c r="C160" s="1773"/>
      <c r="D160" s="1791" t="s">
        <v>315</v>
      </c>
      <c r="E160" s="1791"/>
      <c r="F160" s="49" t="e">
        <f>COUNTIFS(#REF!,"denied (give reason) ",#REF!,"White",#REF!,"Male")</f>
        <v>#REF!</v>
      </c>
      <c r="G160" s="49" t="e">
        <f>COUNTIFS(#REF!,"denied (give reason) ",#REF!,"White",#REF!,"Female")</f>
        <v>#REF!</v>
      </c>
      <c r="H160" s="49" t="e">
        <f>COUNTIFS(#REF!,"denied (give reason) ",#REF!,"African American /Black",#REF!,"Male")</f>
        <v>#REF!</v>
      </c>
      <c r="I160" s="49" t="e">
        <f>COUNTIFS(#REF!,"denied (give reason) ",#REF!,"African American /Black",#REF!,"Female")</f>
        <v>#REF!</v>
      </c>
      <c r="J160" s="49" t="e">
        <f>COUNTIFS(#REF!,"denied (give reason) ",#REF!,"Native Hawaiian/Pacific",#REF!,"Male")</f>
        <v>#REF!</v>
      </c>
      <c r="K160" s="49" t="e">
        <f>COUNTIFS(#REF!,"denied (give reason) ",#REF!,"Native Hawaiian/Pacific",#REF!,"Female")</f>
        <v>#REF!</v>
      </c>
      <c r="L160" s="49" t="e">
        <f>COUNTIFS(#REF!,"denied (give reason) ",#REF!,"Asian",#REF!,"Male")</f>
        <v>#REF!</v>
      </c>
      <c r="M160" s="49" t="e">
        <f>COUNTIFS(#REF!,"denied (give reason) ",#REF!,"Asian",#REF!,"Female")</f>
        <v>#REF!</v>
      </c>
      <c r="N160" s="49" t="e">
        <f>COUNTIFS(#REF!,"denied (give reason) ",#REF!,"American Indian Alaskan Native",#REF!,"Male")</f>
        <v>#REF!</v>
      </c>
      <c r="O160" s="49" t="e">
        <f>COUNTIFS(#REF!,"denied (give reason) ",#REF!,"American Indian Alaskan Native",#REF!,"Female")</f>
        <v>#REF!</v>
      </c>
      <c r="P160" s="49" t="e">
        <f>COUNTIFS(#REF!,"denied (give reason) ",#REF!,"More than One Race Reported",#REF!,"Male")</f>
        <v>#REF!</v>
      </c>
      <c r="Q160" s="49" t="e">
        <f>COUNTIFS(#REF!,"denied (give reason) ",#REF!,"More than One Race Reported",#REF!,"Female")</f>
        <v>#REF!</v>
      </c>
      <c r="R160" s="49" t="e">
        <f>COUNTIFS(#REF!,"denied (give reason) ",#REF!,"Unknown",#REF!,"Male")</f>
        <v>#REF!</v>
      </c>
      <c r="S160" s="49" t="e">
        <f>COUNTIFS(#REF!,"denied (give reason) ",#REF!,"Unknown",#REF!,"Female")</f>
        <v>#REF!</v>
      </c>
      <c r="T160" s="89"/>
      <c r="U160" s="49" t="e">
        <f>COUNTIFS(#REF!,"denied (give reason) ",#REF!,"Not Hispanic or Latino",#REF!,"Male")</f>
        <v>#REF!</v>
      </c>
      <c r="V160" s="49" t="e">
        <f>COUNTIFS(#REF!,"denied (give reason) ",#REF!,"Not Hispanic or Latino",#REF!,"Female")</f>
        <v>#REF!</v>
      </c>
      <c r="W160" s="49" t="e">
        <f>COUNTIFS(#REF!,"denied (give reason) ",#REF!,"Hispanic-Latino ",#REF!,"Male")</f>
        <v>#REF!</v>
      </c>
      <c r="X160" s="49" t="e">
        <f>COUNTIFS(#REF!,"denied (give reason) ",#REF!,"Hispanic-Latino ",#REF!,"Female")</f>
        <v>#REF!</v>
      </c>
      <c r="Y160" s="49" t="e">
        <f>COUNTIFS(#REF!,"denied (give reason) ",#REF!,"Unknown",#REF!,"Male")</f>
        <v>#REF!</v>
      </c>
      <c r="Z160" s="49" t="e">
        <f>COUNTIFS(#REF!,"denied (give reason) ",#REF!,"Unknown",#REF!,"Female")</f>
        <v>#REF!</v>
      </c>
      <c r="AA160" s="1773" t="s">
        <v>317</v>
      </c>
      <c r="AB160" s="1773"/>
      <c r="AC160" s="1773"/>
      <c r="AD160" s="123" t="e">
        <f>SUM(F160:S160)</f>
        <v>#REF!</v>
      </c>
      <c r="AF160" s="123" t="e">
        <f>SUM(U160:Z160)</f>
        <v>#REF!</v>
      </c>
    </row>
    <row r="161" spans="1:49" x14ac:dyDescent="0.25">
      <c r="A161" s="92"/>
      <c r="B161" s="92"/>
      <c r="C161" s="92"/>
      <c r="D161" s="93"/>
      <c r="E161" s="93"/>
      <c r="F161" s="94" t="e">
        <f t="shared" ref="F161:S161" si="16">SUM(F158:F160)</f>
        <v>#REF!</v>
      </c>
      <c r="G161" s="94" t="e">
        <f t="shared" si="16"/>
        <v>#REF!</v>
      </c>
      <c r="H161" s="94" t="e">
        <f t="shared" si="16"/>
        <v>#REF!</v>
      </c>
      <c r="I161" s="94" t="e">
        <f t="shared" si="16"/>
        <v>#REF!</v>
      </c>
      <c r="J161" s="94" t="e">
        <f t="shared" si="16"/>
        <v>#REF!</v>
      </c>
      <c r="K161" s="94" t="e">
        <f t="shared" si="16"/>
        <v>#REF!</v>
      </c>
      <c r="L161" s="94" t="e">
        <f t="shared" si="16"/>
        <v>#REF!</v>
      </c>
      <c r="M161" s="94" t="e">
        <f t="shared" si="16"/>
        <v>#REF!</v>
      </c>
      <c r="N161" s="94" t="e">
        <f t="shared" si="16"/>
        <v>#REF!</v>
      </c>
      <c r="O161" s="94" t="e">
        <f t="shared" si="16"/>
        <v>#REF!</v>
      </c>
      <c r="P161" s="94" t="e">
        <f t="shared" si="16"/>
        <v>#REF!</v>
      </c>
      <c r="Q161" s="94" t="e">
        <f t="shared" si="16"/>
        <v>#REF!</v>
      </c>
      <c r="R161" s="94" t="e">
        <f t="shared" si="16"/>
        <v>#REF!</v>
      </c>
      <c r="S161" s="94" t="e">
        <f t="shared" si="16"/>
        <v>#REF!</v>
      </c>
      <c r="T161" s="95"/>
      <c r="U161" s="94" t="e">
        <f t="shared" ref="U161:Z161" si="17">SUM(U158:U160)</f>
        <v>#REF!</v>
      </c>
      <c r="V161" s="94" t="e">
        <f t="shared" si="17"/>
        <v>#REF!</v>
      </c>
      <c r="W161" s="94" t="e">
        <f t="shared" si="17"/>
        <v>#REF!</v>
      </c>
      <c r="X161" s="94" t="e">
        <f t="shared" si="17"/>
        <v>#REF!</v>
      </c>
      <c r="Y161" s="94" t="e">
        <f t="shared" si="17"/>
        <v>#REF!</v>
      </c>
      <c r="Z161" s="94" t="e">
        <f t="shared" si="17"/>
        <v>#REF!</v>
      </c>
      <c r="AA161" s="1775" t="s">
        <v>13</v>
      </c>
      <c r="AB161" s="1775"/>
      <c r="AC161" s="1775"/>
      <c r="AD161" s="96" t="e">
        <f>SUM(F161:S161)</f>
        <v>#REF!</v>
      </c>
      <c r="AE161" s="29"/>
      <c r="AF161" s="96" t="e">
        <f>SUM(U161:Z161)</f>
        <v>#REF!</v>
      </c>
    </row>
    <row r="167" spans="1:49" ht="26.25" x14ac:dyDescent="0.25">
      <c r="A167" s="1786" t="s">
        <v>322</v>
      </c>
      <c r="B167" s="1786"/>
      <c r="C167" s="1786"/>
      <c r="D167" s="1786"/>
      <c r="E167" s="1786"/>
      <c r="F167" s="1786"/>
      <c r="G167" s="1786"/>
      <c r="H167" s="1786"/>
      <c r="I167" s="1786"/>
      <c r="J167" s="1786"/>
      <c r="K167" s="1786"/>
      <c r="L167" s="1786"/>
      <c r="M167" s="1786"/>
      <c r="N167" s="1786"/>
      <c r="O167" s="1786"/>
      <c r="P167" s="1786"/>
      <c r="Q167" s="1786"/>
      <c r="R167" s="1786"/>
      <c r="S167" s="1786"/>
      <c r="T167" s="1786"/>
      <c r="U167" s="1786"/>
      <c r="V167" s="1786"/>
      <c r="W167" s="1786"/>
      <c r="X167" s="1786"/>
      <c r="Y167" s="1786"/>
      <c r="Z167" s="1786"/>
      <c r="AA167" s="1786"/>
      <c r="AB167" s="1786"/>
      <c r="AC167" s="1786"/>
      <c r="AD167" s="1786"/>
      <c r="AE167" s="1786"/>
      <c r="AF167" s="1786"/>
      <c r="AG167" s="1786"/>
      <c r="AH167" s="1786"/>
      <c r="AI167" s="1786"/>
    </row>
    <row r="169" spans="1:49" x14ac:dyDescent="0.25">
      <c r="A169" s="1780" t="s">
        <v>336</v>
      </c>
      <c r="B169" s="1780"/>
      <c r="C169" s="1780"/>
      <c r="D169" s="1780"/>
      <c r="E169" s="1780"/>
      <c r="F169" s="1780"/>
      <c r="G169" s="1780"/>
      <c r="H169" s="1780"/>
      <c r="I169" s="1780"/>
      <c r="J169" s="1780"/>
      <c r="K169" s="1780"/>
      <c r="L169" s="1780"/>
      <c r="M169" s="1780"/>
      <c r="N169" s="1780"/>
      <c r="O169" s="1780"/>
      <c r="P169" s="1780"/>
      <c r="Q169" s="1780"/>
      <c r="R169" s="1780"/>
      <c r="S169" s="1780"/>
      <c r="T169" s="1780"/>
      <c r="U169" s="1780"/>
      <c r="V169" s="1780"/>
      <c r="W169" s="1780"/>
      <c r="AA169" s="1781" t="s">
        <v>323</v>
      </c>
      <c r="AB169" s="1781"/>
      <c r="AC169" s="1781"/>
      <c r="AD169" s="1781"/>
      <c r="AE169" s="1781"/>
      <c r="AF169" s="1781"/>
      <c r="AG169" s="1781"/>
      <c r="AH169" s="1781"/>
      <c r="AI169" s="1781"/>
      <c r="AJ169" s="1781"/>
      <c r="AK169" s="1781"/>
      <c r="AL169" s="1781"/>
      <c r="AM169" s="1781"/>
      <c r="AN169" s="1781"/>
      <c r="AO169" s="1781"/>
      <c r="AP169" s="1781"/>
      <c r="AQ169" s="1781"/>
      <c r="AR169" s="1781"/>
      <c r="AS169" s="1781"/>
      <c r="AT169" s="1781"/>
      <c r="AU169" s="1781"/>
      <c r="AV169" s="1781"/>
      <c r="AW169" s="1781"/>
    </row>
    <row r="170" spans="1:49" x14ac:dyDescent="0.25">
      <c r="F170" s="183" t="s">
        <v>299</v>
      </c>
      <c r="G170" s="183"/>
      <c r="H170" s="183" t="s">
        <v>300</v>
      </c>
      <c r="I170" s="183"/>
      <c r="J170" s="183" t="s">
        <v>324</v>
      </c>
      <c r="K170" s="183"/>
      <c r="L170" s="183" t="s">
        <v>325</v>
      </c>
      <c r="M170" s="183"/>
      <c r="N170" s="183" t="s">
        <v>326</v>
      </c>
      <c r="O170" s="183"/>
      <c r="P170" s="183" t="s">
        <v>327</v>
      </c>
      <c r="Q170" s="183"/>
      <c r="R170" s="183" t="s">
        <v>136</v>
      </c>
      <c r="S170" s="183"/>
      <c r="T170" s="183" t="s">
        <v>328</v>
      </c>
      <c r="U170" s="183"/>
      <c r="V170" s="183" t="s">
        <v>137</v>
      </c>
      <c r="AF170" s="191" t="s">
        <v>138</v>
      </c>
      <c r="AG170" s="191"/>
      <c r="AH170" s="191" t="s">
        <v>261</v>
      </c>
      <c r="AI170" s="191"/>
      <c r="AJ170" s="191" t="s">
        <v>263</v>
      </c>
      <c r="AK170" s="191"/>
      <c r="AL170" s="191" t="s">
        <v>139</v>
      </c>
      <c r="AM170" s="191"/>
      <c r="AN170" s="191" t="s">
        <v>140</v>
      </c>
      <c r="AO170" s="191"/>
      <c r="AP170" s="191" t="s">
        <v>141</v>
      </c>
      <c r="AQ170" s="191"/>
      <c r="AR170" s="191" t="s">
        <v>301</v>
      </c>
      <c r="AS170" s="191"/>
      <c r="AT170" s="191" t="s">
        <v>259</v>
      </c>
      <c r="AU170" s="191"/>
      <c r="AV170" s="191" t="s">
        <v>260</v>
      </c>
      <c r="AW170" s="191"/>
    </row>
    <row r="171" spans="1:49" ht="67.5" customHeight="1" x14ac:dyDescent="0.25">
      <c r="A171" s="1678" t="s">
        <v>322</v>
      </c>
      <c r="B171" s="1679"/>
      <c r="C171" s="1679"/>
      <c r="D171" s="1679"/>
      <c r="E171" s="1680"/>
      <c r="F171" s="1773" t="s">
        <v>239</v>
      </c>
      <c r="G171" s="1773"/>
      <c r="H171" s="1228" t="s">
        <v>240</v>
      </c>
      <c r="I171" s="1228"/>
      <c r="J171" s="1773" t="s">
        <v>241</v>
      </c>
      <c r="K171" s="1773"/>
      <c r="L171" s="1774" t="s">
        <v>247</v>
      </c>
      <c r="M171" s="1774"/>
      <c r="N171" s="1773" t="s">
        <v>242</v>
      </c>
      <c r="O171" s="1773"/>
      <c r="P171" s="1774" t="s">
        <v>243</v>
      </c>
      <c r="Q171" s="1774"/>
      <c r="R171" s="1773" t="s">
        <v>244</v>
      </c>
      <c r="S171" s="1773"/>
      <c r="T171" s="1774" t="s">
        <v>245</v>
      </c>
      <c r="U171" s="1774"/>
      <c r="V171" s="1773" t="s">
        <v>246</v>
      </c>
      <c r="W171" s="1773"/>
      <c r="AA171" s="1777"/>
      <c r="AB171" s="1785"/>
      <c r="AC171" s="1785"/>
      <c r="AD171" s="1785"/>
      <c r="AE171" s="1778"/>
      <c r="AF171" s="1784" t="s">
        <v>239</v>
      </c>
      <c r="AG171" s="1784"/>
      <c r="AH171" s="1783" t="s">
        <v>240</v>
      </c>
      <c r="AI171" s="1783"/>
      <c r="AJ171" s="1784" t="s">
        <v>241</v>
      </c>
      <c r="AK171" s="1784"/>
      <c r="AL171" s="1783" t="s">
        <v>247</v>
      </c>
      <c r="AM171" s="1783"/>
      <c r="AN171" s="1784" t="s">
        <v>242</v>
      </c>
      <c r="AO171" s="1784"/>
      <c r="AP171" s="1783" t="s">
        <v>243</v>
      </c>
      <c r="AQ171" s="1783"/>
      <c r="AR171" s="1784" t="s">
        <v>244</v>
      </c>
      <c r="AS171" s="1784"/>
      <c r="AT171" s="1783" t="s">
        <v>245</v>
      </c>
      <c r="AU171" s="1783"/>
      <c r="AV171" s="1784" t="s">
        <v>246</v>
      </c>
      <c r="AW171" s="1784"/>
    </row>
    <row r="172" spans="1:49" ht="39.950000000000003" customHeight="1" x14ac:dyDescent="0.25">
      <c r="A172" s="1782" t="s">
        <v>337</v>
      </c>
      <c r="B172" s="1782"/>
      <c r="C172" s="1782"/>
      <c r="D172" s="631"/>
      <c r="E172" s="633"/>
      <c r="F172" s="1585">
        <f>SUMIFS(TRAINING!Z22:Z891,TRAINING!C22:C891,"Training Received Through Employer")</f>
        <v>0</v>
      </c>
      <c r="G172" s="1585"/>
      <c r="H172" s="1590">
        <f>SUMIFS(TRAINING!AA22:AA891,TRAINING!C22:C891,"Training Received Through Employer")</f>
        <v>0</v>
      </c>
      <c r="I172" s="1590"/>
      <c r="J172" s="1585">
        <f>SUMIFS(TRAINING!AB22:AB891,TRAINING!C22:C891,"Training Received Through Employer")</f>
        <v>0</v>
      </c>
      <c r="K172" s="1585"/>
      <c r="L172" s="1590">
        <f>SUMIFS(TRAINING!AC22:AC891,TRAINING!C22:C891,"Training Received Through Employer")</f>
        <v>0</v>
      </c>
      <c r="M172" s="1590"/>
      <c r="N172" s="1585">
        <f>SUMIFS(TRAINING!AD22:AD891,TRAINING!C22:C891,"Training Received Through Employer")</f>
        <v>0</v>
      </c>
      <c r="O172" s="1585"/>
      <c r="P172" s="1590">
        <f>SUMIFS(TRAINING!AE22:AE891,TRAINING!C22:C891,"Training Received Through Employer")</f>
        <v>0</v>
      </c>
      <c r="Q172" s="1590"/>
      <c r="R172" s="1585">
        <f>SUMIFS(TRAINING!AF22:AF891,TRAINING!C22:C891,"Training Received Through Employer")</f>
        <v>0</v>
      </c>
      <c r="S172" s="1585"/>
      <c r="T172" s="1590">
        <f>SUMIFS(TRAINING!AG22:AG891,TRAINING!C22:C891,"Training Received Through Employer")</f>
        <v>0</v>
      </c>
      <c r="U172" s="1590"/>
      <c r="V172" s="1585">
        <f>SUMIFS(TRAINING!AK22:AK891,TRAINING!C22:C891,"Training Received Through Employer")</f>
        <v>0</v>
      </c>
      <c r="W172" s="1585"/>
      <c r="AA172" s="1764" t="s">
        <v>337</v>
      </c>
      <c r="AB172" s="1764"/>
      <c r="AC172" s="1764"/>
      <c r="AD172" s="1777"/>
      <c r="AE172" s="1778"/>
      <c r="AF172" s="1649">
        <f>SUMIFS(TRAINING!AL22:AL891,TRAINING!C22:C891,"Training Received Through Employer")</f>
        <v>0</v>
      </c>
      <c r="AG172" s="1649"/>
      <c r="AH172" s="1779">
        <f>SUMIFS(TRAINING!AM22:AM891,TRAINING!C22:C891,"Training Received Through Employer")</f>
        <v>0</v>
      </c>
      <c r="AI172" s="1779"/>
      <c r="AJ172" s="1649">
        <f>SUMIFS(TRAINING!AN22:AN891,TRAINING!C22:C891,"Training Received Through Employer")</f>
        <v>0</v>
      </c>
      <c r="AK172" s="1649"/>
      <c r="AL172" s="1779">
        <f>SUMIFS(TRAINING!AO22:AO891,TRAINING!C22:C891,"Training Received Through Employer")</f>
        <v>0</v>
      </c>
      <c r="AM172" s="1779"/>
      <c r="AN172" s="1649">
        <f>SUMIFS(TRAINING!AP22:AP891,TRAINING!C22:C891,"Training Received Through Employer")</f>
        <v>0</v>
      </c>
      <c r="AO172" s="1649"/>
      <c r="AP172" s="1779">
        <f>SUMIFS(TRAINING!AQ22:AQ891,TRAINING!C22:C891,"Training Received Through Employer")</f>
        <v>0</v>
      </c>
      <c r="AQ172" s="1779"/>
      <c r="AR172" s="1649">
        <f>SUMIFS(TRAINING!AR22:AR891,TRAINING!C22:C891,"Training Received Through Employer")</f>
        <v>0</v>
      </c>
      <c r="AS172" s="1649"/>
      <c r="AT172" s="1779">
        <f>SUMIFS(TRAINING!AS22:AS891,TRAINING!C22:C891,"Training Received Through Employer")</f>
        <v>0</v>
      </c>
      <c r="AU172" s="1779"/>
      <c r="AV172" s="1649">
        <f>SUMIFS(TRAINING!AT22:AT891,TRAINING!C22:C891,"Training Received Through Employer")</f>
        <v>0</v>
      </c>
      <c r="AW172" s="1649"/>
    </row>
    <row r="173" spans="1:49" ht="39.950000000000003" customHeight="1" x14ac:dyDescent="0.25">
      <c r="A173" s="1782" t="s">
        <v>340</v>
      </c>
      <c r="B173" s="1782"/>
      <c r="C173" s="1782"/>
      <c r="D173" s="631"/>
      <c r="E173" s="633"/>
      <c r="F173" s="1585">
        <f>SUMIFS(TRAINING!Z22:Z891,TRAINING!C22:C891,"Training Received externally (not through employer) ")</f>
        <v>0</v>
      </c>
      <c r="G173" s="1585"/>
      <c r="H173" s="1590">
        <f>SUMIFS(TRAINING!AA22:AA891,TRAINING!C22:C891,"Training Received externally (not through employer) ")</f>
        <v>0</v>
      </c>
      <c r="I173" s="1590"/>
      <c r="J173" s="1585">
        <f>SUMIFS(TRAINING!AB22:AB891,TRAINING!C22:C891,"Training Received externally (not through employer) ")</f>
        <v>0</v>
      </c>
      <c r="K173" s="1585"/>
      <c r="L173" s="1590">
        <f>SUMIFS(TRAINING!AC22:AC891,TRAINING!C22:C891,"Training Received externally (not through employer) ")</f>
        <v>0</v>
      </c>
      <c r="M173" s="1590"/>
      <c r="N173" s="1585">
        <f>SUMIFS(TRAINING!AD22:AD891,TRAINING!C22:C891,"Training Received externally (not through employer) ")</f>
        <v>0</v>
      </c>
      <c r="O173" s="1585"/>
      <c r="P173" s="1590">
        <f>SUMIFS(TRAINING!AE22:AE891,TRAINING!C22:C891,"Training Received externally (not through employer) ")</f>
        <v>0</v>
      </c>
      <c r="Q173" s="1590"/>
      <c r="R173" s="1585">
        <f>SUMIFS(TRAINING!AF22:AF891,TRAINING!C22:C891,"Training Received externally (not through employer) ")</f>
        <v>0</v>
      </c>
      <c r="S173" s="1585"/>
      <c r="T173" s="1590">
        <f>SUMIFS(TRAINING!AG22:AG891,TRAINING!C22:C891,"Training Received externally (not through employer) ")</f>
        <v>0</v>
      </c>
      <c r="U173" s="1590"/>
      <c r="V173" s="1585">
        <f>SUMIFS(TRAINING!AK22:AK891,TRAINING!C22:C891,"Training Received externally (not through employer) ")</f>
        <v>0</v>
      </c>
      <c r="W173" s="1585"/>
      <c r="AA173" s="1764" t="s">
        <v>338</v>
      </c>
      <c r="AB173" s="1764"/>
      <c r="AC173" s="1764"/>
      <c r="AD173" s="1777"/>
      <c r="AE173" s="1778"/>
      <c r="AF173" s="1649">
        <f>SUMIFS(TRAINING!AL22:AL891,TRAINING!C22:C891,"Training Received externally (not through employer) ")</f>
        <v>0</v>
      </c>
      <c r="AG173" s="1649"/>
      <c r="AH173" s="1779">
        <f>SUMIFS(TRAINING!AM22:AM891,TRAINING!C22:C891,"Training Received externally (not through employer) ")</f>
        <v>0</v>
      </c>
      <c r="AI173" s="1779"/>
      <c r="AJ173" s="1649">
        <f>SUMIFS(TRAINING!AN22:AN891,TRAINING!C22:C891,"Training Received externally (not through employer) ")</f>
        <v>0</v>
      </c>
      <c r="AK173" s="1649"/>
      <c r="AL173" s="1779">
        <f>SUMIFS(TRAINING!AO22:AO891,TRAINING!C22:C891,"Training Received externally (not through employer) ")</f>
        <v>0</v>
      </c>
      <c r="AM173" s="1779"/>
      <c r="AN173" s="1649">
        <f>SUMIFS(TRAINING!AP22:AP891,TRAINING!C22:C891,"Training Received externally (not through employer) ")</f>
        <v>0</v>
      </c>
      <c r="AO173" s="1649"/>
      <c r="AP173" s="1779">
        <f>SUMIFS(TRAINING!AQ22:AQ891,TRAINING!C22:C891,"Training Received externally (not through employer) ")</f>
        <v>0</v>
      </c>
      <c r="AQ173" s="1779"/>
      <c r="AR173" s="1649">
        <f>SUMIFS(TRAINING!AR22:AR891,TRAINING!C22:C891,"Training Received externally (not through employer) ")</f>
        <v>0</v>
      </c>
      <c r="AS173" s="1649"/>
      <c r="AT173" s="1779">
        <f>SUMIFS(TRAINING!AS22:AS891,TRAINING!C22:C891,"Training Received externally (not through employer) ")</f>
        <v>0</v>
      </c>
      <c r="AU173" s="1779"/>
      <c r="AV173" s="1649">
        <f>SUMIFS(TRAINING!AT22:AT891,TRAINING!C22:C891,"Training Received externally (not through employer) ")</f>
        <v>0</v>
      </c>
      <c r="AW173" s="1649"/>
    </row>
    <row r="174" spans="1:49" ht="39.950000000000003" customHeight="1" x14ac:dyDescent="0.25">
      <c r="A174" s="1782" t="s">
        <v>226</v>
      </c>
      <c r="B174" s="1782"/>
      <c r="C174" s="1782"/>
      <c r="D174" s="631"/>
      <c r="E174" s="633"/>
      <c r="F174" s="1585">
        <f>SUMIFS(TRAINING!Z22:Z891,TRAINING!C22:C891,"Cross Planning Initiative")</f>
        <v>0</v>
      </c>
      <c r="G174" s="1585"/>
      <c r="H174" s="1590">
        <f>SUMIFS(TRAINING!AA22:AA891,TRAINING!C22:C891,"Cross Planning Initiative")</f>
        <v>0</v>
      </c>
      <c r="I174" s="1590"/>
      <c r="J174" s="1585">
        <f>SUMIFS(TRAINING!AB22:AB891,TRAINING!C22:C891,"Cross Planning Initiative")</f>
        <v>0</v>
      </c>
      <c r="K174" s="1585"/>
      <c r="L174" s="1590">
        <f>SUMIFS(TRAINING!AC22:AC891,TRAINING!C22:C891,"Cross Planning Initiative")</f>
        <v>0</v>
      </c>
      <c r="M174" s="1590"/>
      <c r="N174" s="1585">
        <f>SUMIFS(TRAINING!AD22:AD891,TRAINING!C22:C891,"Cross Planning Initiative")</f>
        <v>0</v>
      </c>
      <c r="O174" s="1585"/>
      <c r="P174" s="1590">
        <f>SUMIFS(TRAINING!AE22:AE891,TRAINING!C22:C891,"Cross Planning Initiative")</f>
        <v>0</v>
      </c>
      <c r="Q174" s="1590"/>
      <c r="R174" s="1585">
        <f>SUMIFS(TRAINING!AF22:AF891,TRAINING!C22:C891,"Cross Planning Initiative")</f>
        <v>0</v>
      </c>
      <c r="S174" s="1585"/>
      <c r="T174" s="1590">
        <f>SUMIFS(TRAINING!AG22:AG891,TRAINING!C22:C891,"Cross Planning Initiative")</f>
        <v>0</v>
      </c>
      <c r="U174" s="1590"/>
      <c r="V174" s="1585">
        <f>SUMIFS(TRAINING!AK22:AK891,TRAINING!C22:C891,"Cross Planning Initiative")</f>
        <v>0</v>
      </c>
      <c r="W174" s="1585"/>
      <c r="AA174" s="1764" t="s">
        <v>226</v>
      </c>
      <c r="AB174" s="1764"/>
      <c r="AC174" s="1764"/>
      <c r="AD174" s="1777"/>
      <c r="AE174" s="1778"/>
      <c r="AF174" s="1649">
        <f>SUMIFS(TRAINING!AL22:AL891,TRAINING!C22:C891,"Cross Planning Initiative")</f>
        <v>0</v>
      </c>
      <c r="AG174" s="1649"/>
      <c r="AH174" s="1779">
        <f>SUMIFS(TRAINING!AM22:AM891,TRAINING!C22:C891,"Cross Planning Initiative")</f>
        <v>0</v>
      </c>
      <c r="AI174" s="1779"/>
      <c r="AJ174" s="1649">
        <f>SUMIFS(TRAINING!AN22:AN891,TRAINING!C22:C891,"Cross Planning Initiative")</f>
        <v>0</v>
      </c>
      <c r="AK174" s="1649"/>
      <c r="AL174" s="1779">
        <f>SUMIFS(TRAINING!AO22:AO891,TRAINING!C22:C891,"Cross Planning Initiative")</f>
        <v>0</v>
      </c>
      <c r="AM174" s="1779"/>
      <c r="AN174" s="1649">
        <f>SUMIFS(TRAINING!AP22:AP891,TRAINING!C22:C891,"Cross Planning Initiative")</f>
        <v>0</v>
      </c>
      <c r="AO174" s="1649"/>
      <c r="AP174" s="1779">
        <f>SUMIFS(TRAINING!AQ22:AQ891,TRAINING!C22:C891,"Cross Planning Initiative")</f>
        <v>0</v>
      </c>
      <c r="AQ174" s="1779"/>
      <c r="AR174" s="1649">
        <f>SUMIFS(TRAINING!AR22:AR891,TRAINING!C22:C891,"Cross Planning Initiative")</f>
        <v>0</v>
      </c>
      <c r="AS174" s="1649"/>
      <c r="AT174" s="1779">
        <f>SUMIFS(TRAINING!AS22:AS891,TRAINING!C22:C891,"Cross Planning Initiative")</f>
        <v>0</v>
      </c>
      <c r="AU174" s="1779"/>
      <c r="AV174" s="1649">
        <f>SUMIFS(TRAINING!AT22:AT891,TRAINING!C22:C891,"Cross Planning Initiative")</f>
        <v>0</v>
      </c>
      <c r="AW174" s="1649"/>
    </row>
    <row r="175" spans="1:49" ht="39.950000000000003" customHeight="1" x14ac:dyDescent="0.25">
      <c r="A175" s="1782" t="s">
        <v>227</v>
      </c>
      <c r="B175" s="1782"/>
      <c r="C175" s="1782"/>
      <c r="D175" s="631"/>
      <c r="E175" s="633"/>
      <c r="F175" s="1585">
        <f>SUMIFS(TRAINING!Z22:Z891,TRAINING!C22:C891,"Outreach Activity")</f>
        <v>0</v>
      </c>
      <c r="G175" s="1585"/>
      <c r="H175" s="1590">
        <f>SUMIFS(TRAINING!AA22:AA891,TRAINING!C22:C891,"Outreach Activity")</f>
        <v>0</v>
      </c>
      <c r="I175" s="1590"/>
      <c r="J175" s="1585">
        <f>SUMIFS(TRAINING!AB22:AB891,TRAINING!C22:C891,"Outreach Activity")</f>
        <v>0</v>
      </c>
      <c r="K175" s="1585"/>
      <c r="L175" s="1590">
        <f>SUMIFS(TRAINING!AC22:AC891,TRAINING!C22:C891,"Outreach Activity")</f>
        <v>0</v>
      </c>
      <c r="M175" s="1590"/>
      <c r="N175" s="1585">
        <f>SUMIFS(TRAINING!AD22:AD891,TRAINING!C22:C891,"Outreach Activity")</f>
        <v>0</v>
      </c>
      <c r="O175" s="1585"/>
      <c r="P175" s="1590">
        <f>SUMIFS(TRAINING!AE22:AE891,TRAINING!C22:C891,"Outreach Activity")</f>
        <v>0</v>
      </c>
      <c r="Q175" s="1590"/>
      <c r="R175" s="1585">
        <f>SUMIFS(TRAINING!AF22:AF891,TRAINING!C22:C891,"Outreach Activity")</f>
        <v>0</v>
      </c>
      <c r="S175" s="1585"/>
      <c r="T175" s="1590">
        <f>SUMIFS(TRAINING!AG22:AG891,TRAINING!C22:C891,"Outreach Activity")</f>
        <v>0</v>
      </c>
      <c r="U175" s="1590"/>
      <c r="V175" s="1585">
        <f>SUMIFS(TRAINING!AK22:AK891,TRAINING!C22:C891,"Outreach Activity")</f>
        <v>0</v>
      </c>
      <c r="W175" s="1585"/>
      <c r="AA175" s="1764" t="s">
        <v>227</v>
      </c>
      <c r="AB175" s="1764"/>
      <c r="AC175" s="1764"/>
      <c r="AD175" s="1777"/>
      <c r="AE175" s="1778"/>
      <c r="AF175" s="1649">
        <f>SUMIFS(TRAINING!AL22:AL891,TRAINING!C22:C891,"Outreach Activity")</f>
        <v>0</v>
      </c>
      <c r="AG175" s="1649"/>
      <c r="AH175" s="1779">
        <f>SUMIFS(TRAINING!AM22:AM891,TRAINING!C22:C891,"Outreach Activity")</f>
        <v>0</v>
      </c>
      <c r="AI175" s="1779"/>
      <c r="AJ175" s="1649">
        <f>SUMIFS(TRAINING!AN22:AN891,TRAINING!C22:C891,"Outreach Activity")</f>
        <v>0</v>
      </c>
      <c r="AK175" s="1649"/>
      <c r="AL175" s="1779">
        <f>SUMIFS(TRAINING!AO22:AO891,TRAINING!C22:C891,"Outreach Activity")</f>
        <v>0</v>
      </c>
      <c r="AM175" s="1779"/>
      <c r="AN175" s="1649">
        <f>SUMIFS(TRAINING!AP22:AP891,TRAINING!C22:C891,"Outreach Activity")</f>
        <v>0</v>
      </c>
      <c r="AO175" s="1649"/>
      <c r="AP175" s="1779">
        <f>SUMIFS(TRAINING!AQ22:AQ891,TRAINING!C22:C891,"Outreach Activity")</f>
        <v>0</v>
      </c>
      <c r="AQ175" s="1779"/>
      <c r="AR175" s="1649">
        <f>SUMIFS(TRAINING!AR22:AR891,TRAINING!C22:C891,"Outreach Activity")</f>
        <v>0</v>
      </c>
      <c r="AS175" s="1649"/>
      <c r="AT175" s="1779">
        <f>SUMIFS(TRAINING!AS22:AS891,TRAINING!C22:C891,"Outreach Activity")</f>
        <v>0</v>
      </c>
      <c r="AU175" s="1779"/>
      <c r="AV175" s="1649">
        <f>SUMIFS(TRAINING!AT22:AT891,TRAINING!C22:C891,"Outreach Activity")</f>
        <v>0</v>
      </c>
      <c r="AW175" s="1649"/>
    </row>
    <row r="176" spans="1:49" ht="39.950000000000003" customHeight="1" x14ac:dyDescent="0.25">
      <c r="A176" s="1782" t="s">
        <v>321</v>
      </c>
      <c r="B176" s="1782"/>
      <c r="C176" s="1782"/>
      <c r="D176" s="631"/>
      <c r="E176" s="633"/>
      <c r="F176" s="1585">
        <f>SUMIFS(TRAINING!Z22:Z891,TRAINING!C22:C891,"Other (List) ")</f>
        <v>0</v>
      </c>
      <c r="G176" s="1585"/>
      <c r="H176" s="1590">
        <f>SUMIFS(TRAINING!AA22:AA891,TRAINING!C22:C891,"Other (List) ")</f>
        <v>0</v>
      </c>
      <c r="I176" s="1590"/>
      <c r="J176" s="1585">
        <f>SUMIFS(TRAINING!AB22:AB891,TRAINING!C22:C891,"Other (List) ")</f>
        <v>0</v>
      </c>
      <c r="K176" s="1585"/>
      <c r="L176" s="1590">
        <f>SUMIFS(TRAINING!AC22:AC891,TRAINING!C22:C891,"Other (List) ")</f>
        <v>0</v>
      </c>
      <c r="M176" s="1590"/>
      <c r="N176" s="1585">
        <f>SUMIFS(TRAINING!AD22:AD891,TRAINING!C22:C891,"Other (List) ")</f>
        <v>0</v>
      </c>
      <c r="O176" s="1585"/>
      <c r="P176" s="1590">
        <f>SUMIFS(TRAINING!AE22:AE891,TRAINING!C22:C891,"Other (List) ")</f>
        <v>0</v>
      </c>
      <c r="Q176" s="1590"/>
      <c r="R176" s="1585">
        <f>SUMIFS(TRAINING!AF22:AF891,TRAINING!C22:C891,"Other (List) ")</f>
        <v>0</v>
      </c>
      <c r="S176" s="1585"/>
      <c r="T176" s="1590">
        <f>SUMIFS(TRAINING!AG22:AG891,TRAINING!C22:C891,"Other (List) ")</f>
        <v>0</v>
      </c>
      <c r="U176" s="1590"/>
      <c r="V176" s="1585">
        <f>SUMIFS(TRAINING!AK22:AK891,TRAINING!C22:C891,"Other (List) ")</f>
        <v>0</v>
      </c>
      <c r="W176" s="1585"/>
      <c r="AA176" s="1764" t="s">
        <v>321</v>
      </c>
      <c r="AB176" s="1764"/>
      <c r="AC176" s="1764"/>
      <c r="AD176" s="1777"/>
      <c r="AE176" s="1778"/>
      <c r="AF176" s="1649">
        <f>SUMIFS(TRAINING!AL22:AL891,TRAINING!C22:C891,"Other (List) ")</f>
        <v>0</v>
      </c>
      <c r="AG176" s="1649"/>
      <c r="AH176" s="1779">
        <f>SUMIFS(TRAINING!AM22:AM891,TRAINING!C22:C891,"Other (List) ")</f>
        <v>0</v>
      </c>
      <c r="AI176" s="1779"/>
      <c r="AJ176" s="1649">
        <f>SUMIFS(TRAINING!AN22:AN891,TRAINING!C22:C891,"Other (List) ")</f>
        <v>0</v>
      </c>
      <c r="AK176" s="1649"/>
      <c r="AL176" s="1779">
        <f>SUMIFS(TRAINING!AO22:AO891,TRAINING!C22:C891,"Other (List) ")</f>
        <v>0</v>
      </c>
      <c r="AM176" s="1779"/>
      <c r="AN176" s="1649">
        <f>SUMIFS(TRAINING!AP22:AP891,TRAINING!C22:C891,"Other (List) ")</f>
        <v>0</v>
      </c>
      <c r="AO176" s="1649"/>
      <c r="AP176" s="1779">
        <f>SUMIFS(TRAINING!AQ22:AQ891,TRAINING!C22:C891,"Other (List) ")</f>
        <v>0</v>
      </c>
      <c r="AQ176" s="1779"/>
      <c r="AR176" s="1649">
        <f>SUMIFS(TRAINING!AR22:AR891,TRAINING!C22:C891,"Other (List) ")</f>
        <v>0</v>
      </c>
      <c r="AS176" s="1649"/>
      <c r="AT176" s="1779">
        <f>SUMIFS(TRAINING!AS22:AS891,TRAINING!C22:C891,"Other (List) ")</f>
        <v>0</v>
      </c>
      <c r="AU176" s="1779"/>
      <c r="AV176" s="1649">
        <f>SUMIFS(TRAINING!AT22:AT891,TRAINING!C22:C891,"Other (List) ")</f>
        <v>0</v>
      </c>
      <c r="AW176" s="1649"/>
    </row>
    <row r="177" spans="1:39" ht="24.95" customHeight="1" x14ac:dyDescent="0.25">
      <c r="A177" s="192"/>
      <c r="B177" s="192"/>
      <c r="C177" s="192"/>
      <c r="P177" s="1290"/>
      <c r="Q177" s="1290"/>
    </row>
    <row r="183" spans="1:39" x14ac:dyDescent="0.25">
      <c r="AD183" s="116"/>
      <c r="AE183" s="116"/>
      <c r="AF183" s="116"/>
      <c r="AG183" s="116"/>
      <c r="AH183" s="116"/>
      <c r="AI183" s="116"/>
      <c r="AJ183" s="116"/>
      <c r="AK183" s="116"/>
      <c r="AL183" s="116"/>
      <c r="AM183" s="116"/>
    </row>
    <row r="184" spans="1:39" x14ac:dyDescent="0.25">
      <c r="AD184" s="116"/>
      <c r="AE184" s="116"/>
      <c r="AF184" s="116"/>
      <c r="AG184" s="116"/>
      <c r="AH184" s="116"/>
      <c r="AI184" s="116"/>
      <c r="AJ184" s="116"/>
      <c r="AK184" s="116"/>
      <c r="AL184" s="116"/>
      <c r="AM184" s="116"/>
    </row>
    <row r="185" spans="1:39" x14ac:dyDescent="0.25">
      <c r="AD185" s="116"/>
      <c r="AE185" s="116"/>
      <c r="AF185" s="116"/>
      <c r="AG185" s="116"/>
      <c r="AH185" s="116"/>
      <c r="AI185" s="116"/>
      <c r="AJ185" s="116"/>
      <c r="AK185" s="116"/>
      <c r="AL185" s="116"/>
      <c r="AM185" s="116"/>
    </row>
    <row r="186" spans="1:39" x14ac:dyDescent="0.25">
      <c r="AD186" s="116"/>
      <c r="AE186" s="116"/>
      <c r="AF186" s="116"/>
      <c r="AG186" s="116"/>
      <c r="AH186" s="116"/>
      <c r="AI186" s="116"/>
      <c r="AJ186" s="116"/>
      <c r="AK186" s="116"/>
      <c r="AL186" s="116"/>
      <c r="AM186" s="116"/>
    </row>
    <row r="187" spans="1:39" x14ac:dyDescent="0.25">
      <c r="AD187" s="116"/>
      <c r="AE187" s="116"/>
      <c r="AF187" s="116"/>
      <c r="AG187" s="116"/>
      <c r="AH187" s="116"/>
      <c r="AI187" s="116"/>
      <c r="AJ187" s="116"/>
      <c r="AK187" s="116"/>
      <c r="AL187" s="116"/>
      <c r="AM187" s="116"/>
    </row>
  </sheetData>
  <sheetProtection algorithmName="SHA-512" hashValue="2YtZvqbEUHFOvE8aw4FPuVkZI16Q1093/E1naYpo84ew+kKIxgElFqm9rHhUPtxRz+euvgFaZ7oesclKpIz2PA==" saltValue="gkN+q6bvpZSoMziJ2/bKmg==" spinCount="100000" sheet="1" objects="1" scenarios="1"/>
  <mergeCells count="533">
    <mergeCell ref="A138:S138"/>
    <mergeCell ref="A151:S151"/>
    <mergeCell ref="A10:AC11"/>
    <mergeCell ref="A155:C155"/>
    <mergeCell ref="D155:E155"/>
    <mergeCell ref="AA155:AC155"/>
    <mergeCell ref="A81:C81"/>
    <mergeCell ref="D81:E81"/>
    <mergeCell ref="AA81:AC81"/>
    <mergeCell ref="A12:N12"/>
    <mergeCell ref="A13:N13"/>
    <mergeCell ref="A125:S125"/>
    <mergeCell ref="AA95:AC95"/>
    <mergeCell ref="U78:V78"/>
    <mergeCell ref="W78:X78"/>
    <mergeCell ref="Y78:Z78"/>
    <mergeCell ref="A87:C87"/>
    <mergeCell ref="D87:E87"/>
    <mergeCell ref="AA87:AC87"/>
    <mergeCell ref="A91:C91"/>
    <mergeCell ref="A92:C92"/>
    <mergeCell ref="A93:C93"/>
    <mergeCell ref="F88:S88"/>
    <mergeCell ref="D91:E91"/>
    <mergeCell ref="AA91:AC91"/>
    <mergeCell ref="AA92:AC92"/>
    <mergeCell ref="AA93:AC93"/>
    <mergeCell ref="AA94:AC94"/>
    <mergeCell ref="U88:AD88"/>
    <mergeCell ref="AA83:AC83"/>
    <mergeCell ref="AA84:AC84"/>
    <mergeCell ref="AA85:AC85"/>
    <mergeCell ref="AA86:AC86"/>
    <mergeCell ref="Y89:Z89"/>
    <mergeCell ref="W89:X89"/>
    <mergeCell ref="U7:AC7"/>
    <mergeCell ref="R7:T7"/>
    <mergeCell ref="D74:E74"/>
    <mergeCell ref="A67:E67"/>
    <mergeCell ref="P26:Q26"/>
    <mergeCell ref="A24:N24"/>
    <mergeCell ref="A41:N41"/>
    <mergeCell ref="A59:N59"/>
    <mergeCell ref="A60:N60"/>
    <mergeCell ref="A61:N61"/>
    <mergeCell ref="A53:N53"/>
    <mergeCell ref="A54:N54"/>
    <mergeCell ref="A55:N55"/>
    <mergeCell ref="A47:N47"/>
    <mergeCell ref="A48:N48"/>
    <mergeCell ref="A49:N49"/>
    <mergeCell ref="A42:N42"/>
    <mergeCell ref="A43:N43"/>
    <mergeCell ref="P13:Q13"/>
    <mergeCell ref="P14:Q14"/>
    <mergeCell ref="P15:Q15"/>
    <mergeCell ref="A6:E7"/>
    <mergeCell ref="A14:N14"/>
    <mergeCell ref="F6:P7"/>
    <mergeCell ref="A3:AK3"/>
    <mergeCell ref="A1:AK1"/>
    <mergeCell ref="A2:AK2"/>
    <mergeCell ref="P43:Q43"/>
    <mergeCell ref="F8:M8"/>
    <mergeCell ref="N8:P8"/>
    <mergeCell ref="P34:Q34"/>
    <mergeCell ref="A35:N35"/>
    <mergeCell ref="A36:N36"/>
    <mergeCell ref="A37:N37"/>
    <mergeCell ref="A26:N26"/>
    <mergeCell ref="P37:Q37"/>
    <mergeCell ref="P39:Q39"/>
    <mergeCell ref="P40:Q40"/>
    <mergeCell ref="P41:Q41"/>
    <mergeCell ref="P42:Q42"/>
    <mergeCell ref="U4:AC4"/>
    <mergeCell ref="F5:P5"/>
    <mergeCell ref="U5:AC5"/>
    <mergeCell ref="U6:AC6"/>
    <mergeCell ref="U8:AC8"/>
    <mergeCell ref="A9:AC9"/>
    <mergeCell ref="A4:E4"/>
    <mergeCell ref="A5:E5"/>
    <mergeCell ref="A8:E8"/>
    <mergeCell ref="F4:P4"/>
    <mergeCell ref="A64:AC64"/>
    <mergeCell ref="P18:Q18"/>
    <mergeCell ref="P19:Q19"/>
    <mergeCell ref="P20:Q20"/>
    <mergeCell ref="P21:Q21"/>
    <mergeCell ref="P22:Q22"/>
    <mergeCell ref="P23:Q23"/>
    <mergeCell ref="P24:Q24"/>
    <mergeCell ref="P57:Q57"/>
    <mergeCell ref="P58:Q58"/>
    <mergeCell ref="P59:Q59"/>
    <mergeCell ref="P60:Q60"/>
    <mergeCell ref="P61:Q61"/>
    <mergeCell ref="P33:Q33"/>
    <mergeCell ref="P12:Q12"/>
    <mergeCell ref="AB18:AC18"/>
    <mergeCell ref="AB20:AC20"/>
    <mergeCell ref="A15:N15"/>
    <mergeCell ref="A17:N17"/>
    <mergeCell ref="A18:N18"/>
    <mergeCell ref="A20:N20"/>
    <mergeCell ref="A31:N31"/>
    <mergeCell ref="J110:M110"/>
    <mergeCell ref="J109:M109"/>
    <mergeCell ref="A89:E89"/>
    <mergeCell ref="P17:Q17"/>
    <mergeCell ref="J108:P108"/>
    <mergeCell ref="D73:E73"/>
    <mergeCell ref="A72:C72"/>
    <mergeCell ref="D72:E72"/>
    <mergeCell ref="A71:C71"/>
    <mergeCell ref="D71:E71"/>
    <mergeCell ref="P46:Q46"/>
    <mergeCell ref="P47:Q47"/>
    <mergeCell ref="P48:Q48"/>
    <mergeCell ref="P49:Q49"/>
    <mergeCell ref="P51:Q51"/>
    <mergeCell ref="A23:L23"/>
    <mergeCell ref="A34:L34"/>
    <mergeCell ref="A40:L40"/>
    <mergeCell ref="A46:L46"/>
    <mergeCell ref="D76:E76"/>
    <mergeCell ref="A75:C75"/>
    <mergeCell ref="F96:S96"/>
    <mergeCell ref="A94:C94"/>
    <mergeCell ref="D100:E100"/>
    <mergeCell ref="J119:M119"/>
    <mergeCell ref="N119:P119"/>
    <mergeCell ref="N111:P111"/>
    <mergeCell ref="J121:M121"/>
    <mergeCell ref="J117:M117"/>
    <mergeCell ref="J115:M115"/>
    <mergeCell ref="J111:M111"/>
    <mergeCell ref="J114:M114"/>
    <mergeCell ref="N116:P116"/>
    <mergeCell ref="A84:C84"/>
    <mergeCell ref="D84:E84"/>
    <mergeCell ref="A85:C85"/>
    <mergeCell ref="D102:E102"/>
    <mergeCell ref="D85:E85"/>
    <mergeCell ref="A86:C86"/>
    <mergeCell ref="D86:E86"/>
    <mergeCell ref="A97:C97"/>
    <mergeCell ref="D97:E97"/>
    <mergeCell ref="A101:C101"/>
    <mergeCell ref="D101:E101"/>
    <mergeCell ref="A102:C102"/>
    <mergeCell ref="A98:C98"/>
    <mergeCell ref="D98:E98"/>
    <mergeCell ref="A99:C99"/>
    <mergeCell ref="D99:E99"/>
    <mergeCell ref="D92:E92"/>
    <mergeCell ref="D93:E93"/>
    <mergeCell ref="D94:E94"/>
    <mergeCell ref="AB12:AC12"/>
    <mergeCell ref="AB13:AC13"/>
    <mergeCell ref="F66:G66"/>
    <mergeCell ref="H66:I66"/>
    <mergeCell ref="J66:K66"/>
    <mergeCell ref="L66:M66"/>
    <mergeCell ref="N66:O66"/>
    <mergeCell ref="P66:Q66"/>
    <mergeCell ref="R66:S66"/>
    <mergeCell ref="U66:V66"/>
    <mergeCell ref="W66:X66"/>
    <mergeCell ref="Y66:Z66"/>
    <mergeCell ref="A25:N25"/>
    <mergeCell ref="P25:Q25"/>
    <mergeCell ref="AB14:AC14"/>
    <mergeCell ref="A19:N19"/>
    <mergeCell ref="AB19:AC19"/>
    <mergeCell ref="A21:N21"/>
    <mergeCell ref="AB21:AC21"/>
    <mergeCell ref="AB15:AC15"/>
    <mergeCell ref="AB17:AC17"/>
    <mergeCell ref="P52:Q52"/>
    <mergeCell ref="F65:S65"/>
    <mergeCell ref="P53:Q53"/>
    <mergeCell ref="P54:Q54"/>
    <mergeCell ref="P55:Q55"/>
    <mergeCell ref="J118:P118"/>
    <mergeCell ref="A108:G108"/>
    <mergeCell ref="N115:P115"/>
    <mergeCell ref="N110:P110"/>
    <mergeCell ref="N109:P109"/>
    <mergeCell ref="N114:P114"/>
    <mergeCell ref="J113:M113"/>
    <mergeCell ref="N113:P113"/>
    <mergeCell ref="J112:M112"/>
    <mergeCell ref="N112:P112"/>
    <mergeCell ref="A76:C76"/>
    <mergeCell ref="N117:P117"/>
    <mergeCell ref="J116:M116"/>
    <mergeCell ref="A100:C100"/>
    <mergeCell ref="A109:C109"/>
    <mergeCell ref="A110:C110"/>
    <mergeCell ref="D109:G109"/>
    <mergeCell ref="D110:G110"/>
    <mergeCell ref="A104:C104"/>
    <mergeCell ref="D104:E104"/>
    <mergeCell ref="A103:C103"/>
    <mergeCell ref="A68:C68"/>
    <mergeCell ref="A52:L52"/>
    <mergeCell ref="A58:L58"/>
    <mergeCell ref="A73:C73"/>
    <mergeCell ref="A69:C69"/>
    <mergeCell ref="D69:E69"/>
    <mergeCell ref="A83:C83"/>
    <mergeCell ref="D83:E83"/>
    <mergeCell ref="A80:C80"/>
    <mergeCell ref="P31:Q31"/>
    <mergeCell ref="P50:Q50"/>
    <mergeCell ref="P38:Q38"/>
    <mergeCell ref="P44:Q44"/>
    <mergeCell ref="P35:Q35"/>
    <mergeCell ref="P36:Q36"/>
    <mergeCell ref="P56:Q56"/>
    <mergeCell ref="P62:Q62"/>
    <mergeCell ref="P45:Q45"/>
    <mergeCell ref="A77:S77"/>
    <mergeCell ref="A63:S63"/>
    <mergeCell ref="N78:O78"/>
    <mergeCell ref="P78:Q78"/>
    <mergeCell ref="R78:S78"/>
    <mergeCell ref="A70:C70"/>
    <mergeCell ref="D70:E70"/>
    <mergeCell ref="D68:E68"/>
    <mergeCell ref="A66:E66"/>
    <mergeCell ref="A78:E78"/>
    <mergeCell ref="F78:G78"/>
    <mergeCell ref="H78:I78"/>
    <mergeCell ref="J78:K78"/>
    <mergeCell ref="L78:M78"/>
    <mergeCell ref="D75:E75"/>
    <mergeCell ref="A74:C74"/>
    <mergeCell ref="P16:Q16"/>
    <mergeCell ref="A16:N16"/>
    <mergeCell ref="R19:S19"/>
    <mergeCell ref="A82:C82"/>
    <mergeCell ref="D82:E82"/>
    <mergeCell ref="AA80:AC80"/>
    <mergeCell ref="AA82:AC82"/>
    <mergeCell ref="D80:E80"/>
    <mergeCell ref="A27:N27"/>
    <mergeCell ref="P27:Q27"/>
    <mergeCell ref="A32:N32"/>
    <mergeCell ref="A38:N38"/>
    <mergeCell ref="A50:N50"/>
    <mergeCell ref="A56:N56"/>
    <mergeCell ref="A62:N62"/>
    <mergeCell ref="A44:N44"/>
    <mergeCell ref="P32:Q32"/>
    <mergeCell ref="A28:L28"/>
    <mergeCell ref="P28:Q28"/>
    <mergeCell ref="A29:N29"/>
    <mergeCell ref="P29:Q29"/>
    <mergeCell ref="A30:N30"/>
    <mergeCell ref="P30:Q30"/>
    <mergeCell ref="U65:Z65"/>
    <mergeCell ref="D142:E142"/>
    <mergeCell ref="A143:C143"/>
    <mergeCell ref="U96:Z96"/>
    <mergeCell ref="AA97:AC97"/>
    <mergeCell ref="AA98:AC98"/>
    <mergeCell ref="AA99:AC99"/>
    <mergeCell ref="AA104:AC104"/>
    <mergeCell ref="AA105:AC105"/>
    <mergeCell ref="AA100:AC100"/>
    <mergeCell ref="AA101:AC101"/>
    <mergeCell ref="AA102:AC102"/>
    <mergeCell ref="AA103:AC103"/>
    <mergeCell ref="J122:M122"/>
    <mergeCell ref="N122:P122"/>
    <mergeCell ref="J123:M123"/>
    <mergeCell ref="N123:P123"/>
    <mergeCell ref="A111:C111"/>
    <mergeCell ref="A112:C112"/>
    <mergeCell ref="D111:G111"/>
    <mergeCell ref="D112:G112"/>
    <mergeCell ref="D103:E103"/>
    <mergeCell ref="N121:P121"/>
    <mergeCell ref="J120:M120"/>
    <mergeCell ref="N120:P120"/>
    <mergeCell ref="D158:E158"/>
    <mergeCell ref="AA158:AC158"/>
    <mergeCell ref="D143:E143"/>
    <mergeCell ref="A144:C144"/>
    <mergeCell ref="D144:E144"/>
    <mergeCell ref="A145:C145"/>
    <mergeCell ref="D145:E145"/>
    <mergeCell ref="A137:AI137"/>
    <mergeCell ref="F139:S139"/>
    <mergeCell ref="U139:Z139"/>
    <mergeCell ref="A140:E140"/>
    <mergeCell ref="F140:G140"/>
    <mergeCell ref="H140:I140"/>
    <mergeCell ref="J140:K140"/>
    <mergeCell ref="L140:M140"/>
    <mergeCell ref="N140:O140"/>
    <mergeCell ref="P140:Q140"/>
    <mergeCell ref="R140:S140"/>
    <mergeCell ref="U140:V140"/>
    <mergeCell ref="W140:X140"/>
    <mergeCell ref="Y140:Z140"/>
    <mergeCell ref="AA139:AC141"/>
    <mergeCell ref="A141:E141"/>
    <mergeCell ref="A142:C142"/>
    <mergeCell ref="AA154:AC154"/>
    <mergeCell ref="AA156:AC156"/>
    <mergeCell ref="A160:C160"/>
    <mergeCell ref="D160:E160"/>
    <mergeCell ref="AA160:AC160"/>
    <mergeCell ref="W152:X152"/>
    <mergeCell ref="Y152:Z152"/>
    <mergeCell ref="A154:C154"/>
    <mergeCell ref="D154:E154"/>
    <mergeCell ref="A156:C156"/>
    <mergeCell ref="D156:E156"/>
    <mergeCell ref="A152:E152"/>
    <mergeCell ref="F152:G152"/>
    <mergeCell ref="H152:I152"/>
    <mergeCell ref="J152:K152"/>
    <mergeCell ref="L152:M152"/>
    <mergeCell ref="N152:O152"/>
    <mergeCell ref="P152:Q152"/>
    <mergeCell ref="R152:S152"/>
    <mergeCell ref="U152:V152"/>
    <mergeCell ref="AA152:AC153"/>
    <mergeCell ref="F157:S157"/>
    <mergeCell ref="U157:Z157"/>
    <mergeCell ref="A158:C158"/>
    <mergeCell ref="A146:C146"/>
    <mergeCell ref="D146:E146"/>
    <mergeCell ref="A147:C147"/>
    <mergeCell ref="D147:E147"/>
    <mergeCell ref="A148:C148"/>
    <mergeCell ref="D148:E148"/>
    <mergeCell ref="A149:C149"/>
    <mergeCell ref="D149:E149"/>
    <mergeCell ref="A150:C150"/>
    <mergeCell ref="D150:E150"/>
    <mergeCell ref="P177:Q177"/>
    <mergeCell ref="R172:S172"/>
    <mergeCell ref="R174:S174"/>
    <mergeCell ref="R175:S175"/>
    <mergeCell ref="R176:S176"/>
    <mergeCell ref="A167:AI167"/>
    <mergeCell ref="F172:G172"/>
    <mergeCell ref="F174:G174"/>
    <mergeCell ref="F175:G175"/>
    <mergeCell ref="F176:G176"/>
    <mergeCell ref="H172:I172"/>
    <mergeCell ref="H174:I174"/>
    <mergeCell ref="H175:I175"/>
    <mergeCell ref="H176:I176"/>
    <mergeCell ref="J172:K172"/>
    <mergeCell ref="J174:K174"/>
    <mergeCell ref="J175:K175"/>
    <mergeCell ref="J176:K176"/>
    <mergeCell ref="L172:M172"/>
    <mergeCell ref="L174:M174"/>
    <mergeCell ref="T172:U172"/>
    <mergeCell ref="T174:U174"/>
    <mergeCell ref="T175:U175"/>
    <mergeCell ref="T176:U176"/>
    <mergeCell ref="V175:W175"/>
    <mergeCell ref="V176:W176"/>
    <mergeCell ref="R171:S171"/>
    <mergeCell ref="T171:U171"/>
    <mergeCell ref="V171:W171"/>
    <mergeCell ref="A171:E171"/>
    <mergeCell ref="D172:E172"/>
    <mergeCell ref="D174:E174"/>
    <mergeCell ref="D175:E175"/>
    <mergeCell ref="D176:E176"/>
    <mergeCell ref="P172:Q172"/>
    <mergeCell ref="P174:Q174"/>
    <mergeCell ref="P175:Q175"/>
    <mergeCell ref="P176:Q176"/>
    <mergeCell ref="A172:C172"/>
    <mergeCell ref="A174:C174"/>
    <mergeCell ref="A175:C175"/>
    <mergeCell ref="A176:C176"/>
    <mergeCell ref="L175:M175"/>
    <mergeCell ref="L176:M176"/>
    <mergeCell ref="N172:O172"/>
    <mergeCell ref="P171:Q171"/>
    <mergeCell ref="F171:G171"/>
    <mergeCell ref="H171:I171"/>
    <mergeCell ref="N175:O175"/>
    <mergeCell ref="N176:O176"/>
    <mergeCell ref="AL171:AM171"/>
    <mergeCell ref="AN171:AO171"/>
    <mergeCell ref="AP171:AQ171"/>
    <mergeCell ref="AR171:AS171"/>
    <mergeCell ref="AT171:AU171"/>
    <mergeCell ref="AV171:AW171"/>
    <mergeCell ref="AA172:AC172"/>
    <mergeCell ref="AD172:AE172"/>
    <mergeCell ref="AF172:AG172"/>
    <mergeCell ref="AH172:AI172"/>
    <mergeCell ref="AJ172:AK172"/>
    <mergeCell ref="AL172:AM172"/>
    <mergeCell ref="AN172:AO172"/>
    <mergeCell ref="AP172:AQ172"/>
    <mergeCell ref="AR172:AS172"/>
    <mergeCell ref="AT172:AU172"/>
    <mergeCell ref="AV172:AW172"/>
    <mergeCell ref="AA171:AE171"/>
    <mergeCell ref="AF171:AG171"/>
    <mergeCell ref="AH171:AI171"/>
    <mergeCell ref="AJ171:AK171"/>
    <mergeCell ref="V172:W172"/>
    <mergeCell ref="AD174:AE174"/>
    <mergeCell ref="AF174:AG174"/>
    <mergeCell ref="AH174:AI174"/>
    <mergeCell ref="AJ174:AK174"/>
    <mergeCell ref="AL174:AM174"/>
    <mergeCell ref="AN174:AO174"/>
    <mergeCell ref="AP174:AQ174"/>
    <mergeCell ref="AR174:AS174"/>
    <mergeCell ref="N174:O174"/>
    <mergeCell ref="V174:W174"/>
    <mergeCell ref="AV173:AW173"/>
    <mergeCell ref="AA176:AC176"/>
    <mergeCell ref="AD176:AE176"/>
    <mergeCell ref="AF176:AG176"/>
    <mergeCell ref="AH176:AI176"/>
    <mergeCell ref="AJ176:AK176"/>
    <mergeCell ref="AL176:AM176"/>
    <mergeCell ref="AN176:AO176"/>
    <mergeCell ref="AP176:AQ176"/>
    <mergeCell ref="AR176:AS176"/>
    <mergeCell ref="AT174:AU174"/>
    <mergeCell ref="AV174:AW174"/>
    <mergeCell ref="AA175:AC175"/>
    <mergeCell ref="AD175:AE175"/>
    <mergeCell ref="AF175:AG175"/>
    <mergeCell ref="AH175:AI175"/>
    <mergeCell ref="AJ175:AK175"/>
    <mergeCell ref="AL175:AM175"/>
    <mergeCell ref="AN175:AO175"/>
    <mergeCell ref="AP175:AQ175"/>
    <mergeCell ref="AR175:AS175"/>
    <mergeCell ref="AT175:AU175"/>
    <mergeCell ref="AV175:AW175"/>
    <mergeCell ref="AA174:AC174"/>
    <mergeCell ref="AD173:AE173"/>
    <mergeCell ref="AF173:AG173"/>
    <mergeCell ref="AH173:AI173"/>
    <mergeCell ref="AJ173:AK173"/>
    <mergeCell ref="AL173:AM173"/>
    <mergeCell ref="AT176:AU176"/>
    <mergeCell ref="AV176:AW176"/>
    <mergeCell ref="A169:W169"/>
    <mergeCell ref="AA169:AW169"/>
    <mergeCell ref="A173:C173"/>
    <mergeCell ref="D173:E173"/>
    <mergeCell ref="F173:G173"/>
    <mergeCell ref="H173:I173"/>
    <mergeCell ref="J173:K173"/>
    <mergeCell ref="L173:M173"/>
    <mergeCell ref="N173:O173"/>
    <mergeCell ref="P173:Q173"/>
    <mergeCell ref="R173:S173"/>
    <mergeCell ref="T173:U173"/>
    <mergeCell ref="V173:W173"/>
    <mergeCell ref="AN173:AO173"/>
    <mergeCell ref="AP173:AQ173"/>
    <mergeCell ref="AR173:AS173"/>
    <mergeCell ref="AT173:AU173"/>
    <mergeCell ref="H126:I126"/>
    <mergeCell ref="J126:K126"/>
    <mergeCell ref="L126:M126"/>
    <mergeCell ref="N126:O126"/>
    <mergeCell ref="P126:Q126"/>
    <mergeCell ref="R126:S126"/>
    <mergeCell ref="U126:V126"/>
    <mergeCell ref="A128:S128"/>
    <mergeCell ref="AA173:AC173"/>
    <mergeCell ref="AA142:AC142"/>
    <mergeCell ref="AA143:AC143"/>
    <mergeCell ref="AA144:AC144"/>
    <mergeCell ref="AA145:AC145"/>
    <mergeCell ref="AA146:AC146"/>
    <mergeCell ref="AA147:AC147"/>
    <mergeCell ref="AA148:AC148"/>
    <mergeCell ref="AA149:AC149"/>
    <mergeCell ref="J171:K171"/>
    <mergeCell ref="L171:M171"/>
    <mergeCell ref="N171:O171"/>
    <mergeCell ref="AA161:AC161"/>
    <mergeCell ref="A159:C159"/>
    <mergeCell ref="D159:E159"/>
    <mergeCell ref="AA159:AC159"/>
    <mergeCell ref="D133:E133"/>
    <mergeCell ref="A133:C133"/>
    <mergeCell ref="AA133:AC133"/>
    <mergeCell ref="A134:C134"/>
    <mergeCell ref="D134:E134"/>
    <mergeCell ref="AA134:AC134"/>
    <mergeCell ref="A135:C135"/>
    <mergeCell ref="D135:E135"/>
    <mergeCell ref="AA135:AC135"/>
    <mergeCell ref="A132:S132"/>
    <mergeCell ref="F89:G89"/>
    <mergeCell ref="H89:I89"/>
    <mergeCell ref="J89:K89"/>
    <mergeCell ref="L89:M89"/>
    <mergeCell ref="N89:O89"/>
    <mergeCell ref="P89:Q89"/>
    <mergeCell ref="R89:S89"/>
    <mergeCell ref="U89:V89"/>
    <mergeCell ref="U132:AC132"/>
    <mergeCell ref="W126:X126"/>
    <mergeCell ref="Y126:Z126"/>
    <mergeCell ref="U128:AC128"/>
    <mergeCell ref="A129:C129"/>
    <mergeCell ref="D129:E129"/>
    <mergeCell ref="AA129:AC129"/>
    <mergeCell ref="A130:C130"/>
    <mergeCell ref="D130:E130"/>
    <mergeCell ref="AA130:AC130"/>
    <mergeCell ref="A131:C131"/>
    <mergeCell ref="D131:E131"/>
    <mergeCell ref="AA131:AC131"/>
    <mergeCell ref="A126:E126"/>
    <mergeCell ref="F126:G126"/>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'Drop-Down Boxes '!$D$3:$D$14</xm:f>
          </x14:formula1>
          <xm:sqref>F8:M8</xm:sqref>
        </x14:dataValidation>
        <x14:dataValidation type="list" allowBlank="1" showInputMessage="1" showErrorMessage="1" xr:uid="{00000000-0002-0000-0700-000001000000}">
          <x14:formula1>
            <xm:f>'Drop-Down Boxes '!$H$3:$H$5</xm:f>
          </x14:formula1>
          <xm:sqref>N8</xm:sqref>
        </x14:dataValidation>
        <x14:dataValidation type="list" allowBlank="1" showInputMessage="1" showErrorMessage="1" xr:uid="{90438785-3FE2-46CC-8BC1-BC3952191DD3}">
          <x14:formula1>
            <xm:f>'Drop-Down Boxes '!$O$16:$O$20</xm:f>
          </x14:formula1>
          <xm:sqref>AD183:AM187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N170"/>
  <sheetViews>
    <sheetView tabSelected="1" topLeftCell="A142" workbookViewId="0">
      <selection activeCell="A164" sqref="A164"/>
    </sheetView>
  </sheetViews>
  <sheetFormatPr defaultRowHeight="15" x14ac:dyDescent="0.25"/>
  <cols>
    <col min="1" max="40" width="5.7109375" customWidth="1"/>
    <col min="41" max="44" width="4.7109375" customWidth="1"/>
  </cols>
  <sheetData>
    <row r="1" spans="1:40" ht="18.75" x14ac:dyDescent="0.25">
      <c r="A1" s="556" t="s">
        <v>1012</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row>
    <row r="2" spans="1:40" ht="16.5" customHeight="1" thickBot="1" x14ac:dyDescent="0.3">
      <c r="A2" s="557" t="s">
        <v>603</v>
      </c>
      <c r="B2" s="557"/>
      <c r="C2" s="557"/>
      <c r="D2" s="557"/>
      <c r="E2" s="557"/>
      <c r="F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row>
    <row r="3" spans="1:40" ht="16.5" customHeight="1" thickTop="1" x14ac:dyDescent="0.25">
      <c r="A3" s="535" t="s">
        <v>736</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7"/>
      <c r="AL3" s="1"/>
      <c r="AM3" s="1"/>
      <c r="AN3" s="1"/>
    </row>
    <row r="4" spans="1:40" ht="15.75" customHeight="1" x14ac:dyDescent="0.25">
      <c r="A4" s="548" t="s">
        <v>160</v>
      </c>
      <c r="B4" s="548"/>
      <c r="C4" s="548"/>
      <c r="D4" s="548"/>
      <c r="E4" s="548"/>
      <c r="F4" s="548"/>
      <c r="G4" s="548"/>
      <c r="H4" s="549" t="s">
        <v>1015</v>
      </c>
      <c r="I4" s="549"/>
      <c r="J4" s="549"/>
      <c r="K4" s="549"/>
      <c r="L4" s="549"/>
      <c r="M4" s="549"/>
      <c r="N4" s="549"/>
      <c r="O4" s="549"/>
      <c r="P4" s="549"/>
      <c r="Q4" s="549"/>
      <c r="R4" s="549"/>
      <c r="S4" s="549"/>
      <c r="T4" s="12"/>
      <c r="U4" s="550" t="s">
        <v>158</v>
      </c>
      <c r="V4" s="550"/>
      <c r="W4" s="550"/>
      <c r="X4" s="550"/>
      <c r="Y4" s="550"/>
      <c r="Z4" s="542" t="s">
        <v>932</v>
      </c>
      <c r="AA4" s="543"/>
      <c r="AB4" s="543"/>
      <c r="AC4" s="543"/>
      <c r="AD4" s="543"/>
      <c r="AE4" s="543"/>
      <c r="AF4" s="543"/>
      <c r="AG4" s="543"/>
      <c r="AH4" s="543"/>
      <c r="AI4" s="543"/>
      <c r="AJ4" s="543"/>
      <c r="AK4" s="543"/>
      <c r="AL4" s="543"/>
      <c r="AM4" s="543"/>
      <c r="AN4" s="544"/>
    </row>
    <row r="5" spans="1:40" x14ac:dyDescent="0.25">
      <c r="A5" s="539" t="s">
        <v>611</v>
      </c>
      <c r="B5" s="539"/>
      <c r="C5" s="539"/>
      <c r="D5" s="539"/>
      <c r="E5" s="539"/>
      <c r="F5" s="539"/>
      <c r="G5" s="539"/>
      <c r="H5" s="540" t="s">
        <v>1015</v>
      </c>
      <c r="I5" s="540"/>
      <c r="J5" s="540"/>
      <c r="K5" s="540"/>
      <c r="L5" s="540"/>
      <c r="M5" s="540"/>
      <c r="N5" s="540"/>
      <c r="O5" s="540"/>
      <c r="P5" s="540"/>
      <c r="Q5" s="540"/>
      <c r="R5" s="540"/>
      <c r="S5" s="540"/>
      <c r="T5" s="11"/>
      <c r="U5" s="538" t="s">
        <v>152</v>
      </c>
      <c r="V5" s="538"/>
      <c r="W5" s="538"/>
      <c r="X5" s="538"/>
      <c r="Y5" s="538"/>
      <c r="Z5" s="545" t="s">
        <v>1011</v>
      </c>
      <c r="AA5" s="546"/>
      <c r="AB5" s="546"/>
      <c r="AC5" s="546"/>
      <c r="AD5" s="546"/>
      <c r="AE5" s="546"/>
      <c r="AF5" s="546"/>
      <c r="AG5" s="546"/>
      <c r="AH5" s="546"/>
      <c r="AI5" s="546"/>
      <c r="AJ5" s="546"/>
      <c r="AK5" s="546"/>
      <c r="AL5" s="546"/>
      <c r="AM5" s="546"/>
      <c r="AN5" s="547"/>
    </row>
    <row r="6" spans="1:40" ht="15" customHeight="1" x14ac:dyDescent="0.25">
      <c r="A6" s="559" t="s">
        <v>1</v>
      </c>
      <c r="B6" s="559"/>
      <c r="C6" s="559"/>
      <c r="D6" s="559"/>
      <c r="E6" s="559"/>
      <c r="F6" s="559"/>
      <c r="G6" s="559"/>
      <c r="H6" s="560" t="s">
        <v>216</v>
      </c>
      <c r="I6" s="560"/>
      <c r="J6" s="560"/>
      <c r="K6" s="560"/>
      <c r="L6" s="560"/>
      <c r="M6" s="560"/>
      <c r="N6" s="560"/>
      <c r="O6" s="560"/>
      <c r="P6" s="560"/>
      <c r="Q6" s="560"/>
      <c r="R6" s="560"/>
      <c r="S6" s="560"/>
      <c r="T6" s="11"/>
      <c r="U6" s="541" t="s">
        <v>612</v>
      </c>
      <c r="V6" s="541"/>
      <c r="W6" s="541"/>
      <c r="X6" s="541"/>
      <c r="Y6" s="541"/>
      <c r="Z6" s="542" t="s">
        <v>933</v>
      </c>
      <c r="AA6" s="543"/>
      <c r="AB6" s="543"/>
      <c r="AC6" s="543"/>
      <c r="AD6" s="543"/>
      <c r="AE6" s="543"/>
      <c r="AF6" s="543"/>
      <c r="AG6" s="543"/>
      <c r="AH6" s="543"/>
      <c r="AI6" s="543"/>
      <c r="AJ6" s="543"/>
      <c r="AK6" s="543"/>
      <c r="AL6" s="543"/>
      <c r="AM6" s="543"/>
      <c r="AN6" s="544"/>
    </row>
    <row r="7" spans="1:40" ht="15" customHeight="1" x14ac:dyDescent="0.25">
      <c r="A7" s="559"/>
      <c r="B7" s="559"/>
      <c r="C7" s="559"/>
      <c r="D7" s="559"/>
      <c r="E7" s="559"/>
      <c r="F7" s="559"/>
      <c r="G7" s="559"/>
      <c r="H7" s="560"/>
      <c r="I7" s="560"/>
      <c r="J7" s="560"/>
      <c r="K7" s="560"/>
      <c r="L7" s="560"/>
      <c r="M7" s="560"/>
      <c r="N7" s="560"/>
      <c r="O7" s="560"/>
      <c r="P7" s="560"/>
      <c r="Q7" s="560"/>
      <c r="R7" s="560"/>
      <c r="S7" s="560"/>
      <c r="T7" s="11"/>
      <c r="U7" s="541" t="s">
        <v>31</v>
      </c>
      <c r="V7" s="541"/>
      <c r="W7" s="541"/>
      <c r="X7" s="541"/>
      <c r="Y7" s="541"/>
      <c r="Z7" s="542" t="s">
        <v>944</v>
      </c>
      <c r="AA7" s="543"/>
      <c r="AB7" s="543"/>
      <c r="AC7" s="543"/>
      <c r="AD7" s="543"/>
      <c r="AE7" s="543"/>
      <c r="AF7" s="543"/>
      <c r="AG7" s="543"/>
      <c r="AH7" s="543"/>
      <c r="AI7" s="543"/>
      <c r="AJ7" s="543"/>
      <c r="AK7" s="543"/>
      <c r="AL7" s="543"/>
      <c r="AM7" s="543"/>
      <c r="AN7" s="544"/>
    </row>
    <row r="8" spans="1:40" ht="15.75" customHeight="1" thickBot="1" x14ac:dyDescent="0.3">
      <c r="A8" s="559" t="s">
        <v>161</v>
      </c>
      <c r="B8" s="559"/>
      <c r="C8" s="559"/>
      <c r="D8" s="559"/>
      <c r="E8" s="559"/>
      <c r="F8" s="559"/>
      <c r="G8" s="559"/>
      <c r="H8" s="565" t="s">
        <v>186</v>
      </c>
      <c r="I8" s="565"/>
      <c r="J8" s="565"/>
      <c r="K8" s="565"/>
      <c r="L8" s="565"/>
      <c r="M8" s="565"/>
      <c r="N8" s="565"/>
      <c r="O8" s="565"/>
      <c r="P8" s="565">
        <v>2024</v>
      </c>
      <c r="Q8" s="565"/>
      <c r="R8" s="565"/>
      <c r="S8" s="565"/>
      <c r="T8" s="11"/>
      <c r="U8" s="558" t="s">
        <v>155</v>
      </c>
      <c r="V8" s="558"/>
      <c r="W8" s="558"/>
      <c r="X8" s="558"/>
      <c r="Y8" s="558"/>
      <c r="Z8" s="551" t="s">
        <v>943</v>
      </c>
      <c r="AA8" s="552"/>
      <c r="AB8" s="552"/>
      <c r="AC8" s="552"/>
      <c r="AD8" s="552"/>
      <c r="AE8" s="552"/>
      <c r="AF8" s="552"/>
      <c r="AG8" s="552"/>
      <c r="AH8" s="552"/>
      <c r="AI8" s="552"/>
      <c r="AJ8" s="552"/>
      <c r="AK8" s="552"/>
      <c r="AL8" s="552"/>
      <c r="AM8" s="552"/>
      <c r="AN8" s="553"/>
    </row>
    <row r="9" spans="1:40" ht="15.75" customHeight="1" thickTop="1" x14ac:dyDescent="0.25">
      <c r="A9" s="535" t="s">
        <v>765</v>
      </c>
      <c r="B9" s="536"/>
      <c r="C9" s="536"/>
      <c r="D9" s="536"/>
      <c r="E9" s="536"/>
      <c r="F9" s="536"/>
      <c r="G9" s="536"/>
      <c r="H9" s="536"/>
      <c r="I9" s="536"/>
      <c r="J9" s="536"/>
      <c r="K9" s="536"/>
      <c r="L9" s="536"/>
      <c r="M9" s="536"/>
      <c r="N9" s="536"/>
      <c r="O9" s="536"/>
      <c r="P9" s="536"/>
      <c r="Q9" s="536"/>
      <c r="R9" s="536"/>
      <c r="S9" s="536"/>
      <c r="T9" s="536"/>
      <c r="U9" s="536"/>
      <c r="V9" s="536"/>
      <c r="W9" s="536"/>
      <c r="X9" s="536"/>
      <c r="Y9" s="536"/>
      <c r="Z9" s="561"/>
      <c r="AA9" s="561"/>
      <c r="AB9" s="561"/>
      <c r="AC9" s="561"/>
      <c r="AD9" s="561"/>
      <c r="AE9" s="561"/>
      <c r="AF9" s="561"/>
      <c r="AG9" s="561"/>
      <c r="AH9" s="561"/>
      <c r="AI9" s="561"/>
      <c r="AJ9" s="561"/>
      <c r="AK9" s="562"/>
      <c r="AL9" s="1"/>
      <c r="AM9" s="1"/>
      <c r="AN9" s="1"/>
    </row>
    <row r="10" spans="1:40" ht="39.950000000000003" customHeight="1" x14ac:dyDescent="0.25">
      <c r="A10" s="524" t="s">
        <v>15</v>
      </c>
      <c r="B10" s="525"/>
      <c r="C10" s="526" t="s">
        <v>945</v>
      </c>
      <c r="D10" s="527"/>
      <c r="E10" s="527"/>
      <c r="F10" s="521" t="s">
        <v>645</v>
      </c>
      <c r="G10" s="522"/>
      <c r="H10" s="522"/>
      <c r="I10" s="523"/>
      <c r="J10" s="521" t="s">
        <v>902</v>
      </c>
      <c r="K10" s="522"/>
      <c r="L10" s="522"/>
      <c r="M10" s="523"/>
      <c r="N10" s="518" t="s">
        <v>903</v>
      </c>
      <c r="O10" s="519"/>
      <c r="P10" s="519"/>
      <c r="Q10" s="519"/>
      <c r="R10" s="519"/>
      <c r="S10" s="520"/>
      <c r="T10" s="2"/>
      <c r="U10" s="524" t="s">
        <v>15</v>
      </c>
      <c r="V10" s="525"/>
      <c r="W10" s="526" t="s">
        <v>945</v>
      </c>
      <c r="X10" s="527"/>
      <c r="Y10" s="527"/>
      <c r="Z10" s="521" t="s">
        <v>645</v>
      </c>
      <c r="AA10" s="522"/>
      <c r="AB10" s="522"/>
      <c r="AC10" s="523"/>
      <c r="AD10" s="521" t="s">
        <v>902</v>
      </c>
      <c r="AE10" s="522"/>
      <c r="AF10" s="522"/>
      <c r="AG10" s="523"/>
      <c r="AH10" s="518" t="s">
        <v>903</v>
      </c>
      <c r="AI10" s="519"/>
      <c r="AJ10" s="519"/>
      <c r="AK10" s="519"/>
      <c r="AL10" s="519"/>
      <c r="AM10" s="519"/>
      <c r="AN10" s="520"/>
    </row>
    <row r="11" spans="1:40" ht="15.75" customHeight="1" x14ac:dyDescent="0.25">
      <c r="A11" s="511">
        <v>1</v>
      </c>
      <c r="B11" s="512"/>
      <c r="C11" s="513"/>
      <c r="D11" s="514"/>
      <c r="E11" s="514"/>
      <c r="F11" s="515"/>
      <c r="G11" s="516"/>
      <c r="H11" s="516"/>
      <c r="I11" s="517"/>
      <c r="J11" s="515"/>
      <c r="K11" s="516"/>
      <c r="L11" s="516"/>
      <c r="M11" s="517"/>
      <c r="N11" s="508"/>
      <c r="O11" s="509"/>
      <c r="P11" s="509"/>
      <c r="Q11" s="509"/>
      <c r="R11" s="509"/>
      <c r="S11" s="510"/>
      <c r="T11" s="2"/>
      <c r="U11" s="511">
        <v>9</v>
      </c>
      <c r="V11" s="512"/>
      <c r="W11" s="513"/>
      <c r="X11" s="514"/>
      <c r="Y11" s="514"/>
      <c r="Z11" s="515"/>
      <c r="AA11" s="516"/>
      <c r="AB11" s="516"/>
      <c r="AC11" s="517"/>
      <c r="AD11" s="515"/>
      <c r="AE11" s="516"/>
      <c r="AF11" s="516"/>
      <c r="AG11" s="517"/>
      <c r="AH11" s="508"/>
      <c r="AI11" s="509"/>
      <c r="AJ11" s="509"/>
      <c r="AK11" s="509"/>
      <c r="AL11" s="509"/>
      <c r="AM11" s="509"/>
      <c r="AN11" s="510"/>
    </row>
    <row r="12" spans="1:40" ht="15.75" customHeight="1" x14ac:dyDescent="0.25">
      <c r="A12" s="511">
        <v>2</v>
      </c>
      <c r="B12" s="512"/>
      <c r="C12" s="513"/>
      <c r="D12" s="514"/>
      <c r="E12" s="514"/>
      <c r="F12" s="515"/>
      <c r="G12" s="516"/>
      <c r="H12" s="516"/>
      <c r="I12" s="517"/>
      <c r="J12" s="515"/>
      <c r="K12" s="516"/>
      <c r="L12" s="516"/>
      <c r="M12" s="517"/>
      <c r="N12" s="508"/>
      <c r="O12" s="509"/>
      <c r="P12" s="509"/>
      <c r="Q12" s="509"/>
      <c r="R12" s="509"/>
      <c r="S12" s="510"/>
      <c r="T12" s="2"/>
      <c r="U12" s="511">
        <v>10</v>
      </c>
      <c r="V12" s="512"/>
      <c r="W12" s="513"/>
      <c r="X12" s="514"/>
      <c r="Y12" s="514"/>
      <c r="Z12" s="515"/>
      <c r="AA12" s="516"/>
      <c r="AB12" s="516"/>
      <c r="AC12" s="517"/>
      <c r="AD12" s="515"/>
      <c r="AE12" s="516"/>
      <c r="AF12" s="516"/>
      <c r="AG12" s="517"/>
      <c r="AH12" s="508"/>
      <c r="AI12" s="509"/>
      <c r="AJ12" s="509"/>
      <c r="AK12" s="509"/>
      <c r="AL12" s="509"/>
      <c r="AM12" s="509"/>
      <c r="AN12" s="510"/>
    </row>
    <row r="13" spans="1:40" ht="15.75" customHeight="1" x14ac:dyDescent="0.25">
      <c r="A13" s="511">
        <v>3</v>
      </c>
      <c r="B13" s="512"/>
      <c r="C13" s="513"/>
      <c r="D13" s="514"/>
      <c r="E13" s="514"/>
      <c r="F13" s="515"/>
      <c r="G13" s="516"/>
      <c r="H13" s="516"/>
      <c r="I13" s="517"/>
      <c r="J13" s="515"/>
      <c r="K13" s="516"/>
      <c r="L13" s="516"/>
      <c r="M13" s="517"/>
      <c r="N13" s="508"/>
      <c r="O13" s="509"/>
      <c r="P13" s="509"/>
      <c r="Q13" s="509"/>
      <c r="R13" s="509"/>
      <c r="S13" s="510"/>
      <c r="T13" s="2"/>
      <c r="U13" s="511">
        <v>11</v>
      </c>
      <c r="V13" s="512"/>
      <c r="W13" s="513"/>
      <c r="X13" s="514"/>
      <c r="Y13" s="514"/>
      <c r="Z13" s="515"/>
      <c r="AA13" s="516"/>
      <c r="AB13" s="516"/>
      <c r="AC13" s="517"/>
      <c r="AD13" s="515"/>
      <c r="AE13" s="516"/>
      <c r="AF13" s="516"/>
      <c r="AG13" s="517"/>
      <c r="AH13" s="508"/>
      <c r="AI13" s="509"/>
      <c r="AJ13" s="509"/>
      <c r="AK13" s="509"/>
      <c r="AL13" s="509"/>
      <c r="AM13" s="509"/>
      <c r="AN13" s="510"/>
    </row>
    <row r="14" spans="1:40" ht="15.75" customHeight="1" x14ac:dyDescent="0.25">
      <c r="A14" s="511">
        <v>4</v>
      </c>
      <c r="B14" s="512"/>
      <c r="C14" s="513"/>
      <c r="D14" s="514"/>
      <c r="E14" s="514"/>
      <c r="F14" s="515"/>
      <c r="G14" s="516"/>
      <c r="H14" s="516"/>
      <c r="I14" s="517"/>
      <c r="J14" s="515"/>
      <c r="K14" s="516"/>
      <c r="L14" s="516"/>
      <c r="M14" s="517"/>
      <c r="N14" s="508"/>
      <c r="O14" s="509"/>
      <c r="P14" s="509"/>
      <c r="Q14" s="509"/>
      <c r="R14" s="509"/>
      <c r="S14" s="510"/>
      <c r="T14" s="2"/>
      <c r="U14" s="511">
        <v>12</v>
      </c>
      <c r="V14" s="512"/>
      <c r="W14" s="513"/>
      <c r="X14" s="514"/>
      <c r="Y14" s="514"/>
      <c r="Z14" s="515"/>
      <c r="AA14" s="516"/>
      <c r="AB14" s="516"/>
      <c r="AC14" s="517"/>
      <c r="AD14" s="515"/>
      <c r="AE14" s="516"/>
      <c r="AF14" s="516"/>
      <c r="AG14" s="517"/>
      <c r="AH14" s="508"/>
      <c r="AI14" s="509"/>
      <c r="AJ14" s="509"/>
      <c r="AK14" s="509"/>
      <c r="AL14" s="509"/>
      <c r="AM14" s="509"/>
      <c r="AN14" s="510"/>
    </row>
    <row r="15" spans="1:40" ht="15.75" customHeight="1" x14ac:dyDescent="0.25">
      <c r="A15" s="511">
        <v>5</v>
      </c>
      <c r="B15" s="512"/>
      <c r="C15" s="513"/>
      <c r="D15" s="514"/>
      <c r="E15" s="514"/>
      <c r="F15" s="515"/>
      <c r="G15" s="516"/>
      <c r="H15" s="516"/>
      <c r="I15" s="517"/>
      <c r="J15" s="515"/>
      <c r="K15" s="516"/>
      <c r="L15" s="516"/>
      <c r="M15" s="517"/>
      <c r="N15" s="508"/>
      <c r="O15" s="509"/>
      <c r="P15" s="509"/>
      <c r="Q15" s="509"/>
      <c r="R15" s="509"/>
      <c r="S15" s="510"/>
      <c r="T15" s="2"/>
      <c r="U15" s="511">
        <v>13</v>
      </c>
      <c r="V15" s="512"/>
      <c r="W15" s="513"/>
      <c r="X15" s="514"/>
      <c r="Y15" s="514"/>
      <c r="Z15" s="515"/>
      <c r="AA15" s="516"/>
      <c r="AB15" s="516"/>
      <c r="AC15" s="517"/>
      <c r="AD15" s="515"/>
      <c r="AE15" s="516"/>
      <c r="AF15" s="516"/>
      <c r="AG15" s="517"/>
      <c r="AH15" s="508"/>
      <c r="AI15" s="509"/>
      <c r="AJ15" s="509"/>
      <c r="AK15" s="509"/>
      <c r="AL15" s="509"/>
      <c r="AM15" s="509"/>
      <c r="AN15" s="510"/>
    </row>
    <row r="16" spans="1:40" ht="15.75" customHeight="1" x14ac:dyDescent="0.25">
      <c r="A16" s="511">
        <v>6</v>
      </c>
      <c r="B16" s="512"/>
      <c r="C16" s="513"/>
      <c r="D16" s="514"/>
      <c r="E16" s="514"/>
      <c r="F16" s="515"/>
      <c r="G16" s="516"/>
      <c r="H16" s="516"/>
      <c r="I16" s="517"/>
      <c r="J16" s="515"/>
      <c r="K16" s="516"/>
      <c r="L16" s="516"/>
      <c r="M16" s="517"/>
      <c r="N16" s="508"/>
      <c r="O16" s="509"/>
      <c r="P16" s="509"/>
      <c r="Q16" s="509"/>
      <c r="R16" s="509"/>
      <c r="S16" s="510"/>
      <c r="T16" s="2"/>
      <c r="U16" s="511">
        <v>14</v>
      </c>
      <c r="V16" s="512"/>
      <c r="W16" s="513"/>
      <c r="X16" s="514"/>
      <c r="Y16" s="514"/>
      <c r="Z16" s="515"/>
      <c r="AA16" s="516"/>
      <c r="AB16" s="516"/>
      <c r="AC16" s="517"/>
      <c r="AD16" s="515"/>
      <c r="AE16" s="516"/>
      <c r="AF16" s="516"/>
      <c r="AG16" s="517"/>
      <c r="AH16" s="508"/>
      <c r="AI16" s="509"/>
      <c r="AJ16" s="509"/>
      <c r="AK16" s="509"/>
      <c r="AL16" s="509"/>
      <c r="AM16" s="509"/>
      <c r="AN16" s="510"/>
    </row>
    <row r="17" spans="1:40" ht="15.75" customHeight="1" x14ac:dyDescent="0.25">
      <c r="A17" s="511">
        <v>7</v>
      </c>
      <c r="B17" s="512"/>
      <c r="C17" s="513"/>
      <c r="D17" s="514"/>
      <c r="E17" s="514"/>
      <c r="F17" s="515"/>
      <c r="G17" s="516"/>
      <c r="H17" s="516"/>
      <c r="I17" s="517"/>
      <c r="J17" s="515"/>
      <c r="K17" s="516"/>
      <c r="L17" s="516"/>
      <c r="M17" s="517"/>
      <c r="N17" s="508"/>
      <c r="O17" s="509"/>
      <c r="P17" s="509"/>
      <c r="Q17" s="509"/>
      <c r="R17" s="509"/>
      <c r="S17" s="510"/>
      <c r="T17" s="2"/>
      <c r="U17" s="511">
        <v>15</v>
      </c>
      <c r="V17" s="512"/>
      <c r="W17" s="513"/>
      <c r="X17" s="514"/>
      <c r="Y17" s="514"/>
      <c r="Z17" s="515"/>
      <c r="AA17" s="516"/>
      <c r="AB17" s="516"/>
      <c r="AC17" s="517"/>
      <c r="AD17" s="515"/>
      <c r="AE17" s="516"/>
      <c r="AF17" s="516"/>
      <c r="AG17" s="517"/>
      <c r="AH17" s="508"/>
      <c r="AI17" s="509"/>
      <c r="AJ17" s="509"/>
      <c r="AK17" s="509"/>
      <c r="AL17" s="509"/>
      <c r="AM17" s="509"/>
      <c r="AN17" s="510"/>
    </row>
    <row r="18" spans="1:40" ht="15.75" customHeight="1" x14ac:dyDescent="0.25">
      <c r="A18" s="511">
        <v>8</v>
      </c>
      <c r="B18" s="512"/>
      <c r="C18" s="513"/>
      <c r="D18" s="514"/>
      <c r="E18" s="514"/>
      <c r="F18" s="515"/>
      <c r="G18" s="516"/>
      <c r="H18" s="516"/>
      <c r="I18" s="517"/>
      <c r="J18" s="515"/>
      <c r="K18" s="516"/>
      <c r="L18" s="516"/>
      <c r="M18" s="517"/>
      <c r="N18" s="508"/>
      <c r="O18" s="509"/>
      <c r="P18" s="509"/>
      <c r="Q18" s="509"/>
      <c r="R18" s="509"/>
      <c r="S18" s="510"/>
      <c r="T18" s="2"/>
      <c r="U18" s="511">
        <v>16</v>
      </c>
      <c r="V18" s="512"/>
      <c r="W18" s="513"/>
      <c r="X18" s="514"/>
      <c r="Y18" s="514"/>
      <c r="Z18" s="515"/>
      <c r="AA18" s="516"/>
      <c r="AB18" s="516"/>
      <c r="AC18" s="517"/>
      <c r="AD18" s="515"/>
      <c r="AE18" s="516"/>
      <c r="AF18" s="516"/>
      <c r="AG18" s="517"/>
      <c r="AH18" s="508"/>
      <c r="AI18" s="509"/>
      <c r="AJ18" s="509"/>
      <c r="AK18" s="509"/>
      <c r="AL18" s="509"/>
      <c r="AM18" s="509"/>
      <c r="AN18" s="510"/>
    </row>
    <row r="19" spans="1:40" ht="15.75" customHeight="1" x14ac:dyDescent="0.25">
      <c r="A19" s="554" t="s">
        <v>767</v>
      </c>
      <c r="B19" s="555"/>
      <c r="C19" s="555"/>
      <c r="D19" s="555"/>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555"/>
      <c r="AG19" s="555"/>
      <c r="AH19" s="555"/>
      <c r="AI19" s="555"/>
      <c r="AJ19" s="555"/>
      <c r="AK19" s="555"/>
      <c r="AL19" s="555"/>
      <c r="AM19" s="555"/>
      <c r="AN19" s="555"/>
    </row>
    <row r="20" spans="1:40" ht="15.75" customHeight="1" x14ac:dyDescent="0.25">
      <c r="A20" s="344" t="s">
        <v>1013</v>
      </c>
      <c r="B20" s="345"/>
      <c r="C20" s="530" t="s">
        <v>768</v>
      </c>
      <c r="D20" s="530"/>
      <c r="E20" s="530"/>
      <c r="F20" s="530"/>
      <c r="G20" s="530"/>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c r="AG20" s="530"/>
      <c r="AH20" s="530"/>
      <c r="AI20" s="530"/>
      <c r="AJ20" s="530"/>
      <c r="AK20" s="530"/>
      <c r="AL20" s="530"/>
      <c r="AM20" s="530"/>
      <c r="AN20" s="530"/>
    </row>
    <row r="21" spans="1:40" ht="15.75" customHeight="1" x14ac:dyDescent="0.25">
      <c r="A21" s="346" t="s">
        <v>1014</v>
      </c>
      <c r="B21" s="347"/>
      <c r="C21" s="563" t="s">
        <v>159</v>
      </c>
      <c r="D21" s="563"/>
      <c r="E21" s="563"/>
      <c r="F21" s="563"/>
      <c r="G21" s="563"/>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row>
    <row r="22" spans="1:40" ht="15.75" customHeight="1" x14ac:dyDescent="0.25">
      <c r="A22" s="346"/>
      <c r="B22" s="347"/>
      <c r="C22" s="563"/>
      <c r="D22" s="563"/>
      <c r="E22" s="563"/>
      <c r="F22" s="563"/>
      <c r="G22" s="563"/>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row>
    <row r="23" spans="1:40" ht="15.75" customHeight="1" x14ac:dyDescent="0.25">
      <c r="A23" s="346"/>
      <c r="B23" s="347"/>
      <c r="C23" s="563"/>
      <c r="D23" s="563"/>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row>
    <row r="24" spans="1:40" ht="15.75" customHeight="1" x14ac:dyDescent="0.25">
      <c r="A24" s="346"/>
      <c r="B24" s="347"/>
      <c r="C24" s="563"/>
      <c r="D24" s="563"/>
      <c r="E24" s="563"/>
      <c r="F24" s="563"/>
      <c r="G24" s="563"/>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row>
    <row r="25" spans="1:40" ht="15.75" customHeight="1" thickBot="1" x14ac:dyDescent="0.3">
      <c r="A25" s="346"/>
      <c r="B25" s="347"/>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row>
    <row r="26" spans="1:40" ht="30" customHeight="1" thickTop="1" x14ac:dyDescent="0.25">
      <c r="A26" s="348" t="s">
        <v>1013</v>
      </c>
      <c r="B26" s="349"/>
      <c r="C26" s="530" t="s">
        <v>768</v>
      </c>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0"/>
      <c r="AK26" s="530"/>
      <c r="AL26" s="530"/>
      <c r="AM26" s="530"/>
      <c r="AN26" s="530"/>
    </row>
    <row r="27" spans="1:40" x14ac:dyDescent="0.25">
      <c r="A27" s="350" t="s">
        <v>766</v>
      </c>
      <c r="B27" s="351"/>
      <c r="C27" s="531" t="s">
        <v>159</v>
      </c>
      <c r="D27" s="531"/>
      <c r="E27" s="531"/>
      <c r="F27" s="531"/>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row>
    <row r="28" spans="1:40" x14ac:dyDescent="0.25">
      <c r="A28" s="350"/>
      <c r="B28" s="351"/>
      <c r="C28" s="531"/>
      <c r="D28" s="531"/>
      <c r="E28" s="531"/>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row>
    <row r="29" spans="1:40" x14ac:dyDescent="0.25">
      <c r="A29" s="350"/>
      <c r="B29" s="351"/>
      <c r="C29" s="531"/>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row>
    <row r="30" spans="1:40" x14ac:dyDescent="0.25">
      <c r="A30" s="350"/>
      <c r="B30" s="351"/>
      <c r="C30" s="531"/>
      <c r="D30" s="531"/>
      <c r="E30" s="531"/>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row>
    <row r="31" spans="1:40" ht="15.75" thickBot="1" x14ac:dyDescent="0.3">
      <c r="A31" s="350"/>
      <c r="B31" s="351"/>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c r="AM31" s="532"/>
      <c r="AN31" s="532"/>
    </row>
    <row r="32" spans="1:40" ht="30" customHeight="1" thickTop="1" x14ac:dyDescent="0.25">
      <c r="A32" s="352" t="s">
        <v>1013</v>
      </c>
      <c r="B32" s="353"/>
      <c r="C32" s="530" t="s">
        <v>768</v>
      </c>
      <c r="D32" s="530"/>
      <c r="E32" s="530"/>
      <c r="F32" s="530"/>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row>
    <row r="33" spans="1:40" x14ac:dyDescent="0.25">
      <c r="A33" s="354" t="s">
        <v>35</v>
      </c>
      <c r="B33" s="355"/>
      <c r="C33" s="528" t="s">
        <v>159</v>
      </c>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row>
    <row r="34" spans="1:40" x14ac:dyDescent="0.25">
      <c r="A34" s="354"/>
      <c r="B34" s="355"/>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8"/>
      <c r="AN34" s="528"/>
    </row>
    <row r="35" spans="1:40" x14ac:dyDescent="0.25">
      <c r="A35" s="354"/>
      <c r="B35" s="355"/>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row>
    <row r="36" spans="1:40" x14ac:dyDescent="0.25">
      <c r="A36" s="354"/>
      <c r="B36" s="355"/>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row>
    <row r="37" spans="1:40" ht="15.75" thickBot="1" x14ac:dyDescent="0.3">
      <c r="A37" s="354"/>
      <c r="B37" s="355"/>
      <c r="C37" s="529"/>
      <c r="D37" s="529"/>
      <c r="E37" s="529"/>
      <c r="F37" s="529"/>
      <c r="G37" s="529"/>
      <c r="H37" s="529"/>
      <c r="I37" s="529"/>
      <c r="J37" s="529"/>
      <c r="K37" s="529"/>
      <c r="L37" s="529"/>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c r="AN37" s="529"/>
    </row>
    <row r="38" spans="1:40" ht="30" customHeight="1" thickTop="1" x14ac:dyDescent="0.25">
      <c r="A38" s="348" t="s">
        <v>1013</v>
      </c>
      <c r="B38" s="349"/>
      <c r="C38" s="530" t="s">
        <v>768</v>
      </c>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row>
    <row r="39" spans="1:40" x14ac:dyDescent="0.25">
      <c r="A39" s="350" t="s">
        <v>36</v>
      </c>
      <c r="B39" s="351"/>
      <c r="C39" s="531" t="s">
        <v>212</v>
      </c>
      <c r="D39" s="531"/>
      <c r="E39" s="531"/>
      <c r="F39" s="531"/>
      <c r="G39" s="531"/>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531"/>
      <c r="AJ39" s="531"/>
      <c r="AK39" s="531"/>
      <c r="AL39" s="531"/>
      <c r="AM39" s="531"/>
      <c r="AN39" s="531"/>
    </row>
    <row r="40" spans="1:40" x14ac:dyDescent="0.25">
      <c r="A40" s="350"/>
      <c r="B40" s="351"/>
      <c r="C40" s="531"/>
      <c r="D40" s="531"/>
      <c r="E40" s="531"/>
      <c r="F40" s="531"/>
      <c r="G40" s="531"/>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row>
    <row r="41" spans="1:40" x14ac:dyDescent="0.25">
      <c r="A41" s="350"/>
      <c r="B41" s="351"/>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row>
    <row r="42" spans="1:40" x14ac:dyDescent="0.25">
      <c r="A42" s="350"/>
      <c r="B42" s="351"/>
      <c r="C42" s="531"/>
      <c r="D42" s="531"/>
      <c r="E42" s="531"/>
      <c r="F42" s="531"/>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row>
    <row r="43" spans="1:40" ht="15.75" thickBot="1" x14ac:dyDescent="0.3">
      <c r="A43" s="350"/>
      <c r="B43" s="351"/>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row>
    <row r="44" spans="1:40" ht="30" customHeight="1" thickTop="1" x14ac:dyDescent="0.25">
      <c r="A44" s="352" t="s">
        <v>1016</v>
      </c>
      <c r="B44" s="353"/>
      <c r="C44" s="530" t="s">
        <v>768</v>
      </c>
      <c r="D44" s="530"/>
      <c r="E44" s="530"/>
      <c r="F44" s="530"/>
      <c r="G44" s="530"/>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row>
    <row r="45" spans="1:40" x14ac:dyDescent="0.25">
      <c r="A45" s="354" t="s">
        <v>37</v>
      </c>
      <c r="B45" s="355"/>
      <c r="C45" s="528" t="s">
        <v>212</v>
      </c>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row>
    <row r="46" spans="1:40" x14ac:dyDescent="0.25">
      <c r="A46" s="354"/>
      <c r="B46" s="355"/>
      <c r="C46" s="528"/>
      <c r="D46" s="528"/>
      <c r="E46" s="528"/>
      <c r="F46" s="528"/>
      <c r="G46" s="528"/>
      <c r="H46" s="528"/>
      <c r="I46" s="528"/>
      <c r="J46" s="528"/>
      <c r="K46" s="528"/>
      <c r="L46" s="528"/>
      <c r="M46" s="528"/>
      <c r="N46" s="528"/>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8"/>
      <c r="AM46" s="528"/>
      <c r="AN46" s="528"/>
    </row>
    <row r="47" spans="1:40" x14ac:dyDescent="0.25">
      <c r="A47" s="354"/>
      <c r="B47" s="355"/>
      <c r="C47" s="528"/>
      <c r="D47" s="528"/>
      <c r="E47" s="528"/>
      <c r="F47" s="528"/>
      <c r="G47" s="528"/>
      <c r="H47" s="528"/>
      <c r="I47" s="528"/>
      <c r="J47" s="528"/>
      <c r="K47" s="528"/>
      <c r="L47" s="528"/>
      <c r="M47" s="528"/>
      <c r="N47" s="528"/>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row>
    <row r="48" spans="1:40" x14ac:dyDescent="0.25">
      <c r="A48" s="354"/>
      <c r="B48" s="355"/>
      <c r="C48" s="528"/>
      <c r="D48" s="528"/>
      <c r="E48" s="528"/>
      <c r="F48" s="528"/>
      <c r="G48" s="528"/>
      <c r="H48" s="528"/>
      <c r="I48" s="528"/>
      <c r="J48" s="528"/>
      <c r="K48" s="528"/>
      <c r="L48" s="528"/>
      <c r="M48" s="528"/>
      <c r="N48" s="528"/>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row>
    <row r="49" spans="1:40" ht="15.75" thickBot="1" x14ac:dyDescent="0.3">
      <c r="A49" s="354"/>
      <c r="B49" s="355"/>
      <c r="C49" s="529"/>
      <c r="D49" s="529"/>
      <c r="E49" s="529"/>
      <c r="F49" s="529"/>
      <c r="G49" s="529"/>
      <c r="H49" s="529"/>
      <c r="I49" s="529"/>
      <c r="J49" s="529"/>
      <c r="K49" s="529"/>
      <c r="L49" s="529"/>
      <c r="M49" s="529"/>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c r="AL49" s="529"/>
      <c r="AM49" s="529"/>
      <c r="AN49" s="529"/>
    </row>
    <row r="50" spans="1:40" ht="30" customHeight="1" thickTop="1" x14ac:dyDescent="0.25">
      <c r="A50" s="348" t="s">
        <v>1016</v>
      </c>
      <c r="B50" s="349"/>
      <c r="C50" s="530" t="s">
        <v>768</v>
      </c>
      <c r="D50" s="530"/>
      <c r="E50" s="530"/>
      <c r="F50" s="53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c r="AN50" s="530"/>
    </row>
    <row r="51" spans="1:40" x14ac:dyDescent="0.25">
      <c r="A51" s="350" t="s">
        <v>38</v>
      </c>
      <c r="B51" s="351"/>
      <c r="C51" s="531" t="s">
        <v>212</v>
      </c>
      <c r="D51" s="531"/>
      <c r="E51" s="531"/>
      <c r="F51" s="531"/>
      <c r="G51" s="531"/>
      <c r="H51" s="531"/>
      <c r="I51" s="531"/>
      <c r="J51" s="531"/>
      <c r="K51" s="531"/>
      <c r="L51" s="531"/>
      <c r="M51" s="531"/>
      <c r="N51" s="531"/>
      <c r="O51" s="531"/>
      <c r="P51" s="531"/>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row>
    <row r="52" spans="1:40" x14ac:dyDescent="0.25">
      <c r="A52" s="350"/>
      <c r="B52" s="351"/>
      <c r="C52" s="531"/>
      <c r="D52" s="531"/>
      <c r="E52" s="531"/>
      <c r="F52" s="531"/>
      <c r="G52" s="531"/>
      <c r="H52" s="531"/>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row>
    <row r="53" spans="1:40" x14ac:dyDescent="0.25">
      <c r="A53" s="350"/>
      <c r="B53" s="351"/>
      <c r="C53" s="531"/>
      <c r="D53" s="531"/>
      <c r="E53" s="531"/>
      <c r="F53" s="531"/>
      <c r="G53" s="531"/>
      <c r="H53" s="531"/>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1"/>
      <c r="AH53" s="531"/>
      <c r="AI53" s="531"/>
      <c r="AJ53" s="531"/>
      <c r="AK53" s="531"/>
      <c r="AL53" s="531"/>
      <c r="AM53" s="531"/>
      <c r="AN53" s="531"/>
    </row>
    <row r="54" spans="1:40" x14ac:dyDescent="0.25">
      <c r="A54" s="350"/>
      <c r="B54" s="351"/>
      <c r="C54" s="531"/>
      <c r="D54" s="531"/>
      <c r="E54" s="531"/>
      <c r="F54" s="531"/>
      <c r="G54" s="531"/>
      <c r="H54" s="531"/>
      <c r="I54" s="531"/>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31"/>
      <c r="AH54" s="531"/>
      <c r="AI54" s="531"/>
      <c r="AJ54" s="531"/>
      <c r="AK54" s="531"/>
      <c r="AL54" s="531"/>
      <c r="AM54" s="531"/>
      <c r="AN54" s="531"/>
    </row>
    <row r="55" spans="1:40" ht="15.75" thickBot="1" x14ac:dyDescent="0.3">
      <c r="A55" s="350"/>
      <c r="B55" s="351"/>
      <c r="C55" s="532"/>
      <c r="D55" s="532"/>
      <c r="E55" s="532"/>
      <c r="F55" s="532"/>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c r="AM55" s="532"/>
      <c r="AN55" s="532"/>
    </row>
    <row r="56" spans="1:40" ht="30" customHeight="1" thickTop="1" x14ac:dyDescent="0.25">
      <c r="A56" s="352" t="s">
        <v>1016</v>
      </c>
      <c r="B56" s="353"/>
      <c r="C56" s="530" t="s">
        <v>768</v>
      </c>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row>
    <row r="57" spans="1:40" x14ac:dyDescent="0.25">
      <c r="A57" s="354" t="s">
        <v>39</v>
      </c>
      <c r="B57" s="355"/>
      <c r="C57" s="528" t="s">
        <v>159</v>
      </c>
      <c r="D57" s="528"/>
      <c r="E57" s="528"/>
      <c r="F57" s="528"/>
      <c r="G57" s="528"/>
      <c r="H57" s="528"/>
      <c r="I57" s="528"/>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8"/>
    </row>
    <row r="58" spans="1:40" x14ac:dyDescent="0.25">
      <c r="A58" s="354"/>
      <c r="B58" s="355"/>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row>
    <row r="59" spans="1:40" x14ac:dyDescent="0.25">
      <c r="A59" s="354"/>
      <c r="B59" s="355"/>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row>
    <row r="60" spans="1:40" x14ac:dyDescent="0.25">
      <c r="A60" s="354"/>
      <c r="B60" s="355"/>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row>
    <row r="61" spans="1:40" ht="15.75" thickBot="1" x14ac:dyDescent="0.3">
      <c r="A61" s="354"/>
      <c r="B61" s="355"/>
      <c r="C61" s="529"/>
      <c r="D61" s="529"/>
      <c r="E61" s="529"/>
      <c r="F61" s="529"/>
      <c r="G61" s="529"/>
      <c r="H61" s="529"/>
      <c r="I61" s="529"/>
      <c r="J61" s="529"/>
      <c r="K61" s="529"/>
      <c r="L61" s="529"/>
      <c r="M61" s="529"/>
      <c r="N61" s="529"/>
      <c r="O61" s="529"/>
      <c r="P61" s="529"/>
      <c r="Q61" s="529"/>
      <c r="R61" s="529"/>
      <c r="S61" s="529"/>
      <c r="T61" s="529"/>
      <c r="U61" s="529"/>
      <c r="V61" s="529"/>
      <c r="W61" s="529"/>
      <c r="X61" s="529"/>
      <c r="Y61" s="529"/>
      <c r="Z61" s="529"/>
      <c r="AA61" s="529"/>
      <c r="AB61" s="529"/>
      <c r="AC61" s="529"/>
      <c r="AD61" s="529"/>
      <c r="AE61" s="529"/>
      <c r="AF61" s="529"/>
      <c r="AG61" s="529"/>
      <c r="AH61" s="529"/>
      <c r="AI61" s="529"/>
      <c r="AJ61" s="529"/>
      <c r="AK61" s="529"/>
      <c r="AL61" s="529"/>
      <c r="AM61" s="529"/>
      <c r="AN61" s="529"/>
    </row>
    <row r="62" spans="1:40" ht="30" customHeight="1" thickTop="1" x14ac:dyDescent="0.25">
      <c r="A62" s="348" t="s">
        <v>1016</v>
      </c>
      <c r="B62" s="349"/>
      <c r="C62" s="530" t="s">
        <v>768</v>
      </c>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row>
    <row r="63" spans="1:40" x14ac:dyDescent="0.25">
      <c r="A63" s="350" t="s">
        <v>14</v>
      </c>
      <c r="B63" s="351"/>
      <c r="C63" s="531" t="s">
        <v>159</v>
      </c>
      <c r="D63" s="531"/>
      <c r="E63" s="531"/>
      <c r="F63" s="531"/>
      <c r="G63" s="531"/>
      <c r="H63" s="531"/>
      <c r="I63" s="531"/>
      <c r="J63" s="531"/>
      <c r="K63" s="531"/>
      <c r="L63" s="531"/>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row>
    <row r="64" spans="1:40" x14ac:dyDescent="0.25">
      <c r="A64" s="350"/>
      <c r="B64" s="351"/>
      <c r="C64" s="531"/>
      <c r="D64" s="531"/>
      <c r="E64" s="531"/>
      <c r="F64" s="531"/>
      <c r="G64" s="531"/>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row>
    <row r="65" spans="1:40" x14ac:dyDescent="0.25">
      <c r="A65" s="350"/>
      <c r="B65" s="351"/>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row>
    <row r="66" spans="1:40" x14ac:dyDescent="0.25">
      <c r="A66" s="350"/>
      <c r="B66" s="351"/>
      <c r="C66" s="531"/>
      <c r="D66" s="531"/>
      <c r="E66" s="531"/>
      <c r="F66" s="531"/>
      <c r="G66" s="531"/>
      <c r="H66" s="531"/>
      <c r="I66" s="531"/>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531"/>
      <c r="AI66" s="531"/>
      <c r="AJ66" s="531"/>
      <c r="AK66" s="531"/>
      <c r="AL66" s="531"/>
      <c r="AM66" s="531"/>
      <c r="AN66" s="531"/>
    </row>
    <row r="67" spans="1:40" ht="15.75" thickBot="1" x14ac:dyDescent="0.3">
      <c r="A67" s="350"/>
      <c r="B67" s="351"/>
      <c r="C67" s="532"/>
      <c r="D67" s="532"/>
      <c r="E67" s="532"/>
      <c r="F67" s="532"/>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c r="AM67" s="532"/>
      <c r="AN67" s="532"/>
    </row>
    <row r="68" spans="1:40" ht="30" customHeight="1" thickTop="1" x14ac:dyDescent="0.25">
      <c r="A68" s="352" t="s">
        <v>1016</v>
      </c>
      <c r="B68" s="353"/>
      <c r="C68" s="530" t="s">
        <v>768</v>
      </c>
      <c r="D68" s="530"/>
      <c r="E68" s="530"/>
      <c r="F68" s="530"/>
      <c r="G68" s="530"/>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row>
    <row r="69" spans="1:40" x14ac:dyDescent="0.25">
      <c r="A69" s="354" t="s">
        <v>764</v>
      </c>
      <c r="B69" s="355"/>
      <c r="C69" s="528" t="s">
        <v>159</v>
      </c>
      <c r="D69" s="528"/>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c r="AN69" s="528"/>
    </row>
    <row r="70" spans="1:40" x14ac:dyDescent="0.25">
      <c r="A70" s="354"/>
      <c r="B70" s="355"/>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row>
    <row r="71" spans="1:40" x14ac:dyDescent="0.25">
      <c r="A71" s="354"/>
      <c r="B71" s="355"/>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row>
    <row r="72" spans="1:40" x14ac:dyDescent="0.25">
      <c r="A72" s="354"/>
      <c r="B72" s="355"/>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row>
    <row r="73" spans="1:40" ht="15.75" thickBot="1" x14ac:dyDescent="0.3">
      <c r="A73" s="354"/>
      <c r="B73" s="355"/>
      <c r="C73" s="529"/>
      <c r="D73" s="529"/>
      <c r="E73" s="529"/>
      <c r="F73" s="529"/>
      <c r="G73" s="529"/>
      <c r="H73" s="529"/>
      <c r="I73" s="529"/>
      <c r="J73" s="529"/>
      <c r="K73" s="529"/>
      <c r="L73" s="529"/>
      <c r="M73" s="529"/>
      <c r="N73" s="529"/>
      <c r="O73" s="529"/>
      <c r="P73" s="529"/>
      <c r="Q73" s="529"/>
      <c r="R73" s="529"/>
      <c r="S73" s="529"/>
      <c r="T73" s="529"/>
      <c r="U73" s="529"/>
      <c r="V73" s="529"/>
      <c r="W73" s="529"/>
      <c r="X73" s="529"/>
      <c r="Y73" s="529"/>
      <c r="Z73" s="529"/>
      <c r="AA73" s="529"/>
      <c r="AB73" s="529"/>
      <c r="AC73" s="529"/>
      <c r="AD73" s="529"/>
      <c r="AE73" s="529"/>
      <c r="AF73" s="529"/>
      <c r="AG73" s="529"/>
      <c r="AH73" s="529"/>
      <c r="AI73" s="529"/>
      <c r="AJ73" s="529"/>
      <c r="AK73" s="529"/>
      <c r="AL73" s="529"/>
      <c r="AM73" s="529"/>
      <c r="AN73" s="529"/>
    </row>
    <row r="74" spans="1:40" ht="30" customHeight="1" thickTop="1" x14ac:dyDescent="0.25">
      <c r="A74" s="348" t="s">
        <v>1016</v>
      </c>
      <c r="B74" s="349"/>
      <c r="C74" s="530" t="s">
        <v>768</v>
      </c>
      <c r="D74" s="530"/>
      <c r="E74" s="530"/>
      <c r="F74" s="530"/>
      <c r="G74" s="530"/>
      <c r="H74" s="530"/>
      <c r="I74" s="530"/>
      <c r="J74" s="530"/>
      <c r="K74" s="530"/>
      <c r="L74" s="530"/>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row>
    <row r="75" spans="1:40" x14ac:dyDescent="0.25">
      <c r="A75" s="350" t="s">
        <v>5</v>
      </c>
      <c r="B75" s="351"/>
      <c r="C75" s="531" t="s">
        <v>159</v>
      </c>
      <c r="D75" s="531"/>
      <c r="E75" s="531"/>
      <c r="F75" s="531"/>
      <c r="G75" s="531"/>
      <c r="H75" s="531"/>
      <c r="I75" s="531"/>
      <c r="J75" s="531"/>
      <c r="K75" s="531"/>
      <c r="L75" s="531"/>
      <c r="M75" s="531"/>
      <c r="N75" s="531"/>
      <c r="O75" s="531"/>
      <c r="P75" s="531"/>
      <c r="Q75" s="531"/>
      <c r="R75" s="531"/>
      <c r="S75" s="531"/>
      <c r="T75" s="531"/>
      <c r="U75" s="531"/>
      <c r="V75" s="531"/>
      <c r="W75" s="531"/>
      <c r="X75" s="531"/>
      <c r="Y75" s="531"/>
      <c r="Z75" s="531"/>
      <c r="AA75" s="531"/>
      <c r="AB75" s="531"/>
      <c r="AC75" s="531"/>
      <c r="AD75" s="531"/>
      <c r="AE75" s="531"/>
      <c r="AF75" s="531"/>
      <c r="AG75" s="531"/>
      <c r="AH75" s="531"/>
      <c r="AI75" s="531"/>
      <c r="AJ75" s="531"/>
      <c r="AK75" s="531"/>
      <c r="AL75" s="531"/>
      <c r="AM75" s="531"/>
      <c r="AN75" s="531"/>
    </row>
    <row r="76" spans="1:40" x14ac:dyDescent="0.25">
      <c r="A76" s="350"/>
      <c r="B76" s="351"/>
      <c r="C76" s="531"/>
      <c r="D76" s="531"/>
      <c r="E76" s="531"/>
      <c r="F76" s="531"/>
      <c r="G76" s="531"/>
      <c r="H76" s="531"/>
      <c r="I76" s="531"/>
      <c r="J76" s="531"/>
      <c r="K76" s="531"/>
      <c r="L76" s="531"/>
      <c r="M76" s="531"/>
      <c r="N76" s="531"/>
      <c r="O76" s="531"/>
      <c r="P76" s="531"/>
      <c r="Q76" s="531"/>
      <c r="R76" s="531"/>
      <c r="S76" s="531"/>
      <c r="T76" s="531"/>
      <c r="U76" s="531"/>
      <c r="V76" s="531"/>
      <c r="W76" s="531"/>
      <c r="X76" s="531"/>
      <c r="Y76" s="531"/>
      <c r="Z76" s="531"/>
      <c r="AA76" s="531"/>
      <c r="AB76" s="531"/>
      <c r="AC76" s="531"/>
      <c r="AD76" s="531"/>
      <c r="AE76" s="531"/>
      <c r="AF76" s="531"/>
      <c r="AG76" s="531"/>
      <c r="AH76" s="531"/>
      <c r="AI76" s="531"/>
      <c r="AJ76" s="531"/>
      <c r="AK76" s="531"/>
      <c r="AL76" s="531"/>
      <c r="AM76" s="531"/>
      <c r="AN76" s="531"/>
    </row>
    <row r="77" spans="1:40" x14ac:dyDescent="0.25">
      <c r="A77" s="350"/>
      <c r="B77" s="351"/>
      <c r="C77" s="531"/>
      <c r="D77" s="531"/>
      <c r="E77" s="531"/>
      <c r="F77" s="531"/>
      <c r="G77" s="531"/>
      <c r="H77" s="531"/>
      <c r="I77" s="531"/>
      <c r="J77" s="531"/>
      <c r="K77" s="531"/>
      <c r="L77" s="531"/>
      <c r="M77" s="531"/>
      <c r="N77" s="531"/>
      <c r="O77" s="531"/>
      <c r="P77" s="531"/>
      <c r="Q77" s="531"/>
      <c r="R77" s="531"/>
      <c r="S77" s="531"/>
      <c r="T77" s="531"/>
      <c r="U77" s="531"/>
      <c r="V77" s="531"/>
      <c r="W77" s="531"/>
      <c r="X77" s="531"/>
      <c r="Y77" s="531"/>
      <c r="Z77" s="531"/>
      <c r="AA77" s="531"/>
      <c r="AB77" s="531"/>
      <c r="AC77" s="531"/>
      <c r="AD77" s="531"/>
      <c r="AE77" s="531"/>
      <c r="AF77" s="531"/>
      <c r="AG77" s="531"/>
      <c r="AH77" s="531"/>
      <c r="AI77" s="531"/>
      <c r="AJ77" s="531"/>
      <c r="AK77" s="531"/>
      <c r="AL77" s="531"/>
      <c r="AM77" s="531"/>
      <c r="AN77" s="531"/>
    </row>
    <row r="78" spans="1:40" x14ac:dyDescent="0.25">
      <c r="A78" s="350"/>
      <c r="B78" s="351"/>
      <c r="C78" s="531"/>
      <c r="D78" s="531"/>
      <c r="E78" s="531"/>
      <c r="F78" s="531"/>
      <c r="G78" s="531"/>
      <c r="H78" s="531"/>
      <c r="I78" s="531"/>
      <c r="J78" s="531"/>
      <c r="K78" s="531"/>
      <c r="L78" s="531"/>
      <c r="M78" s="531"/>
      <c r="N78" s="531"/>
      <c r="O78" s="531"/>
      <c r="P78" s="531"/>
      <c r="Q78" s="531"/>
      <c r="R78" s="531"/>
      <c r="S78" s="531"/>
      <c r="T78" s="531"/>
      <c r="U78" s="531"/>
      <c r="V78" s="531"/>
      <c r="W78" s="531"/>
      <c r="X78" s="531"/>
      <c r="Y78" s="531"/>
      <c r="Z78" s="531"/>
      <c r="AA78" s="531"/>
      <c r="AB78" s="531"/>
      <c r="AC78" s="531"/>
      <c r="AD78" s="531"/>
      <c r="AE78" s="531"/>
      <c r="AF78" s="531"/>
      <c r="AG78" s="531"/>
      <c r="AH78" s="531"/>
      <c r="AI78" s="531"/>
      <c r="AJ78" s="531"/>
      <c r="AK78" s="531"/>
      <c r="AL78" s="531"/>
      <c r="AM78" s="531"/>
      <c r="AN78" s="531"/>
    </row>
    <row r="79" spans="1:40" ht="15.75" thickBot="1" x14ac:dyDescent="0.3">
      <c r="A79" s="350"/>
      <c r="B79" s="351"/>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c r="AM79" s="532"/>
      <c r="AN79" s="532"/>
    </row>
    <row r="80" spans="1:40" ht="30" customHeight="1" thickTop="1" x14ac:dyDescent="0.25">
      <c r="A80" s="352" t="s">
        <v>1016</v>
      </c>
      <c r="B80" s="353"/>
      <c r="C80" s="530" t="s">
        <v>768</v>
      </c>
      <c r="D80" s="530"/>
      <c r="E80" s="530"/>
      <c r="F80" s="530"/>
      <c r="G80" s="530"/>
      <c r="H80" s="530"/>
      <c r="I80" s="530"/>
      <c r="J80" s="530"/>
      <c r="K80" s="530"/>
      <c r="L80" s="530"/>
      <c r="M80" s="530"/>
      <c r="N80" s="530"/>
      <c r="O80" s="530"/>
      <c r="P80" s="530"/>
      <c r="Q80" s="530"/>
      <c r="R80" s="530"/>
      <c r="S80" s="530"/>
      <c r="T80" s="530"/>
      <c r="U80" s="530"/>
      <c r="V80" s="530"/>
      <c r="W80" s="530"/>
      <c r="X80" s="530"/>
      <c r="Y80" s="530"/>
      <c r="Z80" s="530"/>
      <c r="AA80" s="530"/>
      <c r="AB80" s="530"/>
      <c r="AC80" s="530"/>
      <c r="AD80" s="530"/>
      <c r="AE80" s="530"/>
      <c r="AF80" s="530"/>
      <c r="AG80" s="530"/>
      <c r="AH80" s="530"/>
      <c r="AI80" s="530"/>
      <c r="AJ80" s="530"/>
      <c r="AK80" s="530"/>
      <c r="AL80" s="530"/>
      <c r="AM80" s="530"/>
      <c r="AN80" s="530"/>
    </row>
    <row r="81" spans="1:40" x14ac:dyDescent="0.25">
      <c r="A81" s="354" t="s">
        <v>3</v>
      </c>
      <c r="B81" s="355"/>
      <c r="C81" s="528" t="s">
        <v>159</v>
      </c>
      <c r="D81" s="528"/>
      <c r="E81" s="528"/>
      <c r="F81" s="528"/>
      <c r="G81" s="528"/>
      <c r="H81" s="528"/>
      <c r="I81" s="528"/>
      <c r="J81" s="528"/>
      <c r="K81" s="528"/>
      <c r="L81" s="528"/>
      <c r="M81" s="528"/>
      <c r="N81" s="528"/>
      <c r="O81" s="528"/>
      <c r="P81" s="528"/>
      <c r="Q81" s="528"/>
      <c r="R81" s="528"/>
      <c r="S81" s="528"/>
      <c r="T81" s="528"/>
      <c r="U81" s="528"/>
      <c r="V81" s="528"/>
      <c r="W81" s="528"/>
      <c r="X81" s="528"/>
      <c r="Y81" s="528"/>
      <c r="Z81" s="528"/>
      <c r="AA81" s="528"/>
      <c r="AB81" s="528"/>
      <c r="AC81" s="528"/>
      <c r="AD81" s="528"/>
      <c r="AE81" s="528"/>
      <c r="AF81" s="528"/>
      <c r="AG81" s="528"/>
      <c r="AH81" s="528"/>
      <c r="AI81" s="528"/>
      <c r="AJ81" s="528"/>
      <c r="AK81" s="528"/>
      <c r="AL81" s="528"/>
      <c r="AM81" s="528"/>
      <c r="AN81" s="528"/>
    </row>
    <row r="82" spans="1:40" x14ac:dyDescent="0.25">
      <c r="A82" s="354"/>
      <c r="B82" s="355"/>
      <c r="C82" s="528"/>
      <c r="D82" s="528"/>
      <c r="E82" s="528"/>
      <c r="F82" s="528"/>
      <c r="G82" s="528"/>
      <c r="H82" s="528"/>
      <c r="I82" s="528"/>
      <c r="J82" s="528"/>
      <c r="K82" s="528"/>
      <c r="L82" s="528"/>
      <c r="M82" s="528"/>
      <c r="N82" s="528"/>
      <c r="O82" s="528"/>
      <c r="P82" s="528"/>
      <c r="Q82" s="528"/>
      <c r="R82" s="528"/>
      <c r="S82" s="528"/>
      <c r="T82" s="528"/>
      <c r="U82" s="528"/>
      <c r="V82" s="528"/>
      <c r="W82" s="528"/>
      <c r="X82" s="528"/>
      <c r="Y82" s="528"/>
      <c r="Z82" s="528"/>
      <c r="AA82" s="528"/>
      <c r="AB82" s="528"/>
      <c r="AC82" s="528"/>
      <c r="AD82" s="528"/>
      <c r="AE82" s="528"/>
      <c r="AF82" s="528"/>
      <c r="AG82" s="528"/>
      <c r="AH82" s="528"/>
      <c r="AI82" s="528"/>
      <c r="AJ82" s="528"/>
      <c r="AK82" s="528"/>
      <c r="AL82" s="528"/>
      <c r="AM82" s="528"/>
      <c r="AN82" s="528"/>
    </row>
    <row r="83" spans="1:40" x14ac:dyDescent="0.25">
      <c r="A83" s="354"/>
      <c r="B83" s="355"/>
      <c r="C83" s="528"/>
      <c r="D83" s="528"/>
      <c r="E83" s="528"/>
      <c r="F83" s="528"/>
      <c r="G83" s="528"/>
      <c r="H83" s="528"/>
      <c r="I83" s="528"/>
      <c r="J83" s="528"/>
      <c r="K83" s="528"/>
      <c r="L83" s="528"/>
      <c r="M83" s="528"/>
      <c r="N83" s="528"/>
      <c r="O83" s="528"/>
      <c r="P83" s="528"/>
      <c r="Q83" s="528"/>
      <c r="R83" s="528"/>
      <c r="S83" s="528"/>
      <c r="T83" s="528"/>
      <c r="U83" s="528"/>
      <c r="V83" s="528"/>
      <c r="W83" s="528"/>
      <c r="X83" s="528"/>
      <c r="Y83" s="528"/>
      <c r="Z83" s="528"/>
      <c r="AA83" s="528"/>
      <c r="AB83" s="528"/>
      <c r="AC83" s="528"/>
      <c r="AD83" s="528"/>
      <c r="AE83" s="528"/>
      <c r="AF83" s="528"/>
      <c r="AG83" s="528"/>
      <c r="AH83" s="528"/>
      <c r="AI83" s="528"/>
      <c r="AJ83" s="528"/>
      <c r="AK83" s="528"/>
      <c r="AL83" s="528"/>
      <c r="AM83" s="528"/>
      <c r="AN83" s="528"/>
    </row>
    <row r="84" spans="1:40" x14ac:dyDescent="0.25">
      <c r="A84" s="354"/>
      <c r="B84" s="355"/>
      <c r="C84" s="528"/>
      <c r="D84" s="528"/>
      <c r="E84" s="528"/>
      <c r="F84" s="528"/>
      <c r="G84" s="528"/>
      <c r="H84" s="528"/>
      <c r="I84" s="528"/>
      <c r="J84" s="528"/>
      <c r="K84" s="528"/>
      <c r="L84" s="528"/>
      <c r="M84" s="528"/>
      <c r="N84" s="528"/>
      <c r="O84" s="528"/>
      <c r="P84" s="528"/>
      <c r="Q84" s="528"/>
      <c r="R84" s="528"/>
      <c r="S84" s="528"/>
      <c r="T84" s="528"/>
      <c r="U84" s="528"/>
      <c r="V84" s="528"/>
      <c r="W84" s="528"/>
      <c r="X84" s="528"/>
      <c r="Y84" s="528"/>
      <c r="Z84" s="528"/>
      <c r="AA84" s="528"/>
      <c r="AB84" s="528"/>
      <c r="AC84" s="528"/>
      <c r="AD84" s="528"/>
      <c r="AE84" s="528"/>
      <c r="AF84" s="528"/>
      <c r="AG84" s="528"/>
      <c r="AH84" s="528"/>
      <c r="AI84" s="528"/>
      <c r="AJ84" s="528"/>
      <c r="AK84" s="528"/>
      <c r="AL84" s="528"/>
      <c r="AM84" s="528"/>
      <c r="AN84" s="528"/>
    </row>
    <row r="85" spans="1:40" ht="15.75" thickBot="1" x14ac:dyDescent="0.3">
      <c r="A85" s="354"/>
      <c r="B85" s="355"/>
      <c r="C85" s="529"/>
      <c r="D85" s="529"/>
      <c r="E85" s="529"/>
      <c r="F85" s="529"/>
      <c r="G85" s="529"/>
      <c r="H85" s="529"/>
      <c r="I85" s="529"/>
      <c r="J85" s="529"/>
      <c r="K85" s="529"/>
      <c r="L85" s="529"/>
      <c r="M85" s="529"/>
      <c r="N85" s="529"/>
      <c r="O85" s="529"/>
      <c r="P85" s="529"/>
      <c r="Q85" s="529"/>
      <c r="R85" s="529"/>
      <c r="S85" s="529"/>
      <c r="T85" s="529"/>
      <c r="U85" s="529"/>
      <c r="V85" s="529"/>
      <c r="W85" s="529"/>
      <c r="X85" s="529"/>
      <c r="Y85" s="529"/>
      <c r="Z85" s="529"/>
      <c r="AA85" s="529"/>
      <c r="AB85" s="529"/>
      <c r="AC85" s="529"/>
      <c r="AD85" s="529"/>
      <c r="AE85" s="529"/>
      <c r="AF85" s="529"/>
      <c r="AG85" s="529"/>
      <c r="AH85" s="529"/>
      <c r="AI85" s="529"/>
      <c r="AJ85" s="529"/>
      <c r="AK85" s="529"/>
      <c r="AL85" s="529"/>
      <c r="AM85" s="529"/>
      <c r="AN85" s="529"/>
    </row>
    <row r="86" spans="1:40" ht="30" customHeight="1" thickTop="1" x14ac:dyDescent="0.25">
      <c r="A86" s="348" t="s">
        <v>1016</v>
      </c>
      <c r="B86" s="349"/>
      <c r="C86" s="530" t="s">
        <v>768</v>
      </c>
      <c r="D86" s="530"/>
      <c r="E86" s="530"/>
      <c r="F86" s="530"/>
      <c r="G86" s="530"/>
      <c r="H86" s="530"/>
      <c r="I86" s="530"/>
      <c r="J86" s="530"/>
      <c r="K86" s="530"/>
      <c r="L86" s="530"/>
      <c r="M86" s="530"/>
      <c r="N86" s="530"/>
      <c r="O86" s="530"/>
      <c r="P86" s="530"/>
      <c r="Q86" s="530"/>
      <c r="R86" s="530"/>
      <c r="S86" s="530"/>
      <c r="T86" s="530"/>
      <c r="U86" s="530"/>
      <c r="V86" s="530"/>
      <c r="W86" s="530"/>
      <c r="X86" s="530"/>
      <c r="Y86" s="530"/>
      <c r="Z86" s="530"/>
      <c r="AA86" s="530"/>
      <c r="AB86" s="530"/>
      <c r="AC86" s="530"/>
      <c r="AD86" s="530"/>
      <c r="AE86" s="530"/>
      <c r="AF86" s="530"/>
      <c r="AG86" s="530"/>
      <c r="AH86" s="530"/>
      <c r="AI86" s="530"/>
      <c r="AJ86" s="530"/>
      <c r="AK86" s="530"/>
      <c r="AL86" s="530"/>
      <c r="AM86" s="530"/>
      <c r="AN86" s="530"/>
    </row>
    <row r="87" spans="1:40" x14ac:dyDescent="0.25">
      <c r="A87" s="350" t="s">
        <v>32</v>
      </c>
      <c r="B87" s="351"/>
      <c r="C87" s="531" t="s">
        <v>159</v>
      </c>
      <c r="D87" s="531"/>
      <c r="E87" s="531"/>
      <c r="F87" s="531"/>
      <c r="G87" s="531"/>
      <c r="H87" s="531"/>
      <c r="I87" s="531"/>
      <c r="J87" s="531"/>
      <c r="K87" s="531"/>
      <c r="L87" s="531"/>
      <c r="M87" s="531"/>
      <c r="N87" s="531"/>
      <c r="O87" s="531"/>
      <c r="P87" s="531"/>
      <c r="Q87" s="531"/>
      <c r="R87" s="531"/>
      <c r="S87" s="531"/>
      <c r="T87" s="531"/>
      <c r="U87" s="531"/>
      <c r="V87" s="531"/>
      <c r="W87" s="531"/>
      <c r="X87" s="531"/>
      <c r="Y87" s="531"/>
      <c r="Z87" s="531"/>
      <c r="AA87" s="531"/>
      <c r="AB87" s="531"/>
      <c r="AC87" s="531"/>
      <c r="AD87" s="531"/>
      <c r="AE87" s="531"/>
      <c r="AF87" s="531"/>
      <c r="AG87" s="531"/>
      <c r="AH87" s="531"/>
      <c r="AI87" s="531"/>
      <c r="AJ87" s="531"/>
      <c r="AK87" s="531"/>
      <c r="AL87" s="531"/>
      <c r="AM87" s="531"/>
      <c r="AN87" s="531"/>
    </row>
    <row r="88" spans="1:40" x14ac:dyDescent="0.25">
      <c r="A88" s="350"/>
      <c r="B88" s="351"/>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row>
    <row r="89" spans="1:40" x14ac:dyDescent="0.25">
      <c r="A89" s="350"/>
      <c r="B89" s="351"/>
      <c r="C89" s="531"/>
      <c r="D89" s="531"/>
      <c r="E89" s="531"/>
      <c r="F89" s="531"/>
      <c r="G89" s="531"/>
      <c r="H89" s="531"/>
      <c r="I89" s="531"/>
      <c r="J89" s="531"/>
      <c r="K89" s="531"/>
      <c r="L89" s="531"/>
      <c r="M89" s="531"/>
      <c r="N89" s="531"/>
      <c r="O89" s="531"/>
      <c r="P89" s="531"/>
      <c r="Q89" s="531"/>
      <c r="R89" s="531"/>
      <c r="S89" s="531"/>
      <c r="T89" s="531"/>
      <c r="U89" s="531"/>
      <c r="V89" s="531"/>
      <c r="W89" s="531"/>
      <c r="X89" s="531"/>
      <c r="Y89" s="531"/>
      <c r="Z89" s="531"/>
      <c r="AA89" s="531"/>
      <c r="AB89" s="531"/>
      <c r="AC89" s="531"/>
      <c r="AD89" s="531"/>
      <c r="AE89" s="531"/>
      <c r="AF89" s="531"/>
      <c r="AG89" s="531"/>
      <c r="AH89" s="531"/>
      <c r="AI89" s="531"/>
      <c r="AJ89" s="531"/>
      <c r="AK89" s="531"/>
      <c r="AL89" s="531"/>
      <c r="AM89" s="531"/>
      <c r="AN89" s="531"/>
    </row>
    <row r="90" spans="1:40" x14ac:dyDescent="0.25">
      <c r="A90" s="350"/>
      <c r="B90" s="351"/>
      <c r="C90" s="531"/>
      <c r="D90" s="531"/>
      <c r="E90" s="531"/>
      <c r="F90" s="531"/>
      <c r="G90" s="531"/>
      <c r="H90" s="531"/>
      <c r="I90" s="531"/>
      <c r="J90" s="531"/>
      <c r="K90" s="531"/>
      <c r="L90" s="531"/>
      <c r="M90" s="531"/>
      <c r="N90" s="531"/>
      <c r="O90" s="531"/>
      <c r="P90" s="531"/>
      <c r="Q90" s="531"/>
      <c r="R90" s="531"/>
      <c r="S90" s="531"/>
      <c r="T90" s="531"/>
      <c r="U90" s="531"/>
      <c r="V90" s="531"/>
      <c r="W90" s="531"/>
      <c r="X90" s="531"/>
      <c r="Y90" s="531"/>
      <c r="Z90" s="531"/>
      <c r="AA90" s="531"/>
      <c r="AB90" s="531"/>
      <c r="AC90" s="531"/>
      <c r="AD90" s="531"/>
      <c r="AE90" s="531"/>
      <c r="AF90" s="531"/>
      <c r="AG90" s="531"/>
      <c r="AH90" s="531"/>
      <c r="AI90" s="531"/>
      <c r="AJ90" s="531"/>
      <c r="AK90" s="531"/>
      <c r="AL90" s="531"/>
      <c r="AM90" s="531"/>
      <c r="AN90" s="531"/>
    </row>
    <row r="91" spans="1:40" ht="15.75" thickBot="1" x14ac:dyDescent="0.3">
      <c r="A91" s="350"/>
      <c r="B91" s="351"/>
      <c r="C91" s="532"/>
      <c r="D91" s="532"/>
      <c r="E91" s="532"/>
      <c r="F91" s="532"/>
      <c r="G91" s="532"/>
      <c r="H91" s="532"/>
      <c r="I91" s="532"/>
      <c r="J91" s="532"/>
      <c r="K91" s="532"/>
      <c r="L91" s="532"/>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c r="AM91" s="532"/>
      <c r="AN91" s="532"/>
    </row>
    <row r="92" spans="1:40" ht="30" customHeight="1" thickTop="1" x14ac:dyDescent="0.25">
      <c r="A92" s="352" t="s">
        <v>1016</v>
      </c>
      <c r="B92" s="353"/>
      <c r="C92" s="530" t="s">
        <v>768</v>
      </c>
      <c r="D92" s="530"/>
      <c r="E92" s="530"/>
      <c r="F92" s="530"/>
      <c r="G92" s="530"/>
      <c r="H92" s="530"/>
      <c r="I92" s="530"/>
      <c r="J92" s="530"/>
      <c r="K92" s="530"/>
      <c r="L92" s="530"/>
      <c r="M92" s="530"/>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row>
    <row r="93" spans="1:40" x14ac:dyDescent="0.25">
      <c r="A93" s="354" t="s">
        <v>33</v>
      </c>
      <c r="B93" s="355"/>
      <c r="C93" s="528" t="s">
        <v>159</v>
      </c>
      <c r="D93" s="528"/>
      <c r="E93" s="528"/>
      <c r="F93" s="528"/>
      <c r="G93" s="528"/>
      <c r="H93" s="528"/>
      <c r="I93" s="528"/>
      <c r="J93" s="528"/>
      <c r="K93" s="528"/>
      <c r="L93" s="528"/>
      <c r="M93" s="528"/>
      <c r="N93" s="528"/>
      <c r="O93" s="528"/>
      <c r="P93" s="528"/>
      <c r="Q93" s="528"/>
      <c r="R93" s="528"/>
      <c r="S93" s="528"/>
      <c r="T93" s="528"/>
      <c r="U93" s="528"/>
      <c r="V93" s="528"/>
      <c r="W93" s="528"/>
      <c r="X93" s="528"/>
      <c r="Y93" s="528"/>
      <c r="Z93" s="528"/>
      <c r="AA93" s="528"/>
      <c r="AB93" s="528"/>
      <c r="AC93" s="528"/>
      <c r="AD93" s="528"/>
      <c r="AE93" s="528"/>
      <c r="AF93" s="528"/>
      <c r="AG93" s="528"/>
      <c r="AH93" s="528"/>
      <c r="AI93" s="528"/>
      <c r="AJ93" s="528"/>
      <c r="AK93" s="528"/>
      <c r="AL93" s="528"/>
      <c r="AM93" s="528"/>
      <c r="AN93" s="528"/>
    </row>
    <row r="94" spans="1:40" x14ac:dyDescent="0.25">
      <c r="A94" s="354"/>
      <c r="B94" s="355"/>
      <c r="C94" s="528"/>
      <c r="D94" s="528"/>
      <c r="E94" s="528"/>
      <c r="F94" s="528"/>
      <c r="G94" s="528"/>
      <c r="H94" s="528"/>
      <c r="I94" s="528"/>
      <c r="J94" s="528"/>
      <c r="K94" s="528"/>
      <c r="L94" s="528"/>
      <c r="M94" s="528"/>
      <c r="N94" s="528"/>
      <c r="O94" s="528"/>
      <c r="P94" s="528"/>
      <c r="Q94" s="528"/>
      <c r="R94" s="528"/>
      <c r="S94" s="528"/>
      <c r="T94" s="528"/>
      <c r="U94" s="528"/>
      <c r="V94" s="528"/>
      <c r="W94" s="528"/>
      <c r="X94" s="528"/>
      <c r="Y94" s="528"/>
      <c r="Z94" s="528"/>
      <c r="AA94" s="528"/>
      <c r="AB94" s="528"/>
      <c r="AC94" s="528"/>
      <c r="AD94" s="528"/>
      <c r="AE94" s="528"/>
      <c r="AF94" s="528"/>
      <c r="AG94" s="528"/>
      <c r="AH94" s="528"/>
      <c r="AI94" s="528"/>
      <c r="AJ94" s="528"/>
      <c r="AK94" s="528"/>
      <c r="AL94" s="528"/>
      <c r="AM94" s="528"/>
      <c r="AN94" s="528"/>
    </row>
    <row r="95" spans="1:40" x14ac:dyDescent="0.25">
      <c r="A95" s="354"/>
      <c r="B95" s="355"/>
      <c r="C95" s="528"/>
      <c r="D95" s="528"/>
      <c r="E95" s="528"/>
      <c r="F95" s="528"/>
      <c r="G95" s="528"/>
      <c r="H95" s="528"/>
      <c r="I95" s="528"/>
      <c r="J95" s="528"/>
      <c r="K95" s="528"/>
      <c r="L95" s="528"/>
      <c r="M95" s="528"/>
      <c r="N95" s="528"/>
      <c r="O95" s="528"/>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row>
    <row r="96" spans="1:40" x14ac:dyDescent="0.25">
      <c r="A96" s="354"/>
      <c r="B96" s="355"/>
      <c r="C96" s="528"/>
      <c r="D96" s="528"/>
      <c r="E96" s="528"/>
      <c r="F96" s="528"/>
      <c r="G96" s="528"/>
      <c r="H96" s="528"/>
      <c r="I96" s="528"/>
      <c r="J96" s="528"/>
      <c r="K96" s="528"/>
      <c r="L96" s="528"/>
      <c r="M96" s="528"/>
      <c r="N96" s="528"/>
      <c r="O96" s="528"/>
      <c r="P96" s="528"/>
      <c r="Q96" s="528"/>
      <c r="R96" s="528"/>
      <c r="S96" s="528"/>
      <c r="T96" s="528"/>
      <c r="U96" s="528"/>
      <c r="V96" s="528"/>
      <c r="W96" s="528"/>
      <c r="X96" s="528"/>
      <c r="Y96" s="528"/>
      <c r="Z96" s="528"/>
      <c r="AA96" s="528"/>
      <c r="AB96" s="528"/>
      <c r="AC96" s="528"/>
      <c r="AD96" s="528"/>
      <c r="AE96" s="528"/>
      <c r="AF96" s="528"/>
      <c r="AG96" s="528"/>
      <c r="AH96" s="528"/>
      <c r="AI96" s="528"/>
      <c r="AJ96" s="528"/>
      <c r="AK96" s="528"/>
      <c r="AL96" s="528"/>
      <c r="AM96" s="528"/>
      <c r="AN96" s="528"/>
    </row>
    <row r="97" spans="1:40" ht="15.75" thickBot="1" x14ac:dyDescent="0.3">
      <c r="A97" s="354"/>
      <c r="B97" s="355"/>
      <c r="C97" s="529"/>
      <c r="D97" s="529"/>
      <c r="E97" s="529"/>
      <c r="F97" s="529"/>
      <c r="G97" s="529"/>
      <c r="H97" s="529"/>
      <c r="I97" s="529"/>
      <c r="J97" s="529"/>
      <c r="K97" s="529"/>
      <c r="L97" s="529"/>
      <c r="M97" s="529"/>
      <c r="N97" s="529"/>
      <c r="O97" s="529"/>
      <c r="P97" s="529"/>
      <c r="Q97" s="529"/>
      <c r="R97" s="529"/>
      <c r="S97" s="529"/>
      <c r="T97" s="529"/>
      <c r="U97" s="529"/>
      <c r="V97" s="529"/>
      <c r="W97" s="529"/>
      <c r="X97" s="529"/>
      <c r="Y97" s="529"/>
      <c r="Z97" s="529"/>
      <c r="AA97" s="529"/>
      <c r="AB97" s="529"/>
      <c r="AC97" s="529"/>
      <c r="AD97" s="529"/>
      <c r="AE97" s="529"/>
      <c r="AF97" s="529"/>
      <c r="AG97" s="529"/>
      <c r="AH97" s="529"/>
      <c r="AI97" s="529"/>
      <c r="AJ97" s="529"/>
      <c r="AK97" s="529"/>
      <c r="AL97" s="529"/>
      <c r="AM97" s="529"/>
      <c r="AN97" s="529"/>
    </row>
    <row r="98" spans="1:40" ht="30" customHeight="1" thickTop="1" x14ac:dyDescent="0.25">
      <c r="A98" s="348" t="s">
        <v>1016</v>
      </c>
      <c r="B98" s="349"/>
      <c r="C98" s="530" t="s">
        <v>768</v>
      </c>
      <c r="D98" s="530"/>
      <c r="E98" s="530"/>
      <c r="F98" s="530"/>
      <c r="G98" s="530"/>
      <c r="H98" s="530"/>
      <c r="I98" s="530"/>
      <c r="J98" s="530"/>
      <c r="K98" s="530"/>
      <c r="L98" s="530"/>
      <c r="M98" s="530"/>
      <c r="N98" s="530"/>
      <c r="O98" s="530"/>
      <c r="P98" s="530"/>
      <c r="Q98" s="530"/>
      <c r="R98" s="530"/>
      <c r="S98" s="530"/>
      <c r="T98" s="530"/>
      <c r="U98" s="530"/>
      <c r="V98" s="530"/>
      <c r="W98" s="530"/>
      <c r="X98" s="530"/>
      <c r="Y98" s="530"/>
      <c r="Z98" s="530"/>
      <c r="AA98" s="530"/>
      <c r="AB98" s="530"/>
      <c r="AC98" s="530"/>
      <c r="AD98" s="530"/>
      <c r="AE98" s="530"/>
      <c r="AF98" s="530"/>
      <c r="AG98" s="530"/>
      <c r="AH98" s="530"/>
      <c r="AI98" s="530"/>
      <c r="AJ98" s="530"/>
      <c r="AK98" s="530"/>
      <c r="AL98" s="530"/>
      <c r="AM98" s="530"/>
      <c r="AN98" s="530"/>
    </row>
    <row r="99" spans="1:40" x14ac:dyDescent="0.25">
      <c r="A99" s="350" t="s">
        <v>766</v>
      </c>
      <c r="B99" s="351"/>
      <c r="C99" s="531" t="s">
        <v>159</v>
      </c>
      <c r="D99" s="531"/>
      <c r="E99" s="531"/>
      <c r="F99" s="531"/>
      <c r="G99" s="531"/>
      <c r="H99" s="531"/>
      <c r="I99" s="531"/>
      <c r="J99" s="531"/>
      <c r="K99" s="531"/>
      <c r="L99" s="531"/>
      <c r="M99" s="531"/>
      <c r="N99" s="531"/>
      <c r="O99" s="531"/>
      <c r="P99" s="531"/>
      <c r="Q99" s="531"/>
      <c r="R99" s="531"/>
      <c r="S99" s="531"/>
      <c r="T99" s="531"/>
      <c r="U99" s="531"/>
      <c r="V99" s="531"/>
      <c r="W99" s="531"/>
      <c r="X99" s="531"/>
      <c r="Y99" s="531"/>
      <c r="Z99" s="531"/>
      <c r="AA99" s="531"/>
      <c r="AB99" s="531"/>
      <c r="AC99" s="531"/>
      <c r="AD99" s="531"/>
      <c r="AE99" s="531"/>
      <c r="AF99" s="531"/>
      <c r="AG99" s="531"/>
      <c r="AH99" s="531"/>
      <c r="AI99" s="531"/>
      <c r="AJ99" s="531"/>
      <c r="AK99" s="531"/>
      <c r="AL99" s="531"/>
      <c r="AM99" s="531"/>
      <c r="AN99" s="531"/>
    </row>
    <row r="100" spans="1:40" x14ac:dyDescent="0.25">
      <c r="A100" s="350"/>
      <c r="B100" s="351"/>
      <c r="C100" s="531"/>
      <c r="D100" s="531"/>
      <c r="E100" s="531"/>
      <c r="F100" s="531"/>
      <c r="G100" s="531"/>
      <c r="H100" s="531"/>
      <c r="I100" s="531"/>
      <c r="J100" s="531"/>
      <c r="K100" s="531"/>
      <c r="L100" s="531"/>
      <c r="M100" s="531"/>
      <c r="N100" s="531"/>
      <c r="O100" s="531"/>
      <c r="P100" s="531"/>
      <c r="Q100" s="531"/>
      <c r="R100" s="531"/>
      <c r="S100" s="531"/>
      <c r="T100" s="531"/>
      <c r="U100" s="531"/>
      <c r="V100" s="531"/>
      <c r="W100" s="531"/>
      <c r="X100" s="531"/>
      <c r="Y100" s="531"/>
      <c r="Z100" s="531"/>
      <c r="AA100" s="531"/>
      <c r="AB100" s="531"/>
      <c r="AC100" s="531"/>
      <c r="AD100" s="531"/>
      <c r="AE100" s="531"/>
      <c r="AF100" s="531"/>
      <c r="AG100" s="531"/>
      <c r="AH100" s="531"/>
      <c r="AI100" s="531"/>
      <c r="AJ100" s="531"/>
      <c r="AK100" s="531"/>
      <c r="AL100" s="531"/>
      <c r="AM100" s="531"/>
      <c r="AN100" s="531"/>
    </row>
    <row r="101" spans="1:40" x14ac:dyDescent="0.25">
      <c r="A101" s="350"/>
      <c r="B101" s="351"/>
      <c r="C101" s="531"/>
      <c r="D101" s="531"/>
      <c r="E101" s="531"/>
      <c r="F101" s="531"/>
      <c r="G101" s="531"/>
      <c r="H101" s="531"/>
      <c r="I101" s="531"/>
      <c r="J101" s="531"/>
      <c r="K101" s="531"/>
      <c r="L101" s="531"/>
      <c r="M101" s="531"/>
      <c r="N101" s="531"/>
      <c r="O101" s="531"/>
      <c r="P101" s="531"/>
      <c r="Q101" s="531"/>
      <c r="R101" s="531"/>
      <c r="S101" s="531"/>
      <c r="T101" s="531"/>
      <c r="U101" s="531"/>
      <c r="V101" s="531"/>
      <c r="W101" s="531"/>
      <c r="X101" s="531"/>
      <c r="Y101" s="531"/>
      <c r="Z101" s="531"/>
      <c r="AA101" s="531"/>
      <c r="AB101" s="531"/>
      <c r="AC101" s="531"/>
      <c r="AD101" s="531"/>
      <c r="AE101" s="531"/>
      <c r="AF101" s="531"/>
      <c r="AG101" s="531"/>
      <c r="AH101" s="531"/>
      <c r="AI101" s="531"/>
      <c r="AJ101" s="531"/>
      <c r="AK101" s="531"/>
      <c r="AL101" s="531"/>
      <c r="AM101" s="531"/>
      <c r="AN101" s="531"/>
    </row>
    <row r="102" spans="1:40" x14ac:dyDescent="0.25">
      <c r="A102" s="350"/>
      <c r="B102" s="351"/>
      <c r="C102" s="531"/>
      <c r="D102" s="531"/>
      <c r="E102" s="531"/>
      <c r="F102" s="531"/>
      <c r="G102" s="531"/>
      <c r="H102" s="531"/>
      <c r="I102" s="531"/>
      <c r="J102" s="531"/>
      <c r="K102" s="531"/>
      <c r="L102" s="531"/>
      <c r="M102" s="531"/>
      <c r="N102" s="531"/>
      <c r="O102" s="531"/>
      <c r="P102" s="531"/>
      <c r="Q102" s="531"/>
      <c r="R102" s="531"/>
      <c r="S102" s="531"/>
      <c r="T102" s="531"/>
      <c r="U102" s="531"/>
      <c r="V102" s="531"/>
      <c r="W102" s="531"/>
      <c r="X102" s="531"/>
      <c r="Y102" s="531"/>
      <c r="Z102" s="531"/>
      <c r="AA102" s="531"/>
      <c r="AB102" s="531"/>
      <c r="AC102" s="531"/>
      <c r="AD102" s="531"/>
      <c r="AE102" s="531"/>
      <c r="AF102" s="531"/>
      <c r="AG102" s="531"/>
      <c r="AH102" s="531"/>
      <c r="AI102" s="531"/>
      <c r="AJ102" s="531"/>
      <c r="AK102" s="531"/>
      <c r="AL102" s="531"/>
      <c r="AM102" s="531"/>
      <c r="AN102" s="531"/>
    </row>
    <row r="103" spans="1:40" ht="15.75" thickBot="1" x14ac:dyDescent="0.3">
      <c r="A103" s="350"/>
      <c r="B103" s="351"/>
      <c r="C103" s="532"/>
      <c r="D103" s="532"/>
      <c r="E103" s="532"/>
      <c r="F103" s="532"/>
      <c r="G103" s="532"/>
      <c r="H103" s="532"/>
      <c r="I103" s="532"/>
      <c r="J103" s="532"/>
      <c r="K103" s="532"/>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c r="AM103" s="532"/>
      <c r="AN103" s="532"/>
    </row>
    <row r="104" spans="1:40" ht="30" customHeight="1" thickTop="1" x14ac:dyDescent="0.25">
      <c r="A104" s="352" t="s">
        <v>1016</v>
      </c>
      <c r="B104" s="353"/>
      <c r="C104" s="530" t="s">
        <v>768</v>
      </c>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c r="AB104" s="530"/>
      <c r="AC104" s="530"/>
      <c r="AD104" s="530"/>
      <c r="AE104" s="530"/>
      <c r="AF104" s="530"/>
      <c r="AG104" s="530"/>
      <c r="AH104" s="530"/>
      <c r="AI104" s="530"/>
      <c r="AJ104" s="530"/>
      <c r="AK104" s="530"/>
      <c r="AL104" s="530"/>
      <c r="AM104" s="530"/>
      <c r="AN104" s="530"/>
    </row>
    <row r="105" spans="1:40" x14ac:dyDescent="0.25">
      <c r="A105" s="354" t="s">
        <v>35</v>
      </c>
      <c r="B105" s="355"/>
      <c r="C105" s="528" t="s">
        <v>212</v>
      </c>
      <c r="D105" s="528"/>
      <c r="E105" s="528"/>
      <c r="F105" s="528"/>
      <c r="G105" s="528"/>
      <c r="H105" s="528"/>
      <c r="I105" s="528"/>
      <c r="J105" s="528"/>
      <c r="K105" s="528"/>
      <c r="L105" s="528"/>
      <c r="M105" s="528"/>
      <c r="N105" s="528"/>
      <c r="O105" s="528"/>
      <c r="P105" s="528"/>
      <c r="Q105" s="528"/>
      <c r="R105" s="528"/>
      <c r="S105" s="528"/>
      <c r="T105" s="528"/>
      <c r="U105" s="528"/>
      <c r="V105" s="528"/>
      <c r="W105" s="528"/>
      <c r="X105" s="528"/>
      <c r="Y105" s="528"/>
      <c r="Z105" s="528"/>
      <c r="AA105" s="528"/>
      <c r="AB105" s="528"/>
      <c r="AC105" s="528"/>
      <c r="AD105" s="528"/>
      <c r="AE105" s="528"/>
      <c r="AF105" s="528"/>
      <c r="AG105" s="528"/>
      <c r="AH105" s="528"/>
      <c r="AI105" s="528"/>
      <c r="AJ105" s="528"/>
      <c r="AK105" s="528"/>
      <c r="AL105" s="528"/>
      <c r="AM105" s="528"/>
      <c r="AN105" s="528"/>
    </row>
    <row r="106" spans="1:40" x14ac:dyDescent="0.25">
      <c r="A106" s="354"/>
      <c r="B106" s="355"/>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528"/>
      <c r="AA106" s="528"/>
      <c r="AB106" s="528"/>
      <c r="AC106" s="528"/>
      <c r="AD106" s="528"/>
      <c r="AE106" s="528"/>
      <c r="AF106" s="528"/>
      <c r="AG106" s="528"/>
      <c r="AH106" s="528"/>
      <c r="AI106" s="528"/>
      <c r="AJ106" s="528"/>
      <c r="AK106" s="528"/>
      <c r="AL106" s="528"/>
      <c r="AM106" s="528"/>
      <c r="AN106" s="528"/>
    </row>
    <row r="107" spans="1:40" x14ac:dyDescent="0.25">
      <c r="A107" s="354"/>
      <c r="B107" s="355"/>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c r="Z107" s="528"/>
      <c r="AA107" s="528"/>
      <c r="AB107" s="528"/>
      <c r="AC107" s="528"/>
      <c r="AD107" s="528"/>
      <c r="AE107" s="528"/>
      <c r="AF107" s="528"/>
      <c r="AG107" s="528"/>
      <c r="AH107" s="528"/>
      <c r="AI107" s="528"/>
      <c r="AJ107" s="528"/>
      <c r="AK107" s="528"/>
      <c r="AL107" s="528"/>
      <c r="AM107" s="528"/>
      <c r="AN107" s="528"/>
    </row>
    <row r="108" spans="1:40" x14ac:dyDescent="0.25">
      <c r="A108" s="354"/>
      <c r="B108" s="355"/>
      <c r="C108" s="528"/>
      <c r="D108" s="528"/>
      <c r="E108" s="528"/>
      <c r="F108" s="528"/>
      <c r="G108" s="528"/>
      <c r="H108" s="528"/>
      <c r="I108" s="528"/>
      <c r="J108" s="528"/>
      <c r="K108" s="528"/>
      <c r="L108" s="528"/>
      <c r="M108" s="528"/>
      <c r="N108" s="528"/>
      <c r="O108" s="528"/>
      <c r="P108" s="528"/>
      <c r="Q108" s="528"/>
      <c r="R108" s="528"/>
      <c r="S108" s="528"/>
      <c r="T108" s="528"/>
      <c r="U108" s="528"/>
      <c r="V108" s="528"/>
      <c r="W108" s="528"/>
      <c r="X108" s="528"/>
      <c r="Y108" s="528"/>
      <c r="Z108" s="528"/>
      <c r="AA108" s="528"/>
      <c r="AB108" s="528"/>
      <c r="AC108" s="528"/>
      <c r="AD108" s="528"/>
      <c r="AE108" s="528"/>
      <c r="AF108" s="528"/>
      <c r="AG108" s="528"/>
      <c r="AH108" s="528"/>
      <c r="AI108" s="528"/>
      <c r="AJ108" s="528"/>
      <c r="AK108" s="528"/>
      <c r="AL108" s="528"/>
      <c r="AM108" s="528"/>
      <c r="AN108" s="528"/>
    </row>
    <row r="109" spans="1:40" ht="15.75" thickBot="1" x14ac:dyDescent="0.3">
      <c r="A109" s="354"/>
      <c r="B109" s="355"/>
      <c r="C109" s="529"/>
      <c r="D109" s="529"/>
      <c r="E109" s="529"/>
      <c r="F109" s="529"/>
      <c r="G109" s="529"/>
      <c r="H109" s="529"/>
      <c r="I109" s="529"/>
      <c r="J109" s="529"/>
      <c r="K109" s="529"/>
      <c r="L109" s="529"/>
      <c r="M109" s="529"/>
      <c r="N109" s="529"/>
      <c r="O109" s="529"/>
      <c r="P109" s="529"/>
      <c r="Q109" s="529"/>
      <c r="R109" s="529"/>
      <c r="S109" s="529"/>
      <c r="T109" s="529"/>
      <c r="U109" s="529"/>
      <c r="V109" s="529"/>
      <c r="W109" s="529"/>
      <c r="X109" s="529"/>
      <c r="Y109" s="529"/>
      <c r="Z109" s="529"/>
      <c r="AA109" s="529"/>
      <c r="AB109" s="529"/>
      <c r="AC109" s="529"/>
      <c r="AD109" s="529"/>
      <c r="AE109" s="529"/>
      <c r="AF109" s="529"/>
      <c r="AG109" s="529"/>
      <c r="AH109" s="529"/>
      <c r="AI109" s="529"/>
      <c r="AJ109" s="529"/>
      <c r="AK109" s="529"/>
      <c r="AL109" s="529"/>
      <c r="AM109" s="529"/>
      <c r="AN109" s="529"/>
    </row>
    <row r="110" spans="1:40" ht="30" customHeight="1" thickTop="1" x14ac:dyDescent="0.25">
      <c r="A110" s="348" t="s">
        <v>1016</v>
      </c>
      <c r="B110" s="349"/>
      <c r="C110" s="530" t="s">
        <v>768</v>
      </c>
      <c r="D110" s="530"/>
      <c r="E110" s="530"/>
      <c r="F110" s="530"/>
      <c r="G110" s="530"/>
      <c r="H110" s="530"/>
      <c r="I110" s="530"/>
      <c r="J110" s="530"/>
      <c r="K110" s="530"/>
      <c r="L110" s="530"/>
      <c r="M110" s="530"/>
      <c r="N110" s="530"/>
      <c r="O110" s="530"/>
      <c r="P110" s="530"/>
      <c r="Q110" s="530"/>
      <c r="R110" s="530"/>
      <c r="S110" s="530"/>
      <c r="T110" s="530"/>
      <c r="U110" s="530"/>
      <c r="V110" s="530"/>
      <c r="W110" s="530"/>
      <c r="X110" s="530"/>
      <c r="Y110" s="530"/>
      <c r="Z110" s="530"/>
      <c r="AA110" s="530"/>
      <c r="AB110" s="530"/>
      <c r="AC110" s="530"/>
      <c r="AD110" s="530"/>
      <c r="AE110" s="530"/>
      <c r="AF110" s="530"/>
      <c r="AG110" s="530"/>
      <c r="AH110" s="530"/>
      <c r="AI110" s="530"/>
      <c r="AJ110" s="530"/>
      <c r="AK110" s="530"/>
      <c r="AL110" s="530"/>
      <c r="AM110" s="530"/>
      <c r="AN110" s="530"/>
    </row>
    <row r="111" spans="1:40" x14ac:dyDescent="0.25">
      <c r="A111" s="350" t="s">
        <v>36</v>
      </c>
      <c r="B111" s="351"/>
      <c r="C111" s="531" t="s">
        <v>212</v>
      </c>
      <c r="D111" s="531"/>
      <c r="E111" s="531"/>
      <c r="F111" s="531"/>
      <c r="G111" s="531"/>
      <c r="H111" s="531"/>
      <c r="I111" s="531"/>
      <c r="J111" s="531"/>
      <c r="K111" s="531"/>
      <c r="L111" s="531"/>
      <c r="M111" s="531"/>
      <c r="N111" s="531"/>
      <c r="O111" s="531"/>
      <c r="P111" s="531"/>
      <c r="Q111" s="531"/>
      <c r="R111" s="531"/>
      <c r="S111" s="531"/>
      <c r="T111" s="531"/>
      <c r="U111" s="531"/>
      <c r="V111" s="531"/>
      <c r="W111" s="531"/>
      <c r="X111" s="531"/>
      <c r="Y111" s="531"/>
      <c r="Z111" s="531"/>
      <c r="AA111" s="531"/>
      <c r="AB111" s="531"/>
      <c r="AC111" s="531"/>
      <c r="AD111" s="531"/>
      <c r="AE111" s="531"/>
      <c r="AF111" s="531"/>
      <c r="AG111" s="531"/>
      <c r="AH111" s="531"/>
      <c r="AI111" s="531"/>
      <c r="AJ111" s="531"/>
      <c r="AK111" s="531"/>
      <c r="AL111" s="531"/>
      <c r="AM111" s="531"/>
      <c r="AN111" s="531"/>
    </row>
    <row r="112" spans="1:40" x14ac:dyDescent="0.25">
      <c r="A112" s="350"/>
      <c r="B112" s="351"/>
      <c r="C112" s="531"/>
      <c r="D112" s="531"/>
      <c r="E112" s="531"/>
      <c r="F112" s="531"/>
      <c r="G112" s="531"/>
      <c r="H112" s="531"/>
      <c r="I112" s="531"/>
      <c r="J112" s="531"/>
      <c r="K112" s="531"/>
      <c r="L112" s="531"/>
      <c r="M112" s="531"/>
      <c r="N112" s="531"/>
      <c r="O112" s="531"/>
      <c r="P112" s="531"/>
      <c r="Q112" s="531"/>
      <c r="R112" s="531"/>
      <c r="S112" s="531"/>
      <c r="T112" s="531"/>
      <c r="U112" s="531"/>
      <c r="V112" s="531"/>
      <c r="W112" s="531"/>
      <c r="X112" s="531"/>
      <c r="Y112" s="531"/>
      <c r="Z112" s="531"/>
      <c r="AA112" s="531"/>
      <c r="AB112" s="531"/>
      <c r="AC112" s="531"/>
      <c r="AD112" s="531"/>
      <c r="AE112" s="531"/>
      <c r="AF112" s="531"/>
      <c r="AG112" s="531"/>
      <c r="AH112" s="531"/>
      <c r="AI112" s="531"/>
      <c r="AJ112" s="531"/>
      <c r="AK112" s="531"/>
      <c r="AL112" s="531"/>
      <c r="AM112" s="531"/>
      <c r="AN112" s="531"/>
    </row>
    <row r="113" spans="1:40" x14ac:dyDescent="0.25">
      <c r="A113" s="350"/>
      <c r="B113" s="351"/>
      <c r="C113" s="531"/>
      <c r="D113" s="531"/>
      <c r="E113" s="531"/>
      <c r="F113" s="531"/>
      <c r="G113" s="531"/>
      <c r="H113" s="531"/>
      <c r="I113" s="531"/>
      <c r="J113" s="531"/>
      <c r="K113" s="531"/>
      <c r="L113" s="531"/>
      <c r="M113" s="531"/>
      <c r="N113" s="531"/>
      <c r="O113" s="531"/>
      <c r="P113" s="531"/>
      <c r="Q113" s="531"/>
      <c r="R113" s="531"/>
      <c r="S113" s="531"/>
      <c r="T113" s="531"/>
      <c r="U113" s="531"/>
      <c r="V113" s="531"/>
      <c r="W113" s="531"/>
      <c r="X113" s="531"/>
      <c r="Y113" s="531"/>
      <c r="Z113" s="531"/>
      <c r="AA113" s="531"/>
      <c r="AB113" s="531"/>
      <c r="AC113" s="531"/>
      <c r="AD113" s="531"/>
      <c r="AE113" s="531"/>
      <c r="AF113" s="531"/>
      <c r="AG113" s="531"/>
      <c r="AH113" s="531"/>
      <c r="AI113" s="531"/>
      <c r="AJ113" s="531"/>
      <c r="AK113" s="531"/>
      <c r="AL113" s="531"/>
      <c r="AM113" s="531"/>
      <c r="AN113" s="531"/>
    </row>
    <row r="114" spans="1:40" x14ac:dyDescent="0.25">
      <c r="A114" s="350"/>
      <c r="B114" s="351"/>
      <c r="C114" s="531"/>
      <c r="D114" s="531"/>
      <c r="E114" s="531"/>
      <c r="F114" s="531"/>
      <c r="G114" s="531"/>
      <c r="H114" s="531"/>
      <c r="I114" s="531"/>
      <c r="J114" s="531"/>
      <c r="K114" s="531"/>
      <c r="L114" s="531"/>
      <c r="M114" s="531"/>
      <c r="N114" s="531"/>
      <c r="O114" s="531"/>
      <c r="P114" s="531"/>
      <c r="Q114" s="531"/>
      <c r="R114" s="531"/>
      <c r="S114" s="531"/>
      <c r="T114" s="531"/>
      <c r="U114" s="531"/>
      <c r="V114" s="531"/>
      <c r="W114" s="531"/>
      <c r="X114" s="531"/>
      <c r="Y114" s="531"/>
      <c r="Z114" s="531"/>
      <c r="AA114" s="531"/>
      <c r="AB114" s="531"/>
      <c r="AC114" s="531"/>
      <c r="AD114" s="531"/>
      <c r="AE114" s="531"/>
      <c r="AF114" s="531"/>
      <c r="AG114" s="531"/>
      <c r="AH114" s="531"/>
      <c r="AI114" s="531"/>
      <c r="AJ114" s="531"/>
      <c r="AK114" s="531"/>
      <c r="AL114" s="531"/>
      <c r="AM114" s="531"/>
      <c r="AN114" s="531"/>
    </row>
    <row r="115" spans="1:40" ht="15.75" thickBot="1" x14ac:dyDescent="0.3">
      <c r="A115" s="350"/>
      <c r="B115" s="351"/>
      <c r="C115" s="532"/>
      <c r="D115" s="532"/>
      <c r="E115" s="532"/>
      <c r="F115" s="532"/>
      <c r="G115" s="532"/>
      <c r="H115" s="532"/>
      <c r="I115" s="532"/>
      <c r="J115" s="532"/>
      <c r="K115" s="532"/>
      <c r="L115" s="532"/>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c r="AM115" s="532"/>
      <c r="AN115" s="532"/>
    </row>
    <row r="116" spans="1:40" ht="30" customHeight="1" thickTop="1" x14ac:dyDescent="0.25">
      <c r="A116" s="352" t="s">
        <v>1017</v>
      </c>
      <c r="B116" s="353"/>
      <c r="C116" s="530" t="s">
        <v>768</v>
      </c>
      <c r="D116" s="530"/>
      <c r="E116" s="530"/>
      <c r="F116" s="530"/>
      <c r="G116" s="530"/>
      <c r="H116" s="530"/>
      <c r="I116" s="530"/>
      <c r="J116" s="530"/>
      <c r="K116" s="530"/>
      <c r="L116" s="530"/>
      <c r="M116" s="530"/>
      <c r="N116" s="530"/>
      <c r="O116" s="530"/>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0"/>
      <c r="AM116" s="530"/>
      <c r="AN116" s="530"/>
    </row>
    <row r="117" spans="1:40" x14ac:dyDescent="0.25">
      <c r="A117" s="354" t="s">
        <v>37</v>
      </c>
      <c r="B117" s="355"/>
      <c r="C117" s="528" t="s">
        <v>212</v>
      </c>
      <c r="D117" s="528"/>
      <c r="E117" s="528"/>
      <c r="F117" s="528"/>
      <c r="G117" s="528"/>
      <c r="H117" s="528"/>
      <c r="I117" s="528"/>
      <c r="J117" s="528"/>
      <c r="K117" s="528"/>
      <c r="L117" s="528"/>
      <c r="M117" s="528"/>
      <c r="N117" s="528"/>
      <c r="O117" s="528"/>
      <c r="P117" s="528"/>
      <c r="Q117" s="528"/>
      <c r="R117" s="528"/>
      <c r="S117" s="528"/>
      <c r="T117" s="528"/>
      <c r="U117" s="528"/>
      <c r="V117" s="528"/>
      <c r="W117" s="528"/>
      <c r="X117" s="528"/>
      <c r="Y117" s="528"/>
      <c r="Z117" s="528"/>
      <c r="AA117" s="528"/>
      <c r="AB117" s="528"/>
      <c r="AC117" s="528"/>
      <c r="AD117" s="528"/>
      <c r="AE117" s="528"/>
      <c r="AF117" s="528"/>
      <c r="AG117" s="528"/>
      <c r="AH117" s="528"/>
      <c r="AI117" s="528"/>
      <c r="AJ117" s="528"/>
      <c r="AK117" s="528"/>
      <c r="AL117" s="528"/>
      <c r="AM117" s="528"/>
      <c r="AN117" s="528"/>
    </row>
    <row r="118" spans="1:40" x14ac:dyDescent="0.25">
      <c r="A118" s="354"/>
      <c r="B118" s="355"/>
      <c r="C118" s="528"/>
      <c r="D118" s="528"/>
      <c r="E118" s="528"/>
      <c r="F118" s="528"/>
      <c r="G118" s="528"/>
      <c r="H118" s="528"/>
      <c r="I118" s="528"/>
      <c r="J118" s="528"/>
      <c r="K118" s="528"/>
      <c r="L118" s="528"/>
      <c r="M118" s="528"/>
      <c r="N118" s="528"/>
      <c r="O118" s="528"/>
      <c r="P118" s="528"/>
      <c r="Q118" s="528"/>
      <c r="R118" s="528"/>
      <c r="S118" s="528"/>
      <c r="T118" s="528"/>
      <c r="U118" s="528"/>
      <c r="V118" s="528"/>
      <c r="W118" s="528"/>
      <c r="X118" s="528"/>
      <c r="Y118" s="528"/>
      <c r="Z118" s="528"/>
      <c r="AA118" s="528"/>
      <c r="AB118" s="528"/>
      <c r="AC118" s="528"/>
      <c r="AD118" s="528"/>
      <c r="AE118" s="528"/>
      <c r="AF118" s="528"/>
      <c r="AG118" s="528"/>
      <c r="AH118" s="528"/>
      <c r="AI118" s="528"/>
      <c r="AJ118" s="528"/>
      <c r="AK118" s="528"/>
      <c r="AL118" s="528"/>
      <c r="AM118" s="528"/>
      <c r="AN118" s="528"/>
    </row>
    <row r="119" spans="1:40" x14ac:dyDescent="0.25">
      <c r="A119" s="354"/>
      <c r="B119" s="355"/>
      <c r="C119" s="528"/>
      <c r="D119" s="528"/>
      <c r="E119" s="528"/>
      <c r="F119" s="528"/>
      <c r="G119" s="528"/>
      <c r="H119" s="528"/>
      <c r="I119" s="528"/>
      <c r="J119" s="528"/>
      <c r="K119" s="528"/>
      <c r="L119" s="528"/>
      <c r="M119" s="528"/>
      <c r="N119" s="528"/>
      <c r="O119" s="528"/>
      <c r="P119" s="528"/>
      <c r="Q119" s="528"/>
      <c r="R119" s="528"/>
      <c r="S119" s="528"/>
      <c r="T119" s="528"/>
      <c r="U119" s="528"/>
      <c r="V119" s="528"/>
      <c r="W119" s="528"/>
      <c r="X119" s="528"/>
      <c r="Y119" s="528"/>
      <c r="Z119" s="528"/>
      <c r="AA119" s="528"/>
      <c r="AB119" s="528"/>
      <c r="AC119" s="528"/>
      <c r="AD119" s="528"/>
      <c r="AE119" s="528"/>
      <c r="AF119" s="528"/>
      <c r="AG119" s="528"/>
      <c r="AH119" s="528"/>
      <c r="AI119" s="528"/>
      <c r="AJ119" s="528"/>
      <c r="AK119" s="528"/>
      <c r="AL119" s="528"/>
      <c r="AM119" s="528"/>
      <c r="AN119" s="528"/>
    </row>
    <row r="120" spans="1:40" x14ac:dyDescent="0.25">
      <c r="A120" s="354"/>
      <c r="B120" s="355"/>
      <c r="C120" s="528"/>
      <c r="D120" s="528"/>
      <c r="E120" s="528"/>
      <c r="F120" s="528"/>
      <c r="G120" s="528"/>
      <c r="H120" s="528"/>
      <c r="I120" s="528"/>
      <c r="J120" s="528"/>
      <c r="K120" s="528"/>
      <c r="L120" s="528"/>
      <c r="M120" s="528"/>
      <c r="N120" s="528"/>
      <c r="O120" s="528"/>
      <c r="P120" s="528"/>
      <c r="Q120" s="528"/>
      <c r="R120" s="528"/>
      <c r="S120" s="528"/>
      <c r="T120" s="528"/>
      <c r="U120" s="528"/>
      <c r="V120" s="528"/>
      <c r="W120" s="528"/>
      <c r="X120" s="528"/>
      <c r="Y120" s="528"/>
      <c r="Z120" s="528"/>
      <c r="AA120" s="528"/>
      <c r="AB120" s="528"/>
      <c r="AC120" s="528"/>
      <c r="AD120" s="528"/>
      <c r="AE120" s="528"/>
      <c r="AF120" s="528"/>
      <c r="AG120" s="528"/>
      <c r="AH120" s="528"/>
      <c r="AI120" s="528"/>
      <c r="AJ120" s="528"/>
      <c r="AK120" s="528"/>
      <c r="AL120" s="528"/>
      <c r="AM120" s="528"/>
      <c r="AN120" s="528"/>
    </row>
    <row r="121" spans="1:40" ht="15.75" thickBot="1" x14ac:dyDescent="0.3">
      <c r="A121" s="354"/>
      <c r="B121" s="355"/>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c r="AI121" s="529"/>
      <c r="AJ121" s="529"/>
      <c r="AK121" s="529"/>
      <c r="AL121" s="529"/>
      <c r="AM121" s="529"/>
      <c r="AN121" s="529"/>
    </row>
    <row r="122" spans="1:40" ht="30" customHeight="1" thickTop="1" x14ac:dyDescent="0.25">
      <c r="A122" s="348" t="s">
        <v>1017</v>
      </c>
      <c r="B122" s="349"/>
      <c r="C122" s="530" t="s">
        <v>768</v>
      </c>
      <c r="D122" s="530"/>
      <c r="E122" s="530"/>
      <c r="F122" s="530"/>
      <c r="G122" s="530"/>
      <c r="H122" s="530"/>
      <c r="I122" s="530"/>
      <c r="J122" s="530"/>
      <c r="K122" s="530"/>
      <c r="L122" s="530"/>
      <c r="M122" s="530"/>
      <c r="N122" s="530"/>
      <c r="O122" s="530"/>
      <c r="P122" s="530"/>
      <c r="Q122" s="530"/>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0"/>
      <c r="AM122" s="530"/>
      <c r="AN122" s="530"/>
    </row>
    <row r="123" spans="1:40" x14ac:dyDescent="0.25">
      <c r="A123" s="350" t="s">
        <v>38</v>
      </c>
      <c r="B123" s="351"/>
      <c r="C123" s="533" t="s">
        <v>159</v>
      </c>
      <c r="D123" s="533"/>
      <c r="E123" s="533"/>
      <c r="F123" s="533"/>
      <c r="G123" s="533"/>
      <c r="H123" s="533"/>
      <c r="I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row>
    <row r="124" spans="1:40" x14ac:dyDescent="0.25">
      <c r="A124" s="350"/>
      <c r="B124" s="351"/>
      <c r="C124" s="533"/>
      <c r="D124" s="533"/>
      <c r="E124" s="533"/>
      <c r="F124" s="533"/>
      <c r="G124" s="533"/>
      <c r="H124" s="533"/>
      <c r="I124" s="533"/>
      <c r="J124" s="533"/>
      <c r="K124" s="533"/>
      <c r="L124" s="533"/>
      <c r="M124" s="533"/>
      <c r="N124" s="533"/>
      <c r="O124" s="533"/>
      <c r="P124" s="533"/>
      <c r="Q124" s="533"/>
      <c r="R124" s="533"/>
      <c r="S124" s="533"/>
      <c r="T124" s="533"/>
      <c r="U124" s="533"/>
      <c r="V124" s="533"/>
      <c r="W124" s="533"/>
      <c r="X124" s="533"/>
      <c r="Y124" s="533"/>
      <c r="Z124" s="533"/>
      <c r="AA124" s="533"/>
      <c r="AB124" s="533"/>
      <c r="AC124" s="533"/>
      <c r="AD124" s="533"/>
      <c r="AE124" s="533"/>
      <c r="AF124" s="533"/>
      <c r="AG124" s="533"/>
      <c r="AH124" s="533"/>
      <c r="AI124" s="533"/>
      <c r="AJ124" s="533"/>
      <c r="AK124" s="533"/>
      <c r="AL124" s="533"/>
      <c r="AM124" s="533"/>
      <c r="AN124" s="533"/>
    </row>
    <row r="125" spans="1:40" x14ac:dyDescent="0.25">
      <c r="A125" s="350"/>
      <c r="B125" s="351"/>
      <c r="C125" s="533"/>
      <c r="D125" s="533"/>
      <c r="E125" s="533"/>
      <c r="F125" s="533"/>
      <c r="G125" s="533"/>
      <c r="H125" s="533"/>
      <c r="I125" s="533"/>
      <c r="J125" s="533"/>
      <c r="K125" s="533"/>
      <c r="L125" s="533"/>
      <c r="M125" s="533"/>
      <c r="N125" s="533"/>
      <c r="O125" s="533"/>
      <c r="P125" s="533"/>
      <c r="Q125" s="533"/>
      <c r="R125" s="533"/>
      <c r="S125" s="533"/>
      <c r="T125" s="533"/>
      <c r="U125" s="533"/>
      <c r="V125" s="533"/>
      <c r="W125" s="533"/>
      <c r="X125" s="533"/>
      <c r="Y125" s="533"/>
      <c r="Z125" s="533"/>
      <c r="AA125" s="533"/>
      <c r="AB125" s="533"/>
      <c r="AC125" s="533"/>
      <c r="AD125" s="533"/>
      <c r="AE125" s="533"/>
      <c r="AF125" s="533"/>
      <c r="AG125" s="533"/>
      <c r="AH125" s="533"/>
      <c r="AI125" s="533"/>
      <c r="AJ125" s="533"/>
      <c r="AK125" s="533"/>
      <c r="AL125" s="533"/>
      <c r="AM125" s="533"/>
      <c r="AN125" s="533"/>
    </row>
    <row r="126" spans="1:40" x14ac:dyDescent="0.25">
      <c r="A126" s="350"/>
      <c r="B126" s="351"/>
      <c r="C126" s="533"/>
      <c r="D126" s="533"/>
      <c r="E126" s="533"/>
      <c r="F126" s="533"/>
      <c r="G126" s="533"/>
      <c r="H126" s="533"/>
      <c r="I126" s="533"/>
      <c r="J126" s="533"/>
      <c r="K126" s="533"/>
      <c r="L126" s="533"/>
      <c r="M126" s="533"/>
      <c r="N126" s="533"/>
      <c r="O126" s="533"/>
      <c r="P126" s="533"/>
      <c r="Q126" s="533"/>
      <c r="R126" s="533"/>
      <c r="S126" s="533"/>
      <c r="T126" s="533"/>
      <c r="U126" s="533"/>
      <c r="V126" s="533"/>
      <c r="W126" s="533"/>
      <c r="X126" s="533"/>
      <c r="Y126" s="533"/>
      <c r="Z126" s="533"/>
      <c r="AA126" s="533"/>
      <c r="AB126" s="533"/>
      <c r="AC126" s="533"/>
      <c r="AD126" s="533"/>
      <c r="AE126" s="533"/>
      <c r="AF126" s="533"/>
      <c r="AG126" s="533"/>
      <c r="AH126" s="533"/>
      <c r="AI126" s="533"/>
      <c r="AJ126" s="533"/>
      <c r="AK126" s="533"/>
      <c r="AL126" s="533"/>
      <c r="AM126" s="533"/>
      <c r="AN126" s="533"/>
    </row>
    <row r="127" spans="1:40" ht="15.75" thickBot="1" x14ac:dyDescent="0.3">
      <c r="A127" s="350"/>
      <c r="B127" s="351"/>
      <c r="C127" s="534"/>
      <c r="D127" s="534"/>
      <c r="E127" s="534"/>
      <c r="F127" s="534"/>
      <c r="G127" s="534"/>
      <c r="H127" s="534"/>
      <c r="I127" s="534"/>
      <c r="J127" s="534"/>
      <c r="K127" s="534"/>
      <c r="L127" s="534"/>
      <c r="M127" s="534"/>
      <c r="N127" s="534"/>
      <c r="O127" s="534"/>
      <c r="P127" s="534"/>
      <c r="Q127" s="534"/>
      <c r="R127" s="534"/>
      <c r="S127" s="534"/>
      <c r="T127" s="534"/>
      <c r="U127" s="534"/>
      <c r="V127" s="534"/>
      <c r="W127" s="534"/>
      <c r="X127" s="534"/>
      <c r="Y127" s="534"/>
      <c r="Z127" s="534"/>
      <c r="AA127" s="534"/>
      <c r="AB127" s="534"/>
      <c r="AC127" s="534"/>
      <c r="AD127" s="534"/>
      <c r="AE127" s="534"/>
      <c r="AF127" s="534"/>
      <c r="AG127" s="534"/>
      <c r="AH127" s="534"/>
      <c r="AI127" s="534"/>
      <c r="AJ127" s="534"/>
      <c r="AK127" s="534"/>
      <c r="AL127" s="534"/>
      <c r="AM127" s="534"/>
      <c r="AN127" s="534"/>
    </row>
    <row r="128" spans="1:40" ht="30" customHeight="1" thickTop="1" x14ac:dyDescent="0.25">
      <c r="A128" s="352" t="s">
        <v>1017</v>
      </c>
      <c r="B128" s="353"/>
      <c r="C128" s="530" t="s">
        <v>768</v>
      </c>
      <c r="D128" s="530"/>
      <c r="E128" s="530"/>
      <c r="F128" s="530"/>
      <c r="G128" s="530"/>
      <c r="H128" s="530"/>
      <c r="I128" s="530"/>
      <c r="J128" s="530"/>
      <c r="K128" s="530"/>
      <c r="L128" s="530"/>
      <c r="M128" s="530"/>
      <c r="N128" s="530"/>
      <c r="O128" s="530"/>
      <c r="P128" s="530"/>
      <c r="Q128" s="530"/>
      <c r="R128" s="530"/>
      <c r="S128" s="530"/>
      <c r="T128" s="530"/>
      <c r="U128" s="530"/>
      <c r="V128" s="530"/>
      <c r="W128" s="530"/>
      <c r="X128" s="530"/>
      <c r="Y128" s="530"/>
      <c r="Z128" s="530"/>
      <c r="AA128" s="530"/>
      <c r="AB128" s="530"/>
      <c r="AC128" s="530"/>
      <c r="AD128" s="530"/>
      <c r="AE128" s="530"/>
      <c r="AF128" s="530"/>
      <c r="AG128" s="530"/>
      <c r="AH128" s="530"/>
      <c r="AI128" s="530"/>
      <c r="AJ128" s="530"/>
      <c r="AK128" s="530"/>
      <c r="AL128" s="530"/>
      <c r="AM128" s="530"/>
      <c r="AN128" s="530"/>
    </row>
    <row r="129" spans="1:40" x14ac:dyDescent="0.25">
      <c r="A129" s="354" t="s">
        <v>39</v>
      </c>
      <c r="B129" s="355"/>
      <c r="C129" s="528" t="s">
        <v>159</v>
      </c>
      <c r="D129" s="528"/>
      <c r="E129" s="528"/>
      <c r="F129" s="528"/>
      <c r="G129" s="528"/>
      <c r="H129" s="528"/>
      <c r="I129" s="528"/>
      <c r="J129" s="528"/>
      <c r="K129" s="528"/>
      <c r="L129" s="528"/>
      <c r="M129" s="528"/>
      <c r="N129" s="528"/>
      <c r="O129" s="528"/>
      <c r="P129" s="528"/>
      <c r="Q129" s="528"/>
      <c r="R129" s="528"/>
      <c r="S129" s="528"/>
      <c r="T129" s="528"/>
      <c r="U129" s="528"/>
      <c r="V129" s="528"/>
      <c r="W129" s="528"/>
      <c r="X129" s="528"/>
      <c r="Y129" s="528"/>
      <c r="Z129" s="528"/>
      <c r="AA129" s="528"/>
      <c r="AB129" s="528"/>
      <c r="AC129" s="528"/>
      <c r="AD129" s="528"/>
      <c r="AE129" s="528"/>
      <c r="AF129" s="528"/>
      <c r="AG129" s="528"/>
      <c r="AH129" s="528"/>
      <c r="AI129" s="528"/>
      <c r="AJ129" s="528"/>
      <c r="AK129" s="528"/>
      <c r="AL129" s="528"/>
      <c r="AM129" s="528"/>
      <c r="AN129" s="528"/>
    </row>
    <row r="130" spans="1:40" x14ac:dyDescent="0.25">
      <c r="A130" s="354"/>
      <c r="B130" s="355"/>
      <c r="C130" s="528"/>
      <c r="D130" s="528"/>
      <c r="E130" s="528"/>
      <c r="F130" s="528"/>
      <c r="G130" s="528"/>
      <c r="H130" s="528"/>
      <c r="I130" s="528"/>
      <c r="J130" s="528"/>
      <c r="K130" s="528"/>
      <c r="L130" s="528"/>
      <c r="M130" s="528"/>
      <c r="N130" s="528"/>
      <c r="O130" s="528"/>
      <c r="P130" s="528"/>
      <c r="Q130" s="528"/>
      <c r="R130" s="528"/>
      <c r="S130" s="528"/>
      <c r="T130" s="528"/>
      <c r="U130" s="528"/>
      <c r="V130" s="528"/>
      <c r="W130" s="528"/>
      <c r="X130" s="528"/>
      <c r="Y130" s="528"/>
      <c r="Z130" s="528"/>
      <c r="AA130" s="528"/>
      <c r="AB130" s="528"/>
      <c r="AC130" s="528"/>
      <c r="AD130" s="528"/>
      <c r="AE130" s="528"/>
      <c r="AF130" s="528"/>
      <c r="AG130" s="528"/>
      <c r="AH130" s="528"/>
      <c r="AI130" s="528"/>
      <c r="AJ130" s="528"/>
      <c r="AK130" s="528"/>
      <c r="AL130" s="528"/>
      <c r="AM130" s="528"/>
      <c r="AN130" s="528"/>
    </row>
    <row r="131" spans="1:40" x14ac:dyDescent="0.25">
      <c r="A131" s="354"/>
      <c r="B131" s="355"/>
      <c r="C131" s="528"/>
      <c r="D131" s="528"/>
      <c r="E131" s="528"/>
      <c r="F131" s="528"/>
      <c r="G131" s="528"/>
      <c r="H131" s="528"/>
      <c r="I131" s="528"/>
      <c r="J131" s="528"/>
      <c r="K131" s="528"/>
      <c r="L131" s="528"/>
      <c r="M131" s="528"/>
      <c r="N131" s="528"/>
      <c r="O131" s="528"/>
      <c r="P131" s="528"/>
      <c r="Q131" s="528"/>
      <c r="R131" s="528"/>
      <c r="S131" s="528"/>
      <c r="T131" s="528"/>
      <c r="U131" s="528"/>
      <c r="V131" s="528"/>
      <c r="W131" s="528"/>
      <c r="X131" s="528"/>
      <c r="Y131" s="528"/>
      <c r="Z131" s="528"/>
      <c r="AA131" s="528"/>
      <c r="AB131" s="528"/>
      <c r="AC131" s="528"/>
      <c r="AD131" s="528"/>
      <c r="AE131" s="528"/>
      <c r="AF131" s="528"/>
      <c r="AG131" s="528"/>
      <c r="AH131" s="528"/>
      <c r="AI131" s="528"/>
      <c r="AJ131" s="528"/>
      <c r="AK131" s="528"/>
      <c r="AL131" s="528"/>
      <c r="AM131" s="528"/>
      <c r="AN131" s="528"/>
    </row>
    <row r="132" spans="1:40" x14ac:dyDescent="0.25">
      <c r="A132" s="354"/>
      <c r="B132" s="355"/>
      <c r="C132" s="528"/>
      <c r="D132" s="528"/>
      <c r="E132" s="528"/>
      <c r="F132" s="528"/>
      <c r="G132" s="528"/>
      <c r="H132" s="528"/>
      <c r="I132" s="528"/>
      <c r="J132" s="528"/>
      <c r="K132" s="528"/>
      <c r="L132" s="528"/>
      <c r="M132" s="528"/>
      <c r="N132" s="528"/>
      <c r="O132" s="528"/>
      <c r="P132" s="528"/>
      <c r="Q132" s="528"/>
      <c r="R132" s="528"/>
      <c r="S132" s="528"/>
      <c r="T132" s="528"/>
      <c r="U132" s="528"/>
      <c r="V132" s="528"/>
      <c r="W132" s="528"/>
      <c r="X132" s="528"/>
      <c r="Y132" s="528"/>
      <c r="Z132" s="528"/>
      <c r="AA132" s="528"/>
      <c r="AB132" s="528"/>
      <c r="AC132" s="528"/>
      <c r="AD132" s="528"/>
      <c r="AE132" s="528"/>
      <c r="AF132" s="528"/>
      <c r="AG132" s="528"/>
      <c r="AH132" s="528"/>
      <c r="AI132" s="528"/>
      <c r="AJ132" s="528"/>
      <c r="AK132" s="528"/>
      <c r="AL132" s="528"/>
      <c r="AM132" s="528"/>
      <c r="AN132" s="528"/>
    </row>
    <row r="133" spans="1:40" ht="15.75" thickBot="1" x14ac:dyDescent="0.3">
      <c r="A133" s="354"/>
      <c r="B133" s="355"/>
      <c r="C133" s="529"/>
      <c r="D133" s="529"/>
      <c r="E133" s="529"/>
      <c r="F133" s="529"/>
      <c r="G133" s="529"/>
      <c r="H133" s="529"/>
      <c r="I133" s="529"/>
      <c r="J133" s="529"/>
      <c r="K133" s="529"/>
      <c r="L133" s="529"/>
      <c r="M133" s="529"/>
      <c r="N133" s="529"/>
      <c r="O133" s="529"/>
      <c r="P133" s="529"/>
      <c r="Q133" s="529"/>
      <c r="R133" s="529"/>
      <c r="S133" s="529"/>
      <c r="T133" s="529"/>
      <c r="U133" s="529"/>
      <c r="V133" s="529"/>
      <c r="W133" s="529"/>
      <c r="X133" s="529"/>
      <c r="Y133" s="529"/>
      <c r="Z133" s="529"/>
      <c r="AA133" s="529"/>
      <c r="AB133" s="529"/>
      <c r="AC133" s="529"/>
      <c r="AD133" s="529"/>
      <c r="AE133" s="529"/>
      <c r="AF133" s="529"/>
      <c r="AG133" s="529"/>
      <c r="AH133" s="529"/>
      <c r="AI133" s="529"/>
      <c r="AJ133" s="529"/>
      <c r="AK133" s="529"/>
      <c r="AL133" s="529"/>
      <c r="AM133" s="529"/>
      <c r="AN133" s="529"/>
    </row>
    <row r="134" spans="1:40" ht="30" customHeight="1" thickTop="1" x14ac:dyDescent="0.25">
      <c r="A134" s="348" t="s">
        <v>1017</v>
      </c>
      <c r="B134" s="349"/>
      <c r="C134" s="530" t="s">
        <v>768</v>
      </c>
      <c r="D134" s="530"/>
      <c r="E134" s="530"/>
      <c r="F134" s="530"/>
      <c r="G134" s="530"/>
      <c r="H134" s="530"/>
      <c r="I134" s="530"/>
      <c r="J134" s="530"/>
      <c r="K134" s="530"/>
      <c r="L134" s="530"/>
      <c r="M134" s="530"/>
      <c r="N134" s="530"/>
      <c r="O134" s="530"/>
      <c r="P134" s="530"/>
      <c r="Q134" s="530"/>
      <c r="R134" s="530"/>
      <c r="S134" s="530"/>
      <c r="T134" s="530"/>
      <c r="U134" s="530"/>
      <c r="V134" s="530"/>
      <c r="W134" s="530"/>
      <c r="X134" s="530"/>
      <c r="Y134" s="530"/>
      <c r="Z134" s="530"/>
      <c r="AA134" s="530"/>
      <c r="AB134" s="530"/>
      <c r="AC134" s="530"/>
      <c r="AD134" s="530"/>
      <c r="AE134" s="530"/>
      <c r="AF134" s="530"/>
      <c r="AG134" s="530"/>
      <c r="AH134" s="530"/>
      <c r="AI134" s="530"/>
      <c r="AJ134" s="530"/>
      <c r="AK134" s="530"/>
      <c r="AL134" s="530"/>
      <c r="AM134" s="530"/>
      <c r="AN134" s="530"/>
    </row>
    <row r="135" spans="1:40" x14ac:dyDescent="0.25">
      <c r="A135" s="350" t="s">
        <v>14</v>
      </c>
      <c r="B135" s="351"/>
      <c r="C135" s="531" t="s">
        <v>159</v>
      </c>
      <c r="D135" s="531"/>
      <c r="E135" s="531"/>
      <c r="F135" s="531"/>
      <c r="G135" s="531"/>
      <c r="H135" s="531"/>
      <c r="I135" s="531"/>
      <c r="J135" s="531"/>
      <c r="K135" s="531"/>
      <c r="L135" s="531"/>
      <c r="M135" s="531"/>
      <c r="N135" s="531"/>
      <c r="O135" s="531"/>
      <c r="P135" s="531"/>
      <c r="Q135" s="531"/>
      <c r="R135" s="531"/>
      <c r="S135" s="531"/>
      <c r="T135" s="531"/>
      <c r="U135" s="531"/>
      <c r="V135" s="531"/>
      <c r="W135" s="531"/>
      <c r="X135" s="531"/>
      <c r="Y135" s="531"/>
      <c r="Z135" s="531"/>
      <c r="AA135" s="531"/>
      <c r="AB135" s="531"/>
      <c r="AC135" s="531"/>
      <c r="AD135" s="531"/>
      <c r="AE135" s="531"/>
      <c r="AF135" s="531"/>
      <c r="AG135" s="531"/>
      <c r="AH135" s="531"/>
      <c r="AI135" s="531"/>
      <c r="AJ135" s="531"/>
      <c r="AK135" s="531"/>
      <c r="AL135" s="531"/>
      <c r="AM135" s="531"/>
      <c r="AN135" s="531"/>
    </row>
    <row r="136" spans="1:40" x14ac:dyDescent="0.25">
      <c r="A136" s="350"/>
      <c r="B136" s="351"/>
      <c r="C136" s="531"/>
      <c r="D136" s="531"/>
      <c r="E136" s="531"/>
      <c r="F136" s="531"/>
      <c r="G136" s="531"/>
      <c r="H136" s="531"/>
      <c r="I136" s="531"/>
      <c r="J136" s="531"/>
      <c r="K136" s="531"/>
      <c r="L136" s="531"/>
      <c r="M136" s="531"/>
      <c r="N136" s="531"/>
      <c r="O136" s="531"/>
      <c r="P136" s="531"/>
      <c r="Q136" s="531"/>
      <c r="R136" s="531"/>
      <c r="S136" s="531"/>
      <c r="T136" s="531"/>
      <c r="U136" s="531"/>
      <c r="V136" s="531"/>
      <c r="W136" s="531"/>
      <c r="X136" s="531"/>
      <c r="Y136" s="531"/>
      <c r="Z136" s="531"/>
      <c r="AA136" s="531"/>
      <c r="AB136" s="531"/>
      <c r="AC136" s="531"/>
      <c r="AD136" s="531"/>
      <c r="AE136" s="531"/>
      <c r="AF136" s="531"/>
      <c r="AG136" s="531"/>
      <c r="AH136" s="531"/>
      <c r="AI136" s="531"/>
      <c r="AJ136" s="531"/>
      <c r="AK136" s="531"/>
      <c r="AL136" s="531"/>
      <c r="AM136" s="531"/>
      <c r="AN136" s="531"/>
    </row>
    <row r="137" spans="1:40" x14ac:dyDescent="0.25">
      <c r="A137" s="350"/>
      <c r="B137" s="351"/>
      <c r="C137" s="531"/>
      <c r="D137" s="531"/>
      <c r="E137" s="531"/>
      <c r="F137" s="531"/>
      <c r="G137" s="531"/>
      <c r="H137" s="531"/>
      <c r="I137" s="531"/>
      <c r="J137" s="531"/>
      <c r="K137" s="531"/>
      <c r="L137" s="531"/>
      <c r="M137" s="531"/>
      <c r="N137" s="531"/>
      <c r="O137" s="531"/>
      <c r="P137" s="531"/>
      <c r="Q137" s="531"/>
      <c r="R137" s="531"/>
      <c r="S137" s="531"/>
      <c r="T137" s="531"/>
      <c r="U137" s="531"/>
      <c r="V137" s="531"/>
      <c r="W137" s="531"/>
      <c r="X137" s="531"/>
      <c r="Y137" s="531"/>
      <c r="Z137" s="531"/>
      <c r="AA137" s="531"/>
      <c r="AB137" s="531"/>
      <c r="AC137" s="531"/>
      <c r="AD137" s="531"/>
      <c r="AE137" s="531"/>
      <c r="AF137" s="531"/>
      <c r="AG137" s="531"/>
      <c r="AH137" s="531"/>
      <c r="AI137" s="531"/>
      <c r="AJ137" s="531"/>
      <c r="AK137" s="531"/>
      <c r="AL137" s="531"/>
      <c r="AM137" s="531"/>
      <c r="AN137" s="531"/>
    </row>
    <row r="138" spans="1:40" x14ac:dyDescent="0.25">
      <c r="A138" s="350"/>
      <c r="B138" s="351"/>
      <c r="C138" s="531"/>
      <c r="D138" s="531"/>
      <c r="E138" s="531"/>
      <c r="F138" s="531"/>
      <c r="G138" s="531"/>
      <c r="H138" s="531"/>
      <c r="I138" s="531"/>
      <c r="J138" s="531"/>
      <c r="K138" s="531"/>
      <c r="L138" s="531"/>
      <c r="M138" s="531"/>
      <c r="N138" s="531"/>
      <c r="O138" s="531"/>
      <c r="P138" s="531"/>
      <c r="Q138" s="531"/>
      <c r="R138" s="531"/>
      <c r="S138" s="531"/>
      <c r="T138" s="531"/>
      <c r="U138" s="531"/>
      <c r="V138" s="531"/>
      <c r="W138" s="531"/>
      <c r="X138" s="531"/>
      <c r="Y138" s="531"/>
      <c r="Z138" s="531"/>
      <c r="AA138" s="531"/>
      <c r="AB138" s="531"/>
      <c r="AC138" s="531"/>
      <c r="AD138" s="531"/>
      <c r="AE138" s="531"/>
      <c r="AF138" s="531"/>
      <c r="AG138" s="531"/>
      <c r="AH138" s="531"/>
      <c r="AI138" s="531"/>
      <c r="AJ138" s="531"/>
      <c r="AK138" s="531"/>
      <c r="AL138" s="531"/>
      <c r="AM138" s="531"/>
      <c r="AN138" s="531"/>
    </row>
    <row r="139" spans="1:40" ht="15.75" thickBot="1" x14ac:dyDescent="0.3">
      <c r="A139" s="350"/>
      <c r="B139" s="351"/>
      <c r="C139" s="532"/>
      <c r="D139" s="532"/>
      <c r="E139" s="532"/>
      <c r="F139" s="532"/>
      <c r="G139" s="532"/>
      <c r="H139" s="532"/>
      <c r="I139" s="532"/>
      <c r="J139" s="532"/>
      <c r="K139" s="532"/>
      <c r="L139" s="532"/>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c r="AM139" s="532"/>
      <c r="AN139" s="532"/>
    </row>
    <row r="140" spans="1:40" ht="30" customHeight="1" thickTop="1" x14ac:dyDescent="0.25">
      <c r="A140" s="352" t="s">
        <v>1017</v>
      </c>
      <c r="B140" s="353"/>
      <c r="C140" s="530" t="s">
        <v>768</v>
      </c>
      <c r="D140" s="530"/>
      <c r="E140" s="530"/>
      <c r="F140" s="530"/>
      <c r="G140" s="530"/>
      <c r="H140" s="530"/>
      <c r="I140" s="530"/>
      <c r="J140" s="530"/>
      <c r="K140" s="530"/>
      <c r="L140" s="530"/>
      <c r="M140" s="530"/>
      <c r="N140" s="530"/>
      <c r="O140" s="530"/>
      <c r="P140" s="530"/>
      <c r="Q140" s="530"/>
      <c r="R140" s="530"/>
      <c r="S140" s="530"/>
      <c r="T140" s="530"/>
      <c r="U140" s="530"/>
      <c r="V140" s="530"/>
      <c r="W140" s="530"/>
      <c r="X140" s="530"/>
      <c r="Y140" s="530"/>
      <c r="Z140" s="530"/>
      <c r="AA140" s="530"/>
      <c r="AB140" s="530"/>
      <c r="AC140" s="530"/>
      <c r="AD140" s="530"/>
      <c r="AE140" s="530"/>
      <c r="AF140" s="530"/>
      <c r="AG140" s="530"/>
      <c r="AH140" s="530"/>
      <c r="AI140" s="530"/>
      <c r="AJ140" s="530"/>
      <c r="AK140" s="530"/>
      <c r="AL140" s="530"/>
      <c r="AM140" s="530"/>
      <c r="AN140" s="530"/>
    </row>
    <row r="141" spans="1:40" x14ac:dyDescent="0.25">
      <c r="A141" s="354" t="s">
        <v>764</v>
      </c>
      <c r="B141" s="355"/>
      <c r="C141" s="528" t="s">
        <v>159</v>
      </c>
      <c r="D141" s="528"/>
      <c r="E141" s="528"/>
      <c r="F141" s="528"/>
      <c r="G141" s="528"/>
      <c r="H141" s="528"/>
      <c r="I141" s="528"/>
      <c r="J141" s="528"/>
      <c r="K141" s="528"/>
      <c r="L141" s="528"/>
      <c r="M141" s="528"/>
      <c r="N141" s="528"/>
      <c r="O141" s="528"/>
      <c r="P141" s="528"/>
      <c r="Q141" s="528"/>
      <c r="R141" s="528"/>
      <c r="S141" s="528"/>
      <c r="T141" s="528"/>
      <c r="U141" s="528"/>
      <c r="V141" s="528"/>
      <c r="W141" s="528"/>
      <c r="X141" s="528"/>
      <c r="Y141" s="528"/>
      <c r="Z141" s="528"/>
      <c r="AA141" s="528"/>
      <c r="AB141" s="528"/>
      <c r="AC141" s="528"/>
      <c r="AD141" s="528"/>
      <c r="AE141" s="528"/>
      <c r="AF141" s="528"/>
      <c r="AG141" s="528"/>
      <c r="AH141" s="528"/>
      <c r="AI141" s="528"/>
      <c r="AJ141" s="528"/>
      <c r="AK141" s="528"/>
      <c r="AL141" s="528"/>
      <c r="AM141" s="528"/>
      <c r="AN141" s="528"/>
    </row>
    <row r="142" spans="1:40" x14ac:dyDescent="0.25">
      <c r="A142" s="354"/>
      <c r="B142" s="355"/>
      <c r="C142" s="528"/>
      <c r="D142" s="528"/>
      <c r="E142" s="528"/>
      <c r="F142" s="528"/>
      <c r="G142" s="528"/>
      <c r="H142" s="528"/>
      <c r="I142" s="528"/>
      <c r="J142" s="528"/>
      <c r="K142" s="528"/>
      <c r="L142" s="528"/>
      <c r="M142" s="528"/>
      <c r="N142" s="528"/>
      <c r="O142" s="528"/>
      <c r="P142" s="528"/>
      <c r="Q142" s="528"/>
      <c r="R142" s="528"/>
      <c r="S142" s="528"/>
      <c r="T142" s="528"/>
      <c r="U142" s="528"/>
      <c r="V142" s="528"/>
      <c r="W142" s="528"/>
      <c r="X142" s="528"/>
      <c r="Y142" s="528"/>
      <c r="Z142" s="528"/>
      <c r="AA142" s="528"/>
      <c r="AB142" s="528"/>
      <c r="AC142" s="528"/>
      <c r="AD142" s="528"/>
      <c r="AE142" s="528"/>
      <c r="AF142" s="528"/>
      <c r="AG142" s="528"/>
      <c r="AH142" s="528"/>
      <c r="AI142" s="528"/>
      <c r="AJ142" s="528"/>
      <c r="AK142" s="528"/>
      <c r="AL142" s="528"/>
      <c r="AM142" s="528"/>
      <c r="AN142" s="528"/>
    </row>
    <row r="143" spans="1:40" x14ac:dyDescent="0.25">
      <c r="A143" s="354"/>
      <c r="B143" s="355"/>
      <c r="C143" s="528"/>
      <c r="D143" s="528"/>
      <c r="E143" s="528"/>
      <c r="F143" s="528"/>
      <c r="G143" s="528"/>
      <c r="H143" s="528"/>
      <c r="I143" s="528"/>
      <c r="J143" s="528"/>
      <c r="K143" s="528"/>
      <c r="L143" s="528"/>
      <c r="M143" s="528"/>
      <c r="N143" s="528"/>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c r="AJ143" s="528"/>
      <c r="AK143" s="528"/>
      <c r="AL143" s="528"/>
      <c r="AM143" s="528"/>
      <c r="AN143" s="528"/>
    </row>
    <row r="144" spans="1:40" x14ac:dyDescent="0.25">
      <c r="A144" s="354"/>
      <c r="B144" s="355"/>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8"/>
      <c r="AM144" s="528"/>
      <c r="AN144" s="528"/>
    </row>
    <row r="145" spans="1:40" ht="15.75" thickBot="1" x14ac:dyDescent="0.3">
      <c r="A145" s="354"/>
      <c r="B145" s="355"/>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c r="AJ145" s="529"/>
      <c r="AK145" s="529"/>
      <c r="AL145" s="529"/>
      <c r="AM145" s="529"/>
      <c r="AN145" s="529"/>
    </row>
    <row r="146" spans="1:40" ht="30" customHeight="1" thickTop="1" x14ac:dyDescent="0.25">
      <c r="A146" s="348" t="s">
        <v>1017</v>
      </c>
      <c r="B146" s="349"/>
      <c r="C146" s="530" t="s">
        <v>768</v>
      </c>
      <c r="D146" s="530"/>
      <c r="E146" s="530"/>
      <c r="F146" s="530"/>
      <c r="G146" s="530"/>
      <c r="H146" s="530"/>
      <c r="I146" s="530"/>
      <c r="J146" s="530"/>
      <c r="K146" s="530"/>
      <c r="L146" s="530"/>
      <c r="M146" s="530"/>
      <c r="N146" s="530"/>
      <c r="O146" s="530"/>
      <c r="P146" s="530"/>
      <c r="Q146" s="530"/>
      <c r="R146" s="530"/>
      <c r="S146" s="530"/>
      <c r="T146" s="530"/>
      <c r="U146" s="530"/>
      <c r="V146" s="530"/>
      <c r="W146" s="530"/>
      <c r="X146" s="530"/>
      <c r="Y146" s="530"/>
      <c r="Z146" s="530"/>
      <c r="AA146" s="530"/>
      <c r="AB146" s="530"/>
      <c r="AC146" s="530"/>
      <c r="AD146" s="530"/>
      <c r="AE146" s="530"/>
      <c r="AF146" s="530"/>
      <c r="AG146" s="530"/>
      <c r="AH146" s="530"/>
      <c r="AI146" s="530"/>
      <c r="AJ146" s="530"/>
      <c r="AK146" s="530"/>
      <c r="AL146" s="530"/>
      <c r="AM146" s="530"/>
      <c r="AN146" s="530"/>
    </row>
    <row r="147" spans="1:40" x14ac:dyDescent="0.25">
      <c r="A147" s="350" t="s">
        <v>5</v>
      </c>
      <c r="B147" s="351"/>
      <c r="C147" s="533" t="s">
        <v>159</v>
      </c>
      <c r="D147" s="533"/>
      <c r="E147" s="533"/>
      <c r="F147" s="533"/>
      <c r="G147" s="533"/>
      <c r="H147" s="533"/>
      <c r="I147" s="533"/>
      <c r="J147" s="533"/>
      <c r="K147" s="533"/>
      <c r="L147" s="533"/>
      <c r="M147" s="533"/>
      <c r="N147" s="533"/>
      <c r="O147" s="533"/>
      <c r="P147" s="533"/>
      <c r="Q147" s="533"/>
      <c r="R147" s="533"/>
      <c r="S147" s="533"/>
      <c r="T147" s="533"/>
      <c r="U147" s="533"/>
      <c r="V147" s="533"/>
      <c r="W147" s="533"/>
      <c r="X147" s="533"/>
      <c r="Y147" s="533"/>
      <c r="Z147" s="533"/>
      <c r="AA147" s="533"/>
      <c r="AB147" s="533"/>
      <c r="AC147" s="533"/>
      <c r="AD147" s="533"/>
      <c r="AE147" s="533"/>
      <c r="AF147" s="533"/>
      <c r="AG147" s="533"/>
      <c r="AH147" s="533"/>
      <c r="AI147" s="533"/>
      <c r="AJ147" s="533"/>
      <c r="AK147" s="533"/>
      <c r="AL147" s="533"/>
      <c r="AM147" s="533"/>
      <c r="AN147" s="533"/>
    </row>
    <row r="148" spans="1:40" x14ac:dyDescent="0.25">
      <c r="A148" s="350"/>
      <c r="B148" s="351"/>
      <c r="C148" s="533"/>
      <c r="D148" s="533"/>
      <c r="E148" s="533"/>
      <c r="F148" s="533"/>
      <c r="G148" s="533"/>
      <c r="H148" s="533"/>
      <c r="I148" s="533"/>
      <c r="J148" s="533"/>
      <c r="K148" s="533"/>
      <c r="L148" s="533"/>
      <c r="M148" s="533"/>
      <c r="N148" s="533"/>
      <c r="O148" s="533"/>
      <c r="P148" s="533"/>
      <c r="Q148" s="533"/>
      <c r="R148" s="533"/>
      <c r="S148" s="533"/>
      <c r="T148" s="533"/>
      <c r="U148" s="533"/>
      <c r="V148" s="533"/>
      <c r="W148" s="533"/>
      <c r="X148" s="533"/>
      <c r="Y148" s="533"/>
      <c r="Z148" s="533"/>
      <c r="AA148" s="533"/>
      <c r="AB148" s="533"/>
      <c r="AC148" s="533"/>
      <c r="AD148" s="533"/>
      <c r="AE148" s="533"/>
      <c r="AF148" s="533"/>
      <c r="AG148" s="533"/>
      <c r="AH148" s="533"/>
      <c r="AI148" s="533"/>
      <c r="AJ148" s="533"/>
      <c r="AK148" s="533"/>
      <c r="AL148" s="533"/>
      <c r="AM148" s="533"/>
      <c r="AN148" s="533"/>
    </row>
    <row r="149" spans="1:40" x14ac:dyDescent="0.25">
      <c r="A149" s="350"/>
      <c r="B149" s="351"/>
      <c r="C149" s="533"/>
      <c r="D149" s="533"/>
      <c r="E149" s="533"/>
      <c r="F149" s="533"/>
      <c r="G149" s="533"/>
      <c r="H149" s="533"/>
      <c r="I149" s="533"/>
      <c r="J149" s="533"/>
      <c r="K149" s="533"/>
      <c r="L149" s="533"/>
      <c r="M149" s="533"/>
      <c r="N149" s="533"/>
      <c r="O149" s="533"/>
      <c r="P149" s="533"/>
      <c r="Q149" s="533"/>
      <c r="R149" s="533"/>
      <c r="S149" s="533"/>
      <c r="T149" s="533"/>
      <c r="U149" s="533"/>
      <c r="V149" s="533"/>
      <c r="W149" s="533"/>
      <c r="X149" s="533"/>
      <c r="Y149" s="533"/>
      <c r="Z149" s="533"/>
      <c r="AA149" s="533"/>
      <c r="AB149" s="533"/>
      <c r="AC149" s="533"/>
      <c r="AD149" s="533"/>
      <c r="AE149" s="533"/>
      <c r="AF149" s="533"/>
      <c r="AG149" s="533"/>
      <c r="AH149" s="533"/>
      <c r="AI149" s="533"/>
      <c r="AJ149" s="533"/>
      <c r="AK149" s="533"/>
      <c r="AL149" s="533"/>
      <c r="AM149" s="533"/>
      <c r="AN149" s="533"/>
    </row>
    <row r="150" spans="1:40" x14ac:dyDescent="0.25">
      <c r="A150" s="350"/>
      <c r="B150" s="351"/>
      <c r="C150" s="533"/>
      <c r="D150" s="533"/>
      <c r="E150" s="533"/>
      <c r="F150" s="533"/>
      <c r="G150" s="533"/>
      <c r="H150" s="533"/>
      <c r="I150" s="533"/>
      <c r="J150" s="533"/>
      <c r="K150" s="533"/>
      <c r="L150" s="533"/>
      <c r="M150" s="533"/>
      <c r="N150" s="533"/>
      <c r="O150" s="533"/>
      <c r="P150" s="533"/>
      <c r="Q150" s="533"/>
      <c r="R150" s="533"/>
      <c r="S150" s="533"/>
      <c r="T150" s="533"/>
      <c r="U150" s="533"/>
      <c r="V150" s="533"/>
      <c r="W150" s="533"/>
      <c r="X150" s="533"/>
      <c r="Y150" s="533"/>
      <c r="Z150" s="533"/>
      <c r="AA150" s="533"/>
      <c r="AB150" s="533"/>
      <c r="AC150" s="533"/>
      <c r="AD150" s="533"/>
      <c r="AE150" s="533"/>
      <c r="AF150" s="533"/>
      <c r="AG150" s="533"/>
      <c r="AH150" s="533"/>
      <c r="AI150" s="533"/>
      <c r="AJ150" s="533"/>
      <c r="AK150" s="533"/>
      <c r="AL150" s="533"/>
      <c r="AM150" s="533"/>
      <c r="AN150" s="533"/>
    </row>
    <row r="151" spans="1:40" ht="15.75" thickBot="1" x14ac:dyDescent="0.3">
      <c r="A151" s="350"/>
      <c r="B151" s="351"/>
      <c r="C151" s="534"/>
      <c r="D151" s="534"/>
      <c r="E151" s="534"/>
      <c r="F151" s="534"/>
      <c r="G151" s="534"/>
      <c r="H151" s="534"/>
      <c r="I151" s="534"/>
      <c r="J151" s="534"/>
      <c r="K151" s="534"/>
      <c r="L151" s="534"/>
      <c r="M151" s="534"/>
      <c r="N151" s="534"/>
      <c r="O151" s="534"/>
      <c r="P151" s="534"/>
      <c r="Q151" s="534"/>
      <c r="R151" s="534"/>
      <c r="S151" s="534"/>
      <c r="T151" s="534"/>
      <c r="U151" s="534"/>
      <c r="V151" s="534"/>
      <c r="W151" s="534"/>
      <c r="X151" s="534"/>
      <c r="Y151" s="534"/>
      <c r="Z151" s="534"/>
      <c r="AA151" s="534"/>
      <c r="AB151" s="534"/>
      <c r="AC151" s="534"/>
      <c r="AD151" s="534"/>
      <c r="AE151" s="534"/>
      <c r="AF151" s="534"/>
      <c r="AG151" s="534"/>
      <c r="AH151" s="534"/>
      <c r="AI151" s="534"/>
      <c r="AJ151" s="534"/>
      <c r="AK151" s="534"/>
      <c r="AL151" s="534"/>
      <c r="AM151" s="534"/>
      <c r="AN151" s="534"/>
    </row>
    <row r="152" spans="1:40" ht="30" customHeight="1" thickTop="1" x14ac:dyDescent="0.25">
      <c r="A152" s="352" t="s">
        <v>1017</v>
      </c>
      <c r="B152" s="353"/>
      <c r="C152" s="530" t="s">
        <v>768</v>
      </c>
      <c r="D152" s="530"/>
      <c r="E152" s="530"/>
      <c r="F152" s="530"/>
      <c r="G152" s="530"/>
      <c r="H152" s="530"/>
      <c r="I152" s="530"/>
      <c r="J152" s="530"/>
      <c r="K152" s="530"/>
      <c r="L152" s="530"/>
      <c r="M152" s="530"/>
      <c r="N152" s="530"/>
      <c r="O152" s="530"/>
      <c r="P152" s="530"/>
      <c r="Q152" s="530"/>
      <c r="R152" s="530"/>
      <c r="S152" s="530"/>
      <c r="T152" s="530"/>
      <c r="U152" s="530"/>
      <c r="V152" s="530"/>
      <c r="W152" s="530"/>
      <c r="X152" s="530"/>
      <c r="Y152" s="530"/>
      <c r="Z152" s="530"/>
      <c r="AA152" s="530"/>
      <c r="AB152" s="530"/>
      <c r="AC152" s="530"/>
      <c r="AD152" s="530"/>
      <c r="AE152" s="530"/>
      <c r="AF152" s="530"/>
      <c r="AG152" s="530"/>
      <c r="AH152" s="530"/>
      <c r="AI152" s="530"/>
      <c r="AJ152" s="530"/>
      <c r="AK152" s="530"/>
      <c r="AL152" s="530"/>
      <c r="AM152" s="530"/>
      <c r="AN152" s="530"/>
    </row>
    <row r="153" spans="1:40" x14ac:dyDescent="0.25">
      <c r="A153" s="354" t="s">
        <v>3</v>
      </c>
      <c r="B153" s="355"/>
      <c r="C153" s="528" t="s">
        <v>159</v>
      </c>
      <c r="D153" s="528"/>
      <c r="E153" s="528"/>
      <c r="F153" s="528"/>
      <c r="G153" s="528"/>
      <c r="H153" s="528"/>
      <c r="I153" s="528"/>
      <c r="J153" s="528"/>
      <c r="K153" s="528"/>
      <c r="L153" s="528"/>
      <c r="M153" s="528"/>
      <c r="N153" s="528"/>
      <c r="O153" s="528"/>
      <c r="P153" s="528"/>
      <c r="Q153" s="528"/>
      <c r="R153" s="528"/>
      <c r="S153" s="528"/>
      <c r="T153" s="528"/>
      <c r="U153" s="528"/>
      <c r="V153" s="528"/>
      <c r="W153" s="528"/>
      <c r="X153" s="528"/>
      <c r="Y153" s="528"/>
      <c r="Z153" s="528"/>
      <c r="AA153" s="528"/>
      <c r="AB153" s="528"/>
      <c r="AC153" s="528"/>
      <c r="AD153" s="528"/>
      <c r="AE153" s="528"/>
      <c r="AF153" s="528"/>
      <c r="AG153" s="528"/>
      <c r="AH153" s="528"/>
      <c r="AI153" s="528"/>
      <c r="AJ153" s="528"/>
      <c r="AK153" s="528"/>
      <c r="AL153" s="528"/>
      <c r="AM153" s="528"/>
      <c r="AN153" s="528"/>
    </row>
    <row r="154" spans="1:40" x14ac:dyDescent="0.25">
      <c r="A154" s="354"/>
      <c r="B154" s="355"/>
      <c r="C154" s="528"/>
      <c r="D154" s="528"/>
      <c r="E154" s="528"/>
      <c r="F154" s="528"/>
      <c r="G154" s="528"/>
      <c r="H154" s="528"/>
      <c r="I154" s="528"/>
      <c r="J154" s="528"/>
      <c r="K154" s="528"/>
      <c r="L154" s="528"/>
      <c r="M154" s="528"/>
      <c r="N154" s="528"/>
      <c r="O154" s="528"/>
      <c r="P154" s="528"/>
      <c r="Q154" s="528"/>
      <c r="R154" s="528"/>
      <c r="S154" s="528"/>
      <c r="T154" s="528"/>
      <c r="U154" s="528"/>
      <c r="V154" s="528"/>
      <c r="W154" s="528"/>
      <c r="X154" s="528"/>
      <c r="Y154" s="528"/>
      <c r="Z154" s="528"/>
      <c r="AA154" s="528"/>
      <c r="AB154" s="528"/>
      <c r="AC154" s="528"/>
      <c r="AD154" s="528"/>
      <c r="AE154" s="528"/>
      <c r="AF154" s="528"/>
      <c r="AG154" s="528"/>
      <c r="AH154" s="528"/>
      <c r="AI154" s="528"/>
      <c r="AJ154" s="528"/>
      <c r="AK154" s="528"/>
      <c r="AL154" s="528"/>
      <c r="AM154" s="528"/>
      <c r="AN154" s="528"/>
    </row>
    <row r="155" spans="1:40" x14ac:dyDescent="0.25">
      <c r="A155" s="354"/>
      <c r="B155" s="355"/>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528"/>
      <c r="AJ155" s="528"/>
      <c r="AK155" s="528"/>
      <c r="AL155" s="528"/>
      <c r="AM155" s="528"/>
      <c r="AN155" s="528"/>
    </row>
    <row r="156" spans="1:40" x14ac:dyDescent="0.25">
      <c r="A156" s="354"/>
      <c r="B156" s="355"/>
      <c r="C156" s="528"/>
      <c r="D156" s="528"/>
      <c r="E156" s="528"/>
      <c r="F156" s="528"/>
      <c r="G156" s="528"/>
      <c r="H156" s="528"/>
      <c r="I156" s="528"/>
      <c r="J156" s="528"/>
      <c r="K156" s="528"/>
      <c r="L156" s="528"/>
      <c r="M156" s="528"/>
      <c r="N156" s="528"/>
      <c r="O156" s="528"/>
      <c r="P156" s="528"/>
      <c r="Q156" s="528"/>
      <c r="R156" s="528"/>
      <c r="S156" s="528"/>
      <c r="T156" s="528"/>
      <c r="U156" s="528"/>
      <c r="V156" s="528"/>
      <c r="W156" s="528"/>
      <c r="X156" s="528"/>
      <c r="Y156" s="528"/>
      <c r="Z156" s="528"/>
      <c r="AA156" s="528"/>
      <c r="AB156" s="528"/>
      <c r="AC156" s="528"/>
      <c r="AD156" s="528"/>
      <c r="AE156" s="528"/>
      <c r="AF156" s="528"/>
      <c r="AG156" s="528"/>
      <c r="AH156" s="528"/>
      <c r="AI156" s="528"/>
      <c r="AJ156" s="528"/>
      <c r="AK156" s="528"/>
      <c r="AL156" s="528"/>
      <c r="AM156" s="528"/>
      <c r="AN156" s="528"/>
    </row>
    <row r="157" spans="1:40" ht="15.75" thickBot="1" x14ac:dyDescent="0.3">
      <c r="A157" s="354"/>
      <c r="B157" s="355"/>
      <c r="C157" s="529"/>
      <c r="D157" s="529"/>
      <c r="E157" s="529"/>
      <c r="F157" s="529"/>
      <c r="G157" s="529"/>
      <c r="H157" s="529"/>
      <c r="I157" s="529"/>
      <c r="J157" s="529"/>
      <c r="K157" s="529"/>
      <c r="L157" s="529"/>
      <c r="M157" s="529"/>
      <c r="N157" s="529"/>
      <c r="O157" s="529"/>
      <c r="P157" s="529"/>
      <c r="Q157" s="529"/>
      <c r="R157" s="529"/>
      <c r="S157" s="529"/>
      <c r="T157" s="529"/>
      <c r="U157" s="529"/>
      <c r="V157" s="529"/>
      <c r="W157" s="529"/>
      <c r="X157" s="529"/>
      <c r="Y157" s="529"/>
      <c r="Z157" s="529"/>
      <c r="AA157" s="529"/>
      <c r="AB157" s="529"/>
      <c r="AC157" s="529"/>
      <c r="AD157" s="529"/>
      <c r="AE157" s="529"/>
      <c r="AF157" s="529"/>
      <c r="AG157" s="529"/>
      <c r="AH157" s="529"/>
      <c r="AI157" s="529"/>
      <c r="AJ157" s="529"/>
      <c r="AK157" s="529"/>
      <c r="AL157" s="529"/>
      <c r="AM157" s="529"/>
      <c r="AN157" s="529"/>
    </row>
    <row r="158" spans="1:40" ht="30" customHeight="1" thickTop="1" x14ac:dyDescent="0.25">
      <c r="A158" s="348" t="s">
        <v>1017</v>
      </c>
      <c r="B158" s="349"/>
      <c r="C158" s="530" t="s">
        <v>768</v>
      </c>
      <c r="D158" s="530"/>
      <c r="E158" s="530"/>
      <c r="F158" s="530"/>
      <c r="G158" s="530"/>
      <c r="H158" s="530"/>
      <c r="I158" s="530"/>
      <c r="J158" s="530"/>
      <c r="K158" s="530"/>
      <c r="L158" s="530"/>
      <c r="M158" s="530"/>
      <c r="N158" s="530"/>
      <c r="O158" s="530"/>
      <c r="P158" s="530"/>
      <c r="Q158" s="530"/>
      <c r="R158" s="530"/>
      <c r="S158" s="530"/>
      <c r="T158" s="530"/>
      <c r="U158" s="530"/>
      <c r="V158" s="530"/>
      <c r="W158" s="530"/>
      <c r="X158" s="530"/>
      <c r="Y158" s="530"/>
      <c r="Z158" s="530"/>
      <c r="AA158" s="530"/>
      <c r="AB158" s="530"/>
      <c r="AC158" s="530"/>
      <c r="AD158" s="530"/>
      <c r="AE158" s="530"/>
      <c r="AF158" s="530"/>
      <c r="AG158" s="530"/>
      <c r="AH158" s="530"/>
      <c r="AI158" s="530"/>
      <c r="AJ158" s="530"/>
      <c r="AK158" s="530"/>
      <c r="AL158" s="530"/>
      <c r="AM158" s="530"/>
      <c r="AN158" s="530"/>
    </row>
    <row r="159" spans="1:40" x14ac:dyDescent="0.25">
      <c r="A159" s="356" t="s">
        <v>32</v>
      </c>
      <c r="B159" s="357"/>
      <c r="C159" s="533" t="s">
        <v>159</v>
      </c>
      <c r="D159" s="533"/>
      <c r="E159" s="533"/>
      <c r="F159" s="533"/>
      <c r="G159" s="533"/>
      <c r="H159" s="533"/>
      <c r="I159" s="533"/>
      <c r="J159" s="533"/>
      <c r="K159" s="533"/>
      <c r="L159" s="533"/>
      <c r="M159" s="533"/>
      <c r="N159" s="533"/>
      <c r="O159" s="533"/>
      <c r="P159" s="533"/>
      <c r="Q159" s="533"/>
      <c r="R159" s="533"/>
      <c r="S159" s="533"/>
      <c r="T159" s="533"/>
      <c r="U159" s="533"/>
      <c r="V159" s="533"/>
      <c r="W159" s="533"/>
      <c r="X159" s="533"/>
      <c r="Y159" s="533"/>
      <c r="Z159" s="533"/>
      <c r="AA159" s="533"/>
      <c r="AB159" s="533"/>
      <c r="AC159" s="533"/>
      <c r="AD159" s="533"/>
      <c r="AE159" s="533"/>
      <c r="AF159" s="533"/>
      <c r="AG159" s="533"/>
      <c r="AH159" s="533"/>
      <c r="AI159" s="533"/>
      <c r="AJ159" s="533"/>
      <c r="AK159" s="533"/>
      <c r="AL159" s="533"/>
      <c r="AM159" s="533"/>
      <c r="AN159" s="533"/>
    </row>
    <row r="160" spans="1:40" x14ac:dyDescent="0.25">
      <c r="A160" s="356"/>
      <c r="B160" s="357"/>
      <c r="C160" s="533"/>
      <c r="D160" s="533"/>
      <c r="E160" s="533"/>
      <c r="F160" s="533"/>
      <c r="G160" s="533"/>
      <c r="H160" s="533"/>
      <c r="I160" s="533"/>
      <c r="J160" s="533"/>
      <c r="K160" s="533"/>
      <c r="L160" s="533"/>
      <c r="M160" s="533"/>
      <c r="N160" s="533"/>
      <c r="O160" s="533"/>
      <c r="P160" s="533"/>
      <c r="Q160" s="533"/>
      <c r="R160" s="533"/>
      <c r="S160" s="533"/>
      <c r="T160" s="533"/>
      <c r="U160" s="533"/>
      <c r="V160" s="533"/>
      <c r="W160" s="533"/>
      <c r="X160" s="533"/>
      <c r="Y160" s="533"/>
      <c r="Z160" s="533"/>
      <c r="AA160" s="533"/>
      <c r="AB160" s="533"/>
      <c r="AC160" s="533"/>
      <c r="AD160" s="533"/>
      <c r="AE160" s="533"/>
      <c r="AF160" s="533"/>
      <c r="AG160" s="533"/>
      <c r="AH160" s="533"/>
      <c r="AI160" s="533"/>
      <c r="AJ160" s="533"/>
      <c r="AK160" s="533"/>
      <c r="AL160" s="533"/>
      <c r="AM160" s="533"/>
      <c r="AN160" s="533"/>
    </row>
    <row r="161" spans="1:40" x14ac:dyDescent="0.25">
      <c r="A161" s="356"/>
      <c r="B161" s="357"/>
      <c r="C161" s="533"/>
      <c r="D161" s="533"/>
      <c r="E161" s="533"/>
      <c r="F161" s="533"/>
      <c r="G161" s="533"/>
      <c r="H161" s="533"/>
      <c r="I161" s="533"/>
      <c r="J161" s="533"/>
      <c r="K161" s="533"/>
      <c r="L161" s="533"/>
      <c r="M161" s="533"/>
      <c r="N161" s="533"/>
      <c r="O161" s="533"/>
      <c r="P161" s="533"/>
      <c r="Q161" s="533"/>
      <c r="R161" s="533"/>
      <c r="S161" s="533"/>
      <c r="T161" s="533"/>
      <c r="U161" s="533"/>
      <c r="V161" s="533"/>
      <c r="W161" s="533"/>
      <c r="X161" s="533"/>
      <c r="Y161" s="533"/>
      <c r="Z161" s="533"/>
      <c r="AA161" s="533"/>
      <c r="AB161" s="533"/>
      <c r="AC161" s="533"/>
      <c r="AD161" s="533"/>
      <c r="AE161" s="533"/>
      <c r="AF161" s="533"/>
      <c r="AG161" s="533"/>
      <c r="AH161" s="533"/>
      <c r="AI161" s="533"/>
      <c r="AJ161" s="533"/>
      <c r="AK161" s="533"/>
      <c r="AL161" s="533"/>
      <c r="AM161" s="533"/>
      <c r="AN161" s="533"/>
    </row>
    <row r="162" spans="1:40" x14ac:dyDescent="0.25">
      <c r="A162" s="356"/>
      <c r="B162" s="357"/>
      <c r="C162" s="533"/>
      <c r="D162" s="533"/>
      <c r="E162" s="533"/>
      <c r="F162" s="533"/>
      <c r="G162" s="533"/>
      <c r="H162" s="533"/>
      <c r="I162" s="533"/>
      <c r="J162" s="533"/>
      <c r="K162" s="533"/>
      <c r="L162" s="533"/>
      <c r="M162" s="533"/>
      <c r="N162" s="533"/>
      <c r="O162" s="533"/>
      <c r="P162" s="533"/>
      <c r="Q162" s="533"/>
      <c r="R162" s="533"/>
      <c r="S162" s="533"/>
      <c r="T162" s="533"/>
      <c r="U162" s="533"/>
      <c r="V162" s="533"/>
      <c r="W162" s="533"/>
      <c r="X162" s="533"/>
      <c r="Y162" s="533"/>
      <c r="Z162" s="533"/>
      <c r="AA162" s="533"/>
      <c r="AB162" s="533"/>
      <c r="AC162" s="533"/>
      <c r="AD162" s="533"/>
      <c r="AE162" s="533"/>
      <c r="AF162" s="533"/>
      <c r="AG162" s="533"/>
      <c r="AH162" s="533"/>
      <c r="AI162" s="533"/>
      <c r="AJ162" s="533"/>
      <c r="AK162" s="533"/>
      <c r="AL162" s="533"/>
      <c r="AM162" s="533"/>
      <c r="AN162" s="533"/>
    </row>
    <row r="163" spans="1:40" ht="15.75" thickBot="1" x14ac:dyDescent="0.3">
      <c r="A163" s="356"/>
      <c r="B163" s="357"/>
      <c r="C163" s="534"/>
      <c r="D163" s="534"/>
      <c r="E163" s="534"/>
      <c r="F163" s="534"/>
      <c r="G163" s="534"/>
      <c r="H163" s="534"/>
      <c r="I163" s="534"/>
      <c r="J163" s="534"/>
      <c r="K163" s="534"/>
      <c r="L163" s="534"/>
      <c r="M163" s="534"/>
      <c r="N163" s="534"/>
      <c r="O163" s="534"/>
      <c r="P163" s="534"/>
      <c r="Q163" s="534"/>
      <c r="R163" s="534"/>
      <c r="S163" s="534"/>
      <c r="T163" s="534"/>
      <c r="U163" s="534"/>
      <c r="V163" s="534"/>
      <c r="W163" s="534"/>
      <c r="X163" s="534"/>
      <c r="Y163" s="534"/>
      <c r="Z163" s="534"/>
      <c r="AA163" s="534"/>
      <c r="AB163" s="534"/>
      <c r="AC163" s="534"/>
      <c r="AD163" s="534"/>
      <c r="AE163" s="534"/>
      <c r="AF163" s="534"/>
      <c r="AG163" s="534"/>
      <c r="AH163" s="534"/>
      <c r="AI163" s="534"/>
      <c r="AJ163" s="534"/>
      <c r="AK163" s="534"/>
      <c r="AL163" s="534"/>
      <c r="AM163" s="534"/>
      <c r="AN163" s="534"/>
    </row>
    <row r="164" spans="1:40" ht="30" customHeight="1" thickTop="1" x14ac:dyDescent="0.25">
      <c r="A164" s="352" t="s">
        <v>1017</v>
      </c>
      <c r="B164" s="353"/>
      <c r="C164" s="530" t="s">
        <v>768</v>
      </c>
      <c r="D164" s="530"/>
      <c r="E164" s="530"/>
      <c r="F164" s="530"/>
      <c r="G164" s="530"/>
      <c r="H164" s="530"/>
      <c r="I164" s="530"/>
      <c r="J164" s="530"/>
      <c r="K164" s="530"/>
      <c r="L164" s="530"/>
      <c r="M164" s="530"/>
      <c r="N164" s="530"/>
      <c r="O164" s="530"/>
      <c r="P164" s="530"/>
      <c r="Q164" s="530"/>
      <c r="R164" s="530"/>
      <c r="S164" s="530"/>
      <c r="T164" s="530"/>
      <c r="U164" s="530"/>
      <c r="V164" s="530"/>
      <c r="W164" s="530"/>
      <c r="X164" s="530"/>
      <c r="Y164" s="530"/>
      <c r="Z164" s="530"/>
      <c r="AA164" s="530"/>
      <c r="AB164" s="530"/>
      <c r="AC164" s="530"/>
      <c r="AD164" s="530"/>
      <c r="AE164" s="530"/>
      <c r="AF164" s="530"/>
      <c r="AG164" s="530"/>
      <c r="AH164" s="530"/>
      <c r="AI164" s="530"/>
      <c r="AJ164" s="530"/>
      <c r="AK164" s="530"/>
      <c r="AL164" s="530"/>
      <c r="AM164" s="530"/>
      <c r="AN164" s="530"/>
    </row>
    <row r="165" spans="1:40" x14ac:dyDescent="0.25">
      <c r="A165" s="354" t="s">
        <v>33</v>
      </c>
      <c r="B165" s="355"/>
      <c r="C165" s="528" t="s">
        <v>159</v>
      </c>
      <c r="D165" s="528"/>
      <c r="E165" s="528"/>
      <c r="F165" s="528"/>
      <c r="G165" s="528"/>
      <c r="H165" s="528"/>
      <c r="I165" s="528"/>
      <c r="J165" s="528"/>
      <c r="K165" s="528"/>
      <c r="L165" s="528"/>
      <c r="M165" s="528"/>
      <c r="N165" s="528"/>
      <c r="O165" s="528"/>
      <c r="P165" s="528"/>
      <c r="Q165" s="528"/>
      <c r="R165" s="528"/>
      <c r="S165" s="528"/>
      <c r="T165" s="528"/>
      <c r="U165" s="528"/>
      <c r="V165" s="528"/>
      <c r="W165" s="528"/>
      <c r="X165" s="528"/>
      <c r="Y165" s="528"/>
      <c r="Z165" s="528"/>
      <c r="AA165" s="528"/>
      <c r="AB165" s="528"/>
      <c r="AC165" s="528"/>
      <c r="AD165" s="528"/>
      <c r="AE165" s="528"/>
      <c r="AF165" s="528"/>
      <c r="AG165" s="528"/>
      <c r="AH165" s="528"/>
      <c r="AI165" s="528"/>
      <c r="AJ165" s="528"/>
      <c r="AK165" s="528"/>
      <c r="AL165" s="528"/>
      <c r="AM165" s="528"/>
      <c r="AN165" s="528"/>
    </row>
    <row r="166" spans="1:40" x14ac:dyDescent="0.25">
      <c r="A166" s="354"/>
      <c r="B166" s="355"/>
      <c r="C166" s="528"/>
      <c r="D166" s="528"/>
      <c r="E166" s="528"/>
      <c r="F166" s="528"/>
      <c r="G166" s="528"/>
      <c r="H166" s="528"/>
      <c r="I166" s="528"/>
      <c r="J166" s="528"/>
      <c r="K166" s="528"/>
      <c r="L166" s="528"/>
      <c r="M166" s="528"/>
      <c r="N166" s="528"/>
      <c r="O166" s="528"/>
      <c r="P166" s="528"/>
      <c r="Q166" s="528"/>
      <c r="R166" s="528"/>
      <c r="S166" s="528"/>
      <c r="T166" s="528"/>
      <c r="U166" s="528"/>
      <c r="V166" s="528"/>
      <c r="W166" s="528"/>
      <c r="X166" s="528"/>
      <c r="Y166" s="528"/>
      <c r="Z166" s="528"/>
      <c r="AA166" s="528"/>
      <c r="AB166" s="528"/>
      <c r="AC166" s="528"/>
      <c r="AD166" s="528"/>
      <c r="AE166" s="528"/>
      <c r="AF166" s="528"/>
      <c r="AG166" s="528"/>
      <c r="AH166" s="528"/>
      <c r="AI166" s="528"/>
      <c r="AJ166" s="528"/>
      <c r="AK166" s="528"/>
      <c r="AL166" s="528"/>
      <c r="AM166" s="528"/>
      <c r="AN166" s="528"/>
    </row>
    <row r="167" spans="1:40" x14ac:dyDescent="0.25">
      <c r="A167" s="354"/>
      <c r="B167" s="355"/>
      <c r="C167" s="528"/>
      <c r="D167" s="528"/>
      <c r="E167" s="528"/>
      <c r="F167" s="528"/>
      <c r="G167" s="528"/>
      <c r="H167" s="528"/>
      <c r="I167" s="528"/>
      <c r="J167" s="528"/>
      <c r="K167" s="528"/>
      <c r="L167" s="528"/>
      <c r="M167" s="528"/>
      <c r="N167" s="528"/>
      <c r="O167" s="528"/>
      <c r="P167" s="528"/>
      <c r="Q167" s="528"/>
      <c r="R167" s="528"/>
      <c r="S167" s="528"/>
      <c r="T167" s="528"/>
      <c r="U167" s="528"/>
      <c r="V167" s="528"/>
      <c r="W167" s="528"/>
      <c r="X167" s="528"/>
      <c r="Y167" s="528"/>
      <c r="Z167" s="528"/>
      <c r="AA167" s="528"/>
      <c r="AB167" s="528"/>
      <c r="AC167" s="528"/>
      <c r="AD167" s="528"/>
      <c r="AE167" s="528"/>
      <c r="AF167" s="528"/>
      <c r="AG167" s="528"/>
      <c r="AH167" s="528"/>
      <c r="AI167" s="528"/>
      <c r="AJ167" s="528"/>
      <c r="AK167" s="528"/>
      <c r="AL167" s="528"/>
      <c r="AM167" s="528"/>
      <c r="AN167" s="528"/>
    </row>
    <row r="168" spans="1:40" x14ac:dyDescent="0.25">
      <c r="A168" s="354"/>
      <c r="B168" s="355"/>
      <c r="C168" s="528"/>
      <c r="D168" s="528"/>
      <c r="E168" s="528"/>
      <c r="F168" s="528"/>
      <c r="G168" s="528"/>
      <c r="H168" s="528"/>
      <c r="I168" s="528"/>
      <c r="J168" s="528"/>
      <c r="K168" s="528"/>
      <c r="L168" s="528"/>
      <c r="M168" s="528"/>
      <c r="N168" s="528"/>
      <c r="O168" s="528"/>
      <c r="P168" s="528"/>
      <c r="Q168" s="528"/>
      <c r="R168" s="528"/>
      <c r="S168" s="528"/>
      <c r="T168" s="528"/>
      <c r="U168" s="528"/>
      <c r="V168" s="528"/>
      <c r="W168" s="528"/>
      <c r="X168" s="528"/>
      <c r="Y168" s="528"/>
      <c r="Z168" s="528"/>
      <c r="AA168" s="528"/>
      <c r="AB168" s="528"/>
      <c r="AC168" s="528"/>
      <c r="AD168" s="528"/>
      <c r="AE168" s="528"/>
      <c r="AF168" s="528"/>
      <c r="AG168" s="528"/>
      <c r="AH168" s="528"/>
      <c r="AI168" s="528"/>
      <c r="AJ168" s="528"/>
      <c r="AK168" s="528"/>
      <c r="AL168" s="528"/>
      <c r="AM168" s="528"/>
      <c r="AN168" s="528"/>
    </row>
    <row r="169" spans="1:40" ht="15.75" thickBot="1" x14ac:dyDescent="0.3">
      <c r="A169" s="354"/>
      <c r="B169" s="355"/>
      <c r="C169" s="529"/>
      <c r="D169" s="529"/>
      <c r="E169" s="529"/>
      <c r="F169" s="529"/>
      <c r="G169" s="529"/>
      <c r="H169" s="529"/>
      <c r="I169" s="529"/>
      <c r="J169" s="529"/>
      <c r="K169" s="529"/>
      <c r="L169" s="529"/>
      <c r="M169" s="529"/>
      <c r="N169" s="529"/>
      <c r="O169" s="529"/>
      <c r="P169" s="529"/>
      <c r="Q169" s="529"/>
      <c r="R169" s="529"/>
      <c r="S169" s="529"/>
      <c r="T169" s="529"/>
      <c r="U169" s="529"/>
      <c r="V169" s="529"/>
      <c r="W169" s="529"/>
      <c r="X169" s="529"/>
      <c r="Y169" s="529"/>
      <c r="Z169" s="529"/>
      <c r="AA169" s="529"/>
      <c r="AB169" s="529"/>
      <c r="AC169" s="529"/>
      <c r="AD169" s="529"/>
      <c r="AE169" s="529"/>
      <c r="AF169" s="529"/>
      <c r="AG169" s="529"/>
      <c r="AH169" s="529"/>
      <c r="AI169" s="529"/>
      <c r="AJ169" s="529"/>
      <c r="AK169" s="529"/>
      <c r="AL169" s="529"/>
      <c r="AM169" s="529"/>
      <c r="AN169" s="529"/>
    </row>
    <row r="170" spans="1:40" ht="15.75" thickTop="1" x14ac:dyDescent="0.25"/>
  </sheetData>
  <mergeCells count="164">
    <mergeCell ref="A1:AN1"/>
    <mergeCell ref="A2:AN2"/>
    <mergeCell ref="U8:Y8"/>
    <mergeCell ref="A6:G7"/>
    <mergeCell ref="H6:S7"/>
    <mergeCell ref="A8:G8"/>
    <mergeCell ref="C32:AN32"/>
    <mergeCell ref="C33:AN37"/>
    <mergeCell ref="A10:B10"/>
    <mergeCell ref="A9:AK9"/>
    <mergeCell ref="A11:B11"/>
    <mergeCell ref="A12:B12"/>
    <mergeCell ref="A13:B13"/>
    <mergeCell ref="A14:B14"/>
    <mergeCell ref="A15:B15"/>
    <mergeCell ref="A16:B16"/>
    <mergeCell ref="A17:B17"/>
    <mergeCell ref="A18:B18"/>
    <mergeCell ref="C20:AN20"/>
    <mergeCell ref="C21:AN25"/>
    <mergeCell ref="C26:AN26"/>
    <mergeCell ref="C27:AN31"/>
    <mergeCell ref="H8:O8"/>
    <mergeCell ref="P8:S8"/>
    <mergeCell ref="Z8:AN8"/>
    <mergeCell ref="A19:AN19"/>
    <mergeCell ref="C10:E10"/>
    <mergeCell ref="C11:E11"/>
    <mergeCell ref="C12:E12"/>
    <mergeCell ref="C13:E13"/>
    <mergeCell ref="C14:E14"/>
    <mergeCell ref="C15:E15"/>
    <mergeCell ref="C16:E16"/>
    <mergeCell ref="C17:E17"/>
    <mergeCell ref="C18:E18"/>
    <mergeCell ref="F10:I10"/>
    <mergeCell ref="F11:I11"/>
    <mergeCell ref="F12:I12"/>
    <mergeCell ref="F13:I13"/>
    <mergeCell ref="F14:I14"/>
    <mergeCell ref="F15:I15"/>
    <mergeCell ref="N18:S18"/>
    <mergeCell ref="F16:I16"/>
    <mergeCell ref="F17:I17"/>
    <mergeCell ref="F18:I18"/>
    <mergeCell ref="J18:M18"/>
    <mergeCell ref="A3:AK3"/>
    <mergeCell ref="U5:Y5"/>
    <mergeCell ref="A5:G5"/>
    <mergeCell ref="H5:S5"/>
    <mergeCell ref="U6:Y6"/>
    <mergeCell ref="U7:Y7"/>
    <mergeCell ref="Z4:AN4"/>
    <mergeCell ref="Z5:AN5"/>
    <mergeCell ref="Z6:AN6"/>
    <mergeCell ref="Z7:AN7"/>
    <mergeCell ref="A4:G4"/>
    <mergeCell ref="H4:S4"/>
    <mergeCell ref="U4:Y4"/>
    <mergeCell ref="C159:AN163"/>
    <mergeCell ref="C164:AN164"/>
    <mergeCell ref="C165:AN169"/>
    <mergeCell ref="C134:AN134"/>
    <mergeCell ref="C135:AN139"/>
    <mergeCell ref="C146:AN146"/>
    <mergeCell ref="C147:AN151"/>
    <mergeCell ref="C110:AN110"/>
    <mergeCell ref="C111:AN115"/>
    <mergeCell ref="C116:AN116"/>
    <mergeCell ref="C117:AN121"/>
    <mergeCell ref="C122:AN122"/>
    <mergeCell ref="C140:AN140"/>
    <mergeCell ref="C141:AN145"/>
    <mergeCell ref="C152:AN152"/>
    <mergeCell ref="C153:AN157"/>
    <mergeCell ref="C158:AN158"/>
    <mergeCell ref="C128:AN128"/>
    <mergeCell ref="C129:AN133"/>
    <mergeCell ref="C123:AN127"/>
    <mergeCell ref="C98:AN98"/>
    <mergeCell ref="C99:AN103"/>
    <mergeCell ref="C104:AN104"/>
    <mergeCell ref="C105:AN109"/>
    <mergeCell ref="C86:AN86"/>
    <mergeCell ref="C87:AN91"/>
    <mergeCell ref="C68:AN68"/>
    <mergeCell ref="C69:AN73"/>
    <mergeCell ref="C74:AN74"/>
    <mergeCell ref="C75:AN79"/>
    <mergeCell ref="C45:AN49"/>
    <mergeCell ref="C38:AN38"/>
    <mergeCell ref="C39:AN43"/>
    <mergeCell ref="C44:AN44"/>
    <mergeCell ref="C57:AN61"/>
    <mergeCell ref="C62:AN62"/>
    <mergeCell ref="C63:AN67"/>
    <mergeCell ref="C92:AN92"/>
    <mergeCell ref="C93:AN97"/>
    <mergeCell ref="C80:AN80"/>
    <mergeCell ref="C81:AN85"/>
    <mergeCell ref="C50:AN50"/>
    <mergeCell ref="C51:AN55"/>
    <mergeCell ref="C56:AN56"/>
    <mergeCell ref="AH17:AN17"/>
    <mergeCell ref="J10:M10"/>
    <mergeCell ref="J11:M11"/>
    <mergeCell ref="J12:M12"/>
    <mergeCell ref="J13:M13"/>
    <mergeCell ref="J14:M14"/>
    <mergeCell ref="J15:M15"/>
    <mergeCell ref="J16:M16"/>
    <mergeCell ref="J17:M17"/>
    <mergeCell ref="AH12:AN12"/>
    <mergeCell ref="AH13:AN13"/>
    <mergeCell ref="U10:V10"/>
    <mergeCell ref="W10:Y10"/>
    <mergeCell ref="Z10:AC10"/>
    <mergeCell ref="AD10:AG10"/>
    <mergeCell ref="U11:V11"/>
    <mergeCell ref="W11:Y11"/>
    <mergeCell ref="Z11:AC11"/>
    <mergeCell ref="AD11:AG11"/>
    <mergeCell ref="AH10:AN10"/>
    <mergeCell ref="AH11:AN11"/>
    <mergeCell ref="U12:V12"/>
    <mergeCell ref="W12:Y12"/>
    <mergeCell ref="Z12:AC12"/>
    <mergeCell ref="N10:S10"/>
    <mergeCell ref="N11:S11"/>
    <mergeCell ref="N12:S12"/>
    <mergeCell ref="N13:S13"/>
    <mergeCell ref="N14:S14"/>
    <mergeCell ref="N15:S15"/>
    <mergeCell ref="N16:S16"/>
    <mergeCell ref="N17:S17"/>
    <mergeCell ref="AD12:AG12"/>
    <mergeCell ref="U13:V13"/>
    <mergeCell ref="W13:Y13"/>
    <mergeCell ref="Z13:AC13"/>
    <mergeCell ref="AD13:AG13"/>
    <mergeCell ref="AH18:AN18"/>
    <mergeCell ref="U14:V14"/>
    <mergeCell ref="W14:Y14"/>
    <mergeCell ref="Z14:AC14"/>
    <mergeCell ref="AD14:AG14"/>
    <mergeCell ref="U15:V15"/>
    <mergeCell ref="W15:Y15"/>
    <mergeCell ref="Z15:AC15"/>
    <mergeCell ref="AD15:AG15"/>
    <mergeCell ref="AH14:AN14"/>
    <mergeCell ref="AH15:AN15"/>
    <mergeCell ref="U16:V16"/>
    <mergeCell ref="W16:Y16"/>
    <mergeCell ref="Z16:AC16"/>
    <mergeCell ref="AD16:AG16"/>
    <mergeCell ref="U17:V17"/>
    <mergeCell ref="W17:Y17"/>
    <mergeCell ref="Z17:AC17"/>
    <mergeCell ref="AH16:AN16"/>
    <mergeCell ref="AD17:AG17"/>
    <mergeCell ref="U18:V18"/>
    <mergeCell ref="W18:Y18"/>
    <mergeCell ref="Z18:AC18"/>
    <mergeCell ref="AD18:AG18"/>
  </mergeCells>
  <phoneticPr fontId="17" type="noConversion"/>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C0D1A9AF-506B-418B-AB93-68D8B3F8C52D}">
          <x14:formula1>
            <xm:f>'Drop-Down Boxes '!$H$3:$H$11</xm:f>
          </x14:formula1>
          <xm:sqref>P8:S8</xm:sqref>
        </x14:dataValidation>
        <x14:dataValidation type="list" allowBlank="1" showInputMessage="1" showErrorMessage="1" xr:uid="{C4599B74-A08C-4B93-86B9-CB11C0BB57BE}">
          <x14:formula1>
            <xm:f>'Drop-Down Boxes '!$D$3:$D$14</xm:f>
          </x14:formula1>
          <xm:sqref>H8:O8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11AAC-A977-4B71-875E-FF35545E4AB6}">
  <sheetPr>
    <tabColor theme="9" tint="-0.499984740745262"/>
  </sheetPr>
  <dimension ref="A1:AU1514"/>
  <sheetViews>
    <sheetView zoomScale="90" zoomScaleNormal="90" workbookViewId="0">
      <pane ySplit="1" topLeftCell="A2" activePane="bottomLeft" state="frozen"/>
      <selection pane="bottomLeft" activeCell="AC14" sqref="AC14"/>
    </sheetView>
  </sheetViews>
  <sheetFormatPr defaultColWidth="8.85546875" defaultRowHeight="15" x14ac:dyDescent="0.25"/>
  <cols>
    <col min="1" max="1" width="7" customWidth="1"/>
    <col min="2" max="6" width="5.7109375" customWidth="1"/>
    <col min="7" max="7" width="6.5703125" customWidth="1"/>
    <col min="8" max="10" width="4.85546875" customWidth="1"/>
    <col min="11" max="12" width="5.7109375" customWidth="1"/>
    <col min="13" max="28" width="4.7109375" customWidth="1"/>
  </cols>
  <sheetData>
    <row r="1" spans="1:47" ht="60" customHeight="1" x14ac:dyDescent="0.25">
      <c r="A1" s="10" t="s">
        <v>15</v>
      </c>
      <c r="B1" s="597" t="s">
        <v>157</v>
      </c>
      <c r="C1" s="597"/>
      <c r="D1" s="598" t="s">
        <v>405</v>
      </c>
      <c r="E1" s="598"/>
      <c r="F1" s="599" t="s">
        <v>46</v>
      </c>
      <c r="G1" s="600"/>
      <c r="H1" s="601" t="s">
        <v>497</v>
      </c>
      <c r="I1" s="602"/>
      <c r="J1" s="603"/>
      <c r="K1" s="594" t="s">
        <v>406</v>
      </c>
      <c r="L1" s="595"/>
      <c r="M1" s="596"/>
      <c r="N1" s="586" t="s">
        <v>30</v>
      </c>
      <c r="O1" s="587"/>
      <c r="P1" s="587"/>
      <c r="Q1" s="587"/>
      <c r="R1" s="587"/>
      <c r="S1" s="587"/>
      <c r="T1" s="587"/>
      <c r="U1" s="587"/>
    </row>
    <row r="2" spans="1:47" ht="19.899999999999999" customHeight="1" x14ac:dyDescent="0.25">
      <c r="A2" s="556" t="str">
        <f>'GRANTEE SET UP INFO &amp; DATE '!A1</f>
        <v>WV Bureau for Behavioral Health  - Peer Recovery Support Services  V 20200110</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row>
    <row r="3" spans="1:47" ht="19.899999999999999" customHeight="1" x14ac:dyDescent="0.25">
      <c r="A3" s="557" t="str">
        <f>'GRANTEE SET UP INFO &amp; DATE '!A2</f>
        <v xml:space="preserve">Program reports need to be submitted electronically, via e-mail to DHHRBBHReporting@wv.gov  within 25 calendar days of the end of each month </v>
      </c>
      <c r="B3" s="557"/>
      <c r="C3" s="557"/>
      <c r="D3" s="557"/>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row>
    <row r="4" spans="1:47" ht="28.15" customHeight="1" x14ac:dyDescent="0.25">
      <c r="A4" s="638" t="s">
        <v>737</v>
      </c>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row>
    <row r="5" spans="1:47" ht="30" customHeight="1" x14ac:dyDescent="0.25">
      <c r="A5" s="640" t="s">
        <v>160</v>
      </c>
      <c r="B5" s="641"/>
      <c r="C5" s="641"/>
      <c r="D5" s="641"/>
      <c r="E5" s="641"/>
      <c r="F5" s="641"/>
      <c r="G5" s="641"/>
      <c r="H5" s="641"/>
      <c r="I5" s="641"/>
      <c r="J5" s="641"/>
      <c r="K5" s="641"/>
      <c r="L5" s="641"/>
      <c r="M5" s="641"/>
      <c r="N5" s="641"/>
      <c r="O5" s="642"/>
      <c r="P5" s="643" t="str">
        <f>'GRANTEE SET UP INFO &amp; DATE '!H4</f>
        <v>Jobs and Hope</v>
      </c>
      <c r="Q5" s="644"/>
      <c r="R5" s="644"/>
      <c r="S5" s="644"/>
      <c r="T5" s="644"/>
      <c r="U5" s="644"/>
      <c r="V5" s="644"/>
      <c r="W5" s="644"/>
      <c r="X5" s="644"/>
      <c r="Y5" s="644"/>
      <c r="Z5" s="644"/>
      <c r="AA5" s="644"/>
      <c r="AB5" s="644"/>
      <c r="AC5" s="645"/>
      <c r="AD5" s="11"/>
      <c r="AE5" s="646" t="s">
        <v>158</v>
      </c>
      <c r="AF5" s="647"/>
      <c r="AG5" s="647"/>
      <c r="AH5" s="647"/>
      <c r="AI5" s="647"/>
      <c r="AJ5" s="648"/>
      <c r="AK5" s="649" t="str">
        <f>'GRANTEE SET UP INFO &amp; DATE '!Z4</f>
        <v xml:space="preserve">Grantee formal Name (name on grant agreement) </v>
      </c>
      <c r="AL5" s="650"/>
      <c r="AM5" s="650"/>
      <c r="AN5" s="650"/>
      <c r="AO5" s="650"/>
      <c r="AP5" s="650"/>
      <c r="AQ5" s="650"/>
      <c r="AR5" s="650"/>
      <c r="AS5" s="650"/>
      <c r="AT5" s="650"/>
      <c r="AU5" s="651"/>
    </row>
    <row r="6" spans="1:47" x14ac:dyDescent="0.25">
      <c r="A6" s="631" t="s">
        <v>984</v>
      </c>
      <c r="B6" s="632"/>
      <c r="C6" s="632"/>
      <c r="D6" s="632"/>
      <c r="E6" s="632"/>
      <c r="F6" s="632"/>
      <c r="G6" s="632"/>
      <c r="H6" s="632"/>
      <c r="I6" s="632"/>
      <c r="J6" s="632"/>
      <c r="K6" s="632"/>
      <c r="L6" s="632"/>
      <c r="M6" s="632"/>
      <c r="N6" s="632"/>
      <c r="O6" s="633"/>
      <c r="P6" s="634" t="str">
        <f>'GRANTEE SET UP INFO &amp; DATE '!H5</f>
        <v>Jobs and Hope</v>
      </c>
      <c r="Q6" s="509"/>
      <c r="R6" s="509"/>
      <c r="S6" s="509"/>
      <c r="T6" s="509"/>
      <c r="U6" s="509"/>
      <c r="V6" s="509"/>
      <c r="W6" s="509"/>
      <c r="X6" s="509"/>
      <c r="Y6" s="509"/>
      <c r="Z6" s="509"/>
      <c r="AA6" s="509"/>
      <c r="AB6" s="509"/>
      <c r="AC6" s="510"/>
      <c r="AD6" s="11"/>
      <c r="AE6" s="652" t="s">
        <v>1008</v>
      </c>
      <c r="AF6" s="653"/>
      <c r="AG6" s="653"/>
      <c r="AH6" s="653"/>
      <c r="AI6" s="653"/>
      <c r="AJ6" s="654"/>
      <c r="AK6" s="616" t="str">
        <f>'GRANTEE SET UP INFO &amp; DATE '!Z5</f>
        <v>Names of Contact(s):</v>
      </c>
      <c r="AL6" s="617"/>
      <c r="AM6" s="617"/>
      <c r="AN6" s="617"/>
      <c r="AO6" s="617"/>
      <c r="AP6" s="617"/>
      <c r="AQ6" s="617"/>
      <c r="AR6" s="617"/>
      <c r="AS6" s="617"/>
      <c r="AT6" s="617"/>
      <c r="AU6" s="618"/>
    </row>
    <row r="7" spans="1:47" ht="14.45" customHeight="1" x14ac:dyDescent="0.25">
      <c r="A7" s="619" t="s">
        <v>1</v>
      </c>
      <c r="B7" s="620"/>
      <c r="C7" s="620"/>
      <c r="D7" s="620"/>
      <c r="E7" s="620"/>
      <c r="F7" s="620"/>
      <c r="G7" s="620"/>
      <c r="H7" s="620"/>
      <c r="I7" s="620"/>
      <c r="J7" s="620"/>
      <c r="K7" s="620"/>
      <c r="L7" s="620"/>
      <c r="M7" s="620"/>
      <c r="N7" s="620"/>
      <c r="O7" s="621"/>
      <c r="P7" s="622" t="str">
        <f>'GRANTEE SET UP INFO &amp; DATE '!H6</f>
        <v>123 Any Street, Any City, WV 12345</v>
      </c>
      <c r="Q7" s="623"/>
      <c r="R7" s="623"/>
      <c r="S7" s="623"/>
      <c r="T7" s="623"/>
      <c r="U7" s="623"/>
      <c r="V7" s="623"/>
      <c r="W7" s="623"/>
      <c r="X7" s="623"/>
      <c r="Y7" s="623"/>
      <c r="Z7" s="623"/>
      <c r="AA7" s="623"/>
      <c r="AB7" s="623"/>
      <c r="AC7" s="624"/>
      <c r="AD7" s="11"/>
      <c r="AE7" s="631" t="s">
        <v>612</v>
      </c>
      <c r="AF7" s="632"/>
      <c r="AG7" s="632"/>
      <c r="AH7" s="632"/>
      <c r="AI7" s="632"/>
      <c r="AJ7" s="633"/>
      <c r="AK7" s="634" t="str">
        <f>'GRANTEE SET UP INFO &amp; DATE '!Z6</f>
        <v>Phone numbers for contacts</v>
      </c>
      <c r="AL7" s="509"/>
      <c r="AM7" s="509"/>
      <c r="AN7" s="509"/>
      <c r="AO7" s="509"/>
      <c r="AP7" s="509"/>
      <c r="AQ7" s="509"/>
      <c r="AR7" s="509"/>
      <c r="AS7" s="509"/>
      <c r="AT7" s="509"/>
      <c r="AU7" s="510"/>
    </row>
    <row r="8" spans="1:47" x14ac:dyDescent="0.25">
      <c r="A8" s="635"/>
      <c r="B8" s="636"/>
      <c r="C8" s="636"/>
      <c r="D8" s="636"/>
      <c r="E8" s="636"/>
      <c r="F8" s="636"/>
      <c r="G8" s="636"/>
      <c r="H8" s="636"/>
      <c r="I8" s="636"/>
      <c r="J8" s="636"/>
      <c r="K8" s="636"/>
      <c r="L8" s="636"/>
      <c r="M8" s="636"/>
      <c r="N8" s="636"/>
      <c r="O8" s="637"/>
      <c r="P8" s="625"/>
      <c r="Q8" s="626"/>
      <c r="R8" s="626"/>
      <c r="S8" s="626"/>
      <c r="T8" s="626"/>
      <c r="U8" s="626"/>
      <c r="V8" s="626"/>
      <c r="W8" s="626"/>
      <c r="X8" s="626"/>
      <c r="Y8" s="626"/>
      <c r="Z8" s="626"/>
      <c r="AA8" s="626"/>
      <c r="AB8" s="626"/>
      <c r="AC8" s="627"/>
      <c r="AD8" s="11"/>
      <c r="AE8" s="631" t="s">
        <v>31</v>
      </c>
      <c r="AF8" s="632"/>
      <c r="AG8" s="632"/>
      <c r="AH8" s="632"/>
      <c r="AI8" s="632"/>
      <c r="AJ8" s="633"/>
      <c r="AK8" s="634" t="str">
        <f>'GRANTEE SET UP INFO &amp; DATE '!Z7</f>
        <v xml:space="preserve">number on grant agreement or TFB </v>
      </c>
      <c r="AL8" s="509"/>
      <c r="AM8" s="509"/>
      <c r="AN8" s="509"/>
      <c r="AO8" s="509"/>
      <c r="AP8" s="509"/>
      <c r="AQ8" s="509"/>
      <c r="AR8" s="509"/>
      <c r="AS8" s="509"/>
      <c r="AT8" s="509"/>
      <c r="AU8" s="510"/>
    </row>
    <row r="9" spans="1:47" ht="20.100000000000001" customHeight="1" x14ac:dyDescent="0.25">
      <c r="A9" s="628" t="s">
        <v>44</v>
      </c>
      <c r="B9" s="629"/>
      <c r="C9" s="629"/>
      <c r="D9" s="629"/>
      <c r="E9" s="629"/>
      <c r="F9" s="629"/>
      <c r="G9" s="629"/>
      <c r="H9" s="629"/>
      <c r="I9" s="629"/>
      <c r="J9" s="629"/>
      <c r="K9" s="629"/>
      <c r="L9" s="629"/>
      <c r="M9" s="629"/>
      <c r="N9" s="629"/>
      <c r="O9" s="630"/>
      <c r="P9" s="655" t="str">
        <f>'GRANTEE SET UP INFO &amp; DATE '!H8</f>
        <v>October 1 - 31</v>
      </c>
      <c r="Q9" s="656"/>
      <c r="R9" s="656"/>
      <c r="S9" s="656"/>
      <c r="T9" s="656"/>
      <c r="U9" s="656"/>
      <c r="V9" s="656"/>
      <c r="W9" s="656"/>
      <c r="X9" s="656"/>
      <c r="Y9" s="657"/>
      <c r="Z9" s="655">
        <f>'GRANTEE SET UP INFO &amp; DATE '!P8</f>
        <v>2024</v>
      </c>
      <c r="AA9" s="656"/>
      <c r="AB9" s="656"/>
      <c r="AC9" s="657"/>
      <c r="AD9" s="11"/>
      <c r="AE9" s="658" t="s">
        <v>155</v>
      </c>
      <c r="AF9" s="659"/>
      <c r="AG9" s="659"/>
      <c r="AH9" s="659"/>
      <c r="AI9" s="659"/>
      <c r="AJ9" s="660"/>
      <c r="AK9" s="634" t="str">
        <f>'GRANTEE SET UP INFO &amp; DATE '!Z8</f>
        <v>program code can locate on SOW or  TFB</v>
      </c>
      <c r="AL9" s="509"/>
      <c r="AM9" s="509"/>
      <c r="AN9" s="509"/>
      <c r="AO9" s="509"/>
      <c r="AP9" s="509"/>
      <c r="AQ9" s="509"/>
      <c r="AR9" s="509"/>
      <c r="AS9" s="509"/>
      <c r="AT9" s="509"/>
      <c r="AU9" s="510"/>
    </row>
    <row r="10" spans="1:47" ht="34.9" customHeight="1" x14ac:dyDescent="0.25">
      <c r="A10" s="661" t="s">
        <v>628</v>
      </c>
      <c r="B10" s="661"/>
      <c r="C10" s="661"/>
      <c r="D10" s="661"/>
      <c r="E10" s="661"/>
      <c r="F10" s="661"/>
      <c r="G10" s="661"/>
      <c r="H10" s="661"/>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row>
    <row r="11" spans="1:47" ht="39.950000000000003" customHeight="1" x14ac:dyDescent="0.25">
      <c r="A11" s="639" t="s">
        <v>738</v>
      </c>
      <c r="B11" s="639"/>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row>
    <row r="12" spans="1:47" ht="25.15" customHeight="1" x14ac:dyDescent="0.25">
      <c r="A12" s="588" t="s">
        <v>407</v>
      </c>
      <c r="B12" s="589"/>
      <c r="C12" s="589"/>
      <c r="D12" s="589"/>
      <c r="E12" s="590"/>
      <c r="F12" s="609" t="s">
        <v>496</v>
      </c>
      <c r="G12" s="609"/>
      <c r="H12" s="609"/>
      <c r="I12" s="609"/>
      <c r="J12" s="609"/>
      <c r="K12" s="609"/>
      <c r="L12" s="609"/>
      <c r="M12" s="609"/>
      <c r="N12" s="610" t="s">
        <v>30</v>
      </c>
      <c r="O12" s="611"/>
      <c r="P12" s="611"/>
      <c r="Q12" s="611"/>
      <c r="R12" s="611"/>
      <c r="S12" s="611"/>
      <c r="T12" s="611"/>
      <c r="U12" s="612"/>
    </row>
    <row r="13" spans="1:47" ht="50.1" customHeight="1" x14ac:dyDescent="0.25">
      <c r="A13" s="591"/>
      <c r="B13" s="592"/>
      <c r="C13" s="592"/>
      <c r="D13" s="592"/>
      <c r="E13" s="593"/>
      <c r="F13" s="609"/>
      <c r="G13" s="609"/>
      <c r="H13" s="609"/>
      <c r="I13" s="609"/>
      <c r="J13" s="609"/>
      <c r="K13" s="609"/>
      <c r="L13" s="609"/>
      <c r="M13" s="609"/>
      <c r="N13" s="610"/>
      <c r="O13" s="611"/>
      <c r="P13" s="611"/>
      <c r="Q13" s="611"/>
      <c r="R13" s="611"/>
      <c r="S13" s="611"/>
      <c r="T13" s="611"/>
      <c r="U13" s="612"/>
    </row>
    <row r="14" spans="1:47" ht="69.95" customHeight="1" x14ac:dyDescent="0.25">
      <c r="A14" s="262" t="s">
        <v>15</v>
      </c>
      <c r="B14" s="605" t="s">
        <v>157</v>
      </c>
      <c r="C14" s="605"/>
      <c r="D14" s="606" t="s">
        <v>405</v>
      </c>
      <c r="E14" s="606"/>
      <c r="F14" s="607" t="s">
        <v>46</v>
      </c>
      <c r="G14" s="607"/>
      <c r="H14" s="608" t="s">
        <v>497</v>
      </c>
      <c r="I14" s="608"/>
      <c r="J14" s="608"/>
      <c r="K14" s="604" t="s">
        <v>406</v>
      </c>
      <c r="L14" s="604"/>
      <c r="M14" s="604"/>
      <c r="N14" s="613" t="s">
        <v>30</v>
      </c>
      <c r="O14" s="614"/>
      <c r="P14" s="614"/>
      <c r="Q14" s="614"/>
      <c r="R14" s="614"/>
      <c r="S14" s="614"/>
      <c r="T14" s="614"/>
      <c r="U14" s="615"/>
    </row>
    <row r="15" spans="1:47" ht="35.1" customHeight="1" x14ac:dyDescent="0.25">
      <c r="A15" s="263">
        <f t="shared" ref="A15:A78" si="0">ROW(A1)</f>
        <v>1</v>
      </c>
      <c r="B15" s="566" t="s">
        <v>159</v>
      </c>
      <c r="C15" s="566"/>
      <c r="D15" s="567" t="s">
        <v>159</v>
      </c>
      <c r="E15" s="567"/>
      <c r="F15" s="568" t="s">
        <v>162</v>
      </c>
      <c r="G15" s="568"/>
      <c r="H15" s="569"/>
      <c r="I15" s="570"/>
      <c r="J15" s="571"/>
      <c r="K15" s="572" t="s">
        <v>162</v>
      </c>
      <c r="L15" s="573"/>
      <c r="M15" s="574"/>
      <c r="N15" s="575" t="s">
        <v>159</v>
      </c>
      <c r="O15" s="576"/>
      <c r="P15" s="576"/>
      <c r="Q15" s="576"/>
      <c r="R15" s="576"/>
      <c r="S15" s="576"/>
      <c r="T15" s="576"/>
      <c r="U15" s="577"/>
    </row>
    <row r="16" spans="1:47" ht="35.1" customHeight="1" x14ac:dyDescent="0.25">
      <c r="A16" s="263">
        <f t="shared" si="0"/>
        <v>2</v>
      </c>
      <c r="B16" s="578" t="s">
        <v>159</v>
      </c>
      <c r="C16" s="578"/>
      <c r="D16" s="579" t="s">
        <v>159</v>
      </c>
      <c r="E16" s="579"/>
      <c r="F16" s="568" t="s">
        <v>162</v>
      </c>
      <c r="G16" s="568"/>
      <c r="H16" s="580"/>
      <c r="I16" s="581"/>
      <c r="J16" s="582"/>
      <c r="K16" s="572" t="s">
        <v>162</v>
      </c>
      <c r="L16" s="573"/>
      <c r="M16" s="574"/>
      <c r="N16" s="583"/>
      <c r="O16" s="584"/>
      <c r="P16" s="584"/>
      <c r="Q16" s="584"/>
      <c r="R16" s="584"/>
      <c r="S16" s="584"/>
      <c r="T16" s="584"/>
      <c r="U16" s="585"/>
    </row>
    <row r="17" spans="1:21" ht="35.1" customHeight="1" x14ac:dyDescent="0.25">
      <c r="A17" s="263">
        <f t="shared" si="0"/>
        <v>3</v>
      </c>
      <c r="B17" s="566" t="s">
        <v>159</v>
      </c>
      <c r="C17" s="566"/>
      <c r="D17" s="567" t="s">
        <v>159</v>
      </c>
      <c r="E17" s="567"/>
      <c r="F17" s="568" t="s">
        <v>162</v>
      </c>
      <c r="G17" s="568"/>
      <c r="H17" s="569"/>
      <c r="I17" s="570"/>
      <c r="J17" s="571"/>
      <c r="K17" s="572" t="s">
        <v>162</v>
      </c>
      <c r="L17" s="573"/>
      <c r="M17" s="574"/>
      <c r="N17" s="575" t="s">
        <v>159</v>
      </c>
      <c r="O17" s="576"/>
      <c r="P17" s="576"/>
      <c r="Q17" s="576"/>
      <c r="R17" s="576"/>
      <c r="S17" s="576"/>
      <c r="T17" s="576"/>
      <c r="U17" s="577"/>
    </row>
    <row r="18" spans="1:21" ht="35.1" customHeight="1" x14ac:dyDescent="0.25">
      <c r="A18" s="263">
        <f t="shared" si="0"/>
        <v>4</v>
      </c>
      <c r="B18" s="578" t="s">
        <v>159</v>
      </c>
      <c r="C18" s="578"/>
      <c r="D18" s="579" t="s">
        <v>159</v>
      </c>
      <c r="E18" s="579"/>
      <c r="F18" s="568" t="s">
        <v>162</v>
      </c>
      <c r="G18" s="568"/>
      <c r="H18" s="569"/>
      <c r="I18" s="570"/>
      <c r="J18" s="571"/>
      <c r="K18" s="572" t="s">
        <v>162</v>
      </c>
      <c r="L18" s="573"/>
      <c r="M18" s="574"/>
      <c r="N18" s="583" t="s">
        <v>159</v>
      </c>
      <c r="O18" s="584"/>
      <c r="P18" s="584"/>
      <c r="Q18" s="584"/>
      <c r="R18" s="584"/>
      <c r="S18" s="584"/>
      <c r="T18" s="584"/>
      <c r="U18" s="585"/>
    </row>
    <row r="19" spans="1:21" ht="35.1" customHeight="1" x14ac:dyDescent="0.25">
      <c r="A19" s="263">
        <f t="shared" si="0"/>
        <v>5</v>
      </c>
      <c r="B19" s="566" t="s">
        <v>159</v>
      </c>
      <c r="C19" s="566"/>
      <c r="D19" s="567" t="s">
        <v>159</v>
      </c>
      <c r="E19" s="567"/>
      <c r="F19" s="568" t="s">
        <v>162</v>
      </c>
      <c r="G19" s="568"/>
      <c r="H19" s="580"/>
      <c r="I19" s="581"/>
      <c r="J19" s="582"/>
      <c r="K19" s="572" t="s">
        <v>162</v>
      </c>
      <c r="L19" s="573"/>
      <c r="M19" s="574"/>
      <c r="N19" s="575" t="s">
        <v>159</v>
      </c>
      <c r="O19" s="576"/>
      <c r="P19" s="576"/>
      <c r="Q19" s="576"/>
      <c r="R19" s="576"/>
      <c r="S19" s="576"/>
      <c r="T19" s="576"/>
      <c r="U19" s="577"/>
    </row>
    <row r="20" spans="1:21" ht="35.1" customHeight="1" x14ac:dyDescent="0.25">
      <c r="A20" s="263">
        <f t="shared" si="0"/>
        <v>6</v>
      </c>
      <c r="B20" s="578" t="s">
        <v>159</v>
      </c>
      <c r="C20" s="578"/>
      <c r="D20" s="579" t="s">
        <v>159</v>
      </c>
      <c r="E20" s="579"/>
      <c r="F20" s="568" t="s">
        <v>162</v>
      </c>
      <c r="G20" s="568"/>
      <c r="H20" s="569"/>
      <c r="I20" s="570"/>
      <c r="J20" s="571"/>
      <c r="K20" s="572" t="s">
        <v>162</v>
      </c>
      <c r="L20" s="573"/>
      <c r="M20" s="574"/>
      <c r="N20" s="583" t="s">
        <v>159</v>
      </c>
      <c r="O20" s="584"/>
      <c r="P20" s="584"/>
      <c r="Q20" s="584"/>
      <c r="R20" s="584"/>
      <c r="S20" s="584"/>
      <c r="T20" s="584"/>
      <c r="U20" s="585"/>
    </row>
    <row r="21" spans="1:21" ht="35.1" customHeight="1" x14ac:dyDescent="0.25">
      <c r="A21" s="263">
        <f t="shared" si="0"/>
        <v>7</v>
      </c>
      <c r="B21" s="566" t="s">
        <v>159</v>
      </c>
      <c r="C21" s="566"/>
      <c r="D21" s="567" t="s">
        <v>159</v>
      </c>
      <c r="E21" s="567"/>
      <c r="F21" s="568" t="s">
        <v>162</v>
      </c>
      <c r="G21" s="568"/>
      <c r="H21" s="569"/>
      <c r="I21" s="570"/>
      <c r="J21" s="571"/>
      <c r="K21" s="572" t="s">
        <v>162</v>
      </c>
      <c r="L21" s="573"/>
      <c r="M21" s="574"/>
      <c r="N21" s="575" t="s">
        <v>159</v>
      </c>
      <c r="O21" s="576"/>
      <c r="P21" s="576"/>
      <c r="Q21" s="576"/>
      <c r="R21" s="576"/>
      <c r="S21" s="576"/>
      <c r="T21" s="576"/>
      <c r="U21" s="577"/>
    </row>
    <row r="22" spans="1:21" ht="35.1" customHeight="1" x14ac:dyDescent="0.25">
      <c r="A22" s="263">
        <f t="shared" si="0"/>
        <v>8</v>
      </c>
      <c r="B22" s="578" t="s">
        <v>159</v>
      </c>
      <c r="C22" s="578"/>
      <c r="D22" s="579" t="s">
        <v>159</v>
      </c>
      <c r="E22" s="579"/>
      <c r="F22" s="568" t="s">
        <v>162</v>
      </c>
      <c r="G22" s="568"/>
      <c r="H22" s="580"/>
      <c r="I22" s="581"/>
      <c r="J22" s="582"/>
      <c r="K22" s="572" t="s">
        <v>162</v>
      </c>
      <c r="L22" s="573"/>
      <c r="M22" s="574"/>
      <c r="N22" s="583" t="s">
        <v>159</v>
      </c>
      <c r="O22" s="584"/>
      <c r="P22" s="584"/>
      <c r="Q22" s="584"/>
      <c r="R22" s="584"/>
      <c r="S22" s="584"/>
      <c r="T22" s="584"/>
      <c r="U22" s="585"/>
    </row>
    <row r="23" spans="1:21" ht="35.1" customHeight="1" x14ac:dyDescent="0.25">
      <c r="A23" s="263">
        <f t="shared" si="0"/>
        <v>9</v>
      </c>
      <c r="B23" s="566" t="s">
        <v>159</v>
      </c>
      <c r="C23" s="566"/>
      <c r="D23" s="567" t="s">
        <v>159</v>
      </c>
      <c r="E23" s="567"/>
      <c r="F23" s="568" t="s">
        <v>162</v>
      </c>
      <c r="G23" s="568"/>
      <c r="H23" s="569"/>
      <c r="I23" s="570"/>
      <c r="J23" s="571"/>
      <c r="K23" s="572" t="s">
        <v>162</v>
      </c>
      <c r="L23" s="573"/>
      <c r="M23" s="574"/>
      <c r="N23" s="575" t="s">
        <v>159</v>
      </c>
      <c r="O23" s="576"/>
      <c r="P23" s="576"/>
      <c r="Q23" s="576"/>
      <c r="R23" s="576"/>
      <c r="S23" s="576"/>
      <c r="T23" s="576"/>
      <c r="U23" s="577"/>
    </row>
    <row r="24" spans="1:21" ht="35.1" customHeight="1" x14ac:dyDescent="0.25">
      <c r="A24" s="263">
        <f t="shared" si="0"/>
        <v>10</v>
      </c>
      <c r="B24" s="578" t="s">
        <v>159</v>
      </c>
      <c r="C24" s="578"/>
      <c r="D24" s="579" t="s">
        <v>159</v>
      </c>
      <c r="E24" s="579"/>
      <c r="F24" s="568" t="s">
        <v>162</v>
      </c>
      <c r="G24" s="568"/>
      <c r="H24" s="569"/>
      <c r="I24" s="570"/>
      <c r="J24" s="571"/>
      <c r="K24" s="572" t="s">
        <v>162</v>
      </c>
      <c r="L24" s="573"/>
      <c r="M24" s="574"/>
      <c r="N24" s="583" t="s">
        <v>159</v>
      </c>
      <c r="O24" s="584"/>
      <c r="P24" s="584"/>
      <c r="Q24" s="584"/>
      <c r="R24" s="584"/>
      <c r="S24" s="584"/>
      <c r="T24" s="584"/>
      <c r="U24" s="585"/>
    </row>
    <row r="25" spans="1:21" ht="35.1" customHeight="1" x14ac:dyDescent="0.25">
      <c r="A25" s="263">
        <f t="shared" si="0"/>
        <v>11</v>
      </c>
      <c r="B25" s="566" t="s">
        <v>159</v>
      </c>
      <c r="C25" s="566"/>
      <c r="D25" s="567" t="s">
        <v>159</v>
      </c>
      <c r="E25" s="567"/>
      <c r="F25" s="568" t="s">
        <v>162</v>
      </c>
      <c r="G25" s="568"/>
      <c r="H25" s="580"/>
      <c r="I25" s="581"/>
      <c r="J25" s="582"/>
      <c r="K25" s="572" t="s">
        <v>162</v>
      </c>
      <c r="L25" s="573"/>
      <c r="M25" s="574"/>
      <c r="N25" s="575" t="s">
        <v>159</v>
      </c>
      <c r="O25" s="576"/>
      <c r="P25" s="576"/>
      <c r="Q25" s="576"/>
      <c r="R25" s="576"/>
      <c r="S25" s="576"/>
      <c r="T25" s="576"/>
      <c r="U25" s="577"/>
    </row>
    <row r="26" spans="1:21" ht="35.1" customHeight="1" x14ac:dyDescent="0.25">
      <c r="A26" s="263">
        <f t="shared" si="0"/>
        <v>12</v>
      </c>
      <c r="B26" s="578" t="s">
        <v>159</v>
      </c>
      <c r="C26" s="578"/>
      <c r="D26" s="579" t="s">
        <v>159</v>
      </c>
      <c r="E26" s="579"/>
      <c r="F26" s="568" t="s">
        <v>162</v>
      </c>
      <c r="G26" s="568"/>
      <c r="H26" s="569"/>
      <c r="I26" s="570"/>
      <c r="J26" s="571"/>
      <c r="K26" s="572" t="s">
        <v>162</v>
      </c>
      <c r="L26" s="573"/>
      <c r="M26" s="574"/>
      <c r="N26" s="583" t="s">
        <v>159</v>
      </c>
      <c r="O26" s="584"/>
      <c r="P26" s="584"/>
      <c r="Q26" s="584"/>
      <c r="R26" s="584"/>
      <c r="S26" s="584"/>
      <c r="T26" s="584"/>
      <c r="U26" s="585"/>
    </row>
    <row r="27" spans="1:21" ht="35.1" customHeight="1" x14ac:dyDescent="0.25">
      <c r="A27" s="263">
        <f t="shared" si="0"/>
        <v>13</v>
      </c>
      <c r="B27" s="566" t="s">
        <v>159</v>
      </c>
      <c r="C27" s="566"/>
      <c r="D27" s="567" t="s">
        <v>159</v>
      </c>
      <c r="E27" s="567"/>
      <c r="F27" s="568" t="s">
        <v>162</v>
      </c>
      <c r="G27" s="568"/>
      <c r="H27" s="569"/>
      <c r="I27" s="570"/>
      <c r="J27" s="571"/>
      <c r="K27" s="572" t="s">
        <v>162</v>
      </c>
      <c r="L27" s="573"/>
      <c r="M27" s="574"/>
      <c r="N27" s="575" t="s">
        <v>159</v>
      </c>
      <c r="O27" s="576"/>
      <c r="P27" s="576"/>
      <c r="Q27" s="576"/>
      <c r="R27" s="576"/>
      <c r="S27" s="576"/>
      <c r="T27" s="576"/>
      <c r="U27" s="577"/>
    </row>
    <row r="28" spans="1:21" ht="35.1" customHeight="1" x14ac:dyDescent="0.25">
      <c r="A28" s="263">
        <f t="shared" si="0"/>
        <v>14</v>
      </c>
      <c r="B28" s="578" t="s">
        <v>159</v>
      </c>
      <c r="C28" s="578"/>
      <c r="D28" s="579" t="s">
        <v>159</v>
      </c>
      <c r="E28" s="579"/>
      <c r="F28" s="568" t="s">
        <v>162</v>
      </c>
      <c r="G28" s="568"/>
      <c r="H28" s="580"/>
      <c r="I28" s="581"/>
      <c r="J28" s="582"/>
      <c r="K28" s="572" t="s">
        <v>162</v>
      </c>
      <c r="L28" s="573"/>
      <c r="M28" s="574"/>
      <c r="N28" s="583" t="s">
        <v>159</v>
      </c>
      <c r="O28" s="584"/>
      <c r="P28" s="584"/>
      <c r="Q28" s="584"/>
      <c r="R28" s="584"/>
      <c r="S28" s="584"/>
      <c r="T28" s="584"/>
      <c r="U28" s="585"/>
    </row>
    <row r="29" spans="1:21" ht="35.1" customHeight="1" x14ac:dyDescent="0.25">
      <c r="A29" s="263">
        <f t="shared" si="0"/>
        <v>15</v>
      </c>
      <c r="B29" s="566" t="s">
        <v>159</v>
      </c>
      <c r="C29" s="566"/>
      <c r="D29" s="567" t="s">
        <v>159</v>
      </c>
      <c r="E29" s="567"/>
      <c r="F29" s="568" t="s">
        <v>162</v>
      </c>
      <c r="G29" s="568"/>
      <c r="H29" s="569"/>
      <c r="I29" s="570"/>
      <c r="J29" s="571"/>
      <c r="K29" s="572" t="s">
        <v>162</v>
      </c>
      <c r="L29" s="573"/>
      <c r="M29" s="574"/>
      <c r="N29" s="575" t="s">
        <v>159</v>
      </c>
      <c r="O29" s="576"/>
      <c r="P29" s="576"/>
      <c r="Q29" s="576"/>
      <c r="R29" s="576"/>
      <c r="S29" s="576"/>
      <c r="T29" s="576"/>
      <c r="U29" s="577"/>
    </row>
    <row r="30" spans="1:21" ht="35.1" customHeight="1" x14ac:dyDescent="0.25">
      <c r="A30" s="263">
        <f t="shared" si="0"/>
        <v>16</v>
      </c>
      <c r="B30" s="578" t="s">
        <v>159</v>
      </c>
      <c r="C30" s="578"/>
      <c r="D30" s="579" t="s">
        <v>159</v>
      </c>
      <c r="E30" s="579"/>
      <c r="F30" s="568" t="s">
        <v>162</v>
      </c>
      <c r="G30" s="568"/>
      <c r="H30" s="580"/>
      <c r="I30" s="581"/>
      <c r="J30" s="582"/>
      <c r="K30" s="572" t="s">
        <v>162</v>
      </c>
      <c r="L30" s="573"/>
      <c r="M30" s="574"/>
      <c r="N30" s="583" t="s">
        <v>159</v>
      </c>
      <c r="O30" s="584"/>
      <c r="P30" s="584"/>
      <c r="Q30" s="584"/>
      <c r="R30" s="584"/>
      <c r="S30" s="584"/>
      <c r="T30" s="584"/>
      <c r="U30" s="585"/>
    </row>
    <row r="31" spans="1:21" ht="35.1" customHeight="1" x14ac:dyDescent="0.25">
      <c r="A31" s="263">
        <f t="shared" si="0"/>
        <v>17</v>
      </c>
      <c r="B31" s="566" t="s">
        <v>159</v>
      </c>
      <c r="C31" s="566"/>
      <c r="D31" s="567" t="s">
        <v>159</v>
      </c>
      <c r="E31" s="567"/>
      <c r="F31" s="568" t="s">
        <v>162</v>
      </c>
      <c r="G31" s="568"/>
      <c r="H31" s="569"/>
      <c r="I31" s="570"/>
      <c r="J31" s="571"/>
      <c r="K31" s="572" t="s">
        <v>162</v>
      </c>
      <c r="L31" s="573"/>
      <c r="M31" s="574"/>
      <c r="N31" s="575" t="s">
        <v>159</v>
      </c>
      <c r="O31" s="576"/>
      <c r="P31" s="576"/>
      <c r="Q31" s="576"/>
      <c r="R31" s="576"/>
      <c r="S31" s="576"/>
      <c r="T31" s="576"/>
      <c r="U31" s="577"/>
    </row>
    <row r="32" spans="1:21" ht="35.1" customHeight="1" x14ac:dyDescent="0.25">
      <c r="A32" s="263">
        <f t="shared" si="0"/>
        <v>18</v>
      </c>
      <c r="B32" s="578" t="s">
        <v>159</v>
      </c>
      <c r="C32" s="578"/>
      <c r="D32" s="579" t="s">
        <v>159</v>
      </c>
      <c r="E32" s="579"/>
      <c r="F32" s="568" t="s">
        <v>162</v>
      </c>
      <c r="G32" s="568"/>
      <c r="H32" s="580"/>
      <c r="I32" s="581"/>
      <c r="J32" s="582"/>
      <c r="K32" s="572" t="s">
        <v>162</v>
      </c>
      <c r="L32" s="573"/>
      <c r="M32" s="574"/>
      <c r="N32" s="583" t="s">
        <v>159</v>
      </c>
      <c r="O32" s="584"/>
      <c r="P32" s="584"/>
      <c r="Q32" s="584"/>
      <c r="R32" s="584"/>
      <c r="S32" s="584"/>
      <c r="T32" s="584"/>
      <c r="U32" s="585"/>
    </row>
    <row r="33" spans="1:21" ht="35.1" customHeight="1" x14ac:dyDescent="0.25">
      <c r="A33" s="263">
        <f t="shared" si="0"/>
        <v>19</v>
      </c>
      <c r="B33" s="566" t="s">
        <v>159</v>
      </c>
      <c r="C33" s="566"/>
      <c r="D33" s="567" t="s">
        <v>159</v>
      </c>
      <c r="E33" s="567"/>
      <c r="F33" s="568" t="s">
        <v>162</v>
      </c>
      <c r="G33" s="568"/>
      <c r="H33" s="569"/>
      <c r="I33" s="570"/>
      <c r="J33" s="571"/>
      <c r="K33" s="572" t="s">
        <v>162</v>
      </c>
      <c r="L33" s="573"/>
      <c r="M33" s="574"/>
      <c r="N33" s="575" t="s">
        <v>159</v>
      </c>
      <c r="O33" s="576"/>
      <c r="P33" s="576"/>
      <c r="Q33" s="576"/>
      <c r="R33" s="576"/>
      <c r="S33" s="576"/>
      <c r="T33" s="576"/>
      <c r="U33" s="577"/>
    </row>
    <row r="34" spans="1:21" ht="35.1" customHeight="1" x14ac:dyDescent="0.25">
      <c r="A34" s="263">
        <f t="shared" si="0"/>
        <v>20</v>
      </c>
      <c r="B34" s="578" t="s">
        <v>159</v>
      </c>
      <c r="C34" s="578"/>
      <c r="D34" s="579" t="s">
        <v>159</v>
      </c>
      <c r="E34" s="579"/>
      <c r="F34" s="568" t="s">
        <v>162</v>
      </c>
      <c r="G34" s="568"/>
      <c r="H34" s="580"/>
      <c r="I34" s="581"/>
      <c r="J34" s="582"/>
      <c r="K34" s="572" t="s">
        <v>162</v>
      </c>
      <c r="L34" s="573"/>
      <c r="M34" s="574"/>
      <c r="N34" s="583" t="s">
        <v>159</v>
      </c>
      <c r="O34" s="584"/>
      <c r="P34" s="584"/>
      <c r="Q34" s="584"/>
      <c r="R34" s="584"/>
      <c r="S34" s="584"/>
      <c r="T34" s="584"/>
      <c r="U34" s="585"/>
    </row>
    <row r="35" spans="1:21" ht="35.1" customHeight="1" x14ac:dyDescent="0.25">
      <c r="A35" s="263">
        <f t="shared" si="0"/>
        <v>21</v>
      </c>
      <c r="B35" s="566" t="s">
        <v>159</v>
      </c>
      <c r="C35" s="566"/>
      <c r="D35" s="567" t="s">
        <v>159</v>
      </c>
      <c r="E35" s="567"/>
      <c r="F35" s="568" t="s">
        <v>162</v>
      </c>
      <c r="G35" s="568"/>
      <c r="H35" s="569"/>
      <c r="I35" s="570"/>
      <c r="J35" s="571"/>
      <c r="K35" s="572" t="s">
        <v>162</v>
      </c>
      <c r="L35" s="573"/>
      <c r="M35" s="574"/>
      <c r="N35" s="575" t="s">
        <v>159</v>
      </c>
      <c r="O35" s="576"/>
      <c r="P35" s="576"/>
      <c r="Q35" s="576"/>
      <c r="R35" s="576"/>
      <c r="S35" s="576"/>
      <c r="T35" s="576"/>
      <c r="U35" s="577"/>
    </row>
    <row r="36" spans="1:21" ht="35.1" customHeight="1" x14ac:dyDescent="0.25">
      <c r="A36" s="263">
        <f t="shared" si="0"/>
        <v>22</v>
      </c>
      <c r="B36" s="578" t="s">
        <v>159</v>
      </c>
      <c r="C36" s="578"/>
      <c r="D36" s="579" t="s">
        <v>159</v>
      </c>
      <c r="E36" s="579"/>
      <c r="F36" s="568" t="s">
        <v>162</v>
      </c>
      <c r="G36" s="568"/>
      <c r="H36" s="580"/>
      <c r="I36" s="581"/>
      <c r="J36" s="582"/>
      <c r="K36" s="572" t="s">
        <v>162</v>
      </c>
      <c r="L36" s="573"/>
      <c r="M36" s="574"/>
      <c r="N36" s="583" t="s">
        <v>159</v>
      </c>
      <c r="O36" s="584"/>
      <c r="P36" s="584"/>
      <c r="Q36" s="584"/>
      <c r="R36" s="584"/>
      <c r="S36" s="584"/>
      <c r="T36" s="584"/>
      <c r="U36" s="585"/>
    </row>
    <row r="37" spans="1:21" ht="35.1" customHeight="1" x14ac:dyDescent="0.25">
      <c r="A37" s="263">
        <f t="shared" si="0"/>
        <v>23</v>
      </c>
      <c r="B37" s="566" t="s">
        <v>159</v>
      </c>
      <c r="C37" s="566"/>
      <c r="D37" s="567" t="s">
        <v>159</v>
      </c>
      <c r="E37" s="567"/>
      <c r="F37" s="568" t="s">
        <v>162</v>
      </c>
      <c r="G37" s="568"/>
      <c r="H37" s="569"/>
      <c r="I37" s="570"/>
      <c r="J37" s="571"/>
      <c r="K37" s="572" t="s">
        <v>162</v>
      </c>
      <c r="L37" s="573"/>
      <c r="M37" s="574"/>
      <c r="N37" s="575" t="s">
        <v>159</v>
      </c>
      <c r="O37" s="576"/>
      <c r="P37" s="576"/>
      <c r="Q37" s="576"/>
      <c r="R37" s="576"/>
      <c r="S37" s="576"/>
      <c r="T37" s="576"/>
      <c r="U37" s="577"/>
    </row>
    <row r="38" spans="1:21" ht="35.1" customHeight="1" x14ac:dyDescent="0.25">
      <c r="A38" s="263">
        <f t="shared" si="0"/>
        <v>24</v>
      </c>
      <c r="B38" s="578" t="s">
        <v>159</v>
      </c>
      <c r="C38" s="578"/>
      <c r="D38" s="579" t="s">
        <v>159</v>
      </c>
      <c r="E38" s="579"/>
      <c r="F38" s="568" t="s">
        <v>162</v>
      </c>
      <c r="G38" s="568"/>
      <c r="H38" s="580"/>
      <c r="I38" s="581"/>
      <c r="J38" s="582"/>
      <c r="K38" s="572" t="s">
        <v>162</v>
      </c>
      <c r="L38" s="573"/>
      <c r="M38" s="574"/>
      <c r="N38" s="583" t="s">
        <v>159</v>
      </c>
      <c r="O38" s="584"/>
      <c r="P38" s="584"/>
      <c r="Q38" s="584"/>
      <c r="R38" s="584"/>
      <c r="S38" s="584"/>
      <c r="T38" s="584"/>
      <c r="U38" s="585"/>
    </row>
    <row r="39" spans="1:21" ht="35.1" customHeight="1" x14ac:dyDescent="0.25">
      <c r="A39" s="263">
        <f t="shared" si="0"/>
        <v>25</v>
      </c>
      <c r="B39" s="566" t="s">
        <v>159</v>
      </c>
      <c r="C39" s="566"/>
      <c r="D39" s="567" t="s">
        <v>159</v>
      </c>
      <c r="E39" s="567"/>
      <c r="F39" s="568" t="s">
        <v>162</v>
      </c>
      <c r="G39" s="568"/>
      <c r="H39" s="569"/>
      <c r="I39" s="570"/>
      <c r="J39" s="571"/>
      <c r="K39" s="572" t="s">
        <v>162</v>
      </c>
      <c r="L39" s="573"/>
      <c r="M39" s="574"/>
      <c r="N39" s="575" t="s">
        <v>159</v>
      </c>
      <c r="O39" s="576"/>
      <c r="P39" s="576"/>
      <c r="Q39" s="576"/>
      <c r="R39" s="576"/>
      <c r="S39" s="576"/>
      <c r="T39" s="576"/>
      <c r="U39" s="577"/>
    </row>
    <row r="40" spans="1:21" ht="35.1" customHeight="1" x14ac:dyDescent="0.25">
      <c r="A40" s="263">
        <f t="shared" si="0"/>
        <v>26</v>
      </c>
      <c r="B40" s="578" t="s">
        <v>159</v>
      </c>
      <c r="C40" s="578"/>
      <c r="D40" s="579" t="s">
        <v>159</v>
      </c>
      <c r="E40" s="579"/>
      <c r="F40" s="568" t="s">
        <v>162</v>
      </c>
      <c r="G40" s="568"/>
      <c r="H40" s="580"/>
      <c r="I40" s="581"/>
      <c r="J40" s="582"/>
      <c r="K40" s="572" t="s">
        <v>162</v>
      </c>
      <c r="L40" s="573"/>
      <c r="M40" s="574"/>
      <c r="N40" s="583" t="s">
        <v>159</v>
      </c>
      <c r="O40" s="584"/>
      <c r="P40" s="584"/>
      <c r="Q40" s="584"/>
      <c r="R40" s="584"/>
      <c r="S40" s="584"/>
      <c r="T40" s="584"/>
      <c r="U40" s="585"/>
    </row>
    <row r="41" spans="1:21" ht="35.1" customHeight="1" x14ac:dyDescent="0.25">
      <c r="A41" s="263">
        <f t="shared" si="0"/>
        <v>27</v>
      </c>
      <c r="B41" s="566" t="s">
        <v>159</v>
      </c>
      <c r="C41" s="566"/>
      <c r="D41" s="567" t="s">
        <v>159</v>
      </c>
      <c r="E41" s="567"/>
      <c r="F41" s="568" t="s">
        <v>162</v>
      </c>
      <c r="G41" s="568"/>
      <c r="H41" s="569"/>
      <c r="I41" s="570"/>
      <c r="J41" s="571"/>
      <c r="K41" s="572" t="s">
        <v>162</v>
      </c>
      <c r="L41" s="573"/>
      <c r="M41" s="574"/>
      <c r="N41" s="575" t="s">
        <v>159</v>
      </c>
      <c r="O41" s="576"/>
      <c r="P41" s="576"/>
      <c r="Q41" s="576"/>
      <c r="R41" s="576"/>
      <c r="S41" s="576"/>
      <c r="T41" s="576"/>
      <c r="U41" s="577"/>
    </row>
    <row r="42" spans="1:21" ht="35.1" customHeight="1" x14ac:dyDescent="0.25">
      <c r="A42" s="263">
        <f t="shared" si="0"/>
        <v>28</v>
      </c>
      <c r="B42" s="578" t="s">
        <v>159</v>
      </c>
      <c r="C42" s="578"/>
      <c r="D42" s="579" t="s">
        <v>159</v>
      </c>
      <c r="E42" s="579"/>
      <c r="F42" s="568" t="s">
        <v>162</v>
      </c>
      <c r="G42" s="568"/>
      <c r="H42" s="580"/>
      <c r="I42" s="581"/>
      <c r="J42" s="582"/>
      <c r="K42" s="572" t="s">
        <v>162</v>
      </c>
      <c r="L42" s="573"/>
      <c r="M42" s="574"/>
      <c r="N42" s="583" t="s">
        <v>159</v>
      </c>
      <c r="O42" s="584"/>
      <c r="P42" s="584"/>
      <c r="Q42" s="584"/>
      <c r="R42" s="584"/>
      <c r="S42" s="584"/>
      <c r="T42" s="584"/>
      <c r="U42" s="585"/>
    </row>
    <row r="43" spans="1:21" ht="35.1" customHeight="1" x14ac:dyDescent="0.25">
      <c r="A43" s="263">
        <f t="shared" si="0"/>
        <v>29</v>
      </c>
      <c r="B43" s="566" t="s">
        <v>159</v>
      </c>
      <c r="C43" s="566"/>
      <c r="D43" s="567" t="s">
        <v>159</v>
      </c>
      <c r="E43" s="567"/>
      <c r="F43" s="568" t="s">
        <v>162</v>
      </c>
      <c r="G43" s="568"/>
      <c r="H43" s="569"/>
      <c r="I43" s="570"/>
      <c r="J43" s="571"/>
      <c r="K43" s="572" t="s">
        <v>162</v>
      </c>
      <c r="L43" s="573"/>
      <c r="M43" s="574"/>
      <c r="N43" s="575" t="s">
        <v>159</v>
      </c>
      <c r="O43" s="576"/>
      <c r="P43" s="576"/>
      <c r="Q43" s="576"/>
      <c r="R43" s="576"/>
      <c r="S43" s="576"/>
      <c r="T43" s="576"/>
      <c r="U43" s="577"/>
    </row>
    <row r="44" spans="1:21" ht="35.1" customHeight="1" x14ac:dyDescent="0.25">
      <c r="A44" s="263">
        <f t="shared" si="0"/>
        <v>30</v>
      </c>
      <c r="B44" s="578" t="s">
        <v>159</v>
      </c>
      <c r="C44" s="578"/>
      <c r="D44" s="579" t="s">
        <v>159</v>
      </c>
      <c r="E44" s="579"/>
      <c r="F44" s="568" t="s">
        <v>162</v>
      </c>
      <c r="G44" s="568"/>
      <c r="H44" s="580"/>
      <c r="I44" s="581"/>
      <c r="J44" s="582"/>
      <c r="K44" s="572" t="s">
        <v>162</v>
      </c>
      <c r="L44" s="573"/>
      <c r="M44" s="574"/>
      <c r="N44" s="583" t="s">
        <v>159</v>
      </c>
      <c r="O44" s="584"/>
      <c r="P44" s="584"/>
      <c r="Q44" s="584"/>
      <c r="R44" s="584"/>
      <c r="S44" s="584"/>
      <c r="T44" s="584"/>
      <c r="U44" s="585"/>
    </row>
    <row r="45" spans="1:21" ht="35.1" customHeight="1" x14ac:dyDescent="0.25">
      <c r="A45" s="263">
        <f t="shared" si="0"/>
        <v>31</v>
      </c>
      <c r="B45" s="566" t="s">
        <v>159</v>
      </c>
      <c r="C45" s="566"/>
      <c r="D45" s="567" t="s">
        <v>159</v>
      </c>
      <c r="E45" s="567"/>
      <c r="F45" s="568" t="s">
        <v>162</v>
      </c>
      <c r="G45" s="568"/>
      <c r="H45" s="569"/>
      <c r="I45" s="570"/>
      <c r="J45" s="571"/>
      <c r="K45" s="572" t="s">
        <v>162</v>
      </c>
      <c r="L45" s="573"/>
      <c r="M45" s="574"/>
      <c r="N45" s="575" t="s">
        <v>159</v>
      </c>
      <c r="O45" s="576"/>
      <c r="P45" s="576"/>
      <c r="Q45" s="576"/>
      <c r="R45" s="576"/>
      <c r="S45" s="576"/>
      <c r="T45" s="576"/>
      <c r="U45" s="577"/>
    </row>
    <row r="46" spans="1:21" ht="35.1" customHeight="1" x14ac:dyDescent="0.25">
      <c r="A46" s="263">
        <f t="shared" si="0"/>
        <v>32</v>
      </c>
      <c r="B46" s="578" t="s">
        <v>159</v>
      </c>
      <c r="C46" s="578"/>
      <c r="D46" s="579" t="s">
        <v>159</v>
      </c>
      <c r="E46" s="579"/>
      <c r="F46" s="568" t="s">
        <v>162</v>
      </c>
      <c r="G46" s="568"/>
      <c r="H46" s="580"/>
      <c r="I46" s="581"/>
      <c r="J46" s="582"/>
      <c r="K46" s="572" t="s">
        <v>162</v>
      </c>
      <c r="L46" s="573"/>
      <c r="M46" s="574"/>
      <c r="N46" s="583" t="s">
        <v>159</v>
      </c>
      <c r="O46" s="584"/>
      <c r="P46" s="584"/>
      <c r="Q46" s="584"/>
      <c r="R46" s="584"/>
      <c r="S46" s="584"/>
      <c r="T46" s="584"/>
      <c r="U46" s="585"/>
    </row>
    <row r="47" spans="1:21" ht="35.1" customHeight="1" x14ac:dyDescent="0.25">
      <c r="A47" s="263">
        <f t="shared" si="0"/>
        <v>33</v>
      </c>
      <c r="B47" s="566" t="s">
        <v>159</v>
      </c>
      <c r="C47" s="566"/>
      <c r="D47" s="567" t="s">
        <v>159</v>
      </c>
      <c r="E47" s="567"/>
      <c r="F47" s="568" t="s">
        <v>162</v>
      </c>
      <c r="G47" s="568"/>
      <c r="H47" s="569"/>
      <c r="I47" s="570"/>
      <c r="J47" s="571"/>
      <c r="K47" s="572" t="s">
        <v>162</v>
      </c>
      <c r="L47" s="573"/>
      <c r="M47" s="574"/>
      <c r="N47" s="575" t="s">
        <v>159</v>
      </c>
      <c r="O47" s="576"/>
      <c r="P47" s="576"/>
      <c r="Q47" s="576"/>
      <c r="R47" s="576"/>
      <c r="S47" s="576"/>
      <c r="T47" s="576"/>
      <c r="U47" s="577"/>
    </row>
    <row r="48" spans="1:21" ht="35.1" customHeight="1" x14ac:dyDescent="0.25">
      <c r="A48" s="263">
        <f t="shared" si="0"/>
        <v>34</v>
      </c>
      <c r="B48" s="578" t="s">
        <v>159</v>
      </c>
      <c r="C48" s="578"/>
      <c r="D48" s="579" t="s">
        <v>159</v>
      </c>
      <c r="E48" s="579"/>
      <c r="F48" s="568" t="s">
        <v>162</v>
      </c>
      <c r="G48" s="568"/>
      <c r="H48" s="580"/>
      <c r="I48" s="581"/>
      <c r="J48" s="582"/>
      <c r="K48" s="572" t="s">
        <v>162</v>
      </c>
      <c r="L48" s="573"/>
      <c r="M48" s="574"/>
      <c r="N48" s="583" t="s">
        <v>159</v>
      </c>
      <c r="O48" s="584"/>
      <c r="P48" s="584"/>
      <c r="Q48" s="584"/>
      <c r="R48" s="584"/>
      <c r="S48" s="584"/>
      <c r="T48" s="584"/>
      <c r="U48" s="585"/>
    </row>
    <row r="49" spans="1:21" ht="35.1" customHeight="1" x14ac:dyDescent="0.25">
      <c r="A49" s="263">
        <f t="shared" si="0"/>
        <v>35</v>
      </c>
      <c r="B49" s="566" t="s">
        <v>159</v>
      </c>
      <c r="C49" s="566"/>
      <c r="D49" s="567" t="s">
        <v>159</v>
      </c>
      <c r="E49" s="567"/>
      <c r="F49" s="568" t="s">
        <v>162</v>
      </c>
      <c r="G49" s="568"/>
      <c r="H49" s="569"/>
      <c r="I49" s="570"/>
      <c r="J49" s="571"/>
      <c r="K49" s="572" t="s">
        <v>162</v>
      </c>
      <c r="L49" s="573"/>
      <c r="M49" s="574"/>
      <c r="N49" s="575" t="s">
        <v>159</v>
      </c>
      <c r="O49" s="576"/>
      <c r="P49" s="576"/>
      <c r="Q49" s="576"/>
      <c r="R49" s="576"/>
      <c r="S49" s="576"/>
      <c r="T49" s="576"/>
      <c r="U49" s="577"/>
    </row>
    <row r="50" spans="1:21" ht="35.1" customHeight="1" x14ac:dyDescent="0.25">
      <c r="A50" s="263">
        <f t="shared" si="0"/>
        <v>36</v>
      </c>
      <c r="B50" s="578" t="s">
        <v>159</v>
      </c>
      <c r="C50" s="578"/>
      <c r="D50" s="579" t="s">
        <v>159</v>
      </c>
      <c r="E50" s="579"/>
      <c r="F50" s="568" t="s">
        <v>162</v>
      </c>
      <c r="G50" s="568"/>
      <c r="H50" s="580"/>
      <c r="I50" s="581"/>
      <c r="J50" s="582"/>
      <c r="K50" s="572" t="s">
        <v>162</v>
      </c>
      <c r="L50" s="573"/>
      <c r="M50" s="574"/>
      <c r="N50" s="583" t="s">
        <v>159</v>
      </c>
      <c r="O50" s="584"/>
      <c r="P50" s="584"/>
      <c r="Q50" s="584"/>
      <c r="R50" s="584"/>
      <c r="S50" s="584"/>
      <c r="T50" s="584"/>
      <c r="U50" s="585"/>
    </row>
    <row r="51" spans="1:21" ht="35.1" customHeight="1" x14ac:dyDescent="0.25">
      <c r="A51" s="263">
        <f t="shared" si="0"/>
        <v>37</v>
      </c>
      <c r="B51" s="566" t="s">
        <v>159</v>
      </c>
      <c r="C51" s="566"/>
      <c r="D51" s="567" t="s">
        <v>159</v>
      </c>
      <c r="E51" s="567"/>
      <c r="F51" s="568" t="s">
        <v>162</v>
      </c>
      <c r="G51" s="568"/>
      <c r="H51" s="569"/>
      <c r="I51" s="570"/>
      <c r="J51" s="571"/>
      <c r="K51" s="572" t="s">
        <v>162</v>
      </c>
      <c r="L51" s="573"/>
      <c r="M51" s="574"/>
      <c r="N51" s="575" t="s">
        <v>159</v>
      </c>
      <c r="O51" s="576"/>
      <c r="P51" s="576"/>
      <c r="Q51" s="576"/>
      <c r="R51" s="576"/>
      <c r="S51" s="576"/>
      <c r="T51" s="576"/>
      <c r="U51" s="577"/>
    </row>
    <row r="52" spans="1:21" ht="35.1" customHeight="1" x14ac:dyDescent="0.25">
      <c r="A52" s="263">
        <f t="shared" si="0"/>
        <v>38</v>
      </c>
      <c r="B52" s="578" t="s">
        <v>159</v>
      </c>
      <c r="C52" s="578"/>
      <c r="D52" s="579" t="s">
        <v>159</v>
      </c>
      <c r="E52" s="579"/>
      <c r="F52" s="568" t="s">
        <v>162</v>
      </c>
      <c r="G52" s="568"/>
      <c r="H52" s="580"/>
      <c r="I52" s="581"/>
      <c r="J52" s="582"/>
      <c r="K52" s="572" t="s">
        <v>162</v>
      </c>
      <c r="L52" s="573"/>
      <c r="M52" s="574"/>
      <c r="N52" s="583" t="s">
        <v>159</v>
      </c>
      <c r="O52" s="584"/>
      <c r="P52" s="584"/>
      <c r="Q52" s="584"/>
      <c r="R52" s="584"/>
      <c r="S52" s="584"/>
      <c r="T52" s="584"/>
      <c r="U52" s="585"/>
    </row>
    <row r="53" spans="1:21" ht="35.1" customHeight="1" x14ac:dyDescent="0.25">
      <c r="A53" s="263">
        <f t="shared" si="0"/>
        <v>39</v>
      </c>
      <c r="B53" s="566" t="s">
        <v>159</v>
      </c>
      <c r="C53" s="566"/>
      <c r="D53" s="567" t="s">
        <v>159</v>
      </c>
      <c r="E53" s="567"/>
      <c r="F53" s="568" t="s">
        <v>162</v>
      </c>
      <c r="G53" s="568"/>
      <c r="H53" s="569"/>
      <c r="I53" s="570"/>
      <c r="J53" s="571"/>
      <c r="K53" s="572" t="s">
        <v>162</v>
      </c>
      <c r="L53" s="573"/>
      <c r="M53" s="574"/>
      <c r="N53" s="575" t="s">
        <v>159</v>
      </c>
      <c r="O53" s="576"/>
      <c r="P53" s="576"/>
      <c r="Q53" s="576"/>
      <c r="R53" s="576"/>
      <c r="S53" s="576"/>
      <c r="T53" s="576"/>
      <c r="U53" s="577"/>
    </row>
    <row r="54" spans="1:21" ht="35.1" customHeight="1" x14ac:dyDescent="0.25">
      <c r="A54" s="263">
        <f t="shared" si="0"/>
        <v>40</v>
      </c>
      <c r="B54" s="578" t="s">
        <v>159</v>
      </c>
      <c r="C54" s="578"/>
      <c r="D54" s="579" t="s">
        <v>159</v>
      </c>
      <c r="E54" s="579"/>
      <c r="F54" s="568" t="s">
        <v>162</v>
      </c>
      <c r="G54" s="568"/>
      <c r="H54" s="580"/>
      <c r="I54" s="581"/>
      <c r="J54" s="582"/>
      <c r="K54" s="572" t="s">
        <v>162</v>
      </c>
      <c r="L54" s="573"/>
      <c r="M54" s="574"/>
      <c r="N54" s="583" t="s">
        <v>159</v>
      </c>
      <c r="O54" s="584"/>
      <c r="P54" s="584"/>
      <c r="Q54" s="584"/>
      <c r="R54" s="584"/>
      <c r="S54" s="584"/>
      <c r="T54" s="584"/>
      <c r="U54" s="585"/>
    </row>
    <row r="55" spans="1:21" ht="35.1" customHeight="1" x14ac:dyDescent="0.25">
      <c r="A55" s="263">
        <f t="shared" si="0"/>
        <v>41</v>
      </c>
      <c r="B55" s="566" t="s">
        <v>159</v>
      </c>
      <c r="C55" s="566"/>
      <c r="D55" s="567" t="s">
        <v>159</v>
      </c>
      <c r="E55" s="567"/>
      <c r="F55" s="568" t="s">
        <v>162</v>
      </c>
      <c r="G55" s="568"/>
      <c r="H55" s="569"/>
      <c r="I55" s="570"/>
      <c r="J55" s="571"/>
      <c r="K55" s="572" t="s">
        <v>162</v>
      </c>
      <c r="L55" s="573"/>
      <c r="M55" s="574"/>
      <c r="N55" s="575" t="s">
        <v>159</v>
      </c>
      <c r="O55" s="576"/>
      <c r="P55" s="576"/>
      <c r="Q55" s="576"/>
      <c r="R55" s="576"/>
      <c r="S55" s="576"/>
      <c r="T55" s="576"/>
      <c r="U55" s="577"/>
    </row>
    <row r="56" spans="1:21" ht="35.1" customHeight="1" x14ac:dyDescent="0.25">
      <c r="A56" s="263">
        <f t="shared" si="0"/>
        <v>42</v>
      </c>
      <c r="B56" s="578" t="s">
        <v>159</v>
      </c>
      <c r="C56" s="578"/>
      <c r="D56" s="579" t="s">
        <v>159</v>
      </c>
      <c r="E56" s="579"/>
      <c r="F56" s="568" t="s">
        <v>162</v>
      </c>
      <c r="G56" s="568"/>
      <c r="H56" s="580"/>
      <c r="I56" s="581"/>
      <c r="J56" s="582"/>
      <c r="K56" s="572" t="s">
        <v>162</v>
      </c>
      <c r="L56" s="573"/>
      <c r="M56" s="574"/>
      <c r="N56" s="583" t="s">
        <v>159</v>
      </c>
      <c r="O56" s="584"/>
      <c r="P56" s="584"/>
      <c r="Q56" s="584"/>
      <c r="R56" s="584"/>
      <c r="S56" s="584"/>
      <c r="T56" s="584"/>
      <c r="U56" s="585"/>
    </row>
    <row r="57" spans="1:21" ht="35.1" customHeight="1" x14ac:dyDescent="0.25">
      <c r="A57" s="263">
        <f t="shared" si="0"/>
        <v>43</v>
      </c>
      <c r="B57" s="566" t="s">
        <v>159</v>
      </c>
      <c r="C57" s="566"/>
      <c r="D57" s="567" t="s">
        <v>159</v>
      </c>
      <c r="E57" s="567"/>
      <c r="F57" s="568" t="s">
        <v>162</v>
      </c>
      <c r="G57" s="568"/>
      <c r="H57" s="569"/>
      <c r="I57" s="570"/>
      <c r="J57" s="571"/>
      <c r="K57" s="572" t="s">
        <v>162</v>
      </c>
      <c r="L57" s="573"/>
      <c r="M57" s="574"/>
      <c r="N57" s="575" t="s">
        <v>159</v>
      </c>
      <c r="O57" s="576"/>
      <c r="P57" s="576"/>
      <c r="Q57" s="576"/>
      <c r="R57" s="576"/>
      <c r="S57" s="576"/>
      <c r="T57" s="576"/>
      <c r="U57" s="577"/>
    </row>
    <row r="58" spans="1:21" ht="35.1" customHeight="1" x14ac:dyDescent="0.25">
      <c r="A58" s="263">
        <f t="shared" si="0"/>
        <v>44</v>
      </c>
      <c r="B58" s="578" t="s">
        <v>159</v>
      </c>
      <c r="C58" s="578"/>
      <c r="D58" s="579" t="s">
        <v>159</v>
      </c>
      <c r="E58" s="579"/>
      <c r="F58" s="568" t="s">
        <v>162</v>
      </c>
      <c r="G58" s="568"/>
      <c r="H58" s="580"/>
      <c r="I58" s="581"/>
      <c r="J58" s="582"/>
      <c r="K58" s="572" t="s">
        <v>162</v>
      </c>
      <c r="L58" s="573"/>
      <c r="M58" s="574"/>
      <c r="N58" s="583" t="s">
        <v>159</v>
      </c>
      <c r="O58" s="584"/>
      <c r="P58" s="584"/>
      <c r="Q58" s="584"/>
      <c r="R58" s="584"/>
      <c r="S58" s="584"/>
      <c r="T58" s="584"/>
      <c r="U58" s="585"/>
    </row>
    <row r="59" spans="1:21" ht="35.1" customHeight="1" x14ac:dyDescent="0.25">
      <c r="A59" s="263">
        <f t="shared" si="0"/>
        <v>45</v>
      </c>
      <c r="B59" s="566" t="s">
        <v>159</v>
      </c>
      <c r="C59" s="566"/>
      <c r="D59" s="567" t="s">
        <v>159</v>
      </c>
      <c r="E59" s="567"/>
      <c r="F59" s="568" t="s">
        <v>162</v>
      </c>
      <c r="G59" s="568"/>
      <c r="H59" s="569"/>
      <c r="I59" s="570"/>
      <c r="J59" s="571"/>
      <c r="K59" s="572" t="s">
        <v>162</v>
      </c>
      <c r="L59" s="573"/>
      <c r="M59" s="574"/>
      <c r="N59" s="575" t="s">
        <v>159</v>
      </c>
      <c r="O59" s="576"/>
      <c r="P59" s="576"/>
      <c r="Q59" s="576"/>
      <c r="R59" s="576"/>
      <c r="S59" s="576"/>
      <c r="T59" s="576"/>
      <c r="U59" s="577"/>
    </row>
    <row r="60" spans="1:21" ht="35.1" customHeight="1" x14ac:dyDescent="0.25">
      <c r="A60" s="263">
        <f t="shared" si="0"/>
        <v>46</v>
      </c>
      <c r="B60" s="578" t="s">
        <v>159</v>
      </c>
      <c r="C60" s="578"/>
      <c r="D60" s="579" t="s">
        <v>159</v>
      </c>
      <c r="E60" s="579"/>
      <c r="F60" s="568" t="s">
        <v>162</v>
      </c>
      <c r="G60" s="568"/>
      <c r="H60" s="580"/>
      <c r="I60" s="581"/>
      <c r="J60" s="582"/>
      <c r="K60" s="572" t="s">
        <v>162</v>
      </c>
      <c r="L60" s="573"/>
      <c r="M60" s="574"/>
      <c r="N60" s="583" t="s">
        <v>159</v>
      </c>
      <c r="O60" s="584"/>
      <c r="P60" s="584"/>
      <c r="Q60" s="584"/>
      <c r="R60" s="584"/>
      <c r="S60" s="584"/>
      <c r="T60" s="584"/>
      <c r="U60" s="585"/>
    </row>
    <row r="61" spans="1:21" ht="35.1" customHeight="1" x14ac:dyDescent="0.25">
      <c r="A61" s="263">
        <f t="shared" si="0"/>
        <v>47</v>
      </c>
      <c r="B61" s="566" t="s">
        <v>159</v>
      </c>
      <c r="C61" s="566"/>
      <c r="D61" s="567" t="s">
        <v>159</v>
      </c>
      <c r="E61" s="567"/>
      <c r="F61" s="568" t="s">
        <v>162</v>
      </c>
      <c r="G61" s="568"/>
      <c r="H61" s="569"/>
      <c r="I61" s="570"/>
      <c r="J61" s="571"/>
      <c r="K61" s="572" t="s">
        <v>162</v>
      </c>
      <c r="L61" s="573"/>
      <c r="M61" s="574"/>
      <c r="N61" s="575" t="s">
        <v>159</v>
      </c>
      <c r="O61" s="576"/>
      <c r="P61" s="576"/>
      <c r="Q61" s="576"/>
      <c r="R61" s="576"/>
      <c r="S61" s="576"/>
      <c r="T61" s="576"/>
      <c r="U61" s="577"/>
    </row>
    <row r="62" spans="1:21" ht="35.1" customHeight="1" x14ac:dyDescent="0.25">
      <c r="A62" s="263">
        <f t="shared" si="0"/>
        <v>48</v>
      </c>
      <c r="B62" s="578" t="s">
        <v>159</v>
      </c>
      <c r="C62" s="578"/>
      <c r="D62" s="579" t="s">
        <v>159</v>
      </c>
      <c r="E62" s="579"/>
      <c r="F62" s="568" t="s">
        <v>162</v>
      </c>
      <c r="G62" s="568"/>
      <c r="H62" s="580"/>
      <c r="I62" s="581"/>
      <c r="J62" s="582"/>
      <c r="K62" s="572" t="s">
        <v>162</v>
      </c>
      <c r="L62" s="573"/>
      <c r="M62" s="574"/>
      <c r="N62" s="583" t="s">
        <v>159</v>
      </c>
      <c r="O62" s="584"/>
      <c r="P62" s="584"/>
      <c r="Q62" s="584"/>
      <c r="R62" s="584"/>
      <c r="S62" s="584"/>
      <c r="T62" s="584"/>
      <c r="U62" s="585"/>
    </row>
    <row r="63" spans="1:21" ht="35.1" customHeight="1" x14ac:dyDescent="0.25">
      <c r="A63" s="263">
        <f t="shared" si="0"/>
        <v>49</v>
      </c>
      <c r="B63" s="566" t="s">
        <v>159</v>
      </c>
      <c r="C63" s="566"/>
      <c r="D63" s="567" t="s">
        <v>159</v>
      </c>
      <c r="E63" s="567"/>
      <c r="F63" s="568" t="s">
        <v>162</v>
      </c>
      <c r="G63" s="568"/>
      <c r="H63" s="569"/>
      <c r="I63" s="570"/>
      <c r="J63" s="571"/>
      <c r="K63" s="572" t="s">
        <v>162</v>
      </c>
      <c r="L63" s="573"/>
      <c r="M63" s="574"/>
      <c r="N63" s="575" t="s">
        <v>159</v>
      </c>
      <c r="O63" s="576"/>
      <c r="P63" s="576"/>
      <c r="Q63" s="576"/>
      <c r="R63" s="576"/>
      <c r="S63" s="576"/>
      <c r="T63" s="576"/>
      <c r="U63" s="577"/>
    </row>
    <row r="64" spans="1:21" ht="35.1" customHeight="1" x14ac:dyDescent="0.25">
      <c r="A64" s="263">
        <f t="shared" si="0"/>
        <v>50</v>
      </c>
      <c r="B64" s="578" t="s">
        <v>159</v>
      </c>
      <c r="C64" s="578"/>
      <c r="D64" s="579" t="s">
        <v>159</v>
      </c>
      <c r="E64" s="579"/>
      <c r="F64" s="568" t="s">
        <v>162</v>
      </c>
      <c r="G64" s="568"/>
      <c r="H64" s="580"/>
      <c r="I64" s="581"/>
      <c r="J64" s="582"/>
      <c r="K64" s="572" t="s">
        <v>162</v>
      </c>
      <c r="L64" s="573"/>
      <c r="M64" s="574"/>
      <c r="N64" s="583" t="s">
        <v>159</v>
      </c>
      <c r="O64" s="584"/>
      <c r="P64" s="584"/>
      <c r="Q64" s="584"/>
      <c r="R64" s="584"/>
      <c r="S64" s="584"/>
      <c r="T64" s="584"/>
      <c r="U64" s="585"/>
    </row>
    <row r="65" spans="1:21" ht="35.1" customHeight="1" x14ac:dyDescent="0.25">
      <c r="A65" s="263">
        <f t="shared" si="0"/>
        <v>51</v>
      </c>
      <c r="B65" s="566" t="s">
        <v>159</v>
      </c>
      <c r="C65" s="566"/>
      <c r="D65" s="567" t="s">
        <v>159</v>
      </c>
      <c r="E65" s="567"/>
      <c r="F65" s="568" t="s">
        <v>162</v>
      </c>
      <c r="G65" s="568"/>
      <c r="H65" s="569"/>
      <c r="I65" s="570"/>
      <c r="J65" s="571"/>
      <c r="K65" s="572" t="s">
        <v>162</v>
      </c>
      <c r="L65" s="573"/>
      <c r="M65" s="574"/>
      <c r="N65" s="575" t="s">
        <v>159</v>
      </c>
      <c r="O65" s="576"/>
      <c r="P65" s="576"/>
      <c r="Q65" s="576"/>
      <c r="R65" s="576"/>
      <c r="S65" s="576"/>
      <c r="T65" s="576"/>
      <c r="U65" s="577"/>
    </row>
    <row r="66" spans="1:21" ht="35.1" customHeight="1" x14ac:dyDescent="0.25">
      <c r="A66" s="263">
        <f t="shared" si="0"/>
        <v>52</v>
      </c>
      <c r="B66" s="578" t="s">
        <v>159</v>
      </c>
      <c r="C66" s="578"/>
      <c r="D66" s="579" t="s">
        <v>159</v>
      </c>
      <c r="E66" s="579"/>
      <c r="F66" s="568" t="s">
        <v>162</v>
      </c>
      <c r="G66" s="568"/>
      <c r="H66" s="580"/>
      <c r="I66" s="581"/>
      <c r="J66" s="582"/>
      <c r="K66" s="572" t="s">
        <v>162</v>
      </c>
      <c r="L66" s="573"/>
      <c r="M66" s="574"/>
      <c r="N66" s="583" t="s">
        <v>159</v>
      </c>
      <c r="O66" s="584"/>
      <c r="P66" s="584"/>
      <c r="Q66" s="584"/>
      <c r="R66" s="584"/>
      <c r="S66" s="584"/>
      <c r="T66" s="584"/>
      <c r="U66" s="585"/>
    </row>
    <row r="67" spans="1:21" ht="35.1" customHeight="1" x14ac:dyDescent="0.25">
      <c r="A67" s="263">
        <f t="shared" si="0"/>
        <v>53</v>
      </c>
      <c r="B67" s="566" t="s">
        <v>159</v>
      </c>
      <c r="C67" s="566"/>
      <c r="D67" s="567" t="s">
        <v>159</v>
      </c>
      <c r="E67" s="567"/>
      <c r="F67" s="568" t="s">
        <v>162</v>
      </c>
      <c r="G67" s="568"/>
      <c r="H67" s="569"/>
      <c r="I67" s="570"/>
      <c r="J67" s="571"/>
      <c r="K67" s="572" t="s">
        <v>162</v>
      </c>
      <c r="L67" s="573"/>
      <c r="M67" s="574"/>
      <c r="N67" s="575" t="s">
        <v>159</v>
      </c>
      <c r="O67" s="576"/>
      <c r="P67" s="576"/>
      <c r="Q67" s="576"/>
      <c r="R67" s="576"/>
      <c r="S67" s="576"/>
      <c r="T67" s="576"/>
      <c r="U67" s="577"/>
    </row>
    <row r="68" spans="1:21" ht="35.1" customHeight="1" x14ac:dyDescent="0.25">
      <c r="A68" s="263">
        <f t="shared" si="0"/>
        <v>54</v>
      </c>
      <c r="B68" s="578" t="s">
        <v>159</v>
      </c>
      <c r="C68" s="578"/>
      <c r="D68" s="579" t="s">
        <v>159</v>
      </c>
      <c r="E68" s="579"/>
      <c r="F68" s="568" t="s">
        <v>162</v>
      </c>
      <c r="G68" s="568"/>
      <c r="H68" s="580"/>
      <c r="I68" s="581"/>
      <c r="J68" s="582"/>
      <c r="K68" s="572" t="s">
        <v>162</v>
      </c>
      <c r="L68" s="573"/>
      <c r="M68" s="574"/>
      <c r="N68" s="583" t="s">
        <v>159</v>
      </c>
      <c r="O68" s="584"/>
      <c r="P68" s="584"/>
      <c r="Q68" s="584"/>
      <c r="R68" s="584"/>
      <c r="S68" s="584"/>
      <c r="T68" s="584"/>
      <c r="U68" s="585"/>
    </row>
    <row r="69" spans="1:21" ht="35.1" customHeight="1" x14ac:dyDescent="0.25">
      <c r="A69" s="263">
        <f t="shared" si="0"/>
        <v>55</v>
      </c>
      <c r="B69" s="566" t="s">
        <v>159</v>
      </c>
      <c r="C69" s="566"/>
      <c r="D69" s="567" t="s">
        <v>159</v>
      </c>
      <c r="E69" s="567"/>
      <c r="F69" s="568" t="s">
        <v>162</v>
      </c>
      <c r="G69" s="568"/>
      <c r="H69" s="569"/>
      <c r="I69" s="570"/>
      <c r="J69" s="571"/>
      <c r="K69" s="572" t="s">
        <v>162</v>
      </c>
      <c r="L69" s="573"/>
      <c r="M69" s="574"/>
      <c r="N69" s="575" t="s">
        <v>159</v>
      </c>
      <c r="O69" s="576"/>
      <c r="P69" s="576"/>
      <c r="Q69" s="576"/>
      <c r="R69" s="576"/>
      <c r="S69" s="576"/>
      <c r="T69" s="576"/>
      <c r="U69" s="577"/>
    </row>
    <row r="70" spans="1:21" ht="35.1" customHeight="1" x14ac:dyDescent="0.25">
      <c r="A70" s="263">
        <f t="shared" si="0"/>
        <v>56</v>
      </c>
      <c r="B70" s="578" t="s">
        <v>159</v>
      </c>
      <c r="C70" s="578"/>
      <c r="D70" s="579" t="s">
        <v>159</v>
      </c>
      <c r="E70" s="579"/>
      <c r="F70" s="568" t="s">
        <v>162</v>
      </c>
      <c r="G70" s="568"/>
      <c r="H70" s="580"/>
      <c r="I70" s="581"/>
      <c r="J70" s="582"/>
      <c r="K70" s="572" t="s">
        <v>162</v>
      </c>
      <c r="L70" s="573"/>
      <c r="M70" s="574"/>
      <c r="N70" s="583" t="s">
        <v>159</v>
      </c>
      <c r="O70" s="584"/>
      <c r="P70" s="584"/>
      <c r="Q70" s="584"/>
      <c r="R70" s="584"/>
      <c r="S70" s="584"/>
      <c r="T70" s="584"/>
      <c r="U70" s="585"/>
    </row>
    <row r="71" spans="1:21" ht="35.1" customHeight="1" x14ac:dyDescent="0.25">
      <c r="A71" s="263">
        <f t="shared" si="0"/>
        <v>57</v>
      </c>
      <c r="B71" s="566" t="s">
        <v>159</v>
      </c>
      <c r="C71" s="566"/>
      <c r="D71" s="567" t="s">
        <v>159</v>
      </c>
      <c r="E71" s="567"/>
      <c r="F71" s="568" t="s">
        <v>162</v>
      </c>
      <c r="G71" s="568"/>
      <c r="H71" s="569"/>
      <c r="I71" s="570"/>
      <c r="J71" s="571"/>
      <c r="K71" s="572" t="s">
        <v>162</v>
      </c>
      <c r="L71" s="573"/>
      <c r="M71" s="574"/>
      <c r="N71" s="575" t="s">
        <v>159</v>
      </c>
      <c r="O71" s="576"/>
      <c r="P71" s="576"/>
      <c r="Q71" s="576"/>
      <c r="R71" s="576"/>
      <c r="S71" s="576"/>
      <c r="T71" s="576"/>
      <c r="U71" s="577"/>
    </row>
    <row r="72" spans="1:21" ht="35.1" customHeight="1" x14ac:dyDescent="0.25">
      <c r="A72" s="263">
        <f t="shared" si="0"/>
        <v>58</v>
      </c>
      <c r="B72" s="578" t="s">
        <v>159</v>
      </c>
      <c r="C72" s="578"/>
      <c r="D72" s="579" t="s">
        <v>159</v>
      </c>
      <c r="E72" s="579"/>
      <c r="F72" s="568" t="s">
        <v>162</v>
      </c>
      <c r="G72" s="568"/>
      <c r="H72" s="580"/>
      <c r="I72" s="581"/>
      <c r="J72" s="582"/>
      <c r="K72" s="572" t="s">
        <v>162</v>
      </c>
      <c r="L72" s="573"/>
      <c r="M72" s="574"/>
      <c r="N72" s="583" t="s">
        <v>159</v>
      </c>
      <c r="O72" s="584"/>
      <c r="P72" s="584"/>
      <c r="Q72" s="584"/>
      <c r="R72" s="584"/>
      <c r="S72" s="584"/>
      <c r="T72" s="584"/>
      <c r="U72" s="585"/>
    </row>
    <row r="73" spans="1:21" ht="35.1" customHeight="1" x14ac:dyDescent="0.25">
      <c r="A73" s="263">
        <f t="shared" si="0"/>
        <v>59</v>
      </c>
      <c r="B73" s="566" t="s">
        <v>159</v>
      </c>
      <c r="C73" s="566"/>
      <c r="D73" s="567" t="s">
        <v>159</v>
      </c>
      <c r="E73" s="567"/>
      <c r="F73" s="568" t="s">
        <v>162</v>
      </c>
      <c r="G73" s="568"/>
      <c r="H73" s="569"/>
      <c r="I73" s="570"/>
      <c r="J73" s="571"/>
      <c r="K73" s="572" t="s">
        <v>162</v>
      </c>
      <c r="L73" s="573"/>
      <c r="M73" s="574"/>
      <c r="N73" s="575" t="s">
        <v>159</v>
      </c>
      <c r="O73" s="576"/>
      <c r="P73" s="576"/>
      <c r="Q73" s="576"/>
      <c r="R73" s="576"/>
      <c r="S73" s="576"/>
      <c r="T73" s="576"/>
      <c r="U73" s="577"/>
    </row>
    <row r="74" spans="1:21" ht="35.1" customHeight="1" x14ac:dyDescent="0.25">
      <c r="A74" s="263">
        <f t="shared" si="0"/>
        <v>60</v>
      </c>
      <c r="B74" s="578" t="s">
        <v>159</v>
      </c>
      <c r="C74" s="578"/>
      <c r="D74" s="579" t="s">
        <v>159</v>
      </c>
      <c r="E74" s="579"/>
      <c r="F74" s="568" t="s">
        <v>162</v>
      </c>
      <c r="G74" s="568"/>
      <c r="H74" s="580"/>
      <c r="I74" s="581"/>
      <c r="J74" s="582"/>
      <c r="K74" s="572" t="s">
        <v>162</v>
      </c>
      <c r="L74" s="573"/>
      <c r="M74" s="574"/>
      <c r="N74" s="583" t="s">
        <v>159</v>
      </c>
      <c r="O74" s="584"/>
      <c r="P74" s="584"/>
      <c r="Q74" s="584"/>
      <c r="R74" s="584"/>
      <c r="S74" s="584"/>
      <c r="T74" s="584"/>
      <c r="U74" s="585"/>
    </row>
    <row r="75" spans="1:21" ht="35.1" customHeight="1" x14ac:dyDescent="0.25">
      <c r="A75" s="263">
        <f t="shared" si="0"/>
        <v>61</v>
      </c>
      <c r="B75" s="566" t="s">
        <v>444</v>
      </c>
      <c r="C75" s="566"/>
      <c r="D75" s="567" t="s">
        <v>159</v>
      </c>
      <c r="E75" s="567"/>
      <c r="F75" s="568" t="s">
        <v>162</v>
      </c>
      <c r="G75" s="568"/>
      <c r="H75" s="569"/>
      <c r="I75" s="570"/>
      <c r="J75" s="571"/>
      <c r="K75" s="572" t="s">
        <v>162</v>
      </c>
      <c r="L75" s="573"/>
      <c r="M75" s="574"/>
      <c r="N75" s="575" t="s">
        <v>159</v>
      </c>
      <c r="O75" s="576"/>
      <c r="P75" s="576"/>
      <c r="Q75" s="576"/>
      <c r="R75" s="576"/>
      <c r="S75" s="576"/>
      <c r="T75" s="576"/>
      <c r="U75" s="577"/>
    </row>
    <row r="76" spans="1:21" ht="35.1" customHeight="1" x14ac:dyDescent="0.25">
      <c r="A76" s="263">
        <f t="shared" si="0"/>
        <v>62</v>
      </c>
      <c r="B76" s="578" t="s">
        <v>159</v>
      </c>
      <c r="C76" s="578"/>
      <c r="D76" s="579" t="s">
        <v>159</v>
      </c>
      <c r="E76" s="579"/>
      <c r="F76" s="568" t="s">
        <v>162</v>
      </c>
      <c r="G76" s="568"/>
      <c r="H76" s="580"/>
      <c r="I76" s="581"/>
      <c r="J76" s="582"/>
      <c r="K76" s="572" t="s">
        <v>162</v>
      </c>
      <c r="L76" s="573"/>
      <c r="M76" s="574"/>
      <c r="N76" s="583" t="s">
        <v>159</v>
      </c>
      <c r="O76" s="584"/>
      <c r="P76" s="584"/>
      <c r="Q76" s="584"/>
      <c r="R76" s="584"/>
      <c r="S76" s="584"/>
      <c r="T76" s="584"/>
      <c r="U76" s="585"/>
    </row>
    <row r="77" spans="1:21" ht="35.1" customHeight="1" x14ac:dyDescent="0.25">
      <c r="A77" s="263">
        <f t="shared" si="0"/>
        <v>63</v>
      </c>
      <c r="B77" s="566" t="s">
        <v>159</v>
      </c>
      <c r="C77" s="566"/>
      <c r="D77" s="567" t="s">
        <v>159</v>
      </c>
      <c r="E77" s="567"/>
      <c r="F77" s="568" t="s">
        <v>162</v>
      </c>
      <c r="G77" s="568"/>
      <c r="H77" s="569"/>
      <c r="I77" s="570"/>
      <c r="J77" s="571"/>
      <c r="K77" s="572" t="s">
        <v>162</v>
      </c>
      <c r="L77" s="573"/>
      <c r="M77" s="574"/>
      <c r="N77" s="575" t="s">
        <v>159</v>
      </c>
      <c r="O77" s="576"/>
      <c r="P77" s="576"/>
      <c r="Q77" s="576"/>
      <c r="R77" s="576"/>
      <c r="S77" s="576"/>
      <c r="T77" s="576"/>
      <c r="U77" s="577"/>
    </row>
    <row r="78" spans="1:21" ht="35.1" customHeight="1" x14ac:dyDescent="0.25">
      <c r="A78" s="263">
        <f t="shared" si="0"/>
        <v>64</v>
      </c>
      <c r="B78" s="578" t="s">
        <v>159</v>
      </c>
      <c r="C78" s="578"/>
      <c r="D78" s="579" t="s">
        <v>159</v>
      </c>
      <c r="E78" s="579"/>
      <c r="F78" s="568" t="s">
        <v>162</v>
      </c>
      <c r="G78" s="568"/>
      <c r="H78" s="580"/>
      <c r="I78" s="581"/>
      <c r="J78" s="582"/>
      <c r="K78" s="572" t="s">
        <v>162</v>
      </c>
      <c r="L78" s="573"/>
      <c r="M78" s="574"/>
      <c r="N78" s="583" t="s">
        <v>159</v>
      </c>
      <c r="O78" s="584"/>
      <c r="P78" s="584"/>
      <c r="Q78" s="584"/>
      <c r="R78" s="584"/>
      <c r="S78" s="584"/>
      <c r="T78" s="584"/>
      <c r="U78" s="585"/>
    </row>
    <row r="79" spans="1:21" ht="35.1" customHeight="1" x14ac:dyDescent="0.25">
      <c r="A79" s="263">
        <f t="shared" ref="A79:A142" si="1">ROW(A65)</f>
        <v>65</v>
      </c>
      <c r="B79" s="566" t="s">
        <v>159</v>
      </c>
      <c r="C79" s="566"/>
      <c r="D79" s="567" t="s">
        <v>159</v>
      </c>
      <c r="E79" s="567"/>
      <c r="F79" s="568" t="s">
        <v>162</v>
      </c>
      <c r="G79" s="568"/>
      <c r="H79" s="569"/>
      <c r="I79" s="570"/>
      <c r="J79" s="571"/>
      <c r="K79" s="572" t="s">
        <v>162</v>
      </c>
      <c r="L79" s="573"/>
      <c r="M79" s="574"/>
      <c r="N79" s="575" t="s">
        <v>159</v>
      </c>
      <c r="O79" s="576"/>
      <c r="P79" s="576"/>
      <c r="Q79" s="576"/>
      <c r="R79" s="576"/>
      <c r="S79" s="576"/>
      <c r="T79" s="576"/>
      <c r="U79" s="577"/>
    </row>
    <row r="80" spans="1:21" ht="35.1" customHeight="1" x14ac:dyDescent="0.25">
      <c r="A80" s="263">
        <f t="shared" si="1"/>
        <v>66</v>
      </c>
      <c r="B80" s="578" t="s">
        <v>159</v>
      </c>
      <c r="C80" s="578"/>
      <c r="D80" s="579" t="s">
        <v>159</v>
      </c>
      <c r="E80" s="579"/>
      <c r="F80" s="568" t="s">
        <v>162</v>
      </c>
      <c r="G80" s="568"/>
      <c r="H80" s="580"/>
      <c r="I80" s="581"/>
      <c r="J80" s="582"/>
      <c r="K80" s="572" t="s">
        <v>162</v>
      </c>
      <c r="L80" s="573"/>
      <c r="M80" s="574"/>
      <c r="N80" s="583" t="s">
        <v>159</v>
      </c>
      <c r="O80" s="584"/>
      <c r="P80" s="584"/>
      <c r="Q80" s="584"/>
      <c r="R80" s="584"/>
      <c r="S80" s="584"/>
      <c r="T80" s="584"/>
      <c r="U80" s="585"/>
    </row>
    <row r="81" spans="1:21" ht="35.1" customHeight="1" x14ac:dyDescent="0.25">
      <c r="A81" s="263">
        <f t="shared" si="1"/>
        <v>67</v>
      </c>
      <c r="B81" s="566" t="s">
        <v>448</v>
      </c>
      <c r="C81" s="566"/>
      <c r="D81" s="567" t="s">
        <v>159</v>
      </c>
      <c r="E81" s="567"/>
      <c r="F81" s="568" t="s">
        <v>162</v>
      </c>
      <c r="G81" s="568"/>
      <c r="H81" s="569"/>
      <c r="I81" s="570"/>
      <c r="J81" s="571"/>
      <c r="K81" s="572" t="s">
        <v>162</v>
      </c>
      <c r="L81" s="573"/>
      <c r="M81" s="574"/>
      <c r="N81" s="575" t="s">
        <v>159</v>
      </c>
      <c r="O81" s="576"/>
      <c r="P81" s="576"/>
      <c r="Q81" s="576"/>
      <c r="R81" s="576"/>
      <c r="S81" s="576"/>
      <c r="T81" s="576"/>
      <c r="U81" s="577"/>
    </row>
    <row r="82" spans="1:21" ht="35.1" customHeight="1" x14ac:dyDescent="0.25">
      <c r="A82" s="263">
        <f t="shared" si="1"/>
        <v>68</v>
      </c>
      <c r="B82" s="578" t="s">
        <v>159</v>
      </c>
      <c r="C82" s="578"/>
      <c r="D82" s="579" t="s">
        <v>159</v>
      </c>
      <c r="E82" s="579"/>
      <c r="F82" s="568" t="s">
        <v>162</v>
      </c>
      <c r="G82" s="568"/>
      <c r="H82" s="580"/>
      <c r="I82" s="581"/>
      <c r="J82" s="582"/>
      <c r="K82" s="572" t="s">
        <v>162</v>
      </c>
      <c r="L82" s="573"/>
      <c r="M82" s="574"/>
      <c r="N82" s="583" t="s">
        <v>159</v>
      </c>
      <c r="O82" s="584"/>
      <c r="P82" s="584"/>
      <c r="Q82" s="584"/>
      <c r="R82" s="584"/>
      <c r="S82" s="584"/>
      <c r="T82" s="584"/>
      <c r="U82" s="585"/>
    </row>
    <row r="83" spans="1:21" ht="35.1" customHeight="1" x14ac:dyDescent="0.25">
      <c r="A83" s="263">
        <f t="shared" si="1"/>
        <v>69</v>
      </c>
      <c r="B83" s="566" t="s">
        <v>159</v>
      </c>
      <c r="C83" s="566"/>
      <c r="D83" s="567" t="s">
        <v>159</v>
      </c>
      <c r="E83" s="567"/>
      <c r="F83" s="568" t="s">
        <v>162</v>
      </c>
      <c r="G83" s="568"/>
      <c r="H83" s="569"/>
      <c r="I83" s="570"/>
      <c r="J83" s="571"/>
      <c r="K83" s="572" t="s">
        <v>162</v>
      </c>
      <c r="L83" s="573"/>
      <c r="M83" s="574"/>
      <c r="N83" s="575" t="s">
        <v>159</v>
      </c>
      <c r="O83" s="576"/>
      <c r="P83" s="576"/>
      <c r="Q83" s="576"/>
      <c r="R83" s="576"/>
      <c r="S83" s="576"/>
      <c r="T83" s="576"/>
      <c r="U83" s="577"/>
    </row>
    <row r="84" spans="1:21" ht="35.1" customHeight="1" x14ac:dyDescent="0.25">
      <c r="A84" s="263">
        <f t="shared" si="1"/>
        <v>70</v>
      </c>
      <c r="B84" s="578" t="s">
        <v>159</v>
      </c>
      <c r="C84" s="578"/>
      <c r="D84" s="579" t="s">
        <v>159</v>
      </c>
      <c r="E84" s="579"/>
      <c r="F84" s="568" t="s">
        <v>162</v>
      </c>
      <c r="G84" s="568"/>
      <c r="H84" s="580"/>
      <c r="I84" s="581"/>
      <c r="J84" s="582"/>
      <c r="K84" s="572" t="s">
        <v>162</v>
      </c>
      <c r="L84" s="573"/>
      <c r="M84" s="574"/>
      <c r="N84" s="583" t="s">
        <v>159</v>
      </c>
      <c r="O84" s="584"/>
      <c r="P84" s="584"/>
      <c r="Q84" s="584"/>
      <c r="R84" s="584"/>
      <c r="S84" s="584"/>
      <c r="T84" s="584"/>
      <c r="U84" s="585"/>
    </row>
    <row r="85" spans="1:21" ht="35.1" customHeight="1" x14ac:dyDescent="0.25">
      <c r="A85" s="263">
        <f t="shared" si="1"/>
        <v>71</v>
      </c>
      <c r="B85" s="566" t="s">
        <v>159</v>
      </c>
      <c r="C85" s="566"/>
      <c r="D85" s="567" t="s">
        <v>159</v>
      </c>
      <c r="E85" s="567"/>
      <c r="F85" s="568" t="s">
        <v>162</v>
      </c>
      <c r="G85" s="568"/>
      <c r="H85" s="569"/>
      <c r="I85" s="570"/>
      <c r="J85" s="571"/>
      <c r="K85" s="572" t="s">
        <v>162</v>
      </c>
      <c r="L85" s="573"/>
      <c r="M85" s="574"/>
      <c r="N85" s="575" t="s">
        <v>159</v>
      </c>
      <c r="O85" s="576"/>
      <c r="P85" s="576"/>
      <c r="Q85" s="576"/>
      <c r="R85" s="576"/>
      <c r="S85" s="576"/>
      <c r="T85" s="576"/>
      <c r="U85" s="577"/>
    </row>
    <row r="86" spans="1:21" ht="35.1" customHeight="1" x14ac:dyDescent="0.25">
      <c r="A86" s="263">
        <f t="shared" si="1"/>
        <v>72</v>
      </c>
      <c r="B86" s="578" t="s">
        <v>159</v>
      </c>
      <c r="C86" s="578"/>
      <c r="D86" s="579" t="s">
        <v>159</v>
      </c>
      <c r="E86" s="579"/>
      <c r="F86" s="568" t="s">
        <v>162</v>
      </c>
      <c r="G86" s="568"/>
      <c r="H86" s="580"/>
      <c r="I86" s="581"/>
      <c r="J86" s="582"/>
      <c r="K86" s="572" t="s">
        <v>162</v>
      </c>
      <c r="L86" s="573"/>
      <c r="M86" s="574"/>
      <c r="N86" s="583" t="s">
        <v>159</v>
      </c>
      <c r="O86" s="584"/>
      <c r="P86" s="584"/>
      <c r="Q86" s="584"/>
      <c r="R86" s="584"/>
      <c r="S86" s="584"/>
      <c r="T86" s="584"/>
      <c r="U86" s="585"/>
    </row>
    <row r="87" spans="1:21" ht="35.1" customHeight="1" x14ac:dyDescent="0.25">
      <c r="A87" s="263">
        <f t="shared" si="1"/>
        <v>73</v>
      </c>
      <c r="B87" s="566" t="s">
        <v>159</v>
      </c>
      <c r="C87" s="566"/>
      <c r="D87" s="567" t="s">
        <v>159</v>
      </c>
      <c r="E87" s="567"/>
      <c r="F87" s="568" t="s">
        <v>162</v>
      </c>
      <c r="G87" s="568"/>
      <c r="H87" s="569"/>
      <c r="I87" s="570"/>
      <c r="J87" s="571"/>
      <c r="K87" s="572" t="s">
        <v>162</v>
      </c>
      <c r="L87" s="573"/>
      <c r="M87" s="574"/>
      <c r="N87" s="575" t="s">
        <v>159</v>
      </c>
      <c r="O87" s="576"/>
      <c r="P87" s="576"/>
      <c r="Q87" s="576"/>
      <c r="R87" s="576"/>
      <c r="S87" s="576"/>
      <c r="T87" s="576"/>
      <c r="U87" s="577"/>
    </row>
    <row r="88" spans="1:21" ht="35.1" customHeight="1" x14ac:dyDescent="0.25">
      <c r="A88" s="263">
        <f t="shared" si="1"/>
        <v>74</v>
      </c>
      <c r="B88" s="578" t="s">
        <v>159</v>
      </c>
      <c r="C88" s="578"/>
      <c r="D88" s="579" t="s">
        <v>159</v>
      </c>
      <c r="E88" s="579"/>
      <c r="F88" s="568" t="s">
        <v>162</v>
      </c>
      <c r="G88" s="568"/>
      <c r="H88" s="580"/>
      <c r="I88" s="581"/>
      <c r="J88" s="582"/>
      <c r="K88" s="572" t="s">
        <v>162</v>
      </c>
      <c r="L88" s="573"/>
      <c r="M88" s="574"/>
      <c r="N88" s="583" t="s">
        <v>159</v>
      </c>
      <c r="O88" s="584"/>
      <c r="P88" s="584"/>
      <c r="Q88" s="584"/>
      <c r="R88" s="584"/>
      <c r="S88" s="584"/>
      <c r="T88" s="584"/>
      <c r="U88" s="585"/>
    </row>
    <row r="89" spans="1:21" ht="35.1" customHeight="1" x14ac:dyDescent="0.25">
      <c r="A89" s="263">
        <f t="shared" si="1"/>
        <v>75</v>
      </c>
      <c r="B89" s="566" t="s">
        <v>159</v>
      </c>
      <c r="C89" s="566"/>
      <c r="D89" s="567" t="s">
        <v>159</v>
      </c>
      <c r="E89" s="567"/>
      <c r="F89" s="568" t="s">
        <v>162</v>
      </c>
      <c r="G89" s="568"/>
      <c r="H89" s="569"/>
      <c r="I89" s="570"/>
      <c r="J89" s="571"/>
      <c r="K89" s="572" t="s">
        <v>162</v>
      </c>
      <c r="L89" s="573"/>
      <c r="M89" s="574"/>
      <c r="N89" s="575" t="s">
        <v>159</v>
      </c>
      <c r="O89" s="576"/>
      <c r="P89" s="576"/>
      <c r="Q89" s="576"/>
      <c r="R89" s="576"/>
      <c r="S89" s="576"/>
      <c r="T89" s="576"/>
      <c r="U89" s="577"/>
    </row>
    <row r="90" spans="1:21" ht="35.1" customHeight="1" x14ac:dyDescent="0.25">
      <c r="A90" s="263">
        <f t="shared" si="1"/>
        <v>76</v>
      </c>
      <c r="B90" s="578" t="s">
        <v>159</v>
      </c>
      <c r="C90" s="578"/>
      <c r="D90" s="579" t="s">
        <v>159</v>
      </c>
      <c r="E90" s="579"/>
      <c r="F90" s="568" t="s">
        <v>162</v>
      </c>
      <c r="G90" s="568"/>
      <c r="H90" s="580"/>
      <c r="I90" s="581"/>
      <c r="J90" s="582"/>
      <c r="K90" s="572" t="s">
        <v>162</v>
      </c>
      <c r="L90" s="573"/>
      <c r="M90" s="574"/>
      <c r="N90" s="583" t="s">
        <v>159</v>
      </c>
      <c r="O90" s="584"/>
      <c r="P90" s="584"/>
      <c r="Q90" s="584"/>
      <c r="R90" s="584"/>
      <c r="S90" s="584"/>
      <c r="T90" s="584"/>
      <c r="U90" s="585"/>
    </row>
    <row r="91" spans="1:21" ht="35.1" customHeight="1" x14ac:dyDescent="0.25">
      <c r="A91" s="263">
        <f t="shared" si="1"/>
        <v>77</v>
      </c>
      <c r="B91" s="566" t="s">
        <v>159</v>
      </c>
      <c r="C91" s="566"/>
      <c r="D91" s="567" t="s">
        <v>159</v>
      </c>
      <c r="E91" s="567"/>
      <c r="F91" s="568" t="s">
        <v>162</v>
      </c>
      <c r="G91" s="568"/>
      <c r="H91" s="569"/>
      <c r="I91" s="570"/>
      <c r="J91" s="571"/>
      <c r="K91" s="572" t="s">
        <v>162</v>
      </c>
      <c r="L91" s="573"/>
      <c r="M91" s="574"/>
      <c r="N91" s="575" t="s">
        <v>159</v>
      </c>
      <c r="O91" s="576"/>
      <c r="P91" s="576"/>
      <c r="Q91" s="576"/>
      <c r="R91" s="576"/>
      <c r="S91" s="576"/>
      <c r="T91" s="576"/>
      <c r="U91" s="577"/>
    </row>
    <row r="92" spans="1:21" ht="35.1" customHeight="1" x14ac:dyDescent="0.25">
      <c r="A92" s="263">
        <f t="shared" si="1"/>
        <v>78</v>
      </c>
      <c r="B92" s="578" t="s">
        <v>159</v>
      </c>
      <c r="C92" s="578"/>
      <c r="D92" s="579" t="s">
        <v>159</v>
      </c>
      <c r="E92" s="579"/>
      <c r="F92" s="568" t="s">
        <v>162</v>
      </c>
      <c r="G92" s="568"/>
      <c r="H92" s="580"/>
      <c r="I92" s="581"/>
      <c r="J92" s="582"/>
      <c r="K92" s="572" t="s">
        <v>162</v>
      </c>
      <c r="L92" s="573"/>
      <c r="M92" s="574"/>
      <c r="N92" s="583" t="s">
        <v>159</v>
      </c>
      <c r="O92" s="584"/>
      <c r="P92" s="584"/>
      <c r="Q92" s="584"/>
      <c r="R92" s="584"/>
      <c r="S92" s="584"/>
      <c r="T92" s="584"/>
      <c r="U92" s="585"/>
    </row>
    <row r="93" spans="1:21" ht="35.1" customHeight="1" x14ac:dyDescent="0.25">
      <c r="A93" s="263">
        <f t="shared" si="1"/>
        <v>79</v>
      </c>
      <c r="B93" s="566" t="s">
        <v>159</v>
      </c>
      <c r="C93" s="566"/>
      <c r="D93" s="567" t="s">
        <v>159</v>
      </c>
      <c r="E93" s="567"/>
      <c r="F93" s="568" t="s">
        <v>162</v>
      </c>
      <c r="G93" s="568"/>
      <c r="H93" s="569"/>
      <c r="I93" s="570"/>
      <c r="J93" s="571"/>
      <c r="K93" s="572" t="s">
        <v>162</v>
      </c>
      <c r="L93" s="573"/>
      <c r="M93" s="574"/>
      <c r="N93" s="575" t="s">
        <v>159</v>
      </c>
      <c r="O93" s="576"/>
      <c r="P93" s="576"/>
      <c r="Q93" s="576"/>
      <c r="R93" s="576"/>
      <c r="S93" s="576"/>
      <c r="T93" s="576"/>
      <c r="U93" s="577"/>
    </row>
    <row r="94" spans="1:21" ht="35.1" customHeight="1" x14ac:dyDescent="0.25">
      <c r="A94" s="263">
        <f t="shared" si="1"/>
        <v>80</v>
      </c>
      <c r="B94" s="578" t="s">
        <v>447</v>
      </c>
      <c r="C94" s="578"/>
      <c r="D94" s="579" t="s">
        <v>159</v>
      </c>
      <c r="E94" s="579"/>
      <c r="F94" s="568" t="s">
        <v>162</v>
      </c>
      <c r="G94" s="568"/>
      <c r="H94" s="580"/>
      <c r="I94" s="581"/>
      <c r="J94" s="582"/>
      <c r="K94" s="572" t="s">
        <v>162</v>
      </c>
      <c r="L94" s="573"/>
      <c r="M94" s="574"/>
      <c r="N94" s="583" t="s">
        <v>159</v>
      </c>
      <c r="O94" s="584"/>
      <c r="P94" s="584"/>
      <c r="Q94" s="584"/>
      <c r="R94" s="584"/>
      <c r="S94" s="584"/>
      <c r="T94" s="584"/>
      <c r="U94" s="585"/>
    </row>
    <row r="95" spans="1:21" ht="35.1" customHeight="1" x14ac:dyDescent="0.25">
      <c r="A95" s="263">
        <f t="shared" si="1"/>
        <v>81</v>
      </c>
      <c r="B95" s="566" t="s">
        <v>159</v>
      </c>
      <c r="C95" s="566"/>
      <c r="D95" s="567" t="s">
        <v>159</v>
      </c>
      <c r="E95" s="567"/>
      <c r="F95" s="568" t="s">
        <v>162</v>
      </c>
      <c r="G95" s="568"/>
      <c r="H95" s="569"/>
      <c r="I95" s="570"/>
      <c r="J95" s="571"/>
      <c r="K95" s="572" t="s">
        <v>162</v>
      </c>
      <c r="L95" s="573"/>
      <c r="M95" s="574"/>
      <c r="N95" s="575" t="s">
        <v>159</v>
      </c>
      <c r="O95" s="576"/>
      <c r="P95" s="576"/>
      <c r="Q95" s="576"/>
      <c r="R95" s="576"/>
      <c r="S95" s="576"/>
      <c r="T95" s="576"/>
      <c r="U95" s="577"/>
    </row>
    <row r="96" spans="1:21" ht="35.1" customHeight="1" x14ac:dyDescent="0.25">
      <c r="A96" s="263">
        <f t="shared" si="1"/>
        <v>82</v>
      </c>
      <c r="B96" s="578" t="s">
        <v>159</v>
      </c>
      <c r="C96" s="578"/>
      <c r="D96" s="579" t="s">
        <v>159</v>
      </c>
      <c r="E96" s="579"/>
      <c r="F96" s="568" t="s">
        <v>162</v>
      </c>
      <c r="G96" s="568"/>
      <c r="H96" s="580"/>
      <c r="I96" s="581"/>
      <c r="J96" s="582"/>
      <c r="K96" s="572" t="s">
        <v>162</v>
      </c>
      <c r="L96" s="573"/>
      <c r="M96" s="574"/>
      <c r="N96" s="583" t="s">
        <v>159</v>
      </c>
      <c r="O96" s="584"/>
      <c r="P96" s="584"/>
      <c r="Q96" s="584"/>
      <c r="R96" s="584"/>
      <c r="S96" s="584"/>
      <c r="T96" s="584"/>
      <c r="U96" s="585"/>
    </row>
    <row r="97" spans="1:21" ht="35.1" customHeight="1" x14ac:dyDescent="0.25">
      <c r="A97" s="263">
        <f t="shared" si="1"/>
        <v>83</v>
      </c>
      <c r="B97" s="566" t="s">
        <v>159</v>
      </c>
      <c r="C97" s="566"/>
      <c r="D97" s="567" t="s">
        <v>159</v>
      </c>
      <c r="E97" s="567"/>
      <c r="F97" s="568" t="s">
        <v>162</v>
      </c>
      <c r="G97" s="568"/>
      <c r="H97" s="569"/>
      <c r="I97" s="570"/>
      <c r="J97" s="571"/>
      <c r="K97" s="572" t="s">
        <v>162</v>
      </c>
      <c r="L97" s="573"/>
      <c r="M97" s="574"/>
      <c r="N97" s="575" t="s">
        <v>159</v>
      </c>
      <c r="O97" s="576"/>
      <c r="P97" s="576"/>
      <c r="Q97" s="576"/>
      <c r="R97" s="576"/>
      <c r="S97" s="576"/>
      <c r="T97" s="576"/>
      <c r="U97" s="577"/>
    </row>
    <row r="98" spans="1:21" ht="35.1" customHeight="1" x14ac:dyDescent="0.25">
      <c r="A98" s="263">
        <f t="shared" si="1"/>
        <v>84</v>
      </c>
      <c r="B98" s="578" t="s">
        <v>159</v>
      </c>
      <c r="C98" s="578"/>
      <c r="D98" s="579" t="s">
        <v>159</v>
      </c>
      <c r="E98" s="579"/>
      <c r="F98" s="568" t="s">
        <v>162</v>
      </c>
      <c r="G98" s="568"/>
      <c r="H98" s="580"/>
      <c r="I98" s="581"/>
      <c r="J98" s="582"/>
      <c r="K98" s="572" t="s">
        <v>162</v>
      </c>
      <c r="L98" s="573"/>
      <c r="M98" s="574"/>
      <c r="N98" s="583" t="s">
        <v>159</v>
      </c>
      <c r="O98" s="584"/>
      <c r="P98" s="584"/>
      <c r="Q98" s="584"/>
      <c r="R98" s="584"/>
      <c r="S98" s="584"/>
      <c r="T98" s="584"/>
      <c r="U98" s="585"/>
    </row>
    <row r="99" spans="1:21" ht="35.1" customHeight="1" x14ac:dyDescent="0.25">
      <c r="A99" s="263">
        <f t="shared" si="1"/>
        <v>85</v>
      </c>
      <c r="B99" s="566" t="s">
        <v>159</v>
      </c>
      <c r="C99" s="566"/>
      <c r="D99" s="567" t="s">
        <v>159</v>
      </c>
      <c r="E99" s="567"/>
      <c r="F99" s="568" t="s">
        <v>162</v>
      </c>
      <c r="G99" s="568"/>
      <c r="H99" s="569"/>
      <c r="I99" s="570"/>
      <c r="J99" s="571"/>
      <c r="K99" s="572" t="s">
        <v>162</v>
      </c>
      <c r="L99" s="573"/>
      <c r="M99" s="574"/>
      <c r="N99" s="575" t="s">
        <v>159</v>
      </c>
      <c r="O99" s="576"/>
      <c r="P99" s="576"/>
      <c r="Q99" s="576"/>
      <c r="R99" s="576"/>
      <c r="S99" s="576"/>
      <c r="T99" s="576"/>
      <c r="U99" s="577"/>
    </row>
    <row r="100" spans="1:21" ht="35.1" customHeight="1" x14ac:dyDescent="0.25">
      <c r="A100" s="263">
        <f t="shared" si="1"/>
        <v>86</v>
      </c>
      <c r="B100" s="578" t="s">
        <v>159</v>
      </c>
      <c r="C100" s="578"/>
      <c r="D100" s="579" t="s">
        <v>159</v>
      </c>
      <c r="E100" s="579"/>
      <c r="F100" s="568" t="s">
        <v>162</v>
      </c>
      <c r="G100" s="568"/>
      <c r="H100" s="580"/>
      <c r="I100" s="581"/>
      <c r="J100" s="582"/>
      <c r="K100" s="572" t="s">
        <v>162</v>
      </c>
      <c r="L100" s="573"/>
      <c r="M100" s="574"/>
      <c r="N100" s="583" t="s">
        <v>159</v>
      </c>
      <c r="O100" s="584"/>
      <c r="P100" s="584"/>
      <c r="Q100" s="584"/>
      <c r="R100" s="584"/>
      <c r="S100" s="584"/>
      <c r="T100" s="584"/>
      <c r="U100" s="585"/>
    </row>
    <row r="101" spans="1:21" ht="35.1" customHeight="1" x14ac:dyDescent="0.25">
      <c r="A101" s="263">
        <f t="shared" si="1"/>
        <v>87</v>
      </c>
      <c r="B101" s="566" t="s">
        <v>159</v>
      </c>
      <c r="C101" s="566"/>
      <c r="D101" s="567" t="s">
        <v>159</v>
      </c>
      <c r="E101" s="567"/>
      <c r="F101" s="568" t="s">
        <v>162</v>
      </c>
      <c r="G101" s="568"/>
      <c r="H101" s="569"/>
      <c r="I101" s="570"/>
      <c r="J101" s="571"/>
      <c r="K101" s="572" t="s">
        <v>162</v>
      </c>
      <c r="L101" s="573"/>
      <c r="M101" s="574"/>
      <c r="N101" s="575" t="s">
        <v>159</v>
      </c>
      <c r="O101" s="576"/>
      <c r="P101" s="576"/>
      <c r="Q101" s="576"/>
      <c r="R101" s="576"/>
      <c r="S101" s="576"/>
      <c r="T101" s="576"/>
      <c r="U101" s="577"/>
    </row>
    <row r="102" spans="1:21" ht="35.1" customHeight="1" x14ac:dyDescent="0.25">
      <c r="A102" s="263">
        <f t="shared" si="1"/>
        <v>88</v>
      </c>
      <c r="B102" s="578" t="s">
        <v>159</v>
      </c>
      <c r="C102" s="578"/>
      <c r="D102" s="579" t="s">
        <v>159</v>
      </c>
      <c r="E102" s="579"/>
      <c r="F102" s="568" t="s">
        <v>162</v>
      </c>
      <c r="G102" s="568"/>
      <c r="H102" s="580"/>
      <c r="I102" s="581"/>
      <c r="J102" s="582"/>
      <c r="K102" s="572" t="s">
        <v>162</v>
      </c>
      <c r="L102" s="573"/>
      <c r="M102" s="574"/>
      <c r="N102" s="583" t="s">
        <v>159</v>
      </c>
      <c r="O102" s="584"/>
      <c r="P102" s="584"/>
      <c r="Q102" s="584"/>
      <c r="R102" s="584"/>
      <c r="S102" s="584"/>
      <c r="T102" s="584"/>
      <c r="U102" s="585"/>
    </row>
    <row r="103" spans="1:21" ht="35.1" customHeight="1" x14ac:dyDescent="0.25">
      <c r="A103" s="263">
        <f t="shared" si="1"/>
        <v>89</v>
      </c>
      <c r="B103" s="566" t="s">
        <v>444</v>
      </c>
      <c r="C103" s="566"/>
      <c r="D103" s="567" t="s">
        <v>159</v>
      </c>
      <c r="E103" s="567"/>
      <c r="F103" s="568" t="s">
        <v>162</v>
      </c>
      <c r="G103" s="568"/>
      <c r="H103" s="569"/>
      <c r="I103" s="570"/>
      <c r="J103" s="571"/>
      <c r="K103" s="572" t="s">
        <v>162</v>
      </c>
      <c r="L103" s="573"/>
      <c r="M103" s="574"/>
      <c r="N103" s="575" t="s">
        <v>159</v>
      </c>
      <c r="O103" s="576"/>
      <c r="P103" s="576"/>
      <c r="Q103" s="576"/>
      <c r="R103" s="576"/>
      <c r="S103" s="576"/>
      <c r="T103" s="576"/>
      <c r="U103" s="577"/>
    </row>
    <row r="104" spans="1:21" ht="35.1" customHeight="1" x14ac:dyDescent="0.25">
      <c r="A104" s="263">
        <f t="shared" si="1"/>
        <v>90</v>
      </c>
      <c r="B104" s="578" t="s">
        <v>159</v>
      </c>
      <c r="C104" s="578"/>
      <c r="D104" s="579" t="s">
        <v>159</v>
      </c>
      <c r="E104" s="579"/>
      <c r="F104" s="568" t="s">
        <v>162</v>
      </c>
      <c r="G104" s="568"/>
      <c r="H104" s="580"/>
      <c r="I104" s="581"/>
      <c r="J104" s="582"/>
      <c r="K104" s="572" t="s">
        <v>162</v>
      </c>
      <c r="L104" s="573"/>
      <c r="M104" s="574"/>
      <c r="N104" s="583" t="s">
        <v>159</v>
      </c>
      <c r="O104" s="584"/>
      <c r="P104" s="584"/>
      <c r="Q104" s="584"/>
      <c r="R104" s="584"/>
      <c r="S104" s="584"/>
      <c r="T104" s="584"/>
      <c r="U104" s="585"/>
    </row>
    <row r="105" spans="1:21" ht="35.1" customHeight="1" x14ac:dyDescent="0.25">
      <c r="A105" s="263">
        <f t="shared" si="1"/>
        <v>91</v>
      </c>
      <c r="B105" s="566" t="s">
        <v>159</v>
      </c>
      <c r="C105" s="566"/>
      <c r="D105" s="567" t="s">
        <v>159</v>
      </c>
      <c r="E105" s="567"/>
      <c r="F105" s="568" t="s">
        <v>162</v>
      </c>
      <c r="G105" s="568"/>
      <c r="H105" s="569"/>
      <c r="I105" s="570"/>
      <c r="J105" s="571"/>
      <c r="K105" s="572" t="s">
        <v>162</v>
      </c>
      <c r="L105" s="573"/>
      <c r="M105" s="574"/>
      <c r="N105" s="575" t="s">
        <v>159</v>
      </c>
      <c r="O105" s="576"/>
      <c r="P105" s="576"/>
      <c r="Q105" s="576"/>
      <c r="R105" s="576"/>
      <c r="S105" s="576"/>
      <c r="T105" s="576"/>
      <c r="U105" s="577"/>
    </row>
    <row r="106" spans="1:21" ht="35.1" customHeight="1" x14ac:dyDescent="0.25">
      <c r="A106" s="263">
        <f t="shared" si="1"/>
        <v>92</v>
      </c>
      <c r="B106" s="578" t="s">
        <v>159</v>
      </c>
      <c r="C106" s="578"/>
      <c r="D106" s="579" t="s">
        <v>159</v>
      </c>
      <c r="E106" s="579"/>
      <c r="F106" s="568" t="s">
        <v>162</v>
      </c>
      <c r="G106" s="568"/>
      <c r="H106" s="580"/>
      <c r="I106" s="581"/>
      <c r="J106" s="582"/>
      <c r="K106" s="572" t="s">
        <v>162</v>
      </c>
      <c r="L106" s="573"/>
      <c r="M106" s="574"/>
      <c r="N106" s="583" t="s">
        <v>159</v>
      </c>
      <c r="O106" s="584"/>
      <c r="P106" s="584"/>
      <c r="Q106" s="584"/>
      <c r="R106" s="584"/>
      <c r="S106" s="584"/>
      <c r="T106" s="584"/>
      <c r="U106" s="585"/>
    </row>
    <row r="107" spans="1:21" ht="35.1" customHeight="1" x14ac:dyDescent="0.25">
      <c r="A107" s="263">
        <f t="shared" si="1"/>
        <v>93</v>
      </c>
      <c r="B107" s="566" t="s">
        <v>159</v>
      </c>
      <c r="C107" s="566"/>
      <c r="D107" s="567" t="s">
        <v>159</v>
      </c>
      <c r="E107" s="567"/>
      <c r="F107" s="568" t="s">
        <v>162</v>
      </c>
      <c r="G107" s="568"/>
      <c r="H107" s="569"/>
      <c r="I107" s="570"/>
      <c r="J107" s="571"/>
      <c r="K107" s="572" t="s">
        <v>162</v>
      </c>
      <c r="L107" s="573"/>
      <c r="M107" s="574"/>
      <c r="N107" s="575" t="s">
        <v>159</v>
      </c>
      <c r="O107" s="576"/>
      <c r="P107" s="576"/>
      <c r="Q107" s="576"/>
      <c r="R107" s="576"/>
      <c r="S107" s="576"/>
      <c r="T107" s="576"/>
      <c r="U107" s="577"/>
    </row>
    <row r="108" spans="1:21" ht="35.1" customHeight="1" x14ac:dyDescent="0.25">
      <c r="A108" s="263">
        <f t="shared" si="1"/>
        <v>94</v>
      </c>
      <c r="B108" s="578" t="s">
        <v>159</v>
      </c>
      <c r="C108" s="578"/>
      <c r="D108" s="579" t="s">
        <v>159</v>
      </c>
      <c r="E108" s="579"/>
      <c r="F108" s="568" t="s">
        <v>162</v>
      </c>
      <c r="G108" s="568"/>
      <c r="H108" s="580"/>
      <c r="I108" s="581"/>
      <c r="J108" s="582"/>
      <c r="K108" s="572" t="s">
        <v>162</v>
      </c>
      <c r="L108" s="573"/>
      <c r="M108" s="574"/>
      <c r="N108" s="583" t="s">
        <v>159</v>
      </c>
      <c r="O108" s="584"/>
      <c r="P108" s="584"/>
      <c r="Q108" s="584"/>
      <c r="R108" s="584"/>
      <c r="S108" s="584"/>
      <c r="T108" s="584"/>
      <c r="U108" s="585"/>
    </row>
    <row r="109" spans="1:21" ht="35.1" customHeight="1" x14ac:dyDescent="0.25">
      <c r="A109" s="263">
        <f t="shared" si="1"/>
        <v>95</v>
      </c>
      <c r="B109" s="566" t="s">
        <v>159</v>
      </c>
      <c r="C109" s="566"/>
      <c r="D109" s="567" t="s">
        <v>159</v>
      </c>
      <c r="E109" s="567"/>
      <c r="F109" s="568" t="s">
        <v>162</v>
      </c>
      <c r="G109" s="568"/>
      <c r="H109" s="569"/>
      <c r="I109" s="570"/>
      <c r="J109" s="571"/>
      <c r="K109" s="572" t="s">
        <v>162</v>
      </c>
      <c r="L109" s="573"/>
      <c r="M109" s="574"/>
      <c r="N109" s="575" t="s">
        <v>159</v>
      </c>
      <c r="O109" s="576"/>
      <c r="P109" s="576"/>
      <c r="Q109" s="576"/>
      <c r="R109" s="576"/>
      <c r="S109" s="576"/>
      <c r="T109" s="576"/>
      <c r="U109" s="577"/>
    </row>
    <row r="110" spans="1:21" ht="35.1" customHeight="1" x14ac:dyDescent="0.25">
      <c r="A110" s="263">
        <f t="shared" si="1"/>
        <v>96</v>
      </c>
      <c r="B110" s="578" t="s">
        <v>159</v>
      </c>
      <c r="C110" s="578"/>
      <c r="D110" s="579" t="s">
        <v>159</v>
      </c>
      <c r="E110" s="579"/>
      <c r="F110" s="568" t="s">
        <v>162</v>
      </c>
      <c r="G110" s="568"/>
      <c r="H110" s="580"/>
      <c r="I110" s="581"/>
      <c r="J110" s="582"/>
      <c r="K110" s="572" t="s">
        <v>162</v>
      </c>
      <c r="L110" s="573"/>
      <c r="M110" s="574"/>
      <c r="N110" s="583" t="s">
        <v>159</v>
      </c>
      <c r="O110" s="584"/>
      <c r="P110" s="584"/>
      <c r="Q110" s="584"/>
      <c r="R110" s="584"/>
      <c r="S110" s="584"/>
      <c r="T110" s="584"/>
      <c r="U110" s="585"/>
    </row>
    <row r="111" spans="1:21" ht="35.1" customHeight="1" x14ac:dyDescent="0.25">
      <c r="A111" s="263">
        <f t="shared" si="1"/>
        <v>97</v>
      </c>
      <c r="B111" s="566" t="s">
        <v>450</v>
      </c>
      <c r="C111" s="566"/>
      <c r="D111" s="567" t="s">
        <v>159</v>
      </c>
      <c r="E111" s="567"/>
      <c r="F111" s="568" t="s">
        <v>162</v>
      </c>
      <c r="G111" s="568"/>
      <c r="H111" s="569"/>
      <c r="I111" s="570"/>
      <c r="J111" s="571"/>
      <c r="K111" s="572" t="s">
        <v>162</v>
      </c>
      <c r="L111" s="573"/>
      <c r="M111" s="574"/>
      <c r="N111" s="575" t="s">
        <v>159</v>
      </c>
      <c r="O111" s="576"/>
      <c r="P111" s="576"/>
      <c r="Q111" s="576"/>
      <c r="R111" s="576"/>
      <c r="S111" s="576"/>
      <c r="T111" s="576"/>
      <c r="U111" s="577"/>
    </row>
    <row r="112" spans="1:21" ht="35.1" customHeight="1" x14ac:dyDescent="0.25">
      <c r="A112" s="263">
        <f t="shared" si="1"/>
        <v>98</v>
      </c>
      <c r="B112" s="578" t="s">
        <v>159</v>
      </c>
      <c r="C112" s="578"/>
      <c r="D112" s="579" t="s">
        <v>159</v>
      </c>
      <c r="E112" s="579"/>
      <c r="F112" s="568" t="s">
        <v>162</v>
      </c>
      <c r="G112" s="568"/>
      <c r="H112" s="580"/>
      <c r="I112" s="581"/>
      <c r="J112" s="582"/>
      <c r="K112" s="572" t="s">
        <v>162</v>
      </c>
      <c r="L112" s="573"/>
      <c r="M112" s="574"/>
      <c r="N112" s="583" t="s">
        <v>159</v>
      </c>
      <c r="O112" s="584"/>
      <c r="P112" s="584"/>
      <c r="Q112" s="584"/>
      <c r="R112" s="584"/>
      <c r="S112" s="584"/>
      <c r="T112" s="584"/>
      <c r="U112" s="585"/>
    </row>
    <row r="113" spans="1:21" ht="35.1" customHeight="1" x14ac:dyDescent="0.25">
      <c r="A113" s="263">
        <f t="shared" si="1"/>
        <v>99</v>
      </c>
      <c r="B113" s="566" t="s">
        <v>159</v>
      </c>
      <c r="C113" s="566"/>
      <c r="D113" s="567" t="s">
        <v>159</v>
      </c>
      <c r="E113" s="567"/>
      <c r="F113" s="568" t="s">
        <v>162</v>
      </c>
      <c r="G113" s="568"/>
      <c r="H113" s="569"/>
      <c r="I113" s="570"/>
      <c r="J113" s="571"/>
      <c r="K113" s="572" t="s">
        <v>162</v>
      </c>
      <c r="L113" s="573"/>
      <c r="M113" s="574"/>
      <c r="N113" s="575" t="s">
        <v>159</v>
      </c>
      <c r="O113" s="576"/>
      <c r="P113" s="576"/>
      <c r="Q113" s="576"/>
      <c r="R113" s="576"/>
      <c r="S113" s="576"/>
      <c r="T113" s="576"/>
      <c r="U113" s="577"/>
    </row>
    <row r="114" spans="1:21" ht="35.1" customHeight="1" x14ac:dyDescent="0.25">
      <c r="A114" s="263">
        <f t="shared" si="1"/>
        <v>100</v>
      </c>
      <c r="B114" s="578" t="s">
        <v>159</v>
      </c>
      <c r="C114" s="578"/>
      <c r="D114" s="579" t="s">
        <v>159</v>
      </c>
      <c r="E114" s="579"/>
      <c r="F114" s="568" t="s">
        <v>162</v>
      </c>
      <c r="G114" s="568"/>
      <c r="H114" s="580"/>
      <c r="I114" s="581"/>
      <c r="J114" s="582"/>
      <c r="K114" s="572" t="s">
        <v>162</v>
      </c>
      <c r="L114" s="573"/>
      <c r="M114" s="574"/>
      <c r="N114" s="583" t="s">
        <v>159</v>
      </c>
      <c r="O114" s="584"/>
      <c r="P114" s="584"/>
      <c r="Q114" s="584"/>
      <c r="R114" s="584"/>
      <c r="S114" s="584"/>
      <c r="T114" s="584"/>
      <c r="U114" s="585"/>
    </row>
    <row r="115" spans="1:21" ht="35.1" customHeight="1" x14ac:dyDescent="0.25">
      <c r="A115" s="263">
        <f t="shared" si="1"/>
        <v>101</v>
      </c>
      <c r="B115" s="566" t="s">
        <v>159</v>
      </c>
      <c r="C115" s="566"/>
      <c r="D115" s="567" t="s">
        <v>159</v>
      </c>
      <c r="E115" s="567"/>
      <c r="F115" s="568" t="s">
        <v>162</v>
      </c>
      <c r="G115" s="568"/>
      <c r="H115" s="569"/>
      <c r="I115" s="570"/>
      <c r="J115" s="571"/>
      <c r="K115" s="572" t="s">
        <v>162</v>
      </c>
      <c r="L115" s="573"/>
      <c r="M115" s="574"/>
      <c r="N115" s="575" t="s">
        <v>159</v>
      </c>
      <c r="O115" s="576"/>
      <c r="P115" s="576"/>
      <c r="Q115" s="576"/>
      <c r="R115" s="576"/>
      <c r="S115" s="576"/>
      <c r="T115" s="576"/>
      <c r="U115" s="577"/>
    </row>
    <row r="116" spans="1:21" ht="35.1" customHeight="1" x14ac:dyDescent="0.25">
      <c r="A116" s="263">
        <f t="shared" si="1"/>
        <v>102</v>
      </c>
      <c r="B116" s="578" t="s">
        <v>159</v>
      </c>
      <c r="C116" s="578"/>
      <c r="D116" s="579" t="s">
        <v>159</v>
      </c>
      <c r="E116" s="579"/>
      <c r="F116" s="568" t="s">
        <v>162</v>
      </c>
      <c r="G116" s="568"/>
      <c r="H116" s="580"/>
      <c r="I116" s="581"/>
      <c r="J116" s="582"/>
      <c r="K116" s="572" t="s">
        <v>162</v>
      </c>
      <c r="L116" s="573"/>
      <c r="M116" s="574"/>
      <c r="N116" s="583" t="s">
        <v>159</v>
      </c>
      <c r="O116" s="584"/>
      <c r="P116" s="584"/>
      <c r="Q116" s="584"/>
      <c r="R116" s="584"/>
      <c r="S116" s="584"/>
      <c r="T116" s="584"/>
      <c r="U116" s="585"/>
    </row>
    <row r="117" spans="1:21" ht="35.1" customHeight="1" x14ac:dyDescent="0.25">
      <c r="A117" s="263">
        <f t="shared" si="1"/>
        <v>103</v>
      </c>
      <c r="B117" s="566" t="s">
        <v>159</v>
      </c>
      <c r="C117" s="566"/>
      <c r="D117" s="567" t="s">
        <v>159</v>
      </c>
      <c r="E117" s="567"/>
      <c r="F117" s="568" t="s">
        <v>162</v>
      </c>
      <c r="G117" s="568"/>
      <c r="H117" s="569"/>
      <c r="I117" s="570"/>
      <c r="J117" s="571"/>
      <c r="K117" s="572" t="s">
        <v>162</v>
      </c>
      <c r="L117" s="573"/>
      <c r="M117" s="574"/>
      <c r="N117" s="575" t="s">
        <v>159</v>
      </c>
      <c r="O117" s="576"/>
      <c r="P117" s="576"/>
      <c r="Q117" s="576"/>
      <c r="R117" s="576"/>
      <c r="S117" s="576"/>
      <c r="T117" s="576"/>
      <c r="U117" s="577"/>
    </row>
    <row r="118" spans="1:21" ht="35.1" customHeight="1" x14ac:dyDescent="0.25">
      <c r="A118" s="263">
        <f t="shared" si="1"/>
        <v>104</v>
      </c>
      <c r="B118" s="578" t="s">
        <v>159</v>
      </c>
      <c r="C118" s="578"/>
      <c r="D118" s="579" t="s">
        <v>159</v>
      </c>
      <c r="E118" s="579"/>
      <c r="F118" s="568" t="s">
        <v>162</v>
      </c>
      <c r="G118" s="568"/>
      <c r="H118" s="580"/>
      <c r="I118" s="581"/>
      <c r="J118" s="582"/>
      <c r="K118" s="572" t="s">
        <v>162</v>
      </c>
      <c r="L118" s="573"/>
      <c r="M118" s="574"/>
      <c r="N118" s="583" t="s">
        <v>159</v>
      </c>
      <c r="O118" s="584"/>
      <c r="P118" s="584"/>
      <c r="Q118" s="584"/>
      <c r="R118" s="584"/>
      <c r="S118" s="584"/>
      <c r="T118" s="584"/>
      <c r="U118" s="585"/>
    </row>
    <row r="119" spans="1:21" ht="35.1" customHeight="1" x14ac:dyDescent="0.25">
      <c r="A119" s="263">
        <f t="shared" si="1"/>
        <v>105</v>
      </c>
      <c r="B119" s="566" t="s">
        <v>159</v>
      </c>
      <c r="C119" s="566"/>
      <c r="D119" s="567" t="s">
        <v>159</v>
      </c>
      <c r="E119" s="567"/>
      <c r="F119" s="568" t="s">
        <v>162</v>
      </c>
      <c r="G119" s="568"/>
      <c r="H119" s="569"/>
      <c r="I119" s="570"/>
      <c r="J119" s="571"/>
      <c r="K119" s="572" t="s">
        <v>162</v>
      </c>
      <c r="L119" s="573"/>
      <c r="M119" s="574"/>
      <c r="N119" s="575" t="s">
        <v>159</v>
      </c>
      <c r="O119" s="576"/>
      <c r="P119" s="576"/>
      <c r="Q119" s="576"/>
      <c r="R119" s="576"/>
      <c r="S119" s="576"/>
      <c r="T119" s="576"/>
      <c r="U119" s="577"/>
    </row>
    <row r="120" spans="1:21" ht="35.1" customHeight="1" x14ac:dyDescent="0.25">
      <c r="A120" s="263">
        <f t="shared" si="1"/>
        <v>106</v>
      </c>
      <c r="B120" s="578" t="s">
        <v>159</v>
      </c>
      <c r="C120" s="578"/>
      <c r="D120" s="579" t="s">
        <v>159</v>
      </c>
      <c r="E120" s="579"/>
      <c r="F120" s="568" t="s">
        <v>162</v>
      </c>
      <c r="G120" s="568"/>
      <c r="H120" s="580"/>
      <c r="I120" s="581"/>
      <c r="J120" s="582"/>
      <c r="K120" s="572" t="s">
        <v>162</v>
      </c>
      <c r="L120" s="573"/>
      <c r="M120" s="574"/>
      <c r="N120" s="583" t="s">
        <v>159</v>
      </c>
      <c r="O120" s="584"/>
      <c r="P120" s="584"/>
      <c r="Q120" s="584"/>
      <c r="R120" s="584"/>
      <c r="S120" s="584"/>
      <c r="T120" s="584"/>
      <c r="U120" s="585"/>
    </row>
    <row r="121" spans="1:21" ht="35.1" customHeight="1" x14ac:dyDescent="0.25">
      <c r="A121" s="263">
        <f t="shared" si="1"/>
        <v>107</v>
      </c>
      <c r="B121" s="566" t="s">
        <v>159</v>
      </c>
      <c r="C121" s="566"/>
      <c r="D121" s="567" t="s">
        <v>159</v>
      </c>
      <c r="E121" s="567"/>
      <c r="F121" s="568" t="s">
        <v>162</v>
      </c>
      <c r="G121" s="568"/>
      <c r="H121" s="569"/>
      <c r="I121" s="570"/>
      <c r="J121" s="571"/>
      <c r="K121" s="572" t="s">
        <v>162</v>
      </c>
      <c r="L121" s="573"/>
      <c r="M121" s="574"/>
      <c r="N121" s="575" t="s">
        <v>159</v>
      </c>
      <c r="O121" s="576"/>
      <c r="P121" s="576"/>
      <c r="Q121" s="576"/>
      <c r="R121" s="576"/>
      <c r="S121" s="576"/>
      <c r="T121" s="576"/>
      <c r="U121" s="577"/>
    </row>
    <row r="122" spans="1:21" ht="35.1" customHeight="1" x14ac:dyDescent="0.25">
      <c r="A122" s="263">
        <f t="shared" si="1"/>
        <v>108</v>
      </c>
      <c r="B122" s="578" t="s">
        <v>159</v>
      </c>
      <c r="C122" s="578"/>
      <c r="D122" s="579" t="s">
        <v>159</v>
      </c>
      <c r="E122" s="579"/>
      <c r="F122" s="568" t="s">
        <v>162</v>
      </c>
      <c r="G122" s="568"/>
      <c r="H122" s="580"/>
      <c r="I122" s="581"/>
      <c r="J122" s="582"/>
      <c r="K122" s="572" t="s">
        <v>162</v>
      </c>
      <c r="L122" s="573"/>
      <c r="M122" s="574"/>
      <c r="N122" s="583" t="s">
        <v>159</v>
      </c>
      <c r="O122" s="584"/>
      <c r="P122" s="584"/>
      <c r="Q122" s="584"/>
      <c r="R122" s="584"/>
      <c r="S122" s="584"/>
      <c r="T122" s="584"/>
      <c r="U122" s="585"/>
    </row>
    <row r="123" spans="1:21" ht="35.1" customHeight="1" x14ac:dyDescent="0.25">
      <c r="A123" s="263">
        <f t="shared" si="1"/>
        <v>109</v>
      </c>
      <c r="B123" s="566" t="s">
        <v>448</v>
      </c>
      <c r="C123" s="566"/>
      <c r="D123" s="567" t="s">
        <v>159</v>
      </c>
      <c r="E123" s="567"/>
      <c r="F123" s="568" t="s">
        <v>162</v>
      </c>
      <c r="G123" s="568"/>
      <c r="H123" s="569"/>
      <c r="I123" s="570"/>
      <c r="J123" s="571"/>
      <c r="K123" s="572" t="s">
        <v>162</v>
      </c>
      <c r="L123" s="573"/>
      <c r="M123" s="574"/>
      <c r="N123" s="575" t="s">
        <v>159</v>
      </c>
      <c r="O123" s="576"/>
      <c r="P123" s="576"/>
      <c r="Q123" s="576"/>
      <c r="R123" s="576"/>
      <c r="S123" s="576"/>
      <c r="T123" s="576"/>
      <c r="U123" s="577"/>
    </row>
    <row r="124" spans="1:21" ht="35.1" customHeight="1" x14ac:dyDescent="0.25">
      <c r="A124" s="263">
        <f t="shared" si="1"/>
        <v>110</v>
      </c>
      <c r="B124" s="578" t="s">
        <v>159</v>
      </c>
      <c r="C124" s="578"/>
      <c r="D124" s="579" t="s">
        <v>159</v>
      </c>
      <c r="E124" s="579"/>
      <c r="F124" s="568" t="s">
        <v>162</v>
      </c>
      <c r="G124" s="568"/>
      <c r="H124" s="580"/>
      <c r="I124" s="581"/>
      <c r="J124" s="582"/>
      <c r="K124" s="572" t="s">
        <v>162</v>
      </c>
      <c r="L124" s="573"/>
      <c r="M124" s="574"/>
      <c r="N124" s="583" t="s">
        <v>159</v>
      </c>
      <c r="O124" s="584"/>
      <c r="P124" s="584"/>
      <c r="Q124" s="584"/>
      <c r="R124" s="584"/>
      <c r="S124" s="584"/>
      <c r="T124" s="584"/>
      <c r="U124" s="585"/>
    </row>
    <row r="125" spans="1:21" ht="35.1" customHeight="1" x14ac:dyDescent="0.25">
      <c r="A125" s="263">
        <f t="shared" si="1"/>
        <v>111</v>
      </c>
      <c r="B125" s="566" t="s">
        <v>159</v>
      </c>
      <c r="C125" s="566"/>
      <c r="D125" s="567" t="s">
        <v>159</v>
      </c>
      <c r="E125" s="567"/>
      <c r="F125" s="568" t="s">
        <v>162</v>
      </c>
      <c r="G125" s="568"/>
      <c r="H125" s="569"/>
      <c r="I125" s="570"/>
      <c r="J125" s="571"/>
      <c r="K125" s="572" t="s">
        <v>162</v>
      </c>
      <c r="L125" s="573"/>
      <c r="M125" s="574"/>
      <c r="N125" s="575" t="s">
        <v>159</v>
      </c>
      <c r="O125" s="576"/>
      <c r="P125" s="576"/>
      <c r="Q125" s="576"/>
      <c r="R125" s="576"/>
      <c r="S125" s="576"/>
      <c r="T125" s="576"/>
      <c r="U125" s="577"/>
    </row>
    <row r="126" spans="1:21" ht="35.1" customHeight="1" x14ac:dyDescent="0.25">
      <c r="A126" s="263">
        <f t="shared" si="1"/>
        <v>112</v>
      </c>
      <c r="B126" s="578" t="s">
        <v>159</v>
      </c>
      <c r="C126" s="578"/>
      <c r="D126" s="579" t="s">
        <v>159</v>
      </c>
      <c r="E126" s="579"/>
      <c r="F126" s="568" t="s">
        <v>162</v>
      </c>
      <c r="G126" s="568"/>
      <c r="H126" s="580"/>
      <c r="I126" s="581"/>
      <c r="J126" s="582"/>
      <c r="K126" s="572" t="s">
        <v>162</v>
      </c>
      <c r="L126" s="573"/>
      <c r="M126" s="574"/>
      <c r="N126" s="583" t="s">
        <v>159</v>
      </c>
      <c r="O126" s="584"/>
      <c r="P126" s="584"/>
      <c r="Q126" s="584"/>
      <c r="R126" s="584"/>
      <c r="S126" s="584"/>
      <c r="T126" s="584"/>
      <c r="U126" s="585"/>
    </row>
    <row r="127" spans="1:21" ht="35.1" customHeight="1" x14ac:dyDescent="0.25">
      <c r="A127" s="263">
        <f t="shared" si="1"/>
        <v>113</v>
      </c>
      <c r="B127" s="566" t="s">
        <v>159</v>
      </c>
      <c r="C127" s="566"/>
      <c r="D127" s="567" t="s">
        <v>159</v>
      </c>
      <c r="E127" s="567"/>
      <c r="F127" s="568" t="s">
        <v>162</v>
      </c>
      <c r="G127" s="568"/>
      <c r="H127" s="569"/>
      <c r="I127" s="570"/>
      <c r="J127" s="571"/>
      <c r="K127" s="572" t="s">
        <v>162</v>
      </c>
      <c r="L127" s="573"/>
      <c r="M127" s="574"/>
      <c r="N127" s="575" t="s">
        <v>159</v>
      </c>
      <c r="O127" s="576"/>
      <c r="P127" s="576"/>
      <c r="Q127" s="576"/>
      <c r="R127" s="576"/>
      <c r="S127" s="576"/>
      <c r="T127" s="576"/>
      <c r="U127" s="577"/>
    </row>
    <row r="128" spans="1:21" ht="35.1" customHeight="1" x14ac:dyDescent="0.25">
      <c r="A128" s="263">
        <f t="shared" si="1"/>
        <v>114</v>
      </c>
      <c r="B128" s="578" t="s">
        <v>159</v>
      </c>
      <c r="C128" s="578"/>
      <c r="D128" s="579" t="s">
        <v>159</v>
      </c>
      <c r="E128" s="579"/>
      <c r="F128" s="568" t="s">
        <v>162</v>
      </c>
      <c r="G128" s="568"/>
      <c r="H128" s="580"/>
      <c r="I128" s="581"/>
      <c r="J128" s="582"/>
      <c r="K128" s="572" t="s">
        <v>162</v>
      </c>
      <c r="L128" s="573"/>
      <c r="M128" s="574"/>
      <c r="N128" s="583" t="s">
        <v>159</v>
      </c>
      <c r="O128" s="584"/>
      <c r="P128" s="584"/>
      <c r="Q128" s="584"/>
      <c r="R128" s="584"/>
      <c r="S128" s="584"/>
      <c r="T128" s="584"/>
      <c r="U128" s="585"/>
    </row>
    <row r="129" spans="1:21" ht="35.1" customHeight="1" x14ac:dyDescent="0.25">
      <c r="A129" s="263">
        <f t="shared" si="1"/>
        <v>115</v>
      </c>
      <c r="B129" s="566" t="s">
        <v>159</v>
      </c>
      <c r="C129" s="566"/>
      <c r="D129" s="567" t="s">
        <v>159</v>
      </c>
      <c r="E129" s="567"/>
      <c r="F129" s="568" t="s">
        <v>162</v>
      </c>
      <c r="G129" s="568"/>
      <c r="H129" s="569"/>
      <c r="I129" s="570"/>
      <c r="J129" s="571"/>
      <c r="K129" s="572" t="s">
        <v>162</v>
      </c>
      <c r="L129" s="573"/>
      <c r="M129" s="574"/>
      <c r="N129" s="575" t="s">
        <v>159</v>
      </c>
      <c r="O129" s="576"/>
      <c r="P129" s="576"/>
      <c r="Q129" s="576"/>
      <c r="R129" s="576"/>
      <c r="S129" s="576"/>
      <c r="T129" s="576"/>
      <c r="U129" s="577"/>
    </row>
    <row r="130" spans="1:21" ht="35.1" customHeight="1" x14ac:dyDescent="0.25">
      <c r="A130" s="263">
        <f t="shared" si="1"/>
        <v>116</v>
      </c>
      <c r="B130" s="578" t="s">
        <v>159</v>
      </c>
      <c r="C130" s="578"/>
      <c r="D130" s="579" t="s">
        <v>159</v>
      </c>
      <c r="E130" s="579"/>
      <c r="F130" s="568" t="s">
        <v>162</v>
      </c>
      <c r="G130" s="568"/>
      <c r="H130" s="580"/>
      <c r="I130" s="581"/>
      <c r="J130" s="582"/>
      <c r="K130" s="572" t="s">
        <v>162</v>
      </c>
      <c r="L130" s="573"/>
      <c r="M130" s="574"/>
      <c r="N130" s="583" t="s">
        <v>159</v>
      </c>
      <c r="O130" s="584"/>
      <c r="P130" s="584"/>
      <c r="Q130" s="584"/>
      <c r="R130" s="584"/>
      <c r="S130" s="584"/>
      <c r="T130" s="584"/>
      <c r="U130" s="585"/>
    </row>
    <row r="131" spans="1:21" ht="35.1" customHeight="1" x14ac:dyDescent="0.25">
      <c r="A131" s="263">
        <f t="shared" si="1"/>
        <v>117</v>
      </c>
      <c r="B131" s="566" t="s">
        <v>444</v>
      </c>
      <c r="C131" s="566"/>
      <c r="D131" s="567" t="s">
        <v>159</v>
      </c>
      <c r="E131" s="567"/>
      <c r="F131" s="568" t="s">
        <v>162</v>
      </c>
      <c r="G131" s="568"/>
      <c r="H131" s="569"/>
      <c r="I131" s="570"/>
      <c r="J131" s="571"/>
      <c r="K131" s="572" t="s">
        <v>162</v>
      </c>
      <c r="L131" s="573"/>
      <c r="M131" s="574"/>
      <c r="N131" s="575" t="s">
        <v>159</v>
      </c>
      <c r="O131" s="576"/>
      <c r="P131" s="576"/>
      <c r="Q131" s="576"/>
      <c r="R131" s="576"/>
      <c r="S131" s="576"/>
      <c r="T131" s="576"/>
      <c r="U131" s="577"/>
    </row>
    <row r="132" spans="1:21" ht="35.1" customHeight="1" x14ac:dyDescent="0.25">
      <c r="A132" s="263">
        <f t="shared" si="1"/>
        <v>118</v>
      </c>
      <c r="B132" s="578" t="s">
        <v>159</v>
      </c>
      <c r="C132" s="578"/>
      <c r="D132" s="579" t="s">
        <v>159</v>
      </c>
      <c r="E132" s="579"/>
      <c r="F132" s="568" t="s">
        <v>162</v>
      </c>
      <c r="G132" s="568"/>
      <c r="H132" s="580"/>
      <c r="I132" s="581"/>
      <c r="J132" s="582"/>
      <c r="K132" s="572" t="s">
        <v>162</v>
      </c>
      <c r="L132" s="573"/>
      <c r="M132" s="574"/>
      <c r="N132" s="583" t="s">
        <v>159</v>
      </c>
      <c r="O132" s="584"/>
      <c r="P132" s="584"/>
      <c r="Q132" s="584"/>
      <c r="R132" s="584"/>
      <c r="S132" s="584"/>
      <c r="T132" s="584"/>
      <c r="U132" s="585"/>
    </row>
    <row r="133" spans="1:21" ht="35.1" customHeight="1" x14ac:dyDescent="0.25">
      <c r="A133" s="263">
        <f t="shared" si="1"/>
        <v>119</v>
      </c>
      <c r="B133" s="566" t="s">
        <v>159</v>
      </c>
      <c r="C133" s="566"/>
      <c r="D133" s="567" t="s">
        <v>159</v>
      </c>
      <c r="E133" s="567"/>
      <c r="F133" s="568" t="s">
        <v>162</v>
      </c>
      <c r="G133" s="568"/>
      <c r="H133" s="569"/>
      <c r="I133" s="570"/>
      <c r="J133" s="571"/>
      <c r="K133" s="572" t="s">
        <v>162</v>
      </c>
      <c r="L133" s="573"/>
      <c r="M133" s="574"/>
      <c r="N133" s="575" t="s">
        <v>159</v>
      </c>
      <c r="O133" s="576"/>
      <c r="P133" s="576"/>
      <c r="Q133" s="576"/>
      <c r="R133" s="576"/>
      <c r="S133" s="576"/>
      <c r="T133" s="576"/>
      <c r="U133" s="577"/>
    </row>
    <row r="134" spans="1:21" ht="35.1" customHeight="1" x14ac:dyDescent="0.25">
      <c r="A134" s="263">
        <f t="shared" si="1"/>
        <v>120</v>
      </c>
      <c r="B134" s="578" t="s">
        <v>159</v>
      </c>
      <c r="C134" s="578"/>
      <c r="D134" s="579" t="s">
        <v>159</v>
      </c>
      <c r="E134" s="579"/>
      <c r="F134" s="568" t="s">
        <v>162</v>
      </c>
      <c r="G134" s="568"/>
      <c r="H134" s="580"/>
      <c r="I134" s="581"/>
      <c r="J134" s="582"/>
      <c r="K134" s="572" t="s">
        <v>162</v>
      </c>
      <c r="L134" s="573"/>
      <c r="M134" s="574"/>
      <c r="N134" s="583" t="s">
        <v>159</v>
      </c>
      <c r="O134" s="584"/>
      <c r="P134" s="584"/>
      <c r="Q134" s="584"/>
      <c r="R134" s="584"/>
      <c r="S134" s="584"/>
      <c r="T134" s="584"/>
      <c r="U134" s="585"/>
    </row>
    <row r="135" spans="1:21" ht="35.1" customHeight="1" x14ac:dyDescent="0.25">
      <c r="A135" s="263">
        <f t="shared" si="1"/>
        <v>121</v>
      </c>
      <c r="B135" s="566" t="s">
        <v>159</v>
      </c>
      <c r="C135" s="566"/>
      <c r="D135" s="567" t="s">
        <v>159</v>
      </c>
      <c r="E135" s="567"/>
      <c r="F135" s="568" t="s">
        <v>162</v>
      </c>
      <c r="G135" s="568"/>
      <c r="H135" s="569"/>
      <c r="I135" s="570"/>
      <c r="J135" s="571"/>
      <c r="K135" s="572" t="s">
        <v>162</v>
      </c>
      <c r="L135" s="573"/>
      <c r="M135" s="574"/>
      <c r="N135" s="575" t="s">
        <v>159</v>
      </c>
      <c r="O135" s="576"/>
      <c r="P135" s="576"/>
      <c r="Q135" s="576"/>
      <c r="R135" s="576"/>
      <c r="S135" s="576"/>
      <c r="T135" s="576"/>
      <c r="U135" s="577"/>
    </row>
    <row r="136" spans="1:21" ht="35.1" customHeight="1" x14ac:dyDescent="0.25">
      <c r="A136" s="263">
        <f t="shared" si="1"/>
        <v>122</v>
      </c>
      <c r="B136" s="578" t="s">
        <v>159</v>
      </c>
      <c r="C136" s="578"/>
      <c r="D136" s="579" t="s">
        <v>159</v>
      </c>
      <c r="E136" s="579"/>
      <c r="F136" s="568" t="s">
        <v>162</v>
      </c>
      <c r="G136" s="568"/>
      <c r="H136" s="580"/>
      <c r="I136" s="581"/>
      <c r="J136" s="582"/>
      <c r="K136" s="572" t="s">
        <v>162</v>
      </c>
      <c r="L136" s="573"/>
      <c r="M136" s="574"/>
      <c r="N136" s="583" t="s">
        <v>159</v>
      </c>
      <c r="O136" s="584"/>
      <c r="P136" s="584"/>
      <c r="Q136" s="584"/>
      <c r="R136" s="584"/>
      <c r="S136" s="584"/>
      <c r="T136" s="584"/>
      <c r="U136" s="585"/>
    </row>
    <row r="137" spans="1:21" ht="35.1" customHeight="1" x14ac:dyDescent="0.25">
      <c r="A137" s="263">
        <f t="shared" si="1"/>
        <v>123</v>
      </c>
      <c r="B137" s="566" t="s">
        <v>159</v>
      </c>
      <c r="C137" s="566"/>
      <c r="D137" s="567" t="s">
        <v>159</v>
      </c>
      <c r="E137" s="567"/>
      <c r="F137" s="568" t="s">
        <v>162</v>
      </c>
      <c r="G137" s="568"/>
      <c r="H137" s="569"/>
      <c r="I137" s="570"/>
      <c r="J137" s="571"/>
      <c r="K137" s="572" t="s">
        <v>162</v>
      </c>
      <c r="L137" s="573"/>
      <c r="M137" s="574"/>
      <c r="N137" s="575" t="s">
        <v>159</v>
      </c>
      <c r="O137" s="576"/>
      <c r="P137" s="576"/>
      <c r="Q137" s="576"/>
      <c r="R137" s="576"/>
      <c r="S137" s="576"/>
      <c r="T137" s="576"/>
      <c r="U137" s="577"/>
    </row>
    <row r="138" spans="1:21" ht="35.1" customHeight="1" x14ac:dyDescent="0.25">
      <c r="A138" s="263">
        <f t="shared" si="1"/>
        <v>124</v>
      </c>
      <c r="B138" s="578" t="s">
        <v>449</v>
      </c>
      <c r="C138" s="578"/>
      <c r="D138" s="579" t="s">
        <v>159</v>
      </c>
      <c r="E138" s="579"/>
      <c r="F138" s="568" t="s">
        <v>162</v>
      </c>
      <c r="G138" s="568"/>
      <c r="H138" s="580"/>
      <c r="I138" s="581"/>
      <c r="J138" s="582"/>
      <c r="K138" s="572" t="s">
        <v>162</v>
      </c>
      <c r="L138" s="573"/>
      <c r="M138" s="574"/>
      <c r="N138" s="583" t="s">
        <v>159</v>
      </c>
      <c r="O138" s="584"/>
      <c r="P138" s="584"/>
      <c r="Q138" s="584"/>
      <c r="R138" s="584"/>
      <c r="S138" s="584"/>
      <c r="T138" s="584"/>
      <c r="U138" s="585"/>
    </row>
    <row r="139" spans="1:21" ht="35.1" customHeight="1" x14ac:dyDescent="0.25">
      <c r="A139" s="263">
        <f t="shared" si="1"/>
        <v>125</v>
      </c>
      <c r="B139" s="566" t="s">
        <v>159</v>
      </c>
      <c r="C139" s="566"/>
      <c r="D139" s="567" t="s">
        <v>159</v>
      </c>
      <c r="E139" s="567"/>
      <c r="F139" s="568" t="s">
        <v>162</v>
      </c>
      <c r="G139" s="568"/>
      <c r="H139" s="569"/>
      <c r="I139" s="570"/>
      <c r="J139" s="571"/>
      <c r="K139" s="572" t="s">
        <v>162</v>
      </c>
      <c r="L139" s="573"/>
      <c r="M139" s="574"/>
      <c r="N139" s="575" t="s">
        <v>159</v>
      </c>
      <c r="O139" s="576"/>
      <c r="P139" s="576"/>
      <c r="Q139" s="576"/>
      <c r="R139" s="576"/>
      <c r="S139" s="576"/>
      <c r="T139" s="576"/>
      <c r="U139" s="577"/>
    </row>
    <row r="140" spans="1:21" ht="35.1" customHeight="1" x14ac:dyDescent="0.25">
      <c r="A140" s="263">
        <f t="shared" si="1"/>
        <v>126</v>
      </c>
      <c r="B140" s="578" t="s">
        <v>159</v>
      </c>
      <c r="C140" s="578"/>
      <c r="D140" s="579" t="s">
        <v>159</v>
      </c>
      <c r="E140" s="579"/>
      <c r="F140" s="568" t="s">
        <v>162</v>
      </c>
      <c r="G140" s="568"/>
      <c r="H140" s="580"/>
      <c r="I140" s="581"/>
      <c r="J140" s="582"/>
      <c r="K140" s="572" t="s">
        <v>162</v>
      </c>
      <c r="L140" s="573"/>
      <c r="M140" s="574"/>
      <c r="N140" s="583" t="s">
        <v>159</v>
      </c>
      <c r="O140" s="584"/>
      <c r="P140" s="584"/>
      <c r="Q140" s="584"/>
      <c r="R140" s="584"/>
      <c r="S140" s="584"/>
      <c r="T140" s="584"/>
      <c r="U140" s="585"/>
    </row>
    <row r="141" spans="1:21" ht="35.1" customHeight="1" x14ac:dyDescent="0.25">
      <c r="A141" s="263">
        <f t="shared" si="1"/>
        <v>127</v>
      </c>
      <c r="B141" s="566" t="s">
        <v>159</v>
      </c>
      <c r="C141" s="566"/>
      <c r="D141" s="567" t="s">
        <v>159</v>
      </c>
      <c r="E141" s="567"/>
      <c r="F141" s="568" t="s">
        <v>162</v>
      </c>
      <c r="G141" s="568"/>
      <c r="H141" s="569"/>
      <c r="I141" s="570"/>
      <c r="J141" s="571"/>
      <c r="K141" s="572" t="s">
        <v>162</v>
      </c>
      <c r="L141" s="573"/>
      <c r="M141" s="574"/>
      <c r="N141" s="575" t="s">
        <v>159</v>
      </c>
      <c r="O141" s="576"/>
      <c r="P141" s="576"/>
      <c r="Q141" s="576"/>
      <c r="R141" s="576"/>
      <c r="S141" s="576"/>
      <c r="T141" s="576"/>
      <c r="U141" s="577"/>
    </row>
    <row r="142" spans="1:21" ht="35.1" customHeight="1" x14ac:dyDescent="0.25">
      <c r="A142" s="263">
        <f t="shared" si="1"/>
        <v>128</v>
      </c>
      <c r="B142" s="578" t="s">
        <v>159</v>
      </c>
      <c r="C142" s="578"/>
      <c r="D142" s="579" t="s">
        <v>159</v>
      </c>
      <c r="E142" s="579"/>
      <c r="F142" s="568" t="s">
        <v>162</v>
      </c>
      <c r="G142" s="568"/>
      <c r="H142" s="580"/>
      <c r="I142" s="581"/>
      <c r="J142" s="582"/>
      <c r="K142" s="572" t="s">
        <v>162</v>
      </c>
      <c r="L142" s="573"/>
      <c r="M142" s="574"/>
      <c r="N142" s="583" t="s">
        <v>159</v>
      </c>
      <c r="O142" s="584"/>
      <c r="P142" s="584"/>
      <c r="Q142" s="584"/>
      <c r="R142" s="584"/>
      <c r="S142" s="584"/>
      <c r="T142" s="584"/>
      <c r="U142" s="585"/>
    </row>
    <row r="143" spans="1:21" ht="35.1" customHeight="1" x14ac:dyDescent="0.25">
      <c r="A143" s="263">
        <f t="shared" ref="A143:A206" si="2">ROW(A129)</f>
        <v>129</v>
      </c>
      <c r="B143" s="566" t="s">
        <v>159</v>
      </c>
      <c r="C143" s="566"/>
      <c r="D143" s="567" t="s">
        <v>159</v>
      </c>
      <c r="E143" s="567"/>
      <c r="F143" s="568" t="s">
        <v>162</v>
      </c>
      <c r="G143" s="568"/>
      <c r="H143" s="569"/>
      <c r="I143" s="570"/>
      <c r="J143" s="571"/>
      <c r="K143" s="572" t="s">
        <v>162</v>
      </c>
      <c r="L143" s="573"/>
      <c r="M143" s="574"/>
      <c r="N143" s="575" t="s">
        <v>159</v>
      </c>
      <c r="O143" s="576"/>
      <c r="P143" s="576"/>
      <c r="Q143" s="576"/>
      <c r="R143" s="576"/>
      <c r="S143" s="576"/>
      <c r="T143" s="576"/>
      <c r="U143" s="577"/>
    </row>
    <row r="144" spans="1:21" ht="35.1" customHeight="1" x14ac:dyDescent="0.25">
      <c r="A144" s="263">
        <f t="shared" si="2"/>
        <v>130</v>
      </c>
      <c r="B144" s="578" t="s">
        <v>159</v>
      </c>
      <c r="C144" s="578"/>
      <c r="D144" s="579" t="s">
        <v>159</v>
      </c>
      <c r="E144" s="579"/>
      <c r="F144" s="568" t="s">
        <v>162</v>
      </c>
      <c r="G144" s="568"/>
      <c r="H144" s="580"/>
      <c r="I144" s="581"/>
      <c r="J144" s="582"/>
      <c r="K144" s="572" t="s">
        <v>162</v>
      </c>
      <c r="L144" s="573"/>
      <c r="M144" s="574"/>
      <c r="N144" s="583" t="s">
        <v>159</v>
      </c>
      <c r="O144" s="584"/>
      <c r="P144" s="584"/>
      <c r="Q144" s="584"/>
      <c r="R144" s="584"/>
      <c r="S144" s="584"/>
      <c r="T144" s="584"/>
      <c r="U144" s="585"/>
    </row>
    <row r="145" spans="1:21" ht="35.1" customHeight="1" x14ac:dyDescent="0.25">
      <c r="A145" s="263">
        <f t="shared" si="2"/>
        <v>131</v>
      </c>
      <c r="B145" s="566" t="s">
        <v>444</v>
      </c>
      <c r="C145" s="566"/>
      <c r="D145" s="567" t="s">
        <v>159</v>
      </c>
      <c r="E145" s="567"/>
      <c r="F145" s="568" t="s">
        <v>162</v>
      </c>
      <c r="G145" s="568"/>
      <c r="H145" s="569"/>
      <c r="I145" s="570"/>
      <c r="J145" s="571"/>
      <c r="K145" s="572" t="s">
        <v>162</v>
      </c>
      <c r="L145" s="573"/>
      <c r="M145" s="574"/>
      <c r="N145" s="575" t="s">
        <v>159</v>
      </c>
      <c r="O145" s="576"/>
      <c r="P145" s="576"/>
      <c r="Q145" s="576"/>
      <c r="R145" s="576"/>
      <c r="S145" s="576"/>
      <c r="T145" s="576"/>
      <c r="U145" s="577"/>
    </row>
    <row r="146" spans="1:21" ht="35.1" customHeight="1" x14ac:dyDescent="0.25">
      <c r="A146" s="263">
        <f t="shared" si="2"/>
        <v>132</v>
      </c>
      <c r="B146" s="578" t="s">
        <v>159</v>
      </c>
      <c r="C146" s="578"/>
      <c r="D146" s="579" t="s">
        <v>159</v>
      </c>
      <c r="E146" s="579"/>
      <c r="F146" s="568" t="s">
        <v>162</v>
      </c>
      <c r="G146" s="568"/>
      <c r="H146" s="580"/>
      <c r="I146" s="581"/>
      <c r="J146" s="582"/>
      <c r="K146" s="572" t="s">
        <v>162</v>
      </c>
      <c r="L146" s="573"/>
      <c r="M146" s="574"/>
      <c r="N146" s="583" t="s">
        <v>159</v>
      </c>
      <c r="O146" s="584"/>
      <c r="P146" s="584"/>
      <c r="Q146" s="584"/>
      <c r="R146" s="584"/>
      <c r="S146" s="584"/>
      <c r="T146" s="584"/>
      <c r="U146" s="585"/>
    </row>
    <row r="147" spans="1:21" ht="35.1" customHeight="1" x14ac:dyDescent="0.25">
      <c r="A147" s="263">
        <f t="shared" si="2"/>
        <v>133</v>
      </c>
      <c r="B147" s="566" t="s">
        <v>159</v>
      </c>
      <c r="C147" s="566"/>
      <c r="D147" s="567" t="s">
        <v>159</v>
      </c>
      <c r="E147" s="567"/>
      <c r="F147" s="568" t="s">
        <v>162</v>
      </c>
      <c r="G147" s="568"/>
      <c r="H147" s="569"/>
      <c r="I147" s="570"/>
      <c r="J147" s="571"/>
      <c r="K147" s="572" t="s">
        <v>162</v>
      </c>
      <c r="L147" s="573"/>
      <c r="M147" s="574"/>
      <c r="N147" s="575" t="s">
        <v>159</v>
      </c>
      <c r="O147" s="576"/>
      <c r="P147" s="576"/>
      <c r="Q147" s="576"/>
      <c r="R147" s="576"/>
      <c r="S147" s="576"/>
      <c r="T147" s="576"/>
      <c r="U147" s="577"/>
    </row>
    <row r="148" spans="1:21" ht="35.1" customHeight="1" x14ac:dyDescent="0.25">
      <c r="A148" s="263">
        <f t="shared" si="2"/>
        <v>134</v>
      </c>
      <c r="B148" s="578" t="s">
        <v>159</v>
      </c>
      <c r="C148" s="578"/>
      <c r="D148" s="579" t="s">
        <v>159</v>
      </c>
      <c r="E148" s="579"/>
      <c r="F148" s="568" t="s">
        <v>162</v>
      </c>
      <c r="G148" s="568"/>
      <c r="H148" s="580"/>
      <c r="I148" s="581"/>
      <c r="J148" s="582"/>
      <c r="K148" s="572" t="s">
        <v>162</v>
      </c>
      <c r="L148" s="573"/>
      <c r="M148" s="574"/>
      <c r="N148" s="583" t="s">
        <v>159</v>
      </c>
      <c r="O148" s="584"/>
      <c r="P148" s="584"/>
      <c r="Q148" s="584"/>
      <c r="R148" s="584"/>
      <c r="S148" s="584"/>
      <c r="T148" s="584"/>
      <c r="U148" s="585"/>
    </row>
    <row r="149" spans="1:21" ht="35.1" customHeight="1" x14ac:dyDescent="0.25">
      <c r="A149" s="263">
        <f t="shared" si="2"/>
        <v>135</v>
      </c>
      <c r="B149" s="566" t="s">
        <v>159</v>
      </c>
      <c r="C149" s="566"/>
      <c r="D149" s="567" t="s">
        <v>159</v>
      </c>
      <c r="E149" s="567"/>
      <c r="F149" s="568" t="s">
        <v>162</v>
      </c>
      <c r="G149" s="568"/>
      <c r="H149" s="569"/>
      <c r="I149" s="570"/>
      <c r="J149" s="571"/>
      <c r="K149" s="572" t="s">
        <v>162</v>
      </c>
      <c r="L149" s="573"/>
      <c r="M149" s="574"/>
      <c r="N149" s="575" t="s">
        <v>159</v>
      </c>
      <c r="O149" s="576"/>
      <c r="P149" s="576"/>
      <c r="Q149" s="576"/>
      <c r="R149" s="576"/>
      <c r="S149" s="576"/>
      <c r="T149" s="576"/>
      <c r="U149" s="577"/>
    </row>
    <row r="150" spans="1:21" ht="35.1" customHeight="1" x14ac:dyDescent="0.25">
      <c r="A150" s="263">
        <f t="shared" si="2"/>
        <v>136</v>
      </c>
      <c r="B150" s="578" t="s">
        <v>159</v>
      </c>
      <c r="C150" s="578"/>
      <c r="D150" s="579" t="s">
        <v>159</v>
      </c>
      <c r="E150" s="579"/>
      <c r="F150" s="568" t="s">
        <v>162</v>
      </c>
      <c r="G150" s="568"/>
      <c r="H150" s="580"/>
      <c r="I150" s="581"/>
      <c r="J150" s="582"/>
      <c r="K150" s="572" t="s">
        <v>162</v>
      </c>
      <c r="L150" s="573"/>
      <c r="M150" s="574"/>
      <c r="N150" s="583" t="s">
        <v>159</v>
      </c>
      <c r="O150" s="584"/>
      <c r="P150" s="584"/>
      <c r="Q150" s="584"/>
      <c r="R150" s="584"/>
      <c r="S150" s="584"/>
      <c r="T150" s="584"/>
      <c r="U150" s="585"/>
    </row>
    <row r="151" spans="1:21" ht="35.1" customHeight="1" x14ac:dyDescent="0.25">
      <c r="A151" s="263">
        <f t="shared" si="2"/>
        <v>137</v>
      </c>
      <c r="B151" s="566" t="s">
        <v>159</v>
      </c>
      <c r="C151" s="566"/>
      <c r="D151" s="567" t="s">
        <v>159</v>
      </c>
      <c r="E151" s="567"/>
      <c r="F151" s="568" t="s">
        <v>162</v>
      </c>
      <c r="G151" s="568"/>
      <c r="H151" s="569"/>
      <c r="I151" s="570"/>
      <c r="J151" s="571"/>
      <c r="K151" s="572" t="s">
        <v>162</v>
      </c>
      <c r="L151" s="573"/>
      <c r="M151" s="574"/>
      <c r="N151" s="575" t="s">
        <v>159</v>
      </c>
      <c r="O151" s="576"/>
      <c r="P151" s="576"/>
      <c r="Q151" s="576"/>
      <c r="R151" s="576"/>
      <c r="S151" s="576"/>
      <c r="T151" s="576"/>
      <c r="U151" s="577"/>
    </row>
    <row r="152" spans="1:21" ht="35.1" customHeight="1" x14ac:dyDescent="0.25">
      <c r="A152" s="263">
        <f t="shared" si="2"/>
        <v>138</v>
      </c>
      <c r="B152" s="578" t="s">
        <v>159</v>
      </c>
      <c r="C152" s="578"/>
      <c r="D152" s="579" t="s">
        <v>159</v>
      </c>
      <c r="E152" s="579"/>
      <c r="F152" s="568" t="s">
        <v>162</v>
      </c>
      <c r="G152" s="568"/>
      <c r="H152" s="580"/>
      <c r="I152" s="581"/>
      <c r="J152" s="582"/>
      <c r="K152" s="572" t="s">
        <v>162</v>
      </c>
      <c r="L152" s="573"/>
      <c r="M152" s="574"/>
      <c r="N152" s="583" t="s">
        <v>159</v>
      </c>
      <c r="O152" s="584"/>
      <c r="P152" s="584"/>
      <c r="Q152" s="584"/>
      <c r="R152" s="584"/>
      <c r="S152" s="584"/>
      <c r="T152" s="584"/>
      <c r="U152" s="585"/>
    </row>
    <row r="153" spans="1:21" ht="35.1" customHeight="1" x14ac:dyDescent="0.25">
      <c r="A153" s="263">
        <f t="shared" si="2"/>
        <v>139</v>
      </c>
      <c r="B153" s="566" t="s">
        <v>450</v>
      </c>
      <c r="C153" s="566"/>
      <c r="D153" s="567" t="s">
        <v>159</v>
      </c>
      <c r="E153" s="567"/>
      <c r="F153" s="568" t="s">
        <v>162</v>
      </c>
      <c r="G153" s="568"/>
      <c r="H153" s="569"/>
      <c r="I153" s="570"/>
      <c r="J153" s="571"/>
      <c r="K153" s="572" t="s">
        <v>162</v>
      </c>
      <c r="L153" s="573"/>
      <c r="M153" s="574"/>
      <c r="N153" s="575" t="s">
        <v>159</v>
      </c>
      <c r="O153" s="576"/>
      <c r="P153" s="576"/>
      <c r="Q153" s="576"/>
      <c r="R153" s="576"/>
      <c r="S153" s="576"/>
      <c r="T153" s="576"/>
      <c r="U153" s="577"/>
    </row>
    <row r="154" spans="1:21" ht="35.1" customHeight="1" x14ac:dyDescent="0.25">
      <c r="A154" s="263">
        <f t="shared" si="2"/>
        <v>140</v>
      </c>
      <c r="B154" s="578" t="s">
        <v>159</v>
      </c>
      <c r="C154" s="578"/>
      <c r="D154" s="579" t="s">
        <v>159</v>
      </c>
      <c r="E154" s="579"/>
      <c r="F154" s="568" t="s">
        <v>162</v>
      </c>
      <c r="G154" s="568"/>
      <c r="H154" s="580"/>
      <c r="I154" s="581"/>
      <c r="J154" s="582"/>
      <c r="K154" s="572" t="s">
        <v>162</v>
      </c>
      <c r="L154" s="573"/>
      <c r="M154" s="574"/>
      <c r="N154" s="583" t="s">
        <v>159</v>
      </c>
      <c r="O154" s="584"/>
      <c r="P154" s="584"/>
      <c r="Q154" s="584"/>
      <c r="R154" s="584"/>
      <c r="S154" s="584"/>
      <c r="T154" s="584"/>
      <c r="U154" s="585"/>
    </row>
    <row r="155" spans="1:21" ht="35.1" customHeight="1" x14ac:dyDescent="0.25">
      <c r="A155" s="263">
        <f t="shared" si="2"/>
        <v>141</v>
      </c>
      <c r="B155" s="566" t="s">
        <v>159</v>
      </c>
      <c r="C155" s="566"/>
      <c r="D155" s="567" t="s">
        <v>159</v>
      </c>
      <c r="E155" s="567"/>
      <c r="F155" s="568" t="s">
        <v>162</v>
      </c>
      <c r="G155" s="568"/>
      <c r="H155" s="569"/>
      <c r="I155" s="570"/>
      <c r="J155" s="571"/>
      <c r="K155" s="572" t="s">
        <v>162</v>
      </c>
      <c r="L155" s="573"/>
      <c r="M155" s="574"/>
      <c r="N155" s="575" t="s">
        <v>159</v>
      </c>
      <c r="O155" s="576"/>
      <c r="P155" s="576"/>
      <c r="Q155" s="576"/>
      <c r="R155" s="576"/>
      <c r="S155" s="576"/>
      <c r="T155" s="576"/>
      <c r="U155" s="577"/>
    </row>
    <row r="156" spans="1:21" ht="35.1" customHeight="1" x14ac:dyDescent="0.25">
      <c r="A156" s="263">
        <f t="shared" si="2"/>
        <v>142</v>
      </c>
      <c r="B156" s="578" t="s">
        <v>442</v>
      </c>
      <c r="C156" s="578"/>
      <c r="D156" s="579" t="s">
        <v>159</v>
      </c>
      <c r="E156" s="579"/>
      <c r="F156" s="568" t="s">
        <v>162</v>
      </c>
      <c r="G156" s="568"/>
      <c r="H156" s="580"/>
      <c r="I156" s="581"/>
      <c r="J156" s="582"/>
      <c r="K156" s="572" t="s">
        <v>162</v>
      </c>
      <c r="L156" s="573"/>
      <c r="M156" s="574"/>
      <c r="N156" s="583" t="s">
        <v>159</v>
      </c>
      <c r="O156" s="584"/>
      <c r="P156" s="584"/>
      <c r="Q156" s="584"/>
      <c r="R156" s="584"/>
      <c r="S156" s="584"/>
      <c r="T156" s="584"/>
      <c r="U156" s="585"/>
    </row>
    <row r="157" spans="1:21" ht="35.1" customHeight="1" x14ac:dyDescent="0.25">
      <c r="A157" s="263">
        <f t="shared" si="2"/>
        <v>143</v>
      </c>
      <c r="B157" s="566" t="s">
        <v>159</v>
      </c>
      <c r="C157" s="566"/>
      <c r="D157" s="567" t="s">
        <v>159</v>
      </c>
      <c r="E157" s="567"/>
      <c r="F157" s="568" t="s">
        <v>162</v>
      </c>
      <c r="G157" s="568"/>
      <c r="H157" s="569"/>
      <c r="I157" s="570"/>
      <c r="J157" s="571"/>
      <c r="K157" s="572" t="s">
        <v>162</v>
      </c>
      <c r="L157" s="573"/>
      <c r="M157" s="574"/>
      <c r="N157" s="575" t="s">
        <v>159</v>
      </c>
      <c r="O157" s="576"/>
      <c r="P157" s="576"/>
      <c r="Q157" s="576"/>
      <c r="R157" s="576"/>
      <c r="S157" s="576"/>
      <c r="T157" s="576"/>
      <c r="U157" s="577"/>
    </row>
    <row r="158" spans="1:21" ht="35.1" customHeight="1" x14ac:dyDescent="0.25">
      <c r="A158" s="263">
        <f t="shared" si="2"/>
        <v>144</v>
      </c>
      <c r="B158" s="578" t="s">
        <v>159</v>
      </c>
      <c r="C158" s="578"/>
      <c r="D158" s="579" t="s">
        <v>159</v>
      </c>
      <c r="E158" s="579"/>
      <c r="F158" s="568" t="s">
        <v>162</v>
      </c>
      <c r="G158" s="568"/>
      <c r="H158" s="580"/>
      <c r="I158" s="581"/>
      <c r="J158" s="582"/>
      <c r="K158" s="572" t="s">
        <v>162</v>
      </c>
      <c r="L158" s="573"/>
      <c r="M158" s="574"/>
      <c r="N158" s="583" t="s">
        <v>159</v>
      </c>
      <c r="O158" s="584"/>
      <c r="P158" s="584"/>
      <c r="Q158" s="584"/>
      <c r="R158" s="584"/>
      <c r="S158" s="584"/>
      <c r="T158" s="584"/>
      <c r="U158" s="585"/>
    </row>
    <row r="159" spans="1:21" ht="35.1" customHeight="1" x14ac:dyDescent="0.25">
      <c r="A159" s="263">
        <f t="shared" si="2"/>
        <v>145</v>
      </c>
      <c r="B159" s="566" t="s">
        <v>159</v>
      </c>
      <c r="C159" s="566"/>
      <c r="D159" s="567" t="s">
        <v>159</v>
      </c>
      <c r="E159" s="567"/>
      <c r="F159" s="568" t="s">
        <v>162</v>
      </c>
      <c r="G159" s="568"/>
      <c r="H159" s="569"/>
      <c r="I159" s="570"/>
      <c r="J159" s="571"/>
      <c r="K159" s="572" t="s">
        <v>162</v>
      </c>
      <c r="L159" s="573"/>
      <c r="M159" s="574"/>
      <c r="N159" s="575" t="s">
        <v>159</v>
      </c>
      <c r="O159" s="576"/>
      <c r="P159" s="576"/>
      <c r="Q159" s="576"/>
      <c r="R159" s="576"/>
      <c r="S159" s="576"/>
      <c r="T159" s="576"/>
      <c r="U159" s="577"/>
    </row>
    <row r="160" spans="1:21" ht="35.1" customHeight="1" x14ac:dyDescent="0.25">
      <c r="A160" s="263">
        <f t="shared" si="2"/>
        <v>146</v>
      </c>
      <c r="B160" s="578" t="s">
        <v>159</v>
      </c>
      <c r="C160" s="578"/>
      <c r="D160" s="579" t="s">
        <v>159</v>
      </c>
      <c r="E160" s="579"/>
      <c r="F160" s="568" t="s">
        <v>162</v>
      </c>
      <c r="G160" s="568"/>
      <c r="H160" s="580"/>
      <c r="I160" s="581"/>
      <c r="J160" s="582"/>
      <c r="K160" s="572" t="s">
        <v>162</v>
      </c>
      <c r="L160" s="573"/>
      <c r="M160" s="574"/>
      <c r="N160" s="583" t="s">
        <v>159</v>
      </c>
      <c r="O160" s="584"/>
      <c r="P160" s="584"/>
      <c r="Q160" s="584"/>
      <c r="R160" s="584"/>
      <c r="S160" s="584"/>
      <c r="T160" s="584"/>
      <c r="U160" s="585"/>
    </row>
    <row r="161" spans="1:21" ht="35.1" customHeight="1" x14ac:dyDescent="0.25">
      <c r="A161" s="263">
        <f t="shared" si="2"/>
        <v>147</v>
      </c>
      <c r="B161" s="566" t="s">
        <v>159</v>
      </c>
      <c r="C161" s="566"/>
      <c r="D161" s="567" t="s">
        <v>159</v>
      </c>
      <c r="E161" s="567"/>
      <c r="F161" s="568" t="s">
        <v>162</v>
      </c>
      <c r="G161" s="568"/>
      <c r="H161" s="569"/>
      <c r="I161" s="570"/>
      <c r="J161" s="571"/>
      <c r="K161" s="572" t="s">
        <v>162</v>
      </c>
      <c r="L161" s="573"/>
      <c r="M161" s="574"/>
      <c r="N161" s="575" t="s">
        <v>159</v>
      </c>
      <c r="O161" s="576"/>
      <c r="P161" s="576"/>
      <c r="Q161" s="576"/>
      <c r="R161" s="576"/>
      <c r="S161" s="576"/>
      <c r="T161" s="576"/>
      <c r="U161" s="577"/>
    </row>
    <row r="162" spans="1:21" ht="35.1" customHeight="1" x14ac:dyDescent="0.25">
      <c r="A162" s="263">
        <f t="shared" si="2"/>
        <v>148</v>
      </c>
      <c r="B162" s="578" t="s">
        <v>446</v>
      </c>
      <c r="C162" s="578"/>
      <c r="D162" s="579" t="s">
        <v>159</v>
      </c>
      <c r="E162" s="579"/>
      <c r="F162" s="568" t="s">
        <v>162</v>
      </c>
      <c r="G162" s="568"/>
      <c r="H162" s="580"/>
      <c r="I162" s="581"/>
      <c r="J162" s="582"/>
      <c r="K162" s="572" t="s">
        <v>162</v>
      </c>
      <c r="L162" s="573"/>
      <c r="M162" s="574"/>
      <c r="N162" s="583" t="s">
        <v>159</v>
      </c>
      <c r="O162" s="584"/>
      <c r="P162" s="584"/>
      <c r="Q162" s="584"/>
      <c r="R162" s="584"/>
      <c r="S162" s="584"/>
      <c r="T162" s="584"/>
      <c r="U162" s="585"/>
    </row>
    <row r="163" spans="1:21" ht="35.1" customHeight="1" x14ac:dyDescent="0.25">
      <c r="A163" s="263">
        <f t="shared" si="2"/>
        <v>149</v>
      </c>
      <c r="B163" s="566" t="s">
        <v>159</v>
      </c>
      <c r="C163" s="566"/>
      <c r="D163" s="567" t="s">
        <v>159</v>
      </c>
      <c r="E163" s="567"/>
      <c r="F163" s="568" t="s">
        <v>162</v>
      </c>
      <c r="G163" s="568"/>
      <c r="H163" s="569"/>
      <c r="I163" s="570"/>
      <c r="J163" s="571"/>
      <c r="K163" s="572" t="s">
        <v>162</v>
      </c>
      <c r="L163" s="573"/>
      <c r="M163" s="574"/>
      <c r="N163" s="575" t="s">
        <v>159</v>
      </c>
      <c r="O163" s="576"/>
      <c r="P163" s="576"/>
      <c r="Q163" s="576"/>
      <c r="R163" s="576"/>
      <c r="S163" s="576"/>
      <c r="T163" s="576"/>
      <c r="U163" s="577"/>
    </row>
    <row r="164" spans="1:21" ht="35.1" customHeight="1" x14ac:dyDescent="0.25">
      <c r="A164" s="263">
        <f t="shared" si="2"/>
        <v>150</v>
      </c>
      <c r="B164" s="578" t="s">
        <v>159</v>
      </c>
      <c r="C164" s="578"/>
      <c r="D164" s="579" t="s">
        <v>159</v>
      </c>
      <c r="E164" s="579"/>
      <c r="F164" s="568" t="s">
        <v>162</v>
      </c>
      <c r="G164" s="568"/>
      <c r="H164" s="580"/>
      <c r="I164" s="581"/>
      <c r="J164" s="582"/>
      <c r="K164" s="572" t="s">
        <v>162</v>
      </c>
      <c r="L164" s="573"/>
      <c r="M164" s="574"/>
      <c r="N164" s="583" t="s">
        <v>159</v>
      </c>
      <c r="O164" s="584"/>
      <c r="P164" s="584"/>
      <c r="Q164" s="584"/>
      <c r="R164" s="584"/>
      <c r="S164" s="584"/>
      <c r="T164" s="584"/>
      <c r="U164" s="585"/>
    </row>
    <row r="165" spans="1:21" ht="35.1" customHeight="1" x14ac:dyDescent="0.25">
      <c r="A165" s="263">
        <f t="shared" si="2"/>
        <v>151</v>
      </c>
      <c r="B165" s="566" t="s">
        <v>159</v>
      </c>
      <c r="C165" s="566"/>
      <c r="D165" s="567" t="s">
        <v>159</v>
      </c>
      <c r="E165" s="567"/>
      <c r="F165" s="568" t="s">
        <v>162</v>
      </c>
      <c r="G165" s="568"/>
      <c r="H165" s="569"/>
      <c r="I165" s="570"/>
      <c r="J165" s="571"/>
      <c r="K165" s="572" t="s">
        <v>162</v>
      </c>
      <c r="L165" s="573"/>
      <c r="M165" s="574"/>
      <c r="N165" s="575" t="s">
        <v>159</v>
      </c>
      <c r="O165" s="576"/>
      <c r="P165" s="576"/>
      <c r="Q165" s="576"/>
      <c r="R165" s="576"/>
      <c r="S165" s="576"/>
      <c r="T165" s="576"/>
      <c r="U165" s="577"/>
    </row>
    <row r="166" spans="1:21" ht="35.1" customHeight="1" x14ac:dyDescent="0.25">
      <c r="A166" s="263">
        <f t="shared" si="2"/>
        <v>152</v>
      </c>
      <c r="B166" s="578" t="s">
        <v>159</v>
      </c>
      <c r="C166" s="578"/>
      <c r="D166" s="579" t="s">
        <v>159</v>
      </c>
      <c r="E166" s="579"/>
      <c r="F166" s="568" t="s">
        <v>162</v>
      </c>
      <c r="G166" s="568"/>
      <c r="H166" s="580"/>
      <c r="I166" s="581"/>
      <c r="J166" s="582"/>
      <c r="K166" s="572" t="s">
        <v>162</v>
      </c>
      <c r="L166" s="573"/>
      <c r="M166" s="574"/>
      <c r="N166" s="583" t="s">
        <v>159</v>
      </c>
      <c r="O166" s="584"/>
      <c r="P166" s="584"/>
      <c r="Q166" s="584"/>
      <c r="R166" s="584"/>
      <c r="S166" s="584"/>
      <c r="T166" s="584"/>
      <c r="U166" s="585"/>
    </row>
    <row r="167" spans="1:21" ht="35.1" customHeight="1" x14ac:dyDescent="0.25">
      <c r="A167" s="263">
        <f t="shared" si="2"/>
        <v>153</v>
      </c>
      <c r="B167" s="566" t="s">
        <v>159</v>
      </c>
      <c r="C167" s="566"/>
      <c r="D167" s="567" t="s">
        <v>159</v>
      </c>
      <c r="E167" s="567"/>
      <c r="F167" s="568" t="s">
        <v>162</v>
      </c>
      <c r="G167" s="568"/>
      <c r="H167" s="569"/>
      <c r="I167" s="570"/>
      <c r="J167" s="571"/>
      <c r="K167" s="572" t="s">
        <v>162</v>
      </c>
      <c r="L167" s="573"/>
      <c r="M167" s="574"/>
      <c r="N167" s="575" t="s">
        <v>159</v>
      </c>
      <c r="O167" s="576"/>
      <c r="P167" s="576"/>
      <c r="Q167" s="576"/>
      <c r="R167" s="576"/>
      <c r="S167" s="576"/>
      <c r="T167" s="576"/>
      <c r="U167" s="577"/>
    </row>
    <row r="168" spans="1:21" ht="35.1" customHeight="1" x14ac:dyDescent="0.25">
      <c r="A168" s="263">
        <f t="shared" si="2"/>
        <v>154</v>
      </c>
      <c r="B168" s="578" t="s">
        <v>159</v>
      </c>
      <c r="C168" s="578"/>
      <c r="D168" s="579" t="s">
        <v>159</v>
      </c>
      <c r="E168" s="579"/>
      <c r="F168" s="568" t="s">
        <v>162</v>
      </c>
      <c r="G168" s="568"/>
      <c r="H168" s="580"/>
      <c r="I168" s="581"/>
      <c r="J168" s="582"/>
      <c r="K168" s="572" t="s">
        <v>162</v>
      </c>
      <c r="L168" s="573"/>
      <c r="M168" s="574"/>
      <c r="N168" s="583" t="s">
        <v>159</v>
      </c>
      <c r="O168" s="584"/>
      <c r="P168" s="584"/>
      <c r="Q168" s="584"/>
      <c r="R168" s="584"/>
      <c r="S168" s="584"/>
      <c r="T168" s="584"/>
      <c r="U168" s="585"/>
    </row>
    <row r="169" spans="1:21" ht="35.1" customHeight="1" x14ac:dyDescent="0.25">
      <c r="A169" s="263">
        <f t="shared" si="2"/>
        <v>155</v>
      </c>
      <c r="B169" s="566" t="s">
        <v>159</v>
      </c>
      <c r="C169" s="566"/>
      <c r="D169" s="567" t="s">
        <v>159</v>
      </c>
      <c r="E169" s="567"/>
      <c r="F169" s="568" t="s">
        <v>162</v>
      </c>
      <c r="G169" s="568"/>
      <c r="H169" s="569"/>
      <c r="I169" s="570"/>
      <c r="J169" s="571"/>
      <c r="K169" s="572" t="s">
        <v>162</v>
      </c>
      <c r="L169" s="573"/>
      <c r="M169" s="574"/>
      <c r="N169" s="575" t="s">
        <v>159</v>
      </c>
      <c r="O169" s="576"/>
      <c r="P169" s="576"/>
      <c r="Q169" s="576"/>
      <c r="R169" s="576"/>
      <c r="S169" s="576"/>
      <c r="T169" s="576"/>
      <c r="U169" s="577"/>
    </row>
    <row r="170" spans="1:21" ht="35.1" customHeight="1" x14ac:dyDescent="0.25">
      <c r="A170" s="263">
        <f t="shared" si="2"/>
        <v>156</v>
      </c>
      <c r="B170" s="578" t="s">
        <v>159</v>
      </c>
      <c r="C170" s="578"/>
      <c r="D170" s="579" t="s">
        <v>159</v>
      </c>
      <c r="E170" s="579"/>
      <c r="F170" s="568" t="s">
        <v>162</v>
      </c>
      <c r="G170" s="568"/>
      <c r="H170" s="580"/>
      <c r="I170" s="581"/>
      <c r="J170" s="582"/>
      <c r="K170" s="572" t="s">
        <v>162</v>
      </c>
      <c r="L170" s="573"/>
      <c r="M170" s="574"/>
      <c r="N170" s="583" t="s">
        <v>159</v>
      </c>
      <c r="O170" s="584"/>
      <c r="P170" s="584"/>
      <c r="Q170" s="584"/>
      <c r="R170" s="584"/>
      <c r="S170" s="584"/>
      <c r="T170" s="584"/>
      <c r="U170" s="585"/>
    </row>
    <row r="171" spans="1:21" ht="35.1" customHeight="1" x14ac:dyDescent="0.25">
      <c r="A171" s="263">
        <f t="shared" si="2"/>
        <v>157</v>
      </c>
      <c r="B171" s="566" t="s">
        <v>159</v>
      </c>
      <c r="C171" s="566"/>
      <c r="D171" s="567" t="s">
        <v>159</v>
      </c>
      <c r="E171" s="567"/>
      <c r="F171" s="568" t="s">
        <v>162</v>
      </c>
      <c r="G171" s="568"/>
      <c r="H171" s="569"/>
      <c r="I171" s="570"/>
      <c r="J171" s="571"/>
      <c r="K171" s="572" t="s">
        <v>162</v>
      </c>
      <c r="L171" s="573"/>
      <c r="M171" s="574"/>
      <c r="N171" s="575" t="s">
        <v>159</v>
      </c>
      <c r="O171" s="576"/>
      <c r="P171" s="576"/>
      <c r="Q171" s="576"/>
      <c r="R171" s="576"/>
      <c r="S171" s="576"/>
      <c r="T171" s="576"/>
      <c r="U171" s="577"/>
    </row>
    <row r="172" spans="1:21" ht="35.1" customHeight="1" x14ac:dyDescent="0.25">
      <c r="A172" s="263">
        <f t="shared" si="2"/>
        <v>158</v>
      </c>
      <c r="B172" s="578" t="s">
        <v>159</v>
      </c>
      <c r="C172" s="578"/>
      <c r="D172" s="579" t="s">
        <v>159</v>
      </c>
      <c r="E172" s="579"/>
      <c r="F172" s="568" t="s">
        <v>162</v>
      </c>
      <c r="G172" s="568"/>
      <c r="H172" s="580"/>
      <c r="I172" s="581"/>
      <c r="J172" s="582"/>
      <c r="K172" s="572" t="s">
        <v>162</v>
      </c>
      <c r="L172" s="573"/>
      <c r="M172" s="574"/>
      <c r="N172" s="583" t="s">
        <v>159</v>
      </c>
      <c r="O172" s="584"/>
      <c r="P172" s="584"/>
      <c r="Q172" s="584"/>
      <c r="R172" s="584"/>
      <c r="S172" s="584"/>
      <c r="T172" s="584"/>
      <c r="U172" s="585"/>
    </row>
    <row r="173" spans="1:21" ht="35.1" customHeight="1" x14ac:dyDescent="0.25">
      <c r="A173" s="263">
        <f t="shared" si="2"/>
        <v>159</v>
      </c>
      <c r="B173" s="566" t="s">
        <v>159</v>
      </c>
      <c r="C173" s="566"/>
      <c r="D173" s="567" t="s">
        <v>159</v>
      </c>
      <c r="E173" s="567"/>
      <c r="F173" s="568" t="s">
        <v>162</v>
      </c>
      <c r="G173" s="568"/>
      <c r="H173" s="569"/>
      <c r="I173" s="570"/>
      <c r="J173" s="571"/>
      <c r="K173" s="572" t="s">
        <v>162</v>
      </c>
      <c r="L173" s="573"/>
      <c r="M173" s="574"/>
      <c r="N173" s="575" t="s">
        <v>159</v>
      </c>
      <c r="O173" s="576"/>
      <c r="P173" s="576"/>
      <c r="Q173" s="576"/>
      <c r="R173" s="576"/>
      <c r="S173" s="576"/>
      <c r="T173" s="576"/>
      <c r="U173" s="577"/>
    </row>
    <row r="174" spans="1:21" ht="35.1" customHeight="1" x14ac:dyDescent="0.25">
      <c r="A174" s="263">
        <f t="shared" si="2"/>
        <v>160</v>
      </c>
      <c r="B174" s="578" t="s">
        <v>445</v>
      </c>
      <c r="C174" s="578"/>
      <c r="D174" s="579" t="s">
        <v>159</v>
      </c>
      <c r="E174" s="579"/>
      <c r="F174" s="568" t="s">
        <v>162</v>
      </c>
      <c r="G174" s="568"/>
      <c r="H174" s="580"/>
      <c r="I174" s="581"/>
      <c r="J174" s="582"/>
      <c r="K174" s="572" t="s">
        <v>162</v>
      </c>
      <c r="L174" s="573"/>
      <c r="M174" s="574"/>
      <c r="N174" s="583" t="s">
        <v>159</v>
      </c>
      <c r="O174" s="584"/>
      <c r="P174" s="584"/>
      <c r="Q174" s="584"/>
      <c r="R174" s="584"/>
      <c r="S174" s="584"/>
      <c r="T174" s="584"/>
      <c r="U174" s="585"/>
    </row>
    <row r="175" spans="1:21" ht="35.1" customHeight="1" x14ac:dyDescent="0.25">
      <c r="A175" s="263">
        <f t="shared" si="2"/>
        <v>161</v>
      </c>
      <c r="B175" s="566" t="s">
        <v>159</v>
      </c>
      <c r="C175" s="566"/>
      <c r="D175" s="567" t="s">
        <v>159</v>
      </c>
      <c r="E175" s="567"/>
      <c r="F175" s="568" t="s">
        <v>162</v>
      </c>
      <c r="G175" s="568"/>
      <c r="H175" s="569"/>
      <c r="I175" s="570"/>
      <c r="J175" s="571"/>
      <c r="K175" s="572" t="s">
        <v>162</v>
      </c>
      <c r="L175" s="573"/>
      <c r="M175" s="574"/>
      <c r="N175" s="575" t="s">
        <v>159</v>
      </c>
      <c r="O175" s="576"/>
      <c r="P175" s="576"/>
      <c r="Q175" s="576"/>
      <c r="R175" s="576"/>
      <c r="S175" s="576"/>
      <c r="T175" s="576"/>
      <c r="U175" s="577"/>
    </row>
    <row r="176" spans="1:21" ht="35.1" customHeight="1" x14ac:dyDescent="0.25">
      <c r="A176" s="263">
        <f t="shared" si="2"/>
        <v>162</v>
      </c>
      <c r="B176" s="578" t="s">
        <v>159</v>
      </c>
      <c r="C176" s="578"/>
      <c r="D176" s="579" t="s">
        <v>159</v>
      </c>
      <c r="E176" s="579"/>
      <c r="F176" s="568" t="s">
        <v>162</v>
      </c>
      <c r="G176" s="568"/>
      <c r="H176" s="580"/>
      <c r="I176" s="581"/>
      <c r="J176" s="582"/>
      <c r="K176" s="572" t="s">
        <v>162</v>
      </c>
      <c r="L176" s="573"/>
      <c r="M176" s="574"/>
      <c r="N176" s="583" t="s">
        <v>159</v>
      </c>
      <c r="O176" s="584"/>
      <c r="P176" s="584"/>
      <c r="Q176" s="584"/>
      <c r="R176" s="584"/>
      <c r="S176" s="584"/>
      <c r="T176" s="584"/>
      <c r="U176" s="585"/>
    </row>
    <row r="177" spans="1:21" ht="35.1" customHeight="1" x14ac:dyDescent="0.25">
      <c r="A177" s="263">
        <f t="shared" si="2"/>
        <v>163</v>
      </c>
      <c r="B177" s="566" t="s">
        <v>159</v>
      </c>
      <c r="C177" s="566"/>
      <c r="D177" s="567" t="s">
        <v>159</v>
      </c>
      <c r="E177" s="567"/>
      <c r="F177" s="568" t="s">
        <v>162</v>
      </c>
      <c r="G177" s="568"/>
      <c r="H177" s="569"/>
      <c r="I177" s="570"/>
      <c r="J177" s="571"/>
      <c r="K177" s="572" t="s">
        <v>162</v>
      </c>
      <c r="L177" s="573"/>
      <c r="M177" s="574"/>
      <c r="N177" s="575" t="s">
        <v>159</v>
      </c>
      <c r="O177" s="576"/>
      <c r="P177" s="576"/>
      <c r="Q177" s="576"/>
      <c r="R177" s="576"/>
      <c r="S177" s="576"/>
      <c r="T177" s="576"/>
      <c r="U177" s="577"/>
    </row>
    <row r="178" spans="1:21" ht="35.1" customHeight="1" x14ac:dyDescent="0.25">
      <c r="A178" s="263">
        <f t="shared" si="2"/>
        <v>164</v>
      </c>
      <c r="B178" s="578" t="s">
        <v>159</v>
      </c>
      <c r="C178" s="578"/>
      <c r="D178" s="579" t="s">
        <v>159</v>
      </c>
      <c r="E178" s="579"/>
      <c r="F178" s="568" t="s">
        <v>162</v>
      </c>
      <c r="G178" s="568"/>
      <c r="H178" s="580"/>
      <c r="I178" s="581"/>
      <c r="J178" s="582"/>
      <c r="K178" s="572" t="s">
        <v>162</v>
      </c>
      <c r="L178" s="573"/>
      <c r="M178" s="574"/>
      <c r="N178" s="583" t="s">
        <v>159</v>
      </c>
      <c r="O178" s="584"/>
      <c r="P178" s="584"/>
      <c r="Q178" s="584"/>
      <c r="R178" s="584"/>
      <c r="S178" s="584"/>
      <c r="T178" s="584"/>
      <c r="U178" s="585"/>
    </row>
    <row r="179" spans="1:21" ht="35.1" customHeight="1" x14ac:dyDescent="0.25">
      <c r="A179" s="263">
        <f t="shared" si="2"/>
        <v>165</v>
      </c>
      <c r="B179" s="566" t="s">
        <v>159</v>
      </c>
      <c r="C179" s="566"/>
      <c r="D179" s="567" t="s">
        <v>159</v>
      </c>
      <c r="E179" s="567"/>
      <c r="F179" s="568" t="s">
        <v>162</v>
      </c>
      <c r="G179" s="568"/>
      <c r="H179" s="569"/>
      <c r="I179" s="570"/>
      <c r="J179" s="571"/>
      <c r="K179" s="572" t="s">
        <v>162</v>
      </c>
      <c r="L179" s="573"/>
      <c r="M179" s="574"/>
      <c r="N179" s="575" t="s">
        <v>159</v>
      </c>
      <c r="O179" s="576"/>
      <c r="P179" s="576"/>
      <c r="Q179" s="576"/>
      <c r="R179" s="576"/>
      <c r="S179" s="576"/>
      <c r="T179" s="576"/>
      <c r="U179" s="577"/>
    </row>
    <row r="180" spans="1:21" ht="35.1" customHeight="1" x14ac:dyDescent="0.25">
      <c r="A180" s="263">
        <f t="shared" si="2"/>
        <v>166</v>
      </c>
      <c r="B180" s="578" t="s">
        <v>449</v>
      </c>
      <c r="C180" s="578"/>
      <c r="D180" s="579" t="s">
        <v>159</v>
      </c>
      <c r="E180" s="579"/>
      <c r="F180" s="568" t="s">
        <v>162</v>
      </c>
      <c r="G180" s="568"/>
      <c r="H180" s="580"/>
      <c r="I180" s="581"/>
      <c r="J180" s="582"/>
      <c r="K180" s="572" t="s">
        <v>162</v>
      </c>
      <c r="L180" s="573"/>
      <c r="M180" s="574"/>
      <c r="N180" s="583" t="s">
        <v>159</v>
      </c>
      <c r="O180" s="584"/>
      <c r="P180" s="584"/>
      <c r="Q180" s="584"/>
      <c r="R180" s="584"/>
      <c r="S180" s="584"/>
      <c r="T180" s="584"/>
      <c r="U180" s="585"/>
    </row>
    <row r="181" spans="1:21" ht="35.1" customHeight="1" x14ac:dyDescent="0.25">
      <c r="A181" s="263">
        <f t="shared" si="2"/>
        <v>167</v>
      </c>
      <c r="B181" s="566" t="s">
        <v>159</v>
      </c>
      <c r="C181" s="566"/>
      <c r="D181" s="567" t="s">
        <v>159</v>
      </c>
      <c r="E181" s="567"/>
      <c r="F181" s="568" t="s">
        <v>162</v>
      </c>
      <c r="G181" s="568"/>
      <c r="H181" s="569"/>
      <c r="I181" s="570"/>
      <c r="J181" s="571"/>
      <c r="K181" s="572" t="s">
        <v>162</v>
      </c>
      <c r="L181" s="573"/>
      <c r="M181" s="574"/>
      <c r="N181" s="575" t="s">
        <v>159</v>
      </c>
      <c r="O181" s="576"/>
      <c r="P181" s="576"/>
      <c r="Q181" s="576"/>
      <c r="R181" s="576"/>
      <c r="S181" s="576"/>
      <c r="T181" s="576"/>
      <c r="U181" s="577"/>
    </row>
    <row r="182" spans="1:21" ht="35.1" customHeight="1" x14ac:dyDescent="0.25">
      <c r="A182" s="263">
        <f t="shared" si="2"/>
        <v>168</v>
      </c>
      <c r="B182" s="578" t="s">
        <v>159</v>
      </c>
      <c r="C182" s="578"/>
      <c r="D182" s="579" t="s">
        <v>159</v>
      </c>
      <c r="E182" s="579"/>
      <c r="F182" s="568" t="s">
        <v>162</v>
      </c>
      <c r="G182" s="568"/>
      <c r="H182" s="580"/>
      <c r="I182" s="581"/>
      <c r="J182" s="582"/>
      <c r="K182" s="572" t="s">
        <v>162</v>
      </c>
      <c r="L182" s="573"/>
      <c r="M182" s="574"/>
      <c r="N182" s="583" t="s">
        <v>159</v>
      </c>
      <c r="O182" s="584"/>
      <c r="P182" s="584"/>
      <c r="Q182" s="584"/>
      <c r="R182" s="584"/>
      <c r="S182" s="584"/>
      <c r="T182" s="584"/>
      <c r="U182" s="585"/>
    </row>
    <row r="183" spans="1:21" ht="35.1" customHeight="1" x14ac:dyDescent="0.25">
      <c r="A183" s="263">
        <f t="shared" si="2"/>
        <v>169</v>
      </c>
      <c r="B183" s="566" t="s">
        <v>159</v>
      </c>
      <c r="C183" s="566"/>
      <c r="D183" s="567" t="s">
        <v>159</v>
      </c>
      <c r="E183" s="567"/>
      <c r="F183" s="568" t="s">
        <v>162</v>
      </c>
      <c r="G183" s="568"/>
      <c r="H183" s="569"/>
      <c r="I183" s="570"/>
      <c r="J183" s="571"/>
      <c r="K183" s="572" t="s">
        <v>162</v>
      </c>
      <c r="L183" s="573"/>
      <c r="M183" s="574"/>
      <c r="N183" s="575" t="s">
        <v>159</v>
      </c>
      <c r="O183" s="576"/>
      <c r="P183" s="576"/>
      <c r="Q183" s="576"/>
      <c r="R183" s="576"/>
      <c r="S183" s="576"/>
      <c r="T183" s="576"/>
      <c r="U183" s="577"/>
    </row>
    <row r="184" spans="1:21" ht="35.1" customHeight="1" x14ac:dyDescent="0.25">
      <c r="A184" s="263">
        <f t="shared" si="2"/>
        <v>170</v>
      </c>
      <c r="B184" s="578" t="s">
        <v>159</v>
      </c>
      <c r="C184" s="578"/>
      <c r="D184" s="579" t="s">
        <v>159</v>
      </c>
      <c r="E184" s="579"/>
      <c r="F184" s="568" t="s">
        <v>162</v>
      </c>
      <c r="G184" s="568"/>
      <c r="H184" s="580"/>
      <c r="I184" s="581"/>
      <c r="J184" s="582"/>
      <c r="K184" s="572" t="s">
        <v>162</v>
      </c>
      <c r="L184" s="573"/>
      <c r="M184" s="574"/>
      <c r="N184" s="583" t="s">
        <v>159</v>
      </c>
      <c r="O184" s="584"/>
      <c r="P184" s="584"/>
      <c r="Q184" s="584"/>
      <c r="R184" s="584"/>
      <c r="S184" s="584"/>
      <c r="T184" s="584"/>
      <c r="U184" s="585"/>
    </row>
    <row r="185" spans="1:21" ht="35.1" customHeight="1" x14ac:dyDescent="0.25">
      <c r="A185" s="263">
        <f t="shared" si="2"/>
        <v>171</v>
      </c>
      <c r="B185" s="566" t="s">
        <v>443</v>
      </c>
      <c r="C185" s="566"/>
      <c r="D185" s="567" t="s">
        <v>159</v>
      </c>
      <c r="E185" s="567"/>
      <c r="F185" s="568" t="s">
        <v>162</v>
      </c>
      <c r="G185" s="568"/>
      <c r="H185" s="569"/>
      <c r="I185" s="570"/>
      <c r="J185" s="571"/>
      <c r="K185" s="572" t="s">
        <v>162</v>
      </c>
      <c r="L185" s="573"/>
      <c r="M185" s="574"/>
      <c r="N185" s="575" t="s">
        <v>159</v>
      </c>
      <c r="O185" s="576"/>
      <c r="P185" s="576"/>
      <c r="Q185" s="576"/>
      <c r="R185" s="576"/>
      <c r="S185" s="576"/>
      <c r="T185" s="576"/>
      <c r="U185" s="577"/>
    </row>
    <row r="186" spans="1:21" ht="35.1" customHeight="1" x14ac:dyDescent="0.25">
      <c r="A186" s="263">
        <f t="shared" si="2"/>
        <v>172</v>
      </c>
      <c r="B186" s="578" t="s">
        <v>159</v>
      </c>
      <c r="C186" s="578"/>
      <c r="D186" s="579" t="s">
        <v>159</v>
      </c>
      <c r="E186" s="579"/>
      <c r="F186" s="568" t="s">
        <v>162</v>
      </c>
      <c r="G186" s="568"/>
      <c r="H186" s="580"/>
      <c r="I186" s="581"/>
      <c r="J186" s="582"/>
      <c r="K186" s="572" t="s">
        <v>162</v>
      </c>
      <c r="L186" s="573"/>
      <c r="M186" s="574"/>
      <c r="N186" s="583" t="s">
        <v>159</v>
      </c>
      <c r="O186" s="584"/>
      <c r="P186" s="584"/>
      <c r="Q186" s="584"/>
      <c r="R186" s="584"/>
      <c r="S186" s="584"/>
      <c r="T186" s="584"/>
      <c r="U186" s="585"/>
    </row>
    <row r="187" spans="1:21" ht="35.1" customHeight="1" x14ac:dyDescent="0.25">
      <c r="A187" s="263">
        <f t="shared" si="2"/>
        <v>173</v>
      </c>
      <c r="B187" s="566" t="s">
        <v>159</v>
      </c>
      <c r="C187" s="566"/>
      <c r="D187" s="567" t="s">
        <v>159</v>
      </c>
      <c r="E187" s="567"/>
      <c r="F187" s="568" t="s">
        <v>162</v>
      </c>
      <c r="G187" s="568"/>
      <c r="H187" s="569"/>
      <c r="I187" s="570"/>
      <c r="J187" s="571"/>
      <c r="K187" s="572" t="s">
        <v>162</v>
      </c>
      <c r="L187" s="573"/>
      <c r="M187" s="574"/>
      <c r="N187" s="575" t="s">
        <v>159</v>
      </c>
      <c r="O187" s="576"/>
      <c r="P187" s="576"/>
      <c r="Q187" s="576"/>
      <c r="R187" s="576"/>
      <c r="S187" s="576"/>
      <c r="T187" s="576"/>
      <c r="U187" s="577"/>
    </row>
    <row r="188" spans="1:21" ht="35.1" customHeight="1" x14ac:dyDescent="0.25">
      <c r="A188" s="263">
        <f t="shared" si="2"/>
        <v>174</v>
      </c>
      <c r="B188" s="578" t="s">
        <v>159</v>
      </c>
      <c r="C188" s="578"/>
      <c r="D188" s="579" t="s">
        <v>159</v>
      </c>
      <c r="E188" s="579"/>
      <c r="F188" s="568" t="s">
        <v>162</v>
      </c>
      <c r="G188" s="568"/>
      <c r="H188" s="580"/>
      <c r="I188" s="581"/>
      <c r="J188" s="582"/>
      <c r="K188" s="572" t="s">
        <v>162</v>
      </c>
      <c r="L188" s="573"/>
      <c r="M188" s="574"/>
      <c r="N188" s="583" t="s">
        <v>159</v>
      </c>
      <c r="O188" s="584"/>
      <c r="P188" s="584"/>
      <c r="Q188" s="584"/>
      <c r="R188" s="584"/>
      <c r="S188" s="584"/>
      <c r="T188" s="584"/>
      <c r="U188" s="585"/>
    </row>
    <row r="189" spans="1:21" ht="35.1" customHeight="1" x14ac:dyDescent="0.25">
      <c r="A189" s="263">
        <f t="shared" si="2"/>
        <v>175</v>
      </c>
      <c r="B189" s="566" t="s">
        <v>159</v>
      </c>
      <c r="C189" s="566"/>
      <c r="D189" s="567" t="s">
        <v>159</v>
      </c>
      <c r="E189" s="567"/>
      <c r="F189" s="568" t="s">
        <v>162</v>
      </c>
      <c r="G189" s="568"/>
      <c r="H189" s="569"/>
      <c r="I189" s="570"/>
      <c r="J189" s="571"/>
      <c r="K189" s="572" t="s">
        <v>162</v>
      </c>
      <c r="L189" s="573"/>
      <c r="M189" s="574"/>
      <c r="N189" s="575" t="s">
        <v>159</v>
      </c>
      <c r="O189" s="576"/>
      <c r="P189" s="576"/>
      <c r="Q189" s="576"/>
      <c r="R189" s="576"/>
      <c r="S189" s="576"/>
      <c r="T189" s="576"/>
      <c r="U189" s="577"/>
    </row>
    <row r="190" spans="1:21" ht="35.1" customHeight="1" x14ac:dyDescent="0.25">
      <c r="A190" s="263">
        <f t="shared" si="2"/>
        <v>176</v>
      </c>
      <c r="B190" s="578" t="s">
        <v>446</v>
      </c>
      <c r="C190" s="578"/>
      <c r="D190" s="579" t="s">
        <v>159</v>
      </c>
      <c r="E190" s="579"/>
      <c r="F190" s="568" t="s">
        <v>162</v>
      </c>
      <c r="G190" s="568"/>
      <c r="H190" s="580"/>
      <c r="I190" s="581"/>
      <c r="J190" s="582"/>
      <c r="K190" s="572" t="s">
        <v>162</v>
      </c>
      <c r="L190" s="573"/>
      <c r="M190" s="574"/>
      <c r="N190" s="583" t="s">
        <v>159</v>
      </c>
      <c r="O190" s="584"/>
      <c r="P190" s="584"/>
      <c r="Q190" s="584"/>
      <c r="R190" s="584"/>
      <c r="S190" s="584"/>
      <c r="T190" s="584"/>
      <c r="U190" s="585"/>
    </row>
    <row r="191" spans="1:21" ht="35.1" customHeight="1" x14ac:dyDescent="0.25">
      <c r="A191" s="263">
        <f t="shared" si="2"/>
        <v>177</v>
      </c>
      <c r="B191" s="566" t="s">
        <v>159</v>
      </c>
      <c r="C191" s="566"/>
      <c r="D191" s="567" t="s">
        <v>159</v>
      </c>
      <c r="E191" s="567"/>
      <c r="F191" s="568" t="s">
        <v>162</v>
      </c>
      <c r="G191" s="568"/>
      <c r="H191" s="569"/>
      <c r="I191" s="570"/>
      <c r="J191" s="571"/>
      <c r="K191" s="572" t="s">
        <v>162</v>
      </c>
      <c r="L191" s="573"/>
      <c r="M191" s="574"/>
      <c r="N191" s="575" t="s">
        <v>159</v>
      </c>
      <c r="O191" s="576"/>
      <c r="P191" s="576"/>
      <c r="Q191" s="576"/>
      <c r="R191" s="576"/>
      <c r="S191" s="576"/>
      <c r="T191" s="576"/>
      <c r="U191" s="577"/>
    </row>
    <row r="192" spans="1:21" ht="35.1" customHeight="1" x14ac:dyDescent="0.25">
      <c r="A192" s="263">
        <f t="shared" si="2"/>
        <v>178</v>
      </c>
      <c r="B192" s="578" t="s">
        <v>159</v>
      </c>
      <c r="C192" s="578"/>
      <c r="D192" s="579" t="s">
        <v>159</v>
      </c>
      <c r="E192" s="579"/>
      <c r="F192" s="568" t="s">
        <v>162</v>
      </c>
      <c r="G192" s="568"/>
      <c r="H192" s="580"/>
      <c r="I192" s="581"/>
      <c r="J192" s="582"/>
      <c r="K192" s="572" t="s">
        <v>162</v>
      </c>
      <c r="L192" s="573"/>
      <c r="M192" s="574"/>
      <c r="N192" s="583" t="s">
        <v>159</v>
      </c>
      <c r="O192" s="584"/>
      <c r="P192" s="584"/>
      <c r="Q192" s="584"/>
      <c r="R192" s="584"/>
      <c r="S192" s="584"/>
      <c r="T192" s="584"/>
      <c r="U192" s="585"/>
    </row>
    <row r="193" spans="1:21" ht="35.1" customHeight="1" x14ac:dyDescent="0.25">
      <c r="A193" s="263">
        <f t="shared" si="2"/>
        <v>179</v>
      </c>
      <c r="B193" s="566" t="s">
        <v>159</v>
      </c>
      <c r="C193" s="566"/>
      <c r="D193" s="567" t="s">
        <v>159</v>
      </c>
      <c r="E193" s="567"/>
      <c r="F193" s="568" t="s">
        <v>162</v>
      </c>
      <c r="G193" s="568"/>
      <c r="H193" s="569"/>
      <c r="I193" s="570"/>
      <c r="J193" s="571"/>
      <c r="K193" s="572" t="s">
        <v>162</v>
      </c>
      <c r="L193" s="573"/>
      <c r="M193" s="574"/>
      <c r="N193" s="575" t="s">
        <v>159</v>
      </c>
      <c r="O193" s="576"/>
      <c r="P193" s="576"/>
      <c r="Q193" s="576"/>
      <c r="R193" s="576"/>
      <c r="S193" s="576"/>
      <c r="T193" s="576"/>
      <c r="U193" s="577"/>
    </row>
    <row r="194" spans="1:21" ht="35.1" customHeight="1" x14ac:dyDescent="0.25">
      <c r="A194" s="263">
        <f t="shared" si="2"/>
        <v>180</v>
      </c>
      <c r="B194" s="578" t="s">
        <v>159</v>
      </c>
      <c r="C194" s="578"/>
      <c r="D194" s="579" t="s">
        <v>159</v>
      </c>
      <c r="E194" s="579"/>
      <c r="F194" s="568" t="s">
        <v>162</v>
      </c>
      <c r="G194" s="568"/>
      <c r="H194" s="580"/>
      <c r="I194" s="581"/>
      <c r="J194" s="582"/>
      <c r="K194" s="572" t="s">
        <v>162</v>
      </c>
      <c r="L194" s="573"/>
      <c r="M194" s="574"/>
      <c r="N194" s="583" t="s">
        <v>159</v>
      </c>
      <c r="O194" s="584"/>
      <c r="P194" s="584"/>
      <c r="Q194" s="584"/>
      <c r="R194" s="584"/>
      <c r="S194" s="584"/>
      <c r="T194" s="584"/>
      <c r="U194" s="585"/>
    </row>
    <row r="195" spans="1:21" ht="35.1" customHeight="1" x14ac:dyDescent="0.25">
      <c r="A195" s="263">
        <f t="shared" si="2"/>
        <v>181</v>
      </c>
      <c r="B195" s="566" t="s">
        <v>450</v>
      </c>
      <c r="C195" s="566"/>
      <c r="D195" s="567" t="s">
        <v>159</v>
      </c>
      <c r="E195" s="567"/>
      <c r="F195" s="568" t="s">
        <v>162</v>
      </c>
      <c r="G195" s="568"/>
      <c r="H195" s="569"/>
      <c r="I195" s="570"/>
      <c r="J195" s="571"/>
      <c r="K195" s="572" t="s">
        <v>162</v>
      </c>
      <c r="L195" s="573"/>
      <c r="M195" s="574"/>
      <c r="N195" s="575" t="s">
        <v>159</v>
      </c>
      <c r="O195" s="576"/>
      <c r="P195" s="576"/>
      <c r="Q195" s="576"/>
      <c r="R195" s="576"/>
      <c r="S195" s="576"/>
      <c r="T195" s="576"/>
      <c r="U195" s="577"/>
    </row>
    <row r="196" spans="1:21" ht="35.1" customHeight="1" x14ac:dyDescent="0.25">
      <c r="A196" s="263">
        <f t="shared" si="2"/>
        <v>182</v>
      </c>
      <c r="B196" s="578" t="s">
        <v>159</v>
      </c>
      <c r="C196" s="578"/>
      <c r="D196" s="579" t="s">
        <v>159</v>
      </c>
      <c r="E196" s="579"/>
      <c r="F196" s="568" t="s">
        <v>162</v>
      </c>
      <c r="G196" s="568"/>
      <c r="H196" s="580"/>
      <c r="I196" s="581"/>
      <c r="J196" s="582"/>
      <c r="K196" s="572" t="s">
        <v>162</v>
      </c>
      <c r="L196" s="573"/>
      <c r="M196" s="574"/>
      <c r="N196" s="583" t="s">
        <v>159</v>
      </c>
      <c r="O196" s="584"/>
      <c r="P196" s="584"/>
      <c r="Q196" s="584"/>
      <c r="R196" s="584"/>
      <c r="S196" s="584"/>
      <c r="T196" s="584"/>
      <c r="U196" s="585"/>
    </row>
    <row r="197" spans="1:21" ht="35.1" customHeight="1" x14ac:dyDescent="0.25">
      <c r="A197" s="263">
        <f t="shared" si="2"/>
        <v>183</v>
      </c>
      <c r="B197" s="566" t="s">
        <v>159</v>
      </c>
      <c r="C197" s="566"/>
      <c r="D197" s="567" t="s">
        <v>159</v>
      </c>
      <c r="E197" s="567"/>
      <c r="F197" s="568" t="s">
        <v>162</v>
      </c>
      <c r="G197" s="568"/>
      <c r="H197" s="569"/>
      <c r="I197" s="570"/>
      <c r="J197" s="571"/>
      <c r="K197" s="572" t="s">
        <v>162</v>
      </c>
      <c r="L197" s="573"/>
      <c r="M197" s="574"/>
      <c r="N197" s="575" t="s">
        <v>159</v>
      </c>
      <c r="O197" s="576"/>
      <c r="P197" s="576"/>
      <c r="Q197" s="576"/>
      <c r="R197" s="576"/>
      <c r="S197" s="576"/>
      <c r="T197" s="576"/>
      <c r="U197" s="577"/>
    </row>
    <row r="198" spans="1:21" ht="35.1" customHeight="1" x14ac:dyDescent="0.25">
      <c r="A198" s="263">
        <f t="shared" si="2"/>
        <v>184</v>
      </c>
      <c r="B198" s="578" t="s">
        <v>159</v>
      </c>
      <c r="C198" s="578"/>
      <c r="D198" s="579" t="s">
        <v>159</v>
      </c>
      <c r="E198" s="579"/>
      <c r="F198" s="568" t="s">
        <v>162</v>
      </c>
      <c r="G198" s="568"/>
      <c r="H198" s="580"/>
      <c r="I198" s="581"/>
      <c r="J198" s="582"/>
      <c r="K198" s="572" t="s">
        <v>162</v>
      </c>
      <c r="L198" s="573"/>
      <c r="M198" s="574"/>
      <c r="N198" s="583" t="s">
        <v>159</v>
      </c>
      <c r="O198" s="584"/>
      <c r="P198" s="584"/>
      <c r="Q198" s="584"/>
      <c r="R198" s="584"/>
      <c r="S198" s="584"/>
      <c r="T198" s="584"/>
      <c r="U198" s="585"/>
    </row>
    <row r="199" spans="1:21" ht="35.1" customHeight="1" x14ac:dyDescent="0.25">
      <c r="A199" s="263">
        <f t="shared" si="2"/>
        <v>185</v>
      </c>
      <c r="B199" s="566" t="s">
        <v>443</v>
      </c>
      <c r="C199" s="566"/>
      <c r="D199" s="567" t="s">
        <v>159</v>
      </c>
      <c r="E199" s="567"/>
      <c r="F199" s="568" t="s">
        <v>162</v>
      </c>
      <c r="G199" s="568"/>
      <c r="H199" s="569"/>
      <c r="I199" s="570"/>
      <c r="J199" s="571"/>
      <c r="K199" s="572" t="s">
        <v>162</v>
      </c>
      <c r="L199" s="573"/>
      <c r="M199" s="574"/>
      <c r="N199" s="575" t="s">
        <v>159</v>
      </c>
      <c r="O199" s="576"/>
      <c r="P199" s="576"/>
      <c r="Q199" s="576"/>
      <c r="R199" s="576"/>
      <c r="S199" s="576"/>
      <c r="T199" s="576"/>
      <c r="U199" s="577"/>
    </row>
    <row r="200" spans="1:21" ht="35.1" customHeight="1" x14ac:dyDescent="0.25">
      <c r="A200" s="263">
        <f t="shared" si="2"/>
        <v>186</v>
      </c>
      <c r="B200" s="578" t="s">
        <v>159</v>
      </c>
      <c r="C200" s="578"/>
      <c r="D200" s="579" t="s">
        <v>159</v>
      </c>
      <c r="E200" s="579"/>
      <c r="F200" s="568" t="s">
        <v>162</v>
      </c>
      <c r="G200" s="568"/>
      <c r="H200" s="580"/>
      <c r="I200" s="581"/>
      <c r="J200" s="582"/>
      <c r="K200" s="572" t="s">
        <v>162</v>
      </c>
      <c r="L200" s="573"/>
      <c r="M200" s="574"/>
      <c r="N200" s="583" t="s">
        <v>159</v>
      </c>
      <c r="O200" s="584"/>
      <c r="P200" s="584"/>
      <c r="Q200" s="584"/>
      <c r="R200" s="584"/>
      <c r="S200" s="584"/>
      <c r="T200" s="584"/>
      <c r="U200" s="585"/>
    </row>
    <row r="201" spans="1:21" ht="35.1" customHeight="1" x14ac:dyDescent="0.25">
      <c r="A201" s="263">
        <f t="shared" si="2"/>
        <v>187</v>
      </c>
      <c r="B201" s="566" t="s">
        <v>159</v>
      </c>
      <c r="C201" s="566"/>
      <c r="D201" s="567" t="s">
        <v>159</v>
      </c>
      <c r="E201" s="567"/>
      <c r="F201" s="568" t="s">
        <v>162</v>
      </c>
      <c r="G201" s="568"/>
      <c r="H201" s="569"/>
      <c r="I201" s="570"/>
      <c r="J201" s="571"/>
      <c r="K201" s="572" t="s">
        <v>162</v>
      </c>
      <c r="L201" s="573"/>
      <c r="M201" s="574"/>
      <c r="N201" s="575" t="s">
        <v>159</v>
      </c>
      <c r="O201" s="576"/>
      <c r="P201" s="576"/>
      <c r="Q201" s="576"/>
      <c r="R201" s="576"/>
      <c r="S201" s="576"/>
      <c r="T201" s="576"/>
      <c r="U201" s="577"/>
    </row>
    <row r="202" spans="1:21" ht="35.1" customHeight="1" x14ac:dyDescent="0.25">
      <c r="A202" s="263">
        <f t="shared" si="2"/>
        <v>188</v>
      </c>
      <c r="B202" s="578" t="s">
        <v>159</v>
      </c>
      <c r="C202" s="578"/>
      <c r="D202" s="579" t="s">
        <v>159</v>
      </c>
      <c r="E202" s="579"/>
      <c r="F202" s="568" t="s">
        <v>162</v>
      </c>
      <c r="G202" s="568"/>
      <c r="H202" s="580"/>
      <c r="I202" s="581"/>
      <c r="J202" s="582"/>
      <c r="K202" s="572" t="s">
        <v>162</v>
      </c>
      <c r="L202" s="573"/>
      <c r="M202" s="574"/>
      <c r="N202" s="583" t="s">
        <v>159</v>
      </c>
      <c r="O202" s="584"/>
      <c r="P202" s="584"/>
      <c r="Q202" s="584"/>
      <c r="R202" s="584"/>
      <c r="S202" s="584"/>
      <c r="T202" s="584"/>
      <c r="U202" s="585"/>
    </row>
    <row r="203" spans="1:21" ht="35.1" customHeight="1" x14ac:dyDescent="0.25">
      <c r="A203" s="263">
        <f t="shared" si="2"/>
        <v>189</v>
      </c>
      <c r="B203" s="566" t="s">
        <v>159</v>
      </c>
      <c r="C203" s="566"/>
      <c r="D203" s="567" t="s">
        <v>159</v>
      </c>
      <c r="E203" s="567"/>
      <c r="F203" s="568" t="s">
        <v>162</v>
      </c>
      <c r="G203" s="568"/>
      <c r="H203" s="569"/>
      <c r="I203" s="570"/>
      <c r="J203" s="571"/>
      <c r="K203" s="572" t="s">
        <v>162</v>
      </c>
      <c r="L203" s="573"/>
      <c r="M203" s="574"/>
      <c r="N203" s="575" t="s">
        <v>159</v>
      </c>
      <c r="O203" s="576"/>
      <c r="P203" s="576"/>
      <c r="Q203" s="576"/>
      <c r="R203" s="576"/>
      <c r="S203" s="576"/>
      <c r="T203" s="576"/>
      <c r="U203" s="577"/>
    </row>
    <row r="204" spans="1:21" ht="35.1" customHeight="1" x14ac:dyDescent="0.25">
      <c r="A204" s="263">
        <f t="shared" si="2"/>
        <v>190</v>
      </c>
      <c r="B204" s="578" t="s">
        <v>159</v>
      </c>
      <c r="C204" s="578"/>
      <c r="D204" s="579" t="s">
        <v>159</v>
      </c>
      <c r="E204" s="579"/>
      <c r="F204" s="568" t="s">
        <v>162</v>
      </c>
      <c r="G204" s="568"/>
      <c r="H204" s="580"/>
      <c r="I204" s="581"/>
      <c r="J204" s="582"/>
      <c r="K204" s="572" t="s">
        <v>162</v>
      </c>
      <c r="L204" s="573"/>
      <c r="M204" s="574"/>
      <c r="N204" s="583" t="s">
        <v>159</v>
      </c>
      <c r="O204" s="584"/>
      <c r="P204" s="584"/>
      <c r="Q204" s="584"/>
      <c r="R204" s="584"/>
      <c r="S204" s="584"/>
      <c r="T204" s="584"/>
      <c r="U204" s="585"/>
    </row>
    <row r="205" spans="1:21" ht="35.1" customHeight="1" x14ac:dyDescent="0.25">
      <c r="A205" s="263">
        <f t="shared" si="2"/>
        <v>191</v>
      </c>
      <c r="B205" s="566" t="s">
        <v>451</v>
      </c>
      <c r="C205" s="566"/>
      <c r="D205" s="567" t="s">
        <v>159</v>
      </c>
      <c r="E205" s="567"/>
      <c r="F205" s="568" t="s">
        <v>162</v>
      </c>
      <c r="G205" s="568"/>
      <c r="H205" s="569"/>
      <c r="I205" s="570"/>
      <c r="J205" s="571"/>
      <c r="K205" s="572" t="s">
        <v>162</v>
      </c>
      <c r="L205" s="573"/>
      <c r="M205" s="574"/>
      <c r="N205" s="575" t="s">
        <v>159</v>
      </c>
      <c r="O205" s="576"/>
      <c r="P205" s="576"/>
      <c r="Q205" s="576"/>
      <c r="R205" s="576"/>
      <c r="S205" s="576"/>
      <c r="T205" s="576"/>
      <c r="U205" s="577"/>
    </row>
    <row r="206" spans="1:21" ht="35.1" customHeight="1" x14ac:dyDescent="0.25">
      <c r="A206" s="263">
        <f t="shared" si="2"/>
        <v>192</v>
      </c>
      <c r="B206" s="578" t="s">
        <v>159</v>
      </c>
      <c r="C206" s="578"/>
      <c r="D206" s="579" t="s">
        <v>159</v>
      </c>
      <c r="E206" s="579"/>
      <c r="F206" s="568" t="s">
        <v>162</v>
      </c>
      <c r="G206" s="568"/>
      <c r="H206" s="580"/>
      <c r="I206" s="581"/>
      <c r="J206" s="582"/>
      <c r="K206" s="572" t="s">
        <v>162</v>
      </c>
      <c r="L206" s="573"/>
      <c r="M206" s="574"/>
      <c r="N206" s="583" t="s">
        <v>159</v>
      </c>
      <c r="O206" s="584"/>
      <c r="P206" s="584"/>
      <c r="Q206" s="584"/>
      <c r="R206" s="584"/>
      <c r="S206" s="584"/>
      <c r="T206" s="584"/>
      <c r="U206" s="585"/>
    </row>
    <row r="207" spans="1:21" ht="35.1" customHeight="1" x14ac:dyDescent="0.25">
      <c r="A207" s="263">
        <f t="shared" ref="A207:A270" si="3">ROW(A193)</f>
        <v>193</v>
      </c>
      <c r="B207" s="566" t="s">
        <v>159</v>
      </c>
      <c r="C207" s="566"/>
      <c r="D207" s="567" t="s">
        <v>159</v>
      </c>
      <c r="E207" s="567"/>
      <c r="F207" s="568" t="s">
        <v>162</v>
      </c>
      <c r="G207" s="568"/>
      <c r="H207" s="569"/>
      <c r="I207" s="570"/>
      <c r="J207" s="571"/>
      <c r="K207" s="572" t="s">
        <v>162</v>
      </c>
      <c r="L207" s="573"/>
      <c r="M207" s="574"/>
      <c r="N207" s="575" t="s">
        <v>159</v>
      </c>
      <c r="O207" s="576"/>
      <c r="P207" s="576"/>
      <c r="Q207" s="576"/>
      <c r="R207" s="576"/>
      <c r="S207" s="576"/>
      <c r="T207" s="576"/>
      <c r="U207" s="577"/>
    </row>
    <row r="208" spans="1:21" ht="35.1" customHeight="1" x14ac:dyDescent="0.25">
      <c r="A208" s="263">
        <f t="shared" si="3"/>
        <v>194</v>
      </c>
      <c r="B208" s="578" t="s">
        <v>159</v>
      </c>
      <c r="C208" s="578"/>
      <c r="D208" s="579" t="s">
        <v>159</v>
      </c>
      <c r="E208" s="579"/>
      <c r="F208" s="568" t="s">
        <v>162</v>
      </c>
      <c r="G208" s="568"/>
      <c r="H208" s="580"/>
      <c r="I208" s="581"/>
      <c r="J208" s="582"/>
      <c r="K208" s="572" t="s">
        <v>162</v>
      </c>
      <c r="L208" s="573"/>
      <c r="M208" s="574"/>
      <c r="N208" s="583" t="s">
        <v>159</v>
      </c>
      <c r="O208" s="584"/>
      <c r="P208" s="584"/>
      <c r="Q208" s="584"/>
      <c r="R208" s="584"/>
      <c r="S208" s="584"/>
      <c r="T208" s="584"/>
      <c r="U208" s="585"/>
    </row>
    <row r="209" spans="1:21" ht="35.1" customHeight="1" x14ac:dyDescent="0.25">
      <c r="A209" s="263">
        <f t="shared" si="3"/>
        <v>195</v>
      </c>
      <c r="B209" s="566" t="s">
        <v>159</v>
      </c>
      <c r="C209" s="566"/>
      <c r="D209" s="567" t="s">
        <v>159</v>
      </c>
      <c r="E209" s="567"/>
      <c r="F209" s="568" t="s">
        <v>162</v>
      </c>
      <c r="G209" s="568"/>
      <c r="H209" s="569"/>
      <c r="I209" s="570"/>
      <c r="J209" s="571"/>
      <c r="K209" s="572" t="s">
        <v>162</v>
      </c>
      <c r="L209" s="573"/>
      <c r="M209" s="574"/>
      <c r="N209" s="575" t="s">
        <v>159</v>
      </c>
      <c r="O209" s="576"/>
      <c r="P209" s="576"/>
      <c r="Q209" s="576"/>
      <c r="R209" s="576"/>
      <c r="S209" s="576"/>
      <c r="T209" s="576"/>
      <c r="U209" s="577"/>
    </row>
    <row r="210" spans="1:21" ht="35.1" customHeight="1" x14ac:dyDescent="0.25">
      <c r="A210" s="263">
        <f t="shared" si="3"/>
        <v>196</v>
      </c>
      <c r="B210" s="578" t="s">
        <v>159</v>
      </c>
      <c r="C210" s="578"/>
      <c r="D210" s="579" t="s">
        <v>159</v>
      </c>
      <c r="E210" s="579"/>
      <c r="F210" s="568" t="s">
        <v>162</v>
      </c>
      <c r="G210" s="568"/>
      <c r="H210" s="580"/>
      <c r="I210" s="581"/>
      <c r="J210" s="582"/>
      <c r="K210" s="572" t="s">
        <v>162</v>
      </c>
      <c r="L210" s="573"/>
      <c r="M210" s="574"/>
      <c r="N210" s="583" t="s">
        <v>159</v>
      </c>
      <c r="O210" s="584"/>
      <c r="P210" s="584"/>
      <c r="Q210" s="584"/>
      <c r="R210" s="584"/>
      <c r="S210" s="584"/>
      <c r="T210" s="584"/>
      <c r="U210" s="585"/>
    </row>
    <row r="211" spans="1:21" ht="35.1" customHeight="1" x14ac:dyDescent="0.25">
      <c r="A211" s="263">
        <f t="shared" si="3"/>
        <v>197</v>
      </c>
      <c r="B211" s="566" t="s">
        <v>159</v>
      </c>
      <c r="C211" s="566"/>
      <c r="D211" s="567" t="s">
        <v>159</v>
      </c>
      <c r="E211" s="567"/>
      <c r="F211" s="568" t="s">
        <v>162</v>
      </c>
      <c r="G211" s="568"/>
      <c r="H211" s="569"/>
      <c r="I211" s="570"/>
      <c r="J211" s="571"/>
      <c r="K211" s="572" t="s">
        <v>162</v>
      </c>
      <c r="L211" s="573"/>
      <c r="M211" s="574"/>
      <c r="N211" s="575" t="s">
        <v>159</v>
      </c>
      <c r="O211" s="576"/>
      <c r="P211" s="576"/>
      <c r="Q211" s="576"/>
      <c r="R211" s="576"/>
      <c r="S211" s="576"/>
      <c r="T211" s="576"/>
      <c r="U211" s="577"/>
    </row>
    <row r="212" spans="1:21" ht="35.1" customHeight="1" x14ac:dyDescent="0.25">
      <c r="A212" s="263">
        <f t="shared" si="3"/>
        <v>198</v>
      </c>
      <c r="B212" s="566" t="s">
        <v>159</v>
      </c>
      <c r="C212" s="566"/>
      <c r="D212" s="567" t="s">
        <v>159</v>
      </c>
      <c r="E212" s="567"/>
      <c r="F212" s="568" t="s">
        <v>162</v>
      </c>
      <c r="G212" s="568"/>
      <c r="H212" s="569"/>
      <c r="I212" s="570"/>
      <c r="J212" s="571"/>
      <c r="K212" s="572" t="s">
        <v>162</v>
      </c>
      <c r="L212" s="573"/>
      <c r="M212" s="574"/>
      <c r="N212" s="575" t="s">
        <v>159</v>
      </c>
      <c r="O212" s="576"/>
      <c r="P212" s="576"/>
      <c r="Q212" s="576"/>
      <c r="R212" s="576"/>
      <c r="S212" s="576"/>
      <c r="T212" s="576"/>
      <c r="U212" s="577"/>
    </row>
    <row r="213" spans="1:21" ht="35.1" customHeight="1" x14ac:dyDescent="0.25">
      <c r="A213" s="263">
        <f t="shared" si="3"/>
        <v>199</v>
      </c>
      <c r="B213" s="578" t="s">
        <v>159</v>
      </c>
      <c r="C213" s="578"/>
      <c r="D213" s="579" t="s">
        <v>159</v>
      </c>
      <c r="E213" s="579"/>
      <c r="F213" s="568" t="s">
        <v>162</v>
      </c>
      <c r="G213" s="568"/>
      <c r="H213" s="580"/>
      <c r="I213" s="581"/>
      <c r="J213" s="582"/>
      <c r="K213" s="572" t="s">
        <v>162</v>
      </c>
      <c r="L213" s="573"/>
      <c r="M213" s="574"/>
      <c r="N213" s="583"/>
      <c r="O213" s="584"/>
      <c r="P213" s="584"/>
      <c r="Q213" s="584"/>
      <c r="R213" s="584"/>
      <c r="S213" s="584"/>
      <c r="T213" s="584"/>
      <c r="U213" s="585"/>
    </row>
    <row r="214" spans="1:21" ht="35.1" customHeight="1" x14ac:dyDescent="0.25">
      <c r="A214" s="263">
        <f t="shared" si="3"/>
        <v>200</v>
      </c>
      <c r="B214" s="566" t="s">
        <v>159</v>
      </c>
      <c r="C214" s="566"/>
      <c r="D214" s="567" t="s">
        <v>159</v>
      </c>
      <c r="E214" s="567"/>
      <c r="F214" s="568" t="s">
        <v>162</v>
      </c>
      <c r="G214" s="568"/>
      <c r="H214" s="569"/>
      <c r="I214" s="570"/>
      <c r="J214" s="571"/>
      <c r="K214" s="572" t="s">
        <v>162</v>
      </c>
      <c r="L214" s="573"/>
      <c r="M214" s="574"/>
      <c r="N214" s="575" t="s">
        <v>159</v>
      </c>
      <c r="O214" s="576"/>
      <c r="P214" s="576"/>
      <c r="Q214" s="576"/>
      <c r="R214" s="576"/>
      <c r="S214" s="576"/>
      <c r="T214" s="576"/>
      <c r="U214" s="577"/>
    </row>
    <row r="215" spans="1:21" ht="35.1" customHeight="1" x14ac:dyDescent="0.25">
      <c r="A215" s="263">
        <f t="shared" si="3"/>
        <v>201</v>
      </c>
      <c r="B215" s="578" t="s">
        <v>159</v>
      </c>
      <c r="C215" s="578"/>
      <c r="D215" s="579" t="s">
        <v>159</v>
      </c>
      <c r="E215" s="579"/>
      <c r="F215" s="568" t="s">
        <v>162</v>
      </c>
      <c r="G215" s="568"/>
      <c r="H215" s="580"/>
      <c r="I215" s="581"/>
      <c r="J215" s="582"/>
      <c r="K215" s="572" t="s">
        <v>162</v>
      </c>
      <c r="L215" s="573"/>
      <c r="M215" s="574"/>
      <c r="N215" s="583" t="s">
        <v>159</v>
      </c>
      <c r="O215" s="584"/>
      <c r="P215" s="584"/>
      <c r="Q215" s="584"/>
      <c r="R215" s="584"/>
      <c r="S215" s="584"/>
      <c r="T215" s="584"/>
      <c r="U215" s="585"/>
    </row>
    <row r="216" spans="1:21" ht="35.1" customHeight="1" x14ac:dyDescent="0.25">
      <c r="A216" s="263">
        <f t="shared" si="3"/>
        <v>202</v>
      </c>
      <c r="B216" s="566" t="s">
        <v>159</v>
      </c>
      <c r="C216" s="566"/>
      <c r="D216" s="567" t="s">
        <v>159</v>
      </c>
      <c r="E216" s="567"/>
      <c r="F216" s="568" t="s">
        <v>162</v>
      </c>
      <c r="G216" s="568"/>
      <c r="H216" s="569"/>
      <c r="I216" s="570"/>
      <c r="J216" s="571"/>
      <c r="K216" s="572" t="s">
        <v>162</v>
      </c>
      <c r="L216" s="573"/>
      <c r="M216" s="574"/>
      <c r="N216" s="575" t="s">
        <v>159</v>
      </c>
      <c r="O216" s="576"/>
      <c r="P216" s="576"/>
      <c r="Q216" s="576"/>
      <c r="R216" s="576"/>
      <c r="S216" s="576"/>
      <c r="T216" s="576"/>
      <c r="U216" s="577"/>
    </row>
    <row r="217" spans="1:21" ht="35.1" customHeight="1" x14ac:dyDescent="0.25">
      <c r="A217" s="263">
        <f t="shared" si="3"/>
        <v>203</v>
      </c>
      <c r="B217" s="578" t="s">
        <v>159</v>
      </c>
      <c r="C217" s="578"/>
      <c r="D217" s="579" t="s">
        <v>159</v>
      </c>
      <c r="E217" s="579"/>
      <c r="F217" s="568" t="s">
        <v>162</v>
      </c>
      <c r="G217" s="568"/>
      <c r="H217" s="580"/>
      <c r="I217" s="581"/>
      <c r="J217" s="582"/>
      <c r="K217" s="572" t="s">
        <v>162</v>
      </c>
      <c r="L217" s="573"/>
      <c r="M217" s="574"/>
      <c r="N217" s="583" t="s">
        <v>159</v>
      </c>
      <c r="O217" s="584"/>
      <c r="P217" s="584"/>
      <c r="Q217" s="584"/>
      <c r="R217" s="584"/>
      <c r="S217" s="584"/>
      <c r="T217" s="584"/>
      <c r="U217" s="585"/>
    </row>
    <row r="218" spans="1:21" ht="35.1" customHeight="1" x14ac:dyDescent="0.25">
      <c r="A218" s="263">
        <f t="shared" si="3"/>
        <v>204</v>
      </c>
      <c r="B218" s="566" t="s">
        <v>159</v>
      </c>
      <c r="C218" s="566"/>
      <c r="D218" s="567" t="s">
        <v>159</v>
      </c>
      <c r="E218" s="567"/>
      <c r="F218" s="568" t="s">
        <v>162</v>
      </c>
      <c r="G218" s="568"/>
      <c r="H218" s="569"/>
      <c r="I218" s="570"/>
      <c r="J218" s="571"/>
      <c r="K218" s="572" t="s">
        <v>162</v>
      </c>
      <c r="L218" s="573"/>
      <c r="M218" s="574"/>
      <c r="N218" s="575" t="s">
        <v>159</v>
      </c>
      <c r="O218" s="576"/>
      <c r="P218" s="576"/>
      <c r="Q218" s="576"/>
      <c r="R218" s="576"/>
      <c r="S218" s="576"/>
      <c r="T218" s="576"/>
      <c r="U218" s="577"/>
    </row>
    <row r="219" spans="1:21" ht="35.1" customHeight="1" x14ac:dyDescent="0.25">
      <c r="A219" s="263">
        <f t="shared" si="3"/>
        <v>205</v>
      </c>
      <c r="B219" s="578" t="s">
        <v>159</v>
      </c>
      <c r="C219" s="578"/>
      <c r="D219" s="579" t="s">
        <v>159</v>
      </c>
      <c r="E219" s="579"/>
      <c r="F219" s="568" t="s">
        <v>162</v>
      </c>
      <c r="G219" s="568"/>
      <c r="H219" s="580"/>
      <c r="I219" s="581"/>
      <c r="J219" s="582"/>
      <c r="K219" s="572" t="s">
        <v>162</v>
      </c>
      <c r="L219" s="573"/>
      <c r="M219" s="574"/>
      <c r="N219" s="583" t="s">
        <v>159</v>
      </c>
      <c r="O219" s="584"/>
      <c r="P219" s="584"/>
      <c r="Q219" s="584"/>
      <c r="R219" s="584"/>
      <c r="S219" s="584"/>
      <c r="T219" s="584"/>
      <c r="U219" s="585"/>
    </row>
    <row r="220" spans="1:21" ht="35.1" customHeight="1" x14ac:dyDescent="0.25">
      <c r="A220" s="263">
        <f t="shared" si="3"/>
        <v>206</v>
      </c>
      <c r="B220" s="566" t="s">
        <v>159</v>
      </c>
      <c r="C220" s="566"/>
      <c r="D220" s="567" t="s">
        <v>159</v>
      </c>
      <c r="E220" s="567"/>
      <c r="F220" s="568" t="s">
        <v>162</v>
      </c>
      <c r="G220" s="568"/>
      <c r="H220" s="569"/>
      <c r="I220" s="570"/>
      <c r="J220" s="571"/>
      <c r="K220" s="572" t="s">
        <v>162</v>
      </c>
      <c r="L220" s="573"/>
      <c r="M220" s="574"/>
      <c r="N220" s="575" t="s">
        <v>159</v>
      </c>
      <c r="O220" s="576"/>
      <c r="P220" s="576"/>
      <c r="Q220" s="576"/>
      <c r="R220" s="576"/>
      <c r="S220" s="576"/>
      <c r="T220" s="576"/>
      <c r="U220" s="577"/>
    </row>
    <row r="221" spans="1:21" ht="35.1" customHeight="1" x14ac:dyDescent="0.25">
      <c r="A221" s="263">
        <f t="shared" si="3"/>
        <v>207</v>
      </c>
      <c r="B221" s="578" t="s">
        <v>159</v>
      </c>
      <c r="C221" s="578"/>
      <c r="D221" s="579" t="s">
        <v>159</v>
      </c>
      <c r="E221" s="579"/>
      <c r="F221" s="568" t="s">
        <v>162</v>
      </c>
      <c r="G221" s="568"/>
      <c r="H221" s="580"/>
      <c r="I221" s="581"/>
      <c r="J221" s="582"/>
      <c r="K221" s="572" t="s">
        <v>162</v>
      </c>
      <c r="L221" s="573"/>
      <c r="M221" s="574"/>
      <c r="N221" s="583" t="s">
        <v>159</v>
      </c>
      <c r="O221" s="584"/>
      <c r="P221" s="584"/>
      <c r="Q221" s="584"/>
      <c r="R221" s="584"/>
      <c r="S221" s="584"/>
      <c r="T221" s="584"/>
      <c r="U221" s="585"/>
    </row>
    <row r="222" spans="1:21" ht="35.1" customHeight="1" x14ac:dyDescent="0.25">
      <c r="A222" s="263">
        <f t="shared" si="3"/>
        <v>208</v>
      </c>
      <c r="B222" s="566" t="s">
        <v>159</v>
      </c>
      <c r="C222" s="566"/>
      <c r="D222" s="567" t="s">
        <v>159</v>
      </c>
      <c r="E222" s="567"/>
      <c r="F222" s="568" t="s">
        <v>162</v>
      </c>
      <c r="G222" s="568"/>
      <c r="H222" s="569"/>
      <c r="I222" s="570"/>
      <c r="J222" s="571"/>
      <c r="K222" s="572" t="s">
        <v>162</v>
      </c>
      <c r="L222" s="573"/>
      <c r="M222" s="574"/>
      <c r="N222" s="575" t="s">
        <v>159</v>
      </c>
      <c r="O222" s="576"/>
      <c r="P222" s="576"/>
      <c r="Q222" s="576"/>
      <c r="R222" s="576"/>
      <c r="S222" s="576"/>
      <c r="T222" s="576"/>
      <c r="U222" s="577"/>
    </row>
    <row r="223" spans="1:21" ht="35.1" customHeight="1" x14ac:dyDescent="0.25">
      <c r="A223" s="263">
        <f t="shared" si="3"/>
        <v>209</v>
      </c>
      <c r="B223" s="578" t="s">
        <v>159</v>
      </c>
      <c r="C223" s="578"/>
      <c r="D223" s="579" t="s">
        <v>159</v>
      </c>
      <c r="E223" s="579"/>
      <c r="F223" s="568" t="s">
        <v>162</v>
      </c>
      <c r="G223" s="568"/>
      <c r="H223" s="580"/>
      <c r="I223" s="581"/>
      <c r="J223" s="582"/>
      <c r="K223" s="572" t="s">
        <v>162</v>
      </c>
      <c r="L223" s="573"/>
      <c r="M223" s="574"/>
      <c r="N223" s="583" t="s">
        <v>159</v>
      </c>
      <c r="O223" s="584"/>
      <c r="P223" s="584"/>
      <c r="Q223" s="584"/>
      <c r="R223" s="584"/>
      <c r="S223" s="584"/>
      <c r="T223" s="584"/>
      <c r="U223" s="585"/>
    </row>
    <row r="224" spans="1:21" ht="35.1" customHeight="1" x14ac:dyDescent="0.25">
      <c r="A224" s="263">
        <f t="shared" si="3"/>
        <v>210</v>
      </c>
      <c r="B224" s="566" t="s">
        <v>159</v>
      </c>
      <c r="C224" s="566"/>
      <c r="D224" s="567" t="s">
        <v>159</v>
      </c>
      <c r="E224" s="567"/>
      <c r="F224" s="568" t="s">
        <v>162</v>
      </c>
      <c r="G224" s="568"/>
      <c r="H224" s="569"/>
      <c r="I224" s="570"/>
      <c r="J224" s="571"/>
      <c r="K224" s="572" t="s">
        <v>162</v>
      </c>
      <c r="L224" s="573"/>
      <c r="M224" s="574"/>
      <c r="N224" s="575" t="s">
        <v>159</v>
      </c>
      <c r="O224" s="576"/>
      <c r="P224" s="576"/>
      <c r="Q224" s="576"/>
      <c r="R224" s="576"/>
      <c r="S224" s="576"/>
      <c r="T224" s="576"/>
      <c r="U224" s="577"/>
    </row>
    <row r="225" spans="1:21" ht="35.1" customHeight="1" x14ac:dyDescent="0.25">
      <c r="A225" s="263">
        <f t="shared" si="3"/>
        <v>211</v>
      </c>
      <c r="B225" s="578" t="s">
        <v>159</v>
      </c>
      <c r="C225" s="578"/>
      <c r="D225" s="579" t="s">
        <v>159</v>
      </c>
      <c r="E225" s="579"/>
      <c r="F225" s="568" t="s">
        <v>162</v>
      </c>
      <c r="G225" s="568"/>
      <c r="H225" s="580"/>
      <c r="I225" s="581"/>
      <c r="J225" s="582"/>
      <c r="K225" s="572" t="s">
        <v>162</v>
      </c>
      <c r="L225" s="573"/>
      <c r="M225" s="574"/>
      <c r="N225" s="583" t="s">
        <v>159</v>
      </c>
      <c r="O225" s="584"/>
      <c r="P225" s="584"/>
      <c r="Q225" s="584"/>
      <c r="R225" s="584"/>
      <c r="S225" s="584"/>
      <c r="T225" s="584"/>
      <c r="U225" s="585"/>
    </row>
    <row r="226" spans="1:21" ht="35.1" customHeight="1" x14ac:dyDescent="0.25">
      <c r="A226" s="263">
        <f t="shared" si="3"/>
        <v>212</v>
      </c>
      <c r="B226" s="566" t="s">
        <v>159</v>
      </c>
      <c r="C226" s="566"/>
      <c r="D226" s="567" t="s">
        <v>159</v>
      </c>
      <c r="E226" s="567"/>
      <c r="F226" s="568" t="s">
        <v>162</v>
      </c>
      <c r="G226" s="568"/>
      <c r="H226" s="569"/>
      <c r="I226" s="570"/>
      <c r="J226" s="571"/>
      <c r="K226" s="572" t="s">
        <v>162</v>
      </c>
      <c r="L226" s="573"/>
      <c r="M226" s="574"/>
      <c r="N226" s="575" t="s">
        <v>159</v>
      </c>
      <c r="O226" s="576"/>
      <c r="P226" s="576"/>
      <c r="Q226" s="576"/>
      <c r="R226" s="576"/>
      <c r="S226" s="576"/>
      <c r="T226" s="576"/>
      <c r="U226" s="577"/>
    </row>
    <row r="227" spans="1:21" ht="35.1" customHeight="1" x14ac:dyDescent="0.25">
      <c r="A227" s="263">
        <f t="shared" si="3"/>
        <v>213</v>
      </c>
      <c r="B227" s="578" t="s">
        <v>159</v>
      </c>
      <c r="C227" s="578"/>
      <c r="D227" s="579" t="s">
        <v>159</v>
      </c>
      <c r="E227" s="579"/>
      <c r="F227" s="568" t="s">
        <v>162</v>
      </c>
      <c r="G227" s="568"/>
      <c r="H227" s="580"/>
      <c r="I227" s="581"/>
      <c r="J227" s="582"/>
      <c r="K227" s="572" t="s">
        <v>162</v>
      </c>
      <c r="L227" s="573"/>
      <c r="M227" s="574"/>
      <c r="N227" s="583" t="s">
        <v>159</v>
      </c>
      <c r="O227" s="584"/>
      <c r="P227" s="584"/>
      <c r="Q227" s="584"/>
      <c r="R227" s="584"/>
      <c r="S227" s="584"/>
      <c r="T227" s="584"/>
      <c r="U227" s="585"/>
    </row>
    <row r="228" spans="1:21" ht="35.1" customHeight="1" x14ac:dyDescent="0.25">
      <c r="A228" s="263">
        <f t="shared" si="3"/>
        <v>214</v>
      </c>
      <c r="B228" s="566" t="s">
        <v>159</v>
      </c>
      <c r="C228" s="566"/>
      <c r="D228" s="567" t="s">
        <v>159</v>
      </c>
      <c r="E228" s="567"/>
      <c r="F228" s="568" t="s">
        <v>162</v>
      </c>
      <c r="G228" s="568"/>
      <c r="H228" s="569"/>
      <c r="I228" s="570"/>
      <c r="J228" s="571"/>
      <c r="K228" s="572" t="s">
        <v>162</v>
      </c>
      <c r="L228" s="573"/>
      <c r="M228" s="574"/>
      <c r="N228" s="575" t="s">
        <v>159</v>
      </c>
      <c r="O228" s="576"/>
      <c r="P228" s="576"/>
      <c r="Q228" s="576"/>
      <c r="R228" s="576"/>
      <c r="S228" s="576"/>
      <c r="T228" s="576"/>
      <c r="U228" s="577"/>
    </row>
    <row r="229" spans="1:21" ht="35.1" customHeight="1" x14ac:dyDescent="0.25">
      <c r="A229" s="263">
        <f t="shared" si="3"/>
        <v>215</v>
      </c>
      <c r="B229" s="578" t="s">
        <v>159</v>
      </c>
      <c r="C229" s="578"/>
      <c r="D229" s="579" t="s">
        <v>159</v>
      </c>
      <c r="E229" s="579"/>
      <c r="F229" s="568" t="s">
        <v>162</v>
      </c>
      <c r="G229" s="568"/>
      <c r="H229" s="580"/>
      <c r="I229" s="581"/>
      <c r="J229" s="582"/>
      <c r="K229" s="572" t="s">
        <v>162</v>
      </c>
      <c r="L229" s="573"/>
      <c r="M229" s="574"/>
      <c r="N229" s="583" t="s">
        <v>159</v>
      </c>
      <c r="O229" s="584"/>
      <c r="P229" s="584"/>
      <c r="Q229" s="584"/>
      <c r="R229" s="584"/>
      <c r="S229" s="584"/>
      <c r="T229" s="584"/>
      <c r="U229" s="585"/>
    </row>
    <row r="230" spans="1:21" ht="35.1" customHeight="1" x14ac:dyDescent="0.25">
      <c r="A230" s="263">
        <f t="shared" si="3"/>
        <v>216</v>
      </c>
      <c r="B230" s="566" t="s">
        <v>159</v>
      </c>
      <c r="C230" s="566"/>
      <c r="D230" s="567" t="s">
        <v>159</v>
      </c>
      <c r="E230" s="567"/>
      <c r="F230" s="568" t="s">
        <v>162</v>
      </c>
      <c r="G230" s="568"/>
      <c r="H230" s="569"/>
      <c r="I230" s="570"/>
      <c r="J230" s="571"/>
      <c r="K230" s="572" t="s">
        <v>162</v>
      </c>
      <c r="L230" s="573"/>
      <c r="M230" s="574"/>
      <c r="N230" s="575" t="s">
        <v>159</v>
      </c>
      <c r="O230" s="576"/>
      <c r="P230" s="576"/>
      <c r="Q230" s="576"/>
      <c r="R230" s="576"/>
      <c r="S230" s="576"/>
      <c r="T230" s="576"/>
      <c r="U230" s="577"/>
    </row>
    <row r="231" spans="1:21" ht="35.1" customHeight="1" x14ac:dyDescent="0.25">
      <c r="A231" s="263">
        <f t="shared" si="3"/>
        <v>217</v>
      </c>
      <c r="B231" s="578" t="s">
        <v>159</v>
      </c>
      <c r="C231" s="578"/>
      <c r="D231" s="579" t="s">
        <v>159</v>
      </c>
      <c r="E231" s="579"/>
      <c r="F231" s="568" t="s">
        <v>162</v>
      </c>
      <c r="G231" s="568"/>
      <c r="H231" s="580"/>
      <c r="I231" s="581"/>
      <c r="J231" s="582"/>
      <c r="K231" s="572" t="s">
        <v>162</v>
      </c>
      <c r="L231" s="573"/>
      <c r="M231" s="574"/>
      <c r="N231" s="583" t="s">
        <v>159</v>
      </c>
      <c r="O231" s="584"/>
      <c r="P231" s="584"/>
      <c r="Q231" s="584"/>
      <c r="R231" s="584"/>
      <c r="S231" s="584"/>
      <c r="T231" s="584"/>
      <c r="U231" s="585"/>
    </row>
    <row r="232" spans="1:21" ht="35.1" customHeight="1" x14ac:dyDescent="0.25">
      <c r="A232" s="263">
        <f t="shared" si="3"/>
        <v>218</v>
      </c>
      <c r="B232" s="566" t="s">
        <v>159</v>
      </c>
      <c r="C232" s="566"/>
      <c r="D232" s="567" t="s">
        <v>159</v>
      </c>
      <c r="E232" s="567"/>
      <c r="F232" s="568" t="s">
        <v>162</v>
      </c>
      <c r="G232" s="568"/>
      <c r="H232" s="569"/>
      <c r="I232" s="570"/>
      <c r="J232" s="571"/>
      <c r="K232" s="572" t="s">
        <v>162</v>
      </c>
      <c r="L232" s="573"/>
      <c r="M232" s="574"/>
      <c r="N232" s="575" t="s">
        <v>159</v>
      </c>
      <c r="O232" s="576"/>
      <c r="P232" s="576"/>
      <c r="Q232" s="576"/>
      <c r="R232" s="576"/>
      <c r="S232" s="576"/>
      <c r="T232" s="576"/>
      <c r="U232" s="577"/>
    </row>
    <row r="233" spans="1:21" ht="35.1" customHeight="1" x14ac:dyDescent="0.25">
      <c r="A233" s="263">
        <f t="shared" si="3"/>
        <v>219</v>
      </c>
      <c r="B233" s="578" t="s">
        <v>159</v>
      </c>
      <c r="C233" s="578"/>
      <c r="D233" s="579" t="s">
        <v>159</v>
      </c>
      <c r="E233" s="579"/>
      <c r="F233" s="568" t="s">
        <v>162</v>
      </c>
      <c r="G233" s="568"/>
      <c r="H233" s="580"/>
      <c r="I233" s="581"/>
      <c r="J233" s="582"/>
      <c r="K233" s="572" t="s">
        <v>162</v>
      </c>
      <c r="L233" s="573"/>
      <c r="M233" s="574"/>
      <c r="N233" s="583" t="s">
        <v>159</v>
      </c>
      <c r="O233" s="584"/>
      <c r="P233" s="584"/>
      <c r="Q233" s="584"/>
      <c r="R233" s="584"/>
      <c r="S233" s="584"/>
      <c r="T233" s="584"/>
      <c r="U233" s="585"/>
    </row>
    <row r="234" spans="1:21" ht="35.1" customHeight="1" x14ac:dyDescent="0.25">
      <c r="A234" s="263">
        <f t="shared" si="3"/>
        <v>220</v>
      </c>
      <c r="B234" s="566" t="s">
        <v>159</v>
      </c>
      <c r="C234" s="566"/>
      <c r="D234" s="567" t="s">
        <v>159</v>
      </c>
      <c r="E234" s="567"/>
      <c r="F234" s="568" t="s">
        <v>162</v>
      </c>
      <c r="G234" s="568"/>
      <c r="H234" s="569"/>
      <c r="I234" s="570"/>
      <c r="J234" s="571"/>
      <c r="K234" s="572" t="s">
        <v>162</v>
      </c>
      <c r="L234" s="573"/>
      <c r="M234" s="574"/>
      <c r="N234" s="575" t="s">
        <v>159</v>
      </c>
      <c r="O234" s="576"/>
      <c r="P234" s="576"/>
      <c r="Q234" s="576"/>
      <c r="R234" s="576"/>
      <c r="S234" s="576"/>
      <c r="T234" s="576"/>
      <c r="U234" s="577"/>
    </row>
    <row r="235" spans="1:21" ht="35.1" customHeight="1" x14ac:dyDescent="0.25">
      <c r="A235" s="263">
        <f t="shared" si="3"/>
        <v>221</v>
      </c>
      <c r="B235" s="578" t="s">
        <v>159</v>
      </c>
      <c r="C235" s="578"/>
      <c r="D235" s="579" t="s">
        <v>159</v>
      </c>
      <c r="E235" s="579"/>
      <c r="F235" s="568" t="s">
        <v>162</v>
      </c>
      <c r="G235" s="568"/>
      <c r="H235" s="580"/>
      <c r="I235" s="581"/>
      <c r="J235" s="582"/>
      <c r="K235" s="572" t="s">
        <v>162</v>
      </c>
      <c r="L235" s="573"/>
      <c r="M235" s="574"/>
      <c r="N235" s="583" t="s">
        <v>159</v>
      </c>
      <c r="O235" s="584"/>
      <c r="P235" s="584"/>
      <c r="Q235" s="584"/>
      <c r="R235" s="584"/>
      <c r="S235" s="584"/>
      <c r="T235" s="584"/>
      <c r="U235" s="585"/>
    </row>
    <row r="236" spans="1:21" ht="35.1" customHeight="1" x14ac:dyDescent="0.25">
      <c r="A236" s="263">
        <f t="shared" si="3"/>
        <v>222</v>
      </c>
      <c r="B236" s="566" t="s">
        <v>159</v>
      </c>
      <c r="C236" s="566"/>
      <c r="D236" s="567" t="s">
        <v>159</v>
      </c>
      <c r="E236" s="567"/>
      <c r="F236" s="568" t="s">
        <v>162</v>
      </c>
      <c r="G236" s="568"/>
      <c r="H236" s="569"/>
      <c r="I236" s="570"/>
      <c r="J236" s="571"/>
      <c r="K236" s="572" t="s">
        <v>162</v>
      </c>
      <c r="L236" s="573"/>
      <c r="M236" s="574"/>
      <c r="N236" s="575" t="s">
        <v>159</v>
      </c>
      <c r="O236" s="576"/>
      <c r="P236" s="576"/>
      <c r="Q236" s="576"/>
      <c r="R236" s="576"/>
      <c r="S236" s="576"/>
      <c r="T236" s="576"/>
      <c r="U236" s="577"/>
    </row>
    <row r="237" spans="1:21" ht="35.1" customHeight="1" x14ac:dyDescent="0.25">
      <c r="A237" s="263">
        <f t="shared" si="3"/>
        <v>223</v>
      </c>
      <c r="B237" s="578" t="s">
        <v>159</v>
      </c>
      <c r="C237" s="578"/>
      <c r="D237" s="579" t="s">
        <v>159</v>
      </c>
      <c r="E237" s="579"/>
      <c r="F237" s="568" t="s">
        <v>162</v>
      </c>
      <c r="G237" s="568"/>
      <c r="H237" s="580"/>
      <c r="I237" s="581"/>
      <c r="J237" s="582"/>
      <c r="K237" s="572" t="s">
        <v>162</v>
      </c>
      <c r="L237" s="573"/>
      <c r="M237" s="574"/>
      <c r="N237" s="583" t="s">
        <v>159</v>
      </c>
      <c r="O237" s="584"/>
      <c r="P237" s="584"/>
      <c r="Q237" s="584"/>
      <c r="R237" s="584"/>
      <c r="S237" s="584"/>
      <c r="T237" s="584"/>
      <c r="U237" s="585"/>
    </row>
    <row r="238" spans="1:21" ht="35.1" customHeight="1" x14ac:dyDescent="0.25">
      <c r="A238" s="263">
        <f t="shared" si="3"/>
        <v>224</v>
      </c>
      <c r="B238" s="566" t="s">
        <v>159</v>
      </c>
      <c r="C238" s="566"/>
      <c r="D238" s="567" t="s">
        <v>159</v>
      </c>
      <c r="E238" s="567"/>
      <c r="F238" s="568" t="s">
        <v>162</v>
      </c>
      <c r="G238" s="568"/>
      <c r="H238" s="569"/>
      <c r="I238" s="570"/>
      <c r="J238" s="571"/>
      <c r="K238" s="572" t="s">
        <v>162</v>
      </c>
      <c r="L238" s="573"/>
      <c r="M238" s="574"/>
      <c r="N238" s="575" t="s">
        <v>159</v>
      </c>
      <c r="O238" s="576"/>
      <c r="P238" s="576"/>
      <c r="Q238" s="576"/>
      <c r="R238" s="576"/>
      <c r="S238" s="576"/>
      <c r="T238" s="576"/>
      <c r="U238" s="577"/>
    </row>
    <row r="239" spans="1:21" ht="35.1" customHeight="1" x14ac:dyDescent="0.25">
      <c r="A239" s="263">
        <f t="shared" si="3"/>
        <v>225</v>
      </c>
      <c r="B239" s="578" t="s">
        <v>159</v>
      </c>
      <c r="C239" s="578"/>
      <c r="D239" s="579" t="s">
        <v>159</v>
      </c>
      <c r="E239" s="579"/>
      <c r="F239" s="568" t="s">
        <v>162</v>
      </c>
      <c r="G239" s="568"/>
      <c r="H239" s="580"/>
      <c r="I239" s="581"/>
      <c r="J239" s="582"/>
      <c r="K239" s="572" t="s">
        <v>162</v>
      </c>
      <c r="L239" s="573"/>
      <c r="M239" s="574"/>
      <c r="N239" s="583" t="s">
        <v>159</v>
      </c>
      <c r="O239" s="584"/>
      <c r="P239" s="584"/>
      <c r="Q239" s="584"/>
      <c r="R239" s="584"/>
      <c r="S239" s="584"/>
      <c r="T239" s="584"/>
      <c r="U239" s="585"/>
    </row>
    <row r="240" spans="1:21" ht="35.1" customHeight="1" x14ac:dyDescent="0.25">
      <c r="A240" s="263">
        <f t="shared" si="3"/>
        <v>226</v>
      </c>
      <c r="B240" s="566" t="s">
        <v>159</v>
      </c>
      <c r="C240" s="566"/>
      <c r="D240" s="567" t="s">
        <v>159</v>
      </c>
      <c r="E240" s="567"/>
      <c r="F240" s="568" t="s">
        <v>162</v>
      </c>
      <c r="G240" s="568"/>
      <c r="H240" s="569"/>
      <c r="I240" s="570"/>
      <c r="J240" s="571"/>
      <c r="K240" s="572" t="s">
        <v>162</v>
      </c>
      <c r="L240" s="573"/>
      <c r="M240" s="574"/>
      <c r="N240" s="575" t="s">
        <v>159</v>
      </c>
      <c r="O240" s="576"/>
      <c r="P240" s="576"/>
      <c r="Q240" s="576"/>
      <c r="R240" s="576"/>
      <c r="S240" s="576"/>
      <c r="T240" s="576"/>
      <c r="U240" s="577"/>
    </row>
    <row r="241" spans="1:21" ht="35.1" customHeight="1" x14ac:dyDescent="0.25">
      <c r="A241" s="263">
        <f t="shared" si="3"/>
        <v>227</v>
      </c>
      <c r="B241" s="578" t="s">
        <v>159</v>
      </c>
      <c r="C241" s="578"/>
      <c r="D241" s="579" t="s">
        <v>159</v>
      </c>
      <c r="E241" s="579"/>
      <c r="F241" s="568" t="s">
        <v>162</v>
      </c>
      <c r="G241" s="568"/>
      <c r="H241" s="580"/>
      <c r="I241" s="581"/>
      <c r="J241" s="582"/>
      <c r="K241" s="572" t="s">
        <v>162</v>
      </c>
      <c r="L241" s="573"/>
      <c r="M241" s="574"/>
      <c r="N241" s="583" t="s">
        <v>159</v>
      </c>
      <c r="O241" s="584"/>
      <c r="P241" s="584"/>
      <c r="Q241" s="584"/>
      <c r="R241" s="584"/>
      <c r="S241" s="584"/>
      <c r="T241" s="584"/>
      <c r="U241" s="585"/>
    </row>
    <row r="242" spans="1:21" ht="35.1" customHeight="1" x14ac:dyDescent="0.25">
      <c r="A242" s="263">
        <f t="shared" si="3"/>
        <v>228</v>
      </c>
      <c r="B242" s="566" t="s">
        <v>159</v>
      </c>
      <c r="C242" s="566"/>
      <c r="D242" s="567" t="s">
        <v>159</v>
      </c>
      <c r="E242" s="567"/>
      <c r="F242" s="568" t="s">
        <v>162</v>
      </c>
      <c r="G242" s="568"/>
      <c r="H242" s="569"/>
      <c r="I242" s="570"/>
      <c r="J242" s="571"/>
      <c r="K242" s="572" t="s">
        <v>162</v>
      </c>
      <c r="L242" s="573"/>
      <c r="M242" s="574"/>
      <c r="N242" s="575" t="s">
        <v>159</v>
      </c>
      <c r="O242" s="576"/>
      <c r="P242" s="576"/>
      <c r="Q242" s="576"/>
      <c r="R242" s="576"/>
      <c r="S242" s="576"/>
      <c r="T242" s="576"/>
      <c r="U242" s="577"/>
    </row>
    <row r="243" spans="1:21" ht="35.1" customHeight="1" x14ac:dyDescent="0.25">
      <c r="A243" s="263">
        <f t="shared" si="3"/>
        <v>229</v>
      </c>
      <c r="B243" s="578" t="s">
        <v>159</v>
      </c>
      <c r="C243" s="578"/>
      <c r="D243" s="579" t="s">
        <v>159</v>
      </c>
      <c r="E243" s="579"/>
      <c r="F243" s="568" t="s">
        <v>162</v>
      </c>
      <c r="G243" s="568"/>
      <c r="H243" s="580"/>
      <c r="I243" s="581"/>
      <c r="J243" s="582"/>
      <c r="K243" s="572" t="s">
        <v>162</v>
      </c>
      <c r="L243" s="573"/>
      <c r="M243" s="574"/>
      <c r="N243" s="583" t="s">
        <v>159</v>
      </c>
      <c r="O243" s="584"/>
      <c r="P243" s="584"/>
      <c r="Q243" s="584"/>
      <c r="R243" s="584"/>
      <c r="S243" s="584"/>
      <c r="T243" s="584"/>
      <c r="U243" s="585"/>
    </row>
    <row r="244" spans="1:21" ht="35.1" customHeight="1" x14ac:dyDescent="0.25">
      <c r="A244" s="263">
        <f t="shared" si="3"/>
        <v>230</v>
      </c>
      <c r="B244" s="566" t="s">
        <v>159</v>
      </c>
      <c r="C244" s="566"/>
      <c r="D244" s="567" t="s">
        <v>159</v>
      </c>
      <c r="E244" s="567"/>
      <c r="F244" s="568" t="s">
        <v>162</v>
      </c>
      <c r="G244" s="568"/>
      <c r="H244" s="569"/>
      <c r="I244" s="570"/>
      <c r="J244" s="571"/>
      <c r="K244" s="572" t="s">
        <v>162</v>
      </c>
      <c r="L244" s="573"/>
      <c r="M244" s="574"/>
      <c r="N244" s="575" t="s">
        <v>159</v>
      </c>
      <c r="O244" s="576"/>
      <c r="P244" s="576"/>
      <c r="Q244" s="576"/>
      <c r="R244" s="576"/>
      <c r="S244" s="576"/>
      <c r="T244" s="576"/>
      <c r="U244" s="577"/>
    </row>
    <row r="245" spans="1:21" ht="35.1" customHeight="1" x14ac:dyDescent="0.25">
      <c r="A245" s="263">
        <f t="shared" si="3"/>
        <v>231</v>
      </c>
      <c r="B245" s="578" t="s">
        <v>159</v>
      </c>
      <c r="C245" s="578"/>
      <c r="D245" s="579" t="s">
        <v>159</v>
      </c>
      <c r="E245" s="579"/>
      <c r="F245" s="568" t="s">
        <v>162</v>
      </c>
      <c r="G245" s="568"/>
      <c r="H245" s="580"/>
      <c r="I245" s="581"/>
      <c r="J245" s="582"/>
      <c r="K245" s="572" t="s">
        <v>162</v>
      </c>
      <c r="L245" s="573"/>
      <c r="M245" s="574"/>
      <c r="N245" s="583" t="s">
        <v>159</v>
      </c>
      <c r="O245" s="584"/>
      <c r="P245" s="584"/>
      <c r="Q245" s="584"/>
      <c r="R245" s="584"/>
      <c r="S245" s="584"/>
      <c r="T245" s="584"/>
      <c r="U245" s="585"/>
    </row>
    <row r="246" spans="1:21" ht="35.1" customHeight="1" x14ac:dyDescent="0.25">
      <c r="A246" s="263">
        <f t="shared" si="3"/>
        <v>232</v>
      </c>
      <c r="B246" s="566" t="s">
        <v>159</v>
      </c>
      <c r="C246" s="566"/>
      <c r="D246" s="567" t="s">
        <v>159</v>
      </c>
      <c r="E246" s="567"/>
      <c r="F246" s="568" t="s">
        <v>162</v>
      </c>
      <c r="G246" s="568"/>
      <c r="H246" s="569"/>
      <c r="I246" s="570"/>
      <c r="J246" s="571"/>
      <c r="K246" s="572" t="s">
        <v>162</v>
      </c>
      <c r="L246" s="573"/>
      <c r="M246" s="574"/>
      <c r="N246" s="575" t="s">
        <v>159</v>
      </c>
      <c r="O246" s="576"/>
      <c r="P246" s="576"/>
      <c r="Q246" s="576"/>
      <c r="R246" s="576"/>
      <c r="S246" s="576"/>
      <c r="T246" s="576"/>
      <c r="U246" s="577"/>
    </row>
    <row r="247" spans="1:21" ht="35.1" customHeight="1" x14ac:dyDescent="0.25">
      <c r="A247" s="263">
        <f t="shared" si="3"/>
        <v>233</v>
      </c>
      <c r="B247" s="578" t="s">
        <v>159</v>
      </c>
      <c r="C247" s="578"/>
      <c r="D247" s="579" t="s">
        <v>159</v>
      </c>
      <c r="E247" s="579"/>
      <c r="F247" s="568" t="s">
        <v>162</v>
      </c>
      <c r="G247" s="568"/>
      <c r="H247" s="580"/>
      <c r="I247" s="581"/>
      <c r="J247" s="582"/>
      <c r="K247" s="572" t="s">
        <v>162</v>
      </c>
      <c r="L247" s="573"/>
      <c r="M247" s="574"/>
      <c r="N247" s="583" t="s">
        <v>159</v>
      </c>
      <c r="O247" s="584"/>
      <c r="P247" s="584"/>
      <c r="Q247" s="584"/>
      <c r="R247" s="584"/>
      <c r="S247" s="584"/>
      <c r="T247" s="584"/>
      <c r="U247" s="585"/>
    </row>
    <row r="248" spans="1:21" ht="35.1" customHeight="1" x14ac:dyDescent="0.25">
      <c r="A248" s="263">
        <f t="shared" si="3"/>
        <v>234</v>
      </c>
      <c r="B248" s="566" t="s">
        <v>159</v>
      </c>
      <c r="C248" s="566"/>
      <c r="D248" s="567" t="s">
        <v>159</v>
      </c>
      <c r="E248" s="567"/>
      <c r="F248" s="568" t="s">
        <v>162</v>
      </c>
      <c r="G248" s="568"/>
      <c r="H248" s="569"/>
      <c r="I248" s="570"/>
      <c r="J248" s="571"/>
      <c r="K248" s="572" t="s">
        <v>162</v>
      </c>
      <c r="L248" s="573"/>
      <c r="M248" s="574"/>
      <c r="N248" s="575" t="s">
        <v>159</v>
      </c>
      <c r="O248" s="576"/>
      <c r="P248" s="576"/>
      <c r="Q248" s="576"/>
      <c r="R248" s="576"/>
      <c r="S248" s="576"/>
      <c r="T248" s="576"/>
      <c r="U248" s="577"/>
    </row>
    <row r="249" spans="1:21" ht="35.1" customHeight="1" x14ac:dyDescent="0.25">
      <c r="A249" s="263">
        <f t="shared" si="3"/>
        <v>235</v>
      </c>
      <c r="B249" s="578" t="s">
        <v>159</v>
      </c>
      <c r="C249" s="578"/>
      <c r="D249" s="579" t="s">
        <v>159</v>
      </c>
      <c r="E249" s="579"/>
      <c r="F249" s="568" t="s">
        <v>162</v>
      </c>
      <c r="G249" s="568"/>
      <c r="H249" s="580"/>
      <c r="I249" s="581"/>
      <c r="J249" s="582"/>
      <c r="K249" s="572" t="s">
        <v>162</v>
      </c>
      <c r="L249" s="573"/>
      <c r="M249" s="574"/>
      <c r="N249" s="583" t="s">
        <v>159</v>
      </c>
      <c r="O249" s="584"/>
      <c r="P249" s="584"/>
      <c r="Q249" s="584"/>
      <c r="R249" s="584"/>
      <c r="S249" s="584"/>
      <c r="T249" s="584"/>
      <c r="U249" s="585"/>
    </row>
    <row r="250" spans="1:21" ht="35.1" customHeight="1" x14ac:dyDescent="0.25">
      <c r="A250" s="263">
        <f t="shared" si="3"/>
        <v>236</v>
      </c>
      <c r="B250" s="566" t="s">
        <v>159</v>
      </c>
      <c r="C250" s="566"/>
      <c r="D250" s="567" t="s">
        <v>159</v>
      </c>
      <c r="E250" s="567"/>
      <c r="F250" s="568" t="s">
        <v>162</v>
      </c>
      <c r="G250" s="568"/>
      <c r="H250" s="569"/>
      <c r="I250" s="570"/>
      <c r="J250" s="571"/>
      <c r="K250" s="572" t="s">
        <v>162</v>
      </c>
      <c r="L250" s="573"/>
      <c r="M250" s="574"/>
      <c r="N250" s="575" t="s">
        <v>159</v>
      </c>
      <c r="O250" s="576"/>
      <c r="P250" s="576"/>
      <c r="Q250" s="576"/>
      <c r="R250" s="576"/>
      <c r="S250" s="576"/>
      <c r="T250" s="576"/>
      <c r="U250" s="577"/>
    </row>
    <row r="251" spans="1:21" ht="35.1" customHeight="1" x14ac:dyDescent="0.25">
      <c r="A251" s="263">
        <f t="shared" si="3"/>
        <v>237</v>
      </c>
      <c r="B251" s="578" t="s">
        <v>159</v>
      </c>
      <c r="C251" s="578"/>
      <c r="D251" s="579" t="s">
        <v>159</v>
      </c>
      <c r="E251" s="579"/>
      <c r="F251" s="568" t="s">
        <v>162</v>
      </c>
      <c r="G251" s="568"/>
      <c r="H251" s="580"/>
      <c r="I251" s="581"/>
      <c r="J251" s="582"/>
      <c r="K251" s="572" t="s">
        <v>162</v>
      </c>
      <c r="L251" s="573"/>
      <c r="M251" s="574"/>
      <c r="N251" s="583" t="s">
        <v>159</v>
      </c>
      <c r="O251" s="584"/>
      <c r="P251" s="584"/>
      <c r="Q251" s="584"/>
      <c r="R251" s="584"/>
      <c r="S251" s="584"/>
      <c r="T251" s="584"/>
      <c r="U251" s="585"/>
    </row>
    <row r="252" spans="1:21" ht="35.1" customHeight="1" x14ac:dyDescent="0.25">
      <c r="A252" s="263">
        <f t="shared" si="3"/>
        <v>238</v>
      </c>
      <c r="B252" s="566" t="s">
        <v>159</v>
      </c>
      <c r="C252" s="566"/>
      <c r="D252" s="567" t="s">
        <v>159</v>
      </c>
      <c r="E252" s="567"/>
      <c r="F252" s="568" t="s">
        <v>162</v>
      </c>
      <c r="G252" s="568"/>
      <c r="H252" s="569"/>
      <c r="I252" s="570"/>
      <c r="J252" s="571"/>
      <c r="K252" s="572" t="s">
        <v>162</v>
      </c>
      <c r="L252" s="573"/>
      <c r="M252" s="574"/>
      <c r="N252" s="575" t="s">
        <v>159</v>
      </c>
      <c r="O252" s="576"/>
      <c r="P252" s="576"/>
      <c r="Q252" s="576"/>
      <c r="R252" s="576"/>
      <c r="S252" s="576"/>
      <c r="T252" s="576"/>
      <c r="U252" s="577"/>
    </row>
    <row r="253" spans="1:21" ht="35.1" customHeight="1" x14ac:dyDescent="0.25">
      <c r="A253" s="263">
        <f t="shared" si="3"/>
        <v>239</v>
      </c>
      <c r="B253" s="578" t="s">
        <v>159</v>
      </c>
      <c r="C253" s="578"/>
      <c r="D253" s="579" t="s">
        <v>159</v>
      </c>
      <c r="E253" s="579"/>
      <c r="F253" s="568" t="s">
        <v>162</v>
      </c>
      <c r="G253" s="568"/>
      <c r="H253" s="580"/>
      <c r="I253" s="581"/>
      <c r="J253" s="582"/>
      <c r="K253" s="572" t="s">
        <v>162</v>
      </c>
      <c r="L253" s="573"/>
      <c r="M253" s="574"/>
      <c r="N253" s="583" t="s">
        <v>159</v>
      </c>
      <c r="O253" s="584"/>
      <c r="P253" s="584"/>
      <c r="Q253" s="584"/>
      <c r="R253" s="584"/>
      <c r="S253" s="584"/>
      <c r="T253" s="584"/>
      <c r="U253" s="585"/>
    </row>
    <row r="254" spans="1:21" ht="35.1" customHeight="1" x14ac:dyDescent="0.25">
      <c r="A254" s="263">
        <f t="shared" si="3"/>
        <v>240</v>
      </c>
      <c r="B254" s="566" t="s">
        <v>159</v>
      </c>
      <c r="C254" s="566"/>
      <c r="D254" s="567" t="s">
        <v>159</v>
      </c>
      <c r="E254" s="567"/>
      <c r="F254" s="568" t="s">
        <v>162</v>
      </c>
      <c r="G254" s="568"/>
      <c r="H254" s="569"/>
      <c r="I254" s="570"/>
      <c r="J254" s="571"/>
      <c r="K254" s="572" t="s">
        <v>162</v>
      </c>
      <c r="L254" s="573"/>
      <c r="M254" s="574"/>
      <c r="N254" s="575" t="s">
        <v>159</v>
      </c>
      <c r="O254" s="576"/>
      <c r="P254" s="576"/>
      <c r="Q254" s="576"/>
      <c r="R254" s="576"/>
      <c r="S254" s="576"/>
      <c r="T254" s="576"/>
      <c r="U254" s="577"/>
    </row>
    <row r="255" spans="1:21" ht="35.1" customHeight="1" x14ac:dyDescent="0.25">
      <c r="A255" s="263">
        <f t="shared" si="3"/>
        <v>241</v>
      </c>
      <c r="B255" s="578" t="s">
        <v>159</v>
      </c>
      <c r="C255" s="578"/>
      <c r="D255" s="579" t="s">
        <v>159</v>
      </c>
      <c r="E255" s="579"/>
      <c r="F255" s="568" t="s">
        <v>162</v>
      </c>
      <c r="G255" s="568"/>
      <c r="H255" s="580"/>
      <c r="I255" s="581"/>
      <c r="J255" s="582"/>
      <c r="K255" s="572" t="s">
        <v>162</v>
      </c>
      <c r="L255" s="573"/>
      <c r="M255" s="574"/>
      <c r="N255" s="583" t="s">
        <v>159</v>
      </c>
      <c r="O255" s="584"/>
      <c r="P255" s="584"/>
      <c r="Q255" s="584"/>
      <c r="R255" s="584"/>
      <c r="S255" s="584"/>
      <c r="T255" s="584"/>
      <c r="U255" s="585"/>
    </row>
    <row r="256" spans="1:21" ht="35.1" customHeight="1" x14ac:dyDescent="0.25">
      <c r="A256" s="263">
        <f t="shared" si="3"/>
        <v>242</v>
      </c>
      <c r="B256" s="566" t="s">
        <v>159</v>
      </c>
      <c r="C256" s="566"/>
      <c r="D256" s="567" t="s">
        <v>159</v>
      </c>
      <c r="E256" s="567"/>
      <c r="F256" s="568" t="s">
        <v>162</v>
      </c>
      <c r="G256" s="568"/>
      <c r="H256" s="569"/>
      <c r="I256" s="570"/>
      <c r="J256" s="571"/>
      <c r="K256" s="572" t="s">
        <v>162</v>
      </c>
      <c r="L256" s="573"/>
      <c r="M256" s="574"/>
      <c r="N256" s="575" t="s">
        <v>159</v>
      </c>
      <c r="O256" s="576"/>
      <c r="P256" s="576"/>
      <c r="Q256" s="576"/>
      <c r="R256" s="576"/>
      <c r="S256" s="576"/>
      <c r="T256" s="576"/>
      <c r="U256" s="577"/>
    </row>
    <row r="257" spans="1:21" ht="35.1" customHeight="1" x14ac:dyDescent="0.25">
      <c r="A257" s="263">
        <f t="shared" si="3"/>
        <v>243</v>
      </c>
      <c r="B257" s="578" t="s">
        <v>159</v>
      </c>
      <c r="C257" s="578"/>
      <c r="D257" s="579" t="s">
        <v>159</v>
      </c>
      <c r="E257" s="579"/>
      <c r="F257" s="568" t="s">
        <v>162</v>
      </c>
      <c r="G257" s="568"/>
      <c r="H257" s="580"/>
      <c r="I257" s="581"/>
      <c r="J257" s="582"/>
      <c r="K257" s="572" t="s">
        <v>162</v>
      </c>
      <c r="L257" s="573"/>
      <c r="M257" s="574"/>
      <c r="N257" s="583" t="s">
        <v>159</v>
      </c>
      <c r="O257" s="584"/>
      <c r="P257" s="584"/>
      <c r="Q257" s="584"/>
      <c r="R257" s="584"/>
      <c r="S257" s="584"/>
      <c r="T257" s="584"/>
      <c r="U257" s="585"/>
    </row>
    <row r="258" spans="1:21" ht="35.1" customHeight="1" x14ac:dyDescent="0.25">
      <c r="A258" s="263">
        <f t="shared" si="3"/>
        <v>244</v>
      </c>
      <c r="B258" s="566" t="s">
        <v>159</v>
      </c>
      <c r="C258" s="566"/>
      <c r="D258" s="567" t="s">
        <v>159</v>
      </c>
      <c r="E258" s="567"/>
      <c r="F258" s="568" t="s">
        <v>162</v>
      </c>
      <c r="G258" s="568"/>
      <c r="H258" s="569"/>
      <c r="I258" s="570"/>
      <c r="J258" s="571"/>
      <c r="K258" s="572" t="s">
        <v>162</v>
      </c>
      <c r="L258" s="573"/>
      <c r="M258" s="574"/>
      <c r="N258" s="575" t="s">
        <v>159</v>
      </c>
      <c r="O258" s="576"/>
      <c r="P258" s="576"/>
      <c r="Q258" s="576"/>
      <c r="R258" s="576"/>
      <c r="S258" s="576"/>
      <c r="T258" s="576"/>
      <c r="U258" s="577"/>
    </row>
    <row r="259" spans="1:21" ht="35.1" customHeight="1" x14ac:dyDescent="0.25">
      <c r="A259" s="263">
        <f t="shared" si="3"/>
        <v>245</v>
      </c>
      <c r="B259" s="578" t="s">
        <v>159</v>
      </c>
      <c r="C259" s="578"/>
      <c r="D259" s="579" t="s">
        <v>159</v>
      </c>
      <c r="E259" s="579"/>
      <c r="F259" s="568" t="s">
        <v>162</v>
      </c>
      <c r="G259" s="568"/>
      <c r="H259" s="580"/>
      <c r="I259" s="581"/>
      <c r="J259" s="582"/>
      <c r="K259" s="572" t="s">
        <v>162</v>
      </c>
      <c r="L259" s="573"/>
      <c r="M259" s="574"/>
      <c r="N259" s="583" t="s">
        <v>159</v>
      </c>
      <c r="O259" s="584"/>
      <c r="P259" s="584"/>
      <c r="Q259" s="584"/>
      <c r="R259" s="584"/>
      <c r="S259" s="584"/>
      <c r="T259" s="584"/>
      <c r="U259" s="585"/>
    </row>
    <row r="260" spans="1:21" ht="35.1" customHeight="1" x14ac:dyDescent="0.25">
      <c r="A260" s="263">
        <f t="shared" si="3"/>
        <v>246</v>
      </c>
      <c r="B260" s="566" t="s">
        <v>159</v>
      </c>
      <c r="C260" s="566"/>
      <c r="D260" s="567" t="s">
        <v>159</v>
      </c>
      <c r="E260" s="567"/>
      <c r="F260" s="568" t="s">
        <v>162</v>
      </c>
      <c r="G260" s="568"/>
      <c r="H260" s="569"/>
      <c r="I260" s="570"/>
      <c r="J260" s="571"/>
      <c r="K260" s="572" t="s">
        <v>162</v>
      </c>
      <c r="L260" s="573"/>
      <c r="M260" s="574"/>
      <c r="N260" s="575" t="s">
        <v>159</v>
      </c>
      <c r="O260" s="576"/>
      <c r="P260" s="576"/>
      <c r="Q260" s="576"/>
      <c r="R260" s="576"/>
      <c r="S260" s="576"/>
      <c r="T260" s="576"/>
      <c r="U260" s="577"/>
    </row>
    <row r="261" spans="1:21" ht="35.1" customHeight="1" x14ac:dyDescent="0.25">
      <c r="A261" s="263">
        <f t="shared" si="3"/>
        <v>247</v>
      </c>
      <c r="B261" s="578" t="s">
        <v>159</v>
      </c>
      <c r="C261" s="578"/>
      <c r="D261" s="579" t="s">
        <v>159</v>
      </c>
      <c r="E261" s="579"/>
      <c r="F261" s="568" t="s">
        <v>162</v>
      </c>
      <c r="G261" s="568"/>
      <c r="H261" s="580"/>
      <c r="I261" s="581"/>
      <c r="J261" s="582"/>
      <c r="K261" s="572" t="s">
        <v>162</v>
      </c>
      <c r="L261" s="573"/>
      <c r="M261" s="574"/>
      <c r="N261" s="583" t="s">
        <v>159</v>
      </c>
      <c r="O261" s="584"/>
      <c r="P261" s="584"/>
      <c r="Q261" s="584"/>
      <c r="R261" s="584"/>
      <c r="S261" s="584"/>
      <c r="T261" s="584"/>
      <c r="U261" s="585"/>
    </row>
    <row r="262" spans="1:21" ht="35.1" customHeight="1" x14ac:dyDescent="0.25">
      <c r="A262" s="263">
        <f t="shared" si="3"/>
        <v>248</v>
      </c>
      <c r="B262" s="566" t="s">
        <v>159</v>
      </c>
      <c r="C262" s="566"/>
      <c r="D262" s="567" t="s">
        <v>159</v>
      </c>
      <c r="E262" s="567"/>
      <c r="F262" s="568" t="s">
        <v>162</v>
      </c>
      <c r="G262" s="568"/>
      <c r="H262" s="569"/>
      <c r="I262" s="570"/>
      <c r="J262" s="571"/>
      <c r="K262" s="572" t="s">
        <v>162</v>
      </c>
      <c r="L262" s="573"/>
      <c r="M262" s="574"/>
      <c r="N262" s="575" t="s">
        <v>159</v>
      </c>
      <c r="O262" s="576"/>
      <c r="P262" s="576"/>
      <c r="Q262" s="576"/>
      <c r="R262" s="576"/>
      <c r="S262" s="576"/>
      <c r="T262" s="576"/>
      <c r="U262" s="577"/>
    </row>
    <row r="263" spans="1:21" ht="35.1" customHeight="1" x14ac:dyDescent="0.25">
      <c r="A263" s="263">
        <f t="shared" si="3"/>
        <v>249</v>
      </c>
      <c r="B263" s="578" t="s">
        <v>159</v>
      </c>
      <c r="C263" s="578"/>
      <c r="D263" s="579" t="s">
        <v>159</v>
      </c>
      <c r="E263" s="579"/>
      <c r="F263" s="568" t="s">
        <v>162</v>
      </c>
      <c r="G263" s="568"/>
      <c r="H263" s="580"/>
      <c r="I263" s="581"/>
      <c r="J263" s="582"/>
      <c r="K263" s="572" t="s">
        <v>162</v>
      </c>
      <c r="L263" s="573"/>
      <c r="M263" s="574"/>
      <c r="N263" s="583" t="s">
        <v>159</v>
      </c>
      <c r="O263" s="584"/>
      <c r="P263" s="584"/>
      <c r="Q263" s="584"/>
      <c r="R263" s="584"/>
      <c r="S263" s="584"/>
      <c r="T263" s="584"/>
      <c r="U263" s="585"/>
    </row>
    <row r="264" spans="1:21" ht="35.1" customHeight="1" x14ac:dyDescent="0.25">
      <c r="A264" s="263">
        <f t="shared" si="3"/>
        <v>250</v>
      </c>
      <c r="B264" s="566" t="s">
        <v>159</v>
      </c>
      <c r="C264" s="566"/>
      <c r="D264" s="567" t="s">
        <v>159</v>
      </c>
      <c r="E264" s="567"/>
      <c r="F264" s="568" t="s">
        <v>162</v>
      </c>
      <c r="G264" s="568"/>
      <c r="H264" s="569"/>
      <c r="I264" s="570"/>
      <c r="J264" s="571"/>
      <c r="K264" s="572" t="s">
        <v>162</v>
      </c>
      <c r="L264" s="573"/>
      <c r="M264" s="574"/>
      <c r="N264" s="575" t="s">
        <v>159</v>
      </c>
      <c r="O264" s="576"/>
      <c r="P264" s="576"/>
      <c r="Q264" s="576"/>
      <c r="R264" s="576"/>
      <c r="S264" s="576"/>
      <c r="T264" s="576"/>
      <c r="U264" s="577"/>
    </row>
    <row r="265" spans="1:21" ht="35.1" customHeight="1" x14ac:dyDescent="0.25">
      <c r="A265" s="263">
        <f t="shared" si="3"/>
        <v>251</v>
      </c>
      <c r="B265" s="578" t="s">
        <v>159</v>
      </c>
      <c r="C265" s="578"/>
      <c r="D265" s="579" t="s">
        <v>159</v>
      </c>
      <c r="E265" s="579"/>
      <c r="F265" s="568" t="s">
        <v>162</v>
      </c>
      <c r="G265" s="568"/>
      <c r="H265" s="580"/>
      <c r="I265" s="581"/>
      <c r="J265" s="582"/>
      <c r="K265" s="572" t="s">
        <v>162</v>
      </c>
      <c r="L265" s="573"/>
      <c r="M265" s="574"/>
      <c r="N265" s="583" t="s">
        <v>159</v>
      </c>
      <c r="O265" s="584"/>
      <c r="P265" s="584"/>
      <c r="Q265" s="584"/>
      <c r="R265" s="584"/>
      <c r="S265" s="584"/>
      <c r="T265" s="584"/>
      <c r="U265" s="585"/>
    </row>
    <row r="266" spans="1:21" ht="35.1" customHeight="1" x14ac:dyDescent="0.25">
      <c r="A266" s="263">
        <f t="shared" si="3"/>
        <v>252</v>
      </c>
      <c r="B266" s="566" t="s">
        <v>159</v>
      </c>
      <c r="C266" s="566"/>
      <c r="D266" s="567" t="s">
        <v>159</v>
      </c>
      <c r="E266" s="567"/>
      <c r="F266" s="568" t="s">
        <v>162</v>
      </c>
      <c r="G266" s="568"/>
      <c r="H266" s="569"/>
      <c r="I266" s="570"/>
      <c r="J266" s="571"/>
      <c r="K266" s="572" t="s">
        <v>162</v>
      </c>
      <c r="L266" s="573"/>
      <c r="M266" s="574"/>
      <c r="N266" s="575" t="s">
        <v>159</v>
      </c>
      <c r="O266" s="576"/>
      <c r="P266" s="576"/>
      <c r="Q266" s="576"/>
      <c r="R266" s="576"/>
      <c r="S266" s="576"/>
      <c r="T266" s="576"/>
      <c r="U266" s="577"/>
    </row>
    <row r="267" spans="1:21" ht="35.1" customHeight="1" x14ac:dyDescent="0.25">
      <c r="A267" s="263">
        <f t="shared" si="3"/>
        <v>253</v>
      </c>
      <c r="B267" s="578" t="s">
        <v>159</v>
      </c>
      <c r="C267" s="578"/>
      <c r="D267" s="579" t="s">
        <v>159</v>
      </c>
      <c r="E267" s="579"/>
      <c r="F267" s="568" t="s">
        <v>162</v>
      </c>
      <c r="G267" s="568"/>
      <c r="H267" s="580"/>
      <c r="I267" s="581"/>
      <c r="J267" s="582"/>
      <c r="K267" s="572" t="s">
        <v>162</v>
      </c>
      <c r="L267" s="573"/>
      <c r="M267" s="574"/>
      <c r="N267" s="583" t="s">
        <v>159</v>
      </c>
      <c r="O267" s="584"/>
      <c r="P267" s="584"/>
      <c r="Q267" s="584"/>
      <c r="R267" s="584"/>
      <c r="S267" s="584"/>
      <c r="T267" s="584"/>
      <c r="U267" s="585"/>
    </row>
    <row r="268" spans="1:21" ht="35.1" customHeight="1" x14ac:dyDescent="0.25">
      <c r="A268" s="263">
        <f t="shared" si="3"/>
        <v>254</v>
      </c>
      <c r="B268" s="566" t="s">
        <v>159</v>
      </c>
      <c r="C268" s="566"/>
      <c r="D268" s="567" t="s">
        <v>159</v>
      </c>
      <c r="E268" s="567"/>
      <c r="F268" s="568" t="s">
        <v>162</v>
      </c>
      <c r="G268" s="568"/>
      <c r="H268" s="569"/>
      <c r="I268" s="570"/>
      <c r="J268" s="571"/>
      <c r="K268" s="572" t="s">
        <v>162</v>
      </c>
      <c r="L268" s="573"/>
      <c r="M268" s="574"/>
      <c r="N268" s="575" t="s">
        <v>159</v>
      </c>
      <c r="O268" s="576"/>
      <c r="P268" s="576"/>
      <c r="Q268" s="576"/>
      <c r="R268" s="576"/>
      <c r="S268" s="576"/>
      <c r="T268" s="576"/>
      <c r="U268" s="577"/>
    </row>
    <row r="269" spans="1:21" ht="35.1" customHeight="1" x14ac:dyDescent="0.25">
      <c r="A269" s="263">
        <f t="shared" si="3"/>
        <v>255</v>
      </c>
      <c r="B269" s="578" t="s">
        <v>159</v>
      </c>
      <c r="C269" s="578"/>
      <c r="D269" s="579" t="s">
        <v>159</v>
      </c>
      <c r="E269" s="579"/>
      <c r="F269" s="568" t="s">
        <v>162</v>
      </c>
      <c r="G269" s="568"/>
      <c r="H269" s="580"/>
      <c r="I269" s="581"/>
      <c r="J269" s="582"/>
      <c r="K269" s="572" t="s">
        <v>162</v>
      </c>
      <c r="L269" s="573"/>
      <c r="M269" s="574"/>
      <c r="N269" s="583" t="s">
        <v>159</v>
      </c>
      <c r="O269" s="584"/>
      <c r="P269" s="584"/>
      <c r="Q269" s="584"/>
      <c r="R269" s="584"/>
      <c r="S269" s="584"/>
      <c r="T269" s="584"/>
      <c r="U269" s="585"/>
    </row>
    <row r="270" spans="1:21" ht="35.1" customHeight="1" x14ac:dyDescent="0.25">
      <c r="A270" s="263">
        <f t="shared" si="3"/>
        <v>256</v>
      </c>
      <c r="B270" s="566" t="s">
        <v>159</v>
      </c>
      <c r="C270" s="566"/>
      <c r="D270" s="567" t="s">
        <v>159</v>
      </c>
      <c r="E270" s="567"/>
      <c r="F270" s="568" t="s">
        <v>162</v>
      </c>
      <c r="G270" s="568"/>
      <c r="H270" s="569"/>
      <c r="I270" s="570"/>
      <c r="J270" s="571"/>
      <c r="K270" s="572" t="s">
        <v>162</v>
      </c>
      <c r="L270" s="573"/>
      <c r="M270" s="574"/>
      <c r="N270" s="575" t="s">
        <v>159</v>
      </c>
      <c r="O270" s="576"/>
      <c r="P270" s="576"/>
      <c r="Q270" s="576"/>
      <c r="R270" s="576"/>
      <c r="S270" s="576"/>
      <c r="T270" s="576"/>
      <c r="U270" s="577"/>
    </row>
    <row r="271" spans="1:21" ht="35.1" customHeight="1" x14ac:dyDescent="0.25">
      <c r="A271" s="263">
        <f t="shared" ref="A271:A334" si="4">ROW(A257)</f>
        <v>257</v>
      </c>
      <c r="B271" s="578" t="s">
        <v>159</v>
      </c>
      <c r="C271" s="578"/>
      <c r="D271" s="579" t="s">
        <v>159</v>
      </c>
      <c r="E271" s="579"/>
      <c r="F271" s="568" t="s">
        <v>162</v>
      </c>
      <c r="G271" s="568"/>
      <c r="H271" s="580"/>
      <c r="I271" s="581"/>
      <c r="J271" s="582"/>
      <c r="K271" s="572" t="s">
        <v>162</v>
      </c>
      <c r="L271" s="573"/>
      <c r="M271" s="574"/>
      <c r="N271" s="583" t="s">
        <v>159</v>
      </c>
      <c r="O271" s="584"/>
      <c r="P271" s="584"/>
      <c r="Q271" s="584"/>
      <c r="R271" s="584"/>
      <c r="S271" s="584"/>
      <c r="T271" s="584"/>
      <c r="U271" s="585"/>
    </row>
    <row r="272" spans="1:21" ht="35.1" customHeight="1" x14ac:dyDescent="0.25">
      <c r="A272" s="263">
        <f t="shared" si="4"/>
        <v>258</v>
      </c>
      <c r="B272" s="566" t="s">
        <v>444</v>
      </c>
      <c r="C272" s="566"/>
      <c r="D272" s="567" t="s">
        <v>159</v>
      </c>
      <c r="E272" s="567"/>
      <c r="F272" s="568" t="s">
        <v>162</v>
      </c>
      <c r="G272" s="568"/>
      <c r="H272" s="569"/>
      <c r="I272" s="570"/>
      <c r="J272" s="571"/>
      <c r="K272" s="572" t="s">
        <v>162</v>
      </c>
      <c r="L272" s="573"/>
      <c r="M272" s="574"/>
      <c r="N272" s="575" t="s">
        <v>159</v>
      </c>
      <c r="O272" s="576"/>
      <c r="P272" s="576"/>
      <c r="Q272" s="576"/>
      <c r="R272" s="576"/>
      <c r="S272" s="576"/>
      <c r="T272" s="576"/>
      <c r="U272" s="577"/>
    </row>
    <row r="273" spans="1:21" ht="35.1" customHeight="1" x14ac:dyDescent="0.25">
      <c r="A273" s="263">
        <f t="shared" si="4"/>
        <v>259</v>
      </c>
      <c r="B273" s="578" t="s">
        <v>159</v>
      </c>
      <c r="C273" s="578"/>
      <c r="D273" s="579" t="s">
        <v>159</v>
      </c>
      <c r="E273" s="579"/>
      <c r="F273" s="568" t="s">
        <v>162</v>
      </c>
      <c r="G273" s="568"/>
      <c r="H273" s="580"/>
      <c r="I273" s="581"/>
      <c r="J273" s="582"/>
      <c r="K273" s="572" t="s">
        <v>162</v>
      </c>
      <c r="L273" s="573"/>
      <c r="M273" s="574"/>
      <c r="N273" s="583" t="s">
        <v>159</v>
      </c>
      <c r="O273" s="584"/>
      <c r="P273" s="584"/>
      <c r="Q273" s="584"/>
      <c r="R273" s="584"/>
      <c r="S273" s="584"/>
      <c r="T273" s="584"/>
      <c r="U273" s="585"/>
    </row>
    <row r="274" spans="1:21" ht="35.1" customHeight="1" x14ac:dyDescent="0.25">
      <c r="A274" s="263">
        <f t="shared" si="4"/>
        <v>260</v>
      </c>
      <c r="B274" s="566" t="s">
        <v>159</v>
      </c>
      <c r="C274" s="566"/>
      <c r="D274" s="567" t="s">
        <v>159</v>
      </c>
      <c r="E274" s="567"/>
      <c r="F274" s="568" t="s">
        <v>162</v>
      </c>
      <c r="G274" s="568"/>
      <c r="H274" s="569"/>
      <c r="I274" s="570"/>
      <c r="J274" s="571"/>
      <c r="K274" s="572" t="s">
        <v>162</v>
      </c>
      <c r="L274" s="573"/>
      <c r="M274" s="574"/>
      <c r="N274" s="575" t="s">
        <v>159</v>
      </c>
      <c r="O274" s="576"/>
      <c r="P274" s="576"/>
      <c r="Q274" s="576"/>
      <c r="R274" s="576"/>
      <c r="S274" s="576"/>
      <c r="T274" s="576"/>
      <c r="U274" s="577"/>
    </row>
    <row r="275" spans="1:21" ht="35.1" customHeight="1" x14ac:dyDescent="0.25">
      <c r="A275" s="263">
        <f t="shared" si="4"/>
        <v>261</v>
      </c>
      <c r="B275" s="578" t="s">
        <v>159</v>
      </c>
      <c r="C275" s="578"/>
      <c r="D275" s="579" t="s">
        <v>159</v>
      </c>
      <c r="E275" s="579"/>
      <c r="F275" s="568" t="s">
        <v>162</v>
      </c>
      <c r="G275" s="568"/>
      <c r="H275" s="580"/>
      <c r="I275" s="581"/>
      <c r="J275" s="582"/>
      <c r="K275" s="572" t="s">
        <v>162</v>
      </c>
      <c r="L275" s="573"/>
      <c r="M275" s="574"/>
      <c r="N275" s="583" t="s">
        <v>159</v>
      </c>
      <c r="O275" s="584"/>
      <c r="P275" s="584"/>
      <c r="Q275" s="584"/>
      <c r="R275" s="584"/>
      <c r="S275" s="584"/>
      <c r="T275" s="584"/>
      <c r="U275" s="585"/>
    </row>
    <row r="276" spans="1:21" ht="35.1" customHeight="1" x14ac:dyDescent="0.25">
      <c r="A276" s="263">
        <f t="shared" si="4"/>
        <v>262</v>
      </c>
      <c r="B276" s="566" t="s">
        <v>159</v>
      </c>
      <c r="C276" s="566"/>
      <c r="D276" s="567" t="s">
        <v>159</v>
      </c>
      <c r="E276" s="567"/>
      <c r="F276" s="568" t="s">
        <v>162</v>
      </c>
      <c r="G276" s="568"/>
      <c r="H276" s="569"/>
      <c r="I276" s="570"/>
      <c r="J276" s="571"/>
      <c r="K276" s="572" t="s">
        <v>162</v>
      </c>
      <c r="L276" s="573"/>
      <c r="M276" s="574"/>
      <c r="N276" s="575" t="s">
        <v>159</v>
      </c>
      <c r="O276" s="576"/>
      <c r="P276" s="576"/>
      <c r="Q276" s="576"/>
      <c r="R276" s="576"/>
      <c r="S276" s="576"/>
      <c r="T276" s="576"/>
      <c r="U276" s="577"/>
    </row>
    <row r="277" spans="1:21" ht="35.1" customHeight="1" x14ac:dyDescent="0.25">
      <c r="A277" s="263">
        <f t="shared" si="4"/>
        <v>263</v>
      </c>
      <c r="B277" s="578" t="s">
        <v>159</v>
      </c>
      <c r="C277" s="578"/>
      <c r="D277" s="579" t="s">
        <v>159</v>
      </c>
      <c r="E277" s="579"/>
      <c r="F277" s="568" t="s">
        <v>162</v>
      </c>
      <c r="G277" s="568"/>
      <c r="H277" s="580"/>
      <c r="I277" s="581"/>
      <c r="J277" s="582"/>
      <c r="K277" s="572" t="s">
        <v>162</v>
      </c>
      <c r="L277" s="573"/>
      <c r="M277" s="574"/>
      <c r="N277" s="583" t="s">
        <v>159</v>
      </c>
      <c r="O277" s="584"/>
      <c r="P277" s="584"/>
      <c r="Q277" s="584"/>
      <c r="R277" s="584"/>
      <c r="S277" s="584"/>
      <c r="T277" s="584"/>
      <c r="U277" s="585"/>
    </row>
    <row r="278" spans="1:21" ht="35.1" customHeight="1" x14ac:dyDescent="0.25">
      <c r="A278" s="263">
        <f t="shared" si="4"/>
        <v>264</v>
      </c>
      <c r="B278" s="566" t="s">
        <v>448</v>
      </c>
      <c r="C278" s="566"/>
      <c r="D278" s="567" t="s">
        <v>159</v>
      </c>
      <c r="E278" s="567"/>
      <c r="F278" s="568" t="s">
        <v>162</v>
      </c>
      <c r="G278" s="568"/>
      <c r="H278" s="569"/>
      <c r="I278" s="570"/>
      <c r="J278" s="571"/>
      <c r="K278" s="572" t="s">
        <v>162</v>
      </c>
      <c r="L278" s="573"/>
      <c r="M278" s="574"/>
      <c r="N278" s="575" t="s">
        <v>159</v>
      </c>
      <c r="O278" s="576"/>
      <c r="P278" s="576"/>
      <c r="Q278" s="576"/>
      <c r="R278" s="576"/>
      <c r="S278" s="576"/>
      <c r="T278" s="576"/>
      <c r="U278" s="577"/>
    </row>
    <row r="279" spans="1:21" ht="35.1" customHeight="1" x14ac:dyDescent="0.25">
      <c r="A279" s="263">
        <f t="shared" si="4"/>
        <v>265</v>
      </c>
      <c r="B279" s="578" t="s">
        <v>159</v>
      </c>
      <c r="C279" s="578"/>
      <c r="D279" s="579" t="s">
        <v>159</v>
      </c>
      <c r="E279" s="579"/>
      <c r="F279" s="568" t="s">
        <v>162</v>
      </c>
      <c r="G279" s="568"/>
      <c r="H279" s="580"/>
      <c r="I279" s="581"/>
      <c r="J279" s="582"/>
      <c r="K279" s="572" t="s">
        <v>162</v>
      </c>
      <c r="L279" s="573"/>
      <c r="M279" s="574"/>
      <c r="N279" s="583" t="s">
        <v>159</v>
      </c>
      <c r="O279" s="584"/>
      <c r="P279" s="584"/>
      <c r="Q279" s="584"/>
      <c r="R279" s="584"/>
      <c r="S279" s="584"/>
      <c r="T279" s="584"/>
      <c r="U279" s="585"/>
    </row>
    <row r="280" spans="1:21" ht="35.1" customHeight="1" x14ac:dyDescent="0.25">
      <c r="A280" s="263">
        <f t="shared" si="4"/>
        <v>266</v>
      </c>
      <c r="B280" s="566" t="s">
        <v>159</v>
      </c>
      <c r="C280" s="566"/>
      <c r="D280" s="567" t="s">
        <v>159</v>
      </c>
      <c r="E280" s="567"/>
      <c r="F280" s="568" t="s">
        <v>162</v>
      </c>
      <c r="G280" s="568"/>
      <c r="H280" s="569"/>
      <c r="I280" s="570"/>
      <c r="J280" s="571"/>
      <c r="K280" s="572" t="s">
        <v>162</v>
      </c>
      <c r="L280" s="573"/>
      <c r="M280" s="574"/>
      <c r="N280" s="575" t="s">
        <v>159</v>
      </c>
      <c r="O280" s="576"/>
      <c r="P280" s="576"/>
      <c r="Q280" s="576"/>
      <c r="R280" s="576"/>
      <c r="S280" s="576"/>
      <c r="T280" s="576"/>
      <c r="U280" s="577"/>
    </row>
    <row r="281" spans="1:21" ht="35.1" customHeight="1" x14ac:dyDescent="0.25">
      <c r="A281" s="263">
        <f t="shared" si="4"/>
        <v>267</v>
      </c>
      <c r="B281" s="578" t="s">
        <v>159</v>
      </c>
      <c r="C281" s="578"/>
      <c r="D281" s="579" t="s">
        <v>159</v>
      </c>
      <c r="E281" s="579"/>
      <c r="F281" s="568" t="s">
        <v>162</v>
      </c>
      <c r="G281" s="568"/>
      <c r="H281" s="580"/>
      <c r="I281" s="581"/>
      <c r="J281" s="582"/>
      <c r="K281" s="572" t="s">
        <v>162</v>
      </c>
      <c r="L281" s="573"/>
      <c r="M281" s="574"/>
      <c r="N281" s="583" t="s">
        <v>159</v>
      </c>
      <c r="O281" s="584"/>
      <c r="P281" s="584"/>
      <c r="Q281" s="584"/>
      <c r="R281" s="584"/>
      <c r="S281" s="584"/>
      <c r="T281" s="584"/>
      <c r="U281" s="585"/>
    </row>
    <row r="282" spans="1:21" ht="35.1" customHeight="1" x14ac:dyDescent="0.25">
      <c r="A282" s="263">
        <f t="shared" si="4"/>
        <v>268</v>
      </c>
      <c r="B282" s="566" t="s">
        <v>159</v>
      </c>
      <c r="C282" s="566"/>
      <c r="D282" s="567" t="s">
        <v>159</v>
      </c>
      <c r="E282" s="567"/>
      <c r="F282" s="568" t="s">
        <v>162</v>
      </c>
      <c r="G282" s="568"/>
      <c r="H282" s="569"/>
      <c r="I282" s="570"/>
      <c r="J282" s="571"/>
      <c r="K282" s="572" t="s">
        <v>162</v>
      </c>
      <c r="L282" s="573"/>
      <c r="M282" s="574"/>
      <c r="N282" s="575" t="s">
        <v>159</v>
      </c>
      <c r="O282" s="576"/>
      <c r="P282" s="576"/>
      <c r="Q282" s="576"/>
      <c r="R282" s="576"/>
      <c r="S282" s="576"/>
      <c r="T282" s="576"/>
      <c r="U282" s="577"/>
    </row>
    <row r="283" spans="1:21" ht="35.1" customHeight="1" x14ac:dyDescent="0.25">
      <c r="A283" s="263">
        <f t="shared" si="4"/>
        <v>269</v>
      </c>
      <c r="B283" s="578" t="s">
        <v>159</v>
      </c>
      <c r="C283" s="578"/>
      <c r="D283" s="579" t="s">
        <v>159</v>
      </c>
      <c r="E283" s="579"/>
      <c r="F283" s="568" t="s">
        <v>162</v>
      </c>
      <c r="G283" s="568"/>
      <c r="H283" s="580"/>
      <c r="I283" s="581"/>
      <c r="J283" s="582"/>
      <c r="K283" s="572" t="s">
        <v>162</v>
      </c>
      <c r="L283" s="573"/>
      <c r="M283" s="574"/>
      <c r="N283" s="583" t="s">
        <v>159</v>
      </c>
      <c r="O283" s="584"/>
      <c r="P283" s="584"/>
      <c r="Q283" s="584"/>
      <c r="R283" s="584"/>
      <c r="S283" s="584"/>
      <c r="T283" s="584"/>
      <c r="U283" s="585"/>
    </row>
    <row r="284" spans="1:21" ht="35.1" customHeight="1" x14ac:dyDescent="0.25">
      <c r="A284" s="263">
        <f t="shared" si="4"/>
        <v>270</v>
      </c>
      <c r="B284" s="566" t="s">
        <v>159</v>
      </c>
      <c r="C284" s="566"/>
      <c r="D284" s="567" t="s">
        <v>159</v>
      </c>
      <c r="E284" s="567"/>
      <c r="F284" s="568" t="s">
        <v>162</v>
      </c>
      <c r="G284" s="568"/>
      <c r="H284" s="569"/>
      <c r="I284" s="570"/>
      <c r="J284" s="571"/>
      <c r="K284" s="572" t="s">
        <v>162</v>
      </c>
      <c r="L284" s="573"/>
      <c r="M284" s="574"/>
      <c r="N284" s="575" t="s">
        <v>159</v>
      </c>
      <c r="O284" s="576"/>
      <c r="P284" s="576"/>
      <c r="Q284" s="576"/>
      <c r="R284" s="576"/>
      <c r="S284" s="576"/>
      <c r="T284" s="576"/>
      <c r="U284" s="577"/>
    </row>
    <row r="285" spans="1:21" ht="35.1" customHeight="1" x14ac:dyDescent="0.25">
      <c r="A285" s="263">
        <f t="shared" si="4"/>
        <v>271</v>
      </c>
      <c r="B285" s="578" t="s">
        <v>159</v>
      </c>
      <c r="C285" s="578"/>
      <c r="D285" s="579" t="s">
        <v>159</v>
      </c>
      <c r="E285" s="579"/>
      <c r="F285" s="568" t="s">
        <v>162</v>
      </c>
      <c r="G285" s="568"/>
      <c r="H285" s="580"/>
      <c r="I285" s="581"/>
      <c r="J285" s="582"/>
      <c r="K285" s="572" t="s">
        <v>162</v>
      </c>
      <c r="L285" s="573"/>
      <c r="M285" s="574"/>
      <c r="N285" s="583" t="s">
        <v>159</v>
      </c>
      <c r="O285" s="584"/>
      <c r="P285" s="584"/>
      <c r="Q285" s="584"/>
      <c r="R285" s="584"/>
      <c r="S285" s="584"/>
      <c r="T285" s="584"/>
      <c r="U285" s="585"/>
    </row>
    <row r="286" spans="1:21" ht="35.1" customHeight="1" x14ac:dyDescent="0.25">
      <c r="A286" s="263">
        <f t="shared" si="4"/>
        <v>272</v>
      </c>
      <c r="B286" s="566" t="s">
        <v>159</v>
      </c>
      <c r="C286" s="566"/>
      <c r="D286" s="567" t="s">
        <v>159</v>
      </c>
      <c r="E286" s="567"/>
      <c r="F286" s="568" t="s">
        <v>162</v>
      </c>
      <c r="G286" s="568"/>
      <c r="H286" s="569"/>
      <c r="I286" s="570"/>
      <c r="J286" s="571"/>
      <c r="K286" s="572" t="s">
        <v>162</v>
      </c>
      <c r="L286" s="573"/>
      <c r="M286" s="574"/>
      <c r="N286" s="575" t="s">
        <v>159</v>
      </c>
      <c r="O286" s="576"/>
      <c r="P286" s="576"/>
      <c r="Q286" s="576"/>
      <c r="R286" s="576"/>
      <c r="S286" s="576"/>
      <c r="T286" s="576"/>
      <c r="U286" s="577"/>
    </row>
    <row r="287" spans="1:21" ht="35.1" customHeight="1" x14ac:dyDescent="0.25">
      <c r="A287" s="263">
        <f t="shared" si="4"/>
        <v>273</v>
      </c>
      <c r="B287" s="578" t="s">
        <v>159</v>
      </c>
      <c r="C287" s="578"/>
      <c r="D287" s="579" t="s">
        <v>159</v>
      </c>
      <c r="E287" s="579"/>
      <c r="F287" s="568" t="s">
        <v>162</v>
      </c>
      <c r="G287" s="568"/>
      <c r="H287" s="580"/>
      <c r="I287" s="581"/>
      <c r="J287" s="582"/>
      <c r="K287" s="572" t="s">
        <v>162</v>
      </c>
      <c r="L287" s="573"/>
      <c r="M287" s="574"/>
      <c r="N287" s="583" t="s">
        <v>159</v>
      </c>
      <c r="O287" s="584"/>
      <c r="P287" s="584"/>
      <c r="Q287" s="584"/>
      <c r="R287" s="584"/>
      <c r="S287" s="584"/>
      <c r="T287" s="584"/>
      <c r="U287" s="585"/>
    </row>
    <row r="288" spans="1:21" ht="35.1" customHeight="1" x14ac:dyDescent="0.25">
      <c r="A288" s="263">
        <f t="shared" si="4"/>
        <v>274</v>
      </c>
      <c r="B288" s="566" t="s">
        <v>159</v>
      </c>
      <c r="C288" s="566"/>
      <c r="D288" s="567" t="s">
        <v>159</v>
      </c>
      <c r="E288" s="567"/>
      <c r="F288" s="568" t="s">
        <v>162</v>
      </c>
      <c r="G288" s="568"/>
      <c r="H288" s="569"/>
      <c r="I288" s="570"/>
      <c r="J288" s="571"/>
      <c r="K288" s="572" t="s">
        <v>162</v>
      </c>
      <c r="L288" s="573"/>
      <c r="M288" s="574"/>
      <c r="N288" s="575" t="s">
        <v>159</v>
      </c>
      <c r="O288" s="576"/>
      <c r="P288" s="576"/>
      <c r="Q288" s="576"/>
      <c r="R288" s="576"/>
      <c r="S288" s="576"/>
      <c r="T288" s="576"/>
      <c r="U288" s="577"/>
    </row>
    <row r="289" spans="1:21" ht="35.1" customHeight="1" x14ac:dyDescent="0.25">
      <c r="A289" s="263">
        <f t="shared" si="4"/>
        <v>275</v>
      </c>
      <c r="B289" s="578" t="s">
        <v>159</v>
      </c>
      <c r="C289" s="578"/>
      <c r="D289" s="579" t="s">
        <v>159</v>
      </c>
      <c r="E289" s="579"/>
      <c r="F289" s="568" t="s">
        <v>162</v>
      </c>
      <c r="G289" s="568"/>
      <c r="H289" s="580"/>
      <c r="I289" s="581"/>
      <c r="J289" s="582"/>
      <c r="K289" s="572" t="s">
        <v>162</v>
      </c>
      <c r="L289" s="573"/>
      <c r="M289" s="574"/>
      <c r="N289" s="583" t="s">
        <v>159</v>
      </c>
      <c r="O289" s="584"/>
      <c r="P289" s="584"/>
      <c r="Q289" s="584"/>
      <c r="R289" s="584"/>
      <c r="S289" s="584"/>
      <c r="T289" s="584"/>
      <c r="U289" s="585"/>
    </row>
    <row r="290" spans="1:21" ht="35.1" customHeight="1" x14ac:dyDescent="0.25">
      <c r="A290" s="263">
        <f t="shared" si="4"/>
        <v>276</v>
      </c>
      <c r="B290" s="566" t="s">
        <v>159</v>
      </c>
      <c r="C290" s="566"/>
      <c r="D290" s="567" t="s">
        <v>159</v>
      </c>
      <c r="E290" s="567"/>
      <c r="F290" s="568" t="s">
        <v>162</v>
      </c>
      <c r="G290" s="568"/>
      <c r="H290" s="569"/>
      <c r="I290" s="570"/>
      <c r="J290" s="571"/>
      <c r="K290" s="572" t="s">
        <v>162</v>
      </c>
      <c r="L290" s="573"/>
      <c r="M290" s="574"/>
      <c r="N290" s="575" t="s">
        <v>159</v>
      </c>
      <c r="O290" s="576"/>
      <c r="P290" s="576"/>
      <c r="Q290" s="576"/>
      <c r="R290" s="576"/>
      <c r="S290" s="576"/>
      <c r="T290" s="576"/>
      <c r="U290" s="577"/>
    </row>
    <row r="291" spans="1:21" ht="35.1" customHeight="1" x14ac:dyDescent="0.25">
      <c r="A291" s="263">
        <f t="shared" si="4"/>
        <v>277</v>
      </c>
      <c r="B291" s="578" t="s">
        <v>447</v>
      </c>
      <c r="C291" s="578"/>
      <c r="D291" s="579" t="s">
        <v>159</v>
      </c>
      <c r="E291" s="579"/>
      <c r="F291" s="568" t="s">
        <v>162</v>
      </c>
      <c r="G291" s="568"/>
      <c r="H291" s="580"/>
      <c r="I291" s="581"/>
      <c r="J291" s="582"/>
      <c r="K291" s="572" t="s">
        <v>162</v>
      </c>
      <c r="L291" s="573"/>
      <c r="M291" s="574"/>
      <c r="N291" s="583" t="s">
        <v>159</v>
      </c>
      <c r="O291" s="584"/>
      <c r="P291" s="584"/>
      <c r="Q291" s="584"/>
      <c r="R291" s="584"/>
      <c r="S291" s="584"/>
      <c r="T291" s="584"/>
      <c r="U291" s="585"/>
    </row>
    <row r="292" spans="1:21" ht="35.1" customHeight="1" x14ac:dyDescent="0.25">
      <c r="A292" s="263">
        <f t="shared" si="4"/>
        <v>278</v>
      </c>
      <c r="B292" s="566" t="s">
        <v>159</v>
      </c>
      <c r="C292" s="566"/>
      <c r="D292" s="567" t="s">
        <v>159</v>
      </c>
      <c r="E292" s="567"/>
      <c r="F292" s="568" t="s">
        <v>162</v>
      </c>
      <c r="G292" s="568"/>
      <c r="H292" s="569"/>
      <c r="I292" s="570"/>
      <c r="J292" s="571"/>
      <c r="K292" s="572" t="s">
        <v>162</v>
      </c>
      <c r="L292" s="573"/>
      <c r="M292" s="574"/>
      <c r="N292" s="575" t="s">
        <v>159</v>
      </c>
      <c r="O292" s="576"/>
      <c r="P292" s="576"/>
      <c r="Q292" s="576"/>
      <c r="R292" s="576"/>
      <c r="S292" s="576"/>
      <c r="T292" s="576"/>
      <c r="U292" s="577"/>
    </row>
    <row r="293" spans="1:21" ht="35.1" customHeight="1" x14ac:dyDescent="0.25">
      <c r="A293" s="263">
        <f t="shared" si="4"/>
        <v>279</v>
      </c>
      <c r="B293" s="578" t="s">
        <v>159</v>
      </c>
      <c r="C293" s="578"/>
      <c r="D293" s="579" t="s">
        <v>159</v>
      </c>
      <c r="E293" s="579"/>
      <c r="F293" s="568" t="s">
        <v>162</v>
      </c>
      <c r="G293" s="568"/>
      <c r="H293" s="580"/>
      <c r="I293" s="581"/>
      <c r="J293" s="582"/>
      <c r="K293" s="572" t="s">
        <v>162</v>
      </c>
      <c r="L293" s="573"/>
      <c r="M293" s="574"/>
      <c r="N293" s="583" t="s">
        <v>159</v>
      </c>
      <c r="O293" s="584"/>
      <c r="P293" s="584"/>
      <c r="Q293" s="584"/>
      <c r="R293" s="584"/>
      <c r="S293" s="584"/>
      <c r="T293" s="584"/>
      <c r="U293" s="585"/>
    </row>
    <row r="294" spans="1:21" ht="35.1" customHeight="1" x14ac:dyDescent="0.25">
      <c r="A294" s="263">
        <f t="shared" si="4"/>
        <v>280</v>
      </c>
      <c r="B294" s="566" t="s">
        <v>159</v>
      </c>
      <c r="C294" s="566"/>
      <c r="D294" s="567" t="s">
        <v>159</v>
      </c>
      <c r="E294" s="567"/>
      <c r="F294" s="568" t="s">
        <v>162</v>
      </c>
      <c r="G294" s="568"/>
      <c r="H294" s="569"/>
      <c r="I294" s="570"/>
      <c r="J294" s="571"/>
      <c r="K294" s="572" t="s">
        <v>162</v>
      </c>
      <c r="L294" s="573"/>
      <c r="M294" s="574"/>
      <c r="N294" s="575" t="s">
        <v>159</v>
      </c>
      <c r="O294" s="576"/>
      <c r="P294" s="576"/>
      <c r="Q294" s="576"/>
      <c r="R294" s="576"/>
      <c r="S294" s="576"/>
      <c r="T294" s="576"/>
      <c r="U294" s="577"/>
    </row>
    <row r="295" spans="1:21" ht="35.1" customHeight="1" x14ac:dyDescent="0.25">
      <c r="A295" s="263">
        <f t="shared" si="4"/>
        <v>281</v>
      </c>
      <c r="B295" s="578" t="s">
        <v>159</v>
      </c>
      <c r="C295" s="578"/>
      <c r="D295" s="579" t="s">
        <v>159</v>
      </c>
      <c r="E295" s="579"/>
      <c r="F295" s="568" t="s">
        <v>162</v>
      </c>
      <c r="G295" s="568"/>
      <c r="H295" s="580"/>
      <c r="I295" s="581"/>
      <c r="J295" s="582"/>
      <c r="K295" s="572" t="s">
        <v>162</v>
      </c>
      <c r="L295" s="573"/>
      <c r="M295" s="574"/>
      <c r="N295" s="583" t="s">
        <v>159</v>
      </c>
      <c r="O295" s="584"/>
      <c r="P295" s="584"/>
      <c r="Q295" s="584"/>
      <c r="R295" s="584"/>
      <c r="S295" s="584"/>
      <c r="T295" s="584"/>
      <c r="U295" s="585"/>
    </row>
    <row r="296" spans="1:21" ht="35.1" customHeight="1" x14ac:dyDescent="0.25">
      <c r="A296" s="263">
        <f t="shared" si="4"/>
        <v>282</v>
      </c>
      <c r="B296" s="566" t="s">
        <v>159</v>
      </c>
      <c r="C296" s="566"/>
      <c r="D296" s="567" t="s">
        <v>159</v>
      </c>
      <c r="E296" s="567"/>
      <c r="F296" s="568" t="s">
        <v>162</v>
      </c>
      <c r="G296" s="568"/>
      <c r="H296" s="569"/>
      <c r="I296" s="570"/>
      <c r="J296" s="571"/>
      <c r="K296" s="572" t="s">
        <v>162</v>
      </c>
      <c r="L296" s="573"/>
      <c r="M296" s="574"/>
      <c r="N296" s="575" t="s">
        <v>159</v>
      </c>
      <c r="O296" s="576"/>
      <c r="P296" s="576"/>
      <c r="Q296" s="576"/>
      <c r="R296" s="576"/>
      <c r="S296" s="576"/>
      <c r="T296" s="576"/>
      <c r="U296" s="577"/>
    </row>
    <row r="297" spans="1:21" ht="35.1" customHeight="1" x14ac:dyDescent="0.25">
      <c r="A297" s="263">
        <f t="shared" si="4"/>
        <v>283</v>
      </c>
      <c r="B297" s="578" t="s">
        <v>159</v>
      </c>
      <c r="C297" s="578"/>
      <c r="D297" s="579" t="s">
        <v>159</v>
      </c>
      <c r="E297" s="579"/>
      <c r="F297" s="568" t="s">
        <v>162</v>
      </c>
      <c r="G297" s="568"/>
      <c r="H297" s="580"/>
      <c r="I297" s="581"/>
      <c r="J297" s="582"/>
      <c r="K297" s="572" t="s">
        <v>162</v>
      </c>
      <c r="L297" s="573"/>
      <c r="M297" s="574"/>
      <c r="N297" s="583" t="s">
        <v>159</v>
      </c>
      <c r="O297" s="584"/>
      <c r="P297" s="584"/>
      <c r="Q297" s="584"/>
      <c r="R297" s="584"/>
      <c r="S297" s="584"/>
      <c r="T297" s="584"/>
      <c r="U297" s="585"/>
    </row>
    <row r="298" spans="1:21" ht="35.1" customHeight="1" x14ac:dyDescent="0.25">
      <c r="A298" s="263">
        <f t="shared" si="4"/>
        <v>284</v>
      </c>
      <c r="B298" s="566" t="s">
        <v>159</v>
      </c>
      <c r="C298" s="566"/>
      <c r="D298" s="567" t="s">
        <v>159</v>
      </c>
      <c r="E298" s="567"/>
      <c r="F298" s="568" t="s">
        <v>162</v>
      </c>
      <c r="G298" s="568"/>
      <c r="H298" s="569"/>
      <c r="I298" s="570"/>
      <c r="J298" s="571"/>
      <c r="K298" s="572" t="s">
        <v>162</v>
      </c>
      <c r="L298" s="573"/>
      <c r="M298" s="574"/>
      <c r="N298" s="575" t="s">
        <v>159</v>
      </c>
      <c r="O298" s="576"/>
      <c r="P298" s="576"/>
      <c r="Q298" s="576"/>
      <c r="R298" s="576"/>
      <c r="S298" s="576"/>
      <c r="T298" s="576"/>
      <c r="U298" s="577"/>
    </row>
    <row r="299" spans="1:21" ht="35.1" customHeight="1" x14ac:dyDescent="0.25">
      <c r="A299" s="263">
        <f t="shared" si="4"/>
        <v>285</v>
      </c>
      <c r="B299" s="578" t="s">
        <v>159</v>
      </c>
      <c r="C299" s="578"/>
      <c r="D299" s="579" t="s">
        <v>159</v>
      </c>
      <c r="E299" s="579"/>
      <c r="F299" s="568" t="s">
        <v>162</v>
      </c>
      <c r="G299" s="568"/>
      <c r="H299" s="580"/>
      <c r="I299" s="581"/>
      <c r="J299" s="582"/>
      <c r="K299" s="572" t="s">
        <v>162</v>
      </c>
      <c r="L299" s="573"/>
      <c r="M299" s="574"/>
      <c r="N299" s="583" t="s">
        <v>159</v>
      </c>
      <c r="O299" s="584"/>
      <c r="P299" s="584"/>
      <c r="Q299" s="584"/>
      <c r="R299" s="584"/>
      <c r="S299" s="584"/>
      <c r="T299" s="584"/>
      <c r="U299" s="585"/>
    </row>
    <row r="300" spans="1:21" ht="35.1" customHeight="1" x14ac:dyDescent="0.25">
      <c r="A300" s="263">
        <f t="shared" si="4"/>
        <v>286</v>
      </c>
      <c r="B300" s="566" t="s">
        <v>444</v>
      </c>
      <c r="C300" s="566"/>
      <c r="D300" s="567" t="s">
        <v>159</v>
      </c>
      <c r="E300" s="567"/>
      <c r="F300" s="568" t="s">
        <v>162</v>
      </c>
      <c r="G300" s="568"/>
      <c r="H300" s="569"/>
      <c r="I300" s="570"/>
      <c r="J300" s="571"/>
      <c r="K300" s="572" t="s">
        <v>162</v>
      </c>
      <c r="L300" s="573"/>
      <c r="M300" s="574"/>
      <c r="N300" s="575" t="s">
        <v>159</v>
      </c>
      <c r="O300" s="576"/>
      <c r="P300" s="576"/>
      <c r="Q300" s="576"/>
      <c r="R300" s="576"/>
      <c r="S300" s="576"/>
      <c r="T300" s="576"/>
      <c r="U300" s="577"/>
    </row>
    <row r="301" spans="1:21" ht="35.1" customHeight="1" x14ac:dyDescent="0.25">
      <c r="A301" s="263">
        <f t="shared" si="4"/>
        <v>287</v>
      </c>
      <c r="B301" s="578" t="s">
        <v>159</v>
      </c>
      <c r="C301" s="578"/>
      <c r="D301" s="579" t="s">
        <v>159</v>
      </c>
      <c r="E301" s="579"/>
      <c r="F301" s="568" t="s">
        <v>162</v>
      </c>
      <c r="G301" s="568"/>
      <c r="H301" s="580"/>
      <c r="I301" s="581"/>
      <c r="J301" s="582"/>
      <c r="K301" s="572" t="s">
        <v>162</v>
      </c>
      <c r="L301" s="573"/>
      <c r="M301" s="574"/>
      <c r="N301" s="583" t="s">
        <v>159</v>
      </c>
      <c r="O301" s="584"/>
      <c r="P301" s="584"/>
      <c r="Q301" s="584"/>
      <c r="R301" s="584"/>
      <c r="S301" s="584"/>
      <c r="T301" s="584"/>
      <c r="U301" s="585"/>
    </row>
    <row r="302" spans="1:21" ht="35.1" customHeight="1" x14ac:dyDescent="0.25">
      <c r="A302" s="263">
        <f t="shared" si="4"/>
        <v>288</v>
      </c>
      <c r="B302" s="566" t="s">
        <v>159</v>
      </c>
      <c r="C302" s="566"/>
      <c r="D302" s="567" t="s">
        <v>159</v>
      </c>
      <c r="E302" s="567"/>
      <c r="F302" s="568" t="s">
        <v>162</v>
      </c>
      <c r="G302" s="568"/>
      <c r="H302" s="569"/>
      <c r="I302" s="570"/>
      <c r="J302" s="571"/>
      <c r="K302" s="572" t="s">
        <v>162</v>
      </c>
      <c r="L302" s="573"/>
      <c r="M302" s="574"/>
      <c r="N302" s="575" t="s">
        <v>159</v>
      </c>
      <c r="O302" s="576"/>
      <c r="P302" s="576"/>
      <c r="Q302" s="576"/>
      <c r="R302" s="576"/>
      <c r="S302" s="576"/>
      <c r="T302" s="576"/>
      <c r="U302" s="577"/>
    </row>
    <row r="303" spans="1:21" ht="35.1" customHeight="1" x14ac:dyDescent="0.25">
      <c r="A303" s="263">
        <f t="shared" si="4"/>
        <v>289</v>
      </c>
      <c r="B303" s="578" t="s">
        <v>159</v>
      </c>
      <c r="C303" s="578"/>
      <c r="D303" s="579" t="s">
        <v>159</v>
      </c>
      <c r="E303" s="579"/>
      <c r="F303" s="568" t="s">
        <v>162</v>
      </c>
      <c r="G303" s="568"/>
      <c r="H303" s="580"/>
      <c r="I303" s="581"/>
      <c r="J303" s="582"/>
      <c r="K303" s="572" t="s">
        <v>162</v>
      </c>
      <c r="L303" s="573"/>
      <c r="M303" s="574"/>
      <c r="N303" s="583" t="s">
        <v>159</v>
      </c>
      <c r="O303" s="584"/>
      <c r="P303" s="584"/>
      <c r="Q303" s="584"/>
      <c r="R303" s="584"/>
      <c r="S303" s="584"/>
      <c r="T303" s="584"/>
      <c r="U303" s="585"/>
    </row>
    <row r="304" spans="1:21" ht="35.1" customHeight="1" x14ac:dyDescent="0.25">
      <c r="A304" s="263">
        <f t="shared" si="4"/>
        <v>290</v>
      </c>
      <c r="B304" s="566" t="s">
        <v>159</v>
      </c>
      <c r="C304" s="566"/>
      <c r="D304" s="567" t="s">
        <v>159</v>
      </c>
      <c r="E304" s="567"/>
      <c r="F304" s="568" t="s">
        <v>162</v>
      </c>
      <c r="G304" s="568"/>
      <c r="H304" s="569"/>
      <c r="I304" s="570"/>
      <c r="J304" s="571"/>
      <c r="K304" s="572" t="s">
        <v>162</v>
      </c>
      <c r="L304" s="573"/>
      <c r="M304" s="574"/>
      <c r="N304" s="575" t="s">
        <v>159</v>
      </c>
      <c r="O304" s="576"/>
      <c r="P304" s="576"/>
      <c r="Q304" s="576"/>
      <c r="R304" s="576"/>
      <c r="S304" s="576"/>
      <c r="T304" s="576"/>
      <c r="U304" s="577"/>
    </row>
    <row r="305" spans="1:21" ht="35.1" customHeight="1" x14ac:dyDescent="0.25">
      <c r="A305" s="263">
        <f t="shared" si="4"/>
        <v>291</v>
      </c>
      <c r="B305" s="578" t="s">
        <v>159</v>
      </c>
      <c r="C305" s="578"/>
      <c r="D305" s="579" t="s">
        <v>159</v>
      </c>
      <c r="E305" s="579"/>
      <c r="F305" s="568" t="s">
        <v>162</v>
      </c>
      <c r="G305" s="568"/>
      <c r="H305" s="580"/>
      <c r="I305" s="581"/>
      <c r="J305" s="582"/>
      <c r="K305" s="572" t="s">
        <v>162</v>
      </c>
      <c r="L305" s="573"/>
      <c r="M305" s="574"/>
      <c r="N305" s="583" t="s">
        <v>159</v>
      </c>
      <c r="O305" s="584"/>
      <c r="P305" s="584"/>
      <c r="Q305" s="584"/>
      <c r="R305" s="584"/>
      <c r="S305" s="584"/>
      <c r="T305" s="584"/>
      <c r="U305" s="585"/>
    </row>
    <row r="306" spans="1:21" ht="35.1" customHeight="1" x14ac:dyDescent="0.25">
      <c r="A306" s="263">
        <f t="shared" si="4"/>
        <v>292</v>
      </c>
      <c r="B306" s="566" t="s">
        <v>159</v>
      </c>
      <c r="C306" s="566"/>
      <c r="D306" s="567" t="s">
        <v>159</v>
      </c>
      <c r="E306" s="567"/>
      <c r="F306" s="568" t="s">
        <v>162</v>
      </c>
      <c r="G306" s="568"/>
      <c r="H306" s="569"/>
      <c r="I306" s="570"/>
      <c r="J306" s="571"/>
      <c r="K306" s="572" t="s">
        <v>162</v>
      </c>
      <c r="L306" s="573"/>
      <c r="M306" s="574"/>
      <c r="N306" s="575" t="s">
        <v>159</v>
      </c>
      <c r="O306" s="576"/>
      <c r="P306" s="576"/>
      <c r="Q306" s="576"/>
      <c r="R306" s="576"/>
      <c r="S306" s="576"/>
      <c r="T306" s="576"/>
      <c r="U306" s="577"/>
    </row>
    <row r="307" spans="1:21" ht="35.1" customHeight="1" x14ac:dyDescent="0.25">
      <c r="A307" s="263">
        <f t="shared" si="4"/>
        <v>293</v>
      </c>
      <c r="B307" s="578" t="s">
        <v>159</v>
      </c>
      <c r="C307" s="578"/>
      <c r="D307" s="579" t="s">
        <v>159</v>
      </c>
      <c r="E307" s="579"/>
      <c r="F307" s="568" t="s">
        <v>162</v>
      </c>
      <c r="G307" s="568"/>
      <c r="H307" s="580"/>
      <c r="I307" s="581"/>
      <c r="J307" s="582"/>
      <c r="K307" s="572" t="s">
        <v>162</v>
      </c>
      <c r="L307" s="573"/>
      <c r="M307" s="574"/>
      <c r="N307" s="583" t="s">
        <v>159</v>
      </c>
      <c r="O307" s="584"/>
      <c r="P307" s="584"/>
      <c r="Q307" s="584"/>
      <c r="R307" s="584"/>
      <c r="S307" s="584"/>
      <c r="T307" s="584"/>
      <c r="U307" s="585"/>
    </row>
    <row r="308" spans="1:21" ht="35.1" customHeight="1" x14ac:dyDescent="0.25">
      <c r="A308" s="263">
        <f t="shared" si="4"/>
        <v>294</v>
      </c>
      <c r="B308" s="566" t="s">
        <v>450</v>
      </c>
      <c r="C308" s="566"/>
      <c r="D308" s="567" t="s">
        <v>159</v>
      </c>
      <c r="E308" s="567"/>
      <c r="F308" s="568" t="s">
        <v>162</v>
      </c>
      <c r="G308" s="568"/>
      <c r="H308" s="569"/>
      <c r="I308" s="570"/>
      <c r="J308" s="571"/>
      <c r="K308" s="572" t="s">
        <v>162</v>
      </c>
      <c r="L308" s="573"/>
      <c r="M308" s="574"/>
      <c r="N308" s="575" t="s">
        <v>159</v>
      </c>
      <c r="O308" s="576"/>
      <c r="P308" s="576"/>
      <c r="Q308" s="576"/>
      <c r="R308" s="576"/>
      <c r="S308" s="576"/>
      <c r="T308" s="576"/>
      <c r="U308" s="577"/>
    </row>
    <row r="309" spans="1:21" ht="35.1" customHeight="1" x14ac:dyDescent="0.25">
      <c r="A309" s="263">
        <f t="shared" si="4"/>
        <v>295</v>
      </c>
      <c r="B309" s="578" t="s">
        <v>159</v>
      </c>
      <c r="C309" s="578"/>
      <c r="D309" s="579" t="s">
        <v>159</v>
      </c>
      <c r="E309" s="579"/>
      <c r="F309" s="568" t="s">
        <v>162</v>
      </c>
      <c r="G309" s="568"/>
      <c r="H309" s="580"/>
      <c r="I309" s="581"/>
      <c r="J309" s="582"/>
      <c r="K309" s="572" t="s">
        <v>162</v>
      </c>
      <c r="L309" s="573"/>
      <c r="M309" s="574"/>
      <c r="N309" s="583" t="s">
        <v>159</v>
      </c>
      <c r="O309" s="584"/>
      <c r="P309" s="584"/>
      <c r="Q309" s="584"/>
      <c r="R309" s="584"/>
      <c r="S309" s="584"/>
      <c r="T309" s="584"/>
      <c r="U309" s="585"/>
    </row>
    <row r="310" spans="1:21" ht="35.1" customHeight="1" x14ac:dyDescent="0.25">
      <c r="A310" s="263">
        <f t="shared" si="4"/>
        <v>296</v>
      </c>
      <c r="B310" s="566" t="s">
        <v>159</v>
      </c>
      <c r="C310" s="566"/>
      <c r="D310" s="567" t="s">
        <v>159</v>
      </c>
      <c r="E310" s="567"/>
      <c r="F310" s="568" t="s">
        <v>162</v>
      </c>
      <c r="G310" s="568"/>
      <c r="H310" s="569"/>
      <c r="I310" s="570"/>
      <c r="J310" s="571"/>
      <c r="K310" s="572" t="s">
        <v>162</v>
      </c>
      <c r="L310" s="573"/>
      <c r="M310" s="574"/>
      <c r="N310" s="575" t="s">
        <v>159</v>
      </c>
      <c r="O310" s="576"/>
      <c r="P310" s="576"/>
      <c r="Q310" s="576"/>
      <c r="R310" s="576"/>
      <c r="S310" s="576"/>
      <c r="T310" s="576"/>
      <c r="U310" s="577"/>
    </row>
    <row r="311" spans="1:21" ht="35.1" customHeight="1" x14ac:dyDescent="0.25">
      <c r="A311" s="263">
        <f t="shared" si="4"/>
        <v>297</v>
      </c>
      <c r="B311" s="578" t="s">
        <v>159</v>
      </c>
      <c r="C311" s="578"/>
      <c r="D311" s="579" t="s">
        <v>159</v>
      </c>
      <c r="E311" s="579"/>
      <c r="F311" s="568" t="s">
        <v>162</v>
      </c>
      <c r="G311" s="568"/>
      <c r="H311" s="580"/>
      <c r="I311" s="581"/>
      <c r="J311" s="582"/>
      <c r="K311" s="572" t="s">
        <v>162</v>
      </c>
      <c r="L311" s="573"/>
      <c r="M311" s="574"/>
      <c r="N311" s="583" t="s">
        <v>159</v>
      </c>
      <c r="O311" s="584"/>
      <c r="P311" s="584"/>
      <c r="Q311" s="584"/>
      <c r="R311" s="584"/>
      <c r="S311" s="584"/>
      <c r="T311" s="584"/>
      <c r="U311" s="585"/>
    </row>
    <row r="312" spans="1:21" ht="35.1" customHeight="1" x14ac:dyDescent="0.25">
      <c r="A312" s="263">
        <f t="shared" si="4"/>
        <v>298</v>
      </c>
      <c r="B312" s="566" t="s">
        <v>159</v>
      </c>
      <c r="C312" s="566"/>
      <c r="D312" s="567" t="s">
        <v>159</v>
      </c>
      <c r="E312" s="567"/>
      <c r="F312" s="568" t="s">
        <v>162</v>
      </c>
      <c r="G312" s="568"/>
      <c r="H312" s="569"/>
      <c r="I312" s="570"/>
      <c r="J312" s="571"/>
      <c r="K312" s="572" t="s">
        <v>162</v>
      </c>
      <c r="L312" s="573"/>
      <c r="M312" s="574"/>
      <c r="N312" s="575" t="s">
        <v>159</v>
      </c>
      <c r="O312" s="576"/>
      <c r="P312" s="576"/>
      <c r="Q312" s="576"/>
      <c r="R312" s="576"/>
      <c r="S312" s="576"/>
      <c r="T312" s="576"/>
      <c r="U312" s="577"/>
    </row>
    <row r="313" spans="1:21" ht="35.1" customHeight="1" x14ac:dyDescent="0.25">
      <c r="A313" s="263">
        <f t="shared" si="4"/>
        <v>299</v>
      </c>
      <c r="B313" s="578" t="s">
        <v>159</v>
      </c>
      <c r="C313" s="578"/>
      <c r="D313" s="579" t="s">
        <v>159</v>
      </c>
      <c r="E313" s="579"/>
      <c r="F313" s="568" t="s">
        <v>162</v>
      </c>
      <c r="G313" s="568"/>
      <c r="H313" s="580"/>
      <c r="I313" s="581"/>
      <c r="J313" s="582"/>
      <c r="K313" s="572" t="s">
        <v>162</v>
      </c>
      <c r="L313" s="573"/>
      <c r="M313" s="574"/>
      <c r="N313" s="583" t="s">
        <v>159</v>
      </c>
      <c r="O313" s="584"/>
      <c r="P313" s="584"/>
      <c r="Q313" s="584"/>
      <c r="R313" s="584"/>
      <c r="S313" s="584"/>
      <c r="T313" s="584"/>
      <c r="U313" s="585"/>
    </row>
    <row r="314" spans="1:21" ht="35.1" customHeight="1" x14ac:dyDescent="0.25">
      <c r="A314" s="263">
        <f t="shared" si="4"/>
        <v>300</v>
      </c>
      <c r="B314" s="566" t="s">
        <v>159</v>
      </c>
      <c r="C314" s="566"/>
      <c r="D314" s="567" t="s">
        <v>159</v>
      </c>
      <c r="E314" s="567"/>
      <c r="F314" s="568" t="s">
        <v>162</v>
      </c>
      <c r="G314" s="568"/>
      <c r="H314" s="569"/>
      <c r="I314" s="570"/>
      <c r="J314" s="571"/>
      <c r="K314" s="572" t="s">
        <v>162</v>
      </c>
      <c r="L314" s="573"/>
      <c r="M314" s="574"/>
      <c r="N314" s="575" t="s">
        <v>159</v>
      </c>
      <c r="O314" s="576"/>
      <c r="P314" s="576"/>
      <c r="Q314" s="576"/>
      <c r="R314" s="576"/>
      <c r="S314" s="576"/>
      <c r="T314" s="576"/>
      <c r="U314" s="577"/>
    </row>
    <row r="315" spans="1:21" ht="35.1" customHeight="1" x14ac:dyDescent="0.25">
      <c r="A315" s="263">
        <f t="shared" si="4"/>
        <v>301</v>
      </c>
      <c r="B315" s="578" t="s">
        <v>159</v>
      </c>
      <c r="C315" s="578"/>
      <c r="D315" s="579" t="s">
        <v>159</v>
      </c>
      <c r="E315" s="579"/>
      <c r="F315" s="568" t="s">
        <v>162</v>
      </c>
      <c r="G315" s="568"/>
      <c r="H315" s="580"/>
      <c r="I315" s="581"/>
      <c r="J315" s="582"/>
      <c r="K315" s="572" t="s">
        <v>162</v>
      </c>
      <c r="L315" s="573"/>
      <c r="M315" s="574"/>
      <c r="N315" s="583" t="s">
        <v>159</v>
      </c>
      <c r="O315" s="584"/>
      <c r="P315" s="584"/>
      <c r="Q315" s="584"/>
      <c r="R315" s="584"/>
      <c r="S315" s="584"/>
      <c r="T315" s="584"/>
      <c r="U315" s="585"/>
    </row>
    <row r="316" spans="1:21" ht="35.1" customHeight="1" x14ac:dyDescent="0.25">
      <c r="A316" s="263">
        <f t="shared" si="4"/>
        <v>302</v>
      </c>
      <c r="B316" s="566" t="s">
        <v>159</v>
      </c>
      <c r="C316" s="566"/>
      <c r="D316" s="567" t="s">
        <v>159</v>
      </c>
      <c r="E316" s="567"/>
      <c r="F316" s="568" t="s">
        <v>162</v>
      </c>
      <c r="G316" s="568"/>
      <c r="H316" s="569"/>
      <c r="I316" s="570"/>
      <c r="J316" s="571"/>
      <c r="K316" s="572" t="s">
        <v>162</v>
      </c>
      <c r="L316" s="573"/>
      <c r="M316" s="574"/>
      <c r="N316" s="575" t="s">
        <v>159</v>
      </c>
      <c r="O316" s="576"/>
      <c r="P316" s="576"/>
      <c r="Q316" s="576"/>
      <c r="R316" s="576"/>
      <c r="S316" s="576"/>
      <c r="T316" s="576"/>
      <c r="U316" s="577"/>
    </row>
    <row r="317" spans="1:21" ht="35.1" customHeight="1" x14ac:dyDescent="0.25">
      <c r="A317" s="263">
        <f t="shared" si="4"/>
        <v>303</v>
      </c>
      <c r="B317" s="578" t="s">
        <v>159</v>
      </c>
      <c r="C317" s="578"/>
      <c r="D317" s="579" t="s">
        <v>159</v>
      </c>
      <c r="E317" s="579"/>
      <c r="F317" s="568" t="s">
        <v>162</v>
      </c>
      <c r="G317" s="568"/>
      <c r="H317" s="580"/>
      <c r="I317" s="581"/>
      <c r="J317" s="582"/>
      <c r="K317" s="572" t="s">
        <v>162</v>
      </c>
      <c r="L317" s="573"/>
      <c r="M317" s="574"/>
      <c r="N317" s="583" t="s">
        <v>159</v>
      </c>
      <c r="O317" s="584"/>
      <c r="P317" s="584"/>
      <c r="Q317" s="584"/>
      <c r="R317" s="584"/>
      <c r="S317" s="584"/>
      <c r="T317" s="584"/>
      <c r="U317" s="585"/>
    </row>
    <row r="318" spans="1:21" ht="35.1" customHeight="1" x14ac:dyDescent="0.25">
      <c r="A318" s="263">
        <f t="shared" si="4"/>
        <v>304</v>
      </c>
      <c r="B318" s="566" t="s">
        <v>159</v>
      </c>
      <c r="C318" s="566"/>
      <c r="D318" s="567" t="s">
        <v>159</v>
      </c>
      <c r="E318" s="567"/>
      <c r="F318" s="568" t="s">
        <v>162</v>
      </c>
      <c r="G318" s="568"/>
      <c r="H318" s="569"/>
      <c r="I318" s="570"/>
      <c r="J318" s="571"/>
      <c r="K318" s="572" t="s">
        <v>162</v>
      </c>
      <c r="L318" s="573"/>
      <c r="M318" s="574"/>
      <c r="N318" s="575" t="s">
        <v>159</v>
      </c>
      <c r="O318" s="576"/>
      <c r="P318" s="576"/>
      <c r="Q318" s="576"/>
      <c r="R318" s="576"/>
      <c r="S318" s="576"/>
      <c r="T318" s="576"/>
      <c r="U318" s="577"/>
    </row>
    <row r="319" spans="1:21" ht="35.1" customHeight="1" x14ac:dyDescent="0.25">
      <c r="A319" s="263">
        <f t="shared" si="4"/>
        <v>305</v>
      </c>
      <c r="B319" s="578" t="s">
        <v>159</v>
      </c>
      <c r="C319" s="578"/>
      <c r="D319" s="579" t="s">
        <v>159</v>
      </c>
      <c r="E319" s="579"/>
      <c r="F319" s="568" t="s">
        <v>162</v>
      </c>
      <c r="G319" s="568"/>
      <c r="H319" s="580"/>
      <c r="I319" s="581"/>
      <c r="J319" s="582"/>
      <c r="K319" s="572" t="s">
        <v>162</v>
      </c>
      <c r="L319" s="573"/>
      <c r="M319" s="574"/>
      <c r="N319" s="583" t="s">
        <v>159</v>
      </c>
      <c r="O319" s="584"/>
      <c r="P319" s="584"/>
      <c r="Q319" s="584"/>
      <c r="R319" s="584"/>
      <c r="S319" s="584"/>
      <c r="T319" s="584"/>
      <c r="U319" s="585"/>
    </row>
    <row r="320" spans="1:21" ht="35.1" customHeight="1" x14ac:dyDescent="0.25">
      <c r="A320" s="263">
        <f t="shared" si="4"/>
        <v>306</v>
      </c>
      <c r="B320" s="566" t="s">
        <v>448</v>
      </c>
      <c r="C320" s="566"/>
      <c r="D320" s="567" t="s">
        <v>159</v>
      </c>
      <c r="E320" s="567"/>
      <c r="F320" s="568" t="s">
        <v>162</v>
      </c>
      <c r="G320" s="568"/>
      <c r="H320" s="569"/>
      <c r="I320" s="570"/>
      <c r="J320" s="571"/>
      <c r="K320" s="572" t="s">
        <v>162</v>
      </c>
      <c r="L320" s="573"/>
      <c r="M320" s="574"/>
      <c r="N320" s="575" t="s">
        <v>159</v>
      </c>
      <c r="O320" s="576"/>
      <c r="P320" s="576"/>
      <c r="Q320" s="576"/>
      <c r="R320" s="576"/>
      <c r="S320" s="576"/>
      <c r="T320" s="576"/>
      <c r="U320" s="577"/>
    </row>
    <row r="321" spans="1:21" ht="35.1" customHeight="1" x14ac:dyDescent="0.25">
      <c r="A321" s="263">
        <f t="shared" si="4"/>
        <v>307</v>
      </c>
      <c r="B321" s="578" t="s">
        <v>159</v>
      </c>
      <c r="C321" s="578"/>
      <c r="D321" s="579" t="s">
        <v>159</v>
      </c>
      <c r="E321" s="579"/>
      <c r="F321" s="568" t="s">
        <v>162</v>
      </c>
      <c r="G321" s="568"/>
      <c r="H321" s="580"/>
      <c r="I321" s="581"/>
      <c r="J321" s="582"/>
      <c r="K321" s="572" t="s">
        <v>162</v>
      </c>
      <c r="L321" s="573"/>
      <c r="M321" s="574"/>
      <c r="N321" s="583" t="s">
        <v>159</v>
      </c>
      <c r="O321" s="584"/>
      <c r="P321" s="584"/>
      <c r="Q321" s="584"/>
      <c r="R321" s="584"/>
      <c r="S321" s="584"/>
      <c r="T321" s="584"/>
      <c r="U321" s="585"/>
    </row>
    <row r="322" spans="1:21" ht="35.1" customHeight="1" x14ac:dyDescent="0.25">
      <c r="A322" s="263">
        <f t="shared" si="4"/>
        <v>308</v>
      </c>
      <c r="B322" s="566" t="s">
        <v>159</v>
      </c>
      <c r="C322" s="566"/>
      <c r="D322" s="567" t="s">
        <v>159</v>
      </c>
      <c r="E322" s="567"/>
      <c r="F322" s="568" t="s">
        <v>162</v>
      </c>
      <c r="G322" s="568"/>
      <c r="H322" s="569"/>
      <c r="I322" s="570"/>
      <c r="J322" s="571"/>
      <c r="K322" s="572" t="s">
        <v>162</v>
      </c>
      <c r="L322" s="573"/>
      <c r="M322" s="574"/>
      <c r="N322" s="575" t="s">
        <v>159</v>
      </c>
      <c r="O322" s="576"/>
      <c r="P322" s="576"/>
      <c r="Q322" s="576"/>
      <c r="R322" s="576"/>
      <c r="S322" s="576"/>
      <c r="T322" s="576"/>
      <c r="U322" s="577"/>
    </row>
    <row r="323" spans="1:21" ht="35.1" customHeight="1" x14ac:dyDescent="0.25">
      <c r="A323" s="263">
        <f t="shared" si="4"/>
        <v>309</v>
      </c>
      <c r="B323" s="578" t="s">
        <v>159</v>
      </c>
      <c r="C323" s="578"/>
      <c r="D323" s="579" t="s">
        <v>159</v>
      </c>
      <c r="E323" s="579"/>
      <c r="F323" s="568" t="s">
        <v>162</v>
      </c>
      <c r="G323" s="568"/>
      <c r="H323" s="580"/>
      <c r="I323" s="581"/>
      <c r="J323" s="582"/>
      <c r="K323" s="572" t="s">
        <v>162</v>
      </c>
      <c r="L323" s="573"/>
      <c r="M323" s="574"/>
      <c r="N323" s="583" t="s">
        <v>159</v>
      </c>
      <c r="O323" s="584"/>
      <c r="P323" s="584"/>
      <c r="Q323" s="584"/>
      <c r="R323" s="584"/>
      <c r="S323" s="584"/>
      <c r="T323" s="584"/>
      <c r="U323" s="585"/>
    </row>
    <row r="324" spans="1:21" ht="35.1" customHeight="1" x14ac:dyDescent="0.25">
      <c r="A324" s="263">
        <f t="shared" si="4"/>
        <v>310</v>
      </c>
      <c r="B324" s="566" t="s">
        <v>159</v>
      </c>
      <c r="C324" s="566"/>
      <c r="D324" s="567" t="s">
        <v>159</v>
      </c>
      <c r="E324" s="567"/>
      <c r="F324" s="568" t="s">
        <v>162</v>
      </c>
      <c r="G324" s="568"/>
      <c r="H324" s="569"/>
      <c r="I324" s="570"/>
      <c r="J324" s="571"/>
      <c r="K324" s="572" t="s">
        <v>162</v>
      </c>
      <c r="L324" s="573"/>
      <c r="M324" s="574"/>
      <c r="N324" s="575" t="s">
        <v>159</v>
      </c>
      <c r="O324" s="576"/>
      <c r="P324" s="576"/>
      <c r="Q324" s="576"/>
      <c r="R324" s="576"/>
      <c r="S324" s="576"/>
      <c r="T324" s="576"/>
      <c r="U324" s="577"/>
    </row>
    <row r="325" spans="1:21" ht="35.1" customHeight="1" x14ac:dyDescent="0.25">
      <c r="A325" s="263">
        <f t="shared" si="4"/>
        <v>311</v>
      </c>
      <c r="B325" s="578" t="s">
        <v>159</v>
      </c>
      <c r="C325" s="578"/>
      <c r="D325" s="579" t="s">
        <v>159</v>
      </c>
      <c r="E325" s="579"/>
      <c r="F325" s="568" t="s">
        <v>162</v>
      </c>
      <c r="G325" s="568"/>
      <c r="H325" s="580"/>
      <c r="I325" s="581"/>
      <c r="J325" s="582"/>
      <c r="K325" s="572" t="s">
        <v>162</v>
      </c>
      <c r="L325" s="573"/>
      <c r="M325" s="574"/>
      <c r="N325" s="583" t="s">
        <v>159</v>
      </c>
      <c r="O325" s="584"/>
      <c r="P325" s="584"/>
      <c r="Q325" s="584"/>
      <c r="R325" s="584"/>
      <c r="S325" s="584"/>
      <c r="T325" s="584"/>
      <c r="U325" s="585"/>
    </row>
    <row r="326" spans="1:21" ht="35.1" customHeight="1" x14ac:dyDescent="0.25">
      <c r="A326" s="263">
        <f t="shared" si="4"/>
        <v>312</v>
      </c>
      <c r="B326" s="566" t="s">
        <v>159</v>
      </c>
      <c r="C326" s="566"/>
      <c r="D326" s="567" t="s">
        <v>159</v>
      </c>
      <c r="E326" s="567"/>
      <c r="F326" s="568" t="s">
        <v>162</v>
      </c>
      <c r="G326" s="568"/>
      <c r="H326" s="569"/>
      <c r="I326" s="570"/>
      <c r="J326" s="571"/>
      <c r="K326" s="572" t="s">
        <v>162</v>
      </c>
      <c r="L326" s="573"/>
      <c r="M326" s="574"/>
      <c r="N326" s="575" t="s">
        <v>159</v>
      </c>
      <c r="O326" s="576"/>
      <c r="P326" s="576"/>
      <c r="Q326" s="576"/>
      <c r="R326" s="576"/>
      <c r="S326" s="576"/>
      <c r="T326" s="576"/>
      <c r="U326" s="577"/>
    </row>
    <row r="327" spans="1:21" ht="35.1" customHeight="1" x14ac:dyDescent="0.25">
      <c r="A327" s="263">
        <f t="shared" si="4"/>
        <v>313</v>
      </c>
      <c r="B327" s="578" t="s">
        <v>159</v>
      </c>
      <c r="C327" s="578"/>
      <c r="D327" s="579" t="s">
        <v>159</v>
      </c>
      <c r="E327" s="579"/>
      <c r="F327" s="568" t="s">
        <v>162</v>
      </c>
      <c r="G327" s="568"/>
      <c r="H327" s="580"/>
      <c r="I327" s="581"/>
      <c r="J327" s="582"/>
      <c r="K327" s="572" t="s">
        <v>162</v>
      </c>
      <c r="L327" s="573"/>
      <c r="M327" s="574"/>
      <c r="N327" s="583" t="s">
        <v>159</v>
      </c>
      <c r="O327" s="584"/>
      <c r="P327" s="584"/>
      <c r="Q327" s="584"/>
      <c r="R327" s="584"/>
      <c r="S327" s="584"/>
      <c r="T327" s="584"/>
      <c r="U327" s="585"/>
    </row>
    <row r="328" spans="1:21" ht="35.1" customHeight="1" x14ac:dyDescent="0.25">
      <c r="A328" s="263">
        <f t="shared" si="4"/>
        <v>314</v>
      </c>
      <c r="B328" s="566" t="s">
        <v>444</v>
      </c>
      <c r="C328" s="566"/>
      <c r="D328" s="567" t="s">
        <v>159</v>
      </c>
      <c r="E328" s="567"/>
      <c r="F328" s="568" t="s">
        <v>162</v>
      </c>
      <c r="G328" s="568"/>
      <c r="H328" s="569"/>
      <c r="I328" s="570"/>
      <c r="J328" s="571"/>
      <c r="K328" s="572" t="s">
        <v>162</v>
      </c>
      <c r="L328" s="573"/>
      <c r="M328" s="574"/>
      <c r="N328" s="575" t="s">
        <v>159</v>
      </c>
      <c r="O328" s="576"/>
      <c r="P328" s="576"/>
      <c r="Q328" s="576"/>
      <c r="R328" s="576"/>
      <c r="S328" s="576"/>
      <c r="T328" s="576"/>
      <c r="U328" s="577"/>
    </row>
    <row r="329" spans="1:21" ht="35.1" customHeight="1" x14ac:dyDescent="0.25">
      <c r="A329" s="263">
        <f t="shared" si="4"/>
        <v>315</v>
      </c>
      <c r="B329" s="578" t="s">
        <v>159</v>
      </c>
      <c r="C329" s="578"/>
      <c r="D329" s="579" t="s">
        <v>159</v>
      </c>
      <c r="E329" s="579"/>
      <c r="F329" s="568" t="s">
        <v>162</v>
      </c>
      <c r="G329" s="568"/>
      <c r="H329" s="580"/>
      <c r="I329" s="581"/>
      <c r="J329" s="582"/>
      <c r="K329" s="572" t="s">
        <v>162</v>
      </c>
      <c r="L329" s="573"/>
      <c r="M329" s="574"/>
      <c r="N329" s="583" t="s">
        <v>159</v>
      </c>
      <c r="O329" s="584"/>
      <c r="P329" s="584"/>
      <c r="Q329" s="584"/>
      <c r="R329" s="584"/>
      <c r="S329" s="584"/>
      <c r="T329" s="584"/>
      <c r="U329" s="585"/>
    </row>
    <row r="330" spans="1:21" ht="35.1" customHeight="1" x14ac:dyDescent="0.25">
      <c r="A330" s="263">
        <f t="shared" si="4"/>
        <v>316</v>
      </c>
      <c r="B330" s="566" t="s">
        <v>159</v>
      </c>
      <c r="C330" s="566"/>
      <c r="D330" s="567" t="s">
        <v>159</v>
      </c>
      <c r="E330" s="567"/>
      <c r="F330" s="568" t="s">
        <v>162</v>
      </c>
      <c r="G330" s="568"/>
      <c r="H330" s="569"/>
      <c r="I330" s="570"/>
      <c r="J330" s="571"/>
      <c r="K330" s="572" t="s">
        <v>162</v>
      </c>
      <c r="L330" s="573"/>
      <c r="M330" s="574"/>
      <c r="N330" s="575" t="s">
        <v>159</v>
      </c>
      <c r="O330" s="576"/>
      <c r="P330" s="576"/>
      <c r="Q330" s="576"/>
      <c r="R330" s="576"/>
      <c r="S330" s="576"/>
      <c r="T330" s="576"/>
      <c r="U330" s="577"/>
    </row>
    <row r="331" spans="1:21" ht="35.1" customHeight="1" x14ac:dyDescent="0.25">
      <c r="A331" s="263">
        <f t="shared" si="4"/>
        <v>317</v>
      </c>
      <c r="B331" s="578" t="s">
        <v>159</v>
      </c>
      <c r="C331" s="578"/>
      <c r="D331" s="579" t="s">
        <v>159</v>
      </c>
      <c r="E331" s="579"/>
      <c r="F331" s="568" t="s">
        <v>162</v>
      </c>
      <c r="G331" s="568"/>
      <c r="H331" s="580"/>
      <c r="I331" s="581"/>
      <c r="J331" s="582"/>
      <c r="K331" s="572" t="s">
        <v>162</v>
      </c>
      <c r="L331" s="573"/>
      <c r="M331" s="574"/>
      <c r="N331" s="583" t="s">
        <v>159</v>
      </c>
      <c r="O331" s="584"/>
      <c r="P331" s="584"/>
      <c r="Q331" s="584"/>
      <c r="R331" s="584"/>
      <c r="S331" s="584"/>
      <c r="T331" s="584"/>
      <c r="U331" s="585"/>
    </row>
    <row r="332" spans="1:21" ht="35.1" customHeight="1" x14ac:dyDescent="0.25">
      <c r="A332" s="263">
        <f t="shared" si="4"/>
        <v>318</v>
      </c>
      <c r="B332" s="566" t="s">
        <v>159</v>
      </c>
      <c r="C332" s="566"/>
      <c r="D332" s="567" t="s">
        <v>159</v>
      </c>
      <c r="E332" s="567"/>
      <c r="F332" s="568" t="s">
        <v>162</v>
      </c>
      <c r="G332" s="568"/>
      <c r="H332" s="569"/>
      <c r="I332" s="570"/>
      <c r="J332" s="571"/>
      <c r="K332" s="572" t="s">
        <v>162</v>
      </c>
      <c r="L332" s="573"/>
      <c r="M332" s="574"/>
      <c r="N332" s="575" t="s">
        <v>159</v>
      </c>
      <c r="O332" s="576"/>
      <c r="P332" s="576"/>
      <c r="Q332" s="576"/>
      <c r="R332" s="576"/>
      <c r="S332" s="576"/>
      <c r="T332" s="576"/>
      <c r="U332" s="577"/>
    </row>
    <row r="333" spans="1:21" ht="35.1" customHeight="1" x14ac:dyDescent="0.25">
      <c r="A333" s="263">
        <f t="shared" si="4"/>
        <v>319</v>
      </c>
      <c r="B333" s="578" t="s">
        <v>159</v>
      </c>
      <c r="C333" s="578"/>
      <c r="D333" s="579" t="s">
        <v>159</v>
      </c>
      <c r="E333" s="579"/>
      <c r="F333" s="568" t="s">
        <v>162</v>
      </c>
      <c r="G333" s="568"/>
      <c r="H333" s="580"/>
      <c r="I333" s="581"/>
      <c r="J333" s="582"/>
      <c r="K333" s="572" t="s">
        <v>162</v>
      </c>
      <c r="L333" s="573"/>
      <c r="M333" s="574"/>
      <c r="N333" s="583" t="s">
        <v>159</v>
      </c>
      <c r="O333" s="584"/>
      <c r="P333" s="584"/>
      <c r="Q333" s="584"/>
      <c r="R333" s="584"/>
      <c r="S333" s="584"/>
      <c r="T333" s="584"/>
      <c r="U333" s="585"/>
    </row>
    <row r="334" spans="1:21" ht="35.1" customHeight="1" x14ac:dyDescent="0.25">
      <c r="A334" s="263">
        <f t="shared" si="4"/>
        <v>320</v>
      </c>
      <c r="B334" s="566" t="s">
        <v>159</v>
      </c>
      <c r="C334" s="566"/>
      <c r="D334" s="567" t="s">
        <v>159</v>
      </c>
      <c r="E334" s="567"/>
      <c r="F334" s="568" t="s">
        <v>162</v>
      </c>
      <c r="G334" s="568"/>
      <c r="H334" s="569"/>
      <c r="I334" s="570"/>
      <c r="J334" s="571"/>
      <c r="K334" s="572" t="s">
        <v>162</v>
      </c>
      <c r="L334" s="573"/>
      <c r="M334" s="574"/>
      <c r="N334" s="575" t="s">
        <v>159</v>
      </c>
      <c r="O334" s="576"/>
      <c r="P334" s="576"/>
      <c r="Q334" s="576"/>
      <c r="R334" s="576"/>
      <c r="S334" s="576"/>
      <c r="T334" s="576"/>
      <c r="U334" s="577"/>
    </row>
    <row r="335" spans="1:21" ht="35.1" customHeight="1" x14ac:dyDescent="0.25">
      <c r="A335" s="263">
        <f t="shared" ref="A335:A398" si="5">ROW(A321)</f>
        <v>321</v>
      </c>
      <c r="B335" s="578" t="s">
        <v>449</v>
      </c>
      <c r="C335" s="578"/>
      <c r="D335" s="579" t="s">
        <v>159</v>
      </c>
      <c r="E335" s="579"/>
      <c r="F335" s="568" t="s">
        <v>162</v>
      </c>
      <c r="G335" s="568"/>
      <c r="H335" s="580"/>
      <c r="I335" s="581"/>
      <c r="J335" s="582"/>
      <c r="K335" s="572" t="s">
        <v>162</v>
      </c>
      <c r="L335" s="573"/>
      <c r="M335" s="574"/>
      <c r="N335" s="583" t="s">
        <v>159</v>
      </c>
      <c r="O335" s="584"/>
      <c r="P335" s="584"/>
      <c r="Q335" s="584"/>
      <c r="R335" s="584"/>
      <c r="S335" s="584"/>
      <c r="T335" s="584"/>
      <c r="U335" s="585"/>
    </row>
    <row r="336" spans="1:21" ht="35.1" customHeight="1" x14ac:dyDescent="0.25">
      <c r="A336" s="263">
        <f t="shared" si="5"/>
        <v>322</v>
      </c>
      <c r="B336" s="566" t="s">
        <v>159</v>
      </c>
      <c r="C336" s="566"/>
      <c r="D336" s="567" t="s">
        <v>159</v>
      </c>
      <c r="E336" s="567"/>
      <c r="F336" s="568" t="s">
        <v>162</v>
      </c>
      <c r="G336" s="568"/>
      <c r="H336" s="569"/>
      <c r="I336" s="570"/>
      <c r="J336" s="571"/>
      <c r="K336" s="572" t="s">
        <v>162</v>
      </c>
      <c r="L336" s="573"/>
      <c r="M336" s="574"/>
      <c r="N336" s="575" t="s">
        <v>159</v>
      </c>
      <c r="O336" s="576"/>
      <c r="P336" s="576"/>
      <c r="Q336" s="576"/>
      <c r="R336" s="576"/>
      <c r="S336" s="576"/>
      <c r="T336" s="576"/>
      <c r="U336" s="577"/>
    </row>
    <row r="337" spans="1:21" ht="35.1" customHeight="1" x14ac:dyDescent="0.25">
      <c r="A337" s="263">
        <f t="shared" si="5"/>
        <v>323</v>
      </c>
      <c r="B337" s="578" t="s">
        <v>159</v>
      </c>
      <c r="C337" s="578"/>
      <c r="D337" s="579" t="s">
        <v>159</v>
      </c>
      <c r="E337" s="579"/>
      <c r="F337" s="568" t="s">
        <v>162</v>
      </c>
      <c r="G337" s="568"/>
      <c r="H337" s="580"/>
      <c r="I337" s="581"/>
      <c r="J337" s="582"/>
      <c r="K337" s="572" t="s">
        <v>162</v>
      </c>
      <c r="L337" s="573"/>
      <c r="M337" s="574"/>
      <c r="N337" s="583" t="s">
        <v>159</v>
      </c>
      <c r="O337" s="584"/>
      <c r="P337" s="584"/>
      <c r="Q337" s="584"/>
      <c r="R337" s="584"/>
      <c r="S337" s="584"/>
      <c r="T337" s="584"/>
      <c r="U337" s="585"/>
    </row>
    <row r="338" spans="1:21" ht="35.1" customHeight="1" x14ac:dyDescent="0.25">
      <c r="A338" s="263">
        <f t="shared" si="5"/>
        <v>324</v>
      </c>
      <c r="B338" s="566" t="s">
        <v>159</v>
      </c>
      <c r="C338" s="566"/>
      <c r="D338" s="567" t="s">
        <v>159</v>
      </c>
      <c r="E338" s="567"/>
      <c r="F338" s="568" t="s">
        <v>162</v>
      </c>
      <c r="G338" s="568"/>
      <c r="H338" s="569"/>
      <c r="I338" s="570"/>
      <c r="J338" s="571"/>
      <c r="K338" s="572" t="s">
        <v>162</v>
      </c>
      <c r="L338" s="573"/>
      <c r="M338" s="574"/>
      <c r="N338" s="575" t="s">
        <v>159</v>
      </c>
      <c r="O338" s="576"/>
      <c r="P338" s="576"/>
      <c r="Q338" s="576"/>
      <c r="R338" s="576"/>
      <c r="S338" s="576"/>
      <c r="T338" s="576"/>
      <c r="U338" s="577"/>
    </row>
    <row r="339" spans="1:21" ht="35.1" customHeight="1" x14ac:dyDescent="0.25">
      <c r="A339" s="263">
        <f t="shared" si="5"/>
        <v>325</v>
      </c>
      <c r="B339" s="578" t="s">
        <v>159</v>
      </c>
      <c r="C339" s="578"/>
      <c r="D339" s="579" t="s">
        <v>159</v>
      </c>
      <c r="E339" s="579"/>
      <c r="F339" s="568" t="s">
        <v>162</v>
      </c>
      <c r="G339" s="568"/>
      <c r="H339" s="580"/>
      <c r="I339" s="581"/>
      <c r="J339" s="582"/>
      <c r="K339" s="572" t="s">
        <v>162</v>
      </c>
      <c r="L339" s="573"/>
      <c r="M339" s="574"/>
      <c r="N339" s="583" t="s">
        <v>159</v>
      </c>
      <c r="O339" s="584"/>
      <c r="P339" s="584"/>
      <c r="Q339" s="584"/>
      <c r="R339" s="584"/>
      <c r="S339" s="584"/>
      <c r="T339" s="584"/>
      <c r="U339" s="585"/>
    </row>
    <row r="340" spans="1:21" ht="35.1" customHeight="1" x14ac:dyDescent="0.25">
      <c r="A340" s="263">
        <f t="shared" si="5"/>
        <v>326</v>
      </c>
      <c r="B340" s="566" t="s">
        <v>159</v>
      </c>
      <c r="C340" s="566"/>
      <c r="D340" s="567" t="s">
        <v>159</v>
      </c>
      <c r="E340" s="567"/>
      <c r="F340" s="568" t="s">
        <v>162</v>
      </c>
      <c r="G340" s="568"/>
      <c r="H340" s="569"/>
      <c r="I340" s="570"/>
      <c r="J340" s="571"/>
      <c r="K340" s="572" t="s">
        <v>162</v>
      </c>
      <c r="L340" s="573"/>
      <c r="M340" s="574"/>
      <c r="N340" s="575" t="s">
        <v>159</v>
      </c>
      <c r="O340" s="576"/>
      <c r="P340" s="576"/>
      <c r="Q340" s="576"/>
      <c r="R340" s="576"/>
      <c r="S340" s="576"/>
      <c r="T340" s="576"/>
      <c r="U340" s="577"/>
    </row>
    <row r="341" spans="1:21" ht="35.1" customHeight="1" x14ac:dyDescent="0.25">
      <c r="A341" s="263">
        <f t="shared" si="5"/>
        <v>327</v>
      </c>
      <c r="B341" s="578" t="s">
        <v>159</v>
      </c>
      <c r="C341" s="578"/>
      <c r="D341" s="579" t="s">
        <v>159</v>
      </c>
      <c r="E341" s="579"/>
      <c r="F341" s="568" t="s">
        <v>162</v>
      </c>
      <c r="G341" s="568"/>
      <c r="H341" s="580"/>
      <c r="I341" s="581"/>
      <c r="J341" s="582"/>
      <c r="K341" s="572" t="s">
        <v>162</v>
      </c>
      <c r="L341" s="573"/>
      <c r="M341" s="574"/>
      <c r="N341" s="583" t="s">
        <v>159</v>
      </c>
      <c r="O341" s="584"/>
      <c r="P341" s="584"/>
      <c r="Q341" s="584"/>
      <c r="R341" s="584"/>
      <c r="S341" s="584"/>
      <c r="T341" s="584"/>
      <c r="U341" s="585"/>
    </row>
    <row r="342" spans="1:21" ht="35.1" customHeight="1" x14ac:dyDescent="0.25">
      <c r="A342" s="263">
        <f t="shared" si="5"/>
        <v>328</v>
      </c>
      <c r="B342" s="566" t="s">
        <v>444</v>
      </c>
      <c r="C342" s="566"/>
      <c r="D342" s="567" t="s">
        <v>159</v>
      </c>
      <c r="E342" s="567"/>
      <c r="F342" s="568" t="s">
        <v>162</v>
      </c>
      <c r="G342" s="568"/>
      <c r="H342" s="569"/>
      <c r="I342" s="570"/>
      <c r="J342" s="571"/>
      <c r="K342" s="572" t="s">
        <v>162</v>
      </c>
      <c r="L342" s="573"/>
      <c r="M342" s="574"/>
      <c r="N342" s="575" t="s">
        <v>159</v>
      </c>
      <c r="O342" s="576"/>
      <c r="P342" s="576"/>
      <c r="Q342" s="576"/>
      <c r="R342" s="576"/>
      <c r="S342" s="576"/>
      <c r="T342" s="576"/>
      <c r="U342" s="577"/>
    </row>
    <row r="343" spans="1:21" ht="35.1" customHeight="1" x14ac:dyDescent="0.25">
      <c r="A343" s="263">
        <f t="shared" si="5"/>
        <v>329</v>
      </c>
      <c r="B343" s="578" t="s">
        <v>159</v>
      </c>
      <c r="C343" s="578"/>
      <c r="D343" s="579" t="s">
        <v>159</v>
      </c>
      <c r="E343" s="579"/>
      <c r="F343" s="568" t="s">
        <v>162</v>
      </c>
      <c r="G343" s="568"/>
      <c r="H343" s="580"/>
      <c r="I343" s="581"/>
      <c r="J343" s="582"/>
      <c r="K343" s="572" t="s">
        <v>162</v>
      </c>
      <c r="L343" s="573"/>
      <c r="M343" s="574"/>
      <c r="N343" s="583" t="s">
        <v>159</v>
      </c>
      <c r="O343" s="584"/>
      <c r="P343" s="584"/>
      <c r="Q343" s="584"/>
      <c r="R343" s="584"/>
      <c r="S343" s="584"/>
      <c r="T343" s="584"/>
      <c r="U343" s="585"/>
    </row>
    <row r="344" spans="1:21" ht="35.1" customHeight="1" x14ac:dyDescent="0.25">
      <c r="A344" s="263">
        <f t="shared" si="5"/>
        <v>330</v>
      </c>
      <c r="B344" s="566" t="s">
        <v>159</v>
      </c>
      <c r="C344" s="566"/>
      <c r="D344" s="567" t="s">
        <v>159</v>
      </c>
      <c r="E344" s="567"/>
      <c r="F344" s="568" t="s">
        <v>162</v>
      </c>
      <c r="G344" s="568"/>
      <c r="H344" s="569"/>
      <c r="I344" s="570"/>
      <c r="J344" s="571"/>
      <c r="K344" s="572" t="s">
        <v>162</v>
      </c>
      <c r="L344" s="573"/>
      <c r="M344" s="574"/>
      <c r="N344" s="575" t="s">
        <v>159</v>
      </c>
      <c r="O344" s="576"/>
      <c r="P344" s="576"/>
      <c r="Q344" s="576"/>
      <c r="R344" s="576"/>
      <c r="S344" s="576"/>
      <c r="T344" s="576"/>
      <c r="U344" s="577"/>
    </row>
    <row r="345" spans="1:21" ht="35.1" customHeight="1" x14ac:dyDescent="0.25">
      <c r="A345" s="263">
        <f t="shared" si="5"/>
        <v>331</v>
      </c>
      <c r="B345" s="578" t="s">
        <v>159</v>
      </c>
      <c r="C345" s="578"/>
      <c r="D345" s="579" t="s">
        <v>159</v>
      </c>
      <c r="E345" s="579"/>
      <c r="F345" s="568" t="s">
        <v>162</v>
      </c>
      <c r="G345" s="568"/>
      <c r="H345" s="580"/>
      <c r="I345" s="581"/>
      <c r="J345" s="582"/>
      <c r="K345" s="572" t="s">
        <v>162</v>
      </c>
      <c r="L345" s="573"/>
      <c r="M345" s="574"/>
      <c r="N345" s="583" t="s">
        <v>159</v>
      </c>
      <c r="O345" s="584"/>
      <c r="P345" s="584"/>
      <c r="Q345" s="584"/>
      <c r="R345" s="584"/>
      <c r="S345" s="584"/>
      <c r="T345" s="584"/>
      <c r="U345" s="585"/>
    </row>
    <row r="346" spans="1:21" ht="35.1" customHeight="1" x14ac:dyDescent="0.25">
      <c r="A346" s="263">
        <f t="shared" si="5"/>
        <v>332</v>
      </c>
      <c r="B346" s="566" t="s">
        <v>159</v>
      </c>
      <c r="C346" s="566"/>
      <c r="D346" s="567" t="s">
        <v>159</v>
      </c>
      <c r="E346" s="567"/>
      <c r="F346" s="568" t="s">
        <v>162</v>
      </c>
      <c r="G346" s="568"/>
      <c r="H346" s="569"/>
      <c r="I346" s="570"/>
      <c r="J346" s="571"/>
      <c r="K346" s="572" t="s">
        <v>162</v>
      </c>
      <c r="L346" s="573"/>
      <c r="M346" s="574"/>
      <c r="N346" s="575" t="s">
        <v>159</v>
      </c>
      <c r="O346" s="576"/>
      <c r="P346" s="576"/>
      <c r="Q346" s="576"/>
      <c r="R346" s="576"/>
      <c r="S346" s="576"/>
      <c r="T346" s="576"/>
      <c r="U346" s="577"/>
    </row>
    <row r="347" spans="1:21" ht="35.1" customHeight="1" x14ac:dyDescent="0.25">
      <c r="A347" s="263">
        <f t="shared" si="5"/>
        <v>333</v>
      </c>
      <c r="B347" s="578" t="s">
        <v>159</v>
      </c>
      <c r="C347" s="578"/>
      <c r="D347" s="579" t="s">
        <v>159</v>
      </c>
      <c r="E347" s="579"/>
      <c r="F347" s="568" t="s">
        <v>162</v>
      </c>
      <c r="G347" s="568"/>
      <c r="H347" s="580"/>
      <c r="I347" s="581"/>
      <c r="J347" s="582"/>
      <c r="K347" s="572" t="s">
        <v>162</v>
      </c>
      <c r="L347" s="573"/>
      <c r="M347" s="574"/>
      <c r="N347" s="583" t="s">
        <v>159</v>
      </c>
      <c r="O347" s="584"/>
      <c r="P347" s="584"/>
      <c r="Q347" s="584"/>
      <c r="R347" s="584"/>
      <c r="S347" s="584"/>
      <c r="T347" s="584"/>
      <c r="U347" s="585"/>
    </row>
    <row r="348" spans="1:21" ht="35.1" customHeight="1" x14ac:dyDescent="0.25">
      <c r="A348" s="263">
        <f t="shared" si="5"/>
        <v>334</v>
      </c>
      <c r="B348" s="566" t="s">
        <v>159</v>
      </c>
      <c r="C348" s="566"/>
      <c r="D348" s="567" t="s">
        <v>159</v>
      </c>
      <c r="E348" s="567"/>
      <c r="F348" s="568" t="s">
        <v>162</v>
      </c>
      <c r="G348" s="568"/>
      <c r="H348" s="569"/>
      <c r="I348" s="570"/>
      <c r="J348" s="571"/>
      <c r="K348" s="572" t="s">
        <v>162</v>
      </c>
      <c r="L348" s="573"/>
      <c r="M348" s="574"/>
      <c r="N348" s="575" t="s">
        <v>159</v>
      </c>
      <c r="O348" s="576"/>
      <c r="P348" s="576"/>
      <c r="Q348" s="576"/>
      <c r="R348" s="576"/>
      <c r="S348" s="576"/>
      <c r="T348" s="576"/>
      <c r="U348" s="577"/>
    </row>
    <row r="349" spans="1:21" ht="35.1" customHeight="1" x14ac:dyDescent="0.25">
      <c r="A349" s="263">
        <f t="shared" si="5"/>
        <v>335</v>
      </c>
      <c r="B349" s="578" t="s">
        <v>159</v>
      </c>
      <c r="C349" s="578"/>
      <c r="D349" s="579" t="s">
        <v>159</v>
      </c>
      <c r="E349" s="579"/>
      <c r="F349" s="568" t="s">
        <v>162</v>
      </c>
      <c r="G349" s="568"/>
      <c r="H349" s="580"/>
      <c r="I349" s="581"/>
      <c r="J349" s="582"/>
      <c r="K349" s="572" t="s">
        <v>162</v>
      </c>
      <c r="L349" s="573"/>
      <c r="M349" s="574"/>
      <c r="N349" s="583" t="s">
        <v>159</v>
      </c>
      <c r="O349" s="584"/>
      <c r="P349" s="584"/>
      <c r="Q349" s="584"/>
      <c r="R349" s="584"/>
      <c r="S349" s="584"/>
      <c r="T349" s="584"/>
      <c r="U349" s="585"/>
    </row>
    <row r="350" spans="1:21" ht="35.1" customHeight="1" x14ac:dyDescent="0.25">
      <c r="A350" s="263">
        <f t="shared" si="5"/>
        <v>336</v>
      </c>
      <c r="B350" s="566" t="s">
        <v>450</v>
      </c>
      <c r="C350" s="566"/>
      <c r="D350" s="567" t="s">
        <v>159</v>
      </c>
      <c r="E350" s="567"/>
      <c r="F350" s="568" t="s">
        <v>162</v>
      </c>
      <c r="G350" s="568"/>
      <c r="H350" s="569"/>
      <c r="I350" s="570"/>
      <c r="J350" s="571"/>
      <c r="K350" s="572" t="s">
        <v>162</v>
      </c>
      <c r="L350" s="573"/>
      <c r="M350" s="574"/>
      <c r="N350" s="575" t="s">
        <v>159</v>
      </c>
      <c r="O350" s="576"/>
      <c r="P350" s="576"/>
      <c r="Q350" s="576"/>
      <c r="R350" s="576"/>
      <c r="S350" s="576"/>
      <c r="T350" s="576"/>
      <c r="U350" s="577"/>
    </row>
    <row r="351" spans="1:21" ht="35.1" customHeight="1" x14ac:dyDescent="0.25">
      <c r="A351" s="263">
        <f t="shared" si="5"/>
        <v>337</v>
      </c>
      <c r="B351" s="578" t="s">
        <v>159</v>
      </c>
      <c r="C351" s="578"/>
      <c r="D351" s="579" t="s">
        <v>159</v>
      </c>
      <c r="E351" s="579"/>
      <c r="F351" s="568" t="s">
        <v>162</v>
      </c>
      <c r="G351" s="568"/>
      <c r="H351" s="580"/>
      <c r="I351" s="581"/>
      <c r="J351" s="582"/>
      <c r="K351" s="572" t="s">
        <v>162</v>
      </c>
      <c r="L351" s="573"/>
      <c r="M351" s="574"/>
      <c r="N351" s="583" t="s">
        <v>159</v>
      </c>
      <c r="O351" s="584"/>
      <c r="P351" s="584"/>
      <c r="Q351" s="584"/>
      <c r="R351" s="584"/>
      <c r="S351" s="584"/>
      <c r="T351" s="584"/>
      <c r="U351" s="585"/>
    </row>
    <row r="352" spans="1:21" ht="35.1" customHeight="1" x14ac:dyDescent="0.25">
      <c r="A352" s="263">
        <f t="shared" si="5"/>
        <v>338</v>
      </c>
      <c r="B352" s="566" t="s">
        <v>159</v>
      </c>
      <c r="C352" s="566"/>
      <c r="D352" s="567" t="s">
        <v>159</v>
      </c>
      <c r="E352" s="567"/>
      <c r="F352" s="568" t="s">
        <v>162</v>
      </c>
      <c r="G352" s="568"/>
      <c r="H352" s="569"/>
      <c r="I352" s="570"/>
      <c r="J352" s="571"/>
      <c r="K352" s="572" t="s">
        <v>162</v>
      </c>
      <c r="L352" s="573"/>
      <c r="M352" s="574"/>
      <c r="N352" s="575" t="s">
        <v>159</v>
      </c>
      <c r="O352" s="576"/>
      <c r="P352" s="576"/>
      <c r="Q352" s="576"/>
      <c r="R352" s="576"/>
      <c r="S352" s="576"/>
      <c r="T352" s="576"/>
      <c r="U352" s="577"/>
    </row>
    <row r="353" spans="1:21" ht="35.1" customHeight="1" x14ac:dyDescent="0.25">
      <c r="A353" s="263">
        <f t="shared" si="5"/>
        <v>339</v>
      </c>
      <c r="B353" s="578" t="s">
        <v>442</v>
      </c>
      <c r="C353" s="578"/>
      <c r="D353" s="579" t="s">
        <v>159</v>
      </c>
      <c r="E353" s="579"/>
      <c r="F353" s="568" t="s">
        <v>162</v>
      </c>
      <c r="G353" s="568"/>
      <c r="H353" s="580"/>
      <c r="I353" s="581"/>
      <c r="J353" s="582"/>
      <c r="K353" s="572" t="s">
        <v>162</v>
      </c>
      <c r="L353" s="573"/>
      <c r="M353" s="574"/>
      <c r="N353" s="583" t="s">
        <v>159</v>
      </c>
      <c r="O353" s="584"/>
      <c r="P353" s="584"/>
      <c r="Q353" s="584"/>
      <c r="R353" s="584"/>
      <c r="S353" s="584"/>
      <c r="T353" s="584"/>
      <c r="U353" s="585"/>
    </row>
    <row r="354" spans="1:21" ht="35.1" customHeight="1" x14ac:dyDescent="0.25">
      <c r="A354" s="263">
        <f t="shared" si="5"/>
        <v>340</v>
      </c>
      <c r="B354" s="566" t="s">
        <v>159</v>
      </c>
      <c r="C354" s="566"/>
      <c r="D354" s="567" t="s">
        <v>159</v>
      </c>
      <c r="E354" s="567"/>
      <c r="F354" s="568" t="s">
        <v>162</v>
      </c>
      <c r="G354" s="568"/>
      <c r="H354" s="569"/>
      <c r="I354" s="570"/>
      <c r="J354" s="571"/>
      <c r="K354" s="572" t="s">
        <v>162</v>
      </c>
      <c r="L354" s="573"/>
      <c r="M354" s="574"/>
      <c r="N354" s="575" t="s">
        <v>159</v>
      </c>
      <c r="O354" s="576"/>
      <c r="P354" s="576"/>
      <c r="Q354" s="576"/>
      <c r="R354" s="576"/>
      <c r="S354" s="576"/>
      <c r="T354" s="576"/>
      <c r="U354" s="577"/>
    </row>
    <row r="355" spans="1:21" ht="35.1" customHeight="1" x14ac:dyDescent="0.25">
      <c r="A355" s="263">
        <f t="shared" si="5"/>
        <v>341</v>
      </c>
      <c r="B355" s="578" t="s">
        <v>159</v>
      </c>
      <c r="C355" s="578"/>
      <c r="D355" s="579" t="s">
        <v>159</v>
      </c>
      <c r="E355" s="579"/>
      <c r="F355" s="568" t="s">
        <v>162</v>
      </c>
      <c r="G355" s="568"/>
      <c r="H355" s="580"/>
      <c r="I355" s="581"/>
      <c r="J355" s="582"/>
      <c r="K355" s="572" t="s">
        <v>162</v>
      </c>
      <c r="L355" s="573"/>
      <c r="M355" s="574"/>
      <c r="N355" s="583" t="s">
        <v>159</v>
      </c>
      <c r="O355" s="584"/>
      <c r="P355" s="584"/>
      <c r="Q355" s="584"/>
      <c r="R355" s="584"/>
      <c r="S355" s="584"/>
      <c r="T355" s="584"/>
      <c r="U355" s="585"/>
    </row>
    <row r="356" spans="1:21" ht="35.1" customHeight="1" x14ac:dyDescent="0.25">
      <c r="A356" s="263">
        <f t="shared" si="5"/>
        <v>342</v>
      </c>
      <c r="B356" s="566" t="s">
        <v>159</v>
      </c>
      <c r="C356" s="566"/>
      <c r="D356" s="567" t="s">
        <v>159</v>
      </c>
      <c r="E356" s="567"/>
      <c r="F356" s="568" t="s">
        <v>162</v>
      </c>
      <c r="G356" s="568"/>
      <c r="H356" s="569"/>
      <c r="I356" s="570"/>
      <c r="J356" s="571"/>
      <c r="K356" s="572" t="s">
        <v>162</v>
      </c>
      <c r="L356" s="573"/>
      <c r="M356" s="574"/>
      <c r="N356" s="575" t="s">
        <v>159</v>
      </c>
      <c r="O356" s="576"/>
      <c r="P356" s="576"/>
      <c r="Q356" s="576"/>
      <c r="R356" s="576"/>
      <c r="S356" s="576"/>
      <c r="T356" s="576"/>
      <c r="U356" s="577"/>
    </row>
    <row r="357" spans="1:21" ht="35.1" customHeight="1" x14ac:dyDescent="0.25">
      <c r="A357" s="263">
        <f t="shared" si="5"/>
        <v>343</v>
      </c>
      <c r="B357" s="578" t="s">
        <v>159</v>
      </c>
      <c r="C357" s="578"/>
      <c r="D357" s="579" t="s">
        <v>159</v>
      </c>
      <c r="E357" s="579"/>
      <c r="F357" s="568" t="s">
        <v>162</v>
      </c>
      <c r="G357" s="568"/>
      <c r="H357" s="580"/>
      <c r="I357" s="581"/>
      <c r="J357" s="582"/>
      <c r="K357" s="572" t="s">
        <v>162</v>
      </c>
      <c r="L357" s="573"/>
      <c r="M357" s="574"/>
      <c r="N357" s="583" t="s">
        <v>159</v>
      </c>
      <c r="O357" s="584"/>
      <c r="P357" s="584"/>
      <c r="Q357" s="584"/>
      <c r="R357" s="584"/>
      <c r="S357" s="584"/>
      <c r="T357" s="584"/>
      <c r="U357" s="585"/>
    </row>
    <row r="358" spans="1:21" ht="35.1" customHeight="1" x14ac:dyDescent="0.25">
      <c r="A358" s="263">
        <f t="shared" si="5"/>
        <v>344</v>
      </c>
      <c r="B358" s="566" t="s">
        <v>159</v>
      </c>
      <c r="C358" s="566"/>
      <c r="D358" s="567" t="s">
        <v>159</v>
      </c>
      <c r="E358" s="567"/>
      <c r="F358" s="568" t="s">
        <v>162</v>
      </c>
      <c r="G358" s="568"/>
      <c r="H358" s="569"/>
      <c r="I358" s="570"/>
      <c r="J358" s="571"/>
      <c r="K358" s="572" t="s">
        <v>162</v>
      </c>
      <c r="L358" s="573"/>
      <c r="M358" s="574"/>
      <c r="N358" s="575" t="s">
        <v>159</v>
      </c>
      <c r="O358" s="576"/>
      <c r="P358" s="576"/>
      <c r="Q358" s="576"/>
      <c r="R358" s="576"/>
      <c r="S358" s="576"/>
      <c r="T358" s="576"/>
      <c r="U358" s="577"/>
    </row>
    <row r="359" spans="1:21" ht="35.1" customHeight="1" x14ac:dyDescent="0.25">
      <c r="A359" s="263">
        <f t="shared" si="5"/>
        <v>345</v>
      </c>
      <c r="B359" s="578" t="s">
        <v>446</v>
      </c>
      <c r="C359" s="578"/>
      <c r="D359" s="579" t="s">
        <v>159</v>
      </c>
      <c r="E359" s="579"/>
      <c r="F359" s="568" t="s">
        <v>162</v>
      </c>
      <c r="G359" s="568"/>
      <c r="H359" s="580"/>
      <c r="I359" s="581"/>
      <c r="J359" s="582"/>
      <c r="K359" s="572" t="s">
        <v>162</v>
      </c>
      <c r="L359" s="573"/>
      <c r="M359" s="574"/>
      <c r="N359" s="583" t="s">
        <v>159</v>
      </c>
      <c r="O359" s="584"/>
      <c r="P359" s="584"/>
      <c r="Q359" s="584"/>
      <c r="R359" s="584"/>
      <c r="S359" s="584"/>
      <c r="T359" s="584"/>
      <c r="U359" s="585"/>
    </row>
    <row r="360" spans="1:21" ht="35.1" customHeight="1" x14ac:dyDescent="0.25">
      <c r="A360" s="263">
        <f t="shared" si="5"/>
        <v>346</v>
      </c>
      <c r="B360" s="566" t="s">
        <v>159</v>
      </c>
      <c r="C360" s="566"/>
      <c r="D360" s="567" t="s">
        <v>159</v>
      </c>
      <c r="E360" s="567"/>
      <c r="F360" s="568" t="s">
        <v>162</v>
      </c>
      <c r="G360" s="568"/>
      <c r="H360" s="569"/>
      <c r="I360" s="570"/>
      <c r="J360" s="571"/>
      <c r="K360" s="572" t="s">
        <v>162</v>
      </c>
      <c r="L360" s="573"/>
      <c r="M360" s="574"/>
      <c r="N360" s="575" t="s">
        <v>159</v>
      </c>
      <c r="O360" s="576"/>
      <c r="P360" s="576"/>
      <c r="Q360" s="576"/>
      <c r="R360" s="576"/>
      <c r="S360" s="576"/>
      <c r="T360" s="576"/>
      <c r="U360" s="577"/>
    </row>
    <row r="361" spans="1:21" ht="35.1" customHeight="1" x14ac:dyDescent="0.25">
      <c r="A361" s="263">
        <f t="shared" si="5"/>
        <v>347</v>
      </c>
      <c r="B361" s="578" t="s">
        <v>159</v>
      </c>
      <c r="C361" s="578"/>
      <c r="D361" s="579" t="s">
        <v>159</v>
      </c>
      <c r="E361" s="579"/>
      <c r="F361" s="568" t="s">
        <v>162</v>
      </c>
      <c r="G361" s="568"/>
      <c r="H361" s="580"/>
      <c r="I361" s="581"/>
      <c r="J361" s="582"/>
      <c r="K361" s="572" t="s">
        <v>162</v>
      </c>
      <c r="L361" s="573"/>
      <c r="M361" s="574"/>
      <c r="N361" s="583" t="s">
        <v>159</v>
      </c>
      <c r="O361" s="584"/>
      <c r="P361" s="584"/>
      <c r="Q361" s="584"/>
      <c r="R361" s="584"/>
      <c r="S361" s="584"/>
      <c r="T361" s="584"/>
      <c r="U361" s="585"/>
    </row>
    <row r="362" spans="1:21" ht="35.1" customHeight="1" x14ac:dyDescent="0.25">
      <c r="A362" s="263">
        <f t="shared" si="5"/>
        <v>348</v>
      </c>
      <c r="B362" s="566" t="s">
        <v>159</v>
      </c>
      <c r="C362" s="566"/>
      <c r="D362" s="567" t="s">
        <v>159</v>
      </c>
      <c r="E362" s="567"/>
      <c r="F362" s="568" t="s">
        <v>162</v>
      </c>
      <c r="G362" s="568"/>
      <c r="H362" s="569"/>
      <c r="I362" s="570"/>
      <c r="J362" s="571"/>
      <c r="K362" s="572" t="s">
        <v>162</v>
      </c>
      <c r="L362" s="573"/>
      <c r="M362" s="574"/>
      <c r="N362" s="575" t="s">
        <v>159</v>
      </c>
      <c r="O362" s="576"/>
      <c r="P362" s="576"/>
      <c r="Q362" s="576"/>
      <c r="R362" s="576"/>
      <c r="S362" s="576"/>
      <c r="T362" s="576"/>
      <c r="U362" s="577"/>
    </row>
    <row r="363" spans="1:21" ht="35.1" customHeight="1" x14ac:dyDescent="0.25">
      <c r="A363" s="263">
        <f t="shared" si="5"/>
        <v>349</v>
      </c>
      <c r="B363" s="578" t="s">
        <v>159</v>
      </c>
      <c r="C363" s="578"/>
      <c r="D363" s="579" t="s">
        <v>159</v>
      </c>
      <c r="E363" s="579"/>
      <c r="F363" s="568" t="s">
        <v>162</v>
      </c>
      <c r="G363" s="568"/>
      <c r="H363" s="580"/>
      <c r="I363" s="581"/>
      <c r="J363" s="582"/>
      <c r="K363" s="572" t="s">
        <v>162</v>
      </c>
      <c r="L363" s="573"/>
      <c r="M363" s="574"/>
      <c r="N363" s="583" t="s">
        <v>159</v>
      </c>
      <c r="O363" s="584"/>
      <c r="P363" s="584"/>
      <c r="Q363" s="584"/>
      <c r="R363" s="584"/>
      <c r="S363" s="584"/>
      <c r="T363" s="584"/>
      <c r="U363" s="585"/>
    </row>
    <row r="364" spans="1:21" ht="35.1" customHeight="1" x14ac:dyDescent="0.25">
      <c r="A364" s="263">
        <f t="shared" si="5"/>
        <v>350</v>
      </c>
      <c r="B364" s="566" t="s">
        <v>159</v>
      </c>
      <c r="C364" s="566"/>
      <c r="D364" s="567" t="s">
        <v>159</v>
      </c>
      <c r="E364" s="567"/>
      <c r="F364" s="568" t="s">
        <v>162</v>
      </c>
      <c r="G364" s="568"/>
      <c r="H364" s="569"/>
      <c r="I364" s="570"/>
      <c r="J364" s="571"/>
      <c r="K364" s="572" t="s">
        <v>162</v>
      </c>
      <c r="L364" s="573"/>
      <c r="M364" s="574"/>
      <c r="N364" s="575" t="s">
        <v>159</v>
      </c>
      <c r="O364" s="576"/>
      <c r="P364" s="576"/>
      <c r="Q364" s="576"/>
      <c r="R364" s="576"/>
      <c r="S364" s="576"/>
      <c r="T364" s="576"/>
      <c r="U364" s="577"/>
    </row>
    <row r="365" spans="1:21" ht="35.1" customHeight="1" x14ac:dyDescent="0.25">
      <c r="A365" s="263">
        <f t="shared" si="5"/>
        <v>351</v>
      </c>
      <c r="B365" s="578" t="s">
        <v>159</v>
      </c>
      <c r="C365" s="578"/>
      <c r="D365" s="579" t="s">
        <v>159</v>
      </c>
      <c r="E365" s="579"/>
      <c r="F365" s="568" t="s">
        <v>162</v>
      </c>
      <c r="G365" s="568"/>
      <c r="H365" s="580"/>
      <c r="I365" s="581"/>
      <c r="J365" s="582"/>
      <c r="K365" s="572" t="s">
        <v>162</v>
      </c>
      <c r="L365" s="573"/>
      <c r="M365" s="574"/>
      <c r="N365" s="583" t="s">
        <v>159</v>
      </c>
      <c r="O365" s="584"/>
      <c r="P365" s="584"/>
      <c r="Q365" s="584"/>
      <c r="R365" s="584"/>
      <c r="S365" s="584"/>
      <c r="T365" s="584"/>
      <c r="U365" s="585"/>
    </row>
    <row r="366" spans="1:21" ht="35.1" customHeight="1" x14ac:dyDescent="0.25">
      <c r="A366" s="263">
        <f t="shared" si="5"/>
        <v>352</v>
      </c>
      <c r="B366" s="566" t="s">
        <v>159</v>
      </c>
      <c r="C366" s="566"/>
      <c r="D366" s="567" t="s">
        <v>159</v>
      </c>
      <c r="E366" s="567"/>
      <c r="F366" s="568" t="s">
        <v>162</v>
      </c>
      <c r="G366" s="568"/>
      <c r="H366" s="569"/>
      <c r="I366" s="570"/>
      <c r="J366" s="571"/>
      <c r="K366" s="572" t="s">
        <v>162</v>
      </c>
      <c r="L366" s="573"/>
      <c r="M366" s="574"/>
      <c r="N366" s="575" t="s">
        <v>159</v>
      </c>
      <c r="O366" s="576"/>
      <c r="P366" s="576"/>
      <c r="Q366" s="576"/>
      <c r="R366" s="576"/>
      <c r="S366" s="576"/>
      <c r="T366" s="576"/>
      <c r="U366" s="577"/>
    </row>
    <row r="367" spans="1:21" ht="35.1" customHeight="1" x14ac:dyDescent="0.25">
      <c r="A367" s="263">
        <f t="shared" si="5"/>
        <v>353</v>
      </c>
      <c r="B367" s="578" t="s">
        <v>159</v>
      </c>
      <c r="C367" s="578"/>
      <c r="D367" s="579" t="s">
        <v>159</v>
      </c>
      <c r="E367" s="579"/>
      <c r="F367" s="568" t="s">
        <v>162</v>
      </c>
      <c r="G367" s="568"/>
      <c r="H367" s="580"/>
      <c r="I367" s="581"/>
      <c r="J367" s="582"/>
      <c r="K367" s="572" t="s">
        <v>162</v>
      </c>
      <c r="L367" s="573"/>
      <c r="M367" s="574"/>
      <c r="N367" s="583" t="s">
        <v>159</v>
      </c>
      <c r="O367" s="584"/>
      <c r="P367" s="584"/>
      <c r="Q367" s="584"/>
      <c r="R367" s="584"/>
      <c r="S367" s="584"/>
      <c r="T367" s="584"/>
      <c r="U367" s="585"/>
    </row>
    <row r="368" spans="1:21" ht="35.1" customHeight="1" x14ac:dyDescent="0.25">
      <c r="A368" s="263">
        <f t="shared" si="5"/>
        <v>354</v>
      </c>
      <c r="B368" s="566" t="s">
        <v>159</v>
      </c>
      <c r="C368" s="566"/>
      <c r="D368" s="567" t="s">
        <v>159</v>
      </c>
      <c r="E368" s="567"/>
      <c r="F368" s="568" t="s">
        <v>162</v>
      </c>
      <c r="G368" s="568"/>
      <c r="H368" s="569"/>
      <c r="I368" s="570"/>
      <c r="J368" s="571"/>
      <c r="K368" s="572" t="s">
        <v>162</v>
      </c>
      <c r="L368" s="573"/>
      <c r="M368" s="574"/>
      <c r="N368" s="575" t="s">
        <v>159</v>
      </c>
      <c r="O368" s="576"/>
      <c r="P368" s="576"/>
      <c r="Q368" s="576"/>
      <c r="R368" s="576"/>
      <c r="S368" s="576"/>
      <c r="T368" s="576"/>
      <c r="U368" s="577"/>
    </row>
    <row r="369" spans="1:21" ht="35.1" customHeight="1" x14ac:dyDescent="0.25">
      <c r="A369" s="263">
        <f t="shared" si="5"/>
        <v>355</v>
      </c>
      <c r="B369" s="578" t="s">
        <v>159</v>
      </c>
      <c r="C369" s="578"/>
      <c r="D369" s="579" t="s">
        <v>159</v>
      </c>
      <c r="E369" s="579"/>
      <c r="F369" s="568" t="s">
        <v>162</v>
      </c>
      <c r="G369" s="568"/>
      <c r="H369" s="580"/>
      <c r="I369" s="581"/>
      <c r="J369" s="582"/>
      <c r="K369" s="572" t="s">
        <v>162</v>
      </c>
      <c r="L369" s="573"/>
      <c r="M369" s="574"/>
      <c r="N369" s="583" t="s">
        <v>159</v>
      </c>
      <c r="O369" s="584"/>
      <c r="P369" s="584"/>
      <c r="Q369" s="584"/>
      <c r="R369" s="584"/>
      <c r="S369" s="584"/>
      <c r="T369" s="584"/>
      <c r="U369" s="585"/>
    </row>
    <row r="370" spans="1:21" ht="35.1" customHeight="1" x14ac:dyDescent="0.25">
      <c r="A370" s="263">
        <f t="shared" si="5"/>
        <v>356</v>
      </c>
      <c r="B370" s="566" t="s">
        <v>159</v>
      </c>
      <c r="C370" s="566"/>
      <c r="D370" s="567" t="s">
        <v>159</v>
      </c>
      <c r="E370" s="567"/>
      <c r="F370" s="568" t="s">
        <v>162</v>
      </c>
      <c r="G370" s="568"/>
      <c r="H370" s="569"/>
      <c r="I370" s="570"/>
      <c r="J370" s="571"/>
      <c r="K370" s="572" t="s">
        <v>162</v>
      </c>
      <c r="L370" s="573"/>
      <c r="M370" s="574"/>
      <c r="N370" s="575" t="s">
        <v>159</v>
      </c>
      <c r="O370" s="576"/>
      <c r="P370" s="576"/>
      <c r="Q370" s="576"/>
      <c r="R370" s="576"/>
      <c r="S370" s="576"/>
      <c r="T370" s="576"/>
      <c r="U370" s="577"/>
    </row>
    <row r="371" spans="1:21" ht="35.1" customHeight="1" x14ac:dyDescent="0.25">
      <c r="A371" s="263">
        <f t="shared" si="5"/>
        <v>357</v>
      </c>
      <c r="B371" s="578" t="s">
        <v>445</v>
      </c>
      <c r="C371" s="578"/>
      <c r="D371" s="579" t="s">
        <v>159</v>
      </c>
      <c r="E371" s="579"/>
      <c r="F371" s="568" t="s">
        <v>162</v>
      </c>
      <c r="G371" s="568"/>
      <c r="H371" s="580"/>
      <c r="I371" s="581"/>
      <c r="J371" s="582"/>
      <c r="K371" s="572" t="s">
        <v>162</v>
      </c>
      <c r="L371" s="573"/>
      <c r="M371" s="574"/>
      <c r="N371" s="583" t="s">
        <v>159</v>
      </c>
      <c r="O371" s="584"/>
      <c r="P371" s="584"/>
      <c r="Q371" s="584"/>
      <c r="R371" s="584"/>
      <c r="S371" s="584"/>
      <c r="T371" s="584"/>
      <c r="U371" s="585"/>
    </row>
    <row r="372" spans="1:21" ht="35.1" customHeight="1" x14ac:dyDescent="0.25">
      <c r="A372" s="263">
        <f t="shared" si="5"/>
        <v>358</v>
      </c>
      <c r="B372" s="566" t="s">
        <v>159</v>
      </c>
      <c r="C372" s="566"/>
      <c r="D372" s="567" t="s">
        <v>159</v>
      </c>
      <c r="E372" s="567"/>
      <c r="F372" s="568" t="s">
        <v>162</v>
      </c>
      <c r="G372" s="568"/>
      <c r="H372" s="569"/>
      <c r="I372" s="570"/>
      <c r="J372" s="571"/>
      <c r="K372" s="572" t="s">
        <v>162</v>
      </c>
      <c r="L372" s="573"/>
      <c r="M372" s="574"/>
      <c r="N372" s="575" t="s">
        <v>159</v>
      </c>
      <c r="O372" s="576"/>
      <c r="P372" s="576"/>
      <c r="Q372" s="576"/>
      <c r="R372" s="576"/>
      <c r="S372" s="576"/>
      <c r="T372" s="576"/>
      <c r="U372" s="577"/>
    </row>
    <row r="373" spans="1:21" ht="35.1" customHeight="1" x14ac:dyDescent="0.25">
      <c r="A373" s="263">
        <f t="shared" si="5"/>
        <v>359</v>
      </c>
      <c r="B373" s="578" t="s">
        <v>159</v>
      </c>
      <c r="C373" s="578"/>
      <c r="D373" s="579" t="s">
        <v>159</v>
      </c>
      <c r="E373" s="579"/>
      <c r="F373" s="568" t="s">
        <v>162</v>
      </c>
      <c r="G373" s="568"/>
      <c r="H373" s="580"/>
      <c r="I373" s="581"/>
      <c r="J373" s="582"/>
      <c r="K373" s="572" t="s">
        <v>162</v>
      </c>
      <c r="L373" s="573"/>
      <c r="M373" s="574"/>
      <c r="N373" s="583" t="s">
        <v>159</v>
      </c>
      <c r="O373" s="584"/>
      <c r="P373" s="584"/>
      <c r="Q373" s="584"/>
      <c r="R373" s="584"/>
      <c r="S373" s="584"/>
      <c r="T373" s="584"/>
      <c r="U373" s="585"/>
    </row>
    <row r="374" spans="1:21" ht="35.1" customHeight="1" x14ac:dyDescent="0.25">
      <c r="A374" s="263">
        <f t="shared" si="5"/>
        <v>360</v>
      </c>
      <c r="B374" s="566" t="s">
        <v>159</v>
      </c>
      <c r="C374" s="566"/>
      <c r="D374" s="567" t="s">
        <v>159</v>
      </c>
      <c r="E374" s="567"/>
      <c r="F374" s="568" t="s">
        <v>162</v>
      </c>
      <c r="G374" s="568"/>
      <c r="H374" s="569"/>
      <c r="I374" s="570"/>
      <c r="J374" s="571"/>
      <c r="K374" s="572" t="s">
        <v>162</v>
      </c>
      <c r="L374" s="573"/>
      <c r="M374" s="574"/>
      <c r="N374" s="575" t="s">
        <v>159</v>
      </c>
      <c r="O374" s="576"/>
      <c r="P374" s="576"/>
      <c r="Q374" s="576"/>
      <c r="R374" s="576"/>
      <c r="S374" s="576"/>
      <c r="T374" s="576"/>
      <c r="U374" s="577"/>
    </row>
    <row r="375" spans="1:21" ht="35.1" customHeight="1" x14ac:dyDescent="0.25">
      <c r="A375" s="263">
        <f t="shared" si="5"/>
        <v>361</v>
      </c>
      <c r="B375" s="578" t="s">
        <v>159</v>
      </c>
      <c r="C375" s="578"/>
      <c r="D375" s="579" t="s">
        <v>159</v>
      </c>
      <c r="E375" s="579"/>
      <c r="F375" s="568" t="s">
        <v>162</v>
      </c>
      <c r="G375" s="568"/>
      <c r="H375" s="580"/>
      <c r="I375" s="581"/>
      <c r="J375" s="582"/>
      <c r="K375" s="572" t="s">
        <v>162</v>
      </c>
      <c r="L375" s="573"/>
      <c r="M375" s="574"/>
      <c r="N375" s="583" t="s">
        <v>159</v>
      </c>
      <c r="O375" s="584"/>
      <c r="P375" s="584"/>
      <c r="Q375" s="584"/>
      <c r="R375" s="584"/>
      <c r="S375" s="584"/>
      <c r="T375" s="584"/>
      <c r="U375" s="585"/>
    </row>
    <row r="376" spans="1:21" ht="35.1" customHeight="1" x14ac:dyDescent="0.25">
      <c r="A376" s="263">
        <f t="shared" si="5"/>
        <v>362</v>
      </c>
      <c r="B376" s="566" t="s">
        <v>159</v>
      </c>
      <c r="C376" s="566"/>
      <c r="D376" s="567" t="s">
        <v>159</v>
      </c>
      <c r="E376" s="567"/>
      <c r="F376" s="568" t="s">
        <v>162</v>
      </c>
      <c r="G376" s="568"/>
      <c r="H376" s="569"/>
      <c r="I376" s="570"/>
      <c r="J376" s="571"/>
      <c r="K376" s="572" t="s">
        <v>162</v>
      </c>
      <c r="L376" s="573"/>
      <c r="M376" s="574"/>
      <c r="N376" s="575" t="s">
        <v>159</v>
      </c>
      <c r="O376" s="576"/>
      <c r="P376" s="576"/>
      <c r="Q376" s="576"/>
      <c r="R376" s="576"/>
      <c r="S376" s="576"/>
      <c r="T376" s="576"/>
      <c r="U376" s="577"/>
    </row>
    <row r="377" spans="1:21" ht="35.1" customHeight="1" x14ac:dyDescent="0.25">
      <c r="A377" s="263">
        <f t="shared" si="5"/>
        <v>363</v>
      </c>
      <c r="B377" s="578" t="s">
        <v>449</v>
      </c>
      <c r="C377" s="578"/>
      <c r="D377" s="579" t="s">
        <v>159</v>
      </c>
      <c r="E377" s="579"/>
      <c r="F377" s="568" t="s">
        <v>162</v>
      </c>
      <c r="G377" s="568"/>
      <c r="H377" s="580"/>
      <c r="I377" s="581"/>
      <c r="J377" s="582"/>
      <c r="K377" s="572" t="s">
        <v>162</v>
      </c>
      <c r="L377" s="573"/>
      <c r="M377" s="574"/>
      <c r="N377" s="583" t="s">
        <v>159</v>
      </c>
      <c r="O377" s="584"/>
      <c r="P377" s="584"/>
      <c r="Q377" s="584"/>
      <c r="R377" s="584"/>
      <c r="S377" s="584"/>
      <c r="T377" s="584"/>
      <c r="U377" s="585"/>
    </row>
    <row r="378" spans="1:21" ht="35.1" customHeight="1" x14ac:dyDescent="0.25">
      <c r="A378" s="263">
        <f t="shared" si="5"/>
        <v>364</v>
      </c>
      <c r="B378" s="566" t="s">
        <v>159</v>
      </c>
      <c r="C378" s="566"/>
      <c r="D378" s="567" t="s">
        <v>159</v>
      </c>
      <c r="E378" s="567"/>
      <c r="F378" s="568" t="s">
        <v>162</v>
      </c>
      <c r="G378" s="568"/>
      <c r="H378" s="569"/>
      <c r="I378" s="570"/>
      <c r="J378" s="571"/>
      <c r="K378" s="572" t="s">
        <v>162</v>
      </c>
      <c r="L378" s="573"/>
      <c r="M378" s="574"/>
      <c r="N378" s="575" t="s">
        <v>159</v>
      </c>
      <c r="O378" s="576"/>
      <c r="P378" s="576"/>
      <c r="Q378" s="576"/>
      <c r="R378" s="576"/>
      <c r="S378" s="576"/>
      <c r="T378" s="576"/>
      <c r="U378" s="577"/>
    </row>
    <row r="379" spans="1:21" ht="35.1" customHeight="1" x14ac:dyDescent="0.25">
      <c r="A379" s="263">
        <f t="shared" si="5"/>
        <v>365</v>
      </c>
      <c r="B379" s="578" t="s">
        <v>159</v>
      </c>
      <c r="C379" s="578"/>
      <c r="D379" s="579" t="s">
        <v>159</v>
      </c>
      <c r="E379" s="579"/>
      <c r="F379" s="568" t="s">
        <v>162</v>
      </c>
      <c r="G379" s="568"/>
      <c r="H379" s="580"/>
      <c r="I379" s="581"/>
      <c r="J379" s="582"/>
      <c r="K379" s="572" t="s">
        <v>162</v>
      </c>
      <c r="L379" s="573"/>
      <c r="M379" s="574"/>
      <c r="N379" s="583" t="s">
        <v>159</v>
      </c>
      <c r="O379" s="584"/>
      <c r="P379" s="584"/>
      <c r="Q379" s="584"/>
      <c r="R379" s="584"/>
      <c r="S379" s="584"/>
      <c r="T379" s="584"/>
      <c r="U379" s="585"/>
    </row>
    <row r="380" spans="1:21" ht="35.1" customHeight="1" x14ac:dyDescent="0.25">
      <c r="A380" s="263">
        <f t="shared" si="5"/>
        <v>366</v>
      </c>
      <c r="B380" s="566" t="s">
        <v>159</v>
      </c>
      <c r="C380" s="566"/>
      <c r="D380" s="567" t="s">
        <v>159</v>
      </c>
      <c r="E380" s="567"/>
      <c r="F380" s="568" t="s">
        <v>162</v>
      </c>
      <c r="G380" s="568"/>
      <c r="H380" s="569"/>
      <c r="I380" s="570"/>
      <c r="J380" s="571"/>
      <c r="K380" s="572" t="s">
        <v>162</v>
      </c>
      <c r="L380" s="573"/>
      <c r="M380" s="574"/>
      <c r="N380" s="575" t="s">
        <v>159</v>
      </c>
      <c r="O380" s="576"/>
      <c r="P380" s="576"/>
      <c r="Q380" s="576"/>
      <c r="R380" s="576"/>
      <c r="S380" s="576"/>
      <c r="T380" s="576"/>
      <c r="U380" s="577"/>
    </row>
    <row r="381" spans="1:21" ht="35.1" customHeight="1" x14ac:dyDescent="0.25">
      <c r="A381" s="263">
        <f t="shared" si="5"/>
        <v>367</v>
      </c>
      <c r="B381" s="578" t="s">
        <v>159</v>
      </c>
      <c r="C381" s="578"/>
      <c r="D381" s="579" t="s">
        <v>159</v>
      </c>
      <c r="E381" s="579"/>
      <c r="F381" s="568" t="s">
        <v>162</v>
      </c>
      <c r="G381" s="568"/>
      <c r="H381" s="580"/>
      <c r="I381" s="581"/>
      <c r="J381" s="582"/>
      <c r="K381" s="572" t="s">
        <v>162</v>
      </c>
      <c r="L381" s="573"/>
      <c r="M381" s="574"/>
      <c r="N381" s="583" t="s">
        <v>159</v>
      </c>
      <c r="O381" s="584"/>
      <c r="P381" s="584"/>
      <c r="Q381" s="584"/>
      <c r="R381" s="584"/>
      <c r="S381" s="584"/>
      <c r="T381" s="584"/>
      <c r="U381" s="585"/>
    </row>
    <row r="382" spans="1:21" ht="35.1" customHeight="1" x14ac:dyDescent="0.25">
      <c r="A382" s="263">
        <f t="shared" si="5"/>
        <v>368</v>
      </c>
      <c r="B382" s="566" t="s">
        <v>443</v>
      </c>
      <c r="C382" s="566"/>
      <c r="D382" s="567" t="s">
        <v>159</v>
      </c>
      <c r="E382" s="567"/>
      <c r="F382" s="568" t="s">
        <v>162</v>
      </c>
      <c r="G382" s="568"/>
      <c r="H382" s="569"/>
      <c r="I382" s="570"/>
      <c r="J382" s="571"/>
      <c r="K382" s="572" t="s">
        <v>162</v>
      </c>
      <c r="L382" s="573"/>
      <c r="M382" s="574"/>
      <c r="N382" s="575" t="s">
        <v>159</v>
      </c>
      <c r="O382" s="576"/>
      <c r="P382" s="576"/>
      <c r="Q382" s="576"/>
      <c r="R382" s="576"/>
      <c r="S382" s="576"/>
      <c r="T382" s="576"/>
      <c r="U382" s="577"/>
    </row>
    <row r="383" spans="1:21" ht="35.1" customHeight="1" x14ac:dyDescent="0.25">
      <c r="A383" s="263">
        <f t="shared" si="5"/>
        <v>369</v>
      </c>
      <c r="B383" s="578" t="s">
        <v>159</v>
      </c>
      <c r="C383" s="578"/>
      <c r="D383" s="579" t="s">
        <v>159</v>
      </c>
      <c r="E383" s="579"/>
      <c r="F383" s="568" t="s">
        <v>162</v>
      </c>
      <c r="G383" s="568"/>
      <c r="H383" s="580"/>
      <c r="I383" s="581"/>
      <c r="J383" s="582"/>
      <c r="K383" s="572" t="s">
        <v>162</v>
      </c>
      <c r="L383" s="573"/>
      <c r="M383" s="574"/>
      <c r="N383" s="583" t="s">
        <v>159</v>
      </c>
      <c r="O383" s="584"/>
      <c r="P383" s="584"/>
      <c r="Q383" s="584"/>
      <c r="R383" s="584"/>
      <c r="S383" s="584"/>
      <c r="T383" s="584"/>
      <c r="U383" s="585"/>
    </row>
    <row r="384" spans="1:21" ht="35.1" customHeight="1" x14ac:dyDescent="0.25">
      <c r="A384" s="263">
        <f t="shared" si="5"/>
        <v>370</v>
      </c>
      <c r="B384" s="566" t="s">
        <v>159</v>
      </c>
      <c r="C384" s="566"/>
      <c r="D384" s="567" t="s">
        <v>159</v>
      </c>
      <c r="E384" s="567"/>
      <c r="F384" s="568" t="s">
        <v>162</v>
      </c>
      <c r="G384" s="568"/>
      <c r="H384" s="569"/>
      <c r="I384" s="570"/>
      <c r="J384" s="571"/>
      <c r="K384" s="572" t="s">
        <v>162</v>
      </c>
      <c r="L384" s="573"/>
      <c r="M384" s="574"/>
      <c r="N384" s="575" t="s">
        <v>159</v>
      </c>
      <c r="O384" s="576"/>
      <c r="P384" s="576"/>
      <c r="Q384" s="576"/>
      <c r="R384" s="576"/>
      <c r="S384" s="576"/>
      <c r="T384" s="576"/>
      <c r="U384" s="577"/>
    </row>
    <row r="385" spans="1:21" ht="35.1" customHeight="1" x14ac:dyDescent="0.25">
      <c r="A385" s="263">
        <f t="shared" si="5"/>
        <v>371</v>
      </c>
      <c r="B385" s="578" t="s">
        <v>159</v>
      </c>
      <c r="C385" s="578"/>
      <c r="D385" s="579" t="s">
        <v>159</v>
      </c>
      <c r="E385" s="579"/>
      <c r="F385" s="568" t="s">
        <v>162</v>
      </c>
      <c r="G385" s="568"/>
      <c r="H385" s="580"/>
      <c r="I385" s="581"/>
      <c r="J385" s="582"/>
      <c r="K385" s="572" t="s">
        <v>162</v>
      </c>
      <c r="L385" s="573"/>
      <c r="M385" s="574"/>
      <c r="N385" s="583" t="s">
        <v>159</v>
      </c>
      <c r="O385" s="584"/>
      <c r="P385" s="584"/>
      <c r="Q385" s="584"/>
      <c r="R385" s="584"/>
      <c r="S385" s="584"/>
      <c r="T385" s="584"/>
      <c r="U385" s="585"/>
    </row>
    <row r="386" spans="1:21" ht="35.1" customHeight="1" x14ac:dyDescent="0.25">
      <c r="A386" s="263">
        <f t="shared" si="5"/>
        <v>372</v>
      </c>
      <c r="B386" s="566" t="s">
        <v>159</v>
      </c>
      <c r="C386" s="566"/>
      <c r="D386" s="567" t="s">
        <v>159</v>
      </c>
      <c r="E386" s="567"/>
      <c r="F386" s="568" t="s">
        <v>162</v>
      </c>
      <c r="G386" s="568"/>
      <c r="H386" s="569"/>
      <c r="I386" s="570"/>
      <c r="J386" s="571"/>
      <c r="K386" s="572" t="s">
        <v>162</v>
      </c>
      <c r="L386" s="573"/>
      <c r="M386" s="574"/>
      <c r="N386" s="575" t="s">
        <v>159</v>
      </c>
      <c r="O386" s="576"/>
      <c r="P386" s="576"/>
      <c r="Q386" s="576"/>
      <c r="R386" s="576"/>
      <c r="S386" s="576"/>
      <c r="T386" s="576"/>
      <c r="U386" s="577"/>
    </row>
    <row r="387" spans="1:21" ht="35.1" customHeight="1" x14ac:dyDescent="0.25">
      <c r="A387" s="263">
        <f t="shared" si="5"/>
        <v>373</v>
      </c>
      <c r="B387" s="578" t="s">
        <v>446</v>
      </c>
      <c r="C387" s="578"/>
      <c r="D387" s="579" t="s">
        <v>159</v>
      </c>
      <c r="E387" s="579"/>
      <c r="F387" s="568" t="s">
        <v>162</v>
      </c>
      <c r="G387" s="568"/>
      <c r="H387" s="580"/>
      <c r="I387" s="581"/>
      <c r="J387" s="582"/>
      <c r="K387" s="572" t="s">
        <v>162</v>
      </c>
      <c r="L387" s="573"/>
      <c r="M387" s="574"/>
      <c r="N387" s="583" t="s">
        <v>159</v>
      </c>
      <c r="O387" s="584"/>
      <c r="P387" s="584"/>
      <c r="Q387" s="584"/>
      <c r="R387" s="584"/>
      <c r="S387" s="584"/>
      <c r="T387" s="584"/>
      <c r="U387" s="585"/>
    </row>
    <row r="388" spans="1:21" ht="35.1" customHeight="1" x14ac:dyDescent="0.25">
      <c r="A388" s="263">
        <f t="shared" si="5"/>
        <v>374</v>
      </c>
      <c r="B388" s="566" t="s">
        <v>159</v>
      </c>
      <c r="C388" s="566"/>
      <c r="D388" s="567" t="s">
        <v>159</v>
      </c>
      <c r="E388" s="567"/>
      <c r="F388" s="568" t="s">
        <v>162</v>
      </c>
      <c r="G388" s="568"/>
      <c r="H388" s="569"/>
      <c r="I388" s="570"/>
      <c r="J388" s="571"/>
      <c r="K388" s="572" t="s">
        <v>162</v>
      </c>
      <c r="L388" s="573"/>
      <c r="M388" s="574"/>
      <c r="N388" s="575" t="s">
        <v>159</v>
      </c>
      <c r="O388" s="576"/>
      <c r="P388" s="576"/>
      <c r="Q388" s="576"/>
      <c r="R388" s="576"/>
      <c r="S388" s="576"/>
      <c r="T388" s="576"/>
      <c r="U388" s="577"/>
    </row>
    <row r="389" spans="1:21" ht="35.1" customHeight="1" x14ac:dyDescent="0.25">
      <c r="A389" s="263">
        <f t="shared" si="5"/>
        <v>375</v>
      </c>
      <c r="B389" s="578" t="s">
        <v>159</v>
      </c>
      <c r="C389" s="578"/>
      <c r="D389" s="579" t="s">
        <v>159</v>
      </c>
      <c r="E389" s="579"/>
      <c r="F389" s="568" t="s">
        <v>162</v>
      </c>
      <c r="G389" s="568"/>
      <c r="H389" s="580"/>
      <c r="I389" s="581"/>
      <c r="J389" s="582"/>
      <c r="K389" s="572" t="s">
        <v>162</v>
      </c>
      <c r="L389" s="573"/>
      <c r="M389" s="574"/>
      <c r="N389" s="583" t="s">
        <v>159</v>
      </c>
      <c r="O389" s="584"/>
      <c r="P389" s="584"/>
      <c r="Q389" s="584"/>
      <c r="R389" s="584"/>
      <c r="S389" s="584"/>
      <c r="T389" s="584"/>
      <c r="U389" s="585"/>
    </row>
    <row r="390" spans="1:21" ht="35.1" customHeight="1" x14ac:dyDescent="0.25">
      <c r="A390" s="263">
        <f t="shared" si="5"/>
        <v>376</v>
      </c>
      <c r="B390" s="566" t="s">
        <v>159</v>
      </c>
      <c r="C390" s="566"/>
      <c r="D390" s="567" t="s">
        <v>159</v>
      </c>
      <c r="E390" s="567"/>
      <c r="F390" s="568" t="s">
        <v>162</v>
      </c>
      <c r="G390" s="568"/>
      <c r="H390" s="569"/>
      <c r="I390" s="570"/>
      <c r="J390" s="571"/>
      <c r="K390" s="572" t="s">
        <v>162</v>
      </c>
      <c r="L390" s="573"/>
      <c r="M390" s="574"/>
      <c r="N390" s="575" t="s">
        <v>159</v>
      </c>
      <c r="O390" s="576"/>
      <c r="P390" s="576"/>
      <c r="Q390" s="576"/>
      <c r="R390" s="576"/>
      <c r="S390" s="576"/>
      <c r="T390" s="576"/>
      <c r="U390" s="577"/>
    </row>
    <row r="391" spans="1:21" ht="35.1" customHeight="1" x14ac:dyDescent="0.25">
      <c r="A391" s="263">
        <f t="shared" si="5"/>
        <v>377</v>
      </c>
      <c r="B391" s="578" t="s">
        <v>159</v>
      </c>
      <c r="C391" s="578"/>
      <c r="D391" s="579" t="s">
        <v>159</v>
      </c>
      <c r="E391" s="579"/>
      <c r="F391" s="568" t="s">
        <v>162</v>
      </c>
      <c r="G391" s="568"/>
      <c r="H391" s="580"/>
      <c r="I391" s="581"/>
      <c r="J391" s="582"/>
      <c r="K391" s="572" t="s">
        <v>162</v>
      </c>
      <c r="L391" s="573"/>
      <c r="M391" s="574"/>
      <c r="N391" s="583" t="s">
        <v>159</v>
      </c>
      <c r="O391" s="584"/>
      <c r="P391" s="584"/>
      <c r="Q391" s="584"/>
      <c r="R391" s="584"/>
      <c r="S391" s="584"/>
      <c r="T391" s="584"/>
      <c r="U391" s="585"/>
    </row>
    <row r="392" spans="1:21" ht="35.1" customHeight="1" x14ac:dyDescent="0.25">
      <c r="A392" s="263">
        <f t="shared" si="5"/>
        <v>378</v>
      </c>
      <c r="B392" s="566" t="s">
        <v>450</v>
      </c>
      <c r="C392" s="566"/>
      <c r="D392" s="567" t="s">
        <v>159</v>
      </c>
      <c r="E392" s="567"/>
      <c r="F392" s="568" t="s">
        <v>162</v>
      </c>
      <c r="G392" s="568"/>
      <c r="H392" s="569"/>
      <c r="I392" s="570"/>
      <c r="J392" s="571"/>
      <c r="K392" s="572" t="s">
        <v>162</v>
      </c>
      <c r="L392" s="573"/>
      <c r="M392" s="574"/>
      <c r="N392" s="575" t="s">
        <v>159</v>
      </c>
      <c r="O392" s="576"/>
      <c r="P392" s="576"/>
      <c r="Q392" s="576"/>
      <c r="R392" s="576"/>
      <c r="S392" s="576"/>
      <c r="T392" s="576"/>
      <c r="U392" s="577"/>
    </row>
    <row r="393" spans="1:21" ht="35.1" customHeight="1" x14ac:dyDescent="0.25">
      <c r="A393" s="263">
        <f t="shared" si="5"/>
        <v>379</v>
      </c>
      <c r="B393" s="578" t="s">
        <v>159</v>
      </c>
      <c r="C393" s="578"/>
      <c r="D393" s="579" t="s">
        <v>159</v>
      </c>
      <c r="E393" s="579"/>
      <c r="F393" s="568" t="s">
        <v>162</v>
      </c>
      <c r="G393" s="568"/>
      <c r="H393" s="580"/>
      <c r="I393" s="581"/>
      <c r="J393" s="582"/>
      <c r="K393" s="572" t="s">
        <v>162</v>
      </c>
      <c r="L393" s="573"/>
      <c r="M393" s="574"/>
      <c r="N393" s="583" t="s">
        <v>159</v>
      </c>
      <c r="O393" s="584"/>
      <c r="P393" s="584"/>
      <c r="Q393" s="584"/>
      <c r="R393" s="584"/>
      <c r="S393" s="584"/>
      <c r="T393" s="584"/>
      <c r="U393" s="585"/>
    </row>
    <row r="394" spans="1:21" ht="35.1" customHeight="1" x14ac:dyDescent="0.25">
      <c r="A394" s="263">
        <f t="shared" si="5"/>
        <v>380</v>
      </c>
      <c r="B394" s="566" t="s">
        <v>159</v>
      </c>
      <c r="C394" s="566"/>
      <c r="D394" s="567" t="s">
        <v>159</v>
      </c>
      <c r="E394" s="567"/>
      <c r="F394" s="568" t="s">
        <v>162</v>
      </c>
      <c r="G394" s="568"/>
      <c r="H394" s="569"/>
      <c r="I394" s="570"/>
      <c r="J394" s="571"/>
      <c r="K394" s="572" t="s">
        <v>162</v>
      </c>
      <c r="L394" s="573"/>
      <c r="M394" s="574"/>
      <c r="N394" s="575" t="s">
        <v>159</v>
      </c>
      <c r="O394" s="576"/>
      <c r="P394" s="576"/>
      <c r="Q394" s="576"/>
      <c r="R394" s="576"/>
      <c r="S394" s="576"/>
      <c r="T394" s="576"/>
      <c r="U394" s="577"/>
    </row>
    <row r="395" spans="1:21" ht="35.1" customHeight="1" x14ac:dyDescent="0.25">
      <c r="A395" s="263">
        <f t="shared" si="5"/>
        <v>381</v>
      </c>
      <c r="B395" s="578" t="s">
        <v>159</v>
      </c>
      <c r="C395" s="578"/>
      <c r="D395" s="579" t="s">
        <v>159</v>
      </c>
      <c r="E395" s="579"/>
      <c r="F395" s="568" t="s">
        <v>162</v>
      </c>
      <c r="G395" s="568"/>
      <c r="H395" s="580"/>
      <c r="I395" s="581"/>
      <c r="J395" s="582"/>
      <c r="K395" s="572" t="s">
        <v>162</v>
      </c>
      <c r="L395" s="573"/>
      <c r="M395" s="574"/>
      <c r="N395" s="583" t="s">
        <v>159</v>
      </c>
      <c r="O395" s="584"/>
      <c r="P395" s="584"/>
      <c r="Q395" s="584"/>
      <c r="R395" s="584"/>
      <c r="S395" s="584"/>
      <c r="T395" s="584"/>
      <c r="U395" s="585"/>
    </row>
    <row r="396" spans="1:21" ht="35.1" customHeight="1" x14ac:dyDescent="0.25">
      <c r="A396" s="263">
        <f t="shared" si="5"/>
        <v>382</v>
      </c>
      <c r="B396" s="566" t="s">
        <v>443</v>
      </c>
      <c r="C396" s="566"/>
      <c r="D396" s="567" t="s">
        <v>159</v>
      </c>
      <c r="E396" s="567"/>
      <c r="F396" s="568" t="s">
        <v>162</v>
      </c>
      <c r="G396" s="568"/>
      <c r="H396" s="569"/>
      <c r="I396" s="570"/>
      <c r="J396" s="571"/>
      <c r="K396" s="572" t="s">
        <v>162</v>
      </c>
      <c r="L396" s="573"/>
      <c r="M396" s="574"/>
      <c r="N396" s="575" t="s">
        <v>159</v>
      </c>
      <c r="O396" s="576"/>
      <c r="P396" s="576"/>
      <c r="Q396" s="576"/>
      <c r="R396" s="576"/>
      <c r="S396" s="576"/>
      <c r="T396" s="576"/>
      <c r="U396" s="577"/>
    </row>
    <row r="397" spans="1:21" ht="35.1" customHeight="1" x14ac:dyDescent="0.25">
      <c r="A397" s="263">
        <f t="shared" si="5"/>
        <v>383</v>
      </c>
      <c r="B397" s="578" t="s">
        <v>159</v>
      </c>
      <c r="C397" s="578"/>
      <c r="D397" s="579" t="s">
        <v>159</v>
      </c>
      <c r="E397" s="579"/>
      <c r="F397" s="568" t="s">
        <v>162</v>
      </c>
      <c r="G397" s="568"/>
      <c r="H397" s="580"/>
      <c r="I397" s="581"/>
      <c r="J397" s="582"/>
      <c r="K397" s="572" t="s">
        <v>162</v>
      </c>
      <c r="L397" s="573"/>
      <c r="M397" s="574"/>
      <c r="N397" s="583" t="s">
        <v>159</v>
      </c>
      <c r="O397" s="584"/>
      <c r="P397" s="584"/>
      <c r="Q397" s="584"/>
      <c r="R397" s="584"/>
      <c r="S397" s="584"/>
      <c r="T397" s="584"/>
      <c r="U397" s="585"/>
    </row>
    <row r="398" spans="1:21" ht="35.1" customHeight="1" x14ac:dyDescent="0.25">
      <c r="A398" s="263">
        <f t="shared" si="5"/>
        <v>384</v>
      </c>
      <c r="B398" s="566" t="s">
        <v>159</v>
      </c>
      <c r="C398" s="566"/>
      <c r="D398" s="567" t="s">
        <v>159</v>
      </c>
      <c r="E398" s="567"/>
      <c r="F398" s="568" t="s">
        <v>162</v>
      </c>
      <c r="G398" s="568"/>
      <c r="H398" s="569"/>
      <c r="I398" s="570"/>
      <c r="J398" s="571"/>
      <c r="K398" s="572" t="s">
        <v>162</v>
      </c>
      <c r="L398" s="573"/>
      <c r="M398" s="574"/>
      <c r="N398" s="575" t="s">
        <v>159</v>
      </c>
      <c r="O398" s="576"/>
      <c r="P398" s="576"/>
      <c r="Q398" s="576"/>
      <c r="R398" s="576"/>
      <c r="S398" s="576"/>
      <c r="T398" s="576"/>
      <c r="U398" s="577"/>
    </row>
    <row r="399" spans="1:21" ht="35.1" customHeight="1" x14ac:dyDescent="0.25">
      <c r="A399" s="263">
        <f t="shared" ref="A399:A462" si="6">ROW(A385)</f>
        <v>385</v>
      </c>
      <c r="B399" s="578" t="s">
        <v>159</v>
      </c>
      <c r="C399" s="578"/>
      <c r="D399" s="579" t="s">
        <v>159</v>
      </c>
      <c r="E399" s="579"/>
      <c r="F399" s="568" t="s">
        <v>162</v>
      </c>
      <c r="G399" s="568"/>
      <c r="H399" s="580"/>
      <c r="I399" s="581"/>
      <c r="J399" s="582"/>
      <c r="K399" s="572" t="s">
        <v>162</v>
      </c>
      <c r="L399" s="573"/>
      <c r="M399" s="574"/>
      <c r="N399" s="583" t="s">
        <v>159</v>
      </c>
      <c r="O399" s="584"/>
      <c r="P399" s="584"/>
      <c r="Q399" s="584"/>
      <c r="R399" s="584"/>
      <c r="S399" s="584"/>
      <c r="T399" s="584"/>
      <c r="U399" s="585"/>
    </row>
    <row r="400" spans="1:21" ht="35.1" customHeight="1" x14ac:dyDescent="0.25">
      <c r="A400" s="263">
        <f t="shared" si="6"/>
        <v>386</v>
      </c>
      <c r="B400" s="566" t="s">
        <v>159</v>
      </c>
      <c r="C400" s="566"/>
      <c r="D400" s="567" t="s">
        <v>159</v>
      </c>
      <c r="E400" s="567"/>
      <c r="F400" s="568" t="s">
        <v>162</v>
      </c>
      <c r="G400" s="568"/>
      <c r="H400" s="569"/>
      <c r="I400" s="570"/>
      <c r="J400" s="571"/>
      <c r="K400" s="572" t="s">
        <v>162</v>
      </c>
      <c r="L400" s="573"/>
      <c r="M400" s="574"/>
      <c r="N400" s="575" t="s">
        <v>159</v>
      </c>
      <c r="O400" s="576"/>
      <c r="P400" s="576"/>
      <c r="Q400" s="576"/>
      <c r="R400" s="576"/>
      <c r="S400" s="576"/>
      <c r="T400" s="576"/>
      <c r="U400" s="577"/>
    </row>
    <row r="401" spans="1:21" ht="35.1" customHeight="1" x14ac:dyDescent="0.25">
      <c r="A401" s="263">
        <f t="shared" si="6"/>
        <v>387</v>
      </c>
      <c r="B401" s="578" t="s">
        <v>159</v>
      </c>
      <c r="C401" s="578"/>
      <c r="D401" s="579" t="s">
        <v>159</v>
      </c>
      <c r="E401" s="579"/>
      <c r="F401" s="568" t="s">
        <v>162</v>
      </c>
      <c r="G401" s="568"/>
      <c r="H401" s="580"/>
      <c r="I401" s="581"/>
      <c r="J401" s="582"/>
      <c r="K401" s="572" t="s">
        <v>162</v>
      </c>
      <c r="L401" s="573"/>
      <c r="M401" s="574"/>
      <c r="N401" s="583" t="s">
        <v>159</v>
      </c>
      <c r="O401" s="584"/>
      <c r="P401" s="584"/>
      <c r="Q401" s="584"/>
      <c r="R401" s="584"/>
      <c r="S401" s="584"/>
      <c r="T401" s="584"/>
      <c r="U401" s="585"/>
    </row>
    <row r="402" spans="1:21" ht="35.1" customHeight="1" x14ac:dyDescent="0.25">
      <c r="A402" s="263">
        <f t="shared" si="6"/>
        <v>388</v>
      </c>
      <c r="B402" s="566" t="s">
        <v>451</v>
      </c>
      <c r="C402" s="566"/>
      <c r="D402" s="567" t="s">
        <v>159</v>
      </c>
      <c r="E402" s="567"/>
      <c r="F402" s="568" t="s">
        <v>162</v>
      </c>
      <c r="G402" s="568"/>
      <c r="H402" s="569"/>
      <c r="I402" s="570"/>
      <c r="J402" s="571"/>
      <c r="K402" s="572" t="s">
        <v>162</v>
      </c>
      <c r="L402" s="573"/>
      <c r="M402" s="574"/>
      <c r="N402" s="575" t="s">
        <v>159</v>
      </c>
      <c r="O402" s="576"/>
      <c r="P402" s="576"/>
      <c r="Q402" s="576"/>
      <c r="R402" s="576"/>
      <c r="S402" s="576"/>
      <c r="T402" s="576"/>
      <c r="U402" s="577"/>
    </row>
    <row r="403" spans="1:21" ht="35.1" customHeight="1" x14ac:dyDescent="0.25">
      <c r="A403" s="263">
        <f t="shared" si="6"/>
        <v>389</v>
      </c>
      <c r="B403" s="578" t="s">
        <v>159</v>
      </c>
      <c r="C403" s="578"/>
      <c r="D403" s="579" t="s">
        <v>159</v>
      </c>
      <c r="E403" s="579"/>
      <c r="F403" s="568" t="s">
        <v>162</v>
      </c>
      <c r="G403" s="568"/>
      <c r="H403" s="580"/>
      <c r="I403" s="581"/>
      <c r="J403" s="582"/>
      <c r="K403" s="572" t="s">
        <v>162</v>
      </c>
      <c r="L403" s="573"/>
      <c r="M403" s="574"/>
      <c r="N403" s="583" t="s">
        <v>159</v>
      </c>
      <c r="O403" s="584"/>
      <c r="P403" s="584"/>
      <c r="Q403" s="584"/>
      <c r="R403" s="584"/>
      <c r="S403" s="584"/>
      <c r="T403" s="584"/>
      <c r="U403" s="585"/>
    </row>
    <row r="404" spans="1:21" ht="35.1" customHeight="1" x14ac:dyDescent="0.25">
      <c r="A404" s="263">
        <f t="shared" si="6"/>
        <v>390</v>
      </c>
      <c r="B404" s="566" t="s">
        <v>159</v>
      </c>
      <c r="C404" s="566"/>
      <c r="D404" s="567" t="s">
        <v>159</v>
      </c>
      <c r="E404" s="567"/>
      <c r="F404" s="568" t="s">
        <v>162</v>
      </c>
      <c r="G404" s="568"/>
      <c r="H404" s="569"/>
      <c r="I404" s="570"/>
      <c r="J404" s="571"/>
      <c r="K404" s="572" t="s">
        <v>162</v>
      </c>
      <c r="L404" s="573"/>
      <c r="M404" s="574"/>
      <c r="N404" s="575" t="s">
        <v>159</v>
      </c>
      <c r="O404" s="576"/>
      <c r="P404" s="576"/>
      <c r="Q404" s="576"/>
      <c r="R404" s="576"/>
      <c r="S404" s="576"/>
      <c r="T404" s="576"/>
      <c r="U404" s="577"/>
    </row>
    <row r="405" spans="1:21" ht="35.1" customHeight="1" x14ac:dyDescent="0.25">
      <c r="A405" s="263">
        <f t="shared" si="6"/>
        <v>391</v>
      </c>
      <c r="B405" s="578" t="s">
        <v>159</v>
      </c>
      <c r="C405" s="578"/>
      <c r="D405" s="579" t="s">
        <v>159</v>
      </c>
      <c r="E405" s="579"/>
      <c r="F405" s="568" t="s">
        <v>162</v>
      </c>
      <c r="G405" s="568"/>
      <c r="H405" s="580"/>
      <c r="I405" s="581"/>
      <c r="J405" s="582"/>
      <c r="K405" s="572" t="s">
        <v>162</v>
      </c>
      <c r="L405" s="573"/>
      <c r="M405" s="574"/>
      <c r="N405" s="583" t="s">
        <v>159</v>
      </c>
      <c r="O405" s="584"/>
      <c r="P405" s="584"/>
      <c r="Q405" s="584"/>
      <c r="R405" s="584"/>
      <c r="S405" s="584"/>
      <c r="T405" s="584"/>
      <c r="U405" s="585"/>
    </row>
    <row r="406" spans="1:21" ht="35.1" customHeight="1" x14ac:dyDescent="0.25">
      <c r="A406" s="263">
        <f t="shared" si="6"/>
        <v>392</v>
      </c>
      <c r="B406" s="566" t="s">
        <v>159</v>
      </c>
      <c r="C406" s="566"/>
      <c r="D406" s="567" t="s">
        <v>159</v>
      </c>
      <c r="E406" s="567"/>
      <c r="F406" s="568" t="s">
        <v>162</v>
      </c>
      <c r="G406" s="568"/>
      <c r="H406" s="569"/>
      <c r="I406" s="570"/>
      <c r="J406" s="571"/>
      <c r="K406" s="572" t="s">
        <v>162</v>
      </c>
      <c r="L406" s="573"/>
      <c r="M406" s="574"/>
      <c r="N406" s="575" t="s">
        <v>159</v>
      </c>
      <c r="O406" s="576"/>
      <c r="P406" s="576"/>
      <c r="Q406" s="576"/>
      <c r="R406" s="576"/>
      <c r="S406" s="576"/>
      <c r="T406" s="576"/>
      <c r="U406" s="577"/>
    </row>
    <row r="407" spans="1:21" ht="35.1" customHeight="1" x14ac:dyDescent="0.25">
      <c r="A407" s="263">
        <f t="shared" si="6"/>
        <v>393</v>
      </c>
      <c r="B407" s="578" t="s">
        <v>159</v>
      </c>
      <c r="C407" s="578"/>
      <c r="D407" s="579" t="s">
        <v>159</v>
      </c>
      <c r="E407" s="579"/>
      <c r="F407" s="568" t="s">
        <v>162</v>
      </c>
      <c r="G407" s="568"/>
      <c r="H407" s="580"/>
      <c r="I407" s="581"/>
      <c r="J407" s="582"/>
      <c r="K407" s="572" t="s">
        <v>162</v>
      </c>
      <c r="L407" s="573"/>
      <c r="M407" s="574"/>
      <c r="N407" s="583" t="s">
        <v>159</v>
      </c>
      <c r="O407" s="584"/>
      <c r="P407" s="584"/>
      <c r="Q407" s="584"/>
      <c r="R407" s="584"/>
      <c r="S407" s="584"/>
      <c r="T407" s="584"/>
      <c r="U407" s="585"/>
    </row>
    <row r="408" spans="1:21" ht="35.1" customHeight="1" x14ac:dyDescent="0.25">
      <c r="A408" s="263">
        <f t="shared" si="6"/>
        <v>394</v>
      </c>
      <c r="B408" s="566" t="s">
        <v>159</v>
      </c>
      <c r="C408" s="566"/>
      <c r="D408" s="567" t="s">
        <v>159</v>
      </c>
      <c r="E408" s="567"/>
      <c r="F408" s="568" t="s">
        <v>162</v>
      </c>
      <c r="G408" s="568"/>
      <c r="H408" s="569"/>
      <c r="I408" s="570"/>
      <c r="J408" s="571"/>
      <c r="K408" s="572" t="s">
        <v>162</v>
      </c>
      <c r="L408" s="573"/>
      <c r="M408" s="574"/>
      <c r="N408" s="575" t="s">
        <v>159</v>
      </c>
      <c r="O408" s="576"/>
      <c r="P408" s="576"/>
      <c r="Q408" s="576"/>
      <c r="R408" s="576"/>
      <c r="S408" s="576"/>
      <c r="T408" s="576"/>
      <c r="U408" s="577"/>
    </row>
    <row r="409" spans="1:21" ht="35.1" customHeight="1" x14ac:dyDescent="0.25">
      <c r="A409" s="263">
        <f t="shared" si="6"/>
        <v>395</v>
      </c>
      <c r="B409" s="566" t="s">
        <v>159</v>
      </c>
      <c r="C409" s="566"/>
      <c r="D409" s="567" t="s">
        <v>159</v>
      </c>
      <c r="E409" s="567"/>
      <c r="F409" s="568" t="s">
        <v>162</v>
      </c>
      <c r="G409" s="568"/>
      <c r="H409" s="569"/>
      <c r="I409" s="570"/>
      <c r="J409" s="571"/>
      <c r="K409" s="572" t="s">
        <v>162</v>
      </c>
      <c r="L409" s="573"/>
      <c r="M409" s="574"/>
      <c r="N409" s="575" t="s">
        <v>159</v>
      </c>
      <c r="O409" s="576"/>
      <c r="P409" s="576"/>
      <c r="Q409" s="576"/>
      <c r="R409" s="576"/>
      <c r="S409" s="576"/>
      <c r="T409" s="576"/>
      <c r="U409" s="577"/>
    </row>
    <row r="410" spans="1:21" ht="35.1" customHeight="1" x14ac:dyDescent="0.25">
      <c r="A410" s="263">
        <f t="shared" si="6"/>
        <v>396</v>
      </c>
      <c r="B410" s="578" t="s">
        <v>159</v>
      </c>
      <c r="C410" s="578"/>
      <c r="D410" s="579" t="s">
        <v>159</v>
      </c>
      <c r="E410" s="579"/>
      <c r="F410" s="568" t="s">
        <v>162</v>
      </c>
      <c r="G410" s="568"/>
      <c r="H410" s="580"/>
      <c r="I410" s="581"/>
      <c r="J410" s="582"/>
      <c r="K410" s="572" t="s">
        <v>162</v>
      </c>
      <c r="L410" s="573"/>
      <c r="M410" s="574"/>
      <c r="N410" s="583"/>
      <c r="O410" s="584"/>
      <c r="P410" s="584"/>
      <c r="Q410" s="584"/>
      <c r="R410" s="584"/>
      <c r="S410" s="584"/>
      <c r="T410" s="584"/>
      <c r="U410" s="585"/>
    </row>
    <row r="411" spans="1:21" ht="35.1" customHeight="1" x14ac:dyDescent="0.25">
      <c r="A411" s="263">
        <f t="shared" si="6"/>
        <v>397</v>
      </c>
      <c r="B411" s="566" t="s">
        <v>159</v>
      </c>
      <c r="C411" s="566"/>
      <c r="D411" s="567" t="s">
        <v>159</v>
      </c>
      <c r="E411" s="567"/>
      <c r="F411" s="568" t="s">
        <v>162</v>
      </c>
      <c r="G411" s="568"/>
      <c r="H411" s="569"/>
      <c r="I411" s="570"/>
      <c r="J411" s="571"/>
      <c r="K411" s="572" t="s">
        <v>162</v>
      </c>
      <c r="L411" s="573"/>
      <c r="M411" s="574"/>
      <c r="N411" s="575" t="s">
        <v>159</v>
      </c>
      <c r="O411" s="576"/>
      <c r="P411" s="576"/>
      <c r="Q411" s="576"/>
      <c r="R411" s="576"/>
      <c r="S411" s="576"/>
      <c r="T411" s="576"/>
      <c r="U411" s="577"/>
    </row>
    <row r="412" spans="1:21" ht="35.1" customHeight="1" x14ac:dyDescent="0.25">
      <c r="A412" s="263">
        <f t="shared" si="6"/>
        <v>398</v>
      </c>
      <c r="B412" s="578" t="s">
        <v>159</v>
      </c>
      <c r="C412" s="578"/>
      <c r="D412" s="579" t="s">
        <v>159</v>
      </c>
      <c r="E412" s="579"/>
      <c r="F412" s="568" t="s">
        <v>162</v>
      </c>
      <c r="G412" s="568"/>
      <c r="H412" s="580"/>
      <c r="I412" s="581"/>
      <c r="J412" s="582"/>
      <c r="K412" s="572" t="s">
        <v>162</v>
      </c>
      <c r="L412" s="573"/>
      <c r="M412" s="574"/>
      <c r="N412" s="583" t="s">
        <v>159</v>
      </c>
      <c r="O412" s="584"/>
      <c r="P412" s="584"/>
      <c r="Q412" s="584"/>
      <c r="R412" s="584"/>
      <c r="S412" s="584"/>
      <c r="T412" s="584"/>
      <c r="U412" s="585"/>
    </row>
    <row r="413" spans="1:21" ht="35.1" customHeight="1" x14ac:dyDescent="0.25">
      <c r="A413" s="263">
        <f t="shared" si="6"/>
        <v>399</v>
      </c>
      <c r="B413" s="566" t="s">
        <v>159</v>
      </c>
      <c r="C413" s="566"/>
      <c r="D413" s="567" t="s">
        <v>159</v>
      </c>
      <c r="E413" s="567"/>
      <c r="F413" s="568" t="s">
        <v>162</v>
      </c>
      <c r="G413" s="568"/>
      <c r="H413" s="569"/>
      <c r="I413" s="570"/>
      <c r="J413" s="571"/>
      <c r="K413" s="572" t="s">
        <v>162</v>
      </c>
      <c r="L413" s="573"/>
      <c r="M413" s="574"/>
      <c r="N413" s="575" t="s">
        <v>159</v>
      </c>
      <c r="O413" s="576"/>
      <c r="P413" s="576"/>
      <c r="Q413" s="576"/>
      <c r="R413" s="576"/>
      <c r="S413" s="576"/>
      <c r="T413" s="576"/>
      <c r="U413" s="577"/>
    </row>
    <row r="414" spans="1:21" ht="35.1" customHeight="1" x14ac:dyDescent="0.25">
      <c r="A414" s="263">
        <f t="shared" si="6"/>
        <v>400</v>
      </c>
      <c r="B414" s="578" t="s">
        <v>159</v>
      </c>
      <c r="C414" s="578"/>
      <c r="D414" s="579" t="s">
        <v>159</v>
      </c>
      <c r="E414" s="579"/>
      <c r="F414" s="568" t="s">
        <v>162</v>
      </c>
      <c r="G414" s="568"/>
      <c r="H414" s="580"/>
      <c r="I414" s="581"/>
      <c r="J414" s="582"/>
      <c r="K414" s="572" t="s">
        <v>162</v>
      </c>
      <c r="L414" s="573"/>
      <c r="M414" s="574"/>
      <c r="N414" s="583" t="s">
        <v>159</v>
      </c>
      <c r="O414" s="584"/>
      <c r="P414" s="584"/>
      <c r="Q414" s="584"/>
      <c r="R414" s="584"/>
      <c r="S414" s="584"/>
      <c r="T414" s="584"/>
      <c r="U414" s="585"/>
    </row>
    <row r="415" spans="1:21" ht="35.1" customHeight="1" x14ac:dyDescent="0.25">
      <c r="A415" s="263">
        <f t="shared" si="6"/>
        <v>401</v>
      </c>
      <c r="B415" s="566" t="s">
        <v>159</v>
      </c>
      <c r="C415" s="566"/>
      <c r="D415" s="567" t="s">
        <v>159</v>
      </c>
      <c r="E415" s="567"/>
      <c r="F415" s="568" t="s">
        <v>162</v>
      </c>
      <c r="G415" s="568"/>
      <c r="H415" s="569"/>
      <c r="I415" s="570"/>
      <c r="J415" s="571"/>
      <c r="K415" s="572" t="s">
        <v>162</v>
      </c>
      <c r="L415" s="573"/>
      <c r="M415" s="574"/>
      <c r="N415" s="575" t="s">
        <v>159</v>
      </c>
      <c r="O415" s="576"/>
      <c r="P415" s="576"/>
      <c r="Q415" s="576"/>
      <c r="R415" s="576"/>
      <c r="S415" s="576"/>
      <c r="T415" s="576"/>
      <c r="U415" s="577"/>
    </row>
    <row r="416" spans="1:21" ht="35.1" customHeight="1" x14ac:dyDescent="0.25">
      <c r="A416" s="263">
        <f t="shared" si="6"/>
        <v>402</v>
      </c>
      <c r="B416" s="578" t="s">
        <v>159</v>
      </c>
      <c r="C416" s="578"/>
      <c r="D416" s="579" t="s">
        <v>159</v>
      </c>
      <c r="E416" s="579"/>
      <c r="F416" s="568" t="s">
        <v>162</v>
      </c>
      <c r="G416" s="568"/>
      <c r="H416" s="580"/>
      <c r="I416" s="581"/>
      <c r="J416" s="582"/>
      <c r="K416" s="572" t="s">
        <v>162</v>
      </c>
      <c r="L416" s="573"/>
      <c r="M416" s="574"/>
      <c r="N416" s="583" t="s">
        <v>159</v>
      </c>
      <c r="O416" s="584"/>
      <c r="P416" s="584"/>
      <c r="Q416" s="584"/>
      <c r="R416" s="584"/>
      <c r="S416" s="584"/>
      <c r="T416" s="584"/>
      <c r="U416" s="585"/>
    </row>
    <row r="417" spans="1:21" ht="35.1" customHeight="1" x14ac:dyDescent="0.25">
      <c r="A417" s="263">
        <f t="shared" si="6"/>
        <v>403</v>
      </c>
      <c r="B417" s="566" t="s">
        <v>159</v>
      </c>
      <c r="C417" s="566"/>
      <c r="D417" s="567" t="s">
        <v>159</v>
      </c>
      <c r="E417" s="567"/>
      <c r="F417" s="568" t="s">
        <v>162</v>
      </c>
      <c r="G417" s="568"/>
      <c r="H417" s="569"/>
      <c r="I417" s="570"/>
      <c r="J417" s="571"/>
      <c r="K417" s="572" t="s">
        <v>162</v>
      </c>
      <c r="L417" s="573"/>
      <c r="M417" s="574"/>
      <c r="N417" s="575" t="s">
        <v>159</v>
      </c>
      <c r="O417" s="576"/>
      <c r="P417" s="576"/>
      <c r="Q417" s="576"/>
      <c r="R417" s="576"/>
      <c r="S417" s="576"/>
      <c r="T417" s="576"/>
      <c r="U417" s="577"/>
    </row>
    <row r="418" spans="1:21" ht="35.1" customHeight="1" x14ac:dyDescent="0.25">
      <c r="A418" s="263">
        <f t="shared" si="6"/>
        <v>404</v>
      </c>
      <c r="B418" s="578" t="s">
        <v>159</v>
      </c>
      <c r="C418" s="578"/>
      <c r="D418" s="579" t="s">
        <v>159</v>
      </c>
      <c r="E418" s="579"/>
      <c r="F418" s="568" t="s">
        <v>162</v>
      </c>
      <c r="G418" s="568"/>
      <c r="H418" s="580"/>
      <c r="I418" s="581"/>
      <c r="J418" s="582"/>
      <c r="K418" s="572" t="s">
        <v>162</v>
      </c>
      <c r="L418" s="573"/>
      <c r="M418" s="574"/>
      <c r="N418" s="583" t="s">
        <v>159</v>
      </c>
      <c r="O418" s="584"/>
      <c r="P418" s="584"/>
      <c r="Q418" s="584"/>
      <c r="R418" s="584"/>
      <c r="S418" s="584"/>
      <c r="T418" s="584"/>
      <c r="U418" s="585"/>
    </row>
    <row r="419" spans="1:21" ht="35.1" customHeight="1" x14ac:dyDescent="0.25">
      <c r="A419" s="263">
        <f t="shared" si="6"/>
        <v>405</v>
      </c>
      <c r="B419" s="566" t="s">
        <v>159</v>
      </c>
      <c r="C419" s="566"/>
      <c r="D419" s="567" t="s">
        <v>159</v>
      </c>
      <c r="E419" s="567"/>
      <c r="F419" s="568" t="s">
        <v>162</v>
      </c>
      <c r="G419" s="568"/>
      <c r="H419" s="569"/>
      <c r="I419" s="570"/>
      <c r="J419" s="571"/>
      <c r="K419" s="572" t="s">
        <v>162</v>
      </c>
      <c r="L419" s="573"/>
      <c r="M419" s="574"/>
      <c r="N419" s="575" t="s">
        <v>159</v>
      </c>
      <c r="O419" s="576"/>
      <c r="P419" s="576"/>
      <c r="Q419" s="576"/>
      <c r="R419" s="576"/>
      <c r="S419" s="576"/>
      <c r="T419" s="576"/>
      <c r="U419" s="577"/>
    </row>
    <row r="420" spans="1:21" ht="35.1" customHeight="1" x14ac:dyDescent="0.25">
      <c r="A420" s="263">
        <f t="shared" si="6"/>
        <v>406</v>
      </c>
      <c r="B420" s="578" t="s">
        <v>159</v>
      </c>
      <c r="C420" s="578"/>
      <c r="D420" s="579" t="s">
        <v>159</v>
      </c>
      <c r="E420" s="579"/>
      <c r="F420" s="568" t="s">
        <v>162</v>
      </c>
      <c r="G420" s="568"/>
      <c r="H420" s="580"/>
      <c r="I420" s="581"/>
      <c r="J420" s="582"/>
      <c r="K420" s="572" t="s">
        <v>162</v>
      </c>
      <c r="L420" s="573"/>
      <c r="M420" s="574"/>
      <c r="N420" s="583" t="s">
        <v>159</v>
      </c>
      <c r="O420" s="584"/>
      <c r="P420" s="584"/>
      <c r="Q420" s="584"/>
      <c r="R420" s="584"/>
      <c r="S420" s="584"/>
      <c r="T420" s="584"/>
      <c r="U420" s="585"/>
    </row>
    <row r="421" spans="1:21" ht="35.1" customHeight="1" x14ac:dyDescent="0.25">
      <c r="A421" s="263">
        <f t="shared" si="6"/>
        <v>407</v>
      </c>
      <c r="B421" s="566" t="s">
        <v>159</v>
      </c>
      <c r="C421" s="566"/>
      <c r="D421" s="567" t="s">
        <v>159</v>
      </c>
      <c r="E421" s="567"/>
      <c r="F421" s="568" t="s">
        <v>162</v>
      </c>
      <c r="G421" s="568"/>
      <c r="H421" s="569"/>
      <c r="I421" s="570"/>
      <c r="J421" s="571"/>
      <c r="K421" s="572" t="s">
        <v>162</v>
      </c>
      <c r="L421" s="573"/>
      <c r="M421" s="574"/>
      <c r="N421" s="575" t="s">
        <v>159</v>
      </c>
      <c r="O421" s="576"/>
      <c r="P421" s="576"/>
      <c r="Q421" s="576"/>
      <c r="R421" s="576"/>
      <c r="S421" s="576"/>
      <c r="T421" s="576"/>
      <c r="U421" s="577"/>
    </row>
    <row r="422" spans="1:21" ht="35.1" customHeight="1" x14ac:dyDescent="0.25">
      <c r="A422" s="263">
        <f t="shared" si="6"/>
        <v>408</v>
      </c>
      <c r="B422" s="578" t="s">
        <v>159</v>
      </c>
      <c r="C422" s="578"/>
      <c r="D422" s="579" t="s">
        <v>159</v>
      </c>
      <c r="E422" s="579"/>
      <c r="F422" s="568" t="s">
        <v>162</v>
      </c>
      <c r="G422" s="568"/>
      <c r="H422" s="580"/>
      <c r="I422" s="581"/>
      <c r="J422" s="582"/>
      <c r="K422" s="572" t="s">
        <v>162</v>
      </c>
      <c r="L422" s="573"/>
      <c r="M422" s="574"/>
      <c r="N422" s="583" t="s">
        <v>159</v>
      </c>
      <c r="O422" s="584"/>
      <c r="P422" s="584"/>
      <c r="Q422" s="584"/>
      <c r="R422" s="584"/>
      <c r="S422" s="584"/>
      <c r="T422" s="584"/>
      <c r="U422" s="585"/>
    </row>
    <row r="423" spans="1:21" ht="35.1" customHeight="1" x14ac:dyDescent="0.25">
      <c r="A423" s="263">
        <f t="shared" si="6"/>
        <v>409</v>
      </c>
      <c r="B423" s="566" t="s">
        <v>159</v>
      </c>
      <c r="C423" s="566"/>
      <c r="D423" s="567" t="s">
        <v>159</v>
      </c>
      <c r="E423" s="567"/>
      <c r="F423" s="568" t="s">
        <v>162</v>
      </c>
      <c r="G423" s="568"/>
      <c r="H423" s="569"/>
      <c r="I423" s="570"/>
      <c r="J423" s="571"/>
      <c r="K423" s="572" t="s">
        <v>162</v>
      </c>
      <c r="L423" s="573"/>
      <c r="M423" s="574"/>
      <c r="N423" s="575" t="s">
        <v>159</v>
      </c>
      <c r="O423" s="576"/>
      <c r="P423" s="576"/>
      <c r="Q423" s="576"/>
      <c r="R423" s="576"/>
      <c r="S423" s="576"/>
      <c r="T423" s="576"/>
      <c r="U423" s="577"/>
    </row>
    <row r="424" spans="1:21" ht="35.1" customHeight="1" x14ac:dyDescent="0.25">
      <c r="A424" s="263">
        <f t="shared" si="6"/>
        <v>410</v>
      </c>
      <c r="B424" s="578" t="s">
        <v>159</v>
      </c>
      <c r="C424" s="578"/>
      <c r="D424" s="579" t="s">
        <v>159</v>
      </c>
      <c r="E424" s="579"/>
      <c r="F424" s="568" t="s">
        <v>162</v>
      </c>
      <c r="G424" s="568"/>
      <c r="H424" s="580"/>
      <c r="I424" s="581"/>
      <c r="J424" s="582"/>
      <c r="K424" s="572" t="s">
        <v>162</v>
      </c>
      <c r="L424" s="573"/>
      <c r="M424" s="574"/>
      <c r="N424" s="583" t="s">
        <v>159</v>
      </c>
      <c r="O424" s="584"/>
      <c r="P424" s="584"/>
      <c r="Q424" s="584"/>
      <c r="R424" s="584"/>
      <c r="S424" s="584"/>
      <c r="T424" s="584"/>
      <c r="U424" s="585"/>
    </row>
    <row r="425" spans="1:21" ht="35.1" customHeight="1" x14ac:dyDescent="0.25">
      <c r="A425" s="263">
        <f t="shared" si="6"/>
        <v>411</v>
      </c>
      <c r="B425" s="566" t="s">
        <v>159</v>
      </c>
      <c r="C425" s="566"/>
      <c r="D425" s="567" t="s">
        <v>159</v>
      </c>
      <c r="E425" s="567"/>
      <c r="F425" s="568" t="s">
        <v>162</v>
      </c>
      <c r="G425" s="568"/>
      <c r="H425" s="569"/>
      <c r="I425" s="570"/>
      <c r="J425" s="571"/>
      <c r="K425" s="572" t="s">
        <v>162</v>
      </c>
      <c r="L425" s="573"/>
      <c r="M425" s="574"/>
      <c r="N425" s="575" t="s">
        <v>159</v>
      </c>
      <c r="O425" s="576"/>
      <c r="P425" s="576"/>
      <c r="Q425" s="576"/>
      <c r="R425" s="576"/>
      <c r="S425" s="576"/>
      <c r="T425" s="576"/>
      <c r="U425" s="577"/>
    </row>
    <row r="426" spans="1:21" ht="35.1" customHeight="1" x14ac:dyDescent="0.25">
      <c r="A426" s="263">
        <f t="shared" si="6"/>
        <v>412</v>
      </c>
      <c r="B426" s="578" t="s">
        <v>159</v>
      </c>
      <c r="C426" s="578"/>
      <c r="D426" s="579" t="s">
        <v>159</v>
      </c>
      <c r="E426" s="579"/>
      <c r="F426" s="568" t="s">
        <v>162</v>
      </c>
      <c r="G426" s="568"/>
      <c r="H426" s="580"/>
      <c r="I426" s="581"/>
      <c r="J426" s="582"/>
      <c r="K426" s="572" t="s">
        <v>162</v>
      </c>
      <c r="L426" s="573"/>
      <c r="M426" s="574"/>
      <c r="N426" s="583" t="s">
        <v>159</v>
      </c>
      <c r="O426" s="584"/>
      <c r="P426" s="584"/>
      <c r="Q426" s="584"/>
      <c r="R426" s="584"/>
      <c r="S426" s="584"/>
      <c r="T426" s="584"/>
      <c r="U426" s="585"/>
    </row>
    <row r="427" spans="1:21" ht="35.1" customHeight="1" x14ac:dyDescent="0.25">
      <c r="A427" s="263">
        <f t="shared" si="6"/>
        <v>413</v>
      </c>
      <c r="B427" s="566" t="s">
        <v>159</v>
      </c>
      <c r="C427" s="566"/>
      <c r="D427" s="567" t="s">
        <v>159</v>
      </c>
      <c r="E427" s="567"/>
      <c r="F427" s="568" t="s">
        <v>162</v>
      </c>
      <c r="G427" s="568"/>
      <c r="H427" s="569"/>
      <c r="I427" s="570"/>
      <c r="J427" s="571"/>
      <c r="K427" s="572" t="s">
        <v>162</v>
      </c>
      <c r="L427" s="573"/>
      <c r="M427" s="574"/>
      <c r="N427" s="575" t="s">
        <v>159</v>
      </c>
      <c r="O427" s="576"/>
      <c r="P427" s="576"/>
      <c r="Q427" s="576"/>
      <c r="R427" s="576"/>
      <c r="S427" s="576"/>
      <c r="T427" s="576"/>
      <c r="U427" s="577"/>
    </row>
    <row r="428" spans="1:21" ht="35.1" customHeight="1" x14ac:dyDescent="0.25">
      <c r="A428" s="263">
        <f t="shared" si="6"/>
        <v>414</v>
      </c>
      <c r="B428" s="578" t="s">
        <v>159</v>
      </c>
      <c r="C428" s="578"/>
      <c r="D428" s="579" t="s">
        <v>159</v>
      </c>
      <c r="E428" s="579"/>
      <c r="F428" s="568" t="s">
        <v>162</v>
      </c>
      <c r="G428" s="568"/>
      <c r="H428" s="580"/>
      <c r="I428" s="581"/>
      <c r="J428" s="582"/>
      <c r="K428" s="572" t="s">
        <v>162</v>
      </c>
      <c r="L428" s="573"/>
      <c r="M428" s="574"/>
      <c r="N428" s="583" t="s">
        <v>159</v>
      </c>
      <c r="O428" s="584"/>
      <c r="P428" s="584"/>
      <c r="Q428" s="584"/>
      <c r="R428" s="584"/>
      <c r="S428" s="584"/>
      <c r="T428" s="584"/>
      <c r="U428" s="585"/>
    </row>
    <row r="429" spans="1:21" ht="35.1" customHeight="1" x14ac:dyDescent="0.25">
      <c r="A429" s="263">
        <f t="shared" si="6"/>
        <v>415</v>
      </c>
      <c r="B429" s="566" t="s">
        <v>159</v>
      </c>
      <c r="C429" s="566"/>
      <c r="D429" s="567" t="s">
        <v>159</v>
      </c>
      <c r="E429" s="567"/>
      <c r="F429" s="568" t="s">
        <v>162</v>
      </c>
      <c r="G429" s="568"/>
      <c r="H429" s="569"/>
      <c r="I429" s="570"/>
      <c r="J429" s="571"/>
      <c r="K429" s="572" t="s">
        <v>162</v>
      </c>
      <c r="L429" s="573"/>
      <c r="M429" s="574"/>
      <c r="N429" s="575" t="s">
        <v>159</v>
      </c>
      <c r="O429" s="576"/>
      <c r="P429" s="576"/>
      <c r="Q429" s="576"/>
      <c r="R429" s="576"/>
      <c r="S429" s="576"/>
      <c r="T429" s="576"/>
      <c r="U429" s="577"/>
    </row>
    <row r="430" spans="1:21" ht="35.1" customHeight="1" x14ac:dyDescent="0.25">
      <c r="A430" s="263">
        <f t="shared" si="6"/>
        <v>416</v>
      </c>
      <c r="B430" s="578" t="s">
        <v>159</v>
      </c>
      <c r="C430" s="578"/>
      <c r="D430" s="579" t="s">
        <v>159</v>
      </c>
      <c r="E430" s="579"/>
      <c r="F430" s="568" t="s">
        <v>162</v>
      </c>
      <c r="G430" s="568"/>
      <c r="H430" s="580"/>
      <c r="I430" s="581"/>
      <c r="J430" s="582"/>
      <c r="K430" s="572" t="s">
        <v>162</v>
      </c>
      <c r="L430" s="573"/>
      <c r="M430" s="574"/>
      <c r="N430" s="583" t="s">
        <v>159</v>
      </c>
      <c r="O430" s="584"/>
      <c r="P430" s="584"/>
      <c r="Q430" s="584"/>
      <c r="R430" s="584"/>
      <c r="S430" s="584"/>
      <c r="T430" s="584"/>
      <c r="U430" s="585"/>
    </row>
    <row r="431" spans="1:21" ht="35.1" customHeight="1" x14ac:dyDescent="0.25">
      <c r="A431" s="263">
        <f t="shared" si="6"/>
        <v>417</v>
      </c>
      <c r="B431" s="566" t="s">
        <v>159</v>
      </c>
      <c r="C431" s="566"/>
      <c r="D431" s="567" t="s">
        <v>159</v>
      </c>
      <c r="E431" s="567"/>
      <c r="F431" s="568" t="s">
        <v>162</v>
      </c>
      <c r="G431" s="568"/>
      <c r="H431" s="569"/>
      <c r="I431" s="570"/>
      <c r="J431" s="571"/>
      <c r="K431" s="572" t="s">
        <v>162</v>
      </c>
      <c r="L431" s="573"/>
      <c r="M431" s="574"/>
      <c r="N431" s="575" t="s">
        <v>159</v>
      </c>
      <c r="O431" s="576"/>
      <c r="P431" s="576"/>
      <c r="Q431" s="576"/>
      <c r="R431" s="576"/>
      <c r="S431" s="576"/>
      <c r="T431" s="576"/>
      <c r="U431" s="577"/>
    </row>
    <row r="432" spans="1:21" ht="35.1" customHeight="1" x14ac:dyDescent="0.25">
      <c r="A432" s="263">
        <f t="shared" si="6"/>
        <v>418</v>
      </c>
      <c r="B432" s="578" t="s">
        <v>159</v>
      </c>
      <c r="C432" s="578"/>
      <c r="D432" s="579" t="s">
        <v>159</v>
      </c>
      <c r="E432" s="579"/>
      <c r="F432" s="568" t="s">
        <v>162</v>
      </c>
      <c r="G432" s="568"/>
      <c r="H432" s="580"/>
      <c r="I432" s="581"/>
      <c r="J432" s="582"/>
      <c r="K432" s="572" t="s">
        <v>162</v>
      </c>
      <c r="L432" s="573"/>
      <c r="M432" s="574"/>
      <c r="N432" s="583" t="s">
        <v>159</v>
      </c>
      <c r="O432" s="584"/>
      <c r="P432" s="584"/>
      <c r="Q432" s="584"/>
      <c r="R432" s="584"/>
      <c r="S432" s="584"/>
      <c r="T432" s="584"/>
      <c r="U432" s="585"/>
    </row>
    <row r="433" spans="1:21" ht="35.1" customHeight="1" x14ac:dyDescent="0.25">
      <c r="A433" s="263">
        <f t="shared" si="6"/>
        <v>419</v>
      </c>
      <c r="B433" s="566" t="s">
        <v>159</v>
      </c>
      <c r="C433" s="566"/>
      <c r="D433" s="567" t="s">
        <v>159</v>
      </c>
      <c r="E433" s="567"/>
      <c r="F433" s="568" t="s">
        <v>162</v>
      </c>
      <c r="G433" s="568"/>
      <c r="H433" s="569"/>
      <c r="I433" s="570"/>
      <c r="J433" s="571"/>
      <c r="K433" s="572" t="s">
        <v>162</v>
      </c>
      <c r="L433" s="573"/>
      <c r="M433" s="574"/>
      <c r="N433" s="575" t="s">
        <v>159</v>
      </c>
      <c r="O433" s="576"/>
      <c r="P433" s="576"/>
      <c r="Q433" s="576"/>
      <c r="R433" s="576"/>
      <c r="S433" s="576"/>
      <c r="T433" s="576"/>
      <c r="U433" s="577"/>
    </row>
    <row r="434" spans="1:21" ht="35.1" customHeight="1" x14ac:dyDescent="0.25">
      <c r="A434" s="263">
        <f t="shared" si="6"/>
        <v>420</v>
      </c>
      <c r="B434" s="578" t="s">
        <v>159</v>
      </c>
      <c r="C434" s="578"/>
      <c r="D434" s="579" t="s">
        <v>159</v>
      </c>
      <c r="E434" s="579"/>
      <c r="F434" s="568" t="s">
        <v>162</v>
      </c>
      <c r="G434" s="568"/>
      <c r="H434" s="580"/>
      <c r="I434" s="581"/>
      <c r="J434" s="582"/>
      <c r="K434" s="572" t="s">
        <v>162</v>
      </c>
      <c r="L434" s="573"/>
      <c r="M434" s="574"/>
      <c r="N434" s="583" t="s">
        <v>159</v>
      </c>
      <c r="O434" s="584"/>
      <c r="P434" s="584"/>
      <c r="Q434" s="584"/>
      <c r="R434" s="584"/>
      <c r="S434" s="584"/>
      <c r="T434" s="584"/>
      <c r="U434" s="585"/>
    </row>
    <row r="435" spans="1:21" ht="35.1" customHeight="1" x14ac:dyDescent="0.25">
      <c r="A435" s="263">
        <f t="shared" si="6"/>
        <v>421</v>
      </c>
      <c r="B435" s="566" t="s">
        <v>159</v>
      </c>
      <c r="C435" s="566"/>
      <c r="D435" s="567" t="s">
        <v>159</v>
      </c>
      <c r="E435" s="567"/>
      <c r="F435" s="568" t="s">
        <v>162</v>
      </c>
      <c r="G435" s="568"/>
      <c r="H435" s="569"/>
      <c r="I435" s="570"/>
      <c r="J435" s="571"/>
      <c r="K435" s="572" t="s">
        <v>162</v>
      </c>
      <c r="L435" s="573"/>
      <c r="M435" s="574"/>
      <c r="N435" s="575" t="s">
        <v>159</v>
      </c>
      <c r="O435" s="576"/>
      <c r="P435" s="576"/>
      <c r="Q435" s="576"/>
      <c r="R435" s="576"/>
      <c r="S435" s="576"/>
      <c r="T435" s="576"/>
      <c r="U435" s="577"/>
    </row>
    <row r="436" spans="1:21" ht="35.1" customHeight="1" x14ac:dyDescent="0.25">
      <c r="A436" s="263">
        <f t="shared" si="6"/>
        <v>422</v>
      </c>
      <c r="B436" s="578" t="s">
        <v>159</v>
      </c>
      <c r="C436" s="578"/>
      <c r="D436" s="579" t="s">
        <v>159</v>
      </c>
      <c r="E436" s="579"/>
      <c r="F436" s="568" t="s">
        <v>162</v>
      </c>
      <c r="G436" s="568"/>
      <c r="H436" s="580"/>
      <c r="I436" s="581"/>
      <c r="J436" s="582"/>
      <c r="K436" s="572" t="s">
        <v>162</v>
      </c>
      <c r="L436" s="573"/>
      <c r="M436" s="574"/>
      <c r="N436" s="583" t="s">
        <v>159</v>
      </c>
      <c r="O436" s="584"/>
      <c r="P436" s="584"/>
      <c r="Q436" s="584"/>
      <c r="R436" s="584"/>
      <c r="S436" s="584"/>
      <c r="T436" s="584"/>
      <c r="U436" s="585"/>
    </row>
    <row r="437" spans="1:21" ht="35.1" customHeight="1" x14ac:dyDescent="0.25">
      <c r="A437" s="263">
        <f t="shared" si="6"/>
        <v>423</v>
      </c>
      <c r="B437" s="566" t="s">
        <v>159</v>
      </c>
      <c r="C437" s="566"/>
      <c r="D437" s="567" t="s">
        <v>159</v>
      </c>
      <c r="E437" s="567"/>
      <c r="F437" s="568" t="s">
        <v>162</v>
      </c>
      <c r="G437" s="568"/>
      <c r="H437" s="569"/>
      <c r="I437" s="570"/>
      <c r="J437" s="571"/>
      <c r="K437" s="572" t="s">
        <v>162</v>
      </c>
      <c r="L437" s="573"/>
      <c r="M437" s="574"/>
      <c r="N437" s="575" t="s">
        <v>159</v>
      </c>
      <c r="O437" s="576"/>
      <c r="P437" s="576"/>
      <c r="Q437" s="576"/>
      <c r="R437" s="576"/>
      <c r="S437" s="576"/>
      <c r="T437" s="576"/>
      <c r="U437" s="577"/>
    </row>
    <row r="438" spans="1:21" ht="35.1" customHeight="1" x14ac:dyDescent="0.25">
      <c r="A438" s="263">
        <f t="shared" si="6"/>
        <v>424</v>
      </c>
      <c r="B438" s="578" t="s">
        <v>159</v>
      </c>
      <c r="C438" s="578"/>
      <c r="D438" s="579" t="s">
        <v>159</v>
      </c>
      <c r="E438" s="579"/>
      <c r="F438" s="568" t="s">
        <v>162</v>
      </c>
      <c r="G438" s="568"/>
      <c r="H438" s="580"/>
      <c r="I438" s="581"/>
      <c r="J438" s="582"/>
      <c r="K438" s="572" t="s">
        <v>162</v>
      </c>
      <c r="L438" s="573"/>
      <c r="M438" s="574"/>
      <c r="N438" s="583" t="s">
        <v>159</v>
      </c>
      <c r="O438" s="584"/>
      <c r="P438" s="584"/>
      <c r="Q438" s="584"/>
      <c r="R438" s="584"/>
      <c r="S438" s="584"/>
      <c r="T438" s="584"/>
      <c r="U438" s="585"/>
    </row>
    <row r="439" spans="1:21" ht="35.1" customHeight="1" x14ac:dyDescent="0.25">
      <c r="A439" s="263">
        <f t="shared" si="6"/>
        <v>425</v>
      </c>
      <c r="B439" s="566" t="s">
        <v>159</v>
      </c>
      <c r="C439" s="566"/>
      <c r="D439" s="567" t="s">
        <v>159</v>
      </c>
      <c r="E439" s="567"/>
      <c r="F439" s="568" t="s">
        <v>162</v>
      </c>
      <c r="G439" s="568"/>
      <c r="H439" s="569"/>
      <c r="I439" s="570"/>
      <c r="J439" s="571"/>
      <c r="K439" s="572" t="s">
        <v>162</v>
      </c>
      <c r="L439" s="573"/>
      <c r="M439" s="574"/>
      <c r="N439" s="575" t="s">
        <v>159</v>
      </c>
      <c r="O439" s="576"/>
      <c r="P439" s="576"/>
      <c r="Q439" s="576"/>
      <c r="R439" s="576"/>
      <c r="S439" s="576"/>
      <c r="T439" s="576"/>
      <c r="U439" s="577"/>
    </row>
    <row r="440" spans="1:21" ht="35.1" customHeight="1" x14ac:dyDescent="0.25">
      <c r="A440" s="263">
        <f t="shared" si="6"/>
        <v>426</v>
      </c>
      <c r="B440" s="578" t="s">
        <v>159</v>
      </c>
      <c r="C440" s="578"/>
      <c r="D440" s="579" t="s">
        <v>159</v>
      </c>
      <c r="E440" s="579"/>
      <c r="F440" s="568" t="s">
        <v>162</v>
      </c>
      <c r="G440" s="568"/>
      <c r="H440" s="580"/>
      <c r="I440" s="581"/>
      <c r="J440" s="582"/>
      <c r="K440" s="572" t="s">
        <v>162</v>
      </c>
      <c r="L440" s="573"/>
      <c r="M440" s="574"/>
      <c r="N440" s="583" t="s">
        <v>159</v>
      </c>
      <c r="O440" s="584"/>
      <c r="P440" s="584"/>
      <c r="Q440" s="584"/>
      <c r="R440" s="584"/>
      <c r="S440" s="584"/>
      <c r="T440" s="584"/>
      <c r="U440" s="585"/>
    </row>
    <row r="441" spans="1:21" ht="35.1" customHeight="1" x14ac:dyDescent="0.25">
      <c r="A441" s="263">
        <f t="shared" si="6"/>
        <v>427</v>
      </c>
      <c r="B441" s="566" t="s">
        <v>159</v>
      </c>
      <c r="C441" s="566"/>
      <c r="D441" s="567" t="s">
        <v>159</v>
      </c>
      <c r="E441" s="567"/>
      <c r="F441" s="568" t="s">
        <v>162</v>
      </c>
      <c r="G441" s="568"/>
      <c r="H441" s="569"/>
      <c r="I441" s="570"/>
      <c r="J441" s="571"/>
      <c r="K441" s="572" t="s">
        <v>162</v>
      </c>
      <c r="L441" s="573"/>
      <c r="M441" s="574"/>
      <c r="N441" s="575" t="s">
        <v>159</v>
      </c>
      <c r="O441" s="576"/>
      <c r="P441" s="576"/>
      <c r="Q441" s="576"/>
      <c r="R441" s="576"/>
      <c r="S441" s="576"/>
      <c r="T441" s="576"/>
      <c r="U441" s="577"/>
    </row>
    <row r="442" spans="1:21" ht="35.1" customHeight="1" x14ac:dyDescent="0.25">
      <c r="A442" s="263">
        <f t="shared" si="6"/>
        <v>428</v>
      </c>
      <c r="B442" s="578" t="s">
        <v>159</v>
      </c>
      <c r="C442" s="578"/>
      <c r="D442" s="579" t="s">
        <v>159</v>
      </c>
      <c r="E442" s="579"/>
      <c r="F442" s="568" t="s">
        <v>162</v>
      </c>
      <c r="G442" s="568"/>
      <c r="H442" s="580"/>
      <c r="I442" s="581"/>
      <c r="J442" s="582"/>
      <c r="K442" s="572" t="s">
        <v>162</v>
      </c>
      <c r="L442" s="573"/>
      <c r="M442" s="574"/>
      <c r="N442" s="583" t="s">
        <v>159</v>
      </c>
      <c r="O442" s="584"/>
      <c r="P442" s="584"/>
      <c r="Q442" s="584"/>
      <c r="R442" s="584"/>
      <c r="S442" s="584"/>
      <c r="T442" s="584"/>
      <c r="U442" s="585"/>
    </row>
    <row r="443" spans="1:21" ht="35.1" customHeight="1" x14ac:dyDescent="0.25">
      <c r="A443" s="263">
        <f t="shared" si="6"/>
        <v>429</v>
      </c>
      <c r="B443" s="566" t="s">
        <v>159</v>
      </c>
      <c r="C443" s="566"/>
      <c r="D443" s="567" t="s">
        <v>159</v>
      </c>
      <c r="E443" s="567"/>
      <c r="F443" s="568" t="s">
        <v>162</v>
      </c>
      <c r="G443" s="568"/>
      <c r="H443" s="569"/>
      <c r="I443" s="570"/>
      <c r="J443" s="571"/>
      <c r="K443" s="572" t="s">
        <v>162</v>
      </c>
      <c r="L443" s="573"/>
      <c r="M443" s="574"/>
      <c r="N443" s="575" t="s">
        <v>159</v>
      </c>
      <c r="O443" s="576"/>
      <c r="P443" s="576"/>
      <c r="Q443" s="576"/>
      <c r="R443" s="576"/>
      <c r="S443" s="576"/>
      <c r="T443" s="576"/>
      <c r="U443" s="577"/>
    </row>
    <row r="444" spans="1:21" ht="35.1" customHeight="1" x14ac:dyDescent="0.25">
      <c r="A444" s="263">
        <f t="shared" si="6"/>
        <v>430</v>
      </c>
      <c r="B444" s="578" t="s">
        <v>159</v>
      </c>
      <c r="C444" s="578"/>
      <c r="D444" s="579" t="s">
        <v>159</v>
      </c>
      <c r="E444" s="579"/>
      <c r="F444" s="568" t="s">
        <v>162</v>
      </c>
      <c r="G444" s="568"/>
      <c r="H444" s="580"/>
      <c r="I444" s="581"/>
      <c r="J444" s="582"/>
      <c r="K444" s="572" t="s">
        <v>162</v>
      </c>
      <c r="L444" s="573"/>
      <c r="M444" s="574"/>
      <c r="N444" s="583" t="s">
        <v>159</v>
      </c>
      <c r="O444" s="584"/>
      <c r="P444" s="584"/>
      <c r="Q444" s="584"/>
      <c r="R444" s="584"/>
      <c r="S444" s="584"/>
      <c r="T444" s="584"/>
      <c r="U444" s="585"/>
    </row>
    <row r="445" spans="1:21" ht="35.1" customHeight="1" x14ac:dyDescent="0.25">
      <c r="A445" s="263">
        <f t="shared" si="6"/>
        <v>431</v>
      </c>
      <c r="B445" s="566" t="s">
        <v>159</v>
      </c>
      <c r="C445" s="566"/>
      <c r="D445" s="567" t="s">
        <v>159</v>
      </c>
      <c r="E445" s="567"/>
      <c r="F445" s="568" t="s">
        <v>162</v>
      </c>
      <c r="G445" s="568"/>
      <c r="H445" s="569"/>
      <c r="I445" s="570"/>
      <c r="J445" s="571"/>
      <c r="K445" s="572" t="s">
        <v>162</v>
      </c>
      <c r="L445" s="573"/>
      <c r="M445" s="574"/>
      <c r="N445" s="575" t="s">
        <v>159</v>
      </c>
      <c r="O445" s="576"/>
      <c r="P445" s="576"/>
      <c r="Q445" s="576"/>
      <c r="R445" s="576"/>
      <c r="S445" s="576"/>
      <c r="T445" s="576"/>
      <c r="U445" s="577"/>
    </row>
    <row r="446" spans="1:21" ht="35.1" customHeight="1" x14ac:dyDescent="0.25">
      <c r="A446" s="263">
        <f t="shared" si="6"/>
        <v>432</v>
      </c>
      <c r="B446" s="578" t="s">
        <v>159</v>
      </c>
      <c r="C446" s="578"/>
      <c r="D446" s="579" t="s">
        <v>159</v>
      </c>
      <c r="E446" s="579"/>
      <c r="F446" s="568" t="s">
        <v>162</v>
      </c>
      <c r="G446" s="568"/>
      <c r="H446" s="580"/>
      <c r="I446" s="581"/>
      <c r="J446" s="582"/>
      <c r="K446" s="572" t="s">
        <v>162</v>
      </c>
      <c r="L446" s="573"/>
      <c r="M446" s="574"/>
      <c r="N446" s="583" t="s">
        <v>159</v>
      </c>
      <c r="O446" s="584"/>
      <c r="P446" s="584"/>
      <c r="Q446" s="584"/>
      <c r="R446" s="584"/>
      <c r="S446" s="584"/>
      <c r="T446" s="584"/>
      <c r="U446" s="585"/>
    </row>
    <row r="447" spans="1:21" ht="35.1" customHeight="1" x14ac:dyDescent="0.25">
      <c r="A447" s="263">
        <f t="shared" si="6"/>
        <v>433</v>
      </c>
      <c r="B447" s="566" t="s">
        <v>159</v>
      </c>
      <c r="C447" s="566"/>
      <c r="D447" s="567" t="s">
        <v>159</v>
      </c>
      <c r="E447" s="567"/>
      <c r="F447" s="568" t="s">
        <v>162</v>
      </c>
      <c r="G447" s="568"/>
      <c r="H447" s="569"/>
      <c r="I447" s="570"/>
      <c r="J447" s="571"/>
      <c r="K447" s="572" t="s">
        <v>162</v>
      </c>
      <c r="L447" s="573"/>
      <c r="M447" s="574"/>
      <c r="N447" s="575" t="s">
        <v>159</v>
      </c>
      <c r="O447" s="576"/>
      <c r="P447" s="576"/>
      <c r="Q447" s="576"/>
      <c r="R447" s="576"/>
      <c r="S447" s="576"/>
      <c r="T447" s="576"/>
      <c r="U447" s="577"/>
    </row>
    <row r="448" spans="1:21" ht="35.1" customHeight="1" x14ac:dyDescent="0.25">
      <c r="A448" s="263">
        <f t="shared" si="6"/>
        <v>434</v>
      </c>
      <c r="B448" s="578" t="s">
        <v>159</v>
      </c>
      <c r="C448" s="578"/>
      <c r="D448" s="579" t="s">
        <v>159</v>
      </c>
      <c r="E448" s="579"/>
      <c r="F448" s="568" t="s">
        <v>162</v>
      </c>
      <c r="G448" s="568"/>
      <c r="H448" s="580"/>
      <c r="I448" s="581"/>
      <c r="J448" s="582"/>
      <c r="K448" s="572" t="s">
        <v>162</v>
      </c>
      <c r="L448" s="573"/>
      <c r="M448" s="574"/>
      <c r="N448" s="583" t="s">
        <v>159</v>
      </c>
      <c r="O448" s="584"/>
      <c r="P448" s="584"/>
      <c r="Q448" s="584"/>
      <c r="R448" s="584"/>
      <c r="S448" s="584"/>
      <c r="T448" s="584"/>
      <c r="U448" s="585"/>
    </row>
    <row r="449" spans="1:21" ht="35.1" customHeight="1" x14ac:dyDescent="0.25">
      <c r="A449" s="263">
        <f t="shared" si="6"/>
        <v>435</v>
      </c>
      <c r="B449" s="566" t="s">
        <v>159</v>
      </c>
      <c r="C449" s="566"/>
      <c r="D449" s="567" t="s">
        <v>159</v>
      </c>
      <c r="E449" s="567"/>
      <c r="F449" s="568" t="s">
        <v>162</v>
      </c>
      <c r="G449" s="568"/>
      <c r="H449" s="569"/>
      <c r="I449" s="570"/>
      <c r="J449" s="571"/>
      <c r="K449" s="572" t="s">
        <v>162</v>
      </c>
      <c r="L449" s="573"/>
      <c r="M449" s="574"/>
      <c r="N449" s="575" t="s">
        <v>159</v>
      </c>
      <c r="O449" s="576"/>
      <c r="P449" s="576"/>
      <c r="Q449" s="576"/>
      <c r="R449" s="576"/>
      <c r="S449" s="576"/>
      <c r="T449" s="576"/>
      <c r="U449" s="577"/>
    </row>
    <row r="450" spans="1:21" ht="35.1" customHeight="1" x14ac:dyDescent="0.25">
      <c r="A450" s="263">
        <f t="shared" si="6"/>
        <v>436</v>
      </c>
      <c r="B450" s="578" t="s">
        <v>159</v>
      </c>
      <c r="C450" s="578"/>
      <c r="D450" s="579" t="s">
        <v>159</v>
      </c>
      <c r="E450" s="579"/>
      <c r="F450" s="568" t="s">
        <v>162</v>
      </c>
      <c r="G450" s="568"/>
      <c r="H450" s="580"/>
      <c r="I450" s="581"/>
      <c r="J450" s="582"/>
      <c r="K450" s="572" t="s">
        <v>162</v>
      </c>
      <c r="L450" s="573"/>
      <c r="M450" s="574"/>
      <c r="N450" s="583" t="s">
        <v>159</v>
      </c>
      <c r="O450" s="584"/>
      <c r="P450" s="584"/>
      <c r="Q450" s="584"/>
      <c r="R450" s="584"/>
      <c r="S450" s="584"/>
      <c r="T450" s="584"/>
      <c r="U450" s="585"/>
    </row>
    <row r="451" spans="1:21" ht="35.1" customHeight="1" x14ac:dyDescent="0.25">
      <c r="A451" s="263">
        <f t="shared" si="6"/>
        <v>437</v>
      </c>
      <c r="B451" s="566" t="s">
        <v>159</v>
      </c>
      <c r="C451" s="566"/>
      <c r="D451" s="567" t="s">
        <v>159</v>
      </c>
      <c r="E451" s="567"/>
      <c r="F451" s="568" t="s">
        <v>162</v>
      </c>
      <c r="G451" s="568"/>
      <c r="H451" s="569"/>
      <c r="I451" s="570"/>
      <c r="J451" s="571"/>
      <c r="K451" s="572" t="s">
        <v>162</v>
      </c>
      <c r="L451" s="573"/>
      <c r="M451" s="574"/>
      <c r="N451" s="575" t="s">
        <v>159</v>
      </c>
      <c r="O451" s="576"/>
      <c r="P451" s="576"/>
      <c r="Q451" s="576"/>
      <c r="R451" s="576"/>
      <c r="S451" s="576"/>
      <c r="T451" s="576"/>
      <c r="U451" s="577"/>
    </row>
    <row r="452" spans="1:21" ht="35.1" customHeight="1" x14ac:dyDescent="0.25">
      <c r="A452" s="263">
        <f t="shared" si="6"/>
        <v>438</v>
      </c>
      <c r="B452" s="578" t="s">
        <v>159</v>
      </c>
      <c r="C452" s="578"/>
      <c r="D452" s="579" t="s">
        <v>159</v>
      </c>
      <c r="E452" s="579"/>
      <c r="F452" s="568" t="s">
        <v>162</v>
      </c>
      <c r="G452" s="568"/>
      <c r="H452" s="580"/>
      <c r="I452" s="581"/>
      <c r="J452" s="582"/>
      <c r="K452" s="572" t="s">
        <v>162</v>
      </c>
      <c r="L452" s="573"/>
      <c r="M452" s="574"/>
      <c r="N452" s="583" t="s">
        <v>159</v>
      </c>
      <c r="O452" s="584"/>
      <c r="P452" s="584"/>
      <c r="Q452" s="584"/>
      <c r="R452" s="584"/>
      <c r="S452" s="584"/>
      <c r="T452" s="584"/>
      <c r="U452" s="585"/>
    </row>
    <row r="453" spans="1:21" ht="35.1" customHeight="1" x14ac:dyDescent="0.25">
      <c r="A453" s="263">
        <f t="shared" si="6"/>
        <v>439</v>
      </c>
      <c r="B453" s="566" t="s">
        <v>159</v>
      </c>
      <c r="C453" s="566"/>
      <c r="D453" s="567" t="s">
        <v>159</v>
      </c>
      <c r="E453" s="567"/>
      <c r="F453" s="568" t="s">
        <v>162</v>
      </c>
      <c r="G453" s="568"/>
      <c r="H453" s="569"/>
      <c r="I453" s="570"/>
      <c r="J453" s="571"/>
      <c r="K453" s="572" t="s">
        <v>162</v>
      </c>
      <c r="L453" s="573"/>
      <c r="M453" s="574"/>
      <c r="N453" s="575" t="s">
        <v>159</v>
      </c>
      <c r="O453" s="576"/>
      <c r="P453" s="576"/>
      <c r="Q453" s="576"/>
      <c r="R453" s="576"/>
      <c r="S453" s="576"/>
      <c r="T453" s="576"/>
      <c r="U453" s="577"/>
    </row>
    <row r="454" spans="1:21" ht="35.1" customHeight="1" x14ac:dyDescent="0.25">
      <c r="A454" s="263">
        <f t="shared" si="6"/>
        <v>440</v>
      </c>
      <c r="B454" s="578" t="s">
        <v>159</v>
      </c>
      <c r="C454" s="578"/>
      <c r="D454" s="579" t="s">
        <v>159</v>
      </c>
      <c r="E454" s="579"/>
      <c r="F454" s="568" t="s">
        <v>162</v>
      </c>
      <c r="G454" s="568"/>
      <c r="H454" s="580"/>
      <c r="I454" s="581"/>
      <c r="J454" s="582"/>
      <c r="K454" s="572" t="s">
        <v>162</v>
      </c>
      <c r="L454" s="573"/>
      <c r="M454" s="574"/>
      <c r="N454" s="583" t="s">
        <v>159</v>
      </c>
      <c r="O454" s="584"/>
      <c r="P454" s="584"/>
      <c r="Q454" s="584"/>
      <c r="R454" s="584"/>
      <c r="S454" s="584"/>
      <c r="T454" s="584"/>
      <c r="U454" s="585"/>
    </row>
    <row r="455" spans="1:21" ht="35.1" customHeight="1" x14ac:dyDescent="0.25">
      <c r="A455" s="263">
        <f t="shared" si="6"/>
        <v>441</v>
      </c>
      <c r="B455" s="566" t="s">
        <v>159</v>
      </c>
      <c r="C455" s="566"/>
      <c r="D455" s="567" t="s">
        <v>159</v>
      </c>
      <c r="E455" s="567"/>
      <c r="F455" s="568" t="s">
        <v>162</v>
      </c>
      <c r="G455" s="568"/>
      <c r="H455" s="569"/>
      <c r="I455" s="570"/>
      <c r="J455" s="571"/>
      <c r="K455" s="572" t="s">
        <v>162</v>
      </c>
      <c r="L455" s="573"/>
      <c r="M455" s="574"/>
      <c r="N455" s="575" t="s">
        <v>159</v>
      </c>
      <c r="O455" s="576"/>
      <c r="P455" s="576"/>
      <c r="Q455" s="576"/>
      <c r="R455" s="576"/>
      <c r="S455" s="576"/>
      <c r="T455" s="576"/>
      <c r="U455" s="577"/>
    </row>
    <row r="456" spans="1:21" ht="35.1" customHeight="1" x14ac:dyDescent="0.25">
      <c r="A456" s="263">
        <f t="shared" si="6"/>
        <v>442</v>
      </c>
      <c r="B456" s="578" t="s">
        <v>159</v>
      </c>
      <c r="C456" s="578"/>
      <c r="D456" s="579" t="s">
        <v>159</v>
      </c>
      <c r="E456" s="579"/>
      <c r="F456" s="568" t="s">
        <v>162</v>
      </c>
      <c r="G456" s="568"/>
      <c r="H456" s="580"/>
      <c r="I456" s="581"/>
      <c r="J456" s="582"/>
      <c r="K456" s="572" t="s">
        <v>162</v>
      </c>
      <c r="L456" s="573"/>
      <c r="M456" s="574"/>
      <c r="N456" s="583" t="s">
        <v>159</v>
      </c>
      <c r="O456" s="584"/>
      <c r="P456" s="584"/>
      <c r="Q456" s="584"/>
      <c r="R456" s="584"/>
      <c r="S456" s="584"/>
      <c r="T456" s="584"/>
      <c r="U456" s="585"/>
    </row>
    <row r="457" spans="1:21" ht="35.1" customHeight="1" x14ac:dyDescent="0.25">
      <c r="A457" s="263">
        <f t="shared" si="6"/>
        <v>443</v>
      </c>
      <c r="B457" s="566" t="s">
        <v>159</v>
      </c>
      <c r="C457" s="566"/>
      <c r="D457" s="567" t="s">
        <v>159</v>
      </c>
      <c r="E457" s="567"/>
      <c r="F457" s="568" t="s">
        <v>162</v>
      </c>
      <c r="G457" s="568"/>
      <c r="H457" s="569"/>
      <c r="I457" s="570"/>
      <c r="J457" s="571"/>
      <c r="K457" s="572" t="s">
        <v>162</v>
      </c>
      <c r="L457" s="573"/>
      <c r="M457" s="574"/>
      <c r="N457" s="575" t="s">
        <v>159</v>
      </c>
      <c r="O457" s="576"/>
      <c r="P457" s="576"/>
      <c r="Q457" s="576"/>
      <c r="R457" s="576"/>
      <c r="S457" s="576"/>
      <c r="T457" s="576"/>
      <c r="U457" s="577"/>
    </row>
    <row r="458" spans="1:21" ht="35.1" customHeight="1" x14ac:dyDescent="0.25">
      <c r="A458" s="263">
        <f t="shared" si="6"/>
        <v>444</v>
      </c>
      <c r="B458" s="578" t="s">
        <v>159</v>
      </c>
      <c r="C458" s="578"/>
      <c r="D458" s="579" t="s">
        <v>159</v>
      </c>
      <c r="E458" s="579"/>
      <c r="F458" s="568" t="s">
        <v>162</v>
      </c>
      <c r="G458" s="568"/>
      <c r="H458" s="580"/>
      <c r="I458" s="581"/>
      <c r="J458" s="582"/>
      <c r="K458" s="572" t="s">
        <v>162</v>
      </c>
      <c r="L458" s="573"/>
      <c r="M458" s="574"/>
      <c r="N458" s="583" t="s">
        <v>159</v>
      </c>
      <c r="O458" s="584"/>
      <c r="P458" s="584"/>
      <c r="Q458" s="584"/>
      <c r="R458" s="584"/>
      <c r="S458" s="584"/>
      <c r="T458" s="584"/>
      <c r="U458" s="585"/>
    </row>
    <row r="459" spans="1:21" ht="35.1" customHeight="1" x14ac:dyDescent="0.25">
      <c r="A459" s="263">
        <f t="shared" si="6"/>
        <v>445</v>
      </c>
      <c r="B459" s="566" t="s">
        <v>159</v>
      </c>
      <c r="C459" s="566"/>
      <c r="D459" s="567" t="s">
        <v>159</v>
      </c>
      <c r="E459" s="567"/>
      <c r="F459" s="568" t="s">
        <v>162</v>
      </c>
      <c r="G459" s="568"/>
      <c r="H459" s="569"/>
      <c r="I459" s="570"/>
      <c r="J459" s="571"/>
      <c r="K459" s="572" t="s">
        <v>162</v>
      </c>
      <c r="L459" s="573"/>
      <c r="M459" s="574"/>
      <c r="N459" s="575" t="s">
        <v>159</v>
      </c>
      <c r="O459" s="576"/>
      <c r="P459" s="576"/>
      <c r="Q459" s="576"/>
      <c r="R459" s="576"/>
      <c r="S459" s="576"/>
      <c r="T459" s="576"/>
      <c r="U459" s="577"/>
    </row>
    <row r="460" spans="1:21" ht="35.1" customHeight="1" x14ac:dyDescent="0.25">
      <c r="A460" s="263">
        <f t="shared" si="6"/>
        <v>446</v>
      </c>
      <c r="B460" s="578" t="s">
        <v>159</v>
      </c>
      <c r="C460" s="578"/>
      <c r="D460" s="579" t="s">
        <v>159</v>
      </c>
      <c r="E460" s="579"/>
      <c r="F460" s="568" t="s">
        <v>162</v>
      </c>
      <c r="G460" s="568"/>
      <c r="H460" s="580"/>
      <c r="I460" s="581"/>
      <c r="J460" s="582"/>
      <c r="K460" s="572" t="s">
        <v>162</v>
      </c>
      <c r="L460" s="573"/>
      <c r="M460" s="574"/>
      <c r="N460" s="583" t="s">
        <v>159</v>
      </c>
      <c r="O460" s="584"/>
      <c r="P460" s="584"/>
      <c r="Q460" s="584"/>
      <c r="R460" s="584"/>
      <c r="S460" s="584"/>
      <c r="T460" s="584"/>
      <c r="U460" s="585"/>
    </row>
    <row r="461" spans="1:21" ht="35.1" customHeight="1" x14ac:dyDescent="0.25">
      <c r="A461" s="263">
        <f t="shared" si="6"/>
        <v>447</v>
      </c>
      <c r="B461" s="566" t="s">
        <v>159</v>
      </c>
      <c r="C461" s="566"/>
      <c r="D461" s="567" t="s">
        <v>159</v>
      </c>
      <c r="E461" s="567"/>
      <c r="F461" s="568" t="s">
        <v>162</v>
      </c>
      <c r="G461" s="568"/>
      <c r="H461" s="569"/>
      <c r="I461" s="570"/>
      <c r="J461" s="571"/>
      <c r="K461" s="572" t="s">
        <v>162</v>
      </c>
      <c r="L461" s="573"/>
      <c r="M461" s="574"/>
      <c r="N461" s="575" t="s">
        <v>159</v>
      </c>
      <c r="O461" s="576"/>
      <c r="P461" s="576"/>
      <c r="Q461" s="576"/>
      <c r="R461" s="576"/>
      <c r="S461" s="576"/>
      <c r="T461" s="576"/>
      <c r="U461" s="577"/>
    </row>
    <row r="462" spans="1:21" ht="35.1" customHeight="1" x14ac:dyDescent="0.25">
      <c r="A462" s="263">
        <f t="shared" si="6"/>
        <v>448</v>
      </c>
      <c r="B462" s="578" t="s">
        <v>159</v>
      </c>
      <c r="C462" s="578"/>
      <c r="D462" s="579" t="s">
        <v>159</v>
      </c>
      <c r="E462" s="579"/>
      <c r="F462" s="568" t="s">
        <v>162</v>
      </c>
      <c r="G462" s="568"/>
      <c r="H462" s="580"/>
      <c r="I462" s="581"/>
      <c r="J462" s="582"/>
      <c r="K462" s="572" t="s">
        <v>162</v>
      </c>
      <c r="L462" s="573"/>
      <c r="M462" s="574"/>
      <c r="N462" s="583" t="s">
        <v>159</v>
      </c>
      <c r="O462" s="584"/>
      <c r="P462" s="584"/>
      <c r="Q462" s="584"/>
      <c r="R462" s="584"/>
      <c r="S462" s="584"/>
      <c r="T462" s="584"/>
      <c r="U462" s="585"/>
    </row>
    <row r="463" spans="1:21" ht="35.1" customHeight="1" x14ac:dyDescent="0.25">
      <c r="A463" s="263">
        <f t="shared" ref="A463:A526" si="7">ROW(A449)</f>
        <v>449</v>
      </c>
      <c r="B463" s="566" t="s">
        <v>159</v>
      </c>
      <c r="C463" s="566"/>
      <c r="D463" s="567" t="s">
        <v>159</v>
      </c>
      <c r="E463" s="567"/>
      <c r="F463" s="568" t="s">
        <v>162</v>
      </c>
      <c r="G463" s="568"/>
      <c r="H463" s="569"/>
      <c r="I463" s="570"/>
      <c r="J463" s="571"/>
      <c r="K463" s="572" t="s">
        <v>162</v>
      </c>
      <c r="L463" s="573"/>
      <c r="M463" s="574"/>
      <c r="N463" s="575" t="s">
        <v>159</v>
      </c>
      <c r="O463" s="576"/>
      <c r="P463" s="576"/>
      <c r="Q463" s="576"/>
      <c r="R463" s="576"/>
      <c r="S463" s="576"/>
      <c r="T463" s="576"/>
      <c r="U463" s="577"/>
    </row>
    <row r="464" spans="1:21" ht="35.1" customHeight="1" x14ac:dyDescent="0.25">
      <c r="A464" s="263">
        <f t="shared" si="7"/>
        <v>450</v>
      </c>
      <c r="B464" s="578" t="s">
        <v>159</v>
      </c>
      <c r="C464" s="578"/>
      <c r="D464" s="579" t="s">
        <v>159</v>
      </c>
      <c r="E464" s="579"/>
      <c r="F464" s="568" t="s">
        <v>162</v>
      </c>
      <c r="G464" s="568"/>
      <c r="H464" s="580"/>
      <c r="I464" s="581"/>
      <c r="J464" s="582"/>
      <c r="K464" s="572" t="s">
        <v>162</v>
      </c>
      <c r="L464" s="573"/>
      <c r="M464" s="574"/>
      <c r="N464" s="583" t="s">
        <v>159</v>
      </c>
      <c r="O464" s="584"/>
      <c r="P464" s="584"/>
      <c r="Q464" s="584"/>
      <c r="R464" s="584"/>
      <c r="S464" s="584"/>
      <c r="T464" s="584"/>
      <c r="U464" s="585"/>
    </row>
    <row r="465" spans="1:21" ht="35.1" customHeight="1" x14ac:dyDescent="0.25">
      <c r="A465" s="263">
        <f t="shared" si="7"/>
        <v>451</v>
      </c>
      <c r="B465" s="566" t="s">
        <v>159</v>
      </c>
      <c r="C465" s="566"/>
      <c r="D465" s="567" t="s">
        <v>159</v>
      </c>
      <c r="E465" s="567"/>
      <c r="F465" s="568" t="s">
        <v>162</v>
      </c>
      <c r="G465" s="568"/>
      <c r="H465" s="569"/>
      <c r="I465" s="570"/>
      <c r="J465" s="571"/>
      <c r="K465" s="572" t="s">
        <v>162</v>
      </c>
      <c r="L465" s="573"/>
      <c r="M465" s="574"/>
      <c r="N465" s="575" t="s">
        <v>159</v>
      </c>
      <c r="O465" s="576"/>
      <c r="P465" s="576"/>
      <c r="Q465" s="576"/>
      <c r="R465" s="576"/>
      <c r="S465" s="576"/>
      <c r="T465" s="576"/>
      <c r="U465" s="577"/>
    </row>
    <row r="466" spans="1:21" ht="35.1" customHeight="1" x14ac:dyDescent="0.25">
      <c r="A466" s="263">
        <f t="shared" si="7"/>
        <v>452</v>
      </c>
      <c r="B466" s="578" t="s">
        <v>159</v>
      </c>
      <c r="C466" s="578"/>
      <c r="D466" s="579" t="s">
        <v>159</v>
      </c>
      <c r="E466" s="579"/>
      <c r="F466" s="568" t="s">
        <v>162</v>
      </c>
      <c r="G466" s="568"/>
      <c r="H466" s="580"/>
      <c r="I466" s="581"/>
      <c r="J466" s="582"/>
      <c r="K466" s="572" t="s">
        <v>162</v>
      </c>
      <c r="L466" s="573"/>
      <c r="M466" s="574"/>
      <c r="N466" s="583" t="s">
        <v>159</v>
      </c>
      <c r="O466" s="584"/>
      <c r="P466" s="584"/>
      <c r="Q466" s="584"/>
      <c r="R466" s="584"/>
      <c r="S466" s="584"/>
      <c r="T466" s="584"/>
      <c r="U466" s="585"/>
    </row>
    <row r="467" spans="1:21" ht="35.1" customHeight="1" x14ac:dyDescent="0.25">
      <c r="A467" s="263">
        <f t="shared" si="7"/>
        <v>453</v>
      </c>
      <c r="B467" s="566" t="s">
        <v>159</v>
      </c>
      <c r="C467" s="566"/>
      <c r="D467" s="567" t="s">
        <v>159</v>
      </c>
      <c r="E467" s="567"/>
      <c r="F467" s="568" t="s">
        <v>162</v>
      </c>
      <c r="G467" s="568"/>
      <c r="H467" s="569"/>
      <c r="I467" s="570"/>
      <c r="J467" s="571"/>
      <c r="K467" s="572" t="s">
        <v>162</v>
      </c>
      <c r="L467" s="573"/>
      <c r="M467" s="574"/>
      <c r="N467" s="575" t="s">
        <v>159</v>
      </c>
      <c r="O467" s="576"/>
      <c r="P467" s="576"/>
      <c r="Q467" s="576"/>
      <c r="R467" s="576"/>
      <c r="S467" s="576"/>
      <c r="T467" s="576"/>
      <c r="U467" s="577"/>
    </row>
    <row r="468" spans="1:21" ht="35.1" customHeight="1" x14ac:dyDescent="0.25">
      <c r="A468" s="263">
        <f t="shared" si="7"/>
        <v>454</v>
      </c>
      <c r="B468" s="578" t="s">
        <v>159</v>
      </c>
      <c r="C468" s="578"/>
      <c r="D468" s="579" t="s">
        <v>159</v>
      </c>
      <c r="E468" s="579"/>
      <c r="F468" s="568" t="s">
        <v>162</v>
      </c>
      <c r="G468" s="568"/>
      <c r="H468" s="580"/>
      <c r="I468" s="581"/>
      <c r="J468" s="582"/>
      <c r="K468" s="572" t="s">
        <v>162</v>
      </c>
      <c r="L468" s="573"/>
      <c r="M468" s="574"/>
      <c r="N468" s="583" t="s">
        <v>159</v>
      </c>
      <c r="O468" s="584"/>
      <c r="P468" s="584"/>
      <c r="Q468" s="584"/>
      <c r="R468" s="584"/>
      <c r="S468" s="584"/>
      <c r="T468" s="584"/>
      <c r="U468" s="585"/>
    </row>
    <row r="469" spans="1:21" ht="35.1" customHeight="1" x14ac:dyDescent="0.25">
      <c r="A469" s="263">
        <f t="shared" si="7"/>
        <v>455</v>
      </c>
      <c r="B469" s="566" t="s">
        <v>444</v>
      </c>
      <c r="C469" s="566"/>
      <c r="D469" s="567" t="s">
        <v>159</v>
      </c>
      <c r="E469" s="567"/>
      <c r="F469" s="568" t="s">
        <v>162</v>
      </c>
      <c r="G469" s="568"/>
      <c r="H469" s="569"/>
      <c r="I469" s="570"/>
      <c r="J469" s="571"/>
      <c r="K469" s="572" t="s">
        <v>162</v>
      </c>
      <c r="L469" s="573"/>
      <c r="M469" s="574"/>
      <c r="N469" s="575" t="s">
        <v>159</v>
      </c>
      <c r="O469" s="576"/>
      <c r="P469" s="576"/>
      <c r="Q469" s="576"/>
      <c r="R469" s="576"/>
      <c r="S469" s="576"/>
      <c r="T469" s="576"/>
      <c r="U469" s="577"/>
    </row>
    <row r="470" spans="1:21" ht="35.1" customHeight="1" x14ac:dyDescent="0.25">
      <c r="A470" s="263">
        <f t="shared" si="7"/>
        <v>456</v>
      </c>
      <c r="B470" s="578" t="s">
        <v>159</v>
      </c>
      <c r="C470" s="578"/>
      <c r="D470" s="579" t="s">
        <v>159</v>
      </c>
      <c r="E470" s="579"/>
      <c r="F470" s="568" t="s">
        <v>162</v>
      </c>
      <c r="G470" s="568"/>
      <c r="H470" s="580"/>
      <c r="I470" s="581"/>
      <c r="J470" s="582"/>
      <c r="K470" s="572" t="s">
        <v>162</v>
      </c>
      <c r="L470" s="573"/>
      <c r="M470" s="574"/>
      <c r="N470" s="583" t="s">
        <v>159</v>
      </c>
      <c r="O470" s="584"/>
      <c r="P470" s="584"/>
      <c r="Q470" s="584"/>
      <c r="R470" s="584"/>
      <c r="S470" s="584"/>
      <c r="T470" s="584"/>
      <c r="U470" s="585"/>
    </row>
    <row r="471" spans="1:21" ht="35.1" customHeight="1" x14ac:dyDescent="0.25">
      <c r="A471" s="263">
        <f t="shared" si="7"/>
        <v>457</v>
      </c>
      <c r="B471" s="566" t="s">
        <v>159</v>
      </c>
      <c r="C471" s="566"/>
      <c r="D471" s="567" t="s">
        <v>159</v>
      </c>
      <c r="E471" s="567"/>
      <c r="F471" s="568" t="s">
        <v>162</v>
      </c>
      <c r="G471" s="568"/>
      <c r="H471" s="569"/>
      <c r="I471" s="570"/>
      <c r="J471" s="571"/>
      <c r="K471" s="572" t="s">
        <v>162</v>
      </c>
      <c r="L471" s="573"/>
      <c r="M471" s="574"/>
      <c r="N471" s="575" t="s">
        <v>159</v>
      </c>
      <c r="O471" s="576"/>
      <c r="P471" s="576"/>
      <c r="Q471" s="576"/>
      <c r="R471" s="576"/>
      <c r="S471" s="576"/>
      <c r="T471" s="576"/>
      <c r="U471" s="577"/>
    </row>
    <row r="472" spans="1:21" ht="35.1" customHeight="1" x14ac:dyDescent="0.25">
      <c r="A472" s="263">
        <f t="shared" si="7"/>
        <v>458</v>
      </c>
      <c r="B472" s="578" t="s">
        <v>159</v>
      </c>
      <c r="C472" s="578"/>
      <c r="D472" s="579" t="s">
        <v>159</v>
      </c>
      <c r="E472" s="579"/>
      <c r="F472" s="568" t="s">
        <v>162</v>
      </c>
      <c r="G472" s="568"/>
      <c r="H472" s="580"/>
      <c r="I472" s="581"/>
      <c r="J472" s="582"/>
      <c r="K472" s="572" t="s">
        <v>162</v>
      </c>
      <c r="L472" s="573"/>
      <c r="M472" s="574"/>
      <c r="N472" s="583" t="s">
        <v>159</v>
      </c>
      <c r="O472" s="584"/>
      <c r="P472" s="584"/>
      <c r="Q472" s="584"/>
      <c r="R472" s="584"/>
      <c r="S472" s="584"/>
      <c r="T472" s="584"/>
      <c r="U472" s="585"/>
    </row>
    <row r="473" spans="1:21" ht="35.1" customHeight="1" x14ac:dyDescent="0.25">
      <c r="A473" s="263">
        <f t="shared" si="7"/>
        <v>459</v>
      </c>
      <c r="B473" s="566" t="s">
        <v>159</v>
      </c>
      <c r="C473" s="566"/>
      <c r="D473" s="567" t="s">
        <v>159</v>
      </c>
      <c r="E473" s="567"/>
      <c r="F473" s="568" t="s">
        <v>162</v>
      </c>
      <c r="G473" s="568"/>
      <c r="H473" s="569"/>
      <c r="I473" s="570"/>
      <c r="J473" s="571"/>
      <c r="K473" s="572" t="s">
        <v>162</v>
      </c>
      <c r="L473" s="573"/>
      <c r="M473" s="574"/>
      <c r="N473" s="575" t="s">
        <v>159</v>
      </c>
      <c r="O473" s="576"/>
      <c r="P473" s="576"/>
      <c r="Q473" s="576"/>
      <c r="R473" s="576"/>
      <c r="S473" s="576"/>
      <c r="T473" s="576"/>
      <c r="U473" s="577"/>
    </row>
    <row r="474" spans="1:21" ht="35.1" customHeight="1" x14ac:dyDescent="0.25">
      <c r="A474" s="263">
        <f t="shared" si="7"/>
        <v>460</v>
      </c>
      <c r="B474" s="578" t="s">
        <v>159</v>
      </c>
      <c r="C474" s="578"/>
      <c r="D474" s="579" t="s">
        <v>159</v>
      </c>
      <c r="E474" s="579"/>
      <c r="F474" s="568" t="s">
        <v>162</v>
      </c>
      <c r="G474" s="568"/>
      <c r="H474" s="580"/>
      <c r="I474" s="581"/>
      <c r="J474" s="582"/>
      <c r="K474" s="572" t="s">
        <v>162</v>
      </c>
      <c r="L474" s="573"/>
      <c r="M474" s="574"/>
      <c r="N474" s="583" t="s">
        <v>159</v>
      </c>
      <c r="O474" s="584"/>
      <c r="P474" s="584"/>
      <c r="Q474" s="584"/>
      <c r="R474" s="584"/>
      <c r="S474" s="584"/>
      <c r="T474" s="584"/>
      <c r="U474" s="585"/>
    </row>
    <row r="475" spans="1:21" ht="35.1" customHeight="1" x14ac:dyDescent="0.25">
      <c r="A475" s="263">
        <f t="shared" si="7"/>
        <v>461</v>
      </c>
      <c r="B475" s="566" t="s">
        <v>448</v>
      </c>
      <c r="C475" s="566"/>
      <c r="D475" s="567" t="s">
        <v>159</v>
      </c>
      <c r="E475" s="567"/>
      <c r="F475" s="568" t="s">
        <v>162</v>
      </c>
      <c r="G475" s="568"/>
      <c r="H475" s="569"/>
      <c r="I475" s="570"/>
      <c r="J475" s="571"/>
      <c r="K475" s="572" t="s">
        <v>162</v>
      </c>
      <c r="L475" s="573"/>
      <c r="M475" s="574"/>
      <c r="N475" s="575" t="s">
        <v>159</v>
      </c>
      <c r="O475" s="576"/>
      <c r="P475" s="576"/>
      <c r="Q475" s="576"/>
      <c r="R475" s="576"/>
      <c r="S475" s="576"/>
      <c r="T475" s="576"/>
      <c r="U475" s="577"/>
    </row>
    <row r="476" spans="1:21" ht="35.1" customHeight="1" x14ac:dyDescent="0.25">
      <c r="A476" s="263">
        <f t="shared" si="7"/>
        <v>462</v>
      </c>
      <c r="B476" s="578" t="s">
        <v>159</v>
      </c>
      <c r="C476" s="578"/>
      <c r="D476" s="579" t="s">
        <v>159</v>
      </c>
      <c r="E476" s="579"/>
      <c r="F476" s="568" t="s">
        <v>162</v>
      </c>
      <c r="G476" s="568"/>
      <c r="H476" s="580"/>
      <c r="I476" s="581"/>
      <c r="J476" s="582"/>
      <c r="K476" s="572" t="s">
        <v>162</v>
      </c>
      <c r="L476" s="573"/>
      <c r="M476" s="574"/>
      <c r="N476" s="583" t="s">
        <v>159</v>
      </c>
      <c r="O476" s="584"/>
      <c r="P476" s="584"/>
      <c r="Q476" s="584"/>
      <c r="R476" s="584"/>
      <c r="S476" s="584"/>
      <c r="T476" s="584"/>
      <c r="U476" s="585"/>
    </row>
    <row r="477" spans="1:21" ht="35.1" customHeight="1" x14ac:dyDescent="0.25">
      <c r="A477" s="263">
        <f t="shared" si="7"/>
        <v>463</v>
      </c>
      <c r="B477" s="566" t="s">
        <v>159</v>
      </c>
      <c r="C477" s="566"/>
      <c r="D477" s="567" t="s">
        <v>159</v>
      </c>
      <c r="E477" s="567"/>
      <c r="F477" s="568" t="s">
        <v>162</v>
      </c>
      <c r="G477" s="568"/>
      <c r="H477" s="569"/>
      <c r="I477" s="570"/>
      <c r="J477" s="571"/>
      <c r="K477" s="572" t="s">
        <v>162</v>
      </c>
      <c r="L477" s="573"/>
      <c r="M477" s="574"/>
      <c r="N477" s="575" t="s">
        <v>159</v>
      </c>
      <c r="O477" s="576"/>
      <c r="P477" s="576"/>
      <c r="Q477" s="576"/>
      <c r="R477" s="576"/>
      <c r="S477" s="576"/>
      <c r="T477" s="576"/>
      <c r="U477" s="577"/>
    </row>
    <row r="478" spans="1:21" ht="35.1" customHeight="1" x14ac:dyDescent="0.25">
      <c r="A478" s="263">
        <f t="shared" si="7"/>
        <v>464</v>
      </c>
      <c r="B478" s="578" t="s">
        <v>159</v>
      </c>
      <c r="C478" s="578"/>
      <c r="D478" s="579" t="s">
        <v>159</v>
      </c>
      <c r="E478" s="579"/>
      <c r="F478" s="568" t="s">
        <v>162</v>
      </c>
      <c r="G478" s="568"/>
      <c r="H478" s="580"/>
      <c r="I478" s="581"/>
      <c r="J478" s="582"/>
      <c r="K478" s="572" t="s">
        <v>162</v>
      </c>
      <c r="L478" s="573"/>
      <c r="M478" s="574"/>
      <c r="N478" s="583" t="s">
        <v>159</v>
      </c>
      <c r="O478" s="584"/>
      <c r="P478" s="584"/>
      <c r="Q478" s="584"/>
      <c r="R478" s="584"/>
      <c r="S478" s="584"/>
      <c r="T478" s="584"/>
      <c r="U478" s="585"/>
    </row>
    <row r="479" spans="1:21" ht="35.1" customHeight="1" x14ac:dyDescent="0.25">
      <c r="A479" s="263">
        <f t="shared" si="7"/>
        <v>465</v>
      </c>
      <c r="B479" s="566" t="s">
        <v>159</v>
      </c>
      <c r="C479" s="566"/>
      <c r="D479" s="567" t="s">
        <v>159</v>
      </c>
      <c r="E479" s="567"/>
      <c r="F479" s="568" t="s">
        <v>162</v>
      </c>
      <c r="G479" s="568"/>
      <c r="H479" s="569"/>
      <c r="I479" s="570"/>
      <c r="J479" s="571"/>
      <c r="K479" s="572" t="s">
        <v>162</v>
      </c>
      <c r="L479" s="573"/>
      <c r="M479" s="574"/>
      <c r="N479" s="575" t="s">
        <v>159</v>
      </c>
      <c r="O479" s="576"/>
      <c r="P479" s="576"/>
      <c r="Q479" s="576"/>
      <c r="R479" s="576"/>
      <c r="S479" s="576"/>
      <c r="T479" s="576"/>
      <c r="U479" s="577"/>
    </row>
    <row r="480" spans="1:21" ht="35.1" customHeight="1" x14ac:dyDescent="0.25">
      <c r="A480" s="263">
        <f t="shared" si="7"/>
        <v>466</v>
      </c>
      <c r="B480" s="578" t="s">
        <v>159</v>
      </c>
      <c r="C480" s="578"/>
      <c r="D480" s="579" t="s">
        <v>159</v>
      </c>
      <c r="E480" s="579"/>
      <c r="F480" s="568" t="s">
        <v>162</v>
      </c>
      <c r="G480" s="568"/>
      <c r="H480" s="580"/>
      <c r="I480" s="581"/>
      <c r="J480" s="582"/>
      <c r="K480" s="572" t="s">
        <v>162</v>
      </c>
      <c r="L480" s="573"/>
      <c r="M480" s="574"/>
      <c r="N480" s="583" t="s">
        <v>159</v>
      </c>
      <c r="O480" s="584"/>
      <c r="P480" s="584"/>
      <c r="Q480" s="584"/>
      <c r="R480" s="584"/>
      <c r="S480" s="584"/>
      <c r="T480" s="584"/>
      <c r="U480" s="585"/>
    </row>
    <row r="481" spans="1:21" ht="35.1" customHeight="1" x14ac:dyDescent="0.25">
      <c r="A481" s="263">
        <f t="shared" si="7"/>
        <v>467</v>
      </c>
      <c r="B481" s="566" t="s">
        <v>159</v>
      </c>
      <c r="C481" s="566"/>
      <c r="D481" s="567" t="s">
        <v>159</v>
      </c>
      <c r="E481" s="567"/>
      <c r="F481" s="568" t="s">
        <v>162</v>
      </c>
      <c r="G481" s="568"/>
      <c r="H481" s="569"/>
      <c r="I481" s="570"/>
      <c r="J481" s="571"/>
      <c r="K481" s="572" t="s">
        <v>162</v>
      </c>
      <c r="L481" s="573"/>
      <c r="M481" s="574"/>
      <c r="N481" s="575" t="s">
        <v>159</v>
      </c>
      <c r="O481" s="576"/>
      <c r="P481" s="576"/>
      <c r="Q481" s="576"/>
      <c r="R481" s="576"/>
      <c r="S481" s="576"/>
      <c r="T481" s="576"/>
      <c r="U481" s="577"/>
    </row>
    <row r="482" spans="1:21" ht="35.1" customHeight="1" x14ac:dyDescent="0.25">
      <c r="A482" s="263">
        <f t="shared" si="7"/>
        <v>468</v>
      </c>
      <c r="B482" s="578" t="s">
        <v>159</v>
      </c>
      <c r="C482" s="578"/>
      <c r="D482" s="579" t="s">
        <v>159</v>
      </c>
      <c r="E482" s="579"/>
      <c r="F482" s="568" t="s">
        <v>162</v>
      </c>
      <c r="G482" s="568"/>
      <c r="H482" s="580"/>
      <c r="I482" s="581"/>
      <c r="J482" s="582"/>
      <c r="K482" s="572" t="s">
        <v>162</v>
      </c>
      <c r="L482" s="573"/>
      <c r="M482" s="574"/>
      <c r="N482" s="583" t="s">
        <v>159</v>
      </c>
      <c r="O482" s="584"/>
      <c r="P482" s="584"/>
      <c r="Q482" s="584"/>
      <c r="R482" s="584"/>
      <c r="S482" s="584"/>
      <c r="T482" s="584"/>
      <c r="U482" s="585"/>
    </row>
    <row r="483" spans="1:21" ht="35.1" customHeight="1" x14ac:dyDescent="0.25">
      <c r="A483" s="263">
        <f t="shared" si="7"/>
        <v>469</v>
      </c>
      <c r="B483" s="566" t="s">
        <v>159</v>
      </c>
      <c r="C483" s="566"/>
      <c r="D483" s="567" t="s">
        <v>159</v>
      </c>
      <c r="E483" s="567"/>
      <c r="F483" s="568" t="s">
        <v>162</v>
      </c>
      <c r="G483" s="568"/>
      <c r="H483" s="569"/>
      <c r="I483" s="570"/>
      <c r="J483" s="571"/>
      <c r="K483" s="572" t="s">
        <v>162</v>
      </c>
      <c r="L483" s="573"/>
      <c r="M483" s="574"/>
      <c r="N483" s="575" t="s">
        <v>159</v>
      </c>
      <c r="O483" s="576"/>
      <c r="P483" s="576"/>
      <c r="Q483" s="576"/>
      <c r="R483" s="576"/>
      <c r="S483" s="576"/>
      <c r="T483" s="576"/>
      <c r="U483" s="577"/>
    </row>
    <row r="484" spans="1:21" ht="35.1" customHeight="1" x14ac:dyDescent="0.25">
      <c r="A484" s="263">
        <f t="shared" si="7"/>
        <v>470</v>
      </c>
      <c r="B484" s="578" t="s">
        <v>159</v>
      </c>
      <c r="C484" s="578"/>
      <c r="D484" s="579" t="s">
        <v>159</v>
      </c>
      <c r="E484" s="579"/>
      <c r="F484" s="568" t="s">
        <v>162</v>
      </c>
      <c r="G484" s="568"/>
      <c r="H484" s="580"/>
      <c r="I484" s="581"/>
      <c r="J484" s="582"/>
      <c r="K484" s="572" t="s">
        <v>162</v>
      </c>
      <c r="L484" s="573"/>
      <c r="M484" s="574"/>
      <c r="N484" s="583" t="s">
        <v>159</v>
      </c>
      <c r="O484" s="584"/>
      <c r="P484" s="584"/>
      <c r="Q484" s="584"/>
      <c r="R484" s="584"/>
      <c r="S484" s="584"/>
      <c r="T484" s="584"/>
      <c r="U484" s="585"/>
    </row>
    <row r="485" spans="1:21" ht="35.1" customHeight="1" x14ac:dyDescent="0.25">
      <c r="A485" s="263">
        <f t="shared" si="7"/>
        <v>471</v>
      </c>
      <c r="B485" s="566" t="s">
        <v>159</v>
      </c>
      <c r="C485" s="566"/>
      <c r="D485" s="567" t="s">
        <v>159</v>
      </c>
      <c r="E485" s="567"/>
      <c r="F485" s="568" t="s">
        <v>162</v>
      </c>
      <c r="G485" s="568"/>
      <c r="H485" s="569"/>
      <c r="I485" s="570"/>
      <c r="J485" s="571"/>
      <c r="K485" s="572" t="s">
        <v>162</v>
      </c>
      <c r="L485" s="573"/>
      <c r="M485" s="574"/>
      <c r="N485" s="575" t="s">
        <v>159</v>
      </c>
      <c r="O485" s="576"/>
      <c r="P485" s="576"/>
      <c r="Q485" s="576"/>
      <c r="R485" s="576"/>
      <c r="S485" s="576"/>
      <c r="T485" s="576"/>
      <c r="U485" s="577"/>
    </row>
    <row r="486" spans="1:21" ht="35.1" customHeight="1" x14ac:dyDescent="0.25">
      <c r="A486" s="263">
        <f t="shared" si="7"/>
        <v>472</v>
      </c>
      <c r="B486" s="578" t="s">
        <v>159</v>
      </c>
      <c r="C486" s="578"/>
      <c r="D486" s="579" t="s">
        <v>159</v>
      </c>
      <c r="E486" s="579"/>
      <c r="F486" s="568" t="s">
        <v>162</v>
      </c>
      <c r="G486" s="568"/>
      <c r="H486" s="580"/>
      <c r="I486" s="581"/>
      <c r="J486" s="582"/>
      <c r="K486" s="572" t="s">
        <v>162</v>
      </c>
      <c r="L486" s="573"/>
      <c r="M486" s="574"/>
      <c r="N486" s="583" t="s">
        <v>159</v>
      </c>
      <c r="O486" s="584"/>
      <c r="P486" s="584"/>
      <c r="Q486" s="584"/>
      <c r="R486" s="584"/>
      <c r="S486" s="584"/>
      <c r="T486" s="584"/>
      <c r="U486" s="585"/>
    </row>
    <row r="487" spans="1:21" ht="35.1" customHeight="1" x14ac:dyDescent="0.25">
      <c r="A487" s="263">
        <f t="shared" si="7"/>
        <v>473</v>
      </c>
      <c r="B487" s="566" t="s">
        <v>159</v>
      </c>
      <c r="C487" s="566"/>
      <c r="D487" s="567" t="s">
        <v>159</v>
      </c>
      <c r="E487" s="567"/>
      <c r="F487" s="568" t="s">
        <v>162</v>
      </c>
      <c r="G487" s="568"/>
      <c r="H487" s="569"/>
      <c r="I487" s="570"/>
      <c r="J487" s="571"/>
      <c r="K487" s="572" t="s">
        <v>162</v>
      </c>
      <c r="L487" s="573"/>
      <c r="M487" s="574"/>
      <c r="N487" s="575" t="s">
        <v>159</v>
      </c>
      <c r="O487" s="576"/>
      <c r="P487" s="576"/>
      <c r="Q487" s="576"/>
      <c r="R487" s="576"/>
      <c r="S487" s="576"/>
      <c r="T487" s="576"/>
      <c r="U487" s="577"/>
    </row>
    <row r="488" spans="1:21" ht="35.1" customHeight="1" x14ac:dyDescent="0.25">
      <c r="A488" s="263">
        <f t="shared" si="7"/>
        <v>474</v>
      </c>
      <c r="B488" s="578" t="s">
        <v>447</v>
      </c>
      <c r="C488" s="578"/>
      <c r="D488" s="579" t="s">
        <v>159</v>
      </c>
      <c r="E488" s="579"/>
      <c r="F488" s="568" t="s">
        <v>162</v>
      </c>
      <c r="G488" s="568"/>
      <c r="H488" s="580"/>
      <c r="I488" s="581"/>
      <c r="J488" s="582"/>
      <c r="K488" s="572" t="s">
        <v>162</v>
      </c>
      <c r="L488" s="573"/>
      <c r="M488" s="574"/>
      <c r="N488" s="583" t="s">
        <v>159</v>
      </c>
      <c r="O488" s="584"/>
      <c r="P488" s="584"/>
      <c r="Q488" s="584"/>
      <c r="R488" s="584"/>
      <c r="S488" s="584"/>
      <c r="T488" s="584"/>
      <c r="U488" s="585"/>
    </row>
    <row r="489" spans="1:21" ht="35.1" customHeight="1" x14ac:dyDescent="0.25">
      <c r="A489" s="263">
        <f t="shared" si="7"/>
        <v>475</v>
      </c>
      <c r="B489" s="566" t="s">
        <v>159</v>
      </c>
      <c r="C489" s="566"/>
      <c r="D489" s="567" t="s">
        <v>159</v>
      </c>
      <c r="E489" s="567"/>
      <c r="F489" s="568" t="s">
        <v>162</v>
      </c>
      <c r="G489" s="568"/>
      <c r="H489" s="569"/>
      <c r="I489" s="570"/>
      <c r="J489" s="571"/>
      <c r="K489" s="572" t="s">
        <v>162</v>
      </c>
      <c r="L489" s="573"/>
      <c r="M489" s="574"/>
      <c r="N489" s="575" t="s">
        <v>159</v>
      </c>
      <c r="O489" s="576"/>
      <c r="P489" s="576"/>
      <c r="Q489" s="576"/>
      <c r="R489" s="576"/>
      <c r="S489" s="576"/>
      <c r="T489" s="576"/>
      <c r="U489" s="577"/>
    </row>
    <row r="490" spans="1:21" ht="35.1" customHeight="1" x14ac:dyDescent="0.25">
      <c r="A490" s="263">
        <f t="shared" si="7"/>
        <v>476</v>
      </c>
      <c r="B490" s="578" t="s">
        <v>159</v>
      </c>
      <c r="C490" s="578"/>
      <c r="D490" s="579" t="s">
        <v>159</v>
      </c>
      <c r="E490" s="579"/>
      <c r="F490" s="568" t="s">
        <v>162</v>
      </c>
      <c r="G490" s="568"/>
      <c r="H490" s="580"/>
      <c r="I490" s="581"/>
      <c r="J490" s="582"/>
      <c r="K490" s="572" t="s">
        <v>162</v>
      </c>
      <c r="L490" s="573"/>
      <c r="M490" s="574"/>
      <c r="N490" s="583" t="s">
        <v>159</v>
      </c>
      <c r="O490" s="584"/>
      <c r="P490" s="584"/>
      <c r="Q490" s="584"/>
      <c r="R490" s="584"/>
      <c r="S490" s="584"/>
      <c r="T490" s="584"/>
      <c r="U490" s="585"/>
    </row>
    <row r="491" spans="1:21" ht="35.1" customHeight="1" x14ac:dyDescent="0.25">
      <c r="A491" s="263">
        <f t="shared" si="7"/>
        <v>477</v>
      </c>
      <c r="B491" s="566" t="s">
        <v>159</v>
      </c>
      <c r="C491" s="566"/>
      <c r="D491" s="567" t="s">
        <v>159</v>
      </c>
      <c r="E491" s="567"/>
      <c r="F491" s="568" t="s">
        <v>162</v>
      </c>
      <c r="G491" s="568"/>
      <c r="H491" s="569"/>
      <c r="I491" s="570"/>
      <c r="J491" s="571"/>
      <c r="K491" s="572" t="s">
        <v>162</v>
      </c>
      <c r="L491" s="573"/>
      <c r="M491" s="574"/>
      <c r="N491" s="575" t="s">
        <v>159</v>
      </c>
      <c r="O491" s="576"/>
      <c r="P491" s="576"/>
      <c r="Q491" s="576"/>
      <c r="R491" s="576"/>
      <c r="S491" s="576"/>
      <c r="T491" s="576"/>
      <c r="U491" s="577"/>
    </row>
    <row r="492" spans="1:21" ht="35.1" customHeight="1" x14ac:dyDescent="0.25">
      <c r="A492" s="263">
        <f t="shared" si="7"/>
        <v>478</v>
      </c>
      <c r="B492" s="578" t="s">
        <v>159</v>
      </c>
      <c r="C492" s="578"/>
      <c r="D492" s="579" t="s">
        <v>159</v>
      </c>
      <c r="E492" s="579"/>
      <c r="F492" s="568" t="s">
        <v>162</v>
      </c>
      <c r="G492" s="568"/>
      <c r="H492" s="580"/>
      <c r="I492" s="581"/>
      <c r="J492" s="582"/>
      <c r="K492" s="572" t="s">
        <v>162</v>
      </c>
      <c r="L492" s="573"/>
      <c r="M492" s="574"/>
      <c r="N492" s="583" t="s">
        <v>159</v>
      </c>
      <c r="O492" s="584"/>
      <c r="P492" s="584"/>
      <c r="Q492" s="584"/>
      <c r="R492" s="584"/>
      <c r="S492" s="584"/>
      <c r="T492" s="584"/>
      <c r="U492" s="585"/>
    </row>
    <row r="493" spans="1:21" ht="35.1" customHeight="1" x14ac:dyDescent="0.25">
      <c r="A493" s="263">
        <f t="shared" si="7"/>
        <v>479</v>
      </c>
      <c r="B493" s="566" t="s">
        <v>159</v>
      </c>
      <c r="C493" s="566"/>
      <c r="D493" s="567" t="s">
        <v>159</v>
      </c>
      <c r="E493" s="567"/>
      <c r="F493" s="568" t="s">
        <v>162</v>
      </c>
      <c r="G493" s="568"/>
      <c r="H493" s="569"/>
      <c r="I493" s="570"/>
      <c r="J493" s="571"/>
      <c r="K493" s="572" t="s">
        <v>162</v>
      </c>
      <c r="L493" s="573"/>
      <c r="M493" s="574"/>
      <c r="N493" s="575" t="s">
        <v>159</v>
      </c>
      <c r="O493" s="576"/>
      <c r="P493" s="576"/>
      <c r="Q493" s="576"/>
      <c r="R493" s="576"/>
      <c r="S493" s="576"/>
      <c r="T493" s="576"/>
      <c r="U493" s="577"/>
    </row>
    <row r="494" spans="1:21" ht="35.1" customHeight="1" x14ac:dyDescent="0.25">
      <c r="A494" s="263">
        <f t="shared" si="7"/>
        <v>480</v>
      </c>
      <c r="B494" s="578" t="s">
        <v>159</v>
      </c>
      <c r="C494" s="578"/>
      <c r="D494" s="579" t="s">
        <v>159</v>
      </c>
      <c r="E494" s="579"/>
      <c r="F494" s="568" t="s">
        <v>162</v>
      </c>
      <c r="G494" s="568"/>
      <c r="H494" s="580"/>
      <c r="I494" s="581"/>
      <c r="J494" s="582"/>
      <c r="K494" s="572" t="s">
        <v>162</v>
      </c>
      <c r="L494" s="573"/>
      <c r="M494" s="574"/>
      <c r="N494" s="583" t="s">
        <v>159</v>
      </c>
      <c r="O494" s="584"/>
      <c r="P494" s="584"/>
      <c r="Q494" s="584"/>
      <c r="R494" s="584"/>
      <c r="S494" s="584"/>
      <c r="T494" s="584"/>
      <c r="U494" s="585"/>
    </row>
    <row r="495" spans="1:21" ht="35.1" customHeight="1" x14ac:dyDescent="0.25">
      <c r="A495" s="263">
        <f t="shared" si="7"/>
        <v>481</v>
      </c>
      <c r="B495" s="566" t="s">
        <v>159</v>
      </c>
      <c r="C495" s="566"/>
      <c r="D495" s="567" t="s">
        <v>159</v>
      </c>
      <c r="E495" s="567"/>
      <c r="F495" s="568" t="s">
        <v>162</v>
      </c>
      <c r="G495" s="568"/>
      <c r="H495" s="569"/>
      <c r="I495" s="570"/>
      <c r="J495" s="571"/>
      <c r="K495" s="572" t="s">
        <v>162</v>
      </c>
      <c r="L495" s="573"/>
      <c r="M495" s="574"/>
      <c r="N495" s="575" t="s">
        <v>159</v>
      </c>
      <c r="O495" s="576"/>
      <c r="P495" s="576"/>
      <c r="Q495" s="576"/>
      <c r="R495" s="576"/>
      <c r="S495" s="576"/>
      <c r="T495" s="576"/>
      <c r="U495" s="577"/>
    </row>
    <row r="496" spans="1:21" ht="35.1" customHeight="1" x14ac:dyDescent="0.25">
      <c r="A496" s="263">
        <f t="shared" si="7"/>
        <v>482</v>
      </c>
      <c r="B496" s="578" t="s">
        <v>159</v>
      </c>
      <c r="C496" s="578"/>
      <c r="D496" s="579" t="s">
        <v>159</v>
      </c>
      <c r="E496" s="579"/>
      <c r="F496" s="568" t="s">
        <v>162</v>
      </c>
      <c r="G496" s="568"/>
      <c r="H496" s="580"/>
      <c r="I496" s="581"/>
      <c r="J496" s="582"/>
      <c r="K496" s="572" t="s">
        <v>162</v>
      </c>
      <c r="L496" s="573"/>
      <c r="M496" s="574"/>
      <c r="N496" s="583" t="s">
        <v>159</v>
      </c>
      <c r="O496" s="584"/>
      <c r="P496" s="584"/>
      <c r="Q496" s="584"/>
      <c r="R496" s="584"/>
      <c r="S496" s="584"/>
      <c r="T496" s="584"/>
      <c r="U496" s="585"/>
    </row>
    <row r="497" spans="1:21" ht="35.1" customHeight="1" x14ac:dyDescent="0.25">
      <c r="A497" s="263">
        <f t="shared" si="7"/>
        <v>483</v>
      </c>
      <c r="B497" s="566" t="s">
        <v>444</v>
      </c>
      <c r="C497" s="566"/>
      <c r="D497" s="567" t="s">
        <v>159</v>
      </c>
      <c r="E497" s="567"/>
      <c r="F497" s="568" t="s">
        <v>162</v>
      </c>
      <c r="G497" s="568"/>
      <c r="H497" s="569"/>
      <c r="I497" s="570"/>
      <c r="J497" s="571"/>
      <c r="K497" s="572" t="s">
        <v>162</v>
      </c>
      <c r="L497" s="573"/>
      <c r="M497" s="574"/>
      <c r="N497" s="575" t="s">
        <v>159</v>
      </c>
      <c r="O497" s="576"/>
      <c r="P497" s="576"/>
      <c r="Q497" s="576"/>
      <c r="R497" s="576"/>
      <c r="S497" s="576"/>
      <c r="T497" s="576"/>
      <c r="U497" s="577"/>
    </row>
    <row r="498" spans="1:21" ht="35.1" customHeight="1" x14ac:dyDescent="0.25">
      <c r="A498" s="263">
        <f t="shared" si="7"/>
        <v>484</v>
      </c>
      <c r="B498" s="578" t="s">
        <v>159</v>
      </c>
      <c r="C498" s="578"/>
      <c r="D498" s="579" t="s">
        <v>159</v>
      </c>
      <c r="E498" s="579"/>
      <c r="F498" s="568" t="s">
        <v>162</v>
      </c>
      <c r="G498" s="568"/>
      <c r="H498" s="580"/>
      <c r="I498" s="581"/>
      <c r="J498" s="582"/>
      <c r="K498" s="572" t="s">
        <v>162</v>
      </c>
      <c r="L498" s="573"/>
      <c r="M498" s="574"/>
      <c r="N498" s="583" t="s">
        <v>159</v>
      </c>
      <c r="O498" s="584"/>
      <c r="P498" s="584"/>
      <c r="Q498" s="584"/>
      <c r="R498" s="584"/>
      <c r="S498" s="584"/>
      <c r="T498" s="584"/>
      <c r="U498" s="585"/>
    </row>
    <row r="499" spans="1:21" ht="35.1" customHeight="1" x14ac:dyDescent="0.25">
      <c r="A499" s="263">
        <f t="shared" si="7"/>
        <v>485</v>
      </c>
      <c r="B499" s="566" t="s">
        <v>159</v>
      </c>
      <c r="C499" s="566"/>
      <c r="D499" s="567" t="s">
        <v>159</v>
      </c>
      <c r="E499" s="567"/>
      <c r="F499" s="568" t="s">
        <v>162</v>
      </c>
      <c r="G499" s="568"/>
      <c r="H499" s="569"/>
      <c r="I499" s="570"/>
      <c r="J499" s="571"/>
      <c r="K499" s="572" t="s">
        <v>162</v>
      </c>
      <c r="L499" s="573"/>
      <c r="M499" s="574"/>
      <c r="N499" s="575" t="s">
        <v>159</v>
      </c>
      <c r="O499" s="576"/>
      <c r="P499" s="576"/>
      <c r="Q499" s="576"/>
      <c r="R499" s="576"/>
      <c r="S499" s="576"/>
      <c r="T499" s="576"/>
      <c r="U499" s="577"/>
    </row>
    <row r="500" spans="1:21" ht="35.1" customHeight="1" x14ac:dyDescent="0.25">
      <c r="A500" s="263">
        <f t="shared" si="7"/>
        <v>486</v>
      </c>
      <c r="B500" s="578" t="s">
        <v>159</v>
      </c>
      <c r="C500" s="578"/>
      <c r="D500" s="579" t="s">
        <v>159</v>
      </c>
      <c r="E500" s="579"/>
      <c r="F500" s="568" t="s">
        <v>162</v>
      </c>
      <c r="G500" s="568"/>
      <c r="H500" s="580"/>
      <c r="I500" s="581"/>
      <c r="J500" s="582"/>
      <c r="K500" s="572" t="s">
        <v>162</v>
      </c>
      <c r="L500" s="573"/>
      <c r="M500" s="574"/>
      <c r="N500" s="583" t="s">
        <v>159</v>
      </c>
      <c r="O500" s="584"/>
      <c r="P500" s="584"/>
      <c r="Q500" s="584"/>
      <c r="R500" s="584"/>
      <c r="S500" s="584"/>
      <c r="T500" s="584"/>
      <c r="U500" s="585"/>
    </row>
    <row r="501" spans="1:21" ht="35.1" customHeight="1" x14ac:dyDescent="0.25">
      <c r="A501" s="263">
        <f t="shared" si="7"/>
        <v>487</v>
      </c>
      <c r="B501" s="566" t="s">
        <v>159</v>
      </c>
      <c r="C501" s="566"/>
      <c r="D501" s="567" t="s">
        <v>159</v>
      </c>
      <c r="E501" s="567"/>
      <c r="F501" s="568" t="s">
        <v>162</v>
      </c>
      <c r="G501" s="568"/>
      <c r="H501" s="569"/>
      <c r="I501" s="570"/>
      <c r="J501" s="571"/>
      <c r="K501" s="572" t="s">
        <v>162</v>
      </c>
      <c r="L501" s="573"/>
      <c r="M501" s="574"/>
      <c r="N501" s="575" t="s">
        <v>159</v>
      </c>
      <c r="O501" s="576"/>
      <c r="P501" s="576"/>
      <c r="Q501" s="576"/>
      <c r="R501" s="576"/>
      <c r="S501" s="576"/>
      <c r="T501" s="576"/>
      <c r="U501" s="577"/>
    </row>
    <row r="502" spans="1:21" ht="35.1" customHeight="1" x14ac:dyDescent="0.25">
      <c r="A502" s="263">
        <f t="shared" si="7"/>
        <v>488</v>
      </c>
      <c r="B502" s="578" t="s">
        <v>159</v>
      </c>
      <c r="C502" s="578"/>
      <c r="D502" s="579" t="s">
        <v>159</v>
      </c>
      <c r="E502" s="579"/>
      <c r="F502" s="568" t="s">
        <v>162</v>
      </c>
      <c r="G502" s="568"/>
      <c r="H502" s="580"/>
      <c r="I502" s="581"/>
      <c r="J502" s="582"/>
      <c r="K502" s="572" t="s">
        <v>162</v>
      </c>
      <c r="L502" s="573"/>
      <c r="M502" s="574"/>
      <c r="N502" s="583" t="s">
        <v>159</v>
      </c>
      <c r="O502" s="584"/>
      <c r="P502" s="584"/>
      <c r="Q502" s="584"/>
      <c r="R502" s="584"/>
      <c r="S502" s="584"/>
      <c r="T502" s="584"/>
      <c r="U502" s="585"/>
    </row>
    <row r="503" spans="1:21" ht="35.1" customHeight="1" x14ac:dyDescent="0.25">
      <c r="A503" s="263">
        <f t="shared" si="7"/>
        <v>489</v>
      </c>
      <c r="B503" s="566" t="s">
        <v>159</v>
      </c>
      <c r="C503" s="566"/>
      <c r="D503" s="567" t="s">
        <v>159</v>
      </c>
      <c r="E503" s="567"/>
      <c r="F503" s="568" t="s">
        <v>162</v>
      </c>
      <c r="G503" s="568"/>
      <c r="H503" s="569"/>
      <c r="I503" s="570"/>
      <c r="J503" s="571"/>
      <c r="K503" s="572" t="s">
        <v>162</v>
      </c>
      <c r="L503" s="573"/>
      <c r="M503" s="574"/>
      <c r="N503" s="575" t="s">
        <v>159</v>
      </c>
      <c r="O503" s="576"/>
      <c r="P503" s="576"/>
      <c r="Q503" s="576"/>
      <c r="R503" s="576"/>
      <c r="S503" s="576"/>
      <c r="T503" s="576"/>
      <c r="U503" s="577"/>
    </row>
    <row r="504" spans="1:21" ht="35.1" customHeight="1" x14ac:dyDescent="0.25">
      <c r="A504" s="263">
        <f t="shared" si="7"/>
        <v>490</v>
      </c>
      <c r="B504" s="578" t="s">
        <v>159</v>
      </c>
      <c r="C504" s="578"/>
      <c r="D504" s="579" t="s">
        <v>159</v>
      </c>
      <c r="E504" s="579"/>
      <c r="F504" s="568" t="s">
        <v>162</v>
      </c>
      <c r="G504" s="568"/>
      <c r="H504" s="580"/>
      <c r="I504" s="581"/>
      <c r="J504" s="582"/>
      <c r="K504" s="572" t="s">
        <v>162</v>
      </c>
      <c r="L504" s="573"/>
      <c r="M504" s="574"/>
      <c r="N504" s="583" t="s">
        <v>159</v>
      </c>
      <c r="O504" s="584"/>
      <c r="P504" s="584"/>
      <c r="Q504" s="584"/>
      <c r="R504" s="584"/>
      <c r="S504" s="584"/>
      <c r="T504" s="584"/>
      <c r="U504" s="585"/>
    </row>
    <row r="505" spans="1:21" ht="35.1" customHeight="1" x14ac:dyDescent="0.25">
      <c r="A505" s="263">
        <f t="shared" si="7"/>
        <v>491</v>
      </c>
      <c r="B505" s="566" t="s">
        <v>450</v>
      </c>
      <c r="C505" s="566"/>
      <c r="D505" s="567" t="s">
        <v>159</v>
      </c>
      <c r="E505" s="567"/>
      <c r="F505" s="568" t="s">
        <v>162</v>
      </c>
      <c r="G505" s="568"/>
      <c r="H505" s="569"/>
      <c r="I505" s="570"/>
      <c r="J505" s="571"/>
      <c r="K505" s="572" t="s">
        <v>162</v>
      </c>
      <c r="L505" s="573"/>
      <c r="M505" s="574"/>
      <c r="N505" s="575" t="s">
        <v>159</v>
      </c>
      <c r="O505" s="576"/>
      <c r="P505" s="576"/>
      <c r="Q505" s="576"/>
      <c r="R505" s="576"/>
      <c r="S505" s="576"/>
      <c r="T505" s="576"/>
      <c r="U505" s="577"/>
    </row>
    <row r="506" spans="1:21" ht="35.1" customHeight="1" x14ac:dyDescent="0.25">
      <c r="A506" s="263">
        <f t="shared" si="7"/>
        <v>492</v>
      </c>
      <c r="B506" s="578" t="s">
        <v>159</v>
      </c>
      <c r="C506" s="578"/>
      <c r="D506" s="579" t="s">
        <v>159</v>
      </c>
      <c r="E506" s="579"/>
      <c r="F506" s="568" t="s">
        <v>162</v>
      </c>
      <c r="G506" s="568"/>
      <c r="H506" s="580"/>
      <c r="I506" s="581"/>
      <c r="J506" s="582"/>
      <c r="K506" s="572" t="s">
        <v>162</v>
      </c>
      <c r="L506" s="573"/>
      <c r="M506" s="574"/>
      <c r="N506" s="583" t="s">
        <v>159</v>
      </c>
      <c r="O506" s="584"/>
      <c r="P506" s="584"/>
      <c r="Q506" s="584"/>
      <c r="R506" s="584"/>
      <c r="S506" s="584"/>
      <c r="T506" s="584"/>
      <c r="U506" s="585"/>
    </row>
    <row r="507" spans="1:21" ht="35.1" customHeight="1" x14ac:dyDescent="0.25">
      <c r="A507" s="263">
        <f t="shared" si="7"/>
        <v>493</v>
      </c>
      <c r="B507" s="566" t="s">
        <v>159</v>
      </c>
      <c r="C507" s="566"/>
      <c r="D507" s="567" t="s">
        <v>159</v>
      </c>
      <c r="E507" s="567"/>
      <c r="F507" s="568" t="s">
        <v>162</v>
      </c>
      <c r="G507" s="568"/>
      <c r="H507" s="569"/>
      <c r="I507" s="570"/>
      <c r="J507" s="571"/>
      <c r="K507" s="572" t="s">
        <v>162</v>
      </c>
      <c r="L507" s="573"/>
      <c r="M507" s="574"/>
      <c r="N507" s="575" t="s">
        <v>159</v>
      </c>
      <c r="O507" s="576"/>
      <c r="P507" s="576"/>
      <c r="Q507" s="576"/>
      <c r="R507" s="576"/>
      <c r="S507" s="576"/>
      <c r="T507" s="576"/>
      <c r="U507" s="577"/>
    </row>
    <row r="508" spans="1:21" ht="35.1" customHeight="1" x14ac:dyDescent="0.25">
      <c r="A508" s="263">
        <f t="shared" si="7"/>
        <v>494</v>
      </c>
      <c r="B508" s="578" t="s">
        <v>159</v>
      </c>
      <c r="C508" s="578"/>
      <c r="D508" s="579" t="s">
        <v>159</v>
      </c>
      <c r="E508" s="579"/>
      <c r="F508" s="568" t="s">
        <v>162</v>
      </c>
      <c r="G508" s="568"/>
      <c r="H508" s="580"/>
      <c r="I508" s="581"/>
      <c r="J508" s="582"/>
      <c r="K508" s="572" t="s">
        <v>162</v>
      </c>
      <c r="L508" s="573"/>
      <c r="M508" s="574"/>
      <c r="N508" s="583" t="s">
        <v>159</v>
      </c>
      <c r="O508" s="584"/>
      <c r="P508" s="584"/>
      <c r="Q508" s="584"/>
      <c r="R508" s="584"/>
      <c r="S508" s="584"/>
      <c r="T508" s="584"/>
      <c r="U508" s="585"/>
    </row>
    <row r="509" spans="1:21" ht="35.1" customHeight="1" x14ac:dyDescent="0.25">
      <c r="A509" s="263">
        <f t="shared" si="7"/>
        <v>495</v>
      </c>
      <c r="B509" s="566" t="s">
        <v>159</v>
      </c>
      <c r="C509" s="566"/>
      <c r="D509" s="567" t="s">
        <v>159</v>
      </c>
      <c r="E509" s="567"/>
      <c r="F509" s="568" t="s">
        <v>162</v>
      </c>
      <c r="G509" s="568"/>
      <c r="H509" s="569"/>
      <c r="I509" s="570"/>
      <c r="J509" s="571"/>
      <c r="K509" s="572" t="s">
        <v>162</v>
      </c>
      <c r="L509" s="573"/>
      <c r="M509" s="574"/>
      <c r="N509" s="575" t="s">
        <v>159</v>
      </c>
      <c r="O509" s="576"/>
      <c r="P509" s="576"/>
      <c r="Q509" s="576"/>
      <c r="R509" s="576"/>
      <c r="S509" s="576"/>
      <c r="T509" s="576"/>
      <c r="U509" s="577"/>
    </row>
    <row r="510" spans="1:21" ht="35.1" customHeight="1" x14ac:dyDescent="0.25">
      <c r="A510" s="263">
        <f t="shared" si="7"/>
        <v>496</v>
      </c>
      <c r="B510" s="578" t="s">
        <v>159</v>
      </c>
      <c r="C510" s="578"/>
      <c r="D510" s="579" t="s">
        <v>159</v>
      </c>
      <c r="E510" s="579"/>
      <c r="F510" s="568" t="s">
        <v>162</v>
      </c>
      <c r="G510" s="568"/>
      <c r="H510" s="580"/>
      <c r="I510" s="581"/>
      <c r="J510" s="582"/>
      <c r="K510" s="572" t="s">
        <v>162</v>
      </c>
      <c r="L510" s="573"/>
      <c r="M510" s="574"/>
      <c r="N510" s="583" t="s">
        <v>159</v>
      </c>
      <c r="O510" s="584"/>
      <c r="P510" s="584"/>
      <c r="Q510" s="584"/>
      <c r="R510" s="584"/>
      <c r="S510" s="584"/>
      <c r="T510" s="584"/>
      <c r="U510" s="585"/>
    </row>
    <row r="511" spans="1:21" ht="35.1" customHeight="1" x14ac:dyDescent="0.25">
      <c r="A511" s="263">
        <f t="shared" si="7"/>
        <v>497</v>
      </c>
      <c r="B511" s="566" t="s">
        <v>159</v>
      </c>
      <c r="C511" s="566"/>
      <c r="D511" s="567" t="s">
        <v>159</v>
      </c>
      <c r="E511" s="567"/>
      <c r="F511" s="568" t="s">
        <v>162</v>
      </c>
      <c r="G511" s="568"/>
      <c r="H511" s="569"/>
      <c r="I511" s="570"/>
      <c r="J511" s="571"/>
      <c r="K511" s="572" t="s">
        <v>162</v>
      </c>
      <c r="L511" s="573"/>
      <c r="M511" s="574"/>
      <c r="N511" s="575" t="s">
        <v>159</v>
      </c>
      <c r="O511" s="576"/>
      <c r="P511" s="576"/>
      <c r="Q511" s="576"/>
      <c r="R511" s="576"/>
      <c r="S511" s="576"/>
      <c r="T511" s="576"/>
      <c r="U511" s="577"/>
    </row>
    <row r="512" spans="1:21" ht="35.1" customHeight="1" x14ac:dyDescent="0.25">
      <c r="A512" s="263">
        <f t="shared" si="7"/>
        <v>498</v>
      </c>
      <c r="B512" s="578" t="s">
        <v>159</v>
      </c>
      <c r="C512" s="578"/>
      <c r="D512" s="579" t="s">
        <v>159</v>
      </c>
      <c r="E512" s="579"/>
      <c r="F512" s="568" t="s">
        <v>162</v>
      </c>
      <c r="G512" s="568"/>
      <c r="H512" s="580"/>
      <c r="I512" s="581"/>
      <c r="J512" s="582"/>
      <c r="K512" s="572" t="s">
        <v>162</v>
      </c>
      <c r="L512" s="573"/>
      <c r="M512" s="574"/>
      <c r="N512" s="583" t="s">
        <v>159</v>
      </c>
      <c r="O512" s="584"/>
      <c r="P512" s="584"/>
      <c r="Q512" s="584"/>
      <c r="R512" s="584"/>
      <c r="S512" s="584"/>
      <c r="T512" s="584"/>
      <c r="U512" s="585"/>
    </row>
    <row r="513" spans="1:21" ht="35.1" customHeight="1" x14ac:dyDescent="0.25">
      <c r="A513" s="263">
        <f t="shared" si="7"/>
        <v>499</v>
      </c>
      <c r="B513" s="566" t="s">
        <v>159</v>
      </c>
      <c r="C513" s="566"/>
      <c r="D513" s="567" t="s">
        <v>159</v>
      </c>
      <c r="E513" s="567"/>
      <c r="F513" s="568" t="s">
        <v>162</v>
      </c>
      <c r="G513" s="568"/>
      <c r="H513" s="569"/>
      <c r="I513" s="570"/>
      <c r="J513" s="571"/>
      <c r="K513" s="572" t="s">
        <v>162</v>
      </c>
      <c r="L513" s="573"/>
      <c r="M513" s="574"/>
      <c r="N513" s="575" t="s">
        <v>159</v>
      </c>
      <c r="O513" s="576"/>
      <c r="P513" s="576"/>
      <c r="Q513" s="576"/>
      <c r="R513" s="576"/>
      <c r="S513" s="576"/>
      <c r="T513" s="576"/>
      <c r="U513" s="577"/>
    </row>
    <row r="514" spans="1:21" ht="35.1" customHeight="1" x14ac:dyDescent="0.25">
      <c r="A514" s="263">
        <f t="shared" si="7"/>
        <v>500</v>
      </c>
      <c r="B514" s="578" t="s">
        <v>159</v>
      </c>
      <c r="C514" s="578"/>
      <c r="D514" s="579" t="s">
        <v>159</v>
      </c>
      <c r="E514" s="579"/>
      <c r="F514" s="568" t="s">
        <v>162</v>
      </c>
      <c r="G514" s="568"/>
      <c r="H514" s="580"/>
      <c r="I514" s="581"/>
      <c r="J514" s="582"/>
      <c r="K514" s="572" t="s">
        <v>162</v>
      </c>
      <c r="L514" s="573"/>
      <c r="M514" s="574"/>
      <c r="N514" s="583" t="s">
        <v>159</v>
      </c>
      <c r="O514" s="584"/>
      <c r="P514" s="584"/>
      <c r="Q514" s="584"/>
      <c r="R514" s="584"/>
      <c r="S514" s="584"/>
      <c r="T514" s="584"/>
      <c r="U514" s="585"/>
    </row>
    <row r="515" spans="1:21" ht="35.1" customHeight="1" x14ac:dyDescent="0.25">
      <c r="A515" s="263">
        <f t="shared" si="7"/>
        <v>501</v>
      </c>
      <c r="B515" s="566" t="s">
        <v>159</v>
      </c>
      <c r="C515" s="566"/>
      <c r="D515" s="567" t="s">
        <v>159</v>
      </c>
      <c r="E515" s="567"/>
      <c r="F515" s="568" t="s">
        <v>162</v>
      </c>
      <c r="G515" s="568"/>
      <c r="H515" s="569"/>
      <c r="I515" s="570"/>
      <c r="J515" s="571"/>
      <c r="K515" s="572" t="s">
        <v>162</v>
      </c>
      <c r="L515" s="573"/>
      <c r="M515" s="574"/>
      <c r="N515" s="575" t="s">
        <v>159</v>
      </c>
      <c r="O515" s="576"/>
      <c r="P515" s="576"/>
      <c r="Q515" s="576"/>
      <c r="R515" s="576"/>
      <c r="S515" s="576"/>
      <c r="T515" s="576"/>
      <c r="U515" s="577"/>
    </row>
    <row r="516" spans="1:21" ht="35.1" customHeight="1" x14ac:dyDescent="0.25">
      <c r="A516" s="263">
        <f t="shared" si="7"/>
        <v>502</v>
      </c>
      <c r="B516" s="578" t="s">
        <v>159</v>
      </c>
      <c r="C516" s="578"/>
      <c r="D516" s="579" t="s">
        <v>159</v>
      </c>
      <c r="E516" s="579"/>
      <c r="F516" s="568" t="s">
        <v>162</v>
      </c>
      <c r="G516" s="568"/>
      <c r="H516" s="580"/>
      <c r="I516" s="581"/>
      <c r="J516" s="582"/>
      <c r="K516" s="572" t="s">
        <v>162</v>
      </c>
      <c r="L516" s="573"/>
      <c r="M516" s="574"/>
      <c r="N516" s="583" t="s">
        <v>159</v>
      </c>
      <c r="O516" s="584"/>
      <c r="P516" s="584"/>
      <c r="Q516" s="584"/>
      <c r="R516" s="584"/>
      <c r="S516" s="584"/>
      <c r="T516" s="584"/>
      <c r="U516" s="585"/>
    </row>
    <row r="517" spans="1:21" ht="35.1" customHeight="1" x14ac:dyDescent="0.25">
      <c r="A517" s="263">
        <f t="shared" si="7"/>
        <v>503</v>
      </c>
      <c r="B517" s="566" t="s">
        <v>448</v>
      </c>
      <c r="C517" s="566"/>
      <c r="D517" s="567" t="s">
        <v>159</v>
      </c>
      <c r="E517" s="567"/>
      <c r="F517" s="568" t="s">
        <v>162</v>
      </c>
      <c r="G517" s="568"/>
      <c r="H517" s="569"/>
      <c r="I517" s="570"/>
      <c r="J517" s="571"/>
      <c r="K517" s="572" t="s">
        <v>162</v>
      </c>
      <c r="L517" s="573"/>
      <c r="M517" s="574"/>
      <c r="N517" s="575" t="s">
        <v>159</v>
      </c>
      <c r="O517" s="576"/>
      <c r="P517" s="576"/>
      <c r="Q517" s="576"/>
      <c r="R517" s="576"/>
      <c r="S517" s="576"/>
      <c r="T517" s="576"/>
      <c r="U517" s="577"/>
    </row>
    <row r="518" spans="1:21" ht="35.1" customHeight="1" x14ac:dyDescent="0.25">
      <c r="A518" s="263">
        <f t="shared" si="7"/>
        <v>504</v>
      </c>
      <c r="B518" s="578" t="s">
        <v>159</v>
      </c>
      <c r="C518" s="578"/>
      <c r="D518" s="579" t="s">
        <v>159</v>
      </c>
      <c r="E518" s="579"/>
      <c r="F518" s="568" t="s">
        <v>162</v>
      </c>
      <c r="G518" s="568"/>
      <c r="H518" s="580"/>
      <c r="I518" s="581"/>
      <c r="J518" s="582"/>
      <c r="K518" s="572" t="s">
        <v>162</v>
      </c>
      <c r="L518" s="573"/>
      <c r="M518" s="574"/>
      <c r="N518" s="583" t="s">
        <v>159</v>
      </c>
      <c r="O518" s="584"/>
      <c r="P518" s="584"/>
      <c r="Q518" s="584"/>
      <c r="R518" s="584"/>
      <c r="S518" s="584"/>
      <c r="T518" s="584"/>
      <c r="U518" s="585"/>
    </row>
    <row r="519" spans="1:21" ht="35.1" customHeight="1" x14ac:dyDescent="0.25">
      <c r="A519" s="263">
        <f t="shared" si="7"/>
        <v>505</v>
      </c>
      <c r="B519" s="566" t="s">
        <v>159</v>
      </c>
      <c r="C519" s="566"/>
      <c r="D519" s="567" t="s">
        <v>159</v>
      </c>
      <c r="E519" s="567"/>
      <c r="F519" s="568" t="s">
        <v>162</v>
      </c>
      <c r="G519" s="568"/>
      <c r="H519" s="569"/>
      <c r="I519" s="570"/>
      <c r="J519" s="571"/>
      <c r="K519" s="572" t="s">
        <v>162</v>
      </c>
      <c r="L519" s="573"/>
      <c r="M519" s="574"/>
      <c r="N519" s="575" t="s">
        <v>159</v>
      </c>
      <c r="O519" s="576"/>
      <c r="P519" s="576"/>
      <c r="Q519" s="576"/>
      <c r="R519" s="576"/>
      <c r="S519" s="576"/>
      <c r="T519" s="576"/>
      <c r="U519" s="577"/>
    </row>
    <row r="520" spans="1:21" ht="35.1" customHeight="1" x14ac:dyDescent="0.25">
      <c r="A520" s="263">
        <f t="shared" si="7"/>
        <v>506</v>
      </c>
      <c r="B520" s="578" t="s">
        <v>159</v>
      </c>
      <c r="C520" s="578"/>
      <c r="D520" s="579" t="s">
        <v>159</v>
      </c>
      <c r="E520" s="579"/>
      <c r="F520" s="568" t="s">
        <v>162</v>
      </c>
      <c r="G520" s="568"/>
      <c r="H520" s="580"/>
      <c r="I520" s="581"/>
      <c r="J520" s="582"/>
      <c r="K520" s="572" t="s">
        <v>162</v>
      </c>
      <c r="L520" s="573"/>
      <c r="M520" s="574"/>
      <c r="N520" s="583" t="s">
        <v>159</v>
      </c>
      <c r="O520" s="584"/>
      <c r="P520" s="584"/>
      <c r="Q520" s="584"/>
      <c r="R520" s="584"/>
      <c r="S520" s="584"/>
      <c r="T520" s="584"/>
      <c r="U520" s="585"/>
    </row>
    <row r="521" spans="1:21" ht="35.1" customHeight="1" x14ac:dyDescent="0.25">
      <c r="A521" s="263">
        <f t="shared" si="7"/>
        <v>507</v>
      </c>
      <c r="B521" s="566" t="s">
        <v>159</v>
      </c>
      <c r="C521" s="566"/>
      <c r="D521" s="567" t="s">
        <v>159</v>
      </c>
      <c r="E521" s="567"/>
      <c r="F521" s="568" t="s">
        <v>162</v>
      </c>
      <c r="G521" s="568"/>
      <c r="H521" s="569"/>
      <c r="I521" s="570"/>
      <c r="J521" s="571"/>
      <c r="K521" s="572" t="s">
        <v>162</v>
      </c>
      <c r="L521" s="573"/>
      <c r="M521" s="574"/>
      <c r="N521" s="575" t="s">
        <v>159</v>
      </c>
      <c r="O521" s="576"/>
      <c r="P521" s="576"/>
      <c r="Q521" s="576"/>
      <c r="R521" s="576"/>
      <c r="S521" s="576"/>
      <c r="T521" s="576"/>
      <c r="U521" s="577"/>
    </row>
    <row r="522" spans="1:21" ht="35.1" customHeight="1" x14ac:dyDescent="0.25">
      <c r="A522" s="263">
        <f t="shared" si="7"/>
        <v>508</v>
      </c>
      <c r="B522" s="578" t="s">
        <v>159</v>
      </c>
      <c r="C522" s="578"/>
      <c r="D522" s="579" t="s">
        <v>159</v>
      </c>
      <c r="E522" s="579"/>
      <c r="F522" s="568" t="s">
        <v>162</v>
      </c>
      <c r="G522" s="568"/>
      <c r="H522" s="580"/>
      <c r="I522" s="581"/>
      <c r="J522" s="582"/>
      <c r="K522" s="572" t="s">
        <v>162</v>
      </c>
      <c r="L522" s="573"/>
      <c r="M522" s="574"/>
      <c r="N522" s="583" t="s">
        <v>159</v>
      </c>
      <c r="O522" s="584"/>
      <c r="P522" s="584"/>
      <c r="Q522" s="584"/>
      <c r="R522" s="584"/>
      <c r="S522" s="584"/>
      <c r="T522" s="584"/>
      <c r="U522" s="585"/>
    </row>
    <row r="523" spans="1:21" ht="35.1" customHeight="1" x14ac:dyDescent="0.25">
      <c r="A523" s="263">
        <f t="shared" si="7"/>
        <v>509</v>
      </c>
      <c r="B523" s="566" t="s">
        <v>159</v>
      </c>
      <c r="C523" s="566"/>
      <c r="D523" s="567" t="s">
        <v>159</v>
      </c>
      <c r="E523" s="567"/>
      <c r="F523" s="568" t="s">
        <v>162</v>
      </c>
      <c r="G523" s="568"/>
      <c r="H523" s="569"/>
      <c r="I523" s="570"/>
      <c r="J523" s="571"/>
      <c r="K523" s="572" t="s">
        <v>162</v>
      </c>
      <c r="L523" s="573"/>
      <c r="M523" s="574"/>
      <c r="N523" s="575" t="s">
        <v>159</v>
      </c>
      <c r="O523" s="576"/>
      <c r="P523" s="576"/>
      <c r="Q523" s="576"/>
      <c r="R523" s="576"/>
      <c r="S523" s="576"/>
      <c r="T523" s="576"/>
      <c r="U523" s="577"/>
    </row>
    <row r="524" spans="1:21" ht="35.1" customHeight="1" x14ac:dyDescent="0.25">
      <c r="A524" s="263">
        <f t="shared" si="7"/>
        <v>510</v>
      </c>
      <c r="B524" s="578" t="s">
        <v>159</v>
      </c>
      <c r="C524" s="578"/>
      <c r="D524" s="579" t="s">
        <v>159</v>
      </c>
      <c r="E524" s="579"/>
      <c r="F524" s="568" t="s">
        <v>162</v>
      </c>
      <c r="G524" s="568"/>
      <c r="H524" s="580"/>
      <c r="I524" s="581"/>
      <c r="J524" s="582"/>
      <c r="K524" s="572" t="s">
        <v>162</v>
      </c>
      <c r="L524" s="573"/>
      <c r="M524" s="574"/>
      <c r="N524" s="583" t="s">
        <v>159</v>
      </c>
      <c r="O524" s="584"/>
      <c r="P524" s="584"/>
      <c r="Q524" s="584"/>
      <c r="R524" s="584"/>
      <c r="S524" s="584"/>
      <c r="T524" s="584"/>
      <c r="U524" s="585"/>
    </row>
    <row r="525" spans="1:21" ht="35.1" customHeight="1" x14ac:dyDescent="0.25">
      <c r="A525" s="263">
        <f t="shared" si="7"/>
        <v>511</v>
      </c>
      <c r="B525" s="566" t="s">
        <v>444</v>
      </c>
      <c r="C525" s="566"/>
      <c r="D525" s="567" t="s">
        <v>159</v>
      </c>
      <c r="E525" s="567"/>
      <c r="F525" s="568" t="s">
        <v>162</v>
      </c>
      <c r="G525" s="568"/>
      <c r="H525" s="569"/>
      <c r="I525" s="570"/>
      <c r="J525" s="571"/>
      <c r="K525" s="572" t="s">
        <v>162</v>
      </c>
      <c r="L525" s="573"/>
      <c r="M525" s="574"/>
      <c r="N525" s="575" t="s">
        <v>159</v>
      </c>
      <c r="O525" s="576"/>
      <c r="P525" s="576"/>
      <c r="Q525" s="576"/>
      <c r="R525" s="576"/>
      <c r="S525" s="576"/>
      <c r="T525" s="576"/>
      <c r="U525" s="577"/>
    </row>
    <row r="526" spans="1:21" ht="35.1" customHeight="1" x14ac:dyDescent="0.25">
      <c r="A526" s="263">
        <f t="shared" si="7"/>
        <v>512</v>
      </c>
      <c r="B526" s="578" t="s">
        <v>159</v>
      </c>
      <c r="C526" s="578"/>
      <c r="D526" s="579" t="s">
        <v>159</v>
      </c>
      <c r="E526" s="579"/>
      <c r="F526" s="568" t="s">
        <v>162</v>
      </c>
      <c r="G526" s="568"/>
      <c r="H526" s="580"/>
      <c r="I526" s="581"/>
      <c r="J526" s="582"/>
      <c r="K526" s="572" t="s">
        <v>162</v>
      </c>
      <c r="L526" s="573"/>
      <c r="M526" s="574"/>
      <c r="N526" s="583" t="s">
        <v>159</v>
      </c>
      <c r="O526" s="584"/>
      <c r="P526" s="584"/>
      <c r="Q526" s="584"/>
      <c r="R526" s="584"/>
      <c r="S526" s="584"/>
      <c r="T526" s="584"/>
      <c r="U526" s="585"/>
    </row>
    <row r="527" spans="1:21" ht="35.1" customHeight="1" x14ac:dyDescent="0.25">
      <c r="A527" s="263">
        <f t="shared" ref="A527:A590" si="8">ROW(A513)</f>
        <v>513</v>
      </c>
      <c r="B527" s="566" t="s">
        <v>159</v>
      </c>
      <c r="C527" s="566"/>
      <c r="D527" s="567" t="s">
        <v>159</v>
      </c>
      <c r="E527" s="567"/>
      <c r="F527" s="568" t="s">
        <v>162</v>
      </c>
      <c r="G527" s="568"/>
      <c r="H527" s="569"/>
      <c r="I527" s="570"/>
      <c r="J527" s="571"/>
      <c r="K527" s="572" t="s">
        <v>162</v>
      </c>
      <c r="L527" s="573"/>
      <c r="M527" s="574"/>
      <c r="N527" s="575" t="s">
        <v>159</v>
      </c>
      <c r="O527" s="576"/>
      <c r="P527" s="576"/>
      <c r="Q527" s="576"/>
      <c r="R527" s="576"/>
      <c r="S527" s="576"/>
      <c r="T527" s="576"/>
      <c r="U527" s="577"/>
    </row>
    <row r="528" spans="1:21" ht="35.1" customHeight="1" x14ac:dyDescent="0.25">
      <c r="A528" s="263">
        <f t="shared" si="8"/>
        <v>514</v>
      </c>
      <c r="B528" s="578" t="s">
        <v>159</v>
      </c>
      <c r="C528" s="578"/>
      <c r="D528" s="579" t="s">
        <v>159</v>
      </c>
      <c r="E528" s="579"/>
      <c r="F528" s="568" t="s">
        <v>162</v>
      </c>
      <c r="G528" s="568"/>
      <c r="H528" s="580"/>
      <c r="I528" s="581"/>
      <c r="J528" s="582"/>
      <c r="K528" s="572" t="s">
        <v>162</v>
      </c>
      <c r="L528" s="573"/>
      <c r="M528" s="574"/>
      <c r="N528" s="583" t="s">
        <v>159</v>
      </c>
      <c r="O528" s="584"/>
      <c r="P528" s="584"/>
      <c r="Q528" s="584"/>
      <c r="R528" s="584"/>
      <c r="S528" s="584"/>
      <c r="T528" s="584"/>
      <c r="U528" s="585"/>
    </row>
    <row r="529" spans="1:21" ht="35.1" customHeight="1" x14ac:dyDescent="0.25">
      <c r="A529" s="263">
        <f t="shared" si="8"/>
        <v>515</v>
      </c>
      <c r="B529" s="566" t="s">
        <v>159</v>
      </c>
      <c r="C529" s="566"/>
      <c r="D529" s="567" t="s">
        <v>159</v>
      </c>
      <c r="E529" s="567"/>
      <c r="F529" s="568" t="s">
        <v>162</v>
      </c>
      <c r="G529" s="568"/>
      <c r="H529" s="569"/>
      <c r="I529" s="570"/>
      <c r="J529" s="571"/>
      <c r="K529" s="572" t="s">
        <v>162</v>
      </c>
      <c r="L529" s="573"/>
      <c r="M529" s="574"/>
      <c r="N529" s="575" t="s">
        <v>159</v>
      </c>
      <c r="O529" s="576"/>
      <c r="P529" s="576"/>
      <c r="Q529" s="576"/>
      <c r="R529" s="576"/>
      <c r="S529" s="576"/>
      <c r="T529" s="576"/>
      <c r="U529" s="577"/>
    </row>
    <row r="530" spans="1:21" ht="35.1" customHeight="1" x14ac:dyDescent="0.25">
      <c r="A530" s="263">
        <f t="shared" si="8"/>
        <v>516</v>
      </c>
      <c r="B530" s="578" t="s">
        <v>159</v>
      </c>
      <c r="C530" s="578"/>
      <c r="D530" s="579" t="s">
        <v>159</v>
      </c>
      <c r="E530" s="579"/>
      <c r="F530" s="568" t="s">
        <v>162</v>
      </c>
      <c r="G530" s="568"/>
      <c r="H530" s="580"/>
      <c r="I530" s="581"/>
      <c r="J530" s="582"/>
      <c r="K530" s="572" t="s">
        <v>162</v>
      </c>
      <c r="L530" s="573"/>
      <c r="M530" s="574"/>
      <c r="N530" s="583" t="s">
        <v>159</v>
      </c>
      <c r="O530" s="584"/>
      <c r="P530" s="584"/>
      <c r="Q530" s="584"/>
      <c r="R530" s="584"/>
      <c r="S530" s="584"/>
      <c r="T530" s="584"/>
      <c r="U530" s="585"/>
    </row>
    <row r="531" spans="1:21" ht="35.1" customHeight="1" x14ac:dyDescent="0.25">
      <c r="A531" s="263">
        <f t="shared" si="8"/>
        <v>517</v>
      </c>
      <c r="B531" s="566" t="s">
        <v>159</v>
      </c>
      <c r="C531" s="566"/>
      <c r="D531" s="567" t="s">
        <v>159</v>
      </c>
      <c r="E531" s="567"/>
      <c r="F531" s="568" t="s">
        <v>162</v>
      </c>
      <c r="G531" s="568"/>
      <c r="H531" s="569"/>
      <c r="I531" s="570"/>
      <c r="J531" s="571"/>
      <c r="K531" s="572" t="s">
        <v>162</v>
      </c>
      <c r="L531" s="573"/>
      <c r="M531" s="574"/>
      <c r="N531" s="575" t="s">
        <v>159</v>
      </c>
      <c r="O531" s="576"/>
      <c r="P531" s="576"/>
      <c r="Q531" s="576"/>
      <c r="R531" s="576"/>
      <c r="S531" s="576"/>
      <c r="T531" s="576"/>
      <c r="U531" s="577"/>
    </row>
    <row r="532" spans="1:21" ht="35.1" customHeight="1" x14ac:dyDescent="0.25">
      <c r="A532" s="263">
        <f t="shared" si="8"/>
        <v>518</v>
      </c>
      <c r="B532" s="578" t="s">
        <v>449</v>
      </c>
      <c r="C532" s="578"/>
      <c r="D532" s="579" t="s">
        <v>159</v>
      </c>
      <c r="E532" s="579"/>
      <c r="F532" s="568" t="s">
        <v>162</v>
      </c>
      <c r="G532" s="568"/>
      <c r="H532" s="580"/>
      <c r="I532" s="581"/>
      <c r="J532" s="582"/>
      <c r="K532" s="572" t="s">
        <v>162</v>
      </c>
      <c r="L532" s="573"/>
      <c r="M532" s="574"/>
      <c r="N532" s="583" t="s">
        <v>159</v>
      </c>
      <c r="O532" s="584"/>
      <c r="P532" s="584"/>
      <c r="Q532" s="584"/>
      <c r="R532" s="584"/>
      <c r="S532" s="584"/>
      <c r="T532" s="584"/>
      <c r="U532" s="585"/>
    </row>
    <row r="533" spans="1:21" ht="35.1" customHeight="1" x14ac:dyDescent="0.25">
      <c r="A533" s="263">
        <f t="shared" si="8"/>
        <v>519</v>
      </c>
      <c r="B533" s="566" t="s">
        <v>159</v>
      </c>
      <c r="C533" s="566"/>
      <c r="D533" s="567" t="s">
        <v>159</v>
      </c>
      <c r="E533" s="567"/>
      <c r="F533" s="568" t="s">
        <v>162</v>
      </c>
      <c r="G533" s="568"/>
      <c r="H533" s="569"/>
      <c r="I533" s="570"/>
      <c r="J533" s="571"/>
      <c r="K533" s="572" t="s">
        <v>162</v>
      </c>
      <c r="L533" s="573"/>
      <c r="M533" s="574"/>
      <c r="N533" s="575" t="s">
        <v>159</v>
      </c>
      <c r="O533" s="576"/>
      <c r="P533" s="576"/>
      <c r="Q533" s="576"/>
      <c r="R533" s="576"/>
      <c r="S533" s="576"/>
      <c r="T533" s="576"/>
      <c r="U533" s="577"/>
    </row>
    <row r="534" spans="1:21" ht="35.1" customHeight="1" x14ac:dyDescent="0.25">
      <c r="A534" s="263">
        <f t="shared" si="8"/>
        <v>520</v>
      </c>
      <c r="B534" s="578" t="s">
        <v>159</v>
      </c>
      <c r="C534" s="578"/>
      <c r="D534" s="579" t="s">
        <v>159</v>
      </c>
      <c r="E534" s="579"/>
      <c r="F534" s="568" t="s">
        <v>162</v>
      </c>
      <c r="G534" s="568"/>
      <c r="H534" s="580"/>
      <c r="I534" s="581"/>
      <c r="J534" s="582"/>
      <c r="K534" s="572" t="s">
        <v>162</v>
      </c>
      <c r="L534" s="573"/>
      <c r="M534" s="574"/>
      <c r="N534" s="583" t="s">
        <v>159</v>
      </c>
      <c r="O534" s="584"/>
      <c r="P534" s="584"/>
      <c r="Q534" s="584"/>
      <c r="R534" s="584"/>
      <c r="S534" s="584"/>
      <c r="T534" s="584"/>
      <c r="U534" s="585"/>
    </row>
    <row r="535" spans="1:21" ht="35.1" customHeight="1" x14ac:dyDescent="0.25">
      <c r="A535" s="263">
        <f t="shared" si="8"/>
        <v>521</v>
      </c>
      <c r="B535" s="566" t="s">
        <v>159</v>
      </c>
      <c r="C535" s="566"/>
      <c r="D535" s="567" t="s">
        <v>159</v>
      </c>
      <c r="E535" s="567"/>
      <c r="F535" s="568" t="s">
        <v>162</v>
      </c>
      <c r="G535" s="568"/>
      <c r="H535" s="569"/>
      <c r="I535" s="570"/>
      <c r="J535" s="571"/>
      <c r="K535" s="572" t="s">
        <v>162</v>
      </c>
      <c r="L535" s="573"/>
      <c r="M535" s="574"/>
      <c r="N535" s="575" t="s">
        <v>159</v>
      </c>
      <c r="O535" s="576"/>
      <c r="P535" s="576"/>
      <c r="Q535" s="576"/>
      <c r="R535" s="576"/>
      <c r="S535" s="576"/>
      <c r="T535" s="576"/>
      <c r="U535" s="577"/>
    </row>
    <row r="536" spans="1:21" ht="35.1" customHeight="1" x14ac:dyDescent="0.25">
      <c r="A536" s="263">
        <f t="shared" si="8"/>
        <v>522</v>
      </c>
      <c r="B536" s="578" t="s">
        <v>159</v>
      </c>
      <c r="C536" s="578"/>
      <c r="D536" s="579" t="s">
        <v>159</v>
      </c>
      <c r="E536" s="579"/>
      <c r="F536" s="568" t="s">
        <v>162</v>
      </c>
      <c r="G536" s="568"/>
      <c r="H536" s="580"/>
      <c r="I536" s="581"/>
      <c r="J536" s="582"/>
      <c r="K536" s="572" t="s">
        <v>162</v>
      </c>
      <c r="L536" s="573"/>
      <c r="M536" s="574"/>
      <c r="N536" s="583" t="s">
        <v>159</v>
      </c>
      <c r="O536" s="584"/>
      <c r="P536" s="584"/>
      <c r="Q536" s="584"/>
      <c r="R536" s="584"/>
      <c r="S536" s="584"/>
      <c r="T536" s="584"/>
      <c r="U536" s="585"/>
    </row>
    <row r="537" spans="1:21" ht="35.1" customHeight="1" x14ac:dyDescent="0.25">
      <c r="A537" s="263">
        <f t="shared" si="8"/>
        <v>523</v>
      </c>
      <c r="B537" s="566" t="s">
        <v>159</v>
      </c>
      <c r="C537" s="566"/>
      <c r="D537" s="567" t="s">
        <v>159</v>
      </c>
      <c r="E537" s="567"/>
      <c r="F537" s="568" t="s">
        <v>162</v>
      </c>
      <c r="G537" s="568"/>
      <c r="H537" s="569"/>
      <c r="I537" s="570"/>
      <c r="J537" s="571"/>
      <c r="K537" s="572" t="s">
        <v>162</v>
      </c>
      <c r="L537" s="573"/>
      <c r="M537" s="574"/>
      <c r="N537" s="575" t="s">
        <v>159</v>
      </c>
      <c r="O537" s="576"/>
      <c r="P537" s="576"/>
      <c r="Q537" s="576"/>
      <c r="R537" s="576"/>
      <c r="S537" s="576"/>
      <c r="T537" s="576"/>
      <c r="U537" s="577"/>
    </row>
    <row r="538" spans="1:21" ht="35.1" customHeight="1" x14ac:dyDescent="0.25">
      <c r="A538" s="263">
        <f t="shared" si="8"/>
        <v>524</v>
      </c>
      <c r="B538" s="578" t="s">
        <v>159</v>
      </c>
      <c r="C538" s="578"/>
      <c r="D538" s="579" t="s">
        <v>159</v>
      </c>
      <c r="E538" s="579"/>
      <c r="F538" s="568" t="s">
        <v>162</v>
      </c>
      <c r="G538" s="568"/>
      <c r="H538" s="580"/>
      <c r="I538" s="581"/>
      <c r="J538" s="582"/>
      <c r="K538" s="572" t="s">
        <v>162</v>
      </c>
      <c r="L538" s="573"/>
      <c r="M538" s="574"/>
      <c r="N538" s="583" t="s">
        <v>159</v>
      </c>
      <c r="O538" s="584"/>
      <c r="P538" s="584"/>
      <c r="Q538" s="584"/>
      <c r="R538" s="584"/>
      <c r="S538" s="584"/>
      <c r="T538" s="584"/>
      <c r="U538" s="585"/>
    </row>
    <row r="539" spans="1:21" ht="35.1" customHeight="1" x14ac:dyDescent="0.25">
      <c r="A539" s="263">
        <f t="shared" si="8"/>
        <v>525</v>
      </c>
      <c r="B539" s="566" t="s">
        <v>444</v>
      </c>
      <c r="C539" s="566"/>
      <c r="D539" s="567" t="s">
        <v>159</v>
      </c>
      <c r="E539" s="567"/>
      <c r="F539" s="568" t="s">
        <v>162</v>
      </c>
      <c r="G539" s="568"/>
      <c r="H539" s="569"/>
      <c r="I539" s="570"/>
      <c r="J539" s="571"/>
      <c r="K539" s="572" t="s">
        <v>162</v>
      </c>
      <c r="L539" s="573"/>
      <c r="M539" s="574"/>
      <c r="N539" s="575" t="s">
        <v>159</v>
      </c>
      <c r="O539" s="576"/>
      <c r="P539" s="576"/>
      <c r="Q539" s="576"/>
      <c r="R539" s="576"/>
      <c r="S539" s="576"/>
      <c r="T539" s="576"/>
      <c r="U539" s="577"/>
    </row>
    <row r="540" spans="1:21" ht="35.1" customHeight="1" x14ac:dyDescent="0.25">
      <c r="A540" s="263">
        <f t="shared" si="8"/>
        <v>526</v>
      </c>
      <c r="B540" s="578" t="s">
        <v>159</v>
      </c>
      <c r="C540" s="578"/>
      <c r="D540" s="579" t="s">
        <v>159</v>
      </c>
      <c r="E540" s="579"/>
      <c r="F540" s="568" t="s">
        <v>162</v>
      </c>
      <c r="G540" s="568"/>
      <c r="H540" s="580"/>
      <c r="I540" s="581"/>
      <c r="J540" s="582"/>
      <c r="K540" s="572" t="s">
        <v>162</v>
      </c>
      <c r="L540" s="573"/>
      <c r="M540" s="574"/>
      <c r="N540" s="583" t="s">
        <v>159</v>
      </c>
      <c r="O540" s="584"/>
      <c r="P540" s="584"/>
      <c r="Q540" s="584"/>
      <c r="R540" s="584"/>
      <c r="S540" s="584"/>
      <c r="T540" s="584"/>
      <c r="U540" s="585"/>
    </row>
    <row r="541" spans="1:21" ht="35.1" customHeight="1" x14ac:dyDescent="0.25">
      <c r="A541" s="263">
        <f t="shared" si="8"/>
        <v>527</v>
      </c>
      <c r="B541" s="566" t="s">
        <v>159</v>
      </c>
      <c r="C541" s="566"/>
      <c r="D541" s="567" t="s">
        <v>159</v>
      </c>
      <c r="E541" s="567"/>
      <c r="F541" s="568" t="s">
        <v>162</v>
      </c>
      <c r="G541" s="568"/>
      <c r="H541" s="569"/>
      <c r="I541" s="570"/>
      <c r="J541" s="571"/>
      <c r="K541" s="572" t="s">
        <v>162</v>
      </c>
      <c r="L541" s="573"/>
      <c r="M541" s="574"/>
      <c r="N541" s="575" t="s">
        <v>159</v>
      </c>
      <c r="O541" s="576"/>
      <c r="P541" s="576"/>
      <c r="Q541" s="576"/>
      <c r="R541" s="576"/>
      <c r="S541" s="576"/>
      <c r="T541" s="576"/>
      <c r="U541" s="577"/>
    </row>
    <row r="542" spans="1:21" ht="35.1" customHeight="1" x14ac:dyDescent="0.25">
      <c r="A542" s="263">
        <f t="shared" si="8"/>
        <v>528</v>
      </c>
      <c r="B542" s="578" t="s">
        <v>159</v>
      </c>
      <c r="C542" s="578"/>
      <c r="D542" s="579" t="s">
        <v>159</v>
      </c>
      <c r="E542" s="579"/>
      <c r="F542" s="568" t="s">
        <v>162</v>
      </c>
      <c r="G542" s="568"/>
      <c r="H542" s="580"/>
      <c r="I542" s="581"/>
      <c r="J542" s="582"/>
      <c r="K542" s="572" t="s">
        <v>162</v>
      </c>
      <c r="L542" s="573"/>
      <c r="M542" s="574"/>
      <c r="N542" s="583" t="s">
        <v>159</v>
      </c>
      <c r="O542" s="584"/>
      <c r="P542" s="584"/>
      <c r="Q542" s="584"/>
      <c r="R542" s="584"/>
      <c r="S542" s="584"/>
      <c r="T542" s="584"/>
      <c r="U542" s="585"/>
    </row>
    <row r="543" spans="1:21" ht="35.1" customHeight="1" x14ac:dyDescent="0.25">
      <c r="A543" s="263">
        <f t="shared" si="8"/>
        <v>529</v>
      </c>
      <c r="B543" s="566" t="s">
        <v>159</v>
      </c>
      <c r="C543" s="566"/>
      <c r="D543" s="567" t="s">
        <v>159</v>
      </c>
      <c r="E543" s="567"/>
      <c r="F543" s="568" t="s">
        <v>162</v>
      </c>
      <c r="G543" s="568"/>
      <c r="H543" s="569"/>
      <c r="I543" s="570"/>
      <c r="J543" s="571"/>
      <c r="K543" s="572" t="s">
        <v>162</v>
      </c>
      <c r="L543" s="573"/>
      <c r="M543" s="574"/>
      <c r="N543" s="575" t="s">
        <v>159</v>
      </c>
      <c r="O543" s="576"/>
      <c r="P543" s="576"/>
      <c r="Q543" s="576"/>
      <c r="R543" s="576"/>
      <c r="S543" s="576"/>
      <c r="T543" s="576"/>
      <c r="U543" s="577"/>
    </row>
    <row r="544" spans="1:21" ht="35.1" customHeight="1" x14ac:dyDescent="0.25">
      <c r="A544" s="263">
        <f t="shared" si="8"/>
        <v>530</v>
      </c>
      <c r="B544" s="578" t="s">
        <v>159</v>
      </c>
      <c r="C544" s="578"/>
      <c r="D544" s="579" t="s">
        <v>159</v>
      </c>
      <c r="E544" s="579"/>
      <c r="F544" s="568" t="s">
        <v>162</v>
      </c>
      <c r="G544" s="568"/>
      <c r="H544" s="580"/>
      <c r="I544" s="581"/>
      <c r="J544" s="582"/>
      <c r="K544" s="572" t="s">
        <v>162</v>
      </c>
      <c r="L544" s="573"/>
      <c r="M544" s="574"/>
      <c r="N544" s="583" t="s">
        <v>159</v>
      </c>
      <c r="O544" s="584"/>
      <c r="P544" s="584"/>
      <c r="Q544" s="584"/>
      <c r="R544" s="584"/>
      <c r="S544" s="584"/>
      <c r="T544" s="584"/>
      <c r="U544" s="585"/>
    </row>
    <row r="545" spans="1:21" ht="35.1" customHeight="1" x14ac:dyDescent="0.25">
      <c r="A545" s="263">
        <f t="shared" si="8"/>
        <v>531</v>
      </c>
      <c r="B545" s="566" t="s">
        <v>159</v>
      </c>
      <c r="C545" s="566"/>
      <c r="D545" s="567" t="s">
        <v>159</v>
      </c>
      <c r="E545" s="567"/>
      <c r="F545" s="568" t="s">
        <v>162</v>
      </c>
      <c r="G545" s="568"/>
      <c r="H545" s="569"/>
      <c r="I545" s="570"/>
      <c r="J545" s="571"/>
      <c r="K545" s="572" t="s">
        <v>162</v>
      </c>
      <c r="L545" s="573"/>
      <c r="M545" s="574"/>
      <c r="N545" s="575" t="s">
        <v>159</v>
      </c>
      <c r="O545" s="576"/>
      <c r="P545" s="576"/>
      <c r="Q545" s="576"/>
      <c r="R545" s="576"/>
      <c r="S545" s="576"/>
      <c r="T545" s="576"/>
      <c r="U545" s="577"/>
    </row>
    <row r="546" spans="1:21" ht="35.1" customHeight="1" x14ac:dyDescent="0.25">
      <c r="A546" s="263">
        <f t="shared" si="8"/>
        <v>532</v>
      </c>
      <c r="B546" s="578" t="s">
        <v>159</v>
      </c>
      <c r="C546" s="578"/>
      <c r="D546" s="579" t="s">
        <v>159</v>
      </c>
      <c r="E546" s="579"/>
      <c r="F546" s="568" t="s">
        <v>162</v>
      </c>
      <c r="G546" s="568"/>
      <c r="H546" s="580"/>
      <c r="I546" s="581"/>
      <c r="J546" s="582"/>
      <c r="K546" s="572" t="s">
        <v>162</v>
      </c>
      <c r="L546" s="573"/>
      <c r="M546" s="574"/>
      <c r="N546" s="583" t="s">
        <v>159</v>
      </c>
      <c r="O546" s="584"/>
      <c r="P546" s="584"/>
      <c r="Q546" s="584"/>
      <c r="R546" s="584"/>
      <c r="S546" s="584"/>
      <c r="T546" s="584"/>
      <c r="U546" s="585"/>
    </row>
    <row r="547" spans="1:21" ht="35.1" customHeight="1" x14ac:dyDescent="0.25">
      <c r="A547" s="263">
        <f t="shared" si="8"/>
        <v>533</v>
      </c>
      <c r="B547" s="566" t="s">
        <v>450</v>
      </c>
      <c r="C547" s="566"/>
      <c r="D547" s="567" t="s">
        <v>159</v>
      </c>
      <c r="E547" s="567"/>
      <c r="F547" s="568" t="s">
        <v>162</v>
      </c>
      <c r="G547" s="568"/>
      <c r="H547" s="569"/>
      <c r="I547" s="570"/>
      <c r="J547" s="571"/>
      <c r="K547" s="572" t="s">
        <v>162</v>
      </c>
      <c r="L547" s="573"/>
      <c r="M547" s="574"/>
      <c r="N547" s="575" t="s">
        <v>159</v>
      </c>
      <c r="O547" s="576"/>
      <c r="P547" s="576"/>
      <c r="Q547" s="576"/>
      <c r="R547" s="576"/>
      <c r="S547" s="576"/>
      <c r="T547" s="576"/>
      <c r="U547" s="577"/>
    </row>
    <row r="548" spans="1:21" ht="35.1" customHeight="1" x14ac:dyDescent="0.25">
      <c r="A548" s="263">
        <f t="shared" si="8"/>
        <v>534</v>
      </c>
      <c r="B548" s="578" t="s">
        <v>159</v>
      </c>
      <c r="C548" s="578"/>
      <c r="D548" s="579" t="s">
        <v>159</v>
      </c>
      <c r="E548" s="579"/>
      <c r="F548" s="568" t="s">
        <v>162</v>
      </c>
      <c r="G548" s="568"/>
      <c r="H548" s="580"/>
      <c r="I548" s="581"/>
      <c r="J548" s="582"/>
      <c r="K548" s="572" t="s">
        <v>162</v>
      </c>
      <c r="L548" s="573"/>
      <c r="M548" s="574"/>
      <c r="N548" s="583" t="s">
        <v>159</v>
      </c>
      <c r="O548" s="584"/>
      <c r="P548" s="584"/>
      <c r="Q548" s="584"/>
      <c r="R548" s="584"/>
      <c r="S548" s="584"/>
      <c r="T548" s="584"/>
      <c r="U548" s="585"/>
    </row>
    <row r="549" spans="1:21" ht="35.1" customHeight="1" x14ac:dyDescent="0.25">
      <c r="A549" s="263">
        <f t="shared" si="8"/>
        <v>535</v>
      </c>
      <c r="B549" s="566" t="s">
        <v>159</v>
      </c>
      <c r="C549" s="566"/>
      <c r="D549" s="567" t="s">
        <v>159</v>
      </c>
      <c r="E549" s="567"/>
      <c r="F549" s="568" t="s">
        <v>162</v>
      </c>
      <c r="G549" s="568"/>
      <c r="H549" s="569"/>
      <c r="I549" s="570"/>
      <c r="J549" s="571"/>
      <c r="K549" s="572" t="s">
        <v>162</v>
      </c>
      <c r="L549" s="573"/>
      <c r="M549" s="574"/>
      <c r="N549" s="575" t="s">
        <v>159</v>
      </c>
      <c r="O549" s="576"/>
      <c r="P549" s="576"/>
      <c r="Q549" s="576"/>
      <c r="R549" s="576"/>
      <c r="S549" s="576"/>
      <c r="T549" s="576"/>
      <c r="U549" s="577"/>
    </row>
    <row r="550" spans="1:21" ht="35.1" customHeight="1" x14ac:dyDescent="0.25">
      <c r="A550" s="263">
        <f t="shared" si="8"/>
        <v>536</v>
      </c>
      <c r="B550" s="578" t="s">
        <v>442</v>
      </c>
      <c r="C550" s="578"/>
      <c r="D550" s="579" t="s">
        <v>159</v>
      </c>
      <c r="E550" s="579"/>
      <c r="F550" s="568" t="s">
        <v>162</v>
      </c>
      <c r="G550" s="568"/>
      <c r="H550" s="580"/>
      <c r="I550" s="581"/>
      <c r="J550" s="582"/>
      <c r="K550" s="572" t="s">
        <v>162</v>
      </c>
      <c r="L550" s="573"/>
      <c r="M550" s="574"/>
      <c r="N550" s="583" t="s">
        <v>159</v>
      </c>
      <c r="O550" s="584"/>
      <c r="P550" s="584"/>
      <c r="Q550" s="584"/>
      <c r="R550" s="584"/>
      <c r="S550" s="584"/>
      <c r="T550" s="584"/>
      <c r="U550" s="585"/>
    </row>
    <row r="551" spans="1:21" ht="35.1" customHeight="1" x14ac:dyDescent="0.25">
      <c r="A551" s="263">
        <f t="shared" si="8"/>
        <v>537</v>
      </c>
      <c r="B551" s="566" t="s">
        <v>159</v>
      </c>
      <c r="C551" s="566"/>
      <c r="D551" s="567" t="s">
        <v>159</v>
      </c>
      <c r="E551" s="567"/>
      <c r="F551" s="568" t="s">
        <v>162</v>
      </c>
      <c r="G551" s="568"/>
      <c r="H551" s="569"/>
      <c r="I551" s="570"/>
      <c r="J551" s="571"/>
      <c r="K551" s="572" t="s">
        <v>162</v>
      </c>
      <c r="L551" s="573"/>
      <c r="M551" s="574"/>
      <c r="N551" s="575" t="s">
        <v>159</v>
      </c>
      <c r="O551" s="576"/>
      <c r="P551" s="576"/>
      <c r="Q551" s="576"/>
      <c r="R551" s="576"/>
      <c r="S551" s="576"/>
      <c r="T551" s="576"/>
      <c r="U551" s="577"/>
    </row>
    <row r="552" spans="1:21" ht="35.1" customHeight="1" x14ac:dyDescent="0.25">
      <c r="A552" s="263">
        <f t="shared" si="8"/>
        <v>538</v>
      </c>
      <c r="B552" s="578" t="s">
        <v>159</v>
      </c>
      <c r="C552" s="578"/>
      <c r="D552" s="579" t="s">
        <v>159</v>
      </c>
      <c r="E552" s="579"/>
      <c r="F552" s="568" t="s">
        <v>162</v>
      </c>
      <c r="G552" s="568"/>
      <c r="H552" s="580"/>
      <c r="I552" s="581"/>
      <c r="J552" s="582"/>
      <c r="K552" s="572" t="s">
        <v>162</v>
      </c>
      <c r="L552" s="573"/>
      <c r="M552" s="574"/>
      <c r="N552" s="583" t="s">
        <v>159</v>
      </c>
      <c r="O552" s="584"/>
      <c r="P552" s="584"/>
      <c r="Q552" s="584"/>
      <c r="R552" s="584"/>
      <c r="S552" s="584"/>
      <c r="T552" s="584"/>
      <c r="U552" s="585"/>
    </row>
    <row r="553" spans="1:21" ht="35.1" customHeight="1" x14ac:dyDescent="0.25">
      <c r="A553" s="263">
        <f t="shared" si="8"/>
        <v>539</v>
      </c>
      <c r="B553" s="566" t="s">
        <v>159</v>
      </c>
      <c r="C553" s="566"/>
      <c r="D553" s="567" t="s">
        <v>159</v>
      </c>
      <c r="E553" s="567"/>
      <c r="F553" s="568" t="s">
        <v>162</v>
      </c>
      <c r="G553" s="568"/>
      <c r="H553" s="569"/>
      <c r="I553" s="570"/>
      <c r="J553" s="571"/>
      <c r="K553" s="572" t="s">
        <v>162</v>
      </c>
      <c r="L553" s="573"/>
      <c r="M553" s="574"/>
      <c r="N553" s="575" t="s">
        <v>159</v>
      </c>
      <c r="O553" s="576"/>
      <c r="P553" s="576"/>
      <c r="Q553" s="576"/>
      <c r="R553" s="576"/>
      <c r="S553" s="576"/>
      <c r="T553" s="576"/>
      <c r="U553" s="577"/>
    </row>
    <row r="554" spans="1:21" ht="35.1" customHeight="1" x14ac:dyDescent="0.25">
      <c r="A554" s="263">
        <f t="shared" si="8"/>
        <v>540</v>
      </c>
      <c r="B554" s="578" t="s">
        <v>159</v>
      </c>
      <c r="C554" s="578"/>
      <c r="D554" s="579" t="s">
        <v>159</v>
      </c>
      <c r="E554" s="579"/>
      <c r="F554" s="568" t="s">
        <v>162</v>
      </c>
      <c r="G554" s="568"/>
      <c r="H554" s="580"/>
      <c r="I554" s="581"/>
      <c r="J554" s="582"/>
      <c r="K554" s="572" t="s">
        <v>162</v>
      </c>
      <c r="L554" s="573"/>
      <c r="M554" s="574"/>
      <c r="N554" s="583" t="s">
        <v>159</v>
      </c>
      <c r="O554" s="584"/>
      <c r="P554" s="584"/>
      <c r="Q554" s="584"/>
      <c r="R554" s="584"/>
      <c r="S554" s="584"/>
      <c r="T554" s="584"/>
      <c r="U554" s="585"/>
    </row>
    <row r="555" spans="1:21" ht="35.1" customHeight="1" x14ac:dyDescent="0.25">
      <c r="A555" s="263">
        <f t="shared" si="8"/>
        <v>541</v>
      </c>
      <c r="B555" s="566" t="s">
        <v>159</v>
      </c>
      <c r="C555" s="566"/>
      <c r="D555" s="567" t="s">
        <v>159</v>
      </c>
      <c r="E555" s="567"/>
      <c r="F555" s="568" t="s">
        <v>162</v>
      </c>
      <c r="G555" s="568"/>
      <c r="H555" s="569"/>
      <c r="I555" s="570"/>
      <c r="J555" s="571"/>
      <c r="K555" s="572" t="s">
        <v>162</v>
      </c>
      <c r="L555" s="573"/>
      <c r="M555" s="574"/>
      <c r="N555" s="575" t="s">
        <v>159</v>
      </c>
      <c r="O555" s="576"/>
      <c r="P555" s="576"/>
      <c r="Q555" s="576"/>
      <c r="R555" s="576"/>
      <c r="S555" s="576"/>
      <c r="T555" s="576"/>
      <c r="U555" s="577"/>
    </row>
    <row r="556" spans="1:21" ht="35.1" customHeight="1" x14ac:dyDescent="0.25">
      <c r="A556" s="263">
        <f t="shared" si="8"/>
        <v>542</v>
      </c>
      <c r="B556" s="578" t="s">
        <v>446</v>
      </c>
      <c r="C556" s="578"/>
      <c r="D556" s="579" t="s">
        <v>159</v>
      </c>
      <c r="E556" s="579"/>
      <c r="F556" s="568" t="s">
        <v>162</v>
      </c>
      <c r="G556" s="568"/>
      <c r="H556" s="580"/>
      <c r="I556" s="581"/>
      <c r="J556" s="582"/>
      <c r="K556" s="572" t="s">
        <v>162</v>
      </c>
      <c r="L556" s="573"/>
      <c r="M556" s="574"/>
      <c r="N556" s="583" t="s">
        <v>159</v>
      </c>
      <c r="O556" s="584"/>
      <c r="P556" s="584"/>
      <c r="Q556" s="584"/>
      <c r="R556" s="584"/>
      <c r="S556" s="584"/>
      <c r="T556" s="584"/>
      <c r="U556" s="585"/>
    </row>
    <row r="557" spans="1:21" ht="35.1" customHeight="1" x14ac:dyDescent="0.25">
      <c r="A557" s="263">
        <f t="shared" si="8"/>
        <v>543</v>
      </c>
      <c r="B557" s="566" t="s">
        <v>159</v>
      </c>
      <c r="C557" s="566"/>
      <c r="D557" s="567" t="s">
        <v>159</v>
      </c>
      <c r="E557" s="567"/>
      <c r="F557" s="568" t="s">
        <v>162</v>
      </c>
      <c r="G557" s="568"/>
      <c r="H557" s="569"/>
      <c r="I557" s="570"/>
      <c r="J557" s="571"/>
      <c r="K557" s="572" t="s">
        <v>162</v>
      </c>
      <c r="L557" s="573"/>
      <c r="M557" s="574"/>
      <c r="N557" s="575" t="s">
        <v>159</v>
      </c>
      <c r="O557" s="576"/>
      <c r="P557" s="576"/>
      <c r="Q557" s="576"/>
      <c r="R557" s="576"/>
      <c r="S557" s="576"/>
      <c r="T557" s="576"/>
      <c r="U557" s="577"/>
    </row>
    <row r="558" spans="1:21" ht="35.1" customHeight="1" x14ac:dyDescent="0.25">
      <c r="A558" s="263">
        <f t="shared" si="8"/>
        <v>544</v>
      </c>
      <c r="B558" s="578" t="s">
        <v>159</v>
      </c>
      <c r="C558" s="578"/>
      <c r="D558" s="579" t="s">
        <v>159</v>
      </c>
      <c r="E558" s="579"/>
      <c r="F558" s="568" t="s">
        <v>162</v>
      </c>
      <c r="G558" s="568"/>
      <c r="H558" s="580"/>
      <c r="I558" s="581"/>
      <c r="J558" s="582"/>
      <c r="K558" s="572" t="s">
        <v>162</v>
      </c>
      <c r="L558" s="573"/>
      <c r="M558" s="574"/>
      <c r="N558" s="583" t="s">
        <v>159</v>
      </c>
      <c r="O558" s="584"/>
      <c r="P558" s="584"/>
      <c r="Q558" s="584"/>
      <c r="R558" s="584"/>
      <c r="S558" s="584"/>
      <c r="T558" s="584"/>
      <c r="U558" s="585"/>
    </row>
    <row r="559" spans="1:21" ht="35.1" customHeight="1" x14ac:dyDescent="0.25">
      <c r="A559" s="263">
        <f t="shared" si="8"/>
        <v>545</v>
      </c>
      <c r="B559" s="566" t="s">
        <v>159</v>
      </c>
      <c r="C559" s="566"/>
      <c r="D559" s="567" t="s">
        <v>159</v>
      </c>
      <c r="E559" s="567"/>
      <c r="F559" s="568" t="s">
        <v>162</v>
      </c>
      <c r="G559" s="568"/>
      <c r="H559" s="569"/>
      <c r="I559" s="570"/>
      <c r="J559" s="571"/>
      <c r="K559" s="572" t="s">
        <v>162</v>
      </c>
      <c r="L559" s="573"/>
      <c r="M559" s="574"/>
      <c r="N559" s="575" t="s">
        <v>159</v>
      </c>
      <c r="O559" s="576"/>
      <c r="P559" s="576"/>
      <c r="Q559" s="576"/>
      <c r="R559" s="576"/>
      <c r="S559" s="576"/>
      <c r="T559" s="576"/>
      <c r="U559" s="577"/>
    </row>
    <row r="560" spans="1:21" ht="35.1" customHeight="1" x14ac:dyDescent="0.25">
      <c r="A560" s="263">
        <f t="shared" si="8"/>
        <v>546</v>
      </c>
      <c r="B560" s="578" t="s">
        <v>159</v>
      </c>
      <c r="C560" s="578"/>
      <c r="D560" s="579" t="s">
        <v>159</v>
      </c>
      <c r="E560" s="579"/>
      <c r="F560" s="568" t="s">
        <v>162</v>
      </c>
      <c r="G560" s="568"/>
      <c r="H560" s="580"/>
      <c r="I560" s="581"/>
      <c r="J560" s="582"/>
      <c r="K560" s="572" t="s">
        <v>162</v>
      </c>
      <c r="L560" s="573"/>
      <c r="M560" s="574"/>
      <c r="N560" s="583" t="s">
        <v>159</v>
      </c>
      <c r="O560" s="584"/>
      <c r="P560" s="584"/>
      <c r="Q560" s="584"/>
      <c r="R560" s="584"/>
      <c r="S560" s="584"/>
      <c r="T560" s="584"/>
      <c r="U560" s="585"/>
    </row>
    <row r="561" spans="1:21" ht="35.1" customHeight="1" x14ac:dyDescent="0.25">
      <c r="A561" s="263">
        <f t="shared" si="8"/>
        <v>547</v>
      </c>
      <c r="B561" s="566" t="s">
        <v>159</v>
      </c>
      <c r="C561" s="566"/>
      <c r="D561" s="567" t="s">
        <v>159</v>
      </c>
      <c r="E561" s="567"/>
      <c r="F561" s="568" t="s">
        <v>162</v>
      </c>
      <c r="G561" s="568"/>
      <c r="H561" s="569"/>
      <c r="I561" s="570"/>
      <c r="J561" s="571"/>
      <c r="K561" s="572" t="s">
        <v>162</v>
      </c>
      <c r="L561" s="573"/>
      <c r="M561" s="574"/>
      <c r="N561" s="575" t="s">
        <v>159</v>
      </c>
      <c r="O561" s="576"/>
      <c r="P561" s="576"/>
      <c r="Q561" s="576"/>
      <c r="R561" s="576"/>
      <c r="S561" s="576"/>
      <c r="T561" s="576"/>
      <c r="U561" s="577"/>
    </row>
    <row r="562" spans="1:21" ht="35.1" customHeight="1" x14ac:dyDescent="0.25">
      <c r="A562" s="263">
        <f t="shared" si="8"/>
        <v>548</v>
      </c>
      <c r="B562" s="578" t="s">
        <v>159</v>
      </c>
      <c r="C562" s="578"/>
      <c r="D562" s="579" t="s">
        <v>159</v>
      </c>
      <c r="E562" s="579"/>
      <c r="F562" s="568" t="s">
        <v>162</v>
      </c>
      <c r="G562" s="568"/>
      <c r="H562" s="580"/>
      <c r="I562" s="581"/>
      <c r="J562" s="582"/>
      <c r="K562" s="572" t="s">
        <v>162</v>
      </c>
      <c r="L562" s="573"/>
      <c r="M562" s="574"/>
      <c r="N562" s="583" t="s">
        <v>159</v>
      </c>
      <c r="O562" s="584"/>
      <c r="P562" s="584"/>
      <c r="Q562" s="584"/>
      <c r="R562" s="584"/>
      <c r="S562" s="584"/>
      <c r="T562" s="584"/>
      <c r="U562" s="585"/>
    </row>
    <row r="563" spans="1:21" ht="35.1" customHeight="1" x14ac:dyDescent="0.25">
      <c r="A563" s="263">
        <f t="shared" si="8"/>
        <v>549</v>
      </c>
      <c r="B563" s="566" t="s">
        <v>159</v>
      </c>
      <c r="C563" s="566"/>
      <c r="D563" s="567" t="s">
        <v>159</v>
      </c>
      <c r="E563" s="567"/>
      <c r="F563" s="568" t="s">
        <v>162</v>
      </c>
      <c r="G563" s="568"/>
      <c r="H563" s="569"/>
      <c r="I563" s="570"/>
      <c r="J563" s="571"/>
      <c r="K563" s="572" t="s">
        <v>162</v>
      </c>
      <c r="L563" s="573"/>
      <c r="M563" s="574"/>
      <c r="N563" s="575" t="s">
        <v>159</v>
      </c>
      <c r="O563" s="576"/>
      <c r="P563" s="576"/>
      <c r="Q563" s="576"/>
      <c r="R563" s="576"/>
      <c r="S563" s="576"/>
      <c r="T563" s="576"/>
      <c r="U563" s="577"/>
    </row>
    <row r="564" spans="1:21" ht="35.1" customHeight="1" x14ac:dyDescent="0.25">
      <c r="A564" s="263">
        <f t="shared" si="8"/>
        <v>550</v>
      </c>
      <c r="B564" s="578" t="s">
        <v>159</v>
      </c>
      <c r="C564" s="578"/>
      <c r="D564" s="579" t="s">
        <v>159</v>
      </c>
      <c r="E564" s="579"/>
      <c r="F564" s="568" t="s">
        <v>162</v>
      </c>
      <c r="G564" s="568"/>
      <c r="H564" s="580"/>
      <c r="I564" s="581"/>
      <c r="J564" s="582"/>
      <c r="K564" s="572" t="s">
        <v>162</v>
      </c>
      <c r="L564" s="573"/>
      <c r="M564" s="574"/>
      <c r="N564" s="583" t="s">
        <v>159</v>
      </c>
      <c r="O564" s="584"/>
      <c r="P564" s="584"/>
      <c r="Q564" s="584"/>
      <c r="R564" s="584"/>
      <c r="S564" s="584"/>
      <c r="T564" s="584"/>
      <c r="U564" s="585"/>
    </row>
    <row r="565" spans="1:21" ht="35.1" customHeight="1" x14ac:dyDescent="0.25">
      <c r="A565" s="263">
        <f t="shared" si="8"/>
        <v>551</v>
      </c>
      <c r="B565" s="566" t="s">
        <v>159</v>
      </c>
      <c r="C565" s="566"/>
      <c r="D565" s="567" t="s">
        <v>159</v>
      </c>
      <c r="E565" s="567"/>
      <c r="F565" s="568" t="s">
        <v>162</v>
      </c>
      <c r="G565" s="568"/>
      <c r="H565" s="569"/>
      <c r="I565" s="570"/>
      <c r="J565" s="571"/>
      <c r="K565" s="572" t="s">
        <v>162</v>
      </c>
      <c r="L565" s="573"/>
      <c r="M565" s="574"/>
      <c r="N565" s="575" t="s">
        <v>159</v>
      </c>
      <c r="O565" s="576"/>
      <c r="P565" s="576"/>
      <c r="Q565" s="576"/>
      <c r="R565" s="576"/>
      <c r="S565" s="576"/>
      <c r="T565" s="576"/>
      <c r="U565" s="577"/>
    </row>
    <row r="566" spans="1:21" ht="35.1" customHeight="1" x14ac:dyDescent="0.25">
      <c r="A566" s="263">
        <f t="shared" si="8"/>
        <v>552</v>
      </c>
      <c r="B566" s="578" t="s">
        <v>159</v>
      </c>
      <c r="C566" s="578"/>
      <c r="D566" s="579" t="s">
        <v>159</v>
      </c>
      <c r="E566" s="579"/>
      <c r="F566" s="568" t="s">
        <v>162</v>
      </c>
      <c r="G566" s="568"/>
      <c r="H566" s="580"/>
      <c r="I566" s="581"/>
      <c r="J566" s="582"/>
      <c r="K566" s="572" t="s">
        <v>162</v>
      </c>
      <c r="L566" s="573"/>
      <c r="M566" s="574"/>
      <c r="N566" s="583" t="s">
        <v>159</v>
      </c>
      <c r="O566" s="584"/>
      <c r="P566" s="584"/>
      <c r="Q566" s="584"/>
      <c r="R566" s="584"/>
      <c r="S566" s="584"/>
      <c r="T566" s="584"/>
      <c r="U566" s="585"/>
    </row>
    <row r="567" spans="1:21" ht="35.1" customHeight="1" x14ac:dyDescent="0.25">
      <c r="A567" s="263">
        <f t="shared" si="8"/>
        <v>553</v>
      </c>
      <c r="B567" s="566" t="s">
        <v>159</v>
      </c>
      <c r="C567" s="566"/>
      <c r="D567" s="567" t="s">
        <v>159</v>
      </c>
      <c r="E567" s="567"/>
      <c r="F567" s="568" t="s">
        <v>162</v>
      </c>
      <c r="G567" s="568"/>
      <c r="H567" s="569"/>
      <c r="I567" s="570"/>
      <c r="J567" s="571"/>
      <c r="K567" s="572" t="s">
        <v>162</v>
      </c>
      <c r="L567" s="573"/>
      <c r="M567" s="574"/>
      <c r="N567" s="575" t="s">
        <v>159</v>
      </c>
      <c r="O567" s="576"/>
      <c r="P567" s="576"/>
      <c r="Q567" s="576"/>
      <c r="R567" s="576"/>
      <c r="S567" s="576"/>
      <c r="T567" s="576"/>
      <c r="U567" s="577"/>
    </row>
    <row r="568" spans="1:21" ht="35.1" customHeight="1" x14ac:dyDescent="0.25">
      <c r="A568" s="263">
        <f t="shared" si="8"/>
        <v>554</v>
      </c>
      <c r="B568" s="578" t="s">
        <v>445</v>
      </c>
      <c r="C568" s="578"/>
      <c r="D568" s="579" t="s">
        <v>159</v>
      </c>
      <c r="E568" s="579"/>
      <c r="F568" s="568" t="s">
        <v>162</v>
      </c>
      <c r="G568" s="568"/>
      <c r="H568" s="580"/>
      <c r="I568" s="581"/>
      <c r="J568" s="582"/>
      <c r="K568" s="572" t="s">
        <v>162</v>
      </c>
      <c r="L568" s="573"/>
      <c r="M568" s="574"/>
      <c r="N568" s="583" t="s">
        <v>159</v>
      </c>
      <c r="O568" s="584"/>
      <c r="P568" s="584"/>
      <c r="Q568" s="584"/>
      <c r="R568" s="584"/>
      <c r="S568" s="584"/>
      <c r="T568" s="584"/>
      <c r="U568" s="585"/>
    </row>
    <row r="569" spans="1:21" ht="35.1" customHeight="1" x14ac:dyDescent="0.25">
      <c r="A569" s="263">
        <f t="shared" si="8"/>
        <v>555</v>
      </c>
      <c r="B569" s="566" t="s">
        <v>159</v>
      </c>
      <c r="C569" s="566"/>
      <c r="D569" s="567" t="s">
        <v>159</v>
      </c>
      <c r="E569" s="567"/>
      <c r="F569" s="568" t="s">
        <v>162</v>
      </c>
      <c r="G569" s="568"/>
      <c r="H569" s="569"/>
      <c r="I569" s="570"/>
      <c r="J569" s="571"/>
      <c r="K569" s="572" t="s">
        <v>162</v>
      </c>
      <c r="L569" s="573"/>
      <c r="M569" s="574"/>
      <c r="N569" s="575" t="s">
        <v>159</v>
      </c>
      <c r="O569" s="576"/>
      <c r="P569" s="576"/>
      <c r="Q569" s="576"/>
      <c r="R569" s="576"/>
      <c r="S569" s="576"/>
      <c r="T569" s="576"/>
      <c r="U569" s="577"/>
    </row>
    <row r="570" spans="1:21" ht="35.1" customHeight="1" x14ac:dyDescent="0.25">
      <c r="A570" s="263">
        <f t="shared" si="8"/>
        <v>556</v>
      </c>
      <c r="B570" s="578" t="s">
        <v>159</v>
      </c>
      <c r="C570" s="578"/>
      <c r="D570" s="579" t="s">
        <v>159</v>
      </c>
      <c r="E570" s="579"/>
      <c r="F570" s="568" t="s">
        <v>162</v>
      </c>
      <c r="G570" s="568"/>
      <c r="H570" s="580"/>
      <c r="I570" s="581"/>
      <c r="J570" s="582"/>
      <c r="K570" s="572" t="s">
        <v>162</v>
      </c>
      <c r="L570" s="573"/>
      <c r="M570" s="574"/>
      <c r="N570" s="583" t="s">
        <v>159</v>
      </c>
      <c r="O570" s="584"/>
      <c r="P570" s="584"/>
      <c r="Q570" s="584"/>
      <c r="R570" s="584"/>
      <c r="S570" s="584"/>
      <c r="T570" s="584"/>
      <c r="U570" s="585"/>
    </row>
    <row r="571" spans="1:21" ht="35.1" customHeight="1" x14ac:dyDescent="0.25">
      <c r="A571" s="263">
        <f t="shared" si="8"/>
        <v>557</v>
      </c>
      <c r="B571" s="566" t="s">
        <v>159</v>
      </c>
      <c r="C571" s="566"/>
      <c r="D571" s="567" t="s">
        <v>159</v>
      </c>
      <c r="E571" s="567"/>
      <c r="F571" s="568" t="s">
        <v>162</v>
      </c>
      <c r="G571" s="568"/>
      <c r="H571" s="569"/>
      <c r="I571" s="570"/>
      <c r="J571" s="571"/>
      <c r="K571" s="572" t="s">
        <v>162</v>
      </c>
      <c r="L571" s="573"/>
      <c r="M571" s="574"/>
      <c r="N571" s="575" t="s">
        <v>159</v>
      </c>
      <c r="O571" s="576"/>
      <c r="P571" s="576"/>
      <c r="Q571" s="576"/>
      <c r="R571" s="576"/>
      <c r="S571" s="576"/>
      <c r="T571" s="576"/>
      <c r="U571" s="577"/>
    </row>
    <row r="572" spans="1:21" ht="35.1" customHeight="1" x14ac:dyDescent="0.25">
      <c r="A572" s="263">
        <f t="shared" si="8"/>
        <v>558</v>
      </c>
      <c r="B572" s="578" t="s">
        <v>159</v>
      </c>
      <c r="C572" s="578"/>
      <c r="D572" s="579" t="s">
        <v>159</v>
      </c>
      <c r="E572" s="579"/>
      <c r="F572" s="568" t="s">
        <v>162</v>
      </c>
      <c r="G572" s="568"/>
      <c r="H572" s="580"/>
      <c r="I572" s="581"/>
      <c r="J572" s="582"/>
      <c r="K572" s="572" t="s">
        <v>162</v>
      </c>
      <c r="L572" s="573"/>
      <c r="M572" s="574"/>
      <c r="N572" s="583" t="s">
        <v>159</v>
      </c>
      <c r="O572" s="584"/>
      <c r="P572" s="584"/>
      <c r="Q572" s="584"/>
      <c r="R572" s="584"/>
      <c r="S572" s="584"/>
      <c r="T572" s="584"/>
      <c r="U572" s="585"/>
    </row>
    <row r="573" spans="1:21" ht="35.1" customHeight="1" x14ac:dyDescent="0.25">
      <c r="A573" s="263">
        <f t="shared" si="8"/>
        <v>559</v>
      </c>
      <c r="B573" s="566" t="s">
        <v>159</v>
      </c>
      <c r="C573" s="566"/>
      <c r="D573" s="567" t="s">
        <v>159</v>
      </c>
      <c r="E573" s="567"/>
      <c r="F573" s="568" t="s">
        <v>162</v>
      </c>
      <c r="G573" s="568"/>
      <c r="H573" s="569"/>
      <c r="I573" s="570"/>
      <c r="J573" s="571"/>
      <c r="K573" s="572" t="s">
        <v>162</v>
      </c>
      <c r="L573" s="573"/>
      <c r="M573" s="574"/>
      <c r="N573" s="575" t="s">
        <v>159</v>
      </c>
      <c r="O573" s="576"/>
      <c r="P573" s="576"/>
      <c r="Q573" s="576"/>
      <c r="R573" s="576"/>
      <c r="S573" s="576"/>
      <c r="T573" s="576"/>
      <c r="U573" s="577"/>
    </row>
    <row r="574" spans="1:21" ht="35.1" customHeight="1" x14ac:dyDescent="0.25">
      <c r="A574" s="263">
        <f t="shared" si="8"/>
        <v>560</v>
      </c>
      <c r="B574" s="578" t="s">
        <v>449</v>
      </c>
      <c r="C574" s="578"/>
      <c r="D574" s="579" t="s">
        <v>159</v>
      </c>
      <c r="E574" s="579"/>
      <c r="F574" s="568" t="s">
        <v>162</v>
      </c>
      <c r="G574" s="568"/>
      <c r="H574" s="580"/>
      <c r="I574" s="581"/>
      <c r="J574" s="582"/>
      <c r="K574" s="572" t="s">
        <v>162</v>
      </c>
      <c r="L574" s="573"/>
      <c r="M574" s="574"/>
      <c r="N574" s="583" t="s">
        <v>159</v>
      </c>
      <c r="O574" s="584"/>
      <c r="P574" s="584"/>
      <c r="Q574" s="584"/>
      <c r="R574" s="584"/>
      <c r="S574" s="584"/>
      <c r="T574" s="584"/>
      <c r="U574" s="585"/>
    </row>
    <row r="575" spans="1:21" ht="35.1" customHeight="1" x14ac:dyDescent="0.25">
      <c r="A575" s="263">
        <f t="shared" si="8"/>
        <v>561</v>
      </c>
      <c r="B575" s="566" t="s">
        <v>159</v>
      </c>
      <c r="C575" s="566"/>
      <c r="D575" s="567" t="s">
        <v>159</v>
      </c>
      <c r="E575" s="567"/>
      <c r="F575" s="568" t="s">
        <v>162</v>
      </c>
      <c r="G575" s="568"/>
      <c r="H575" s="569"/>
      <c r="I575" s="570"/>
      <c r="J575" s="571"/>
      <c r="K575" s="572" t="s">
        <v>162</v>
      </c>
      <c r="L575" s="573"/>
      <c r="M575" s="574"/>
      <c r="N575" s="575" t="s">
        <v>159</v>
      </c>
      <c r="O575" s="576"/>
      <c r="P575" s="576"/>
      <c r="Q575" s="576"/>
      <c r="R575" s="576"/>
      <c r="S575" s="576"/>
      <c r="T575" s="576"/>
      <c r="U575" s="577"/>
    </row>
    <row r="576" spans="1:21" ht="35.1" customHeight="1" x14ac:dyDescent="0.25">
      <c r="A576" s="263">
        <f t="shared" si="8"/>
        <v>562</v>
      </c>
      <c r="B576" s="578" t="s">
        <v>159</v>
      </c>
      <c r="C576" s="578"/>
      <c r="D576" s="579" t="s">
        <v>159</v>
      </c>
      <c r="E576" s="579"/>
      <c r="F576" s="568" t="s">
        <v>162</v>
      </c>
      <c r="G576" s="568"/>
      <c r="H576" s="580"/>
      <c r="I576" s="581"/>
      <c r="J576" s="582"/>
      <c r="K576" s="572" t="s">
        <v>162</v>
      </c>
      <c r="L576" s="573"/>
      <c r="M576" s="574"/>
      <c r="N576" s="583" t="s">
        <v>159</v>
      </c>
      <c r="O576" s="584"/>
      <c r="P576" s="584"/>
      <c r="Q576" s="584"/>
      <c r="R576" s="584"/>
      <c r="S576" s="584"/>
      <c r="T576" s="584"/>
      <c r="U576" s="585"/>
    </row>
    <row r="577" spans="1:21" ht="35.1" customHeight="1" x14ac:dyDescent="0.25">
      <c r="A577" s="263">
        <f t="shared" si="8"/>
        <v>563</v>
      </c>
      <c r="B577" s="566" t="s">
        <v>159</v>
      </c>
      <c r="C577" s="566"/>
      <c r="D577" s="567" t="s">
        <v>159</v>
      </c>
      <c r="E577" s="567"/>
      <c r="F577" s="568" t="s">
        <v>162</v>
      </c>
      <c r="G577" s="568"/>
      <c r="H577" s="569"/>
      <c r="I577" s="570"/>
      <c r="J577" s="571"/>
      <c r="K577" s="572" t="s">
        <v>162</v>
      </c>
      <c r="L577" s="573"/>
      <c r="M577" s="574"/>
      <c r="N577" s="575" t="s">
        <v>159</v>
      </c>
      <c r="O577" s="576"/>
      <c r="P577" s="576"/>
      <c r="Q577" s="576"/>
      <c r="R577" s="576"/>
      <c r="S577" s="576"/>
      <c r="T577" s="576"/>
      <c r="U577" s="577"/>
    </row>
    <row r="578" spans="1:21" ht="35.1" customHeight="1" x14ac:dyDescent="0.25">
      <c r="A578" s="263">
        <f t="shared" si="8"/>
        <v>564</v>
      </c>
      <c r="B578" s="578" t="s">
        <v>159</v>
      </c>
      <c r="C578" s="578"/>
      <c r="D578" s="579" t="s">
        <v>159</v>
      </c>
      <c r="E578" s="579"/>
      <c r="F578" s="568" t="s">
        <v>162</v>
      </c>
      <c r="G578" s="568"/>
      <c r="H578" s="580"/>
      <c r="I578" s="581"/>
      <c r="J578" s="582"/>
      <c r="K578" s="572" t="s">
        <v>162</v>
      </c>
      <c r="L578" s="573"/>
      <c r="M578" s="574"/>
      <c r="N578" s="583" t="s">
        <v>159</v>
      </c>
      <c r="O578" s="584"/>
      <c r="P578" s="584"/>
      <c r="Q578" s="584"/>
      <c r="R578" s="584"/>
      <c r="S578" s="584"/>
      <c r="T578" s="584"/>
      <c r="U578" s="585"/>
    </row>
    <row r="579" spans="1:21" ht="35.1" customHeight="1" x14ac:dyDescent="0.25">
      <c r="A579" s="263">
        <f t="shared" si="8"/>
        <v>565</v>
      </c>
      <c r="B579" s="566" t="s">
        <v>443</v>
      </c>
      <c r="C579" s="566"/>
      <c r="D579" s="567" t="s">
        <v>159</v>
      </c>
      <c r="E579" s="567"/>
      <c r="F579" s="568" t="s">
        <v>162</v>
      </c>
      <c r="G579" s="568"/>
      <c r="H579" s="569"/>
      <c r="I579" s="570"/>
      <c r="J579" s="571"/>
      <c r="K579" s="572" t="s">
        <v>162</v>
      </c>
      <c r="L579" s="573"/>
      <c r="M579" s="574"/>
      <c r="N579" s="575" t="s">
        <v>159</v>
      </c>
      <c r="O579" s="576"/>
      <c r="P579" s="576"/>
      <c r="Q579" s="576"/>
      <c r="R579" s="576"/>
      <c r="S579" s="576"/>
      <c r="T579" s="576"/>
      <c r="U579" s="577"/>
    </row>
    <row r="580" spans="1:21" ht="35.1" customHeight="1" x14ac:dyDescent="0.25">
      <c r="A580" s="263">
        <f t="shared" si="8"/>
        <v>566</v>
      </c>
      <c r="B580" s="578" t="s">
        <v>159</v>
      </c>
      <c r="C580" s="578"/>
      <c r="D580" s="579" t="s">
        <v>159</v>
      </c>
      <c r="E580" s="579"/>
      <c r="F580" s="568" t="s">
        <v>162</v>
      </c>
      <c r="G580" s="568"/>
      <c r="H580" s="580"/>
      <c r="I580" s="581"/>
      <c r="J580" s="582"/>
      <c r="K580" s="572" t="s">
        <v>162</v>
      </c>
      <c r="L580" s="573"/>
      <c r="M580" s="574"/>
      <c r="N580" s="583" t="s">
        <v>159</v>
      </c>
      <c r="O580" s="584"/>
      <c r="P580" s="584"/>
      <c r="Q580" s="584"/>
      <c r="R580" s="584"/>
      <c r="S580" s="584"/>
      <c r="T580" s="584"/>
      <c r="U580" s="585"/>
    </row>
    <row r="581" spans="1:21" ht="35.1" customHeight="1" x14ac:dyDescent="0.25">
      <c r="A581" s="263">
        <f t="shared" si="8"/>
        <v>567</v>
      </c>
      <c r="B581" s="566" t="s">
        <v>159</v>
      </c>
      <c r="C581" s="566"/>
      <c r="D581" s="567" t="s">
        <v>159</v>
      </c>
      <c r="E581" s="567"/>
      <c r="F581" s="568" t="s">
        <v>162</v>
      </c>
      <c r="G581" s="568"/>
      <c r="H581" s="569"/>
      <c r="I581" s="570"/>
      <c r="J581" s="571"/>
      <c r="K581" s="572" t="s">
        <v>162</v>
      </c>
      <c r="L581" s="573"/>
      <c r="M581" s="574"/>
      <c r="N581" s="575" t="s">
        <v>159</v>
      </c>
      <c r="O581" s="576"/>
      <c r="P581" s="576"/>
      <c r="Q581" s="576"/>
      <c r="R581" s="576"/>
      <c r="S581" s="576"/>
      <c r="T581" s="576"/>
      <c r="U581" s="577"/>
    </row>
    <row r="582" spans="1:21" ht="35.1" customHeight="1" x14ac:dyDescent="0.25">
      <c r="A582" s="263">
        <f t="shared" si="8"/>
        <v>568</v>
      </c>
      <c r="B582" s="578" t="s">
        <v>159</v>
      </c>
      <c r="C582" s="578"/>
      <c r="D582" s="579" t="s">
        <v>159</v>
      </c>
      <c r="E582" s="579"/>
      <c r="F582" s="568" t="s">
        <v>162</v>
      </c>
      <c r="G582" s="568"/>
      <c r="H582" s="580"/>
      <c r="I582" s="581"/>
      <c r="J582" s="582"/>
      <c r="K582" s="572" t="s">
        <v>162</v>
      </c>
      <c r="L582" s="573"/>
      <c r="M582" s="574"/>
      <c r="N582" s="583" t="s">
        <v>159</v>
      </c>
      <c r="O582" s="584"/>
      <c r="P582" s="584"/>
      <c r="Q582" s="584"/>
      <c r="R582" s="584"/>
      <c r="S582" s="584"/>
      <c r="T582" s="584"/>
      <c r="U582" s="585"/>
    </row>
    <row r="583" spans="1:21" ht="35.1" customHeight="1" x14ac:dyDescent="0.25">
      <c r="A583" s="263">
        <f t="shared" si="8"/>
        <v>569</v>
      </c>
      <c r="B583" s="566" t="s">
        <v>159</v>
      </c>
      <c r="C583" s="566"/>
      <c r="D583" s="567" t="s">
        <v>159</v>
      </c>
      <c r="E583" s="567"/>
      <c r="F583" s="568" t="s">
        <v>162</v>
      </c>
      <c r="G583" s="568"/>
      <c r="H583" s="569"/>
      <c r="I583" s="570"/>
      <c r="J583" s="571"/>
      <c r="K583" s="572" t="s">
        <v>162</v>
      </c>
      <c r="L583" s="573"/>
      <c r="M583" s="574"/>
      <c r="N583" s="575" t="s">
        <v>159</v>
      </c>
      <c r="O583" s="576"/>
      <c r="P583" s="576"/>
      <c r="Q583" s="576"/>
      <c r="R583" s="576"/>
      <c r="S583" s="576"/>
      <c r="T583" s="576"/>
      <c r="U583" s="577"/>
    </row>
    <row r="584" spans="1:21" ht="35.1" customHeight="1" x14ac:dyDescent="0.25">
      <c r="A584" s="263">
        <f t="shared" si="8"/>
        <v>570</v>
      </c>
      <c r="B584" s="578" t="s">
        <v>446</v>
      </c>
      <c r="C584" s="578"/>
      <c r="D584" s="579" t="s">
        <v>159</v>
      </c>
      <c r="E584" s="579"/>
      <c r="F584" s="568" t="s">
        <v>162</v>
      </c>
      <c r="G584" s="568"/>
      <c r="H584" s="580"/>
      <c r="I584" s="581"/>
      <c r="J584" s="582"/>
      <c r="K584" s="572" t="s">
        <v>162</v>
      </c>
      <c r="L584" s="573"/>
      <c r="M584" s="574"/>
      <c r="N584" s="583" t="s">
        <v>159</v>
      </c>
      <c r="O584" s="584"/>
      <c r="P584" s="584"/>
      <c r="Q584" s="584"/>
      <c r="R584" s="584"/>
      <c r="S584" s="584"/>
      <c r="T584" s="584"/>
      <c r="U584" s="585"/>
    </row>
    <row r="585" spans="1:21" ht="35.1" customHeight="1" x14ac:dyDescent="0.25">
      <c r="A585" s="263">
        <f t="shared" si="8"/>
        <v>571</v>
      </c>
      <c r="B585" s="566" t="s">
        <v>159</v>
      </c>
      <c r="C585" s="566"/>
      <c r="D585" s="567" t="s">
        <v>159</v>
      </c>
      <c r="E585" s="567"/>
      <c r="F585" s="568" t="s">
        <v>162</v>
      </c>
      <c r="G585" s="568"/>
      <c r="H585" s="569"/>
      <c r="I585" s="570"/>
      <c r="J585" s="571"/>
      <c r="K585" s="572" t="s">
        <v>162</v>
      </c>
      <c r="L585" s="573"/>
      <c r="M585" s="574"/>
      <c r="N585" s="575" t="s">
        <v>159</v>
      </c>
      <c r="O585" s="576"/>
      <c r="P585" s="576"/>
      <c r="Q585" s="576"/>
      <c r="R585" s="576"/>
      <c r="S585" s="576"/>
      <c r="T585" s="576"/>
      <c r="U585" s="577"/>
    </row>
    <row r="586" spans="1:21" ht="35.1" customHeight="1" x14ac:dyDescent="0.25">
      <c r="A586" s="263">
        <f t="shared" si="8"/>
        <v>572</v>
      </c>
      <c r="B586" s="578" t="s">
        <v>159</v>
      </c>
      <c r="C586" s="578"/>
      <c r="D586" s="579" t="s">
        <v>159</v>
      </c>
      <c r="E586" s="579"/>
      <c r="F586" s="568" t="s">
        <v>162</v>
      </c>
      <c r="G586" s="568"/>
      <c r="H586" s="580"/>
      <c r="I586" s="581"/>
      <c r="J586" s="582"/>
      <c r="K586" s="572" t="s">
        <v>162</v>
      </c>
      <c r="L586" s="573"/>
      <c r="M586" s="574"/>
      <c r="N586" s="583" t="s">
        <v>159</v>
      </c>
      <c r="O586" s="584"/>
      <c r="P586" s="584"/>
      <c r="Q586" s="584"/>
      <c r="R586" s="584"/>
      <c r="S586" s="584"/>
      <c r="T586" s="584"/>
      <c r="U586" s="585"/>
    </row>
    <row r="587" spans="1:21" ht="35.1" customHeight="1" x14ac:dyDescent="0.25">
      <c r="A587" s="263">
        <f t="shared" si="8"/>
        <v>573</v>
      </c>
      <c r="B587" s="566" t="s">
        <v>159</v>
      </c>
      <c r="C587" s="566"/>
      <c r="D587" s="567" t="s">
        <v>159</v>
      </c>
      <c r="E587" s="567"/>
      <c r="F587" s="568" t="s">
        <v>162</v>
      </c>
      <c r="G587" s="568"/>
      <c r="H587" s="569"/>
      <c r="I587" s="570"/>
      <c r="J587" s="571"/>
      <c r="K587" s="572" t="s">
        <v>162</v>
      </c>
      <c r="L587" s="573"/>
      <c r="M587" s="574"/>
      <c r="N587" s="575" t="s">
        <v>159</v>
      </c>
      <c r="O587" s="576"/>
      <c r="P587" s="576"/>
      <c r="Q587" s="576"/>
      <c r="R587" s="576"/>
      <c r="S587" s="576"/>
      <c r="T587" s="576"/>
      <c r="U587" s="577"/>
    </row>
    <row r="588" spans="1:21" ht="35.1" customHeight="1" x14ac:dyDescent="0.25">
      <c r="A588" s="263">
        <f t="shared" si="8"/>
        <v>574</v>
      </c>
      <c r="B588" s="578" t="s">
        <v>159</v>
      </c>
      <c r="C588" s="578"/>
      <c r="D588" s="579" t="s">
        <v>159</v>
      </c>
      <c r="E588" s="579"/>
      <c r="F588" s="568" t="s">
        <v>162</v>
      </c>
      <c r="G588" s="568"/>
      <c r="H588" s="580"/>
      <c r="I588" s="581"/>
      <c r="J588" s="582"/>
      <c r="K588" s="572" t="s">
        <v>162</v>
      </c>
      <c r="L588" s="573"/>
      <c r="M588" s="574"/>
      <c r="N588" s="583" t="s">
        <v>159</v>
      </c>
      <c r="O588" s="584"/>
      <c r="P588" s="584"/>
      <c r="Q588" s="584"/>
      <c r="R588" s="584"/>
      <c r="S588" s="584"/>
      <c r="T588" s="584"/>
      <c r="U588" s="585"/>
    </row>
    <row r="589" spans="1:21" ht="35.1" customHeight="1" x14ac:dyDescent="0.25">
      <c r="A589" s="263">
        <f t="shared" si="8"/>
        <v>575</v>
      </c>
      <c r="B589" s="566" t="s">
        <v>450</v>
      </c>
      <c r="C589" s="566"/>
      <c r="D589" s="567" t="s">
        <v>159</v>
      </c>
      <c r="E589" s="567"/>
      <c r="F589" s="568" t="s">
        <v>162</v>
      </c>
      <c r="G589" s="568"/>
      <c r="H589" s="569"/>
      <c r="I589" s="570"/>
      <c r="J589" s="571"/>
      <c r="K589" s="572" t="s">
        <v>162</v>
      </c>
      <c r="L589" s="573"/>
      <c r="M589" s="574"/>
      <c r="N589" s="575" t="s">
        <v>159</v>
      </c>
      <c r="O589" s="576"/>
      <c r="P589" s="576"/>
      <c r="Q589" s="576"/>
      <c r="R589" s="576"/>
      <c r="S589" s="576"/>
      <c r="T589" s="576"/>
      <c r="U589" s="577"/>
    </row>
    <row r="590" spans="1:21" ht="35.1" customHeight="1" x14ac:dyDescent="0.25">
      <c r="A590" s="263">
        <f t="shared" si="8"/>
        <v>576</v>
      </c>
      <c r="B590" s="578" t="s">
        <v>159</v>
      </c>
      <c r="C590" s="578"/>
      <c r="D590" s="579" t="s">
        <v>159</v>
      </c>
      <c r="E590" s="579"/>
      <c r="F590" s="568" t="s">
        <v>162</v>
      </c>
      <c r="G590" s="568"/>
      <c r="H590" s="580"/>
      <c r="I590" s="581"/>
      <c r="J590" s="582"/>
      <c r="K590" s="572" t="s">
        <v>162</v>
      </c>
      <c r="L590" s="573"/>
      <c r="M590" s="574"/>
      <c r="N590" s="583" t="s">
        <v>159</v>
      </c>
      <c r="O590" s="584"/>
      <c r="P590" s="584"/>
      <c r="Q590" s="584"/>
      <c r="R590" s="584"/>
      <c r="S590" s="584"/>
      <c r="T590" s="584"/>
      <c r="U590" s="585"/>
    </row>
    <row r="591" spans="1:21" ht="35.1" customHeight="1" x14ac:dyDescent="0.25">
      <c r="A591" s="263">
        <f t="shared" ref="A591:A654" si="9">ROW(A577)</f>
        <v>577</v>
      </c>
      <c r="B591" s="566" t="s">
        <v>159</v>
      </c>
      <c r="C591" s="566"/>
      <c r="D591" s="567" t="s">
        <v>159</v>
      </c>
      <c r="E591" s="567"/>
      <c r="F591" s="568" t="s">
        <v>162</v>
      </c>
      <c r="G591" s="568"/>
      <c r="H591" s="569"/>
      <c r="I591" s="570"/>
      <c r="J591" s="571"/>
      <c r="K591" s="572" t="s">
        <v>162</v>
      </c>
      <c r="L591" s="573"/>
      <c r="M591" s="574"/>
      <c r="N591" s="575" t="s">
        <v>159</v>
      </c>
      <c r="O591" s="576"/>
      <c r="P591" s="576"/>
      <c r="Q591" s="576"/>
      <c r="R591" s="576"/>
      <c r="S591" s="576"/>
      <c r="T591" s="576"/>
      <c r="U591" s="577"/>
    </row>
    <row r="592" spans="1:21" ht="35.1" customHeight="1" x14ac:dyDescent="0.25">
      <c r="A592" s="263">
        <f t="shared" si="9"/>
        <v>578</v>
      </c>
      <c r="B592" s="578" t="s">
        <v>159</v>
      </c>
      <c r="C592" s="578"/>
      <c r="D592" s="579" t="s">
        <v>159</v>
      </c>
      <c r="E592" s="579"/>
      <c r="F592" s="568" t="s">
        <v>162</v>
      </c>
      <c r="G592" s="568"/>
      <c r="H592" s="580"/>
      <c r="I592" s="581"/>
      <c r="J592" s="582"/>
      <c r="K592" s="572" t="s">
        <v>162</v>
      </c>
      <c r="L592" s="573"/>
      <c r="M592" s="574"/>
      <c r="N592" s="583" t="s">
        <v>159</v>
      </c>
      <c r="O592" s="584"/>
      <c r="P592" s="584"/>
      <c r="Q592" s="584"/>
      <c r="R592" s="584"/>
      <c r="S592" s="584"/>
      <c r="T592" s="584"/>
      <c r="U592" s="585"/>
    </row>
    <row r="593" spans="1:21" ht="35.1" customHeight="1" x14ac:dyDescent="0.25">
      <c r="A593" s="263">
        <f t="shared" si="9"/>
        <v>579</v>
      </c>
      <c r="B593" s="566" t="s">
        <v>443</v>
      </c>
      <c r="C593" s="566"/>
      <c r="D593" s="567" t="s">
        <v>159</v>
      </c>
      <c r="E593" s="567"/>
      <c r="F593" s="568" t="s">
        <v>162</v>
      </c>
      <c r="G593" s="568"/>
      <c r="H593" s="569"/>
      <c r="I593" s="570"/>
      <c r="J593" s="571"/>
      <c r="K593" s="572" t="s">
        <v>162</v>
      </c>
      <c r="L593" s="573"/>
      <c r="M593" s="574"/>
      <c r="N593" s="575" t="s">
        <v>159</v>
      </c>
      <c r="O593" s="576"/>
      <c r="P593" s="576"/>
      <c r="Q593" s="576"/>
      <c r="R593" s="576"/>
      <c r="S593" s="576"/>
      <c r="T593" s="576"/>
      <c r="U593" s="577"/>
    </row>
    <row r="594" spans="1:21" ht="35.1" customHeight="1" x14ac:dyDescent="0.25">
      <c r="A594" s="263">
        <f t="shared" si="9"/>
        <v>580</v>
      </c>
      <c r="B594" s="578" t="s">
        <v>159</v>
      </c>
      <c r="C594" s="578"/>
      <c r="D594" s="579" t="s">
        <v>159</v>
      </c>
      <c r="E594" s="579"/>
      <c r="F594" s="568" t="s">
        <v>162</v>
      </c>
      <c r="G594" s="568"/>
      <c r="H594" s="580"/>
      <c r="I594" s="581"/>
      <c r="J594" s="582"/>
      <c r="K594" s="572" t="s">
        <v>162</v>
      </c>
      <c r="L594" s="573"/>
      <c r="M594" s="574"/>
      <c r="N594" s="583" t="s">
        <v>159</v>
      </c>
      <c r="O594" s="584"/>
      <c r="P594" s="584"/>
      <c r="Q594" s="584"/>
      <c r="R594" s="584"/>
      <c r="S594" s="584"/>
      <c r="T594" s="584"/>
      <c r="U594" s="585"/>
    </row>
    <row r="595" spans="1:21" ht="35.1" customHeight="1" x14ac:dyDescent="0.25">
      <c r="A595" s="263">
        <f t="shared" si="9"/>
        <v>581</v>
      </c>
      <c r="B595" s="566" t="s">
        <v>159</v>
      </c>
      <c r="C595" s="566"/>
      <c r="D595" s="567" t="s">
        <v>159</v>
      </c>
      <c r="E595" s="567"/>
      <c r="F595" s="568" t="s">
        <v>162</v>
      </c>
      <c r="G595" s="568"/>
      <c r="H595" s="569"/>
      <c r="I595" s="570"/>
      <c r="J595" s="571"/>
      <c r="K595" s="572" t="s">
        <v>162</v>
      </c>
      <c r="L595" s="573"/>
      <c r="M595" s="574"/>
      <c r="N595" s="575" t="s">
        <v>159</v>
      </c>
      <c r="O595" s="576"/>
      <c r="P595" s="576"/>
      <c r="Q595" s="576"/>
      <c r="R595" s="576"/>
      <c r="S595" s="576"/>
      <c r="T595" s="576"/>
      <c r="U595" s="577"/>
    </row>
    <row r="596" spans="1:21" ht="35.1" customHeight="1" x14ac:dyDescent="0.25">
      <c r="A596" s="263">
        <f t="shared" si="9"/>
        <v>582</v>
      </c>
      <c r="B596" s="578" t="s">
        <v>159</v>
      </c>
      <c r="C596" s="578"/>
      <c r="D596" s="579" t="s">
        <v>159</v>
      </c>
      <c r="E596" s="579"/>
      <c r="F596" s="568" t="s">
        <v>162</v>
      </c>
      <c r="G596" s="568"/>
      <c r="H596" s="580"/>
      <c r="I596" s="581"/>
      <c r="J596" s="582"/>
      <c r="K596" s="572" t="s">
        <v>162</v>
      </c>
      <c r="L596" s="573"/>
      <c r="M596" s="574"/>
      <c r="N596" s="583" t="s">
        <v>159</v>
      </c>
      <c r="O596" s="584"/>
      <c r="P596" s="584"/>
      <c r="Q596" s="584"/>
      <c r="R596" s="584"/>
      <c r="S596" s="584"/>
      <c r="T596" s="584"/>
      <c r="U596" s="585"/>
    </row>
    <row r="597" spans="1:21" ht="35.1" customHeight="1" x14ac:dyDescent="0.25">
      <c r="A597" s="263">
        <f t="shared" si="9"/>
        <v>583</v>
      </c>
      <c r="B597" s="566" t="s">
        <v>159</v>
      </c>
      <c r="C597" s="566"/>
      <c r="D597" s="567" t="s">
        <v>159</v>
      </c>
      <c r="E597" s="567"/>
      <c r="F597" s="568" t="s">
        <v>162</v>
      </c>
      <c r="G597" s="568"/>
      <c r="H597" s="569"/>
      <c r="I597" s="570"/>
      <c r="J597" s="571"/>
      <c r="K597" s="572" t="s">
        <v>162</v>
      </c>
      <c r="L597" s="573"/>
      <c r="M597" s="574"/>
      <c r="N597" s="575" t="s">
        <v>159</v>
      </c>
      <c r="O597" s="576"/>
      <c r="P597" s="576"/>
      <c r="Q597" s="576"/>
      <c r="R597" s="576"/>
      <c r="S597" s="576"/>
      <c r="T597" s="576"/>
      <c r="U597" s="577"/>
    </row>
    <row r="598" spans="1:21" ht="35.1" customHeight="1" x14ac:dyDescent="0.25">
      <c r="A598" s="263">
        <f t="shared" si="9"/>
        <v>584</v>
      </c>
      <c r="B598" s="578" t="s">
        <v>159</v>
      </c>
      <c r="C598" s="578"/>
      <c r="D598" s="579" t="s">
        <v>159</v>
      </c>
      <c r="E598" s="579"/>
      <c r="F598" s="568" t="s">
        <v>162</v>
      </c>
      <c r="G598" s="568"/>
      <c r="H598" s="580"/>
      <c r="I598" s="581"/>
      <c r="J598" s="582"/>
      <c r="K598" s="572" t="s">
        <v>162</v>
      </c>
      <c r="L598" s="573"/>
      <c r="M598" s="574"/>
      <c r="N598" s="583" t="s">
        <v>159</v>
      </c>
      <c r="O598" s="584"/>
      <c r="P598" s="584"/>
      <c r="Q598" s="584"/>
      <c r="R598" s="584"/>
      <c r="S598" s="584"/>
      <c r="T598" s="584"/>
      <c r="U598" s="585"/>
    </row>
    <row r="599" spans="1:21" ht="35.1" customHeight="1" x14ac:dyDescent="0.25">
      <c r="A599" s="263">
        <f t="shared" si="9"/>
        <v>585</v>
      </c>
      <c r="B599" s="566" t="s">
        <v>451</v>
      </c>
      <c r="C599" s="566"/>
      <c r="D599" s="567" t="s">
        <v>159</v>
      </c>
      <c r="E599" s="567"/>
      <c r="F599" s="568" t="s">
        <v>162</v>
      </c>
      <c r="G599" s="568"/>
      <c r="H599" s="569"/>
      <c r="I599" s="570"/>
      <c r="J599" s="571"/>
      <c r="K599" s="572" t="s">
        <v>162</v>
      </c>
      <c r="L599" s="573"/>
      <c r="M599" s="574"/>
      <c r="N599" s="575" t="s">
        <v>159</v>
      </c>
      <c r="O599" s="576"/>
      <c r="P599" s="576"/>
      <c r="Q599" s="576"/>
      <c r="R599" s="576"/>
      <c r="S599" s="576"/>
      <c r="T599" s="576"/>
      <c r="U599" s="577"/>
    </row>
    <row r="600" spans="1:21" ht="35.1" customHeight="1" x14ac:dyDescent="0.25">
      <c r="A600" s="263">
        <f t="shared" si="9"/>
        <v>586</v>
      </c>
      <c r="B600" s="578" t="s">
        <v>159</v>
      </c>
      <c r="C600" s="578"/>
      <c r="D600" s="579" t="s">
        <v>159</v>
      </c>
      <c r="E600" s="579"/>
      <c r="F600" s="568" t="s">
        <v>162</v>
      </c>
      <c r="G600" s="568"/>
      <c r="H600" s="580"/>
      <c r="I600" s="581"/>
      <c r="J600" s="582"/>
      <c r="K600" s="572" t="s">
        <v>162</v>
      </c>
      <c r="L600" s="573"/>
      <c r="M600" s="574"/>
      <c r="N600" s="583" t="s">
        <v>159</v>
      </c>
      <c r="O600" s="584"/>
      <c r="P600" s="584"/>
      <c r="Q600" s="584"/>
      <c r="R600" s="584"/>
      <c r="S600" s="584"/>
      <c r="T600" s="584"/>
      <c r="U600" s="585"/>
    </row>
    <row r="601" spans="1:21" ht="35.1" customHeight="1" x14ac:dyDescent="0.25">
      <c r="A601" s="263">
        <f t="shared" si="9"/>
        <v>587</v>
      </c>
      <c r="B601" s="566" t="s">
        <v>159</v>
      </c>
      <c r="C601" s="566"/>
      <c r="D601" s="567" t="s">
        <v>159</v>
      </c>
      <c r="E601" s="567"/>
      <c r="F601" s="568" t="s">
        <v>162</v>
      </c>
      <c r="G601" s="568"/>
      <c r="H601" s="569"/>
      <c r="I601" s="570"/>
      <c r="J601" s="571"/>
      <c r="K601" s="572" t="s">
        <v>162</v>
      </c>
      <c r="L601" s="573"/>
      <c r="M601" s="574"/>
      <c r="N601" s="575" t="s">
        <v>159</v>
      </c>
      <c r="O601" s="576"/>
      <c r="P601" s="576"/>
      <c r="Q601" s="576"/>
      <c r="R601" s="576"/>
      <c r="S601" s="576"/>
      <c r="T601" s="576"/>
      <c r="U601" s="577"/>
    </row>
    <row r="602" spans="1:21" ht="35.1" customHeight="1" x14ac:dyDescent="0.25">
      <c r="A602" s="263">
        <f t="shared" si="9"/>
        <v>588</v>
      </c>
      <c r="B602" s="578" t="s">
        <v>159</v>
      </c>
      <c r="C602" s="578"/>
      <c r="D602" s="579" t="s">
        <v>159</v>
      </c>
      <c r="E602" s="579"/>
      <c r="F602" s="568" t="s">
        <v>162</v>
      </c>
      <c r="G602" s="568"/>
      <c r="H602" s="580"/>
      <c r="I602" s="581"/>
      <c r="J602" s="582"/>
      <c r="K602" s="572" t="s">
        <v>162</v>
      </c>
      <c r="L602" s="573"/>
      <c r="M602" s="574"/>
      <c r="N602" s="583" t="s">
        <v>159</v>
      </c>
      <c r="O602" s="584"/>
      <c r="P602" s="584"/>
      <c r="Q602" s="584"/>
      <c r="R602" s="584"/>
      <c r="S602" s="584"/>
      <c r="T602" s="584"/>
      <c r="U602" s="585"/>
    </row>
    <row r="603" spans="1:21" ht="35.1" customHeight="1" x14ac:dyDescent="0.25">
      <c r="A603" s="263">
        <f t="shared" si="9"/>
        <v>589</v>
      </c>
      <c r="B603" s="566" t="s">
        <v>159</v>
      </c>
      <c r="C603" s="566"/>
      <c r="D603" s="567" t="s">
        <v>159</v>
      </c>
      <c r="E603" s="567"/>
      <c r="F603" s="568" t="s">
        <v>162</v>
      </c>
      <c r="G603" s="568"/>
      <c r="H603" s="569"/>
      <c r="I603" s="570"/>
      <c r="J603" s="571"/>
      <c r="K603" s="572" t="s">
        <v>162</v>
      </c>
      <c r="L603" s="573"/>
      <c r="M603" s="574"/>
      <c r="N603" s="575" t="s">
        <v>159</v>
      </c>
      <c r="O603" s="576"/>
      <c r="P603" s="576"/>
      <c r="Q603" s="576"/>
      <c r="R603" s="576"/>
      <c r="S603" s="576"/>
      <c r="T603" s="576"/>
      <c r="U603" s="577"/>
    </row>
    <row r="604" spans="1:21" ht="35.1" customHeight="1" x14ac:dyDescent="0.25">
      <c r="A604" s="263">
        <f t="shared" si="9"/>
        <v>590</v>
      </c>
      <c r="B604" s="578" t="s">
        <v>159</v>
      </c>
      <c r="C604" s="578"/>
      <c r="D604" s="579" t="s">
        <v>159</v>
      </c>
      <c r="E604" s="579"/>
      <c r="F604" s="568" t="s">
        <v>162</v>
      </c>
      <c r="G604" s="568"/>
      <c r="H604" s="580"/>
      <c r="I604" s="581"/>
      <c r="J604" s="582"/>
      <c r="K604" s="572" t="s">
        <v>162</v>
      </c>
      <c r="L604" s="573"/>
      <c r="M604" s="574"/>
      <c r="N604" s="583" t="s">
        <v>159</v>
      </c>
      <c r="O604" s="584"/>
      <c r="P604" s="584"/>
      <c r="Q604" s="584"/>
      <c r="R604" s="584"/>
      <c r="S604" s="584"/>
      <c r="T604" s="584"/>
      <c r="U604" s="585"/>
    </row>
    <row r="605" spans="1:21" ht="35.1" customHeight="1" x14ac:dyDescent="0.25">
      <c r="A605" s="263">
        <f t="shared" si="9"/>
        <v>591</v>
      </c>
      <c r="B605" s="566" t="s">
        <v>159</v>
      </c>
      <c r="C605" s="566"/>
      <c r="D605" s="567" t="s">
        <v>159</v>
      </c>
      <c r="E605" s="567"/>
      <c r="F605" s="568" t="s">
        <v>162</v>
      </c>
      <c r="G605" s="568"/>
      <c r="H605" s="569"/>
      <c r="I605" s="570"/>
      <c r="J605" s="571"/>
      <c r="K605" s="572" t="s">
        <v>162</v>
      </c>
      <c r="L605" s="573"/>
      <c r="M605" s="574"/>
      <c r="N605" s="575" t="s">
        <v>159</v>
      </c>
      <c r="O605" s="576"/>
      <c r="P605" s="576"/>
      <c r="Q605" s="576"/>
      <c r="R605" s="576"/>
      <c r="S605" s="576"/>
      <c r="T605" s="576"/>
      <c r="U605" s="577"/>
    </row>
    <row r="606" spans="1:21" ht="35.1" customHeight="1" x14ac:dyDescent="0.25">
      <c r="A606" s="263">
        <f t="shared" si="9"/>
        <v>592</v>
      </c>
      <c r="B606" s="566" t="s">
        <v>159</v>
      </c>
      <c r="C606" s="566"/>
      <c r="D606" s="567" t="s">
        <v>159</v>
      </c>
      <c r="E606" s="567"/>
      <c r="F606" s="568" t="s">
        <v>162</v>
      </c>
      <c r="G606" s="568"/>
      <c r="H606" s="569"/>
      <c r="I606" s="570"/>
      <c r="J606" s="571"/>
      <c r="K606" s="572" t="s">
        <v>162</v>
      </c>
      <c r="L606" s="573"/>
      <c r="M606" s="574"/>
      <c r="N606" s="575" t="s">
        <v>159</v>
      </c>
      <c r="O606" s="576"/>
      <c r="P606" s="576"/>
      <c r="Q606" s="576"/>
      <c r="R606" s="576"/>
      <c r="S606" s="576"/>
      <c r="T606" s="576"/>
      <c r="U606" s="577"/>
    </row>
    <row r="607" spans="1:21" ht="35.1" customHeight="1" x14ac:dyDescent="0.25">
      <c r="A607" s="263">
        <f t="shared" si="9"/>
        <v>593</v>
      </c>
      <c r="B607" s="578" t="s">
        <v>159</v>
      </c>
      <c r="C607" s="578"/>
      <c r="D607" s="579" t="s">
        <v>159</v>
      </c>
      <c r="E607" s="579"/>
      <c r="F607" s="568" t="s">
        <v>162</v>
      </c>
      <c r="G607" s="568"/>
      <c r="H607" s="580"/>
      <c r="I607" s="581"/>
      <c r="J607" s="582"/>
      <c r="K607" s="572" t="s">
        <v>162</v>
      </c>
      <c r="L607" s="573"/>
      <c r="M607" s="574"/>
      <c r="N607" s="583"/>
      <c r="O607" s="584"/>
      <c r="P607" s="584"/>
      <c r="Q607" s="584"/>
      <c r="R607" s="584"/>
      <c r="S607" s="584"/>
      <c r="T607" s="584"/>
      <c r="U607" s="585"/>
    </row>
    <row r="608" spans="1:21" ht="35.1" customHeight="1" x14ac:dyDescent="0.25">
      <c r="A608" s="263">
        <f t="shared" si="9"/>
        <v>594</v>
      </c>
      <c r="B608" s="566" t="s">
        <v>159</v>
      </c>
      <c r="C608" s="566"/>
      <c r="D608" s="567" t="s">
        <v>159</v>
      </c>
      <c r="E608" s="567"/>
      <c r="F608" s="568" t="s">
        <v>162</v>
      </c>
      <c r="G608" s="568"/>
      <c r="H608" s="569"/>
      <c r="I608" s="570"/>
      <c r="J608" s="571"/>
      <c r="K608" s="572" t="s">
        <v>162</v>
      </c>
      <c r="L608" s="573"/>
      <c r="M608" s="574"/>
      <c r="N608" s="575" t="s">
        <v>159</v>
      </c>
      <c r="O608" s="576"/>
      <c r="P608" s="576"/>
      <c r="Q608" s="576"/>
      <c r="R608" s="576"/>
      <c r="S608" s="576"/>
      <c r="T608" s="576"/>
      <c r="U608" s="577"/>
    </row>
    <row r="609" spans="1:21" ht="35.1" customHeight="1" x14ac:dyDescent="0.25">
      <c r="A609" s="263">
        <f t="shared" si="9"/>
        <v>595</v>
      </c>
      <c r="B609" s="578" t="s">
        <v>159</v>
      </c>
      <c r="C609" s="578"/>
      <c r="D609" s="579" t="s">
        <v>159</v>
      </c>
      <c r="E609" s="579"/>
      <c r="F609" s="568" t="s">
        <v>162</v>
      </c>
      <c r="G609" s="568"/>
      <c r="H609" s="580"/>
      <c r="I609" s="581"/>
      <c r="J609" s="582"/>
      <c r="K609" s="572" t="s">
        <v>162</v>
      </c>
      <c r="L609" s="573"/>
      <c r="M609" s="574"/>
      <c r="N609" s="583" t="s">
        <v>159</v>
      </c>
      <c r="O609" s="584"/>
      <c r="P609" s="584"/>
      <c r="Q609" s="584"/>
      <c r="R609" s="584"/>
      <c r="S609" s="584"/>
      <c r="T609" s="584"/>
      <c r="U609" s="585"/>
    </row>
    <row r="610" spans="1:21" ht="35.1" customHeight="1" x14ac:dyDescent="0.25">
      <c r="A610" s="263">
        <f t="shared" si="9"/>
        <v>596</v>
      </c>
      <c r="B610" s="566" t="s">
        <v>159</v>
      </c>
      <c r="C610" s="566"/>
      <c r="D610" s="567" t="s">
        <v>159</v>
      </c>
      <c r="E610" s="567"/>
      <c r="F610" s="568" t="s">
        <v>162</v>
      </c>
      <c r="G610" s="568"/>
      <c r="H610" s="569"/>
      <c r="I610" s="570"/>
      <c r="J610" s="571"/>
      <c r="K610" s="572" t="s">
        <v>162</v>
      </c>
      <c r="L610" s="573"/>
      <c r="M610" s="574"/>
      <c r="N610" s="575" t="s">
        <v>159</v>
      </c>
      <c r="O610" s="576"/>
      <c r="P610" s="576"/>
      <c r="Q610" s="576"/>
      <c r="R610" s="576"/>
      <c r="S610" s="576"/>
      <c r="T610" s="576"/>
      <c r="U610" s="577"/>
    </row>
    <row r="611" spans="1:21" ht="35.1" customHeight="1" x14ac:dyDescent="0.25">
      <c r="A611" s="263">
        <f t="shared" si="9"/>
        <v>597</v>
      </c>
      <c r="B611" s="578" t="s">
        <v>159</v>
      </c>
      <c r="C611" s="578"/>
      <c r="D611" s="579" t="s">
        <v>159</v>
      </c>
      <c r="E611" s="579"/>
      <c r="F611" s="568" t="s">
        <v>162</v>
      </c>
      <c r="G611" s="568"/>
      <c r="H611" s="580"/>
      <c r="I611" s="581"/>
      <c r="J611" s="582"/>
      <c r="K611" s="572" t="s">
        <v>162</v>
      </c>
      <c r="L611" s="573"/>
      <c r="M611" s="574"/>
      <c r="N611" s="583" t="s">
        <v>159</v>
      </c>
      <c r="O611" s="584"/>
      <c r="P611" s="584"/>
      <c r="Q611" s="584"/>
      <c r="R611" s="584"/>
      <c r="S611" s="584"/>
      <c r="T611" s="584"/>
      <c r="U611" s="585"/>
    </row>
    <row r="612" spans="1:21" ht="35.1" customHeight="1" x14ac:dyDescent="0.25">
      <c r="A612" s="263">
        <f t="shared" si="9"/>
        <v>598</v>
      </c>
      <c r="B612" s="566" t="s">
        <v>159</v>
      </c>
      <c r="C612" s="566"/>
      <c r="D612" s="567" t="s">
        <v>159</v>
      </c>
      <c r="E612" s="567"/>
      <c r="F612" s="568" t="s">
        <v>162</v>
      </c>
      <c r="G612" s="568"/>
      <c r="H612" s="569"/>
      <c r="I612" s="570"/>
      <c r="J612" s="571"/>
      <c r="K612" s="572" t="s">
        <v>162</v>
      </c>
      <c r="L612" s="573"/>
      <c r="M612" s="574"/>
      <c r="N612" s="575" t="s">
        <v>159</v>
      </c>
      <c r="O612" s="576"/>
      <c r="P612" s="576"/>
      <c r="Q612" s="576"/>
      <c r="R612" s="576"/>
      <c r="S612" s="576"/>
      <c r="T612" s="576"/>
      <c r="U612" s="577"/>
    </row>
    <row r="613" spans="1:21" ht="35.1" customHeight="1" x14ac:dyDescent="0.25">
      <c r="A613" s="263">
        <f t="shared" si="9"/>
        <v>599</v>
      </c>
      <c r="B613" s="578" t="s">
        <v>159</v>
      </c>
      <c r="C613" s="578"/>
      <c r="D613" s="579" t="s">
        <v>159</v>
      </c>
      <c r="E613" s="579"/>
      <c r="F613" s="568" t="s">
        <v>162</v>
      </c>
      <c r="G613" s="568"/>
      <c r="H613" s="580"/>
      <c r="I613" s="581"/>
      <c r="J613" s="582"/>
      <c r="K613" s="572" t="s">
        <v>162</v>
      </c>
      <c r="L613" s="573"/>
      <c r="M613" s="574"/>
      <c r="N613" s="583" t="s">
        <v>159</v>
      </c>
      <c r="O613" s="584"/>
      <c r="P613" s="584"/>
      <c r="Q613" s="584"/>
      <c r="R613" s="584"/>
      <c r="S613" s="584"/>
      <c r="T613" s="584"/>
      <c r="U613" s="585"/>
    </row>
    <row r="614" spans="1:21" ht="35.1" customHeight="1" x14ac:dyDescent="0.25">
      <c r="A614" s="263">
        <f t="shared" si="9"/>
        <v>600</v>
      </c>
      <c r="B614" s="566" t="s">
        <v>159</v>
      </c>
      <c r="C614" s="566"/>
      <c r="D614" s="567" t="s">
        <v>159</v>
      </c>
      <c r="E614" s="567"/>
      <c r="F614" s="568" t="s">
        <v>162</v>
      </c>
      <c r="G614" s="568"/>
      <c r="H614" s="569"/>
      <c r="I614" s="570"/>
      <c r="J614" s="571"/>
      <c r="K614" s="572" t="s">
        <v>162</v>
      </c>
      <c r="L614" s="573"/>
      <c r="M614" s="574"/>
      <c r="N614" s="575" t="s">
        <v>159</v>
      </c>
      <c r="O614" s="576"/>
      <c r="P614" s="576"/>
      <c r="Q614" s="576"/>
      <c r="R614" s="576"/>
      <c r="S614" s="576"/>
      <c r="T614" s="576"/>
      <c r="U614" s="577"/>
    </row>
    <row r="615" spans="1:21" ht="35.1" customHeight="1" x14ac:dyDescent="0.25">
      <c r="A615" s="263">
        <f t="shared" si="9"/>
        <v>601</v>
      </c>
      <c r="B615" s="578" t="s">
        <v>159</v>
      </c>
      <c r="C615" s="578"/>
      <c r="D615" s="579" t="s">
        <v>159</v>
      </c>
      <c r="E615" s="579"/>
      <c r="F615" s="568" t="s">
        <v>162</v>
      </c>
      <c r="G615" s="568"/>
      <c r="H615" s="580"/>
      <c r="I615" s="581"/>
      <c r="J615" s="582"/>
      <c r="K615" s="572" t="s">
        <v>162</v>
      </c>
      <c r="L615" s="573"/>
      <c r="M615" s="574"/>
      <c r="N615" s="583" t="s">
        <v>159</v>
      </c>
      <c r="O615" s="584"/>
      <c r="P615" s="584"/>
      <c r="Q615" s="584"/>
      <c r="R615" s="584"/>
      <c r="S615" s="584"/>
      <c r="T615" s="584"/>
      <c r="U615" s="585"/>
    </row>
    <row r="616" spans="1:21" ht="35.1" customHeight="1" x14ac:dyDescent="0.25">
      <c r="A616" s="263">
        <f t="shared" si="9"/>
        <v>602</v>
      </c>
      <c r="B616" s="566" t="s">
        <v>159</v>
      </c>
      <c r="C616" s="566"/>
      <c r="D616" s="567" t="s">
        <v>159</v>
      </c>
      <c r="E616" s="567"/>
      <c r="F616" s="568" t="s">
        <v>162</v>
      </c>
      <c r="G616" s="568"/>
      <c r="H616" s="569"/>
      <c r="I616" s="570"/>
      <c r="J616" s="571"/>
      <c r="K616" s="572" t="s">
        <v>162</v>
      </c>
      <c r="L616" s="573"/>
      <c r="M616" s="574"/>
      <c r="N616" s="575" t="s">
        <v>159</v>
      </c>
      <c r="O616" s="576"/>
      <c r="P616" s="576"/>
      <c r="Q616" s="576"/>
      <c r="R616" s="576"/>
      <c r="S616" s="576"/>
      <c r="T616" s="576"/>
      <c r="U616" s="577"/>
    </row>
    <row r="617" spans="1:21" ht="35.1" customHeight="1" x14ac:dyDescent="0.25">
      <c r="A617" s="263">
        <f t="shared" si="9"/>
        <v>603</v>
      </c>
      <c r="B617" s="578" t="s">
        <v>159</v>
      </c>
      <c r="C617" s="578"/>
      <c r="D617" s="579" t="s">
        <v>159</v>
      </c>
      <c r="E617" s="579"/>
      <c r="F617" s="568" t="s">
        <v>162</v>
      </c>
      <c r="G617" s="568"/>
      <c r="H617" s="580"/>
      <c r="I617" s="581"/>
      <c r="J617" s="582"/>
      <c r="K617" s="572" t="s">
        <v>162</v>
      </c>
      <c r="L617" s="573"/>
      <c r="M617" s="574"/>
      <c r="N617" s="583" t="s">
        <v>159</v>
      </c>
      <c r="O617" s="584"/>
      <c r="P617" s="584"/>
      <c r="Q617" s="584"/>
      <c r="R617" s="584"/>
      <c r="S617" s="584"/>
      <c r="T617" s="584"/>
      <c r="U617" s="585"/>
    </row>
    <row r="618" spans="1:21" ht="35.1" customHeight="1" x14ac:dyDescent="0.25">
      <c r="A618" s="263">
        <f t="shared" si="9"/>
        <v>604</v>
      </c>
      <c r="B618" s="566" t="s">
        <v>159</v>
      </c>
      <c r="C618" s="566"/>
      <c r="D618" s="567" t="s">
        <v>159</v>
      </c>
      <c r="E618" s="567"/>
      <c r="F618" s="568" t="s">
        <v>162</v>
      </c>
      <c r="G618" s="568"/>
      <c r="H618" s="569"/>
      <c r="I618" s="570"/>
      <c r="J618" s="571"/>
      <c r="K618" s="572" t="s">
        <v>162</v>
      </c>
      <c r="L618" s="573"/>
      <c r="M618" s="574"/>
      <c r="N618" s="575" t="s">
        <v>159</v>
      </c>
      <c r="O618" s="576"/>
      <c r="P618" s="576"/>
      <c r="Q618" s="576"/>
      <c r="R618" s="576"/>
      <c r="S618" s="576"/>
      <c r="T618" s="576"/>
      <c r="U618" s="577"/>
    </row>
    <row r="619" spans="1:21" ht="35.1" customHeight="1" x14ac:dyDescent="0.25">
      <c r="A619" s="263">
        <f t="shared" si="9"/>
        <v>605</v>
      </c>
      <c r="B619" s="578" t="s">
        <v>159</v>
      </c>
      <c r="C619" s="578"/>
      <c r="D619" s="579" t="s">
        <v>159</v>
      </c>
      <c r="E619" s="579"/>
      <c r="F619" s="568" t="s">
        <v>162</v>
      </c>
      <c r="G619" s="568"/>
      <c r="H619" s="580"/>
      <c r="I619" s="581"/>
      <c r="J619" s="582"/>
      <c r="K619" s="572" t="s">
        <v>162</v>
      </c>
      <c r="L619" s="573"/>
      <c r="M619" s="574"/>
      <c r="N619" s="583" t="s">
        <v>159</v>
      </c>
      <c r="O619" s="584"/>
      <c r="P619" s="584"/>
      <c r="Q619" s="584"/>
      <c r="R619" s="584"/>
      <c r="S619" s="584"/>
      <c r="T619" s="584"/>
      <c r="U619" s="585"/>
    </row>
    <row r="620" spans="1:21" ht="35.1" customHeight="1" x14ac:dyDescent="0.25">
      <c r="A620" s="263">
        <f t="shared" si="9"/>
        <v>606</v>
      </c>
      <c r="B620" s="566" t="s">
        <v>159</v>
      </c>
      <c r="C620" s="566"/>
      <c r="D620" s="567" t="s">
        <v>159</v>
      </c>
      <c r="E620" s="567"/>
      <c r="F620" s="568" t="s">
        <v>162</v>
      </c>
      <c r="G620" s="568"/>
      <c r="H620" s="569"/>
      <c r="I620" s="570"/>
      <c r="J620" s="571"/>
      <c r="K620" s="572" t="s">
        <v>162</v>
      </c>
      <c r="L620" s="573"/>
      <c r="M620" s="574"/>
      <c r="N620" s="575" t="s">
        <v>159</v>
      </c>
      <c r="O620" s="576"/>
      <c r="P620" s="576"/>
      <c r="Q620" s="576"/>
      <c r="R620" s="576"/>
      <c r="S620" s="576"/>
      <c r="T620" s="576"/>
      <c r="U620" s="577"/>
    </row>
    <row r="621" spans="1:21" ht="35.1" customHeight="1" x14ac:dyDescent="0.25">
      <c r="A621" s="263">
        <f t="shared" si="9"/>
        <v>607</v>
      </c>
      <c r="B621" s="578" t="s">
        <v>159</v>
      </c>
      <c r="C621" s="578"/>
      <c r="D621" s="579" t="s">
        <v>159</v>
      </c>
      <c r="E621" s="579"/>
      <c r="F621" s="568" t="s">
        <v>162</v>
      </c>
      <c r="G621" s="568"/>
      <c r="H621" s="580"/>
      <c r="I621" s="581"/>
      <c r="J621" s="582"/>
      <c r="K621" s="572" t="s">
        <v>162</v>
      </c>
      <c r="L621" s="573"/>
      <c r="M621" s="574"/>
      <c r="N621" s="583" t="s">
        <v>159</v>
      </c>
      <c r="O621" s="584"/>
      <c r="P621" s="584"/>
      <c r="Q621" s="584"/>
      <c r="R621" s="584"/>
      <c r="S621" s="584"/>
      <c r="T621" s="584"/>
      <c r="U621" s="585"/>
    </row>
    <row r="622" spans="1:21" ht="35.1" customHeight="1" x14ac:dyDescent="0.25">
      <c r="A622" s="263">
        <f t="shared" si="9"/>
        <v>608</v>
      </c>
      <c r="B622" s="566" t="s">
        <v>159</v>
      </c>
      <c r="C622" s="566"/>
      <c r="D622" s="567" t="s">
        <v>159</v>
      </c>
      <c r="E622" s="567"/>
      <c r="F622" s="568" t="s">
        <v>162</v>
      </c>
      <c r="G622" s="568"/>
      <c r="H622" s="569"/>
      <c r="I622" s="570"/>
      <c r="J622" s="571"/>
      <c r="K622" s="572" t="s">
        <v>162</v>
      </c>
      <c r="L622" s="573"/>
      <c r="M622" s="574"/>
      <c r="N622" s="575" t="s">
        <v>159</v>
      </c>
      <c r="O622" s="576"/>
      <c r="P622" s="576"/>
      <c r="Q622" s="576"/>
      <c r="R622" s="576"/>
      <c r="S622" s="576"/>
      <c r="T622" s="576"/>
      <c r="U622" s="577"/>
    </row>
    <row r="623" spans="1:21" ht="35.1" customHeight="1" x14ac:dyDescent="0.25">
      <c r="A623" s="263">
        <f t="shared" si="9"/>
        <v>609</v>
      </c>
      <c r="B623" s="578" t="s">
        <v>159</v>
      </c>
      <c r="C623" s="578"/>
      <c r="D623" s="579" t="s">
        <v>159</v>
      </c>
      <c r="E623" s="579"/>
      <c r="F623" s="568" t="s">
        <v>162</v>
      </c>
      <c r="G623" s="568"/>
      <c r="H623" s="580"/>
      <c r="I623" s="581"/>
      <c r="J623" s="582"/>
      <c r="K623" s="572" t="s">
        <v>162</v>
      </c>
      <c r="L623" s="573"/>
      <c r="M623" s="574"/>
      <c r="N623" s="583" t="s">
        <v>159</v>
      </c>
      <c r="O623" s="584"/>
      <c r="P623" s="584"/>
      <c r="Q623" s="584"/>
      <c r="R623" s="584"/>
      <c r="S623" s="584"/>
      <c r="T623" s="584"/>
      <c r="U623" s="585"/>
    </row>
    <row r="624" spans="1:21" ht="35.1" customHeight="1" x14ac:dyDescent="0.25">
      <c r="A624" s="263">
        <f t="shared" si="9"/>
        <v>610</v>
      </c>
      <c r="B624" s="566" t="s">
        <v>159</v>
      </c>
      <c r="C624" s="566"/>
      <c r="D624" s="567" t="s">
        <v>159</v>
      </c>
      <c r="E624" s="567"/>
      <c r="F624" s="568" t="s">
        <v>162</v>
      </c>
      <c r="G624" s="568"/>
      <c r="H624" s="569"/>
      <c r="I624" s="570"/>
      <c r="J624" s="571"/>
      <c r="K624" s="572" t="s">
        <v>162</v>
      </c>
      <c r="L624" s="573"/>
      <c r="M624" s="574"/>
      <c r="N624" s="575" t="s">
        <v>159</v>
      </c>
      <c r="O624" s="576"/>
      <c r="P624" s="576"/>
      <c r="Q624" s="576"/>
      <c r="R624" s="576"/>
      <c r="S624" s="576"/>
      <c r="T624" s="576"/>
      <c r="U624" s="577"/>
    </row>
    <row r="625" spans="1:21" ht="35.1" customHeight="1" x14ac:dyDescent="0.25">
      <c r="A625" s="263">
        <f t="shared" si="9"/>
        <v>611</v>
      </c>
      <c r="B625" s="578" t="s">
        <v>159</v>
      </c>
      <c r="C625" s="578"/>
      <c r="D625" s="579" t="s">
        <v>159</v>
      </c>
      <c r="E625" s="579"/>
      <c r="F625" s="568" t="s">
        <v>162</v>
      </c>
      <c r="G625" s="568"/>
      <c r="H625" s="580"/>
      <c r="I625" s="581"/>
      <c r="J625" s="582"/>
      <c r="K625" s="572" t="s">
        <v>162</v>
      </c>
      <c r="L625" s="573"/>
      <c r="M625" s="574"/>
      <c r="N625" s="583" t="s">
        <v>159</v>
      </c>
      <c r="O625" s="584"/>
      <c r="P625" s="584"/>
      <c r="Q625" s="584"/>
      <c r="R625" s="584"/>
      <c r="S625" s="584"/>
      <c r="T625" s="584"/>
      <c r="U625" s="585"/>
    </row>
    <row r="626" spans="1:21" ht="35.1" customHeight="1" x14ac:dyDescent="0.25">
      <c r="A626" s="263">
        <f t="shared" si="9"/>
        <v>612</v>
      </c>
      <c r="B626" s="566" t="s">
        <v>159</v>
      </c>
      <c r="C626" s="566"/>
      <c r="D626" s="567" t="s">
        <v>159</v>
      </c>
      <c r="E626" s="567"/>
      <c r="F626" s="568" t="s">
        <v>162</v>
      </c>
      <c r="G626" s="568"/>
      <c r="H626" s="569"/>
      <c r="I626" s="570"/>
      <c r="J626" s="571"/>
      <c r="K626" s="572" t="s">
        <v>162</v>
      </c>
      <c r="L626" s="573"/>
      <c r="M626" s="574"/>
      <c r="N626" s="575" t="s">
        <v>159</v>
      </c>
      <c r="O626" s="576"/>
      <c r="P626" s="576"/>
      <c r="Q626" s="576"/>
      <c r="R626" s="576"/>
      <c r="S626" s="576"/>
      <c r="T626" s="576"/>
      <c r="U626" s="577"/>
    </row>
    <row r="627" spans="1:21" ht="35.1" customHeight="1" x14ac:dyDescent="0.25">
      <c r="A627" s="263">
        <f t="shared" si="9"/>
        <v>613</v>
      </c>
      <c r="B627" s="578" t="s">
        <v>159</v>
      </c>
      <c r="C627" s="578"/>
      <c r="D627" s="579" t="s">
        <v>159</v>
      </c>
      <c r="E627" s="579"/>
      <c r="F627" s="568" t="s">
        <v>162</v>
      </c>
      <c r="G627" s="568"/>
      <c r="H627" s="580"/>
      <c r="I627" s="581"/>
      <c r="J627" s="582"/>
      <c r="K627" s="572" t="s">
        <v>162</v>
      </c>
      <c r="L627" s="573"/>
      <c r="M627" s="574"/>
      <c r="N627" s="583" t="s">
        <v>159</v>
      </c>
      <c r="O627" s="584"/>
      <c r="P627" s="584"/>
      <c r="Q627" s="584"/>
      <c r="R627" s="584"/>
      <c r="S627" s="584"/>
      <c r="T627" s="584"/>
      <c r="U627" s="585"/>
    </row>
    <row r="628" spans="1:21" ht="35.1" customHeight="1" x14ac:dyDescent="0.25">
      <c r="A628" s="263">
        <f t="shared" si="9"/>
        <v>614</v>
      </c>
      <c r="B628" s="566" t="s">
        <v>159</v>
      </c>
      <c r="C628" s="566"/>
      <c r="D628" s="567" t="s">
        <v>159</v>
      </c>
      <c r="E628" s="567"/>
      <c r="F628" s="568" t="s">
        <v>162</v>
      </c>
      <c r="G628" s="568"/>
      <c r="H628" s="569"/>
      <c r="I628" s="570"/>
      <c r="J628" s="571"/>
      <c r="K628" s="572" t="s">
        <v>162</v>
      </c>
      <c r="L628" s="573"/>
      <c r="M628" s="574"/>
      <c r="N628" s="575" t="s">
        <v>159</v>
      </c>
      <c r="O628" s="576"/>
      <c r="P628" s="576"/>
      <c r="Q628" s="576"/>
      <c r="R628" s="576"/>
      <c r="S628" s="576"/>
      <c r="T628" s="576"/>
      <c r="U628" s="577"/>
    </row>
    <row r="629" spans="1:21" ht="35.1" customHeight="1" x14ac:dyDescent="0.25">
      <c r="A629" s="263">
        <f t="shared" si="9"/>
        <v>615</v>
      </c>
      <c r="B629" s="578" t="s">
        <v>159</v>
      </c>
      <c r="C629" s="578"/>
      <c r="D629" s="579" t="s">
        <v>159</v>
      </c>
      <c r="E629" s="579"/>
      <c r="F629" s="568" t="s">
        <v>162</v>
      </c>
      <c r="G629" s="568"/>
      <c r="H629" s="580"/>
      <c r="I629" s="581"/>
      <c r="J629" s="582"/>
      <c r="K629" s="572" t="s">
        <v>162</v>
      </c>
      <c r="L629" s="573"/>
      <c r="M629" s="574"/>
      <c r="N629" s="583" t="s">
        <v>159</v>
      </c>
      <c r="O629" s="584"/>
      <c r="P629" s="584"/>
      <c r="Q629" s="584"/>
      <c r="R629" s="584"/>
      <c r="S629" s="584"/>
      <c r="T629" s="584"/>
      <c r="U629" s="585"/>
    </row>
    <row r="630" spans="1:21" ht="35.1" customHeight="1" x14ac:dyDescent="0.25">
      <c r="A630" s="263">
        <f t="shared" si="9"/>
        <v>616</v>
      </c>
      <c r="B630" s="566" t="s">
        <v>159</v>
      </c>
      <c r="C630" s="566"/>
      <c r="D630" s="567" t="s">
        <v>159</v>
      </c>
      <c r="E630" s="567"/>
      <c r="F630" s="568" t="s">
        <v>162</v>
      </c>
      <c r="G630" s="568"/>
      <c r="H630" s="569"/>
      <c r="I630" s="570"/>
      <c r="J630" s="571"/>
      <c r="K630" s="572" t="s">
        <v>162</v>
      </c>
      <c r="L630" s="573"/>
      <c r="M630" s="574"/>
      <c r="N630" s="575" t="s">
        <v>159</v>
      </c>
      <c r="O630" s="576"/>
      <c r="P630" s="576"/>
      <c r="Q630" s="576"/>
      <c r="R630" s="576"/>
      <c r="S630" s="576"/>
      <c r="T630" s="576"/>
      <c r="U630" s="577"/>
    </row>
    <row r="631" spans="1:21" ht="35.1" customHeight="1" x14ac:dyDescent="0.25">
      <c r="A631" s="263">
        <f t="shared" si="9"/>
        <v>617</v>
      </c>
      <c r="B631" s="578" t="s">
        <v>159</v>
      </c>
      <c r="C631" s="578"/>
      <c r="D631" s="579" t="s">
        <v>159</v>
      </c>
      <c r="E631" s="579"/>
      <c r="F631" s="568" t="s">
        <v>162</v>
      </c>
      <c r="G631" s="568"/>
      <c r="H631" s="580"/>
      <c r="I631" s="581"/>
      <c r="J631" s="582"/>
      <c r="K631" s="572" t="s">
        <v>162</v>
      </c>
      <c r="L631" s="573"/>
      <c r="M631" s="574"/>
      <c r="N631" s="583" t="s">
        <v>159</v>
      </c>
      <c r="O631" s="584"/>
      <c r="P631" s="584"/>
      <c r="Q631" s="584"/>
      <c r="R631" s="584"/>
      <c r="S631" s="584"/>
      <c r="T631" s="584"/>
      <c r="U631" s="585"/>
    </row>
    <row r="632" spans="1:21" ht="35.1" customHeight="1" x14ac:dyDescent="0.25">
      <c r="A632" s="263">
        <f t="shared" si="9"/>
        <v>618</v>
      </c>
      <c r="B632" s="566" t="s">
        <v>159</v>
      </c>
      <c r="C632" s="566"/>
      <c r="D632" s="567" t="s">
        <v>159</v>
      </c>
      <c r="E632" s="567"/>
      <c r="F632" s="568" t="s">
        <v>162</v>
      </c>
      <c r="G632" s="568"/>
      <c r="H632" s="569"/>
      <c r="I632" s="570"/>
      <c r="J632" s="571"/>
      <c r="K632" s="572" t="s">
        <v>162</v>
      </c>
      <c r="L632" s="573"/>
      <c r="M632" s="574"/>
      <c r="N632" s="575" t="s">
        <v>159</v>
      </c>
      <c r="O632" s="576"/>
      <c r="P632" s="576"/>
      <c r="Q632" s="576"/>
      <c r="R632" s="576"/>
      <c r="S632" s="576"/>
      <c r="T632" s="576"/>
      <c r="U632" s="577"/>
    </row>
    <row r="633" spans="1:21" ht="35.1" customHeight="1" x14ac:dyDescent="0.25">
      <c r="A633" s="263">
        <f t="shared" si="9"/>
        <v>619</v>
      </c>
      <c r="B633" s="578" t="s">
        <v>159</v>
      </c>
      <c r="C633" s="578"/>
      <c r="D633" s="579" t="s">
        <v>159</v>
      </c>
      <c r="E633" s="579"/>
      <c r="F633" s="568" t="s">
        <v>162</v>
      </c>
      <c r="G633" s="568"/>
      <c r="H633" s="580"/>
      <c r="I633" s="581"/>
      <c r="J633" s="582"/>
      <c r="K633" s="572" t="s">
        <v>162</v>
      </c>
      <c r="L633" s="573"/>
      <c r="M633" s="574"/>
      <c r="N633" s="583" t="s">
        <v>159</v>
      </c>
      <c r="O633" s="584"/>
      <c r="P633" s="584"/>
      <c r="Q633" s="584"/>
      <c r="R633" s="584"/>
      <c r="S633" s="584"/>
      <c r="T633" s="584"/>
      <c r="U633" s="585"/>
    </row>
    <row r="634" spans="1:21" ht="35.1" customHeight="1" x14ac:dyDescent="0.25">
      <c r="A634" s="263">
        <f t="shared" si="9"/>
        <v>620</v>
      </c>
      <c r="B634" s="566" t="s">
        <v>159</v>
      </c>
      <c r="C634" s="566"/>
      <c r="D634" s="567" t="s">
        <v>159</v>
      </c>
      <c r="E634" s="567"/>
      <c r="F634" s="568" t="s">
        <v>162</v>
      </c>
      <c r="G634" s="568"/>
      <c r="H634" s="569"/>
      <c r="I634" s="570"/>
      <c r="J634" s="571"/>
      <c r="K634" s="572" t="s">
        <v>162</v>
      </c>
      <c r="L634" s="573"/>
      <c r="M634" s="574"/>
      <c r="N634" s="575" t="s">
        <v>159</v>
      </c>
      <c r="O634" s="576"/>
      <c r="P634" s="576"/>
      <c r="Q634" s="576"/>
      <c r="R634" s="576"/>
      <c r="S634" s="576"/>
      <c r="T634" s="576"/>
      <c r="U634" s="577"/>
    </row>
    <row r="635" spans="1:21" ht="35.1" customHeight="1" x14ac:dyDescent="0.25">
      <c r="A635" s="263">
        <f t="shared" si="9"/>
        <v>621</v>
      </c>
      <c r="B635" s="578" t="s">
        <v>159</v>
      </c>
      <c r="C635" s="578"/>
      <c r="D635" s="579" t="s">
        <v>159</v>
      </c>
      <c r="E635" s="579"/>
      <c r="F635" s="568" t="s">
        <v>162</v>
      </c>
      <c r="G635" s="568"/>
      <c r="H635" s="580"/>
      <c r="I635" s="581"/>
      <c r="J635" s="582"/>
      <c r="K635" s="572" t="s">
        <v>162</v>
      </c>
      <c r="L635" s="573"/>
      <c r="M635" s="574"/>
      <c r="N635" s="583" t="s">
        <v>159</v>
      </c>
      <c r="O635" s="584"/>
      <c r="P635" s="584"/>
      <c r="Q635" s="584"/>
      <c r="R635" s="584"/>
      <c r="S635" s="584"/>
      <c r="T635" s="584"/>
      <c r="U635" s="585"/>
    </row>
    <row r="636" spans="1:21" ht="35.1" customHeight="1" x14ac:dyDescent="0.25">
      <c r="A636" s="263">
        <f t="shared" si="9"/>
        <v>622</v>
      </c>
      <c r="B636" s="566" t="s">
        <v>159</v>
      </c>
      <c r="C636" s="566"/>
      <c r="D636" s="567" t="s">
        <v>159</v>
      </c>
      <c r="E636" s="567"/>
      <c r="F636" s="568" t="s">
        <v>162</v>
      </c>
      <c r="G636" s="568"/>
      <c r="H636" s="569"/>
      <c r="I636" s="570"/>
      <c r="J636" s="571"/>
      <c r="K636" s="572" t="s">
        <v>162</v>
      </c>
      <c r="L636" s="573"/>
      <c r="M636" s="574"/>
      <c r="N636" s="575" t="s">
        <v>159</v>
      </c>
      <c r="O636" s="576"/>
      <c r="P636" s="576"/>
      <c r="Q636" s="576"/>
      <c r="R636" s="576"/>
      <c r="S636" s="576"/>
      <c r="T636" s="576"/>
      <c r="U636" s="577"/>
    </row>
    <row r="637" spans="1:21" ht="35.1" customHeight="1" x14ac:dyDescent="0.25">
      <c r="A637" s="263">
        <f t="shared" si="9"/>
        <v>623</v>
      </c>
      <c r="B637" s="578" t="s">
        <v>159</v>
      </c>
      <c r="C637" s="578"/>
      <c r="D637" s="579" t="s">
        <v>159</v>
      </c>
      <c r="E637" s="579"/>
      <c r="F637" s="568" t="s">
        <v>162</v>
      </c>
      <c r="G637" s="568"/>
      <c r="H637" s="580"/>
      <c r="I637" s="581"/>
      <c r="J637" s="582"/>
      <c r="K637" s="572" t="s">
        <v>162</v>
      </c>
      <c r="L637" s="573"/>
      <c r="M637" s="574"/>
      <c r="N637" s="583" t="s">
        <v>159</v>
      </c>
      <c r="O637" s="584"/>
      <c r="P637" s="584"/>
      <c r="Q637" s="584"/>
      <c r="R637" s="584"/>
      <c r="S637" s="584"/>
      <c r="T637" s="584"/>
      <c r="U637" s="585"/>
    </row>
    <row r="638" spans="1:21" ht="35.1" customHeight="1" x14ac:dyDescent="0.25">
      <c r="A638" s="263">
        <f t="shared" si="9"/>
        <v>624</v>
      </c>
      <c r="B638" s="566" t="s">
        <v>159</v>
      </c>
      <c r="C638" s="566"/>
      <c r="D638" s="567" t="s">
        <v>159</v>
      </c>
      <c r="E638" s="567"/>
      <c r="F638" s="568" t="s">
        <v>162</v>
      </c>
      <c r="G638" s="568"/>
      <c r="H638" s="569"/>
      <c r="I638" s="570"/>
      <c r="J638" s="571"/>
      <c r="K638" s="572" t="s">
        <v>162</v>
      </c>
      <c r="L638" s="573"/>
      <c r="M638" s="574"/>
      <c r="N638" s="575" t="s">
        <v>159</v>
      </c>
      <c r="O638" s="576"/>
      <c r="P638" s="576"/>
      <c r="Q638" s="576"/>
      <c r="R638" s="576"/>
      <c r="S638" s="576"/>
      <c r="T638" s="576"/>
      <c r="U638" s="577"/>
    </row>
    <row r="639" spans="1:21" ht="35.1" customHeight="1" x14ac:dyDescent="0.25">
      <c r="A639" s="263">
        <f t="shared" si="9"/>
        <v>625</v>
      </c>
      <c r="B639" s="578" t="s">
        <v>159</v>
      </c>
      <c r="C639" s="578"/>
      <c r="D639" s="579" t="s">
        <v>159</v>
      </c>
      <c r="E639" s="579"/>
      <c r="F639" s="568" t="s">
        <v>162</v>
      </c>
      <c r="G639" s="568"/>
      <c r="H639" s="580"/>
      <c r="I639" s="581"/>
      <c r="J639" s="582"/>
      <c r="K639" s="572" t="s">
        <v>162</v>
      </c>
      <c r="L639" s="573"/>
      <c r="M639" s="574"/>
      <c r="N639" s="583" t="s">
        <v>159</v>
      </c>
      <c r="O639" s="584"/>
      <c r="P639" s="584"/>
      <c r="Q639" s="584"/>
      <c r="R639" s="584"/>
      <c r="S639" s="584"/>
      <c r="T639" s="584"/>
      <c r="U639" s="585"/>
    </row>
    <row r="640" spans="1:21" ht="35.1" customHeight="1" x14ac:dyDescent="0.25">
      <c r="A640" s="263">
        <f t="shared" si="9"/>
        <v>626</v>
      </c>
      <c r="B640" s="566" t="s">
        <v>159</v>
      </c>
      <c r="C640" s="566"/>
      <c r="D640" s="567" t="s">
        <v>159</v>
      </c>
      <c r="E640" s="567"/>
      <c r="F640" s="568" t="s">
        <v>162</v>
      </c>
      <c r="G640" s="568"/>
      <c r="H640" s="569"/>
      <c r="I640" s="570"/>
      <c r="J640" s="571"/>
      <c r="K640" s="572" t="s">
        <v>162</v>
      </c>
      <c r="L640" s="573"/>
      <c r="M640" s="574"/>
      <c r="N640" s="575" t="s">
        <v>159</v>
      </c>
      <c r="O640" s="576"/>
      <c r="P640" s="576"/>
      <c r="Q640" s="576"/>
      <c r="R640" s="576"/>
      <c r="S640" s="576"/>
      <c r="T640" s="576"/>
      <c r="U640" s="577"/>
    </row>
    <row r="641" spans="1:21" ht="35.1" customHeight="1" x14ac:dyDescent="0.25">
      <c r="A641" s="263">
        <f t="shared" si="9"/>
        <v>627</v>
      </c>
      <c r="B641" s="578" t="s">
        <v>159</v>
      </c>
      <c r="C641" s="578"/>
      <c r="D641" s="579" t="s">
        <v>159</v>
      </c>
      <c r="E641" s="579"/>
      <c r="F641" s="568" t="s">
        <v>162</v>
      </c>
      <c r="G641" s="568"/>
      <c r="H641" s="580"/>
      <c r="I641" s="581"/>
      <c r="J641" s="582"/>
      <c r="K641" s="572" t="s">
        <v>162</v>
      </c>
      <c r="L641" s="573"/>
      <c r="M641" s="574"/>
      <c r="N641" s="583" t="s">
        <v>159</v>
      </c>
      <c r="O641" s="584"/>
      <c r="P641" s="584"/>
      <c r="Q641" s="584"/>
      <c r="R641" s="584"/>
      <c r="S641" s="584"/>
      <c r="T641" s="584"/>
      <c r="U641" s="585"/>
    </row>
    <row r="642" spans="1:21" ht="35.1" customHeight="1" x14ac:dyDescent="0.25">
      <c r="A642" s="263">
        <f t="shared" si="9"/>
        <v>628</v>
      </c>
      <c r="B642" s="566" t="s">
        <v>159</v>
      </c>
      <c r="C642" s="566"/>
      <c r="D642" s="567" t="s">
        <v>159</v>
      </c>
      <c r="E642" s="567"/>
      <c r="F642" s="568" t="s">
        <v>162</v>
      </c>
      <c r="G642" s="568"/>
      <c r="H642" s="569"/>
      <c r="I642" s="570"/>
      <c r="J642" s="571"/>
      <c r="K642" s="572" t="s">
        <v>162</v>
      </c>
      <c r="L642" s="573"/>
      <c r="M642" s="574"/>
      <c r="N642" s="575" t="s">
        <v>159</v>
      </c>
      <c r="O642" s="576"/>
      <c r="P642" s="576"/>
      <c r="Q642" s="576"/>
      <c r="R642" s="576"/>
      <c r="S642" s="576"/>
      <c r="T642" s="576"/>
      <c r="U642" s="577"/>
    </row>
    <row r="643" spans="1:21" ht="35.1" customHeight="1" x14ac:dyDescent="0.25">
      <c r="A643" s="263">
        <f t="shared" si="9"/>
        <v>629</v>
      </c>
      <c r="B643" s="578" t="s">
        <v>159</v>
      </c>
      <c r="C643" s="578"/>
      <c r="D643" s="579" t="s">
        <v>159</v>
      </c>
      <c r="E643" s="579"/>
      <c r="F643" s="568" t="s">
        <v>162</v>
      </c>
      <c r="G643" s="568"/>
      <c r="H643" s="580"/>
      <c r="I643" s="581"/>
      <c r="J643" s="582"/>
      <c r="K643" s="572" t="s">
        <v>162</v>
      </c>
      <c r="L643" s="573"/>
      <c r="M643" s="574"/>
      <c r="N643" s="583" t="s">
        <v>159</v>
      </c>
      <c r="O643" s="584"/>
      <c r="P643" s="584"/>
      <c r="Q643" s="584"/>
      <c r="R643" s="584"/>
      <c r="S643" s="584"/>
      <c r="T643" s="584"/>
      <c r="U643" s="585"/>
    </row>
    <row r="644" spans="1:21" ht="35.1" customHeight="1" x14ac:dyDescent="0.25">
      <c r="A644" s="263">
        <f t="shared" si="9"/>
        <v>630</v>
      </c>
      <c r="B644" s="566" t="s">
        <v>159</v>
      </c>
      <c r="C644" s="566"/>
      <c r="D644" s="567" t="s">
        <v>159</v>
      </c>
      <c r="E644" s="567"/>
      <c r="F644" s="568" t="s">
        <v>162</v>
      </c>
      <c r="G644" s="568"/>
      <c r="H644" s="569"/>
      <c r="I644" s="570"/>
      <c r="J644" s="571"/>
      <c r="K644" s="572" t="s">
        <v>162</v>
      </c>
      <c r="L644" s="573"/>
      <c r="M644" s="574"/>
      <c r="N644" s="575" t="s">
        <v>159</v>
      </c>
      <c r="O644" s="576"/>
      <c r="P644" s="576"/>
      <c r="Q644" s="576"/>
      <c r="R644" s="576"/>
      <c r="S644" s="576"/>
      <c r="T644" s="576"/>
      <c r="U644" s="577"/>
    </row>
    <row r="645" spans="1:21" ht="35.1" customHeight="1" x14ac:dyDescent="0.25">
      <c r="A645" s="263">
        <f t="shared" si="9"/>
        <v>631</v>
      </c>
      <c r="B645" s="578" t="s">
        <v>159</v>
      </c>
      <c r="C645" s="578"/>
      <c r="D645" s="579" t="s">
        <v>159</v>
      </c>
      <c r="E645" s="579"/>
      <c r="F645" s="568" t="s">
        <v>162</v>
      </c>
      <c r="G645" s="568"/>
      <c r="H645" s="580"/>
      <c r="I645" s="581"/>
      <c r="J645" s="582"/>
      <c r="K645" s="572" t="s">
        <v>162</v>
      </c>
      <c r="L645" s="573"/>
      <c r="M645" s="574"/>
      <c r="N645" s="583" t="s">
        <v>159</v>
      </c>
      <c r="O645" s="584"/>
      <c r="P645" s="584"/>
      <c r="Q645" s="584"/>
      <c r="R645" s="584"/>
      <c r="S645" s="584"/>
      <c r="T645" s="584"/>
      <c r="U645" s="585"/>
    </row>
    <row r="646" spans="1:21" ht="35.1" customHeight="1" x14ac:dyDescent="0.25">
      <c r="A646" s="263">
        <f t="shared" si="9"/>
        <v>632</v>
      </c>
      <c r="B646" s="566" t="s">
        <v>159</v>
      </c>
      <c r="C646" s="566"/>
      <c r="D646" s="567" t="s">
        <v>159</v>
      </c>
      <c r="E646" s="567"/>
      <c r="F646" s="568" t="s">
        <v>162</v>
      </c>
      <c r="G646" s="568"/>
      <c r="H646" s="569"/>
      <c r="I646" s="570"/>
      <c r="J646" s="571"/>
      <c r="K646" s="572" t="s">
        <v>162</v>
      </c>
      <c r="L646" s="573"/>
      <c r="M646" s="574"/>
      <c r="N646" s="575" t="s">
        <v>159</v>
      </c>
      <c r="O646" s="576"/>
      <c r="P646" s="576"/>
      <c r="Q646" s="576"/>
      <c r="R646" s="576"/>
      <c r="S646" s="576"/>
      <c r="T646" s="576"/>
      <c r="U646" s="577"/>
    </row>
    <row r="647" spans="1:21" ht="35.1" customHeight="1" x14ac:dyDescent="0.25">
      <c r="A647" s="263">
        <f t="shared" si="9"/>
        <v>633</v>
      </c>
      <c r="B647" s="578" t="s">
        <v>159</v>
      </c>
      <c r="C647" s="578"/>
      <c r="D647" s="579" t="s">
        <v>159</v>
      </c>
      <c r="E647" s="579"/>
      <c r="F647" s="568" t="s">
        <v>162</v>
      </c>
      <c r="G647" s="568"/>
      <c r="H647" s="580"/>
      <c r="I647" s="581"/>
      <c r="J647" s="582"/>
      <c r="K647" s="572" t="s">
        <v>162</v>
      </c>
      <c r="L647" s="573"/>
      <c r="M647" s="574"/>
      <c r="N647" s="583" t="s">
        <v>159</v>
      </c>
      <c r="O647" s="584"/>
      <c r="P647" s="584"/>
      <c r="Q647" s="584"/>
      <c r="R647" s="584"/>
      <c r="S647" s="584"/>
      <c r="T647" s="584"/>
      <c r="U647" s="585"/>
    </row>
    <row r="648" spans="1:21" ht="35.1" customHeight="1" x14ac:dyDescent="0.25">
      <c r="A648" s="263">
        <f t="shared" si="9"/>
        <v>634</v>
      </c>
      <c r="B648" s="566" t="s">
        <v>159</v>
      </c>
      <c r="C648" s="566"/>
      <c r="D648" s="567" t="s">
        <v>159</v>
      </c>
      <c r="E648" s="567"/>
      <c r="F648" s="568" t="s">
        <v>162</v>
      </c>
      <c r="G648" s="568"/>
      <c r="H648" s="569"/>
      <c r="I648" s="570"/>
      <c r="J648" s="571"/>
      <c r="K648" s="572" t="s">
        <v>162</v>
      </c>
      <c r="L648" s="573"/>
      <c r="M648" s="574"/>
      <c r="N648" s="575" t="s">
        <v>159</v>
      </c>
      <c r="O648" s="576"/>
      <c r="P648" s="576"/>
      <c r="Q648" s="576"/>
      <c r="R648" s="576"/>
      <c r="S648" s="576"/>
      <c r="T648" s="576"/>
      <c r="U648" s="577"/>
    </row>
    <row r="649" spans="1:21" ht="35.1" customHeight="1" x14ac:dyDescent="0.25">
      <c r="A649" s="263">
        <f t="shared" si="9"/>
        <v>635</v>
      </c>
      <c r="B649" s="578" t="s">
        <v>159</v>
      </c>
      <c r="C649" s="578"/>
      <c r="D649" s="579" t="s">
        <v>159</v>
      </c>
      <c r="E649" s="579"/>
      <c r="F649" s="568" t="s">
        <v>162</v>
      </c>
      <c r="G649" s="568"/>
      <c r="H649" s="580"/>
      <c r="I649" s="581"/>
      <c r="J649" s="582"/>
      <c r="K649" s="572" t="s">
        <v>162</v>
      </c>
      <c r="L649" s="573"/>
      <c r="M649" s="574"/>
      <c r="N649" s="583" t="s">
        <v>159</v>
      </c>
      <c r="O649" s="584"/>
      <c r="P649" s="584"/>
      <c r="Q649" s="584"/>
      <c r="R649" s="584"/>
      <c r="S649" s="584"/>
      <c r="T649" s="584"/>
      <c r="U649" s="585"/>
    </row>
    <row r="650" spans="1:21" ht="35.1" customHeight="1" x14ac:dyDescent="0.25">
      <c r="A650" s="263">
        <f t="shared" si="9"/>
        <v>636</v>
      </c>
      <c r="B650" s="566" t="s">
        <v>159</v>
      </c>
      <c r="C650" s="566"/>
      <c r="D650" s="567" t="s">
        <v>159</v>
      </c>
      <c r="E650" s="567"/>
      <c r="F650" s="568" t="s">
        <v>162</v>
      </c>
      <c r="G650" s="568"/>
      <c r="H650" s="569"/>
      <c r="I650" s="570"/>
      <c r="J650" s="571"/>
      <c r="K650" s="572" t="s">
        <v>162</v>
      </c>
      <c r="L650" s="573"/>
      <c r="M650" s="574"/>
      <c r="N650" s="575" t="s">
        <v>159</v>
      </c>
      <c r="O650" s="576"/>
      <c r="P650" s="576"/>
      <c r="Q650" s="576"/>
      <c r="R650" s="576"/>
      <c r="S650" s="576"/>
      <c r="T650" s="576"/>
      <c r="U650" s="577"/>
    </row>
    <row r="651" spans="1:21" ht="35.1" customHeight="1" x14ac:dyDescent="0.25">
      <c r="A651" s="263">
        <f t="shared" si="9"/>
        <v>637</v>
      </c>
      <c r="B651" s="578" t="s">
        <v>159</v>
      </c>
      <c r="C651" s="578"/>
      <c r="D651" s="579" t="s">
        <v>159</v>
      </c>
      <c r="E651" s="579"/>
      <c r="F651" s="568" t="s">
        <v>162</v>
      </c>
      <c r="G651" s="568"/>
      <c r="H651" s="580"/>
      <c r="I651" s="581"/>
      <c r="J651" s="582"/>
      <c r="K651" s="572" t="s">
        <v>162</v>
      </c>
      <c r="L651" s="573"/>
      <c r="M651" s="574"/>
      <c r="N651" s="583" t="s">
        <v>159</v>
      </c>
      <c r="O651" s="584"/>
      <c r="P651" s="584"/>
      <c r="Q651" s="584"/>
      <c r="R651" s="584"/>
      <c r="S651" s="584"/>
      <c r="T651" s="584"/>
      <c r="U651" s="585"/>
    </row>
    <row r="652" spans="1:21" ht="35.1" customHeight="1" x14ac:dyDescent="0.25">
      <c r="A652" s="263">
        <f t="shared" si="9"/>
        <v>638</v>
      </c>
      <c r="B652" s="566" t="s">
        <v>159</v>
      </c>
      <c r="C652" s="566"/>
      <c r="D652" s="567" t="s">
        <v>159</v>
      </c>
      <c r="E652" s="567"/>
      <c r="F652" s="568" t="s">
        <v>162</v>
      </c>
      <c r="G652" s="568"/>
      <c r="H652" s="569"/>
      <c r="I652" s="570"/>
      <c r="J652" s="571"/>
      <c r="K652" s="572" t="s">
        <v>162</v>
      </c>
      <c r="L652" s="573"/>
      <c r="M652" s="574"/>
      <c r="N652" s="575" t="s">
        <v>159</v>
      </c>
      <c r="O652" s="576"/>
      <c r="P652" s="576"/>
      <c r="Q652" s="576"/>
      <c r="R652" s="576"/>
      <c r="S652" s="576"/>
      <c r="T652" s="576"/>
      <c r="U652" s="577"/>
    </row>
    <row r="653" spans="1:21" ht="35.1" customHeight="1" x14ac:dyDescent="0.25">
      <c r="A653" s="263">
        <f t="shared" si="9"/>
        <v>639</v>
      </c>
      <c r="B653" s="578" t="s">
        <v>159</v>
      </c>
      <c r="C653" s="578"/>
      <c r="D653" s="579" t="s">
        <v>159</v>
      </c>
      <c r="E653" s="579"/>
      <c r="F653" s="568" t="s">
        <v>162</v>
      </c>
      <c r="G653" s="568"/>
      <c r="H653" s="580"/>
      <c r="I653" s="581"/>
      <c r="J653" s="582"/>
      <c r="K653" s="572" t="s">
        <v>162</v>
      </c>
      <c r="L653" s="573"/>
      <c r="M653" s="574"/>
      <c r="N653" s="583" t="s">
        <v>159</v>
      </c>
      <c r="O653" s="584"/>
      <c r="P653" s="584"/>
      <c r="Q653" s="584"/>
      <c r="R653" s="584"/>
      <c r="S653" s="584"/>
      <c r="T653" s="584"/>
      <c r="U653" s="585"/>
    </row>
    <row r="654" spans="1:21" ht="35.1" customHeight="1" x14ac:dyDescent="0.25">
      <c r="A654" s="263">
        <f t="shared" si="9"/>
        <v>640</v>
      </c>
      <c r="B654" s="566" t="s">
        <v>159</v>
      </c>
      <c r="C654" s="566"/>
      <c r="D654" s="567" t="s">
        <v>159</v>
      </c>
      <c r="E654" s="567"/>
      <c r="F654" s="568" t="s">
        <v>162</v>
      </c>
      <c r="G654" s="568"/>
      <c r="H654" s="569"/>
      <c r="I654" s="570"/>
      <c r="J654" s="571"/>
      <c r="K654" s="572" t="s">
        <v>162</v>
      </c>
      <c r="L654" s="573"/>
      <c r="M654" s="574"/>
      <c r="N654" s="575" t="s">
        <v>159</v>
      </c>
      <c r="O654" s="576"/>
      <c r="P654" s="576"/>
      <c r="Q654" s="576"/>
      <c r="R654" s="576"/>
      <c r="S654" s="576"/>
      <c r="T654" s="576"/>
      <c r="U654" s="577"/>
    </row>
    <row r="655" spans="1:21" ht="35.1" customHeight="1" x14ac:dyDescent="0.25">
      <c r="A655" s="263">
        <f t="shared" ref="A655:A718" si="10">ROW(A641)</f>
        <v>641</v>
      </c>
      <c r="B655" s="578" t="s">
        <v>159</v>
      </c>
      <c r="C655" s="578"/>
      <c r="D655" s="579" t="s">
        <v>159</v>
      </c>
      <c r="E655" s="579"/>
      <c r="F655" s="568" t="s">
        <v>162</v>
      </c>
      <c r="G655" s="568"/>
      <c r="H655" s="580"/>
      <c r="I655" s="581"/>
      <c r="J655" s="582"/>
      <c r="K655" s="572" t="s">
        <v>162</v>
      </c>
      <c r="L655" s="573"/>
      <c r="M655" s="574"/>
      <c r="N655" s="583" t="s">
        <v>159</v>
      </c>
      <c r="O655" s="584"/>
      <c r="P655" s="584"/>
      <c r="Q655" s="584"/>
      <c r="R655" s="584"/>
      <c r="S655" s="584"/>
      <c r="T655" s="584"/>
      <c r="U655" s="585"/>
    </row>
    <row r="656" spans="1:21" ht="35.1" customHeight="1" x14ac:dyDescent="0.25">
      <c r="A656" s="263">
        <f t="shared" si="10"/>
        <v>642</v>
      </c>
      <c r="B656" s="566" t="s">
        <v>159</v>
      </c>
      <c r="C656" s="566"/>
      <c r="D656" s="567" t="s">
        <v>159</v>
      </c>
      <c r="E656" s="567"/>
      <c r="F656" s="568" t="s">
        <v>162</v>
      </c>
      <c r="G656" s="568"/>
      <c r="H656" s="569"/>
      <c r="I656" s="570"/>
      <c r="J656" s="571"/>
      <c r="K656" s="572" t="s">
        <v>162</v>
      </c>
      <c r="L656" s="573"/>
      <c r="M656" s="574"/>
      <c r="N656" s="575" t="s">
        <v>159</v>
      </c>
      <c r="O656" s="576"/>
      <c r="P656" s="576"/>
      <c r="Q656" s="576"/>
      <c r="R656" s="576"/>
      <c r="S656" s="576"/>
      <c r="T656" s="576"/>
      <c r="U656" s="577"/>
    </row>
    <row r="657" spans="1:21" ht="35.1" customHeight="1" x14ac:dyDescent="0.25">
      <c r="A657" s="263">
        <f t="shared" si="10"/>
        <v>643</v>
      </c>
      <c r="B657" s="578" t="s">
        <v>159</v>
      </c>
      <c r="C657" s="578"/>
      <c r="D657" s="579" t="s">
        <v>159</v>
      </c>
      <c r="E657" s="579"/>
      <c r="F657" s="568" t="s">
        <v>162</v>
      </c>
      <c r="G657" s="568"/>
      <c r="H657" s="580"/>
      <c r="I657" s="581"/>
      <c r="J657" s="582"/>
      <c r="K657" s="572" t="s">
        <v>162</v>
      </c>
      <c r="L657" s="573"/>
      <c r="M657" s="574"/>
      <c r="N657" s="583" t="s">
        <v>159</v>
      </c>
      <c r="O657" s="584"/>
      <c r="P657" s="584"/>
      <c r="Q657" s="584"/>
      <c r="R657" s="584"/>
      <c r="S657" s="584"/>
      <c r="T657" s="584"/>
      <c r="U657" s="585"/>
    </row>
    <row r="658" spans="1:21" ht="35.1" customHeight="1" x14ac:dyDescent="0.25">
      <c r="A658" s="263">
        <f t="shared" si="10"/>
        <v>644</v>
      </c>
      <c r="B658" s="566" t="s">
        <v>159</v>
      </c>
      <c r="C658" s="566"/>
      <c r="D658" s="567" t="s">
        <v>159</v>
      </c>
      <c r="E658" s="567"/>
      <c r="F658" s="568" t="s">
        <v>162</v>
      </c>
      <c r="G658" s="568"/>
      <c r="H658" s="569"/>
      <c r="I658" s="570"/>
      <c r="J658" s="571"/>
      <c r="K658" s="572" t="s">
        <v>162</v>
      </c>
      <c r="L658" s="573"/>
      <c r="M658" s="574"/>
      <c r="N658" s="575" t="s">
        <v>159</v>
      </c>
      <c r="O658" s="576"/>
      <c r="P658" s="576"/>
      <c r="Q658" s="576"/>
      <c r="R658" s="576"/>
      <c r="S658" s="576"/>
      <c r="T658" s="576"/>
      <c r="U658" s="577"/>
    </row>
    <row r="659" spans="1:21" ht="35.1" customHeight="1" x14ac:dyDescent="0.25">
      <c r="A659" s="263">
        <f t="shared" si="10"/>
        <v>645</v>
      </c>
      <c r="B659" s="578" t="s">
        <v>159</v>
      </c>
      <c r="C659" s="578"/>
      <c r="D659" s="579" t="s">
        <v>159</v>
      </c>
      <c r="E659" s="579"/>
      <c r="F659" s="568" t="s">
        <v>162</v>
      </c>
      <c r="G659" s="568"/>
      <c r="H659" s="580"/>
      <c r="I659" s="581"/>
      <c r="J659" s="582"/>
      <c r="K659" s="572" t="s">
        <v>162</v>
      </c>
      <c r="L659" s="573"/>
      <c r="M659" s="574"/>
      <c r="N659" s="583" t="s">
        <v>159</v>
      </c>
      <c r="O659" s="584"/>
      <c r="P659" s="584"/>
      <c r="Q659" s="584"/>
      <c r="R659" s="584"/>
      <c r="S659" s="584"/>
      <c r="T659" s="584"/>
      <c r="U659" s="585"/>
    </row>
    <row r="660" spans="1:21" ht="35.1" customHeight="1" x14ac:dyDescent="0.25">
      <c r="A660" s="263">
        <f t="shared" si="10"/>
        <v>646</v>
      </c>
      <c r="B660" s="566" t="s">
        <v>159</v>
      </c>
      <c r="C660" s="566"/>
      <c r="D660" s="567" t="s">
        <v>159</v>
      </c>
      <c r="E660" s="567"/>
      <c r="F660" s="568" t="s">
        <v>162</v>
      </c>
      <c r="G660" s="568"/>
      <c r="H660" s="569"/>
      <c r="I660" s="570"/>
      <c r="J660" s="571"/>
      <c r="K660" s="572" t="s">
        <v>162</v>
      </c>
      <c r="L660" s="573"/>
      <c r="M660" s="574"/>
      <c r="N660" s="575" t="s">
        <v>159</v>
      </c>
      <c r="O660" s="576"/>
      <c r="P660" s="576"/>
      <c r="Q660" s="576"/>
      <c r="R660" s="576"/>
      <c r="S660" s="576"/>
      <c r="T660" s="576"/>
      <c r="U660" s="577"/>
    </row>
    <row r="661" spans="1:21" ht="35.1" customHeight="1" x14ac:dyDescent="0.25">
      <c r="A661" s="263">
        <f t="shared" si="10"/>
        <v>647</v>
      </c>
      <c r="B661" s="578" t="s">
        <v>159</v>
      </c>
      <c r="C661" s="578"/>
      <c r="D661" s="579" t="s">
        <v>159</v>
      </c>
      <c r="E661" s="579"/>
      <c r="F661" s="568" t="s">
        <v>162</v>
      </c>
      <c r="G661" s="568"/>
      <c r="H661" s="580"/>
      <c r="I661" s="581"/>
      <c r="J661" s="582"/>
      <c r="K661" s="572" t="s">
        <v>162</v>
      </c>
      <c r="L661" s="573"/>
      <c r="M661" s="574"/>
      <c r="N661" s="583" t="s">
        <v>159</v>
      </c>
      <c r="O661" s="584"/>
      <c r="P661" s="584"/>
      <c r="Q661" s="584"/>
      <c r="R661" s="584"/>
      <c r="S661" s="584"/>
      <c r="T661" s="584"/>
      <c r="U661" s="585"/>
    </row>
    <row r="662" spans="1:21" ht="35.1" customHeight="1" x14ac:dyDescent="0.25">
      <c r="A662" s="263">
        <f t="shared" si="10"/>
        <v>648</v>
      </c>
      <c r="B662" s="566" t="s">
        <v>159</v>
      </c>
      <c r="C662" s="566"/>
      <c r="D662" s="567" t="s">
        <v>159</v>
      </c>
      <c r="E662" s="567"/>
      <c r="F662" s="568" t="s">
        <v>162</v>
      </c>
      <c r="G662" s="568"/>
      <c r="H662" s="569"/>
      <c r="I662" s="570"/>
      <c r="J662" s="571"/>
      <c r="K662" s="572" t="s">
        <v>162</v>
      </c>
      <c r="L662" s="573"/>
      <c r="M662" s="574"/>
      <c r="N662" s="575" t="s">
        <v>159</v>
      </c>
      <c r="O662" s="576"/>
      <c r="P662" s="576"/>
      <c r="Q662" s="576"/>
      <c r="R662" s="576"/>
      <c r="S662" s="576"/>
      <c r="T662" s="576"/>
      <c r="U662" s="577"/>
    </row>
    <row r="663" spans="1:21" ht="35.1" customHeight="1" x14ac:dyDescent="0.25">
      <c r="A663" s="263">
        <f t="shared" si="10"/>
        <v>649</v>
      </c>
      <c r="B663" s="578" t="s">
        <v>159</v>
      </c>
      <c r="C663" s="578"/>
      <c r="D663" s="579" t="s">
        <v>159</v>
      </c>
      <c r="E663" s="579"/>
      <c r="F663" s="568" t="s">
        <v>162</v>
      </c>
      <c r="G663" s="568"/>
      <c r="H663" s="580"/>
      <c r="I663" s="581"/>
      <c r="J663" s="582"/>
      <c r="K663" s="572" t="s">
        <v>162</v>
      </c>
      <c r="L663" s="573"/>
      <c r="M663" s="574"/>
      <c r="N663" s="583" t="s">
        <v>159</v>
      </c>
      <c r="O663" s="584"/>
      <c r="P663" s="584"/>
      <c r="Q663" s="584"/>
      <c r="R663" s="584"/>
      <c r="S663" s="584"/>
      <c r="T663" s="584"/>
      <c r="U663" s="585"/>
    </row>
    <row r="664" spans="1:21" ht="35.1" customHeight="1" x14ac:dyDescent="0.25">
      <c r="A664" s="263">
        <f t="shared" si="10"/>
        <v>650</v>
      </c>
      <c r="B664" s="566" t="s">
        <v>159</v>
      </c>
      <c r="C664" s="566"/>
      <c r="D664" s="567" t="s">
        <v>159</v>
      </c>
      <c r="E664" s="567"/>
      <c r="F664" s="568" t="s">
        <v>162</v>
      </c>
      <c r="G664" s="568"/>
      <c r="H664" s="569"/>
      <c r="I664" s="570"/>
      <c r="J664" s="571"/>
      <c r="K664" s="572" t="s">
        <v>162</v>
      </c>
      <c r="L664" s="573"/>
      <c r="M664" s="574"/>
      <c r="N664" s="575" t="s">
        <v>159</v>
      </c>
      <c r="O664" s="576"/>
      <c r="P664" s="576"/>
      <c r="Q664" s="576"/>
      <c r="R664" s="576"/>
      <c r="S664" s="576"/>
      <c r="T664" s="576"/>
      <c r="U664" s="577"/>
    </row>
    <row r="665" spans="1:21" ht="35.1" customHeight="1" x14ac:dyDescent="0.25">
      <c r="A665" s="263">
        <f t="shared" si="10"/>
        <v>651</v>
      </c>
      <c r="B665" s="578" t="s">
        <v>159</v>
      </c>
      <c r="C665" s="578"/>
      <c r="D665" s="579" t="s">
        <v>159</v>
      </c>
      <c r="E665" s="579"/>
      <c r="F665" s="568" t="s">
        <v>162</v>
      </c>
      <c r="G665" s="568"/>
      <c r="H665" s="580"/>
      <c r="I665" s="581"/>
      <c r="J665" s="582"/>
      <c r="K665" s="572" t="s">
        <v>162</v>
      </c>
      <c r="L665" s="573"/>
      <c r="M665" s="574"/>
      <c r="N665" s="583" t="s">
        <v>159</v>
      </c>
      <c r="O665" s="584"/>
      <c r="P665" s="584"/>
      <c r="Q665" s="584"/>
      <c r="R665" s="584"/>
      <c r="S665" s="584"/>
      <c r="T665" s="584"/>
      <c r="U665" s="585"/>
    </row>
    <row r="666" spans="1:21" ht="35.1" customHeight="1" x14ac:dyDescent="0.25">
      <c r="A666" s="263">
        <f t="shared" si="10"/>
        <v>652</v>
      </c>
      <c r="B666" s="566" t="s">
        <v>444</v>
      </c>
      <c r="C666" s="566"/>
      <c r="D666" s="567" t="s">
        <v>159</v>
      </c>
      <c r="E666" s="567"/>
      <c r="F666" s="568" t="s">
        <v>162</v>
      </c>
      <c r="G666" s="568"/>
      <c r="H666" s="569"/>
      <c r="I666" s="570"/>
      <c r="J666" s="571"/>
      <c r="K666" s="572" t="s">
        <v>162</v>
      </c>
      <c r="L666" s="573"/>
      <c r="M666" s="574"/>
      <c r="N666" s="575" t="s">
        <v>159</v>
      </c>
      <c r="O666" s="576"/>
      <c r="P666" s="576"/>
      <c r="Q666" s="576"/>
      <c r="R666" s="576"/>
      <c r="S666" s="576"/>
      <c r="T666" s="576"/>
      <c r="U666" s="577"/>
    </row>
    <row r="667" spans="1:21" ht="35.1" customHeight="1" x14ac:dyDescent="0.25">
      <c r="A667" s="263">
        <f t="shared" si="10"/>
        <v>653</v>
      </c>
      <c r="B667" s="578" t="s">
        <v>159</v>
      </c>
      <c r="C667" s="578"/>
      <c r="D667" s="579" t="s">
        <v>159</v>
      </c>
      <c r="E667" s="579"/>
      <c r="F667" s="568" t="s">
        <v>162</v>
      </c>
      <c r="G667" s="568"/>
      <c r="H667" s="580"/>
      <c r="I667" s="581"/>
      <c r="J667" s="582"/>
      <c r="K667" s="572" t="s">
        <v>162</v>
      </c>
      <c r="L667" s="573"/>
      <c r="M667" s="574"/>
      <c r="N667" s="583" t="s">
        <v>159</v>
      </c>
      <c r="O667" s="584"/>
      <c r="P667" s="584"/>
      <c r="Q667" s="584"/>
      <c r="R667" s="584"/>
      <c r="S667" s="584"/>
      <c r="T667" s="584"/>
      <c r="U667" s="585"/>
    </row>
    <row r="668" spans="1:21" ht="35.1" customHeight="1" x14ac:dyDescent="0.25">
      <c r="A668" s="263">
        <f t="shared" si="10"/>
        <v>654</v>
      </c>
      <c r="B668" s="566" t="s">
        <v>159</v>
      </c>
      <c r="C668" s="566"/>
      <c r="D668" s="567" t="s">
        <v>159</v>
      </c>
      <c r="E668" s="567"/>
      <c r="F668" s="568" t="s">
        <v>162</v>
      </c>
      <c r="G668" s="568"/>
      <c r="H668" s="569"/>
      <c r="I668" s="570"/>
      <c r="J668" s="571"/>
      <c r="K668" s="572" t="s">
        <v>162</v>
      </c>
      <c r="L668" s="573"/>
      <c r="M668" s="574"/>
      <c r="N668" s="575" t="s">
        <v>159</v>
      </c>
      <c r="O668" s="576"/>
      <c r="P668" s="576"/>
      <c r="Q668" s="576"/>
      <c r="R668" s="576"/>
      <c r="S668" s="576"/>
      <c r="T668" s="576"/>
      <c r="U668" s="577"/>
    </row>
    <row r="669" spans="1:21" ht="35.1" customHeight="1" x14ac:dyDescent="0.25">
      <c r="A669" s="263">
        <f t="shared" si="10"/>
        <v>655</v>
      </c>
      <c r="B669" s="578" t="s">
        <v>159</v>
      </c>
      <c r="C669" s="578"/>
      <c r="D669" s="579" t="s">
        <v>159</v>
      </c>
      <c r="E669" s="579"/>
      <c r="F669" s="568" t="s">
        <v>162</v>
      </c>
      <c r="G669" s="568"/>
      <c r="H669" s="580"/>
      <c r="I669" s="581"/>
      <c r="J669" s="582"/>
      <c r="K669" s="572" t="s">
        <v>162</v>
      </c>
      <c r="L669" s="573"/>
      <c r="M669" s="574"/>
      <c r="N669" s="583" t="s">
        <v>159</v>
      </c>
      <c r="O669" s="584"/>
      <c r="P669" s="584"/>
      <c r="Q669" s="584"/>
      <c r="R669" s="584"/>
      <c r="S669" s="584"/>
      <c r="T669" s="584"/>
      <c r="U669" s="585"/>
    </row>
    <row r="670" spans="1:21" ht="35.1" customHeight="1" x14ac:dyDescent="0.25">
      <c r="A670" s="263">
        <f t="shared" si="10"/>
        <v>656</v>
      </c>
      <c r="B670" s="566" t="s">
        <v>159</v>
      </c>
      <c r="C670" s="566"/>
      <c r="D670" s="567" t="s">
        <v>159</v>
      </c>
      <c r="E670" s="567"/>
      <c r="F670" s="568" t="s">
        <v>162</v>
      </c>
      <c r="G670" s="568"/>
      <c r="H670" s="569"/>
      <c r="I670" s="570"/>
      <c r="J670" s="571"/>
      <c r="K670" s="572" t="s">
        <v>162</v>
      </c>
      <c r="L670" s="573"/>
      <c r="M670" s="574"/>
      <c r="N670" s="575" t="s">
        <v>159</v>
      </c>
      <c r="O670" s="576"/>
      <c r="P670" s="576"/>
      <c r="Q670" s="576"/>
      <c r="R670" s="576"/>
      <c r="S670" s="576"/>
      <c r="T670" s="576"/>
      <c r="U670" s="577"/>
    </row>
    <row r="671" spans="1:21" ht="35.1" customHeight="1" x14ac:dyDescent="0.25">
      <c r="A671" s="263">
        <f t="shared" si="10"/>
        <v>657</v>
      </c>
      <c r="B671" s="578" t="s">
        <v>159</v>
      </c>
      <c r="C671" s="578"/>
      <c r="D671" s="579" t="s">
        <v>159</v>
      </c>
      <c r="E671" s="579"/>
      <c r="F671" s="568" t="s">
        <v>162</v>
      </c>
      <c r="G671" s="568"/>
      <c r="H671" s="580"/>
      <c r="I671" s="581"/>
      <c r="J671" s="582"/>
      <c r="K671" s="572" t="s">
        <v>162</v>
      </c>
      <c r="L671" s="573"/>
      <c r="M671" s="574"/>
      <c r="N671" s="583" t="s">
        <v>159</v>
      </c>
      <c r="O671" s="584"/>
      <c r="P671" s="584"/>
      <c r="Q671" s="584"/>
      <c r="R671" s="584"/>
      <c r="S671" s="584"/>
      <c r="T671" s="584"/>
      <c r="U671" s="585"/>
    </row>
    <row r="672" spans="1:21" ht="35.1" customHeight="1" x14ac:dyDescent="0.25">
      <c r="A672" s="263">
        <f t="shared" si="10"/>
        <v>658</v>
      </c>
      <c r="B672" s="566" t="s">
        <v>448</v>
      </c>
      <c r="C672" s="566"/>
      <c r="D672" s="567" t="s">
        <v>159</v>
      </c>
      <c r="E672" s="567"/>
      <c r="F672" s="568" t="s">
        <v>162</v>
      </c>
      <c r="G672" s="568"/>
      <c r="H672" s="569"/>
      <c r="I672" s="570"/>
      <c r="J672" s="571"/>
      <c r="K672" s="572" t="s">
        <v>162</v>
      </c>
      <c r="L672" s="573"/>
      <c r="M672" s="574"/>
      <c r="N672" s="575" t="s">
        <v>159</v>
      </c>
      <c r="O672" s="576"/>
      <c r="P672" s="576"/>
      <c r="Q672" s="576"/>
      <c r="R672" s="576"/>
      <c r="S672" s="576"/>
      <c r="T672" s="576"/>
      <c r="U672" s="577"/>
    </row>
    <row r="673" spans="1:21" ht="35.1" customHeight="1" x14ac:dyDescent="0.25">
      <c r="A673" s="263">
        <f t="shared" si="10"/>
        <v>659</v>
      </c>
      <c r="B673" s="578" t="s">
        <v>159</v>
      </c>
      <c r="C673" s="578"/>
      <c r="D673" s="579" t="s">
        <v>159</v>
      </c>
      <c r="E673" s="579"/>
      <c r="F673" s="568" t="s">
        <v>162</v>
      </c>
      <c r="G673" s="568"/>
      <c r="H673" s="580"/>
      <c r="I673" s="581"/>
      <c r="J673" s="582"/>
      <c r="K673" s="572" t="s">
        <v>162</v>
      </c>
      <c r="L673" s="573"/>
      <c r="M673" s="574"/>
      <c r="N673" s="583" t="s">
        <v>159</v>
      </c>
      <c r="O673" s="584"/>
      <c r="P673" s="584"/>
      <c r="Q673" s="584"/>
      <c r="R673" s="584"/>
      <c r="S673" s="584"/>
      <c r="T673" s="584"/>
      <c r="U673" s="585"/>
    </row>
    <row r="674" spans="1:21" ht="35.1" customHeight="1" x14ac:dyDescent="0.25">
      <c r="A674" s="263">
        <f t="shared" si="10"/>
        <v>660</v>
      </c>
      <c r="B674" s="566" t="s">
        <v>159</v>
      </c>
      <c r="C674" s="566"/>
      <c r="D674" s="567" t="s">
        <v>159</v>
      </c>
      <c r="E674" s="567"/>
      <c r="F674" s="568" t="s">
        <v>162</v>
      </c>
      <c r="G674" s="568"/>
      <c r="H674" s="569"/>
      <c r="I674" s="570"/>
      <c r="J674" s="571"/>
      <c r="K674" s="572" t="s">
        <v>162</v>
      </c>
      <c r="L674" s="573"/>
      <c r="M674" s="574"/>
      <c r="N674" s="575" t="s">
        <v>159</v>
      </c>
      <c r="O674" s="576"/>
      <c r="P674" s="576"/>
      <c r="Q674" s="576"/>
      <c r="R674" s="576"/>
      <c r="S674" s="576"/>
      <c r="T674" s="576"/>
      <c r="U674" s="577"/>
    </row>
    <row r="675" spans="1:21" ht="35.1" customHeight="1" x14ac:dyDescent="0.25">
      <c r="A675" s="263">
        <f t="shared" si="10"/>
        <v>661</v>
      </c>
      <c r="B675" s="578" t="s">
        <v>159</v>
      </c>
      <c r="C675" s="578"/>
      <c r="D675" s="579" t="s">
        <v>159</v>
      </c>
      <c r="E675" s="579"/>
      <c r="F675" s="568" t="s">
        <v>162</v>
      </c>
      <c r="G675" s="568"/>
      <c r="H675" s="580"/>
      <c r="I675" s="581"/>
      <c r="J675" s="582"/>
      <c r="K675" s="572" t="s">
        <v>162</v>
      </c>
      <c r="L675" s="573"/>
      <c r="M675" s="574"/>
      <c r="N675" s="583" t="s">
        <v>159</v>
      </c>
      <c r="O675" s="584"/>
      <c r="P675" s="584"/>
      <c r="Q675" s="584"/>
      <c r="R675" s="584"/>
      <c r="S675" s="584"/>
      <c r="T675" s="584"/>
      <c r="U675" s="585"/>
    </row>
    <row r="676" spans="1:21" ht="35.1" customHeight="1" x14ac:dyDescent="0.25">
      <c r="A676" s="263">
        <f t="shared" si="10"/>
        <v>662</v>
      </c>
      <c r="B676" s="566" t="s">
        <v>159</v>
      </c>
      <c r="C676" s="566"/>
      <c r="D676" s="567" t="s">
        <v>159</v>
      </c>
      <c r="E676" s="567"/>
      <c r="F676" s="568" t="s">
        <v>162</v>
      </c>
      <c r="G676" s="568"/>
      <c r="H676" s="569"/>
      <c r="I676" s="570"/>
      <c r="J676" s="571"/>
      <c r="K676" s="572" t="s">
        <v>162</v>
      </c>
      <c r="L676" s="573"/>
      <c r="M676" s="574"/>
      <c r="N676" s="575" t="s">
        <v>159</v>
      </c>
      <c r="O676" s="576"/>
      <c r="P676" s="576"/>
      <c r="Q676" s="576"/>
      <c r="R676" s="576"/>
      <c r="S676" s="576"/>
      <c r="T676" s="576"/>
      <c r="U676" s="577"/>
    </row>
    <row r="677" spans="1:21" ht="35.1" customHeight="1" x14ac:dyDescent="0.25">
      <c r="A677" s="263">
        <f t="shared" si="10"/>
        <v>663</v>
      </c>
      <c r="B677" s="578" t="s">
        <v>159</v>
      </c>
      <c r="C677" s="578"/>
      <c r="D677" s="579" t="s">
        <v>159</v>
      </c>
      <c r="E677" s="579"/>
      <c r="F677" s="568" t="s">
        <v>162</v>
      </c>
      <c r="G677" s="568"/>
      <c r="H677" s="580"/>
      <c r="I677" s="581"/>
      <c r="J677" s="582"/>
      <c r="K677" s="572" t="s">
        <v>162</v>
      </c>
      <c r="L677" s="573"/>
      <c r="M677" s="574"/>
      <c r="N677" s="583" t="s">
        <v>159</v>
      </c>
      <c r="O677" s="584"/>
      <c r="P677" s="584"/>
      <c r="Q677" s="584"/>
      <c r="R677" s="584"/>
      <c r="S677" s="584"/>
      <c r="T677" s="584"/>
      <c r="U677" s="585"/>
    </row>
    <row r="678" spans="1:21" ht="35.1" customHeight="1" x14ac:dyDescent="0.25">
      <c r="A678" s="263">
        <f t="shared" si="10"/>
        <v>664</v>
      </c>
      <c r="B678" s="566" t="s">
        <v>159</v>
      </c>
      <c r="C678" s="566"/>
      <c r="D678" s="567" t="s">
        <v>159</v>
      </c>
      <c r="E678" s="567"/>
      <c r="F678" s="568" t="s">
        <v>162</v>
      </c>
      <c r="G678" s="568"/>
      <c r="H678" s="569"/>
      <c r="I678" s="570"/>
      <c r="J678" s="571"/>
      <c r="K678" s="572" t="s">
        <v>162</v>
      </c>
      <c r="L678" s="573"/>
      <c r="M678" s="574"/>
      <c r="N678" s="575" t="s">
        <v>159</v>
      </c>
      <c r="O678" s="576"/>
      <c r="P678" s="576"/>
      <c r="Q678" s="576"/>
      <c r="R678" s="576"/>
      <c r="S678" s="576"/>
      <c r="T678" s="576"/>
      <c r="U678" s="577"/>
    </row>
    <row r="679" spans="1:21" ht="35.1" customHeight="1" x14ac:dyDescent="0.25">
      <c r="A679" s="263">
        <f t="shared" si="10"/>
        <v>665</v>
      </c>
      <c r="B679" s="578" t="s">
        <v>159</v>
      </c>
      <c r="C679" s="578"/>
      <c r="D679" s="579" t="s">
        <v>159</v>
      </c>
      <c r="E679" s="579"/>
      <c r="F679" s="568" t="s">
        <v>162</v>
      </c>
      <c r="G679" s="568"/>
      <c r="H679" s="580"/>
      <c r="I679" s="581"/>
      <c r="J679" s="582"/>
      <c r="K679" s="572" t="s">
        <v>162</v>
      </c>
      <c r="L679" s="573"/>
      <c r="M679" s="574"/>
      <c r="N679" s="583" t="s">
        <v>159</v>
      </c>
      <c r="O679" s="584"/>
      <c r="P679" s="584"/>
      <c r="Q679" s="584"/>
      <c r="R679" s="584"/>
      <c r="S679" s="584"/>
      <c r="T679" s="584"/>
      <c r="U679" s="585"/>
    </row>
    <row r="680" spans="1:21" ht="35.1" customHeight="1" x14ac:dyDescent="0.25">
      <c r="A680" s="263">
        <f t="shared" si="10"/>
        <v>666</v>
      </c>
      <c r="B680" s="566" t="s">
        <v>159</v>
      </c>
      <c r="C680" s="566"/>
      <c r="D680" s="567" t="s">
        <v>159</v>
      </c>
      <c r="E680" s="567"/>
      <c r="F680" s="568" t="s">
        <v>162</v>
      </c>
      <c r="G680" s="568"/>
      <c r="H680" s="569"/>
      <c r="I680" s="570"/>
      <c r="J680" s="571"/>
      <c r="K680" s="572" t="s">
        <v>162</v>
      </c>
      <c r="L680" s="573"/>
      <c r="M680" s="574"/>
      <c r="N680" s="575" t="s">
        <v>159</v>
      </c>
      <c r="O680" s="576"/>
      <c r="P680" s="576"/>
      <c r="Q680" s="576"/>
      <c r="R680" s="576"/>
      <c r="S680" s="576"/>
      <c r="T680" s="576"/>
      <c r="U680" s="577"/>
    </row>
    <row r="681" spans="1:21" ht="35.1" customHeight="1" x14ac:dyDescent="0.25">
      <c r="A681" s="263">
        <f t="shared" si="10"/>
        <v>667</v>
      </c>
      <c r="B681" s="578" t="s">
        <v>159</v>
      </c>
      <c r="C681" s="578"/>
      <c r="D681" s="579" t="s">
        <v>159</v>
      </c>
      <c r="E681" s="579"/>
      <c r="F681" s="568" t="s">
        <v>162</v>
      </c>
      <c r="G681" s="568"/>
      <c r="H681" s="580"/>
      <c r="I681" s="581"/>
      <c r="J681" s="582"/>
      <c r="K681" s="572" t="s">
        <v>162</v>
      </c>
      <c r="L681" s="573"/>
      <c r="M681" s="574"/>
      <c r="N681" s="583" t="s">
        <v>159</v>
      </c>
      <c r="O681" s="584"/>
      <c r="P681" s="584"/>
      <c r="Q681" s="584"/>
      <c r="R681" s="584"/>
      <c r="S681" s="584"/>
      <c r="T681" s="584"/>
      <c r="U681" s="585"/>
    </row>
    <row r="682" spans="1:21" ht="35.1" customHeight="1" x14ac:dyDescent="0.25">
      <c r="A682" s="263">
        <f t="shared" si="10"/>
        <v>668</v>
      </c>
      <c r="B682" s="566" t="s">
        <v>159</v>
      </c>
      <c r="C682" s="566"/>
      <c r="D682" s="567" t="s">
        <v>159</v>
      </c>
      <c r="E682" s="567"/>
      <c r="F682" s="568" t="s">
        <v>162</v>
      </c>
      <c r="G682" s="568"/>
      <c r="H682" s="569"/>
      <c r="I682" s="570"/>
      <c r="J682" s="571"/>
      <c r="K682" s="572" t="s">
        <v>162</v>
      </c>
      <c r="L682" s="573"/>
      <c r="M682" s="574"/>
      <c r="N682" s="575" t="s">
        <v>159</v>
      </c>
      <c r="O682" s="576"/>
      <c r="P682" s="576"/>
      <c r="Q682" s="576"/>
      <c r="R682" s="576"/>
      <c r="S682" s="576"/>
      <c r="T682" s="576"/>
      <c r="U682" s="577"/>
    </row>
    <row r="683" spans="1:21" ht="35.1" customHeight="1" x14ac:dyDescent="0.25">
      <c r="A683" s="263">
        <f t="shared" si="10"/>
        <v>669</v>
      </c>
      <c r="B683" s="578" t="s">
        <v>159</v>
      </c>
      <c r="C683" s="578"/>
      <c r="D683" s="579" t="s">
        <v>159</v>
      </c>
      <c r="E683" s="579"/>
      <c r="F683" s="568" t="s">
        <v>162</v>
      </c>
      <c r="G683" s="568"/>
      <c r="H683" s="580"/>
      <c r="I683" s="581"/>
      <c r="J683" s="582"/>
      <c r="K683" s="572" t="s">
        <v>162</v>
      </c>
      <c r="L683" s="573"/>
      <c r="M683" s="574"/>
      <c r="N683" s="583" t="s">
        <v>159</v>
      </c>
      <c r="O683" s="584"/>
      <c r="P683" s="584"/>
      <c r="Q683" s="584"/>
      <c r="R683" s="584"/>
      <c r="S683" s="584"/>
      <c r="T683" s="584"/>
      <c r="U683" s="585"/>
    </row>
    <row r="684" spans="1:21" ht="35.1" customHeight="1" x14ac:dyDescent="0.25">
      <c r="A684" s="263">
        <f t="shared" si="10"/>
        <v>670</v>
      </c>
      <c r="B684" s="566" t="s">
        <v>159</v>
      </c>
      <c r="C684" s="566"/>
      <c r="D684" s="567" t="s">
        <v>159</v>
      </c>
      <c r="E684" s="567"/>
      <c r="F684" s="568" t="s">
        <v>162</v>
      </c>
      <c r="G684" s="568"/>
      <c r="H684" s="569"/>
      <c r="I684" s="570"/>
      <c r="J684" s="571"/>
      <c r="K684" s="572" t="s">
        <v>162</v>
      </c>
      <c r="L684" s="573"/>
      <c r="M684" s="574"/>
      <c r="N684" s="575" t="s">
        <v>159</v>
      </c>
      <c r="O684" s="576"/>
      <c r="P684" s="576"/>
      <c r="Q684" s="576"/>
      <c r="R684" s="576"/>
      <c r="S684" s="576"/>
      <c r="T684" s="576"/>
      <c r="U684" s="577"/>
    </row>
    <row r="685" spans="1:21" ht="35.1" customHeight="1" x14ac:dyDescent="0.25">
      <c r="A685" s="263">
        <f t="shared" si="10"/>
        <v>671</v>
      </c>
      <c r="B685" s="578" t="s">
        <v>447</v>
      </c>
      <c r="C685" s="578"/>
      <c r="D685" s="579" t="s">
        <v>159</v>
      </c>
      <c r="E685" s="579"/>
      <c r="F685" s="568" t="s">
        <v>162</v>
      </c>
      <c r="G685" s="568"/>
      <c r="H685" s="580"/>
      <c r="I685" s="581"/>
      <c r="J685" s="582"/>
      <c r="K685" s="572" t="s">
        <v>162</v>
      </c>
      <c r="L685" s="573"/>
      <c r="M685" s="574"/>
      <c r="N685" s="583" t="s">
        <v>159</v>
      </c>
      <c r="O685" s="584"/>
      <c r="P685" s="584"/>
      <c r="Q685" s="584"/>
      <c r="R685" s="584"/>
      <c r="S685" s="584"/>
      <c r="T685" s="584"/>
      <c r="U685" s="585"/>
    </row>
    <row r="686" spans="1:21" ht="35.1" customHeight="1" x14ac:dyDescent="0.25">
      <c r="A686" s="263">
        <f t="shared" si="10"/>
        <v>672</v>
      </c>
      <c r="B686" s="566" t="s">
        <v>159</v>
      </c>
      <c r="C686" s="566"/>
      <c r="D686" s="567" t="s">
        <v>159</v>
      </c>
      <c r="E686" s="567"/>
      <c r="F686" s="568" t="s">
        <v>162</v>
      </c>
      <c r="G686" s="568"/>
      <c r="H686" s="569"/>
      <c r="I686" s="570"/>
      <c r="J686" s="571"/>
      <c r="K686" s="572" t="s">
        <v>162</v>
      </c>
      <c r="L686" s="573"/>
      <c r="M686" s="574"/>
      <c r="N686" s="575" t="s">
        <v>159</v>
      </c>
      <c r="O686" s="576"/>
      <c r="P686" s="576"/>
      <c r="Q686" s="576"/>
      <c r="R686" s="576"/>
      <c r="S686" s="576"/>
      <c r="T686" s="576"/>
      <c r="U686" s="577"/>
    </row>
    <row r="687" spans="1:21" ht="35.1" customHeight="1" x14ac:dyDescent="0.25">
      <c r="A687" s="263">
        <f t="shared" si="10"/>
        <v>673</v>
      </c>
      <c r="B687" s="578" t="s">
        <v>159</v>
      </c>
      <c r="C687" s="578"/>
      <c r="D687" s="579" t="s">
        <v>159</v>
      </c>
      <c r="E687" s="579"/>
      <c r="F687" s="568" t="s">
        <v>162</v>
      </c>
      <c r="G687" s="568"/>
      <c r="H687" s="580"/>
      <c r="I687" s="581"/>
      <c r="J687" s="582"/>
      <c r="K687" s="572" t="s">
        <v>162</v>
      </c>
      <c r="L687" s="573"/>
      <c r="M687" s="574"/>
      <c r="N687" s="583" t="s">
        <v>159</v>
      </c>
      <c r="O687" s="584"/>
      <c r="P687" s="584"/>
      <c r="Q687" s="584"/>
      <c r="R687" s="584"/>
      <c r="S687" s="584"/>
      <c r="T687" s="584"/>
      <c r="U687" s="585"/>
    </row>
    <row r="688" spans="1:21" ht="35.1" customHeight="1" x14ac:dyDescent="0.25">
      <c r="A688" s="263">
        <f t="shared" si="10"/>
        <v>674</v>
      </c>
      <c r="B688" s="566" t="s">
        <v>159</v>
      </c>
      <c r="C688" s="566"/>
      <c r="D688" s="567" t="s">
        <v>159</v>
      </c>
      <c r="E688" s="567"/>
      <c r="F688" s="568" t="s">
        <v>162</v>
      </c>
      <c r="G688" s="568"/>
      <c r="H688" s="569"/>
      <c r="I688" s="570"/>
      <c r="J688" s="571"/>
      <c r="K688" s="572" t="s">
        <v>162</v>
      </c>
      <c r="L688" s="573"/>
      <c r="M688" s="574"/>
      <c r="N688" s="575" t="s">
        <v>159</v>
      </c>
      <c r="O688" s="576"/>
      <c r="P688" s="576"/>
      <c r="Q688" s="576"/>
      <c r="R688" s="576"/>
      <c r="S688" s="576"/>
      <c r="T688" s="576"/>
      <c r="U688" s="577"/>
    </row>
    <row r="689" spans="1:21" ht="35.1" customHeight="1" x14ac:dyDescent="0.25">
      <c r="A689" s="263">
        <f t="shared" si="10"/>
        <v>675</v>
      </c>
      <c r="B689" s="578" t="s">
        <v>159</v>
      </c>
      <c r="C689" s="578"/>
      <c r="D689" s="579" t="s">
        <v>159</v>
      </c>
      <c r="E689" s="579"/>
      <c r="F689" s="568" t="s">
        <v>162</v>
      </c>
      <c r="G689" s="568"/>
      <c r="H689" s="580"/>
      <c r="I689" s="581"/>
      <c r="J689" s="582"/>
      <c r="K689" s="572" t="s">
        <v>162</v>
      </c>
      <c r="L689" s="573"/>
      <c r="M689" s="574"/>
      <c r="N689" s="583" t="s">
        <v>159</v>
      </c>
      <c r="O689" s="584"/>
      <c r="P689" s="584"/>
      <c r="Q689" s="584"/>
      <c r="R689" s="584"/>
      <c r="S689" s="584"/>
      <c r="T689" s="584"/>
      <c r="U689" s="585"/>
    </row>
    <row r="690" spans="1:21" ht="35.1" customHeight="1" x14ac:dyDescent="0.25">
      <c r="A690" s="263">
        <f t="shared" si="10"/>
        <v>676</v>
      </c>
      <c r="B690" s="566" t="s">
        <v>159</v>
      </c>
      <c r="C690" s="566"/>
      <c r="D690" s="567" t="s">
        <v>159</v>
      </c>
      <c r="E690" s="567"/>
      <c r="F690" s="568" t="s">
        <v>162</v>
      </c>
      <c r="G690" s="568"/>
      <c r="H690" s="569"/>
      <c r="I690" s="570"/>
      <c r="J690" s="571"/>
      <c r="K690" s="572" t="s">
        <v>162</v>
      </c>
      <c r="L690" s="573"/>
      <c r="M690" s="574"/>
      <c r="N690" s="575" t="s">
        <v>159</v>
      </c>
      <c r="O690" s="576"/>
      <c r="P690" s="576"/>
      <c r="Q690" s="576"/>
      <c r="R690" s="576"/>
      <c r="S690" s="576"/>
      <c r="T690" s="576"/>
      <c r="U690" s="577"/>
    </row>
    <row r="691" spans="1:21" ht="35.1" customHeight="1" x14ac:dyDescent="0.25">
      <c r="A691" s="263">
        <f t="shared" si="10"/>
        <v>677</v>
      </c>
      <c r="B691" s="578" t="s">
        <v>159</v>
      </c>
      <c r="C691" s="578"/>
      <c r="D691" s="579" t="s">
        <v>159</v>
      </c>
      <c r="E691" s="579"/>
      <c r="F691" s="568" t="s">
        <v>162</v>
      </c>
      <c r="G691" s="568"/>
      <c r="H691" s="580"/>
      <c r="I691" s="581"/>
      <c r="J691" s="582"/>
      <c r="K691" s="572" t="s">
        <v>162</v>
      </c>
      <c r="L691" s="573"/>
      <c r="M691" s="574"/>
      <c r="N691" s="583" t="s">
        <v>159</v>
      </c>
      <c r="O691" s="584"/>
      <c r="P691" s="584"/>
      <c r="Q691" s="584"/>
      <c r="R691" s="584"/>
      <c r="S691" s="584"/>
      <c r="T691" s="584"/>
      <c r="U691" s="585"/>
    </row>
    <row r="692" spans="1:21" ht="35.1" customHeight="1" x14ac:dyDescent="0.25">
      <c r="A692" s="263">
        <f t="shared" si="10"/>
        <v>678</v>
      </c>
      <c r="B692" s="566" t="s">
        <v>159</v>
      </c>
      <c r="C692" s="566"/>
      <c r="D692" s="567" t="s">
        <v>159</v>
      </c>
      <c r="E692" s="567"/>
      <c r="F692" s="568" t="s">
        <v>162</v>
      </c>
      <c r="G692" s="568"/>
      <c r="H692" s="569"/>
      <c r="I692" s="570"/>
      <c r="J692" s="571"/>
      <c r="K692" s="572" t="s">
        <v>162</v>
      </c>
      <c r="L692" s="573"/>
      <c r="M692" s="574"/>
      <c r="N692" s="575" t="s">
        <v>159</v>
      </c>
      <c r="O692" s="576"/>
      <c r="P692" s="576"/>
      <c r="Q692" s="576"/>
      <c r="R692" s="576"/>
      <c r="S692" s="576"/>
      <c r="T692" s="576"/>
      <c r="U692" s="577"/>
    </row>
    <row r="693" spans="1:21" ht="35.1" customHeight="1" x14ac:dyDescent="0.25">
      <c r="A693" s="263">
        <f t="shared" si="10"/>
        <v>679</v>
      </c>
      <c r="B693" s="578" t="s">
        <v>159</v>
      </c>
      <c r="C693" s="578"/>
      <c r="D693" s="579" t="s">
        <v>159</v>
      </c>
      <c r="E693" s="579"/>
      <c r="F693" s="568" t="s">
        <v>162</v>
      </c>
      <c r="G693" s="568"/>
      <c r="H693" s="580"/>
      <c r="I693" s="581"/>
      <c r="J693" s="582"/>
      <c r="K693" s="572" t="s">
        <v>162</v>
      </c>
      <c r="L693" s="573"/>
      <c r="M693" s="574"/>
      <c r="N693" s="583" t="s">
        <v>159</v>
      </c>
      <c r="O693" s="584"/>
      <c r="P693" s="584"/>
      <c r="Q693" s="584"/>
      <c r="R693" s="584"/>
      <c r="S693" s="584"/>
      <c r="T693" s="584"/>
      <c r="U693" s="585"/>
    </row>
    <row r="694" spans="1:21" ht="35.1" customHeight="1" x14ac:dyDescent="0.25">
      <c r="A694" s="263">
        <f t="shared" si="10"/>
        <v>680</v>
      </c>
      <c r="B694" s="566" t="s">
        <v>444</v>
      </c>
      <c r="C694" s="566"/>
      <c r="D694" s="567" t="s">
        <v>159</v>
      </c>
      <c r="E694" s="567"/>
      <c r="F694" s="568" t="s">
        <v>162</v>
      </c>
      <c r="G694" s="568"/>
      <c r="H694" s="569"/>
      <c r="I694" s="570"/>
      <c r="J694" s="571"/>
      <c r="K694" s="572" t="s">
        <v>162</v>
      </c>
      <c r="L694" s="573"/>
      <c r="M694" s="574"/>
      <c r="N694" s="575" t="s">
        <v>159</v>
      </c>
      <c r="O694" s="576"/>
      <c r="P694" s="576"/>
      <c r="Q694" s="576"/>
      <c r="R694" s="576"/>
      <c r="S694" s="576"/>
      <c r="T694" s="576"/>
      <c r="U694" s="577"/>
    </row>
    <row r="695" spans="1:21" ht="35.1" customHeight="1" x14ac:dyDescent="0.25">
      <c r="A695" s="263">
        <f t="shared" si="10"/>
        <v>681</v>
      </c>
      <c r="B695" s="578" t="s">
        <v>159</v>
      </c>
      <c r="C695" s="578"/>
      <c r="D695" s="579" t="s">
        <v>159</v>
      </c>
      <c r="E695" s="579"/>
      <c r="F695" s="568" t="s">
        <v>162</v>
      </c>
      <c r="G695" s="568"/>
      <c r="H695" s="580"/>
      <c r="I695" s="581"/>
      <c r="J695" s="582"/>
      <c r="K695" s="572" t="s">
        <v>162</v>
      </c>
      <c r="L695" s="573"/>
      <c r="M695" s="574"/>
      <c r="N695" s="583" t="s">
        <v>159</v>
      </c>
      <c r="O695" s="584"/>
      <c r="P695" s="584"/>
      <c r="Q695" s="584"/>
      <c r="R695" s="584"/>
      <c r="S695" s="584"/>
      <c r="T695" s="584"/>
      <c r="U695" s="585"/>
    </row>
    <row r="696" spans="1:21" ht="35.1" customHeight="1" x14ac:dyDescent="0.25">
      <c r="A696" s="263">
        <f t="shared" si="10"/>
        <v>682</v>
      </c>
      <c r="B696" s="566" t="s">
        <v>159</v>
      </c>
      <c r="C696" s="566"/>
      <c r="D696" s="567" t="s">
        <v>159</v>
      </c>
      <c r="E696" s="567"/>
      <c r="F696" s="568" t="s">
        <v>162</v>
      </c>
      <c r="G696" s="568"/>
      <c r="H696" s="569"/>
      <c r="I696" s="570"/>
      <c r="J696" s="571"/>
      <c r="K696" s="572" t="s">
        <v>162</v>
      </c>
      <c r="L696" s="573"/>
      <c r="M696" s="574"/>
      <c r="N696" s="575" t="s">
        <v>159</v>
      </c>
      <c r="O696" s="576"/>
      <c r="P696" s="576"/>
      <c r="Q696" s="576"/>
      <c r="R696" s="576"/>
      <c r="S696" s="576"/>
      <c r="T696" s="576"/>
      <c r="U696" s="577"/>
    </row>
    <row r="697" spans="1:21" ht="35.1" customHeight="1" x14ac:dyDescent="0.25">
      <c r="A697" s="263">
        <f t="shared" si="10"/>
        <v>683</v>
      </c>
      <c r="B697" s="578" t="s">
        <v>159</v>
      </c>
      <c r="C697" s="578"/>
      <c r="D697" s="579" t="s">
        <v>159</v>
      </c>
      <c r="E697" s="579"/>
      <c r="F697" s="568" t="s">
        <v>162</v>
      </c>
      <c r="G697" s="568"/>
      <c r="H697" s="580"/>
      <c r="I697" s="581"/>
      <c r="J697" s="582"/>
      <c r="K697" s="572" t="s">
        <v>162</v>
      </c>
      <c r="L697" s="573"/>
      <c r="M697" s="574"/>
      <c r="N697" s="583" t="s">
        <v>159</v>
      </c>
      <c r="O697" s="584"/>
      <c r="P697" s="584"/>
      <c r="Q697" s="584"/>
      <c r="R697" s="584"/>
      <c r="S697" s="584"/>
      <c r="T697" s="584"/>
      <c r="U697" s="585"/>
    </row>
    <row r="698" spans="1:21" ht="35.1" customHeight="1" x14ac:dyDescent="0.25">
      <c r="A698" s="263">
        <f t="shared" si="10"/>
        <v>684</v>
      </c>
      <c r="B698" s="566" t="s">
        <v>159</v>
      </c>
      <c r="C698" s="566"/>
      <c r="D698" s="567" t="s">
        <v>159</v>
      </c>
      <c r="E698" s="567"/>
      <c r="F698" s="568" t="s">
        <v>162</v>
      </c>
      <c r="G698" s="568"/>
      <c r="H698" s="569"/>
      <c r="I698" s="570"/>
      <c r="J698" s="571"/>
      <c r="K698" s="572" t="s">
        <v>162</v>
      </c>
      <c r="L698" s="573"/>
      <c r="M698" s="574"/>
      <c r="N698" s="575" t="s">
        <v>159</v>
      </c>
      <c r="O698" s="576"/>
      <c r="P698" s="576"/>
      <c r="Q698" s="576"/>
      <c r="R698" s="576"/>
      <c r="S698" s="576"/>
      <c r="T698" s="576"/>
      <c r="U698" s="577"/>
    </row>
    <row r="699" spans="1:21" ht="35.1" customHeight="1" x14ac:dyDescent="0.25">
      <c r="A699" s="263">
        <f t="shared" si="10"/>
        <v>685</v>
      </c>
      <c r="B699" s="578" t="s">
        <v>159</v>
      </c>
      <c r="C699" s="578"/>
      <c r="D699" s="579" t="s">
        <v>159</v>
      </c>
      <c r="E699" s="579"/>
      <c r="F699" s="568" t="s">
        <v>162</v>
      </c>
      <c r="G699" s="568"/>
      <c r="H699" s="580"/>
      <c r="I699" s="581"/>
      <c r="J699" s="582"/>
      <c r="K699" s="572" t="s">
        <v>162</v>
      </c>
      <c r="L699" s="573"/>
      <c r="M699" s="574"/>
      <c r="N699" s="583" t="s">
        <v>159</v>
      </c>
      <c r="O699" s="584"/>
      <c r="P699" s="584"/>
      <c r="Q699" s="584"/>
      <c r="R699" s="584"/>
      <c r="S699" s="584"/>
      <c r="T699" s="584"/>
      <c r="U699" s="585"/>
    </row>
    <row r="700" spans="1:21" ht="35.1" customHeight="1" x14ac:dyDescent="0.25">
      <c r="A700" s="263">
        <f t="shared" si="10"/>
        <v>686</v>
      </c>
      <c r="B700" s="566" t="s">
        <v>159</v>
      </c>
      <c r="C700" s="566"/>
      <c r="D700" s="567" t="s">
        <v>159</v>
      </c>
      <c r="E700" s="567"/>
      <c r="F700" s="568" t="s">
        <v>162</v>
      </c>
      <c r="G700" s="568"/>
      <c r="H700" s="569"/>
      <c r="I700" s="570"/>
      <c r="J700" s="571"/>
      <c r="K700" s="572" t="s">
        <v>162</v>
      </c>
      <c r="L700" s="573"/>
      <c r="M700" s="574"/>
      <c r="N700" s="575" t="s">
        <v>159</v>
      </c>
      <c r="O700" s="576"/>
      <c r="P700" s="576"/>
      <c r="Q700" s="576"/>
      <c r="R700" s="576"/>
      <c r="S700" s="576"/>
      <c r="T700" s="576"/>
      <c r="U700" s="577"/>
    </row>
    <row r="701" spans="1:21" ht="35.1" customHeight="1" x14ac:dyDescent="0.25">
      <c r="A701" s="263">
        <f t="shared" si="10"/>
        <v>687</v>
      </c>
      <c r="B701" s="578" t="s">
        <v>159</v>
      </c>
      <c r="C701" s="578"/>
      <c r="D701" s="579" t="s">
        <v>159</v>
      </c>
      <c r="E701" s="579"/>
      <c r="F701" s="568" t="s">
        <v>162</v>
      </c>
      <c r="G701" s="568"/>
      <c r="H701" s="580"/>
      <c r="I701" s="581"/>
      <c r="J701" s="582"/>
      <c r="K701" s="572" t="s">
        <v>162</v>
      </c>
      <c r="L701" s="573"/>
      <c r="M701" s="574"/>
      <c r="N701" s="583" t="s">
        <v>159</v>
      </c>
      <c r="O701" s="584"/>
      <c r="P701" s="584"/>
      <c r="Q701" s="584"/>
      <c r="R701" s="584"/>
      <c r="S701" s="584"/>
      <c r="T701" s="584"/>
      <c r="U701" s="585"/>
    </row>
    <row r="702" spans="1:21" ht="35.1" customHeight="1" x14ac:dyDescent="0.25">
      <c r="A702" s="263">
        <f t="shared" si="10"/>
        <v>688</v>
      </c>
      <c r="B702" s="566" t="s">
        <v>450</v>
      </c>
      <c r="C702" s="566"/>
      <c r="D702" s="567" t="s">
        <v>159</v>
      </c>
      <c r="E702" s="567"/>
      <c r="F702" s="568" t="s">
        <v>162</v>
      </c>
      <c r="G702" s="568"/>
      <c r="H702" s="569"/>
      <c r="I702" s="570"/>
      <c r="J702" s="571"/>
      <c r="K702" s="572" t="s">
        <v>162</v>
      </c>
      <c r="L702" s="573"/>
      <c r="M702" s="574"/>
      <c r="N702" s="575" t="s">
        <v>159</v>
      </c>
      <c r="O702" s="576"/>
      <c r="P702" s="576"/>
      <c r="Q702" s="576"/>
      <c r="R702" s="576"/>
      <c r="S702" s="576"/>
      <c r="T702" s="576"/>
      <c r="U702" s="577"/>
    </row>
    <row r="703" spans="1:21" ht="35.1" customHeight="1" x14ac:dyDescent="0.25">
      <c r="A703" s="263">
        <f t="shared" si="10"/>
        <v>689</v>
      </c>
      <c r="B703" s="578" t="s">
        <v>159</v>
      </c>
      <c r="C703" s="578"/>
      <c r="D703" s="579" t="s">
        <v>159</v>
      </c>
      <c r="E703" s="579"/>
      <c r="F703" s="568" t="s">
        <v>162</v>
      </c>
      <c r="G703" s="568"/>
      <c r="H703" s="580"/>
      <c r="I703" s="581"/>
      <c r="J703" s="582"/>
      <c r="K703" s="572" t="s">
        <v>162</v>
      </c>
      <c r="L703" s="573"/>
      <c r="M703" s="574"/>
      <c r="N703" s="583" t="s">
        <v>159</v>
      </c>
      <c r="O703" s="584"/>
      <c r="P703" s="584"/>
      <c r="Q703" s="584"/>
      <c r="R703" s="584"/>
      <c r="S703" s="584"/>
      <c r="T703" s="584"/>
      <c r="U703" s="585"/>
    </row>
    <row r="704" spans="1:21" ht="35.1" customHeight="1" x14ac:dyDescent="0.25">
      <c r="A704" s="263">
        <f t="shared" si="10"/>
        <v>690</v>
      </c>
      <c r="B704" s="566" t="s">
        <v>159</v>
      </c>
      <c r="C704" s="566"/>
      <c r="D704" s="567" t="s">
        <v>159</v>
      </c>
      <c r="E704" s="567"/>
      <c r="F704" s="568" t="s">
        <v>162</v>
      </c>
      <c r="G704" s="568"/>
      <c r="H704" s="569"/>
      <c r="I704" s="570"/>
      <c r="J704" s="571"/>
      <c r="K704" s="572" t="s">
        <v>162</v>
      </c>
      <c r="L704" s="573"/>
      <c r="M704" s="574"/>
      <c r="N704" s="575" t="s">
        <v>159</v>
      </c>
      <c r="O704" s="576"/>
      <c r="P704" s="576"/>
      <c r="Q704" s="576"/>
      <c r="R704" s="576"/>
      <c r="S704" s="576"/>
      <c r="T704" s="576"/>
      <c r="U704" s="577"/>
    </row>
    <row r="705" spans="1:21" ht="35.1" customHeight="1" x14ac:dyDescent="0.25">
      <c r="A705" s="263">
        <f t="shared" si="10"/>
        <v>691</v>
      </c>
      <c r="B705" s="578" t="s">
        <v>159</v>
      </c>
      <c r="C705" s="578"/>
      <c r="D705" s="579" t="s">
        <v>159</v>
      </c>
      <c r="E705" s="579"/>
      <c r="F705" s="568" t="s">
        <v>162</v>
      </c>
      <c r="G705" s="568"/>
      <c r="H705" s="580"/>
      <c r="I705" s="581"/>
      <c r="J705" s="582"/>
      <c r="K705" s="572" t="s">
        <v>162</v>
      </c>
      <c r="L705" s="573"/>
      <c r="M705" s="574"/>
      <c r="N705" s="583" t="s">
        <v>159</v>
      </c>
      <c r="O705" s="584"/>
      <c r="P705" s="584"/>
      <c r="Q705" s="584"/>
      <c r="R705" s="584"/>
      <c r="S705" s="584"/>
      <c r="T705" s="584"/>
      <c r="U705" s="585"/>
    </row>
    <row r="706" spans="1:21" ht="35.1" customHeight="1" x14ac:dyDescent="0.25">
      <c r="A706" s="263">
        <f t="shared" si="10"/>
        <v>692</v>
      </c>
      <c r="B706" s="566" t="s">
        <v>159</v>
      </c>
      <c r="C706" s="566"/>
      <c r="D706" s="567" t="s">
        <v>159</v>
      </c>
      <c r="E706" s="567"/>
      <c r="F706" s="568" t="s">
        <v>162</v>
      </c>
      <c r="G706" s="568"/>
      <c r="H706" s="569"/>
      <c r="I706" s="570"/>
      <c r="J706" s="571"/>
      <c r="K706" s="572" t="s">
        <v>162</v>
      </c>
      <c r="L706" s="573"/>
      <c r="M706" s="574"/>
      <c r="N706" s="575" t="s">
        <v>159</v>
      </c>
      <c r="O706" s="576"/>
      <c r="P706" s="576"/>
      <c r="Q706" s="576"/>
      <c r="R706" s="576"/>
      <c r="S706" s="576"/>
      <c r="T706" s="576"/>
      <c r="U706" s="577"/>
    </row>
    <row r="707" spans="1:21" ht="35.1" customHeight="1" x14ac:dyDescent="0.25">
      <c r="A707" s="263">
        <f t="shared" si="10"/>
        <v>693</v>
      </c>
      <c r="B707" s="578" t="s">
        <v>159</v>
      </c>
      <c r="C707" s="578"/>
      <c r="D707" s="579" t="s">
        <v>159</v>
      </c>
      <c r="E707" s="579"/>
      <c r="F707" s="568" t="s">
        <v>162</v>
      </c>
      <c r="G707" s="568"/>
      <c r="H707" s="580"/>
      <c r="I707" s="581"/>
      <c r="J707" s="582"/>
      <c r="K707" s="572" t="s">
        <v>162</v>
      </c>
      <c r="L707" s="573"/>
      <c r="M707" s="574"/>
      <c r="N707" s="583" t="s">
        <v>159</v>
      </c>
      <c r="O707" s="584"/>
      <c r="P707" s="584"/>
      <c r="Q707" s="584"/>
      <c r="R707" s="584"/>
      <c r="S707" s="584"/>
      <c r="T707" s="584"/>
      <c r="U707" s="585"/>
    </row>
    <row r="708" spans="1:21" ht="35.1" customHeight="1" x14ac:dyDescent="0.25">
      <c r="A708" s="263">
        <f t="shared" si="10"/>
        <v>694</v>
      </c>
      <c r="B708" s="566" t="s">
        <v>159</v>
      </c>
      <c r="C708" s="566"/>
      <c r="D708" s="567" t="s">
        <v>159</v>
      </c>
      <c r="E708" s="567"/>
      <c r="F708" s="568" t="s">
        <v>162</v>
      </c>
      <c r="G708" s="568"/>
      <c r="H708" s="569"/>
      <c r="I708" s="570"/>
      <c r="J708" s="571"/>
      <c r="K708" s="572" t="s">
        <v>162</v>
      </c>
      <c r="L708" s="573"/>
      <c r="M708" s="574"/>
      <c r="N708" s="575" t="s">
        <v>159</v>
      </c>
      <c r="O708" s="576"/>
      <c r="P708" s="576"/>
      <c r="Q708" s="576"/>
      <c r="R708" s="576"/>
      <c r="S708" s="576"/>
      <c r="T708" s="576"/>
      <c r="U708" s="577"/>
    </row>
    <row r="709" spans="1:21" ht="35.1" customHeight="1" x14ac:dyDescent="0.25">
      <c r="A709" s="263">
        <f t="shared" si="10"/>
        <v>695</v>
      </c>
      <c r="B709" s="578" t="s">
        <v>159</v>
      </c>
      <c r="C709" s="578"/>
      <c r="D709" s="579" t="s">
        <v>159</v>
      </c>
      <c r="E709" s="579"/>
      <c r="F709" s="568" t="s">
        <v>162</v>
      </c>
      <c r="G709" s="568"/>
      <c r="H709" s="580"/>
      <c r="I709" s="581"/>
      <c r="J709" s="582"/>
      <c r="K709" s="572" t="s">
        <v>162</v>
      </c>
      <c r="L709" s="573"/>
      <c r="M709" s="574"/>
      <c r="N709" s="583" t="s">
        <v>159</v>
      </c>
      <c r="O709" s="584"/>
      <c r="P709" s="584"/>
      <c r="Q709" s="584"/>
      <c r="R709" s="584"/>
      <c r="S709" s="584"/>
      <c r="T709" s="584"/>
      <c r="U709" s="585"/>
    </row>
    <row r="710" spans="1:21" ht="35.1" customHeight="1" x14ac:dyDescent="0.25">
      <c r="A710" s="263">
        <f t="shared" si="10"/>
        <v>696</v>
      </c>
      <c r="B710" s="566" t="s">
        <v>159</v>
      </c>
      <c r="C710" s="566"/>
      <c r="D710" s="567" t="s">
        <v>159</v>
      </c>
      <c r="E710" s="567"/>
      <c r="F710" s="568" t="s">
        <v>162</v>
      </c>
      <c r="G710" s="568"/>
      <c r="H710" s="569"/>
      <c r="I710" s="570"/>
      <c r="J710" s="571"/>
      <c r="K710" s="572" t="s">
        <v>162</v>
      </c>
      <c r="L710" s="573"/>
      <c r="M710" s="574"/>
      <c r="N710" s="575" t="s">
        <v>159</v>
      </c>
      <c r="O710" s="576"/>
      <c r="P710" s="576"/>
      <c r="Q710" s="576"/>
      <c r="R710" s="576"/>
      <c r="S710" s="576"/>
      <c r="T710" s="576"/>
      <c r="U710" s="577"/>
    </row>
    <row r="711" spans="1:21" ht="35.1" customHeight="1" x14ac:dyDescent="0.25">
      <c r="A711" s="263">
        <f t="shared" si="10"/>
        <v>697</v>
      </c>
      <c r="B711" s="578" t="s">
        <v>159</v>
      </c>
      <c r="C711" s="578"/>
      <c r="D711" s="579" t="s">
        <v>159</v>
      </c>
      <c r="E711" s="579"/>
      <c r="F711" s="568" t="s">
        <v>162</v>
      </c>
      <c r="G711" s="568"/>
      <c r="H711" s="580"/>
      <c r="I711" s="581"/>
      <c r="J711" s="582"/>
      <c r="K711" s="572" t="s">
        <v>162</v>
      </c>
      <c r="L711" s="573"/>
      <c r="M711" s="574"/>
      <c r="N711" s="583" t="s">
        <v>159</v>
      </c>
      <c r="O711" s="584"/>
      <c r="P711" s="584"/>
      <c r="Q711" s="584"/>
      <c r="R711" s="584"/>
      <c r="S711" s="584"/>
      <c r="T711" s="584"/>
      <c r="U711" s="585"/>
    </row>
    <row r="712" spans="1:21" ht="35.1" customHeight="1" x14ac:dyDescent="0.25">
      <c r="A712" s="263">
        <f t="shared" si="10"/>
        <v>698</v>
      </c>
      <c r="B712" s="566" t="s">
        <v>159</v>
      </c>
      <c r="C712" s="566"/>
      <c r="D712" s="567" t="s">
        <v>159</v>
      </c>
      <c r="E712" s="567"/>
      <c r="F712" s="568" t="s">
        <v>162</v>
      </c>
      <c r="G712" s="568"/>
      <c r="H712" s="569"/>
      <c r="I712" s="570"/>
      <c r="J712" s="571"/>
      <c r="K712" s="572" t="s">
        <v>162</v>
      </c>
      <c r="L712" s="573"/>
      <c r="M712" s="574"/>
      <c r="N712" s="575" t="s">
        <v>159</v>
      </c>
      <c r="O712" s="576"/>
      <c r="P712" s="576"/>
      <c r="Q712" s="576"/>
      <c r="R712" s="576"/>
      <c r="S712" s="576"/>
      <c r="T712" s="576"/>
      <c r="U712" s="577"/>
    </row>
    <row r="713" spans="1:21" ht="35.1" customHeight="1" x14ac:dyDescent="0.25">
      <c r="A713" s="263">
        <f t="shared" si="10"/>
        <v>699</v>
      </c>
      <c r="B713" s="578" t="s">
        <v>159</v>
      </c>
      <c r="C713" s="578"/>
      <c r="D713" s="579" t="s">
        <v>159</v>
      </c>
      <c r="E713" s="579"/>
      <c r="F713" s="568" t="s">
        <v>162</v>
      </c>
      <c r="G713" s="568"/>
      <c r="H713" s="580"/>
      <c r="I713" s="581"/>
      <c r="J713" s="582"/>
      <c r="K713" s="572" t="s">
        <v>162</v>
      </c>
      <c r="L713" s="573"/>
      <c r="M713" s="574"/>
      <c r="N713" s="583" t="s">
        <v>159</v>
      </c>
      <c r="O713" s="584"/>
      <c r="P713" s="584"/>
      <c r="Q713" s="584"/>
      <c r="R713" s="584"/>
      <c r="S713" s="584"/>
      <c r="T713" s="584"/>
      <c r="U713" s="585"/>
    </row>
    <row r="714" spans="1:21" ht="35.1" customHeight="1" x14ac:dyDescent="0.25">
      <c r="A714" s="263">
        <f t="shared" si="10"/>
        <v>700</v>
      </c>
      <c r="B714" s="566" t="s">
        <v>448</v>
      </c>
      <c r="C714" s="566"/>
      <c r="D714" s="567" t="s">
        <v>159</v>
      </c>
      <c r="E714" s="567"/>
      <c r="F714" s="568" t="s">
        <v>162</v>
      </c>
      <c r="G714" s="568"/>
      <c r="H714" s="569"/>
      <c r="I714" s="570"/>
      <c r="J714" s="571"/>
      <c r="K714" s="572" t="s">
        <v>162</v>
      </c>
      <c r="L714" s="573"/>
      <c r="M714" s="574"/>
      <c r="N714" s="575" t="s">
        <v>159</v>
      </c>
      <c r="O714" s="576"/>
      <c r="P714" s="576"/>
      <c r="Q714" s="576"/>
      <c r="R714" s="576"/>
      <c r="S714" s="576"/>
      <c r="T714" s="576"/>
      <c r="U714" s="577"/>
    </row>
    <row r="715" spans="1:21" ht="35.1" customHeight="1" x14ac:dyDescent="0.25">
      <c r="A715" s="263">
        <f t="shared" si="10"/>
        <v>701</v>
      </c>
      <c r="B715" s="578" t="s">
        <v>159</v>
      </c>
      <c r="C715" s="578"/>
      <c r="D715" s="579" t="s">
        <v>159</v>
      </c>
      <c r="E715" s="579"/>
      <c r="F715" s="568" t="s">
        <v>162</v>
      </c>
      <c r="G715" s="568"/>
      <c r="H715" s="580"/>
      <c r="I715" s="581"/>
      <c r="J715" s="582"/>
      <c r="K715" s="572" t="s">
        <v>162</v>
      </c>
      <c r="L715" s="573"/>
      <c r="M715" s="574"/>
      <c r="N715" s="583" t="s">
        <v>159</v>
      </c>
      <c r="O715" s="584"/>
      <c r="P715" s="584"/>
      <c r="Q715" s="584"/>
      <c r="R715" s="584"/>
      <c r="S715" s="584"/>
      <c r="T715" s="584"/>
      <c r="U715" s="585"/>
    </row>
    <row r="716" spans="1:21" ht="35.1" customHeight="1" x14ac:dyDescent="0.25">
      <c r="A716" s="263">
        <f t="shared" si="10"/>
        <v>702</v>
      </c>
      <c r="B716" s="566" t="s">
        <v>159</v>
      </c>
      <c r="C716" s="566"/>
      <c r="D716" s="567" t="s">
        <v>159</v>
      </c>
      <c r="E716" s="567"/>
      <c r="F716" s="568" t="s">
        <v>162</v>
      </c>
      <c r="G716" s="568"/>
      <c r="H716" s="569"/>
      <c r="I716" s="570"/>
      <c r="J716" s="571"/>
      <c r="K716" s="572" t="s">
        <v>162</v>
      </c>
      <c r="L716" s="573"/>
      <c r="M716" s="574"/>
      <c r="N716" s="575" t="s">
        <v>159</v>
      </c>
      <c r="O716" s="576"/>
      <c r="P716" s="576"/>
      <c r="Q716" s="576"/>
      <c r="R716" s="576"/>
      <c r="S716" s="576"/>
      <c r="T716" s="576"/>
      <c r="U716" s="577"/>
    </row>
    <row r="717" spans="1:21" ht="35.1" customHeight="1" x14ac:dyDescent="0.25">
      <c r="A717" s="263">
        <f t="shared" si="10"/>
        <v>703</v>
      </c>
      <c r="B717" s="578" t="s">
        <v>159</v>
      </c>
      <c r="C717" s="578"/>
      <c r="D717" s="579" t="s">
        <v>159</v>
      </c>
      <c r="E717" s="579"/>
      <c r="F717" s="568" t="s">
        <v>162</v>
      </c>
      <c r="G717" s="568"/>
      <c r="H717" s="580"/>
      <c r="I717" s="581"/>
      <c r="J717" s="582"/>
      <c r="K717" s="572" t="s">
        <v>162</v>
      </c>
      <c r="L717" s="573"/>
      <c r="M717" s="574"/>
      <c r="N717" s="583" t="s">
        <v>159</v>
      </c>
      <c r="O717" s="584"/>
      <c r="P717" s="584"/>
      <c r="Q717" s="584"/>
      <c r="R717" s="584"/>
      <c r="S717" s="584"/>
      <c r="T717" s="584"/>
      <c r="U717" s="585"/>
    </row>
    <row r="718" spans="1:21" ht="35.1" customHeight="1" x14ac:dyDescent="0.25">
      <c r="A718" s="263">
        <f t="shared" si="10"/>
        <v>704</v>
      </c>
      <c r="B718" s="566" t="s">
        <v>159</v>
      </c>
      <c r="C718" s="566"/>
      <c r="D718" s="567" t="s">
        <v>159</v>
      </c>
      <c r="E718" s="567"/>
      <c r="F718" s="568" t="s">
        <v>162</v>
      </c>
      <c r="G718" s="568"/>
      <c r="H718" s="569"/>
      <c r="I718" s="570"/>
      <c r="J718" s="571"/>
      <c r="K718" s="572" t="s">
        <v>162</v>
      </c>
      <c r="L718" s="573"/>
      <c r="M718" s="574"/>
      <c r="N718" s="575" t="s">
        <v>159</v>
      </c>
      <c r="O718" s="576"/>
      <c r="P718" s="576"/>
      <c r="Q718" s="576"/>
      <c r="R718" s="576"/>
      <c r="S718" s="576"/>
      <c r="T718" s="576"/>
      <c r="U718" s="577"/>
    </row>
    <row r="719" spans="1:21" ht="35.1" customHeight="1" x14ac:dyDescent="0.25">
      <c r="A719" s="263">
        <f t="shared" ref="A719:A782" si="11">ROW(A705)</f>
        <v>705</v>
      </c>
      <c r="B719" s="578" t="s">
        <v>159</v>
      </c>
      <c r="C719" s="578"/>
      <c r="D719" s="579" t="s">
        <v>159</v>
      </c>
      <c r="E719" s="579"/>
      <c r="F719" s="568" t="s">
        <v>162</v>
      </c>
      <c r="G719" s="568"/>
      <c r="H719" s="580"/>
      <c r="I719" s="581"/>
      <c r="J719" s="582"/>
      <c r="K719" s="572" t="s">
        <v>162</v>
      </c>
      <c r="L719" s="573"/>
      <c r="M719" s="574"/>
      <c r="N719" s="583" t="s">
        <v>159</v>
      </c>
      <c r="O719" s="584"/>
      <c r="P719" s="584"/>
      <c r="Q719" s="584"/>
      <c r="R719" s="584"/>
      <c r="S719" s="584"/>
      <c r="T719" s="584"/>
      <c r="U719" s="585"/>
    </row>
    <row r="720" spans="1:21" ht="35.1" customHeight="1" x14ac:dyDescent="0.25">
      <c r="A720" s="263">
        <f t="shared" si="11"/>
        <v>706</v>
      </c>
      <c r="B720" s="566" t="s">
        <v>159</v>
      </c>
      <c r="C720" s="566"/>
      <c r="D720" s="567" t="s">
        <v>159</v>
      </c>
      <c r="E720" s="567"/>
      <c r="F720" s="568" t="s">
        <v>162</v>
      </c>
      <c r="G720" s="568"/>
      <c r="H720" s="569"/>
      <c r="I720" s="570"/>
      <c r="J720" s="571"/>
      <c r="K720" s="572" t="s">
        <v>162</v>
      </c>
      <c r="L720" s="573"/>
      <c r="M720" s="574"/>
      <c r="N720" s="575" t="s">
        <v>159</v>
      </c>
      <c r="O720" s="576"/>
      <c r="P720" s="576"/>
      <c r="Q720" s="576"/>
      <c r="R720" s="576"/>
      <c r="S720" s="576"/>
      <c r="T720" s="576"/>
      <c r="U720" s="577"/>
    </row>
    <row r="721" spans="1:21" ht="35.1" customHeight="1" x14ac:dyDescent="0.25">
      <c r="A721" s="263">
        <f t="shared" si="11"/>
        <v>707</v>
      </c>
      <c r="B721" s="578" t="s">
        <v>159</v>
      </c>
      <c r="C721" s="578"/>
      <c r="D721" s="579" t="s">
        <v>159</v>
      </c>
      <c r="E721" s="579"/>
      <c r="F721" s="568" t="s">
        <v>162</v>
      </c>
      <c r="G721" s="568"/>
      <c r="H721" s="580"/>
      <c r="I721" s="581"/>
      <c r="J721" s="582"/>
      <c r="K721" s="572" t="s">
        <v>162</v>
      </c>
      <c r="L721" s="573"/>
      <c r="M721" s="574"/>
      <c r="N721" s="583" t="s">
        <v>159</v>
      </c>
      <c r="O721" s="584"/>
      <c r="P721" s="584"/>
      <c r="Q721" s="584"/>
      <c r="R721" s="584"/>
      <c r="S721" s="584"/>
      <c r="T721" s="584"/>
      <c r="U721" s="585"/>
    </row>
    <row r="722" spans="1:21" ht="35.1" customHeight="1" x14ac:dyDescent="0.25">
      <c r="A722" s="263">
        <f t="shared" si="11"/>
        <v>708</v>
      </c>
      <c r="B722" s="566" t="s">
        <v>444</v>
      </c>
      <c r="C722" s="566"/>
      <c r="D722" s="567" t="s">
        <v>159</v>
      </c>
      <c r="E722" s="567"/>
      <c r="F722" s="568" t="s">
        <v>162</v>
      </c>
      <c r="G722" s="568"/>
      <c r="H722" s="569"/>
      <c r="I722" s="570"/>
      <c r="J722" s="571"/>
      <c r="K722" s="572" t="s">
        <v>162</v>
      </c>
      <c r="L722" s="573"/>
      <c r="M722" s="574"/>
      <c r="N722" s="575" t="s">
        <v>159</v>
      </c>
      <c r="O722" s="576"/>
      <c r="P722" s="576"/>
      <c r="Q722" s="576"/>
      <c r="R722" s="576"/>
      <c r="S722" s="576"/>
      <c r="T722" s="576"/>
      <c r="U722" s="577"/>
    </row>
    <row r="723" spans="1:21" ht="35.1" customHeight="1" x14ac:dyDescent="0.25">
      <c r="A723" s="263">
        <f t="shared" si="11"/>
        <v>709</v>
      </c>
      <c r="B723" s="578" t="s">
        <v>159</v>
      </c>
      <c r="C723" s="578"/>
      <c r="D723" s="579" t="s">
        <v>159</v>
      </c>
      <c r="E723" s="579"/>
      <c r="F723" s="568" t="s">
        <v>162</v>
      </c>
      <c r="G723" s="568"/>
      <c r="H723" s="580"/>
      <c r="I723" s="581"/>
      <c r="J723" s="582"/>
      <c r="K723" s="572" t="s">
        <v>162</v>
      </c>
      <c r="L723" s="573"/>
      <c r="M723" s="574"/>
      <c r="N723" s="583" t="s">
        <v>159</v>
      </c>
      <c r="O723" s="584"/>
      <c r="P723" s="584"/>
      <c r="Q723" s="584"/>
      <c r="R723" s="584"/>
      <c r="S723" s="584"/>
      <c r="T723" s="584"/>
      <c r="U723" s="585"/>
    </row>
    <row r="724" spans="1:21" ht="35.1" customHeight="1" x14ac:dyDescent="0.25">
      <c r="A724" s="263">
        <f t="shared" si="11"/>
        <v>710</v>
      </c>
      <c r="B724" s="566" t="s">
        <v>159</v>
      </c>
      <c r="C724" s="566"/>
      <c r="D724" s="567" t="s">
        <v>159</v>
      </c>
      <c r="E724" s="567"/>
      <c r="F724" s="568" t="s">
        <v>162</v>
      </c>
      <c r="G724" s="568"/>
      <c r="H724" s="569"/>
      <c r="I724" s="570"/>
      <c r="J724" s="571"/>
      <c r="K724" s="572" t="s">
        <v>162</v>
      </c>
      <c r="L724" s="573"/>
      <c r="M724" s="574"/>
      <c r="N724" s="575" t="s">
        <v>159</v>
      </c>
      <c r="O724" s="576"/>
      <c r="P724" s="576"/>
      <c r="Q724" s="576"/>
      <c r="R724" s="576"/>
      <c r="S724" s="576"/>
      <c r="T724" s="576"/>
      <c r="U724" s="577"/>
    </row>
    <row r="725" spans="1:21" ht="35.1" customHeight="1" x14ac:dyDescent="0.25">
      <c r="A725" s="263">
        <f t="shared" si="11"/>
        <v>711</v>
      </c>
      <c r="B725" s="578" t="s">
        <v>159</v>
      </c>
      <c r="C725" s="578"/>
      <c r="D725" s="579" t="s">
        <v>159</v>
      </c>
      <c r="E725" s="579"/>
      <c r="F725" s="568" t="s">
        <v>162</v>
      </c>
      <c r="G725" s="568"/>
      <c r="H725" s="580"/>
      <c r="I725" s="581"/>
      <c r="J725" s="582"/>
      <c r="K725" s="572" t="s">
        <v>162</v>
      </c>
      <c r="L725" s="573"/>
      <c r="M725" s="574"/>
      <c r="N725" s="583" t="s">
        <v>159</v>
      </c>
      <c r="O725" s="584"/>
      <c r="P725" s="584"/>
      <c r="Q725" s="584"/>
      <c r="R725" s="584"/>
      <c r="S725" s="584"/>
      <c r="T725" s="584"/>
      <c r="U725" s="585"/>
    </row>
    <row r="726" spans="1:21" ht="35.1" customHeight="1" x14ac:dyDescent="0.25">
      <c r="A726" s="263">
        <f t="shared" si="11"/>
        <v>712</v>
      </c>
      <c r="B726" s="566" t="s">
        <v>159</v>
      </c>
      <c r="C726" s="566"/>
      <c r="D726" s="567" t="s">
        <v>159</v>
      </c>
      <c r="E726" s="567"/>
      <c r="F726" s="568" t="s">
        <v>162</v>
      </c>
      <c r="G726" s="568"/>
      <c r="H726" s="569"/>
      <c r="I726" s="570"/>
      <c r="J726" s="571"/>
      <c r="K726" s="572" t="s">
        <v>162</v>
      </c>
      <c r="L726" s="573"/>
      <c r="M726" s="574"/>
      <c r="N726" s="575" t="s">
        <v>159</v>
      </c>
      <c r="O726" s="576"/>
      <c r="P726" s="576"/>
      <c r="Q726" s="576"/>
      <c r="R726" s="576"/>
      <c r="S726" s="576"/>
      <c r="T726" s="576"/>
      <c r="U726" s="577"/>
    </row>
    <row r="727" spans="1:21" ht="35.1" customHeight="1" x14ac:dyDescent="0.25">
      <c r="A727" s="263">
        <f t="shared" si="11"/>
        <v>713</v>
      </c>
      <c r="B727" s="578" t="s">
        <v>159</v>
      </c>
      <c r="C727" s="578"/>
      <c r="D727" s="579" t="s">
        <v>159</v>
      </c>
      <c r="E727" s="579"/>
      <c r="F727" s="568" t="s">
        <v>162</v>
      </c>
      <c r="G727" s="568"/>
      <c r="H727" s="580"/>
      <c r="I727" s="581"/>
      <c r="J727" s="582"/>
      <c r="K727" s="572" t="s">
        <v>162</v>
      </c>
      <c r="L727" s="573"/>
      <c r="M727" s="574"/>
      <c r="N727" s="583" t="s">
        <v>159</v>
      </c>
      <c r="O727" s="584"/>
      <c r="P727" s="584"/>
      <c r="Q727" s="584"/>
      <c r="R727" s="584"/>
      <c r="S727" s="584"/>
      <c r="T727" s="584"/>
      <c r="U727" s="585"/>
    </row>
    <row r="728" spans="1:21" ht="35.1" customHeight="1" x14ac:dyDescent="0.25">
      <c r="A728" s="263">
        <f t="shared" si="11"/>
        <v>714</v>
      </c>
      <c r="B728" s="566" t="s">
        <v>159</v>
      </c>
      <c r="C728" s="566"/>
      <c r="D728" s="567" t="s">
        <v>159</v>
      </c>
      <c r="E728" s="567"/>
      <c r="F728" s="568" t="s">
        <v>162</v>
      </c>
      <c r="G728" s="568"/>
      <c r="H728" s="569"/>
      <c r="I728" s="570"/>
      <c r="J728" s="571"/>
      <c r="K728" s="572" t="s">
        <v>162</v>
      </c>
      <c r="L728" s="573"/>
      <c r="M728" s="574"/>
      <c r="N728" s="575" t="s">
        <v>159</v>
      </c>
      <c r="O728" s="576"/>
      <c r="P728" s="576"/>
      <c r="Q728" s="576"/>
      <c r="R728" s="576"/>
      <c r="S728" s="576"/>
      <c r="T728" s="576"/>
      <c r="U728" s="577"/>
    </row>
    <row r="729" spans="1:21" ht="35.1" customHeight="1" x14ac:dyDescent="0.25">
      <c r="A729" s="263">
        <f t="shared" si="11"/>
        <v>715</v>
      </c>
      <c r="B729" s="578" t="s">
        <v>449</v>
      </c>
      <c r="C729" s="578"/>
      <c r="D729" s="579" t="s">
        <v>159</v>
      </c>
      <c r="E729" s="579"/>
      <c r="F729" s="568" t="s">
        <v>162</v>
      </c>
      <c r="G729" s="568"/>
      <c r="H729" s="580"/>
      <c r="I729" s="581"/>
      <c r="J729" s="582"/>
      <c r="K729" s="572" t="s">
        <v>162</v>
      </c>
      <c r="L729" s="573"/>
      <c r="M729" s="574"/>
      <c r="N729" s="583" t="s">
        <v>159</v>
      </c>
      <c r="O729" s="584"/>
      <c r="P729" s="584"/>
      <c r="Q729" s="584"/>
      <c r="R729" s="584"/>
      <c r="S729" s="584"/>
      <c r="T729" s="584"/>
      <c r="U729" s="585"/>
    </row>
    <row r="730" spans="1:21" ht="35.1" customHeight="1" x14ac:dyDescent="0.25">
      <c r="A730" s="263">
        <f t="shared" si="11"/>
        <v>716</v>
      </c>
      <c r="B730" s="566" t="s">
        <v>159</v>
      </c>
      <c r="C730" s="566"/>
      <c r="D730" s="567" t="s">
        <v>159</v>
      </c>
      <c r="E730" s="567"/>
      <c r="F730" s="568" t="s">
        <v>162</v>
      </c>
      <c r="G730" s="568"/>
      <c r="H730" s="569"/>
      <c r="I730" s="570"/>
      <c r="J730" s="571"/>
      <c r="K730" s="572" t="s">
        <v>162</v>
      </c>
      <c r="L730" s="573"/>
      <c r="M730" s="574"/>
      <c r="N730" s="575" t="s">
        <v>159</v>
      </c>
      <c r="O730" s="576"/>
      <c r="P730" s="576"/>
      <c r="Q730" s="576"/>
      <c r="R730" s="576"/>
      <c r="S730" s="576"/>
      <c r="T730" s="576"/>
      <c r="U730" s="577"/>
    </row>
    <row r="731" spans="1:21" ht="35.1" customHeight="1" x14ac:dyDescent="0.25">
      <c r="A731" s="263">
        <f t="shared" si="11"/>
        <v>717</v>
      </c>
      <c r="B731" s="578" t="s">
        <v>159</v>
      </c>
      <c r="C731" s="578"/>
      <c r="D731" s="579" t="s">
        <v>159</v>
      </c>
      <c r="E731" s="579"/>
      <c r="F731" s="568" t="s">
        <v>162</v>
      </c>
      <c r="G731" s="568"/>
      <c r="H731" s="580"/>
      <c r="I731" s="581"/>
      <c r="J731" s="582"/>
      <c r="K731" s="572" t="s">
        <v>162</v>
      </c>
      <c r="L731" s="573"/>
      <c r="M731" s="574"/>
      <c r="N731" s="583" t="s">
        <v>159</v>
      </c>
      <c r="O731" s="584"/>
      <c r="P731" s="584"/>
      <c r="Q731" s="584"/>
      <c r="R731" s="584"/>
      <c r="S731" s="584"/>
      <c r="T731" s="584"/>
      <c r="U731" s="585"/>
    </row>
    <row r="732" spans="1:21" ht="35.1" customHeight="1" x14ac:dyDescent="0.25">
      <c r="A732" s="263">
        <f t="shared" si="11"/>
        <v>718</v>
      </c>
      <c r="B732" s="566" t="s">
        <v>159</v>
      </c>
      <c r="C732" s="566"/>
      <c r="D732" s="567" t="s">
        <v>159</v>
      </c>
      <c r="E732" s="567"/>
      <c r="F732" s="568" t="s">
        <v>162</v>
      </c>
      <c r="G732" s="568"/>
      <c r="H732" s="569"/>
      <c r="I732" s="570"/>
      <c r="J732" s="571"/>
      <c r="K732" s="572" t="s">
        <v>162</v>
      </c>
      <c r="L732" s="573"/>
      <c r="M732" s="574"/>
      <c r="N732" s="575" t="s">
        <v>159</v>
      </c>
      <c r="O732" s="576"/>
      <c r="P732" s="576"/>
      <c r="Q732" s="576"/>
      <c r="R732" s="576"/>
      <c r="S732" s="576"/>
      <c r="T732" s="576"/>
      <c r="U732" s="577"/>
    </row>
    <row r="733" spans="1:21" ht="35.1" customHeight="1" x14ac:dyDescent="0.25">
      <c r="A733" s="263">
        <f t="shared" si="11"/>
        <v>719</v>
      </c>
      <c r="B733" s="578" t="s">
        <v>159</v>
      </c>
      <c r="C733" s="578"/>
      <c r="D733" s="579" t="s">
        <v>159</v>
      </c>
      <c r="E733" s="579"/>
      <c r="F733" s="568" t="s">
        <v>162</v>
      </c>
      <c r="G733" s="568"/>
      <c r="H733" s="580"/>
      <c r="I733" s="581"/>
      <c r="J733" s="582"/>
      <c r="K733" s="572" t="s">
        <v>162</v>
      </c>
      <c r="L733" s="573"/>
      <c r="M733" s="574"/>
      <c r="N733" s="583" t="s">
        <v>159</v>
      </c>
      <c r="O733" s="584"/>
      <c r="P733" s="584"/>
      <c r="Q733" s="584"/>
      <c r="R733" s="584"/>
      <c r="S733" s="584"/>
      <c r="T733" s="584"/>
      <c r="U733" s="585"/>
    </row>
    <row r="734" spans="1:21" ht="35.1" customHeight="1" x14ac:dyDescent="0.25">
      <c r="A734" s="263">
        <f t="shared" si="11"/>
        <v>720</v>
      </c>
      <c r="B734" s="566" t="s">
        <v>159</v>
      </c>
      <c r="C734" s="566"/>
      <c r="D734" s="567" t="s">
        <v>159</v>
      </c>
      <c r="E734" s="567"/>
      <c r="F734" s="568" t="s">
        <v>162</v>
      </c>
      <c r="G734" s="568"/>
      <c r="H734" s="569"/>
      <c r="I734" s="570"/>
      <c r="J734" s="571"/>
      <c r="K734" s="572" t="s">
        <v>162</v>
      </c>
      <c r="L734" s="573"/>
      <c r="M734" s="574"/>
      <c r="N734" s="575" t="s">
        <v>159</v>
      </c>
      <c r="O734" s="576"/>
      <c r="P734" s="576"/>
      <c r="Q734" s="576"/>
      <c r="R734" s="576"/>
      <c r="S734" s="576"/>
      <c r="T734" s="576"/>
      <c r="U734" s="577"/>
    </row>
    <row r="735" spans="1:21" ht="35.1" customHeight="1" x14ac:dyDescent="0.25">
      <c r="A735" s="263">
        <f t="shared" si="11"/>
        <v>721</v>
      </c>
      <c r="B735" s="578" t="s">
        <v>159</v>
      </c>
      <c r="C735" s="578"/>
      <c r="D735" s="579" t="s">
        <v>159</v>
      </c>
      <c r="E735" s="579"/>
      <c r="F735" s="568" t="s">
        <v>162</v>
      </c>
      <c r="G735" s="568"/>
      <c r="H735" s="580"/>
      <c r="I735" s="581"/>
      <c r="J735" s="582"/>
      <c r="K735" s="572" t="s">
        <v>162</v>
      </c>
      <c r="L735" s="573"/>
      <c r="M735" s="574"/>
      <c r="N735" s="583" t="s">
        <v>159</v>
      </c>
      <c r="O735" s="584"/>
      <c r="P735" s="584"/>
      <c r="Q735" s="584"/>
      <c r="R735" s="584"/>
      <c r="S735" s="584"/>
      <c r="T735" s="584"/>
      <c r="U735" s="585"/>
    </row>
    <row r="736" spans="1:21" ht="35.1" customHeight="1" x14ac:dyDescent="0.25">
      <c r="A736" s="263">
        <f t="shared" si="11"/>
        <v>722</v>
      </c>
      <c r="B736" s="566" t="s">
        <v>444</v>
      </c>
      <c r="C736" s="566"/>
      <c r="D736" s="567" t="s">
        <v>159</v>
      </c>
      <c r="E736" s="567"/>
      <c r="F736" s="568" t="s">
        <v>162</v>
      </c>
      <c r="G736" s="568"/>
      <c r="H736" s="569"/>
      <c r="I736" s="570"/>
      <c r="J736" s="571"/>
      <c r="K736" s="572" t="s">
        <v>162</v>
      </c>
      <c r="L736" s="573"/>
      <c r="M736" s="574"/>
      <c r="N736" s="575" t="s">
        <v>159</v>
      </c>
      <c r="O736" s="576"/>
      <c r="P736" s="576"/>
      <c r="Q736" s="576"/>
      <c r="R736" s="576"/>
      <c r="S736" s="576"/>
      <c r="T736" s="576"/>
      <c r="U736" s="577"/>
    </row>
    <row r="737" spans="1:21" ht="35.1" customHeight="1" x14ac:dyDescent="0.25">
      <c r="A737" s="263">
        <f t="shared" si="11"/>
        <v>723</v>
      </c>
      <c r="B737" s="578" t="s">
        <v>159</v>
      </c>
      <c r="C737" s="578"/>
      <c r="D737" s="579" t="s">
        <v>159</v>
      </c>
      <c r="E737" s="579"/>
      <c r="F737" s="568" t="s">
        <v>162</v>
      </c>
      <c r="G737" s="568"/>
      <c r="H737" s="580"/>
      <c r="I737" s="581"/>
      <c r="J737" s="582"/>
      <c r="K737" s="572" t="s">
        <v>162</v>
      </c>
      <c r="L737" s="573"/>
      <c r="M737" s="574"/>
      <c r="N737" s="583" t="s">
        <v>159</v>
      </c>
      <c r="O737" s="584"/>
      <c r="P737" s="584"/>
      <c r="Q737" s="584"/>
      <c r="R737" s="584"/>
      <c r="S737" s="584"/>
      <c r="T737" s="584"/>
      <c r="U737" s="585"/>
    </row>
    <row r="738" spans="1:21" ht="35.1" customHeight="1" x14ac:dyDescent="0.25">
      <c r="A738" s="263">
        <f t="shared" si="11"/>
        <v>724</v>
      </c>
      <c r="B738" s="566" t="s">
        <v>159</v>
      </c>
      <c r="C738" s="566"/>
      <c r="D738" s="567" t="s">
        <v>159</v>
      </c>
      <c r="E738" s="567"/>
      <c r="F738" s="568" t="s">
        <v>162</v>
      </c>
      <c r="G738" s="568"/>
      <c r="H738" s="569"/>
      <c r="I738" s="570"/>
      <c r="J738" s="571"/>
      <c r="K738" s="572" t="s">
        <v>162</v>
      </c>
      <c r="L738" s="573"/>
      <c r="M738" s="574"/>
      <c r="N738" s="575" t="s">
        <v>159</v>
      </c>
      <c r="O738" s="576"/>
      <c r="P738" s="576"/>
      <c r="Q738" s="576"/>
      <c r="R738" s="576"/>
      <c r="S738" s="576"/>
      <c r="T738" s="576"/>
      <c r="U738" s="577"/>
    </row>
    <row r="739" spans="1:21" ht="35.1" customHeight="1" x14ac:dyDescent="0.25">
      <c r="A739" s="263">
        <f t="shared" si="11"/>
        <v>725</v>
      </c>
      <c r="B739" s="578" t="s">
        <v>159</v>
      </c>
      <c r="C739" s="578"/>
      <c r="D739" s="579" t="s">
        <v>159</v>
      </c>
      <c r="E739" s="579"/>
      <c r="F739" s="568" t="s">
        <v>162</v>
      </c>
      <c r="G739" s="568"/>
      <c r="H739" s="580"/>
      <c r="I739" s="581"/>
      <c r="J739" s="582"/>
      <c r="K739" s="572" t="s">
        <v>162</v>
      </c>
      <c r="L739" s="573"/>
      <c r="M739" s="574"/>
      <c r="N739" s="583" t="s">
        <v>159</v>
      </c>
      <c r="O739" s="584"/>
      <c r="P739" s="584"/>
      <c r="Q739" s="584"/>
      <c r="R739" s="584"/>
      <c r="S739" s="584"/>
      <c r="T739" s="584"/>
      <c r="U739" s="585"/>
    </row>
    <row r="740" spans="1:21" ht="35.1" customHeight="1" x14ac:dyDescent="0.25">
      <c r="A740" s="263">
        <f t="shared" si="11"/>
        <v>726</v>
      </c>
      <c r="B740" s="566" t="s">
        <v>159</v>
      </c>
      <c r="C740" s="566"/>
      <c r="D740" s="567" t="s">
        <v>159</v>
      </c>
      <c r="E740" s="567"/>
      <c r="F740" s="568" t="s">
        <v>162</v>
      </c>
      <c r="G740" s="568"/>
      <c r="H740" s="569"/>
      <c r="I740" s="570"/>
      <c r="J740" s="571"/>
      <c r="K740" s="572" t="s">
        <v>162</v>
      </c>
      <c r="L740" s="573"/>
      <c r="M740" s="574"/>
      <c r="N740" s="575" t="s">
        <v>159</v>
      </c>
      <c r="O740" s="576"/>
      <c r="P740" s="576"/>
      <c r="Q740" s="576"/>
      <c r="R740" s="576"/>
      <c r="S740" s="576"/>
      <c r="T740" s="576"/>
      <c r="U740" s="577"/>
    </row>
    <row r="741" spans="1:21" ht="35.1" customHeight="1" x14ac:dyDescent="0.25">
      <c r="A741" s="263">
        <f t="shared" si="11"/>
        <v>727</v>
      </c>
      <c r="B741" s="578" t="s">
        <v>159</v>
      </c>
      <c r="C741" s="578"/>
      <c r="D741" s="579" t="s">
        <v>159</v>
      </c>
      <c r="E741" s="579"/>
      <c r="F741" s="568" t="s">
        <v>162</v>
      </c>
      <c r="G741" s="568"/>
      <c r="H741" s="580"/>
      <c r="I741" s="581"/>
      <c r="J741" s="582"/>
      <c r="K741" s="572" t="s">
        <v>162</v>
      </c>
      <c r="L741" s="573"/>
      <c r="M741" s="574"/>
      <c r="N741" s="583" t="s">
        <v>159</v>
      </c>
      <c r="O741" s="584"/>
      <c r="P741" s="584"/>
      <c r="Q741" s="584"/>
      <c r="R741" s="584"/>
      <c r="S741" s="584"/>
      <c r="T741" s="584"/>
      <c r="U741" s="585"/>
    </row>
    <row r="742" spans="1:21" ht="35.1" customHeight="1" x14ac:dyDescent="0.25">
      <c r="A742" s="263">
        <f t="shared" si="11"/>
        <v>728</v>
      </c>
      <c r="B742" s="566" t="s">
        <v>159</v>
      </c>
      <c r="C742" s="566"/>
      <c r="D742" s="567" t="s">
        <v>159</v>
      </c>
      <c r="E742" s="567"/>
      <c r="F742" s="568" t="s">
        <v>162</v>
      </c>
      <c r="G742" s="568"/>
      <c r="H742" s="569"/>
      <c r="I742" s="570"/>
      <c r="J742" s="571"/>
      <c r="K742" s="572" t="s">
        <v>162</v>
      </c>
      <c r="L742" s="573"/>
      <c r="M742" s="574"/>
      <c r="N742" s="575" t="s">
        <v>159</v>
      </c>
      <c r="O742" s="576"/>
      <c r="P742" s="576"/>
      <c r="Q742" s="576"/>
      <c r="R742" s="576"/>
      <c r="S742" s="576"/>
      <c r="T742" s="576"/>
      <c r="U742" s="577"/>
    </row>
    <row r="743" spans="1:21" ht="35.1" customHeight="1" x14ac:dyDescent="0.25">
      <c r="A743" s="263">
        <f t="shared" si="11"/>
        <v>729</v>
      </c>
      <c r="B743" s="578" t="s">
        <v>159</v>
      </c>
      <c r="C743" s="578"/>
      <c r="D743" s="579" t="s">
        <v>159</v>
      </c>
      <c r="E743" s="579"/>
      <c r="F743" s="568" t="s">
        <v>162</v>
      </c>
      <c r="G743" s="568"/>
      <c r="H743" s="580"/>
      <c r="I743" s="581"/>
      <c r="J743" s="582"/>
      <c r="K743" s="572" t="s">
        <v>162</v>
      </c>
      <c r="L743" s="573"/>
      <c r="M743" s="574"/>
      <c r="N743" s="583" t="s">
        <v>159</v>
      </c>
      <c r="O743" s="584"/>
      <c r="P743" s="584"/>
      <c r="Q743" s="584"/>
      <c r="R743" s="584"/>
      <c r="S743" s="584"/>
      <c r="T743" s="584"/>
      <c r="U743" s="585"/>
    </row>
    <row r="744" spans="1:21" ht="35.1" customHeight="1" x14ac:dyDescent="0.25">
      <c r="A744" s="263">
        <f t="shared" si="11"/>
        <v>730</v>
      </c>
      <c r="B744" s="566" t="s">
        <v>450</v>
      </c>
      <c r="C744" s="566"/>
      <c r="D744" s="567" t="s">
        <v>159</v>
      </c>
      <c r="E744" s="567"/>
      <c r="F744" s="568" t="s">
        <v>162</v>
      </c>
      <c r="G744" s="568"/>
      <c r="H744" s="569"/>
      <c r="I744" s="570"/>
      <c r="J744" s="571"/>
      <c r="K744" s="572" t="s">
        <v>162</v>
      </c>
      <c r="L744" s="573"/>
      <c r="M744" s="574"/>
      <c r="N744" s="575" t="s">
        <v>159</v>
      </c>
      <c r="O744" s="576"/>
      <c r="P744" s="576"/>
      <c r="Q744" s="576"/>
      <c r="R744" s="576"/>
      <c r="S744" s="576"/>
      <c r="T744" s="576"/>
      <c r="U744" s="577"/>
    </row>
    <row r="745" spans="1:21" ht="35.1" customHeight="1" x14ac:dyDescent="0.25">
      <c r="A745" s="263">
        <f t="shared" si="11"/>
        <v>731</v>
      </c>
      <c r="B745" s="578" t="s">
        <v>159</v>
      </c>
      <c r="C745" s="578"/>
      <c r="D745" s="579" t="s">
        <v>159</v>
      </c>
      <c r="E745" s="579"/>
      <c r="F745" s="568" t="s">
        <v>162</v>
      </c>
      <c r="G745" s="568"/>
      <c r="H745" s="580"/>
      <c r="I745" s="581"/>
      <c r="J745" s="582"/>
      <c r="K745" s="572" t="s">
        <v>162</v>
      </c>
      <c r="L745" s="573"/>
      <c r="M745" s="574"/>
      <c r="N745" s="583" t="s">
        <v>159</v>
      </c>
      <c r="O745" s="584"/>
      <c r="P745" s="584"/>
      <c r="Q745" s="584"/>
      <c r="R745" s="584"/>
      <c r="S745" s="584"/>
      <c r="T745" s="584"/>
      <c r="U745" s="585"/>
    </row>
    <row r="746" spans="1:21" ht="35.1" customHeight="1" x14ac:dyDescent="0.25">
      <c r="A746" s="263">
        <f t="shared" si="11"/>
        <v>732</v>
      </c>
      <c r="B746" s="566" t="s">
        <v>159</v>
      </c>
      <c r="C746" s="566"/>
      <c r="D746" s="567" t="s">
        <v>159</v>
      </c>
      <c r="E746" s="567"/>
      <c r="F746" s="568" t="s">
        <v>162</v>
      </c>
      <c r="G746" s="568"/>
      <c r="H746" s="569"/>
      <c r="I746" s="570"/>
      <c r="J746" s="571"/>
      <c r="K746" s="572" t="s">
        <v>162</v>
      </c>
      <c r="L746" s="573"/>
      <c r="M746" s="574"/>
      <c r="N746" s="575" t="s">
        <v>159</v>
      </c>
      <c r="O746" s="576"/>
      <c r="P746" s="576"/>
      <c r="Q746" s="576"/>
      <c r="R746" s="576"/>
      <c r="S746" s="576"/>
      <c r="T746" s="576"/>
      <c r="U746" s="577"/>
    </row>
    <row r="747" spans="1:21" ht="35.1" customHeight="1" x14ac:dyDescent="0.25">
      <c r="A747" s="263">
        <f t="shared" si="11"/>
        <v>733</v>
      </c>
      <c r="B747" s="578" t="s">
        <v>442</v>
      </c>
      <c r="C747" s="578"/>
      <c r="D747" s="579" t="s">
        <v>159</v>
      </c>
      <c r="E747" s="579"/>
      <c r="F747" s="568" t="s">
        <v>162</v>
      </c>
      <c r="G747" s="568"/>
      <c r="H747" s="580"/>
      <c r="I747" s="581"/>
      <c r="J747" s="582"/>
      <c r="K747" s="572" t="s">
        <v>162</v>
      </c>
      <c r="L747" s="573"/>
      <c r="M747" s="574"/>
      <c r="N747" s="583" t="s">
        <v>159</v>
      </c>
      <c r="O747" s="584"/>
      <c r="P747" s="584"/>
      <c r="Q747" s="584"/>
      <c r="R747" s="584"/>
      <c r="S747" s="584"/>
      <c r="T747" s="584"/>
      <c r="U747" s="585"/>
    </row>
    <row r="748" spans="1:21" ht="35.1" customHeight="1" x14ac:dyDescent="0.25">
      <c r="A748" s="263">
        <f t="shared" si="11"/>
        <v>734</v>
      </c>
      <c r="B748" s="566" t="s">
        <v>159</v>
      </c>
      <c r="C748" s="566"/>
      <c r="D748" s="567" t="s">
        <v>159</v>
      </c>
      <c r="E748" s="567"/>
      <c r="F748" s="568" t="s">
        <v>162</v>
      </c>
      <c r="G748" s="568"/>
      <c r="H748" s="569"/>
      <c r="I748" s="570"/>
      <c r="J748" s="571"/>
      <c r="K748" s="572" t="s">
        <v>162</v>
      </c>
      <c r="L748" s="573"/>
      <c r="M748" s="574"/>
      <c r="N748" s="575" t="s">
        <v>159</v>
      </c>
      <c r="O748" s="576"/>
      <c r="P748" s="576"/>
      <c r="Q748" s="576"/>
      <c r="R748" s="576"/>
      <c r="S748" s="576"/>
      <c r="T748" s="576"/>
      <c r="U748" s="577"/>
    </row>
    <row r="749" spans="1:21" ht="35.1" customHeight="1" x14ac:dyDescent="0.25">
      <c r="A749" s="263">
        <f t="shared" si="11"/>
        <v>735</v>
      </c>
      <c r="B749" s="578" t="s">
        <v>159</v>
      </c>
      <c r="C749" s="578"/>
      <c r="D749" s="579" t="s">
        <v>159</v>
      </c>
      <c r="E749" s="579"/>
      <c r="F749" s="568" t="s">
        <v>162</v>
      </c>
      <c r="G749" s="568"/>
      <c r="H749" s="580"/>
      <c r="I749" s="581"/>
      <c r="J749" s="582"/>
      <c r="K749" s="572" t="s">
        <v>162</v>
      </c>
      <c r="L749" s="573"/>
      <c r="M749" s="574"/>
      <c r="N749" s="583" t="s">
        <v>159</v>
      </c>
      <c r="O749" s="584"/>
      <c r="P749" s="584"/>
      <c r="Q749" s="584"/>
      <c r="R749" s="584"/>
      <c r="S749" s="584"/>
      <c r="T749" s="584"/>
      <c r="U749" s="585"/>
    </row>
    <row r="750" spans="1:21" ht="35.1" customHeight="1" x14ac:dyDescent="0.25">
      <c r="A750" s="263">
        <f t="shared" si="11"/>
        <v>736</v>
      </c>
      <c r="B750" s="566" t="s">
        <v>159</v>
      </c>
      <c r="C750" s="566"/>
      <c r="D750" s="567" t="s">
        <v>159</v>
      </c>
      <c r="E750" s="567"/>
      <c r="F750" s="568" t="s">
        <v>162</v>
      </c>
      <c r="G750" s="568"/>
      <c r="H750" s="569"/>
      <c r="I750" s="570"/>
      <c r="J750" s="571"/>
      <c r="K750" s="572" t="s">
        <v>162</v>
      </c>
      <c r="L750" s="573"/>
      <c r="M750" s="574"/>
      <c r="N750" s="575" t="s">
        <v>159</v>
      </c>
      <c r="O750" s="576"/>
      <c r="P750" s="576"/>
      <c r="Q750" s="576"/>
      <c r="R750" s="576"/>
      <c r="S750" s="576"/>
      <c r="T750" s="576"/>
      <c r="U750" s="577"/>
    </row>
    <row r="751" spans="1:21" ht="35.1" customHeight="1" x14ac:dyDescent="0.25">
      <c r="A751" s="263">
        <f t="shared" si="11"/>
        <v>737</v>
      </c>
      <c r="B751" s="578" t="s">
        <v>159</v>
      </c>
      <c r="C751" s="578"/>
      <c r="D751" s="579" t="s">
        <v>159</v>
      </c>
      <c r="E751" s="579"/>
      <c r="F751" s="568" t="s">
        <v>162</v>
      </c>
      <c r="G751" s="568"/>
      <c r="H751" s="580"/>
      <c r="I751" s="581"/>
      <c r="J751" s="582"/>
      <c r="K751" s="572" t="s">
        <v>162</v>
      </c>
      <c r="L751" s="573"/>
      <c r="M751" s="574"/>
      <c r="N751" s="583" t="s">
        <v>159</v>
      </c>
      <c r="O751" s="584"/>
      <c r="P751" s="584"/>
      <c r="Q751" s="584"/>
      <c r="R751" s="584"/>
      <c r="S751" s="584"/>
      <c r="T751" s="584"/>
      <c r="U751" s="585"/>
    </row>
    <row r="752" spans="1:21" ht="35.1" customHeight="1" x14ac:dyDescent="0.25">
      <c r="A752" s="263">
        <f t="shared" si="11"/>
        <v>738</v>
      </c>
      <c r="B752" s="566" t="s">
        <v>159</v>
      </c>
      <c r="C752" s="566"/>
      <c r="D752" s="567" t="s">
        <v>159</v>
      </c>
      <c r="E752" s="567"/>
      <c r="F752" s="568" t="s">
        <v>162</v>
      </c>
      <c r="G752" s="568"/>
      <c r="H752" s="569"/>
      <c r="I752" s="570"/>
      <c r="J752" s="571"/>
      <c r="K752" s="572" t="s">
        <v>162</v>
      </c>
      <c r="L752" s="573"/>
      <c r="M752" s="574"/>
      <c r="N752" s="575" t="s">
        <v>159</v>
      </c>
      <c r="O752" s="576"/>
      <c r="P752" s="576"/>
      <c r="Q752" s="576"/>
      <c r="R752" s="576"/>
      <c r="S752" s="576"/>
      <c r="T752" s="576"/>
      <c r="U752" s="577"/>
    </row>
    <row r="753" spans="1:21" ht="35.1" customHeight="1" x14ac:dyDescent="0.25">
      <c r="A753" s="263">
        <f t="shared" si="11"/>
        <v>739</v>
      </c>
      <c r="B753" s="578" t="s">
        <v>446</v>
      </c>
      <c r="C753" s="578"/>
      <c r="D753" s="579" t="s">
        <v>159</v>
      </c>
      <c r="E753" s="579"/>
      <c r="F753" s="568" t="s">
        <v>162</v>
      </c>
      <c r="G753" s="568"/>
      <c r="H753" s="580"/>
      <c r="I753" s="581"/>
      <c r="J753" s="582"/>
      <c r="K753" s="572" t="s">
        <v>162</v>
      </c>
      <c r="L753" s="573"/>
      <c r="M753" s="574"/>
      <c r="N753" s="583" t="s">
        <v>159</v>
      </c>
      <c r="O753" s="584"/>
      <c r="P753" s="584"/>
      <c r="Q753" s="584"/>
      <c r="R753" s="584"/>
      <c r="S753" s="584"/>
      <c r="T753" s="584"/>
      <c r="U753" s="585"/>
    </row>
    <row r="754" spans="1:21" ht="35.1" customHeight="1" x14ac:dyDescent="0.25">
      <c r="A754" s="263">
        <f t="shared" si="11"/>
        <v>740</v>
      </c>
      <c r="B754" s="566" t="s">
        <v>159</v>
      </c>
      <c r="C754" s="566"/>
      <c r="D754" s="567" t="s">
        <v>159</v>
      </c>
      <c r="E754" s="567"/>
      <c r="F754" s="568" t="s">
        <v>162</v>
      </c>
      <c r="G754" s="568"/>
      <c r="H754" s="569"/>
      <c r="I754" s="570"/>
      <c r="J754" s="571"/>
      <c r="K754" s="572" t="s">
        <v>162</v>
      </c>
      <c r="L754" s="573"/>
      <c r="M754" s="574"/>
      <c r="N754" s="575" t="s">
        <v>159</v>
      </c>
      <c r="O754" s="576"/>
      <c r="P754" s="576"/>
      <c r="Q754" s="576"/>
      <c r="R754" s="576"/>
      <c r="S754" s="576"/>
      <c r="T754" s="576"/>
      <c r="U754" s="577"/>
    </row>
    <row r="755" spans="1:21" ht="35.1" customHeight="1" x14ac:dyDescent="0.25">
      <c r="A755" s="263">
        <f t="shared" si="11"/>
        <v>741</v>
      </c>
      <c r="B755" s="578" t="s">
        <v>159</v>
      </c>
      <c r="C755" s="578"/>
      <c r="D755" s="579" t="s">
        <v>159</v>
      </c>
      <c r="E755" s="579"/>
      <c r="F755" s="568" t="s">
        <v>162</v>
      </c>
      <c r="G755" s="568"/>
      <c r="H755" s="580"/>
      <c r="I755" s="581"/>
      <c r="J755" s="582"/>
      <c r="K755" s="572" t="s">
        <v>162</v>
      </c>
      <c r="L755" s="573"/>
      <c r="M755" s="574"/>
      <c r="N755" s="583" t="s">
        <v>159</v>
      </c>
      <c r="O755" s="584"/>
      <c r="P755" s="584"/>
      <c r="Q755" s="584"/>
      <c r="R755" s="584"/>
      <c r="S755" s="584"/>
      <c r="T755" s="584"/>
      <c r="U755" s="585"/>
    </row>
    <row r="756" spans="1:21" ht="35.1" customHeight="1" x14ac:dyDescent="0.25">
      <c r="A756" s="263">
        <f t="shared" si="11"/>
        <v>742</v>
      </c>
      <c r="B756" s="566" t="s">
        <v>159</v>
      </c>
      <c r="C756" s="566"/>
      <c r="D756" s="567" t="s">
        <v>159</v>
      </c>
      <c r="E756" s="567"/>
      <c r="F756" s="568" t="s">
        <v>162</v>
      </c>
      <c r="G756" s="568"/>
      <c r="H756" s="569"/>
      <c r="I756" s="570"/>
      <c r="J756" s="571"/>
      <c r="K756" s="572" t="s">
        <v>162</v>
      </c>
      <c r="L756" s="573"/>
      <c r="M756" s="574"/>
      <c r="N756" s="575" t="s">
        <v>159</v>
      </c>
      <c r="O756" s="576"/>
      <c r="P756" s="576"/>
      <c r="Q756" s="576"/>
      <c r="R756" s="576"/>
      <c r="S756" s="576"/>
      <c r="T756" s="576"/>
      <c r="U756" s="577"/>
    </row>
    <row r="757" spans="1:21" ht="35.1" customHeight="1" x14ac:dyDescent="0.25">
      <c r="A757" s="263">
        <f t="shared" si="11"/>
        <v>743</v>
      </c>
      <c r="B757" s="578" t="s">
        <v>159</v>
      </c>
      <c r="C757" s="578"/>
      <c r="D757" s="579" t="s">
        <v>159</v>
      </c>
      <c r="E757" s="579"/>
      <c r="F757" s="568" t="s">
        <v>162</v>
      </c>
      <c r="G757" s="568"/>
      <c r="H757" s="580"/>
      <c r="I757" s="581"/>
      <c r="J757" s="582"/>
      <c r="K757" s="572" t="s">
        <v>162</v>
      </c>
      <c r="L757" s="573"/>
      <c r="M757" s="574"/>
      <c r="N757" s="583" t="s">
        <v>159</v>
      </c>
      <c r="O757" s="584"/>
      <c r="P757" s="584"/>
      <c r="Q757" s="584"/>
      <c r="R757" s="584"/>
      <c r="S757" s="584"/>
      <c r="T757" s="584"/>
      <c r="U757" s="585"/>
    </row>
    <row r="758" spans="1:21" ht="35.1" customHeight="1" x14ac:dyDescent="0.25">
      <c r="A758" s="263">
        <f t="shared" si="11"/>
        <v>744</v>
      </c>
      <c r="B758" s="566" t="s">
        <v>159</v>
      </c>
      <c r="C758" s="566"/>
      <c r="D758" s="567" t="s">
        <v>159</v>
      </c>
      <c r="E758" s="567"/>
      <c r="F758" s="568" t="s">
        <v>162</v>
      </c>
      <c r="G758" s="568"/>
      <c r="H758" s="569"/>
      <c r="I758" s="570"/>
      <c r="J758" s="571"/>
      <c r="K758" s="572" t="s">
        <v>162</v>
      </c>
      <c r="L758" s="573"/>
      <c r="M758" s="574"/>
      <c r="N758" s="575" t="s">
        <v>159</v>
      </c>
      <c r="O758" s="576"/>
      <c r="P758" s="576"/>
      <c r="Q758" s="576"/>
      <c r="R758" s="576"/>
      <c r="S758" s="576"/>
      <c r="T758" s="576"/>
      <c r="U758" s="577"/>
    </row>
    <row r="759" spans="1:21" ht="35.1" customHeight="1" x14ac:dyDescent="0.25">
      <c r="A759" s="263">
        <f t="shared" si="11"/>
        <v>745</v>
      </c>
      <c r="B759" s="578" t="s">
        <v>159</v>
      </c>
      <c r="C759" s="578"/>
      <c r="D759" s="579" t="s">
        <v>159</v>
      </c>
      <c r="E759" s="579"/>
      <c r="F759" s="568" t="s">
        <v>162</v>
      </c>
      <c r="G759" s="568"/>
      <c r="H759" s="580"/>
      <c r="I759" s="581"/>
      <c r="J759" s="582"/>
      <c r="K759" s="572" t="s">
        <v>162</v>
      </c>
      <c r="L759" s="573"/>
      <c r="M759" s="574"/>
      <c r="N759" s="583" t="s">
        <v>159</v>
      </c>
      <c r="O759" s="584"/>
      <c r="P759" s="584"/>
      <c r="Q759" s="584"/>
      <c r="R759" s="584"/>
      <c r="S759" s="584"/>
      <c r="T759" s="584"/>
      <c r="U759" s="585"/>
    </row>
    <row r="760" spans="1:21" ht="35.1" customHeight="1" x14ac:dyDescent="0.25">
      <c r="A760" s="263">
        <f t="shared" si="11"/>
        <v>746</v>
      </c>
      <c r="B760" s="566" t="s">
        <v>159</v>
      </c>
      <c r="C760" s="566"/>
      <c r="D760" s="567" t="s">
        <v>159</v>
      </c>
      <c r="E760" s="567"/>
      <c r="F760" s="568" t="s">
        <v>162</v>
      </c>
      <c r="G760" s="568"/>
      <c r="H760" s="569"/>
      <c r="I760" s="570"/>
      <c r="J760" s="571"/>
      <c r="K760" s="572" t="s">
        <v>162</v>
      </c>
      <c r="L760" s="573"/>
      <c r="M760" s="574"/>
      <c r="N760" s="575" t="s">
        <v>159</v>
      </c>
      <c r="O760" s="576"/>
      <c r="P760" s="576"/>
      <c r="Q760" s="576"/>
      <c r="R760" s="576"/>
      <c r="S760" s="576"/>
      <c r="T760" s="576"/>
      <c r="U760" s="577"/>
    </row>
    <row r="761" spans="1:21" ht="35.1" customHeight="1" x14ac:dyDescent="0.25">
      <c r="A761" s="263">
        <f t="shared" si="11"/>
        <v>747</v>
      </c>
      <c r="B761" s="578" t="s">
        <v>159</v>
      </c>
      <c r="C761" s="578"/>
      <c r="D761" s="579" t="s">
        <v>159</v>
      </c>
      <c r="E761" s="579"/>
      <c r="F761" s="568" t="s">
        <v>162</v>
      </c>
      <c r="G761" s="568"/>
      <c r="H761" s="580"/>
      <c r="I761" s="581"/>
      <c r="J761" s="582"/>
      <c r="K761" s="572" t="s">
        <v>162</v>
      </c>
      <c r="L761" s="573"/>
      <c r="M761" s="574"/>
      <c r="N761" s="583" t="s">
        <v>159</v>
      </c>
      <c r="O761" s="584"/>
      <c r="P761" s="584"/>
      <c r="Q761" s="584"/>
      <c r="R761" s="584"/>
      <c r="S761" s="584"/>
      <c r="T761" s="584"/>
      <c r="U761" s="585"/>
    </row>
    <row r="762" spans="1:21" ht="35.1" customHeight="1" x14ac:dyDescent="0.25">
      <c r="A762" s="263">
        <f t="shared" si="11"/>
        <v>748</v>
      </c>
      <c r="B762" s="566" t="s">
        <v>159</v>
      </c>
      <c r="C762" s="566"/>
      <c r="D762" s="567" t="s">
        <v>159</v>
      </c>
      <c r="E762" s="567"/>
      <c r="F762" s="568" t="s">
        <v>162</v>
      </c>
      <c r="G762" s="568"/>
      <c r="H762" s="569"/>
      <c r="I762" s="570"/>
      <c r="J762" s="571"/>
      <c r="K762" s="572" t="s">
        <v>162</v>
      </c>
      <c r="L762" s="573"/>
      <c r="M762" s="574"/>
      <c r="N762" s="575" t="s">
        <v>159</v>
      </c>
      <c r="O762" s="576"/>
      <c r="P762" s="576"/>
      <c r="Q762" s="576"/>
      <c r="R762" s="576"/>
      <c r="S762" s="576"/>
      <c r="T762" s="576"/>
      <c r="U762" s="577"/>
    </row>
    <row r="763" spans="1:21" ht="35.1" customHeight="1" x14ac:dyDescent="0.25">
      <c r="A763" s="263">
        <f t="shared" si="11"/>
        <v>749</v>
      </c>
      <c r="B763" s="578" t="s">
        <v>159</v>
      </c>
      <c r="C763" s="578"/>
      <c r="D763" s="579" t="s">
        <v>159</v>
      </c>
      <c r="E763" s="579"/>
      <c r="F763" s="568" t="s">
        <v>162</v>
      </c>
      <c r="G763" s="568"/>
      <c r="H763" s="580"/>
      <c r="I763" s="581"/>
      <c r="J763" s="582"/>
      <c r="K763" s="572" t="s">
        <v>162</v>
      </c>
      <c r="L763" s="573"/>
      <c r="M763" s="574"/>
      <c r="N763" s="583" t="s">
        <v>159</v>
      </c>
      <c r="O763" s="584"/>
      <c r="P763" s="584"/>
      <c r="Q763" s="584"/>
      <c r="R763" s="584"/>
      <c r="S763" s="584"/>
      <c r="T763" s="584"/>
      <c r="U763" s="585"/>
    </row>
    <row r="764" spans="1:21" ht="35.1" customHeight="1" x14ac:dyDescent="0.25">
      <c r="A764" s="263">
        <f t="shared" si="11"/>
        <v>750</v>
      </c>
      <c r="B764" s="566" t="s">
        <v>159</v>
      </c>
      <c r="C764" s="566"/>
      <c r="D764" s="567" t="s">
        <v>159</v>
      </c>
      <c r="E764" s="567"/>
      <c r="F764" s="568" t="s">
        <v>162</v>
      </c>
      <c r="G764" s="568"/>
      <c r="H764" s="569"/>
      <c r="I764" s="570"/>
      <c r="J764" s="571"/>
      <c r="K764" s="572" t="s">
        <v>162</v>
      </c>
      <c r="L764" s="573"/>
      <c r="M764" s="574"/>
      <c r="N764" s="575" t="s">
        <v>159</v>
      </c>
      <c r="O764" s="576"/>
      <c r="P764" s="576"/>
      <c r="Q764" s="576"/>
      <c r="R764" s="576"/>
      <c r="S764" s="576"/>
      <c r="T764" s="576"/>
      <c r="U764" s="577"/>
    </row>
    <row r="765" spans="1:21" ht="35.1" customHeight="1" x14ac:dyDescent="0.25">
      <c r="A765" s="263">
        <f t="shared" si="11"/>
        <v>751</v>
      </c>
      <c r="B765" s="578" t="s">
        <v>445</v>
      </c>
      <c r="C765" s="578"/>
      <c r="D765" s="579" t="s">
        <v>159</v>
      </c>
      <c r="E765" s="579"/>
      <c r="F765" s="568" t="s">
        <v>162</v>
      </c>
      <c r="G765" s="568"/>
      <c r="H765" s="580"/>
      <c r="I765" s="581"/>
      <c r="J765" s="582"/>
      <c r="K765" s="572" t="s">
        <v>162</v>
      </c>
      <c r="L765" s="573"/>
      <c r="M765" s="574"/>
      <c r="N765" s="583" t="s">
        <v>159</v>
      </c>
      <c r="O765" s="584"/>
      <c r="P765" s="584"/>
      <c r="Q765" s="584"/>
      <c r="R765" s="584"/>
      <c r="S765" s="584"/>
      <c r="T765" s="584"/>
      <c r="U765" s="585"/>
    </row>
    <row r="766" spans="1:21" ht="35.1" customHeight="1" x14ac:dyDescent="0.25">
      <c r="A766" s="263">
        <f t="shared" si="11"/>
        <v>752</v>
      </c>
      <c r="B766" s="566" t="s">
        <v>159</v>
      </c>
      <c r="C766" s="566"/>
      <c r="D766" s="567" t="s">
        <v>159</v>
      </c>
      <c r="E766" s="567"/>
      <c r="F766" s="568" t="s">
        <v>162</v>
      </c>
      <c r="G766" s="568"/>
      <c r="H766" s="569"/>
      <c r="I766" s="570"/>
      <c r="J766" s="571"/>
      <c r="K766" s="572" t="s">
        <v>162</v>
      </c>
      <c r="L766" s="573"/>
      <c r="M766" s="574"/>
      <c r="N766" s="575" t="s">
        <v>159</v>
      </c>
      <c r="O766" s="576"/>
      <c r="P766" s="576"/>
      <c r="Q766" s="576"/>
      <c r="R766" s="576"/>
      <c r="S766" s="576"/>
      <c r="T766" s="576"/>
      <c r="U766" s="577"/>
    </row>
    <row r="767" spans="1:21" ht="35.1" customHeight="1" x14ac:dyDescent="0.25">
      <c r="A767" s="263">
        <f t="shared" si="11"/>
        <v>753</v>
      </c>
      <c r="B767" s="578" t="s">
        <v>159</v>
      </c>
      <c r="C767" s="578"/>
      <c r="D767" s="579" t="s">
        <v>159</v>
      </c>
      <c r="E767" s="579"/>
      <c r="F767" s="568" t="s">
        <v>162</v>
      </c>
      <c r="G767" s="568"/>
      <c r="H767" s="580"/>
      <c r="I767" s="581"/>
      <c r="J767" s="582"/>
      <c r="K767" s="572" t="s">
        <v>162</v>
      </c>
      <c r="L767" s="573"/>
      <c r="M767" s="574"/>
      <c r="N767" s="583" t="s">
        <v>159</v>
      </c>
      <c r="O767" s="584"/>
      <c r="P767" s="584"/>
      <c r="Q767" s="584"/>
      <c r="R767" s="584"/>
      <c r="S767" s="584"/>
      <c r="T767" s="584"/>
      <c r="U767" s="585"/>
    </row>
    <row r="768" spans="1:21" ht="35.1" customHeight="1" x14ac:dyDescent="0.25">
      <c r="A768" s="263">
        <f t="shared" si="11"/>
        <v>754</v>
      </c>
      <c r="B768" s="566" t="s">
        <v>159</v>
      </c>
      <c r="C768" s="566"/>
      <c r="D768" s="567" t="s">
        <v>159</v>
      </c>
      <c r="E768" s="567"/>
      <c r="F768" s="568" t="s">
        <v>162</v>
      </c>
      <c r="G768" s="568"/>
      <c r="H768" s="569"/>
      <c r="I768" s="570"/>
      <c r="J768" s="571"/>
      <c r="K768" s="572" t="s">
        <v>162</v>
      </c>
      <c r="L768" s="573"/>
      <c r="M768" s="574"/>
      <c r="N768" s="575" t="s">
        <v>159</v>
      </c>
      <c r="O768" s="576"/>
      <c r="P768" s="576"/>
      <c r="Q768" s="576"/>
      <c r="R768" s="576"/>
      <c r="S768" s="576"/>
      <c r="T768" s="576"/>
      <c r="U768" s="577"/>
    </row>
    <row r="769" spans="1:21" ht="35.1" customHeight="1" x14ac:dyDescent="0.25">
      <c r="A769" s="263">
        <f t="shared" si="11"/>
        <v>755</v>
      </c>
      <c r="B769" s="578" t="s">
        <v>159</v>
      </c>
      <c r="C769" s="578"/>
      <c r="D769" s="579" t="s">
        <v>159</v>
      </c>
      <c r="E769" s="579"/>
      <c r="F769" s="568" t="s">
        <v>162</v>
      </c>
      <c r="G769" s="568"/>
      <c r="H769" s="580"/>
      <c r="I769" s="581"/>
      <c r="J769" s="582"/>
      <c r="K769" s="572" t="s">
        <v>162</v>
      </c>
      <c r="L769" s="573"/>
      <c r="M769" s="574"/>
      <c r="N769" s="583" t="s">
        <v>159</v>
      </c>
      <c r="O769" s="584"/>
      <c r="P769" s="584"/>
      <c r="Q769" s="584"/>
      <c r="R769" s="584"/>
      <c r="S769" s="584"/>
      <c r="T769" s="584"/>
      <c r="U769" s="585"/>
    </row>
    <row r="770" spans="1:21" ht="35.1" customHeight="1" x14ac:dyDescent="0.25">
      <c r="A770" s="263">
        <f t="shared" si="11"/>
        <v>756</v>
      </c>
      <c r="B770" s="566" t="s">
        <v>159</v>
      </c>
      <c r="C770" s="566"/>
      <c r="D770" s="567" t="s">
        <v>159</v>
      </c>
      <c r="E770" s="567"/>
      <c r="F770" s="568" t="s">
        <v>162</v>
      </c>
      <c r="G770" s="568"/>
      <c r="H770" s="569"/>
      <c r="I770" s="570"/>
      <c r="J770" s="571"/>
      <c r="K770" s="572" t="s">
        <v>162</v>
      </c>
      <c r="L770" s="573"/>
      <c r="M770" s="574"/>
      <c r="N770" s="575" t="s">
        <v>159</v>
      </c>
      <c r="O770" s="576"/>
      <c r="P770" s="576"/>
      <c r="Q770" s="576"/>
      <c r="R770" s="576"/>
      <c r="S770" s="576"/>
      <c r="T770" s="576"/>
      <c r="U770" s="577"/>
    </row>
    <row r="771" spans="1:21" ht="35.1" customHeight="1" x14ac:dyDescent="0.25">
      <c r="A771" s="263">
        <f t="shared" si="11"/>
        <v>757</v>
      </c>
      <c r="B771" s="578" t="s">
        <v>449</v>
      </c>
      <c r="C771" s="578"/>
      <c r="D771" s="579" t="s">
        <v>159</v>
      </c>
      <c r="E771" s="579"/>
      <c r="F771" s="568" t="s">
        <v>162</v>
      </c>
      <c r="G771" s="568"/>
      <c r="H771" s="580"/>
      <c r="I771" s="581"/>
      <c r="J771" s="582"/>
      <c r="K771" s="572" t="s">
        <v>162</v>
      </c>
      <c r="L771" s="573"/>
      <c r="M771" s="574"/>
      <c r="N771" s="583" t="s">
        <v>159</v>
      </c>
      <c r="O771" s="584"/>
      <c r="P771" s="584"/>
      <c r="Q771" s="584"/>
      <c r="R771" s="584"/>
      <c r="S771" s="584"/>
      <c r="T771" s="584"/>
      <c r="U771" s="585"/>
    </row>
    <row r="772" spans="1:21" ht="35.1" customHeight="1" x14ac:dyDescent="0.25">
      <c r="A772" s="263">
        <f t="shared" si="11"/>
        <v>758</v>
      </c>
      <c r="B772" s="566" t="s">
        <v>159</v>
      </c>
      <c r="C772" s="566"/>
      <c r="D772" s="567" t="s">
        <v>159</v>
      </c>
      <c r="E772" s="567"/>
      <c r="F772" s="568" t="s">
        <v>162</v>
      </c>
      <c r="G772" s="568"/>
      <c r="H772" s="569"/>
      <c r="I772" s="570"/>
      <c r="J772" s="571"/>
      <c r="K772" s="572" t="s">
        <v>162</v>
      </c>
      <c r="L772" s="573"/>
      <c r="M772" s="574"/>
      <c r="N772" s="575" t="s">
        <v>159</v>
      </c>
      <c r="O772" s="576"/>
      <c r="P772" s="576"/>
      <c r="Q772" s="576"/>
      <c r="R772" s="576"/>
      <c r="S772" s="576"/>
      <c r="T772" s="576"/>
      <c r="U772" s="577"/>
    </row>
    <row r="773" spans="1:21" ht="35.1" customHeight="1" x14ac:dyDescent="0.25">
      <c r="A773" s="263">
        <f t="shared" si="11"/>
        <v>759</v>
      </c>
      <c r="B773" s="578" t="s">
        <v>159</v>
      </c>
      <c r="C773" s="578"/>
      <c r="D773" s="579" t="s">
        <v>159</v>
      </c>
      <c r="E773" s="579"/>
      <c r="F773" s="568" t="s">
        <v>162</v>
      </c>
      <c r="G773" s="568"/>
      <c r="H773" s="580"/>
      <c r="I773" s="581"/>
      <c r="J773" s="582"/>
      <c r="K773" s="572" t="s">
        <v>162</v>
      </c>
      <c r="L773" s="573"/>
      <c r="M773" s="574"/>
      <c r="N773" s="583" t="s">
        <v>159</v>
      </c>
      <c r="O773" s="584"/>
      <c r="P773" s="584"/>
      <c r="Q773" s="584"/>
      <c r="R773" s="584"/>
      <c r="S773" s="584"/>
      <c r="T773" s="584"/>
      <c r="U773" s="585"/>
    </row>
    <row r="774" spans="1:21" ht="35.1" customHeight="1" x14ac:dyDescent="0.25">
      <c r="A774" s="263">
        <f t="shared" si="11"/>
        <v>760</v>
      </c>
      <c r="B774" s="566" t="s">
        <v>159</v>
      </c>
      <c r="C774" s="566"/>
      <c r="D774" s="567" t="s">
        <v>159</v>
      </c>
      <c r="E774" s="567"/>
      <c r="F774" s="568" t="s">
        <v>162</v>
      </c>
      <c r="G774" s="568"/>
      <c r="H774" s="569"/>
      <c r="I774" s="570"/>
      <c r="J774" s="571"/>
      <c r="K774" s="572" t="s">
        <v>162</v>
      </c>
      <c r="L774" s="573"/>
      <c r="M774" s="574"/>
      <c r="N774" s="575" t="s">
        <v>159</v>
      </c>
      <c r="O774" s="576"/>
      <c r="P774" s="576"/>
      <c r="Q774" s="576"/>
      <c r="R774" s="576"/>
      <c r="S774" s="576"/>
      <c r="T774" s="576"/>
      <c r="U774" s="577"/>
    </row>
    <row r="775" spans="1:21" ht="35.1" customHeight="1" x14ac:dyDescent="0.25">
      <c r="A775" s="263">
        <f t="shared" si="11"/>
        <v>761</v>
      </c>
      <c r="B775" s="578" t="s">
        <v>159</v>
      </c>
      <c r="C775" s="578"/>
      <c r="D775" s="579" t="s">
        <v>159</v>
      </c>
      <c r="E775" s="579"/>
      <c r="F775" s="568" t="s">
        <v>162</v>
      </c>
      <c r="G775" s="568"/>
      <c r="H775" s="580"/>
      <c r="I775" s="581"/>
      <c r="J775" s="582"/>
      <c r="K775" s="572" t="s">
        <v>162</v>
      </c>
      <c r="L775" s="573"/>
      <c r="M775" s="574"/>
      <c r="N775" s="583" t="s">
        <v>159</v>
      </c>
      <c r="O775" s="584"/>
      <c r="P775" s="584"/>
      <c r="Q775" s="584"/>
      <c r="R775" s="584"/>
      <c r="S775" s="584"/>
      <c r="T775" s="584"/>
      <c r="U775" s="585"/>
    </row>
    <row r="776" spans="1:21" ht="35.1" customHeight="1" x14ac:dyDescent="0.25">
      <c r="A776" s="263">
        <f t="shared" si="11"/>
        <v>762</v>
      </c>
      <c r="B776" s="566" t="s">
        <v>443</v>
      </c>
      <c r="C776" s="566"/>
      <c r="D776" s="567" t="s">
        <v>159</v>
      </c>
      <c r="E776" s="567"/>
      <c r="F776" s="568" t="s">
        <v>162</v>
      </c>
      <c r="G776" s="568"/>
      <c r="H776" s="569"/>
      <c r="I776" s="570"/>
      <c r="J776" s="571"/>
      <c r="K776" s="572" t="s">
        <v>162</v>
      </c>
      <c r="L776" s="573"/>
      <c r="M776" s="574"/>
      <c r="N776" s="575" t="s">
        <v>159</v>
      </c>
      <c r="O776" s="576"/>
      <c r="P776" s="576"/>
      <c r="Q776" s="576"/>
      <c r="R776" s="576"/>
      <c r="S776" s="576"/>
      <c r="T776" s="576"/>
      <c r="U776" s="577"/>
    </row>
    <row r="777" spans="1:21" ht="35.1" customHeight="1" x14ac:dyDescent="0.25">
      <c r="A777" s="263">
        <f t="shared" si="11"/>
        <v>763</v>
      </c>
      <c r="B777" s="578" t="s">
        <v>159</v>
      </c>
      <c r="C777" s="578"/>
      <c r="D777" s="579" t="s">
        <v>159</v>
      </c>
      <c r="E777" s="579"/>
      <c r="F777" s="568" t="s">
        <v>162</v>
      </c>
      <c r="G777" s="568"/>
      <c r="H777" s="580"/>
      <c r="I777" s="581"/>
      <c r="J777" s="582"/>
      <c r="K777" s="572" t="s">
        <v>162</v>
      </c>
      <c r="L777" s="573"/>
      <c r="M777" s="574"/>
      <c r="N777" s="583" t="s">
        <v>159</v>
      </c>
      <c r="O777" s="584"/>
      <c r="P777" s="584"/>
      <c r="Q777" s="584"/>
      <c r="R777" s="584"/>
      <c r="S777" s="584"/>
      <c r="T777" s="584"/>
      <c r="U777" s="585"/>
    </row>
    <row r="778" spans="1:21" ht="35.1" customHeight="1" x14ac:dyDescent="0.25">
      <c r="A778" s="263">
        <f t="shared" si="11"/>
        <v>764</v>
      </c>
      <c r="B778" s="566" t="s">
        <v>159</v>
      </c>
      <c r="C778" s="566"/>
      <c r="D778" s="567" t="s">
        <v>159</v>
      </c>
      <c r="E778" s="567"/>
      <c r="F778" s="568" t="s">
        <v>162</v>
      </c>
      <c r="G778" s="568"/>
      <c r="H778" s="569"/>
      <c r="I778" s="570"/>
      <c r="J778" s="571"/>
      <c r="K778" s="572" t="s">
        <v>162</v>
      </c>
      <c r="L778" s="573"/>
      <c r="M778" s="574"/>
      <c r="N778" s="575" t="s">
        <v>159</v>
      </c>
      <c r="O778" s="576"/>
      <c r="P778" s="576"/>
      <c r="Q778" s="576"/>
      <c r="R778" s="576"/>
      <c r="S778" s="576"/>
      <c r="T778" s="576"/>
      <c r="U778" s="577"/>
    </row>
    <row r="779" spans="1:21" ht="35.1" customHeight="1" x14ac:dyDescent="0.25">
      <c r="A779" s="263">
        <f t="shared" si="11"/>
        <v>765</v>
      </c>
      <c r="B779" s="578" t="s">
        <v>159</v>
      </c>
      <c r="C779" s="578"/>
      <c r="D779" s="579" t="s">
        <v>159</v>
      </c>
      <c r="E779" s="579"/>
      <c r="F779" s="568" t="s">
        <v>162</v>
      </c>
      <c r="G779" s="568"/>
      <c r="H779" s="580"/>
      <c r="I779" s="581"/>
      <c r="J779" s="582"/>
      <c r="K779" s="572" t="s">
        <v>162</v>
      </c>
      <c r="L779" s="573"/>
      <c r="M779" s="574"/>
      <c r="N779" s="583" t="s">
        <v>159</v>
      </c>
      <c r="O779" s="584"/>
      <c r="P779" s="584"/>
      <c r="Q779" s="584"/>
      <c r="R779" s="584"/>
      <c r="S779" s="584"/>
      <c r="T779" s="584"/>
      <c r="U779" s="585"/>
    </row>
    <row r="780" spans="1:21" ht="35.1" customHeight="1" x14ac:dyDescent="0.25">
      <c r="A780" s="263">
        <f t="shared" si="11"/>
        <v>766</v>
      </c>
      <c r="B780" s="566" t="s">
        <v>159</v>
      </c>
      <c r="C780" s="566"/>
      <c r="D780" s="567" t="s">
        <v>159</v>
      </c>
      <c r="E780" s="567"/>
      <c r="F780" s="568" t="s">
        <v>162</v>
      </c>
      <c r="G780" s="568"/>
      <c r="H780" s="569"/>
      <c r="I780" s="570"/>
      <c r="J780" s="571"/>
      <c r="K780" s="572" t="s">
        <v>162</v>
      </c>
      <c r="L780" s="573"/>
      <c r="M780" s="574"/>
      <c r="N780" s="575" t="s">
        <v>159</v>
      </c>
      <c r="O780" s="576"/>
      <c r="P780" s="576"/>
      <c r="Q780" s="576"/>
      <c r="R780" s="576"/>
      <c r="S780" s="576"/>
      <c r="T780" s="576"/>
      <c r="U780" s="577"/>
    </row>
    <row r="781" spans="1:21" ht="35.1" customHeight="1" x14ac:dyDescent="0.25">
      <c r="A781" s="263">
        <f t="shared" si="11"/>
        <v>767</v>
      </c>
      <c r="B781" s="578" t="s">
        <v>446</v>
      </c>
      <c r="C781" s="578"/>
      <c r="D781" s="579" t="s">
        <v>159</v>
      </c>
      <c r="E781" s="579"/>
      <c r="F781" s="568" t="s">
        <v>162</v>
      </c>
      <c r="G781" s="568"/>
      <c r="H781" s="580"/>
      <c r="I781" s="581"/>
      <c r="J781" s="582"/>
      <c r="K781" s="572" t="s">
        <v>162</v>
      </c>
      <c r="L781" s="573"/>
      <c r="M781" s="574"/>
      <c r="N781" s="583" t="s">
        <v>159</v>
      </c>
      <c r="O781" s="584"/>
      <c r="P781" s="584"/>
      <c r="Q781" s="584"/>
      <c r="R781" s="584"/>
      <c r="S781" s="584"/>
      <c r="T781" s="584"/>
      <c r="U781" s="585"/>
    </row>
    <row r="782" spans="1:21" ht="35.1" customHeight="1" x14ac:dyDescent="0.25">
      <c r="A782" s="263">
        <f t="shared" si="11"/>
        <v>768</v>
      </c>
      <c r="B782" s="566" t="s">
        <v>159</v>
      </c>
      <c r="C782" s="566"/>
      <c r="D782" s="567" t="s">
        <v>159</v>
      </c>
      <c r="E782" s="567"/>
      <c r="F782" s="568" t="s">
        <v>162</v>
      </c>
      <c r="G782" s="568"/>
      <c r="H782" s="569"/>
      <c r="I782" s="570"/>
      <c r="J782" s="571"/>
      <c r="K782" s="572" t="s">
        <v>162</v>
      </c>
      <c r="L782" s="573"/>
      <c r="M782" s="574"/>
      <c r="N782" s="575" t="s">
        <v>159</v>
      </c>
      <c r="O782" s="576"/>
      <c r="P782" s="576"/>
      <c r="Q782" s="576"/>
      <c r="R782" s="576"/>
      <c r="S782" s="576"/>
      <c r="T782" s="576"/>
      <c r="U782" s="577"/>
    </row>
    <row r="783" spans="1:21" ht="35.1" customHeight="1" x14ac:dyDescent="0.25">
      <c r="A783" s="263">
        <f t="shared" ref="A783:A846" si="12">ROW(A769)</f>
        <v>769</v>
      </c>
      <c r="B783" s="578" t="s">
        <v>159</v>
      </c>
      <c r="C783" s="578"/>
      <c r="D783" s="579" t="s">
        <v>159</v>
      </c>
      <c r="E783" s="579"/>
      <c r="F783" s="568" t="s">
        <v>162</v>
      </c>
      <c r="G783" s="568"/>
      <c r="H783" s="580"/>
      <c r="I783" s="581"/>
      <c r="J783" s="582"/>
      <c r="K783" s="572" t="s">
        <v>162</v>
      </c>
      <c r="L783" s="573"/>
      <c r="M783" s="574"/>
      <c r="N783" s="583" t="s">
        <v>159</v>
      </c>
      <c r="O783" s="584"/>
      <c r="P783" s="584"/>
      <c r="Q783" s="584"/>
      <c r="R783" s="584"/>
      <c r="S783" s="584"/>
      <c r="T783" s="584"/>
      <c r="U783" s="585"/>
    </row>
    <row r="784" spans="1:21" ht="35.1" customHeight="1" x14ac:dyDescent="0.25">
      <c r="A784" s="263">
        <f t="shared" si="12"/>
        <v>770</v>
      </c>
      <c r="B784" s="566" t="s">
        <v>159</v>
      </c>
      <c r="C784" s="566"/>
      <c r="D784" s="567" t="s">
        <v>159</v>
      </c>
      <c r="E784" s="567"/>
      <c r="F784" s="568" t="s">
        <v>162</v>
      </c>
      <c r="G784" s="568"/>
      <c r="H784" s="569"/>
      <c r="I784" s="570"/>
      <c r="J784" s="571"/>
      <c r="K784" s="572" t="s">
        <v>162</v>
      </c>
      <c r="L784" s="573"/>
      <c r="M784" s="574"/>
      <c r="N784" s="575" t="s">
        <v>159</v>
      </c>
      <c r="O784" s="576"/>
      <c r="P784" s="576"/>
      <c r="Q784" s="576"/>
      <c r="R784" s="576"/>
      <c r="S784" s="576"/>
      <c r="T784" s="576"/>
      <c r="U784" s="577"/>
    </row>
    <row r="785" spans="1:21" ht="35.1" customHeight="1" x14ac:dyDescent="0.25">
      <c r="A785" s="263">
        <f t="shared" si="12"/>
        <v>771</v>
      </c>
      <c r="B785" s="578" t="s">
        <v>159</v>
      </c>
      <c r="C785" s="578"/>
      <c r="D785" s="579" t="s">
        <v>159</v>
      </c>
      <c r="E785" s="579"/>
      <c r="F785" s="568" t="s">
        <v>162</v>
      </c>
      <c r="G785" s="568"/>
      <c r="H785" s="580"/>
      <c r="I785" s="581"/>
      <c r="J785" s="582"/>
      <c r="K785" s="572" t="s">
        <v>162</v>
      </c>
      <c r="L785" s="573"/>
      <c r="M785" s="574"/>
      <c r="N785" s="583" t="s">
        <v>159</v>
      </c>
      <c r="O785" s="584"/>
      <c r="P785" s="584"/>
      <c r="Q785" s="584"/>
      <c r="R785" s="584"/>
      <c r="S785" s="584"/>
      <c r="T785" s="584"/>
      <c r="U785" s="585"/>
    </row>
    <row r="786" spans="1:21" ht="35.1" customHeight="1" x14ac:dyDescent="0.25">
      <c r="A786" s="263">
        <f t="shared" si="12"/>
        <v>772</v>
      </c>
      <c r="B786" s="566" t="s">
        <v>450</v>
      </c>
      <c r="C786" s="566"/>
      <c r="D786" s="567" t="s">
        <v>159</v>
      </c>
      <c r="E786" s="567"/>
      <c r="F786" s="568" t="s">
        <v>162</v>
      </c>
      <c r="G786" s="568"/>
      <c r="H786" s="569"/>
      <c r="I786" s="570"/>
      <c r="J786" s="571"/>
      <c r="K786" s="572" t="s">
        <v>162</v>
      </c>
      <c r="L786" s="573"/>
      <c r="M786" s="574"/>
      <c r="N786" s="575" t="s">
        <v>159</v>
      </c>
      <c r="O786" s="576"/>
      <c r="P786" s="576"/>
      <c r="Q786" s="576"/>
      <c r="R786" s="576"/>
      <c r="S786" s="576"/>
      <c r="T786" s="576"/>
      <c r="U786" s="577"/>
    </row>
    <row r="787" spans="1:21" ht="35.1" customHeight="1" x14ac:dyDescent="0.25">
      <c r="A787" s="263">
        <f t="shared" si="12"/>
        <v>773</v>
      </c>
      <c r="B787" s="578" t="s">
        <v>159</v>
      </c>
      <c r="C787" s="578"/>
      <c r="D787" s="579" t="s">
        <v>159</v>
      </c>
      <c r="E787" s="579"/>
      <c r="F787" s="568" t="s">
        <v>162</v>
      </c>
      <c r="G787" s="568"/>
      <c r="H787" s="580"/>
      <c r="I787" s="581"/>
      <c r="J787" s="582"/>
      <c r="K787" s="572" t="s">
        <v>162</v>
      </c>
      <c r="L787" s="573"/>
      <c r="M787" s="574"/>
      <c r="N787" s="583" t="s">
        <v>159</v>
      </c>
      <c r="O787" s="584"/>
      <c r="P787" s="584"/>
      <c r="Q787" s="584"/>
      <c r="R787" s="584"/>
      <c r="S787" s="584"/>
      <c r="T787" s="584"/>
      <c r="U787" s="585"/>
    </row>
    <row r="788" spans="1:21" ht="35.1" customHeight="1" x14ac:dyDescent="0.25">
      <c r="A788" s="263">
        <f t="shared" si="12"/>
        <v>774</v>
      </c>
      <c r="B788" s="566" t="s">
        <v>159</v>
      </c>
      <c r="C788" s="566"/>
      <c r="D788" s="567" t="s">
        <v>159</v>
      </c>
      <c r="E788" s="567"/>
      <c r="F788" s="568" t="s">
        <v>162</v>
      </c>
      <c r="G788" s="568"/>
      <c r="H788" s="569"/>
      <c r="I788" s="570"/>
      <c r="J788" s="571"/>
      <c r="K788" s="572" t="s">
        <v>162</v>
      </c>
      <c r="L788" s="573"/>
      <c r="M788" s="574"/>
      <c r="N788" s="575" t="s">
        <v>159</v>
      </c>
      <c r="O788" s="576"/>
      <c r="P788" s="576"/>
      <c r="Q788" s="576"/>
      <c r="R788" s="576"/>
      <c r="S788" s="576"/>
      <c r="T788" s="576"/>
      <c r="U788" s="577"/>
    </row>
    <row r="789" spans="1:21" ht="35.1" customHeight="1" x14ac:dyDescent="0.25">
      <c r="A789" s="263">
        <f t="shared" si="12"/>
        <v>775</v>
      </c>
      <c r="B789" s="578" t="s">
        <v>159</v>
      </c>
      <c r="C789" s="578"/>
      <c r="D789" s="579" t="s">
        <v>159</v>
      </c>
      <c r="E789" s="579"/>
      <c r="F789" s="568" t="s">
        <v>162</v>
      </c>
      <c r="G789" s="568"/>
      <c r="H789" s="580"/>
      <c r="I789" s="581"/>
      <c r="J789" s="582"/>
      <c r="K789" s="572" t="s">
        <v>162</v>
      </c>
      <c r="L789" s="573"/>
      <c r="M789" s="574"/>
      <c r="N789" s="583" t="s">
        <v>159</v>
      </c>
      <c r="O789" s="584"/>
      <c r="P789" s="584"/>
      <c r="Q789" s="584"/>
      <c r="R789" s="584"/>
      <c r="S789" s="584"/>
      <c r="T789" s="584"/>
      <c r="U789" s="585"/>
    </row>
    <row r="790" spans="1:21" ht="35.1" customHeight="1" x14ac:dyDescent="0.25">
      <c r="A790" s="263">
        <f t="shared" si="12"/>
        <v>776</v>
      </c>
      <c r="B790" s="566" t="s">
        <v>443</v>
      </c>
      <c r="C790" s="566"/>
      <c r="D790" s="567" t="s">
        <v>159</v>
      </c>
      <c r="E790" s="567"/>
      <c r="F790" s="568" t="s">
        <v>162</v>
      </c>
      <c r="G790" s="568"/>
      <c r="H790" s="569"/>
      <c r="I790" s="570"/>
      <c r="J790" s="571"/>
      <c r="K790" s="572" t="s">
        <v>162</v>
      </c>
      <c r="L790" s="573"/>
      <c r="M790" s="574"/>
      <c r="N790" s="575" t="s">
        <v>159</v>
      </c>
      <c r="O790" s="576"/>
      <c r="P790" s="576"/>
      <c r="Q790" s="576"/>
      <c r="R790" s="576"/>
      <c r="S790" s="576"/>
      <c r="T790" s="576"/>
      <c r="U790" s="577"/>
    </row>
    <row r="791" spans="1:21" ht="35.1" customHeight="1" x14ac:dyDescent="0.25">
      <c r="A791" s="263">
        <f t="shared" si="12"/>
        <v>777</v>
      </c>
      <c r="B791" s="578" t="s">
        <v>159</v>
      </c>
      <c r="C791" s="578"/>
      <c r="D791" s="579" t="s">
        <v>159</v>
      </c>
      <c r="E791" s="579"/>
      <c r="F791" s="568" t="s">
        <v>162</v>
      </c>
      <c r="G791" s="568"/>
      <c r="H791" s="580"/>
      <c r="I791" s="581"/>
      <c r="J791" s="582"/>
      <c r="K791" s="572" t="s">
        <v>162</v>
      </c>
      <c r="L791" s="573"/>
      <c r="M791" s="574"/>
      <c r="N791" s="583" t="s">
        <v>159</v>
      </c>
      <c r="O791" s="584"/>
      <c r="P791" s="584"/>
      <c r="Q791" s="584"/>
      <c r="R791" s="584"/>
      <c r="S791" s="584"/>
      <c r="T791" s="584"/>
      <c r="U791" s="585"/>
    </row>
    <row r="792" spans="1:21" ht="35.1" customHeight="1" x14ac:dyDescent="0.25">
      <c r="A792" s="263">
        <f t="shared" si="12"/>
        <v>778</v>
      </c>
      <c r="B792" s="566" t="s">
        <v>159</v>
      </c>
      <c r="C792" s="566"/>
      <c r="D792" s="567" t="s">
        <v>159</v>
      </c>
      <c r="E792" s="567"/>
      <c r="F792" s="568" t="s">
        <v>162</v>
      </c>
      <c r="G792" s="568"/>
      <c r="H792" s="569"/>
      <c r="I792" s="570"/>
      <c r="J792" s="571"/>
      <c r="K792" s="572" t="s">
        <v>162</v>
      </c>
      <c r="L792" s="573"/>
      <c r="M792" s="574"/>
      <c r="N792" s="575" t="s">
        <v>159</v>
      </c>
      <c r="O792" s="576"/>
      <c r="P792" s="576"/>
      <c r="Q792" s="576"/>
      <c r="R792" s="576"/>
      <c r="S792" s="576"/>
      <c r="T792" s="576"/>
      <c r="U792" s="577"/>
    </row>
    <row r="793" spans="1:21" ht="35.1" customHeight="1" x14ac:dyDescent="0.25">
      <c r="A793" s="263">
        <f t="shared" si="12"/>
        <v>779</v>
      </c>
      <c r="B793" s="578" t="s">
        <v>159</v>
      </c>
      <c r="C793" s="578"/>
      <c r="D793" s="579" t="s">
        <v>159</v>
      </c>
      <c r="E793" s="579"/>
      <c r="F793" s="568" t="s">
        <v>162</v>
      </c>
      <c r="G793" s="568"/>
      <c r="H793" s="580"/>
      <c r="I793" s="581"/>
      <c r="J793" s="582"/>
      <c r="K793" s="572" t="s">
        <v>162</v>
      </c>
      <c r="L793" s="573"/>
      <c r="M793" s="574"/>
      <c r="N793" s="583" t="s">
        <v>159</v>
      </c>
      <c r="O793" s="584"/>
      <c r="P793" s="584"/>
      <c r="Q793" s="584"/>
      <c r="R793" s="584"/>
      <c r="S793" s="584"/>
      <c r="T793" s="584"/>
      <c r="U793" s="585"/>
    </row>
    <row r="794" spans="1:21" ht="35.1" customHeight="1" x14ac:dyDescent="0.25">
      <c r="A794" s="263">
        <f t="shared" si="12"/>
        <v>780</v>
      </c>
      <c r="B794" s="566" t="s">
        <v>159</v>
      </c>
      <c r="C794" s="566"/>
      <c r="D794" s="567" t="s">
        <v>159</v>
      </c>
      <c r="E794" s="567"/>
      <c r="F794" s="568" t="s">
        <v>162</v>
      </c>
      <c r="G794" s="568"/>
      <c r="H794" s="569"/>
      <c r="I794" s="570"/>
      <c r="J794" s="571"/>
      <c r="K794" s="572" t="s">
        <v>162</v>
      </c>
      <c r="L794" s="573"/>
      <c r="M794" s="574"/>
      <c r="N794" s="575" t="s">
        <v>159</v>
      </c>
      <c r="O794" s="576"/>
      <c r="P794" s="576"/>
      <c r="Q794" s="576"/>
      <c r="R794" s="576"/>
      <c r="S794" s="576"/>
      <c r="T794" s="576"/>
      <c r="U794" s="577"/>
    </row>
    <row r="795" spans="1:21" ht="35.1" customHeight="1" x14ac:dyDescent="0.25">
      <c r="A795" s="263">
        <f t="shared" si="12"/>
        <v>781</v>
      </c>
      <c r="B795" s="578" t="s">
        <v>159</v>
      </c>
      <c r="C795" s="578"/>
      <c r="D795" s="579" t="s">
        <v>159</v>
      </c>
      <c r="E795" s="579"/>
      <c r="F795" s="568" t="s">
        <v>162</v>
      </c>
      <c r="G795" s="568"/>
      <c r="H795" s="580"/>
      <c r="I795" s="581"/>
      <c r="J795" s="582"/>
      <c r="K795" s="572" t="s">
        <v>162</v>
      </c>
      <c r="L795" s="573"/>
      <c r="M795" s="574"/>
      <c r="N795" s="583" t="s">
        <v>159</v>
      </c>
      <c r="O795" s="584"/>
      <c r="P795" s="584"/>
      <c r="Q795" s="584"/>
      <c r="R795" s="584"/>
      <c r="S795" s="584"/>
      <c r="T795" s="584"/>
      <c r="U795" s="585"/>
    </row>
    <row r="796" spans="1:21" ht="35.1" customHeight="1" x14ac:dyDescent="0.25">
      <c r="A796" s="263">
        <f t="shared" si="12"/>
        <v>782</v>
      </c>
      <c r="B796" s="566" t="s">
        <v>451</v>
      </c>
      <c r="C796" s="566"/>
      <c r="D796" s="567" t="s">
        <v>159</v>
      </c>
      <c r="E796" s="567"/>
      <c r="F796" s="568" t="s">
        <v>162</v>
      </c>
      <c r="G796" s="568"/>
      <c r="H796" s="569"/>
      <c r="I796" s="570"/>
      <c r="J796" s="571"/>
      <c r="K796" s="572" t="s">
        <v>162</v>
      </c>
      <c r="L796" s="573"/>
      <c r="M796" s="574"/>
      <c r="N796" s="575" t="s">
        <v>159</v>
      </c>
      <c r="O796" s="576"/>
      <c r="P796" s="576"/>
      <c r="Q796" s="576"/>
      <c r="R796" s="576"/>
      <c r="S796" s="576"/>
      <c r="T796" s="576"/>
      <c r="U796" s="577"/>
    </row>
    <row r="797" spans="1:21" ht="35.1" customHeight="1" x14ac:dyDescent="0.25">
      <c r="A797" s="263">
        <f t="shared" si="12"/>
        <v>783</v>
      </c>
      <c r="B797" s="578" t="s">
        <v>159</v>
      </c>
      <c r="C797" s="578"/>
      <c r="D797" s="579" t="s">
        <v>159</v>
      </c>
      <c r="E797" s="579"/>
      <c r="F797" s="568" t="s">
        <v>162</v>
      </c>
      <c r="G797" s="568"/>
      <c r="H797" s="580"/>
      <c r="I797" s="581"/>
      <c r="J797" s="582"/>
      <c r="K797" s="572" t="s">
        <v>162</v>
      </c>
      <c r="L797" s="573"/>
      <c r="M797" s="574"/>
      <c r="N797" s="583" t="s">
        <v>159</v>
      </c>
      <c r="O797" s="584"/>
      <c r="P797" s="584"/>
      <c r="Q797" s="584"/>
      <c r="R797" s="584"/>
      <c r="S797" s="584"/>
      <c r="T797" s="584"/>
      <c r="U797" s="585"/>
    </row>
    <row r="798" spans="1:21" ht="35.1" customHeight="1" x14ac:dyDescent="0.25">
      <c r="A798" s="263">
        <f t="shared" si="12"/>
        <v>784</v>
      </c>
      <c r="B798" s="566" t="s">
        <v>159</v>
      </c>
      <c r="C798" s="566"/>
      <c r="D798" s="567" t="s">
        <v>159</v>
      </c>
      <c r="E798" s="567"/>
      <c r="F798" s="568" t="s">
        <v>162</v>
      </c>
      <c r="G798" s="568"/>
      <c r="H798" s="569"/>
      <c r="I798" s="570"/>
      <c r="J798" s="571"/>
      <c r="K798" s="572" t="s">
        <v>162</v>
      </c>
      <c r="L798" s="573"/>
      <c r="M798" s="574"/>
      <c r="N798" s="575" t="s">
        <v>159</v>
      </c>
      <c r="O798" s="576"/>
      <c r="P798" s="576"/>
      <c r="Q798" s="576"/>
      <c r="R798" s="576"/>
      <c r="S798" s="576"/>
      <c r="T798" s="576"/>
      <c r="U798" s="577"/>
    </row>
    <row r="799" spans="1:21" ht="35.1" customHeight="1" x14ac:dyDescent="0.25">
      <c r="A799" s="263">
        <f t="shared" si="12"/>
        <v>785</v>
      </c>
      <c r="B799" s="578" t="s">
        <v>159</v>
      </c>
      <c r="C799" s="578"/>
      <c r="D799" s="579" t="s">
        <v>159</v>
      </c>
      <c r="E799" s="579"/>
      <c r="F799" s="568" t="s">
        <v>162</v>
      </c>
      <c r="G799" s="568"/>
      <c r="H799" s="580"/>
      <c r="I799" s="581"/>
      <c r="J799" s="582"/>
      <c r="K799" s="572" t="s">
        <v>162</v>
      </c>
      <c r="L799" s="573"/>
      <c r="M799" s="574"/>
      <c r="N799" s="583" t="s">
        <v>159</v>
      </c>
      <c r="O799" s="584"/>
      <c r="P799" s="584"/>
      <c r="Q799" s="584"/>
      <c r="R799" s="584"/>
      <c r="S799" s="584"/>
      <c r="T799" s="584"/>
      <c r="U799" s="585"/>
    </row>
    <row r="800" spans="1:21" ht="35.1" customHeight="1" x14ac:dyDescent="0.25">
      <c r="A800" s="263">
        <f t="shared" si="12"/>
        <v>786</v>
      </c>
      <c r="B800" s="566" t="s">
        <v>159</v>
      </c>
      <c r="C800" s="566"/>
      <c r="D800" s="567" t="s">
        <v>159</v>
      </c>
      <c r="E800" s="567"/>
      <c r="F800" s="568" t="s">
        <v>162</v>
      </c>
      <c r="G800" s="568"/>
      <c r="H800" s="569"/>
      <c r="I800" s="570"/>
      <c r="J800" s="571"/>
      <c r="K800" s="572" t="s">
        <v>162</v>
      </c>
      <c r="L800" s="573"/>
      <c r="M800" s="574"/>
      <c r="N800" s="575" t="s">
        <v>159</v>
      </c>
      <c r="O800" s="576"/>
      <c r="P800" s="576"/>
      <c r="Q800" s="576"/>
      <c r="R800" s="576"/>
      <c r="S800" s="576"/>
      <c r="T800" s="576"/>
      <c r="U800" s="577"/>
    </row>
    <row r="801" spans="1:21" ht="35.1" customHeight="1" x14ac:dyDescent="0.25">
      <c r="A801" s="263">
        <f t="shared" si="12"/>
        <v>787</v>
      </c>
      <c r="B801" s="578" t="s">
        <v>159</v>
      </c>
      <c r="C801" s="578"/>
      <c r="D801" s="579" t="s">
        <v>159</v>
      </c>
      <c r="E801" s="579"/>
      <c r="F801" s="568" t="s">
        <v>162</v>
      </c>
      <c r="G801" s="568"/>
      <c r="H801" s="580"/>
      <c r="I801" s="581"/>
      <c r="J801" s="582"/>
      <c r="K801" s="572" t="s">
        <v>162</v>
      </c>
      <c r="L801" s="573"/>
      <c r="M801" s="574"/>
      <c r="N801" s="583" t="s">
        <v>159</v>
      </c>
      <c r="O801" s="584"/>
      <c r="P801" s="584"/>
      <c r="Q801" s="584"/>
      <c r="R801" s="584"/>
      <c r="S801" s="584"/>
      <c r="T801" s="584"/>
      <c r="U801" s="585"/>
    </row>
    <row r="802" spans="1:21" ht="35.1" customHeight="1" x14ac:dyDescent="0.25">
      <c r="A802" s="263">
        <f t="shared" si="12"/>
        <v>788</v>
      </c>
      <c r="B802" s="566" t="s">
        <v>159</v>
      </c>
      <c r="C802" s="566"/>
      <c r="D802" s="567" t="s">
        <v>159</v>
      </c>
      <c r="E802" s="567"/>
      <c r="F802" s="568" t="s">
        <v>162</v>
      </c>
      <c r="G802" s="568"/>
      <c r="H802" s="569"/>
      <c r="I802" s="570"/>
      <c r="J802" s="571"/>
      <c r="K802" s="572" t="s">
        <v>162</v>
      </c>
      <c r="L802" s="573"/>
      <c r="M802" s="574"/>
      <c r="N802" s="575" t="s">
        <v>159</v>
      </c>
      <c r="O802" s="576"/>
      <c r="P802" s="576"/>
      <c r="Q802" s="576"/>
      <c r="R802" s="576"/>
      <c r="S802" s="576"/>
      <c r="T802" s="576"/>
      <c r="U802" s="577"/>
    </row>
    <row r="803" spans="1:21" ht="35.1" customHeight="1" x14ac:dyDescent="0.25">
      <c r="A803" s="263">
        <f t="shared" si="12"/>
        <v>789</v>
      </c>
      <c r="B803" s="566" t="s">
        <v>159</v>
      </c>
      <c r="C803" s="566"/>
      <c r="D803" s="567" t="s">
        <v>159</v>
      </c>
      <c r="E803" s="567"/>
      <c r="F803" s="568" t="s">
        <v>162</v>
      </c>
      <c r="G803" s="568"/>
      <c r="H803" s="569"/>
      <c r="I803" s="570"/>
      <c r="J803" s="571"/>
      <c r="K803" s="572" t="s">
        <v>162</v>
      </c>
      <c r="L803" s="573"/>
      <c r="M803" s="574"/>
      <c r="N803" s="575" t="s">
        <v>159</v>
      </c>
      <c r="O803" s="576"/>
      <c r="P803" s="576"/>
      <c r="Q803" s="576"/>
      <c r="R803" s="576"/>
      <c r="S803" s="576"/>
      <c r="T803" s="576"/>
      <c r="U803" s="577"/>
    </row>
    <row r="804" spans="1:21" ht="35.1" customHeight="1" x14ac:dyDescent="0.25">
      <c r="A804" s="263">
        <f t="shared" si="12"/>
        <v>790</v>
      </c>
      <c r="B804" s="578" t="s">
        <v>159</v>
      </c>
      <c r="C804" s="578"/>
      <c r="D804" s="579" t="s">
        <v>159</v>
      </c>
      <c r="E804" s="579"/>
      <c r="F804" s="568" t="s">
        <v>162</v>
      </c>
      <c r="G804" s="568"/>
      <c r="H804" s="580"/>
      <c r="I804" s="581"/>
      <c r="J804" s="582"/>
      <c r="K804" s="572" t="s">
        <v>162</v>
      </c>
      <c r="L804" s="573"/>
      <c r="M804" s="574"/>
      <c r="N804" s="583"/>
      <c r="O804" s="584"/>
      <c r="P804" s="584"/>
      <c r="Q804" s="584"/>
      <c r="R804" s="584"/>
      <c r="S804" s="584"/>
      <c r="T804" s="584"/>
      <c r="U804" s="585"/>
    </row>
    <row r="805" spans="1:21" ht="35.1" customHeight="1" x14ac:dyDescent="0.25">
      <c r="A805" s="263">
        <f t="shared" si="12"/>
        <v>791</v>
      </c>
      <c r="B805" s="566" t="s">
        <v>159</v>
      </c>
      <c r="C805" s="566"/>
      <c r="D805" s="567" t="s">
        <v>159</v>
      </c>
      <c r="E805" s="567"/>
      <c r="F805" s="568" t="s">
        <v>162</v>
      </c>
      <c r="G805" s="568"/>
      <c r="H805" s="569"/>
      <c r="I805" s="570"/>
      <c r="J805" s="571"/>
      <c r="K805" s="572" t="s">
        <v>162</v>
      </c>
      <c r="L805" s="573"/>
      <c r="M805" s="574"/>
      <c r="N805" s="575" t="s">
        <v>159</v>
      </c>
      <c r="O805" s="576"/>
      <c r="P805" s="576"/>
      <c r="Q805" s="576"/>
      <c r="R805" s="576"/>
      <c r="S805" s="576"/>
      <c r="T805" s="576"/>
      <c r="U805" s="577"/>
    </row>
    <row r="806" spans="1:21" ht="35.1" customHeight="1" x14ac:dyDescent="0.25">
      <c r="A806" s="263">
        <f t="shared" si="12"/>
        <v>792</v>
      </c>
      <c r="B806" s="578" t="s">
        <v>159</v>
      </c>
      <c r="C806" s="578"/>
      <c r="D806" s="579" t="s">
        <v>159</v>
      </c>
      <c r="E806" s="579"/>
      <c r="F806" s="568" t="s">
        <v>162</v>
      </c>
      <c r="G806" s="568"/>
      <c r="H806" s="580"/>
      <c r="I806" s="581"/>
      <c r="J806" s="582"/>
      <c r="K806" s="572" t="s">
        <v>162</v>
      </c>
      <c r="L806" s="573"/>
      <c r="M806" s="574"/>
      <c r="N806" s="583" t="s">
        <v>159</v>
      </c>
      <c r="O806" s="584"/>
      <c r="P806" s="584"/>
      <c r="Q806" s="584"/>
      <c r="R806" s="584"/>
      <c r="S806" s="584"/>
      <c r="T806" s="584"/>
      <c r="U806" s="585"/>
    </row>
    <row r="807" spans="1:21" ht="35.1" customHeight="1" x14ac:dyDescent="0.25">
      <c r="A807" s="263">
        <f t="shared" si="12"/>
        <v>793</v>
      </c>
      <c r="B807" s="566" t="s">
        <v>159</v>
      </c>
      <c r="C807" s="566"/>
      <c r="D807" s="567" t="s">
        <v>159</v>
      </c>
      <c r="E807" s="567"/>
      <c r="F807" s="568" t="s">
        <v>162</v>
      </c>
      <c r="G807" s="568"/>
      <c r="H807" s="569"/>
      <c r="I807" s="570"/>
      <c r="J807" s="571"/>
      <c r="K807" s="572" t="s">
        <v>162</v>
      </c>
      <c r="L807" s="573"/>
      <c r="M807" s="574"/>
      <c r="N807" s="575" t="s">
        <v>159</v>
      </c>
      <c r="O807" s="576"/>
      <c r="P807" s="576"/>
      <c r="Q807" s="576"/>
      <c r="R807" s="576"/>
      <c r="S807" s="576"/>
      <c r="T807" s="576"/>
      <c r="U807" s="577"/>
    </row>
    <row r="808" spans="1:21" ht="35.1" customHeight="1" x14ac:dyDescent="0.25">
      <c r="A808" s="263">
        <f t="shared" si="12"/>
        <v>794</v>
      </c>
      <c r="B808" s="578" t="s">
        <v>159</v>
      </c>
      <c r="C808" s="578"/>
      <c r="D808" s="579" t="s">
        <v>159</v>
      </c>
      <c r="E808" s="579"/>
      <c r="F808" s="568" t="s">
        <v>162</v>
      </c>
      <c r="G808" s="568"/>
      <c r="H808" s="580"/>
      <c r="I808" s="581"/>
      <c r="J808" s="582"/>
      <c r="K808" s="572" t="s">
        <v>162</v>
      </c>
      <c r="L808" s="573"/>
      <c r="M808" s="574"/>
      <c r="N808" s="583" t="s">
        <v>159</v>
      </c>
      <c r="O808" s="584"/>
      <c r="P808" s="584"/>
      <c r="Q808" s="584"/>
      <c r="R808" s="584"/>
      <c r="S808" s="584"/>
      <c r="T808" s="584"/>
      <c r="U808" s="585"/>
    </row>
    <row r="809" spans="1:21" ht="35.1" customHeight="1" x14ac:dyDescent="0.25">
      <c r="A809" s="263">
        <f t="shared" si="12"/>
        <v>795</v>
      </c>
      <c r="B809" s="566" t="s">
        <v>159</v>
      </c>
      <c r="C809" s="566"/>
      <c r="D809" s="567" t="s">
        <v>159</v>
      </c>
      <c r="E809" s="567"/>
      <c r="F809" s="568" t="s">
        <v>162</v>
      </c>
      <c r="G809" s="568"/>
      <c r="H809" s="569"/>
      <c r="I809" s="570"/>
      <c r="J809" s="571"/>
      <c r="K809" s="572" t="s">
        <v>162</v>
      </c>
      <c r="L809" s="573"/>
      <c r="M809" s="574"/>
      <c r="N809" s="575" t="s">
        <v>159</v>
      </c>
      <c r="O809" s="576"/>
      <c r="P809" s="576"/>
      <c r="Q809" s="576"/>
      <c r="R809" s="576"/>
      <c r="S809" s="576"/>
      <c r="T809" s="576"/>
      <c r="U809" s="577"/>
    </row>
    <row r="810" spans="1:21" ht="35.1" customHeight="1" x14ac:dyDescent="0.25">
      <c r="A810" s="263">
        <f t="shared" si="12"/>
        <v>796</v>
      </c>
      <c r="B810" s="578" t="s">
        <v>159</v>
      </c>
      <c r="C810" s="578"/>
      <c r="D810" s="579" t="s">
        <v>159</v>
      </c>
      <c r="E810" s="579"/>
      <c r="F810" s="568" t="s">
        <v>162</v>
      </c>
      <c r="G810" s="568"/>
      <c r="H810" s="580"/>
      <c r="I810" s="581"/>
      <c r="J810" s="582"/>
      <c r="K810" s="572" t="s">
        <v>162</v>
      </c>
      <c r="L810" s="573"/>
      <c r="M810" s="574"/>
      <c r="N810" s="583" t="s">
        <v>159</v>
      </c>
      <c r="O810" s="584"/>
      <c r="P810" s="584"/>
      <c r="Q810" s="584"/>
      <c r="R810" s="584"/>
      <c r="S810" s="584"/>
      <c r="T810" s="584"/>
      <c r="U810" s="585"/>
    </row>
    <row r="811" spans="1:21" ht="35.1" customHeight="1" x14ac:dyDescent="0.25">
      <c r="A811" s="263">
        <f t="shared" si="12"/>
        <v>797</v>
      </c>
      <c r="B811" s="566" t="s">
        <v>159</v>
      </c>
      <c r="C811" s="566"/>
      <c r="D811" s="567" t="s">
        <v>159</v>
      </c>
      <c r="E811" s="567"/>
      <c r="F811" s="568" t="s">
        <v>162</v>
      </c>
      <c r="G811" s="568"/>
      <c r="H811" s="569"/>
      <c r="I811" s="570"/>
      <c r="J811" s="571"/>
      <c r="K811" s="572" t="s">
        <v>162</v>
      </c>
      <c r="L811" s="573"/>
      <c r="M811" s="574"/>
      <c r="N811" s="575" t="s">
        <v>159</v>
      </c>
      <c r="O811" s="576"/>
      <c r="P811" s="576"/>
      <c r="Q811" s="576"/>
      <c r="R811" s="576"/>
      <c r="S811" s="576"/>
      <c r="T811" s="576"/>
      <c r="U811" s="577"/>
    </row>
    <row r="812" spans="1:21" ht="35.1" customHeight="1" x14ac:dyDescent="0.25">
      <c r="A812" s="263">
        <f t="shared" si="12"/>
        <v>798</v>
      </c>
      <c r="B812" s="578" t="s">
        <v>159</v>
      </c>
      <c r="C812" s="578"/>
      <c r="D812" s="579" t="s">
        <v>159</v>
      </c>
      <c r="E812" s="579"/>
      <c r="F812" s="568" t="s">
        <v>162</v>
      </c>
      <c r="G812" s="568"/>
      <c r="H812" s="580"/>
      <c r="I812" s="581"/>
      <c r="J812" s="582"/>
      <c r="K812" s="572" t="s">
        <v>162</v>
      </c>
      <c r="L812" s="573"/>
      <c r="M812" s="574"/>
      <c r="N812" s="583" t="s">
        <v>159</v>
      </c>
      <c r="O812" s="584"/>
      <c r="P812" s="584"/>
      <c r="Q812" s="584"/>
      <c r="R812" s="584"/>
      <c r="S812" s="584"/>
      <c r="T812" s="584"/>
      <c r="U812" s="585"/>
    </row>
    <row r="813" spans="1:21" ht="35.1" customHeight="1" x14ac:dyDescent="0.25">
      <c r="A813" s="263">
        <f t="shared" si="12"/>
        <v>799</v>
      </c>
      <c r="B813" s="566" t="s">
        <v>159</v>
      </c>
      <c r="C813" s="566"/>
      <c r="D813" s="567" t="s">
        <v>159</v>
      </c>
      <c r="E813" s="567"/>
      <c r="F813" s="568" t="s">
        <v>162</v>
      </c>
      <c r="G813" s="568"/>
      <c r="H813" s="569"/>
      <c r="I813" s="570"/>
      <c r="J813" s="571"/>
      <c r="K813" s="572" t="s">
        <v>162</v>
      </c>
      <c r="L813" s="573"/>
      <c r="M813" s="574"/>
      <c r="N813" s="575" t="s">
        <v>159</v>
      </c>
      <c r="O813" s="576"/>
      <c r="P813" s="576"/>
      <c r="Q813" s="576"/>
      <c r="R813" s="576"/>
      <c r="S813" s="576"/>
      <c r="T813" s="576"/>
      <c r="U813" s="577"/>
    </row>
    <row r="814" spans="1:21" ht="35.1" customHeight="1" x14ac:dyDescent="0.25">
      <c r="A814" s="263">
        <f t="shared" si="12"/>
        <v>800</v>
      </c>
      <c r="B814" s="578" t="s">
        <v>159</v>
      </c>
      <c r="C814" s="578"/>
      <c r="D814" s="579" t="s">
        <v>159</v>
      </c>
      <c r="E814" s="579"/>
      <c r="F814" s="568" t="s">
        <v>162</v>
      </c>
      <c r="G814" s="568"/>
      <c r="H814" s="580"/>
      <c r="I814" s="581"/>
      <c r="J814" s="582"/>
      <c r="K814" s="572" t="s">
        <v>162</v>
      </c>
      <c r="L814" s="573"/>
      <c r="M814" s="574"/>
      <c r="N814" s="583" t="s">
        <v>159</v>
      </c>
      <c r="O814" s="584"/>
      <c r="P814" s="584"/>
      <c r="Q814" s="584"/>
      <c r="R814" s="584"/>
      <c r="S814" s="584"/>
      <c r="T814" s="584"/>
      <c r="U814" s="585"/>
    </row>
    <row r="815" spans="1:21" ht="35.1" customHeight="1" x14ac:dyDescent="0.25">
      <c r="A815" s="263">
        <f t="shared" si="12"/>
        <v>801</v>
      </c>
      <c r="B815" s="566" t="s">
        <v>159</v>
      </c>
      <c r="C815" s="566"/>
      <c r="D815" s="567" t="s">
        <v>159</v>
      </c>
      <c r="E815" s="567"/>
      <c r="F815" s="568" t="s">
        <v>162</v>
      </c>
      <c r="G815" s="568"/>
      <c r="H815" s="569"/>
      <c r="I815" s="570"/>
      <c r="J815" s="571"/>
      <c r="K815" s="572" t="s">
        <v>162</v>
      </c>
      <c r="L815" s="573"/>
      <c r="M815" s="574"/>
      <c r="N815" s="575" t="s">
        <v>159</v>
      </c>
      <c r="O815" s="576"/>
      <c r="P815" s="576"/>
      <c r="Q815" s="576"/>
      <c r="R815" s="576"/>
      <c r="S815" s="576"/>
      <c r="T815" s="576"/>
      <c r="U815" s="577"/>
    </row>
    <row r="816" spans="1:21" ht="35.1" customHeight="1" x14ac:dyDescent="0.25">
      <c r="A816" s="263">
        <f t="shared" si="12"/>
        <v>802</v>
      </c>
      <c r="B816" s="578" t="s">
        <v>159</v>
      </c>
      <c r="C816" s="578"/>
      <c r="D816" s="579" t="s">
        <v>159</v>
      </c>
      <c r="E816" s="579"/>
      <c r="F816" s="568" t="s">
        <v>162</v>
      </c>
      <c r="G816" s="568"/>
      <c r="H816" s="580"/>
      <c r="I816" s="581"/>
      <c r="J816" s="582"/>
      <c r="K816" s="572" t="s">
        <v>162</v>
      </c>
      <c r="L816" s="573"/>
      <c r="M816" s="574"/>
      <c r="N816" s="583" t="s">
        <v>159</v>
      </c>
      <c r="O816" s="584"/>
      <c r="P816" s="584"/>
      <c r="Q816" s="584"/>
      <c r="R816" s="584"/>
      <c r="S816" s="584"/>
      <c r="T816" s="584"/>
      <c r="U816" s="585"/>
    </row>
    <row r="817" spans="1:21" ht="35.1" customHeight="1" x14ac:dyDescent="0.25">
      <c r="A817" s="263">
        <f t="shared" si="12"/>
        <v>803</v>
      </c>
      <c r="B817" s="566" t="s">
        <v>159</v>
      </c>
      <c r="C817" s="566"/>
      <c r="D817" s="567" t="s">
        <v>159</v>
      </c>
      <c r="E817" s="567"/>
      <c r="F817" s="568" t="s">
        <v>162</v>
      </c>
      <c r="G817" s="568"/>
      <c r="H817" s="569"/>
      <c r="I817" s="570"/>
      <c r="J817" s="571"/>
      <c r="K817" s="572" t="s">
        <v>162</v>
      </c>
      <c r="L817" s="573"/>
      <c r="M817" s="574"/>
      <c r="N817" s="575" t="s">
        <v>159</v>
      </c>
      <c r="O817" s="576"/>
      <c r="P817" s="576"/>
      <c r="Q817" s="576"/>
      <c r="R817" s="576"/>
      <c r="S817" s="576"/>
      <c r="T817" s="576"/>
      <c r="U817" s="577"/>
    </row>
    <row r="818" spans="1:21" ht="35.1" customHeight="1" x14ac:dyDescent="0.25">
      <c r="A818" s="263">
        <f t="shared" si="12"/>
        <v>804</v>
      </c>
      <c r="B818" s="578" t="s">
        <v>159</v>
      </c>
      <c r="C818" s="578"/>
      <c r="D818" s="579" t="s">
        <v>159</v>
      </c>
      <c r="E818" s="579"/>
      <c r="F818" s="568" t="s">
        <v>162</v>
      </c>
      <c r="G818" s="568"/>
      <c r="H818" s="580"/>
      <c r="I818" s="581"/>
      <c r="J818" s="582"/>
      <c r="K818" s="572" t="s">
        <v>162</v>
      </c>
      <c r="L818" s="573"/>
      <c r="M818" s="574"/>
      <c r="N818" s="583" t="s">
        <v>159</v>
      </c>
      <c r="O818" s="584"/>
      <c r="P818" s="584"/>
      <c r="Q818" s="584"/>
      <c r="R818" s="584"/>
      <c r="S818" s="584"/>
      <c r="T818" s="584"/>
      <c r="U818" s="585"/>
    </row>
    <row r="819" spans="1:21" ht="35.1" customHeight="1" x14ac:dyDescent="0.25">
      <c r="A819" s="263">
        <f t="shared" si="12"/>
        <v>805</v>
      </c>
      <c r="B819" s="566" t="s">
        <v>159</v>
      </c>
      <c r="C819" s="566"/>
      <c r="D819" s="567" t="s">
        <v>159</v>
      </c>
      <c r="E819" s="567"/>
      <c r="F819" s="568" t="s">
        <v>162</v>
      </c>
      <c r="G819" s="568"/>
      <c r="H819" s="569"/>
      <c r="I819" s="570"/>
      <c r="J819" s="571"/>
      <c r="K819" s="572" t="s">
        <v>162</v>
      </c>
      <c r="L819" s="573"/>
      <c r="M819" s="574"/>
      <c r="N819" s="575" t="s">
        <v>159</v>
      </c>
      <c r="O819" s="576"/>
      <c r="P819" s="576"/>
      <c r="Q819" s="576"/>
      <c r="R819" s="576"/>
      <c r="S819" s="576"/>
      <c r="T819" s="576"/>
      <c r="U819" s="577"/>
    </row>
    <row r="820" spans="1:21" ht="35.1" customHeight="1" x14ac:dyDescent="0.25">
      <c r="A820" s="263">
        <f t="shared" si="12"/>
        <v>806</v>
      </c>
      <c r="B820" s="578" t="s">
        <v>159</v>
      </c>
      <c r="C820" s="578"/>
      <c r="D820" s="579" t="s">
        <v>159</v>
      </c>
      <c r="E820" s="579"/>
      <c r="F820" s="568" t="s">
        <v>162</v>
      </c>
      <c r="G820" s="568"/>
      <c r="H820" s="580"/>
      <c r="I820" s="581"/>
      <c r="J820" s="582"/>
      <c r="K820" s="572" t="s">
        <v>162</v>
      </c>
      <c r="L820" s="573"/>
      <c r="M820" s="574"/>
      <c r="N820" s="583" t="s">
        <v>159</v>
      </c>
      <c r="O820" s="584"/>
      <c r="P820" s="584"/>
      <c r="Q820" s="584"/>
      <c r="R820" s="584"/>
      <c r="S820" s="584"/>
      <c r="T820" s="584"/>
      <c r="U820" s="585"/>
    </row>
    <row r="821" spans="1:21" ht="35.1" customHeight="1" x14ac:dyDescent="0.25">
      <c r="A821" s="263">
        <f t="shared" si="12"/>
        <v>807</v>
      </c>
      <c r="B821" s="566" t="s">
        <v>159</v>
      </c>
      <c r="C821" s="566"/>
      <c r="D821" s="567" t="s">
        <v>159</v>
      </c>
      <c r="E821" s="567"/>
      <c r="F821" s="568" t="s">
        <v>162</v>
      </c>
      <c r="G821" s="568"/>
      <c r="H821" s="569"/>
      <c r="I821" s="570"/>
      <c r="J821" s="571"/>
      <c r="K821" s="572" t="s">
        <v>162</v>
      </c>
      <c r="L821" s="573"/>
      <c r="M821" s="574"/>
      <c r="N821" s="575" t="s">
        <v>159</v>
      </c>
      <c r="O821" s="576"/>
      <c r="P821" s="576"/>
      <c r="Q821" s="576"/>
      <c r="R821" s="576"/>
      <c r="S821" s="576"/>
      <c r="T821" s="576"/>
      <c r="U821" s="577"/>
    </row>
    <row r="822" spans="1:21" ht="35.1" customHeight="1" x14ac:dyDescent="0.25">
      <c r="A822" s="263">
        <f t="shared" si="12"/>
        <v>808</v>
      </c>
      <c r="B822" s="578" t="s">
        <v>159</v>
      </c>
      <c r="C822" s="578"/>
      <c r="D822" s="579" t="s">
        <v>159</v>
      </c>
      <c r="E822" s="579"/>
      <c r="F822" s="568" t="s">
        <v>162</v>
      </c>
      <c r="G822" s="568"/>
      <c r="H822" s="580"/>
      <c r="I822" s="581"/>
      <c r="J822" s="582"/>
      <c r="K822" s="572" t="s">
        <v>162</v>
      </c>
      <c r="L822" s="573"/>
      <c r="M822" s="574"/>
      <c r="N822" s="583" t="s">
        <v>159</v>
      </c>
      <c r="O822" s="584"/>
      <c r="P822" s="584"/>
      <c r="Q822" s="584"/>
      <c r="R822" s="584"/>
      <c r="S822" s="584"/>
      <c r="T822" s="584"/>
      <c r="U822" s="585"/>
    </row>
    <row r="823" spans="1:21" ht="35.1" customHeight="1" x14ac:dyDescent="0.25">
      <c r="A823" s="263">
        <f t="shared" si="12"/>
        <v>809</v>
      </c>
      <c r="B823" s="566" t="s">
        <v>159</v>
      </c>
      <c r="C823" s="566"/>
      <c r="D823" s="567" t="s">
        <v>159</v>
      </c>
      <c r="E823" s="567"/>
      <c r="F823" s="568" t="s">
        <v>162</v>
      </c>
      <c r="G823" s="568"/>
      <c r="H823" s="569"/>
      <c r="I823" s="570"/>
      <c r="J823" s="571"/>
      <c r="K823" s="572" t="s">
        <v>162</v>
      </c>
      <c r="L823" s="573"/>
      <c r="M823" s="574"/>
      <c r="N823" s="575" t="s">
        <v>159</v>
      </c>
      <c r="O823" s="576"/>
      <c r="P823" s="576"/>
      <c r="Q823" s="576"/>
      <c r="R823" s="576"/>
      <c r="S823" s="576"/>
      <c r="T823" s="576"/>
      <c r="U823" s="577"/>
    </row>
    <row r="824" spans="1:21" ht="35.1" customHeight="1" x14ac:dyDescent="0.25">
      <c r="A824" s="263">
        <f t="shared" si="12"/>
        <v>810</v>
      </c>
      <c r="B824" s="578" t="s">
        <v>159</v>
      </c>
      <c r="C824" s="578"/>
      <c r="D824" s="579" t="s">
        <v>159</v>
      </c>
      <c r="E824" s="579"/>
      <c r="F824" s="568" t="s">
        <v>162</v>
      </c>
      <c r="G824" s="568"/>
      <c r="H824" s="580"/>
      <c r="I824" s="581"/>
      <c r="J824" s="582"/>
      <c r="K824" s="572" t="s">
        <v>162</v>
      </c>
      <c r="L824" s="573"/>
      <c r="M824" s="574"/>
      <c r="N824" s="583" t="s">
        <v>159</v>
      </c>
      <c r="O824" s="584"/>
      <c r="P824" s="584"/>
      <c r="Q824" s="584"/>
      <c r="R824" s="584"/>
      <c r="S824" s="584"/>
      <c r="T824" s="584"/>
      <c r="U824" s="585"/>
    </row>
    <row r="825" spans="1:21" ht="35.1" customHeight="1" x14ac:dyDescent="0.25">
      <c r="A825" s="263">
        <f t="shared" si="12"/>
        <v>811</v>
      </c>
      <c r="B825" s="566" t="s">
        <v>159</v>
      </c>
      <c r="C825" s="566"/>
      <c r="D825" s="567" t="s">
        <v>159</v>
      </c>
      <c r="E825" s="567"/>
      <c r="F825" s="568" t="s">
        <v>162</v>
      </c>
      <c r="G825" s="568"/>
      <c r="H825" s="569"/>
      <c r="I825" s="570"/>
      <c r="J825" s="571"/>
      <c r="K825" s="572" t="s">
        <v>162</v>
      </c>
      <c r="L825" s="573"/>
      <c r="M825" s="574"/>
      <c r="N825" s="575" t="s">
        <v>159</v>
      </c>
      <c r="O825" s="576"/>
      <c r="P825" s="576"/>
      <c r="Q825" s="576"/>
      <c r="R825" s="576"/>
      <c r="S825" s="576"/>
      <c r="T825" s="576"/>
      <c r="U825" s="577"/>
    </row>
    <row r="826" spans="1:21" ht="35.1" customHeight="1" x14ac:dyDescent="0.25">
      <c r="A826" s="263">
        <f t="shared" si="12"/>
        <v>812</v>
      </c>
      <c r="B826" s="578" t="s">
        <v>159</v>
      </c>
      <c r="C826" s="578"/>
      <c r="D826" s="579" t="s">
        <v>159</v>
      </c>
      <c r="E826" s="579"/>
      <c r="F826" s="568" t="s">
        <v>162</v>
      </c>
      <c r="G826" s="568"/>
      <c r="H826" s="580"/>
      <c r="I826" s="581"/>
      <c r="J826" s="582"/>
      <c r="K826" s="572" t="s">
        <v>162</v>
      </c>
      <c r="L826" s="573"/>
      <c r="M826" s="574"/>
      <c r="N826" s="583" t="s">
        <v>159</v>
      </c>
      <c r="O826" s="584"/>
      <c r="P826" s="584"/>
      <c r="Q826" s="584"/>
      <c r="R826" s="584"/>
      <c r="S826" s="584"/>
      <c r="T826" s="584"/>
      <c r="U826" s="585"/>
    </row>
    <row r="827" spans="1:21" ht="35.1" customHeight="1" x14ac:dyDescent="0.25">
      <c r="A827" s="263">
        <f t="shared" si="12"/>
        <v>813</v>
      </c>
      <c r="B827" s="566" t="s">
        <v>159</v>
      </c>
      <c r="C827" s="566"/>
      <c r="D827" s="567" t="s">
        <v>159</v>
      </c>
      <c r="E827" s="567"/>
      <c r="F827" s="568" t="s">
        <v>162</v>
      </c>
      <c r="G827" s="568"/>
      <c r="H827" s="569"/>
      <c r="I827" s="570"/>
      <c r="J827" s="571"/>
      <c r="K827" s="572" t="s">
        <v>162</v>
      </c>
      <c r="L827" s="573"/>
      <c r="M827" s="574"/>
      <c r="N827" s="575" t="s">
        <v>159</v>
      </c>
      <c r="O827" s="576"/>
      <c r="P827" s="576"/>
      <c r="Q827" s="576"/>
      <c r="R827" s="576"/>
      <c r="S827" s="576"/>
      <c r="T827" s="576"/>
      <c r="U827" s="577"/>
    </row>
    <row r="828" spans="1:21" ht="35.1" customHeight="1" x14ac:dyDescent="0.25">
      <c r="A828" s="263">
        <f t="shared" si="12"/>
        <v>814</v>
      </c>
      <c r="B828" s="578" t="s">
        <v>159</v>
      </c>
      <c r="C828" s="578"/>
      <c r="D828" s="579" t="s">
        <v>159</v>
      </c>
      <c r="E828" s="579"/>
      <c r="F828" s="568" t="s">
        <v>162</v>
      </c>
      <c r="G828" s="568"/>
      <c r="H828" s="580"/>
      <c r="I828" s="581"/>
      <c r="J828" s="582"/>
      <c r="K828" s="572" t="s">
        <v>162</v>
      </c>
      <c r="L828" s="573"/>
      <c r="M828" s="574"/>
      <c r="N828" s="583" t="s">
        <v>159</v>
      </c>
      <c r="O828" s="584"/>
      <c r="P828" s="584"/>
      <c r="Q828" s="584"/>
      <c r="R828" s="584"/>
      <c r="S828" s="584"/>
      <c r="T828" s="584"/>
      <c r="U828" s="585"/>
    </row>
    <row r="829" spans="1:21" ht="35.1" customHeight="1" x14ac:dyDescent="0.25">
      <c r="A829" s="263">
        <f t="shared" si="12"/>
        <v>815</v>
      </c>
      <c r="B829" s="566" t="s">
        <v>159</v>
      </c>
      <c r="C829" s="566"/>
      <c r="D829" s="567" t="s">
        <v>159</v>
      </c>
      <c r="E829" s="567"/>
      <c r="F829" s="568" t="s">
        <v>162</v>
      </c>
      <c r="G829" s="568"/>
      <c r="H829" s="569"/>
      <c r="I829" s="570"/>
      <c r="J829" s="571"/>
      <c r="K829" s="572" t="s">
        <v>162</v>
      </c>
      <c r="L829" s="573"/>
      <c r="M829" s="574"/>
      <c r="N829" s="575" t="s">
        <v>159</v>
      </c>
      <c r="O829" s="576"/>
      <c r="P829" s="576"/>
      <c r="Q829" s="576"/>
      <c r="R829" s="576"/>
      <c r="S829" s="576"/>
      <c r="T829" s="576"/>
      <c r="U829" s="577"/>
    </row>
    <row r="830" spans="1:21" ht="35.1" customHeight="1" x14ac:dyDescent="0.25">
      <c r="A830" s="263">
        <f t="shared" si="12"/>
        <v>816</v>
      </c>
      <c r="B830" s="578" t="s">
        <v>159</v>
      </c>
      <c r="C830" s="578"/>
      <c r="D830" s="579" t="s">
        <v>159</v>
      </c>
      <c r="E830" s="579"/>
      <c r="F830" s="568" t="s">
        <v>162</v>
      </c>
      <c r="G830" s="568"/>
      <c r="H830" s="580"/>
      <c r="I830" s="581"/>
      <c r="J830" s="582"/>
      <c r="K830" s="572" t="s">
        <v>162</v>
      </c>
      <c r="L830" s="573"/>
      <c r="M830" s="574"/>
      <c r="N830" s="583" t="s">
        <v>159</v>
      </c>
      <c r="O830" s="584"/>
      <c r="P830" s="584"/>
      <c r="Q830" s="584"/>
      <c r="R830" s="584"/>
      <c r="S830" s="584"/>
      <c r="T830" s="584"/>
      <c r="U830" s="585"/>
    </row>
    <row r="831" spans="1:21" ht="35.1" customHeight="1" x14ac:dyDescent="0.25">
      <c r="A831" s="263">
        <f t="shared" si="12"/>
        <v>817</v>
      </c>
      <c r="B831" s="566" t="s">
        <v>159</v>
      </c>
      <c r="C831" s="566"/>
      <c r="D831" s="567" t="s">
        <v>159</v>
      </c>
      <c r="E831" s="567"/>
      <c r="F831" s="568" t="s">
        <v>162</v>
      </c>
      <c r="G831" s="568"/>
      <c r="H831" s="569"/>
      <c r="I831" s="570"/>
      <c r="J831" s="571"/>
      <c r="K831" s="572" t="s">
        <v>162</v>
      </c>
      <c r="L831" s="573"/>
      <c r="M831" s="574"/>
      <c r="N831" s="575" t="s">
        <v>159</v>
      </c>
      <c r="O831" s="576"/>
      <c r="P831" s="576"/>
      <c r="Q831" s="576"/>
      <c r="R831" s="576"/>
      <c r="S831" s="576"/>
      <c r="T831" s="576"/>
      <c r="U831" s="577"/>
    </row>
    <row r="832" spans="1:21" ht="35.1" customHeight="1" x14ac:dyDescent="0.25">
      <c r="A832" s="263">
        <f t="shared" si="12"/>
        <v>818</v>
      </c>
      <c r="B832" s="578" t="s">
        <v>159</v>
      </c>
      <c r="C832" s="578"/>
      <c r="D832" s="579" t="s">
        <v>159</v>
      </c>
      <c r="E832" s="579"/>
      <c r="F832" s="568" t="s">
        <v>162</v>
      </c>
      <c r="G832" s="568"/>
      <c r="H832" s="580"/>
      <c r="I832" s="581"/>
      <c r="J832" s="582"/>
      <c r="K832" s="572" t="s">
        <v>162</v>
      </c>
      <c r="L832" s="573"/>
      <c r="M832" s="574"/>
      <c r="N832" s="583" t="s">
        <v>159</v>
      </c>
      <c r="O832" s="584"/>
      <c r="P832" s="584"/>
      <c r="Q832" s="584"/>
      <c r="R832" s="584"/>
      <c r="S832" s="584"/>
      <c r="T832" s="584"/>
      <c r="U832" s="585"/>
    </row>
    <row r="833" spans="1:21" ht="35.1" customHeight="1" x14ac:dyDescent="0.25">
      <c r="A833" s="263">
        <f t="shared" si="12"/>
        <v>819</v>
      </c>
      <c r="B833" s="566" t="s">
        <v>159</v>
      </c>
      <c r="C833" s="566"/>
      <c r="D833" s="567" t="s">
        <v>159</v>
      </c>
      <c r="E833" s="567"/>
      <c r="F833" s="568" t="s">
        <v>162</v>
      </c>
      <c r="G833" s="568"/>
      <c r="H833" s="569"/>
      <c r="I833" s="570"/>
      <c r="J833" s="571"/>
      <c r="K833" s="572" t="s">
        <v>162</v>
      </c>
      <c r="L833" s="573"/>
      <c r="M833" s="574"/>
      <c r="N833" s="575" t="s">
        <v>159</v>
      </c>
      <c r="O833" s="576"/>
      <c r="P833" s="576"/>
      <c r="Q833" s="576"/>
      <c r="R833" s="576"/>
      <c r="S833" s="576"/>
      <c r="T833" s="576"/>
      <c r="U833" s="577"/>
    </row>
    <row r="834" spans="1:21" ht="35.1" customHeight="1" x14ac:dyDescent="0.25">
      <c r="A834" s="263">
        <f t="shared" si="12"/>
        <v>820</v>
      </c>
      <c r="B834" s="578" t="s">
        <v>159</v>
      </c>
      <c r="C834" s="578"/>
      <c r="D834" s="579" t="s">
        <v>159</v>
      </c>
      <c r="E834" s="579"/>
      <c r="F834" s="568" t="s">
        <v>162</v>
      </c>
      <c r="G834" s="568"/>
      <c r="H834" s="580"/>
      <c r="I834" s="581"/>
      <c r="J834" s="582"/>
      <c r="K834" s="572" t="s">
        <v>162</v>
      </c>
      <c r="L834" s="573"/>
      <c r="M834" s="574"/>
      <c r="N834" s="583" t="s">
        <v>159</v>
      </c>
      <c r="O834" s="584"/>
      <c r="P834" s="584"/>
      <c r="Q834" s="584"/>
      <c r="R834" s="584"/>
      <c r="S834" s="584"/>
      <c r="T834" s="584"/>
      <c r="U834" s="585"/>
    </row>
    <row r="835" spans="1:21" ht="35.1" customHeight="1" x14ac:dyDescent="0.25">
      <c r="A835" s="263">
        <f t="shared" si="12"/>
        <v>821</v>
      </c>
      <c r="B835" s="566" t="s">
        <v>159</v>
      </c>
      <c r="C835" s="566"/>
      <c r="D835" s="567" t="s">
        <v>159</v>
      </c>
      <c r="E835" s="567"/>
      <c r="F835" s="568" t="s">
        <v>162</v>
      </c>
      <c r="G835" s="568"/>
      <c r="H835" s="569"/>
      <c r="I835" s="570"/>
      <c r="J835" s="571"/>
      <c r="K835" s="572" t="s">
        <v>162</v>
      </c>
      <c r="L835" s="573"/>
      <c r="M835" s="574"/>
      <c r="N835" s="575" t="s">
        <v>159</v>
      </c>
      <c r="O835" s="576"/>
      <c r="P835" s="576"/>
      <c r="Q835" s="576"/>
      <c r="R835" s="576"/>
      <c r="S835" s="576"/>
      <c r="T835" s="576"/>
      <c r="U835" s="577"/>
    </row>
    <row r="836" spans="1:21" ht="35.1" customHeight="1" x14ac:dyDescent="0.25">
      <c r="A836" s="263">
        <f t="shared" si="12"/>
        <v>822</v>
      </c>
      <c r="B836" s="578" t="s">
        <v>159</v>
      </c>
      <c r="C836" s="578"/>
      <c r="D836" s="579" t="s">
        <v>159</v>
      </c>
      <c r="E836" s="579"/>
      <c r="F836" s="568" t="s">
        <v>162</v>
      </c>
      <c r="G836" s="568"/>
      <c r="H836" s="580"/>
      <c r="I836" s="581"/>
      <c r="J836" s="582"/>
      <c r="K836" s="572" t="s">
        <v>162</v>
      </c>
      <c r="L836" s="573"/>
      <c r="M836" s="574"/>
      <c r="N836" s="583" t="s">
        <v>159</v>
      </c>
      <c r="O836" s="584"/>
      <c r="P836" s="584"/>
      <c r="Q836" s="584"/>
      <c r="R836" s="584"/>
      <c r="S836" s="584"/>
      <c r="T836" s="584"/>
      <c r="U836" s="585"/>
    </row>
    <row r="837" spans="1:21" ht="35.1" customHeight="1" x14ac:dyDescent="0.25">
      <c r="A837" s="263">
        <f t="shared" si="12"/>
        <v>823</v>
      </c>
      <c r="B837" s="566" t="s">
        <v>159</v>
      </c>
      <c r="C837" s="566"/>
      <c r="D837" s="567" t="s">
        <v>159</v>
      </c>
      <c r="E837" s="567"/>
      <c r="F837" s="568" t="s">
        <v>162</v>
      </c>
      <c r="G837" s="568"/>
      <c r="H837" s="569"/>
      <c r="I837" s="570"/>
      <c r="J837" s="571"/>
      <c r="K837" s="572" t="s">
        <v>162</v>
      </c>
      <c r="L837" s="573"/>
      <c r="M837" s="574"/>
      <c r="N837" s="575" t="s">
        <v>159</v>
      </c>
      <c r="O837" s="576"/>
      <c r="P837" s="576"/>
      <c r="Q837" s="576"/>
      <c r="R837" s="576"/>
      <c r="S837" s="576"/>
      <c r="T837" s="576"/>
      <c r="U837" s="577"/>
    </row>
    <row r="838" spans="1:21" ht="35.1" customHeight="1" x14ac:dyDescent="0.25">
      <c r="A838" s="263">
        <f t="shared" si="12"/>
        <v>824</v>
      </c>
      <c r="B838" s="578" t="s">
        <v>159</v>
      </c>
      <c r="C838" s="578"/>
      <c r="D838" s="579" t="s">
        <v>159</v>
      </c>
      <c r="E838" s="579"/>
      <c r="F838" s="568" t="s">
        <v>162</v>
      </c>
      <c r="G838" s="568"/>
      <c r="H838" s="580"/>
      <c r="I838" s="581"/>
      <c r="J838" s="582"/>
      <c r="K838" s="572" t="s">
        <v>162</v>
      </c>
      <c r="L838" s="573"/>
      <c r="M838" s="574"/>
      <c r="N838" s="583" t="s">
        <v>159</v>
      </c>
      <c r="O838" s="584"/>
      <c r="P838" s="584"/>
      <c r="Q838" s="584"/>
      <c r="R838" s="584"/>
      <c r="S838" s="584"/>
      <c r="T838" s="584"/>
      <c r="U838" s="585"/>
    </row>
    <row r="839" spans="1:21" ht="35.1" customHeight="1" x14ac:dyDescent="0.25">
      <c r="A839" s="263">
        <f t="shared" si="12"/>
        <v>825</v>
      </c>
      <c r="B839" s="566" t="s">
        <v>159</v>
      </c>
      <c r="C839" s="566"/>
      <c r="D839" s="567" t="s">
        <v>159</v>
      </c>
      <c r="E839" s="567"/>
      <c r="F839" s="568" t="s">
        <v>162</v>
      </c>
      <c r="G839" s="568"/>
      <c r="H839" s="569"/>
      <c r="I839" s="570"/>
      <c r="J839" s="571"/>
      <c r="K839" s="572" t="s">
        <v>162</v>
      </c>
      <c r="L839" s="573"/>
      <c r="M839" s="574"/>
      <c r="N839" s="575" t="s">
        <v>159</v>
      </c>
      <c r="O839" s="576"/>
      <c r="P839" s="576"/>
      <c r="Q839" s="576"/>
      <c r="R839" s="576"/>
      <c r="S839" s="576"/>
      <c r="T839" s="576"/>
      <c r="U839" s="577"/>
    </row>
    <row r="840" spans="1:21" ht="35.1" customHeight="1" x14ac:dyDescent="0.25">
      <c r="A840" s="263">
        <f t="shared" si="12"/>
        <v>826</v>
      </c>
      <c r="B840" s="578" t="s">
        <v>159</v>
      </c>
      <c r="C840" s="578"/>
      <c r="D840" s="579" t="s">
        <v>159</v>
      </c>
      <c r="E840" s="579"/>
      <c r="F840" s="568" t="s">
        <v>162</v>
      </c>
      <c r="G840" s="568"/>
      <c r="H840" s="580"/>
      <c r="I840" s="581"/>
      <c r="J840" s="582"/>
      <c r="K840" s="572" t="s">
        <v>162</v>
      </c>
      <c r="L840" s="573"/>
      <c r="M840" s="574"/>
      <c r="N840" s="583" t="s">
        <v>159</v>
      </c>
      <c r="O840" s="584"/>
      <c r="P840" s="584"/>
      <c r="Q840" s="584"/>
      <c r="R840" s="584"/>
      <c r="S840" s="584"/>
      <c r="T840" s="584"/>
      <c r="U840" s="585"/>
    </row>
    <row r="841" spans="1:21" ht="35.1" customHeight="1" x14ac:dyDescent="0.25">
      <c r="A841" s="263">
        <f t="shared" si="12"/>
        <v>827</v>
      </c>
      <c r="B841" s="566" t="s">
        <v>159</v>
      </c>
      <c r="C841" s="566"/>
      <c r="D841" s="567" t="s">
        <v>159</v>
      </c>
      <c r="E841" s="567"/>
      <c r="F841" s="568" t="s">
        <v>162</v>
      </c>
      <c r="G841" s="568"/>
      <c r="H841" s="569"/>
      <c r="I841" s="570"/>
      <c r="J841" s="571"/>
      <c r="K841" s="572" t="s">
        <v>162</v>
      </c>
      <c r="L841" s="573"/>
      <c r="M841" s="574"/>
      <c r="N841" s="575" t="s">
        <v>159</v>
      </c>
      <c r="O841" s="576"/>
      <c r="P841" s="576"/>
      <c r="Q841" s="576"/>
      <c r="R841" s="576"/>
      <c r="S841" s="576"/>
      <c r="T841" s="576"/>
      <c r="U841" s="577"/>
    </row>
    <row r="842" spans="1:21" ht="35.1" customHeight="1" x14ac:dyDescent="0.25">
      <c r="A842" s="263">
        <f t="shared" si="12"/>
        <v>828</v>
      </c>
      <c r="B842" s="578" t="s">
        <v>159</v>
      </c>
      <c r="C842" s="578"/>
      <c r="D842" s="579" t="s">
        <v>159</v>
      </c>
      <c r="E842" s="579"/>
      <c r="F842" s="568" t="s">
        <v>162</v>
      </c>
      <c r="G842" s="568"/>
      <c r="H842" s="580"/>
      <c r="I842" s="581"/>
      <c r="J842" s="582"/>
      <c r="K842" s="572" t="s">
        <v>162</v>
      </c>
      <c r="L842" s="573"/>
      <c r="M842" s="574"/>
      <c r="N842" s="583" t="s">
        <v>159</v>
      </c>
      <c r="O842" s="584"/>
      <c r="P842" s="584"/>
      <c r="Q842" s="584"/>
      <c r="R842" s="584"/>
      <c r="S842" s="584"/>
      <c r="T842" s="584"/>
      <c r="U842" s="585"/>
    </row>
    <row r="843" spans="1:21" ht="35.1" customHeight="1" x14ac:dyDescent="0.25">
      <c r="A843" s="263">
        <f t="shared" si="12"/>
        <v>829</v>
      </c>
      <c r="B843" s="566" t="s">
        <v>159</v>
      </c>
      <c r="C843" s="566"/>
      <c r="D843" s="567" t="s">
        <v>159</v>
      </c>
      <c r="E843" s="567"/>
      <c r="F843" s="568" t="s">
        <v>162</v>
      </c>
      <c r="G843" s="568"/>
      <c r="H843" s="569"/>
      <c r="I843" s="570"/>
      <c r="J843" s="571"/>
      <c r="K843" s="572" t="s">
        <v>162</v>
      </c>
      <c r="L843" s="573"/>
      <c r="M843" s="574"/>
      <c r="N843" s="575" t="s">
        <v>159</v>
      </c>
      <c r="O843" s="576"/>
      <c r="P843" s="576"/>
      <c r="Q843" s="576"/>
      <c r="R843" s="576"/>
      <c r="S843" s="576"/>
      <c r="T843" s="576"/>
      <c r="U843" s="577"/>
    </row>
    <row r="844" spans="1:21" ht="35.1" customHeight="1" x14ac:dyDescent="0.25">
      <c r="A844" s="263">
        <f t="shared" si="12"/>
        <v>830</v>
      </c>
      <c r="B844" s="578" t="s">
        <v>159</v>
      </c>
      <c r="C844" s="578"/>
      <c r="D844" s="579" t="s">
        <v>159</v>
      </c>
      <c r="E844" s="579"/>
      <c r="F844" s="568" t="s">
        <v>162</v>
      </c>
      <c r="G844" s="568"/>
      <c r="H844" s="580"/>
      <c r="I844" s="581"/>
      <c r="J844" s="582"/>
      <c r="K844" s="572" t="s">
        <v>162</v>
      </c>
      <c r="L844" s="573"/>
      <c r="M844" s="574"/>
      <c r="N844" s="583" t="s">
        <v>159</v>
      </c>
      <c r="O844" s="584"/>
      <c r="P844" s="584"/>
      <c r="Q844" s="584"/>
      <c r="R844" s="584"/>
      <c r="S844" s="584"/>
      <c r="T844" s="584"/>
      <c r="U844" s="585"/>
    </row>
    <row r="845" spans="1:21" ht="35.1" customHeight="1" x14ac:dyDescent="0.25">
      <c r="A845" s="263">
        <f t="shared" si="12"/>
        <v>831</v>
      </c>
      <c r="B845" s="566" t="s">
        <v>159</v>
      </c>
      <c r="C845" s="566"/>
      <c r="D845" s="567" t="s">
        <v>159</v>
      </c>
      <c r="E845" s="567"/>
      <c r="F845" s="568" t="s">
        <v>162</v>
      </c>
      <c r="G845" s="568"/>
      <c r="H845" s="569"/>
      <c r="I845" s="570"/>
      <c r="J845" s="571"/>
      <c r="K845" s="572" t="s">
        <v>162</v>
      </c>
      <c r="L845" s="573"/>
      <c r="M845" s="574"/>
      <c r="N845" s="575" t="s">
        <v>159</v>
      </c>
      <c r="O845" s="576"/>
      <c r="P845" s="576"/>
      <c r="Q845" s="576"/>
      <c r="R845" s="576"/>
      <c r="S845" s="576"/>
      <c r="T845" s="576"/>
      <c r="U845" s="577"/>
    </row>
    <row r="846" spans="1:21" ht="35.1" customHeight="1" x14ac:dyDescent="0.25">
      <c r="A846" s="263">
        <f t="shared" si="12"/>
        <v>832</v>
      </c>
      <c r="B846" s="578" t="s">
        <v>159</v>
      </c>
      <c r="C846" s="578"/>
      <c r="D846" s="579" t="s">
        <v>159</v>
      </c>
      <c r="E846" s="579"/>
      <c r="F846" s="568" t="s">
        <v>162</v>
      </c>
      <c r="G846" s="568"/>
      <c r="H846" s="580"/>
      <c r="I846" s="581"/>
      <c r="J846" s="582"/>
      <c r="K846" s="572" t="s">
        <v>162</v>
      </c>
      <c r="L846" s="573"/>
      <c r="M846" s="574"/>
      <c r="N846" s="583" t="s">
        <v>159</v>
      </c>
      <c r="O846" s="584"/>
      <c r="P846" s="584"/>
      <c r="Q846" s="584"/>
      <c r="R846" s="584"/>
      <c r="S846" s="584"/>
      <c r="T846" s="584"/>
      <c r="U846" s="585"/>
    </row>
    <row r="847" spans="1:21" ht="35.1" customHeight="1" x14ac:dyDescent="0.25">
      <c r="A847" s="263">
        <f t="shared" ref="A847:A910" si="13">ROW(A833)</f>
        <v>833</v>
      </c>
      <c r="B847" s="566" t="s">
        <v>159</v>
      </c>
      <c r="C847" s="566"/>
      <c r="D847" s="567" t="s">
        <v>159</v>
      </c>
      <c r="E847" s="567"/>
      <c r="F847" s="568" t="s">
        <v>162</v>
      </c>
      <c r="G847" s="568"/>
      <c r="H847" s="569"/>
      <c r="I847" s="570"/>
      <c r="J847" s="571"/>
      <c r="K847" s="572" t="s">
        <v>162</v>
      </c>
      <c r="L847" s="573"/>
      <c r="M847" s="574"/>
      <c r="N847" s="575" t="s">
        <v>159</v>
      </c>
      <c r="O847" s="576"/>
      <c r="P847" s="576"/>
      <c r="Q847" s="576"/>
      <c r="R847" s="576"/>
      <c r="S847" s="576"/>
      <c r="T847" s="576"/>
      <c r="U847" s="577"/>
    </row>
    <row r="848" spans="1:21" ht="35.1" customHeight="1" x14ac:dyDescent="0.25">
      <c r="A848" s="263">
        <f t="shared" si="13"/>
        <v>834</v>
      </c>
      <c r="B848" s="578" t="s">
        <v>159</v>
      </c>
      <c r="C848" s="578"/>
      <c r="D848" s="579" t="s">
        <v>159</v>
      </c>
      <c r="E848" s="579"/>
      <c r="F848" s="568" t="s">
        <v>162</v>
      </c>
      <c r="G848" s="568"/>
      <c r="H848" s="580"/>
      <c r="I848" s="581"/>
      <c r="J848" s="582"/>
      <c r="K848" s="572" t="s">
        <v>162</v>
      </c>
      <c r="L848" s="573"/>
      <c r="M848" s="574"/>
      <c r="N848" s="583" t="s">
        <v>159</v>
      </c>
      <c r="O848" s="584"/>
      <c r="P848" s="584"/>
      <c r="Q848" s="584"/>
      <c r="R848" s="584"/>
      <c r="S848" s="584"/>
      <c r="T848" s="584"/>
      <c r="U848" s="585"/>
    </row>
    <row r="849" spans="1:21" ht="35.1" customHeight="1" x14ac:dyDescent="0.25">
      <c r="A849" s="263">
        <f t="shared" si="13"/>
        <v>835</v>
      </c>
      <c r="B849" s="566" t="s">
        <v>159</v>
      </c>
      <c r="C849" s="566"/>
      <c r="D849" s="567" t="s">
        <v>159</v>
      </c>
      <c r="E849" s="567"/>
      <c r="F849" s="568" t="s">
        <v>162</v>
      </c>
      <c r="G849" s="568"/>
      <c r="H849" s="569"/>
      <c r="I849" s="570"/>
      <c r="J849" s="571"/>
      <c r="K849" s="572" t="s">
        <v>162</v>
      </c>
      <c r="L849" s="573"/>
      <c r="M849" s="574"/>
      <c r="N849" s="575" t="s">
        <v>159</v>
      </c>
      <c r="O849" s="576"/>
      <c r="P849" s="576"/>
      <c r="Q849" s="576"/>
      <c r="R849" s="576"/>
      <c r="S849" s="576"/>
      <c r="T849" s="576"/>
      <c r="U849" s="577"/>
    </row>
    <row r="850" spans="1:21" ht="35.1" customHeight="1" x14ac:dyDescent="0.25">
      <c r="A850" s="263">
        <f t="shared" si="13"/>
        <v>836</v>
      </c>
      <c r="B850" s="578" t="s">
        <v>159</v>
      </c>
      <c r="C850" s="578"/>
      <c r="D850" s="579" t="s">
        <v>159</v>
      </c>
      <c r="E850" s="579"/>
      <c r="F850" s="568" t="s">
        <v>162</v>
      </c>
      <c r="G850" s="568"/>
      <c r="H850" s="580"/>
      <c r="I850" s="581"/>
      <c r="J850" s="582"/>
      <c r="K850" s="572" t="s">
        <v>162</v>
      </c>
      <c r="L850" s="573"/>
      <c r="M850" s="574"/>
      <c r="N850" s="583" t="s">
        <v>159</v>
      </c>
      <c r="O850" s="584"/>
      <c r="P850" s="584"/>
      <c r="Q850" s="584"/>
      <c r="R850" s="584"/>
      <c r="S850" s="584"/>
      <c r="T850" s="584"/>
      <c r="U850" s="585"/>
    </row>
    <row r="851" spans="1:21" ht="35.1" customHeight="1" x14ac:dyDescent="0.25">
      <c r="A851" s="263">
        <f t="shared" si="13"/>
        <v>837</v>
      </c>
      <c r="B851" s="566" t="s">
        <v>159</v>
      </c>
      <c r="C851" s="566"/>
      <c r="D851" s="567" t="s">
        <v>159</v>
      </c>
      <c r="E851" s="567"/>
      <c r="F851" s="568" t="s">
        <v>162</v>
      </c>
      <c r="G851" s="568"/>
      <c r="H851" s="569"/>
      <c r="I851" s="570"/>
      <c r="J851" s="571"/>
      <c r="K851" s="572" t="s">
        <v>162</v>
      </c>
      <c r="L851" s="573"/>
      <c r="M851" s="574"/>
      <c r="N851" s="575" t="s">
        <v>159</v>
      </c>
      <c r="O851" s="576"/>
      <c r="P851" s="576"/>
      <c r="Q851" s="576"/>
      <c r="R851" s="576"/>
      <c r="S851" s="576"/>
      <c r="T851" s="576"/>
      <c r="U851" s="577"/>
    </row>
    <row r="852" spans="1:21" ht="35.1" customHeight="1" x14ac:dyDescent="0.25">
      <c r="A852" s="263">
        <f t="shared" si="13"/>
        <v>838</v>
      </c>
      <c r="B852" s="578" t="s">
        <v>159</v>
      </c>
      <c r="C852" s="578"/>
      <c r="D852" s="579" t="s">
        <v>159</v>
      </c>
      <c r="E852" s="579"/>
      <c r="F852" s="568" t="s">
        <v>162</v>
      </c>
      <c r="G852" s="568"/>
      <c r="H852" s="580"/>
      <c r="I852" s="581"/>
      <c r="J852" s="582"/>
      <c r="K852" s="572" t="s">
        <v>162</v>
      </c>
      <c r="L852" s="573"/>
      <c r="M852" s="574"/>
      <c r="N852" s="583" t="s">
        <v>159</v>
      </c>
      <c r="O852" s="584"/>
      <c r="P852" s="584"/>
      <c r="Q852" s="584"/>
      <c r="R852" s="584"/>
      <c r="S852" s="584"/>
      <c r="T852" s="584"/>
      <c r="U852" s="585"/>
    </row>
    <row r="853" spans="1:21" ht="35.1" customHeight="1" x14ac:dyDescent="0.25">
      <c r="A853" s="263">
        <f t="shared" si="13"/>
        <v>839</v>
      </c>
      <c r="B853" s="566" t="s">
        <v>159</v>
      </c>
      <c r="C853" s="566"/>
      <c r="D853" s="567" t="s">
        <v>159</v>
      </c>
      <c r="E853" s="567"/>
      <c r="F853" s="568" t="s">
        <v>162</v>
      </c>
      <c r="G853" s="568"/>
      <c r="H853" s="569"/>
      <c r="I853" s="570"/>
      <c r="J853" s="571"/>
      <c r="K853" s="572" t="s">
        <v>162</v>
      </c>
      <c r="L853" s="573"/>
      <c r="M853" s="574"/>
      <c r="N853" s="575" t="s">
        <v>159</v>
      </c>
      <c r="O853" s="576"/>
      <c r="P853" s="576"/>
      <c r="Q853" s="576"/>
      <c r="R853" s="576"/>
      <c r="S853" s="576"/>
      <c r="T853" s="576"/>
      <c r="U853" s="577"/>
    </row>
    <row r="854" spans="1:21" ht="35.1" customHeight="1" x14ac:dyDescent="0.25">
      <c r="A854" s="263">
        <f t="shared" si="13"/>
        <v>840</v>
      </c>
      <c r="B854" s="578" t="s">
        <v>159</v>
      </c>
      <c r="C854" s="578"/>
      <c r="D854" s="579" t="s">
        <v>159</v>
      </c>
      <c r="E854" s="579"/>
      <c r="F854" s="568" t="s">
        <v>162</v>
      </c>
      <c r="G854" s="568"/>
      <c r="H854" s="580"/>
      <c r="I854" s="581"/>
      <c r="J854" s="582"/>
      <c r="K854" s="572" t="s">
        <v>162</v>
      </c>
      <c r="L854" s="573"/>
      <c r="M854" s="574"/>
      <c r="N854" s="583" t="s">
        <v>159</v>
      </c>
      <c r="O854" s="584"/>
      <c r="P854" s="584"/>
      <c r="Q854" s="584"/>
      <c r="R854" s="584"/>
      <c r="S854" s="584"/>
      <c r="T854" s="584"/>
      <c r="U854" s="585"/>
    </row>
    <row r="855" spans="1:21" ht="35.1" customHeight="1" x14ac:dyDescent="0.25">
      <c r="A855" s="263">
        <f t="shared" si="13"/>
        <v>841</v>
      </c>
      <c r="B855" s="566" t="s">
        <v>159</v>
      </c>
      <c r="C855" s="566"/>
      <c r="D855" s="567" t="s">
        <v>159</v>
      </c>
      <c r="E855" s="567"/>
      <c r="F855" s="568" t="s">
        <v>162</v>
      </c>
      <c r="G855" s="568"/>
      <c r="H855" s="569"/>
      <c r="I855" s="570"/>
      <c r="J855" s="571"/>
      <c r="K855" s="572" t="s">
        <v>162</v>
      </c>
      <c r="L855" s="573"/>
      <c r="M855" s="574"/>
      <c r="N855" s="575" t="s">
        <v>159</v>
      </c>
      <c r="O855" s="576"/>
      <c r="P855" s="576"/>
      <c r="Q855" s="576"/>
      <c r="R855" s="576"/>
      <c r="S855" s="576"/>
      <c r="T855" s="576"/>
      <c r="U855" s="577"/>
    </row>
    <row r="856" spans="1:21" ht="35.1" customHeight="1" x14ac:dyDescent="0.25">
      <c r="A856" s="263">
        <f t="shared" si="13"/>
        <v>842</v>
      </c>
      <c r="B856" s="578" t="s">
        <v>159</v>
      </c>
      <c r="C856" s="578"/>
      <c r="D856" s="579" t="s">
        <v>159</v>
      </c>
      <c r="E856" s="579"/>
      <c r="F856" s="568" t="s">
        <v>162</v>
      </c>
      <c r="G856" s="568"/>
      <c r="H856" s="580"/>
      <c r="I856" s="581"/>
      <c r="J856" s="582"/>
      <c r="K856" s="572" t="s">
        <v>162</v>
      </c>
      <c r="L856" s="573"/>
      <c r="M856" s="574"/>
      <c r="N856" s="583" t="s">
        <v>159</v>
      </c>
      <c r="O856" s="584"/>
      <c r="P856" s="584"/>
      <c r="Q856" s="584"/>
      <c r="R856" s="584"/>
      <c r="S856" s="584"/>
      <c r="T856" s="584"/>
      <c r="U856" s="585"/>
    </row>
    <row r="857" spans="1:21" ht="35.1" customHeight="1" x14ac:dyDescent="0.25">
      <c r="A857" s="263">
        <f t="shared" si="13"/>
        <v>843</v>
      </c>
      <c r="B857" s="566" t="s">
        <v>159</v>
      </c>
      <c r="C857" s="566"/>
      <c r="D857" s="567" t="s">
        <v>159</v>
      </c>
      <c r="E857" s="567"/>
      <c r="F857" s="568" t="s">
        <v>162</v>
      </c>
      <c r="G857" s="568"/>
      <c r="H857" s="569"/>
      <c r="I857" s="570"/>
      <c r="J857" s="571"/>
      <c r="K857" s="572" t="s">
        <v>162</v>
      </c>
      <c r="L857" s="573"/>
      <c r="M857" s="574"/>
      <c r="N857" s="575" t="s">
        <v>159</v>
      </c>
      <c r="O857" s="576"/>
      <c r="P857" s="576"/>
      <c r="Q857" s="576"/>
      <c r="R857" s="576"/>
      <c r="S857" s="576"/>
      <c r="T857" s="576"/>
      <c r="U857" s="577"/>
    </row>
    <row r="858" spans="1:21" ht="35.1" customHeight="1" x14ac:dyDescent="0.25">
      <c r="A858" s="263">
        <f t="shared" si="13"/>
        <v>844</v>
      </c>
      <c r="B858" s="578" t="s">
        <v>159</v>
      </c>
      <c r="C858" s="578"/>
      <c r="D858" s="579" t="s">
        <v>159</v>
      </c>
      <c r="E858" s="579"/>
      <c r="F858" s="568" t="s">
        <v>162</v>
      </c>
      <c r="G858" s="568"/>
      <c r="H858" s="580"/>
      <c r="I858" s="581"/>
      <c r="J858" s="582"/>
      <c r="K858" s="572" t="s">
        <v>162</v>
      </c>
      <c r="L858" s="573"/>
      <c r="M858" s="574"/>
      <c r="N858" s="583" t="s">
        <v>159</v>
      </c>
      <c r="O858" s="584"/>
      <c r="P858" s="584"/>
      <c r="Q858" s="584"/>
      <c r="R858" s="584"/>
      <c r="S858" s="584"/>
      <c r="T858" s="584"/>
      <c r="U858" s="585"/>
    </row>
    <row r="859" spans="1:21" ht="35.1" customHeight="1" x14ac:dyDescent="0.25">
      <c r="A859" s="263">
        <f t="shared" si="13"/>
        <v>845</v>
      </c>
      <c r="B859" s="566" t="s">
        <v>159</v>
      </c>
      <c r="C859" s="566"/>
      <c r="D859" s="567" t="s">
        <v>159</v>
      </c>
      <c r="E859" s="567"/>
      <c r="F859" s="568" t="s">
        <v>162</v>
      </c>
      <c r="G859" s="568"/>
      <c r="H859" s="569"/>
      <c r="I859" s="570"/>
      <c r="J859" s="571"/>
      <c r="K859" s="572" t="s">
        <v>162</v>
      </c>
      <c r="L859" s="573"/>
      <c r="M859" s="574"/>
      <c r="N859" s="575" t="s">
        <v>159</v>
      </c>
      <c r="O859" s="576"/>
      <c r="P859" s="576"/>
      <c r="Q859" s="576"/>
      <c r="R859" s="576"/>
      <c r="S859" s="576"/>
      <c r="T859" s="576"/>
      <c r="U859" s="577"/>
    </row>
    <row r="860" spans="1:21" ht="35.1" customHeight="1" x14ac:dyDescent="0.25">
      <c r="A860" s="263">
        <f t="shared" si="13"/>
        <v>846</v>
      </c>
      <c r="B860" s="578" t="s">
        <v>159</v>
      </c>
      <c r="C860" s="578"/>
      <c r="D860" s="579" t="s">
        <v>159</v>
      </c>
      <c r="E860" s="579"/>
      <c r="F860" s="568" t="s">
        <v>162</v>
      </c>
      <c r="G860" s="568"/>
      <c r="H860" s="580"/>
      <c r="I860" s="581"/>
      <c r="J860" s="582"/>
      <c r="K860" s="572" t="s">
        <v>162</v>
      </c>
      <c r="L860" s="573"/>
      <c r="M860" s="574"/>
      <c r="N860" s="583" t="s">
        <v>159</v>
      </c>
      <c r="O860" s="584"/>
      <c r="P860" s="584"/>
      <c r="Q860" s="584"/>
      <c r="R860" s="584"/>
      <c r="S860" s="584"/>
      <c r="T860" s="584"/>
      <c r="U860" s="585"/>
    </row>
    <row r="861" spans="1:21" ht="35.1" customHeight="1" x14ac:dyDescent="0.25">
      <c r="A861" s="263">
        <f t="shared" si="13"/>
        <v>847</v>
      </c>
      <c r="B861" s="566" t="s">
        <v>159</v>
      </c>
      <c r="C861" s="566"/>
      <c r="D861" s="567" t="s">
        <v>159</v>
      </c>
      <c r="E861" s="567"/>
      <c r="F861" s="568" t="s">
        <v>162</v>
      </c>
      <c r="G861" s="568"/>
      <c r="H861" s="569"/>
      <c r="I861" s="570"/>
      <c r="J861" s="571"/>
      <c r="K861" s="572" t="s">
        <v>162</v>
      </c>
      <c r="L861" s="573"/>
      <c r="M861" s="574"/>
      <c r="N861" s="575" t="s">
        <v>159</v>
      </c>
      <c r="O861" s="576"/>
      <c r="P861" s="576"/>
      <c r="Q861" s="576"/>
      <c r="R861" s="576"/>
      <c r="S861" s="576"/>
      <c r="T861" s="576"/>
      <c r="U861" s="577"/>
    </row>
    <row r="862" spans="1:21" ht="35.1" customHeight="1" x14ac:dyDescent="0.25">
      <c r="A862" s="263">
        <f t="shared" si="13"/>
        <v>848</v>
      </c>
      <c r="B862" s="578" t="s">
        <v>159</v>
      </c>
      <c r="C862" s="578"/>
      <c r="D862" s="579" t="s">
        <v>159</v>
      </c>
      <c r="E862" s="579"/>
      <c r="F862" s="568" t="s">
        <v>162</v>
      </c>
      <c r="G862" s="568"/>
      <c r="H862" s="580"/>
      <c r="I862" s="581"/>
      <c r="J862" s="582"/>
      <c r="K862" s="572" t="s">
        <v>162</v>
      </c>
      <c r="L862" s="573"/>
      <c r="M862" s="574"/>
      <c r="N862" s="583" t="s">
        <v>159</v>
      </c>
      <c r="O862" s="584"/>
      <c r="P862" s="584"/>
      <c r="Q862" s="584"/>
      <c r="R862" s="584"/>
      <c r="S862" s="584"/>
      <c r="T862" s="584"/>
      <c r="U862" s="585"/>
    </row>
    <row r="863" spans="1:21" ht="35.1" customHeight="1" x14ac:dyDescent="0.25">
      <c r="A863" s="263">
        <f t="shared" si="13"/>
        <v>849</v>
      </c>
      <c r="B863" s="566" t="s">
        <v>444</v>
      </c>
      <c r="C863" s="566"/>
      <c r="D863" s="567" t="s">
        <v>159</v>
      </c>
      <c r="E863" s="567"/>
      <c r="F863" s="568" t="s">
        <v>162</v>
      </c>
      <c r="G863" s="568"/>
      <c r="H863" s="569"/>
      <c r="I863" s="570"/>
      <c r="J863" s="571"/>
      <c r="K863" s="572" t="s">
        <v>162</v>
      </c>
      <c r="L863" s="573"/>
      <c r="M863" s="574"/>
      <c r="N863" s="575" t="s">
        <v>159</v>
      </c>
      <c r="O863" s="576"/>
      <c r="P863" s="576"/>
      <c r="Q863" s="576"/>
      <c r="R863" s="576"/>
      <c r="S863" s="576"/>
      <c r="T863" s="576"/>
      <c r="U863" s="577"/>
    </row>
    <row r="864" spans="1:21" ht="35.1" customHeight="1" x14ac:dyDescent="0.25">
      <c r="A864" s="263">
        <f t="shared" si="13"/>
        <v>850</v>
      </c>
      <c r="B864" s="578" t="s">
        <v>159</v>
      </c>
      <c r="C864" s="578"/>
      <c r="D864" s="579" t="s">
        <v>159</v>
      </c>
      <c r="E864" s="579"/>
      <c r="F864" s="568" t="s">
        <v>162</v>
      </c>
      <c r="G864" s="568"/>
      <c r="H864" s="580"/>
      <c r="I864" s="581"/>
      <c r="J864" s="582"/>
      <c r="K864" s="572" t="s">
        <v>162</v>
      </c>
      <c r="L864" s="573"/>
      <c r="M864" s="574"/>
      <c r="N864" s="583" t="s">
        <v>159</v>
      </c>
      <c r="O864" s="584"/>
      <c r="P864" s="584"/>
      <c r="Q864" s="584"/>
      <c r="R864" s="584"/>
      <c r="S864" s="584"/>
      <c r="T864" s="584"/>
      <c r="U864" s="585"/>
    </row>
    <row r="865" spans="1:21" ht="35.1" customHeight="1" x14ac:dyDescent="0.25">
      <c r="A865" s="263">
        <f t="shared" si="13"/>
        <v>851</v>
      </c>
      <c r="B865" s="566" t="s">
        <v>159</v>
      </c>
      <c r="C865" s="566"/>
      <c r="D865" s="567" t="s">
        <v>159</v>
      </c>
      <c r="E865" s="567"/>
      <c r="F865" s="568" t="s">
        <v>162</v>
      </c>
      <c r="G865" s="568"/>
      <c r="H865" s="569"/>
      <c r="I865" s="570"/>
      <c r="J865" s="571"/>
      <c r="K865" s="572" t="s">
        <v>162</v>
      </c>
      <c r="L865" s="573"/>
      <c r="M865" s="574"/>
      <c r="N865" s="575" t="s">
        <v>159</v>
      </c>
      <c r="O865" s="576"/>
      <c r="P865" s="576"/>
      <c r="Q865" s="576"/>
      <c r="R865" s="576"/>
      <c r="S865" s="576"/>
      <c r="T865" s="576"/>
      <c r="U865" s="577"/>
    </row>
    <row r="866" spans="1:21" ht="35.1" customHeight="1" x14ac:dyDescent="0.25">
      <c r="A866" s="263">
        <f t="shared" si="13"/>
        <v>852</v>
      </c>
      <c r="B866" s="578" t="s">
        <v>159</v>
      </c>
      <c r="C866" s="578"/>
      <c r="D866" s="579" t="s">
        <v>159</v>
      </c>
      <c r="E866" s="579"/>
      <c r="F866" s="568" t="s">
        <v>162</v>
      </c>
      <c r="G866" s="568"/>
      <c r="H866" s="580"/>
      <c r="I866" s="581"/>
      <c r="J866" s="582"/>
      <c r="K866" s="572" t="s">
        <v>162</v>
      </c>
      <c r="L866" s="573"/>
      <c r="M866" s="574"/>
      <c r="N866" s="583" t="s">
        <v>159</v>
      </c>
      <c r="O866" s="584"/>
      <c r="P866" s="584"/>
      <c r="Q866" s="584"/>
      <c r="R866" s="584"/>
      <c r="S866" s="584"/>
      <c r="T866" s="584"/>
      <c r="U866" s="585"/>
    </row>
    <row r="867" spans="1:21" ht="35.1" customHeight="1" x14ac:dyDescent="0.25">
      <c r="A867" s="263">
        <f t="shared" si="13"/>
        <v>853</v>
      </c>
      <c r="B867" s="566" t="s">
        <v>159</v>
      </c>
      <c r="C867" s="566"/>
      <c r="D867" s="567" t="s">
        <v>159</v>
      </c>
      <c r="E867" s="567"/>
      <c r="F867" s="568" t="s">
        <v>162</v>
      </c>
      <c r="G867" s="568"/>
      <c r="H867" s="569"/>
      <c r="I867" s="570"/>
      <c r="J867" s="571"/>
      <c r="K867" s="572" t="s">
        <v>162</v>
      </c>
      <c r="L867" s="573"/>
      <c r="M867" s="574"/>
      <c r="N867" s="575" t="s">
        <v>159</v>
      </c>
      <c r="O867" s="576"/>
      <c r="P867" s="576"/>
      <c r="Q867" s="576"/>
      <c r="R867" s="576"/>
      <c r="S867" s="576"/>
      <c r="T867" s="576"/>
      <c r="U867" s="577"/>
    </row>
    <row r="868" spans="1:21" ht="35.1" customHeight="1" x14ac:dyDescent="0.25">
      <c r="A868" s="263">
        <f t="shared" si="13"/>
        <v>854</v>
      </c>
      <c r="B868" s="578" t="s">
        <v>159</v>
      </c>
      <c r="C868" s="578"/>
      <c r="D868" s="579" t="s">
        <v>159</v>
      </c>
      <c r="E868" s="579"/>
      <c r="F868" s="568" t="s">
        <v>162</v>
      </c>
      <c r="G868" s="568"/>
      <c r="H868" s="580"/>
      <c r="I868" s="581"/>
      <c r="J868" s="582"/>
      <c r="K868" s="572" t="s">
        <v>162</v>
      </c>
      <c r="L868" s="573"/>
      <c r="M868" s="574"/>
      <c r="N868" s="583" t="s">
        <v>159</v>
      </c>
      <c r="O868" s="584"/>
      <c r="P868" s="584"/>
      <c r="Q868" s="584"/>
      <c r="R868" s="584"/>
      <c r="S868" s="584"/>
      <c r="T868" s="584"/>
      <c r="U868" s="585"/>
    </row>
    <row r="869" spans="1:21" ht="35.1" customHeight="1" x14ac:dyDescent="0.25">
      <c r="A869" s="263">
        <f t="shared" si="13"/>
        <v>855</v>
      </c>
      <c r="B869" s="566" t="s">
        <v>448</v>
      </c>
      <c r="C869" s="566"/>
      <c r="D869" s="567" t="s">
        <v>159</v>
      </c>
      <c r="E869" s="567"/>
      <c r="F869" s="568" t="s">
        <v>162</v>
      </c>
      <c r="G869" s="568"/>
      <c r="H869" s="569"/>
      <c r="I869" s="570"/>
      <c r="J869" s="571"/>
      <c r="K869" s="572" t="s">
        <v>162</v>
      </c>
      <c r="L869" s="573"/>
      <c r="M869" s="574"/>
      <c r="N869" s="575" t="s">
        <v>159</v>
      </c>
      <c r="O869" s="576"/>
      <c r="P869" s="576"/>
      <c r="Q869" s="576"/>
      <c r="R869" s="576"/>
      <c r="S869" s="576"/>
      <c r="T869" s="576"/>
      <c r="U869" s="577"/>
    </row>
    <row r="870" spans="1:21" ht="35.1" customHeight="1" x14ac:dyDescent="0.25">
      <c r="A870" s="263">
        <f t="shared" si="13"/>
        <v>856</v>
      </c>
      <c r="B870" s="578" t="s">
        <v>159</v>
      </c>
      <c r="C870" s="578"/>
      <c r="D870" s="579" t="s">
        <v>159</v>
      </c>
      <c r="E870" s="579"/>
      <c r="F870" s="568" t="s">
        <v>162</v>
      </c>
      <c r="G870" s="568"/>
      <c r="H870" s="580"/>
      <c r="I870" s="581"/>
      <c r="J870" s="582"/>
      <c r="K870" s="572" t="s">
        <v>162</v>
      </c>
      <c r="L870" s="573"/>
      <c r="M870" s="574"/>
      <c r="N870" s="583" t="s">
        <v>159</v>
      </c>
      <c r="O870" s="584"/>
      <c r="P870" s="584"/>
      <c r="Q870" s="584"/>
      <c r="R870" s="584"/>
      <c r="S870" s="584"/>
      <c r="T870" s="584"/>
      <c r="U870" s="585"/>
    </row>
    <row r="871" spans="1:21" ht="35.1" customHeight="1" x14ac:dyDescent="0.25">
      <c r="A871" s="263">
        <f t="shared" si="13"/>
        <v>857</v>
      </c>
      <c r="B871" s="566" t="s">
        <v>159</v>
      </c>
      <c r="C871" s="566"/>
      <c r="D871" s="567" t="s">
        <v>159</v>
      </c>
      <c r="E871" s="567"/>
      <c r="F871" s="568" t="s">
        <v>162</v>
      </c>
      <c r="G871" s="568"/>
      <c r="H871" s="569"/>
      <c r="I871" s="570"/>
      <c r="J871" s="571"/>
      <c r="K871" s="572" t="s">
        <v>162</v>
      </c>
      <c r="L871" s="573"/>
      <c r="M871" s="574"/>
      <c r="N871" s="575" t="s">
        <v>159</v>
      </c>
      <c r="O871" s="576"/>
      <c r="P871" s="576"/>
      <c r="Q871" s="576"/>
      <c r="R871" s="576"/>
      <c r="S871" s="576"/>
      <c r="T871" s="576"/>
      <c r="U871" s="577"/>
    </row>
    <row r="872" spans="1:21" ht="35.1" customHeight="1" x14ac:dyDescent="0.25">
      <c r="A872" s="263">
        <f t="shared" si="13"/>
        <v>858</v>
      </c>
      <c r="B872" s="578" t="s">
        <v>159</v>
      </c>
      <c r="C872" s="578"/>
      <c r="D872" s="579" t="s">
        <v>159</v>
      </c>
      <c r="E872" s="579"/>
      <c r="F872" s="568" t="s">
        <v>162</v>
      </c>
      <c r="G872" s="568"/>
      <c r="H872" s="580"/>
      <c r="I872" s="581"/>
      <c r="J872" s="582"/>
      <c r="K872" s="572" t="s">
        <v>162</v>
      </c>
      <c r="L872" s="573"/>
      <c r="M872" s="574"/>
      <c r="N872" s="583" t="s">
        <v>159</v>
      </c>
      <c r="O872" s="584"/>
      <c r="P872" s="584"/>
      <c r="Q872" s="584"/>
      <c r="R872" s="584"/>
      <c r="S872" s="584"/>
      <c r="T872" s="584"/>
      <c r="U872" s="585"/>
    </row>
    <row r="873" spans="1:21" ht="35.1" customHeight="1" x14ac:dyDescent="0.25">
      <c r="A873" s="263">
        <f t="shared" si="13"/>
        <v>859</v>
      </c>
      <c r="B873" s="566" t="s">
        <v>159</v>
      </c>
      <c r="C873" s="566"/>
      <c r="D873" s="567" t="s">
        <v>159</v>
      </c>
      <c r="E873" s="567"/>
      <c r="F873" s="568" t="s">
        <v>162</v>
      </c>
      <c r="G873" s="568"/>
      <c r="H873" s="569"/>
      <c r="I873" s="570"/>
      <c r="J873" s="571"/>
      <c r="K873" s="572" t="s">
        <v>162</v>
      </c>
      <c r="L873" s="573"/>
      <c r="M873" s="574"/>
      <c r="N873" s="575" t="s">
        <v>159</v>
      </c>
      <c r="O873" s="576"/>
      <c r="P873" s="576"/>
      <c r="Q873" s="576"/>
      <c r="R873" s="576"/>
      <c r="S873" s="576"/>
      <c r="T873" s="576"/>
      <c r="U873" s="577"/>
    </row>
    <row r="874" spans="1:21" ht="35.1" customHeight="1" x14ac:dyDescent="0.25">
      <c r="A874" s="263">
        <f t="shared" si="13"/>
        <v>860</v>
      </c>
      <c r="B874" s="578" t="s">
        <v>159</v>
      </c>
      <c r="C874" s="578"/>
      <c r="D874" s="579" t="s">
        <v>159</v>
      </c>
      <c r="E874" s="579"/>
      <c r="F874" s="568" t="s">
        <v>162</v>
      </c>
      <c r="G874" s="568"/>
      <c r="H874" s="580"/>
      <c r="I874" s="581"/>
      <c r="J874" s="582"/>
      <c r="K874" s="572" t="s">
        <v>162</v>
      </c>
      <c r="L874" s="573"/>
      <c r="M874" s="574"/>
      <c r="N874" s="583" t="s">
        <v>159</v>
      </c>
      <c r="O874" s="584"/>
      <c r="P874" s="584"/>
      <c r="Q874" s="584"/>
      <c r="R874" s="584"/>
      <c r="S874" s="584"/>
      <c r="T874" s="584"/>
      <c r="U874" s="585"/>
    </row>
    <row r="875" spans="1:21" ht="35.1" customHeight="1" x14ac:dyDescent="0.25">
      <c r="A875" s="263">
        <f t="shared" si="13"/>
        <v>861</v>
      </c>
      <c r="B875" s="566" t="s">
        <v>159</v>
      </c>
      <c r="C875" s="566"/>
      <c r="D875" s="567" t="s">
        <v>159</v>
      </c>
      <c r="E875" s="567"/>
      <c r="F875" s="568" t="s">
        <v>162</v>
      </c>
      <c r="G875" s="568"/>
      <c r="H875" s="569"/>
      <c r="I875" s="570"/>
      <c r="J875" s="571"/>
      <c r="K875" s="572" t="s">
        <v>162</v>
      </c>
      <c r="L875" s="573"/>
      <c r="M875" s="574"/>
      <c r="N875" s="575" t="s">
        <v>159</v>
      </c>
      <c r="O875" s="576"/>
      <c r="P875" s="576"/>
      <c r="Q875" s="576"/>
      <c r="R875" s="576"/>
      <c r="S875" s="576"/>
      <c r="T875" s="576"/>
      <c r="U875" s="577"/>
    </row>
    <row r="876" spans="1:21" ht="35.1" customHeight="1" x14ac:dyDescent="0.25">
      <c r="A876" s="263">
        <f t="shared" si="13"/>
        <v>862</v>
      </c>
      <c r="B876" s="578" t="s">
        <v>159</v>
      </c>
      <c r="C876" s="578"/>
      <c r="D876" s="579" t="s">
        <v>159</v>
      </c>
      <c r="E876" s="579"/>
      <c r="F876" s="568" t="s">
        <v>162</v>
      </c>
      <c r="G876" s="568"/>
      <c r="H876" s="580"/>
      <c r="I876" s="581"/>
      <c r="J876" s="582"/>
      <c r="K876" s="572" t="s">
        <v>162</v>
      </c>
      <c r="L876" s="573"/>
      <c r="M876" s="574"/>
      <c r="N876" s="583" t="s">
        <v>159</v>
      </c>
      <c r="O876" s="584"/>
      <c r="P876" s="584"/>
      <c r="Q876" s="584"/>
      <c r="R876" s="584"/>
      <c r="S876" s="584"/>
      <c r="T876" s="584"/>
      <c r="U876" s="585"/>
    </row>
    <row r="877" spans="1:21" ht="35.1" customHeight="1" x14ac:dyDescent="0.25">
      <c r="A877" s="263">
        <f t="shared" si="13"/>
        <v>863</v>
      </c>
      <c r="B877" s="566" t="s">
        <v>159</v>
      </c>
      <c r="C877" s="566"/>
      <c r="D877" s="567" t="s">
        <v>159</v>
      </c>
      <c r="E877" s="567"/>
      <c r="F877" s="568" t="s">
        <v>162</v>
      </c>
      <c r="G877" s="568"/>
      <c r="H877" s="569"/>
      <c r="I877" s="570"/>
      <c r="J877" s="571"/>
      <c r="K877" s="572" t="s">
        <v>162</v>
      </c>
      <c r="L877" s="573"/>
      <c r="M877" s="574"/>
      <c r="N877" s="575" t="s">
        <v>159</v>
      </c>
      <c r="O877" s="576"/>
      <c r="P877" s="576"/>
      <c r="Q877" s="576"/>
      <c r="R877" s="576"/>
      <c r="S877" s="576"/>
      <c r="T877" s="576"/>
      <c r="U877" s="577"/>
    </row>
    <row r="878" spans="1:21" ht="35.1" customHeight="1" x14ac:dyDescent="0.25">
      <c r="A878" s="263">
        <f t="shared" si="13"/>
        <v>864</v>
      </c>
      <c r="B878" s="578" t="s">
        <v>159</v>
      </c>
      <c r="C878" s="578"/>
      <c r="D878" s="579" t="s">
        <v>159</v>
      </c>
      <c r="E878" s="579"/>
      <c r="F878" s="568" t="s">
        <v>162</v>
      </c>
      <c r="G878" s="568"/>
      <c r="H878" s="580"/>
      <c r="I878" s="581"/>
      <c r="J878" s="582"/>
      <c r="K878" s="572" t="s">
        <v>162</v>
      </c>
      <c r="L878" s="573"/>
      <c r="M878" s="574"/>
      <c r="N878" s="583" t="s">
        <v>159</v>
      </c>
      <c r="O878" s="584"/>
      <c r="P878" s="584"/>
      <c r="Q878" s="584"/>
      <c r="R878" s="584"/>
      <c r="S878" s="584"/>
      <c r="T878" s="584"/>
      <c r="U878" s="585"/>
    </row>
    <row r="879" spans="1:21" ht="35.1" customHeight="1" x14ac:dyDescent="0.25">
      <c r="A879" s="263">
        <f t="shared" si="13"/>
        <v>865</v>
      </c>
      <c r="B879" s="566" t="s">
        <v>159</v>
      </c>
      <c r="C879" s="566"/>
      <c r="D879" s="567" t="s">
        <v>159</v>
      </c>
      <c r="E879" s="567"/>
      <c r="F879" s="568" t="s">
        <v>162</v>
      </c>
      <c r="G879" s="568"/>
      <c r="H879" s="569"/>
      <c r="I879" s="570"/>
      <c r="J879" s="571"/>
      <c r="K879" s="572" t="s">
        <v>162</v>
      </c>
      <c r="L879" s="573"/>
      <c r="M879" s="574"/>
      <c r="N879" s="575" t="s">
        <v>159</v>
      </c>
      <c r="O879" s="576"/>
      <c r="P879" s="576"/>
      <c r="Q879" s="576"/>
      <c r="R879" s="576"/>
      <c r="S879" s="576"/>
      <c r="T879" s="576"/>
      <c r="U879" s="577"/>
    </row>
    <row r="880" spans="1:21" ht="35.1" customHeight="1" x14ac:dyDescent="0.25">
      <c r="A880" s="263">
        <f t="shared" si="13"/>
        <v>866</v>
      </c>
      <c r="B880" s="578" t="s">
        <v>159</v>
      </c>
      <c r="C880" s="578"/>
      <c r="D880" s="579" t="s">
        <v>159</v>
      </c>
      <c r="E880" s="579"/>
      <c r="F880" s="568" t="s">
        <v>162</v>
      </c>
      <c r="G880" s="568"/>
      <c r="H880" s="580"/>
      <c r="I880" s="581"/>
      <c r="J880" s="582"/>
      <c r="K880" s="572" t="s">
        <v>162</v>
      </c>
      <c r="L880" s="573"/>
      <c r="M880" s="574"/>
      <c r="N880" s="583" t="s">
        <v>159</v>
      </c>
      <c r="O880" s="584"/>
      <c r="P880" s="584"/>
      <c r="Q880" s="584"/>
      <c r="R880" s="584"/>
      <c r="S880" s="584"/>
      <c r="T880" s="584"/>
      <c r="U880" s="585"/>
    </row>
    <row r="881" spans="1:21" ht="35.1" customHeight="1" x14ac:dyDescent="0.25">
      <c r="A881" s="263">
        <f t="shared" si="13"/>
        <v>867</v>
      </c>
      <c r="B881" s="566" t="s">
        <v>159</v>
      </c>
      <c r="C881" s="566"/>
      <c r="D881" s="567" t="s">
        <v>159</v>
      </c>
      <c r="E881" s="567"/>
      <c r="F881" s="568" t="s">
        <v>162</v>
      </c>
      <c r="G881" s="568"/>
      <c r="H881" s="569"/>
      <c r="I881" s="570"/>
      <c r="J881" s="571"/>
      <c r="K881" s="572" t="s">
        <v>162</v>
      </c>
      <c r="L881" s="573"/>
      <c r="M881" s="574"/>
      <c r="N881" s="575" t="s">
        <v>159</v>
      </c>
      <c r="O881" s="576"/>
      <c r="P881" s="576"/>
      <c r="Q881" s="576"/>
      <c r="R881" s="576"/>
      <c r="S881" s="576"/>
      <c r="T881" s="576"/>
      <c r="U881" s="577"/>
    </row>
    <row r="882" spans="1:21" ht="35.1" customHeight="1" x14ac:dyDescent="0.25">
      <c r="A882" s="263">
        <f t="shared" si="13"/>
        <v>868</v>
      </c>
      <c r="B882" s="578" t="s">
        <v>447</v>
      </c>
      <c r="C882" s="578"/>
      <c r="D882" s="579" t="s">
        <v>159</v>
      </c>
      <c r="E882" s="579"/>
      <c r="F882" s="568" t="s">
        <v>162</v>
      </c>
      <c r="G882" s="568"/>
      <c r="H882" s="580"/>
      <c r="I882" s="581"/>
      <c r="J882" s="582"/>
      <c r="K882" s="572" t="s">
        <v>162</v>
      </c>
      <c r="L882" s="573"/>
      <c r="M882" s="574"/>
      <c r="N882" s="583" t="s">
        <v>159</v>
      </c>
      <c r="O882" s="584"/>
      <c r="P882" s="584"/>
      <c r="Q882" s="584"/>
      <c r="R882" s="584"/>
      <c r="S882" s="584"/>
      <c r="T882" s="584"/>
      <c r="U882" s="585"/>
    </row>
    <row r="883" spans="1:21" ht="35.1" customHeight="1" x14ac:dyDescent="0.25">
      <c r="A883" s="263">
        <f t="shared" si="13"/>
        <v>869</v>
      </c>
      <c r="B883" s="566" t="s">
        <v>159</v>
      </c>
      <c r="C883" s="566"/>
      <c r="D883" s="567" t="s">
        <v>159</v>
      </c>
      <c r="E883" s="567"/>
      <c r="F883" s="568" t="s">
        <v>162</v>
      </c>
      <c r="G883" s="568"/>
      <c r="H883" s="569"/>
      <c r="I883" s="570"/>
      <c r="J883" s="571"/>
      <c r="K883" s="572" t="s">
        <v>162</v>
      </c>
      <c r="L883" s="573"/>
      <c r="M883" s="574"/>
      <c r="N883" s="575" t="s">
        <v>159</v>
      </c>
      <c r="O883" s="576"/>
      <c r="P883" s="576"/>
      <c r="Q883" s="576"/>
      <c r="R883" s="576"/>
      <c r="S883" s="576"/>
      <c r="T883" s="576"/>
      <c r="U883" s="577"/>
    </row>
    <row r="884" spans="1:21" ht="35.1" customHeight="1" x14ac:dyDescent="0.25">
      <c r="A884" s="263">
        <f t="shared" si="13"/>
        <v>870</v>
      </c>
      <c r="B884" s="578" t="s">
        <v>159</v>
      </c>
      <c r="C884" s="578"/>
      <c r="D884" s="579" t="s">
        <v>159</v>
      </c>
      <c r="E884" s="579"/>
      <c r="F884" s="568" t="s">
        <v>162</v>
      </c>
      <c r="G884" s="568"/>
      <c r="H884" s="580"/>
      <c r="I884" s="581"/>
      <c r="J884" s="582"/>
      <c r="K884" s="572" t="s">
        <v>162</v>
      </c>
      <c r="L884" s="573"/>
      <c r="M884" s="574"/>
      <c r="N884" s="583" t="s">
        <v>159</v>
      </c>
      <c r="O884" s="584"/>
      <c r="P884" s="584"/>
      <c r="Q884" s="584"/>
      <c r="R884" s="584"/>
      <c r="S884" s="584"/>
      <c r="T884" s="584"/>
      <c r="U884" s="585"/>
    </row>
    <row r="885" spans="1:21" ht="35.1" customHeight="1" x14ac:dyDescent="0.25">
      <c r="A885" s="263">
        <f t="shared" si="13"/>
        <v>871</v>
      </c>
      <c r="B885" s="566" t="s">
        <v>159</v>
      </c>
      <c r="C885" s="566"/>
      <c r="D885" s="567" t="s">
        <v>159</v>
      </c>
      <c r="E885" s="567"/>
      <c r="F885" s="568" t="s">
        <v>162</v>
      </c>
      <c r="G885" s="568"/>
      <c r="H885" s="569"/>
      <c r="I885" s="570"/>
      <c r="J885" s="571"/>
      <c r="K885" s="572" t="s">
        <v>162</v>
      </c>
      <c r="L885" s="573"/>
      <c r="M885" s="574"/>
      <c r="N885" s="575" t="s">
        <v>159</v>
      </c>
      <c r="O885" s="576"/>
      <c r="P885" s="576"/>
      <c r="Q885" s="576"/>
      <c r="R885" s="576"/>
      <c r="S885" s="576"/>
      <c r="T885" s="576"/>
      <c r="U885" s="577"/>
    </row>
    <row r="886" spans="1:21" ht="35.1" customHeight="1" x14ac:dyDescent="0.25">
      <c r="A886" s="263">
        <f t="shared" si="13"/>
        <v>872</v>
      </c>
      <c r="B886" s="578" t="s">
        <v>159</v>
      </c>
      <c r="C886" s="578"/>
      <c r="D886" s="579" t="s">
        <v>159</v>
      </c>
      <c r="E886" s="579"/>
      <c r="F886" s="568" t="s">
        <v>162</v>
      </c>
      <c r="G886" s="568"/>
      <c r="H886" s="580"/>
      <c r="I886" s="581"/>
      <c r="J886" s="582"/>
      <c r="K886" s="572" t="s">
        <v>162</v>
      </c>
      <c r="L886" s="573"/>
      <c r="M886" s="574"/>
      <c r="N886" s="583" t="s">
        <v>159</v>
      </c>
      <c r="O886" s="584"/>
      <c r="P886" s="584"/>
      <c r="Q886" s="584"/>
      <c r="R886" s="584"/>
      <c r="S886" s="584"/>
      <c r="T886" s="584"/>
      <c r="U886" s="585"/>
    </row>
    <row r="887" spans="1:21" ht="35.1" customHeight="1" x14ac:dyDescent="0.25">
      <c r="A887" s="263">
        <f t="shared" si="13"/>
        <v>873</v>
      </c>
      <c r="B887" s="566" t="s">
        <v>159</v>
      </c>
      <c r="C887" s="566"/>
      <c r="D887" s="567" t="s">
        <v>159</v>
      </c>
      <c r="E887" s="567"/>
      <c r="F887" s="568" t="s">
        <v>162</v>
      </c>
      <c r="G887" s="568"/>
      <c r="H887" s="569"/>
      <c r="I887" s="570"/>
      <c r="J887" s="571"/>
      <c r="K887" s="572" t="s">
        <v>162</v>
      </c>
      <c r="L887" s="573"/>
      <c r="M887" s="574"/>
      <c r="N887" s="575" t="s">
        <v>159</v>
      </c>
      <c r="O887" s="576"/>
      <c r="P887" s="576"/>
      <c r="Q887" s="576"/>
      <c r="R887" s="576"/>
      <c r="S887" s="576"/>
      <c r="T887" s="576"/>
      <c r="U887" s="577"/>
    </row>
    <row r="888" spans="1:21" ht="35.1" customHeight="1" x14ac:dyDescent="0.25">
      <c r="A888" s="263">
        <f t="shared" si="13"/>
        <v>874</v>
      </c>
      <c r="B888" s="578" t="s">
        <v>159</v>
      </c>
      <c r="C888" s="578"/>
      <c r="D888" s="579" t="s">
        <v>159</v>
      </c>
      <c r="E888" s="579"/>
      <c r="F888" s="568" t="s">
        <v>162</v>
      </c>
      <c r="G888" s="568"/>
      <c r="H888" s="580"/>
      <c r="I888" s="581"/>
      <c r="J888" s="582"/>
      <c r="K888" s="572" t="s">
        <v>162</v>
      </c>
      <c r="L888" s="573"/>
      <c r="M888" s="574"/>
      <c r="N888" s="583" t="s">
        <v>159</v>
      </c>
      <c r="O888" s="584"/>
      <c r="P888" s="584"/>
      <c r="Q888" s="584"/>
      <c r="R888" s="584"/>
      <c r="S888" s="584"/>
      <c r="T888" s="584"/>
      <c r="U888" s="585"/>
    </row>
    <row r="889" spans="1:21" ht="35.1" customHeight="1" x14ac:dyDescent="0.25">
      <c r="A889" s="263">
        <f t="shared" si="13"/>
        <v>875</v>
      </c>
      <c r="B889" s="566" t="s">
        <v>159</v>
      </c>
      <c r="C889" s="566"/>
      <c r="D889" s="567" t="s">
        <v>159</v>
      </c>
      <c r="E889" s="567"/>
      <c r="F889" s="568" t="s">
        <v>162</v>
      </c>
      <c r="G889" s="568"/>
      <c r="H889" s="569"/>
      <c r="I889" s="570"/>
      <c r="J889" s="571"/>
      <c r="K889" s="572" t="s">
        <v>162</v>
      </c>
      <c r="L889" s="573"/>
      <c r="M889" s="574"/>
      <c r="N889" s="575" t="s">
        <v>159</v>
      </c>
      <c r="O889" s="576"/>
      <c r="P889" s="576"/>
      <c r="Q889" s="576"/>
      <c r="R889" s="576"/>
      <c r="S889" s="576"/>
      <c r="T889" s="576"/>
      <c r="U889" s="577"/>
    </row>
    <row r="890" spans="1:21" ht="35.1" customHeight="1" x14ac:dyDescent="0.25">
      <c r="A890" s="263">
        <f t="shared" si="13"/>
        <v>876</v>
      </c>
      <c r="B890" s="578" t="s">
        <v>159</v>
      </c>
      <c r="C890" s="578"/>
      <c r="D890" s="579" t="s">
        <v>159</v>
      </c>
      <c r="E890" s="579"/>
      <c r="F890" s="568" t="s">
        <v>162</v>
      </c>
      <c r="G890" s="568"/>
      <c r="H890" s="580"/>
      <c r="I890" s="581"/>
      <c r="J890" s="582"/>
      <c r="K890" s="572" t="s">
        <v>162</v>
      </c>
      <c r="L890" s="573"/>
      <c r="M890" s="574"/>
      <c r="N890" s="583" t="s">
        <v>159</v>
      </c>
      <c r="O890" s="584"/>
      <c r="P890" s="584"/>
      <c r="Q890" s="584"/>
      <c r="R890" s="584"/>
      <c r="S890" s="584"/>
      <c r="T890" s="584"/>
      <c r="U890" s="585"/>
    </row>
    <row r="891" spans="1:21" ht="35.1" customHeight="1" x14ac:dyDescent="0.25">
      <c r="A891" s="263">
        <f t="shared" si="13"/>
        <v>877</v>
      </c>
      <c r="B891" s="566" t="s">
        <v>444</v>
      </c>
      <c r="C891" s="566"/>
      <c r="D891" s="567" t="s">
        <v>159</v>
      </c>
      <c r="E891" s="567"/>
      <c r="F891" s="568" t="s">
        <v>162</v>
      </c>
      <c r="G891" s="568"/>
      <c r="H891" s="569"/>
      <c r="I891" s="570"/>
      <c r="J891" s="571"/>
      <c r="K891" s="572" t="s">
        <v>162</v>
      </c>
      <c r="L891" s="573"/>
      <c r="M891" s="574"/>
      <c r="N891" s="575" t="s">
        <v>159</v>
      </c>
      <c r="O891" s="576"/>
      <c r="P891" s="576"/>
      <c r="Q891" s="576"/>
      <c r="R891" s="576"/>
      <c r="S891" s="576"/>
      <c r="T891" s="576"/>
      <c r="U891" s="577"/>
    </row>
    <row r="892" spans="1:21" ht="35.1" customHeight="1" x14ac:dyDescent="0.25">
      <c r="A892" s="263">
        <f t="shared" si="13"/>
        <v>878</v>
      </c>
      <c r="B892" s="578" t="s">
        <v>159</v>
      </c>
      <c r="C892" s="578"/>
      <c r="D892" s="579" t="s">
        <v>159</v>
      </c>
      <c r="E892" s="579"/>
      <c r="F892" s="568" t="s">
        <v>162</v>
      </c>
      <c r="G892" s="568"/>
      <c r="H892" s="580"/>
      <c r="I892" s="581"/>
      <c r="J892" s="582"/>
      <c r="K892" s="572" t="s">
        <v>162</v>
      </c>
      <c r="L892" s="573"/>
      <c r="M892" s="574"/>
      <c r="N892" s="583" t="s">
        <v>159</v>
      </c>
      <c r="O892" s="584"/>
      <c r="P892" s="584"/>
      <c r="Q892" s="584"/>
      <c r="R892" s="584"/>
      <c r="S892" s="584"/>
      <c r="T892" s="584"/>
      <c r="U892" s="585"/>
    </row>
    <row r="893" spans="1:21" ht="35.1" customHeight="1" x14ac:dyDescent="0.25">
      <c r="A893" s="263">
        <f t="shared" si="13"/>
        <v>879</v>
      </c>
      <c r="B893" s="566" t="s">
        <v>159</v>
      </c>
      <c r="C893" s="566"/>
      <c r="D893" s="567" t="s">
        <v>159</v>
      </c>
      <c r="E893" s="567"/>
      <c r="F893" s="568" t="s">
        <v>162</v>
      </c>
      <c r="G893" s="568"/>
      <c r="H893" s="569"/>
      <c r="I893" s="570"/>
      <c r="J893" s="571"/>
      <c r="K893" s="572" t="s">
        <v>162</v>
      </c>
      <c r="L893" s="573"/>
      <c r="M893" s="574"/>
      <c r="N893" s="575" t="s">
        <v>159</v>
      </c>
      <c r="O893" s="576"/>
      <c r="P893" s="576"/>
      <c r="Q893" s="576"/>
      <c r="R893" s="576"/>
      <c r="S893" s="576"/>
      <c r="T893" s="576"/>
      <c r="U893" s="577"/>
    </row>
    <row r="894" spans="1:21" ht="35.1" customHeight="1" x14ac:dyDescent="0.25">
      <c r="A894" s="263">
        <f t="shared" si="13"/>
        <v>880</v>
      </c>
      <c r="B894" s="578" t="s">
        <v>159</v>
      </c>
      <c r="C894" s="578"/>
      <c r="D894" s="579" t="s">
        <v>159</v>
      </c>
      <c r="E894" s="579"/>
      <c r="F894" s="568" t="s">
        <v>162</v>
      </c>
      <c r="G894" s="568"/>
      <c r="H894" s="580"/>
      <c r="I894" s="581"/>
      <c r="J894" s="582"/>
      <c r="K894" s="572" t="s">
        <v>162</v>
      </c>
      <c r="L894" s="573"/>
      <c r="M894" s="574"/>
      <c r="N894" s="583" t="s">
        <v>159</v>
      </c>
      <c r="O894" s="584"/>
      <c r="P894" s="584"/>
      <c r="Q894" s="584"/>
      <c r="R894" s="584"/>
      <c r="S894" s="584"/>
      <c r="T894" s="584"/>
      <c r="U894" s="585"/>
    </row>
    <row r="895" spans="1:21" ht="35.1" customHeight="1" x14ac:dyDescent="0.25">
      <c r="A895" s="263">
        <f t="shared" si="13"/>
        <v>881</v>
      </c>
      <c r="B895" s="566" t="s">
        <v>159</v>
      </c>
      <c r="C895" s="566"/>
      <c r="D895" s="567" t="s">
        <v>159</v>
      </c>
      <c r="E895" s="567"/>
      <c r="F895" s="568" t="s">
        <v>162</v>
      </c>
      <c r="G895" s="568"/>
      <c r="H895" s="569"/>
      <c r="I895" s="570"/>
      <c r="J895" s="571"/>
      <c r="K895" s="572" t="s">
        <v>162</v>
      </c>
      <c r="L895" s="573"/>
      <c r="M895" s="574"/>
      <c r="N895" s="575" t="s">
        <v>159</v>
      </c>
      <c r="O895" s="576"/>
      <c r="P895" s="576"/>
      <c r="Q895" s="576"/>
      <c r="R895" s="576"/>
      <c r="S895" s="576"/>
      <c r="T895" s="576"/>
      <c r="U895" s="577"/>
    </row>
    <row r="896" spans="1:21" ht="35.1" customHeight="1" x14ac:dyDescent="0.25">
      <c r="A896" s="263">
        <f t="shared" si="13"/>
        <v>882</v>
      </c>
      <c r="B896" s="578" t="s">
        <v>159</v>
      </c>
      <c r="C896" s="578"/>
      <c r="D896" s="579" t="s">
        <v>159</v>
      </c>
      <c r="E896" s="579"/>
      <c r="F896" s="568" t="s">
        <v>162</v>
      </c>
      <c r="G896" s="568"/>
      <c r="H896" s="580"/>
      <c r="I896" s="581"/>
      <c r="J896" s="582"/>
      <c r="K896" s="572" t="s">
        <v>162</v>
      </c>
      <c r="L896" s="573"/>
      <c r="M896" s="574"/>
      <c r="N896" s="583" t="s">
        <v>159</v>
      </c>
      <c r="O896" s="584"/>
      <c r="P896" s="584"/>
      <c r="Q896" s="584"/>
      <c r="R896" s="584"/>
      <c r="S896" s="584"/>
      <c r="T896" s="584"/>
      <c r="U896" s="585"/>
    </row>
    <row r="897" spans="1:21" ht="35.1" customHeight="1" x14ac:dyDescent="0.25">
      <c r="A897" s="263">
        <f t="shared" si="13"/>
        <v>883</v>
      </c>
      <c r="B897" s="566" t="s">
        <v>159</v>
      </c>
      <c r="C897" s="566"/>
      <c r="D897" s="567" t="s">
        <v>159</v>
      </c>
      <c r="E897" s="567"/>
      <c r="F897" s="568" t="s">
        <v>162</v>
      </c>
      <c r="G897" s="568"/>
      <c r="H897" s="569"/>
      <c r="I897" s="570"/>
      <c r="J897" s="571"/>
      <c r="K897" s="572" t="s">
        <v>162</v>
      </c>
      <c r="L897" s="573"/>
      <c r="M897" s="574"/>
      <c r="N897" s="575" t="s">
        <v>159</v>
      </c>
      <c r="O897" s="576"/>
      <c r="P897" s="576"/>
      <c r="Q897" s="576"/>
      <c r="R897" s="576"/>
      <c r="S897" s="576"/>
      <c r="T897" s="576"/>
      <c r="U897" s="577"/>
    </row>
    <row r="898" spans="1:21" ht="35.1" customHeight="1" x14ac:dyDescent="0.25">
      <c r="A898" s="263">
        <f t="shared" si="13"/>
        <v>884</v>
      </c>
      <c r="B898" s="578" t="s">
        <v>159</v>
      </c>
      <c r="C898" s="578"/>
      <c r="D898" s="579" t="s">
        <v>159</v>
      </c>
      <c r="E898" s="579"/>
      <c r="F898" s="568" t="s">
        <v>162</v>
      </c>
      <c r="G898" s="568"/>
      <c r="H898" s="580"/>
      <c r="I898" s="581"/>
      <c r="J898" s="582"/>
      <c r="K898" s="572" t="s">
        <v>162</v>
      </c>
      <c r="L898" s="573"/>
      <c r="M898" s="574"/>
      <c r="N898" s="583" t="s">
        <v>159</v>
      </c>
      <c r="O898" s="584"/>
      <c r="P898" s="584"/>
      <c r="Q898" s="584"/>
      <c r="R898" s="584"/>
      <c r="S898" s="584"/>
      <c r="T898" s="584"/>
      <c r="U898" s="585"/>
    </row>
    <row r="899" spans="1:21" ht="35.1" customHeight="1" x14ac:dyDescent="0.25">
      <c r="A899" s="263">
        <f t="shared" si="13"/>
        <v>885</v>
      </c>
      <c r="B899" s="566" t="s">
        <v>450</v>
      </c>
      <c r="C899" s="566"/>
      <c r="D899" s="567" t="s">
        <v>159</v>
      </c>
      <c r="E899" s="567"/>
      <c r="F899" s="568" t="s">
        <v>162</v>
      </c>
      <c r="G899" s="568"/>
      <c r="H899" s="569"/>
      <c r="I899" s="570"/>
      <c r="J899" s="571"/>
      <c r="K899" s="572" t="s">
        <v>162</v>
      </c>
      <c r="L899" s="573"/>
      <c r="M899" s="574"/>
      <c r="N899" s="575" t="s">
        <v>159</v>
      </c>
      <c r="O899" s="576"/>
      <c r="P899" s="576"/>
      <c r="Q899" s="576"/>
      <c r="R899" s="576"/>
      <c r="S899" s="576"/>
      <c r="T899" s="576"/>
      <c r="U899" s="577"/>
    </row>
    <row r="900" spans="1:21" ht="35.1" customHeight="1" x14ac:dyDescent="0.25">
      <c r="A900" s="263">
        <f t="shared" si="13"/>
        <v>886</v>
      </c>
      <c r="B900" s="578" t="s">
        <v>159</v>
      </c>
      <c r="C900" s="578"/>
      <c r="D900" s="579" t="s">
        <v>159</v>
      </c>
      <c r="E900" s="579"/>
      <c r="F900" s="568" t="s">
        <v>162</v>
      </c>
      <c r="G900" s="568"/>
      <c r="H900" s="580"/>
      <c r="I900" s="581"/>
      <c r="J900" s="582"/>
      <c r="K900" s="572" t="s">
        <v>162</v>
      </c>
      <c r="L900" s="573"/>
      <c r="M900" s="574"/>
      <c r="N900" s="583" t="s">
        <v>159</v>
      </c>
      <c r="O900" s="584"/>
      <c r="P900" s="584"/>
      <c r="Q900" s="584"/>
      <c r="R900" s="584"/>
      <c r="S900" s="584"/>
      <c r="T900" s="584"/>
      <c r="U900" s="585"/>
    </row>
    <row r="901" spans="1:21" ht="35.1" customHeight="1" x14ac:dyDescent="0.25">
      <c r="A901" s="263">
        <f t="shared" si="13"/>
        <v>887</v>
      </c>
      <c r="B901" s="566" t="s">
        <v>159</v>
      </c>
      <c r="C901" s="566"/>
      <c r="D901" s="567" t="s">
        <v>159</v>
      </c>
      <c r="E901" s="567"/>
      <c r="F901" s="568" t="s">
        <v>162</v>
      </c>
      <c r="G901" s="568"/>
      <c r="H901" s="569"/>
      <c r="I901" s="570"/>
      <c r="J901" s="571"/>
      <c r="K901" s="572" t="s">
        <v>162</v>
      </c>
      <c r="L901" s="573"/>
      <c r="M901" s="574"/>
      <c r="N901" s="575" t="s">
        <v>159</v>
      </c>
      <c r="O901" s="576"/>
      <c r="P901" s="576"/>
      <c r="Q901" s="576"/>
      <c r="R901" s="576"/>
      <c r="S901" s="576"/>
      <c r="T901" s="576"/>
      <c r="U901" s="577"/>
    </row>
    <row r="902" spans="1:21" ht="35.1" customHeight="1" x14ac:dyDescent="0.25">
      <c r="A902" s="263">
        <f t="shared" si="13"/>
        <v>888</v>
      </c>
      <c r="B902" s="578" t="s">
        <v>159</v>
      </c>
      <c r="C902" s="578"/>
      <c r="D902" s="579" t="s">
        <v>159</v>
      </c>
      <c r="E902" s="579"/>
      <c r="F902" s="568" t="s">
        <v>162</v>
      </c>
      <c r="G902" s="568"/>
      <c r="H902" s="580"/>
      <c r="I902" s="581"/>
      <c r="J902" s="582"/>
      <c r="K902" s="572" t="s">
        <v>162</v>
      </c>
      <c r="L902" s="573"/>
      <c r="M902" s="574"/>
      <c r="N902" s="583" t="s">
        <v>159</v>
      </c>
      <c r="O902" s="584"/>
      <c r="P902" s="584"/>
      <c r="Q902" s="584"/>
      <c r="R902" s="584"/>
      <c r="S902" s="584"/>
      <c r="T902" s="584"/>
      <c r="U902" s="585"/>
    </row>
    <row r="903" spans="1:21" ht="35.1" customHeight="1" x14ac:dyDescent="0.25">
      <c r="A903" s="263">
        <f t="shared" si="13"/>
        <v>889</v>
      </c>
      <c r="B903" s="566" t="s">
        <v>159</v>
      </c>
      <c r="C903" s="566"/>
      <c r="D903" s="567" t="s">
        <v>159</v>
      </c>
      <c r="E903" s="567"/>
      <c r="F903" s="568" t="s">
        <v>162</v>
      </c>
      <c r="G903" s="568"/>
      <c r="H903" s="569"/>
      <c r="I903" s="570"/>
      <c r="J903" s="571"/>
      <c r="K903" s="572" t="s">
        <v>162</v>
      </c>
      <c r="L903" s="573"/>
      <c r="M903" s="574"/>
      <c r="N903" s="575" t="s">
        <v>159</v>
      </c>
      <c r="O903" s="576"/>
      <c r="P903" s="576"/>
      <c r="Q903" s="576"/>
      <c r="R903" s="576"/>
      <c r="S903" s="576"/>
      <c r="T903" s="576"/>
      <c r="U903" s="577"/>
    </row>
    <row r="904" spans="1:21" ht="35.1" customHeight="1" x14ac:dyDescent="0.25">
      <c r="A904" s="263">
        <f t="shared" si="13"/>
        <v>890</v>
      </c>
      <c r="B904" s="578" t="s">
        <v>159</v>
      </c>
      <c r="C904" s="578"/>
      <c r="D904" s="579" t="s">
        <v>159</v>
      </c>
      <c r="E904" s="579"/>
      <c r="F904" s="568" t="s">
        <v>162</v>
      </c>
      <c r="G904" s="568"/>
      <c r="H904" s="580"/>
      <c r="I904" s="581"/>
      <c r="J904" s="582"/>
      <c r="K904" s="572" t="s">
        <v>162</v>
      </c>
      <c r="L904" s="573"/>
      <c r="M904" s="574"/>
      <c r="N904" s="583" t="s">
        <v>159</v>
      </c>
      <c r="O904" s="584"/>
      <c r="P904" s="584"/>
      <c r="Q904" s="584"/>
      <c r="R904" s="584"/>
      <c r="S904" s="584"/>
      <c r="T904" s="584"/>
      <c r="U904" s="585"/>
    </row>
    <row r="905" spans="1:21" ht="35.1" customHeight="1" x14ac:dyDescent="0.25">
      <c r="A905" s="263">
        <f t="shared" si="13"/>
        <v>891</v>
      </c>
      <c r="B905" s="566" t="s">
        <v>159</v>
      </c>
      <c r="C905" s="566"/>
      <c r="D905" s="567" t="s">
        <v>159</v>
      </c>
      <c r="E905" s="567"/>
      <c r="F905" s="568" t="s">
        <v>162</v>
      </c>
      <c r="G905" s="568"/>
      <c r="H905" s="569"/>
      <c r="I905" s="570"/>
      <c r="J905" s="571"/>
      <c r="K905" s="572" t="s">
        <v>162</v>
      </c>
      <c r="L905" s="573"/>
      <c r="M905" s="574"/>
      <c r="N905" s="575" t="s">
        <v>159</v>
      </c>
      <c r="O905" s="576"/>
      <c r="P905" s="576"/>
      <c r="Q905" s="576"/>
      <c r="R905" s="576"/>
      <c r="S905" s="576"/>
      <c r="T905" s="576"/>
      <c r="U905" s="577"/>
    </row>
    <row r="906" spans="1:21" ht="35.1" customHeight="1" x14ac:dyDescent="0.25">
      <c r="A906" s="263">
        <f t="shared" si="13"/>
        <v>892</v>
      </c>
      <c r="B906" s="578" t="s">
        <v>159</v>
      </c>
      <c r="C906" s="578"/>
      <c r="D906" s="579" t="s">
        <v>159</v>
      </c>
      <c r="E906" s="579"/>
      <c r="F906" s="568" t="s">
        <v>162</v>
      </c>
      <c r="G906" s="568"/>
      <c r="H906" s="580"/>
      <c r="I906" s="581"/>
      <c r="J906" s="582"/>
      <c r="K906" s="572" t="s">
        <v>162</v>
      </c>
      <c r="L906" s="573"/>
      <c r="M906" s="574"/>
      <c r="N906" s="583" t="s">
        <v>159</v>
      </c>
      <c r="O906" s="584"/>
      <c r="P906" s="584"/>
      <c r="Q906" s="584"/>
      <c r="R906" s="584"/>
      <c r="S906" s="584"/>
      <c r="T906" s="584"/>
      <c r="U906" s="585"/>
    </row>
    <row r="907" spans="1:21" ht="35.1" customHeight="1" x14ac:dyDescent="0.25">
      <c r="A907" s="263">
        <f t="shared" si="13"/>
        <v>893</v>
      </c>
      <c r="B907" s="566" t="s">
        <v>159</v>
      </c>
      <c r="C907" s="566"/>
      <c r="D907" s="567" t="s">
        <v>159</v>
      </c>
      <c r="E907" s="567"/>
      <c r="F907" s="568" t="s">
        <v>162</v>
      </c>
      <c r="G907" s="568"/>
      <c r="H907" s="569"/>
      <c r="I907" s="570"/>
      <c r="J907" s="571"/>
      <c r="K907" s="572" t="s">
        <v>162</v>
      </c>
      <c r="L907" s="573"/>
      <c r="M907" s="574"/>
      <c r="N907" s="575" t="s">
        <v>159</v>
      </c>
      <c r="O907" s="576"/>
      <c r="P907" s="576"/>
      <c r="Q907" s="576"/>
      <c r="R907" s="576"/>
      <c r="S907" s="576"/>
      <c r="T907" s="576"/>
      <c r="U907" s="577"/>
    </row>
    <row r="908" spans="1:21" ht="35.1" customHeight="1" x14ac:dyDescent="0.25">
      <c r="A908" s="263">
        <f t="shared" si="13"/>
        <v>894</v>
      </c>
      <c r="B908" s="578" t="s">
        <v>159</v>
      </c>
      <c r="C908" s="578"/>
      <c r="D908" s="579" t="s">
        <v>159</v>
      </c>
      <c r="E908" s="579"/>
      <c r="F908" s="568" t="s">
        <v>162</v>
      </c>
      <c r="G908" s="568"/>
      <c r="H908" s="580"/>
      <c r="I908" s="581"/>
      <c r="J908" s="582"/>
      <c r="K908" s="572" t="s">
        <v>162</v>
      </c>
      <c r="L908" s="573"/>
      <c r="M908" s="574"/>
      <c r="N908" s="583" t="s">
        <v>159</v>
      </c>
      <c r="O908" s="584"/>
      <c r="P908" s="584"/>
      <c r="Q908" s="584"/>
      <c r="R908" s="584"/>
      <c r="S908" s="584"/>
      <c r="T908" s="584"/>
      <c r="U908" s="585"/>
    </row>
    <row r="909" spans="1:21" ht="35.1" customHeight="1" x14ac:dyDescent="0.25">
      <c r="A909" s="263">
        <f t="shared" si="13"/>
        <v>895</v>
      </c>
      <c r="B909" s="566" t="s">
        <v>159</v>
      </c>
      <c r="C909" s="566"/>
      <c r="D909" s="567" t="s">
        <v>159</v>
      </c>
      <c r="E909" s="567"/>
      <c r="F909" s="568" t="s">
        <v>162</v>
      </c>
      <c r="G909" s="568"/>
      <c r="H909" s="569"/>
      <c r="I909" s="570"/>
      <c r="J909" s="571"/>
      <c r="K909" s="572" t="s">
        <v>162</v>
      </c>
      <c r="L909" s="573"/>
      <c r="M909" s="574"/>
      <c r="N909" s="575" t="s">
        <v>159</v>
      </c>
      <c r="O909" s="576"/>
      <c r="P909" s="576"/>
      <c r="Q909" s="576"/>
      <c r="R909" s="576"/>
      <c r="S909" s="576"/>
      <c r="T909" s="576"/>
      <c r="U909" s="577"/>
    </row>
    <row r="910" spans="1:21" ht="35.1" customHeight="1" x14ac:dyDescent="0.25">
      <c r="A910" s="263">
        <f t="shared" si="13"/>
        <v>896</v>
      </c>
      <c r="B910" s="578" t="s">
        <v>159</v>
      </c>
      <c r="C910" s="578"/>
      <c r="D910" s="579" t="s">
        <v>159</v>
      </c>
      <c r="E910" s="579"/>
      <c r="F910" s="568" t="s">
        <v>162</v>
      </c>
      <c r="G910" s="568"/>
      <c r="H910" s="580"/>
      <c r="I910" s="581"/>
      <c r="J910" s="582"/>
      <c r="K910" s="572" t="s">
        <v>162</v>
      </c>
      <c r="L910" s="573"/>
      <c r="M910" s="574"/>
      <c r="N910" s="583" t="s">
        <v>159</v>
      </c>
      <c r="O910" s="584"/>
      <c r="P910" s="584"/>
      <c r="Q910" s="584"/>
      <c r="R910" s="584"/>
      <c r="S910" s="584"/>
      <c r="T910" s="584"/>
      <c r="U910" s="585"/>
    </row>
    <row r="911" spans="1:21" ht="35.1" customHeight="1" x14ac:dyDescent="0.25">
      <c r="A911" s="263">
        <f t="shared" ref="A911:A974" si="14">ROW(A897)</f>
        <v>897</v>
      </c>
      <c r="B911" s="566" t="s">
        <v>448</v>
      </c>
      <c r="C911" s="566"/>
      <c r="D911" s="567" t="s">
        <v>159</v>
      </c>
      <c r="E911" s="567"/>
      <c r="F911" s="568" t="s">
        <v>162</v>
      </c>
      <c r="G911" s="568"/>
      <c r="H911" s="569"/>
      <c r="I911" s="570"/>
      <c r="J911" s="571"/>
      <c r="K911" s="572" t="s">
        <v>162</v>
      </c>
      <c r="L911" s="573"/>
      <c r="M911" s="574"/>
      <c r="N911" s="575" t="s">
        <v>159</v>
      </c>
      <c r="O911" s="576"/>
      <c r="P911" s="576"/>
      <c r="Q911" s="576"/>
      <c r="R911" s="576"/>
      <c r="S911" s="576"/>
      <c r="T911" s="576"/>
      <c r="U911" s="577"/>
    </row>
    <row r="912" spans="1:21" ht="35.1" customHeight="1" x14ac:dyDescent="0.25">
      <c r="A912" s="263">
        <f t="shared" si="14"/>
        <v>898</v>
      </c>
      <c r="B912" s="578" t="s">
        <v>159</v>
      </c>
      <c r="C912" s="578"/>
      <c r="D912" s="579" t="s">
        <v>159</v>
      </c>
      <c r="E912" s="579"/>
      <c r="F912" s="568" t="s">
        <v>162</v>
      </c>
      <c r="G912" s="568"/>
      <c r="H912" s="580"/>
      <c r="I912" s="581"/>
      <c r="J912" s="582"/>
      <c r="K912" s="572" t="s">
        <v>162</v>
      </c>
      <c r="L912" s="573"/>
      <c r="M912" s="574"/>
      <c r="N912" s="583" t="s">
        <v>159</v>
      </c>
      <c r="O912" s="584"/>
      <c r="P912" s="584"/>
      <c r="Q912" s="584"/>
      <c r="R912" s="584"/>
      <c r="S912" s="584"/>
      <c r="T912" s="584"/>
      <c r="U912" s="585"/>
    </row>
    <row r="913" spans="1:21" ht="35.1" customHeight="1" x14ac:dyDescent="0.25">
      <c r="A913" s="263">
        <f t="shared" si="14"/>
        <v>899</v>
      </c>
      <c r="B913" s="566" t="s">
        <v>159</v>
      </c>
      <c r="C913" s="566"/>
      <c r="D913" s="567" t="s">
        <v>159</v>
      </c>
      <c r="E913" s="567"/>
      <c r="F913" s="568" t="s">
        <v>162</v>
      </c>
      <c r="G913" s="568"/>
      <c r="H913" s="569"/>
      <c r="I913" s="570"/>
      <c r="J913" s="571"/>
      <c r="K913" s="572" t="s">
        <v>162</v>
      </c>
      <c r="L913" s="573"/>
      <c r="M913" s="574"/>
      <c r="N913" s="575" t="s">
        <v>159</v>
      </c>
      <c r="O913" s="576"/>
      <c r="P913" s="576"/>
      <c r="Q913" s="576"/>
      <c r="R913" s="576"/>
      <c r="S913" s="576"/>
      <c r="T913" s="576"/>
      <c r="U913" s="577"/>
    </row>
    <row r="914" spans="1:21" ht="35.1" customHeight="1" x14ac:dyDescent="0.25">
      <c r="A914" s="263">
        <f t="shared" si="14"/>
        <v>900</v>
      </c>
      <c r="B914" s="578" t="s">
        <v>159</v>
      </c>
      <c r="C914" s="578"/>
      <c r="D914" s="579" t="s">
        <v>159</v>
      </c>
      <c r="E914" s="579"/>
      <c r="F914" s="568" t="s">
        <v>162</v>
      </c>
      <c r="G914" s="568"/>
      <c r="H914" s="580"/>
      <c r="I914" s="581"/>
      <c r="J914" s="582"/>
      <c r="K914" s="572" t="s">
        <v>162</v>
      </c>
      <c r="L914" s="573"/>
      <c r="M914" s="574"/>
      <c r="N914" s="583" t="s">
        <v>159</v>
      </c>
      <c r="O914" s="584"/>
      <c r="P914" s="584"/>
      <c r="Q914" s="584"/>
      <c r="R914" s="584"/>
      <c r="S914" s="584"/>
      <c r="T914" s="584"/>
      <c r="U914" s="585"/>
    </row>
    <row r="915" spans="1:21" ht="35.1" customHeight="1" x14ac:dyDescent="0.25">
      <c r="A915" s="263">
        <f t="shared" si="14"/>
        <v>901</v>
      </c>
      <c r="B915" s="566" t="s">
        <v>159</v>
      </c>
      <c r="C915" s="566"/>
      <c r="D915" s="567" t="s">
        <v>159</v>
      </c>
      <c r="E915" s="567"/>
      <c r="F915" s="568" t="s">
        <v>162</v>
      </c>
      <c r="G915" s="568"/>
      <c r="H915" s="569"/>
      <c r="I915" s="570"/>
      <c r="J915" s="571"/>
      <c r="K915" s="572" t="s">
        <v>162</v>
      </c>
      <c r="L915" s="573"/>
      <c r="M915" s="574"/>
      <c r="N915" s="575" t="s">
        <v>159</v>
      </c>
      <c r="O915" s="576"/>
      <c r="P915" s="576"/>
      <c r="Q915" s="576"/>
      <c r="R915" s="576"/>
      <c r="S915" s="576"/>
      <c r="T915" s="576"/>
      <c r="U915" s="577"/>
    </row>
    <row r="916" spans="1:21" ht="35.1" customHeight="1" x14ac:dyDescent="0.25">
      <c r="A916" s="263">
        <f t="shared" si="14"/>
        <v>902</v>
      </c>
      <c r="B916" s="578" t="s">
        <v>159</v>
      </c>
      <c r="C916" s="578"/>
      <c r="D916" s="579" t="s">
        <v>159</v>
      </c>
      <c r="E916" s="579"/>
      <c r="F916" s="568" t="s">
        <v>162</v>
      </c>
      <c r="G916" s="568"/>
      <c r="H916" s="580"/>
      <c r="I916" s="581"/>
      <c r="J916" s="582"/>
      <c r="K916" s="572" t="s">
        <v>162</v>
      </c>
      <c r="L916" s="573"/>
      <c r="M916" s="574"/>
      <c r="N916" s="583" t="s">
        <v>159</v>
      </c>
      <c r="O916" s="584"/>
      <c r="P916" s="584"/>
      <c r="Q916" s="584"/>
      <c r="R916" s="584"/>
      <c r="S916" s="584"/>
      <c r="T916" s="584"/>
      <c r="U916" s="585"/>
    </row>
    <row r="917" spans="1:21" ht="35.1" customHeight="1" x14ac:dyDescent="0.25">
      <c r="A917" s="263">
        <f t="shared" si="14"/>
        <v>903</v>
      </c>
      <c r="B917" s="566" t="s">
        <v>159</v>
      </c>
      <c r="C917" s="566"/>
      <c r="D917" s="567" t="s">
        <v>159</v>
      </c>
      <c r="E917" s="567"/>
      <c r="F917" s="568" t="s">
        <v>162</v>
      </c>
      <c r="G917" s="568"/>
      <c r="H917" s="569"/>
      <c r="I917" s="570"/>
      <c r="J917" s="571"/>
      <c r="K917" s="572" t="s">
        <v>162</v>
      </c>
      <c r="L917" s="573"/>
      <c r="M917" s="574"/>
      <c r="N917" s="575" t="s">
        <v>159</v>
      </c>
      <c r="O917" s="576"/>
      <c r="P917" s="576"/>
      <c r="Q917" s="576"/>
      <c r="R917" s="576"/>
      <c r="S917" s="576"/>
      <c r="T917" s="576"/>
      <c r="U917" s="577"/>
    </row>
    <row r="918" spans="1:21" ht="35.1" customHeight="1" x14ac:dyDescent="0.25">
      <c r="A918" s="263">
        <f t="shared" si="14"/>
        <v>904</v>
      </c>
      <c r="B918" s="578" t="s">
        <v>159</v>
      </c>
      <c r="C918" s="578"/>
      <c r="D918" s="579" t="s">
        <v>159</v>
      </c>
      <c r="E918" s="579"/>
      <c r="F918" s="568" t="s">
        <v>162</v>
      </c>
      <c r="G918" s="568"/>
      <c r="H918" s="580"/>
      <c r="I918" s="581"/>
      <c r="J918" s="582"/>
      <c r="K918" s="572" t="s">
        <v>162</v>
      </c>
      <c r="L918" s="573"/>
      <c r="M918" s="574"/>
      <c r="N918" s="583" t="s">
        <v>159</v>
      </c>
      <c r="O918" s="584"/>
      <c r="P918" s="584"/>
      <c r="Q918" s="584"/>
      <c r="R918" s="584"/>
      <c r="S918" s="584"/>
      <c r="T918" s="584"/>
      <c r="U918" s="585"/>
    </row>
    <row r="919" spans="1:21" ht="35.1" customHeight="1" x14ac:dyDescent="0.25">
      <c r="A919" s="263">
        <f t="shared" si="14"/>
        <v>905</v>
      </c>
      <c r="B919" s="566" t="s">
        <v>444</v>
      </c>
      <c r="C919" s="566"/>
      <c r="D919" s="567" t="s">
        <v>159</v>
      </c>
      <c r="E919" s="567"/>
      <c r="F919" s="568" t="s">
        <v>162</v>
      </c>
      <c r="G919" s="568"/>
      <c r="H919" s="569"/>
      <c r="I919" s="570"/>
      <c r="J919" s="571"/>
      <c r="K919" s="572" t="s">
        <v>162</v>
      </c>
      <c r="L919" s="573"/>
      <c r="M919" s="574"/>
      <c r="N919" s="575" t="s">
        <v>159</v>
      </c>
      <c r="O919" s="576"/>
      <c r="P919" s="576"/>
      <c r="Q919" s="576"/>
      <c r="R919" s="576"/>
      <c r="S919" s="576"/>
      <c r="T919" s="576"/>
      <c r="U919" s="577"/>
    </row>
    <row r="920" spans="1:21" ht="35.1" customHeight="1" x14ac:dyDescent="0.25">
      <c r="A920" s="263">
        <f t="shared" si="14"/>
        <v>906</v>
      </c>
      <c r="B920" s="578" t="s">
        <v>159</v>
      </c>
      <c r="C920" s="578"/>
      <c r="D920" s="579" t="s">
        <v>159</v>
      </c>
      <c r="E920" s="579"/>
      <c r="F920" s="568" t="s">
        <v>162</v>
      </c>
      <c r="G920" s="568"/>
      <c r="H920" s="580"/>
      <c r="I920" s="581"/>
      <c r="J920" s="582"/>
      <c r="K920" s="572" t="s">
        <v>162</v>
      </c>
      <c r="L920" s="573"/>
      <c r="M920" s="574"/>
      <c r="N920" s="583" t="s">
        <v>159</v>
      </c>
      <c r="O920" s="584"/>
      <c r="P920" s="584"/>
      <c r="Q920" s="584"/>
      <c r="R920" s="584"/>
      <c r="S920" s="584"/>
      <c r="T920" s="584"/>
      <c r="U920" s="585"/>
    </row>
    <row r="921" spans="1:21" ht="35.1" customHeight="1" x14ac:dyDescent="0.25">
      <c r="A921" s="263">
        <f t="shared" si="14"/>
        <v>907</v>
      </c>
      <c r="B921" s="566" t="s">
        <v>159</v>
      </c>
      <c r="C921" s="566"/>
      <c r="D921" s="567" t="s">
        <v>159</v>
      </c>
      <c r="E921" s="567"/>
      <c r="F921" s="568" t="s">
        <v>162</v>
      </c>
      <c r="G921" s="568"/>
      <c r="H921" s="569"/>
      <c r="I921" s="570"/>
      <c r="J921" s="571"/>
      <c r="K921" s="572" t="s">
        <v>162</v>
      </c>
      <c r="L921" s="573"/>
      <c r="M921" s="574"/>
      <c r="N921" s="575" t="s">
        <v>159</v>
      </c>
      <c r="O921" s="576"/>
      <c r="P921" s="576"/>
      <c r="Q921" s="576"/>
      <c r="R921" s="576"/>
      <c r="S921" s="576"/>
      <c r="T921" s="576"/>
      <c r="U921" s="577"/>
    </row>
    <row r="922" spans="1:21" ht="35.1" customHeight="1" x14ac:dyDescent="0.25">
      <c r="A922" s="263">
        <f t="shared" si="14"/>
        <v>908</v>
      </c>
      <c r="B922" s="578" t="s">
        <v>159</v>
      </c>
      <c r="C922" s="578"/>
      <c r="D922" s="579" t="s">
        <v>159</v>
      </c>
      <c r="E922" s="579"/>
      <c r="F922" s="568" t="s">
        <v>162</v>
      </c>
      <c r="G922" s="568"/>
      <c r="H922" s="580"/>
      <c r="I922" s="581"/>
      <c r="J922" s="582"/>
      <c r="K922" s="572" t="s">
        <v>162</v>
      </c>
      <c r="L922" s="573"/>
      <c r="M922" s="574"/>
      <c r="N922" s="583" t="s">
        <v>159</v>
      </c>
      <c r="O922" s="584"/>
      <c r="P922" s="584"/>
      <c r="Q922" s="584"/>
      <c r="R922" s="584"/>
      <c r="S922" s="584"/>
      <c r="T922" s="584"/>
      <c r="U922" s="585"/>
    </row>
    <row r="923" spans="1:21" ht="35.1" customHeight="1" x14ac:dyDescent="0.25">
      <c r="A923" s="263">
        <f t="shared" si="14"/>
        <v>909</v>
      </c>
      <c r="B923" s="566" t="s">
        <v>159</v>
      </c>
      <c r="C923" s="566"/>
      <c r="D923" s="567" t="s">
        <v>159</v>
      </c>
      <c r="E923" s="567"/>
      <c r="F923" s="568" t="s">
        <v>162</v>
      </c>
      <c r="G923" s="568"/>
      <c r="H923" s="569"/>
      <c r="I923" s="570"/>
      <c r="J923" s="571"/>
      <c r="K923" s="572" t="s">
        <v>162</v>
      </c>
      <c r="L923" s="573"/>
      <c r="M923" s="574"/>
      <c r="N923" s="575" t="s">
        <v>159</v>
      </c>
      <c r="O923" s="576"/>
      <c r="P923" s="576"/>
      <c r="Q923" s="576"/>
      <c r="R923" s="576"/>
      <c r="S923" s="576"/>
      <c r="T923" s="576"/>
      <c r="U923" s="577"/>
    </row>
    <row r="924" spans="1:21" ht="35.1" customHeight="1" x14ac:dyDescent="0.25">
      <c r="A924" s="263">
        <f t="shared" si="14"/>
        <v>910</v>
      </c>
      <c r="B924" s="578" t="s">
        <v>159</v>
      </c>
      <c r="C924" s="578"/>
      <c r="D924" s="579" t="s">
        <v>159</v>
      </c>
      <c r="E924" s="579"/>
      <c r="F924" s="568" t="s">
        <v>162</v>
      </c>
      <c r="G924" s="568"/>
      <c r="H924" s="580"/>
      <c r="I924" s="581"/>
      <c r="J924" s="582"/>
      <c r="K924" s="572" t="s">
        <v>162</v>
      </c>
      <c r="L924" s="573"/>
      <c r="M924" s="574"/>
      <c r="N924" s="583" t="s">
        <v>159</v>
      </c>
      <c r="O924" s="584"/>
      <c r="P924" s="584"/>
      <c r="Q924" s="584"/>
      <c r="R924" s="584"/>
      <c r="S924" s="584"/>
      <c r="T924" s="584"/>
      <c r="U924" s="585"/>
    </row>
    <row r="925" spans="1:21" ht="35.1" customHeight="1" x14ac:dyDescent="0.25">
      <c r="A925" s="263">
        <f t="shared" si="14"/>
        <v>911</v>
      </c>
      <c r="B925" s="566" t="s">
        <v>159</v>
      </c>
      <c r="C925" s="566"/>
      <c r="D925" s="567" t="s">
        <v>159</v>
      </c>
      <c r="E925" s="567"/>
      <c r="F925" s="568" t="s">
        <v>162</v>
      </c>
      <c r="G925" s="568"/>
      <c r="H925" s="569"/>
      <c r="I925" s="570"/>
      <c r="J925" s="571"/>
      <c r="K925" s="572" t="s">
        <v>162</v>
      </c>
      <c r="L925" s="573"/>
      <c r="M925" s="574"/>
      <c r="N925" s="575" t="s">
        <v>159</v>
      </c>
      <c r="O925" s="576"/>
      <c r="P925" s="576"/>
      <c r="Q925" s="576"/>
      <c r="R925" s="576"/>
      <c r="S925" s="576"/>
      <c r="T925" s="576"/>
      <c r="U925" s="577"/>
    </row>
    <row r="926" spans="1:21" ht="35.1" customHeight="1" x14ac:dyDescent="0.25">
      <c r="A926" s="263">
        <f t="shared" si="14"/>
        <v>912</v>
      </c>
      <c r="B926" s="578" t="s">
        <v>449</v>
      </c>
      <c r="C926" s="578"/>
      <c r="D926" s="579" t="s">
        <v>159</v>
      </c>
      <c r="E926" s="579"/>
      <c r="F926" s="568" t="s">
        <v>162</v>
      </c>
      <c r="G926" s="568"/>
      <c r="H926" s="580"/>
      <c r="I926" s="581"/>
      <c r="J926" s="582"/>
      <c r="K926" s="572" t="s">
        <v>162</v>
      </c>
      <c r="L926" s="573"/>
      <c r="M926" s="574"/>
      <c r="N926" s="583" t="s">
        <v>159</v>
      </c>
      <c r="O926" s="584"/>
      <c r="P926" s="584"/>
      <c r="Q926" s="584"/>
      <c r="R926" s="584"/>
      <c r="S926" s="584"/>
      <c r="T926" s="584"/>
      <c r="U926" s="585"/>
    </row>
    <row r="927" spans="1:21" ht="35.1" customHeight="1" x14ac:dyDescent="0.25">
      <c r="A927" s="263">
        <f t="shared" si="14"/>
        <v>913</v>
      </c>
      <c r="B927" s="566" t="s">
        <v>159</v>
      </c>
      <c r="C927" s="566"/>
      <c r="D927" s="567" t="s">
        <v>159</v>
      </c>
      <c r="E927" s="567"/>
      <c r="F927" s="568" t="s">
        <v>162</v>
      </c>
      <c r="G927" s="568"/>
      <c r="H927" s="569"/>
      <c r="I927" s="570"/>
      <c r="J927" s="571"/>
      <c r="K927" s="572" t="s">
        <v>162</v>
      </c>
      <c r="L927" s="573"/>
      <c r="M927" s="574"/>
      <c r="N927" s="575" t="s">
        <v>159</v>
      </c>
      <c r="O927" s="576"/>
      <c r="P927" s="576"/>
      <c r="Q927" s="576"/>
      <c r="R927" s="576"/>
      <c r="S927" s="576"/>
      <c r="T927" s="576"/>
      <c r="U927" s="577"/>
    </row>
    <row r="928" spans="1:21" ht="35.1" customHeight="1" x14ac:dyDescent="0.25">
      <c r="A928" s="263">
        <f t="shared" si="14"/>
        <v>914</v>
      </c>
      <c r="B928" s="578" t="s">
        <v>159</v>
      </c>
      <c r="C928" s="578"/>
      <c r="D928" s="579" t="s">
        <v>159</v>
      </c>
      <c r="E928" s="579"/>
      <c r="F928" s="568" t="s">
        <v>162</v>
      </c>
      <c r="G928" s="568"/>
      <c r="H928" s="580"/>
      <c r="I928" s="581"/>
      <c r="J928" s="582"/>
      <c r="K928" s="572" t="s">
        <v>162</v>
      </c>
      <c r="L928" s="573"/>
      <c r="M928" s="574"/>
      <c r="N928" s="583" t="s">
        <v>159</v>
      </c>
      <c r="O928" s="584"/>
      <c r="P928" s="584"/>
      <c r="Q928" s="584"/>
      <c r="R928" s="584"/>
      <c r="S928" s="584"/>
      <c r="T928" s="584"/>
      <c r="U928" s="585"/>
    </row>
    <row r="929" spans="1:21" ht="35.1" customHeight="1" x14ac:dyDescent="0.25">
      <c r="A929" s="263">
        <f t="shared" si="14"/>
        <v>915</v>
      </c>
      <c r="B929" s="566" t="s">
        <v>159</v>
      </c>
      <c r="C929" s="566"/>
      <c r="D929" s="567" t="s">
        <v>159</v>
      </c>
      <c r="E929" s="567"/>
      <c r="F929" s="568" t="s">
        <v>162</v>
      </c>
      <c r="G929" s="568"/>
      <c r="H929" s="569"/>
      <c r="I929" s="570"/>
      <c r="J929" s="571"/>
      <c r="K929" s="572" t="s">
        <v>162</v>
      </c>
      <c r="L929" s="573"/>
      <c r="M929" s="574"/>
      <c r="N929" s="575" t="s">
        <v>159</v>
      </c>
      <c r="O929" s="576"/>
      <c r="P929" s="576"/>
      <c r="Q929" s="576"/>
      <c r="R929" s="576"/>
      <c r="S929" s="576"/>
      <c r="T929" s="576"/>
      <c r="U929" s="577"/>
    </row>
    <row r="930" spans="1:21" ht="35.1" customHeight="1" x14ac:dyDescent="0.25">
      <c r="A930" s="263">
        <f t="shared" si="14"/>
        <v>916</v>
      </c>
      <c r="B930" s="578" t="s">
        <v>159</v>
      </c>
      <c r="C930" s="578"/>
      <c r="D930" s="579" t="s">
        <v>159</v>
      </c>
      <c r="E930" s="579"/>
      <c r="F930" s="568" t="s">
        <v>162</v>
      </c>
      <c r="G930" s="568"/>
      <c r="H930" s="580"/>
      <c r="I930" s="581"/>
      <c r="J930" s="582"/>
      <c r="K930" s="572" t="s">
        <v>162</v>
      </c>
      <c r="L930" s="573"/>
      <c r="M930" s="574"/>
      <c r="N930" s="583" t="s">
        <v>159</v>
      </c>
      <c r="O930" s="584"/>
      <c r="P930" s="584"/>
      <c r="Q930" s="584"/>
      <c r="R930" s="584"/>
      <c r="S930" s="584"/>
      <c r="T930" s="584"/>
      <c r="U930" s="585"/>
    </row>
    <row r="931" spans="1:21" ht="35.1" customHeight="1" x14ac:dyDescent="0.25">
      <c r="A931" s="263">
        <f t="shared" si="14"/>
        <v>917</v>
      </c>
      <c r="B931" s="566" t="s">
        <v>159</v>
      </c>
      <c r="C931" s="566"/>
      <c r="D931" s="567" t="s">
        <v>159</v>
      </c>
      <c r="E931" s="567"/>
      <c r="F931" s="568" t="s">
        <v>162</v>
      </c>
      <c r="G931" s="568"/>
      <c r="H931" s="569"/>
      <c r="I931" s="570"/>
      <c r="J931" s="571"/>
      <c r="K931" s="572" t="s">
        <v>162</v>
      </c>
      <c r="L931" s="573"/>
      <c r="M931" s="574"/>
      <c r="N931" s="575" t="s">
        <v>159</v>
      </c>
      <c r="O931" s="576"/>
      <c r="P931" s="576"/>
      <c r="Q931" s="576"/>
      <c r="R931" s="576"/>
      <c r="S931" s="576"/>
      <c r="T931" s="576"/>
      <c r="U931" s="577"/>
    </row>
    <row r="932" spans="1:21" ht="35.1" customHeight="1" x14ac:dyDescent="0.25">
      <c r="A932" s="263">
        <f t="shared" si="14"/>
        <v>918</v>
      </c>
      <c r="B932" s="578" t="s">
        <v>159</v>
      </c>
      <c r="C932" s="578"/>
      <c r="D932" s="579" t="s">
        <v>159</v>
      </c>
      <c r="E932" s="579"/>
      <c r="F932" s="568" t="s">
        <v>162</v>
      </c>
      <c r="G932" s="568"/>
      <c r="H932" s="580"/>
      <c r="I932" s="581"/>
      <c r="J932" s="582"/>
      <c r="K932" s="572" t="s">
        <v>162</v>
      </c>
      <c r="L932" s="573"/>
      <c r="M932" s="574"/>
      <c r="N932" s="583" t="s">
        <v>159</v>
      </c>
      <c r="O932" s="584"/>
      <c r="P932" s="584"/>
      <c r="Q932" s="584"/>
      <c r="R932" s="584"/>
      <c r="S932" s="584"/>
      <c r="T932" s="584"/>
      <c r="U932" s="585"/>
    </row>
    <row r="933" spans="1:21" ht="35.1" customHeight="1" x14ac:dyDescent="0.25">
      <c r="A933" s="263">
        <f t="shared" si="14"/>
        <v>919</v>
      </c>
      <c r="B933" s="566" t="s">
        <v>444</v>
      </c>
      <c r="C933" s="566"/>
      <c r="D933" s="567" t="s">
        <v>159</v>
      </c>
      <c r="E933" s="567"/>
      <c r="F933" s="568" t="s">
        <v>162</v>
      </c>
      <c r="G933" s="568"/>
      <c r="H933" s="569"/>
      <c r="I933" s="570"/>
      <c r="J933" s="571"/>
      <c r="K933" s="572" t="s">
        <v>162</v>
      </c>
      <c r="L933" s="573"/>
      <c r="M933" s="574"/>
      <c r="N933" s="575" t="s">
        <v>159</v>
      </c>
      <c r="O933" s="576"/>
      <c r="P933" s="576"/>
      <c r="Q933" s="576"/>
      <c r="R933" s="576"/>
      <c r="S933" s="576"/>
      <c r="T933" s="576"/>
      <c r="U933" s="577"/>
    </row>
    <row r="934" spans="1:21" ht="35.1" customHeight="1" x14ac:dyDescent="0.25">
      <c r="A934" s="263">
        <f t="shared" si="14"/>
        <v>920</v>
      </c>
      <c r="B934" s="578" t="s">
        <v>159</v>
      </c>
      <c r="C934" s="578"/>
      <c r="D934" s="579" t="s">
        <v>159</v>
      </c>
      <c r="E934" s="579"/>
      <c r="F934" s="568" t="s">
        <v>162</v>
      </c>
      <c r="G934" s="568"/>
      <c r="H934" s="580"/>
      <c r="I934" s="581"/>
      <c r="J934" s="582"/>
      <c r="K934" s="572" t="s">
        <v>162</v>
      </c>
      <c r="L934" s="573"/>
      <c r="M934" s="574"/>
      <c r="N934" s="583" t="s">
        <v>159</v>
      </c>
      <c r="O934" s="584"/>
      <c r="P934" s="584"/>
      <c r="Q934" s="584"/>
      <c r="R934" s="584"/>
      <c r="S934" s="584"/>
      <c r="T934" s="584"/>
      <c r="U934" s="585"/>
    </row>
    <row r="935" spans="1:21" ht="35.1" customHeight="1" x14ac:dyDescent="0.25">
      <c r="A935" s="263">
        <f t="shared" si="14"/>
        <v>921</v>
      </c>
      <c r="B935" s="566" t="s">
        <v>159</v>
      </c>
      <c r="C935" s="566"/>
      <c r="D935" s="567" t="s">
        <v>159</v>
      </c>
      <c r="E935" s="567"/>
      <c r="F935" s="568" t="s">
        <v>162</v>
      </c>
      <c r="G935" s="568"/>
      <c r="H935" s="569"/>
      <c r="I935" s="570"/>
      <c r="J935" s="571"/>
      <c r="K935" s="572" t="s">
        <v>162</v>
      </c>
      <c r="L935" s="573"/>
      <c r="M935" s="574"/>
      <c r="N935" s="575" t="s">
        <v>159</v>
      </c>
      <c r="O935" s="576"/>
      <c r="P935" s="576"/>
      <c r="Q935" s="576"/>
      <c r="R935" s="576"/>
      <c r="S935" s="576"/>
      <c r="T935" s="576"/>
      <c r="U935" s="577"/>
    </row>
    <row r="936" spans="1:21" ht="35.1" customHeight="1" x14ac:dyDescent="0.25">
      <c r="A936" s="263">
        <f t="shared" si="14"/>
        <v>922</v>
      </c>
      <c r="B936" s="578" t="s">
        <v>159</v>
      </c>
      <c r="C936" s="578"/>
      <c r="D936" s="579" t="s">
        <v>159</v>
      </c>
      <c r="E936" s="579"/>
      <c r="F936" s="568" t="s">
        <v>162</v>
      </c>
      <c r="G936" s="568"/>
      <c r="H936" s="580"/>
      <c r="I936" s="581"/>
      <c r="J936" s="582"/>
      <c r="K936" s="572" t="s">
        <v>162</v>
      </c>
      <c r="L936" s="573"/>
      <c r="M936" s="574"/>
      <c r="N936" s="583" t="s">
        <v>159</v>
      </c>
      <c r="O936" s="584"/>
      <c r="P936" s="584"/>
      <c r="Q936" s="584"/>
      <c r="R936" s="584"/>
      <c r="S936" s="584"/>
      <c r="T936" s="584"/>
      <c r="U936" s="585"/>
    </row>
    <row r="937" spans="1:21" ht="35.1" customHeight="1" x14ac:dyDescent="0.25">
      <c r="A937" s="263">
        <f t="shared" si="14"/>
        <v>923</v>
      </c>
      <c r="B937" s="566" t="s">
        <v>159</v>
      </c>
      <c r="C937" s="566"/>
      <c r="D937" s="567" t="s">
        <v>159</v>
      </c>
      <c r="E937" s="567"/>
      <c r="F937" s="568" t="s">
        <v>162</v>
      </c>
      <c r="G937" s="568"/>
      <c r="H937" s="569"/>
      <c r="I937" s="570"/>
      <c r="J937" s="571"/>
      <c r="K937" s="572" t="s">
        <v>162</v>
      </c>
      <c r="L937" s="573"/>
      <c r="M937" s="574"/>
      <c r="N937" s="575" t="s">
        <v>159</v>
      </c>
      <c r="O937" s="576"/>
      <c r="P937" s="576"/>
      <c r="Q937" s="576"/>
      <c r="R937" s="576"/>
      <c r="S937" s="576"/>
      <c r="T937" s="576"/>
      <c r="U937" s="577"/>
    </row>
    <row r="938" spans="1:21" ht="35.1" customHeight="1" x14ac:dyDescent="0.25">
      <c r="A938" s="263">
        <f t="shared" si="14"/>
        <v>924</v>
      </c>
      <c r="B938" s="578" t="s">
        <v>159</v>
      </c>
      <c r="C938" s="578"/>
      <c r="D938" s="579" t="s">
        <v>159</v>
      </c>
      <c r="E938" s="579"/>
      <c r="F938" s="568" t="s">
        <v>162</v>
      </c>
      <c r="G938" s="568"/>
      <c r="H938" s="580"/>
      <c r="I938" s="581"/>
      <c r="J938" s="582"/>
      <c r="K938" s="572" t="s">
        <v>162</v>
      </c>
      <c r="L938" s="573"/>
      <c r="M938" s="574"/>
      <c r="N938" s="583" t="s">
        <v>159</v>
      </c>
      <c r="O938" s="584"/>
      <c r="P938" s="584"/>
      <c r="Q938" s="584"/>
      <c r="R938" s="584"/>
      <c r="S938" s="584"/>
      <c r="T938" s="584"/>
      <c r="U938" s="585"/>
    </row>
    <row r="939" spans="1:21" ht="35.1" customHeight="1" x14ac:dyDescent="0.25">
      <c r="A939" s="263">
        <f t="shared" si="14"/>
        <v>925</v>
      </c>
      <c r="B939" s="566" t="s">
        <v>159</v>
      </c>
      <c r="C939" s="566"/>
      <c r="D939" s="567" t="s">
        <v>159</v>
      </c>
      <c r="E939" s="567"/>
      <c r="F939" s="568" t="s">
        <v>162</v>
      </c>
      <c r="G939" s="568"/>
      <c r="H939" s="569"/>
      <c r="I939" s="570"/>
      <c r="J939" s="571"/>
      <c r="K939" s="572" t="s">
        <v>162</v>
      </c>
      <c r="L939" s="573"/>
      <c r="M939" s="574"/>
      <c r="N939" s="575" t="s">
        <v>159</v>
      </c>
      <c r="O939" s="576"/>
      <c r="P939" s="576"/>
      <c r="Q939" s="576"/>
      <c r="R939" s="576"/>
      <c r="S939" s="576"/>
      <c r="T939" s="576"/>
      <c r="U939" s="577"/>
    </row>
    <row r="940" spans="1:21" ht="35.1" customHeight="1" x14ac:dyDescent="0.25">
      <c r="A940" s="263">
        <f t="shared" si="14"/>
        <v>926</v>
      </c>
      <c r="B940" s="578" t="s">
        <v>159</v>
      </c>
      <c r="C940" s="578"/>
      <c r="D940" s="579" t="s">
        <v>159</v>
      </c>
      <c r="E940" s="579"/>
      <c r="F940" s="568" t="s">
        <v>162</v>
      </c>
      <c r="G940" s="568"/>
      <c r="H940" s="580"/>
      <c r="I940" s="581"/>
      <c r="J940" s="582"/>
      <c r="K940" s="572" t="s">
        <v>162</v>
      </c>
      <c r="L940" s="573"/>
      <c r="M940" s="574"/>
      <c r="N940" s="583" t="s">
        <v>159</v>
      </c>
      <c r="O940" s="584"/>
      <c r="P940" s="584"/>
      <c r="Q940" s="584"/>
      <c r="R940" s="584"/>
      <c r="S940" s="584"/>
      <c r="T940" s="584"/>
      <c r="U940" s="585"/>
    </row>
    <row r="941" spans="1:21" ht="35.1" customHeight="1" x14ac:dyDescent="0.25">
      <c r="A941" s="263">
        <f t="shared" si="14"/>
        <v>927</v>
      </c>
      <c r="B941" s="566" t="s">
        <v>450</v>
      </c>
      <c r="C941" s="566"/>
      <c r="D941" s="567" t="s">
        <v>159</v>
      </c>
      <c r="E941" s="567"/>
      <c r="F941" s="568" t="s">
        <v>162</v>
      </c>
      <c r="G941" s="568"/>
      <c r="H941" s="569"/>
      <c r="I941" s="570"/>
      <c r="J941" s="571"/>
      <c r="K941" s="572" t="s">
        <v>162</v>
      </c>
      <c r="L941" s="573"/>
      <c r="M941" s="574"/>
      <c r="N941" s="575" t="s">
        <v>159</v>
      </c>
      <c r="O941" s="576"/>
      <c r="P941" s="576"/>
      <c r="Q941" s="576"/>
      <c r="R941" s="576"/>
      <c r="S941" s="576"/>
      <c r="T941" s="576"/>
      <c r="U941" s="577"/>
    </row>
    <row r="942" spans="1:21" ht="35.1" customHeight="1" x14ac:dyDescent="0.25">
      <c r="A942" s="263">
        <f t="shared" si="14"/>
        <v>928</v>
      </c>
      <c r="B942" s="578" t="s">
        <v>159</v>
      </c>
      <c r="C942" s="578"/>
      <c r="D942" s="579" t="s">
        <v>159</v>
      </c>
      <c r="E942" s="579"/>
      <c r="F942" s="568" t="s">
        <v>162</v>
      </c>
      <c r="G942" s="568"/>
      <c r="H942" s="580"/>
      <c r="I942" s="581"/>
      <c r="J942" s="582"/>
      <c r="K942" s="572" t="s">
        <v>162</v>
      </c>
      <c r="L942" s="573"/>
      <c r="M942" s="574"/>
      <c r="N942" s="583" t="s">
        <v>159</v>
      </c>
      <c r="O942" s="584"/>
      <c r="P942" s="584"/>
      <c r="Q942" s="584"/>
      <c r="R942" s="584"/>
      <c r="S942" s="584"/>
      <c r="T942" s="584"/>
      <c r="U942" s="585"/>
    </row>
    <row r="943" spans="1:21" ht="35.1" customHeight="1" x14ac:dyDescent="0.25">
      <c r="A943" s="263">
        <f t="shared" si="14"/>
        <v>929</v>
      </c>
      <c r="B943" s="566" t="s">
        <v>159</v>
      </c>
      <c r="C943" s="566"/>
      <c r="D943" s="567" t="s">
        <v>159</v>
      </c>
      <c r="E943" s="567"/>
      <c r="F943" s="568" t="s">
        <v>162</v>
      </c>
      <c r="G943" s="568"/>
      <c r="H943" s="569"/>
      <c r="I943" s="570"/>
      <c r="J943" s="571"/>
      <c r="K943" s="572" t="s">
        <v>162</v>
      </c>
      <c r="L943" s="573"/>
      <c r="M943" s="574"/>
      <c r="N943" s="575" t="s">
        <v>159</v>
      </c>
      <c r="O943" s="576"/>
      <c r="P943" s="576"/>
      <c r="Q943" s="576"/>
      <c r="R943" s="576"/>
      <c r="S943" s="576"/>
      <c r="T943" s="576"/>
      <c r="U943" s="577"/>
    </row>
    <row r="944" spans="1:21" ht="35.1" customHeight="1" x14ac:dyDescent="0.25">
      <c r="A944" s="263">
        <f t="shared" si="14"/>
        <v>930</v>
      </c>
      <c r="B944" s="578" t="s">
        <v>442</v>
      </c>
      <c r="C944" s="578"/>
      <c r="D944" s="579" t="s">
        <v>159</v>
      </c>
      <c r="E944" s="579"/>
      <c r="F944" s="568" t="s">
        <v>162</v>
      </c>
      <c r="G944" s="568"/>
      <c r="H944" s="580"/>
      <c r="I944" s="581"/>
      <c r="J944" s="582"/>
      <c r="K944" s="572" t="s">
        <v>162</v>
      </c>
      <c r="L944" s="573"/>
      <c r="M944" s="574"/>
      <c r="N944" s="583" t="s">
        <v>159</v>
      </c>
      <c r="O944" s="584"/>
      <c r="P944" s="584"/>
      <c r="Q944" s="584"/>
      <c r="R944" s="584"/>
      <c r="S944" s="584"/>
      <c r="T944" s="584"/>
      <c r="U944" s="585"/>
    </row>
    <row r="945" spans="1:21" ht="35.1" customHeight="1" x14ac:dyDescent="0.25">
      <c r="A945" s="263">
        <f t="shared" si="14"/>
        <v>931</v>
      </c>
      <c r="B945" s="566" t="s">
        <v>159</v>
      </c>
      <c r="C945" s="566"/>
      <c r="D945" s="567" t="s">
        <v>159</v>
      </c>
      <c r="E945" s="567"/>
      <c r="F945" s="568" t="s">
        <v>162</v>
      </c>
      <c r="G945" s="568"/>
      <c r="H945" s="569"/>
      <c r="I945" s="570"/>
      <c r="J945" s="571"/>
      <c r="K945" s="572" t="s">
        <v>162</v>
      </c>
      <c r="L945" s="573"/>
      <c r="M945" s="574"/>
      <c r="N945" s="575" t="s">
        <v>159</v>
      </c>
      <c r="O945" s="576"/>
      <c r="P945" s="576"/>
      <c r="Q945" s="576"/>
      <c r="R945" s="576"/>
      <c r="S945" s="576"/>
      <c r="T945" s="576"/>
      <c r="U945" s="577"/>
    </row>
    <row r="946" spans="1:21" ht="35.1" customHeight="1" x14ac:dyDescent="0.25">
      <c r="A946" s="263">
        <f t="shared" si="14"/>
        <v>932</v>
      </c>
      <c r="B946" s="578" t="s">
        <v>159</v>
      </c>
      <c r="C946" s="578"/>
      <c r="D946" s="579" t="s">
        <v>159</v>
      </c>
      <c r="E946" s="579"/>
      <c r="F946" s="568" t="s">
        <v>162</v>
      </c>
      <c r="G946" s="568"/>
      <c r="H946" s="580"/>
      <c r="I946" s="581"/>
      <c r="J946" s="582"/>
      <c r="K946" s="572" t="s">
        <v>162</v>
      </c>
      <c r="L946" s="573"/>
      <c r="M946" s="574"/>
      <c r="N946" s="583" t="s">
        <v>159</v>
      </c>
      <c r="O946" s="584"/>
      <c r="P946" s="584"/>
      <c r="Q946" s="584"/>
      <c r="R946" s="584"/>
      <c r="S946" s="584"/>
      <c r="T946" s="584"/>
      <c r="U946" s="585"/>
    </row>
    <row r="947" spans="1:21" ht="35.1" customHeight="1" x14ac:dyDescent="0.25">
      <c r="A947" s="263">
        <f t="shared" si="14"/>
        <v>933</v>
      </c>
      <c r="B947" s="566" t="s">
        <v>159</v>
      </c>
      <c r="C947" s="566"/>
      <c r="D947" s="567" t="s">
        <v>159</v>
      </c>
      <c r="E947" s="567"/>
      <c r="F947" s="568" t="s">
        <v>162</v>
      </c>
      <c r="G947" s="568"/>
      <c r="H947" s="569"/>
      <c r="I947" s="570"/>
      <c r="J947" s="571"/>
      <c r="K947" s="572" t="s">
        <v>162</v>
      </c>
      <c r="L947" s="573"/>
      <c r="M947" s="574"/>
      <c r="N947" s="575" t="s">
        <v>159</v>
      </c>
      <c r="O947" s="576"/>
      <c r="P947" s="576"/>
      <c r="Q947" s="576"/>
      <c r="R947" s="576"/>
      <c r="S947" s="576"/>
      <c r="T947" s="576"/>
      <c r="U947" s="577"/>
    </row>
    <row r="948" spans="1:21" ht="35.1" customHeight="1" x14ac:dyDescent="0.25">
      <c r="A948" s="263">
        <f t="shared" si="14"/>
        <v>934</v>
      </c>
      <c r="B948" s="578" t="s">
        <v>159</v>
      </c>
      <c r="C948" s="578"/>
      <c r="D948" s="579" t="s">
        <v>159</v>
      </c>
      <c r="E948" s="579"/>
      <c r="F948" s="568" t="s">
        <v>162</v>
      </c>
      <c r="G948" s="568"/>
      <c r="H948" s="580"/>
      <c r="I948" s="581"/>
      <c r="J948" s="582"/>
      <c r="K948" s="572" t="s">
        <v>162</v>
      </c>
      <c r="L948" s="573"/>
      <c r="M948" s="574"/>
      <c r="N948" s="583" t="s">
        <v>159</v>
      </c>
      <c r="O948" s="584"/>
      <c r="P948" s="584"/>
      <c r="Q948" s="584"/>
      <c r="R948" s="584"/>
      <c r="S948" s="584"/>
      <c r="T948" s="584"/>
      <c r="U948" s="585"/>
    </row>
    <row r="949" spans="1:21" ht="35.1" customHeight="1" x14ac:dyDescent="0.25">
      <c r="A949" s="263">
        <f t="shared" si="14"/>
        <v>935</v>
      </c>
      <c r="B949" s="566" t="s">
        <v>159</v>
      </c>
      <c r="C949" s="566"/>
      <c r="D949" s="567" t="s">
        <v>159</v>
      </c>
      <c r="E949" s="567"/>
      <c r="F949" s="568" t="s">
        <v>162</v>
      </c>
      <c r="G949" s="568"/>
      <c r="H949" s="569"/>
      <c r="I949" s="570"/>
      <c r="J949" s="571"/>
      <c r="K949" s="572" t="s">
        <v>162</v>
      </c>
      <c r="L949" s="573"/>
      <c r="M949" s="574"/>
      <c r="N949" s="575" t="s">
        <v>159</v>
      </c>
      <c r="O949" s="576"/>
      <c r="P949" s="576"/>
      <c r="Q949" s="576"/>
      <c r="R949" s="576"/>
      <c r="S949" s="576"/>
      <c r="T949" s="576"/>
      <c r="U949" s="577"/>
    </row>
    <row r="950" spans="1:21" ht="35.1" customHeight="1" x14ac:dyDescent="0.25">
      <c r="A950" s="263">
        <f t="shared" si="14"/>
        <v>936</v>
      </c>
      <c r="B950" s="578" t="s">
        <v>446</v>
      </c>
      <c r="C950" s="578"/>
      <c r="D950" s="579" t="s">
        <v>159</v>
      </c>
      <c r="E950" s="579"/>
      <c r="F950" s="568" t="s">
        <v>162</v>
      </c>
      <c r="G950" s="568"/>
      <c r="H950" s="580"/>
      <c r="I950" s="581"/>
      <c r="J950" s="582"/>
      <c r="K950" s="572" t="s">
        <v>162</v>
      </c>
      <c r="L950" s="573"/>
      <c r="M950" s="574"/>
      <c r="N950" s="583" t="s">
        <v>159</v>
      </c>
      <c r="O950" s="584"/>
      <c r="P950" s="584"/>
      <c r="Q950" s="584"/>
      <c r="R950" s="584"/>
      <c r="S950" s="584"/>
      <c r="T950" s="584"/>
      <c r="U950" s="585"/>
    </row>
    <row r="951" spans="1:21" ht="35.1" customHeight="1" x14ac:dyDescent="0.25">
      <c r="A951" s="263">
        <f t="shared" si="14"/>
        <v>937</v>
      </c>
      <c r="B951" s="566" t="s">
        <v>159</v>
      </c>
      <c r="C951" s="566"/>
      <c r="D951" s="567" t="s">
        <v>159</v>
      </c>
      <c r="E951" s="567"/>
      <c r="F951" s="568" t="s">
        <v>162</v>
      </c>
      <c r="G951" s="568"/>
      <c r="H951" s="569"/>
      <c r="I951" s="570"/>
      <c r="J951" s="571"/>
      <c r="K951" s="572" t="s">
        <v>162</v>
      </c>
      <c r="L951" s="573"/>
      <c r="M951" s="574"/>
      <c r="N951" s="575" t="s">
        <v>159</v>
      </c>
      <c r="O951" s="576"/>
      <c r="P951" s="576"/>
      <c r="Q951" s="576"/>
      <c r="R951" s="576"/>
      <c r="S951" s="576"/>
      <c r="T951" s="576"/>
      <c r="U951" s="577"/>
    </row>
    <row r="952" spans="1:21" ht="35.1" customHeight="1" x14ac:dyDescent="0.25">
      <c r="A952" s="263">
        <f t="shared" si="14"/>
        <v>938</v>
      </c>
      <c r="B952" s="578" t="s">
        <v>159</v>
      </c>
      <c r="C952" s="578"/>
      <c r="D952" s="579" t="s">
        <v>159</v>
      </c>
      <c r="E952" s="579"/>
      <c r="F952" s="568" t="s">
        <v>162</v>
      </c>
      <c r="G952" s="568"/>
      <c r="H952" s="580"/>
      <c r="I952" s="581"/>
      <c r="J952" s="582"/>
      <c r="K952" s="572" t="s">
        <v>162</v>
      </c>
      <c r="L952" s="573"/>
      <c r="M952" s="574"/>
      <c r="N952" s="583" t="s">
        <v>159</v>
      </c>
      <c r="O952" s="584"/>
      <c r="P952" s="584"/>
      <c r="Q952" s="584"/>
      <c r="R952" s="584"/>
      <c r="S952" s="584"/>
      <c r="T952" s="584"/>
      <c r="U952" s="585"/>
    </row>
    <row r="953" spans="1:21" ht="35.1" customHeight="1" x14ac:dyDescent="0.25">
      <c r="A953" s="263">
        <f t="shared" si="14"/>
        <v>939</v>
      </c>
      <c r="B953" s="566" t="s">
        <v>159</v>
      </c>
      <c r="C953" s="566"/>
      <c r="D953" s="567" t="s">
        <v>159</v>
      </c>
      <c r="E953" s="567"/>
      <c r="F953" s="568" t="s">
        <v>162</v>
      </c>
      <c r="G953" s="568"/>
      <c r="H953" s="569"/>
      <c r="I953" s="570"/>
      <c r="J953" s="571"/>
      <c r="K953" s="572" t="s">
        <v>162</v>
      </c>
      <c r="L953" s="573"/>
      <c r="M953" s="574"/>
      <c r="N953" s="575" t="s">
        <v>159</v>
      </c>
      <c r="O953" s="576"/>
      <c r="P953" s="576"/>
      <c r="Q953" s="576"/>
      <c r="R953" s="576"/>
      <c r="S953" s="576"/>
      <c r="T953" s="576"/>
      <c r="U953" s="577"/>
    </row>
    <row r="954" spans="1:21" ht="35.1" customHeight="1" x14ac:dyDescent="0.25">
      <c r="A954" s="263">
        <f t="shared" si="14"/>
        <v>940</v>
      </c>
      <c r="B954" s="578" t="s">
        <v>159</v>
      </c>
      <c r="C954" s="578"/>
      <c r="D954" s="579" t="s">
        <v>159</v>
      </c>
      <c r="E954" s="579"/>
      <c r="F954" s="568" t="s">
        <v>162</v>
      </c>
      <c r="G954" s="568"/>
      <c r="H954" s="580"/>
      <c r="I954" s="581"/>
      <c r="J954" s="582"/>
      <c r="K954" s="572" t="s">
        <v>162</v>
      </c>
      <c r="L954" s="573"/>
      <c r="M954" s="574"/>
      <c r="N954" s="583" t="s">
        <v>159</v>
      </c>
      <c r="O954" s="584"/>
      <c r="P954" s="584"/>
      <c r="Q954" s="584"/>
      <c r="R954" s="584"/>
      <c r="S954" s="584"/>
      <c r="T954" s="584"/>
      <c r="U954" s="585"/>
    </row>
    <row r="955" spans="1:21" ht="35.1" customHeight="1" x14ac:dyDescent="0.25">
      <c r="A955" s="263">
        <f t="shared" si="14"/>
        <v>941</v>
      </c>
      <c r="B955" s="566" t="s">
        <v>159</v>
      </c>
      <c r="C955" s="566"/>
      <c r="D955" s="567" t="s">
        <v>159</v>
      </c>
      <c r="E955" s="567"/>
      <c r="F955" s="568" t="s">
        <v>162</v>
      </c>
      <c r="G955" s="568"/>
      <c r="H955" s="569"/>
      <c r="I955" s="570"/>
      <c r="J955" s="571"/>
      <c r="K955" s="572" t="s">
        <v>162</v>
      </c>
      <c r="L955" s="573"/>
      <c r="M955" s="574"/>
      <c r="N955" s="575" t="s">
        <v>159</v>
      </c>
      <c r="O955" s="576"/>
      <c r="P955" s="576"/>
      <c r="Q955" s="576"/>
      <c r="R955" s="576"/>
      <c r="S955" s="576"/>
      <c r="T955" s="576"/>
      <c r="U955" s="577"/>
    </row>
    <row r="956" spans="1:21" ht="35.1" customHeight="1" x14ac:dyDescent="0.25">
      <c r="A956" s="263">
        <f t="shared" si="14"/>
        <v>942</v>
      </c>
      <c r="B956" s="578" t="s">
        <v>159</v>
      </c>
      <c r="C956" s="578"/>
      <c r="D956" s="579" t="s">
        <v>159</v>
      </c>
      <c r="E956" s="579"/>
      <c r="F956" s="568" t="s">
        <v>162</v>
      </c>
      <c r="G956" s="568"/>
      <c r="H956" s="580"/>
      <c r="I956" s="581"/>
      <c r="J956" s="582"/>
      <c r="K956" s="572" t="s">
        <v>162</v>
      </c>
      <c r="L956" s="573"/>
      <c r="M956" s="574"/>
      <c r="N956" s="583" t="s">
        <v>159</v>
      </c>
      <c r="O956" s="584"/>
      <c r="P956" s="584"/>
      <c r="Q956" s="584"/>
      <c r="R956" s="584"/>
      <c r="S956" s="584"/>
      <c r="T956" s="584"/>
      <c r="U956" s="585"/>
    </row>
    <row r="957" spans="1:21" ht="35.1" customHeight="1" x14ac:dyDescent="0.25">
      <c r="A957" s="263">
        <f t="shared" si="14"/>
        <v>943</v>
      </c>
      <c r="B957" s="566" t="s">
        <v>159</v>
      </c>
      <c r="C957" s="566"/>
      <c r="D957" s="567" t="s">
        <v>159</v>
      </c>
      <c r="E957" s="567"/>
      <c r="F957" s="568" t="s">
        <v>162</v>
      </c>
      <c r="G957" s="568"/>
      <c r="H957" s="569"/>
      <c r="I957" s="570"/>
      <c r="J957" s="571"/>
      <c r="K957" s="572" t="s">
        <v>162</v>
      </c>
      <c r="L957" s="573"/>
      <c r="M957" s="574"/>
      <c r="N957" s="575" t="s">
        <v>159</v>
      </c>
      <c r="O957" s="576"/>
      <c r="P957" s="576"/>
      <c r="Q957" s="576"/>
      <c r="R957" s="576"/>
      <c r="S957" s="576"/>
      <c r="T957" s="576"/>
      <c r="U957" s="577"/>
    </row>
    <row r="958" spans="1:21" ht="35.1" customHeight="1" x14ac:dyDescent="0.25">
      <c r="A958" s="263">
        <f t="shared" si="14"/>
        <v>944</v>
      </c>
      <c r="B958" s="578" t="s">
        <v>159</v>
      </c>
      <c r="C958" s="578"/>
      <c r="D958" s="579" t="s">
        <v>159</v>
      </c>
      <c r="E958" s="579"/>
      <c r="F958" s="568" t="s">
        <v>162</v>
      </c>
      <c r="G958" s="568"/>
      <c r="H958" s="580"/>
      <c r="I958" s="581"/>
      <c r="J958" s="582"/>
      <c r="K958" s="572" t="s">
        <v>162</v>
      </c>
      <c r="L958" s="573"/>
      <c r="M958" s="574"/>
      <c r="N958" s="583" t="s">
        <v>159</v>
      </c>
      <c r="O958" s="584"/>
      <c r="P958" s="584"/>
      <c r="Q958" s="584"/>
      <c r="R958" s="584"/>
      <c r="S958" s="584"/>
      <c r="T958" s="584"/>
      <c r="U958" s="585"/>
    </row>
    <row r="959" spans="1:21" ht="35.1" customHeight="1" x14ac:dyDescent="0.25">
      <c r="A959" s="263">
        <f t="shared" si="14"/>
        <v>945</v>
      </c>
      <c r="B959" s="566" t="s">
        <v>159</v>
      </c>
      <c r="C959" s="566"/>
      <c r="D959" s="567" t="s">
        <v>159</v>
      </c>
      <c r="E959" s="567"/>
      <c r="F959" s="568" t="s">
        <v>162</v>
      </c>
      <c r="G959" s="568"/>
      <c r="H959" s="569"/>
      <c r="I959" s="570"/>
      <c r="J959" s="571"/>
      <c r="K959" s="572" t="s">
        <v>162</v>
      </c>
      <c r="L959" s="573"/>
      <c r="M959" s="574"/>
      <c r="N959" s="575" t="s">
        <v>159</v>
      </c>
      <c r="O959" s="576"/>
      <c r="P959" s="576"/>
      <c r="Q959" s="576"/>
      <c r="R959" s="576"/>
      <c r="S959" s="576"/>
      <c r="T959" s="576"/>
      <c r="U959" s="577"/>
    </row>
    <row r="960" spans="1:21" ht="35.1" customHeight="1" x14ac:dyDescent="0.25">
      <c r="A960" s="263">
        <f t="shared" si="14"/>
        <v>946</v>
      </c>
      <c r="B960" s="578" t="s">
        <v>159</v>
      </c>
      <c r="C960" s="578"/>
      <c r="D960" s="579" t="s">
        <v>159</v>
      </c>
      <c r="E960" s="579"/>
      <c r="F960" s="568" t="s">
        <v>162</v>
      </c>
      <c r="G960" s="568"/>
      <c r="H960" s="580"/>
      <c r="I960" s="581"/>
      <c r="J960" s="582"/>
      <c r="K960" s="572" t="s">
        <v>162</v>
      </c>
      <c r="L960" s="573"/>
      <c r="M960" s="574"/>
      <c r="N960" s="583" t="s">
        <v>159</v>
      </c>
      <c r="O960" s="584"/>
      <c r="P960" s="584"/>
      <c r="Q960" s="584"/>
      <c r="R960" s="584"/>
      <c r="S960" s="584"/>
      <c r="T960" s="584"/>
      <c r="U960" s="585"/>
    </row>
    <row r="961" spans="1:21" ht="35.1" customHeight="1" x14ac:dyDescent="0.25">
      <c r="A961" s="263">
        <f t="shared" si="14"/>
        <v>947</v>
      </c>
      <c r="B961" s="566" t="s">
        <v>159</v>
      </c>
      <c r="C961" s="566"/>
      <c r="D961" s="567" t="s">
        <v>159</v>
      </c>
      <c r="E961" s="567"/>
      <c r="F961" s="568" t="s">
        <v>162</v>
      </c>
      <c r="G961" s="568"/>
      <c r="H961" s="569"/>
      <c r="I961" s="570"/>
      <c r="J961" s="571"/>
      <c r="K961" s="572" t="s">
        <v>162</v>
      </c>
      <c r="L961" s="573"/>
      <c r="M961" s="574"/>
      <c r="N961" s="575" t="s">
        <v>159</v>
      </c>
      <c r="O961" s="576"/>
      <c r="P961" s="576"/>
      <c r="Q961" s="576"/>
      <c r="R961" s="576"/>
      <c r="S961" s="576"/>
      <c r="T961" s="576"/>
      <c r="U961" s="577"/>
    </row>
    <row r="962" spans="1:21" ht="35.1" customHeight="1" x14ac:dyDescent="0.25">
      <c r="A962" s="263">
        <f t="shared" si="14"/>
        <v>948</v>
      </c>
      <c r="B962" s="578" t="s">
        <v>445</v>
      </c>
      <c r="C962" s="578"/>
      <c r="D962" s="579" t="s">
        <v>159</v>
      </c>
      <c r="E962" s="579"/>
      <c r="F962" s="568" t="s">
        <v>162</v>
      </c>
      <c r="G962" s="568"/>
      <c r="H962" s="580"/>
      <c r="I962" s="581"/>
      <c r="J962" s="582"/>
      <c r="K962" s="572" t="s">
        <v>162</v>
      </c>
      <c r="L962" s="573"/>
      <c r="M962" s="574"/>
      <c r="N962" s="583" t="s">
        <v>159</v>
      </c>
      <c r="O962" s="584"/>
      <c r="P962" s="584"/>
      <c r="Q962" s="584"/>
      <c r="R962" s="584"/>
      <c r="S962" s="584"/>
      <c r="T962" s="584"/>
      <c r="U962" s="585"/>
    </row>
    <row r="963" spans="1:21" ht="35.1" customHeight="1" x14ac:dyDescent="0.25">
      <c r="A963" s="263">
        <f t="shared" si="14"/>
        <v>949</v>
      </c>
      <c r="B963" s="566" t="s">
        <v>159</v>
      </c>
      <c r="C963" s="566"/>
      <c r="D963" s="567" t="s">
        <v>159</v>
      </c>
      <c r="E963" s="567"/>
      <c r="F963" s="568" t="s">
        <v>162</v>
      </c>
      <c r="G963" s="568"/>
      <c r="H963" s="569"/>
      <c r="I963" s="570"/>
      <c r="J963" s="571"/>
      <c r="K963" s="572" t="s">
        <v>162</v>
      </c>
      <c r="L963" s="573"/>
      <c r="M963" s="574"/>
      <c r="N963" s="575" t="s">
        <v>159</v>
      </c>
      <c r="O963" s="576"/>
      <c r="P963" s="576"/>
      <c r="Q963" s="576"/>
      <c r="R963" s="576"/>
      <c r="S963" s="576"/>
      <c r="T963" s="576"/>
      <c r="U963" s="577"/>
    </row>
    <row r="964" spans="1:21" ht="35.1" customHeight="1" x14ac:dyDescent="0.25">
      <c r="A964" s="263">
        <f t="shared" si="14"/>
        <v>950</v>
      </c>
      <c r="B964" s="578" t="s">
        <v>159</v>
      </c>
      <c r="C964" s="578"/>
      <c r="D964" s="579" t="s">
        <v>159</v>
      </c>
      <c r="E964" s="579"/>
      <c r="F964" s="568" t="s">
        <v>162</v>
      </c>
      <c r="G964" s="568"/>
      <c r="H964" s="580"/>
      <c r="I964" s="581"/>
      <c r="J964" s="582"/>
      <c r="K964" s="572" t="s">
        <v>162</v>
      </c>
      <c r="L964" s="573"/>
      <c r="M964" s="574"/>
      <c r="N964" s="583" t="s">
        <v>159</v>
      </c>
      <c r="O964" s="584"/>
      <c r="P964" s="584"/>
      <c r="Q964" s="584"/>
      <c r="R964" s="584"/>
      <c r="S964" s="584"/>
      <c r="T964" s="584"/>
      <c r="U964" s="585"/>
    </row>
    <row r="965" spans="1:21" ht="35.1" customHeight="1" x14ac:dyDescent="0.25">
      <c r="A965" s="263">
        <f t="shared" si="14"/>
        <v>951</v>
      </c>
      <c r="B965" s="566" t="s">
        <v>159</v>
      </c>
      <c r="C965" s="566"/>
      <c r="D965" s="567" t="s">
        <v>159</v>
      </c>
      <c r="E965" s="567"/>
      <c r="F965" s="568" t="s">
        <v>162</v>
      </c>
      <c r="G965" s="568"/>
      <c r="H965" s="569"/>
      <c r="I965" s="570"/>
      <c r="J965" s="571"/>
      <c r="K965" s="572" t="s">
        <v>162</v>
      </c>
      <c r="L965" s="573"/>
      <c r="M965" s="574"/>
      <c r="N965" s="575" t="s">
        <v>159</v>
      </c>
      <c r="O965" s="576"/>
      <c r="P965" s="576"/>
      <c r="Q965" s="576"/>
      <c r="R965" s="576"/>
      <c r="S965" s="576"/>
      <c r="T965" s="576"/>
      <c r="U965" s="577"/>
    </row>
    <row r="966" spans="1:21" ht="35.1" customHeight="1" x14ac:dyDescent="0.25">
      <c r="A966" s="263">
        <f t="shared" si="14"/>
        <v>952</v>
      </c>
      <c r="B966" s="578" t="s">
        <v>159</v>
      </c>
      <c r="C966" s="578"/>
      <c r="D966" s="579" t="s">
        <v>159</v>
      </c>
      <c r="E966" s="579"/>
      <c r="F966" s="568" t="s">
        <v>162</v>
      </c>
      <c r="G966" s="568"/>
      <c r="H966" s="580"/>
      <c r="I966" s="581"/>
      <c r="J966" s="582"/>
      <c r="K966" s="572" t="s">
        <v>162</v>
      </c>
      <c r="L966" s="573"/>
      <c r="M966" s="574"/>
      <c r="N966" s="583" t="s">
        <v>159</v>
      </c>
      <c r="O966" s="584"/>
      <c r="P966" s="584"/>
      <c r="Q966" s="584"/>
      <c r="R966" s="584"/>
      <c r="S966" s="584"/>
      <c r="T966" s="584"/>
      <c r="U966" s="585"/>
    </row>
    <row r="967" spans="1:21" ht="35.1" customHeight="1" x14ac:dyDescent="0.25">
      <c r="A967" s="263">
        <f t="shared" si="14"/>
        <v>953</v>
      </c>
      <c r="B967" s="566" t="s">
        <v>159</v>
      </c>
      <c r="C967" s="566"/>
      <c r="D967" s="567" t="s">
        <v>159</v>
      </c>
      <c r="E967" s="567"/>
      <c r="F967" s="568" t="s">
        <v>162</v>
      </c>
      <c r="G967" s="568"/>
      <c r="H967" s="569"/>
      <c r="I967" s="570"/>
      <c r="J967" s="571"/>
      <c r="K967" s="572" t="s">
        <v>162</v>
      </c>
      <c r="L967" s="573"/>
      <c r="M967" s="574"/>
      <c r="N967" s="575" t="s">
        <v>159</v>
      </c>
      <c r="O967" s="576"/>
      <c r="P967" s="576"/>
      <c r="Q967" s="576"/>
      <c r="R967" s="576"/>
      <c r="S967" s="576"/>
      <c r="T967" s="576"/>
      <c r="U967" s="577"/>
    </row>
    <row r="968" spans="1:21" ht="35.1" customHeight="1" x14ac:dyDescent="0.25">
      <c r="A968" s="263">
        <f t="shared" si="14"/>
        <v>954</v>
      </c>
      <c r="B968" s="578" t="s">
        <v>449</v>
      </c>
      <c r="C968" s="578"/>
      <c r="D968" s="579" t="s">
        <v>159</v>
      </c>
      <c r="E968" s="579"/>
      <c r="F968" s="568" t="s">
        <v>162</v>
      </c>
      <c r="G968" s="568"/>
      <c r="H968" s="580"/>
      <c r="I968" s="581"/>
      <c r="J968" s="582"/>
      <c r="K968" s="572" t="s">
        <v>162</v>
      </c>
      <c r="L968" s="573"/>
      <c r="M968" s="574"/>
      <c r="N968" s="583" t="s">
        <v>159</v>
      </c>
      <c r="O968" s="584"/>
      <c r="P968" s="584"/>
      <c r="Q968" s="584"/>
      <c r="R968" s="584"/>
      <c r="S968" s="584"/>
      <c r="T968" s="584"/>
      <c r="U968" s="585"/>
    </row>
    <row r="969" spans="1:21" ht="35.1" customHeight="1" x14ac:dyDescent="0.25">
      <c r="A969" s="263">
        <f t="shared" si="14"/>
        <v>955</v>
      </c>
      <c r="B969" s="566" t="s">
        <v>159</v>
      </c>
      <c r="C969" s="566"/>
      <c r="D969" s="567" t="s">
        <v>159</v>
      </c>
      <c r="E969" s="567"/>
      <c r="F969" s="568" t="s">
        <v>162</v>
      </c>
      <c r="G969" s="568"/>
      <c r="H969" s="569"/>
      <c r="I969" s="570"/>
      <c r="J969" s="571"/>
      <c r="K969" s="572" t="s">
        <v>162</v>
      </c>
      <c r="L969" s="573"/>
      <c r="M969" s="574"/>
      <c r="N969" s="575" t="s">
        <v>159</v>
      </c>
      <c r="O969" s="576"/>
      <c r="P969" s="576"/>
      <c r="Q969" s="576"/>
      <c r="R969" s="576"/>
      <c r="S969" s="576"/>
      <c r="T969" s="576"/>
      <c r="U969" s="577"/>
    </row>
    <row r="970" spans="1:21" ht="35.1" customHeight="1" x14ac:dyDescent="0.25">
      <c r="A970" s="263">
        <f t="shared" si="14"/>
        <v>956</v>
      </c>
      <c r="B970" s="578" t="s">
        <v>159</v>
      </c>
      <c r="C970" s="578"/>
      <c r="D970" s="579" t="s">
        <v>159</v>
      </c>
      <c r="E970" s="579"/>
      <c r="F970" s="568" t="s">
        <v>162</v>
      </c>
      <c r="G970" s="568"/>
      <c r="H970" s="580"/>
      <c r="I970" s="581"/>
      <c r="J970" s="582"/>
      <c r="K970" s="572" t="s">
        <v>162</v>
      </c>
      <c r="L970" s="573"/>
      <c r="M970" s="574"/>
      <c r="N970" s="583" t="s">
        <v>159</v>
      </c>
      <c r="O970" s="584"/>
      <c r="P970" s="584"/>
      <c r="Q970" s="584"/>
      <c r="R970" s="584"/>
      <c r="S970" s="584"/>
      <c r="T970" s="584"/>
      <c r="U970" s="585"/>
    </row>
    <row r="971" spans="1:21" ht="35.1" customHeight="1" x14ac:dyDescent="0.25">
      <c r="A971" s="263">
        <f t="shared" si="14"/>
        <v>957</v>
      </c>
      <c r="B971" s="566" t="s">
        <v>159</v>
      </c>
      <c r="C971" s="566"/>
      <c r="D971" s="567" t="s">
        <v>159</v>
      </c>
      <c r="E971" s="567"/>
      <c r="F971" s="568" t="s">
        <v>162</v>
      </c>
      <c r="G971" s="568"/>
      <c r="H971" s="569"/>
      <c r="I971" s="570"/>
      <c r="J971" s="571"/>
      <c r="K971" s="572" t="s">
        <v>162</v>
      </c>
      <c r="L971" s="573"/>
      <c r="M971" s="574"/>
      <c r="N971" s="575" t="s">
        <v>159</v>
      </c>
      <c r="O971" s="576"/>
      <c r="P971" s="576"/>
      <c r="Q971" s="576"/>
      <c r="R971" s="576"/>
      <c r="S971" s="576"/>
      <c r="T971" s="576"/>
      <c r="U971" s="577"/>
    </row>
    <row r="972" spans="1:21" ht="35.1" customHeight="1" x14ac:dyDescent="0.25">
      <c r="A972" s="263">
        <f t="shared" si="14"/>
        <v>958</v>
      </c>
      <c r="B972" s="578" t="s">
        <v>159</v>
      </c>
      <c r="C972" s="578"/>
      <c r="D972" s="579" t="s">
        <v>159</v>
      </c>
      <c r="E972" s="579"/>
      <c r="F972" s="568" t="s">
        <v>162</v>
      </c>
      <c r="G972" s="568"/>
      <c r="H972" s="580"/>
      <c r="I972" s="581"/>
      <c r="J972" s="582"/>
      <c r="K972" s="572" t="s">
        <v>162</v>
      </c>
      <c r="L972" s="573"/>
      <c r="M972" s="574"/>
      <c r="N972" s="583" t="s">
        <v>159</v>
      </c>
      <c r="O972" s="584"/>
      <c r="P972" s="584"/>
      <c r="Q972" s="584"/>
      <c r="R972" s="584"/>
      <c r="S972" s="584"/>
      <c r="T972" s="584"/>
      <c r="U972" s="585"/>
    </row>
    <row r="973" spans="1:21" ht="35.1" customHeight="1" x14ac:dyDescent="0.25">
      <c r="A973" s="263">
        <f t="shared" si="14"/>
        <v>959</v>
      </c>
      <c r="B973" s="566" t="s">
        <v>443</v>
      </c>
      <c r="C973" s="566"/>
      <c r="D973" s="567" t="s">
        <v>159</v>
      </c>
      <c r="E973" s="567"/>
      <c r="F973" s="568" t="s">
        <v>162</v>
      </c>
      <c r="G973" s="568"/>
      <c r="H973" s="569"/>
      <c r="I973" s="570"/>
      <c r="J973" s="571"/>
      <c r="K973" s="572" t="s">
        <v>162</v>
      </c>
      <c r="L973" s="573"/>
      <c r="M973" s="574"/>
      <c r="N973" s="575" t="s">
        <v>159</v>
      </c>
      <c r="O973" s="576"/>
      <c r="P973" s="576"/>
      <c r="Q973" s="576"/>
      <c r="R973" s="576"/>
      <c r="S973" s="576"/>
      <c r="T973" s="576"/>
      <c r="U973" s="577"/>
    </row>
    <row r="974" spans="1:21" ht="35.1" customHeight="1" x14ac:dyDescent="0.25">
      <c r="A974" s="263">
        <f t="shared" si="14"/>
        <v>960</v>
      </c>
      <c r="B974" s="578" t="s">
        <v>159</v>
      </c>
      <c r="C974" s="578"/>
      <c r="D974" s="579" t="s">
        <v>159</v>
      </c>
      <c r="E974" s="579"/>
      <c r="F974" s="568" t="s">
        <v>162</v>
      </c>
      <c r="G974" s="568"/>
      <c r="H974" s="580"/>
      <c r="I974" s="581"/>
      <c r="J974" s="582"/>
      <c r="K974" s="572" t="s">
        <v>162</v>
      </c>
      <c r="L974" s="573"/>
      <c r="M974" s="574"/>
      <c r="N974" s="583" t="s">
        <v>159</v>
      </c>
      <c r="O974" s="584"/>
      <c r="P974" s="584"/>
      <c r="Q974" s="584"/>
      <c r="R974" s="584"/>
      <c r="S974" s="584"/>
      <c r="T974" s="584"/>
      <c r="U974" s="585"/>
    </row>
    <row r="975" spans="1:21" ht="35.1" customHeight="1" x14ac:dyDescent="0.25">
      <c r="A975" s="263">
        <f t="shared" ref="A975:A1038" si="15">ROW(A961)</f>
        <v>961</v>
      </c>
      <c r="B975" s="566" t="s">
        <v>159</v>
      </c>
      <c r="C975" s="566"/>
      <c r="D975" s="567" t="s">
        <v>159</v>
      </c>
      <c r="E975" s="567"/>
      <c r="F975" s="568" t="s">
        <v>162</v>
      </c>
      <c r="G975" s="568"/>
      <c r="H975" s="569"/>
      <c r="I975" s="570"/>
      <c r="J975" s="571"/>
      <c r="K975" s="572" t="s">
        <v>162</v>
      </c>
      <c r="L975" s="573"/>
      <c r="M975" s="574"/>
      <c r="N975" s="575" t="s">
        <v>159</v>
      </c>
      <c r="O975" s="576"/>
      <c r="P975" s="576"/>
      <c r="Q975" s="576"/>
      <c r="R975" s="576"/>
      <c r="S975" s="576"/>
      <c r="T975" s="576"/>
      <c r="U975" s="577"/>
    </row>
    <row r="976" spans="1:21" ht="35.1" customHeight="1" x14ac:dyDescent="0.25">
      <c r="A976" s="263">
        <f t="shared" si="15"/>
        <v>962</v>
      </c>
      <c r="B976" s="578" t="s">
        <v>159</v>
      </c>
      <c r="C976" s="578"/>
      <c r="D976" s="579" t="s">
        <v>159</v>
      </c>
      <c r="E976" s="579"/>
      <c r="F976" s="568" t="s">
        <v>162</v>
      </c>
      <c r="G976" s="568"/>
      <c r="H976" s="580"/>
      <c r="I976" s="581"/>
      <c r="J976" s="582"/>
      <c r="K976" s="572" t="s">
        <v>162</v>
      </c>
      <c r="L976" s="573"/>
      <c r="M976" s="574"/>
      <c r="N976" s="583" t="s">
        <v>159</v>
      </c>
      <c r="O976" s="584"/>
      <c r="P976" s="584"/>
      <c r="Q976" s="584"/>
      <c r="R976" s="584"/>
      <c r="S976" s="584"/>
      <c r="T976" s="584"/>
      <c r="U976" s="585"/>
    </row>
    <row r="977" spans="1:21" ht="35.1" customHeight="1" x14ac:dyDescent="0.25">
      <c r="A977" s="263">
        <f t="shared" si="15"/>
        <v>963</v>
      </c>
      <c r="B977" s="566" t="s">
        <v>159</v>
      </c>
      <c r="C977" s="566"/>
      <c r="D977" s="567" t="s">
        <v>159</v>
      </c>
      <c r="E977" s="567"/>
      <c r="F977" s="568" t="s">
        <v>162</v>
      </c>
      <c r="G977" s="568"/>
      <c r="H977" s="569"/>
      <c r="I977" s="570"/>
      <c r="J977" s="571"/>
      <c r="K977" s="572" t="s">
        <v>162</v>
      </c>
      <c r="L977" s="573"/>
      <c r="M977" s="574"/>
      <c r="N977" s="575" t="s">
        <v>159</v>
      </c>
      <c r="O977" s="576"/>
      <c r="P977" s="576"/>
      <c r="Q977" s="576"/>
      <c r="R977" s="576"/>
      <c r="S977" s="576"/>
      <c r="T977" s="576"/>
      <c r="U977" s="577"/>
    </row>
    <row r="978" spans="1:21" ht="35.1" customHeight="1" x14ac:dyDescent="0.25">
      <c r="A978" s="263">
        <f t="shared" si="15"/>
        <v>964</v>
      </c>
      <c r="B978" s="578" t="s">
        <v>446</v>
      </c>
      <c r="C978" s="578"/>
      <c r="D978" s="579" t="s">
        <v>159</v>
      </c>
      <c r="E978" s="579"/>
      <c r="F978" s="568" t="s">
        <v>162</v>
      </c>
      <c r="G978" s="568"/>
      <c r="H978" s="580"/>
      <c r="I978" s="581"/>
      <c r="J978" s="582"/>
      <c r="K978" s="572" t="s">
        <v>162</v>
      </c>
      <c r="L978" s="573"/>
      <c r="M978" s="574"/>
      <c r="N978" s="583" t="s">
        <v>159</v>
      </c>
      <c r="O978" s="584"/>
      <c r="P978" s="584"/>
      <c r="Q978" s="584"/>
      <c r="R978" s="584"/>
      <c r="S978" s="584"/>
      <c r="T978" s="584"/>
      <c r="U978" s="585"/>
    </row>
    <row r="979" spans="1:21" ht="35.1" customHeight="1" x14ac:dyDescent="0.25">
      <c r="A979" s="263">
        <f t="shared" si="15"/>
        <v>965</v>
      </c>
      <c r="B979" s="566" t="s">
        <v>159</v>
      </c>
      <c r="C979" s="566"/>
      <c r="D979" s="567" t="s">
        <v>159</v>
      </c>
      <c r="E979" s="567"/>
      <c r="F979" s="568" t="s">
        <v>162</v>
      </c>
      <c r="G979" s="568"/>
      <c r="H979" s="569"/>
      <c r="I979" s="570"/>
      <c r="J979" s="571"/>
      <c r="K979" s="572" t="s">
        <v>162</v>
      </c>
      <c r="L979" s="573"/>
      <c r="M979" s="574"/>
      <c r="N979" s="575" t="s">
        <v>159</v>
      </c>
      <c r="O979" s="576"/>
      <c r="P979" s="576"/>
      <c r="Q979" s="576"/>
      <c r="R979" s="576"/>
      <c r="S979" s="576"/>
      <c r="T979" s="576"/>
      <c r="U979" s="577"/>
    </row>
    <row r="980" spans="1:21" ht="35.1" customHeight="1" x14ac:dyDescent="0.25">
      <c r="A980" s="263">
        <f t="shared" si="15"/>
        <v>966</v>
      </c>
      <c r="B980" s="578" t="s">
        <v>159</v>
      </c>
      <c r="C980" s="578"/>
      <c r="D980" s="579" t="s">
        <v>159</v>
      </c>
      <c r="E980" s="579"/>
      <c r="F980" s="568" t="s">
        <v>162</v>
      </c>
      <c r="G980" s="568"/>
      <c r="H980" s="580"/>
      <c r="I980" s="581"/>
      <c r="J980" s="582"/>
      <c r="K980" s="572" t="s">
        <v>162</v>
      </c>
      <c r="L980" s="573"/>
      <c r="M980" s="574"/>
      <c r="N980" s="583" t="s">
        <v>159</v>
      </c>
      <c r="O980" s="584"/>
      <c r="P980" s="584"/>
      <c r="Q980" s="584"/>
      <c r="R980" s="584"/>
      <c r="S980" s="584"/>
      <c r="T980" s="584"/>
      <c r="U980" s="585"/>
    </row>
    <row r="981" spans="1:21" ht="35.1" customHeight="1" x14ac:dyDescent="0.25">
      <c r="A981" s="263">
        <f t="shared" si="15"/>
        <v>967</v>
      </c>
      <c r="B981" s="566" t="s">
        <v>159</v>
      </c>
      <c r="C981" s="566"/>
      <c r="D981" s="567" t="s">
        <v>159</v>
      </c>
      <c r="E981" s="567"/>
      <c r="F981" s="568" t="s">
        <v>162</v>
      </c>
      <c r="G981" s="568"/>
      <c r="H981" s="569"/>
      <c r="I981" s="570"/>
      <c r="J981" s="571"/>
      <c r="K981" s="572" t="s">
        <v>162</v>
      </c>
      <c r="L981" s="573"/>
      <c r="M981" s="574"/>
      <c r="N981" s="575" t="s">
        <v>159</v>
      </c>
      <c r="O981" s="576"/>
      <c r="P981" s="576"/>
      <c r="Q981" s="576"/>
      <c r="R981" s="576"/>
      <c r="S981" s="576"/>
      <c r="T981" s="576"/>
      <c r="U981" s="577"/>
    </row>
    <row r="982" spans="1:21" ht="35.1" customHeight="1" x14ac:dyDescent="0.25">
      <c r="A982" s="263">
        <f t="shared" si="15"/>
        <v>968</v>
      </c>
      <c r="B982" s="578" t="s">
        <v>159</v>
      </c>
      <c r="C982" s="578"/>
      <c r="D982" s="579" t="s">
        <v>159</v>
      </c>
      <c r="E982" s="579"/>
      <c r="F982" s="568" t="s">
        <v>162</v>
      </c>
      <c r="G982" s="568"/>
      <c r="H982" s="580"/>
      <c r="I982" s="581"/>
      <c r="J982" s="582"/>
      <c r="K982" s="572" t="s">
        <v>162</v>
      </c>
      <c r="L982" s="573"/>
      <c r="M982" s="574"/>
      <c r="N982" s="583" t="s">
        <v>159</v>
      </c>
      <c r="O982" s="584"/>
      <c r="P982" s="584"/>
      <c r="Q982" s="584"/>
      <c r="R982" s="584"/>
      <c r="S982" s="584"/>
      <c r="T982" s="584"/>
      <c r="U982" s="585"/>
    </row>
    <row r="983" spans="1:21" ht="35.1" customHeight="1" x14ac:dyDescent="0.25">
      <c r="A983" s="263">
        <f t="shared" si="15"/>
        <v>969</v>
      </c>
      <c r="B983" s="566" t="s">
        <v>450</v>
      </c>
      <c r="C983" s="566"/>
      <c r="D983" s="567" t="s">
        <v>159</v>
      </c>
      <c r="E983" s="567"/>
      <c r="F983" s="568" t="s">
        <v>162</v>
      </c>
      <c r="G983" s="568"/>
      <c r="H983" s="569"/>
      <c r="I983" s="570"/>
      <c r="J983" s="571"/>
      <c r="K983" s="572" t="s">
        <v>162</v>
      </c>
      <c r="L983" s="573"/>
      <c r="M983" s="574"/>
      <c r="N983" s="575" t="s">
        <v>159</v>
      </c>
      <c r="O983" s="576"/>
      <c r="P983" s="576"/>
      <c r="Q983" s="576"/>
      <c r="R983" s="576"/>
      <c r="S983" s="576"/>
      <c r="T983" s="576"/>
      <c r="U983" s="577"/>
    </row>
    <row r="984" spans="1:21" ht="35.1" customHeight="1" x14ac:dyDescent="0.25">
      <c r="A984" s="263">
        <f t="shared" si="15"/>
        <v>970</v>
      </c>
      <c r="B984" s="578" t="s">
        <v>159</v>
      </c>
      <c r="C984" s="578"/>
      <c r="D984" s="579" t="s">
        <v>159</v>
      </c>
      <c r="E984" s="579"/>
      <c r="F984" s="568" t="s">
        <v>162</v>
      </c>
      <c r="G984" s="568"/>
      <c r="H984" s="580"/>
      <c r="I984" s="581"/>
      <c r="J984" s="582"/>
      <c r="K984" s="572" t="s">
        <v>162</v>
      </c>
      <c r="L984" s="573"/>
      <c r="M984" s="574"/>
      <c r="N984" s="583" t="s">
        <v>159</v>
      </c>
      <c r="O984" s="584"/>
      <c r="P984" s="584"/>
      <c r="Q984" s="584"/>
      <c r="R984" s="584"/>
      <c r="S984" s="584"/>
      <c r="T984" s="584"/>
      <c r="U984" s="585"/>
    </row>
    <row r="985" spans="1:21" ht="35.1" customHeight="1" x14ac:dyDescent="0.25">
      <c r="A985" s="263">
        <f t="shared" si="15"/>
        <v>971</v>
      </c>
      <c r="B985" s="566" t="s">
        <v>159</v>
      </c>
      <c r="C985" s="566"/>
      <c r="D985" s="567" t="s">
        <v>159</v>
      </c>
      <c r="E985" s="567"/>
      <c r="F985" s="568" t="s">
        <v>162</v>
      </c>
      <c r="G985" s="568"/>
      <c r="H985" s="569"/>
      <c r="I985" s="570"/>
      <c r="J985" s="571"/>
      <c r="K985" s="572" t="s">
        <v>162</v>
      </c>
      <c r="L985" s="573"/>
      <c r="M985" s="574"/>
      <c r="N985" s="575" t="s">
        <v>159</v>
      </c>
      <c r="O985" s="576"/>
      <c r="P985" s="576"/>
      <c r="Q985" s="576"/>
      <c r="R985" s="576"/>
      <c r="S985" s="576"/>
      <c r="T985" s="576"/>
      <c r="U985" s="577"/>
    </row>
    <row r="986" spans="1:21" ht="35.1" customHeight="1" x14ac:dyDescent="0.25">
      <c r="A986" s="263">
        <f t="shared" si="15"/>
        <v>972</v>
      </c>
      <c r="B986" s="578" t="s">
        <v>159</v>
      </c>
      <c r="C986" s="578"/>
      <c r="D986" s="579" t="s">
        <v>159</v>
      </c>
      <c r="E986" s="579"/>
      <c r="F986" s="568" t="s">
        <v>162</v>
      </c>
      <c r="G986" s="568"/>
      <c r="H986" s="580"/>
      <c r="I986" s="581"/>
      <c r="J986" s="582"/>
      <c r="K986" s="572" t="s">
        <v>162</v>
      </c>
      <c r="L986" s="573"/>
      <c r="M986" s="574"/>
      <c r="N986" s="583" t="s">
        <v>159</v>
      </c>
      <c r="O986" s="584"/>
      <c r="P986" s="584"/>
      <c r="Q986" s="584"/>
      <c r="R986" s="584"/>
      <c r="S986" s="584"/>
      <c r="T986" s="584"/>
      <c r="U986" s="585"/>
    </row>
    <row r="987" spans="1:21" ht="35.1" customHeight="1" x14ac:dyDescent="0.25">
      <c r="A987" s="263">
        <f t="shared" si="15"/>
        <v>973</v>
      </c>
      <c r="B987" s="566" t="s">
        <v>443</v>
      </c>
      <c r="C987" s="566"/>
      <c r="D987" s="567" t="s">
        <v>159</v>
      </c>
      <c r="E987" s="567"/>
      <c r="F987" s="568" t="s">
        <v>162</v>
      </c>
      <c r="G987" s="568"/>
      <c r="H987" s="569"/>
      <c r="I987" s="570"/>
      <c r="J987" s="571"/>
      <c r="K987" s="572" t="s">
        <v>162</v>
      </c>
      <c r="L987" s="573"/>
      <c r="M987" s="574"/>
      <c r="N987" s="575" t="s">
        <v>159</v>
      </c>
      <c r="O987" s="576"/>
      <c r="P987" s="576"/>
      <c r="Q987" s="576"/>
      <c r="R987" s="576"/>
      <c r="S987" s="576"/>
      <c r="T987" s="576"/>
      <c r="U987" s="577"/>
    </row>
    <row r="988" spans="1:21" ht="35.1" customHeight="1" x14ac:dyDescent="0.25">
      <c r="A988" s="263">
        <f t="shared" si="15"/>
        <v>974</v>
      </c>
      <c r="B988" s="578" t="s">
        <v>159</v>
      </c>
      <c r="C988" s="578"/>
      <c r="D988" s="579" t="s">
        <v>159</v>
      </c>
      <c r="E988" s="579"/>
      <c r="F988" s="568" t="s">
        <v>162</v>
      </c>
      <c r="G988" s="568"/>
      <c r="H988" s="580"/>
      <c r="I988" s="581"/>
      <c r="J988" s="582"/>
      <c r="K988" s="572" t="s">
        <v>162</v>
      </c>
      <c r="L988" s="573"/>
      <c r="M988" s="574"/>
      <c r="N988" s="583" t="s">
        <v>159</v>
      </c>
      <c r="O988" s="584"/>
      <c r="P988" s="584"/>
      <c r="Q988" s="584"/>
      <c r="R988" s="584"/>
      <c r="S988" s="584"/>
      <c r="T988" s="584"/>
      <c r="U988" s="585"/>
    </row>
    <row r="989" spans="1:21" ht="35.1" customHeight="1" x14ac:dyDescent="0.25">
      <c r="A989" s="263">
        <f t="shared" si="15"/>
        <v>975</v>
      </c>
      <c r="B989" s="566" t="s">
        <v>159</v>
      </c>
      <c r="C989" s="566"/>
      <c r="D989" s="567" t="s">
        <v>159</v>
      </c>
      <c r="E989" s="567"/>
      <c r="F989" s="568" t="s">
        <v>162</v>
      </c>
      <c r="G989" s="568"/>
      <c r="H989" s="569"/>
      <c r="I989" s="570"/>
      <c r="J989" s="571"/>
      <c r="K989" s="572" t="s">
        <v>162</v>
      </c>
      <c r="L989" s="573"/>
      <c r="M989" s="574"/>
      <c r="N989" s="575" t="s">
        <v>159</v>
      </c>
      <c r="O989" s="576"/>
      <c r="P989" s="576"/>
      <c r="Q989" s="576"/>
      <c r="R989" s="576"/>
      <c r="S989" s="576"/>
      <c r="T989" s="576"/>
      <c r="U989" s="577"/>
    </row>
    <row r="990" spans="1:21" ht="35.1" customHeight="1" x14ac:dyDescent="0.25">
      <c r="A990" s="263">
        <f t="shared" si="15"/>
        <v>976</v>
      </c>
      <c r="B990" s="578" t="s">
        <v>159</v>
      </c>
      <c r="C990" s="578"/>
      <c r="D990" s="579" t="s">
        <v>159</v>
      </c>
      <c r="E990" s="579"/>
      <c r="F990" s="568" t="s">
        <v>162</v>
      </c>
      <c r="G990" s="568"/>
      <c r="H990" s="580"/>
      <c r="I990" s="581"/>
      <c r="J990" s="582"/>
      <c r="K990" s="572" t="s">
        <v>162</v>
      </c>
      <c r="L990" s="573"/>
      <c r="M990" s="574"/>
      <c r="N990" s="583" t="s">
        <v>159</v>
      </c>
      <c r="O990" s="584"/>
      <c r="P990" s="584"/>
      <c r="Q990" s="584"/>
      <c r="R990" s="584"/>
      <c r="S990" s="584"/>
      <c r="T990" s="584"/>
      <c r="U990" s="585"/>
    </row>
    <row r="991" spans="1:21" ht="35.1" customHeight="1" x14ac:dyDescent="0.25">
      <c r="A991" s="263">
        <f t="shared" si="15"/>
        <v>977</v>
      </c>
      <c r="B991" s="566" t="s">
        <v>159</v>
      </c>
      <c r="C991" s="566"/>
      <c r="D991" s="567" t="s">
        <v>159</v>
      </c>
      <c r="E991" s="567"/>
      <c r="F991" s="568" t="s">
        <v>162</v>
      </c>
      <c r="G991" s="568"/>
      <c r="H991" s="569"/>
      <c r="I991" s="570"/>
      <c r="J991" s="571"/>
      <c r="K991" s="572" t="s">
        <v>162</v>
      </c>
      <c r="L991" s="573"/>
      <c r="M991" s="574"/>
      <c r="N991" s="575" t="s">
        <v>159</v>
      </c>
      <c r="O991" s="576"/>
      <c r="P991" s="576"/>
      <c r="Q991" s="576"/>
      <c r="R991" s="576"/>
      <c r="S991" s="576"/>
      <c r="T991" s="576"/>
      <c r="U991" s="577"/>
    </row>
    <row r="992" spans="1:21" ht="35.1" customHeight="1" x14ac:dyDescent="0.25">
      <c r="A992" s="263">
        <f t="shared" si="15"/>
        <v>978</v>
      </c>
      <c r="B992" s="578" t="s">
        <v>159</v>
      </c>
      <c r="C992" s="578"/>
      <c r="D992" s="579" t="s">
        <v>159</v>
      </c>
      <c r="E992" s="579"/>
      <c r="F992" s="568" t="s">
        <v>162</v>
      </c>
      <c r="G992" s="568"/>
      <c r="H992" s="580"/>
      <c r="I992" s="581"/>
      <c r="J992" s="582"/>
      <c r="K992" s="572" t="s">
        <v>162</v>
      </c>
      <c r="L992" s="573"/>
      <c r="M992" s="574"/>
      <c r="N992" s="583" t="s">
        <v>159</v>
      </c>
      <c r="O992" s="584"/>
      <c r="P992" s="584"/>
      <c r="Q992" s="584"/>
      <c r="R992" s="584"/>
      <c r="S992" s="584"/>
      <c r="T992" s="584"/>
      <c r="U992" s="585"/>
    </row>
    <row r="993" spans="1:21" ht="35.1" customHeight="1" x14ac:dyDescent="0.25">
      <c r="A993" s="263">
        <f t="shared" si="15"/>
        <v>979</v>
      </c>
      <c r="B993" s="566" t="s">
        <v>451</v>
      </c>
      <c r="C993" s="566"/>
      <c r="D993" s="567" t="s">
        <v>159</v>
      </c>
      <c r="E993" s="567"/>
      <c r="F993" s="568" t="s">
        <v>162</v>
      </c>
      <c r="G993" s="568"/>
      <c r="H993" s="569"/>
      <c r="I993" s="570"/>
      <c r="J993" s="571"/>
      <c r="K993" s="572" t="s">
        <v>162</v>
      </c>
      <c r="L993" s="573"/>
      <c r="M993" s="574"/>
      <c r="N993" s="575" t="s">
        <v>159</v>
      </c>
      <c r="O993" s="576"/>
      <c r="P993" s="576"/>
      <c r="Q993" s="576"/>
      <c r="R993" s="576"/>
      <c r="S993" s="576"/>
      <c r="T993" s="576"/>
      <c r="U993" s="577"/>
    </row>
    <row r="994" spans="1:21" ht="35.1" customHeight="1" x14ac:dyDescent="0.25">
      <c r="A994" s="263">
        <f t="shared" si="15"/>
        <v>980</v>
      </c>
      <c r="B994" s="578" t="s">
        <v>159</v>
      </c>
      <c r="C994" s="578"/>
      <c r="D994" s="579" t="s">
        <v>159</v>
      </c>
      <c r="E994" s="579"/>
      <c r="F994" s="568" t="s">
        <v>162</v>
      </c>
      <c r="G994" s="568"/>
      <c r="H994" s="580"/>
      <c r="I994" s="581"/>
      <c r="J994" s="582"/>
      <c r="K994" s="572" t="s">
        <v>162</v>
      </c>
      <c r="L994" s="573"/>
      <c r="M994" s="574"/>
      <c r="N994" s="583" t="s">
        <v>159</v>
      </c>
      <c r="O994" s="584"/>
      <c r="P994" s="584"/>
      <c r="Q994" s="584"/>
      <c r="R994" s="584"/>
      <c r="S994" s="584"/>
      <c r="T994" s="584"/>
      <c r="U994" s="585"/>
    </row>
    <row r="995" spans="1:21" ht="35.1" customHeight="1" x14ac:dyDescent="0.25">
      <c r="A995" s="263">
        <f t="shared" si="15"/>
        <v>981</v>
      </c>
      <c r="B995" s="566" t="s">
        <v>159</v>
      </c>
      <c r="C995" s="566"/>
      <c r="D995" s="567" t="s">
        <v>159</v>
      </c>
      <c r="E995" s="567"/>
      <c r="F995" s="568" t="s">
        <v>162</v>
      </c>
      <c r="G995" s="568"/>
      <c r="H995" s="569"/>
      <c r="I995" s="570"/>
      <c r="J995" s="571"/>
      <c r="K995" s="572" t="s">
        <v>162</v>
      </c>
      <c r="L995" s="573"/>
      <c r="M995" s="574"/>
      <c r="N995" s="575" t="s">
        <v>159</v>
      </c>
      <c r="O995" s="576"/>
      <c r="P995" s="576"/>
      <c r="Q995" s="576"/>
      <c r="R995" s="576"/>
      <c r="S995" s="576"/>
      <c r="T995" s="576"/>
      <c r="U995" s="577"/>
    </row>
    <row r="996" spans="1:21" ht="35.1" customHeight="1" x14ac:dyDescent="0.25">
      <c r="A996" s="263">
        <f t="shared" si="15"/>
        <v>982</v>
      </c>
      <c r="B996" s="578" t="s">
        <v>159</v>
      </c>
      <c r="C996" s="578"/>
      <c r="D996" s="579" t="s">
        <v>159</v>
      </c>
      <c r="E996" s="579"/>
      <c r="F996" s="568" t="s">
        <v>162</v>
      </c>
      <c r="G996" s="568"/>
      <c r="H996" s="580"/>
      <c r="I996" s="581"/>
      <c r="J996" s="582"/>
      <c r="K996" s="572" t="s">
        <v>162</v>
      </c>
      <c r="L996" s="573"/>
      <c r="M996" s="574"/>
      <c r="N996" s="583" t="s">
        <v>159</v>
      </c>
      <c r="O996" s="584"/>
      <c r="P996" s="584"/>
      <c r="Q996" s="584"/>
      <c r="R996" s="584"/>
      <c r="S996" s="584"/>
      <c r="T996" s="584"/>
      <c r="U996" s="585"/>
    </row>
    <row r="997" spans="1:21" ht="35.1" customHeight="1" x14ac:dyDescent="0.25">
      <c r="A997" s="263">
        <f t="shared" si="15"/>
        <v>983</v>
      </c>
      <c r="B997" s="566" t="s">
        <v>159</v>
      </c>
      <c r="C997" s="566"/>
      <c r="D997" s="567" t="s">
        <v>159</v>
      </c>
      <c r="E997" s="567"/>
      <c r="F997" s="568" t="s">
        <v>162</v>
      </c>
      <c r="G997" s="568"/>
      <c r="H997" s="569"/>
      <c r="I997" s="570"/>
      <c r="J997" s="571"/>
      <c r="K997" s="572" t="s">
        <v>162</v>
      </c>
      <c r="L997" s="573"/>
      <c r="M997" s="574"/>
      <c r="N997" s="575" t="s">
        <v>159</v>
      </c>
      <c r="O997" s="576"/>
      <c r="P997" s="576"/>
      <c r="Q997" s="576"/>
      <c r="R997" s="576"/>
      <c r="S997" s="576"/>
      <c r="T997" s="576"/>
      <c r="U997" s="577"/>
    </row>
    <row r="998" spans="1:21" ht="35.1" customHeight="1" x14ac:dyDescent="0.25">
      <c r="A998" s="263">
        <f t="shared" si="15"/>
        <v>984</v>
      </c>
      <c r="B998" s="578" t="s">
        <v>159</v>
      </c>
      <c r="C998" s="578"/>
      <c r="D998" s="579" t="s">
        <v>159</v>
      </c>
      <c r="E998" s="579"/>
      <c r="F998" s="568" t="s">
        <v>162</v>
      </c>
      <c r="G998" s="568"/>
      <c r="H998" s="580"/>
      <c r="I998" s="581"/>
      <c r="J998" s="582"/>
      <c r="K998" s="572" t="s">
        <v>162</v>
      </c>
      <c r="L998" s="573"/>
      <c r="M998" s="574"/>
      <c r="N998" s="583" t="s">
        <v>159</v>
      </c>
      <c r="O998" s="584"/>
      <c r="P998" s="584"/>
      <c r="Q998" s="584"/>
      <c r="R998" s="584"/>
      <c r="S998" s="584"/>
      <c r="T998" s="584"/>
      <c r="U998" s="585"/>
    </row>
    <row r="999" spans="1:21" ht="35.1" customHeight="1" x14ac:dyDescent="0.25">
      <c r="A999" s="263">
        <f t="shared" si="15"/>
        <v>985</v>
      </c>
      <c r="B999" s="566" t="s">
        <v>159</v>
      </c>
      <c r="C999" s="566"/>
      <c r="D999" s="567" t="s">
        <v>159</v>
      </c>
      <c r="E999" s="567"/>
      <c r="F999" s="568" t="s">
        <v>162</v>
      </c>
      <c r="G999" s="568"/>
      <c r="H999" s="569"/>
      <c r="I999" s="570"/>
      <c r="J999" s="571"/>
      <c r="K999" s="572" t="s">
        <v>162</v>
      </c>
      <c r="L999" s="573"/>
      <c r="M999" s="574"/>
      <c r="N999" s="575" t="s">
        <v>159</v>
      </c>
      <c r="O999" s="576"/>
      <c r="P999" s="576"/>
      <c r="Q999" s="576"/>
      <c r="R999" s="576"/>
      <c r="S999" s="576"/>
      <c r="T999" s="576"/>
      <c r="U999" s="577"/>
    </row>
    <row r="1000" spans="1:21" ht="35.1" customHeight="1" x14ac:dyDescent="0.25">
      <c r="A1000" s="263">
        <f t="shared" si="15"/>
        <v>986</v>
      </c>
      <c r="B1000" s="566" t="s">
        <v>159</v>
      </c>
      <c r="C1000" s="566"/>
      <c r="D1000" s="567" t="s">
        <v>159</v>
      </c>
      <c r="E1000" s="567"/>
      <c r="F1000" s="568" t="s">
        <v>162</v>
      </c>
      <c r="G1000" s="568"/>
      <c r="H1000" s="569"/>
      <c r="I1000" s="570"/>
      <c r="J1000" s="571"/>
      <c r="K1000" s="572" t="s">
        <v>162</v>
      </c>
      <c r="L1000" s="573"/>
      <c r="M1000" s="574"/>
      <c r="N1000" s="575" t="s">
        <v>159</v>
      </c>
      <c r="O1000" s="576"/>
      <c r="P1000" s="576"/>
      <c r="Q1000" s="576"/>
      <c r="R1000" s="576"/>
      <c r="S1000" s="576"/>
      <c r="T1000" s="576"/>
      <c r="U1000" s="577"/>
    </row>
    <row r="1001" spans="1:21" ht="35.1" customHeight="1" x14ac:dyDescent="0.25">
      <c r="A1001" s="263">
        <f t="shared" si="15"/>
        <v>987</v>
      </c>
      <c r="B1001" s="578" t="s">
        <v>159</v>
      </c>
      <c r="C1001" s="578"/>
      <c r="D1001" s="579" t="s">
        <v>159</v>
      </c>
      <c r="E1001" s="579"/>
      <c r="F1001" s="568" t="s">
        <v>162</v>
      </c>
      <c r="G1001" s="568"/>
      <c r="H1001" s="580"/>
      <c r="I1001" s="581"/>
      <c r="J1001" s="582"/>
      <c r="K1001" s="572" t="s">
        <v>162</v>
      </c>
      <c r="L1001" s="573"/>
      <c r="M1001" s="574"/>
      <c r="N1001" s="583"/>
      <c r="O1001" s="584"/>
      <c r="P1001" s="584"/>
      <c r="Q1001" s="584"/>
      <c r="R1001" s="584"/>
      <c r="S1001" s="584"/>
      <c r="T1001" s="584"/>
      <c r="U1001" s="585"/>
    </row>
    <row r="1002" spans="1:21" ht="35.1" customHeight="1" x14ac:dyDescent="0.25">
      <c r="A1002" s="263">
        <f t="shared" si="15"/>
        <v>988</v>
      </c>
      <c r="B1002" s="566" t="s">
        <v>159</v>
      </c>
      <c r="C1002" s="566"/>
      <c r="D1002" s="567" t="s">
        <v>159</v>
      </c>
      <c r="E1002" s="567"/>
      <c r="F1002" s="568" t="s">
        <v>162</v>
      </c>
      <c r="G1002" s="568"/>
      <c r="H1002" s="569"/>
      <c r="I1002" s="570"/>
      <c r="J1002" s="571"/>
      <c r="K1002" s="572" t="s">
        <v>162</v>
      </c>
      <c r="L1002" s="573"/>
      <c r="M1002" s="574"/>
      <c r="N1002" s="575" t="s">
        <v>159</v>
      </c>
      <c r="O1002" s="576"/>
      <c r="P1002" s="576"/>
      <c r="Q1002" s="576"/>
      <c r="R1002" s="576"/>
      <c r="S1002" s="576"/>
      <c r="T1002" s="576"/>
      <c r="U1002" s="577"/>
    </row>
    <row r="1003" spans="1:21" ht="35.1" customHeight="1" x14ac:dyDescent="0.25">
      <c r="A1003" s="263">
        <f t="shared" si="15"/>
        <v>989</v>
      </c>
      <c r="B1003" s="578" t="s">
        <v>159</v>
      </c>
      <c r="C1003" s="578"/>
      <c r="D1003" s="579" t="s">
        <v>159</v>
      </c>
      <c r="E1003" s="579"/>
      <c r="F1003" s="568" t="s">
        <v>162</v>
      </c>
      <c r="G1003" s="568"/>
      <c r="H1003" s="580"/>
      <c r="I1003" s="581"/>
      <c r="J1003" s="582"/>
      <c r="K1003" s="572" t="s">
        <v>162</v>
      </c>
      <c r="L1003" s="573"/>
      <c r="M1003" s="574"/>
      <c r="N1003" s="583" t="s">
        <v>159</v>
      </c>
      <c r="O1003" s="584"/>
      <c r="P1003" s="584"/>
      <c r="Q1003" s="584"/>
      <c r="R1003" s="584"/>
      <c r="S1003" s="584"/>
      <c r="T1003" s="584"/>
      <c r="U1003" s="585"/>
    </row>
    <row r="1004" spans="1:21" ht="35.1" customHeight="1" x14ac:dyDescent="0.25">
      <c r="A1004" s="263">
        <f t="shared" si="15"/>
        <v>990</v>
      </c>
      <c r="B1004" s="566" t="s">
        <v>159</v>
      </c>
      <c r="C1004" s="566"/>
      <c r="D1004" s="567" t="s">
        <v>159</v>
      </c>
      <c r="E1004" s="567"/>
      <c r="F1004" s="568" t="s">
        <v>162</v>
      </c>
      <c r="G1004" s="568"/>
      <c r="H1004" s="569"/>
      <c r="I1004" s="570"/>
      <c r="J1004" s="571"/>
      <c r="K1004" s="572" t="s">
        <v>162</v>
      </c>
      <c r="L1004" s="573"/>
      <c r="M1004" s="574"/>
      <c r="N1004" s="575" t="s">
        <v>159</v>
      </c>
      <c r="O1004" s="576"/>
      <c r="P1004" s="576"/>
      <c r="Q1004" s="576"/>
      <c r="R1004" s="576"/>
      <c r="S1004" s="576"/>
      <c r="T1004" s="576"/>
      <c r="U1004" s="577"/>
    </row>
    <row r="1005" spans="1:21" ht="35.1" customHeight="1" x14ac:dyDescent="0.25">
      <c r="A1005" s="263">
        <f t="shared" si="15"/>
        <v>991</v>
      </c>
      <c r="B1005" s="578" t="s">
        <v>159</v>
      </c>
      <c r="C1005" s="578"/>
      <c r="D1005" s="579" t="s">
        <v>159</v>
      </c>
      <c r="E1005" s="579"/>
      <c r="F1005" s="568" t="s">
        <v>162</v>
      </c>
      <c r="G1005" s="568"/>
      <c r="H1005" s="580"/>
      <c r="I1005" s="581"/>
      <c r="J1005" s="582"/>
      <c r="K1005" s="572" t="s">
        <v>162</v>
      </c>
      <c r="L1005" s="573"/>
      <c r="M1005" s="574"/>
      <c r="N1005" s="583" t="s">
        <v>159</v>
      </c>
      <c r="O1005" s="584"/>
      <c r="P1005" s="584"/>
      <c r="Q1005" s="584"/>
      <c r="R1005" s="584"/>
      <c r="S1005" s="584"/>
      <c r="T1005" s="584"/>
      <c r="U1005" s="585"/>
    </row>
    <row r="1006" spans="1:21" ht="35.1" customHeight="1" x14ac:dyDescent="0.25">
      <c r="A1006" s="263">
        <f t="shared" si="15"/>
        <v>992</v>
      </c>
      <c r="B1006" s="566" t="s">
        <v>159</v>
      </c>
      <c r="C1006" s="566"/>
      <c r="D1006" s="567" t="s">
        <v>159</v>
      </c>
      <c r="E1006" s="567"/>
      <c r="F1006" s="568" t="s">
        <v>162</v>
      </c>
      <c r="G1006" s="568"/>
      <c r="H1006" s="569"/>
      <c r="I1006" s="570"/>
      <c r="J1006" s="571"/>
      <c r="K1006" s="572" t="s">
        <v>162</v>
      </c>
      <c r="L1006" s="573"/>
      <c r="M1006" s="574"/>
      <c r="N1006" s="575" t="s">
        <v>159</v>
      </c>
      <c r="O1006" s="576"/>
      <c r="P1006" s="576"/>
      <c r="Q1006" s="576"/>
      <c r="R1006" s="576"/>
      <c r="S1006" s="576"/>
      <c r="T1006" s="576"/>
      <c r="U1006" s="577"/>
    </row>
    <row r="1007" spans="1:21" ht="35.1" customHeight="1" x14ac:dyDescent="0.25">
      <c r="A1007" s="263">
        <f t="shared" si="15"/>
        <v>993</v>
      </c>
      <c r="B1007" s="578" t="s">
        <v>159</v>
      </c>
      <c r="C1007" s="578"/>
      <c r="D1007" s="579" t="s">
        <v>159</v>
      </c>
      <c r="E1007" s="579"/>
      <c r="F1007" s="568" t="s">
        <v>162</v>
      </c>
      <c r="G1007" s="568"/>
      <c r="H1007" s="580"/>
      <c r="I1007" s="581"/>
      <c r="J1007" s="582"/>
      <c r="K1007" s="572" t="s">
        <v>162</v>
      </c>
      <c r="L1007" s="573"/>
      <c r="M1007" s="574"/>
      <c r="N1007" s="583" t="s">
        <v>159</v>
      </c>
      <c r="O1007" s="584"/>
      <c r="P1007" s="584"/>
      <c r="Q1007" s="584"/>
      <c r="R1007" s="584"/>
      <c r="S1007" s="584"/>
      <c r="T1007" s="584"/>
      <c r="U1007" s="585"/>
    </row>
    <row r="1008" spans="1:21" ht="35.1" customHeight="1" x14ac:dyDescent="0.25">
      <c r="A1008" s="263">
        <f t="shared" si="15"/>
        <v>994</v>
      </c>
      <c r="B1008" s="566" t="s">
        <v>159</v>
      </c>
      <c r="C1008" s="566"/>
      <c r="D1008" s="567" t="s">
        <v>159</v>
      </c>
      <c r="E1008" s="567"/>
      <c r="F1008" s="568" t="s">
        <v>162</v>
      </c>
      <c r="G1008" s="568"/>
      <c r="H1008" s="569"/>
      <c r="I1008" s="570"/>
      <c r="J1008" s="571"/>
      <c r="K1008" s="572" t="s">
        <v>162</v>
      </c>
      <c r="L1008" s="573"/>
      <c r="M1008" s="574"/>
      <c r="N1008" s="575" t="s">
        <v>159</v>
      </c>
      <c r="O1008" s="576"/>
      <c r="P1008" s="576"/>
      <c r="Q1008" s="576"/>
      <c r="R1008" s="576"/>
      <c r="S1008" s="576"/>
      <c r="T1008" s="576"/>
      <c r="U1008" s="577"/>
    </row>
    <row r="1009" spans="1:21" ht="35.1" customHeight="1" x14ac:dyDescent="0.25">
      <c r="A1009" s="263">
        <f t="shared" si="15"/>
        <v>995</v>
      </c>
      <c r="B1009" s="578" t="s">
        <v>159</v>
      </c>
      <c r="C1009" s="578"/>
      <c r="D1009" s="579" t="s">
        <v>159</v>
      </c>
      <c r="E1009" s="579"/>
      <c r="F1009" s="568" t="s">
        <v>162</v>
      </c>
      <c r="G1009" s="568"/>
      <c r="H1009" s="580"/>
      <c r="I1009" s="581"/>
      <c r="J1009" s="582"/>
      <c r="K1009" s="572" t="s">
        <v>162</v>
      </c>
      <c r="L1009" s="573"/>
      <c r="M1009" s="574"/>
      <c r="N1009" s="583" t="s">
        <v>159</v>
      </c>
      <c r="O1009" s="584"/>
      <c r="P1009" s="584"/>
      <c r="Q1009" s="584"/>
      <c r="R1009" s="584"/>
      <c r="S1009" s="584"/>
      <c r="T1009" s="584"/>
      <c r="U1009" s="585"/>
    </row>
    <row r="1010" spans="1:21" ht="35.1" customHeight="1" x14ac:dyDescent="0.25">
      <c r="A1010" s="263">
        <f t="shared" si="15"/>
        <v>996</v>
      </c>
      <c r="B1010" s="566" t="s">
        <v>159</v>
      </c>
      <c r="C1010" s="566"/>
      <c r="D1010" s="567" t="s">
        <v>159</v>
      </c>
      <c r="E1010" s="567"/>
      <c r="F1010" s="568" t="s">
        <v>162</v>
      </c>
      <c r="G1010" s="568"/>
      <c r="H1010" s="569"/>
      <c r="I1010" s="570"/>
      <c r="J1010" s="571"/>
      <c r="K1010" s="572" t="s">
        <v>162</v>
      </c>
      <c r="L1010" s="573"/>
      <c r="M1010" s="574"/>
      <c r="N1010" s="575" t="s">
        <v>159</v>
      </c>
      <c r="O1010" s="576"/>
      <c r="P1010" s="576"/>
      <c r="Q1010" s="576"/>
      <c r="R1010" s="576"/>
      <c r="S1010" s="576"/>
      <c r="T1010" s="576"/>
      <c r="U1010" s="577"/>
    </row>
    <row r="1011" spans="1:21" ht="35.1" customHeight="1" x14ac:dyDescent="0.25">
      <c r="A1011" s="263">
        <f t="shared" si="15"/>
        <v>997</v>
      </c>
      <c r="B1011" s="578" t="s">
        <v>159</v>
      </c>
      <c r="C1011" s="578"/>
      <c r="D1011" s="579" t="s">
        <v>159</v>
      </c>
      <c r="E1011" s="579"/>
      <c r="F1011" s="568" t="s">
        <v>162</v>
      </c>
      <c r="G1011" s="568"/>
      <c r="H1011" s="580"/>
      <c r="I1011" s="581"/>
      <c r="J1011" s="582"/>
      <c r="K1011" s="572" t="s">
        <v>162</v>
      </c>
      <c r="L1011" s="573"/>
      <c r="M1011" s="574"/>
      <c r="N1011" s="583" t="s">
        <v>159</v>
      </c>
      <c r="O1011" s="584"/>
      <c r="P1011" s="584"/>
      <c r="Q1011" s="584"/>
      <c r="R1011" s="584"/>
      <c r="S1011" s="584"/>
      <c r="T1011" s="584"/>
      <c r="U1011" s="585"/>
    </row>
    <row r="1012" spans="1:21" ht="35.1" customHeight="1" x14ac:dyDescent="0.25">
      <c r="A1012" s="263">
        <f t="shared" si="15"/>
        <v>998</v>
      </c>
      <c r="B1012" s="566" t="s">
        <v>159</v>
      </c>
      <c r="C1012" s="566"/>
      <c r="D1012" s="567" t="s">
        <v>159</v>
      </c>
      <c r="E1012" s="567"/>
      <c r="F1012" s="568" t="s">
        <v>162</v>
      </c>
      <c r="G1012" s="568"/>
      <c r="H1012" s="569"/>
      <c r="I1012" s="570"/>
      <c r="J1012" s="571"/>
      <c r="K1012" s="572" t="s">
        <v>162</v>
      </c>
      <c r="L1012" s="573"/>
      <c r="M1012" s="574"/>
      <c r="N1012" s="575" t="s">
        <v>159</v>
      </c>
      <c r="O1012" s="576"/>
      <c r="P1012" s="576"/>
      <c r="Q1012" s="576"/>
      <c r="R1012" s="576"/>
      <c r="S1012" s="576"/>
      <c r="T1012" s="576"/>
      <c r="U1012" s="577"/>
    </row>
    <row r="1013" spans="1:21" ht="35.1" customHeight="1" x14ac:dyDescent="0.25">
      <c r="A1013" s="263">
        <f t="shared" si="15"/>
        <v>999</v>
      </c>
      <c r="B1013" s="578" t="s">
        <v>159</v>
      </c>
      <c r="C1013" s="578"/>
      <c r="D1013" s="579" t="s">
        <v>159</v>
      </c>
      <c r="E1013" s="579"/>
      <c r="F1013" s="568" t="s">
        <v>162</v>
      </c>
      <c r="G1013" s="568"/>
      <c r="H1013" s="580"/>
      <c r="I1013" s="581"/>
      <c r="J1013" s="582"/>
      <c r="K1013" s="572" t="s">
        <v>162</v>
      </c>
      <c r="L1013" s="573"/>
      <c r="M1013" s="574"/>
      <c r="N1013" s="583" t="s">
        <v>159</v>
      </c>
      <c r="O1013" s="584"/>
      <c r="P1013" s="584"/>
      <c r="Q1013" s="584"/>
      <c r="R1013" s="584"/>
      <c r="S1013" s="584"/>
      <c r="T1013" s="584"/>
      <c r="U1013" s="585"/>
    </row>
    <row r="1014" spans="1:21" ht="35.1" customHeight="1" x14ac:dyDescent="0.25">
      <c r="A1014" s="263">
        <f t="shared" si="15"/>
        <v>1000</v>
      </c>
      <c r="B1014" s="566" t="s">
        <v>159</v>
      </c>
      <c r="C1014" s="566"/>
      <c r="D1014" s="567" t="s">
        <v>159</v>
      </c>
      <c r="E1014" s="567"/>
      <c r="F1014" s="568" t="s">
        <v>162</v>
      </c>
      <c r="G1014" s="568"/>
      <c r="H1014" s="569"/>
      <c r="I1014" s="570"/>
      <c r="J1014" s="571"/>
      <c r="K1014" s="572" t="s">
        <v>162</v>
      </c>
      <c r="L1014" s="573"/>
      <c r="M1014" s="574"/>
      <c r="N1014" s="575" t="s">
        <v>159</v>
      </c>
      <c r="O1014" s="576"/>
      <c r="P1014" s="576"/>
      <c r="Q1014" s="576"/>
      <c r="R1014" s="576"/>
      <c r="S1014" s="576"/>
      <c r="T1014" s="576"/>
      <c r="U1014" s="577"/>
    </row>
    <row r="1015" spans="1:21" ht="35.1" customHeight="1" x14ac:dyDescent="0.25">
      <c r="A1015" s="263">
        <f t="shared" si="15"/>
        <v>1001</v>
      </c>
      <c r="B1015" s="578" t="s">
        <v>159</v>
      </c>
      <c r="C1015" s="578"/>
      <c r="D1015" s="579" t="s">
        <v>159</v>
      </c>
      <c r="E1015" s="579"/>
      <c r="F1015" s="568" t="s">
        <v>162</v>
      </c>
      <c r="G1015" s="568"/>
      <c r="H1015" s="580"/>
      <c r="I1015" s="581"/>
      <c r="J1015" s="582"/>
      <c r="K1015" s="572" t="s">
        <v>162</v>
      </c>
      <c r="L1015" s="573"/>
      <c r="M1015" s="574"/>
      <c r="N1015" s="583" t="s">
        <v>159</v>
      </c>
      <c r="O1015" s="584"/>
      <c r="P1015" s="584"/>
      <c r="Q1015" s="584"/>
      <c r="R1015" s="584"/>
      <c r="S1015" s="584"/>
      <c r="T1015" s="584"/>
      <c r="U1015" s="585"/>
    </row>
    <row r="1016" spans="1:21" ht="35.1" customHeight="1" x14ac:dyDescent="0.25">
      <c r="A1016" s="263">
        <f t="shared" si="15"/>
        <v>1002</v>
      </c>
      <c r="B1016" s="566" t="s">
        <v>159</v>
      </c>
      <c r="C1016" s="566"/>
      <c r="D1016" s="567" t="s">
        <v>159</v>
      </c>
      <c r="E1016" s="567"/>
      <c r="F1016" s="568" t="s">
        <v>162</v>
      </c>
      <c r="G1016" s="568"/>
      <c r="H1016" s="569"/>
      <c r="I1016" s="570"/>
      <c r="J1016" s="571"/>
      <c r="K1016" s="572" t="s">
        <v>162</v>
      </c>
      <c r="L1016" s="573"/>
      <c r="M1016" s="574"/>
      <c r="N1016" s="575" t="s">
        <v>159</v>
      </c>
      <c r="O1016" s="576"/>
      <c r="P1016" s="576"/>
      <c r="Q1016" s="576"/>
      <c r="R1016" s="576"/>
      <c r="S1016" s="576"/>
      <c r="T1016" s="576"/>
      <c r="U1016" s="577"/>
    </row>
    <row r="1017" spans="1:21" ht="35.1" customHeight="1" x14ac:dyDescent="0.25">
      <c r="A1017" s="263">
        <f t="shared" si="15"/>
        <v>1003</v>
      </c>
      <c r="B1017" s="578" t="s">
        <v>159</v>
      </c>
      <c r="C1017" s="578"/>
      <c r="D1017" s="579" t="s">
        <v>159</v>
      </c>
      <c r="E1017" s="579"/>
      <c r="F1017" s="568" t="s">
        <v>162</v>
      </c>
      <c r="G1017" s="568"/>
      <c r="H1017" s="580"/>
      <c r="I1017" s="581"/>
      <c r="J1017" s="582"/>
      <c r="K1017" s="572" t="s">
        <v>162</v>
      </c>
      <c r="L1017" s="573"/>
      <c r="M1017" s="574"/>
      <c r="N1017" s="583" t="s">
        <v>159</v>
      </c>
      <c r="O1017" s="584"/>
      <c r="P1017" s="584"/>
      <c r="Q1017" s="584"/>
      <c r="R1017" s="584"/>
      <c r="S1017" s="584"/>
      <c r="T1017" s="584"/>
      <c r="U1017" s="585"/>
    </row>
    <row r="1018" spans="1:21" ht="35.1" customHeight="1" x14ac:dyDescent="0.25">
      <c r="A1018" s="263">
        <f t="shared" si="15"/>
        <v>1004</v>
      </c>
      <c r="B1018" s="566" t="s">
        <v>159</v>
      </c>
      <c r="C1018" s="566"/>
      <c r="D1018" s="567" t="s">
        <v>159</v>
      </c>
      <c r="E1018" s="567"/>
      <c r="F1018" s="568" t="s">
        <v>162</v>
      </c>
      <c r="G1018" s="568"/>
      <c r="H1018" s="569"/>
      <c r="I1018" s="570"/>
      <c r="J1018" s="571"/>
      <c r="K1018" s="572" t="s">
        <v>162</v>
      </c>
      <c r="L1018" s="573"/>
      <c r="M1018" s="574"/>
      <c r="N1018" s="575" t="s">
        <v>159</v>
      </c>
      <c r="O1018" s="576"/>
      <c r="P1018" s="576"/>
      <c r="Q1018" s="576"/>
      <c r="R1018" s="576"/>
      <c r="S1018" s="576"/>
      <c r="T1018" s="576"/>
      <c r="U1018" s="577"/>
    </row>
    <row r="1019" spans="1:21" ht="35.1" customHeight="1" x14ac:dyDescent="0.25">
      <c r="A1019" s="263">
        <f t="shared" si="15"/>
        <v>1005</v>
      </c>
      <c r="B1019" s="578" t="s">
        <v>159</v>
      </c>
      <c r="C1019" s="578"/>
      <c r="D1019" s="579" t="s">
        <v>159</v>
      </c>
      <c r="E1019" s="579"/>
      <c r="F1019" s="568" t="s">
        <v>162</v>
      </c>
      <c r="G1019" s="568"/>
      <c r="H1019" s="580"/>
      <c r="I1019" s="581"/>
      <c r="J1019" s="582"/>
      <c r="K1019" s="572" t="s">
        <v>162</v>
      </c>
      <c r="L1019" s="573"/>
      <c r="M1019" s="574"/>
      <c r="N1019" s="583" t="s">
        <v>159</v>
      </c>
      <c r="O1019" s="584"/>
      <c r="P1019" s="584"/>
      <c r="Q1019" s="584"/>
      <c r="R1019" s="584"/>
      <c r="S1019" s="584"/>
      <c r="T1019" s="584"/>
      <c r="U1019" s="585"/>
    </row>
    <row r="1020" spans="1:21" ht="35.1" customHeight="1" x14ac:dyDescent="0.25">
      <c r="A1020" s="263">
        <f t="shared" si="15"/>
        <v>1006</v>
      </c>
      <c r="B1020" s="566" t="s">
        <v>159</v>
      </c>
      <c r="C1020" s="566"/>
      <c r="D1020" s="567" t="s">
        <v>159</v>
      </c>
      <c r="E1020" s="567"/>
      <c r="F1020" s="568" t="s">
        <v>162</v>
      </c>
      <c r="G1020" s="568"/>
      <c r="H1020" s="569"/>
      <c r="I1020" s="570"/>
      <c r="J1020" s="571"/>
      <c r="K1020" s="572" t="s">
        <v>162</v>
      </c>
      <c r="L1020" s="573"/>
      <c r="M1020" s="574"/>
      <c r="N1020" s="575" t="s">
        <v>159</v>
      </c>
      <c r="O1020" s="576"/>
      <c r="P1020" s="576"/>
      <c r="Q1020" s="576"/>
      <c r="R1020" s="576"/>
      <c r="S1020" s="576"/>
      <c r="T1020" s="576"/>
      <c r="U1020" s="577"/>
    </row>
    <row r="1021" spans="1:21" ht="35.1" customHeight="1" x14ac:dyDescent="0.25">
      <c r="A1021" s="263">
        <f t="shared" si="15"/>
        <v>1007</v>
      </c>
      <c r="B1021" s="578" t="s">
        <v>159</v>
      </c>
      <c r="C1021" s="578"/>
      <c r="D1021" s="579" t="s">
        <v>159</v>
      </c>
      <c r="E1021" s="579"/>
      <c r="F1021" s="568" t="s">
        <v>162</v>
      </c>
      <c r="G1021" s="568"/>
      <c r="H1021" s="580"/>
      <c r="I1021" s="581"/>
      <c r="J1021" s="582"/>
      <c r="K1021" s="572" t="s">
        <v>162</v>
      </c>
      <c r="L1021" s="573"/>
      <c r="M1021" s="574"/>
      <c r="N1021" s="583" t="s">
        <v>159</v>
      </c>
      <c r="O1021" s="584"/>
      <c r="P1021" s="584"/>
      <c r="Q1021" s="584"/>
      <c r="R1021" s="584"/>
      <c r="S1021" s="584"/>
      <c r="T1021" s="584"/>
      <c r="U1021" s="585"/>
    </row>
    <row r="1022" spans="1:21" ht="35.1" customHeight="1" x14ac:dyDescent="0.25">
      <c r="A1022" s="263">
        <f t="shared" si="15"/>
        <v>1008</v>
      </c>
      <c r="B1022" s="566" t="s">
        <v>159</v>
      </c>
      <c r="C1022" s="566"/>
      <c r="D1022" s="567" t="s">
        <v>159</v>
      </c>
      <c r="E1022" s="567"/>
      <c r="F1022" s="568" t="s">
        <v>162</v>
      </c>
      <c r="G1022" s="568"/>
      <c r="H1022" s="569"/>
      <c r="I1022" s="570"/>
      <c r="J1022" s="571"/>
      <c r="K1022" s="572" t="s">
        <v>162</v>
      </c>
      <c r="L1022" s="573"/>
      <c r="M1022" s="574"/>
      <c r="N1022" s="575" t="s">
        <v>159</v>
      </c>
      <c r="O1022" s="576"/>
      <c r="P1022" s="576"/>
      <c r="Q1022" s="576"/>
      <c r="R1022" s="576"/>
      <c r="S1022" s="576"/>
      <c r="T1022" s="576"/>
      <c r="U1022" s="577"/>
    </row>
    <row r="1023" spans="1:21" ht="35.1" customHeight="1" x14ac:dyDescent="0.25">
      <c r="A1023" s="263">
        <f t="shared" si="15"/>
        <v>1009</v>
      </c>
      <c r="B1023" s="578" t="s">
        <v>159</v>
      </c>
      <c r="C1023" s="578"/>
      <c r="D1023" s="579" t="s">
        <v>159</v>
      </c>
      <c r="E1023" s="579"/>
      <c r="F1023" s="568" t="s">
        <v>162</v>
      </c>
      <c r="G1023" s="568"/>
      <c r="H1023" s="580"/>
      <c r="I1023" s="581"/>
      <c r="J1023" s="582"/>
      <c r="K1023" s="572" t="s">
        <v>162</v>
      </c>
      <c r="L1023" s="573"/>
      <c r="M1023" s="574"/>
      <c r="N1023" s="583" t="s">
        <v>159</v>
      </c>
      <c r="O1023" s="584"/>
      <c r="P1023" s="584"/>
      <c r="Q1023" s="584"/>
      <c r="R1023" s="584"/>
      <c r="S1023" s="584"/>
      <c r="T1023" s="584"/>
      <c r="U1023" s="585"/>
    </row>
    <row r="1024" spans="1:21" ht="35.1" customHeight="1" x14ac:dyDescent="0.25">
      <c r="A1024" s="263">
        <f t="shared" si="15"/>
        <v>1010</v>
      </c>
      <c r="B1024" s="566" t="s">
        <v>159</v>
      </c>
      <c r="C1024" s="566"/>
      <c r="D1024" s="567" t="s">
        <v>159</v>
      </c>
      <c r="E1024" s="567"/>
      <c r="F1024" s="568" t="s">
        <v>162</v>
      </c>
      <c r="G1024" s="568"/>
      <c r="H1024" s="569"/>
      <c r="I1024" s="570"/>
      <c r="J1024" s="571"/>
      <c r="K1024" s="572" t="s">
        <v>162</v>
      </c>
      <c r="L1024" s="573"/>
      <c r="M1024" s="574"/>
      <c r="N1024" s="575" t="s">
        <v>159</v>
      </c>
      <c r="O1024" s="576"/>
      <c r="P1024" s="576"/>
      <c r="Q1024" s="576"/>
      <c r="R1024" s="576"/>
      <c r="S1024" s="576"/>
      <c r="T1024" s="576"/>
      <c r="U1024" s="577"/>
    </row>
    <row r="1025" spans="1:21" ht="35.1" customHeight="1" x14ac:dyDescent="0.25">
      <c r="A1025" s="263">
        <f t="shared" si="15"/>
        <v>1011</v>
      </c>
      <c r="B1025" s="578" t="s">
        <v>159</v>
      </c>
      <c r="C1025" s="578"/>
      <c r="D1025" s="579" t="s">
        <v>159</v>
      </c>
      <c r="E1025" s="579"/>
      <c r="F1025" s="568" t="s">
        <v>162</v>
      </c>
      <c r="G1025" s="568"/>
      <c r="H1025" s="580"/>
      <c r="I1025" s="581"/>
      <c r="J1025" s="582"/>
      <c r="K1025" s="572" t="s">
        <v>162</v>
      </c>
      <c r="L1025" s="573"/>
      <c r="M1025" s="574"/>
      <c r="N1025" s="583" t="s">
        <v>159</v>
      </c>
      <c r="O1025" s="584"/>
      <c r="P1025" s="584"/>
      <c r="Q1025" s="584"/>
      <c r="R1025" s="584"/>
      <c r="S1025" s="584"/>
      <c r="T1025" s="584"/>
      <c r="U1025" s="585"/>
    </row>
    <row r="1026" spans="1:21" ht="35.1" customHeight="1" x14ac:dyDescent="0.25">
      <c r="A1026" s="263">
        <f t="shared" si="15"/>
        <v>1012</v>
      </c>
      <c r="B1026" s="566" t="s">
        <v>159</v>
      </c>
      <c r="C1026" s="566"/>
      <c r="D1026" s="567" t="s">
        <v>159</v>
      </c>
      <c r="E1026" s="567"/>
      <c r="F1026" s="568" t="s">
        <v>162</v>
      </c>
      <c r="G1026" s="568"/>
      <c r="H1026" s="569"/>
      <c r="I1026" s="570"/>
      <c r="J1026" s="571"/>
      <c r="K1026" s="572" t="s">
        <v>162</v>
      </c>
      <c r="L1026" s="573"/>
      <c r="M1026" s="574"/>
      <c r="N1026" s="575" t="s">
        <v>159</v>
      </c>
      <c r="O1026" s="576"/>
      <c r="P1026" s="576"/>
      <c r="Q1026" s="576"/>
      <c r="R1026" s="576"/>
      <c r="S1026" s="576"/>
      <c r="T1026" s="576"/>
      <c r="U1026" s="577"/>
    </row>
    <row r="1027" spans="1:21" ht="35.1" customHeight="1" x14ac:dyDescent="0.25">
      <c r="A1027" s="263">
        <f t="shared" si="15"/>
        <v>1013</v>
      </c>
      <c r="B1027" s="578" t="s">
        <v>159</v>
      </c>
      <c r="C1027" s="578"/>
      <c r="D1027" s="579" t="s">
        <v>159</v>
      </c>
      <c r="E1027" s="579"/>
      <c r="F1027" s="568" t="s">
        <v>162</v>
      </c>
      <c r="G1027" s="568"/>
      <c r="H1027" s="580"/>
      <c r="I1027" s="581"/>
      <c r="J1027" s="582"/>
      <c r="K1027" s="572" t="s">
        <v>162</v>
      </c>
      <c r="L1027" s="573"/>
      <c r="M1027" s="574"/>
      <c r="N1027" s="583" t="s">
        <v>159</v>
      </c>
      <c r="O1027" s="584"/>
      <c r="P1027" s="584"/>
      <c r="Q1027" s="584"/>
      <c r="R1027" s="584"/>
      <c r="S1027" s="584"/>
      <c r="T1027" s="584"/>
      <c r="U1027" s="585"/>
    </row>
    <row r="1028" spans="1:21" ht="35.1" customHeight="1" x14ac:dyDescent="0.25">
      <c r="A1028" s="263">
        <f t="shared" si="15"/>
        <v>1014</v>
      </c>
      <c r="B1028" s="566" t="s">
        <v>159</v>
      </c>
      <c r="C1028" s="566"/>
      <c r="D1028" s="567" t="s">
        <v>159</v>
      </c>
      <c r="E1028" s="567"/>
      <c r="F1028" s="568" t="s">
        <v>162</v>
      </c>
      <c r="G1028" s="568"/>
      <c r="H1028" s="569"/>
      <c r="I1028" s="570"/>
      <c r="J1028" s="571"/>
      <c r="K1028" s="572" t="s">
        <v>162</v>
      </c>
      <c r="L1028" s="573"/>
      <c r="M1028" s="574"/>
      <c r="N1028" s="575" t="s">
        <v>159</v>
      </c>
      <c r="O1028" s="576"/>
      <c r="P1028" s="576"/>
      <c r="Q1028" s="576"/>
      <c r="R1028" s="576"/>
      <c r="S1028" s="576"/>
      <c r="T1028" s="576"/>
      <c r="U1028" s="577"/>
    </row>
    <row r="1029" spans="1:21" ht="35.1" customHeight="1" x14ac:dyDescent="0.25">
      <c r="A1029" s="263">
        <f t="shared" si="15"/>
        <v>1015</v>
      </c>
      <c r="B1029" s="578" t="s">
        <v>159</v>
      </c>
      <c r="C1029" s="578"/>
      <c r="D1029" s="579" t="s">
        <v>159</v>
      </c>
      <c r="E1029" s="579"/>
      <c r="F1029" s="568" t="s">
        <v>162</v>
      </c>
      <c r="G1029" s="568"/>
      <c r="H1029" s="580"/>
      <c r="I1029" s="581"/>
      <c r="J1029" s="582"/>
      <c r="K1029" s="572" t="s">
        <v>162</v>
      </c>
      <c r="L1029" s="573"/>
      <c r="M1029" s="574"/>
      <c r="N1029" s="583" t="s">
        <v>159</v>
      </c>
      <c r="O1029" s="584"/>
      <c r="P1029" s="584"/>
      <c r="Q1029" s="584"/>
      <c r="R1029" s="584"/>
      <c r="S1029" s="584"/>
      <c r="T1029" s="584"/>
      <c r="U1029" s="585"/>
    </row>
    <row r="1030" spans="1:21" ht="35.1" customHeight="1" x14ac:dyDescent="0.25">
      <c r="A1030" s="263">
        <f t="shared" si="15"/>
        <v>1016</v>
      </c>
      <c r="B1030" s="566" t="s">
        <v>159</v>
      </c>
      <c r="C1030" s="566"/>
      <c r="D1030" s="567" t="s">
        <v>159</v>
      </c>
      <c r="E1030" s="567"/>
      <c r="F1030" s="568" t="s">
        <v>162</v>
      </c>
      <c r="G1030" s="568"/>
      <c r="H1030" s="569"/>
      <c r="I1030" s="570"/>
      <c r="J1030" s="571"/>
      <c r="K1030" s="572" t="s">
        <v>162</v>
      </c>
      <c r="L1030" s="573"/>
      <c r="M1030" s="574"/>
      <c r="N1030" s="575" t="s">
        <v>159</v>
      </c>
      <c r="O1030" s="576"/>
      <c r="P1030" s="576"/>
      <c r="Q1030" s="576"/>
      <c r="R1030" s="576"/>
      <c r="S1030" s="576"/>
      <c r="T1030" s="576"/>
      <c r="U1030" s="577"/>
    </row>
    <row r="1031" spans="1:21" ht="35.1" customHeight="1" x14ac:dyDescent="0.25">
      <c r="A1031" s="263">
        <f t="shared" si="15"/>
        <v>1017</v>
      </c>
      <c r="B1031" s="578" t="s">
        <v>159</v>
      </c>
      <c r="C1031" s="578"/>
      <c r="D1031" s="579" t="s">
        <v>159</v>
      </c>
      <c r="E1031" s="579"/>
      <c r="F1031" s="568" t="s">
        <v>162</v>
      </c>
      <c r="G1031" s="568"/>
      <c r="H1031" s="580"/>
      <c r="I1031" s="581"/>
      <c r="J1031" s="582"/>
      <c r="K1031" s="572" t="s">
        <v>162</v>
      </c>
      <c r="L1031" s="573"/>
      <c r="M1031" s="574"/>
      <c r="N1031" s="583" t="s">
        <v>159</v>
      </c>
      <c r="O1031" s="584"/>
      <c r="P1031" s="584"/>
      <c r="Q1031" s="584"/>
      <c r="R1031" s="584"/>
      <c r="S1031" s="584"/>
      <c r="T1031" s="584"/>
      <c r="U1031" s="585"/>
    </row>
    <row r="1032" spans="1:21" ht="35.1" customHeight="1" x14ac:dyDescent="0.25">
      <c r="A1032" s="263">
        <f t="shared" si="15"/>
        <v>1018</v>
      </c>
      <c r="B1032" s="566" t="s">
        <v>159</v>
      </c>
      <c r="C1032" s="566"/>
      <c r="D1032" s="567" t="s">
        <v>159</v>
      </c>
      <c r="E1032" s="567"/>
      <c r="F1032" s="568" t="s">
        <v>162</v>
      </c>
      <c r="G1032" s="568"/>
      <c r="H1032" s="569"/>
      <c r="I1032" s="570"/>
      <c r="J1032" s="571"/>
      <c r="K1032" s="572" t="s">
        <v>162</v>
      </c>
      <c r="L1032" s="573"/>
      <c r="M1032" s="574"/>
      <c r="N1032" s="575" t="s">
        <v>159</v>
      </c>
      <c r="O1032" s="576"/>
      <c r="P1032" s="576"/>
      <c r="Q1032" s="576"/>
      <c r="R1032" s="576"/>
      <c r="S1032" s="576"/>
      <c r="T1032" s="576"/>
      <c r="U1032" s="577"/>
    </row>
    <row r="1033" spans="1:21" ht="35.1" customHeight="1" x14ac:dyDescent="0.25">
      <c r="A1033" s="263">
        <f t="shared" si="15"/>
        <v>1019</v>
      </c>
      <c r="B1033" s="578" t="s">
        <v>159</v>
      </c>
      <c r="C1033" s="578"/>
      <c r="D1033" s="579" t="s">
        <v>159</v>
      </c>
      <c r="E1033" s="579"/>
      <c r="F1033" s="568" t="s">
        <v>162</v>
      </c>
      <c r="G1033" s="568"/>
      <c r="H1033" s="580"/>
      <c r="I1033" s="581"/>
      <c r="J1033" s="582"/>
      <c r="K1033" s="572" t="s">
        <v>162</v>
      </c>
      <c r="L1033" s="573"/>
      <c r="M1033" s="574"/>
      <c r="N1033" s="583" t="s">
        <v>159</v>
      </c>
      <c r="O1033" s="584"/>
      <c r="P1033" s="584"/>
      <c r="Q1033" s="584"/>
      <c r="R1033" s="584"/>
      <c r="S1033" s="584"/>
      <c r="T1033" s="584"/>
      <c r="U1033" s="585"/>
    </row>
    <row r="1034" spans="1:21" ht="35.1" customHeight="1" x14ac:dyDescent="0.25">
      <c r="A1034" s="263">
        <f t="shared" si="15"/>
        <v>1020</v>
      </c>
      <c r="B1034" s="566" t="s">
        <v>159</v>
      </c>
      <c r="C1034" s="566"/>
      <c r="D1034" s="567" t="s">
        <v>159</v>
      </c>
      <c r="E1034" s="567"/>
      <c r="F1034" s="568" t="s">
        <v>162</v>
      </c>
      <c r="G1034" s="568"/>
      <c r="H1034" s="569"/>
      <c r="I1034" s="570"/>
      <c r="J1034" s="571"/>
      <c r="K1034" s="572" t="s">
        <v>162</v>
      </c>
      <c r="L1034" s="573"/>
      <c r="M1034" s="574"/>
      <c r="N1034" s="575" t="s">
        <v>159</v>
      </c>
      <c r="O1034" s="576"/>
      <c r="P1034" s="576"/>
      <c r="Q1034" s="576"/>
      <c r="R1034" s="576"/>
      <c r="S1034" s="576"/>
      <c r="T1034" s="576"/>
      <c r="U1034" s="577"/>
    </row>
    <row r="1035" spans="1:21" ht="35.1" customHeight="1" x14ac:dyDescent="0.25">
      <c r="A1035" s="263">
        <f t="shared" si="15"/>
        <v>1021</v>
      </c>
      <c r="B1035" s="578" t="s">
        <v>159</v>
      </c>
      <c r="C1035" s="578"/>
      <c r="D1035" s="579" t="s">
        <v>159</v>
      </c>
      <c r="E1035" s="579"/>
      <c r="F1035" s="568" t="s">
        <v>162</v>
      </c>
      <c r="G1035" s="568"/>
      <c r="H1035" s="580"/>
      <c r="I1035" s="581"/>
      <c r="J1035" s="582"/>
      <c r="K1035" s="572" t="s">
        <v>162</v>
      </c>
      <c r="L1035" s="573"/>
      <c r="M1035" s="574"/>
      <c r="N1035" s="583" t="s">
        <v>159</v>
      </c>
      <c r="O1035" s="584"/>
      <c r="P1035" s="584"/>
      <c r="Q1035" s="584"/>
      <c r="R1035" s="584"/>
      <c r="S1035" s="584"/>
      <c r="T1035" s="584"/>
      <c r="U1035" s="585"/>
    </row>
    <row r="1036" spans="1:21" ht="35.1" customHeight="1" x14ac:dyDescent="0.25">
      <c r="A1036" s="263">
        <f t="shared" si="15"/>
        <v>1022</v>
      </c>
      <c r="B1036" s="566" t="s">
        <v>159</v>
      </c>
      <c r="C1036" s="566"/>
      <c r="D1036" s="567" t="s">
        <v>159</v>
      </c>
      <c r="E1036" s="567"/>
      <c r="F1036" s="568" t="s">
        <v>162</v>
      </c>
      <c r="G1036" s="568"/>
      <c r="H1036" s="569"/>
      <c r="I1036" s="570"/>
      <c r="J1036" s="571"/>
      <c r="K1036" s="572" t="s">
        <v>162</v>
      </c>
      <c r="L1036" s="573"/>
      <c r="M1036" s="574"/>
      <c r="N1036" s="575" t="s">
        <v>159</v>
      </c>
      <c r="O1036" s="576"/>
      <c r="P1036" s="576"/>
      <c r="Q1036" s="576"/>
      <c r="R1036" s="576"/>
      <c r="S1036" s="576"/>
      <c r="T1036" s="576"/>
      <c r="U1036" s="577"/>
    </row>
    <row r="1037" spans="1:21" ht="35.1" customHeight="1" x14ac:dyDescent="0.25">
      <c r="A1037" s="263">
        <f t="shared" si="15"/>
        <v>1023</v>
      </c>
      <c r="B1037" s="578" t="s">
        <v>159</v>
      </c>
      <c r="C1037" s="578"/>
      <c r="D1037" s="579" t="s">
        <v>159</v>
      </c>
      <c r="E1037" s="579"/>
      <c r="F1037" s="568" t="s">
        <v>162</v>
      </c>
      <c r="G1037" s="568"/>
      <c r="H1037" s="580"/>
      <c r="I1037" s="581"/>
      <c r="J1037" s="582"/>
      <c r="K1037" s="572" t="s">
        <v>162</v>
      </c>
      <c r="L1037" s="573"/>
      <c r="M1037" s="574"/>
      <c r="N1037" s="583" t="s">
        <v>159</v>
      </c>
      <c r="O1037" s="584"/>
      <c r="P1037" s="584"/>
      <c r="Q1037" s="584"/>
      <c r="R1037" s="584"/>
      <c r="S1037" s="584"/>
      <c r="T1037" s="584"/>
      <c r="U1037" s="585"/>
    </row>
    <row r="1038" spans="1:21" ht="35.1" customHeight="1" x14ac:dyDescent="0.25">
      <c r="A1038" s="263">
        <f t="shared" si="15"/>
        <v>1024</v>
      </c>
      <c r="B1038" s="566" t="s">
        <v>159</v>
      </c>
      <c r="C1038" s="566"/>
      <c r="D1038" s="567" t="s">
        <v>159</v>
      </c>
      <c r="E1038" s="567"/>
      <c r="F1038" s="568" t="s">
        <v>162</v>
      </c>
      <c r="G1038" s="568"/>
      <c r="H1038" s="569"/>
      <c r="I1038" s="570"/>
      <c r="J1038" s="571"/>
      <c r="K1038" s="572" t="s">
        <v>162</v>
      </c>
      <c r="L1038" s="573"/>
      <c r="M1038" s="574"/>
      <c r="N1038" s="575" t="s">
        <v>159</v>
      </c>
      <c r="O1038" s="576"/>
      <c r="P1038" s="576"/>
      <c r="Q1038" s="576"/>
      <c r="R1038" s="576"/>
      <c r="S1038" s="576"/>
      <c r="T1038" s="576"/>
      <c r="U1038" s="577"/>
    </row>
    <row r="1039" spans="1:21" ht="35.1" customHeight="1" x14ac:dyDescent="0.25">
      <c r="A1039" s="263">
        <f t="shared" ref="A1039:A1102" si="16">ROW(A1025)</f>
        <v>1025</v>
      </c>
      <c r="B1039" s="578" t="s">
        <v>159</v>
      </c>
      <c r="C1039" s="578"/>
      <c r="D1039" s="579" t="s">
        <v>159</v>
      </c>
      <c r="E1039" s="579"/>
      <c r="F1039" s="568" t="s">
        <v>162</v>
      </c>
      <c r="G1039" s="568"/>
      <c r="H1039" s="580"/>
      <c r="I1039" s="581"/>
      <c r="J1039" s="582"/>
      <c r="K1039" s="572" t="s">
        <v>162</v>
      </c>
      <c r="L1039" s="573"/>
      <c r="M1039" s="574"/>
      <c r="N1039" s="583" t="s">
        <v>159</v>
      </c>
      <c r="O1039" s="584"/>
      <c r="P1039" s="584"/>
      <c r="Q1039" s="584"/>
      <c r="R1039" s="584"/>
      <c r="S1039" s="584"/>
      <c r="T1039" s="584"/>
      <c r="U1039" s="585"/>
    </row>
    <row r="1040" spans="1:21" ht="35.1" customHeight="1" x14ac:dyDescent="0.25">
      <c r="A1040" s="263">
        <f t="shared" si="16"/>
        <v>1026</v>
      </c>
      <c r="B1040" s="566" t="s">
        <v>159</v>
      </c>
      <c r="C1040" s="566"/>
      <c r="D1040" s="567" t="s">
        <v>159</v>
      </c>
      <c r="E1040" s="567"/>
      <c r="F1040" s="568" t="s">
        <v>162</v>
      </c>
      <c r="G1040" s="568"/>
      <c r="H1040" s="569"/>
      <c r="I1040" s="570"/>
      <c r="J1040" s="571"/>
      <c r="K1040" s="572" t="s">
        <v>162</v>
      </c>
      <c r="L1040" s="573"/>
      <c r="M1040" s="574"/>
      <c r="N1040" s="575" t="s">
        <v>159</v>
      </c>
      <c r="O1040" s="576"/>
      <c r="P1040" s="576"/>
      <c r="Q1040" s="576"/>
      <c r="R1040" s="576"/>
      <c r="S1040" s="576"/>
      <c r="T1040" s="576"/>
      <c r="U1040" s="577"/>
    </row>
    <row r="1041" spans="1:21" ht="35.1" customHeight="1" x14ac:dyDescent="0.25">
      <c r="A1041" s="263">
        <f t="shared" si="16"/>
        <v>1027</v>
      </c>
      <c r="B1041" s="578" t="s">
        <v>159</v>
      </c>
      <c r="C1041" s="578"/>
      <c r="D1041" s="579" t="s">
        <v>159</v>
      </c>
      <c r="E1041" s="579"/>
      <c r="F1041" s="568" t="s">
        <v>162</v>
      </c>
      <c r="G1041" s="568"/>
      <c r="H1041" s="580"/>
      <c r="I1041" s="581"/>
      <c r="J1041" s="582"/>
      <c r="K1041" s="572" t="s">
        <v>162</v>
      </c>
      <c r="L1041" s="573"/>
      <c r="M1041" s="574"/>
      <c r="N1041" s="583" t="s">
        <v>159</v>
      </c>
      <c r="O1041" s="584"/>
      <c r="P1041" s="584"/>
      <c r="Q1041" s="584"/>
      <c r="R1041" s="584"/>
      <c r="S1041" s="584"/>
      <c r="T1041" s="584"/>
      <c r="U1041" s="585"/>
    </row>
    <row r="1042" spans="1:21" ht="35.1" customHeight="1" x14ac:dyDescent="0.25">
      <c r="A1042" s="263">
        <f t="shared" si="16"/>
        <v>1028</v>
      </c>
      <c r="B1042" s="566" t="s">
        <v>159</v>
      </c>
      <c r="C1042" s="566"/>
      <c r="D1042" s="567" t="s">
        <v>159</v>
      </c>
      <c r="E1042" s="567"/>
      <c r="F1042" s="568" t="s">
        <v>162</v>
      </c>
      <c r="G1042" s="568"/>
      <c r="H1042" s="569"/>
      <c r="I1042" s="570"/>
      <c r="J1042" s="571"/>
      <c r="K1042" s="572" t="s">
        <v>162</v>
      </c>
      <c r="L1042" s="573"/>
      <c r="M1042" s="574"/>
      <c r="N1042" s="575" t="s">
        <v>159</v>
      </c>
      <c r="O1042" s="576"/>
      <c r="P1042" s="576"/>
      <c r="Q1042" s="576"/>
      <c r="R1042" s="576"/>
      <c r="S1042" s="576"/>
      <c r="T1042" s="576"/>
      <c r="U1042" s="577"/>
    </row>
    <row r="1043" spans="1:21" ht="35.1" customHeight="1" x14ac:dyDescent="0.25">
      <c r="A1043" s="263">
        <f t="shared" si="16"/>
        <v>1029</v>
      </c>
      <c r="B1043" s="578" t="s">
        <v>159</v>
      </c>
      <c r="C1043" s="578"/>
      <c r="D1043" s="579" t="s">
        <v>159</v>
      </c>
      <c r="E1043" s="579"/>
      <c r="F1043" s="568" t="s">
        <v>162</v>
      </c>
      <c r="G1043" s="568"/>
      <c r="H1043" s="580"/>
      <c r="I1043" s="581"/>
      <c r="J1043" s="582"/>
      <c r="K1043" s="572" t="s">
        <v>162</v>
      </c>
      <c r="L1043" s="573"/>
      <c r="M1043" s="574"/>
      <c r="N1043" s="583" t="s">
        <v>159</v>
      </c>
      <c r="O1043" s="584"/>
      <c r="P1043" s="584"/>
      <c r="Q1043" s="584"/>
      <c r="R1043" s="584"/>
      <c r="S1043" s="584"/>
      <c r="T1043" s="584"/>
      <c r="U1043" s="585"/>
    </row>
    <row r="1044" spans="1:21" ht="35.1" customHeight="1" x14ac:dyDescent="0.25">
      <c r="A1044" s="263">
        <f t="shared" si="16"/>
        <v>1030</v>
      </c>
      <c r="B1044" s="566" t="s">
        <v>159</v>
      </c>
      <c r="C1044" s="566"/>
      <c r="D1044" s="567" t="s">
        <v>159</v>
      </c>
      <c r="E1044" s="567"/>
      <c r="F1044" s="568" t="s">
        <v>162</v>
      </c>
      <c r="G1044" s="568"/>
      <c r="H1044" s="569"/>
      <c r="I1044" s="570"/>
      <c r="J1044" s="571"/>
      <c r="K1044" s="572" t="s">
        <v>162</v>
      </c>
      <c r="L1044" s="573"/>
      <c r="M1044" s="574"/>
      <c r="N1044" s="575" t="s">
        <v>159</v>
      </c>
      <c r="O1044" s="576"/>
      <c r="P1044" s="576"/>
      <c r="Q1044" s="576"/>
      <c r="R1044" s="576"/>
      <c r="S1044" s="576"/>
      <c r="T1044" s="576"/>
      <c r="U1044" s="577"/>
    </row>
    <row r="1045" spans="1:21" ht="35.1" customHeight="1" x14ac:dyDescent="0.25">
      <c r="A1045" s="263">
        <f t="shared" si="16"/>
        <v>1031</v>
      </c>
      <c r="B1045" s="578" t="s">
        <v>159</v>
      </c>
      <c r="C1045" s="578"/>
      <c r="D1045" s="579" t="s">
        <v>159</v>
      </c>
      <c r="E1045" s="579"/>
      <c r="F1045" s="568" t="s">
        <v>162</v>
      </c>
      <c r="G1045" s="568"/>
      <c r="H1045" s="580"/>
      <c r="I1045" s="581"/>
      <c r="J1045" s="582"/>
      <c r="K1045" s="572" t="s">
        <v>162</v>
      </c>
      <c r="L1045" s="573"/>
      <c r="M1045" s="574"/>
      <c r="N1045" s="583" t="s">
        <v>159</v>
      </c>
      <c r="O1045" s="584"/>
      <c r="P1045" s="584"/>
      <c r="Q1045" s="584"/>
      <c r="R1045" s="584"/>
      <c r="S1045" s="584"/>
      <c r="T1045" s="584"/>
      <c r="U1045" s="585"/>
    </row>
    <row r="1046" spans="1:21" ht="35.1" customHeight="1" x14ac:dyDescent="0.25">
      <c r="A1046" s="263">
        <f t="shared" si="16"/>
        <v>1032</v>
      </c>
      <c r="B1046" s="566" t="s">
        <v>159</v>
      </c>
      <c r="C1046" s="566"/>
      <c r="D1046" s="567" t="s">
        <v>159</v>
      </c>
      <c r="E1046" s="567"/>
      <c r="F1046" s="568" t="s">
        <v>162</v>
      </c>
      <c r="G1046" s="568"/>
      <c r="H1046" s="569"/>
      <c r="I1046" s="570"/>
      <c r="J1046" s="571"/>
      <c r="K1046" s="572" t="s">
        <v>162</v>
      </c>
      <c r="L1046" s="573"/>
      <c r="M1046" s="574"/>
      <c r="N1046" s="575" t="s">
        <v>159</v>
      </c>
      <c r="O1046" s="576"/>
      <c r="P1046" s="576"/>
      <c r="Q1046" s="576"/>
      <c r="R1046" s="576"/>
      <c r="S1046" s="576"/>
      <c r="T1046" s="576"/>
      <c r="U1046" s="577"/>
    </row>
    <row r="1047" spans="1:21" ht="35.1" customHeight="1" x14ac:dyDescent="0.25">
      <c r="A1047" s="263">
        <f t="shared" si="16"/>
        <v>1033</v>
      </c>
      <c r="B1047" s="578" t="s">
        <v>159</v>
      </c>
      <c r="C1047" s="578"/>
      <c r="D1047" s="579" t="s">
        <v>159</v>
      </c>
      <c r="E1047" s="579"/>
      <c r="F1047" s="568" t="s">
        <v>162</v>
      </c>
      <c r="G1047" s="568"/>
      <c r="H1047" s="580"/>
      <c r="I1047" s="581"/>
      <c r="J1047" s="582"/>
      <c r="K1047" s="572" t="s">
        <v>162</v>
      </c>
      <c r="L1047" s="573"/>
      <c r="M1047" s="574"/>
      <c r="N1047" s="583" t="s">
        <v>159</v>
      </c>
      <c r="O1047" s="584"/>
      <c r="P1047" s="584"/>
      <c r="Q1047" s="584"/>
      <c r="R1047" s="584"/>
      <c r="S1047" s="584"/>
      <c r="T1047" s="584"/>
      <c r="U1047" s="585"/>
    </row>
    <row r="1048" spans="1:21" ht="35.1" customHeight="1" x14ac:dyDescent="0.25">
      <c r="A1048" s="263">
        <f t="shared" si="16"/>
        <v>1034</v>
      </c>
      <c r="B1048" s="566" t="s">
        <v>159</v>
      </c>
      <c r="C1048" s="566"/>
      <c r="D1048" s="567" t="s">
        <v>159</v>
      </c>
      <c r="E1048" s="567"/>
      <c r="F1048" s="568" t="s">
        <v>162</v>
      </c>
      <c r="G1048" s="568"/>
      <c r="H1048" s="569"/>
      <c r="I1048" s="570"/>
      <c r="J1048" s="571"/>
      <c r="K1048" s="572" t="s">
        <v>162</v>
      </c>
      <c r="L1048" s="573"/>
      <c r="M1048" s="574"/>
      <c r="N1048" s="575" t="s">
        <v>159</v>
      </c>
      <c r="O1048" s="576"/>
      <c r="P1048" s="576"/>
      <c r="Q1048" s="576"/>
      <c r="R1048" s="576"/>
      <c r="S1048" s="576"/>
      <c r="T1048" s="576"/>
      <c r="U1048" s="577"/>
    </row>
    <row r="1049" spans="1:21" ht="35.1" customHeight="1" x14ac:dyDescent="0.25">
      <c r="A1049" s="263">
        <f t="shared" si="16"/>
        <v>1035</v>
      </c>
      <c r="B1049" s="578" t="s">
        <v>159</v>
      </c>
      <c r="C1049" s="578"/>
      <c r="D1049" s="579" t="s">
        <v>159</v>
      </c>
      <c r="E1049" s="579"/>
      <c r="F1049" s="568" t="s">
        <v>162</v>
      </c>
      <c r="G1049" s="568"/>
      <c r="H1049" s="580"/>
      <c r="I1049" s="581"/>
      <c r="J1049" s="582"/>
      <c r="K1049" s="572" t="s">
        <v>162</v>
      </c>
      <c r="L1049" s="573"/>
      <c r="M1049" s="574"/>
      <c r="N1049" s="583" t="s">
        <v>159</v>
      </c>
      <c r="O1049" s="584"/>
      <c r="P1049" s="584"/>
      <c r="Q1049" s="584"/>
      <c r="R1049" s="584"/>
      <c r="S1049" s="584"/>
      <c r="T1049" s="584"/>
      <c r="U1049" s="585"/>
    </row>
    <row r="1050" spans="1:21" ht="35.1" customHeight="1" x14ac:dyDescent="0.25">
      <c r="A1050" s="263">
        <f t="shared" si="16"/>
        <v>1036</v>
      </c>
      <c r="B1050" s="566" t="s">
        <v>159</v>
      </c>
      <c r="C1050" s="566"/>
      <c r="D1050" s="567" t="s">
        <v>159</v>
      </c>
      <c r="E1050" s="567"/>
      <c r="F1050" s="568" t="s">
        <v>162</v>
      </c>
      <c r="G1050" s="568"/>
      <c r="H1050" s="569"/>
      <c r="I1050" s="570"/>
      <c r="J1050" s="571"/>
      <c r="K1050" s="572" t="s">
        <v>162</v>
      </c>
      <c r="L1050" s="573"/>
      <c r="M1050" s="574"/>
      <c r="N1050" s="575" t="s">
        <v>159</v>
      </c>
      <c r="O1050" s="576"/>
      <c r="P1050" s="576"/>
      <c r="Q1050" s="576"/>
      <c r="R1050" s="576"/>
      <c r="S1050" s="576"/>
      <c r="T1050" s="576"/>
      <c r="U1050" s="577"/>
    </row>
    <row r="1051" spans="1:21" ht="35.1" customHeight="1" x14ac:dyDescent="0.25">
      <c r="A1051" s="263">
        <f t="shared" si="16"/>
        <v>1037</v>
      </c>
      <c r="B1051" s="578" t="s">
        <v>159</v>
      </c>
      <c r="C1051" s="578"/>
      <c r="D1051" s="579" t="s">
        <v>159</v>
      </c>
      <c r="E1051" s="579"/>
      <c r="F1051" s="568" t="s">
        <v>162</v>
      </c>
      <c r="G1051" s="568"/>
      <c r="H1051" s="580"/>
      <c r="I1051" s="581"/>
      <c r="J1051" s="582"/>
      <c r="K1051" s="572" t="s">
        <v>162</v>
      </c>
      <c r="L1051" s="573"/>
      <c r="M1051" s="574"/>
      <c r="N1051" s="583" t="s">
        <v>159</v>
      </c>
      <c r="O1051" s="584"/>
      <c r="P1051" s="584"/>
      <c r="Q1051" s="584"/>
      <c r="R1051" s="584"/>
      <c r="S1051" s="584"/>
      <c r="T1051" s="584"/>
      <c r="U1051" s="585"/>
    </row>
    <row r="1052" spans="1:21" ht="35.1" customHeight="1" x14ac:dyDescent="0.25">
      <c r="A1052" s="263">
        <f t="shared" si="16"/>
        <v>1038</v>
      </c>
      <c r="B1052" s="566" t="s">
        <v>159</v>
      </c>
      <c r="C1052" s="566"/>
      <c r="D1052" s="567" t="s">
        <v>159</v>
      </c>
      <c r="E1052" s="567"/>
      <c r="F1052" s="568" t="s">
        <v>162</v>
      </c>
      <c r="G1052" s="568"/>
      <c r="H1052" s="569"/>
      <c r="I1052" s="570"/>
      <c r="J1052" s="571"/>
      <c r="K1052" s="572" t="s">
        <v>162</v>
      </c>
      <c r="L1052" s="573"/>
      <c r="M1052" s="574"/>
      <c r="N1052" s="575" t="s">
        <v>159</v>
      </c>
      <c r="O1052" s="576"/>
      <c r="P1052" s="576"/>
      <c r="Q1052" s="576"/>
      <c r="R1052" s="576"/>
      <c r="S1052" s="576"/>
      <c r="T1052" s="576"/>
      <c r="U1052" s="577"/>
    </row>
    <row r="1053" spans="1:21" ht="35.1" customHeight="1" x14ac:dyDescent="0.25">
      <c r="A1053" s="263">
        <f t="shared" si="16"/>
        <v>1039</v>
      </c>
      <c r="B1053" s="578" t="s">
        <v>159</v>
      </c>
      <c r="C1053" s="578"/>
      <c r="D1053" s="579" t="s">
        <v>159</v>
      </c>
      <c r="E1053" s="579"/>
      <c r="F1053" s="568" t="s">
        <v>162</v>
      </c>
      <c r="G1053" s="568"/>
      <c r="H1053" s="580"/>
      <c r="I1053" s="581"/>
      <c r="J1053" s="582"/>
      <c r="K1053" s="572" t="s">
        <v>162</v>
      </c>
      <c r="L1053" s="573"/>
      <c r="M1053" s="574"/>
      <c r="N1053" s="583" t="s">
        <v>159</v>
      </c>
      <c r="O1053" s="584"/>
      <c r="P1053" s="584"/>
      <c r="Q1053" s="584"/>
      <c r="R1053" s="584"/>
      <c r="S1053" s="584"/>
      <c r="T1053" s="584"/>
      <c r="U1053" s="585"/>
    </row>
    <row r="1054" spans="1:21" ht="35.1" customHeight="1" x14ac:dyDescent="0.25">
      <c r="A1054" s="263">
        <f t="shared" si="16"/>
        <v>1040</v>
      </c>
      <c r="B1054" s="566" t="s">
        <v>159</v>
      </c>
      <c r="C1054" s="566"/>
      <c r="D1054" s="567" t="s">
        <v>159</v>
      </c>
      <c r="E1054" s="567"/>
      <c r="F1054" s="568" t="s">
        <v>162</v>
      </c>
      <c r="G1054" s="568"/>
      <c r="H1054" s="569"/>
      <c r="I1054" s="570"/>
      <c r="J1054" s="571"/>
      <c r="K1054" s="572" t="s">
        <v>162</v>
      </c>
      <c r="L1054" s="573"/>
      <c r="M1054" s="574"/>
      <c r="N1054" s="575" t="s">
        <v>159</v>
      </c>
      <c r="O1054" s="576"/>
      <c r="P1054" s="576"/>
      <c r="Q1054" s="576"/>
      <c r="R1054" s="576"/>
      <c r="S1054" s="576"/>
      <c r="T1054" s="576"/>
      <c r="U1054" s="577"/>
    </row>
    <row r="1055" spans="1:21" ht="35.1" customHeight="1" x14ac:dyDescent="0.25">
      <c r="A1055" s="263">
        <f t="shared" si="16"/>
        <v>1041</v>
      </c>
      <c r="B1055" s="578" t="s">
        <v>159</v>
      </c>
      <c r="C1055" s="578"/>
      <c r="D1055" s="579" t="s">
        <v>159</v>
      </c>
      <c r="E1055" s="579"/>
      <c r="F1055" s="568" t="s">
        <v>162</v>
      </c>
      <c r="G1055" s="568"/>
      <c r="H1055" s="580"/>
      <c r="I1055" s="581"/>
      <c r="J1055" s="582"/>
      <c r="K1055" s="572" t="s">
        <v>162</v>
      </c>
      <c r="L1055" s="573"/>
      <c r="M1055" s="574"/>
      <c r="N1055" s="583" t="s">
        <v>159</v>
      </c>
      <c r="O1055" s="584"/>
      <c r="P1055" s="584"/>
      <c r="Q1055" s="584"/>
      <c r="R1055" s="584"/>
      <c r="S1055" s="584"/>
      <c r="T1055" s="584"/>
      <c r="U1055" s="585"/>
    </row>
    <row r="1056" spans="1:21" ht="35.1" customHeight="1" x14ac:dyDescent="0.25">
      <c r="A1056" s="263">
        <f t="shared" si="16"/>
        <v>1042</v>
      </c>
      <c r="B1056" s="566" t="s">
        <v>159</v>
      </c>
      <c r="C1056" s="566"/>
      <c r="D1056" s="567" t="s">
        <v>159</v>
      </c>
      <c r="E1056" s="567"/>
      <c r="F1056" s="568" t="s">
        <v>162</v>
      </c>
      <c r="G1056" s="568"/>
      <c r="H1056" s="569"/>
      <c r="I1056" s="570"/>
      <c r="J1056" s="571"/>
      <c r="K1056" s="572" t="s">
        <v>162</v>
      </c>
      <c r="L1056" s="573"/>
      <c r="M1056" s="574"/>
      <c r="N1056" s="575" t="s">
        <v>159</v>
      </c>
      <c r="O1056" s="576"/>
      <c r="P1056" s="576"/>
      <c r="Q1056" s="576"/>
      <c r="R1056" s="576"/>
      <c r="S1056" s="576"/>
      <c r="T1056" s="576"/>
      <c r="U1056" s="577"/>
    </row>
    <row r="1057" spans="1:21" ht="35.1" customHeight="1" x14ac:dyDescent="0.25">
      <c r="A1057" s="263">
        <f t="shared" si="16"/>
        <v>1043</v>
      </c>
      <c r="B1057" s="578" t="s">
        <v>159</v>
      </c>
      <c r="C1057" s="578"/>
      <c r="D1057" s="579" t="s">
        <v>159</v>
      </c>
      <c r="E1057" s="579"/>
      <c r="F1057" s="568" t="s">
        <v>162</v>
      </c>
      <c r="G1057" s="568"/>
      <c r="H1057" s="580"/>
      <c r="I1057" s="581"/>
      <c r="J1057" s="582"/>
      <c r="K1057" s="572" t="s">
        <v>162</v>
      </c>
      <c r="L1057" s="573"/>
      <c r="M1057" s="574"/>
      <c r="N1057" s="583" t="s">
        <v>159</v>
      </c>
      <c r="O1057" s="584"/>
      <c r="P1057" s="584"/>
      <c r="Q1057" s="584"/>
      <c r="R1057" s="584"/>
      <c r="S1057" s="584"/>
      <c r="T1057" s="584"/>
      <c r="U1057" s="585"/>
    </row>
    <row r="1058" spans="1:21" ht="35.1" customHeight="1" x14ac:dyDescent="0.25">
      <c r="A1058" s="263">
        <f t="shared" si="16"/>
        <v>1044</v>
      </c>
      <c r="B1058" s="566" t="s">
        <v>159</v>
      </c>
      <c r="C1058" s="566"/>
      <c r="D1058" s="567" t="s">
        <v>159</v>
      </c>
      <c r="E1058" s="567"/>
      <c r="F1058" s="568" t="s">
        <v>162</v>
      </c>
      <c r="G1058" s="568"/>
      <c r="H1058" s="569"/>
      <c r="I1058" s="570"/>
      <c r="J1058" s="571"/>
      <c r="K1058" s="572" t="s">
        <v>162</v>
      </c>
      <c r="L1058" s="573"/>
      <c r="M1058" s="574"/>
      <c r="N1058" s="575" t="s">
        <v>159</v>
      </c>
      <c r="O1058" s="576"/>
      <c r="P1058" s="576"/>
      <c r="Q1058" s="576"/>
      <c r="R1058" s="576"/>
      <c r="S1058" s="576"/>
      <c r="T1058" s="576"/>
      <c r="U1058" s="577"/>
    </row>
    <row r="1059" spans="1:21" ht="35.1" customHeight="1" x14ac:dyDescent="0.25">
      <c r="A1059" s="263">
        <f t="shared" si="16"/>
        <v>1045</v>
      </c>
      <c r="B1059" s="578" t="s">
        <v>159</v>
      </c>
      <c r="C1059" s="578"/>
      <c r="D1059" s="579" t="s">
        <v>159</v>
      </c>
      <c r="E1059" s="579"/>
      <c r="F1059" s="568" t="s">
        <v>162</v>
      </c>
      <c r="G1059" s="568"/>
      <c r="H1059" s="580"/>
      <c r="I1059" s="581"/>
      <c r="J1059" s="582"/>
      <c r="K1059" s="572" t="s">
        <v>162</v>
      </c>
      <c r="L1059" s="573"/>
      <c r="M1059" s="574"/>
      <c r="N1059" s="583" t="s">
        <v>159</v>
      </c>
      <c r="O1059" s="584"/>
      <c r="P1059" s="584"/>
      <c r="Q1059" s="584"/>
      <c r="R1059" s="584"/>
      <c r="S1059" s="584"/>
      <c r="T1059" s="584"/>
      <c r="U1059" s="585"/>
    </row>
    <row r="1060" spans="1:21" ht="35.1" customHeight="1" x14ac:dyDescent="0.25">
      <c r="A1060" s="263">
        <f t="shared" si="16"/>
        <v>1046</v>
      </c>
      <c r="B1060" s="566" t="s">
        <v>444</v>
      </c>
      <c r="C1060" s="566"/>
      <c r="D1060" s="567" t="s">
        <v>159</v>
      </c>
      <c r="E1060" s="567"/>
      <c r="F1060" s="568" t="s">
        <v>162</v>
      </c>
      <c r="G1060" s="568"/>
      <c r="H1060" s="569"/>
      <c r="I1060" s="570"/>
      <c r="J1060" s="571"/>
      <c r="K1060" s="572" t="s">
        <v>162</v>
      </c>
      <c r="L1060" s="573"/>
      <c r="M1060" s="574"/>
      <c r="N1060" s="575" t="s">
        <v>159</v>
      </c>
      <c r="O1060" s="576"/>
      <c r="P1060" s="576"/>
      <c r="Q1060" s="576"/>
      <c r="R1060" s="576"/>
      <c r="S1060" s="576"/>
      <c r="T1060" s="576"/>
      <c r="U1060" s="577"/>
    </row>
    <row r="1061" spans="1:21" ht="35.1" customHeight="1" x14ac:dyDescent="0.25">
      <c r="A1061" s="263">
        <f t="shared" si="16"/>
        <v>1047</v>
      </c>
      <c r="B1061" s="578" t="s">
        <v>159</v>
      </c>
      <c r="C1061" s="578"/>
      <c r="D1061" s="579" t="s">
        <v>159</v>
      </c>
      <c r="E1061" s="579"/>
      <c r="F1061" s="568" t="s">
        <v>162</v>
      </c>
      <c r="G1061" s="568"/>
      <c r="H1061" s="580"/>
      <c r="I1061" s="581"/>
      <c r="J1061" s="582"/>
      <c r="K1061" s="572" t="s">
        <v>162</v>
      </c>
      <c r="L1061" s="573"/>
      <c r="M1061" s="574"/>
      <c r="N1061" s="583" t="s">
        <v>159</v>
      </c>
      <c r="O1061" s="584"/>
      <c r="P1061" s="584"/>
      <c r="Q1061" s="584"/>
      <c r="R1061" s="584"/>
      <c r="S1061" s="584"/>
      <c r="T1061" s="584"/>
      <c r="U1061" s="585"/>
    </row>
    <row r="1062" spans="1:21" ht="35.1" customHeight="1" x14ac:dyDescent="0.25">
      <c r="A1062" s="263">
        <f t="shared" si="16"/>
        <v>1048</v>
      </c>
      <c r="B1062" s="566" t="s">
        <v>159</v>
      </c>
      <c r="C1062" s="566"/>
      <c r="D1062" s="567" t="s">
        <v>159</v>
      </c>
      <c r="E1062" s="567"/>
      <c r="F1062" s="568" t="s">
        <v>162</v>
      </c>
      <c r="G1062" s="568"/>
      <c r="H1062" s="569"/>
      <c r="I1062" s="570"/>
      <c r="J1062" s="571"/>
      <c r="K1062" s="572" t="s">
        <v>162</v>
      </c>
      <c r="L1062" s="573"/>
      <c r="M1062" s="574"/>
      <c r="N1062" s="575" t="s">
        <v>159</v>
      </c>
      <c r="O1062" s="576"/>
      <c r="P1062" s="576"/>
      <c r="Q1062" s="576"/>
      <c r="R1062" s="576"/>
      <c r="S1062" s="576"/>
      <c r="T1062" s="576"/>
      <c r="U1062" s="577"/>
    </row>
    <row r="1063" spans="1:21" ht="35.1" customHeight="1" x14ac:dyDescent="0.25">
      <c r="A1063" s="263">
        <f t="shared" si="16"/>
        <v>1049</v>
      </c>
      <c r="B1063" s="578" t="s">
        <v>159</v>
      </c>
      <c r="C1063" s="578"/>
      <c r="D1063" s="579" t="s">
        <v>159</v>
      </c>
      <c r="E1063" s="579"/>
      <c r="F1063" s="568" t="s">
        <v>162</v>
      </c>
      <c r="G1063" s="568"/>
      <c r="H1063" s="580"/>
      <c r="I1063" s="581"/>
      <c r="J1063" s="582"/>
      <c r="K1063" s="572" t="s">
        <v>162</v>
      </c>
      <c r="L1063" s="573"/>
      <c r="M1063" s="574"/>
      <c r="N1063" s="583" t="s">
        <v>159</v>
      </c>
      <c r="O1063" s="584"/>
      <c r="P1063" s="584"/>
      <c r="Q1063" s="584"/>
      <c r="R1063" s="584"/>
      <c r="S1063" s="584"/>
      <c r="T1063" s="584"/>
      <c r="U1063" s="585"/>
    </row>
    <row r="1064" spans="1:21" ht="35.1" customHeight="1" x14ac:dyDescent="0.25">
      <c r="A1064" s="263">
        <f t="shared" si="16"/>
        <v>1050</v>
      </c>
      <c r="B1064" s="566" t="s">
        <v>159</v>
      </c>
      <c r="C1064" s="566"/>
      <c r="D1064" s="567" t="s">
        <v>159</v>
      </c>
      <c r="E1064" s="567"/>
      <c r="F1064" s="568" t="s">
        <v>162</v>
      </c>
      <c r="G1064" s="568"/>
      <c r="H1064" s="569"/>
      <c r="I1064" s="570"/>
      <c r="J1064" s="571"/>
      <c r="K1064" s="572" t="s">
        <v>162</v>
      </c>
      <c r="L1064" s="573"/>
      <c r="M1064" s="574"/>
      <c r="N1064" s="575" t="s">
        <v>159</v>
      </c>
      <c r="O1064" s="576"/>
      <c r="P1064" s="576"/>
      <c r="Q1064" s="576"/>
      <c r="R1064" s="576"/>
      <c r="S1064" s="576"/>
      <c r="T1064" s="576"/>
      <c r="U1064" s="577"/>
    </row>
    <row r="1065" spans="1:21" ht="35.1" customHeight="1" x14ac:dyDescent="0.25">
      <c r="A1065" s="263">
        <f t="shared" si="16"/>
        <v>1051</v>
      </c>
      <c r="B1065" s="578" t="s">
        <v>159</v>
      </c>
      <c r="C1065" s="578"/>
      <c r="D1065" s="579" t="s">
        <v>159</v>
      </c>
      <c r="E1065" s="579"/>
      <c r="F1065" s="568" t="s">
        <v>162</v>
      </c>
      <c r="G1065" s="568"/>
      <c r="H1065" s="580"/>
      <c r="I1065" s="581"/>
      <c r="J1065" s="582"/>
      <c r="K1065" s="572" t="s">
        <v>162</v>
      </c>
      <c r="L1065" s="573"/>
      <c r="M1065" s="574"/>
      <c r="N1065" s="583" t="s">
        <v>159</v>
      </c>
      <c r="O1065" s="584"/>
      <c r="P1065" s="584"/>
      <c r="Q1065" s="584"/>
      <c r="R1065" s="584"/>
      <c r="S1065" s="584"/>
      <c r="T1065" s="584"/>
      <c r="U1065" s="585"/>
    </row>
    <row r="1066" spans="1:21" ht="35.1" customHeight="1" x14ac:dyDescent="0.25">
      <c r="A1066" s="263">
        <f t="shared" si="16"/>
        <v>1052</v>
      </c>
      <c r="B1066" s="566" t="s">
        <v>448</v>
      </c>
      <c r="C1066" s="566"/>
      <c r="D1066" s="567" t="s">
        <v>159</v>
      </c>
      <c r="E1066" s="567"/>
      <c r="F1066" s="568" t="s">
        <v>162</v>
      </c>
      <c r="G1066" s="568"/>
      <c r="H1066" s="569"/>
      <c r="I1066" s="570"/>
      <c r="J1066" s="571"/>
      <c r="K1066" s="572" t="s">
        <v>162</v>
      </c>
      <c r="L1066" s="573"/>
      <c r="M1066" s="574"/>
      <c r="N1066" s="575" t="s">
        <v>159</v>
      </c>
      <c r="O1066" s="576"/>
      <c r="P1066" s="576"/>
      <c r="Q1066" s="576"/>
      <c r="R1066" s="576"/>
      <c r="S1066" s="576"/>
      <c r="T1066" s="576"/>
      <c r="U1066" s="577"/>
    </row>
    <row r="1067" spans="1:21" ht="35.1" customHeight="1" x14ac:dyDescent="0.25">
      <c r="A1067" s="263">
        <f t="shared" si="16"/>
        <v>1053</v>
      </c>
      <c r="B1067" s="578" t="s">
        <v>159</v>
      </c>
      <c r="C1067" s="578"/>
      <c r="D1067" s="579" t="s">
        <v>159</v>
      </c>
      <c r="E1067" s="579"/>
      <c r="F1067" s="568" t="s">
        <v>162</v>
      </c>
      <c r="G1067" s="568"/>
      <c r="H1067" s="580"/>
      <c r="I1067" s="581"/>
      <c r="J1067" s="582"/>
      <c r="K1067" s="572" t="s">
        <v>162</v>
      </c>
      <c r="L1067" s="573"/>
      <c r="M1067" s="574"/>
      <c r="N1067" s="583" t="s">
        <v>159</v>
      </c>
      <c r="O1067" s="584"/>
      <c r="P1067" s="584"/>
      <c r="Q1067" s="584"/>
      <c r="R1067" s="584"/>
      <c r="S1067" s="584"/>
      <c r="T1067" s="584"/>
      <c r="U1067" s="585"/>
    </row>
    <row r="1068" spans="1:21" ht="35.1" customHeight="1" x14ac:dyDescent="0.25">
      <c r="A1068" s="263">
        <f t="shared" si="16"/>
        <v>1054</v>
      </c>
      <c r="B1068" s="566" t="s">
        <v>159</v>
      </c>
      <c r="C1068" s="566"/>
      <c r="D1068" s="567" t="s">
        <v>159</v>
      </c>
      <c r="E1068" s="567"/>
      <c r="F1068" s="568" t="s">
        <v>162</v>
      </c>
      <c r="G1068" s="568"/>
      <c r="H1068" s="569"/>
      <c r="I1068" s="570"/>
      <c r="J1068" s="571"/>
      <c r="K1068" s="572" t="s">
        <v>162</v>
      </c>
      <c r="L1068" s="573"/>
      <c r="M1068" s="574"/>
      <c r="N1068" s="575" t="s">
        <v>159</v>
      </c>
      <c r="O1068" s="576"/>
      <c r="P1068" s="576"/>
      <c r="Q1068" s="576"/>
      <c r="R1068" s="576"/>
      <c r="S1068" s="576"/>
      <c r="T1068" s="576"/>
      <c r="U1068" s="577"/>
    </row>
    <row r="1069" spans="1:21" ht="35.1" customHeight="1" x14ac:dyDescent="0.25">
      <c r="A1069" s="263">
        <f t="shared" si="16"/>
        <v>1055</v>
      </c>
      <c r="B1069" s="578" t="s">
        <v>159</v>
      </c>
      <c r="C1069" s="578"/>
      <c r="D1069" s="579" t="s">
        <v>159</v>
      </c>
      <c r="E1069" s="579"/>
      <c r="F1069" s="568" t="s">
        <v>162</v>
      </c>
      <c r="G1069" s="568"/>
      <c r="H1069" s="580"/>
      <c r="I1069" s="581"/>
      <c r="J1069" s="582"/>
      <c r="K1069" s="572" t="s">
        <v>162</v>
      </c>
      <c r="L1069" s="573"/>
      <c r="M1069" s="574"/>
      <c r="N1069" s="583" t="s">
        <v>159</v>
      </c>
      <c r="O1069" s="584"/>
      <c r="P1069" s="584"/>
      <c r="Q1069" s="584"/>
      <c r="R1069" s="584"/>
      <c r="S1069" s="584"/>
      <c r="T1069" s="584"/>
      <c r="U1069" s="585"/>
    </row>
    <row r="1070" spans="1:21" ht="35.1" customHeight="1" x14ac:dyDescent="0.25">
      <c r="A1070" s="263">
        <f t="shared" si="16"/>
        <v>1056</v>
      </c>
      <c r="B1070" s="566" t="s">
        <v>159</v>
      </c>
      <c r="C1070" s="566"/>
      <c r="D1070" s="567" t="s">
        <v>159</v>
      </c>
      <c r="E1070" s="567"/>
      <c r="F1070" s="568" t="s">
        <v>162</v>
      </c>
      <c r="G1070" s="568"/>
      <c r="H1070" s="569"/>
      <c r="I1070" s="570"/>
      <c r="J1070" s="571"/>
      <c r="K1070" s="572" t="s">
        <v>162</v>
      </c>
      <c r="L1070" s="573"/>
      <c r="M1070" s="574"/>
      <c r="N1070" s="575" t="s">
        <v>159</v>
      </c>
      <c r="O1070" s="576"/>
      <c r="P1070" s="576"/>
      <c r="Q1070" s="576"/>
      <c r="R1070" s="576"/>
      <c r="S1070" s="576"/>
      <c r="T1070" s="576"/>
      <c r="U1070" s="577"/>
    </row>
    <row r="1071" spans="1:21" ht="35.1" customHeight="1" x14ac:dyDescent="0.25">
      <c r="A1071" s="263">
        <f t="shared" si="16"/>
        <v>1057</v>
      </c>
      <c r="B1071" s="578" t="s">
        <v>159</v>
      </c>
      <c r="C1071" s="578"/>
      <c r="D1071" s="579" t="s">
        <v>159</v>
      </c>
      <c r="E1071" s="579"/>
      <c r="F1071" s="568" t="s">
        <v>162</v>
      </c>
      <c r="G1071" s="568"/>
      <c r="H1071" s="580"/>
      <c r="I1071" s="581"/>
      <c r="J1071" s="582"/>
      <c r="K1071" s="572" t="s">
        <v>162</v>
      </c>
      <c r="L1071" s="573"/>
      <c r="M1071" s="574"/>
      <c r="N1071" s="583" t="s">
        <v>159</v>
      </c>
      <c r="O1071" s="584"/>
      <c r="P1071" s="584"/>
      <c r="Q1071" s="584"/>
      <c r="R1071" s="584"/>
      <c r="S1071" s="584"/>
      <c r="T1071" s="584"/>
      <c r="U1071" s="585"/>
    </row>
    <row r="1072" spans="1:21" ht="35.1" customHeight="1" x14ac:dyDescent="0.25">
      <c r="A1072" s="263">
        <f t="shared" si="16"/>
        <v>1058</v>
      </c>
      <c r="B1072" s="566" t="s">
        <v>159</v>
      </c>
      <c r="C1072" s="566"/>
      <c r="D1072" s="567" t="s">
        <v>159</v>
      </c>
      <c r="E1072" s="567"/>
      <c r="F1072" s="568" t="s">
        <v>162</v>
      </c>
      <c r="G1072" s="568"/>
      <c r="H1072" s="569"/>
      <c r="I1072" s="570"/>
      <c r="J1072" s="571"/>
      <c r="K1072" s="572" t="s">
        <v>162</v>
      </c>
      <c r="L1072" s="573"/>
      <c r="M1072" s="574"/>
      <c r="N1072" s="575" t="s">
        <v>159</v>
      </c>
      <c r="O1072" s="576"/>
      <c r="P1072" s="576"/>
      <c r="Q1072" s="576"/>
      <c r="R1072" s="576"/>
      <c r="S1072" s="576"/>
      <c r="T1072" s="576"/>
      <c r="U1072" s="577"/>
    </row>
    <row r="1073" spans="1:21" ht="35.1" customHeight="1" x14ac:dyDescent="0.25">
      <c r="A1073" s="263">
        <f t="shared" si="16"/>
        <v>1059</v>
      </c>
      <c r="B1073" s="578" t="s">
        <v>159</v>
      </c>
      <c r="C1073" s="578"/>
      <c r="D1073" s="579" t="s">
        <v>159</v>
      </c>
      <c r="E1073" s="579"/>
      <c r="F1073" s="568" t="s">
        <v>162</v>
      </c>
      <c r="G1073" s="568"/>
      <c r="H1073" s="580"/>
      <c r="I1073" s="581"/>
      <c r="J1073" s="582"/>
      <c r="K1073" s="572" t="s">
        <v>162</v>
      </c>
      <c r="L1073" s="573"/>
      <c r="M1073" s="574"/>
      <c r="N1073" s="583" t="s">
        <v>159</v>
      </c>
      <c r="O1073" s="584"/>
      <c r="P1073" s="584"/>
      <c r="Q1073" s="584"/>
      <c r="R1073" s="584"/>
      <c r="S1073" s="584"/>
      <c r="T1073" s="584"/>
      <c r="U1073" s="585"/>
    </row>
    <row r="1074" spans="1:21" ht="35.1" customHeight="1" x14ac:dyDescent="0.25">
      <c r="A1074" s="263">
        <f t="shared" si="16"/>
        <v>1060</v>
      </c>
      <c r="B1074" s="566" t="s">
        <v>159</v>
      </c>
      <c r="C1074" s="566"/>
      <c r="D1074" s="567" t="s">
        <v>159</v>
      </c>
      <c r="E1074" s="567"/>
      <c r="F1074" s="568" t="s">
        <v>162</v>
      </c>
      <c r="G1074" s="568"/>
      <c r="H1074" s="569"/>
      <c r="I1074" s="570"/>
      <c r="J1074" s="571"/>
      <c r="K1074" s="572" t="s">
        <v>162</v>
      </c>
      <c r="L1074" s="573"/>
      <c r="M1074" s="574"/>
      <c r="N1074" s="575" t="s">
        <v>159</v>
      </c>
      <c r="O1074" s="576"/>
      <c r="P1074" s="576"/>
      <c r="Q1074" s="576"/>
      <c r="R1074" s="576"/>
      <c r="S1074" s="576"/>
      <c r="T1074" s="576"/>
      <c r="U1074" s="577"/>
    </row>
    <row r="1075" spans="1:21" ht="35.1" customHeight="1" x14ac:dyDescent="0.25">
      <c r="A1075" s="263">
        <f t="shared" si="16"/>
        <v>1061</v>
      </c>
      <c r="B1075" s="578" t="s">
        <v>159</v>
      </c>
      <c r="C1075" s="578"/>
      <c r="D1075" s="579" t="s">
        <v>159</v>
      </c>
      <c r="E1075" s="579"/>
      <c r="F1075" s="568" t="s">
        <v>162</v>
      </c>
      <c r="G1075" s="568"/>
      <c r="H1075" s="580"/>
      <c r="I1075" s="581"/>
      <c r="J1075" s="582"/>
      <c r="K1075" s="572" t="s">
        <v>162</v>
      </c>
      <c r="L1075" s="573"/>
      <c r="M1075" s="574"/>
      <c r="N1075" s="583" t="s">
        <v>159</v>
      </c>
      <c r="O1075" s="584"/>
      <c r="P1075" s="584"/>
      <c r="Q1075" s="584"/>
      <c r="R1075" s="584"/>
      <c r="S1075" s="584"/>
      <c r="T1075" s="584"/>
      <c r="U1075" s="585"/>
    </row>
    <row r="1076" spans="1:21" ht="35.1" customHeight="1" x14ac:dyDescent="0.25">
      <c r="A1076" s="263">
        <f t="shared" si="16"/>
        <v>1062</v>
      </c>
      <c r="B1076" s="566" t="s">
        <v>159</v>
      </c>
      <c r="C1076" s="566"/>
      <c r="D1076" s="567" t="s">
        <v>159</v>
      </c>
      <c r="E1076" s="567"/>
      <c r="F1076" s="568" t="s">
        <v>162</v>
      </c>
      <c r="G1076" s="568"/>
      <c r="H1076" s="569"/>
      <c r="I1076" s="570"/>
      <c r="J1076" s="571"/>
      <c r="K1076" s="572" t="s">
        <v>162</v>
      </c>
      <c r="L1076" s="573"/>
      <c r="M1076" s="574"/>
      <c r="N1076" s="575" t="s">
        <v>159</v>
      </c>
      <c r="O1076" s="576"/>
      <c r="P1076" s="576"/>
      <c r="Q1076" s="576"/>
      <c r="R1076" s="576"/>
      <c r="S1076" s="576"/>
      <c r="T1076" s="576"/>
      <c r="U1076" s="577"/>
    </row>
    <row r="1077" spans="1:21" ht="35.1" customHeight="1" x14ac:dyDescent="0.25">
      <c r="A1077" s="263">
        <f t="shared" si="16"/>
        <v>1063</v>
      </c>
      <c r="B1077" s="578" t="s">
        <v>159</v>
      </c>
      <c r="C1077" s="578"/>
      <c r="D1077" s="579" t="s">
        <v>159</v>
      </c>
      <c r="E1077" s="579"/>
      <c r="F1077" s="568" t="s">
        <v>162</v>
      </c>
      <c r="G1077" s="568"/>
      <c r="H1077" s="580"/>
      <c r="I1077" s="581"/>
      <c r="J1077" s="582"/>
      <c r="K1077" s="572" t="s">
        <v>162</v>
      </c>
      <c r="L1077" s="573"/>
      <c r="M1077" s="574"/>
      <c r="N1077" s="583" t="s">
        <v>159</v>
      </c>
      <c r="O1077" s="584"/>
      <c r="P1077" s="584"/>
      <c r="Q1077" s="584"/>
      <c r="R1077" s="584"/>
      <c r="S1077" s="584"/>
      <c r="T1077" s="584"/>
      <c r="U1077" s="585"/>
    </row>
    <row r="1078" spans="1:21" ht="35.1" customHeight="1" x14ac:dyDescent="0.25">
      <c r="A1078" s="263">
        <f t="shared" si="16"/>
        <v>1064</v>
      </c>
      <c r="B1078" s="566" t="s">
        <v>159</v>
      </c>
      <c r="C1078" s="566"/>
      <c r="D1078" s="567" t="s">
        <v>159</v>
      </c>
      <c r="E1078" s="567"/>
      <c r="F1078" s="568" t="s">
        <v>162</v>
      </c>
      <c r="G1078" s="568"/>
      <c r="H1078" s="569"/>
      <c r="I1078" s="570"/>
      <c r="J1078" s="571"/>
      <c r="K1078" s="572" t="s">
        <v>162</v>
      </c>
      <c r="L1078" s="573"/>
      <c r="M1078" s="574"/>
      <c r="N1078" s="575" t="s">
        <v>159</v>
      </c>
      <c r="O1078" s="576"/>
      <c r="P1078" s="576"/>
      <c r="Q1078" s="576"/>
      <c r="R1078" s="576"/>
      <c r="S1078" s="576"/>
      <c r="T1078" s="576"/>
      <c r="U1078" s="577"/>
    </row>
    <row r="1079" spans="1:21" ht="35.1" customHeight="1" x14ac:dyDescent="0.25">
      <c r="A1079" s="263">
        <f t="shared" si="16"/>
        <v>1065</v>
      </c>
      <c r="B1079" s="578" t="s">
        <v>447</v>
      </c>
      <c r="C1079" s="578"/>
      <c r="D1079" s="579" t="s">
        <v>159</v>
      </c>
      <c r="E1079" s="579"/>
      <c r="F1079" s="568" t="s">
        <v>162</v>
      </c>
      <c r="G1079" s="568"/>
      <c r="H1079" s="580"/>
      <c r="I1079" s="581"/>
      <c r="J1079" s="582"/>
      <c r="K1079" s="572" t="s">
        <v>162</v>
      </c>
      <c r="L1079" s="573"/>
      <c r="M1079" s="574"/>
      <c r="N1079" s="583" t="s">
        <v>159</v>
      </c>
      <c r="O1079" s="584"/>
      <c r="P1079" s="584"/>
      <c r="Q1079" s="584"/>
      <c r="R1079" s="584"/>
      <c r="S1079" s="584"/>
      <c r="T1079" s="584"/>
      <c r="U1079" s="585"/>
    </row>
    <row r="1080" spans="1:21" ht="35.1" customHeight="1" x14ac:dyDescent="0.25">
      <c r="A1080" s="263">
        <f t="shared" si="16"/>
        <v>1066</v>
      </c>
      <c r="B1080" s="566" t="s">
        <v>159</v>
      </c>
      <c r="C1080" s="566"/>
      <c r="D1080" s="567" t="s">
        <v>159</v>
      </c>
      <c r="E1080" s="567"/>
      <c r="F1080" s="568" t="s">
        <v>162</v>
      </c>
      <c r="G1080" s="568"/>
      <c r="H1080" s="569"/>
      <c r="I1080" s="570"/>
      <c r="J1080" s="571"/>
      <c r="K1080" s="572" t="s">
        <v>162</v>
      </c>
      <c r="L1080" s="573"/>
      <c r="M1080" s="574"/>
      <c r="N1080" s="575" t="s">
        <v>159</v>
      </c>
      <c r="O1080" s="576"/>
      <c r="P1080" s="576"/>
      <c r="Q1080" s="576"/>
      <c r="R1080" s="576"/>
      <c r="S1080" s="576"/>
      <c r="T1080" s="576"/>
      <c r="U1080" s="577"/>
    </row>
    <row r="1081" spans="1:21" ht="35.1" customHeight="1" x14ac:dyDescent="0.25">
      <c r="A1081" s="263">
        <f t="shared" si="16"/>
        <v>1067</v>
      </c>
      <c r="B1081" s="578" t="s">
        <v>159</v>
      </c>
      <c r="C1081" s="578"/>
      <c r="D1081" s="579" t="s">
        <v>159</v>
      </c>
      <c r="E1081" s="579"/>
      <c r="F1081" s="568" t="s">
        <v>162</v>
      </c>
      <c r="G1081" s="568"/>
      <c r="H1081" s="580"/>
      <c r="I1081" s="581"/>
      <c r="J1081" s="582"/>
      <c r="K1081" s="572" t="s">
        <v>162</v>
      </c>
      <c r="L1081" s="573"/>
      <c r="M1081" s="574"/>
      <c r="N1081" s="583" t="s">
        <v>159</v>
      </c>
      <c r="O1081" s="584"/>
      <c r="P1081" s="584"/>
      <c r="Q1081" s="584"/>
      <c r="R1081" s="584"/>
      <c r="S1081" s="584"/>
      <c r="T1081" s="584"/>
      <c r="U1081" s="585"/>
    </row>
    <row r="1082" spans="1:21" ht="35.1" customHeight="1" x14ac:dyDescent="0.25">
      <c r="A1082" s="263">
        <f t="shared" si="16"/>
        <v>1068</v>
      </c>
      <c r="B1082" s="566" t="s">
        <v>159</v>
      </c>
      <c r="C1082" s="566"/>
      <c r="D1082" s="567" t="s">
        <v>159</v>
      </c>
      <c r="E1082" s="567"/>
      <c r="F1082" s="568" t="s">
        <v>162</v>
      </c>
      <c r="G1082" s="568"/>
      <c r="H1082" s="569"/>
      <c r="I1082" s="570"/>
      <c r="J1082" s="571"/>
      <c r="K1082" s="572" t="s">
        <v>162</v>
      </c>
      <c r="L1082" s="573"/>
      <c r="M1082" s="574"/>
      <c r="N1082" s="575" t="s">
        <v>159</v>
      </c>
      <c r="O1082" s="576"/>
      <c r="P1082" s="576"/>
      <c r="Q1082" s="576"/>
      <c r="R1082" s="576"/>
      <c r="S1082" s="576"/>
      <c r="T1082" s="576"/>
      <c r="U1082" s="577"/>
    </row>
    <row r="1083" spans="1:21" ht="35.1" customHeight="1" x14ac:dyDescent="0.25">
      <c r="A1083" s="263">
        <f t="shared" si="16"/>
        <v>1069</v>
      </c>
      <c r="B1083" s="578" t="s">
        <v>159</v>
      </c>
      <c r="C1083" s="578"/>
      <c r="D1083" s="579" t="s">
        <v>159</v>
      </c>
      <c r="E1083" s="579"/>
      <c r="F1083" s="568" t="s">
        <v>162</v>
      </c>
      <c r="G1083" s="568"/>
      <c r="H1083" s="580"/>
      <c r="I1083" s="581"/>
      <c r="J1083" s="582"/>
      <c r="K1083" s="572" t="s">
        <v>162</v>
      </c>
      <c r="L1083" s="573"/>
      <c r="M1083" s="574"/>
      <c r="N1083" s="583" t="s">
        <v>159</v>
      </c>
      <c r="O1083" s="584"/>
      <c r="P1083" s="584"/>
      <c r="Q1083" s="584"/>
      <c r="R1083" s="584"/>
      <c r="S1083" s="584"/>
      <c r="T1083" s="584"/>
      <c r="U1083" s="585"/>
    </row>
    <row r="1084" spans="1:21" ht="35.1" customHeight="1" x14ac:dyDescent="0.25">
      <c r="A1084" s="263">
        <f t="shared" si="16"/>
        <v>1070</v>
      </c>
      <c r="B1084" s="566" t="s">
        <v>159</v>
      </c>
      <c r="C1084" s="566"/>
      <c r="D1084" s="567" t="s">
        <v>159</v>
      </c>
      <c r="E1084" s="567"/>
      <c r="F1084" s="568" t="s">
        <v>162</v>
      </c>
      <c r="G1084" s="568"/>
      <c r="H1084" s="569"/>
      <c r="I1084" s="570"/>
      <c r="J1084" s="571"/>
      <c r="K1084" s="572" t="s">
        <v>162</v>
      </c>
      <c r="L1084" s="573"/>
      <c r="M1084" s="574"/>
      <c r="N1084" s="575" t="s">
        <v>159</v>
      </c>
      <c r="O1084" s="576"/>
      <c r="P1084" s="576"/>
      <c r="Q1084" s="576"/>
      <c r="R1084" s="576"/>
      <c r="S1084" s="576"/>
      <c r="T1084" s="576"/>
      <c r="U1084" s="577"/>
    </row>
    <row r="1085" spans="1:21" ht="35.1" customHeight="1" x14ac:dyDescent="0.25">
      <c r="A1085" s="263">
        <f t="shared" si="16"/>
        <v>1071</v>
      </c>
      <c r="B1085" s="578" t="s">
        <v>159</v>
      </c>
      <c r="C1085" s="578"/>
      <c r="D1085" s="579" t="s">
        <v>159</v>
      </c>
      <c r="E1085" s="579"/>
      <c r="F1085" s="568" t="s">
        <v>162</v>
      </c>
      <c r="G1085" s="568"/>
      <c r="H1085" s="580"/>
      <c r="I1085" s="581"/>
      <c r="J1085" s="582"/>
      <c r="K1085" s="572" t="s">
        <v>162</v>
      </c>
      <c r="L1085" s="573"/>
      <c r="M1085" s="574"/>
      <c r="N1085" s="583" t="s">
        <v>159</v>
      </c>
      <c r="O1085" s="584"/>
      <c r="P1085" s="584"/>
      <c r="Q1085" s="584"/>
      <c r="R1085" s="584"/>
      <c r="S1085" s="584"/>
      <c r="T1085" s="584"/>
      <c r="U1085" s="585"/>
    </row>
    <row r="1086" spans="1:21" ht="35.1" customHeight="1" x14ac:dyDescent="0.25">
      <c r="A1086" s="263">
        <f t="shared" si="16"/>
        <v>1072</v>
      </c>
      <c r="B1086" s="566" t="s">
        <v>159</v>
      </c>
      <c r="C1086" s="566"/>
      <c r="D1086" s="567" t="s">
        <v>159</v>
      </c>
      <c r="E1086" s="567"/>
      <c r="F1086" s="568" t="s">
        <v>162</v>
      </c>
      <c r="G1086" s="568"/>
      <c r="H1086" s="569"/>
      <c r="I1086" s="570"/>
      <c r="J1086" s="571"/>
      <c r="K1086" s="572" t="s">
        <v>162</v>
      </c>
      <c r="L1086" s="573"/>
      <c r="M1086" s="574"/>
      <c r="N1086" s="575" t="s">
        <v>159</v>
      </c>
      <c r="O1086" s="576"/>
      <c r="P1086" s="576"/>
      <c r="Q1086" s="576"/>
      <c r="R1086" s="576"/>
      <c r="S1086" s="576"/>
      <c r="T1086" s="576"/>
      <c r="U1086" s="577"/>
    </row>
    <row r="1087" spans="1:21" ht="35.1" customHeight="1" x14ac:dyDescent="0.25">
      <c r="A1087" s="263">
        <f t="shared" si="16"/>
        <v>1073</v>
      </c>
      <c r="B1087" s="578" t="s">
        <v>159</v>
      </c>
      <c r="C1087" s="578"/>
      <c r="D1087" s="579" t="s">
        <v>159</v>
      </c>
      <c r="E1087" s="579"/>
      <c r="F1087" s="568" t="s">
        <v>162</v>
      </c>
      <c r="G1087" s="568"/>
      <c r="H1087" s="580"/>
      <c r="I1087" s="581"/>
      <c r="J1087" s="582"/>
      <c r="K1087" s="572" t="s">
        <v>162</v>
      </c>
      <c r="L1087" s="573"/>
      <c r="M1087" s="574"/>
      <c r="N1087" s="583" t="s">
        <v>159</v>
      </c>
      <c r="O1087" s="584"/>
      <c r="P1087" s="584"/>
      <c r="Q1087" s="584"/>
      <c r="R1087" s="584"/>
      <c r="S1087" s="584"/>
      <c r="T1087" s="584"/>
      <c r="U1087" s="585"/>
    </row>
    <row r="1088" spans="1:21" ht="35.1" customHeight="1" x14ac:dyDescent="0.25">
      <c r="A1088" s="263">
        <f t="shared" si="16"/>
        <v>1074</v>
      </c>
      <c r="B1088" s="566" t="s">
        <v>444</v>
      </c>
      <c r="C1088" s="566"/>
      <c r="D1088" s="567" t="s">
        <v>159</v>
      </c>
      <c r="E1088" s="567"/>
      <c r="F1088" s="568" t="s">
        <v>162</v>
      </c>
      <c r="G1088" s="568"/>
      <c r="H1088" s="569"/>
      <c r="I1088" s="570"/>
      <c r="J1088" s="571"/>
      <c r="K1088" s="572" t="s">
        <v>162</v>
      </c>
      <c r="L1088" s="573"/>
      <c r="M1088" s="574"/>
      <c r="N1088" s="575" t="s">
        <v>159</v>
      </c>
      <c r="O1088" s="576"/>
      <c r="P1088" s="576"/>
      <c r="Q1088" s="576"/>
      <c r="R1088" s="576"/>
      <c r="S1088" s="576"/>
      <c r="T1088" s="576"/>
      <c r="U1088" s="577"/>
    </row>
    <row r="1089" spans="1:21" ht="35.1" customHeight="1" x14ac:dyDescent="0.25">
      <c r="A1089" s="263">
        <f t="shared" si="16"/>
        <v>1075</v>
      </c>
      <c r="B1089" s="578" t="s">
        <v>159</v>
      </c>
      <c r="C1089" s="578"/>
      <c r="D1089" s="579" t="s">
        <v>159</v>
      </c>
      <c r="E1089" s="579"/>
      <c r="F1089" s="568" t="s">
        <v>162</v>
      </c>
      <c r="G1089" s="568"/>
      <c r="H1089" s="580"/>
      <c r="I1089" s="581"/>
      <c r="J1089" s="582"/>
      <c r="K1089" s="572" t="s">
        <v>162</v>
      </c>
      <c r="L1089" s="573"/>
      <c r="M1089" s="574"/>
      <c r="N1089" s="583" t="s">
        <v>159</v>
      </c>
      <c r="O1089" s="584"/>
      <c r="P1089" s="584"/>
      <c r="Q1089" s="584"/>
      <c r="R1089" s="584"/>
      <c r="S1089" s="584"/>
      <c r="T1089" s="584"/>
      <c r="U1089" s="585"/>
    </row>
    <row r="1090" spans="1:21" ht="35.1" customHeight="1" x14ac:dyDescent="0.25">
      <c r="A1090" s="263">
        <f t="shared" si="16"/>
        <v>1076</v>
      </c>
      <c r="B1090" s="566" t="s">
        <v>159</v>
      </c>
      <c r="C1090" s="566"/>
      <c r="D1090" s="567" t="s">
        <v>159</v>
      </c>
      <c r="E1090" s="567"/>
      <c r="F1090" s="568" t="s">
        <v>162</v>
      </c>
      <c r="G1090" s="568"/>
      <c r="H1090" s="569"/>
      <c r="I1090" s="570"/>
      <c r="J1090" s="571"/>
      <c r="K1090" s="572" t="s">
        <v>162</v>
      </c>
      <c r="L1090" s="573"/>
      <c r="M1090" s="574"/>
      <c r="N1090" s="575" t="s">
        <v>159</v>
      </c>
      <c r="O1090" s="576"/>
      <c r="P1090" s="576"/>
      <c r="Q1090" s="576"/>
      <c r="R1090" s="576"/>
      <c r="S1090" s="576"/>
      <c r="T1090" s="576"/>
      <c r="U1090" s="577"/>
    </row>
    <row r="1091" spans="1:21" ht="35.1" customHeight="1" x14ac:dyDescent="0.25">
      <c r="A1091" s="263">
        <f t="shared" si="16"/>
        <v>1077</v>
      </c>
      <c r="B1091" s="578" t="s">
        <v>159</v>
      </c>
      <c r="C1091" s="578"/>
      <c r="D1091" s="579" t="s">
        <v>159</v>
      </c>
      <c r="E1091" s="579"/>
      <c r="F1091" s="568" t="s">
        <v>162</v>
      </c>
      <c r="G1091" s="568"/>
      <c r="H1091" s="580"/>
      <c r="I1091" s="581"/>
      <c r="J1091" s="582"/>
      <c r="K1091" s="572" t="s">
        <v>162</v>
      </c>
      <c r="L1091" s="573"/>
      <c r="M1091" s="574"/>
      <c r="N1091" s="583" t="s">
        <v>159</v>
      </c>
      <c r="O1091" s="584"/>
      <c r="P1091" s="584"/>
      <c r="Q1091" s="584"/>
      <c r="R1091" s="584"/>
      <c r="S1091" s="584"/>
      <c r="T1091" s="584"/>
      <c r="U1091" s="585"/>
    </row>
    <row r="1092" spans="1:21" ht="35.1" customHeight="1" x14ac:dyDescent="0.25">
      <c r="A1092" s="263">
        <f t="shared" si="16"/>
        <v>1078</v>
      </c>
      <c r="B1092" s="566" t="s">
        <v>159</v>
      </c>
      <c r="C1092" s="566"/>
      <c r="D1092" s="567" t="s">
        <v>159</v>
      </c>
      <c r="E1092" s="567"/>
      <c r="F1092" s="568" t="s">
        <v>162</v>
      </c>
      <c r="G1092" s="568"/>
      <c r="H1092" s="569"/>
      <c r="I1092" s="570"/>
      <c r="J1092" s="571"/>
      <c r="K1092" s="572" t="s">
        <v>162</v>
      </c>
      <c r="L1092" s="573"/>
      <c r="M1092" s="574"/>
      <c r="N1092" s="575" t="s">
        <v>159</v>
      </c>
      <c r="O1092" s="576"/>
      <c r="P1092" s="576"/>
      <c r="Q1092" s="576"/>
      <c r="R1092" s="576"/>
      <c r="S1092" s="576"/>
      <c r="T1092" s="576"/>
      <c r="U1092" s="577"/>
    </row>
    <row r="1093" spans="1:21" ht="35.1" customHeight="1" x14ac:dyDescent="0.25">
      <c r="A1093" s="263">
        <f t="shared" si="16"/>
        <v>1079</v>
      </c>
      <c r="B1093" s="578" t="s">
        <v>159</v>
      </c>
      <c r="C1093" s="578"/>
      <c r="D1093" s="579" t="s">
        <v>159</v>
      </c>
      <c r="E1093" s="579"/>
      <c r="F1093" s="568" t="s">
        <v>162</v>
      </c>
      <c r="G1093" s="568"/>
      <c r="H1093" s="580"/>
      <c r="I1093" s="581"/>
      <c r="J1093" s="582"/>
      <c r="K1093" s="572" t="s">
        <v>162</v>
      </c>
      <c r="L1093" s="573"/>
      <c r="M1093" s="574"/>
      <c r="N1093" s="583" t="s">
        <v>159</v>
      </c>
      <c r="O1093" s="584"/>
      <c r="P1093" s="584"/>
      <c r="Q1093" s="584"/>
      <c r="R1093" s="584"/>
      <c r="S1093" s="584"/>
      <c r="T1093" s="584"/>
      <c r="U1093" s="585"/>
    </row>
    <row r="1094" spans="1:21" ht="35.1" customHeight="1" x14ac:dyDescent="0.25">
      <c r="A1094" s="263">
        <f t="shared" si="16"/>
        <v>1080</v>
      </c>
      <c r="B1094" s="566" t="s">
        <v>159</v>
      </c>
      <c r="C1094" s="566"/>
      <c r="D1094" s="567" t="s">
        <v>159</v>
      </c>
      <c r="E1094" s="567"/>
      <c r="F1094" s="568" t="s">
        <v>162</v>
      </c>
      <c r="G1094" s="568"/>
      <c r="H1094" s="569"/>
      <c r="I1094" s="570"/>
      <c r="J1094" s="571"/>
      <c r="K1094" s="572" t="s">
        <v>162</v>
      </c>
      <c r="L1094" s="573"/>
      <c r="M1094" s="574"/>
      <c r="N1094" s="575" t="s">
        <v>159</v>
      </c>
      <c r="O1094" s="576"/>
      <c r="P1094" s="576"/>
      <c r="Q1094" s="576"/>
      <c r="R1094" s="576"/>
      <c r="S1094" s="576"/>
      <c r="T1094" s="576"/>
      <c r="U1094" s="577"/>
    </row>
    <row r="1095" spans="1:21" ht="35.1" customHeight="1" x14ac:dyDescent="0.25">
      <c r="A1095" s="263">
        <f t="shared" si="16"/>
        <v>1081</v>
      </c>
      <c r="B1095" s="578" t="s">
        <v>159</v>
      </c>
      <c r="C1095" s="578"/>
      <c r="D1095" s="579" t="s">
        <v>159</v>
      </c>
      <c r="E1095" s="579"/>
      <c r="F1095" s="568" t="s">
        <v>162</v>
      </c>
      <c r="G1095" s="568"/>
      <c r="H1095" s="580"/>
      <c r="I1095" s="581"/>
      <c r="J1095" s="582"/>
      <c r="K1095" s="572" t="s">
        <v>162</v>
      </c>
      <c r="L1095" s="573"/>
      <c r="M1095" s="574"/>
      <c r="N1095" s="583" t="s">
        <v>159</v>
      </c>
      <c r="O1095" s="584"/>
      <c r="P1095" s="584"/>
      <c r="Q1095" s="584"/>
      <c r="R1095" s="584"/>
      <c r="S1095" s="584"/>
      <c r="T1095" s="584"/>
      <c r="U1095" s="585"/>
    </row>
    <row r="1096" spans="1:21" ht="35.1" customHeight="1" x14ac:dyDescent="0.25">
      <c r="A1096" s="263">
        <f t="shared" si="16"/>
        <v>1082</v>
      </c>
      <c r="B1096" s="566" t="s">
        <v>450</v>
      </c>
      <c r="C1096" s="566"/>
      <c r="D1096" s="567" t="s">
        <v>159</v>
      </c>
      <c r="E1096" s="567"/>
      <c r="F1096" s="568" t="s">
        <v>162</v>
      </c>
      <c r="G1096" s="568"/>
      <c r="H1096" s="569"/>
      <c r="I1096" s="570"/>
      <c r="J1096" s="571"/>
      <c r="K1096" s="572" t="s">
        <v>162</v>
      </c>
      <c r="L1096" s="573"/>
      <c r="M1096" s="574"/>
      <c r="N1096" s="575" t="s">
        <v>159</v>
      </c>
      <c r="O1096" s="576"/>
      <c r="P1096" s="576"/>
      <c r="Q1096" s="576"/>
      <c r="R1096" s="576"/>
      <c r="S1096" s="576"/>
      <c r="T1096" s="576"/>
      <c r="U1096" s="577"/>
    </row>
    <row r="1097" spans="1:21" ht="35.1" customHeight="1" x14ac:dyDescent="0.25">
      <c r="A1097" s="263">
        <f t="shared" si="16"/>
        <v>1083</v>
      </c>
      <c r="B1097" s="578" t="s">
        <v>159</v>
      </c>
      <c r="C1097" s="578"/>
      <c r="D1097" s="579" t="s">
        <v>159</v>
      </c>
      <c r="E1097" s="579"/>
      <c r="F1097" s="568" t="s">
        <v>162</v>
      </c>
      <c r="G1097" s="568"/>
      <c r="H1097" s="580"/>
      <c r="I1097" s="581"/>
      <c r="J1097" s="582"/>
      <c r="K1097" s="572" t="s">
        <v>162</v>
      </c>
      <c r="L1097" s="573"/>
      <c r="M1097" s="574"/>
      <c r="N1097" s="583" t="s">
        <v>159</v>
      </c>
      <c r="O1097" s="584"/>
      <c r="P1097" s="584"/>
      <c r="Q1097" s="584"/>
      <c r="R1097" s="584"/>
      <c r="S1097" s="584"/>
      <c r="T1097" s="584"/>
      <c r="U1097" s="585"/>
    </row>
    <row r="1098" spans="1:21" ht="35.1" customHeight="1" x14ac:dyDescent="0.25">
      <c r="A1098" s="263">
        <f t="shared" si="16"/>
        <v>1084</v>
      </c>
      <c r="B1098" s="566" t="s">
        <v>159</v>
      </c>
      <c r="C1098" s="566"/>
      <c r="D1098" s="567" t="s">
        <v>159</v>
      </c>
      <c r="E1098" s="567"/>
      <c r="F1098" s="568" t="s">
        <v>162</v>
      </c>
      <c r="G1098" s="568"/>
      <c r="H1098" s="569"/>
      <c r="I1098" s="570"/>
      <c r="J1098" s="571"/>
      <c r="K1098" s="572" t="s">
        <v>162</v>
      </c>
      <c r="L1098" s="573"/>
      <c r="M1098" s="574"/>
      <c r="N1098" s="575" t="s">
        <v>159</v>
      </c>
      <c r="O1098" s="576"/>
      <c r="P1098" s="576"/>
      <c r="Q1098" s="576"/>
      <c r="R1098" s="576"/>
      <c r="S1098" s="576"/>
      <c r="T1098" s="576"/>
      <c r="U1098" s="577"/>
    </row>
    <row r="1099" spans="1:21" ht="35.1" customHeight="1" x14ac:dyDescent="0.25">
      <c r="A1099" s="263">
        <f t="shared" si="16"/>
        <v>1085</v>
      </c>
      <c r="B1099" s="578" t="s">
        <v>159</v>
      </c>
      <c r="C1099" s="578"/>
      <c r="D1099" s="579" t="s">
        <v>159</v>
      </c>
      <c r="E1099" s="579"/>
      <c r="F1099" s="568" t="s">
        <v>162</v>
      </c>
      <c r="G1099" s="568"/>
      <c r="H1099" s="580"/>
      <c r="I1099" s="581"/>
      <c r="J1099" s="582"/>
      <c r="K1099" s="572" t="s">
        <v>162</v>
      </c>
      <c r="L1099" s="573"/>
      <c r="M1099" s="574"/>
      <c r="N1099" s="583" t="s">
        <v>159</v>
      </c>
      <c r="O1099" s="584"/>
      <c r="P1099" s="584"/>
      <c r="Q1099" s="584"/>
      <c r="R1099" s="584"/>
      <c r="S1099" s="584"/>
      <c r="T1099" s="584"/>
      <c r="U1099" s="585"/>
    </row>
    <row r="1100" spans="1:21" ht="35.1" customHeight="1" x14ac:dyDescent="0.25">
      <c r="A1100" s="263">
        <f t="shared" si="16"/>
        <v>1086</v>
      </c>
      <c r="B1100" s="566" t="s">
        <v>159</v>
      </c>
      <c r="C1100" s="566"/>
      <c r="D1100" s="567" t="s">
        <v>159</v>
      </c>
      <c r="E1100" s="567"/>
      <c r="F1100" s="568" t="s">
        <v>162</v>
      </c>
      <c r="G1100" s="568"/>
      <c r="H1100" s="569"/>
      <c r="I1100" s="570"/>
      <c r="J1100" s="571"/>
      <c r="K1100" s="572" t="s">
        <v>162</v>
      </c>
      <c r="L1100" s="573"/>
      <c r="M1100" s="574"/>
      <c r="N1100" s="575" t="s">
        <v>159</v>
      </c>
      <c r="O1100" s="576"/>
      <c r="P1100" s="576"/>
      <c r="Q1100" s="576"/>
      <c r="R1100" s="576"/>
      <c r="S1100" s="576"/>
      <c r="T1100" s="576"/>
      <c r="U1100" s="577"/>
    </row>
    <row r="1101" spans="1:21" ht="35.1" customHeight="1" x14ac:dyDescent="0.25">
      <c r="A1101" s="263">
        <f t="shared" si="16"/>
        <v>1087</v>
      </c>
      <c r="B1101" s="578" t="s">
        <v>159</v>
      </c>
      <c r="C1101" s="578"/>
      <c r="D1101" s="579" t="s">
        <v>159</v>
      </c>
      <c r="E1101" s="579"/>
      <c r="F1101" s="568" t="s">
        <v>162</v>
      </c>
      <c r="G1101" s="568"/>
      <c r="H1101" s="580"/>
      <c r="I1101" s="581"/>
      <c r="J1101" s="582"/>
      <c r="K1101" s="572" t="s">
        <v>162</v>
      </c>
      <c r="L1101" s="573"/>
      <c r="M1101" s="574"/>
      <c r="N1101" s="583" t="s">
        <v>159</v>
      </c>
      <c r="O1101" s="584"/>
      <c r="P1101" s="584"/>
      <c r="Q1101" s="584"/>
      <c r="R1101" s="584"/>
      <c r="S1101" s="584"/>
      <c r="T1101" s="584"/>
      <c r="U1101" s="585"/>
    </row>
    <row r="1102" spans="1:21" ht="35.1" customHeight="1" x14ac:dyDescent="0.25">
      <c r="A1102" s="263">
        <f t="shared" si="16"/>
        <v>1088</v>
      </c>
      <c r="B1102" s="566" t="s">
        <v>159</v>
      </c>
      <c r="C1102" s="566"/>
      <c r="D1102" s="567" t="s">
        <v>159</v>
      </c>
      <c r="E1102" s="567"/>
      <c r="F1102" s="568" t="s">
        <v>162</v>
      </c>
      <c r="G1102" s="568"/>
      <c r="H1102" s="569"/>
      <c r="I1102" s="570"/>
      <c r="J1102" s="571"/>
      <c r="K1102" s="572" t="s">
        <v>162</v>
      </c>
      <c r="L1102" s="573"/>
      <c r="M1102" s="574"/>
      <c r="N1102" s="575" t="s">
        <v>159</v>
      </c>
      <c r="O1102" s="576"/>
      <c r="P1102" s="576"/>
      <c r="Q1102" s="576"/>
      <c r="R1102" s="576"/>
      <c r="S1102" s="576"/>
      <c r="T1102" s="576"/>
      <c r="U1102" s="577"/>
    </row>
    <row r="1103" spans="1:21" ht="35.1" customHeight="1" x14ac:dyDescent="0.25">
      <c r="A1103" s="263">
        <f t="shared" ref="A1103:A1166" si="17">ROW(A1089)</f>
        <v>1089</v>
      </c>
      <c r="B1103" s="578" t="s">
        <v>159</v>
      </c>
      <c r="C1103" s="578"/>
      <c r="D1103" s="579" t="s">
        <v>159</v>
      </c>
      <c r="E1103" s="579"/>
      <c r="F1103" s="568" t="s">
        <v>162</v>
      </c>
      <c r="G1103" s="568"/>
      <c r="H1103" s="580"/>
      <c r="I1103" s="581"/>
      <c r="J1103" s="582"/>
      <c r="K1103" s="572" t="s">
        <v>162</v>
      </c>
      <c r="L1103" s="573"/>
      <c r="M1103" s="574"/>
      <c r="N1103" s="583" t="s">
        <v>159</v>
      </c>
      <c r="O1103" s="584"/>
      <c r="P1103" s="584"/>
      <c r="Q1103" s="584"/>
      <c r="R1103" s="584"/>
      <c r="S1103" s="584"/>
      <c r="T1103" s="584"/>
      <c r="U1103" s="585"/>
    </row>
    <row r="1104" spans="1:21" ht="35.1" customHeight="1" x14ac:dyDescent="0.25">
      <c r="A1104" s="263">
        <f t="shared" si="17"/>
        <v>1090</v>
      </c>
      <c r="B1104" s="566" t="s">
        <v>159</v>
      </c>
      <c r="C1104" s="566"/>
      <c r="D1104" s="567" t="s">
        <v>159</v>
      </c>
      <c r="E1104" s="567"/>
      <c r="F1104" s="568" t="s">
        <v>162</v>
      </c>
      <c r="G1104" s="568"/>
      <c r="H1104" s="569"/>
      <c r="I1104" s="570"/>
      <c r="J1104" s="571"/>
      <c r="K1104" s="572" t="s">
        <v>162</v>
      </c>
      <c r="L1104" s="573"/>
      <c r="M1104" s="574"/>
      <c r="N1104" s="575" t="s">
        <v>159</v>
      </c>
      <c r="O1104" s="576"/>
      <c r="P1104" s="576"/>
      <c r="Q1104" s="576"/>
      <c r="R1104" s="576"/>
      <c r="S1104" s="576"/>
      <c r="T1104" s="576"/>
      <c r="U1104" s="577"/>
    </row>
    <row r="1105" spans="1:21" ht="35.1" customHeight="1" x14ac:dyDescent="0.25">
      <c r="A1105" s="263">
        <f t="shared" si="17"/>
        <v>1091</v>
      </c>
      <c r="B1105" s="578" t="s">
        <v>159</v>
      </c>
      <c r="C1105" s="578"/>
      <c r="D1105" s="579" t="s">
        <v>159</v>
      </c>
      <c r="E1105" s="579"/>
      <c r="F1105" s="568" t="s">
        <v>162</v>
      </c>
      <c r="G1105" s="568"/>
      <c r="H1105" s="580"/>
      <c r="I1105" s="581"/>
      <c r="J1105" s="582"/>
      <c r="K1105" s="572" t="s">
        <v>162</v>
      </c>
      <c r="L1105" s="573"/>
      <c r="M1105" s="574"/>
      <c r="N1105" s="583" t="s">
        <v>159</v>
      </c>
      <c r="O1105" s="584"/>
      <c r="P1105" s="584"/>
      <c r="Q1105" s="584"/>
      <c r="R1105" s="584"/>
      <c r="S1105" s="584"/>
      <c r="T1105" s="584"/>
      <c r="U1105" s="585"/>
    </row>
    <row r="1106" spans="1:21" ht="35.1" customHeight="1" x14ac:dyDescent="0.25">
      <c r="A1106" s="263">
        <f t="shared" si="17"/>
        <v>1092</v>
      </c>
      <c r="B1106" s="566" t="s">
        <v>159</v>
      </c>
      <c r="C1106" s="566"/>
      <c r="D1106" s="567" t="s">
        <v>159</v>
      </c>
      <c r="E1106" s="567"/>
      <c r="F1106" s="568" t="s">
        <v>162</v>
      </c>
      <c r="G1106" s="568"/>
      <c r="H1106" s="569"/>
      <c r="I1106" s="570"/>
      <c r="J1106" s="571"/>
      <c r="K1106" s="572" t="s">
        <v>162</v>
      </c>
      <c r="L1106" s="573"/>
      <c r="M1106" s="574"/>
      <c r="N1106" s="575" t="s">
        <v>159</v>
      </c>
      <c r="O1106" s="576"/>
      <c r="P1106" s="576"/>
      <c r="Q1106" s="576"/>
      <c r="R1106" s="576"/>
      <c r="S1106" s="576"/>
      <c r="T1106" s="576"/>
      <c r="U1106" s="577"/>
    </row>
    <row r="1107" spans="1:21" ht="35.1" customHeight="1" x14ac:dyDescent="0.25">
      <c r="A1107" s="263">
        <f t="shared" si="17"/>
        <v>1093</v>
      </c>
      <c r="B1107" s="578" t="s">
        <v>159</v>
      </c>
      <c r="C1107" s="578"/>
      <c r="D1107" s="579" t="s">
        <v>159</v>
      </c>
      <c r="E1107" s="579"/>
      <c r="F1107" s="568" t="s">
        <v>162</v>
      </c>
      <c r="G1107" s="568"/>
      <c r="H1107" s="580"/>
      <c r="I1107" s="581"/>
      <c r="J1107" s="582"/>
      <c r="K1107" s="572" t="s">
        <v>162</v>
      </c>
      <c r="L1107" s="573"/>
      <c r="M1107" s="574"/>
      <c r="N1107" s="583" t="s">
        <v>159</v>
      </c>
      <c r="O1107" s="584"/>
      <c r="P1107" s="584"/>
      <c r="Q1107" s="584"/>
      <c r="R1107" s="584"/>
      <c r="S1107" s="584"/>
      <c r="T1107" s="584"/>
      <c r="U1107" s="585"/>
    </row>
    <row r="1108" spans="1:21" ht="35.1" customHeight="1" x14ac:dyDescent="0.25">
      <c r="A1108" s="263">
        <f t="shared" si="17"/>
        <v>1094</v>
      </c>
      <c r="B1108" s="566" t="s">
        <v>448</v>
      </c>
      <c r="C1108" s="566"/>
      <c r="D1108" s="567" t="s">
        <v>159</v>
      </c>
      <c r="E1108" s="567"/>
      <c r="F1108" s="568" t="s">
        <v>162</v>
      </c>
      <c r="G1108" s="568"/>
      <c r="H1108" s="569"/>
      <c r="I1108" s="570"/>
      <c r="J1108" s="571"/>
      <c r="K1108" s="572" t="s">
        <v>162</v>
      </c>
      <c r="L1108" s="573"/>
      <c r="M1108" s="574"/>
      <c r="N1108" s="575" t="s">
        <v>159</v>
      </c>
      <c r="O1108" s="576"/>
      <c r="P1108" s="576"/>
      <c r="Q1108" s="576"/>
      <c r="R1108" s="576"/>
      <c r="S1108" s="576"/>
      <c r="T1108" s="576"/>
      <c r="U1108" s="577"/>
    </row>
    <row r="1109" spans="1:21" ht="35.1" customHeight="1" x14ac:dyDescent="0.25">
      <c r="A1109" s="263">
        <f t="shared" si="17"/>
        <v>1095</v>
      </c>
      <c r="B1109" s="578" t="s">
        <v>159</v>
      </c>
      <c r="C1109" s="578"/>
      <c r="D1109" s="579" t="s">
        <v>159</v>
      </c>
      <c r="E1109" s="579"/>
      <c r="F1109" s="568" t="s">
        <v>162</v>
      </c>
      <c r="G1109" s="568"/>
      <c r="H1109" s="580"/>
      <c r="I1109" s="581"/>
      <c r="J1109" s="582"/>
      <c r="K1109" s="572" t="s">
        <v>162</v>
      </c>
      <c r="L1109" s="573"/>
      <c r="M1109" s="574"/>
      <c r="N1109" s="583" t="s">
        <v>159</v>
      </c>
      <c r="O1109" s="584"/>
      <c r="P1109" s="584"/>
      <c r="Q1109" s="584"/>
      <c r="R1109" s="584"/>
      <c r="S1109" s="584"/>
      <c r="T1109" s="584"/>
      <c r="U1109" s="585"/>
    </row>
    <row r="1110" spans="1:21" ht="35.1" customHeight="1" x14ac:dyDescent="0.25">
      <c r="A1110" s="263">
        <f t="shared" si="17"/>
        <v>1096</v>
      </c>
      <c r="B1110" s="566" t="s">
        <v>159</v>
      </c>
      <c r="C1110" s="566"/>
      <c r="D1110" s="567" t="s">
        <v>159</v>
      </c>
      <c r="E1110" s="567"/>
      <c r="F1110" s="568" t="s">
        <v>162</v>
      </c>
      <c r="G1110" s="568"/>
      <c r="H1110" s="569"/>
      <c r="I1110" s="570"/>
      <c r="J1110" s="571"/>
      <c r="K1110" s="572" t="s">
        <v>162</v>
      </c>
      <c r="L1110" s="573"/>
      <c r="M1110" s="574"/>
      <c r="N1110" s="575" t="s">
        <v>159</v>
      </c>
      <c r="O1110" s="576"/>
      <c r="P1110" s="576"/>
      <c r="Q1110" s="576"/>
      <c r="R1110" s="576"/>
      <c r="S1110" s="576"/>
      <c r="T1110" s="576"/>
      <c r="U1110" s="577"/>
    </row>
    <row r="1111" spans="1:21" ht="35.1" customHeight="1" x14ac:dyDescent="0.25">
      <c r="A1111" s="263">
        <f t="shared" si="17"/>
        <v>1097</v>
      </c>
      <c r="B1111" s="578" t="s">
        <v>159</v>
      </c>
      <c r="C1111" s="578"/>
      <c r="D1111" s="579" t="s">
        <v>159</v>
      </c>
      <c r="E1111" s="579"/>
      <c r="F1111" s="568" t="s">
        <v>162</v>
      </c>
      <c r="G1111" s="568"/>
      <c r="H1111" s="580"/>
      <c r="I1111" s="581"/>
      <c r="J1111" s="582"/>
      <c r="K1111" s="572" t="s">
        <v>162</v>
      </c>
      <c r="L1111" s="573"/>
      <c r="M1111" s="574"/>
      <c r="N1111" s="583" t="s">
        <v>159</v>
      </c>
      <c r="O1111" s="584"/>
      <c r="P1111" s="584"/>
      <c r="Q1111" s="584"/>
      <c r="R1111" s="584"/>
      <c r="S1111" s="584"/>
      <c r="T1111" s="584"/>
      <c r="U1111" s="585"/>
    </row>
    <row r="1112" spans="1:21" ht="35.1" customHeight="1" x14ac:dyDescent="0.25">
      <c r="A1112" s="263">
        <f t="shared" si="17"/>
        <v>1098</v>
      </c>
      <c r="B1112" s="566" t="s">
        <v>159</v>
      </c>
      <c r="C1112" s="566"/>
      <c r="D1112" s="567" t="s">
        <v>159</v>
      </c>
      <c r="E1112" s="567"/>
      <c r="F1112" s="568" t="s">
        <v>162</v>
      </c>
      <c r="G1112" s="568"/>
      <c r="H1112" s="569"/>
      <c r="I1112" s="570"/>
      <c r="J1112" s="571"/>
      <c r="K1112" s="572" t="s">
        <v>162</v>
      </c>
      <c r="L1112" s="573"/>
      <c r="M1112" s="574"/>
      <c r="N1112" s="575" t="s">
        <v>159</v>
      </c>
      <c r="O1112" s="576"/>
      <c r="P1112" s="576"/>
      <c r="Q1112" s="576"/>
      <c r="R1112" s="576"/>
      <c r="S1112" s="576"/>
      <c r="T1112" s="576"/>
      <c r="U1112" s="577"/>
    </row>
    <row r="1113" spans="1:21" ht="35.1" customHeight="1" x14ac:dyDescent="0.25">
      <c r="A1113" s="263">
        <f t="shared" si="17"/>
        <v>1099</v>
      </c>
      <c r="B1113" s="578" t="s">
        <v>159</v>
      </c>
      <c r="C1113" s="578"/>
      <c r="D1113" s="579" t="s">
        <v>159</v>
      </c>
      <c r="E1113" s="579"/>
      <c r="F1113" s="568" t="s">
        <v>162</v>
      </c>
      <c r="G1113" s="568"/>
      <c r="H1113" s="580"/>
      <c r="I1113" s="581"/>
      <c r="J1113" s="582"/>
      <c r="K1113" s="572" t="s">
        <v>162</v>
      </c>
      <c r="L1113" s="573"/>
      <c r="M1113" s="574"/>
      <c r="N1113" s="583" t="s">
        <v>159</v>
      </c>
      <c r="O1113" s="584"/>
      <c r="P1113" s="584"/>
      <c r="Q1113" s="584"/>
      <c r="R1113" s="584"/>
      <c r="S1113" s="584"/>
      <c r="T1113" s="584"/>
      <c r="U1113" s="585"/>
    </row>
    <row r="1114" spans="1:21" ht="35.1" customHeight="1" x14ac:dyDescent="0.25">
      <c r="A1114" s="263">
        <f t="shared" si="17"/>
        <v>1100</v>
      </c>
      <c r="B1114" s="566" t="s">
        <v>159</v>
      </c>
      <c r="C1114" s="566"/>
      <c r="D1114" s="567" t="s">
        <v>159</v>
      </c>
      <c r="E1114" s="567"/>
      <c r="F1114" s="568" t="s">
        <v>162</v>
      </c>
      <c r="G1114" s="568"/>
      <c r="H1114" s="569"/>
      <c r="I1114" s="570"/>
      <c r="J1114" s="571"/>
      <c r="K1114" s="572" t="s">
        <v>162</v>
      </c>
      <c r="L1114" s="573"/>
      <c r="M1114" s="574"/>
      <c r="N1114" s="575" t="s">
        <v>159</v>
      </c>
      <c r="O1114" s="576"/>
      <c r="P1114" s="576"/>
      <c r="Q1114" s="576"/>
      <c r="R1114" s="576"/>
      <c r="S1114" s="576"/>
      <c r="T1114" s="576"/>
      <c r="U1114" s="577"/>
    </row>
    <row r="1115" spans="1:21" ht="35.1" customHeight="1" x14ac:dyDescent="0.25">
      <c r="A1115" s="263">
        <f t="shared" si="17"/>
        <v>1101</v>
      </c>
      <c r="B1115" s="578" t="s">
        <v>159</v>
      </c>
      <c r="C1115" s="578"/>
      <c r="D1115" s="579" t="s">
        <v>159</v>
      </c>
      <c r="E1115" s="579"/>
      <c r="F1115" s="568" t="s">
        <v>162</v>
      </c>
      <c r="G1115" s="568"/>
      <c r="H1115" s="580"/>
      <c r="I1115" s="581"/>
      <c r="J1115" s="582"/>
      <c r="K1115" s="572" t="s">
        <v>162</v>
      </c>
      <c r="L1115" s="573"/>
      <c r="M1115" s="574"/>
      <c r="N1115" s="583" t="s">
        <v>159</v>
      </c>
      <c r="O1115" s="584"/>
      <c r="P1115" s="584"/>
      <c r="Q1115" s="584"/>
      <c r="R1115" s="584"/>
      <c r="S1115" s="584"/>
      <c r="T1115" s="584"/>
      <c r="U1115" s="585"/>
    </row>
    <row r="1116" spans="1:21" ht="35.1" customHeight="1" x14ac:dyDescent="0.25">
      <c r="A1116" s="263">
        <f t="shared" si="17"/>
        <v>1102</v>
      </c>
      <c r="B1116" s="566" t="s">
        <v>444</v>
      </c>
      <c r="C1116" s="566"/>
      <c r="D1116" s="567" t="s">
        <v>159</v>
      </c>
      <c r="E1116" s="567"/>
      <c r="F1116" s="568" t="s">
        <v>162</v>
      </c>
      <c r="G1116" s="568"/>
      <c r="H1116" s="569"/>
      <c r="I1116" s="570"/>
      <c r="J1116" s="571"/>
      <c r="K1116" s="572" t="s">
        <v>162</v>
      </c>
      <c r="L1116" s="573"/>
      <c r="M1116" s="574"/>
      <c r="N1116" s="575" t="s">
        <v>159</v>
      </c>
      <c r="O1116" s="576"/>
      <c r="P1116" s="576"/>
      <c r="Q1116" s="576"/>
      <c r="R1116" s="576"/>
      <c r="S1116" s="576"/>
      <c r="T1116" s="576"/>
      <c r="U1116" s="577"/>
    </row>
    <row r="1117" spans="1:21" ht="35.1" customHeight="1" x14ac:dyDescent="0.25">
      <c r="A1117" s="263">
        <f t="shared" si="17"/>
        <v>1103</v>
      </c>
      <c r="B1117" s="578" t="s">
        <v>159</v>
      </c>
      <c r="C1117" s="578"/>
      <c r="D1117" s="579" t="s">
        <v>159</v>
      </c>
      <c r="E1117" s="579"/>
      <c r="F1117" s="568" t="s">
        <v>162</v>
      </c>
      <c r="G1117" s="568"/>
      <c r="H1117" s="580"/>
      <c r="I1117" s="581"/>
      <c r="J1117" s="582"/>
      <c r="K1117" s="572" t="s">
        <v>162</v>
      </c>
      <c r="L1117" s="573"/>
      <c r="M1117" s="574"/>
      <c r="N1117" s="583" t="s">
        <v>159</v>
      </c>
      <c r="O1117" s="584"/>
      <c r="P1117" s="584"/>
      <c r="Q1117" s="584"/>
      <c r="R1117" s="584"/>
      <c r="S1117" s="584"/>
      <c r="T1117" s="584"/>
      <c r="U1117" s="585"/>
    </row>
    <row r="1118" spans="1:21" ht="35.1" customHeight="1" x14ac:dyDescent="0.25">
      <c r="A1118" s="263">
        <f t="shared" si="17"/>
        <v>1104</v>
      </c>
      <c r="B1118" s="566" t="s">
        <v>159</v>
      </c>
      <c r="C1118" s="566"/>
      <c r="D1118" s="567" t="s">
        <v>159</v>
      </c>
      <c r="E1118" s="567"/>
      <c r="F1118" s="568" t="s">
        <v>162</v>
      </c>
      <c r="G1118" s="568"/>
      <c r="H1118" s="569"/>
      <c r="I1118" s="570"/>
      <c r="J1118" s="571"/>
      <c r="K1118" s="572" t="s">
        <v>162</v>
      </c>
      <c r="L1118" s="573"/>
      <c r="M1118" s="574"/>
      <c r="N1118" s="575" t="s">
        <v>159</v>
      </c>
      <c r="O1118" s="576"/>
      <c r="P1118" s="576"/>
      <c r="Q1118" s="576"/>
      <c r="R1118" s="576"/>
      <c r="S1118" s="576"/>
      <c r="T1118" s="576"/>
      <c r="U1118" s="577"/>
    </row>
    <row r="1119" spans="1:21" ht="35.1" customHeight="1" x14ac:dyDescent="0.25">
      <c r="A1119" s="263">
        <f t="shared" si="17"/>
        <v>1105</v>
      </c>
      <c r="B1119" s="578" t="s">
        <v>159</v>
      </c>
      <c r="C1119" s="578"/>
      <c r="D1119" s="579" t="s">
        <v>159</v>
      </c>
      <c r="E1119" s="579"/>
      <c r="F1119" s="568" t="s">
        <v>162</v>
      </c>
      <c r="G1119" s="568"/>
      <c r="H1119" s="580"/>
      <c r="I1119" s="581"/>
      <c r="J1119" s="582"/>
      <c r="K1119" s="572" t="s">
        <v>162</v>
      </c>
      <c r="L1119" s="573"/>
      <c r="M1119" s="574"/>
      <c r="N1119" s="583" t="s">
        <v>159</v>
      </c>
      <c r="O1119" s="584"/>
      <c r="P1119" s="584"/>
      <c r="Q1119" s="584"/>
      <c r="R1119" s="584"/>
      <c r="S1119" s="584"/>
      <c r="T1119" s="584"/>
      <c r="U1119" s="585"/>
    </row>
    <row r="1120" spans="1:21" ht="35.1" customHeight="1" x14ac:dyDescent="0.25">
      <c r="A1120" s="263">
        <f t="shared" si="17"/>
        <v>1106</v>
      </c>
      <c r="B1120" s="566" t="s">
        <v>159</v>
      </c>
      <c r="C1120" s="566"/>
      <c r="D1120" s="567" t="s">
        <v>159</v>
      </c>
      <c r="E1120" s="567"/>
      <c r="F1120" s="568" t="s">
        <v>162</v>
      </c>
      <c r="G1120" s="568"/>
      <c r="H1120" s="569"/>
      <c r="I1120" s="570"/>
      <c r="J1120" s="571"/>
      <c r="K1120" s="572" t="s">
        <v>162</v>
      </c>
      <c r="L1120" s="573"/>
      <c r="M1120" s="574"/>
      <c r="N1120" s="575" t="s">
        <v>159</v>
      </c>
      <c r="O1120" s="576"/>
      <c r="P1120" s="576"/>
      <c r="Q1120" s="576"/>
      <c r="R1120" s="576"/>
      <c r="S1120" s="576"/>
      <c r="T1120" s="576"/>
      <c r="U1120" s="577"/>
    </row>
    <row r="1121" spans="1:21" ht="35.1" customHeight="1" x14ac:dyDescent="0.25">
      <c r="A1121" s="263">
        <f t="shared" si="17"/>
        <v>1107</v>
      </c>
      <c r="B1121" s="578" t="s">
        <v>159</v>
      </c>
      <c r="C1121" s="578"/>
      <c r="D1121" s="579" t="s">
        <v>159</v>
      </c>
      <c r="E1121" s="579"/>
      <c r="F1121" s="568" t="s">
        <v>162</v>
      </c>
      <c r="G1121" s="568"/>
      <c r="H1121" s="580"/>
      <c r="I1121" s="581"/>
      <c r="J1121" s="582"/>
      <c r="K1121" s="572" t="s">
        <v>162</v>
      </c>
      <c r="L1121" s="573"/>
      <c r="M1121" s="574"/>
      <c r="N1121" s="583" t="s">
        <v>159</v>
      </c>
      <c r="O1121" s="584"/>
      <c r="P1121" s="584"/>
      <c r="Q1121" s="584"/>
      <c r="R1121" s="584"/>
      <c r="S1121" s="584"/>
      <c r="T1121" s="584"/>
      <c r="U1121" s="585"/>
    </row>
    <row r="1122" spans="1:21" ht="35.1" customHeight="1" x14ac:dyDescent="0.25">
      <c r="A1122" s="263">
        <f t="shared" si="17"/>
        <v>1108</v>
      </c>
      <c r="B1122" s="566" t="s">
        <v>159</v>
      </c>
      <c r="C1122" s="566"/>
      <c r="D1122" s="567" t="s">
        <v>159</v>
      </c>
      <c r="E1122" s="567"/>
      <c r="F1122" s="568" t="s">
        <v>162</v>
      </c>
      <c r="G1122" s="568"/>
      <c r="H1122" s="569"/>
      <c r="I1122" s="570"/>
      <c r="J1122" s="571"/>
      <c r="K1122" s="572" t="s">
        <v>162</v>
      </c>
      <c r="L1122" s="573"/>
      <c r="M1122" s="574"/>
      <c r="N1122" s="575" t="s">
        <v>159</v>
      </c>
      <c r="O1122" s="576"/>
      <c r="P1122" s="576"/>
      <c r="Q1122" s="576"/>
      <c r="R1122" s="576"/>
      <c r="S1122" s="576"/>
      <c r="T1122" s="576"/>
      <c r="U1122" s="577"/>
    </row>
    <row r="1123" spans="1:21" ht="35.1" customHeight="1" x14ac:dyDescent="0.25">
      <c r="A1123" s="263">
        <f t="shared" si="17"/>
        <v>1109</v>
      </c>
      <c r="B1123" s="578" t="s">
        <v>449</v>
      </c>
      <c r="C1123" s="578"/>
      <c r="D1123" s="579" t="s">
        <v>159</v>
      </c>
      <c r="E1123" s="579"/>
      <c r="F1123" s="568" t="s">
        <v>162</v>
      </c>
      <c r="G1123" s="568"/>
      <c r="H1123" s="580"/>
      <c r="I1123" s="581"/>
      <c r="J1123" s="582"/>
      <c r="K1123" s="572" t="s">
        <v>162</v>
      </c>
      <c r="L1123" s="573"/>
      <c r="M1123" s="574"/>
      <c r="N1123" s="583" t="s">
        <v>159</v>
      </c>
      <c r="O1123" s="584"/>
      <c r="P1123" s="584"/>
      <c r="Q1123" s="584"/>
      <c r="R1123" s="584"/>
      <c r="S1123" s="584"/>
      <c r="T1123" s="584"/>
      <c r="U1123" s="585"/>
    </row>
    <row r="1124" spans="1:21" ht="35.1" customHeight="1" x14ac:dyDescent="0.25">
      <c r="A1124" s="263">
        <f t="shared" si="17"/>
        <v>1110</v>
      </c>
      <c r="B1124" s="566" t="s">
        <v>159</v>
      </c>
      <c r="C1124" s="566"/>
      <c r="D1124" s="567" t="s">
        <v>159</v>
      </c>
      <c r="E1124" s="567"/>
      <c r="F1124" s="568" t="s">
        <v>162</v>
      </c>
      <c r="G1124" s="568"/>
      <c r="H1124" s="569"/>
      <c r="I1124" s="570"/>
      <c r="J1124" s="571"/>
      <c r="K1124" s="572" t="s">
        <v>162</v>
      </c>
      <c r="L1124" s="573"/>
      <c r="M1124" s="574"/>
      <c r="N1124" s="575" t="s">
        <v>159</v>
      </c>
      <c r="O1124" s="576"/>
      <c r="P1124" s="576"/>
      <c r="Q1124" s="576"/>
      <c r="R1124" s="576"/>
      <c r="S1124" s="576"/>
      <c r="T1124" s="576"/>
      <c r="U1124" s="577"/>
    </row>
    <row r="1125" spans="1:21" ht="35.1" customHeight="1" x14ac:dyDescent="0.25">
      <c r="A1125" s="263">
        <f t="shared" si="17"/>
        <v>1111</v>
      </c>
      <c r="B1125" s="578" t="s">
        <v>159</v>
      </c>
      <c r="C1125" s="578"/>
      <c r="D1125" s="579" t="s">
        <v>159</v>
      </c>
      <c r="E1125" s="579"/>
      <c r="F1125" s="568" t="s">
        <v>162</v>
      </c>
      <c r="G1125" s="568"/>
      <c r="H1125" s="580"/>
      <c r="I1125" s="581"/>
      <c r="J1125" s="582"/>
      <c r="K1125" s="572" t="s">
        <v>162</v>
      </c>
      <c r="L1125" s="573"/>
      <c r="M1125" s="574"/>
      <c r="N1125" s="583" t="s">
        <v>159</v>
      </c>
      <c r="O1125" s="584"/>
      <c r="P1125" s="584"/>
      <c r="Q1125" s="584"/>
      <c r="R1125" s="584"/>
      <c r="S1125" s="584"/>
      <c r="T1125" s="584"/>
      <c r="U1125" s="585"/>
    </row>
    <row r="1126" spans="1:21" ht="35.1" customHeight="1" x14ac:dyDescent="0.25">
      <c r="A1126" s="263">
        <f t="shared" si="17"/>
        <v>1112</v>
      </c>
      <c r="B1126" s="566" t="s">
        <v>159</v>
      </c>
      <c r="C1126" s="566"/>
      <c r="D1126" s="567" t="s">
        <v>159</v>
      </c>
      <c r="E1126" s="567"/>
      <c r="F1126" s="568" t="s">
        <v>162</v>
      </c>
      <c r="G1126" s="568"/>
      <c r="H1126" s="569"/>
      <c r="I1126" s="570"/>
      <c r="J1126" s="571"/>
      <c r="K1126" s="572" t="s">
        <v>162</v>
      </c>
      <c r="L1126" s="573"/>
      <c r="M1126" s="574"/>
      <c r="N1126" s="575" t="s">
        <v>159</v>
      </c>
      <c r="O1126" s="576"/>
      <c r="P1126" s="576"/>
      <c r="Q1126" s="576"/>
      <c r="R1126" s="576"/>
      <c r="S1126" s="576"/>
      <c r="T1126" s="576"/>
      <c r="U1126" s="577"/>
    </row>
    <row r="1127" spans="1:21" ht="35.1" customHeight="1" x14ac:dyDescent="0.25">
      <c r="A1127" s="263">
        <f t="shared" si="17"/>
        <v>1113</v>
      </c>
      <c r="B1127" s="578" t="s">
        <v>159</v>
      </c>
      <c r="C1127" s="578"/>
      <c r="D1127" s="579" t="s">
        <v>159</v>
      </c>
      <c r="E1127" s="579"/>
      <c r="F1127" s="568" t="s">
        <v>162</v>
      </c>
      <c r="G1127" s="568"/>
      <c r="H1127" s="580"/>
      <c r="I1127" s="581"/>
      <c r="J1127" s="582"/>
      <c r="K1127" s="572" t="s">
        <v>162</v>
      </c>
      <c r="L1127" s="573"/>
      <c r="M1127" s="574"/>
      <c r="N1127" s="583" t="s">
        <v>159</v>
      </c>
      <c r="O1127" s="584"/>
      <c r="P1127" s="584"/>
      <c r="Q1127" s="584"/>
      <c r="R1127" s="584"/>
      <c r="S1127" s="584"/>
      <c r="T1127" s="584"/>
      <c r="U1127" s="585"/>
    </row>
    <row r="1128" spans="1:21" ht="35.1" customHeight="1" x14ac:dyDescent="0.25">
      <c r="A1128" s="263">
        <f t="shared" si="17"/>
        <v>1114</v>
      </c>
      <c r="B1128" s="566" t="s">
        <v>159</v>
      </c>
      <c r="C1128" s="566"/>
      <c r="D1128" s="567" t="s">
        <v>159</v>
      </c>
      <c r="E1128" s="567"/>
      <c r="F1128" s="568" t="s">
        <v>162</v>
      </c>
      <c r="G1128" s="568"/>
      <c r="H1128" s="569"/>
      <c r="I1128" s="570"/>
      <c r="J1128" s="571"/>
      <c r="K1128" s="572" t="s">
        <v>162</v>
      </c>
      <c r="L1128" s="573"/>
      <c r="M1128" s="574"/>
      <c r="N1128" s="575" t="s">
        <v>159</v>
      </c>
      <c r="O1128" s="576"/>
      <c r="P1128" s="576"/>
      <c r="Q1128" s="576"/>
      <c r="R1128" s="576"/>
      <c r="S1128" s="576"/>
      <c r="T1128" s="576"/>
      <c r="U1128" s="577"/>
    </row>
    <row r="1129" spans="1:21" ht="35.1" customHeight="1" x14ac:dyDescent="0.25">
      <c r="A1129" s="263">
        <f t="shared" si="17"/>
        <v>1115</v>
      </c>
      <c r="B1129" s="578" t="s">
        <v>159</v>
      </c>
      <c r="C1129" s="578"/>
      <c r="D1129" s="579" t="s">
        <v>159</v>
      </c>
      <c r="E1129" s="579"/>
      <c r="F1129" s="568" t="s">
        <v>162</v>
      </c>
      <c r="G1129" s="568"/>
      <c r="H1129" s="580"/>
      <c r="I1129" s="581"/>
      <c r="J1129" s="582"/>
      <c r="K1129" s="572" t="s">
        <v>162</v>
      </c>
      <c r="L1129" s="573"/>
      <c r="M1129" s="574"/>
      <c r="N1129" s="583" t="s">
        <v>159</v>
      </c>
      <c r="O1129" s="584"/>
      <c r="P1129" s="584"/>
      <c r="Q1129" s="584"/>
      <c r="R1129" s="584"/>
      <c r="S1129" s="584"/>
      <c r="T1129" s="584"/>
      <c r="U1129" s="585"/>
    </row>
    <row r="1130" spans="1:21" ht="35.1" customHeight="1" x14ac:dyDescent="0.25">
      <c r="A1130" s="263">
        <f t="shared" si="17"/>
        <v>1116</v>
      </c>
      <c r="B1130" s="566" t="s">
        <v>444</v>
      </c>
      <c r="C1130" s="566"/>
      <c r="D1130" s="567" t="s">
        <v>159</v>
      </c>
      <c r="E1130" s="567"/>
      <c r="F1130" s="568" t="s">
        <v>162</v>
      </c>
      <c r="G1130" s="568"/>
      <c r="H1130" s="569"/>
      <c r="I1130" s="570"/>
      <c r="J1130" s="571"/>
      <c r="K1130" s="572" t="s">
        <v>162</v>
      </c>
      <c r="L1130" s="573"/>
      <c r="M1130" s="574"/>
      <c r="N1130" s="575" t="s">
        <v>159</v>
      </c>
      <c r="O1130" s="576"/>
      <c r="P1130" s="576"/>
      <c r="Q1130" s="576"/>
      <c r="R1130" s="576"/>
      <c r="S1130" s="576"/>
      <c r="T1130" s="576"/>
      <c r="U1130" s="577"/>
    </row>
    <row r="1131" spans="1:21" ht="35.1" customHeight="1" x14ac:dyDescent="0.25">
      <c r="A1131" s="263">
        <f t="shared" si="17"/>
        <v>1117</v>
      </c>
      <c r="B1131" s="578" t="s">
        <v>159</v>
      </c>
      <c r="C1131" s="578"/>
      <c r="D1131" s="579" t="s">
        <v>159</v>
      </c>
      <c r="E1131" s="579"/>
      <c r="F1131" s="568" t="s">
        <v>162</v>
      </c>
      <c r="G1131" s="568"/>
      <c r="H1131" s="580"/>
      <c r="I1131" s="581"/>
      <c r="J1131" s="582"/>
      <c r="K1131" s="572" t="s">
        <v>162</v>
      </c>
      <c r="L1131" s="573"/>
      <c r="M1131" s="574"/>
      <c r="N1131" s="583" t="s">
        <v>159</v>
      </c>
      <c r="O1131" s="584"/>
      <c r="P1131" s="584"/>
      <c r="Q1131" s="584"/>
      <c r="R1131" s="584"/>
      <c r="S1131" s="584"/>
      <c r="T1131" s="584"/>
      <c r="U1131" s="585"/>
    </row>
    <row r="1132" spans="1:21" ht="35.1" customHeight="1" x14ac:dyDescent="0.25">
      <c r="A1132" s="263">
        <f t="shared" si="17"/>
        <v>1118</v>
      </c>
      <c r="B1132" s="566" t="s">
        <v>159</v>
      </c>
      <c r="C1132" s="566"/>
      <c r="D1132" s="567" t="s">
        <v>159</v>
      </c>
      <c r="E1132" s="567"/>
      <c r="F1132" s="568" t="s">
        <v>162</v>
      </c>
      <c r="G1132" s="568"/>
      <c r="H1132" s="569"/>
      <c r="I1132" s="570"/>
      <c r="J1132" s="571"/>
      <c r="K1132" s="572" t="s">
        <v>162</v>
      </c>
      <c r="L1132" s="573"/>
      <c r="M1132" s="574"/>
      <c r="N1132" s="575" t="s">
        <v>159</v>
      </c>
      <c r="O1132" s="576"/>
      <c r="P1132" s="576"/>
      <c r="Q1132" s="576"/>
      <c r="R1132" s="576"/>
      <c r="S1132" s="576"/>
      <c r="T1132" s="576"/>
      <c r="U1132" s="577"/>
    </row>
    <row r="1133" spans="1:21" ht="35.1" customHeight="1" x14ac:dyDescent="0.25">
      <c r="A1133" s="263">
        <f t="shared" si="17"/>
        <v>1119</v>
      </c>
      <c r="B1133" s="578" t="s">
        <v>159</v>
      </c>
      <c r="C1133" s="578"/>
      <c r="D1133" s="579" t="s">
        <v>159</v>
      </c>
      <c r="E1133" s="579"/>
      <c r="F1133" s="568" t="s">
        <v>162</v>
      </c>
      <c r="G1133" s="568"/>
      <c r="H1133" s="580"/>
      <c r="I1133" s="581"/>
      <c r="J1133" s="582"/>
      <c r="K1133" s="572" t="s">
        <v>162</v>
      </c>
      <c r="L1133" s="573"/>
      <c r="M1133" s="574"/>
      <c r="N1133" s="583" t="s">
        <v>159</v>
      </c>
      <c r="O1133" s="584"/>
      <c r="P1133" s="584"/>
      <c r="Q1133" s="584"/>
      <c r="R1133" s="584"/>
      <c r="S1133" s="584"/>
      <c r="T1133" s="584"/>
      <c r="U1133" s="585"/>
    </row>
    <row r="1134" spans="1:21" ht="35.1" customHeight="1" x14ac:dyDescent="0.25">
      <c r="A1134" s="263">
        <f t="shared" si="17"/>
        <v>1120</v>
      </c>
      <c r="B1134" s="566" t="s">
        <v>159</v>
      </c>
      <c r="C1134" s="566"/>
      <c r="D1134" s="567" t="s">
        <v>159</v>
      </c>
      <c r="E1134" s="567"/>
      <c r="F1134" s="568" t="s">
        <v>162</v>
      </c>
      <c r="G1134" s="568"/>
      <c r="H1134" s="569"/>
      <c r="I1134" s="570"/>
      <c r="J1134" s="571"/>
      <c r="K1134" s="572" t="s">
        <v>162</v>
      </c>
      <c r="L1134" s="573"/>
      <c r="M1134" s="574"/>
      <c r="N1134" s="575" t="s">
        <v>159</v>
      </c>
      <c r="O1134" s="576"/>
      <c r="P1134" s="576"/>
      <c r="Q1134" s="576"/>
      <c r="R1134" s="576"/>
      <c r="S1134" s="576"/>
      <c r="T1134" s="576"/>
      <c r="U1134" s="577"/>
    </row>
    <row r="1135" spans="1:21" ht="35.1" customHeight="1" x14ac:dyDescent="0.25">
      <c r="A1135" s="263">
        <f t="shared" si="17"/>
        <v>1121</v>
      </c>
      <c r="B1135" s="578" t="s">
        <v>159</v>
      </c>
      <c r="C1135" s="578"/>
      <c r="D1135" s="579" t="s">
        <v>159</v>
      </c>
      <c r="E1135" s="579"/>
      <c r="F1135" s="568" t="s">
        <v>162</v>
      </c>
      <c r="G1135" s="568"/>
      <c r="H1135" s="580"/>
      <c r="I1135" s="581"/>
      <c r="J1135" s="582"/>
      <c r="K1135" s="572" t="s">
        <v>162</v>
      </c>
      <c r="L1135" s="573"/>
      <c r="M1135" s="574"/>
      <c r="N1135" s="583" t="s">
        <v>159</v>
      </c>
      <c r="O1135" s="584"/>
      <c r="P1135" s="584"/>
      <c r="Q1135" s="584"/>
      <c r="R1135" s="584"/>
      <c r="S1135" s="584"/>
      <c r="T1135" s="584"/>
      <c r="U1135" s="585"/>
    </row>
    <row r="1136" spans="1:21" ht="35.1" customHeight="1" x14ac:dyDescent="0.25">
      <c r="A1136" s="263">
        <f t="shared" si="17"/>
        <v>1122</v>
      </c>
      <c r="B1136" s="566" t="s">
        <v>159</v>
      </c>
      <c r="C1136" s="566"/>
      <c r="D1136" s="567" t="s">
        <v>159</v>
      </c>
      <c r="E1136" s="567"/>
      <c r="F1136" s="568" t="s">
        <v>162</v>
      </c>
      <c r="G1136" s="568"/>
      <c r="H1136" s="569"/>
      <c r="I1136" s="570"/>
      <c r="J1136" s="571"/>
      <c r="K1136" s="572" t="s">
        <v>162</v>
      </c>
      <c r="L1136" s="573"/>
      <c r="M1136" s="574"/>
      <c r="N1136" s="575" t="s">
        <v>159</v>
      </c>
      <c r="O1136" s="576"/>
      <c r="P1136" s="576"/>
      <c r="Q1136" s="576"/>
      <c r="R1136" s="576"/>
      <c r="S1136" s="576"/>
      <c r="T1136" s="576"/>
      <c r="U1136" s="577"/>
    </row>
    <row r="1137" spans="1:21" ht="35.1" customHeight="1" x14ac:dyDescent="0.25">
      <c r="A1137" s="263">
        <f t="shared" si="17"/>
        <v>1123</v>
      </c>
      <c r="B1137" s="578" t="s">
        <v>159</v>
      </c>
      <c r="C1137" s="578"/>
      <c r="D1137" s="579" t="s">
        <v>159</v>
      </c>
      <c r="E1137" s="579"/>
      <c r="F1137" s="568" t="s">
        <v>162</v>
      </c>
      <c r="G1137" s="568"/>
      <c r="H1137" s="580"/>
      <c r="I1137" s="581"/>
      <c r="J1137" s="582"/>
      <c r="K1137" s="572" t="s">
        <v>162</v>
      </c>
      <c r="L1137" s="573"/>
      <c r="M1137" s="574"/>
      <c r="N1137" s="583" t="s">
        <v>159</v>
      </c>
      <c r="O1137" s="584"/>
      <c r="P1137" s="584"/>
      <c r="Q1137" s="584"/>
      <c r="R1137" s="584"/>
      <c r="S1137" s="584"/>
      <c r="T1137" s="584"/>
      <c r="U1137" s="585"/>
    </row>
    <row r="1138" spans="1:21" ht="35.1" customHeight="1" x14ac:dyDescent="0.25">
      <c r="A1138" s="263">
        <f t="shared" si="17"/>
        <v>1124</v>
      </c>
      <c r="B1138" s="566" t="s">
        <v>450</v>
      </c>
      <c r="C1138" s="566"/>
      <c r="D1138" s="567" t="s">
        <v>159</v>
      </c>
      <c r="E1138" s="567"/>
      <c r="F1138" s="568" t="s">
        <v>162</v>
      </c>
      <c r="G1138" s="568"/>
      <c r="H1138" s="569"/>
      <c r="I1138" s="570"/>
      <c r="J1138" s="571"/>
      <c r="K1138" s="572" t="s">
        <v>162</v>
      </c>
      <c r="L1138" s="573"/>
      <c r="M1138" s="574"/>
      <c r="N1138" s="575" t="s">
        <v>159</v>
      </c>
      <c r="O1138" s="576"/>
      <c r="P1138" s="576"/>
      <c r="Q1138" s="576"/>
      <c r="R1138" s="576"/>
      <c r="S1138" s="576"/>
      <c r="T1138" s="576"/>
      <c r="U1138" s="577"/>
    </row>
    <row r="1139" spans="1:21" ht="35.1" customHeight="1" x14ac:dyDescent="0.25">
      <c r="A1139" s="263">
        <f t="shared" si="17"/>
        <v>1125</v>
      </c>
      <c r="B1139" s="578" t="s">
        <v>159</v>
      </c>
      <c r="C1139" s="578"/>
      <c r="D1139" s="579" t="s">
        <v>159</v>
      </c>
      <c r="E1139" s="579"/>
      <c r="F1139" s="568" t="s">
        <v>162</v>
      </c>
      <c r="G1139" s="568"/>
      <c r="H1139" s="580"/>
      <c r="I1139" s="581"/>
      <c r="J1139" s="582"/>
      <c r="K1139" s="572" t="s">
        <v>162</v>
      </c>
      <c r="L1139" s="573"/>
      <c r="M1139" s="574"/>
      <c r="N1139" s="583" t="s">
        <v>159</v>
      </c>
      <c r="O1139" s="584"/>
      <c r="P1139" s="584"/>
      <c r="Q1139" s="584"/>
      <c r="R1139" s="584"/>
      <c r="S1139" s="584"/>
      <c r="T1139" s="584"/>
      <c r="U1139" s="585"/>
    </row>
    <row r="1140" spans="1:21" ht="35.1" customHeight="1" x14ac:dyDescent="0.25">
      <c r="A1140" s="263">
        <f t="shared" si="17"/>
        <v>1126</v>
      </c>
      <c r="B1140" s="566" t="s">
        <v>159</v>
      </c>
      <c r="C1140" s="566"/>
      <c r="D1140" s="567" t="s">
        <v>159</v>
      </c>
      <c r="E1140" s="567"/>
      <c r="F1140" s="568" t="s">
        <v>162</v>
      </c>
      <c r="G1140" s="568"/>
      <c r="H1140" s="569"/>
      <c r="I1140" s="570"/>
      <c r="J1140" s="571"/>
      <c r="K1140" s="572" t="s">
        <v>162</v>
      </c>
      <c r="L1140" s="573"/>
      <c r="M1140" s="574"/>
      <c r="N1140" s="575" t="s">
        <v>159</v>
      </c>
      <c r="O1140" s="576"/>
      <c r="P1140" s="576"/>
      <c r="Q1140" s="576"/>
      <c r="R1140" s="576"/>
      <c r="S1140" s="576"/>
      <c r="T1140" s="576"/>
      <c r="U1140" s="577"/>
    </row>
    <row r="1141" spans="1:21" ht="35.1" customHeight="1" x14ac:dyDescent="0.25">
      <c r="A1141" s="263">
        <f t="shared" si="17"/>
        <v>1127</v>
      </c>
      <c r="B1141" s="578" t="s">
        <v>442</v>
      </c>
      <c r="C1141" s="578"/>
      <c r="D1141" s="579" t="s">
        <v>159</v>
      </c>
      <c r="E1141" s="579"/>
      <c r="F1141" s="568" t="s">
        <v>162</v>
      </c>
      <c r="G1141" s="568"/>
      <c r="H1141" s="580"/>
      <c r="I1141" s="581"/>
      <c r="J1141" s="582"/>
      <c r="K1141" s="572" t="s">
        <v>162</v>
      </c>
      <c r="L1141" s="573"/>
      <c r="M1141" s="574"/>
      <c r="N1141" s="583" t="s">
        <v>159</v>
      </c>
      <c r="O1141" s="584"/>
      <c r="P1141" s="584"/>
      <c r="Q1141" s="584"/>
      <c r="R1141" s="584"/>
      <c r="S1141" s="584"/>
      <c r="T1141" s="584"/>
      <c r="U1141" s="585"/>
    </row>
    <row r="1142" spans="1:21" ht="35.1" customHeight="1" x14ac:dyDescent="0.25">
      <c r="A1142" s="263">
        <f t="shared" si="17"/>
        <v>1128</v>
      </c>
      <c r="B1142" s="566" t="s">
        <v>159</v>
      </c>
      <c r="C1142" s="566"/>
      <c r="D1142" s="567" t="s">
        <v>159</v>
      </c>
      <c r="E1142" s="567"/>
      <c r="F1142" s="568" t="s">
        <v>162</v>
      </c>
      <c r="G1142" s="568"/>
      <c r="H1142" s="569"/>
      <c r="I1142" s="570"/>
      <c r="J1142" s="571"/>
      <c r="K1142" s="572" t="s">
        <v>162</v>
      </c>
      <c r="L1142" s="573"/>
      <c r="M1142" s="574"/>
      <c r="N1142" s="575" t="s">
        <v>159</v>
      </c>
      <c r="O1142" s="576"/>
      <c r="P1142" s="576"/>
      <c r="Q1142" s="576"/>
      <c r="R1142" s="576"/>
      <c r="S1142" s="576"/>
      <c r="T1142" s="576"/>
      <c r="U1142" s="577"/>
    </row>
    <row r="1143" spans="1:21" ht="35.1" customHeight="1" x14ac:dyDescent="0.25">
      <c r="A1143" s="263">
        <f t="shared" si="17"/>
        <v>1129</v>
      </c>
      <c r="B1143" s="578" t="s">
        <v>159</v>
      </c>
      <c r="C1143" s="578"/>
      <c r="D1143" s="579" t="s">
        <v>159</v>
      </c>
      <c r="E1143" s="579"/>
      <c r="F1143" s="568" t="s">
        <v>162</v>
      </c>
      <c r="G1143" s="568"/>
      <c r="H1143" s="580"/>
      <c r="I1143" s="581"/>
      <c r="J1143" s="582"/>
      <c r="K1143" s="572" t="s">
        <v>162</v>
      </c>
      <c r="L1143" s="573"/>
      <c r="M1143" s="574"/>
      <c r="N1143" s="583" t="s">
        <v>159</v>
      </c>
      <c r="O1143" s="584"/>
      <c r="P1143" s="584"/>
      <c r="Q1143" s="584"/>
      <c r="R1143" s="584"/>
      <c r="S1143" s="584"/>
      <c r="T1143" s="584"/>
      <c r="U1143" s="585"/>
    </row>
    <row r="1144" spans="1:21" ht="35.1" customHeight="1" x14ac:dyDescent="0.25">
      <c r="A1144" s="263">
        <f t="shared" si="17"/>
        <v>1130</v>
      </c>
      <c r="B1144" s="566" t="s">
        <v>159</v>
      </c>
      <c r="C1144" s="566"/>
      <c r="D1144" s="567" t="s">
        <v>159</v>
      </c>
      <c r="E1144" s="567"/>
      <c r="F1144" s="568" t="s">
        <v>162</v>
      </c>
      <c r="G1144" s="568"/>
      <c r="H1144" s="569"/>
      <c r="I1144" s="570"/>
      <c r="J1144" s="571"/>
      <c r="K1144" s="572" t="s">
        <v>162</v>
      </c>
      <c r="L1144" s="573"/>
      <c r="M1144" s="574"/>
      <c r="N1144" s="575" t="s">
        <v>159</v>
      </c>
      <c r="O1144" s="576"/>
      <c r="P1144" s="576"/>
      <c r="Q1144" s="576"/>
      <c r="R1144" s="576"/>
      <c r="S1144" s="576"/>
      <c r="T1144" s="576"/>
      <c r="U1144" s="577"/>
    </row>
    <row r="1145" spans="1:21" ht="35.1" customHeight="1" x14ac:dyDescent="0.25">
      <c r="A1145" s="263">
        <f t="shared" si="17"/>
        <v>1131</v>
      </c>
      <c r="B1145" s="578" t="s">
        <v>159</v>
      </c>
      <c r="C1145" s="578"/>
      <c r="D1145" s="579" t="s">
        <v>159</v>
      </c>
      <c r="E1145" s="579"/>
      <c r="F1145" s="568" t="s">
        <v>162</v>
      </c>
      <c r="G1145" s="568"/>
      <c r="H1145" s="580"/>
      <c r="I1145" s="581"/>
      <c r="J1145" s="582"/>
      <c r="K1145" s="572" t="s">
        <v>162</v>
      </c>
      <c r="L1145" s="573"/>
      <c r="M1145" s="574"/>
      <c r="N1145" s="583" t="s">
        <v>159</v>
      </c>
      <c r="O1145" s="584"/>
      <c r="P1145" s="584"/>
      <c r="Q1145" s="584"/>
      <c r="R1145" s="584"/>
      <c r="S1145" s="584"/>
      <c r="T1145" s="584"/>
      <c r="U1145" s="585"/>
    </row>
    <row r="1146" spans="1:21" ht="35.1" customHeight="1" x14ac:dyDescent="0.25">
      <c r="A1146" s="263">
        <f t="shared" si="17"/>
        <v>1132</v>
      </c>
      <c r="B1146" s="566" t="s">
        <v>159</v>
      </c>
      <c r="C1146" s="566"/>
      <c r="D1146" s="567" t="s">
        <v>159</v>
      </c>
      <c r="E1146" s="567"/>
      <c r="F1146" s="568" t="s">
        <v>162</v>
      </c>
      <c r="G1146" s="568"/>
      <c r="H1146" s="569"/>
      <c r="I1146" s="570"/>
      <c r="J1146" s="571"/>
      <c r="K1146" s="572" t="s">
        <v>162</v>
      </c>
      <c r="L1146" s="573"/>
      <c r="M1146" s="574"/>
      <c r="N1146" s="575" t="s">
        <v>159</v>
      </c>
      <c r="O1146" s="576"/>
      <c r="P1146" s="576"/>
      <c r="Q1146" s="576"/>
      <c r="R1146" s="576"/>
      <c r="S1146" s="576"/>
      <c r="T1146" s="576"/>
      <c r="U1146" s="577"/>
    </row>
    <row r="1147" spans="1:21" ht="35.1" customHeight="1" x14ac:dyDescent="0.25">
      <c r="A1147" s="263">
        <f t="shared" si="17"/>
        <v>1133</v>
      </c>
      <c r="B1147" s="578" t="s">
        <v>446</v>
      </c>
      <c r="C1147" s="578"/>
      <c r="D1147" s="579" t="s">
        <v>159</v>
      </c>
      <c r="E1147" s="579"/>
      <c r="F1147" s="568" t="s">
        <v>162</v>
      </c>
      <c r="G1147" s="568"/>
      <c r="H1147" s="580"/>
      <c r="I1147" s="581"/>
      <c r="J1147" s="582"/>
      <c r="K1147" s="572" t="s">
        <v>162</v>
      </c>
      <c r="L1147" s="573"/>
      <c r="M1147" s="574"/>
      <c r="N1147" s="583" t="s">
        <v>159</v>
      </c>
      <c r="O1147" s="584"/>
      <c r="P1147" s="584"/>
      <c r="Q1147" s="584"/>
      <c r="R1147" s="584"/>
      <c r="S1147" s="584"/>
      <c r="T1147" s="584"/>
      <c r="U1147" s="585"/>
    </row>
    <row r="1148" spans="1:21" ht="35.1" customHeight="1" x14ac:dyDescent="0.25">
      <c r="A1148" s="263">
        <f t="shared" si="17"/>
        <v>1134</v>
      </c>
      <c r="B1148" s="566" t="s">
        <v>159</v>
      </c>
      <c r="C1148" s="566"/>
      <c r="D1148" s="567" t="s">
        <v>159</v>
      </c>
      <c r="E1148" s="567"/>
      <c r="F1148" s="568" t="s">
        <v>162</v>
      </c>
      <c r="G1148" s="568"/>
      <c r="H1148" s="569"/>
      <c r="I1148" s="570"/>
      <c r="J1148" s="571"/>
      <c r="K1148" s="572" t="s">
        <v>162</v>
      </c>
      <c r="L1148" s="573"/>
      <c r="M1148" s="574"/>
      <c r="N1148" s="575" t="s">
        <v>159</v>
      </c>
      <c r="O1148" s="576"/>
      <c r="P1148" s="576"/>
      <c r="Q1148" s="576"/>
      <c r="R1148" s="576"/>
      <c r="S1148" s="576"/>
      <c r="T1148" s="576"/>
      <c r="U1148" s="577"/>
    </row>
    <row r="1149" spans="1:21" ht="35.1" customHeight="1" x14ac:dyDescent="0.25">
      <c r="A1149" s="263">
        <f t="shared" si="17"/>
        <v>1135</v>
      </c>
      <c r="B1149" s="578" t="s">
        <v>159</v>
      </c>
      <c r="C1149" s="578"/>
      <c r="D1149" s="579" t="s">
        <v>159</v>
      </c>
      <c r="E1149" s="579"/>
      <c r="F1149" s="568" t="s">
        <v>162</v>
      </c>
      <c r="G1149" s="568"/>
      <c r="H1149" s="580"/>
      <c r="I1149" s="581"/>
      <c r="J1149" s="582"/>
      <c r="K1149" s="572" t="s">
        <v>162</v>
      </c>
      <c r="L1149" s="573"/>
      <c r="M1149" s="574"/>
      <c r="N1149" s="583" t="s">
        <v>159</v>
      </c>
      <c r="O1149" s="584"/>
      <c r="P1149" s="584"/>
      <c r="Q1149" s="584"/>
      <c r="R1149" s="584"/>
      <c r="S1149" s="584"/>
      <c r="T1149" s="584"/>
      <c r="U1149" s="585"/>
    </row>
    <row r="1150" spans="1:21" ht="35.1" customHeight="1" x14ac:dyDescent="0.25">
      <c r="A1150" s="263">
        <f t="shared" si="17"/>
        <v>1136</v>
      </c>
      <c r="B1150" s="566" t="s">
        <v>159</v>
      </c>
      <c r="C1150" s="566"/>
      <c r="D1150" s="567" t="s">
        <v>159</v>
      </c>
      <c r="E1150" s="567"/>
      <c r="F1150" s="568" t="s">
        <v>162</v>
      </c>
      <c r="G1150" s="568"/>
      <c r="H1150" s="569"/>
      <c r="I1150" s="570"/>
      <c r="J1150" s="571"/>
      <c r="K1150" s="572" t="s">
        <v>162</v>
      </c>
      <c r="L1150" s="573"/>
      <c r="M1150" s="574"/>
      <c r="N1150" s="575" t="s">
        <v>159</v>
      </c>
      <c r="O1150" s="576"/>
      <c r="P1150" s="576"/>
      <c r="Q1150" s="576"/>
      <c r="R1150" s="576"/>
      <c r="S1150" s="576"/>
      <c r="T1150" s="576"/>
      <c r="U1150" s="577"/>
    </row>
    <row r="1151" spans="1:21" ht="35.1" customHeight="1" x14ac:dyDescent="0.25">
      <c r="A1151" s="263">
        <f t="shared" si="17"/>
        <v>1137</v>
      </c>
      <c r="B1151" s="578" t="s">
        <v>159</v>
      </c>
      <c r="C1151" s="578"/>
      <c r="D1151" s="579" t="s">
        <v>159</v>
      </c>
      <c r="E1151" s="579"/>
      <c r="F1151" s="568" t="s">
        <v>162</v>
      </c>
      <c r="G1151" s="568"/>
      <c r="H1151" s="580"/>
      <c r="I1151" s="581"/>
      <c r="J1151" s="582"/>
      <c r="K1151" s="572" t="s">
        <v>162</v>
      </c>
      <c r="L1151" s="573"/>
      <c r="M1151" s="574"/>
      <c r="N1151" s="583" t="s">
        <v>159</v>
      </c>
      <c r="O1151" s="584"/>
      <c r="P1151" s="584"/>
      <c r="Q1151" s="584"/>
      <c r="R1151" s="584"/>
      <c r="S1151" s="584"/>
      <c r="T1151" s="584"/>
      <c r="U1151" s="585"/>
    </row>
    <row r="1152" spans="1:21" ht="35.1" customHeight="1" x14ac:dyDescent="0.25">
      <c r="A1152" s="263">
        <f t="shared" si="17"/>
        <v>1138</v>
      </c>
      <c r="B1152" s="566" t="s">
        <v>159</v>
      </c>
      <c r="C1152" s="566"/>
      <c r="D1152" s="567" t="s">
        <v>159</v>
      </c>
      <c r="E1152" s="567"/>
      <c r="F1152" s="568" t="s">
        <v>162</v>
      </c>
      <c r="G1152" s="568"/>
      <c r="H1152" s="569"/>
      <c r="I1152" s="570"/>
      <c r="J1152" s="571"/>
      <c r="K1152" s="572" t="s">
        <v>162</v>
      </c>
      <c r="L1152" s="573"/>
      <c r="M1152" s="574"/>
      <c r="N1152" s="575" t="s">
        <v>159</v>
      </c>
      <c r="O1152" s="576"/>
      <c r="P1152" s="576"/>
      <c r="Q1152" s="576"/>
      <c r="R1152" s="576"/>
      <c r="S1152" s="576"/>
      <c r="T1152" s="576"/>
      <c r="U1152" s="577"/>
    </row>
    <row r="1153" spans="1:21" ht="35.1" customHeight="1" x14ac:dyDescent="0.25">
      <c r="A1153" s="263">
        <f t="shared" si="17"/>
        <v>1139</v>
      </c>
      <c r="B1153" s="578" t="s">
        <v>159</v>
      </c>
      <c r="C1153" s="578"/>
      <c r="D1153" s="579" t="s">
        <v>159</v>
      </c>
      <c r="E1153" s="579"/>
      <c r="F1153" s="568" t="s">
        <v>162</v>
      </c>
      <c r="G1153" s="568"/>
      <c r="H1153" s="580"/>
      <c r="I1153" s="581"/>
      <c r="J1153" s="582"/>
      <c r="K1153" s="572" t="s">
        <v>162</v>
      </c>
      <c r="L1153" s="573"/>
      <c r="M1153" s="574"/>
      <c r="N1153" s="583" t="s">
        <v>159</v>
      </c>
      <c r="O1153" s="584"/>
      <c r="P1153" s="584"/>
      <c r="Q1153" s="584"/>
      <c r="R1153" s="584"/>
      <c r="S1153" s="584"/>
      <c r="T1153" s="584"/>
      <c r="U1153" s="585"/>
    </row>
    <row r="1154" spans="1:21" ht="35.1" customHeight="1" x14ac:dyDescent="0.25">
      <c r="A1154" s="263">
        <f t="shared" si="17"/>
        <v>1140</v>
      </c>
      <c r="B1154" s="566" t="s">
        <v>159</v>
      </c>
      <c r="C1154" s="566"/>
      <c r="D1154" s="567" t="s">
        <v>159</v>
      </c>
      <c r="E1154" s="567"/>
      <c r="F1154" s="568" t="s">
        <v>162</v>
      </c>
      <c r="G1154" s="568"/>
      <c r="H1154" s="569"/>
      <c r="I1154" s="570"/>
      <c r="J1154" s="571"/>
      <c r="K1154" s="572" t="s">
        <v>162</v>
      </c>
      <c r="L1154" s="573"/>
      <c r="M1154" s="574"/>
      <c r="N1154" s="575" t="s">
        <v>159</v>
      </c>
      <c r="O1154" s="576"/>
      <c r="P1154" s="576"/>
      <c r="Q1154" s="576"/>
      <c r="R1154" s="576"/>
      <c r="S1154" s="576"/>
      <c r="T1154" s="576"/>
      <c r="U1154" s="577"/>
    </row>
    <row r="1155" spans="1:21" ht="35.1" customHeight="1" x14ac:dyDescent="0.25">
      <c r="A1155" s="263">
        <f t="shared" si="17"/>
        <v>1141</v>
      </c>
      <c r="B1155" s="578" t="s">
        <v>159</v>
      </c>
      <c r="C1155" s="578"/>
      <c r="D1155" s="579" t="s">
        <v>159</v>
      </c>
      <c r="E1155" s="579"/>
      <c r="F1155" s="568" t="s">
        <v>162</v>
      </c>
      <c r="G1155" s="568"/>
      <c r="H1155" s="580"/>
      <c r="I1155" s="581"/>
      <c r="J1155" s="582"/>
      <c r="K1155" s="572" t="s">
        <v>162</v>
      </c>
      <c r="L1155" s="573"/>
      <c r="M1155" s="574"/>
      <c r="N1155" s="583" t="s">
        <v>159</v>
      </c>
      <c r="O1155" s="584"/>
      <c r="P1155" s="584"/>
      <c r="Q1155" s="584"/>
      <c r="R1155" s="584"/>
      <c r="S1155" s="584"/>
      <c r="T1155" s="584"/>
      <c r="U1155" s="585"/>
    </row>
    <row r="1156" spans="1:21" ht="35.1" customHeight="1" x14ac:dyDescent="0.25">
      <c r="A1156" s="263">
        <f t="shared" si="17"/>
        <v>1142</v>
      </c>
      <c r="B1156" s="566" t="s">
        <v>159</v>
      </c>
      <c r="C1156" s="566"/>
      <c r="D1156" s="567" t="s">
        <v>159</v>
      </c>
      <c r="E1156" s="567"/>
      <c r="F1156" s="568" t="s">
        <v>162</v>
      </c>
      <c r="G1156" s="568"/>
      <c r="H1156" s="569"/>
      <c r="I1156" s="570"/>
      <c r="J1156" s="571"/>
      <c r="K1156" s="572" t="s">
        <v>162</v>
      </c>
      <c r="L1156" s="573"/>
      <c r="M1156" s="574"/>
      <c r="N1156" s="575" t="s">
        <v>159</v>
      </c>
      <c r="O1156" s="576"/>
      <c r="P1156" s="576"/>
      <c r="Q1156" s="576"/>
      <c r="R1156" s="576"/>
      <c r="S1156" s="576"/>
      <c r="T1156" s="576"/>
      <c r="U1156" s="577"/>
    </row>
    <row r="1157" spans="1:21" ht="35.1" customHeight="1" x14ac:dyDescent="0.25">
      <c r="A1157" s="263">
        <f t="shared" si="17"/>
        <v>1143</v>
      </c>
      <c r="B1157" s="578" t="s">
        <v>159</v>
      </c>
      <c r="C1157" s="578"/>
      <c r="D1157" s="579" t="s">
        <v>159</v>
      </c>
      <c r="E1157" s="579"/>
      <c r="F1157" s="568" t="s">
        <v>162</v>
      </c>
      <c r="G1157" s="568"/>
      <c r="H1157" s="580"/>
      <c r="I1157" s="581"/>
      <c r="J1157" s="582"/>
      <c r="K1157" s="572" t="s">
        <v>162</v>
      </c>
      <c r="L1157" s="573"/>
      <c r="M1157" s="574"/>
      <c r="N1157" s="583" t="s">
        <v>159</v>
      </c>
      <c r="O1157" s="584"/>
      <c r="P1157" s="584"/>
      <c r="Q1157" s="584"/>
      <c r="R1157" s="584"/>
      <c r="S1157" s="584"/>
      <c r="T1157" s="584"/>
      <c r="U1157" s="585"/>
    </row>
    <row r="1158" spans="1:21" ht="35.1" customHeight="1" x14ac:dyDescent="0.25">
      <c r="A1158" s="263">
        <f t="shared" si="17"/>
        <v>1144</v>
      </c>
      <c r="B1158" s="566" t="s">
        <v>159</v>
      </c>
      <c r="C1158" s="566"/>
      <c r="D1158" s="567" t="s">
        <v>159</v>
      </c>
      <c r="E1158" s="567"/>
      <c r="F1158" s="568" t="s">
        <v>162</v>
      </c>
      <c r="G1158" s="568"/>
      <c r="H1158" s="569"/>
      <c r="I1158" s="570"/>
      <c r="J1158" s="571"/>
      <c r="K1158" s="572" t="s">
        <v>162</v>
      </c>
      <c r="L1158" s="573"/>
      <c r="M1158" s="574"/>
      <c r="N1158" s="575" t="s">
        <v>159</v>
      </c>
      <c r="O1158" s="576"/>
      <c r="P1158" s="576"/>
      <c r="Q1158" s="576"/>
      <c r="R1158" s="576"/>
      <c r="S1158" s="576"/>
      <c r="T1158" s="576"/>
      <c r="U1158" s="577"/>
    </row>
    <row r="1159" spans="1:21" ht="35.1" customHeight="1" x14ac:dyDescent="0.25">
      <c r="A1159" s="263">
        <f t="shared" si="17"/>
        <v>1145</v>
      </c>
      <c r="B1159" s="578" t="s">
        <v>445</v>
      </c>
      <c r="C1159" s="578"/>
      <c r="D1159" s="579" t="s">
        <v>159</v>
      </c>
      <c r="E1159" s="579"/>
      <c r="F1159" s="568" t="s">
        <v>162</v>
      </c>
      <c r="G1159" s="568"/>
      <c r="H1159" s="580"/>
      <c r="I1159" s="581"/>
      <c r="J1159" s="582"/>
      <c r="K1159" s="572" t="s">
        <v>162</v>
      </c>
      <c r="L1159" s="573"/>
      <c r="M1159" s="574"/>
      <c r="N1159" s="583" t="s">
        <v>159</v>
      </c>
      <c r="O1159" s="584"/>
      <c r="P1159" s="584"/>
      <c r="Q1159" s="584"/>
      <c r="R1159" s="584"/>
      <c r="S1159" s="584"/>
      <c r="T1159" s="584"/>
      <c r="U1159" s="585"/>
    </row>
    <row r="1160" spans="1:21" ht="35.1" customHeight="1" x14ac:dyDescent="0.25">
      <c r="A1160" s="263">
        <f t="shared" si="17"/>
        <v>1146</v>
      </c>
      <c r="B1160" s="566" t="s">
        <v>159</v>
      </c>
      <c r="C1160" s="566"/>
      <c r="D1160" s="567" t="s">
        <v>159</v>
      </c>
      <c r="E1160" s="567"/>
      <c r="F1160" s="568" t="s">
        <v>162</v>
      </c>
      <c r="G1160" s="568"/>
      <c r="H1160" s="569"/>
      <c r="I1160" s="570"/>
      <c r="J1160" s="571"/>
      <c r="K1160" s="572" t="s">
        <v>162</v>
      </c>
      <c r="L1160" s="573"/>
      <c r="M1160" s="574"/>
      <c r="N1160" s="575" t="s">
        <v>159</v>
      </c>
      <c r="O1160" s="576"/>
      <c r="P1160" s="576"/>
      <c r="Q1160" s="576"/>
      <c r="R1160" s="576"/>
      <c r="S1160" s="576"/>
      <c r="T1160" s="576"/>
      <c r="U1160" s="577"/>
    </row>
    <row r="1161" spans="1:21" ht="35.1" customHeight="1" x14ac:dyDescent="0.25">
      <c r="A1161" s="263">
        <f t="shared" si="17"/>
        <v>1147</v>
      </c>
      <c r="B1161" s="578" t="s">
        <v>159</v>
      </c>
      <c r="C1161" s="578"/>
      <c r="D1161" s="579" t="s">
        <v>159</v>
      </c>
      <c r="E1161" s="579"/>
      <c r="F1161" s="568" t="s">
        <v>162</v>
      </c>
      <c r="G1161" s="568"/>
      <c r="H1161" s="580"/>
      <c r="I1161" s="581"/>
      <c r="J1161" s="582"/>
      <c r="K1161" s="572" t="s">
        <v>162</v>
      </c>
      <c r="L1161" s="573"/>
      <c r="M1161" s="574"/>
      <c r="N1161" s="583" t="s">
        <v>159</v>
      </c>
      <c r="O1161" s="584"/>
      <c r="P1161" s="584"/>
      <c r="Q1161" s="584"/>
      <c r="R1161" s="584"/>
      <c r="S1161" s="584"/>
      <c r="T1161" s="584"/>
      <c r="U1161" s="585"/>
    </row>
    <row r="1162" spans="1:21" ht="35.1" customHeight="1" x14ac:dyDescent="0.25">
      <c r="A1162" s="263">
        <f t="shared" si="17"/>
        <v>1148</v>
      </c>
      <c r="B1162" s="566" t="s">
        <v>159</v>
      </c>
      <c r="C1162" s="566"/>
      <c r="D1162" s="567" t="s">
        <v>159</v>
      </c>
      <c r="E1162" s="567"/>
      <c r="F1162" s="568" t="s">
        <v>162</v>
      </c>
      <c r="G1162" s="568"/>
      <c r="H1162" s="569"/>
      <c r="I1162" s="570"/>
      <c r="J1162" s="571"/>
      <c r="K1162" s="572" t="s">
        <v>162</v>
      </c>
      <c r="L1162" s="573"/>
      <c r="M1162" s="574"/>
      <c r="N1162" s="575" t="s">
        <v>159</v>
      </c>
      <c r="O1162" s="576"/>
      <c r="P1162" s="576"/>
      <c r="Q1162" s="576"/>
      <c r="R1162" s="576"/>
      <c r="S1162" s="576"/>
      <c r="T1162" s="576"/>
      <c r="U1162" s="577"/>
    </row>
    <row r="1163" spans="1:21" ht="35.1" customHeight="1" x14ac:dyDescent="0.25">
      <c r="A1163" s="263">
        <f t="shared" si="17"/>
        <v>1149</v>
      </c>
      <c r="B1163" s="578" t="s">
        <v>159</v>
      </c>
      <c r="C1163" s="578"/>
      <c r="D1163" s="579" t="s">
        <v>159</v>
      </c>
      <c r="E1163" s="579"/>
      <c r="F1163" s="568" t="s">
        <v>162</v>
      </c>
      <c r="G1163" s="568"/>
      <c r="H1163" s="580"/>
      <c r="I1163" s="581"/>
      <c r="J1163" s="582"/>
      <c r="K1163" s="572" t="s">
        <v>162</v>
      </c>
      <c r="L1163" s="573"/>
      <c r="M1163" s="574"/>
      <c r="N1163" s="583" t="s">
        <v>159</v>
      </c>
      <c r="O1163" s="584"/>
      <c r="P1163" s="584"/>
      <c r="Q1163" s="584"/>
      <c r="R1163" s="584"/>
      <c r="S1163" s="584"/>
      <c r="T1163" s="584"/>
      <c r="U1163" s="585"/>
    </row>
    <row r="1164" spans="1:21" ht="35.1" customHeight="1" x14ac:dyDescent="0.25">
      <c r="A1164" s="263">
        <f t="shared" si="17"/>
        <v>1150</v>
      </c>
      <c r="B1164" s="566" t="s">
        <v>159</v>
      </c>
      <c r="C1164" s="566"/>
      <c r="D1164" s="567" t="s">
        <v>159</v>
      </c>
      <c r="E1164" s="567"/>
      <c r="F1164" s="568" t="s">
        <v>162</v>
      </c>
      <c r="G1164" s="568"/>
      <c r="H1164" s="569"/>
      <c r="I1164" s="570"/>
      <c r="J1164" s="571"/>
      <c r="K1164" s="572" t="s">
        <v>162</v>
      </c>
      <c r="L1164" s="573"/>
      <c r="M1164" s="574"/>
      <c r="N1164" s="575" t="s">
        <v>159</v>
      </c>
      <c r="O1164" s="576"/>
      <c r="P1164" s="576"/>
      <c r="Q1164" s="576"/>
      <c r="R1164" s="576"/>
      <c r="S1164" s="576"/>
      <c r="T1164" s="576"/>
      <c r="U1164" s="577"/>
    </row>
    <row r="1165" spans="1:21" ht="35.1" customHeight="1" x14ac:dyDescent="0.25">
      <c r="A1165" s="263">
        <f t="shared" si="17"/>
        <v>1151</v>
      </c>
      <c r="B1165" s="578" t="s">
        <v>449</v>
      </c>
      <c r="C1165" s="578"/>
      <c r="D1165" s="579" t="s">
        <v>159</v>
      </c>
      <c r="E1165" s="579"/>
      <c r="F1165" s="568" t="s">
        <v>162</v>
      </c>
      <c r="G1165" s="568"/>
      <c r="H1165" s="580"/>
      <c r="I1165" s="581"/>
      <c r="J1165" s="582"/>
      <c r="K1165" s="572" t="s">
        <v>162</v>
      </c>
      <c r="L1165" s="573"/>
      <c r="M1165" s="574"/>
      <c r="N1165" s="583" t="s">
        <v>159</v>
      </c>
      <c r="O1165" s="584"/>
      <c r="P1165" s="584"/>
      <c r="Q1165" s="584"/>
      <c r="R1165" s="584"/>
      <c r="S1165" s="584"/>
      <c r="T1165" s="584"/>
      <c r="U1165" s="585"/>
    </row>
    <row r="1166" spans="1:21" ht="35.1" customHeight="1" x14ac:dyDescent="0.25">
      <c r="A1166" s="263">
        <f t="shared" si="17"/>
        <v>1152</v>
      </c>
      <c r="B1166" s="566" t="s">
        <v>159</v>
      </c>
      <c r="C1166" s="566"/>
      <c r="D1166" s="567" t="s">
        <v>159</v>
      </c>
      <c r="E1166" s="567"/>
      <c r="F1166" s="568" t="s">
        <v>162</v>
      </c>
      <c r="G1166" s="568"/>
      <c r="H1166" s="569"/>
      <c r="I1166" s="570"/>
      <c r="J1166" s="571"/>
      <c r="K1166" s="572" t="s">
        <v>162</v>
      </c>
      <c r="L1166" s="573"/>
      <c r="M1166" s="574"/>
      <c r="N1166" s="575" t="s">
        <v>159</v>
      </c>
      <c r="O1166" s="576"/>
      <c r="P1166" s="576"/>
      <c r="Q1166" s="576"/>
      <c r="R1166" s="576"/>
      <c r="S1166" s="576"/>
      <c r="T1166" s="576"/>
      <c r="U1166" s="577"/>
    </row>
    <row r="1167" spans="1:21" ht="35.1" customHeight="1" x14ac:dyDescent="0.25">
      <c r="A1167" s="263">
        <f t="shared" ref="A1167:A1230" si="18">ROW(A1153)</f>
        <v>1153</v>
      </c>
      <c r="B1167" s="578" t="s">
        <v>159</v>
      </c>
      <c r="C1167" s="578"/>
      <c r="D1167" s="579" t="s">
        <v>159</v>
      </c>
      <c r="E1167" s="579"/>
      <c r="F1167" s="568" t="s">
        <v>162</v>
      </c>
      <c r="G1167" s="568"/>
      <c r="H1167" s="580"/>
      <c r="I1167" s="581"/>
      <c r="J1167" s="582"/>
      <c r="K1167" s="572" t="s">
        <v>162</v>
      </c>
      <c r="L1167" s="573"/>
      <c r="M1167" s="574"/>
      <c r="N1167" s="583" t="s">
        <v>159</v>
      </c>
      <c r="O1167" s="584"/>
      <c r="P1167" s="584"/>
      <c r="Q1167" s="584"/>
      <c r="R1167" s="584"/>
      <c r="S1167" s="584"/>
      <c r="T1167" s="584"/>
      <c r="U1167" s="585"/>
    </row>
    <row r="1168" spans="1:21" ht="35.1" customHeight="1" x14ac:dyDescent="0.25">
      <c r="A1168" s="263">
        <f t="shared" si="18"/>
        <v>1154</v>
      </c>
      <c r="B1168" s="566" t="s">
        <v>159</v>
      </c>
      <c r="C1168" s="566"/>
      <c r="D1168" s="567" t="s">
        <v>159</v>
      </c>
      <c r="E1168" s="567"/>
      <c r="F1168" s="568" t="s">
        <v>162</v>
      </c>
      <c r="G1168" s="568"/>
      <c r="H1168" s="569"/>
      <c r="I1168" s="570"/>
      <c r="J1168" s="571"/>
      <c r="K1168" s="572" t="s">
        <v>162</v>
      </c>
      <c r="L1168" s="573"/>
      <c r="M1168" s="574"/>
      <c r="N1168" s="575" t="s">
        <v>159</v>
      </c>
      <c r="O1168" s="576"/>
      <c r="P1168" s="576"/>
      <c r="Q1168" s="576"/>
      <c r="R1168" s="576"/>
      <c r="S1168" s="576"/>
      <c r="T1168" s="576"/>
      <c r="U1168" s="577"/>
    </row>
    <row r="1169" spans="1:21" ht="35.1" customHeight="1" x14ac:dyDescent="0.25">
      <c r="A1169" s="263">
        <f t="shared" si="18"/>
        <v>1155</v>
      </c>
      <c r="B1169" s="578" t="s">
        <v>159</v>
      </c>
      <c r="C1169" s="578"/>
      <c r="D1169" s="579" t="s">
        <v>159</v>
      </c>
      <c r="E1169" s="579"/>
      <c r="F1169" s="568" t="s">
        <v>162</v>
      </c>
      <c r="G1169" s="568"/>
      <c r="H1169" s="580"/>
      <c r="I1169" s="581"/>
      <c r="J1169" s="582"/>
      <c r="K1169" s="572" t="s">
        <v>162</v>
      </c>
      <c r="L1169" s="573"/>
      <c r="M1169" s="574"/>
      <c r="N1169" s="583" t="s">
        <v>159</v>
      </c>
      <c r="O1169" s="584"/>
      <c r="P1169" s="584"/>
      <c r="Q1169" s="584"/>
      <c r="R1169" s="584"/>
      <c r="S1169" s="584"/>
      <c r="T1169" s="584"/>
      <c r="U1169" s="585"/>
    </row>
    <row r="1170" spans="1:21" ht="35.1" customHeight="1" x14ac:dyDescent="0.25">
      <c r="A1170" s="263">
        <f t="shared" si="18"/>
        <v>1156</v>
      </c>
      <c r="B1170" s="566" t="s">
        <v>443</v>
      </c>
      <c r="C1170" s="566"/>
      <c r="D1170" s="567" t="s">
        <v>159</v>
      </c>
      <c r="E1170" s="567"/>
      <c r="F1170" s="568" t="s">
        <v>162</v>
      </c>
      <c r="G1170" s="568"/>
      <c r="H1170" s="569"/>
      <c r="I1170" s="570"/>
      <c r="J1170" s="571"/>
      <c r="K1170" s="572" t="s">
        <v>162</v>
      </c>
      <c r="L1170" s="573"/>
      <c r="M1170" s="574"/>
      <c r="N1170" s="575" t="s">
        <v>159</v>
      </c>
      <c r="O1170" s="576"/>
      <c r="P1170" s="576"/>
      <c r="Q1170" s="576"/>
      <c r="R1170" s="576"/>
      <c r="S1170" s="576"/>
      <c r="T1170" s="576"/>
      <c r="U1170" s="577"/>
    </row>
    <row r="1171" spans="1:21" ht="35.1" customHeight="1" x14ac:dyDescent="0.25">
      <c r="A1171" s="263">
        <f t="shared" si="18"/>
        <v>1157</v>
      </c>
      <c r="B1171" s="578" t="s">
        <v>159</v>
      </c>
      <c r="C1171" s="578"/>
      <c r="D1171" s="579" t="s">
        <v>159</v>
      </c>
      <c r="E1171" s="579"/>
      <c r="F1171" s="568" t="s">
        <v>162</v>
      </c>
      <c r="G1171" s="568"/>
      <c r="H1171" s="580"/>
      <c r="I1171" s="581"/>
      <c r="J1171" s="582"/>
      <c r="K1171" s="572" t="s">
        <v>162</v>
      </c>
      <c r="L1171" s="573"/>
      <c r="M1171" s="574"/>
      <c r="N1171" s="583" t="s">
        <v>159</v>
      </c>
      <c r="O1171" s="584"/>
      <c r="P1171" s="584"/>
      <c r="Q1171" s="584"/>
      <c r="R1171" s="584"/>
      <c r="S1171" s="584"/>
      <c r="T1171" s="584"/>
      <c r="U1171" s="585"/>
    </row>
    <row r="1172" spans="1:21" ht="35.1" customHeight="1" x14ac:dyDescent="0.25">
      <c r="A1172" s="263">
        <f t="shared" si="18"/>
        <v>1158</v>
      </c>
      <c r="B1172" s="566" t="s">
        <v>159</v>
      </c>
      <c r="C1172" s="566"/>
      <c r="D1172" s="567" t="s">
        <v>159</v>
      </c>
      <c r="E1172" s="567"/>
      <c r="F1172" s="568" t="s">
        <v>162</v>
      </c>
      <c r="G1172" s="568"/>
      <c r="H1172" s="569"/>
      <c r="I1172" s="570"/>
      <c r="J1172" s="571"/>
      <c r="K1172" s="572" t="s">
        <v>162</v>
      </c>
      <c r="L1172" s="573"/>
      <c r="M1172" s="574"/>
      <c r="N1172" s="575" t="s">
        <v>159</v>
      </c>
      <c r="O1172" s="576"/>
      <c r="P1172" s="576"/>
      <c r="Q1172" s="576"/>
      <c r="R1172" s="576"/>
      <c r="S1172" s="576"/>
      <c r="T1172" s="576"/>
      <c r="U1172" s="577"/>
    </row>
    <row r="1173" spans="1:21" ht="35.1" customHeight="1" x14ac:dyDescent="0.25">
      <c r="A1173" s="263">
        <f t="shared" si="18"/>
        <v>1159</v>
      </c>
      <c r="B1173" s="578" t="s">
        <v>159</v>
      </c>
      <c r="C1173" s="578"/>
      <c r="D1173" s="579" t="s">
        <v>159</v>
      </c>
      <c r="E1173" s="579"/>
      <c r="F1173" s="568" t="s">
        <v>162</v>
      </c>
      <c r="G1173" s="568"/>
      <c r="H1173" s="580"/>
      <c r="I1173" s="581"/>
      <c r="J1173" s="582"/>
      <c r="K1173" s="572" t="s">
        <v>162</v>
      </c>
      <c r="L1173" s="573"/>
      <c r="M1173" s="574"/>
      <c r="N1173" s="583" t="s">
        <v>159</v>
      </c>
      <c r="O1173" s="584"/>
      <c r="P1173" s="584"/>
      <c r="Q1173" s="584"/>
      <c r="R1173" s="584"/>
      <c r="S1173" s="584"/>
      <c r="T1173" s="584"/>
      <c r="U1173" s="585"/>
    </row>
    <row r="1174" spans="1:21" ht="35.1" customHeight="1" x14ac:dyDescent="0.25">
      <c r="A1174" s="263">
        <f t="shared" si="18"/>
        <v>1160</v>
      </c>
      <c r="B1174" s="566" t="s">
        <v>159</v>
      </c>
      <c r="C1174" s="566"/>
      <c r="D1174" s="567" t="s">
        <v>159</v>
      </c>
      <c r="E1174" s="567"/>
      <c r="F1174" s="568" t="s">
        <v>162</v>
      </c>
      <c r="G1174" s="568"/>
      <c r="H1174" s="569"/>
      <c r="I1174" s="570"/>
      <c r="J1174" s="571"/>
      <c r="K1174" s="572" t="s">
        <v>162</v>
      </c>
      <c r="L1174" s="573"/>
      <c r="M1174" s="574"/>
      <c r="N1174" s="575" t="s">
        <v>159</v>
      </c>
      <c r="O1174" s="576"/>
      <c r="P1174" s="576"/>
      <c r="Q1174" s="576"/>
      <c r="R1174" s="576"/>
      <c r="S1174" s="576"/>
      <c r="T1174" s="576"/>
      <c r="U1174" s="577"/>
    </row>
    <row r="1175" spans="1:21" ht="35.1" customHeight="1" x14ac:dyDescent="0.25">
      <c r="A1175" s="263">
        <f t="shared" si="18"/>
        <v>1161</v>
      </c>
      <c r="B1175" s="578" t="s">
        <v>446</v>
      </c>
      <c r="C1175" s="578"/>
      <c r="D1175" s="579" t="s">
        <v>159</v>
      </c>
      <c r="E1175" s="579"/>
      <c r="F1175" s="568" t="s">
        <v>162</v>
      </c>
      <c r="G1175" s="568"/>
      <c r="H1175" s="580"/>
      <c r="I1175" s="581"/>
      <c r="J1175" s="582"/>
      <c r="K1175" s="572" t="s">
        <v>162</v>
      </c>
      <c r="L1175" s="573"/>
      <c r="M1175" s="574"/>
      <c r="N1175" s="583" t="s">
        <v>159</v>
      </c>
      <c r="O1175" s="584"/>
      <c r="P1175" s="584"/>
      <c r="Q1175" s="584"/>
      <c r="R1175" s="584"/>
      <c r="S1175" s="584"/>
      <c r="T1175" s="584"/>
      <c r="U1175" s="585"/>
    </row>
    <row r="1176" spans="1:21" ht="35.1" customHeight="1" x14ac:dyDescent="0.25">
      <c r="A1176" s="263">
        <f t="shared" si="18"/>
        <v>1162</v>
      </c>
      <c r="B1176" s="566" t="s">
        <v>159</v>
      </c>
      <c r="C1176" s="566"/>
      <c r="D1176" s="567" t="s">
        <v>159</v>
      </c>
      <c r="E1176" s="567"/>
      <c r="F1176" s="568" t="s">
        <v>162</v>
      </c>
      <c r="G1176" s="568"/>
      <c r="H1176" s="569"/>
      <c r="I1176" s="570"/>
      <c r="J1176" s="571"/>
      <c r="K1176" s="572" t="s">
        <v>162</v>
      </c>
      <c r="L1176" s="573"/>
      <c r="M1176" s="574"/>
      <c r="N1176" s="575" t="s">
        <v>159</v>
      </c>
      <c r="O1176" s="576"/>
      <c r="P1176" s="576"/>
      <c r="Q1176" s="576"/>
      <c r="R1176" s="576"/>
      <c r="S1176" s="576"/>
      <c r="T1176" s="576"/>
      <c r="U1176" s="577"/>
    </row>
    <row r="1177" spans="1:21" ht="35.1" customHeight="1" x14ac:dyDescent="0.25">
      <c r="A1177" s="263">
        <f t="shared" si="18"/>
        <v>1163</v>
      </c>
      <c r="B1177" s="578" t="s">
        <v>159</v>
      </c>
      <c r="C1177" s="578"/>
      <c r="D1177" s="579" t="s">
        <v>159</v>
      </c>
      <c r="E1177" s="579"/>
      <c r="F1177" s="568" t="s">
        <v>162</v>
      </c>
      <c r="G1177" s="568"/>
      <c r="H1177" s="580"/>
      <c r="I1177" s="581"/>
      <c r="J1177" s="582"/>
      <c r="K1177" s="572" t="s">
        <v>162</v>
      </c>
      <c r="L1177" s="573"/>
      <c r="M1177" s="574"/>
      <c r="N1177" s="583" t="s">
        <v>159</v>
      </c>
      <c r="O1177" s="584"/>
      <c r="P1177" s="584"/>
      <c r="Q1177" s="584"/>
      <c r="R1177" s="584"/>
      <c r="S1177" s="584"/>
      <c r="T1177" s="584"/>
      <c r="U1177" s="585"/>
    </row>
    <row r="1178" spans="1:21" ht="35.1" customHeight="1" x14ac:dyDescent="0.25">
      <c r="A1178" s="263">
        <f t="shared" si="18"/>
        <v>1164</v>
      </c>
      <c r="B1178" s="566" t="s">
        <v>159</v>
      </c>
      <c r="C1178" s="566"/>
      <c r="D1178" s="567" t="s">
        <v>159</v>
      </c>
      <c r="E1178" s="567"/>
      <c r="F1178" s="568" t="s">
        <v>162</v>
      </c>
      <c r="G1178" s="568"/>
      <c r="H1178" s="569"/>
      <c r="I1178" s="570"/>
      <c r="J1178" s="571"/>
      <c r="K1178" s="572" t="s">
        <v>162</v>
      </c>
      <c r="L1178" s="573"/>
      <c r="M1178" s="574"/>
      <c r="N1178" s="575" t="s">
        <v>159</v>
      </c>
      <c r="O1178" s="576"/>
      <c r="P1178" s="576"/>
      <c r="Q1178" s="576"/>
      <c r="R1178" s="576"/>
      <c r="S1178" s="576"/>
      <c r="T1178" s="576"/>
      <c r="U1178" s="577"/>
    </row>
    <row r="1179" spans="1:21" ht="35.1" customHeight="1" x14ac:dyDescent="0.25">
      <c r="A1179" s="263">
        <f t="shared" si="18"/>
        <v>1165</v>
      </c>
      <c r="B1179" s="578" t="s">
        <v>159</v>
      </c>
      <c r="C1179" s="578"/>
      <c r="D1179" s="579" t="s">
        <v>159</v>
      </c>
      <c r="E1179" s="579"/>
      <c r="F1179" s="568" t="s">
        <v>162</v>
      </c>
      <c r="G1179" s="568"/>
      <c r="H1179" s="580"/>
      <c r="I1179" s="581"/>
      <c r="J1179" s="582"/>
      <c r="K1179" s="572" t="s">
        <v>162</v>
      </c>
      <c r="L1179" s="573"/>
      <c r="M1179" s="574"/>
      <c r="N1179" s="583" t="s">
        <v>159</v>
      </c>
      <c r="O1179" s="584"/>
      <c r="P1179" s="584"/>
      <c r="Q1179" s="584"/>
      <c r="R1179" s="584"/>
      <c r="S1179" s="584"/>
      <c r="T1179" s="584"/>
      <c r="U1179" s="585"/>
    </row>
    <row r="1180" spans="1:21" ht="35.1" customHeight="1" x14ac:dyDescent="0.25">
      <c r="A1180" s="263">
        <f t="shared" si="18"/>
        <v>1166</v>
      </c>
      <c r="B1180" s="566" t="s">
        <v>450</v>
      </c>
      <c r="C1180" s="566"/>
      <c r="D1180" s="567" t="s">
        <v>159</v>
      </c>
      <c r="E1180" s="567"/>
      <c r="F1180" s="568" t="s">
        <v>162</v>
      </c>
      <c r="G1180" s="568"/>
      <c r="H1180" s="569"/>
      <c r="I1180" s="570"/>
      <c r="J1180" s="571"/>
      <c r="K1180" s="572" t="s">
        <v>162</v>
      </c>
      <c r="L1180" s="573"/>
      <c r="M1180" s="574"/>
      <c r="N1180" s="575" t="s">
        <v>159</v>
      </c>
      <c r="O1180" s="576"/>
      <c r="P1180" s="576"/>
      <c r="Q1180" s="576"/>
      <c r="R1180" s="576"/>
      <c r="S1180" s="576"/>
      <c r="T1180" s="576"/>
      <c r="U1180" s="577"/>
    </row>
    <row r="1181" spans="1:21" ht="35.1" customHeight="1" x14ac:dyDescent="0.25">
      <c r="A1181" s="263">
        <f t="shared" si="18"/>
        <v>1167</v>
      </c>
      <c r="B1181" s="578" t="s">
        <v>159</v>
      </c>
      <c r="C1181" s="578"/>
      <c r="D1181" s="579" t="s">
        <v>159</v>
      </c>
      <c r="E1181" s="579"/>
      <c r="F1181" s="568" t="s">
        <v>162</v>
      </c>
      <c r="G1181" s="568"/>
      <c r="H1181" s="580"/>
      <c r="I1181" s="581"/>
      <c r="J1181" s="582"/>
      <c r="K1181" s="572" t="s">
        <v>162</v>
      </c>
      <c r="L1181" s="573"/>
      <c r="M1181" s="574"/>
      <c r="N1181" s="583" t="s">
        <v>159</v>
      </c>
      <c r="O1181" s="584"/>
      <c r="P1181" s="584"/>
      <c r="Q1181" s="584"/>
      <c r="R1181" s="584"/>
      <c r="S1181" s="584"/>
      <c r="T1181" s="584"/>
      <c r="U1181" s="585"/>
    </row>
    <row r="1182" spans="1:21" ht="35.1" customHeight="1" x14ac:dyDescent="0.25">
      <c r="A1182" s="263">
        <f t="shared" si="18"/>
        <v>1168</v>
      </c>
      <c r="B1182" s="566" t="s">
        <v>159</v>
      </c>
      <c r="C1182" s="566"/>
      <c r="D1182" s="567" t="s">
        <v>159</v>
      </c>
      <c r="E1182" s="567"/>
      <c r="F1182" s="568" t="s">
        <v>162</v>
      </c>
      <c r="G1182" s="568"/>
      <c r="H1182" s="569"/>
      <c r="I1182" s="570"/>
      <c r="J1182" s="571"/>
      <c r="K1182" s="572" t="s">
        <v>162</v>
      </c>
      <c r="L1182" s="573"/>
      <c r="M1182" s="574"/>
      <c r="N1182" s="575" t="s">
        <v>159</v>
      </c>
      <c r="O1182" s="576"/>
      <c r="P1182" s="576"/>
      <c r="Q1182" s="576"/>
      <c r="R1182" s="576"/>
      <c r="S1182" s="576"/>
      <c r="T1182" s="576"/>
      <c r="U1182" s="577"/>
    </row>
    <row r="1183" spans="1:21" ht="35.1" customHeight="1" x14ac:dyDescent="0.25">
      <c r="A1183" s="263">
        <f t="shared" si="18"/>
        <v>1169</v>
      </c>
      <c r="B1183" s="578" t="s">
        <v>159</v>
      </c>
      <c r="C1183" s="578"/>
      <c r="D1183" s="579" t="s">
        <v>159</v>
      </c>
      <c r="E1183" s="579"/>
      <c r="F1183" s="568" t="s">
        <v>162</v>
      </c>
      <c r="G1183" s="568"/>
      <c r="H1183" s="580"/>
      <c r="I1183" s="581"/>
      <c r="J1183" s="582"/>
      <c r="K1183" s="572" t="s">
        <v>162</v>
      </c>
      <c r="L1183" s="573"/>
      <c r="M1183" s="574"/>
      <c r="N1183" s="583" t="s">
        <v>159</v>
      </c>
      <c r="O1183" s="584"/>
      <c r="P1183" s="584"/>
      <c r="Q1183" s="584"/>
      <c r="R1183" s="584"/>
      <c r="S1183" s="584"/>
      <c r="T1183" s="584"/>
      <c r="U1183" s="585"/>
    </row>
    <row r="1184" spans="1:21" ht="35.1" customHeight="1" x14ac:dyDescent="0.25">
      <c r="A1184" s="263">
        <f t="shared" si="18"/>
        <v>1170</v>
      </c>
      <c r="B1184" s="566" t="s">
        <v>443</v>
      </c>
      <c r="C1184" s="566"/>
      <c r="D1184" s="567" t="s">
        <v>159</v>
      </c>
      <c r="E1184" s="567"/>
      <c r="F1184" s="568" t="s">
        <v>162</v>
      </c>
      <c r="G1184" s="568"/>
      <c r="H1184" s="569"/>
      <c r="I1184" s="570"/>
      <c r="J1184" s="571"/>
      <c r="K1184" s="572" t="s">
        <v>162</v>
      </c>
      <c r="L1184" s="573"/>
      <c r="M1184" s="574"/>
      <c r="N1184" s="575" t="s">
        <v>159</v>
      </c>
      <c r="O1184" s="576"/>
      <c r="P1184" s="576"/>
      <c r="Q1184" s="576"/>
      <c r="R1184" s="576"/>
      <c r="S1184" s="576"/>
      <c r="T1184" s="576"/>
      <c r="U1184" s="577"/>
    </row>
    <row r="1185" spans="1:21" ht="35.1" customHeight="1" x14ac:dyDescent="0.25">
      <c r="A1185" s="263">
        <f t="shared" si="18"/>
        <v>1171</v>
      </c>
      <c r="B1185" s="578" t="s">
        <v>159</v>
      </c>
      <c r="C1185" s="578"/>
      <c r="D1185" s="579" t="s">
        <v>159</v>
      </c>
      <c r="E1185" s="579"/>
      <c r="F1185" s="568" t="s">
        <v>162</v>
      </c>
      <c r="G1185" s="568"/>
      <c r="H1185" s="580"/>
      <c r="I1185" s="581"/>
      <c r="J1185" s="582"/>
      <c r="K1185" s="572" t="s">
        <v>162</v>
      </c>
      <c r="L1185" s="573"/>
      <c r="M1185" s="574"/>
      <c r="N1185" s="583" t="s">
        <v>159</v>
      </c>
      <c r="O1185" s="584"/>
      <c r="P1185" s="584"/>
      <c r="Q1185" s="584"/>
      <c r="R1185" s="584"/>
      <c r="S1185" s="584"/>
      <c r="T1185" s="584"/>
      <c r="U1185" s="585"/>
    </row>
    <row r="1186" spans="1:21" ht="35.1" customHeight="1" x14ac:dyDescent="0.25">
      <c r="A1186" s="263">
        <f t="shared" si="18"/>
        <v>1172</v>
      </c>
      <c r="B1186" s="566" t="s">
        <v>159</v>
      </c>
      <c r="C1186" s="566"/>
      <c r="D1186" s="567" t="s">
        <v>159</v>
      </c>
      <c r="E1186" s="567"/>
      <c r="F1186" s="568" t="s">
        <v>162</v>
      </c>
      <c r="G1186" s="568"/>
      <c r="H1186" s="569"/>
      <c r="I1186" s="570"/>
      <c r="J1186" s="571"/>
      <c r="K1186" s="572" t="s">
        <v>162</v>
      </c>
      <c r="L1186" s="573"/>
      <c r="M1186" s="574"/>
      <c r="N1186" s="575" t="s">
        <v>159</v>
      </c>
      <c r="O1186" s="576"/>
      <c r="P1186" s="576"/>
      <c r="Q1186" s="576"/>
      <c r="R1186" s="576"/>
      <c r="S1186" s="576"/>
      <c r="T1186" s="576"/>
      <c r="U1186" s="577"/>
    </row>
    <row r="1187" spans="1:21" ht="35.1" customHeight="1" x14ac:dyDescent="0.25">
      <c r="A1187" s="263">
        <f t="shared" si="18"/>
        <v>1173</v>
      </c>
      <c r="B1187" s="578" t="s">
        <v>159</v>
      </c>
      <c r="C1187" s="578"/>
      <c r="D1187" s="579" t="s">
        <v>159</v>
      </c>
      <c r="E1187" s="579"/>
      <c r="F1187" s="568" t="s">
        <v>162</v>
      </c>
      <c r="G1187" s="568"/>
      <c r="H1187" s="580"/>
      <c r="I1187" s="581"/>
      <c r="J1187" s="582"/>
      <c r="K1187" s="572" t="s">
        <v>162</v>
      </c>
      <c r="L1187" s="573"/>
      <c r="M1187" s="574"/>
      <c r="N1187" s="583" t="s">
        <v>159</v>
      </c>
      <c r="O1187" s="584"/>
      <c r="P1187" s="584"/>
      <c r="Q1187" s="584"/>
      <c r="R1187" s="584"/>
      <c r="S1187" s="584"/>
      <c r="T1187" s="584"/>
      <c r="U1187" s="585"/>
    </row>
    <row r="1188" spans="1:21" ht="35.1" customHeight="1" x14ac:dyDescent="0.25">
      <c r="A1188" s="263">
        <f t="shared" si="18"/>
        <v>1174</v>
      </c>
      <c r="B1188" s="566" t="s">
        <v>159</v>
      </c>
      <c r="C1188" s="566"/>
      <c r="D1188" s="567" t="s">
        <v>159</v>
      </c>
      <c r="E1188" s="567"/>
      <c r="F1188" s="568" t="s">
        <v>162</v>
      </c>
      <c r="G1188" s="568"/>
      <c r="H1188" s="569"/>
      <c r="I1188" s="570"/>
      <c r="J1188" s="571"/>
      <c r="K1188" s="572" t="s">
        <v>162</v>
      </c>
      <c r="L1188" s="573"/>
      <c r="M1188" s="574"/>
      <c r="N1188" s="575" t="s">
        <v>159</v>
      </c>
      <c r="O1188" s="576"/>
      <c r="P1188" s="576"/>
      <c r="Q1188" s="576"/>
      <c r="R1188" s="576"/>
      <c r="S1188" s="576"/>
      <c r="T1188" s="576"/>
      <c r="U1188" s="577"/>
    </row>
    <row r="1189" spans="1:21" ht="35.1" customHeight="1" x14ac:dyDescent="0.25">
      <c r="A1189" s="263">
        <f t="shared" si="18"/>
        <v>1175</v>
      </c>
      <c r="B1189" s="578" t="s">
        <v>159</v>
      </c>
      <c r="C1189" s="578"/>
      <c r="D1189" s="579" t="s">
        <v>159</v>
      </c>
      <c r="E1189" s="579"/>
      <c r="F1189" s="568" t="s">
        <v>162</v>
      </c>
      <c r="G1189" s="568"/>
      <c r="H1189" s="580"/>
      <c r="I1189" s="581"/>
      <c r="J1189" s="582"/>
      <c r="K1189" s="572" t="s">
        <v>162</v>
      </c>
      <c r="L1189" s="573"/>
      <c r="M1189" s="574"/>
      <c r="N1189" s="583" t="s">
        <v>159</v>
      </c>
      <c r="O1189" s="584"/>
      <c r="P1189" s="584"/>
      <c r="Q1189" s="584"/>
      <c r="R1189" s="584"/>
      <c r="S1189" s="584"/>
      <c r="T1189" s="584"/>
      <c r="U1189" s="585"/>
    </row>
    <row r="1190" spans="1:21" ht="35.1" customHeight="1" x14ac:dyDescent="0.25">
      <c r="A1190" s="263">
        <f t="shared" si="18"/>
        <v>1176</v>
      </c>
      <c r="B1190" s="566" t="s">
        <v>451</v>
      </c>
      <c r="C1190" s="566"/>
      <c r="D1190" s="567" t="s">
        <v>159</v>
      </c>
      <c r="E1190" s="567"/>
      <c r="F1190" s="568" t="s">
        <v>162</v>
      </c>
      <c r="G1190" s="568"/>
      <c r="H1190" s="569"/>
      <c r="I1190" s="570"/>
      <c r="J1190" s="571"/>
      <c r="K1190" s="572" t="s">
        <v>162</v>
      </c>
      <c r="L1190" s="573"/>
      <c r="M1190" s="574"/>
      <c r="N1190" s="575" t="s">
        <v>159</v>
      </c>
      <c r="O1190" s="576"/>
      <c r="P1190" s="576"/>
      <c r="Q1190" s="576"/>
      <c r="R1190" s="576"/>
      <c r="S1190" s="576"/>
      <c r="T1190" s="576"/>
      <c r="U1190" s="577"/>
    </row>
    <row r="1191" spans="1:21" ht="35.1" customHeight="1" x14ac:dyDescent="0.25">
      <c r="A1191" s="263">
        <f t="shared" si="18"/>
        <v>1177</v>
      </c>
      <c r="B1191" s="578" t="s">
        <v>159</v>
      </c>
      <c r="C1191" s="578"/>
      <c r="D1191" s="579" t="s">
        <v>159</v>
      </c>
      <c r="E1191" s="579"/>
      <c r="F1191" s="568" t="s">
        <v>162</v>
      </c>
      <c r="G1191" s="568"/>
      <c r="H1191" s="580"/>
      <c r="I1191" s="581"/>
      <c r="J1191" s="582"/>
      <c r="K1191" s="572" t="s">
        <v>162</v>
      </c>
      <c r="L1191" s="573"/>
      <c r="M1191" s="574"/>
      <c r="N1191" s="583" t="s">
        <v>159</v>
      </c>
      <c r="O1191" s="584"/>
      <c r="P1191" s="584"/>
      <c r="Q1191" s="584"/>
      <c r="R1191" s="584"/>
      <c r="S1191" s="584"/>
      <c r="T1191" s="584"/>
      <c r="U1191" s="585"/>
    </row>
    <row r="1192" spans="1:21" ht="35.1" customHeight="1" x14ac:dyDescent="0.25">
      <c r="A1192" s="263">
        <f t="shared" si="18"/>
        <v>1178</v>
      </c>
      <c r="B1192" s="566" t="s">
        <v>159</v>
      </c>
      <c r="C1192" s="566"/>
      <c r="D1192" s="567" t="s">
        <v>159</v>
      </c>
      <c r="E1192" s="567"/>
      <c r="F1192" s="568" t="s">
        <v>162</v>
      </c>
      <c r="G1192" s="568"/>
      <c r="H1192" s="569"/>
      <c r="I1192" s="570"/>
      <c r="J1192" s="571"/>
      <c r="K1192" s="572" t="s">
        <v>162</v>
      </c>
      <c r="L1192" s="573"/>
      <c r="M1192" s="574"/>
      <c r="N1192" s="575" t="s">
        <v>159</v>
      </c>
      <c r="O1192" s="576"/>
      <c r="P1192" s="576"/>
      <c r="Q1192" s="576"/>
      <c r="R1192" s="576"/>
      <c r="S1192" s="576"/>
      <c r="T1192" s="576"/>
      <c r="U1192" s="577"/>
    </row>
    <row r="1193" spans="1:21" ht="35.1" customHeight="1" x14ac:dyDescent="0.25">
      <c r="A1193" s="263">
        <f t="shared" si="18"/>
        <v>1179</v>
      </c>
      <c r="B1193" s="578" t="s">
        <v>159</v>
      </c>
      <c r="C1193" s="578"/>
      <c r="D1193" s="579" t="s">
        <v>159</v>
      </c>
      <c r="E1193" s="579"/>
      <c r="F1193" s="568" t="s">
        <v>162</v>
      </c>
      <c r="G1193" s="568"/>
      <c r="H1193" s="580"/>
      <c r="I1193" s="581"/>
      <c r="J1193" s="582"/>
      <c r="K1193" s="572" t="s">
        <v>162</v>
      </c>
      <c r="L1193" s="573"/>
      <c r="M1193" s="574"/>
      <c r="N1193" s="583" t="s">
        <v>159</v>
      </c>
      <c r="O1193" s="584"/>
      <c r="P1193" s="584"/>
      <c r="Q1193" s="584"/>
      <c r="R1193" s="584"/>
      <c r="S1193" s="584"/>
      <c r="T1193" s="584"/>
      <c r="U1193" s="585"/>
    </row>
    <row r="1194" spans="1:21" ht="35.1" customHeight="1" x14ac:dyDescent="0.25">
      <c r="A1194" s="263">
        <f t="shared" si="18"/>
        <v>1180</v>
      </c>
      <c r="B1194" s="566" t="s">
        <v>159</v>
      </c>
      <c r="C1194" s="566"/>
      <c r="D1194" s="567" t="s">
        <v>159</v>
      </c>
      <c r="E1194" s="567"/>
      <c r="F1194" s="568" t="s">
        <v>162</v>
      </c>
      <c r="G1194" s="568"/>
      <c r="H1194" s="569"/>
      <c r="I1194" s="570"/>
      <c r="J1194" s="571"/>
      <c r="K1194" s="572" t="s">
        <v>162</v>
      </c>
      <c r="L1194" s="573"/>
      <c r="M1194" s="574"/>
      <c r="N1194" s="575" t="s">
        <v>159</v>
      </c>
      <c r="O1194" s="576"/>
      <c r="P1194" s="576"/>
      <c r="Q1194" s="576"/>
      <c r="R1194" s="576"/>
      <c r="S1194" s="576"/>
      <c r="T1194" s="576"/>
      <c r="U1194" s="577"/>
    </row>
    <row r="1195" spans="1:21" ht="35.1" customHeight="1" x14ac:dyDescent="0.25">
      <c r="A1195" s="263">
        <f t="shared" si="18"/>
        <v>1181</v>
      </c>
      <c r="B1195" s="578" t="s">
        <v>159</v>
      </c>
      <c r="C1195" s="578"/>
      <c r="D1195" s="579" t="s">
        <v>159</v>
      </c>
      <c r="E1195" s="579"/>
      <c r="F1195" s="568" t="s">
        <v>162</v>
      </c>
      <c r="G1195" s="568"/>
      <c r="H1195" s="580"/>
      <c r="I1195" s="581"/>
      <c r="J1195" s="582"/>
      <c r="K1195" s="572" t="s">
        <v>162</v>
      </c>
      <c r="L1195" s="573"/>
      <c r="M1195" s="574"/>
      <c r="N1195" s="583" t="s">
        <v>159</v>
      </c>
      <c r="O1195" s="584"/>
      <c r="P1195" s="584"/>
      <c r="Q1195" s="584"/>
      <c r="R1195" s="584"/>
      <c r="S1195" s="584"/>
      <c r="T1195" s="584"/>
      <c r="U1195" s="585"/>
    </row>
    <row r="1196" spans="1:21" ht="35.1" customHeight="1" x14ac:dyDescent="0.25">
      <c r="A1196" s="263">
        <f t="shared" si="18"/>
        <v>1182</v>
      </c>
      <c r="B1196" s="566" t="s">
        <v>159</v>
      </c>
      <c r="C1196" s="566"/>
      <c r="D1196" s="567" t="s">
        <v>159</v>
      </c>
      <c r="E1196" s="567"/>
      <c r="F1196" s="568" t="s">
        <v>162</v>
      </c>
      <c r="G1196" s="568"/>
      <c r="H1196" s="569"/>
      <c r="I1196" s="570"/>
      <c r="J1196" s="571"/>
      <c r="K1196" s="572" t="s">
        <v>162</v>
      </c>
      <c r="L1196" s="573"/>
      <c r="M1196" s="574"/>
      <c r="N1196" s="575" t="s">
        <v>159</v>
      </c>
      <c r="O1196" s="576"/>
      <c r="P1196" s="576"/>
      <c r="Q1196" s="576"/>
      <c r="R1196" s="576"/>
      <c r="S1196" s="576"/>
      <c r="T1196" s="576"/>
      <c r="U1196" s="577"/>
    </row>
    <row r="1197" spans="1:21" ht="35.1" customHeight="1" x14ac:dyDescent="0.25">
      <c r="A1197" s="263">
        <f t="shared" si="18"/>
        <v>1183</v>
      </c>
      <c r="B1197" s="566" t="s">
        <v>159</v>
      </c>
      <c r="C1197" s="566"/>
      <c r="D1197" s="567" t="s">
        <v>159</v>
      </c>
      <c r="E1197" s="567"/>
      <c r="F1197" s="568" t="s">
        <v>162</v>
      </c>
      <c r="G1197" s="568"/>
      <c r="H1197" s="569"/>
      <c r="I1197" s="570"/>
      <c r="J1197" s="571"/>
      <c r="K1197" s="572" t="s">
        <v>162</v>
      </c>
      <c r="L1197" s="573"/>
      <c r="M1197" s="574"/>
      <c r="N1197" s="575" t="s">
        <v>159</v>
      </c>
      <c r="O1197" s="576"/>
      <c r="P1197" s="576"/>
      <c r="Q1197" s="576"/>
      <c r="R1197" s="576"/>
      <c r="S1197" s="576"/>
      <c r="T1197" s="576"/>
      <c r="U1197" s="577"/>
    </row>
    <row r="1198" spans="1:21" ht="35.1" customHeight="1" x14ac:dyDescent="0.25">
      <c r="A1198" s="263">
        <f t="shared" si="18"/>
        <v>1184</v>
      </c>
      <c r="B1198" s="578" t="s">
        <v>159</v>
      </c>
      <c r="C1198" s="578"/>
      <c r="D1198" s="579" t="s">
        <v>159</v>
      </c>
      <c r="E1198" s="579"/>
      <c r="F1198" s="568" t="s">
        <v>162</v>
      </c>
      <c r="G1198" s="568"/>
      <c r="H1198" s="580"/>
      <c r="I1198" s="581"/>
      <c r="J1198" s="582"/>
      <c r="K1198" s="572" t="s">
        <v>162</v>
      </c>
      <c r="L1198" s="573"/>
      <c r="M1198" s="574"/>
      <c r="N1198" s="583"/>
      <c r="O1198" s="584"/>
      <c r="P1198" s="584"/>
      <c r="Q1198" s="584"/>
      <c r="R1198" s="584"/>
      <c r="S1198" s="584"/>
      <c r="T1198" s="584"/>
      <c r="U1198" s="585"/>
    </row>
    <row r="1199" spans="1:21" ht="35.1" customHeight="1" x14ac:dyDescent="0.25">
      <c r="A1199" s="263">
        <f t="shared" si="18"/>
        <v>1185</v>
      </c>
      <c r="B1199" s="566" t="s">
        <v>159</v>
      </c>
      <c r="C1199" s="566"/>
      <c r="D1199" s="567" t="s">
        <v>159</v>
      </c>
      <c r="E1199" s="567"/>
      <c r="F1199" s="568" t="s">
        <v>162</v>
      </c>
      <c r="G1199" s="568"/>
      <c r="H1199" s="569"/>
      <c r="I1199" s="570"/>
      <c r="J1199" s="571"/>
      <c r="K1199" s="572" t="s">
        <v>162</v>
      </c>
      <c r="L1199" s="573"/>
      <c r="M1199" s="574"/>
      <c r="N1199" s="575" t="s">
        <v>159</v>
      </c>
      <c r="O1199" s="576"/>
      <c r="P1199" s="576"/>
      <c r="Q1199" s="576"/>
      <c r="R1199" s="576"/>
      <c r="S1199" s="576"/>
      <c r="T1199" s="576"/>
      <c r="U1199" s="577"/>
    </row>
    <row r="1200" spans="1:21" ht="35.1" customHeight="1" x14ac:dyDescent="0.25">
      <c r="A1200" s="263">
        <f t="shared" si="18"/>
        <v>1186</v>
      </c>
      <c r="B1200" s="578" t="s">
        <v>159</v>
      </c>
      <c r="C1200" s="578"/>
      <c r="D1200" s="579" t="s">
        <v>159</v>
      </c>
      <c r="E1200" s="579"/>
      <c r="F1200" s="568" t="s">
        <v>162</v>
      </c>
      <c r="G1200" s="568"/>
      <c r="H1200" s="580"/>
      <c r="I1200" s="581"/>
      <c r="J1200" s="582"/>
      <c r="K1200" s="572" t="s">
        <v>162</v>
      </c>
      <c r="L1200" s="573"/>
      <c r="M1200" s="574"/>
      <c r="N1200" s="583" t="s">
        <v>159</v>
      </c>
      <c r="O1200" s="584"/>
      <c r="P1200" s="584"/>
      <c r="Q1200" s="584"/>
      <c r="R1200" s="584"/>
      <c r="S1200" s="584"/>
      <c r="T1200" s="584"/>
      <c r="U1200" s="585"/>
    </row>
    <row r="1201" spans="1:21" ht="35.1" customHeight="1" x14ac:dyDescent="0.25">
      <c r="A1201" s="263">
        <f t="shared" si="18"/>
        <v>1187</v>
      </c>
      <c r="B1201" s="566" t="s">
        <v>159</v>
      </c>
      <c r="C1201" s="566"/>
      <c r="D1201" s="567" t="s">
        <v>159</v>
      </c>
      <c r="E1201" s="567"/>
      <c r="F1201" s="568" t="s">
        <v>162</v>
      </c>
      <c r="G1201" s="568"/>
      <c r="H1201" s="569"/>
      <c r="I1201" s="570"/>
      <c r="J1201" s="571"/>
      <c r="K1201" s="572" t="s">
        <v>162</v>
      </c>
      <c r="L1201" s="573"/>
      <c r="M1201" s="574"/>
      <c r="N1201" s="575" t="s">
        <v>159</v>
      </c>
      <c r="O1201" s="576"/>
      <c r="P1201" s="576"/>
      <c r="Q1201" s="576"/>
      <c r="R1201" s="576"/>
      <c r="S1201" s="576"/>
      <c r="T1201" s="576"/>
      <c r="U1201" s="577"/>
    </row>
    <row r="1202" spans="1:21" ht="35.1" customHeight="1" x14ac:dyDescent="0.25">
      <c r="A1202" s="263">
        <f t="shared" si="18"/>
        <v>1188</v>
      </c>
      <c r="B1202" s="578" t="s">
        <v>159</v>
      </c>
      <c r="C1202" s="578"/>
      <c r="D1202" s="579" t="s">
        <v>159</v>
      </c>
      <c r="E1202" s="579"/>
      <c r="F1202" s="568" t="s">
        <v>162</v>
      </c>
      <c r="G1202" s="568"/>
      <c r="H1202" s="580"/>
      <c r="I1202" s="581"/>
      <c r="J1202" s="582"/>
      <c r="K1202" s="572" t="s">
        <v>162</v>
      </c>
      <c r="L1202" s="573"/>
      <c r="M1202" s="574"/>
      <c r="N1202" s="583" t="s">
        <v>159</v>
      </c>
      <c r="O1202" s="584"/>
      <c r="P1202" s="584"/>
      <c r="Q1202" s="584"/>
      <c r="R1202" s="584"/>
      <c r="S1202" s="584"/>
      <c r="T1202" s="584"/>
      <c r="U1202" s="585"/>
    </row>
    <row r="1203" spans="1:21" ht="35.1" customHeight="1" x14ac:dyDescent="0.25">
      <c r="A1203" s="263">
        <f t="shared" si="18"/>
        <v>1189</v>
      </c>
      <c r="B1203" s="566" t="s">
        <v>159</v>
      </c>
      <c r="C1203" s="566"/>
      <c r="D1203" s="567" t="s">
        <v>159</v>
      </c>
      <c r="E1203" s="567"/>
      <c r="F1203" s="568" t="s">
        <v>162</v>
      </c>
      <c r="G1203" s="568"/>
      <c r="H1203" s="569"/>
      <c r="I1203" s="570"/>
      <c r="J1203" s="571"/>
      <c r="K1203" s="572" t="s">
        <v>162</v>
      </c>
      <c r="L1203" s="573"/>
      <c r="M1203" s="574"/>
      <c r="N1203" s="575" t="s">
        <v>159</v>
      </c>
      <c r="O1203" s="576"/>
      <c r="P1203" s="576"/>
      <c r="Q1203" s="576"/>
      <c r="R1203" s="576"/>
      <c r="S1203" s="576"/>
      <c r="T1203" s="576"/>
      <c r="U1203" s="577"/>
    </row>
    <row r="1204" spans="1:21" ht="35.1" customHeight="1" x14ac:dyDescent="0.25">
      <c r="A1204" s="263">
        <f t="shared" si="18"/>
        <v>1190</v>
      </c>
      <c r="B1204" s="578" t="s">
        <v>159</v>
      </c>
      <c r="C1204" s="578"/>
      <c r="D1204" s="579" t="s">
        <v>159</v>
      </c>
      <c r="E1204" s="579"/>
      <c r="F1204" s="568" t="s">
        <v>162</v>
      </c>
      <c r="G1204" s="568"/>
      <c r="H1204" s="580"/>
      <c r="I1204" s="581"/>
      <c r="J1204" s="582"/>
      <c r="K1204" s="572" t="s">
        <v>162</v>
      </c>
      <c r="L1204" s="573"/>
      <c r="M1204" s="574"/>
      <c r="N1204" s="583" t="s">
        <v>159</v>
      </c>
      <c r="O1204" s="584"/>
      <c r="P1204" s="584"/>
      <c r="Q1204" s="584"/>
      <c r="R1204" s="584"/>
      <c r="S1204" s="584"/>
      <c r="T1204" s="584"/>
      <c r="U1204" s="585"/>
    </row>
    <row r="1205" spans="1:21" ht="35.1" customHeight="1" x14ac:dyDescent="0.25">
      <c r="A1205" s="263">
        <f t="shared" si="18"/>
        <v>1191</v>
      </c>
      <c r="B1205" s="566" t="s">
        <v>159</v>
      </c>
      <c r="C1205" s="566"/>
      <c r="D1205" s="567" t="s">
        <v>159</v>
      </c>
      <c r="E1205" s="567"/>
      <c r="F1205" s="568" t="s">
        <v>162</v>
      </c>
      <c r="G1205" s="568"/>
      <c r="H1205" s="569"/>
      <c r="I1205" s="570"/>
      <c r="J1205" s="571"/>
      <c r="K1205" s="572" t="s">
        <v>162</v>
      </c>
      <c r="L1205" s="573"/>
      <c r="M1205" s="574"/>
      <c r="N1205" s="575" t="s">
        <v>159</v>
      </c>
      <c r="O1205" s="576"/>
      <c r="P1205" s="576"/>
      <c r="Q1205" s="576"/>
      <c r="R1205" s="576"/>
      <c r="S1205" s="576"/>
      <c r="T1205" s="576"/>
      <c r="U1205" s="577"/>
    </row>
    <row r="1206" spans="1:21" ht="35.1" customHeight="1" x14ac:dyDescent="0.25">
      <c r="A1206" s="263">
        <f t="shared" si="18"/>
        <v>1192</v>
      </c>
      <c r="B1206" s="578" t="s">
        <v>159</v>
      </c>
      <c r="C1206" s="578"/>
      <c r="D1206" s="579" t="s">
        <v>159</v>
      </c>
      <c r="E1206" s="579"/>
      <c r="F1206" s="568" t="s">
        <v>162</v>
      </c>
      <c r="G1206" s="568"/>
      <c r="H1206" s="580"/>
      <c r="I1206" s="581"/>
      <c r="J1206" s="582"/>
      <c r="K1206" s="572" t="s">
        <v>162</v>
      </c>
      <c r="L1206" s="573"/>
      <c r="M1206" s="574"/>
      <c r="N1206" s="583" t="s">
        <v>159</v>
      </c>
      <c r="O1206" s="584"/>
      <c r="P1206" s="584"/>
      <c r="Q1206" s="584"/>
      <c r="R1206" s="584"/>
      <c r="S1206" s="584"/>
      <c r="T1206" s="584"/>
      <c r="U1206" s="585"/>
    </row>
    <row r="1207" spans="1:21" ht="35.1" customHeight="1" x14ac:dyDescent="0.25">
      <c r="A1207" s="263">
        <f t="shared" si="18"/>
        <v>1193</v>
      </c>
      <c r="B1207" s="566" t="s">
        <v>159</v>
      </c>
      <c r="C1207" s="566"/>
      <c r="D1207" s="567" t="s">
        <v>159</v>
      </c>
      <c r="E1207" s="567"/>
      <c r="F1207" s="568" t="s">
        <v>162</v>
      </c>
      <c r="G1207" s="568"/>
      <c r="H1207" s="569"/>
      <c r="I1207" s="570"/>
      <c r="J1207" s="571"/>
      <c r="K1207" s="572" t="s">
        <v>162</v>
      </c>
      <c r="L1207" s="573"/>
      <c r="M1207" s="574"/>
      <c r="N1207" s="575" t="s">
        <v>159</v>
      </c>
      <c r="O1207" s="576"/>
      <c r="P1207" s="576"/>
      <c r="Q1207" s="576"/>
      <c r="R1207" s="576"/>
      <c r="S1207" s="576"/>
      <c r="T1207" s="576"/>
      <c r="U1207" s="577"/>
    </row>
    <row r="1208" spans="1:21" ht="35.1" customHeight="1" x14ac:dyDescent="0.25">
      <c r="A1208" s="263">
        <f t="shared" si="18"/>
        <v>1194</v>
      </c>
      <c r="B1208" s="578" t="s">
        <v>159</v>
      </c>
      <c r="C1208" s="578"/>
      <c r="D1208" s="579" t="s">
        <v>159</v>
      </c>
      <c r="E1208" s="579"/>
      <c r="F1208" s="568" t="s">
        <v>162</v>
      </c>
      <c r="G1208" s="568"/>
      <c r="H1208" s="580"/>
      <c r="I1208" s="581"/>
      <c r="J1208" s="582"/>
      <c r="K1208" s="572" t="s">
        <v>162</v>
      </c>
      <c r="L1208" s="573"/>
      <c r="M1208" s="574"/>
      <c r="N1208" s="583" t="s">
        <v>159</v>
      </c>
      <c r="O1208" s="584"/>
      <c r="P1208" s="584"/>
      <c r="Q1208" s="584"/>
      <c r="R1208" s="584"/>
      <c r="S1208" s="584"/>
      <c r="T1208" s="584"/>
      <c r="U1208" s="585"/>
    </row>
    <row r="1209" spans="1:21" ht="35.1" customHeight="1" x14ac:dyDescent="0.25">
      <c r="A1209" s="263">
        <f t="shared" si="18"/>
        <v>1195</v>
      </c>
      <c r="B1209" s="566" t="s">
        <v>159</v>
      </c>
      <c r="C1209" s="566"/>
      <c r="D1209" s="567" t="s">
        <v>159</v>
      </c>
      <c r="E1209" s="567"/>
      <c r="F1209" s="568" t="s">
        <v>162</v>
      </c>
      <c r="G1209" s="568"/>
      <c r="H1209" s="569"/>
      <c r="I1209" s="570"/>
      <c r="J1209" s="571"/>
      <c r="K1209" s="572" t="s">
        <v>162</v>
      </c>
      <c r="L1209" s="573"/>
      <c r="M1209" s="574"/>
      <c r="N1209" s="575" t="s">
        <v>159</v>
      </c>
      <c r="O1209" s="576"/>
      <c r="P1209" s="576"/>
      <c r="Q1209" s="576"/>
      <c r="R1209" s="576"/>
      <c r="S1209" s="576"/>
      <c r="T1209" s="576"/>
      <c r="U1209" s="577"/>
    </row>
    <row r="1210" spans="1:21" ht="35.1" customHeight="1" x14ac:dyDescent="0.25">
      <c r="A1210" s="263">
        <f t="shared" si="18"/>
        <v>1196</v>
      </c>
      <c r="B1210" s="578" t="s">
        <v>159</v>
      </c>
      <c r="C1210" s="578"/>
      <c r="D1210" s="579" t="s">
        <v>159</v>
      </c>
      <c r="E1210" s="579"/>
      <c r="F1210" s="568" t="s">
        <v>162</v>
      </c>
      <c r="G1210" s="568"/>
      <c r="H1210" s="580"/>
      <c r="I1210" s="581"/>
      <c r="J1210" s="582"/>
      <c r="K1210" s="572" t="s">
        <v>162</v>
      </c>
      <c r="L1210" s="573"/>
      <c r="M1210" s="574"/>
      <c r="N1210" s="583" t="s">
        <v>159</v>
      </c>
      <c r="O1210" s="584"/>
      <c r="P1210" s="584"/>
      <c r="Q1210" s="584"/>
      <c r="R1210" s="584"/>
      <c r="S1210" s="584"/>
      <c r="T1210" s="584"/>
      <c r="U1210" s="585"/>
    </row>
    <row r="1211" spans="1:21" ht="35.1" customHeight="1" x14ac:dyDescent="0.25">
      <c r="A1211" s="263">
        <f t="shared" si="18"/>
        <v>1197</v>
      </c>
      <c r="B1211" s="566" t="s">
        <v>159</v>
      </c>
      <c r="C1211" s="566"/>
      <c r="D1211" s="567" t="s">
        <v>159</v>
      </c>
      <c r="E1211" s="567"/>
      <c r="F1211" s="568" t="s">
        <v>162</v>
      </c>
      <c r="G1211" s="568"/>
      <c r="H1211" s="569"/>
      <c r="I1211" s="570"/>
      <c r="J1211" s="571"/>
      <c r="K1211" s="572" t="s">
        <v>162</v>
      </c>
      <c r="L1211" s="573"/>
      <c r="M1211" s="574"/>
      <c r="N1211" s="575" t="s">
        <v>159</v>
      </c>
      <c r="O1211" s="576"/>
      <c r="P1211" s="576"/>
      <c r="Q1211" s="576"/>
      <c r="R1211" s="576"/>
      <c r="S1211" s="576"/>
      <c r="T1211" s="576"/>
      <c r="U1211" s="577"/>
    </row>
    <row r="1212" spans="1:21" ht="35.1" customHeight="1" x14ac:dyDescent="0.25">
      <c r="A1212" s="263">
        <f t="shared" si="18"/>
        <v>1198</v>
      </c>
      <c r="B1212" s="578" t="s">
        <v>159</v>
      </c>
      <c r="C1212" s="578"/>
      <c r="D1212" s="579" t="s">
        <v>159</v>
      </c>
      <c r="E1212" s="579"/>
      <c r="F1212" s="568" t="s">
        <v>162</v>
      </c>
      <c r="G1212" s="568"/>
      <c r="H1212" s="580"/>
      <c r="I1212" s="581"/>
      <c r="J1212" s="582"/>
      <c r="K1212" s="572" t="s">
        <v>162</v>
      </c>
      <c r="L1212" s="573"/>
      <c r="M1212" s="574"/>
      <c r="N1212" s="583" t="s">
        <v>159</v>
      </c>
      <c r="O1212" s="584"/>
      <c r="P1212" s="584"/>
      <c r="Q1212" s="584"/>
      <c r="R1212" s="584"/>
      <c r="S1212" s="584"/>
      <c r="T1212" s="584"/>
      <c r="U1212" s="585"/>
    </row>
    <row r="1213" spans="1:21" ht="35.1" customHeight="1" x14ac:dyDescent="0.25">
      <c r="A1213" s="263">
        <f t="shared" si="18"/>
        <v>1199</v>
      </c>
      <c r="B1213" s="566" t="s">
        <v>159</v>
      </c>
      <c r="C1213" s="566"/>
      <c r="D1213" s="567" t="s">
        <v>159</v>
      </c>
      <c r="E1213" s="567"/>
      <c r="F1213" s="568" t="s">
        <v>162</v>
      </c>
      <c r="G1213" s="568"/>
      <c r="H1213" s="569"/>
      <c r="I1213" s="570"/>
      <c r="J1213" s="571"/>
      <c r="K1213" s="572" t="s">
        <v>162</v>
      </c>
      <c r="L1213" s="573"/>
      <c r="M1213" s="574"/>
      <c r="N1213" s="575" t="s">
        <v>159</v>
      </c>
      <c r="O1213" s="576"/>
      <c r="P1213" s="576"/>
      <c r="Q1213" s="576"/>
      <c r="R1213" s="576"/>
      <c r="S1213" s="576"/>
      <c r="T1213" s="576"/>
      <c r="U1213" s="577"/>
    </row>
    <row r="1214" spans="1:21" ht="35.1" customHeight="1" x14ac:dyDescent="0.25">
      <c r="A1214" s="263">
        <f t="shared" si="18"/>
        <v>1200</v>
      </c>
      <c r="B1214" s="578" t="s">
        <v>159</v>
      </c>
      <c r="C1214" s="578"/>
      <c r="D1214" s="579" t="s">
        <v>159</v>
      </c>
      <c r="E1214" s="579"/>
      <c r="F1214" s="568" t="s">
        <v>162</v>
      </c>
      <c r="G1214" s="568"/>
      <c r="H1214" s="580"/>
      <c r="I1214" s="581"/>
      <c r="J1214" s="582"/>
      <c r="K1214" s="572" t="s">
        <v>162</v>
      </c>
      <c r="L1214" s="573"/>
      <c r="M1214" s="574"/>
      <c r="N1214" s="583" t="s">
        <v>159</v>
      </c>
      <c r="O1214" s="584"/>
      <c r="P1214" s="584"/>
      <c r="Q1214" s="584"/>
      <c r="R1214" s="584"/>
      <c r="S1214" s="584"/>
      <c r="T1214" s="584"/>
      <c r="U1214" s="585"/>
    </row>
    <row r="1215" spans="1:21" ht="35.1" customHeight="1" x14ac:dyDescent="0.25">
      <c r="A1215" s="263">
        <f t="shared" si="18"/>
        <v>1201</v>
      </c>
      <c r="B1215" s="566" t="s">
        <v>159</v>
      </c>
      <c r="C1215" s="566"/>
      <c r="D1215" s="567" t="s">
        <v>159</v>
      </c>
      <c r="E1215" s="567"/>
      <c r="F1215" s="568" t="s">
        <v>162</v>
      </c>
      <c r="G1215" s="568"/>
      <c r="H1215" s="569"/>
      <c r="I1215" s="570"/>
      <c r="J1215" s="571"/>
      <c r="K1215" s="572" t="s">
        <v>162</v>
      </c>
      <c r="L1215" s="573"/>
      <c r="M1215" s="574"/>
      <c r="N1215" s="575" t="s">
        <v>159</v>
      </c>
      <c r="O1215" s="576"/>
      <c r="P1215" s="576"/>
      <c r="Q1215" s="576"/>
      <c r="R1215" s="576"/>
      <c r="S1215" s="576"/>
      <c r="T1215" s="576"/>
      <c r="U1215" s="577"/>
    </row>
    <row r="1216" spans="1:21" ht="35.1" customHeight="1" x14ac:dyDescent="0.25">
      <c r="A1216" s="263">
        <f t="shared" si="18"/>
        <v>1202</v>
      </c>
      <c r="B1216" s="578" t="s">
        <v>159</v>
      </c>
      <c r="C1216" s="578"/>
      <c r="D1216" s="579" t="s">
        <v>159</v>
      </c>
      <c r="E1216" s="579"/>
      <c r="F1216" s="568" t="s">
        <v>162</v>
      </c>
      <c r="G1216" s="568"/>
      <c r="H1216" s="580"/>
      <c r="I1216" s="581"/>
      <c r="J1216" s="582"/>
      <c r="K1216" s="572" t="s">
        <v>162</v>
      </c>
      <c r="L1216" s="573"/>
      <c r="M1216" s="574"/>
      <c r="N1216" s="583" t="s">
        <v>159</v>
      </c>
      <c r="O1216" s="584"/>
      <c r="P1216" s="584"/>
      <c r="Q1216" s="584"/>
      <c r="R1216" s="584"/>
      <c r="S1216" s="584"/>
      <c r="T1216" s="584"/>
      <c r="U1216" s="585"/>
    </row>
    <row r="1217" spans="1:21" ht="35.1" customHeight="1" x14ac:dyDescent="0.25">
      <c r="A1217" s="263">
        <f t="shared" si="18"/>
        <v>1203</v>
      </c>
      <c r="B1217" s="566" t="s">
        <v>159</v>
      </c>
      <c r="C1217" s="566"/>
      <c r="D1217" s="567" t="s">
        <v>159</v>
      </c>
      <c r="E1217" s="567"/>
      <c r="F1217" s="568" t="s">
        <v>162</v>
      </c>
      <c r="G1217" s="568"/>
      <c r="H1217" s="569"/>
      <c r="I1217" s="570"/>
      <c r="J1217" s="571"/>
      <c r="K1217" s="572" t="s">
        <v>162</v>
      </c>
      <c r="L1217" s="573"/>
      <c r="M1217" s="574"/>
      <c r="N1217" s="575" t="s">
        <v>159</v>
      </c>
      <c r="O1217" s="576"/>
      <c r="P1217" s="576"/>
      <c r="Q1217" s="576"/>
      <c r="R1217" s="576"/>
      <c r="S1217" s="576"/>
      <c r="T1217" s="576"/>
      <c r="U1217" s="577"/>
    </row>
    <row r="1218" spans="1:21" ht="35.1" customHeight="1" x14ac:dyDescent="0.25">
      <c r="A1218" s="263">
        <f t="shared" si="18"/>
        <v>1204</v>
      </c>
      <c r="B1218" s="578" t="s">
        <v>159</v>
      </c>
      <c r="C1218" s="578"/>
      <c r="D1218" s="579" t="s">
        <v>159</v>
      </c>
      <c r="E1218" s="579"/>
      <c r="F1218" s="568" t="s">
        <v>162</v>
      </c>
      <c r="G1218" s="568"/>
      <c r="H1218" s="580"/>
      <c r="I1218" s="581"/>
      <c r="J1218" s="582"/>
      <c r="K1218" s="572" t="s">
        <v>162</v>
      </c>
      <c r="L1218" s="573"/>
      <c r="M1218" s="574"/>
      <c r="N1218" s="583" t="s">
        <v>159</v>
      </c>
      <c r="O1218" s="584"/>
      <c r="P1218" s="584"/>
      <c r="Q1218" s="584"/>
      <c r="R1218" s="584"/>
      <c r="S1218" s="584"/>
      <c r="T1218" s="584"/>
      <c r="U1218" s="585"/>
    </row>
    <row r="1219" spans="1:21" ht="35.1" customHeight="1" x14ac:dyDescent="0.25">
      <c r="A1219" s="263">
        <f t="shared" si="18"/>
        <v>1205</v>
      </c>
      <c r="B1219" s="566" t="s">
        <v>159</v>
      </c>
      <c r="C1219" s="566"/>
      <c r="D1219" s="567" t="s">
        <v>159</v>
      </c>
      <c r="E1219" s="567"/>
      <c r="F1219" s="568" t="s">
        <v>162</v>
      </c>
      <c r="G1219" s="568"/>
      <c r="H1219" s="569"/>
      <c r="I1219" s="570"/>
      <c r="J1219" s="571"/>
      <c r="K1219" s="572" t="s">
        <v>162</v>
      </c>
      <c r="L1219" s="573"/>
      <c r="M1219" s="574"/>
      <c r="N1219" s="575" t="s">
        <v>159</v>
      </c>
      <c r="O1219" s="576"/>
      <c r="P1219" s="576"/>
      <c r="Q1219" s="576"/>
      <c r="R1219" s="576"/>
      <c r="S1219" s="576"/>
      <c r="T1219" s="576"/>
      <c r="U1219" s="577"/>
    </row>
    <row r="1220" spans="1:21" ht="35.1" customHeight="1" x14ac:dyDescent="0.25">
      <c r="A1220" s="263">
        <f t="shared" si="18"/>
        <v>1206</v>
      </c>
      <c r="B1220" s="578" t="s">
        <v>159</v>
      </c>
      <c r="C1220" s="578"/>
      <c r="D1220" s="579" t="s">
        <v>159</v>
      </c>
      <c r="E1220" s="579"/>
      <c r="F1220" s="568" t="s">
        <v>162</v>
      </c>
      <c r="G1220" s="568"/>
      <c r="H1220" s="580"/>
      <c r="I1220" s="581"/>
      <c r="J1220" s="582"/>
      <c r="K1220" s="572" t="s">
        <v>162</v>
      </c>
      <c r="L1220" s="573"/>
      <c r="M1220" s="574"/>
      <c r="N1220" s="583" t="s">
        <v>159</v>
      </c>
      <c r="O1220" s="584"/>
      <c r="P1220" s="584"/>
      <c r="Q1220" s="584"/>
      <c r="R1220" s="584"/>
      <c r="S1220" s="584"/>
      <c r="T1220" s="584"/>
      <c r="U1220" s="585"/>
    </row>
    <row r="1221" spans="1:21" ht="35.1" customHeight="1" x14ac:dyDescent="0.25">
      <c r="A1221" s="263">
        <f t="shared" si="18"/>
        <v>1207</v>
      </c>
      <c r="B1221" s="566" t="s">
        <v>159</v>
      </c>
      <c r="C1221" s="566"/>
      <c r="D1221" s="567" t="s">
        <v>159</v>
      </c>
      <c r="E1221" s="567"/>
      <c r="F1221" s="568" t="s">
        <v>162</v>
      </c>
      <c r="G1221" s="568"/>
      <c r="H1221" s="569"/>
      <c r="I1221" s="570"/>
      <c r="J1221" s="571"/>
      <c r="K1221" s="572" t="s">
        <v>162</v>
      </c>
      <c r="L1221" s="573"/>
      <c r="M1221" s="574"/>
      <c r="N1221" s="575" t="s">
        <v>159</v>
      </c>
      <c r="O1221" s="576"/>
      <c r="P1221" s="576"/>
      <c r="Q1221" s="576"/>
      <c r="R1221" s="576"/>
      <c r="S1221" s="576"/>
      <c r="T1221" s="576"/>
      <c r="U1221" s="577"/>
    </row>
    <row r="1222" spans="1:21" ht="35.1" customHeight="1" x14ac:dyDescent="0.25">
      <c r="A1222" s="263">
        <f t="shared" si="18"/>
        <v>1208</v>
      </c>
      <c r="B1222" s="578" t="s">
        <v>159</v>
      </c>
      <c r="C1222" s="578"/>
      <c r="D1222" s="579" t="s">
        <v>159</v>
      </c>
      <c r="E1222" s="579"/>
      <c r="F1222" s="568" t="s">
        <v>162</v>
      </c>
      <c r="G1222" s="568"/>
      <c r="H1222" s="580"/>
      <c r="I1222" s="581"/>
      <c r="J1222" s="582"/>
      <c r="K1222" s="572" t="s">
        <v>162</v>
      </c>
      <c r="L1222" s="573"/>
      <c r="M1222" s="574"/>
      <c r="N1222" s="583" t="s">
        <v>159</v>
      </c>
      <c r="O1222" s="584"/>
      <c r="P1222" s="584"/>
      <c r="Q1222" s="584"/>
      <c r="R1222" s="584"/>
      <c r="S1222" s="584"/>
      <c r="T1222" s="584"/>
      <c r="U1222" s="585"/>
    </row>
    <row r="1223" spans="1:21" ht="35.1" customHeight="1" x14ac:dyDescent="0.25">
      <c r="A1223" s="263">
        <f t="shared" si="18"/>
        <v>1209</v>
      </c>
      <c r="B1223" s="566" t="s">
        <v>159</v>
      </c>
      <c r="C1223" s="566"/>
      <c r="D1223" s="567" t="s">
        <v>159</v>
      </c>
      <c r="E1223" s="567"/>
      <c r="F1223" s="568" t="s">
        <v>162</v>
      </c>
      <c r="G1223" s="568"/>
      <c r="H1223" s="569"/>
      <c r="I1223" s="570"/>
      <c r="J1223" s="571"/>
      <c r="K1223" s="572" t="s">
        <v>162</v>
      </c>
      <c r="L1223" s="573"/>
      <c r="M1223" s="574"/>
      <c r="N1223" s="575" t="s">
        <v>159</v>
      </c>
      <c r="O1223" s="576"/>
      <c r="P1223" s="576"/>
      <c r="Q1223" s="576"/>
      <c r="R1223" s="576"/>
      <c r="S1223" s="576"/>
      <c r="T1223" s="576"/>
      <c r="U1223" s="577"/>
    </row>
    <row r="1224" spans="1:21" ht="35.1" customHeight="1" x14ac:dyDescent="0.25">
      <c r="A1224" s="263">
        <f t="shared" si="18"/>
        <v>1210</v>
      </c>
      <c r="B1224" s="578" t="s">
        <v>159</v>
      </c>
      <c r="C1224" s="578"/>
      <c r="D1224" s="579" t="s">
        <v>159</v>
      </c>
      <c r="E1224" s="579"/>
      <c r="F1224" s="568" t="s">
        <v>162</v>
      </c>
      <c r="G1224" s="568"/>
      <c r="H1224" s="580"/>
      <c r="I1224" s="581"/>
      <c r="J1224" s="582"/>
      <c r="K1224" s="572" t="s">
        <v>162</v>
      </c>
      <c r="L1224" s="573"/>
      <c r="M1224" s="574"/>
      <c r="N1224" s="583" t="s">
        <v>159</v>
      </c>
      <c r="O1224" s="584"/>
      <c r="P1224" s="584"/>
      <c r="Q1224" s="584"/>
      <c r="R1224" s="584"/>
      <c r="S1224" s="584"/>
      <c r="T1224" s="584"/>
      <c r="U1224" s="585"/>
    </row>
    <row r="1225" spans="1:21" ht="35.1" customHeight="1" x14ac:dyDescent="0.25">
      <c r="A1225" s="263">
        <f t="shared" si="18"/>
        <v>1211</v>
      </c>
      <c r="B1225" s="566" t="s">
        <v>159</v>
      </c>
      <c r="C1225" s="566"/>
      <c r="D1225" s="567" t="s">
        <v>159</v>
      </c>
      <c r="E1225" s="567"/>
      <c r="F1225" s="568" t="s">
        <v>162</v>
      </c>
      <c r="G1225" s="568"/>
      <c r="H1225" s="569"/>
      <c r="I1225" s="570"/>
      <c r="J1225" s="571"/>
      <c r="K1225" s="572" t="s">
        <v>162</v>
      </c>
      <c r="L1225" s="573"/>
      <c r="M1225" s="574"/>
      <c r="N1225" s="575" t="s">
        <v>159</v>
      </c>
      <c r="O1225" s="576"/>
      <c r="P1225" s="576"/>
      <c r="Q1225" s="576"/>
      <c r="R1225" s="576"/>
      <c r="S1225" s="576"/>
      <c r="T1225" s="576"/>
      <c r="U1225" s="577"/>
    </row>
    <row r="1226" spans="1:21" ht="35.1" customHeight="1" x14ac:dyDescent="0.25">
      <c r="A1226" s="263">
        <f t="shared" si="18"/>
        <v>1212</v>
      </c>
      <c r="B1226" s="578" t="s">
        <v>159</v>
      </c>
      <c r="C1226" s="578"/>
      <c r="D1226" s="579" t="s">
        <v>159</v>
      </c>
      <c r="E1226" s="579"/>
      <c r="F1226" s="568" t="s">
        <v>162</v>
      </c>
      <c r="G1226" s="568"/>
      <c r="H1226" s="580"/>
      <c r="I1226" s="581"/>
      <c r="J1226" s="582"/>
      <c r="K1226" s="572" t="s">
        <v>162</v>
      </c>
      <c r="L1226" s="573"/>
      <c r="M1226" s="574"/>
      <c r="N1226" s="583" t="s">
        <v>159</v>
      </c>
      <c r="O1226" s="584"/>
      <c r="P1226" s="584"/>
      <c r="Q1226" s="584"/>
      <c r="R1226" s="584"/>
      <c r="S1226" s="584"/>
      <c r="T1226" s="584"/>
      <c r="U1226" s="585"/>
    </row>
    <row r="1227" spans="1:21" ht="35.1" customHeight="1" x14ac:dyDescent="0.25">
      <c r="A1227" s="263">
        <f t="shared" si="18"/>
        <v>1213</v>
      </c>
      <c r="B1227" s="566" t="s">
        <v>159</v>
      </c>
      <c r="C1227" s="566"/>
      <c r="D1227" s="567" t="s">
        <v>159</v>
      </c>
      <c r="E1227" s="567"/>
      <c r="F1227" s="568" t="s">
        <v>162</v>
      </c>
      <c r="G1227" s="568"/>
      <c r="H1227" s="569"/>
      <c r="I1227" s="570"/>
      <c r="J1227" s="571"/>
      <c r="K1227" s="572" t="s">
        <v>162</v>
      </c>
      <c r="L1227" s="573"/>
      <c r="M1227" s="574"/>
      <c r="N1227" s="575" t="s">
        <v>159</v>
      </c>
      <c r="O1227" s="576"/>
      <c r="P1227" s="576"/>
      <c r="Q1227" s="576"/>
      <c r="R1227" s="576"/>
      <c r="S1227" s="576"/>
      <c r="T1227" s="576"/>
      <c r="U1227" s="577"/>
    </row>
    <row r="1228" spans="1:21" ht="35.1" customHeight="1" x14ac:dyDescent="0.25">
      <c r="A1228" s="263">
        <f t="shared" si="18"/>
        <v>1214</v>
      </c>
      <c r="B1228" s="578" t="s">
        <v>159</v>
      </c>
      <c r="C1228" s="578"/>
      <c r="D1228" s="579" t="s">
        <v>159</v>
      </c>
      <c r="E1228" s="579"/>
      <c r="F1228" s="568" t="s">
        <v>162</v>
      </c>
      <c r="G1228" s="568"/>
      <c r="H1228" s="580"/>
      <c r="I1228" s="581"/>
      <c r="J1228" s="582"/>
      <c r="K1228" s="572" t="s">
        <v>162</v>
      </c>
      <c r="L1228" s="573"/>
      <c r="M1228" s="574"/>
      <c r="N1228" s="583" t="s">
        <v>159</v>
      </c>
      <c r="O1228" s="584"/>
      <c r="P1228" s="584"/>
      <c r="Q1228" s="584"/>
      <c r="R1228" s="584"/>
      <c r="S1228" s="584"/>
      <c r="T1228" s="584"/>
      <c r="U1228" s="585"/>
    </row>
    <row r="1229" spans="1:21" ht="35.1" customHeight="1" x14ac:dyDescent="0.25">
      <c r="A1229" s="263">
        <f t="shared" si="18"/>
        <v>1215</v>
      </c>
      <c r="B1229" s="566" t="s">
        <v>159</v>
      </c>
      <c r="C1229" s="566"/>
      <c r="D1229" s="567" t="s">
        <v>159</v>
      </c>
      <c r="E1229" s="567"/>
      <c r="F1229" s="568" t="s">
        <v>162</v>
      </c>
      <c r="G1229" s="568"/>
      <c r="H1229" s="569"/>
      <c r="I1229" s="570"/>
      <c r="J1229" s="571"/>
      <c r="K1229" s="572" t="s">
        <v>162</v>
      </c>
      <c r="L1229" s="573"/>
      <c r="M1229" s="574"/>
      <c r="N1229" s="575" t="s">
        <v>159</v>
      </c>
      <c r="O1229" s="576"/>
      <c r="P1229" s="576"/>
      <c r="Q1229" s="576"/>
      <c r="R1229" s="576"/>
      <c r="S1229" s="576"/>
      <c r="T1229" s="576"/>
      <c r="U1229" s="577"/>
    </row>
    <row r="1230" spans="1:21" ht="35.1" customHeight="1" x14ac:dyDescent="0.25">
      <c r="A1230" s="263">
        <f t="shared" si="18"/>
        <v>1216</v>
      </c>
      <c r="B1230" s="578" t="s">
        <v>159</v>
      </c>
      <c r="C1230" s="578"/>
      <c r="D1230" s="579" t="s">
        <v>159</v>
      </c>
      <c r="E1230" s="579"/>
      <c r="F1230" s="568" t="s">
        <v>162</v>
      </c>
      <c r="G1230" s="568"/>
      <c r="H1230" s="580"/>
      <c r="I1230" s="581"/>
      <c r="J1230" s="582"/>
      <c r="K1230" s="572" t="s">
        <v>162</v>
      </c>
      <c r="L1230" s="573"/>
      <c r="M1230" s="574"/>
      <c r="N1230" s="583" t="s">
        <v>159</v>
      </c>
      <c r="O1230" s="584"/>
      <c r="P1230" s="584"/>
      <c r="Q1230" s="584"/>
      <c r="R1230" s="584"/>
      <c r="S1230" s="584"/>
      <c r="T1230" s="584"/>
      <c r="U1230" s="585"/>
    </row>
    <row r="1231" spans="1:21" ht="35.1" customHeight="1" x14ac:dyDescent="0.25">
      <c r="A1231" s="263">
        <f t="shared" ref="A1231:A1294" si="19">ROW(A1217)</f>
        <v>1217</v>
      </c>
      <c r="B1231" s="566" t="s">
        <v>159</v>
      </c>
      <c r="C1231" s="566"/>
      <c r="D1231" s="567" t="s">
        <v>159</v>
      </c>
      <c r="E1231" s="567"/>
      <c r="F1231" s="568" t="s">
        <v>162</v>
      </c>
      <c r="G1231" s="568"/>
      <c r="H1231" s="569"/>
      <c r="I1231" s="570"/>
      <c r="J1231" s="571"/>
      <c r="K1231" s="572" t="s">
        <v>162</v>
      </c>
      <c r="L1231" s="573"/>
      <c r="M1231" s="574"/>
      <c r="N1231" s="575" t="s">
        <v>159</v>
      </c>
      <c r="O1231" s="576"/>
      <c r="P1231" s="576"/>
      <c r="Q1231" s="576"/>
      <c r="R1231" s="576"/>
      <c r="S1231" s="576"/>
      <c r="T1231" s="576"/>
      <c r="U1231" s="577"/>
    </row>
    <row r="1232" spans="1:21" ht="35.1" customHeight="1" x14ac:dyDescent="0.25">
      <c r="A1232" s="263">
        <f t="shared" si="19"/>
        <v>1218</v>
      </c>
      <c r="B1232" s="578" t="s">
        <v>159</v>
      </c>
      <c r="C1232" s="578"/>
      <c r="D1232" s="579" t="s">
        <v>159</v>
      </c>
      <c r="E1232" s="579"/>
      <c r="F1232" s="568" t="s">
        <v>162</v>
      </c>
      <c r="G1232" s="568"/>
      <c r="H1232" s="580"/>
      <c r="I1232" s="581"/>
      <c r="J1232" s="582"/>
      <c r="K1232" s="572" t="s">
        <v>162</v>
      </c>
      <c r="L1232" s="573"/>
      <c r="M1232" s="574"/>
      <c r="N1232" s="583" t="s">
        <v>159</v>
      </c>
      <c r="O1232" s="584"/>
      <c r="P1232" s="584"/>
      <c r="Q1232" s="584"/>
      <c r="R1232" s="584"/>
      <c r="S1232" s="584"/>
      <c r="T1232" s="584"/>
      <c r="U1232" s="585"/>
    </row>
    <row r="1233" spans="1:21" ht="35.1" customHeight="1" x14ac:dyDescent="0.25">
      <c r="A1233" s="263">
        <f t="shared" si="19"/>
        <v>1219</v>
      </c>
      <c r="B1233" s="566" t="s">
        <v>159</v>
      </c>
      <c r="C1233" s="566"/>
      <c r="D1233" s="567" t="s">
        <v>159</v>
      </c>
      <c r="E1233" s="567"/>
      <c r="F1233" s="568" t="s">
        <v>162</v>
      </c>
      <c r="G1233" s="568"/>
      <c r="H1233" s="569"/>
      <c r="I1233" s="570"/>
      <c r="J1233" s="571"/>
      <c r="K1233" s="572" t="s">
        <v>162</v>
      </c>
      <c r="L1233" s="573"/>
      <c r="M1233" s="574"/>
      <c r="N1233" s="575" t="s">
        <v>159</v>
      </c>
      <c r="O1233" s="576"/>
      <c r="P1233" s="576"/>
      <c r="Q1233" s="576"/>
      <c r="R1233" s="576"/>
      <c r="S1233" s="576"/>
      <c r="T1233" s="576"/>
      <c r="U1233" s="577"/>
    </row>
    <row r="1234" spans="1:21" ht="35.1" customHeight="1" x14ac:dyDescent="0.25">
      <c r="A1234" s="263">
        <f t="shared" si="19"/>
        <v>1220</v>
      </c>
      <c r="B1234" s="578" t="s">
        <v>159</v>
      </c>
      <c r="C1234" s="578"/>
      <c r="D1234" s="579" t="s">
        <v>159</v>
      </c>
      <c r="E1234" s="579"/>
      <c r="F1234" s="568" t="s">
        <v>162</v>
      </c>
      <c r="G1234" s="568"/>
      <c r="H1234" s="580"/>
      <c r="I1234" s="581"/>
      <c r="J1234" s="582"/>
      <c r="K1234" s="572" t="s">
        <v>162</v>
      </c>
      <c r="L1234" s="573"/>
      <c r="M1234" s="574"/>
      <c r="N1234" s="583" t="s">
        <v>159</v>
      </c>
      <c r="O1234" s="584"/>
      <c r="P1234" s="584"/>
      <c r="Q1234" s="584"/>
      <c r="R1234" s="584"/>
      <c r="S1234" s="584"/>
      <c r="T1234" s="584"/>
      <c r="U1234" s="585"/>
    </row>
    <row r="1235" spans="1:21" ht="35.1" customHeight="1" x14ac:dyDescent="0.25">
      <c r="A1235" s="263">
        <f t="shared" si="19"/>
        <v>1221</v>
      </c>
      <c r="B1235" s="566" t="s">
        <v>159</v>
      </c>
      <c r="C1235" s="566"/>
      <c r="D1235" s="567" t="s">
        <v>159</v>
      </c>
      <c r="E1235" s="567"/>
      <c r="F1235" s="568" t="s">
        <v>162</v>
      </c>
      <c r="G1235" s="568"/>
      <c r="H1235" s="569"/>
      <c r="I1235" s="570"/>
      <c r="J1235" s="571"/>
      <c r="K1235" s="572" t="s">
        <v>162</v>
      </c>
      <c r="L1235" s="573"/>
      <c r="M1235" s="574"/>
      <c r="N1235" s="575" t="s">
        <v>159</v>
      </c>
      <c r="O1235" s="576"/>
      <c r="P1235" s="576"/>
      <c r="Q1235" s="576"/>
      <c r="R1235" s="576"/>
      <c r="S1235" s="576"/>
      <c r="T1235" s="576"/>
      <c r="U1235" s="577"/>
    </row>
    <row r="1236" spans="1:21" ht="35.1" customHeight="1" x14ac:dyDescent="0.25">
      <c r="A1236" s="263">
        <f t="shared" si="19"/>
        <v>1222</v>
      </c>
      <c r="B1236" s="578" t="s">
        <v>159</v>
      </c>
      <c r="C1236" s="578"/>
      <c r="D1236" s="579" t="s">
        <v>159</v>
      </c>
      <c r="E1236" s="579"/>
      <c r="F1236" s="568" t="s">
        <v>162</v>
      </c>
      <c r="G1236" s="568"/>
      <c r="H1236" s="580"/>
      <c r="I1236" s="581"/>
      <c r="J1236" s="582"/>
      <c r="K1236" s="572" t="s">
        <v>162</v>
      </c>
      <c r="L1236" s="573"/>
      <c r="M1236" s="574"/>
      <c r="N1236" s="583" t="s">
        <v>159</v>
      </c>
      <c r="O1236" s="584"/>
      <c r="P1236" s="584"/>
      <c r="Q1236" s="584"/>
      <c r="R1236" s="584"/>
      <c r="S1236" s="584"/>
      <c r="T1236" s="584"/>
      <c r="U1236" s="585"/>
    </row>
    <row r="1237" spans="1:21" ht="35.1" customHeight="1" x14ac:dyDescent="0.25">
      <c r="A1237" s="263">
        <f t="shared" si="19"/>
        <v>1223</v>
      </c>
      <c r="B1237" s="566" t="s">
        <v>159</v>
      </c>
      <c r="C1237" s="566"/>
      <c r="D1237" s="567" t="s">
        <v>159</v>
      </c>
      <c r="E1237" s="567"/>
      <c r="F1237" s="568" t="s">
        <v>162</v>
      </c>
      <c r="G1237" s="568"/>
      <c r="H1237" s="569"/>
      <c r="I1237" s="570"/>
      <c r="J1237" s="571"/>
      <c r="K1237" s="572" t="s">
        <v>162</v>
      </c>
      <c r="L1237" s="573"/>
      <c r="M1237" s="574"/>
      <c r="N1237" s="575" t="s">
        <v>159</v>
      </c>
      <c r="O1237" s="576"/>
      <c r="P1237" s="576"/>
      <c r="Q1237" s="576"/>
      <c r="R1237" s="576"/>
      <c r="S1237" s="576"/>
      <c r="T1237" s="576"/>
      <c r="U1237" s="577"/>
    </row>
    <row r="1238" spans="1:21" ht="35.1" customHeight="1" x14ac:dyDescent="0.25">
      <c r="A1238" s="263">
        <f t="shared" si="19"/>
        <v>1224</v>
      </c>
      <c r="B1238" s="578" t="s">
        <v>159</v>
      </c>
      <c r="C1238" s="578"/>
      <c r="D1238" s="579" t="s">
        <v>159</v>
      </c>
      <c r="E1238" s="579"/>
      <c r="F1238" s="568" t="s">
        <v>162</v>
      </c>
      <c r="G1238" s="568"/>
      <c r="H1238" s="580"/>
      <c r="I1238" s="581"/>
      <c r="J1238" s="582"/>
      <c r="K1238" s="572" t="s">
        <v>162</v>
      </c>
      <c r="L1238" s="573"/>
      <c r="M1238" s="574"/>
      <c r="N1238" s="583" t="s">
        <v>159</v>
      </c>
      <c r="O1238" s="584"/>
      <c r="P1238" s="584"/>
      <c r="Q1238" s="584"/>
      <c r="R1238" s="584"/>
      <c r="S1238" s="584"/>
      <c r="T1238" s="584"/>
      <c r="U1238" s="585"/>
    </row>
    <row r="1239" spans="1:21" ht="35.1" customHeight="1" x14ac:dyDescent="0.25">
      <c r="A1239" s="263">
        <f t="shared" si="19"/>
        <v>1225</v>
      </c>
      <c r="B1239" s="566" t="s">
        <v>159</v>
      </c>
      <c r="C1239" s="566"/>
      <c r="D1239" s="567" t="s">
        <v>159</v>
      </c>
      <c r="E1239" s="567"/>
      <c r="F1239" s="568" t="s">
        <v>162</v>
      </c>
      <c r="G1239" s="568"/>
      <c r="H1239" s="569"/>
      <c r="I1239" s="570"/>
      <c r="J1239" s="571"/>
      <c r="K1239" s="572" t="s">
        <v>162</v>
      </c>
      <c r="L1239" s="573"/>
      <c r="M1239" s="574"/>
      <c r="N1239" s="575" t="s">
        <v>159</v>
      </c>
      <c r="O1239" s="576"/>
      <c r="P1239" s="576"/>
      <c r="Q1239" s="576"/>
      <c r="R1239" s="576"/>
      <c r="S1239" s="576"/>
      <c r="T1239" s="576"/>
      <c r="U1239" s="577"/>
    </row>
    <row r="1240" spans="1:21" ht="35.1" customHeight="1" x14ac:dyDescent="0.25">
      <c r="A1240" s="263">
        <f t="shared" si="19"/>
        <v>1226</v>
      </c>
      <c r="B1240" s="578" t="s">
        <v>159</v>
      </c>
      <c r="C1240" s="578"/>
      <c r="D1240" s="579" t="s">
        <v>159</v>
      </c>
      <c r="E1240" s="579"/>
      <c r="F1240" s="568" t="s">
        <v>162</v>
      </c>
      <c r="G1240" s="568"/>
      <c r="H1240" s="580"/>
      <c r="I1240" s="581"/>
      <c r="J1240" s="582"/>
      <c r="K1240" s="572" t="s">
        <v>162</v>
      </c>
      <c r="L1240" s="573"/>
      <c r="M1240" s="574"/>
      <c r="N1240" s="583" t="s">
        <v>159</v>
      </c>
      <c r="O1240" s="584"/>
      <c r="P1240" s="584"/>
      <c r="Q1240" s="584"/>
      <c r="R1240" s="584"/>
      <c r="S1240" s="584"/>
      <c r="T1240" s="584"/>
      <c r="U1240" s="585"/>
    </row>
    <row r="1241" spans="1:21" ht="35.1" customHeight="1" x14ac:dyDescent="0.25">
      <c r="A1241" s="263">
        <f t="shared" si="19"/>
        <v>1227</v>
      </c>
      <c r="B1241" s="566" t="s">
        <v>159</v>
      </c>
      <c r="C1241" s="566"/>
      <c r="D1241" s="567" t="s">
        <v>159</v>
      </c>
      <c r="E1241" s="567"/>
      <c r="F1241" s="568" t="s">
        <v>162</v>
      </c>
      <c r="G1241" s="568"/>
      <c r="H1241" s="569"/>
      <c r="I1241" s="570"/>
      <c r="J1241" s="571"/>
      <c r="K1241" s="572" t="s">
        <v>162</v>
      </c>
      <c r="L1241" s="573"/>
      <c r="M1241" s="574"/>
      <c r="N1241" s="575" t="s">
        <v>159</v>
      </c>
      <c r="O1241" s="576"/>
      <c r="P1241" s="576"/>
      <c r="Q1241" s="576"/>
      <c r="R1241" s="576"/>
      <c r="S1241" s="576"/>
      <c r="T1241" s="576"/>
      <c r="U1241" s="577"/>
    </row>
    <row r="1242" spans="1:21" ht="35.1" customHeight="1" x14ac:dyDescent="0.25">
      <c r="A1242" s="263">
        <f t="shared" si="19"/>
        <v>1228</v>
      </c>
      <c r="B1242" s="578" t="s">
        <v>159</v>
      </c>
      <c r="C1242" s="578"/>
      <c r="D1242" s="579" t="s">
        <v>159</v>
      </c>
      <c r="E1242" s="579"/>
      <c r="F1242" s="568" t="s">
        <v>162</v>
      </c>
      <c r="G1242" s="568"/>
      <c r="H1242" s="580"/>
      <c r="I1242" s="581"/>
      <c r="J1242" s="582"/>
      <c r="K1242" s="572" t="s">
        <v>162</v>
      </c>
      <c r="L1242" s="573"/>
      <c r="M1242" s="574"/>
      <c r="N1242" s="583" t="s">
        <v>159</v>
      </c>
      <c r="O1242" s="584"/>
      <c r="P1242" s="584"/>
      <c r="Q1242" s="584"/>
      <c r="R1242" s="584"/>
      <c r="S1242" s="584"/>
      <c r="T1242" s="584"/>
      <c r="U1242" s="585"/>
    </row>
    <row r="1243" spans="1:21" ht="35.1" customHeight="1" x14ac:dyDescent="0.25">
      <c r="A1243" s="263">
        <f t="shared" si="19"/>
        <v>1229</v>
      </c>
      <c r="B1243" s="566" t="s">
        <v>159</v>
      </c>
      <c r="C1243" s="566"/>
      <c r="D1243" s="567" t="s">
        <v>159</v>
      </c>
      <c r="E1243" s="567"/>
      <c r="F1243" s="568" t="s">
        <v>162</v>
      </c>
      <c r="G1243" s="568"/>
      <c r="H1243" s="569"/>
      <c r="I1243" s="570"/>
      <c r="J1243" s="571"/>
      <c r="K1243" s="572" t="s">
        <v>162</v>
      </c>
      <c r="L1243" s="573"/>
      <c r="M1243" s="574"/>
      <c r="N1243" s="575" t="s">
        <v>159</v>
      </c>
      <c r="O1243" s="576"/>
      <c r="P1243" s="576"/>
      <c r="Q1243" s="576"/>
      <c r="R1243" s="576"/>
      <c r="S1243" s="576"/>
      <c r="T1243" s="576"/>
      <c r="U1243" s="577"/>
    </row>
    <row r="1244" spans="1:21" ht="35.1" customHeight="1" x14ac:dyDescent="0.25">
      <c r="A1244" s="263">
        <f t="shared" si="19"/>
        <v>1230</v>
      </c>
      <c r="B1244" s="578" t="s">
        <v>159</v>
      </c>
      <c r="C1244" s="578"/>
      <c r="D1244" s="579" t="s">
        <v>159</v>
      </c>
      <c r="E1244" s="579"/>
      <c r="F1244" s="568" t="s">
        <v>162</v>
      </c>
      <c r="G1244" s="568"/>
      <c r="H1244" s="580"/>
      <c r="I1244" s="581"/>
      <c r="J1244" s="582"/>
      <c r="K1244" s="572" t="s">
        <v>162</v>
      </c>
      <c r="L1244" s="573"/>
      <c r="M1244" s="574"/>
      <c r="N1244" s="583" t="s">
        <v>159</v>
      </c>
      <c r="O1244" s="584"/>
      <c r="P1244" s="584"/>
      <c r="Q1244" s="584"/>
      <c r="R1244" s="584"/>
      <c r="S1244" s="584"/>
      <c r="T1244" s="584"/>
      <c r="U1244" s="585"/>
    </row>
    <row r="1245" spans="1:21" ht="35.1" customHeight="1" x14ac:dyDescent="0.25">
      <c r="A1245" s="263">
        <f t="shared" si="19"/>
        <v>1231</v>
      </c>
      <c r="B1245" s="566" t="s">
        <v>159</v>
      </c>
      <c r="C1245" s="566"/>
      <c r="D1245" s="567" t="s">
        <v>159</v>
      </c>
      <c r="E1245" s="567"/>
      <c r="F1245" s="568" t="s">
        <v>162</v>
      </c>
      <c r="G1245" s="568"/>
      <c r="H1245" s="569"/>
      <c r="I1245" s="570"/>
      <c r="J1245" s="571"/>
      <c r="K1245" s="572" t="s">
        <v>162</v>
      </c>
      <c r="L1245" s="573"/>
      <c r="M1245" s="574"/>
      <c r="N1245" s="575" t="s">
        <v>159</v>
      </c>
      <c r="O1245" s="576"/>
      <c r="P1245" s="576"/>
      <c r="Q1245" s="576"/>
      <c r="R1245" s="576"/>
      <c r="S1245" s="576"/>
      <c r="T1245" s="576"/>
      <c r="U1245" s="577"/>
    </row>
    <row r="1246" spans="1:21" ht="35.1" customHeight="1" x14ac:dyDescent="0.25">
      <c r="A1246" s="263">
        <f t="shared" si="19"/>
        <v>1232</v>
      </c>
      <c r="B1246" s="578" t="s">
        <v>159</v>
      </c>
      <c r="C1246" s="578"/>
      <c r="D1246" s="579" t="s">
        <v>159</v>
      </c>
      <c r="E1246" s="579"/>
      <c r="F1246" s="568" t="s">
        <v>162</v>
      </c>
      <c r="G1246" s="568"/>
      <c r="H1246" s="580"/>
      <c r="I1246" s="581"/>
      <c r="J1246" s="582"/>
      <c r="K1246" s="572" t="s">
        <v>162</v>
      </c>
      <c r="L1246" s="573"/>
      <c r="M1246" s="574"/>
      <c r="N1246" s="583" t="s">
        <v>159</v>
      </c>
      <c r="O1246" s="584"/>
      <c r="P1246" s="584"/>
      <c r="Q1246" s="584"/>
      <c r="R1246" s="584"/>
      <c r="S1246" s="584"/>
      <c r="T1246" s="584"/>
      <c r="U1246" s="585"/>
    </row>
    <row r="1247" spans="1:21" ht="35.1" customHeight="1" x14ac:dyDescent="0.25">
      <c r="A1247" s="263">
        <f t="shared" si="19"/>
        <v>1233</v>
      </c>
      <c r="B1247" s="566" t="s">
        <v>159</v>
      </c>
      <c r="C1247" s="566"/>
      <c r="D1247" s="567" t="s">
        <v>159</v>
      </c>
      <c r="E1247" s="567"/>
      <c r="F1247" s="568" t="s">
        <v>162</v>
      </c>
      <c r="G1247" s="568"/>
      <c r="H1247" s="569"/>
      <c r="I1247" s="570"/>
      <c r="J1247" s="571"/>
      <c r="K1247" s="572" t="s">
        <v>162</v>
      </c>
      <c r="L1247" s="573"/>
      <c r="M1247" s="574"/>
      <c r="N1247" s="575" t="s">
        <v>159</v>
      </c>
      <c r="O1247" s="576"/>
      <c r="P1247" s="576"/>
      <c r="Q1247" s="576"/>
      <c r="R1247" s="576"/>
      <c r="S1247" s="576"/>
      <c r="T1247" s="576"/>
      <c r="U1247" s="577"/>
    </row>
    <row r="1248" spans="1:21" ht="35.1" customHeight="1" x14ac:dyDescent="0.25">
      <c r="A1248" s="263">
        <f t="shared" si="19"/>
        <v>1234</v>
      </c>
      <c r="B1248" s="578" t="s">
        <v>159</v>
      </c>
      <c r="C1248" s="578"/>
      <c r="D1248" s="579" t="s">
        <v>159</v>
      </c>
      <c r="E1248" s="579"/>
      <c r="F1248" s="568" t="s">
        <v>162</v>
      </c>
      <c r="G1248" s="568"/>
      <c r="H1248" s="580"/>
      <c r="I1248" s="581"/>
      <c r="J1248" s="582"/>
      <c r="K1248" s="572" t="s">
        <v>162</v>
      </c>
      <c r="L1248" s="573"/>
      <c r="M1248" s="574"/>
      <c r="N1248" s="583" t="s">
        <v>159</v>
      </c>
      <c r="O1248" s="584"/>
      <c r="P1248" s="584"/>
      <c r="Q1248" s="584"/>
      <c r="R1248" s="584"/>
      <c r="S1248" s="584"/>
      <c r="T1248" s="584"/>
      <c r="U1248" s="585"/>
    </row>
    <row r="1249" spans="1:21" ht="35.1" customHeight="1" x14ac:dyDescent="0.25">
      <c r="A1249" s="263">
        <f t="shared" si="19"/>
        <v>1235</v>
      </c>
      <c r="B1249" s="566" t="s">
        <v>159</v>
      </c>
      <c r="C1249" s="566"/>
      <c r="D1249" s="567" t="s">
        <v>159</v>
      </c>
      <c r="E1249" s="567"/>
      <c r="F1249" s="568" t="s">
        <v>162</v>
      </c>
      <c r="G1249" s="568"/>
      <c r="H1249" s="569"/>
      <c r="I1249" s="570"/>
      <c r="J1249" s="571"/>
      <c r="K1249" s="572" t="s">
        <v>162</v>
      </c>
      <c r="L1249" s="573"/>
      <c r="M1249" s="574"/>
      <c r="N1249" s="575" t="s">
        <v>159</v>
      </c>
      <c r="O1249" s="576"/>
      <c r="P1249" s="576"/>
      <c r="Q1249" s="576"/>
      <c r="R1249" s="576"/>
      <c r="S1249" s="576"/>
      <c r="T1249" s="576"/>
      <c r="U1249" s="577"/>
    </row>
    <row r="1250" spans="1:21" ht="35.1" customHeight="1" x14ac:dyDescent="0.25">
      <c r="A1250" s="263">
        <f t="shared" si="19"/>
        <v>1236</v>
      </c>
      <c r="B1250" s="578" t="s">
        <v>159</v>
      </c>
      <c r="C1250" s="578"/>
      <c r="D1250" s="579" t="s">
        <v>159</v>
      </c>
      <c r="E1250" s="579"/>
      <c r="F1250" s="568" t="s">
        <v>162</v>
      </c>
      <c r="G1250" s="568"/>
      <c r="H1250" s="580"/>
      <c r="I1250" s="581"/>
      <c r="J1250" s="582"/>
      <c r="K1250" s="572" t="s">
        <v>162</v>
      </c>
      <c r="L1250" s="573"/>
      <c r="M1250" s="574"/>
      <c r="N1250" s="583" t="s">
        <v>159</v>
      </c>
      <c r="O1250" s="584"/>
      <c r="P1250" s="584"/>
      <c r="Q1250" s="584"/>
      <c r="R1250" s="584"/>
      <c r="S1250" s="584"/>
      <c r="T1250" s="584"/>
      <c r="U1250" s="585"/>
    </row>
    <row r="1251" spans="1:21" ht="35.1" customHeight="1" x14ac:dyDescent="0.25">
      <c r="A1251" s="263">
        <f t="shared" si="19"/>
        <v>1237</v>
      </c>
      <c r="B1251" s="566" t="s">
        <v>159</v>
      </c>
      <c r="C1251" s="566"/>
      <c r="D1251" s="567" t="s">
        <v>159</v>
      </c>
      <c r="E1251" s="567"/>
      <c r="F1251" s="568" t="s">
        <v>162</v>
      </c>
      <c r="G1251" s="568"/>
      <c r="H1251" s="569"/>
      <c r="I1251" s="570"/>
      <c r="J1251" s="571"/>
      <c r="K1251" s="572" t="s">
        <v>162</v>
      </c>
      <c r="L1251" s="573"/>
      <c r="M1251" s="574"/>
      <c r="N1251" s="575" t="s">
        <v>159</v>
      </c>
      <c r="O1251" s="576"/>
      <c r="P1251" s="576"/>
      <c r="Q1251" s="576"/>
      <c r="R1251" s="576"/>
      <c r="S1251" s="576"/>
      <c r="T1251" s="576"/>
      <c r="U1251" s="577"/>
    </row>
    <row r="1252" spans="1:21" ht="35.1" customHeight="1" x14ac:dyDescent="0.25">
      <c r="A1252" s="263">
        <f t="shared" si="19"/>
        <v>1238</v>
      </c>
      <c r="B1252" s="578" t="s">
        <v>159</v>
      </c>
      <c r="C1252" s="578"/>
      <c r="D1252" s="579" t="s">
        <v>159</v>
      </c>
      <c r="E1252" s="579"/>
      <c r="F1252" s="568" t="s">
        <v>162</v>
      </c>
      <c r="G1252" s="568"/>
      <c r="H1252" s="580"/>
      <c r="I1252" s="581"/>
      <c r="J1252" s="582"/>
      <c r="K1252" s="572" t="s">
        <v>162</v>
      </c>
      <c r="L1252" s="573"/>
      <c r="M1252" s="574"/>
      <c r="N1252" s="583" t="s">
        <v>159</v>
      </c>
      <c r="O1252" s="584"/>
      <c r="P1252" s="584"/>
      <c r="Q1252" s="584"/>
      <c r="R1252" s="584"/>
      <c r="S1252" s="584"/>
      <c r="T1252" s="584"/>
      <c r="U1252" s="585"/>
    </row>
    <row r="1253" spans="1:21" ht="35.1" customHeight="1" x14ac:dyDescent="0.25">
      <c r="A1253" s="263">
        <f t="shared" si="19"/>
        <v>1239</v>
      </c>
      <c r="B1253" s="566" t="s">
        <v>159</v>
      </c>
      <c r="C1253" s="566"/>
      <c r="D1253" s="567" t="s">
        <v>159</v>
      </c>
      <c r="E1253" s="567"/>
      <c r="F1253" s="568" t="s">
        <v>162</v>
      </c>
      <c r="G1253" s="568"/>
      <c r="H1253" s="569"/>
      <c r="I1253" s="570"/>
      <c r="J1253" s="571"/>
      <c r="K1253" s="572" t="s">
        <v>162</v>
      </c>
      <c r="L1253" s="573"/>
      <c r="M1253" s="574"/>
      <c r="N1253" s="575" t="s">
        <v>159</v>
      </c>
      <c r="O1253" s="576"/>
      <c r="P1253" s="576"/>
      <c r="Q1253" s="576"/>
      <c r="R1253" s="576"/>
      <c r="S1253" s="576"/>
      <c r="T1253" s="576"/>
      <c r="U1253" s="577"/>
    </row>
    <row r="1254" spans="1:21" ht="35.1" customHeight="1" x14ac:dyDescent="0.25">
      <c r="A1254" s="263">
        <f t="shared" si="19"/>
        <v>1240</v>
      </c>
      <c r="B1254" s="578" t="s">
        <v>159</v>
      </c>
      <c r="C1254" s="578"/>
      <c r="D1254" s="579" t="s">
        <v>159</v>
      </c>
      <c r="E1254" s="579"/>
      <c r="F1254" s="568" t="s">
        <v>162</v>
      </c>
      <c r="G1254" s="568"/>
      <c r="H1254" s="580"/>
      <c r="I1254" s="581"/>
      <c r="J1254" s="582"/>
      <c r="K1254" s="572" t="s">
        <v>162</v>
      </c>
      <c r="L1254" s="573"/>
      <c r="M1254" s="574"/>
      <c r="N1254" s="583" t="s">
        <v>159</v>
      </c>
      <c r="O1254" s="584"/>
      <c r="P1254" s="584"/>
      <c r="Q1254" s="584"/>
      <c r="R1254" s="584"/>
      <c r="S1254" s="584"/>
      <c r="T1254" s="584"/>
      <c r="U1254" s="585"/>
    </row>
    <row r="1255" spans="1:21" ht="35.1" customHeight="1" x14ac:dyDescent="0.25">
      <c r="A1255" s="263">
        <f t="shared" si="19"/>
        <v>1241</v>
      </c>
      <c r="B1255" s="566" t="s">
        <v>159</v>
      </c>
      <c r="C1255" s="566"/>
      <c r="D1255" s="567" t="s">
        <v>159</v>
      </c>
      <c r="E1255" s="567"/>
      <c r="F1255" s="568" t="s">
        <v>162</v>
      </c>
      <c r="G1255" s="568"/>
      <c r="H1255" s="569"/>
      <c r="I1255" s="570"/>
      <c r="J1255" s="571"/>
      <c r="K1255" s="572" t="s">
        <v>162</v>
      </c>
      <c r="L1255" s="573"/>
      <c r="M1255" s="574"/>
      <c r="N1255" s="575" t="s">
        <v>159</v>
      </c>
      <c r="O1255" s="576"/>
      <c r="P1255" s="576"/>
      <c r="Q1255" s="576"/>
      <c r="R1255" s="576"/>
      <c r="S1255" s="576"/>
      <c r="T1255" s="576"/>
      <c r="U1255" s="577"/>
    </row>
    <row r="1256" spans="1:21" ht="35.1" customHeight="1" x14ac:dyDescent="0.25">
      <c r="A1256" s="263">
        <f t="shared" si="19"/>
        <v>1242</v>
      </c>
      <c r="B1256" s="578" t="s">
        <v>159</v>
      </c>
      <c r="C1256" s="578"/>
      <c r="D1256" s="579" t="s">
        <v>159</v>
      </c>
      <c r="E1256" s="579"/>
      <c r="F1256" s="568" t="s">
        <v>162</v>
      </c>
      <c r="G1256" s="568"/>
      <c r="H1256" s="580"/>
      <c r="I1256" s="581"/>
      <c r="J1256" s="582"/>
      <c r="K1256" s="572" t="s">
        <v>162</v>
      </c>
      <c r="L1256" s="573"/>
      <c r="M1256" s="574"/>
      <c r="N1256" s="583" t="s">
        <v>159</v>
      </c>
      <c r="O1256" s="584"/>
      <c r="P1256" s="584"/>
      <c r="Q1256" s="584"/>
      <c r="R1256" s="584"/>
      <c r="S1256" s="584"/>
      <c r="T1256" s="584"/>
      <c r="U1256" s="585"/>
    </row>
    <row r="1257" spans="1:21" ht="35.1" customHeight="1" x14ac:dyDescent="0.25">
      <c r="A1257" s="263">
        <f t="shared" si="19"/>
        <v>1243</v>
      </c>
      <c r="B1257" s="566" t="s">
        <v>444</v>
      </c>
      <c r="C1257" s="566"/>
      <c r="D1257" s="567" t="s">
        <v>159</v>
      </c>
      <c r="E1257" s="567"/>
      <c r="F1257" s="568" t="s">
        <v>162</v>
      </c>
      <c r="G1257" s="568"/>
      <c r="H1257" s="569"/>
      <c r="I1257" s="570"/>
      <c r="J1257" s="571"/>
      <c r="K1257" s="572" t="s">
        <v>162</v>
      </c>
      <c r="L1257" s="573"/>
      <c r="M1257" s="574"/>
      <c r="N1257" s="575" t="s">
        <v>159</v>
      </c>
      <c r="O1257" s="576"/>
      <c r="P1257" s="576"/>
      <c r="Q1257" s="576"/>
      <c r="R1257" s="576"/>
      <c r="S1257" s="576"/>
      <c r="T1257" s="576"/>
      <c r="U1257" s="577"/>
    </row>
    <row r="1258" spans="1:21" ht="35.1" customHeight="1" x14ac:dyDescent="0.25">
      <c r="A1258" s="263">
        <f t="shared" si="19"/>
        <v>1244</v>
      </c>
      <c r="B1258" s="578" t="s">
        <v>159</v>
      </c>
      <c r="C1258" s="578"/>
      <c r="D1258" s="579" t="s">
        <v>159</v>
      </c>
      <c r="E1258" s="579"/>
      <c r="F1258" s="568" t="s">
        <v>162</v>
      </c>
      <c r="G1258" s="568"/>
      <c r="H1258" s="580"/>
      <c r="I1258" s="581"/>
      <c r="J1258" s="582"/>
      <c r="K1258" s="572" t="s">
        <v>162</v>
      </c>
      <c r="L1258" s="573"/>
      <c r="M1258" s="574"/>
      <c r="N1258" s="583" t="s">
        <v>159</v>
      </c>
      <c r="O1258" s="584"/>
      <c r="P1258" s="584"/>
      <c r="Q1258" s="584"/>
      <c r="R1258" s="584"/>
      <c r="S1258" s="584"/>
      <c r="T1258" s="584"/>
      <c r="U1258" s="585"/>
    </row>
    <row r="1259" spans="1:21" ht="35.1" customHeight="1" x14ac:dyDescent="0.25">
      <c r="A1259" s="263">
        <f t="shared" si="19"/>
        <v>1245</v>
      </c>
      <c r="B1259" s="566" t="s">
        <v>159</v>
      </c>
      <c r="C1259" s="566"/>
      <c r="D1259" s="567" t="s">
        <v>159</v>
      </c>
      <c r="E1259" s="567"/>
      <c r="F1259" s="568" t="s">
        <v>162</v>
      </c>
      <c r="G1259" s="568"/>
      <c r="H1259" s="569"/>
      <c r="I1259" s="570"/>
      <c r="J1259" s="571"/>
      <c r="K1259" s="572" t="s">
        <v>162</v>
      </c>
      <c r="L1259" s="573"/>
      <c r="M1259" s="574"/>
      <c r="N1259" s="575" t="s">
        <v>159</v>
      </c>
      <c r="O1259" s="576"/>
      <c r="P1259" s="576"/>
      <c r="Q1259" s="576"/>
      <c r="R1259" s="576"/>
      <c r="S1259" s="576"/>
      <c r="T1259" s="576"/>
      <c r="U1259" s="577"/>
    </row>
    <row r="1260" spans="1:21" ht="35.1" customHeight="1" x14ac:dyDescent="0.25">
      <c r="A1260" s="263">
        <f t="shared" si="19"/>
        <v>1246</v>
      </c>
      <c r="B1260" s="578" t="s">
        <v>159</v>
      </c>
      <c r="C1260" s="578"/>
      <c r="D1260" s="579" t="s">
        <v>159</v>
      </c>
      <c r="E1260" s="579"/>
      <c r="F1260" s="568" t="s">
        <v>162</v>
      </c>
      <c r="G1260" s="568"/>
      <c r="H1260" s="580"/>
      <c r="I1260" s="581"/>
      <c r="J1260" s="582"/>
      <c r="K1260" s="572" t="s">
        <v>162</v>
      </c>
      <c r="L1260" s="573"/>
      <c r="M1260" s="574"/>
      <c r="N1260" s="583" t="s">
        <v>159</v>
      </c>
      <c r="O1260" s="584"/>
      <c r="P1260" s="584"/>
      <c r="Q1260" s="584"/>
      <c r="R1260" s="584"/>
      <c r="S1260" s="584"/>
      <c r="T1260" s="584"/>
      <c r="U1260" s="585"/>
    </row>
    <row r="1261" spans="1:21" ht="35.1" customHeight="1" x14ac:dyDescent="0.25">
      <c r="A1261" s="263">
        <f t="shared" si="19"/>
        <v>1247</v>
      </c>
      <c r="B1261" s="566" t="s">
        <v>159</v>
      </c>
      <c r="C1261" s="566"/>
      <c r="D1261" s="567" t="s">
        <v>159</v>
      </c>
      <c r="E1261" s="567"/>
      <c r="F1261" s="568" t="s">
        <v>162</v>
      </c>
      <c r="G1261" s="568"/>
      <c r="H1261" s="569"/>
      <c r="I1261" s="570"/>
      <c r="J1261" s="571"/>
      <c r="K1261" s="572" t="s">
        <v>162</v>
      </c>
      <c r="L1261" s="573"/>
      <c r="M1261" s="574"/>
      <c r="N1261" s="575" t="s">
        <v>159</v>
      </c>
      <c r="O1261" s="576"/>
      <c r="P1261" s="576"/>
      <c r="Q1261" s="576"/>
      <c r="R1261" s="576"/>
      <c r="S1261" s="576"/>
      <c r="T1261" s="576"/>
      <c r="U1261" s="577"/>
    </row>
    <row r="1262" spans="1:21" ht="35.1" customHeight="1" x14ac:dyDescent="0.25">
      <c r="A1262" s="263">
        <f t="shared" si="19"/>
        <v>1248</v>
      </c>
      <c r="B1262" s="578" t="s">
        <v>159</v>
      </c>
      <c r="C1262" s="578"/>
      <c r="D1262" s="579" t="s">
        <v>159</v>
      </c>
      <c r="E1262" s="579"/>
      <c r="F1262" s="568" t="s">
        <v>162</v>
      </c>
      <c r="G1262" s="568"/>
      <c r="H1262" s="580"/>
      <c r="I1262" s="581"/>
      <c r="J1262" s="582"/>
      <c r="K1262" s="572" t="s">
        <v>162</v>
      </c>
      <c r="L1262" s="573"/>
      <c r="M1262" s="574"/>
      <c r="N1262" s="583" t="s">
        <v>159</v>
      </c>
      <c r="O1262" s="584"/>
      <c r="P1262" s="584"/>
      <c r="Q1262" s="584"/>
      <c r="R1262" s="584"/>
      <c r="S1262" s="584"/>
      <c r="T1262" s="584"/>
      <c r="U1262" s="585"/>
    </row>
    <row r="1263" spans="1:21" ht="35.1" customHeight="1" x14ac:dyDescent="0.25">
      <c r="A1263" s="263">
        <f t="shared" si="19"/>
        <v>1249</v>
      </c>
      <c r="B1263" s="566" t="s">
        <v>448</v>
      </c>
      <c r="C1263" s="566"/>
      <c r="D1263" s="567" t="s">
        <v>159</v>
      </c>
      <c r="E1263" s="567"/>
      <c r="F1263" s="568" t="s">
        <v>162</v>
      </c>
      <c r="G1263" s="568"/>
      <c r="H1263" s="569"/>
      <c r="I1263" s="570"/>
      <c r="J1263" s="571"/>
      <c r="K1263" s="572" t="s">
        <v>162</v>
      </c>
      <c r="L1263" s="573"/>
      <c r="M1263" s="574"/>
      <c r="N1263" s="575" t="s">
        <v>159</v>
      </c>
      <c r="O1263" s="576"/>
      <c r="P1263" s="576"/>
      <c r="Q1263" s="576"/>
      <c r="R1263" s="576"/>
      <c r="S1263" s="576"/>
      <c r="T1263" s="576"/>
      <c r="U1263" s="577"/>
    </row>
    <row r="1264" spans="1:21" ht="35.1" customHeight="1" x14ac:dyDescent="0.25">
      <c r="A1264" s="263">
        <f t="shared" si="19"/>
        <v>1250</v>
      </c>
      <c r="B1264" s="578" t="s">
        <v>159</v>
      </c>
      <c r="C1264" s="578"/>
      <c r="D1264" s="579" t="s">
        <v>159</v>
      </c>
      <c r="E1264" s="579"/>
      <c r="F1264" s="568" t="s">
        <v>162</v>
      </c>
      <c r="G1264" s="568"/>
      <c r="H1264" s="580"/>
      <c r="I1264" s="581"/>
      <c r="J1264" s="582"/>
      <c r="K1264" s="572" t="s">
        <v>162</v>
      </c>
      <c r="L1264" s="573"/>
      <c r="M1264" s="574"/>
      <c r="N1264" s="583" t="s">
        <v>159</v>
      </c>
      <c r="O1264" s="584"/>
      <c r="P1264" s="584"/>
      <c r="Q1264" s="584"/>
      <c r="R1264" s="584"/>
      <c r="S1264" s="584"/>
      <c r="T1264" s="584"/>
      <c r="U1264" s="585"/>
    </row>
    <row r="1265" spans="1:21" ht="35.1" customHeight="1" x14ac:dyDescent="0.25">
      <c r="A1265" s="263">
        <f t="shared" si="19"/>
        <v>1251</v>
      </c>
      <c r="B1265" s="566" t="s">
        <v>159</v>
      </c>
      <c r="C1265" s="566"/>
      <c r="D1265" s="567" t="s">
        <v>159</v>
      </c>
      <c r="E1265" s="567"/>
      <c r="F1265" s="568" t="s">
        <v>162</v>
      </c>
      <c r="G1265" s="568"/>
      <c r="H1265" s="569"/>
      <c r="I1265" s="570"/>
      <c r="J1265" s="571"/>
      <c r="K1265" s="572" t="s">
        <v>162</v>
      </c>
      <c r="L1265" s="573"/>
      <c r="M1265" s="574"/>
      <c r="N1265" s="575" t="s">
        <v>159</v>
      </c>
      <c r="O1265" s="576"/>
      <c r="P1265" s="576"/>
      <c r="Q1265" s="576"/>
      <c r="R1265" s="576"/>
      <c r="S1265" s="576"/>
      <c r="T1265" s="576"/>
      <c r="U1265" s="577"/>
    </row>
    <row r="1266" spans="1:21" ht="35.1" customHeight="1" x14ac:dyDescent="0.25">
      <c r="A1266" s="263">
        <f t="shared" si="19"/>
        <v>1252</v>
      </c>
      <c r="B1266" s="578" t="s">
        <v>159</v>
      </c>
      <c r="C1266" s="578"/>
      <c r="D1266" s="579" t="s">
        <v>159</v>
      </c>
      <c r="E1266" s="579"/>
      <c r="F1266" s="568" t="s">
        <v>162</v>
      </c>
      <c r="G1266" s="568"/>
      <c r="H1266" s="580"/>
      <c r="I1266" s="581"/>
      <c r="J1266" s="582"/>
      <c r="K1266" s="572" t="s">
        <v>162</v>
      </c>
      <c r="L1266" s="573"/>
      <c r="M1266" s="574"/>
      <c r="N1266" s="583" t="s">
        <v>159</v>
      </c>
      <c r="O1266" s="584"/>
      <c r="P1266" s="584"/>
      <c r="Q1266" s="584"/>
      <c r="R1266" s="584"/>
      <c r="S1266" s="584"/>
      <c r="T1266" s="584"/>
      <c r="U1266" s="585"/>
    </row>
    <row r="1267" spans="1:21" ht="35.1" customHeight="1" x14ac:dyDescent="0.25">
      <c r="A1267" s="263">
        <f t="shared" si="19"/>
        <v>1253</v>
      </c>
      <c r="B1267" s="566" t="s">
        <v>159</v>
      </c>
      <c r="C1267" s="566"/>
      <c r="D1267" s="567" t="s">
        <v>159</v>
      </c>
      <c r="E1267" s="567"/>
      <c r="F1267" s="568" t="s">
        <v>162</v>
      </c>
      <c r="G1267" s="568"/>
      <c r="H1267" s="569"/>
      <c r="I1267" s="570"/>
      <c r="J1267" s="571"/>
      <c r="K1267" s="572" t="s">
        <v>162</v>
      </c>
      <c r="L1267" s="573"/>
      <c r="M1267" s="574"/>
      <c r="N1267" s="575" t="s">
        <v>159</v>
      </c>
      <c r="O1267" s="576"/>
      <c r="P1267" s="576"/>
      <c r="Q1267" s="576"/>
      <c r="R1267" s="576"/>
      <c r="S1267" s="576"/>
      <c r="T1267" s="576"/>
      <c r="U1267" s="577"/>
    </row>
    <row r="1268" spans="1:21" ht="35.1" customHeight="1" x14ac:dyDescent="0.25">
      <c r="A1268" s="263">
        <f t="shared" si="19"/>
        <v>1254</v>
      </c>
      <c r="B1268" s="578" t="s">
        <v>159</v>
      </c>
      <c r="C1268" s="578"/>
      <c r="D1268" s="579" t="s">
        <v>159</v>
      </c>
      <c r="E1268" s="579"/>
      <c r="F1268" s="568" t="s">
        <v>162</v>
      </c>
      <c r="G1268" s="568"/>
      <c r="H1268" s="580"/>
      <c r="I1268" s="581"/>
      <c r="J1268" s="582"/>
      <c r="K1268" s="572" t="s">
        <v>162</v>
      </c>
      <c r="L1268" s="573"/>
      <c r="M1268" s="574"/>
      <c r="N1268" s="583" t="s">
        <v>159</v>
      </c>
      <c r="O1268" s="584"/>
      <c r="P1268" s="584"/>
      <c r="Q1268" s="584"/>
      <c r="R1268" s="584"/>
      <c r="S1268" s="584"/>
      <c r="T1268" s="584"/>
      <c r="U1268" s="585"/>
    </row>
    <row r="1269" spans="1:21" ht="35.1" customHeight="1" x14ac:dyDescent="0.25">
      <c r="A1269" s="263">
        <f t="shared" si="19"/>
        <v>1255</v>
      </c>
      <c r="B1269" s="566" t="s">
        <v>159</v>
      </c>
      <c r="C1269" s="566"/>
      <c r="D1269" s="567" t="s">
        <v>159</v>
      </c>
      <c r="E1269" s="567"/>
      <c r="F1269" s="568" t="s">
        <v>162</v>
      </c>
      <c r="G1269" s="568"/>
      <c r="H1269" s="569"/>
      <c r="I1269" s="570"/>
      <c r="J1269" s="571"/>
      <c r="K1269" s="572" t="s">
        <v>162</v>
      </c>
      <c r="L1269" s="573"/>
      <c r="M1269" s="574"/>
      <c r="N1269" s="575" t="s">
        <v>159</v>
      </c>
      <c r="O1269" s="576"/>
      <c r="P1269" s="576"/>
      <c r="Q1269" s="576"/>
      <c r="R1269" s="576"/>
      <c r="S1269" s="576"/>
      <c r="T1269" s="576"/>
      <c r="U1269" s="577"/>
    </row>
    <row r="1270" spans="1:21" ht="35.1" customHeight="1" x14ac:dyDescent="0.25">
      <c r="A1270" s="263">
        <f t="shared" si="19"/>
        <v>1256</v>
      </c>
      <c r="B1270" s="578" t="s">
        <v>159</v>
      </c>
      <c r="C1270" s="578"/>
      <c r="D1270" s="579" t="s">
        <v>159</v>
      </c>
      <c r="E1270" s="579"/>
      <c r="F1270" s="568" t="s">
        <v>162</v>
      </c>
      <c r="G1270" s="568"/>
      <c r="H1270" s="580"/>
      <c r="I1270" s="581"/>
      <c r="J1270" s="582"/>
      <c r="K1270" s="572" t="s">
        <v>162</v>
      </c>
      <c r="L1270" s="573"/>
      <c r="M1270" s="574"/>
      <c r="N1270" s="583" t="s">
        <v>159</v>
      </c>
      <c r="O1270" s="584"/>
      <c r="P1270" s="584"/>
      <c r="Q1270" s="584"/>
      <c r="R1270" s="584"/>
      <c r="S1270" s="584"/>
      <c r="T1270" s="584"/>
      <c r="U1270" s="585"/>
    </row>
    <row r="1271" spans="1:21" ht="35.1" customHeight="1" x14ac:dyDescent="0.25">
      <c r="A1271" s="263">
        <f t="shared" si="19"/>
        <v>1257</v>
      </c>
      <c r="B1271" s="566" t="s">
        <v>159</v>
      </c>
      <c r="C1271" s="566"/>
      <c r="D1271" s="567" t="s">
        <v>159</v>
      </c>
      <c r="E1271" s="567"/>
      <c r="F1271" s="568" t="s">
        <v>162</v>
      </c>
      <c r="G1271" s="568"/>
      <c r="H1271" s="569"/>
      <c r="I1271" s="570"/>
      <c r="J1271" s="571"/>
      <c r="K1271" s="572" t="s">
        <v>162</v>
      </c>
      <c r="L1271" s="573"/>
      <c r="M1271" s="574"/>
      <c r="N1271" s="575" t="s">
        <v>159</v>
      </c>
      <c r="O1271" s="576"/>
      <c r="P1271" s="576"/>
      <c r="Q1271" s="576"/>
      <c r="R1271" s="576"/>
      <c r="S1271" s="576"/>
      <c r="T1271" s="576"/>
      <c r="U1271" s="577"/>
    </row>
    <row r="1272" spans="1:21" ht="35.1" customHeight="1" x14ac:dyDescent="0.25">
      <c r="A1272" s="263">
        <f t="shared" si="19"/>
        <v>1258</v>
      </c>
      <c r="B1272" s="578" t="s">
        <v>159</v>
      </c>
      <c r="C1272" s="578"/>
      <c r="D1272" s="579" t="s">
        <v>159</v>
      </c>
      <c r="E1272" s="579"/>
      <c r="F1272" s="568" t="s">
        <v>162</v>
      </c>
      <c r="G1272" s="568"/>
      <c r="H1272" s="580"/>
      <c r="I1272" s="581"/>
      <c r="J1272" s="582"/>
      <c r="K1272" s="572" t="s">
        <v>162</v>
      </c>
      <c r="L1272" s="573"/>
      <c r="M1272" s="574"/>
      <c r="N1272" s="583" t="s">
        <v>159</v>
      </c>
      <c r="O1272" s="584"/>
      <c r="P1272" s="584"/>
      <c r="Q1272" s="584"/>
      <c r="R1272" s="584"/>
      <c r="S1272" s="584"/>
      <c r="T1272" s="584"/>
      <c r="U1272" s="585"/>
    </row>
    <row r="1273" spans="1:21" ht="35.1" customHeight="1" x14ac:dyDescent="0.25">
      <c r="A1273" s="263">
        <f t="shared" si="19"/>
        <v>1259</v>
      </c>
      <c r="B1273" s="566" t="s">
        <v>159</v>
      </c>
      <c r="C1273" s="566"/>
      <c r="D1273" s="567" t="s">
        <v>159</v>
      </c>
      <c r="E1273" s="567"/>
      <c r="F1273" s="568" t="s">
        <v>162</v>
      </c>
      <c r="G1273" s="568"/>
      <c r="H1273" s="569"/>
      <c r="I1273" s="570"/>
      <c r="J1273" s="571"/>
      <c r="K1273" s="572" t="s">
        <v>162</v>
      </c>
      <c r="L1273" s="573"/>
      <c r="M1273" s="574"/>
      <c r="N1273" s="575" t="s">
        <v>159</v>
      </c>
      <c r="O1273" s="576"/>
      <c r="P1273" s="576"/>
      <c r="Q1273" s="576"/>
      <c r="R1273" s="576"/>
      <c r="S1273" s="576"/>
      <c r="T1273" s="576"/>
      <c r="U1273" s="577"/>
    </row>
    <row r="1274" spans="1:21" ht="35.1" customHeight="1" x14ac:dyDescent="0.25">
      <c r="A1274" s="263">
        <f t="shared" si="19"/>
        <v>1260</v>
      </c>
      <c r="B1274" s="578" t="s">
        <v>159</v>
      </c>
      <c r="C1274" s="578"/>
      <c r="D1274" s="579" t="s">
        <v>159</v>
      </c>
      <c r="E1274" s="579"/>
      <c r="F1274" s="568" t="s">
        <v>162</v>
      </c>
      <c r="G1274" s="568"/>
      <c r="H1274" s="580"/>
      <c r="I1274" s="581"/>
      <c r="J1274" s="582"/>
      <c r="K1274" s="572" t="s">
        <v>162</v>
      </c>
      <c r="L1274" s="573"/>
      <c r="M1274" s="574"/>
      <c r="N1274" s="583" t="s">
        <v>159</v>
      </c>
      <c r="O1274" s="584"/>
      <c r="P1274" s="584"/>
      <c r="Q1274" s="584"/>
      <c r="R1274" s="584"/>
      <c r="S1274" s="584"/>
      <c r="T1274" s="584"/>
      <c r="U1274" s="585"/>
    </row>
    <row r="1275" spans="1:21" ht="35.1" customHeight="1" x14ac:dyDescent="0.25">
      <c r="A1275" s="263">
        <f t="shared" si="19"/>
        <v>1261</v>
      </c>
      <c r="B1275" s="566" t="s">
        <v>159</v>
      </c>
      <c r="C1275" s="566"/>
      <c r="D1275" s="567" t="s">
        <v>159</v>
      </c>
      <c r="E1275" s="567"/>
      <c r="F1275" s="568" t="s">
        <v>162</v>
      </c>
      <c r="G1275" s="568"/>
      <c r="H1275" s="569"/>
      <c r="I1275" s="570"/>
      <c r="J1275" s="571"/>
      <c r="K1275" s="572" t="s">
        <v>162</v>
      </c>
      <c r="L1275" s="573"/>
      <c r="M1275" s="574"/>
      <c r="N1275" s="575" t="s">
        <v>159</v>
      </c>
      <c r="O1275" s="576"/>
      <c r="P1275" s="576"/>
      <c r="Q1275" s="576"/>
      <c r="R1275" s="576"/>
      <c r="S1275" s="576"/>
      <c r="T1275" s="576"/>
      <c r="U1275" s="577"/>
    </row>
    <row r="1276" spans="1:21" ht="35.1" customHeight="1" x14ac:dyDescent="0.25">
      <c r="A1276" s="263">
        <f t="shared" si="19"/>
        <v>1262</v>
      </c>
      <c r="B1276" s="578" t="s">
        <v>447</v>
      </c>
      <c r="C1276" s="578"/>
      <c r="D1276" s="579" t="s">
        <v>159</v>
      </c>
      <c r="E1276" s="579"/>
      <c r="F1276" s="568" t="s">
        <v>162</v>
      </c>
      <c r="G1276" s="568"/>
      <c r="H1276" s="580"/>
      <c r="I1276" s="581"/>
      <c r="J1276" s="582"/>
      <c r="K1276" s="572" t="s">
        <v>162</v>
      </c>
      <c r="L1276" s="573"/>
      <c r="M1276" s="574"/>
      <c r="N1276" s="583" t="s">
        <v>159</v>
      </c>
      <c r="O1276" s="584"/>
      <c r="P1276" s="584"/>
      <c r="Q1276" s="584"/>
      <c r="R1276" s="584"/>
      <c r="S1276" s="584"/>
      <c r="T1276" s="584"/>
      <c r="U1276" s="585"/>
    </row>
    <row r="1277" spans="1:21" ht="35.1" customHeight="1" x14ac:dyDescent="0.25">
      <c r="A1277" s="263">
        <f t="shared" si="19"/>
        <v>1263</v>
      </c>
      <c r="B1277" s="566" t="s">
        <v>159</v>
      </c>
      <c r="C1277" s="566"/>
      <c r="D1277" s="567" t="s">
        <v>159</v>
      </c>
      <c r="E1277" s="567"/>
      <c r="F1277" s="568" t="s">
        <v>162</v>
      </c>
      <c r="G1277" s="568"/>
      <c r="H1277" s="569"/>
      <c r="I1277" s="570"/>
      <c r="J1277" s="571"/>
      <c r="K1277" s="572" t="s">
        <v>162</v>
      </c>
      <c r="L1277" s="573"/>
      <c r="M1277" s="574"/>
      <c r="N1277" s="575" t="s">
        <v>159</v>
      </c>
      <c r="O1277" s="576"/>
      <c r="P1277" s="576"/>
      <c r="Q1277" s="576"/>
      <c r="R1277" s="576"/>
      <c r="S1277" s="576"/>
      <c r="T1277" s="576"/>
      <c r="U1277" s="577"/>
    </row>
    <row r="1278" spans="1:21" ht="35.1" customHeight="1" x14ac:dyDescent="0.25">
      <c r="A1278" s="263">
        <f t="shared" si="19"/>
        <v>1264</v>
      </c>
      <c r="B1278" s="578" t="s">
        <v>159</v>
      </c>
      <c r="C1278" s="578"/>
      <c r="D1278" s="579" t="s">
        <v>159</v>
      </c>
      <c r="E1278" s="579"/>
      <c r="F1278" s="568" t="s">
        <v>162</v>
      </c>
      <c r="G1278" s="568"/>
      <c r="H1278" s="580"/>
      <c r="I1278" s="581"/>
      <c r="J1278" s="582"/>
      <c r="K1278" s="572" t="s">
        <v>162</v>
      </c>
      <c r="L1278" s="573"/>
      <c r="M1278" s="574"/>
      <c r="N1278" s="583" t="s">
        <v>159</v>
      </c>
      <c r="O1278" s="584"/>
      <c r="P1278" s="584"/>
      <c r="Q1278" s="584"/>
      <c r="R1278" s="584"/>
      <c r="S1278" s="584"/>
      <c r="T1278" s="584"/>
      <c r="U1278" s="585"/>
    </row>
    <row r="1279" spans="1:21" ht="35.1" customHeight="1" x14ac:dyDescent="0.25">
      <c r="A1279" s="263">
        <f t="shared" si="19"/>
        <v>1265</v>
      </c>
      <c r="B1279" s="566" t="s">
        <v>159</v>
      </c>
      <c r="C1279" s="566"/>
      <c r="D1279" s="567" t="s">
        <v>159</v>
      </c>
      <c r="E1279" s="567"/>
      <c r="F1279" s="568" t="s">
        <v>162</v>
      </c>
      <c r="G1279" s="568"/>
      <c r="H1279" s="569"/>
      <c r="I1279" s="570"/>
      <c r="J1279" s="571"/>
      <c r="K1279" s="572" t="s">
        <v>162</v>
      </c>
      <c r="L1279" s="573"/>
      <c r="M1279" s="574"/>
      <c r="N1279" s="575" t="s">
        <v>159</v>
      </c>
      <c r="O1279" s="576"/>
      <c r="P1279" s="576"/>
      <c r="Q1279" s="576"/>
      <c r="R1279" s="576"/>
      <c r="S1279" s="576"/>
      <c r="T1279" s="576"/>
      <c r="U1279" s="577"/>
    </row>
    <row r="1280" spans="1:21" ht="35.1" customHeight="1" x14ac:dyDescent="0.25">
      <c r="A1280" s="263">
        <f t="shared" si="19"/>
        <v>1266</v>
      </c>
      <c r="B1280" s="578" t="s">
        <v>159</v>
      </c>
      <c r="C1280" s="578"/>
      <c r="D1280" s="579" t="s">
        <v>159</v>
      </c>
      <c r="E1280" s="579"/>
      <c r="F1280" s="568" t="s">
        <v>162</v>
      </c>
      <c r="G1280" s="568"/>
      <c r="H1280" s="580"/>
      <c r="I1280" s="581"/>
      <c r="J1280" s="582"/>
      <c r="K1280" s="572" t="s">
        <v>162</v>
      </c>
      <c r="L1280" s="573"/>
      <c r="M1280" s="574"/>
      <c r="N1280" s="583" t="s">
        <v>159</v>
      </c>
      <c r="O1280" s="584"/>
      <c r="P1280" s="584"/>
      <c r="Q1280" s="584"/>
      <c r="R1280" s="584"/>
      <c r="S1280" s="584"/>
      <c r="T1280" s="584"/>
      <c r="U1280" s="585"/>
    </row>
    <row r="1281" spans="1:21" ht="35.1" customHeight="1" x14ac:dyDescent="0.25">
      <c r="A1281" s="263">
        <f t="shared" si="19"/>
        <v>1267</v>
      </c>
      <c r="B1281" s="566" t="s">
        <v>159</v>
      </c>
      <c r="C1281" s="566"/>
      <c r="D1281" s="567" t="s">
        <v>159</v>
      </c>
      <c r="E1281" s="567"/>
      <c r="F1281" s="568" t="s">
        <v>162</v>
      </c>
      <c r="G1281" s="568"/>
      <c r="H1281" s="569"/>
      <c r="I1281" s="570"/>
      <c r="J1281" s="571"/>
      <c r="K1281" s="572" t="s">
        <v>162</v>
      </c>
      <c r="L1281" s="573"/>
      <c r="M1281" s="574"/>
      <c r="N1281" s="575" t="s">
        <v>159</v>
      </c>
      <c r="O1281" s="576"/>
      <c r="P1281" s="576"/>
      <c r="Q1281" s="576"/>
      <c r="R1281" s="576"/>
      <c r="S1281" s="576"/>
      <c r="T1281" s="576"/>
      <c r="U1281" s="577"/>
    </row>
    <row r="1282" spans="1:21" ht="35.1" customHeight="1" x14ac:dyDescent="0.25">
      <c r="A1282" s="263">
        <f t="shared" si="19"/>
        <v>1268</v>
      </c>
      <c r="B1282" s="578" t="s">
        <v>159</v>
      </c>
      <c r="C1282" s="578"/>
      <c r="D1282" s="579" t="s">
        <v>159</v>
      </c>
      <c r="E1282" s="579"/>
      <c r="F1282" s="568" t="s">
        <v>162</v>
      </c>
      <c r="G1282" s="568"/>
      <c r="H1282" s="580"/>
      <c r="I1282" s="581"/>
      <c r="J1282" s="582"/>
      <c r="K1282" s="572" t="s">
        <v>162</v>
      </c>
      <c r="L1282" s="573"/>
      <c r="M1282" s="574"/>
      <c r="N1282" s="583" t="s">
        <v>159</v>
      </c>
      <c r="O1282" s="584"/>
      <c r="P1282" s="584"/>
      <c r="Q1282" s="584"/>
      <c r="R1282" s="584"/>
      <c r="S1282" s="584"/>
      <c r="T1282" s="584"/>
      <c r="U1282" s="585"/>
    </row>
    <row r="1283" spans="1:21" ht="35.1" customHeight="1" x14ac:dyDescent="0.25">
      <c r="A1283" s="263">
        <f t="shared" si="19"/>
        <v>1269</v>
      </c>
      <c r="B1283" s="566" t="s">
        <v>159</v>
      </c>
      <c r="C1283" s="566"/>
      <c r="D1283" s="567" t="s">
        <v>159</v>
      </c>
      <c r="E1283" s="567"/>
      <c r="F1283" s="568" t="s">
        <v>162</v>
      </c>
      <c r="G1283" s="568"/>
      <c r="H1283" s="569"/>
      <c r="I1283" s="570"/>
      <c r="J1283" s="571"/>
      <c r="K1283" s="572" t="s">
        <v>162</v>
      </c>
      <c r="L1283" s="573"/>
      <c r="M1283" s="574"/>
      <c r="N1283" s="575" t="s">
        <v>159</v>
      </c>
      <c r="O1283" s="576"/>
      <c r="P1283" s="576"/>
      <c r="Q1283" s="576"/>
      <c r="R1283" s="576"/>
      <c r="S1283" s="576"/>
      <c r="T1283" s="576"/>
      <c r="U1283" s="577"/>
    </row>
    <row r="1284" spans="1:21" ht="35.1" customHeight="1" x14ac:dyDescent="0.25">
      <c r="A1284" s="263">
        <f t="shared" si="19"/>
        <v>1270</v>
      </c>
      <c r="B1284" s="578" t="s">
        <v>159</v>
      </c>
      <c r="C1284" s="578"/>
      <c r="D1284" s="579" t="s">
        <v>159</v>
      </c>
      <c r="E1284" s="579"/>
      <c r="F1284" s="568" t="s">
        <v>162</v>
      </c>
      <c r="G1284" s="568"/>
      <c r="H1284" s="580"/>
      <c r="I1284" s="581"/>
      <c r="J1284" s="582"/>
      <c r="K1284" s="572" t="s">
        <v>162</v>
      </c>
      <c r="L1284" s="573"/>
      <c r="M1284" s="574"/>
      <c r="N1284" s="583" t="s">
        <v>159</v>
      </c>
      <c r="O1284" s="584"/>
      <c r="P1284" s="584"/>
      <c r="Q1284" s="584"/>
      <c r="R1284" s="584"/>
      <c r="S1284" s="584"/>
      <c r="T1284" s="584"/>
      <c r="U1284" s="585"/>
    </row>
    <row r="1285" spans="1:21" ht="35.1" customHeight="1" x14ac:dyDescent="0.25">
      <c r="A1285" s="263">
        <f t="shared" si="19"/>
        <v>1271</v>
      </c>
      <c r="B1285" s="566" t="s">
        <v>444</v>
      </c>
      <c r="C1285" s="566"/>
      <c r="D1285" s="567" t="s">
        <v>159</v>
      </c>
      <c r="E1285" s="567"/>
      <c r="F1285" s="568" t="s">
        <v>162</v>
      </c>
      <c r="G1285" s="568"/>
      <c r="H1285" s="569"/>
      <c r="I1285" s="570"/>
      <c r="J1285" s="571"/>
      <c r="K1285" s="572" t="s">
        <v>162</v>
      </c>
      <c r="L1285" s="573"/>
      <c r="M1285" s="574"/>
      <c r="N1285" s="575" t="s">
        <v>159</v>
      </c>
      <c r="O1285" s="576"/>
      <c r="P1285" s="576"/>
      <c r="Q1285" s="576"/>
      <c r="R1285" s="576"/>
      <c r="S1285" s="576"/>
      <c r="T1285" s="576"/>
      <c r="U1285" s="577"/>
    </row>
    <row r="1286" spans="1:21" ht="35.1" customHeight="1" x14ac:dyDescent="0.25">
      <c r="A1286" s="263">
        <f t="shared" si="19"/>
        <v>1272</v>
      </c>
      <c r="B1286" s="578" t="s">
        <v>159</v>
      </c>
      <c r="C1286" s="578"/>
      <c r="D1286" s="579" t="s">
        <v>159</v>
      </c>
      <c r="E1286" s="579"/>
      <c r="F1286" s="568" t="s">
        <v>162</v>
      </c>
      <c r="G1286" s="568"/>
      <c r="H1286" s="580"/>
      <c r="I1286" s="581"/>
      <c r="J1286" s="582"/>
      <c r="K1286" s="572" t="s">
        <v>162</v>
      </c>
      <c r="L1286" s="573"/>
      <c r="M1286" s="574"/>
      <c r="N1286" s="583" t="s">
        <v>159</v>
      </c>
      <c r="O1286" s="584"/>
      <c r="P1286" s="584"/>
      <c r="Q1286" s="584"/>
      <c r="R1286" s="584"/>
      <c r="S1286" s="584"/>
      <c r="T1286" s="584"/>
      <c r="U1286" s="585"/>
    </row>
    <row r="1287" spans="1:21" ht="35.1" customHeight="1" x14ac:dyDescent="0.25">
      <c r="A1287" s="263">
        <f t="shared" si="19"/>
        <v>1273</v>
      </c>
      <c r="B1287" s="566" t="s">
        <v>159</v>
      </c>
      <c r="C1287" s="566"/>
      <c r="D1287" s="567" t="s">
        <v>159</v>
      </c>
      <c r="E1287" s="567"/>
      <c r="F1287" s="568" t="s">
        <v>162</v>
      </c>
      <c r="G1287" s="568"/>
      <c r="H1287" s="569"/>
      <c r="I1287" s="570"/>
      <c r="J1287" s="571"/>
      <c r="K1287" s="572" t="s">
        <v>162</v>
      </c>
      <c r="L1287" s="573"/>
      <c r="M1287" s="574"/>
      <c r="N1287" s="575" t="s">
        <v>159</v>
      </c>
      <c r="O1287" s="576"/>
      <c r="P1287" s="576"/>
      <c r="Q1287" s="576"/>
      <c r="R1287" s="576"/>
      <c r="S1287" s="576"/>
      <c r="T1287" s="576"/>
      <c r="U1287" s="577"/>
    </row>
    <row r="1288" spans="1:21" ht="35.1" customHeight="1" x14ac:dyDescent="0.25">
      <c r="A1288" s="263">
        <f t="shared" si="19"/>
        <v>1274</v>
      </c>
      <c r="B1288" s="578" t="s">
        <v>159</v>
      </c>
      <c r="C1288" s="578"/>
      <c r="D1288" s="579" t="s">
        <v>159</v>
      </c>
      <c r="E1288" s="579"/>
      <c r="F1288" s="568" t="s">
        <v>162</v>
      </c>
      <c r="G1288" s="568"/>
      <c r="H1288" s="580"/>
      <c r="I1288" s="581"/>
      <c r="J1288" s="582"/>
      <c r="K1288" s="572" t="s">
        <v>162</v>
      </c>
      <c r="L1288" s="573"/>
      <c r="M1288" s="574"/>
      <c r="N1288" s="583" t="s">
        <v>159</v>
      </c>
      <c r="O1288" s="584"/>
      <c r="P1288" s="584"/>
      <c r="Q1288" s="584"/>
      <c r="R1288" s="584"/>
      <c r="S1288" s="584"/>
      <c r="T1288" s="584"/>
      <c r="U1288" s="585"/>
    </row>
    <row r="1289" spans="1:21" ht="35.1" customHeight="1" x14ac:dyDescent="0.25">
      <c r="A1289" s="263">
        <f t="shared" si="19"/>
        <v>1275</v>
      </c>
      <c r="B1289" s="566" t="s">
        <v>159</v>
      </c>
      <c r="C1289" s="566"/>
      <c r="D1289" s="567" t="s">
        <v>159</v>
      </c>
      <c r="E1289" s="567"/>
      <c r="F1289" s="568" t="s">
        <v>162</v>
      </c>
      <c r="G1289" s="568"/>
      <c r="H1289" s="569"/>
      <c r="I1289" s="570"/>
      <c r="J1289" s="571"/>
      <c r="K1289" s="572" t="s">
        <v>162</v>
      </c>
      <c r="L1289" s="573"/>
      <c r="M1289" s="574"/>
      <c r="N1289" s="575" t="s">
        <v>159</v>
      </c>
      <c r="O1289" s="576"/>
      <c r="P1289" s="576"/>
      <c r="Q1289" s="576"/>
      <c r="R1289" s="576"/>
      <c r="S1289" s="576"/>
      <c r="T1289" s="576"/>
      <c r="U1289" s="577"/>
    </row>
    <row r="1290" spans="1:21" ht="35.1" customHeight="1" x14ac:dyDescent="0.25">
      <c r="A1290" s="263">
        <f t="shared" si="19"/>
        <v>1276</v>
      </c>
      <c r="B1290" s="578" t="s">
        <v>159</v>
      </c>
      <c r="C1290" s="578"/>
      <c r="D1290" s="579" t="s">
        <v>159</v>
      </c>
      <c r="E1290" s="579"/>
      <c r="F1290" s="568" t="s">
        <v>162</v>
      </c>
      <c r="G1290" s="568"/>
      <c r="H1290" s="580"/>
      <c r="I1290" s="581"/>
      <c r="J1290" s="582"/>
      <c r="K1290" s="572" t="s">
        <v>162</v>
      </c>
      <c r="L1290" s="573"/>
      <c r="M1290" s="574"/>
      <c r="N1290" s="583" t="s">
        <v>159</v>
      </c>
      <c r="O1290" s="584"/>
      <c r="P1290" s="584"/>
      <c r="Q1290" s="584"/>
      <c r="R1290" s="584"/>
      <c r="S1290" s="584"/>
      <c r="T1290" s="584"/>
      <c r="U1290" s="585"/>
    </row>
    <row r="1291" spans="1:21" ht="35.1" customHeight="1" x14ac:dyDescent="0.25">
      <c r="A1291" s="263">
        <f t="shared" si="19"/>
        <v>1277</v>
      </c>
      <c r="B1291" s="566" t="s">
        <v>159</v>
      </c>
      <c r="C1291" s="566"/>
      <c r="D1291" s="567" t="s">
        <v>159</v>
      </c>
      <c r="E1291" s="567"/>
      <c r="F1291" s="568" t="s">
        <v>162</v>
      </c>
      <c r="G1291" s="568"/>
      <c r="H1291" s="569"/>
      <c r="I1291" s="570"/>
      <c r="J1291" s="571"/>
      <c r="K1291" s="572" t="s">
        <v>162</v>
      </c>
      <c r="L1291" s="573"/>
      <c r="M1291" s="574"/>
      <c r="N1291" s="575" t="s">
        <v>159</v>
      </c>
      <c r="O1291" s="576"/>
      <c r="P1291" s="576"/>
      <c r="Q1291" s="576"/>
      <c r="R1291" s="576"/>
      <c r="S1291" s="576"/>
      <c r="T1291" s="576"/>
      <c r="U1291" s="577"/>
    </row>
    <row r="1292" spans="1:21" ht="35.1" customHeight="1" x14ac:dyDescent="0.25">
      <c r="A1292" s="263">
        <f t="shared" si="19"/>
        <v>1278</v>
      </c>
      <c r="B1292" s="578" t="s">
        <v>159</v>
      </c>
      <c r="C1292" s="578"/>
      <c r="D1292" s="579" t="s">
        <v>159</v>
      </c>
      <c r="E1292" s="579"/>
      <c r="F1292" s="568" t="s">
        <v>162</v>
      </c>
      <c r="G1292" s="568"/>
      <c r="H1292" s="580"/>
      <c r="I1292" s="581"/>
      <c r="J1292" s="582"/>
      <c r="K1292" s="572" t="s">
        <v>162</v>
      </c>
      <c r="L1292" s="573"/>
      <c r="M1292" s="574"/>
      <c r="N1292" s="583" t="s">
        <v>159</v>
      </c>
      <c r="O1292" s="584"/>
      <c r="P1292" s="584"/>
      <c r="Q1292" s="584"/>
      <c r="R1292" s="584"/>
      <c r="S1292" s="584"/>
      <c r="T1292" s="584"/>
      <c r="U1292" s="585"/>
    </row>
    <row r="1293" spans="1:21" ht="35.1" customHeight="1" x14ac:dyDescent="0.25">
      <c r="A1293" s="263">
        <f t="shared" si="19"/>
        <v>1279</v>
      </c>
      <c r="B1293" s="566" t="s">
        <v>450</v>
      </c>
      <c r="C1293" s="566"/>
      <c r="D1293" s="567" t="s">
        <v>159</v>
      </c>
      <c r="E1293" s="567"/>
      <c r="F1293" s="568" t="s">
        <v>162</v>
      </c>
      <c r="G1293" s="568"/>
      <c r="H1293" s="569"/>
      <c r="I1293" s="570"/>
      <c r="J1293" s="571"/>
      <c r="K1293" s="572" t="s">
        <v>162</v>
      </c>
      <c r="L1293" s="573"/>
      <c r="M1293" s="574"/>
      <c r="N1293" s="575" t="s">
        <v>159</v>
      </c>
      <c r="O1293" s="576"/>
      <c r="P1293" s="576"/>
      <c r="Q1293" s="576"/>
      <c r="R1293" s="576"/>
      <c r="S1293" s="576"/>
      <c r="T1293" s="576"/>
      <c r="U1293" s="577"/>
    </row>
    <row r="1294" spans="1:21" ht="35.1" customHeight="1" x14ac:dyDescent="0.25">
      <c r="A1294" s="263">
        <f t="shared" si="19"/>
        <v>1280</v>
      </c>
      <c r="B1294" s="578" t="s">
        <v>159</v>
      </c>
      <c r="C1294" s="578"/>
      <c r="D1294" s="579" t="s">
        <v>159</v>
      </c>
      <c r="E1294" s="579"/>
      <c r="F1294" s="568" t="s">
        <v>162</v>
      </c>
      <c r="G1294" s="568"/>
      <c r="H1294" s="580"/>
      <c r="I1294" s="581"/>
      <c r="J1294" s="582"/>
      <c r="K1294" s="572" t="s">
        <v>162</v>
      </c>
      <c r="L1294" s="573"/>
      <c r="M1294" s="574"/>
      <c r="N1294" s="583" t="s">
        <v>159</v>
      </c>
      <c r="O1294" s="584"/>
      <c r="P1294" s="584"/>
      <c r="Q1294" s="584"/>
      <c r="R1294" s="584"/>
      <c r="S1294" s="584"/>
      <c r="T1294" s="584"/>
      <c r="U1294" s="585"/>
    </row>
    <row r="1295" spans="1:21" ht="35.1" customHeight="1" x14ac:dyDescent="0.25">
      <c r="A1295" s="263">
        <f t="shared" ref="A1295:A1358" si="20">ROW(A1281)</f>
        <v>1281</v>
      </c>
      <c r="B1295" s="566" t="s">
        <v>159</v>
      </c>
      <c r="C1295" s="566"/>
      <c r="D1295" s="567" t="s">
        <v>159</v>
      </c>
      <c r="E1295" s="567"/>
      <c r="F1295" s="568" t="s">
        <v>162</v>
      </c>
      <c r="G1295" s="568"/>
      <c r="H1295" s="569"/>
      <c r="I1295" s="570"/>
      <c r="J1295" s="571"/>
      <c r="K1295" s="572" t="s">
        <v>162</v>
      </c>
      <c r="L1295" s="573"/>
      <c r="M1295" s="574"/>
      <c r="N1295" s="575" t="s">
        <v>159</v>
      </c>
      <c r="O1295" s="576"/>
      <c r="P1295" s="576"/>
      <c r="Q1295" s="576"/>
      <c r="R1295" s="576"/>
      <c r="S1295" s="576"/>
      <c r="T1295" s="576"/>
      <c r="U1295" s="577"/>
    </row>
    <row r="1296" spans="1:21" ht="35.1" customHeight="1" x14ac:dyDescent="0.25">
      <c r="A1296" s="263">
        <f t="shared" si="20"/>
        <v>1282</v>
      </c>
      <c r="B1296" s="578" t="s">
        <v>159</v>
      </c>
      <c r="C1296" s="578"/>
      <c r="D1296" s="579" t="s">
        <v>159</v>
      </c>
      <c r="E1296" s="579"/>
      <c r="F1296" s="568" t="s">
        <v>162</v>
      </c>
      <c r="G1296" s="568"/>
      <c r="H1296" s="580"/>
      <c r="I1296" s="581"/>
      <c r="J1296" s="582"/>
      <c r="K1296" s="572" t="s">
        <v>162</v>
      </c>
      <c r="L1296" s="573"/>
      <c r="M1296" s="574"/>
      <c r="N1296" s="583" t="s">
        <v>159</v>
      </c>
      <c r="O1296" s="584"/>
      <c r="P1296" s="584"/>
      <c r="Q1296" s="584"/>
      <c r="R1296" s="584"/>
      <c r="S1296" s="584"/>
      <c r="T1296" s="584"/>
      <c r="U1296" s="585"/>
    </row>
    <row r="1297" spans="1:21" ht="35.1" customHeight="1" x14ac:dyDescent="0.25">
      <c r="A1297" s="263">
        <f t="shared" si="20"/>
        <v>1283</v>
      </c>
      <c r="B1297" s="566" t="s">
        <v>159</v>
      </c>
      <c r="C1297" s="566"/>
      <c r="D1297" s="567" t="s">
        <v>159</v>
      </c>
      <c r="E1297" s="567"/>
      <c r="F1297" s="568" t="s">
        <v>162</v>
      </c>
      <c r="G1297" s="568"/>
      <c r="H1297" s="569"/>
      <c r="I1297" s="570"/>
      <c r="J1297" s="571"/>
      <c r="K1297" s="572" t="s">
        <v>162</v>
      </c>
      <c r="L1297" s="573"/>
      <c r="M1297" s="574"/>
      <c r="N1297" s="575" t="s">
        <v>159</v>
      </c>
      <c r="O1297" s="576"/>
      <c r="P1297" s="576"/>
      <c r="Q1297" s="576"/>
      <c r="R1297" s="576"/>
      <c r="S1297" s="576"/>
      <c r="T1297" s="576"/>
      <c r="U1297" s="577"/>
    </row>
    <row r="1298" spans="1:21" ht="35.1" customHeight="1" x14ac:dyDescent="0.25">
      <c r="A1298" s="263">
        <f t="shared" si="20"/>
        <v>1284</v>
      </c>
      <c r="B1298" s="578" t="s">
        <v>159</v>
      </c>
      <c r="C1298" s="578"/>
      <c r="D1298" s="579" t="s">
        <v>159</v>
      </c>
      <c r="E1298" s="579"/>
      <c r="F1298" s="568" t="s">
        <v>162</v>
      </c>
      <c r="G1298" s="568"/>
      <c r="H1298" s="580"/>
      <c r="I1298" s="581"/>
      <c r="J1298" s="582"/>
      <c r="K1298" s="572" t="s">
        <v>162</v>
      </c>
      <c r="L1298" s="573"/>
      <c r="M1298" s="574"/>
      <c r="N1298" s="583" t="s">
        <v>159</v>
      </c>
      <c r="O1298" s="584"/>
      <c r="P1298" s="584"/>
      <c r="Q1298" s="584"/>
      <c r="R1298" s="584"/>
      <c r="S1298" s="584"/>
      <c r="T1298" s="584"/>
      <c r="U1298" s="585"/>
    </row>
    <row r="1299" spans="1:21" ht="35.1" customHeight="1" x14ac:dyDescent="0.25">
      <c r="A1299" s="263">
        <f t="shared" si="20"/>
        <v>1285</v>
      </c>
      <c r="B1299" s="566" t="s">
        <v>159</v>
      </c>
      <c r="C1299" s="566"/>
      <c r="D1299" s="567" t="s">
        <v>159</v>
      </c>
      <c r="E1299" s="567"/>
      <c r="F1299" s="568" t="s">
        <v>162</v>
      </c>
      <c r="G1299" s="568"/>
      <c r="H1299" s="569"/>
      <c r="I1299" s="570"/>
      <c r="J1299" s="571"/>
      <c r="K1299" s="572" t="s">
        <v>162</v>
      </c>
      <c r="L1299" s="573"/>
      <c r="M1299" s="574"/>
      <c r="N1299" s="575" t="s">
        <v>159</v>
      </c>
      <c r="O1299" s="576"/>
      <c r="P1299" s="576"/>
      <c r="Q1299" s="576"/>
      <c r="R1299" s="576"/>
      <c r="S1299" s="576"/>
      <c r="T1299" s="576"/>
      <c r="U1299" s="577"/>
    </row>
    <row r="1300" spans="1:21" ht="35.1" customHeight="1" x14ac:dyDescent="0.25">
      <c r="A1300" s="263">
        <f t="shared" si="20"/>
        <v>1286</v>
      </c>
      <c r="B1300" s="578" t="s">
        <v>159</v>
      </c>
      <c r="C1300" s="578"/>
      <c r="D1300" s="579" t="s">
        <v>159</v>
      </c>
      <c r="E1300" s="579"/>
      <c r="F1300" s="568" t="s">
        <v>162</v>
      </c>
      <c r="G1300" s="568"/>
      <c r="H1300" s="580"/>
      <c r="I1300" s="581"/>
      <c r="J1300" s="582"/>
      <c r="K1300" s="572" t="s">
        <v>162</v>
      </c>
      <c r="L1300" s="573"/>
      <c r="M1300" s="574"/>
      <c r="N1300" s="583" t="s">
        <v>159</v>
      </c>
      <c r="O1300" s="584"/>
      <c r="P1300" s="584"/>
      <c r="Q1300" s="584"/>
      <c r="R1300" s="584"/>
      <c r="S1300" s="584"/>
      <c r="T1300" s="584"/>
      <c r="U1300" s="585"/>
    </row>
    <row r="1301" spans="1:21" ht="35.1" customHeight="1" x14ac:dyDescent="0.25">
      <c r="A1301" s="263">
        <f t="shared" si="20"/>
        <v>1287</v>
      </c>
      <c r="B1301" s="566" t="s">
        <v>159</v>
      </c>
      <c r="C1301" s="566"/>
      <c r="D1301" s="567" t="s">
        <v>159</v>
      </c>
      <c r="E1301" s="567"/>
      <c r="F1301" s="568" t="s">
        <v>162</v>
      </c>
      <c r="G1301" s="568"/>
      <c r="H1301" s="569"/>
      <c r="I1301" s="570"/>
      <c r="J1301" s="571"/>
      <c r="K1301" s="572" t="s">
        <v>162</v>
      </c>
      <c r="L1301" s="573"/>
      <c r="M1301" s="574"/>
      <c r="N1301" s="575" t="s">
        <v>159</v>
      </c>
      <c r="O1301" s="576"/>
      <c r="P1301" s="576"/>
      <c r="Q1301" s="576"/>
      <c r="R1301" s="576"/>
      <c r="S1301" s="576"/>
      <c r="T1301" s="576"/>
      <c r="U1301" s="577"/>
    </row>
    <row r="1302" spans="1:21" ht="35.1" customHeight="1" x14ac:dyDescent="0.25">
      <c r="A1302" s="263">
        <f t="shared" si="20"/>
        <v>1288</v>
      </c>
      <c r="B1302" s="578" t="s">
        <v>159</v>
      </c>
      <c r="C1302" s="578"/>
      <c r="D1302" s="579" t="s">
        <v>159</v>
      </c>
      <c r="E1302" s="579"/>
      <c r="F1302" s="568" t="s">
        <v>162</v>
      </c>
      <c r="G1302" s="568"/>
      <c r="H1302" s="580"/>
      <c r="I1302" s="581"/>
      <c r="J1302" s="582"/>
      <c r="K1302" s="572" t="s">
        <v>162</v>
      </c>
      <c r="L1302" s="573"/>
      <c r="M1302" s="574"/>
      <c r="N1302" s="583" t="s">
        <v>159</v>
      </c>
      <c r="O1302" s="584"/>
      <c r="P1302" s="584"/>
      <c r="Q1302" s="584"/>
      <c r="R1302" s="584"/>
      <c r="S1302" s="584"/>
      <c r="T1302" s="584"/>
      <c r="U1302" s="585"/>
    </row>
    <row r="1303" spans="1:21" ht="35.1" customHeight="1" x14ac:dyDescent="0.25">
      <c r="A1303" s="263">
        <f t="shared" si="20"/>
        <v>1289</v>
      </c>
      <c r="B1303" s="566" t="s">
        <v>159</v>
      </c>
      <c r="C1303" s="566"/>
      <c r="D1303" s="567" t="s">
        <v>159</v>
      </c>
      <c r="E1303" s="567"/>
      <c r="F1303" s="568" t="s">
        <v>162</v>
      </c>
      <c r="G1303" s="568"/>
      <c r="H1303" s="569"/>
      <c r="I1303" s="570"/>
      <c r="J1303" s="571"/>
      <c r="K1303" s="572" t="s">
        <v>162</v>
      </c>
      <c r="L1303" s="573"/>
      <c r="M1303" s="574"/>
      <c r="N1303" s="575" t="s">
        <v>159</v>
      </c>
      <c r="O1303" s="576"/>
      <c r="P1303" s="576"/>
      <c r="Q1303" s="576"/>
      <c r="R1303" s="576"/>
      <c r="S1303" s="576"/>
      <c r="T1303" s="576"/>
      <c r="U1303" s="577"/>
    </row>
    <row r="1304" spans="1:21" ht="35.1" customHeight="1" x14ac:dyDescent="0.25">
      <c r="A1304" s="263">
        <f t="shared" si="20"/>
        <v>1290</v>
      </c>
      <c r="B1304" s="578" t="s">
        <v>159</v>
      </c>
      <c r="C1304" s="578"/>
      <c r="D1304" s="579" t="s">
        <v>159</v>
      </c>
      <c r="E1304" s="579"/>
      <c r="F1304" s="568" t="s">
        <v>162</v>
      </c>
      <c r="G1304" s="568"/>
      <c r="H1304" s="580"/>
      <c r="I1304" s="581"/>
      <c r="J1304" s="582"/>
      <c r="K1304" s="572" t="s">
        <v>162</v>
      </c>
      <c r="L1304" s="573"/>
      <c r="M1304" s="574"/>
      <c r="N1304" s="583" t="s">
        <v>159</v>
      </c>
      <c r="O1304" s="584"/>
      <c r="P1304" s="584"/>
      <c r="Q1304" s="584"/>
      <c r="R1304" s="584"/>
      <c r="S1304" s="584"/>
      <c r="T1304" s="584"/>
      <c r="U1304" s="585"/>
    </row>
    <row r="1305" spans="1:21" ht="35.1" customHeight="1" x14ac:dyDescent="0.25">
      <c r="A1305" s="263">
        <f t="shared" si="20"/>
        <v>1291</v>
      </c>
      <c r="B1305" s="566" t="s">
        <v>448</v>
      </c>
      <c r="C1305" s="566"/>
      <c r="D1305" s="567" t="s">
        <v>159</v>
      </c>
      <c r="E1305" s="567"/>
      <c r="F1305" s="568" t="s">
        <v>162</v>
      </c>
      <c r="G1305" s="568"/>
      <c r="H1305" s="569"/>
      <c r="I1305" s="570"/>
      <c r="J1305" s="571"/>
      <c r="K1305" s="572" t="s">
        <v>162</v>
      </c>
      <c r="L1305" s="573"/>
      <c r="M1305" s="574"/>
      <c r="N1305" s="575" t="s">
        <v>159</v>
      </c>
      <c r="O1305" s="576"/>
      <c r="P1305" s="576"/>
      <c r="Q1305" s="576"/>
      <c r="R1305" s="576"/>
      <c r="S1305" s="576"/>
      <c r="T1305" s="576"/>
      <c r="U1305" s="577"/>
    </row>
    <row r="1306" spans="1:21" ht="35.1" customHeight="1" x14ac:dyDescent="0.25">
      <c r="A1306" s="263">
        <f t="shared" si="20"/>
        <v>1292</v>
      </c>
      <c r="B1306" s="578" t="s">
        <v>159</v>
      </c>
      <c r="C1306" s="578"/>
      <c r="D1306" s="579" t="s">
        <v>159</v>
      </c>
      <c r="E1306" s="579"/>
      <c r="F1306" s="568" t="s">
        <v>162</v>
      </c>
      <c r="G1306" s="568"/>
      <c r="H1306" s="580"/>
      <c r="I1306" s="581"/>
      <c r="J1306" s="582"/>
      <c r="K1306" s="572" t="s">
        <v>162</v>
      </c>
      <c r="L1306" s="573"/>
      <c r="M1306" s="574"/>
      <c r="N1306" s="583" t="s">
        <v>159</v>
      </c>
      <c r="O1306" s="584"/>
      <c r="P1306" s="584"/>
      <c r="Q1306" s="584"/>
      <c r="R1306" s="584"/>
      <c r="S1306" s="584"/>
      <c r="T1306" s="584"/>
      <c r="U1306" s="585"/>
    </row>
    <row r="1307" spans="1:21" ht="35.1" customHeight="1" x14ac:dyDescent="0.25">
      <c r="A1307" s="263">
        <f t="shared" si="20"/>
        <v>1293</v>
      </c>
      <c r="B1307" s="566" t="s">
        <v>159</v>
      </c>
      <c r="C1307" s="566"/>
      <c r="D1307" s="567" t="s">
        <v>159</v>
      </c>
      <c r="E1307" s="567"/>
      <c r="F1307" s="568" t="s">
        <v>162</v>
      </c>
      <c r="G1307" s="568"/>
      <c r="H1307" s="569"/>
      <c r="I1307" s="570"/>
      <c r="J1307" s="571"/>
      <c r="K1307" s="572" t="s">
        <v>162</v>
      </c>
      <c r="L1307" s="573"/>
      <c r="M1307" s="574"/>
      <c r="N1307" s="575" t="s">
        <v>159</v>
      </c>
      <c r="O1307" s="576"/>
      <c r="P1307" s="576"/>
      <c r="Q1307" s="576"/>
      <c r="R1307" s="576"/>
      <c r="S1307" s="576"/>
      <c r="T1307" s="576"/>
      <c r="U1307" s="577"/>
    </row>
    <row r="1308" spans="1:21" ht="35.1" customHeight="1" x14ac:dyDescent="0.25">
      <c r="A1308" s="263">
        <f t="shared" si="20"/>
        <v>1294</v>
      </c>
      <c r="B1308" s="578" t="s">
        <v>159</v>
      </c>
      <c r="C1308" s="578"/>
      <c r="D1308" s="579" t="s">
        <v>159</v>
      </c>
      <c r="E1308" s="579"/>
      <c r="F1308" s="568" t="s">
        <v>162</v>
      </c>
      <c r="G1308" s="568"/>
      <c r="H1308" s="580"/>
      <c r="I1308" s="581"/>
      <c r="J1308" s="582"/>
      <c r="K1308" s="572" t="s">
        <v>162</v>
      </c>
      <c r="L1308" s="573"/>
      <c r="M1308" s="574"/>
      <c r="N1308" s="583" t="s">
        <v>159</v>
      </c>
      <c r="O1308" s="584"/>
      <c r="P1308" s="584"/>
      <c r="Q1308" s="584"/>
      <c r="R1308" s="584"/>
      <c r="S1308" s="584"/>
      <c r="T1308" s="584"/>
      <c r="U1308" s="585"/>
    </row>
    <row r="1309" spans="1:21" ht="35.1" customHeight="1" x14ac:dyDescent="0.25">
      <c r="A1309" s="263">
        <f t="shared" si="20"/>
        <v>1295</v>
      </c>
      <c r="B1309" s="566" t="s">
        <v>159</v>
      </c>
      <c r="C1309" s="566"/>
      <c r="D1309" s="567" t="s">
        <v>159</v>
      </c>
      <c r="E1309" s="567"/>
      <c r="F1309" s="568" t="s">
        <v>162</v>
      </c>
      <c r="G1309" s="568"/>
      <c r="H1309" s="569"/>
      <c r="I1309" s="570"/>
      <c r="J1309" s="571"/>
      <c r="K1309" s="572" t="s">
        <v>162</v>
      </c>
      <c r="L1309" s="573"/>
      <c r="M1309" s="574"/>
      <c r="N1309" s="575" t="s">
        <v>159</v>
      </c>
      <c r="O1309" s="576"/>
      <c r="P1309" s="576"/>
      <c r="Q1309" s="576"/>
      <c r="R1309" s="576"/>
      <c r="S1309" s="576"/>
      <c r="T1309" s="576"/>
      <c r="U1309" s="577"/>
    </row>
    <row r="1310" spans="1:21" ht="35.1" customHeight="1" x14ac:dyDescent="0.25">
      <c r="A1310" s="263">
        <f t="shared" si="20"/>
        <v>1296</v>
      </c>
      <c r="B1310" s="578" t="s">
        <v>159</v>
      </c>
      <c r="C1310" s="578"/>
      <c r="D1310" s="579" t="s">
        <v>159</v>
      </c>
      <c r="E1310" s="579"/>
      <c r="F1310" s="568" t="s">
        <v>162</v>
      </c>
      <c r="G1310" s="568"/>
      <c r="H1310" s="580"/>
      <c r="I1310" s="581"/>
      <c r="J1310" s="582"/>
      <c r="K1310" s="572" t="s">
        <v>162</v>
      </c>
      <c r="L1310" s="573"/>
      <c r="M1310" s="574"/>
      <c r="N1310" s="583" t="s">
        <v>159</v>
      </c>
      <c r="O1310" s="584"/>
      <c r="P1310" s="584"/>
      <c r="Q1310" s="584"/>
      <c r="R1310" s="584"/>
      <c r="S1310" s="584"/>
      <c r="T1310" s="584"/>
      <c r="U1310" s="585"/>
    </row>
    <row r="1311" spans="1:21" ht="35.1" customHeight="1" x14ac:dyDescent="0.25">
      <c r="A1311" s="263">
        <f t="shared" si="20"/>
        <v>1297</v>
      </c>
      <c r="B1311" s="566" t="s">
        <v>159</v>
      </c>
      <c r="C1311" s="566"/>
      <c r="D1311" s="567" t="s">
        <v>159</v>
      </c>
      <c r="E1311" s="567"/>
      <c r="F1311" s="568" t="s">
        <v>162</v>
      </c>
      <c r="G1311" s="568"/>
      <c r="H1311" s="569"/>
      <c r="I1311" s="570"/>
      <c r="J1311" s="571"/>
      <c r="K1311" s="572" t="s">
        <v>162</v>
      </c>
      <c r="L1311" s="573"/>
      <c r="M1311" s="574"/>
      <c r="N1311" s="575" t="s">
        <v>159</v>
      </c>
      <c r="O1311" s="576"/>
      <c r="P1311" s="576"/>
      <c r="Q1311" s="576"/>
      <c r="R1311" s="576"/>
      <c r="S1311" s="576"/>
      <c r="T1311" s="576"/>
      <c r="U1311" s="577"/>
    </row>
    <row r="1312" spans="1:21" ht="35.1" customHeight="1" x14ac:dyDescent="0.25">
      <c r="A1312" s="263">
        <f t="shared" si="20"/>
        <v>1298</v>
      </c>
      <c r="B1312" s="578" t="s">
        <v>159</v>
      </c>
      <c r="C1312" s="578"/>
      <c r="D1312" s="579" t="s">
        <v>159</v>
      </c>
      <c r="E1312" s="579"/>
      <c r="F1312" s="568" t="s">
        <v>162</v>
      </c>
      <c r="G1312" s="568"/>
      <c r="H1312" s="580"/>
      <c r="I1312" s="581"/>
      <c r="J1312" s="582"/>
      <c r="K1312" s="572" t="s">
        <v>162</v>
      </c>
      <c r="L1312" s="573"/>
      <c r="M1312" s="574"/>
      <c r="N1312" s="583" t="s">
        <v>159</v>
      </c>
      <c r="O1312" s="584"/>
      <c r="P1312" s="584"/>
      <c r="Q1312" s="584"/>
      <c r="R1312" s="584"/>
      <c r="S1312" s="584"/>
      <c r="T1312" s="584"/>
      <c r="U1312" s="585"/>
    </row>
    <row r="1313" spans="1:21" ht="35.1" customHeight="1" x14ac:dyDescent="0.25">
      <c r="A1313" s="263">
        <f t="shared" si="20"/>
        <v>1299</v>
      </c>
      <c r="B1313" s="566" t="s">
        <v>444</v>
      </c>
      <c r="C1313" s="566"/>
      <c r="D1313" s="567" t="s">
        <v>159</v>
      </c>
      <c r="E1313" s="567"/>
      <c r="F1313" s="568" t="s">
        <v>162</v>
      </c>
      <c r="G1313" s="568"/>
      <c r="H1313" s="569"/>
      <c r="I1313" s="570"/>
      <c r="J1313" s="571"/>
      <c r="K1313" s="572" t="s">
        <v>162</v>
      </c>
      <c r="L1313" s="573"/>
      <c r="M1313" s="574"/>
      <c r="N1313" s="575" t="s">
        <v>159</v>
      </c>
      <c r="O1313" s="576"/>
      <c r="P1313" s="576"/>
      <c r="Q1313" s="576"/>
      <c r="R1313" s="576"/>
      <c r="S1313" s="576"/>
      <c r="T1313" s="576"/>
      <c r="U1313" s="577"/>
    </row>
    <row r="1314" spans="1:21" ht="35.1" customHeight="1" x14ac:dyDescent="0.25">
      <c r="A1314" s="263">
        <f t="shared" si="20"/>
        <v>1300</v>
      </c>
      <c r="B1314" s="578" t="s">
        <v>159</v>
      </c>
      <c r="C1314" s="578"/>
      <c r="D1314" s="579" t="s">
        <v>159</v>
      </c>
      <c r="E1314" s="579"/>
      <c r="F1314" s="568" t="s">
        <v>162</v>
      </c>
      <c r="G1314" s="568"/>
      <c r="H1314" s="580"/>
      <c r="I1314" s="581"/>
      <c r="J1314" s="582"/>
      <c r="K1314" s="572" t="s">
        <v>162</v>
      </c>
      <c r="L1314" s="573"/>
      <c r="M1314" s="574"/>
      <c r="N1314" s="583" t="s">
        <v>159</v>
      </c>
      <c r="O1314" s="584"/>
      <c r="P1314" s="584"/>
      <c r="Q1314" s="584"/>
      <c r="R1314" s="584"/>
      <c r="S1314" s="584"/>
      <c r="T1314" s="584"/>
      <c r="U1314" s="585"/>
    </row>
    <row r="1315" spans="1:21" ht="35.1" customHeight="1" x14ac:dyDescent="0.25">
      <c r="A1315" s="263">
        <f t="shared" si="20"/>
        <v>1301</v>
      </c>
      <c r="B1315" s="566" t="s">
        <v>159</v>
      </c>
      <c r="C1315" s="566"/>
      <c r="D1315" s="567" t="s">
        <v>159</v>
      </c>
      <c r="E1315" s="567"/>
      <c r="F1315" s="568" t="s">
        <v>162</v>
      </c>
      <c r="G1315" s="568"/>
      <c r="H1315" s="569"/>
      <c r="I1315" s="570"/>
      <c r="J1315" s="571"/>
      <c r="K1315" s="572" t="s">
        <v>162</v>
      </c>
      <c r="L1315" s="573"/>
      <c r="M1315" s="574"/>
      <c r="N1315" s="575" t="s">
        <v>159</v>
      </c>
      <c r="O1315" s="576"/>
      <c r="P1315" s="576"/>
      <c r="Q1315" s="576"/>
      <c r="R1315" s="576"/>
      <c r="S1315" s="576"/>
      <c r="T1315" s="576"/>
      <c r="U1315" s="577"/>
    </row>
    <row r="1316" spans="1:21" ht="35.1" customHeight="1" x14ac:dyDescent="0.25">
      <c r="A1316" s="263">
        <f t="shared" si="20"/>
        <v>1302</v>
      </c>
      <c r="B1316" s="578" t="s">
        <v>159</v>
      </c>
      <c r="C1316" s="578"/>
      <c r="D1316" s="579" t="s">
        <v>159</v>
      </c>
      <c r="E1316" s="579"/>
      <c r="F1316" s="568" t="s">
        <v>162</v>
      </c>
      <c r="G1316" s="568"/>
      <c r="H1316" s="580"/>
      <c r="I1316" s="581"/>
      <c r="J1316" s="582"/>
      <c r="K1316" s="572" t="s">
        <v>162</v>
      </c>
      <c r="L1316" s="573"/>
      <c r="M1316" s="574"/>
      <c r="N1316" s="583" t="s">
        <v>159</v>
      </c>
      <c r="O1316" s="584"/>
      <c r="P1316" s="584"/>
      <c r="Q1316" s="584"/>
      <c r="R1316" s="584"/>
      <c r="S1316" s="584"/>
      <c r="T1316" s="584"/>
      <c r="U1316" s="585"/>
    </row>
    <row r="1317" spans="1:21" ht="35.1" customHeight="1" x14ac:dyDescent="0.25">
      <c r="A1317" s="263">
        <f t="shared" si="20"/>
        <v>1303</v>
      </c>
      <c r="B1317" s="566" t="s">
        <v>159</v>
      </c>
      <c r="C1317" s="566"/>
      <c r="D1317" s="567" t="s">
        <v>159</v>
      </c>
      <c r="E1317" s="567"/>
      <c r="F1317" s="568" t="s">
        <v>162</v>
      </c>
      <c r="G1317" s="568"/>
      <c r="H1317" s="569"/>
      <c r="I1317" s="570"/>
      <c r="J1317" s="571"/>
      <c r="K1317" s="572" t="s">
        <v>162</v>
      </c>
      <c r="L1317" s="573"/>
      <c r="M1317" s="574"/>
      <c r="N1317" s="575" t="s">
        <v>159</v>
      </c>
      <c r="O1317" s="576"/>
      <c r="P1317" s="576"/>
      <c r="Q1317" s="576"/>
      <c r="R1317" s="576"/>
      <c r="S1317" s="576"/>
      <c r="T1317" s="576"/>
      <c r="U1317" s="577"/>
    </row>
    <row r="1318" spans="1:21" ht="35.1" customHeight="1" x14ac:dyDescent="0.25">
      <c r="A1318" s="263">
        <f t="shared" si="20"/>
        <v>1304</v>
      </c>
      <c r="B1318" s="578" t="s">
        <v>159</v>
      </c>
      <c r="C1318" s="578"/>
      <c r="D1318" s="579" t="s">
        <v>159</v>
      </c>
      <c r="E1318" s="579"/>
      <c r="F1318" s="568" t="s">
        <v>162</v>
      </c>
      <c r="G1318" s="568"/>
      <c r="H1318" s="580"/>
      <c r="I1318" s="581"/>
      <c r="J1318" s="582"/>
      <c r="K1318" s="572" t="s">
        <v>162</v>
      </c>
      <c r="L1318" s="573"/>
      <c r="M1318" s="574"/>
      <c r="N1318" s="583" t="s">
        <v>159</v>
      </c>
      <c r="O1318" s="584"/>
      <c r="P1318" s="584"/>
      <c r="Q1318" s="584"/>
      <c r="R1318" s="584"/>
      <c r="S1318" s="584"/>
      <c r="T1318" s="584"/>
      <c r="U1318" s="585"/>
    </row>
    <row r="1319" spans="1:21" ht="35.1" customHeight="1" x14ac:dyDescent="0.25">
      <c r="A1319" s="263">
        <f t="shared" si="20"/>
        <v>1305</v>
      </c>
      <c r="B1319" s="566" t="s">
        <v>159</v>
      </c>
      <c r="C1319" s="566"/>
      <c r="D1319" s="567" t="s">
        <v>159</v>
      </c>
      <c r="E1319" s="567"/>
      <c r="F1319" s="568" t="s">
        <v>162</v>
      </c>
      <c r="G1319" s="568"/>
      <c r="H1319" s="569"/>
      <c r="I1319" s="570"/>
      <c r="J1319" s="571"/>
      <c r="K1319" s="572" t="s">
        <v>162</v>
      </c>
      <c r="L1319" s="573"/>
      <c r="M1319" s="574"/>
      <c r="N1319" s="575" t="s">
        <v>159</v>
      </c>
      <c r="O1319" s="576"/>
      <c r="P1319" s="576"/>
      <c r="Q1319" s="576"/>
      <c r="R1319" s="576"/>
      <c r="S1319" s="576"/>
      <c r="T1319" s="576"/>
      <c r="U1319" s="577"/>
    </row>
    <row r="1320" spans="1:21" ht="35.1" customHeight="1" x14ac:dyDescent="0.25">
      <c r="A1320" s="263">
        <f t="shared" si="20"/>
        <v>1306</v>
      </c>
      <c r="B1320" s="578" t="s">
        <v>449</v>
      </c>
      <c r="C1320" s="578"/>
      <c r="D1320" s="579" t="s">
        <v>159</v>
      </c>
      <c r="E1320" s="579"/>
      <c r="F1320" s="568" t="s">
        <v>162</v>
      </c>
      <c r="G1320" s="568"/>
      <c r="H1320" s="580"/>
      <c r="I1320" s="581"/>
      <c r="J1320" s="582"/>
      <c r="K1320" s="572" t="s">
        <v>162</v>
      </c>
      <c r="L1320" s="573"/>
      <c r="M1320" s="574"/>
      <c r="N1320" s="583" t="s">
        <v>159</v>
      </c>
      <c r="O1320" s="584"/>
      <c r="P1320" s="584"/>
      <c r="Q1320" s="584"/>
      <c r="R1320" s="584"/>
      <c r="S1320" s="584"/>
      <c r="T1320" s="584"/>
      <c r="U1320" s="585"/>
    </row>
    <row r="1321" spans="1:21" ht="35.1" customHeight="1" x14ac:dyDescent="0.25">
      <c r="A1321" s="263">
        <f t="shared" si="20"/>
        <v>1307</v>
      </c>
      <c r="B1321" s="566" t="s">
        <v>159</v>
      </c>
      <c r="C1321" s="566"/>
      <c r="D1321" s="567" t="s">
        <v>159</v>
      </c>
      <c r="E1321" s="567"/>
      <c r="F1321" s="568" t="s">
        <v>162</v>
      </c>
      <c r="G1321" s="568"/>
      <c r="H1321" s="569"/>
      <c r="I1321" s="570"/>
      <c r="J1321" s="571"/>
      <c r="K1321" s="572" t="s">
        <v>162</v>
      </c>
      <c r="L1321" s="573"/>
      <c r="M1321" s="574"/>
      <c r="N1321" s="575" t="s">
        <v>159</v>
      </c>
      <c r="O1321" s="576"/>
      <c r="P1321" s="576"/>
      <c r="Q1321" s="576"/>
      <c r="R1321" s="576"/>
      <c r="S1321" s="576"/>
      <c r="T1321" s="576"/>
      <c r="U1321" s="577"/>
    </row>
    <row r="1322" spans="1:21" ht="35.1" customHeight="1" x14ac:dyDescent="0.25">
      <c r="A1322" s="263">
        <f t="shared" si="20"/>
        <v>1308</v>
      </c>
      <c r="B1322" s="578" t="s">
        <v>159</v>
      </c>
      <c r="C1322" s="578"/>
      <c r="D1322" s="579" t="s">
        <v>159</v>
      </c>
      <c r="E1322" s="579"/>
      <c r="F1322" s="568" t="s">
        <v>162</v>
      </c>
      <c r="G1322" s="568"/>
      <c r="H1322" s="580"/>
      <c r="I1322" s="581"/>
      <c r="J1322" s="582"/>
      <c r="K1322" s="572" t="s">
        <v>162</v>
      </c>
      <c r="L1322" s="573"/>
      <c r="M1322" s="574"/>
      <c r="N1322" s="583" t="s">
        <v>159</v>
      </c>
      <c r="O1322" s="584"/>
      <c r="P1322" s="584"/>
      <c r="Q1322" s="584"/>
      <c r="R1322" s="584"/>
      <c r="S1322" s="584"/>
      <c r="T1322" s="584"/>
      <c r="U1322" s="585"/>
    </row>
    <row r="1323" spans="1:21" ht="35.1" customHeight="1" x14ac:dyDescent="0.25">
      <c r="A1323" s="263">
        <f t="shared" si="20"/>
        <v>1309</v>
      </c>
      <c r="B1323" s="566" t="s">
        <v>159</v>
      </c>
      <c r="C1323" s="566"/>
      <c r="D1323" s="567" t="s">
        <v>159</v>
      </c>
      <c r="E1323" s="567"/>
      <c r="F1323" s="568" t="s">
        <v>162</v>
      </c>
      <c r="G1323" s="568"/>
      <c r="H1323" s="569"/>
      <c r="I1323" s="570"/>
      <c r="J1323" s="571"/>
      <c r="K1323" s="572" t="s">
        <v>162</v>
      </c>
      <c r="L1323" s="573"/>
      <c r="M1323" s="574"/>
      <c r="N1323" s="575" t="s">
        <v>159</v>
      </c>
      <c r="O1323" s="576"/>
      <c r="P1323" s="576"/>
      <c r="Q1323" s="576"/>
      <c r="R1323" s="576"/>
      <c r="S1323" s="576"/>
      <c r="T1323" s="576"/>
      <c r="U1323" s="577"/>
    </row>
    <row r="1324" spans="1:21" ht="35.1" customHeight="1" x14ac:dyDescent="0.25">
      <c r="A1324" s="263">
        <f t="shared" si="20"/>
        <v>1310</v>
      </c>
      <c r="B1324" s="578" t="s">
        <v>159</v>
      </c>
      <c r="C1324" s="578"/>
      <c r="D1324" s="579" t="s">
        <v>159</v>
      </c>
      <c r="E1324" s="579"/>
      <c r="F1324" s="568" t="s">
        <v>162</v>
      </c>
      <c r="G1324" s="568"/>
      <c r="H1324" s="580"/>
      <c r="I1324" s="581"/>
      <c r="J1324" s="582"/>
      <c r="K1324" s="572" t="s">
        <v>162</v>
      </c>
      <c r="L1324" s="573"/>
      <c r="M1324" s="574"/>
      <c r="N1324" s="583" t="s">
        <v>159</v>
      </c>
      <c r="O1324" s="584"/>
      <c r="P1324" s="584"/>
      <c r="Q1324" s="584"/>
      <c r="R1324" s="584"/>
      <c r="S1324" s="584"/>
      <c r="T1324" s="584"/>
      <c r="U1324" s="585"/>
    </row>
    <row r="1325" spans="1:21" ht="35.1" customHeight="1" x14ac:dyDescent="0.25">
      <c r="A1325" s="263">
        <f t="shared" si="20"/>
        <v>1311</v>
      </c>
      <c r="B1325" s="566" t="s">
        <v>159</v>
      </c>
      <c r="C1325" s="566"/>
      <c r="D1325" s="567" t="s">
        <v>159</v>
      </c>
      <c r="E1325" s="567"/>
      <c r="F1325" s="568" t="s">
        <v>162</v>
      </c>
      <c r="G1325" s="568"/>
      <c r="H1325" s="569"/>
      <c r="I1325" s="570"/>
      <c r="J1325" s="571"/>
      <c r="K1325" s="572" t="s">
        <v>162</v>
      </c>
      <c r="L1325" s="573"/>
      <c r="M1325" s="574"/>
      <c r="N1325" s="575" t="s">
        <v>159</v>
      </c>
      <c r="O1325" s="576"/>
      <c r="P1325" s="576"/>
      <c r="Q1325" s="576"/>
      <c r="R1325" s="576"/>
      <c r="S1325" s="576"/>
      <c r="T1325" s="576"/>
      <c r="U1325" s="577"/>
    </row>
    <row r="1326" spans="1:21" ht="35.1" customHeight="1" x14ac:dyDescent="0.25">
      <c r="A1326" s="263">
        <f t="shared" si="20"/>
        <v>1312</v>
      </c>
      <c r="B1326" s="578" t="s">
        <v>159</v>
      </c>
      <c r="C1326" s="578"/>
      <c r="D1326" s="579" t="s">
        <v>159</v>
      </c>
      <c r="E1326" s="579"/>
      <c r="F1326" s="568" t="s">
        <v>162</v>
      </c>
      <c r="G1326" s="568"/>
      <c r="H1326" s="580"/>
      <c r="I1326" s="581"/>
      <c r="J1326" s="582"/>
      <c r="K1326" s="572" t="s">
        <v>162</v>
      </c>
      <c r="L1326" s="573"/>
      <c r="M1326" s="574"/>
      <c r="N1326" s="583" t="s">
        <v>159</v>
      </c>
      <c r="O1326" s="584"/>
      <c r="P1326" s="584"/>
      <c r="Q1326" s="584"/>
      <c r="R1326" s="584"/>
      <c r="S1326" s="584"/>
      <c r="T1326" s="584"/>
      <c r="U1326" s="585"/>
    </row>
    <row r="1327" spans="1:21" ht="35.1" customHeight="1" x14ac:dyDescent="0.25">
      <c r="A1327" s="263">
        <f t="shared" si="20"/>
        <v>1313</v>
      </c>
      <c r="B1327" s="566" t="s">
        <v>444</v>
      </c>
      <c r="C1327" s="566"/>
      <c r="D1327" s="567" t="s">
        <v>159</v>
      </c>
      <c r="E1327" s="567"/>
      <c r="F1327" s="568" t="s">
        <v>162</v>
      </c>
      <c r="G1327" s="568"/>
      <c r="H1327" s="569"/>
      <c r="I1327" s="570"/>
      <c r="J1327" s="571"/>
      <c r="K1327" s="572" t="s">
        <v>162</v>
      </c>
      <c r="L1327" s="573"/>
      <c r="M1327" s="574"/>
      <c r="N1327" s="575" t="s">
        <v>159</v>
      </c>
      <c r="O1327" s="576"/>
      <c r="P1327" s="576"/>
      <c r="Q1327" s="576"/>
      <c r="R1327" s="576"/>
      <c r="S1327" s="576"/>
      <c r="T1327" s="576"/>
      <c r="U1327" s="577"/>
    </row>
    <row r="1328" spans="1:21" ht="35.1" customHeight="1" x14ac:dyDescent="0.25">
      <c r="A1328" s="263">
        <f t="shared" si="20"/>
        <v>1314</v>
      </c>
      <c r="B1328" s="578" t="s">
        <v>159</v>
      </c>
      <c r="C1328" s="578"/>
      <c r="D1328" s="579" t="s">
        <v>159</v>
      </c>
      <c r="E1328" s="579"/>
      <c r="F1328" s="568" t="s">
        <v>162</v>
      </c>
      <c r="G1328" s="568"/>
      <c r="H1328" s="580"/>
      <c r="I1328" s="581"/>
      <c r="J1328" s="582"/>
      <c r="K1328" s="572" t="s">
        <v>162</v>
      </c>
      <c r="L1328" s="573"/>
      <c r="M1328" s="574"/>
      <c r="N1328" s="583" t="s">
        <v>159</v>
      </c>
      <c r="O1328" s="584"/>
      <c r="P1328" s="584"/>
      <c r="Q1328" s="584"/>
      <c r="R1328" s="584"/>
      <c r="S1328" s="584"/>
      <c r="T1328" s="584"/>
      <c r="U1328" s="585"/>
    </row>
    <row r="1329" spans="1:21" ht="35.1" customHeight="1" x14ac:dyDescent="0.25">
      <c r="A1329" s="263">
        <f t="shared" si="20"/>
        <v>1315</v>
      </c>
      <c r="B1329" s="566" t="s">
        <v>159</v>
      </c>
      <c r="C1329" s="566"/>
      <c r="D1329" s="567" t="s">
        <v>159</v>
      </c>
      <c r="E1329" s="567"/>
      <c r="F1329" s="568" t="s">
        <v>162</v>
      </c>
      <c r="G1329" s="568"/>
      <c r="H1329" s="569"/>
      <c r="I1329" s="570"/>
      <c r="J1329" s="571"/>
      <c r="K1329" s="572" t="s">
        <v>162</v>
      </c>
      <c r="L1329" s="573"/>
      <c r="M1329" s="574"/>
      <c r="N1329" s="575" t="s">
        <v>159</v>
      </c>
      <c r="O1329" s="576"/>
      <c r="P1329" s="576"/>
      <c r="Q1329" s="576"/>
      <c r="R1329" s="576"/>
      <c r="S1329" s="576"/>
      <c r="T1329" s="576"/>
      <c r="U1329" s="577"/>
    </row>
    <row r="1330" spans="1:21" ht="35.1" customHeight="1" x14ac:dyDescent="0.25">
      <c r="A1330" s="263">
        <f t="shared" si="20"/>
        <v>1316</v>
      </c>
      <c r="B1330" s="578" t="s">
        <v>159</v>
      </c>
      <c r="C1330" s="578"/>
      <c r="D1330" s="579" t="s">
        <v>159</v>
      </c>
      <c r="E1330" s="579"/>
      <c r="F1330" s="568" t="s">
        <v>162</v>
      </c>
      <c r="G1330" s="568"/>
      <c r="H1330" s="580"/>
      <c r="I1330" s="581"/>
      <c r="J1330" s="582"/>
      <c r="K1330" s="572" t="s">
        <v>162</v>
      </c>
      <c r="L1330" s="573"/>
      <c r="M1330" s="574"/>
      <c r="N1330" s="583" t="s">
        <v>159</v>
      </c>
      <c r="O1330" s="584"/>
      <c r="P1330" s="584"/>
      <c r="Q1330" s="584"/>
      <c r="R1330" s="584"/>
      <c r="S1330" s="584"/>
      <c r="T1330" s="584"/>
      <c r="U1330" s="585"/>
    </row>
    <row r="1331" spans="1:21" ht="35.1" customHeight="1" x14ac:dyDescent="0.25">
      <c r="A1331" s="263">
        <f t="shared" si="20"/>
        <v>1317</v>
      </c>
      <c r="B1331" s="566" t="s">
        <v>159</v>
      </c>
      <c r="C1331" s="566"/>
      <c r="D1331" s="567" t="s">
        <v>159</v>
      </c>
      <c r="E1331" s="567"/>
      <c r="F1331" s="568" t="s">
        <v>162</v>
      </c>
      <c r="G1331" s="568"/>
      <c r="H1331" s="569"/>
      <c r="I1331" s="570"/>
      <c r="J1331" s="571"/>
      <c r="K1331" s="572" t="s">
        <v>162</v>
      </c>
      <c r="L1331" s="573"/>
      <c r="M1331" s="574"/>
      <c r="N1331" s="575" t="s">
        <v>159</v>
      </c>
      <c r="O1331" s="576"/>
      <c r="P1331" s="576"/>
      <c r="Q1331" s="576"/>
      <c r="R1331" s="576"/>
      <c r="S1331" s="576"/>
      <c r="T1331" s="576"/>
      <c r="U1331" s="577"/>
    </row>
    <row r="1332" spans="1:21" ht="35.1" customHeight="1" x14ac:dyDescent="0.25">
      <c r="A1332" s="263">
        <f t="shared" si="20"/>
        <v>1318</v>
      </c>
      <c r="B1332" s="578" t="s">
        <v>159</v>
      </c>
      <c r="C1332" s="578"/>
      <c r="D1332" s="579" t="s">
        <v>159</v>
      </c>
      <c r="E1332" s="579"/>
      <c r="F1332" s="568" t="s">
        <v>162</v>
      </c>
      <c r="G1332" s="568"/>
      <c r="H1332" s="580"/>
      <c r="I1332" s="581"/>
      <c r="J1332" s="582"/>
      <c r="K1332" s="572" t="s">
        <v>162</v>
      </c>
      <c r="L1332" s="573"/>
      <c r="M1332" s="574"/>
      <c r="N1332" s="583" t="s">
        <v>159</v>
      </c>
      <c r="O1332" s="584"/>
      <c r="P1332" s="584"/>
      <c r="Q1332" s="584"/>
      <c r="R1332" s="584"/>
      <c r="S1332" s="584"/>
      <c r="T1332" s="584"/>
      <c r="U1332" s="585"/>
    </row>
    <row r="1333" spans="1:21" ht="35.1" customHeight="1" x14ac:dyDescent="0.25">
      <c r="A1333" s="263">
        <f t="shared" si="20"/>
        <v>1319</v>
      </c>
      <c r="B1333" s="566" t="s">
        <v>159</v>
      </c>
      <c r="C1333" s="566"/>
      <c r="D1333" s="567" t="s">
        <v>159</v>
      </c>
      <c r="E1333" s="567"/>
      <c r="F1333" s="568" t="s">
        <v>162</v>
      </c>
      <c r="G1333" s="568"/>
      <c r="H1333" s="569"/>
      <c r="I1333" s="570"/>
      <c r="J1333" s="571"/>
      <c r="K1333" s="572" t="s">
        <v>162</v>
      </c>
      <c r="L1333" s="573"/>
      <c r="M1333" s="574"/>
      <c r="N1333" s="575" t="s">
        <v>159</v>
      </c>
      <c r="O1333" s="576"/>
      <c r="P1333" s="576"/>
      <c r="Q1333" s="576"/>
      <c r="R1333" s="576"/>
      <c r="S1333" s="576"/>
      <c r="T1333" s="576"/>
      <c r="U1333" s="577"/>
    </row>
    <row r="1334" spans="1:21" ht="35.1" customHeight="1" x14ac:dyDescent="0.25">
      <c r="A1334" s="263">
        <f t="shared" si="20"/>
        <v>1320</v>
      </c>
      <c r="B1334" s="578" t="s">
        <v>159</v>
      </c>
      <c r="C1334" s="578"/>
      <c r="D1334" s="579" t="s">
        <v>159</v>
      </c>
      <c r="E1334" s="579"/>
      <c r="F1334" s="568" t="s">
        <v>162</v>
      </c>
      <c r="G1334" s="568"/>
      <c r="H1334" s="580"/>
      <c r="I1334" s="581"/>
      <c r="J1334" s="582"/>
      <c r="K1334" s="572" t="s">
        <v>162</v>
      </c>
      <c r="L1334" s="573"/>
      <c r="M1334" s="574"/>
      <c r="N1334" s="583" t="s">
        <v>159</v>
      </c>
      <c r="O1334" s="584"/>
      <c r="P1334" s="584"/>
      <c r="Q1334" s="584"/>
      <c r="R1334" s="584"/>
      <c r="S1334" s="584"/>
      <c r="T1334" s="584"/>
      <c r="U1334" s="585"/>
    </row>
    <row r="1335" spans="1:21" ht="35.1" customHeight="1" x14ac:dyDescent="0.25">
      <c r="A1335" s="263">
        <f t="shared" si="20"/>
        <v>1321</v>
      </c>
      <c r="B1335" s="566" t="s">
        <v>450</v>
      </c>
      <c r="C1335" s="566"/>
      <c r="D1335" s="567" t="s">
        <v>159</v>
      </c>
      <c r="E1335" s="567"/>
      <c r="F1335" s="568" t="s">
        <v>162</v>
      </c>
      <c r="G1335" s="568"/>
      <c r="H1335" s="569"/>
      <c r="I1335" s="570"/>
      <c r="J1335" s="571"/>
      <c r="K1335" s="572" t="s">
        <v>162</v>
      </c>
      <c r="L1335" s="573"/>
      <c r="M1335" s="574"/>
      <c r="N1335" s="575" t="s">
        <v>159</v>
      </c>
      <c r="O1335" s="576"/>
      <c r="P1335" s="576"/>
      <c r="Q1335" s="576"/>
      <c r="R1335" s="576"/>
      <c r="S1335" s="576"/>
      <c r="T1335" s="576"/>
      <c r="U1335" s="577"/>
    </row>
    <row r="1336" spans="1:21" ht="35.1" customHeight="1" x14ac:dyDescent="0.25">
      <c r="A1336" s="263">
        <f t="shared" si="20"/>
        <v>1322</v>
      </c>
      <c r="B1336" s="578" t="s">
        <v>159</v>
      </c>
      <c r="C1336" s="578"/>
      <c r="D1336" s="579" t="s">
        <v>159</v>
      </c>
      <c r="E1336" s="579"/>
      <c r="F1336" s="568" t="s">
        <v>162</v>
      </c>
      <c r="G1336" s="568"/>
      <c r="H1336" s="580"/>
      <c r="I1336" s="581"/>
      <c r="J1336" s="582"/>
      <c r="K1336" s="572" t="s">
        <v>162</v>
      </c>
      <c r="L1336" s="573"/>
      <c r="M1336" s="574"/>
      <c r="N1336" s="583" t="s">
        <v>159</v>
      </c>
      <c r="O1336" s="584"/>
      <c r="P1336" s="584"/>
      <c r="Q1336" s="584"/>
      <c r="R1336" s="584"/>
      <c r="S1336" s="584"/>
      <c r="T1336" s="584"/>
      <c r="U1336" s="585"/>
    </row>
    <row r="1337" spans="1:21" ht="35.1" customHeight="1" x14ac:dyDescent="0.25">
      <c r="A1337" s="263">
        <f t="shared" si="20"/>
        <v>1323</v>
      </c>
      <c r="B1337" s="566" t="s">
        <v>159</v>
      </c>
      <c r="C1337" s="566"/>
      <c r="D1337" s="567" t="s">
        <v>159</v>
      </c>
      <c r="E1337" s="567"/>
      <c r="F1337" s="568" t="s">
        <v>162</v>
      </c>
      <c r="G1337" s="568"/>
      <c r="H1337" s="569"/>
      <c r="I1337" s="570"/>
      <c r="J1337" s="571"/>
      <c r="K1337" s="572" t="s">
        <v>162</v>
      </c>
      <c r="L1337" s="573"/>
      <c r="M1337" s="574"/>
      <c r="N1337" s="575" t="s">
        <v>159</v>
      </c>
      <c r="O1337" s="576"/>
      <c r="P1337" s="576"/>
      <c r="Q1337" s="576"/>
      <c r="R1337" s="576"/>
      <c r="S1337" s="576"/>
      <c r="T1337" s="576"/>
      <c r="U1337" s="577"/>
    </row>
    <row r="1338" spans="1:21" ht="35.1" customHeight="1" x14ac:dyDescent="0.25">
      <c r="A1338" s="263">
        <f t="shared" si="20"/>
        <v>1324</v>
      </c>
      <c r="B1338" s="578" t="s">
        <v>442</v>
      </c>
      <c r="C1338" s="578"/>
      <c r="D1338" s="579" t="s">
        <v>159</v>
      </c>
      <c r="E1338" s="579"/>
      <c r="F1338" s="568" t="s">
        <v>162</v>
      </c>
      <c r="G1338" s="568"/>
      <c r="H1338" s="580"/>
      <c r="I1338" s="581"/>
      <c r="J1338" s="582"/>
      <c r="K1338" s="572" t="s">
        <v>162</v>
      </c>
      <c r="L1338" s="573"/>
      <c r="M1338" s="574"/>
      <c r="N1338" s="583" t="s">
        <v>159</v>
      </c>
      <c r="O1338" s="584"/>
      <c r="P1338" s="584"/>
      <c r="Q1338" s="584"/>
      <c r="R1338" s="584"/>
      <c r="S1338" s="584"/>
      <c r="T1338" s="584"/>
      <c r="U1338" s="585"/>
    </row>
    <row r="1339" spans="1:21" ht="35.1" customHeight="1" x14ac:dyDescent="0.25">
      <c r="A1339" s="263">
        <f t="shared" si="20"/>
        <v>1325</v>
      </c>
      <c r="B1339" s="566" t="s">
        <v>159</v>
      </c>
      <c r="C1339" s="566"/>
      <c r="D1339" s="567" t="s">
        <v>159</v>
      </c>
      <c r="E1339" s="567"/>
      <c r="F1339" s="568" t="s">
        <v>162</v>
      </c>
      <c r="G1339" s="568"/>
      <c r="H1339" s="569"/>
      <c r="I1339" s="570"/>
      <c r="J1339" s="571"/>
      <c r="K1339" s="572" t="s">
        <v>162</v>
      </c>
      <c r="L1339" s="573"/>
      <c r="M1339" s="574"/>
      <c r="N1339" s="575" t="s">
        <v>159</v>
      </c>
      <c r="O1339" s="576"/>
      <c r="P1339" s="576"/>
      <c r="Q1339" s="576"/>
      <c r="R1339" s="576"/>
      <c r="S1339" s="576"/>
      <c r="T1339" s="576"/>
      <c r="U1339" s="577"/>
    </row>
    <row r="1340" spans="1:21" ht="35.1" customHeight="1" x14ac:dyDescent="0.25">
      <c r="A1340" s="263">
        <f t="shared" si="20"/>
        <v>1326</v>
      </c>
      <c r="B1340" s="578" t="s">
        <v>159</v>
      </c>
      <c r="C1340" s="578"/>
      <c r="D1340" s="579" t="s">
        <v>159</v>
      </c>
      <c r="E1340" s="579"/>
      <c r="F1340" s="568" t="s">
        <v>162</v>
      </c>
      <c r="G1340" s="568"/>
      <c r="H1340" s="580"/>
      <c r="I1340" s="581"/>
      <c r="J1340" s="582"/>
      <c r="K1340" s="572" t="s">
        <v>162</v>
      </c>
      <c r="L1340" s="573"/>
      <c r="M1340" s="574"/>
      <c r="N1340" s="583" t="s">
        <v>159</v>
      </c>
      <c r="O1340" s="584"/>
      <c r="P1340" s="584"/>
      <c r="Q1340" s="584"/>
      <c r="R1340" s="584"/>
      <c r="S1340" s="584"/>
      <c r="T1340" s="584"/>
      <c r="U1340" s="585"/>
    </row>
    <row r="1341" spans="1:21" ht="35.1" customHeight="1" x14ac:dyDescent="0.25">
      <c r="A1341" s="263">
        <f t="shared" si="20"/>
        <v>1327</v>
      </c>
      <c r="B1341" s="566" t="s">
        <v>159</v>
      </c>
      <c r="C1341" s="566"/>
      <c r="D1341" s="567" t="s">
        <v>159</v>
      </c>
      <c r="E1341" s="567"/>
      <c r="F1341" s="568" t="s">
        <v>162</v>
      </c>
      <c r="G1341" s="568"/>
      <c r="H1341" s="569"/>
      <c r="I1341" s="570"/>
      <c r="J1341" s="571"/>
      <c r="K1341" s="572" t="s">
        <v>162</v>
      </c>
      <c r="L1341" s="573"/>
      <c r="M1341" s="574"/>
      <c r="N1341" s="575" t="s">
        <v>159</v>
      </c>
      <c r="O1341" s="576"/>
      <c r="P1341" s="576"/>
      <c r="Q1341" s="576"/>
      <c r="R1341" s="576"/>
      <c r="S1341" s="576"/>
      <c r="T1341" s="576"/>
      <c r="U1341" s="577"/>
    </row>
    <row r="1342" spans="1:21" ht="35.1" customHeight="1" x14ac:dyDescent="0.25">
      <c r="A1342" s="263">
        <f t="shared" si="20"/>
        <v>1328</v>
      </c>
      <c r="B1342" s="578" t="s">
        <v>159</v>
      </c>
      <c r="C1342" s="578"/>
      <c r="D1342" s="579" t="s">
        <v>159</v>
      </c>
      <c r="E1342" s="579"/>
      <c r="F1342" s="568" t="s">
        <v>162</v>
      </c>
      <c r="G1342" s="568"/>
      <c r="H1342" s="580"/>
      <c r="I1342" s="581"/>
      <c r="J1342" s="582"/>
      <c r="K1342" s="572" t="s">
        <v>162</v>
      </c>
      <c r="L1342" s="573"/>
      <c r="M1342" s="574"/>
      <c r="N1342" s="583" t="s">
        <v>159</v>
      </c>
      <c r="O1342" s="584"/>
      <c r="P1342" s="584"/>
      <c r="Q1342" s="584"/>
      <c r="R1342" s="584"/>
      <c r="S1342" s="584"/>
      <c r="T1342" s="584"/>
      <c r="U1342" s="585"/>
    </row>
    <row r="1343" spans="1:21" ht="35.1" customHeight="1" x14ac:dyDescent="0.25">
      <c r="A1343" s="263">
        <f t="shared" si="20"/>
        <v>1329</v>
      </c>
      <c r="B1343" s="566" t="s">
        <v>159</v>
      </c>
      <c r="C1343" s="566"/>
      <c r="D1343" s="567" t="s">
        <v>159</v>
      </c>
      <c r="E1343" s="567"/>
      <c r="F1343" s="568" t="s">
        <v>162</v>
      </c>
      <c r="G1343" s="568"/>
      <c r="H1343" s="569"/>
      <c r="I1343" s="570"/>
      <c r="J1343" s="571"/>
      <c r="K1343" s="572" t="s">
        <v>162</v>
      </c>
      <c r="L1343" s="573"/>
      <c r="M1343" s="574"/>
      <c r="N1343" s="575" t="s">
        <v>159</v>
      </c>
      <c r="O1343" s="576"/>
      <c r="P1343" s="576"/>
      <c r="Q1343" s="576"/>
      <c r="R1343" s="576"/>
      <c r="S1343" s="576"/>
      <c r="T1343" s="576"/>
      <c r="U1343" s="577"/>
    </row>
    <row r="1344" spans="1:21" ht="35.1" customHeight="1" x14ac:dyDescent="0.25">
      <c r="A1344" s="263">
        <f t="shared" si="20"/>
        <v>1330</v>
      </c>
      <c r="B1344" s="578" t="s">
        <v>446</v>
      </c>
      <c r="C1344" s="578"/>
      <c r="D1344" s="579" t="s">
        <v>159</v>
      </c>
      <c r="E1344" s="579"/>
      <c r="F1344" s="568" t="s">
        <v>162</v>
      </c>
      <c r="G1344" s="568"/>
      <c r="H1344" s="580"/>
      <c r="I1344" s="581"/>
      <c r="J1344" s="582"/>
      <c r="K1344" s="572" t="s">
        <v>162</v>
      </c>
      <c r="L1344" s="573"/>
      <c r="M1344" s="574"/>
      <c r="N1344" s="583" t="s">
        <v>159</v>
      </c>
      <c r="O1344" s="584"/>
      <c r="P1344" s="584"/>
      <c r="Q1344" s="584"/>
      <c r="R1344" s="584"/>
      <c r="S1344" s="584"/>
      <c r="T1344" s="584"/>
      <c r="U1344" s="585"/>
    </row>
    <row r="1345" spans="1:21" ht="35.1" customHeight="1" x14ac:dyDescent="0.25">
      <c r="A1345" s="263">
        <f t="shared" si="20"/>
        <v>1331</v>
      </c>
      <c r="B1345" s="566" t="s">
        <v>159</v>
      </c>
      <c r="C1345" s="566"/>
      <c r="D1345" s="567" t="s">
        <v>159</v>
      </c>
      <c r="E1345" s="567"/>
      <c r="F1345" s="568" t="s">
        <v>162</v>
      </c>
      <c r="G1345" s="568"/>
      <c r="H1345" s="569"/>
      <c r="I1345" s="570"/>
      <c r="J1345" s="571"/>
      <c r="K1345" s="572" t="s">
        <v>162</v>
      </c>
      <c r="L1345" s="573"/>
      <c r="M1345" s="574"/>
      <c r="N1345" s="575" t="s">
        <v>159</v>
      </c>
      <c r="O1345" s="576"/>
      <c r="P1345" s="576"/>
      <c r="Q1345" s="576"/>
      <c r="R1345" s="576"/>
      <c r="S1345" s="576"/>
      <c r="T1345" s="576"/>
      <c r="U1345" s="577"/>
    </row>
    <row r="1346" spans="1:21" ht="35.1" customHeight="1" x14ac:dyDescent="0.25">
      <c r="A1346" s="263">
        <f t="shared" si="20"/>
        <v>1332</v>
      </c>
      <c r="B1346" s="578" t="s">
        <v>159</v>
      </c>
      <c r="C1346" s="578"/>
      <c r="D1346" s="579" t="s">
        <v>159</v>
      </c>
      <c r="E1346" s="579"/>
      <c r="F1346" s="568" t="s">
        <v>162</v>
      </c>
      <c r="G1346" s="568"/>
      <c r="H1346" s="580"/>
      <c r="I1346" s="581"/>
      <c r="J1346" s="582"/>
      <c r="K1346" s="572" t="s">
        <v>162</v>
      </c>
      <c r="L1346" s="573"/>
      <c r="M1346" s="574"/>
      <c r="N1346" s="583" t="s">
        <v>159</v>
      </c>
      <c r="O1346" s="584"/>
      <c r="P1346" s="584"/>
      <c r="Q1346" s="584"/>
      <c r="R1346" s="584"/>
      <c r="S1346" s="584"/>
      <c r="T1346" s="584"/>
      <c r="U1346" s="585"/>
    </row>
    <row r="1347" spans="1:21" ht="35.1" customHeight="1" x14ac:dyDescent="0.25">
      <c r="A1347" s="263">
        <f t="shared" si="20"/>
        <v>1333</v>
      </c>
      <c r="B1347" s="566" t="s">
        <v>159</v>
      </c>
      <c r="C1347" s="566"/>
      <c r="D1347" s="567" t="s">
        <v>159</v>
      </c>
      <c r="E1347" s="567"/>
      <c r="F1347" s="568" t="s">
        <v>162</v>
      </c>
      <c r="G1347" s="568"/>
      <c r="H1347" s="569"/>
      <c r="I1347" s="570"/>
      <c r="J1347" s="571"/>
      <c r="K1347" s="572" t="s">
        <v>162</v>
      </c>
      <c r="L1347" s="573"/>
      <c r="M1347" s="574"/>
      <c r="N1347" s="575" t="s">
        <v>159</v>
      </c>
      <c r="O1347" s="576"/>
      <c r="P1347" s="576"/>
      <c r="Q1347" s="576"/>
      <c r="R1347" s="576"/>
      <c r="S1347" s="576"/>
      <c r="T1347" s="576"/>
      <c r="U1347" s="577"/>
    </row>
    <row r="1348" spans="1:21" ht="35.1" customHeight="1" x14ac:dyDescent="0.25">
      <c r="A1348" s="263">
        <f t="shared" si="20"/>
        <v>1334</v>
      </c>
      <c r="B1348" s="578" t="s">
        <v>159</v>
      </c>
      <c r="C1348" s="578"/>
      <c r="D1348" s="579" t="s">
        <v>159</v>
      </c>
      <c r="E1348" s="579"/>
      <c r="F1348" s="568" t="s">
        <v>162</v>
      </c>
      <c r="G1348" s="568"/>
      <c r="H1348" s="580"/>
      <c r="I1348" s="581"/>
      <c r="J1348" s="582"/>
      <c r="K1348" s="572" t="s">
        <v>162</v>
      </c>
      <c r="L1348" s="573"/>
      <c r="M1348" s="574"/>
      <c r="N1348" s="583" t="s">
        <v>159</v>
      </c>
      <c r="O1348" s="584"/>
      <c r="P1348" s="584"/>
      <c r="Q1348" s="584"/>
      <c r="R1348" s="584"/>
      <c r="S1348" s="584"/>
      <c r="T1348" s="584"/>
      <c r="U1348" s="585"/>
    </row>
    <row r="1349" spans="1:21" ht="35.1" customHeight="1" x14ac:dyDescent="0.25">
      <c r="A1349" s="263">
        <f t="shared" si="20"/>
        <v>1335</v>
      </c>
      <c r="B1349" s="566" t="s">
        <v>159</v>
      </c>
      <c r="C1349" s="566"/>
      <c r="D1349" s="567" t="s">
        <v>159</v>
      </c>
      <c r="E1349" s="567"/>
      <c r="F1349" s="568" t="s">
        <v>162</v>
      </c>
      <c r="G1349" s="568"/>
      <c r="H1349" s="569"/>
      <c r="I1349" s="570"/>
      <c r="J1349" s="571"/>
      <c r="K1349" s="572" t="s">
        <v>162</v>
      </c>
      <c r="L1349" s="573"/>
      <c r="M1349" s="574"/>
      <c r="N1349" s="575" t="s">
        <v>159</v>
      </c>
      <c r="O1349" s="576"/>
      <c r="P1349" s="576"/>
      <c r="Q1349" s="576"/>
      <c r="R1349" s="576"/>
      <c r="S1349" s="576"/>
      <c r="T1349" s="576"/>
      <c r="U1349" s="577"/>
    </row>
    <row r="1350" spans="1:21" ht="35.1" customHeight="1" x14ac:dyDescent="0.25">
      <c r="A1350" s="263">
        <f t="shared" si="20"/>
        <v>1336</v>
      </c>
      <c r="B1350" s="578" t="s">
        <v>159</v>
      </c>
      <c r="C1350" s="578"/>
      <c r="D1350" s="579" t="s">
        <v>159</v>
      </c>
      <c r="E1350" s="579"/>
      <c r="F1350" s="568" t="s">
        <v>162</v>
      </c>
      <c r="G1350" s="568"/>
      <c r="H1350" s="580"/>
      <c r="I1350" s="581"/>
      <c r="J1350" s="582"/>
      <c r="K1350" s="572" t="s">
        <v>162</v>
      </c>
      <c r="L1350" s="573"/>
      <c r="M1350" s="574"/>
      <c r="N1350" s="583" t="s">
        <v>159</v>
      </c>
      <c r="O1350" s="584"/>
      <c r="P1350" s="584"/>
      <c r="Q1350" s="584"/>
      <c r="R1350" s="584"/>
      <c r="S1350" s="584"/>
      <c r="T1350" s="584"/>
      <c r="U1350" s="585"/>
    </row>
    <row r="1351" spans="1:21" ht="35.1" customHeight="1" x14ac:dyDescent="0.25">
      <c r="A1351" s="263">
        <f t="shared" si="20"/>
        <v>1337</v>
      </c>
      <c r="B1351" s="566" t="s">
        <v>159</v>
      </c>
      <c r="C1351" s="566"/>
      <c r="D1351" s="567" t="s">
        <v>159</v>
      </c>
      <c r="E1351" s="567"/>
      <c r="F1351" s="568" t="s">
        <v>162</v>
      </c>
      <c r="G1351" s="568"/>
      <c r="H1351" s="569"/>
      <c r="I1351" s="570"/>
      <c r="J1351" s="571"/>
      <c r="K1351" s="572" t="s">
        <v>162</v>
      </c>
      <c r="L1351" s="573"/>
      <c r="M1351" s="574"/>
      <c r="N1351" s="575" t="s">
        <v>159</v>
      </c>
      <c r="O1351" s="576"/>
      <c r="P1351" s="576"/>
      <c r="Q1351" s="576"/>
      <c r="R1351" s="576"/>
      <c r="S1351" s="576"/>
      <c r="T1351" s="576"/>
      <c r="U1351" s="577"/>
    </row>
    <row r="1352" spans="1:21" ht="35.1" customHeight="1" x14ac:dyDescent="0.25">
      <c r="A1352" s="263">
        <f t="shared" si="20"/>
        <v>1338</v>
      </c>
      <c r="B1352" s="578" t="s">
        <v>159</v>
      </c>
      <c r="C1352" s="578"/>
      <c r="D1352" s="579" t="s">
        <v>159</v>
      </c>
      <c r="E1352" s="579"/>
      <c r="F1352" s="568" t="s">
        <v>162</v>
      </c>
      <c r="G1352" s="568"/>
      <c r="H1352" s="580"/>
      <c r="I1352" s="581"/>
      <c r="J1352" s="582"/>
      <c r="K1352" s="572" t="s">
        <v>162</v>
      </c>
      <c r="L1352" s="573"/>
      <c r="M1352" s="574"/>
      <c r="N1352" s="583" t="s">
        <v>159</v>
      </c>
      <c r="O1352" s="584"/>
      <c r="P1352" s="584"/>
      <c r="Q1352" s="584"/>
      <c r="R1352" s="584"/>
      <c r="S1352" s="584"/>
      <c r="T1352" s="584"/>
      <c r="U1352" s="585"/>
    </row>
    <row r="1353" spans="1:21" ht="35.1" customHeight="1" x14ac:dyDescent="0.25">
      <c r="A1353" s="263">
        <f t="shared" si="20"/>
        <v>1339</v>
      </c>
      <c r="B1353" s="566" t="s">
        <v>159</v>
      </c>
      <c r="C1353" s="566"/>
      <c r="D1353" s="567" t="s">
        <v>159</v>
      </c>
      <c r="E1353" s="567"/>
      <c r="F1353" s="568" t="s">
        <v>162</v>
      </c>
      <c r="G1353" s="568"/>
      <c r="H1353" s="569"/>
      <c r="I1353" s="570"/>
      <c r="J1353" s="571"/>
      <c r="K1353" s="572" t="s">
        <v>162</v>
      </c>
      <c r="L1353" s="573"/>
      <c r="M1353" s="574"/>
      <c r="N1353" s="575" t="s">
        <v>159</v>
      </c>
      <c r="O1353" s="576"/>
      <c r="P1353" s="576"/>
      <c r="Q1353" s="576"/>
      <c r="R1353" s="576"/>
      <c r="S1353" s="576"/>
      <c r="T1353" s="576"/>
      <c r="U1353" s="577"/>
    </row>
    <row r="1354" spans="1:21" ht="35.1" customHeight="1" x14ac:dyDescent="0.25">
      <c r="A1354" s="263">
        <f t="shared" si="20"/>
        <v>1340</v>
      </c>
      <c r="B1354" s="578" t="s">
        <v>159</v>
      </c>
      <c r="C1354" s="578"/>
      <c r="D1354" s="579" t="s">
        <v>159</v>
      </c>
      <c r="E1354" s="579"/>
      <c r="F1354" s="568" t="s">
        <v>162</v>
      </c>
      <c r="G1354" s="568"/>
      <c r="H1354" s="580"/>
      <c r="I1354" s="581"/>
      <c r="J1354" s="582"/>
      <c r="K1354" s="572" t="s">
        <v>162</v>
      </c>
      <c r="L1354" s="573"/>
      <c r="M1354" s="574"/>
      <c r="N1354" s="583" t="s">
        <v>159</v>
      </c>
      <c r="O1354" s="584"/>
      <c r="P1354" s="584"/>
      <c r="Q1354" s="584"/>
      <c r="R1354" s="584"/>
      <c r="S1354" s="584"/>
      <c r="T1354" s="584"/>
      <c r="U1354" s="585"/>
    </row>
    <row r="1355" spans="1:21" ht="35.1" customHeight="1" x14ac:dyDescent="0.25">
      <c r="A1355" s="263">
        <f t="shared" si="20"/>
        <v>1341</v>
      </c>
      <c r="B1355" s="566" t="s">
        <v>159</v>
      </c>
      <c r="C1355" s="566"/>
      <c r="D1355" s="567" t="s">
        <v>159</v>
      </c>
      <c r="E1355" s="567"/>
      <c r="F1355" s="568" t="s">
        <v>162</v>
      </c>
      <c r="G1355" s="568"/>
      <c r="H1355" s="569"/>
      <c r="I1355" s="570"/>
      <c r="J1355" s="571"/>
      <c r="K1355" s="572" t="s">
        <v>162</v>
      </c>
      <c r="L1355" s="573"/>
      <c r="M1355" s="574"/>
      <c r="N1355" s="575" t="s">
        <v>159</v>
      </c>
      <c r="O1355" s="576"/>
      <c r="P1355" s="576"/>
      <c r="Q1355" s="576"/>
      <c r="R1355" s="576"/>
      <c r="S1355" s="576"/>
      <c r="T1355" s="576"/>
      <c r="U1355" s="577"/>
    </row>
    <row r="1356" spans="1:21" ht="35.1" customHeight="1" x14ac:dyDescent="0.25">
      <c r="A1356" s="263">
        <f t="shared" si="20"/>
        <v>1342</v>
      </c>
      <c r="B1356" s="578" t="s">
        <v>445</v>
      </c>
      <c r="C1356" s="578"/>
      <c r="D1356" s="579" t="s">
        <v>159</v>
      </c>
      <c r="E1356" s="579"/>
      <c r="F1356" s="568" t="s">
        <v>162</v>
      </c>
      <c r="G1356" s="568"/>
      <c r="H1356" s="580"/>
      <c r="I1356" s="581"/>
      <c r="J1356" s="582"/>
      <c r="K1356" s="572" t="s">
        <v>162</v>
      </c>
      <c r="L1356" s="573"/>
      <c r="M1356" s="574"/>
      <c r="N1356" s="583" t="s">
        <v>159</v>
      </c>
      <c r="O1356" s="584"/>
      <c r="P1356" s="584"/>
      <c r="Q1356" s="584"/>
      <c r="R1356" s="584"/>
      <c r="S1356" s="584"/>
      <c r="T1356" s="584"/>
      <c r="U1356" s="585"/>
    </row>
    <row r="1357" spans="1:21" ht="35.1" customHeight="1" x14ac:dyDescent="0.25">
      <c r="A1357" s="263">
        <f t="shared" si="20"/>
        <v>1343</v>
      </c>
      <c r="B1357" s="566" t="s">
        <v>159</v>
      </c>
      <c r="C1357" s="566"/>
      <c r="D1357" s="567" t="s">
        <v>159</v>
      </c>
      <c r="E1357" s="567"/>
      <c r="F1357" s="568" t="s">
        <v>162</v>
      </c>
      <c r="G1357" s="568"/>
      <c r="H1357" s="569"/>
      <c r="I1357" s="570"/>
      <c r="J1357" s="571"/>
      <c r="K1357" s="572" t="s">
        <v>162</v>
      </c>
      <c r="L1357" s="573"/>
      <c r="M1357" s="574"/>
      <c r="N1357" s="575" t="s">
        <v>159</v>
      </c>
      <c r="O1357" s="576"/>
      <c r="P1357" s="576"/>
      <c r="Q1357" s="576"/>
      <c r="R1357" s="576"/>
      <c r="S1357" s="576"/>
      <c r="T1357" s="576"/>
      <c r="U1357" s="577"/>
    </row>
    <row r="1358" spans="1:21" ht="35.1" customHeight="1" x14ac:dyDescent="0.25">
      <c r="A1358" s="263">
        <f t="shared" si="20"/>
        <v>1344</v>
      </c>
      <c r="B1358" s="578" t="s">
        <v>159</v>
      </c>
      <c r="C1358" s="578"/>
      <c r="D1358" s="579" t="s">
        <v>159</v>
      </c>
      <c r="E1358" s="579"/>
      <c r="F1358" s="568" t="s">
        <v>162</v>
      </c>
      <c r="G1358" s="568"/>
      <c r="H1358" s="580"/>
      <c r="I1358" s="581"/>
      <c r="J1358" s="582"/>
      <c r="K1358" s="572" t="s">
        <v>162</v>
      </c>
      <c r="L1358" s="573"/>
      <c r="M1358" s="574"/>
      <c r="N1358" s="583" t="s">
        <v>159</v>
      </c>
      <c r="O1358" s="584"/>
      <c r="P1358" s="584"/>
      <c r="Q1358" s="584"/>
      <c r="R1358" s="584"/>
      <c r="S1358" s="584"/>
      <c r="T1358" s="584"/>
      <c r="U1358" s="585"/>
    </row>
    <row r="1359" spans="1:21" ht="35.1" customHeight="1" x14ac:dyDescent="0.25">
      <c r="A1359" s="263">
        <f t="shared" ref="A1359:A1422" si="21">ROW(A1345)</f>
        <v>1345</v>
      </c>
      <c r="B1359" s="566" t="s">
        <v>159</v>
      </c>
      <c r="C1359" s="566"/>
      <c r="D1359" s="567" t="s">
        <v>159</v>
      </c>
      <c r="E1359" s="567"/>
      <c r="F1359" s="568" t="s">
        <v>162</v>
      </c>
      <c r="G1359" s="568"/>
      <c r="H1359" s="569"/>
      <c r="I1359" s="570"/>
      <c r="J1359" s="571"/>
      <c r="K1359" s="572" t="s">
        <v>162</v>
      </c>
      <c r="L1359" s="573"/>
      <c r="M1359" s="574"/>
      <c r="N1359" s="575" t="s">
        <v>159</v>
      </c>
      <c r="O1359" s="576"/>
      <c r="P1359" s="576"/>
      <c r="Q1359" s="576"/>
      <c r="R1359" s="576"/>
      <c r="S1359" s="576"/>
      <c r="T1359" s="576"/>
      <c r="U1359" s="577"/>
    </row>
    <row r="1360" spans="1:21" ht="35.1" customHeight="1" x14ac:dyDescent="0.25">
      <c r="A1360" s="263">
        <f t="shared" si="21"/>
        <v>1346</v>
      </c>
      <c r="B1360" s="578" t="s">
        <v>159</v>
      </c>
      <c r="C1360" s="578"/>
      <c r="D1360" s="579" t="s">
        <v>159</v>
      </c>
      <c r="E1360" s="579"/>
      <c r="F1360" s="568" t="s">
        <v>162</v>
      </c>
      <c r="G1360" s="568"/>
      <c r="H1360" s="580"/>
      <c r="I1360" s="581"/>
      <c r="J1360" s="582"/>
      <c r="K1360" s="572" t="s">
        <v>162</v>
      </c>
      <c r="L1360" s="573"/>
      <c r="M1360" s="574"/>
      <c r="N1360" s="583" t="s">
        <v>159</v>
      </c>
      <c r="O1360" s="584"/>
      <c r="P1360" s="584"/>
      <c r="Q1360" s="584"/>
      <c r="R1360" s="584"/>
      <c r="S1360" s="584"/>
      <c r="T1360" s="584"/>
      <c r="U1360" s="585"/>
    </row>
    <row r="1361" spans="1:21" ht="35.1" customHeight="1" x14ac:dyDescent="0.25">
      <c r="A1361" s="263">
        <f t="shared" si="21"/>
        <v>1347</v>
      </c>
      <c r="B1361" s="566" t="s">
        <v>159</v>
      </c>
      <c r="C1361" s="566"/>
      <c r="D1361" s="567" t="s">
        <v>159</v>
      </c>
      <c r="E1361" s="567"/>
      <c r="F1361" s="568" t="s">
        <v>162</v>
      </c>
      <c r="G1361" s="568"/>
      <c r="H1361" s="569"/>
      <c r="I1361" s="570"/>
      <c r="J1361" s="571"/>
      <c r="K1361" s="572" t="s">
        <v>162</v>
      </c>
      <c r="L1361" s="573"/>
      <c r="M1361" s="574"/>
      <c r="N1361" s="575" t="s">
        <v>159</v>
      </c>
      <c r="O1361" s="576"/>
      <c r="P1361" s="576"/>
      <c r="Q1361" s="576"/>
      <c r="R1361" s="576"/>
      <c r="S1361" s="576"/>
      <c r="T1361" s="576"/>
      <c r="U1361" s="577"/>
    </row>
    <row r="1362" spans="1:21" ht="35.1" customHeight="1" x14ac:dyDescent="0.25">
      <c r="A1362" s="263">
        <f t="shared" si="21"/>
        <v>1348</v>
      </c>
      <c r="B1362" s="578" t="s">
        <v>449</v>
      </c>
      <c r="C1362" s="578"/>
      <c r="D1362" s="579" t="s">
        <v>159</v>
      </c>
      <c r="E1362" s="579"/>
      <c r="F1362" s="568" t="s">
        <v>162</v>
      </c>
      <c r="G1362" s="568"/>
      <c r="H1362" s="580"/>
      <c r="I1362" s="581"/>
      <c r="J1362" s="582"/>
      <c r="K1362" s="572" t="s">
        <v>162</v>
      </c>
      <c r="L1362" s="573"/>
      <c r="M1362" s="574"/>
      <c r="N1362" s="583" t="s">
        <v>159</v>
      </c>
      <c r="O1362" s="584"/>
      <c r="P1362" s="584"/>
      <c r="Q1362" s="584"/>
      <c r="R1362" s="584"/>
      <c r="S1362" s="584"/>
      <c r="T1362" s="584"/>
      <c r="U1362" s="585"/>
    </row>
    <row r="1363" spans="1:21" ht="35.1" customHeight="1" x14ac:dyDescent="0.25">
      <c r="A1363" s="263">
        <f t="shared" si="21"/>
        <v>1349</v>
      </c>
      <c r="B1363" s="566" t="s">
        <v>159</v>
      </c>
      <c r="C1363" s="566"/>
      <c r="D1363" s="567" t="s">
        <v>159</v>
      </c>
      <c r="E1363" s="567"/>
      <c r="F1363" s="568" t="s">
        <v>162</v>
      </c>
      <c r="G1363" s="568"/>
      <c r="H1363" s="569"/>
      <c r="I1363" s="570"/>
      <c r="J1363" s="571"/>
      <c r="K1363" s="572" t="s">
        <v>162</v>
      </c>
      <c r="L1363" s="573"/>
      <c r="M1363" s="574"/>
      <c r="N1363" s="575" t="s">
        <v>159</v>
      </c>
      <c r="O1363" s="576"/>
      <c r="P1363" s="576"/>
      <c r="Q1363" s="576"/>
      <c r="R1363" s="576"/>
      <c r="S1363" s="576"/>
      <c r="T1363" s="576"/>
      <c r="U1363" s="577"/>
    </row>
    <row r="1364" spans="1:21" ht="35.1" customHeight="1" x14ac:dyDescent="0.25">
      <c r="A1364" s="263">
        <f t="shared" si="21"/>
        <v>1350</v>
      </c>
      <c r="B1364" s="578" t="s">
        <v>159</v>
      </c>
      <c r="C1364" s="578"/>
      <c r="D1364" s="579" t="s">
        <v>159</v>
      </c>
      <c r="E1364" s="579"/>
      <c r="F1364" s="568" t="s">
        <v>162</v>
      </c>
      <c r="G1364" s="568"/>
      <c r="H1364" s="580"/>
      <c r="I1364" s="581"/>
      <c r="J1364" s="582"/>
      <c r="K1364" s="572" t="s">
        <v>162</v>
      </c>
      <c r="L1364" s="573"/>
      <c r="M1364" s="574"/>
      <c r="N1364" s="583" t="s">
        <v>159</v>
      </c>
      <c r="O1364" s="584"/>
      <c r="P1364" s="584"/>
      <c r="Q1364" s="584"/>
      <c r="R1364" s="584"/>
      <c r="S1364" s="584"/>
      <c r="T1364" s="584"/>
      <c r="U1364" s="585"/>
    </row>
    <row r="1365" spans="1:21" ht="35.1" customHeight="1" x14ac:dyDescent="0.25">
      <c r="A1365" s="263">
        <f t="shared" si="21"/>
        <v>1351</v>
      </c>
      <c r="B1365" s="566" t="s">
        <v>159</v>
      </c>
      <c r="C1365" s="566"/>
      <c r="D1365" s="567" t="s">
        <v>159</v>
      </c>
      <c r="E1365" s="567"/>
      <c r="F1365" s="568" t="s">
        <v>162</v>
      </c>
      <c r="G1365" s="568"/>
      <c r="H1365" s="569"/>
      <c r="I1365" s="570"/>
      <c r="J1365" s="571"/>
      <c r="K1365" s="572" t="s">
        <v>162</v>
      </c>
      <c r="L1365" s="573"/>
      <c r="M1365" s="574"/>
      <c r="N1365" s="575" t="s">
        <v>159</v>
      </c>
      <c r="O1365" s="576"/>
      <c r="P1365" s="576"/>
      <c r="Q1365" s="576"/>
      <c r="R1365" s="576"/>
      <c r="S1365" s="576"/>
      <c r="T1365" s="576"/>
      <c r="U1365" s="577"/>
    </row>
    <row r="1366" spans="1:21" ht="35.1" customHeight="1" x14ac:dyDescent="0.25">
      <c r="A1366" s="263">
        <f t="shared" si="21"/>
        <v>1352</v>
      </c>
      <c r="B1366" s="578" t="s">
        <v>159</v>
      </c>
      <c r="C1366" s="578"/>
      <c r="D1366" s="579" t="s">
        <v>159</v>
      </c>
      <c r="E1366" s="579"/>
      <c r="F1366" s="568" t="s">
        <v>162</v>
      </c>
      <c r="G1366" s="568"/>
      <c r="H1366" s="580"/>
      <c r="I1366" s="581"/>
      <c r="J1366" s="582"/>
      <c r="K1366" s="572" t="s">
        <v>162</v>
      </c>
      <c r="L1366" s="573"/>
      <c r="M1366" s="574"/>
      <c r="N1366" s="583" t="s">
        <v>159</v>
      </c>
      <c r="O1366" s="584"/>
      <c r="P1366" s="584"/>
      <c r="Q1366" s="584"/>
      <c r="R1366" s="584"/>
      <c r="S1366" s="584"/>
      <c r="T1366" s="584"/>
      <c r="U1366" s="585"/>
    </row>
    <row r="1367" spans="1:21" ht="35.1" customHeight="1" x14ac:dyDescent="0.25">
      <c r="A1367" s="263">
        <f t="shared" si="21"/>
        <v>1353</v>
      </c>
      <c r="B1367" s="566" t="s">
        <v>443</v>
      </c>
      <c r="C1367" s="566"/>
      <c r="D1367" s="567" t="s">
        <v>159</v>
      </c>
      <c r="E1367" s="567"/>
      <c r="F1367" s="568" t="s">
        <v>162</v>
      </c>
      <c r="G1367" s="568"/>
      <c r="H1367" s="569"/>
      <c r="I1367" s="570"/>
      <c r="J1367" s="571"/>
      <c r="K1367" s="572" t="s">
        <v>162</v>
      </c>
      <c r="L1367" s="573"/>
      <c r="M1367" s="574"/>
      <c r="N1367" s="575" t="s">
        <v>159</v>
      </c>
      <c r="O1367" s="576"/>
      <c r="P1367" s="576"/>
      <c r="Q1367" s="576"/>
      <c r="R1367" s="576"/>
      <c r="S1367" s="576"/>
      <c r="T1367" s="576"/>
      <c r="U1367" s="577"/>
    </row>
    <row r="1368" spans="1:21" ht="35.1" customHeight="1" x14ac:dyDescent="0.25">
      <c r="A1368" s="263">
        <f t="shared" si="21"/>
        <v>1354</v>
      </c>
      <c r="B1368" s="578" t="s">
        <v>159</v>
      </c>
      <c r="C1368" s="578"/>
      <c r="D1368" s="579" t="s">
        <v>159</v>
      </c>
      <c r="E1368" s="579"/>
      <c r="F1368" s="568" t="s">
        <v>162</v>
      </c>
      <c r="G1368" s="568"/>
      <c r="H1368" s="580"/>
      <c r="I1368" s="581"/>
      <c r="J1368" s="582"/>
      <c r="K1368" s="572" t="s">
        <v>162</v>
      </c>
      <c r="L1368" s="573"/>
      <c r="M1368" s="574"/>
      <c r="N1368" s="583" t="s">
        <v>159</v>
      </c>
      <c r="O1368" s="584"/>
      <c r="P1368" s="584"/>
      <c r="Q1368" s="584"/>
      <c r="R1368" s="584"/>
      <c r="S1368" s="584"/>
      <c r="T1368" s="584"/>
      <c r="U1368" s="585"/>
    </row>
    <row r="1369" spans="1:21" ht="35.1" customHeight="1" x14ac:dyDescent="0.25">
      <c r="A1369" s="263">
        <f t="shared" si="21"/>
        <v>1355</v>
      </c>
      <c r="B1369" s="566" t="s">
        <v>159</v>
      </c>
      <c r="C1369" s="566"/>
      <c r="D1369" s="567" t="s">
        <v>159</v>
      </c>
      <c r="E1369" s="567"/>
      <c r="F1369" s="568" t="s">
        <v>162</v>
      </c>
      <c r="G1369" s="568"/>
      <c r="H1369" s="569"/>
      <c r="I1369" s="570"/>
      <c r="J1369" s="571"/>
      <c r="K1369" s="572" t="s">
        <v>162</v>
      </c>
      <c r="L1369" s="573"/>
      <c r="M1369" s="574"/>
      <c r="N1369" s="575" t="s">
        <v>159</v>
      </c>
      <c r="O1369" s="576"/>
      <c r="P1369" s="576"/>
      <c r="Q1369" s="576"/>
      <c r="R1369" s="576"/>
      <c r="S1369" s="576"/>
      <c r="T1369" s="576"/>
      <c r="U1369" s="577"/>
    </row>
    <row r="1370" spans="1:21" ht="35.1" customHeight="1" x14ac:dyDescent="0.25">
      <c r="A1370" s="263">
        <f t="shared" si="21"/>
        <v>1356</v>
      </c>
      <c r="B1370" s="578" t="s">
        <v>159</v>
      </c>
      <c r="C1370" s="578"/>
      <c r="D1370" s="579" t="s">
        <v>159</v>
      </c>
      <c r="E1370" s="579"/>
      <c r="F1370" s="568" t="s">
        <v>162</v>
      </c>
      <c r="G1370" s="568"/>
      <c r="H1370" s="580"/>
      <c r="I1370" s="581"/>
      <c r="J1370" s="582"/>
      <c r="K1370" s="572" t="s">
        <v>162</v>
      </c>
      <c r="L1370" s="573"/>
      <c r="M1370" s="574"/>
      <c r="N1370" s="583" t="s">
        <v>159</v>
      </c>
      <c r="O1370" s="584"/>
      <c r="P1370" s="584"/>
      <c r="Q1370" s="584"/>
      <c r="R1370" s="584"/>
      <c r="S1370" s="584"/>
      <c r="T1370" s="584"/>
      <c r="U1370" s="585"/>
    </row>
    <row r="1371" spans="1:21" ht="35.1" customHeight="1" x14ac:dyDescent="0.25">
      <c r="A1371" s="263">
        <f t="shared" si="21"/>
        <v>1357</v>
      </c>
      <c r="B1371" s="566" t="s">
        <v>159</v>
      </c>
      <c r="C1371" s="566"/>
      <c r="D1371" s="567" t="s">
        <v>159</v>
      </c>
      <c r="E1371" s="567"/>
      <c r="F1371" s="568" t="s">
        <v>162</v>
      </c>
      <c r="G1371" s="568"/>
      <c r="H1371" s="569"/>
      <c r="I1371" s="570"/>
      <c r="J1371" s="571"/>
      <c r="K1371" s="572" t="s">
        <v>162</v>
      </c>
      <c r="L1371" s="573"/>
      <c r="M1371" s="574"/>
      <c r="N1371" s="575" t="s">
        <v>159</v>
      </c>
      <c r="O1371" s="576"/>
      <c r="P1371" s="576"/>
      <c r="Q1371" s="576"/>
      <c r="R1371" s="576"/>
      <c r="S1371" s="576"/>
      <c r="T1371" s="576"/>
      <c r="U1371" s="577"/>
    </row>
    <row r="1372" spans="1:21" ht="35.1" customHeight="1" x14ac:dyDescent="0.25">
      <c r="A1372" s="263">
        <f t="shared" si="21"/>
        <v>1358</v>
      </c>
      <c r="B1372" s="578" t="s">
        <v>446</v>
      </c>
      <c r="C1372" s="578"/>
      <c r="D1372" s="579" t="s">
        <v>159</v>
      </c>
      <c r="E1372" s="579"/>
      <c r="F1372" s="568" t="s">
        <v>162</v>
      </c>
      <c r="G1372" s="568"/>
      <c r="H1372" s="580"/>
      <c r="I1372" s="581"/>
      <c r="J1372" s="582"/>
      <c r="K1372" s="572" t="s">
        <v>162</v>
      </c>
      <c r="L1372" s="573"/>
      <c r="M1372" s="574"/>
      <c r="N1372" s="583" t="s">
        <v>159</v>
      </c>
      <c r="O1372" s="584"/>
      <c r="P1372" s="584"/>
      <c r="Q1372" s="584"/>
      <c r="R1372" s="584"/>
      <c r="S1372" s="584"/>
      <c r="T1372" s="584"/>
      <c r="U1372" s="585"/>
    </row>
    <row r="1373" spans="1:21" ht="35.1" customHeight="1" x14ac:dyDescent="0.25">
      <c r="A1373" s="263">
        <f t="shared" si="21"/>
        <v>1359</v>
      </c>
      <c r="B1373" s="566" t="s">
        <v>159</v>
      </c>
      <c r="C1373" s="566"/>
      <c r="D1373" s="567" t="s">
        <v>159</v>
      </c>
      <c r="E1373" s="567"/>
      <c r="F1373" s="568" t="s">
        <v>162</v>
      </c>
      <c r="G1373" s="568"/>
      <c r="H1373" s="569"/>
      <c r="I1373" s="570"/>
      <c r="J1373" s="571"/>
      <c r="K1373" s="572" t="s">
        <v>162</v>
      </c>
      <c r="L1373" s="573"/>
      <c r="M1373" s="574"/>
      <c r="N1373" s="575" t="s">
        <v>159</v>
      </c>
      <c r="O1373" s="576"/>
      <c r="P1373" s="576"/>
      <c r="Q1373" s="576"/>
      <c r="R1373" s="576"/>
      <c r="S1373" s="576"/>
      <c r="T1373" s="576"/>
      <c r="U1373" s="577"/>
    </row>
    <row r="1374" spans="1:21" ht="35.1" customHeight="1" x14ac:dyDescent="0.25">
      <c r="A1374" s="263">
        <f t="shared" si="21"/>
        <v>1360</v>
      </c>
      <c r="B1374" s="578" t="s">
        <v>159</v>
      </c>
      <c r="C1374" s="578"/>
      <c r="D1374" s="579" t="s">
        <v>159</v>
      </c>
      <c r="E1374" s="579"/>
      <c r="F1374" s="568" t="s">
        <v>162</v>
      </c>
      <c r="G1374" s="568"/>
      <c r="H1374" s="580"/>
      <c r="I1374" s="581"/>
      <c r="J1374" s="582"/>
      <c r="K1374" s="572" t="s">
        <v>162</v>
      </c>
      <c r="L1374" s="573"/>
      <c r="M1374" s="574"/>
      <c r="N1374" s="583" t="s">
        <v>159</v>
      </c>
      <c r="O1374" s="584"/>
      <c r="P1374" s="584"/>
      <c r="Q1374" s="584"/>
      <c r="R1374" s="584"/>
      <c r="S1374" s="584"/>
      <c r="T1374" s="584"/>
      <c r="U1374" s="585"/>
    </row>
    <row r="1375" spans="1:21" ht="35.1" customHeight="1" x14ac:dyDescent="0.25">
      <c r="A1375" s="263">
        <f t="shared" si="21"/>
        <v>1361</v>
      </c>
      <c r="B1375" s="566" t="s">
        <v>159</v>
      </c>
      <c r="C1375" s="566"/>
      <c r="D1375" s="567" t="s">
        <v>159</v>
      </c>
      <c r="E1375" s="567"/>
      <c r="F1375" s="568" t="s">
        <v>162</v>
      </c>
      <c r="G1375" s="568"/>
      <c r="H1375" s="569"/>
      <c r="I1375" s="570"/>
      <c r="J1375" s="571"/>
      <c r="K1375" s="572" t="s">
        <v>162</v>
      </c>
      <c r="L1375" s="573"/>
      <c r="M1375" s="574"/>
      <c r="N1375" s="575" t="s">
        <v>159</v>
      </c>
      <c r="O1375" s="576"/>
      <c r="P1375" s="576"/>
      <c r="Q1375" s="576"/>
      <c r="R1375" s="576"/>
      <c r="S1375" s="576"/>
      <c r="T1375" s="576"/>
      <c r="U1375" s="577"/>
    </row>
    <row r="1376" spans="1:21" ht="35.1" customHeight="1" x14ac:dyDescent="0.25">
      <c r="A1376" s="263">
        <f t="shared" si="21"/>
        <v>1362</v>
      </c>
      <c r="B1376" s="578" t="s">
        <v>159</v>
      </c>
      <c r="C1376" s="578"/>
      <c r="D1376" s="579" t="s">
        <v>159</v>
      </c>
      <c r="E1376" s="579"/>
      <c r="F1376" s="568" t="s">
        <v>162</v>
      </c>
      <c r="G1376" s="568"/>
      <c r="H1376" s="580"/>
      <c r="I1376" s="581"/>
      <c r="J1376" s="582"/>
      <c r="K1376" s="572" t="s">
        <v>162</v>
      </c>
      <c r="L1376" s="573"/>
      <c r="M1376" s="574"/>
      <c r="N1376" s="583" t="s">
        <v>159</v>
      </c>
      <c r="O1376" s="584"/>
      <c r="P1376" s="584"/>
      <c r="Q1376" s="584"/>
      <c r="R1376" s="584"/>
      <c r="S1376" s="584"/>
      <c r="T1376" s="584"/>
      <c r="U1376" s="585"/>
    </row>
    <row r="1377" spans="1:21" ht="35.1" customHeight="1" x14ac:dyDescent="0.25">
      <c r="A1377" s="263">
        <f t="shared" si="21"/>
        <v>1363</v>
      </c>
      <c r="B1377" s="566" t="s">
        <v>450</v>
      </c>
      <c r="C1377" s="566"/>
      <c r="D1377" s="567" t="s">
        <v>159</v>
      </c>
      <c r="E1377" s="567"/>
      <c r="F1377" s="568" t="s">
        <v>162</v>
      </c>
      <c r="G1377" s="568"/>
      <c r="H1377" s="569"/>
      <c r="I1377" s="570"/>
      <c r="J1377" s="571"/>
      <c r="K1377" s="572" t="s">
        <v>162</v>
      </c>
      <c r="L1377" s="573"/>
      <c r="M1377" s="574"/>
      <c r="N1377" s="575" t="s">
        <v>159</v>
      </c>
      <c r="O1377" s="576"/>
      <c r="P1377" s="576"/>
      <c r="Q1377" s="576"/>
      <c r="R1377" s="576"/>
      <c r="S1377" s="576"/>
      <c r="T1377" s="576"/>
      <c r="U1377" s="577"/>
    </row>
    <row r="1378" spans="1:21" ht="35.1" customHeight="1" x14ac:dyDescent="0.25">
      <c r="A1378" s="263">
        <f t="shared" si="21"/>
        <v>1364</v>
      </c>
      <c r="B1378" s="578" t="s">
        <v>159</v>
      </c>
      <c r="C1378" s="578"/>
      <c r="D1378" s="579" t="s">
        <v>159</v>
      </c>
      <c r="E1378" s="579"/>
      <c r="F1378" s="568" t="s">
        <v>162</v>
      </c>
      <c r="G1378" s="568"/>
      <c r="H1378" s="580"/>
      <c r="I1378" s="581"/>
      <c r="J1378" s="582"/>
      <c r="K1378" s="572" t="s">
        <v>162</v>
      </c>
      <c r="L1378" s="573"/>
      <c r="M1378" s="574"/>
      <c r="N1378" s="583" t="s">
        <v>159</v>
      </c>
      <c r="O1378" s="584"/>
      <c r="P1378" s="584"/>
      <c r="Q1378" s="584"/>
      <c r="R1378" s="584"/>
      <c r="S1378" s="584"/>
      <c r="T1378" s="584"/>
      <c r="U1378" s="585"/>
    </row>
    <row r="1379" spans="1:21" ht="35.1" customHeight="1" x14ac:dyDescent="0.25">
      <c r="A1379" s="263">
        <f t="shared" si="21"/>
        <v>1365</v>
      </c>
      <c r="B1379" s="566" t="s">
        <v>159</v>
      </c>
      <c r="C1379" s="566"/>
      <c r="D1379" s="567" t="s">
        <v>159</v>
      </c>
      <c r="E1379" s="567"/>
      <c r="F1379" s="568" t="s">
        <v>162</v>
      </c>
      <c r="G1379" s="568"/>
      <c r="H1379" s="569"/>
      <c r="I1379" s="570"/>
      <c r="J1379" s="571"/>
      <c r="K1379" s="572" t="s">
        <v>162</v>
      </c>
      <c r="L1379" s="573"/>
      <c r="M1379" s="574"/>
      <c r="N1379" s="575" t="s">
        <v>159</v>
      </c>
      <c r="O1379" s="576"/>
      <c r="P1379" s="576"/>
      <c r="Q1379" s="576"/>
      <c r="R1379" s="576"/>
      <c r="S1379" s="576"/>
      <c r="T1379" s="576"/>
      <c r="U1379" s="577"/>
    </row>
    <row r="1380" spans="1:21" ht="35.1" customHeight="1" x14ac:dyDescent="0.25">
      <c r="A1380" s="263">
        <f t="shared" si="21"/>
        <v>1366</v>
      </c>
      <c r="B1380" s="578" t="s">
        <v>159</v>
      </c>
      <c r="C1380" s="578"/>
      <c r="D1380" s="579" t="s">
        <v>159</v>
      </c>
      <c r="E1380" s="579"/>
      <c r="F1380" s="568" t="s">
        <v>162</v>
      </c>
      <c r="G1380" s="568"/>
      <c r="H1380" s="580"/>
      <c r="I1380" s="581"/>
      <c r="J1380" s="582"/>
      <c r="K1380" s="572" t="s">
        <v>162</v>
      </c>
      <c r="L1380" s="573"/>
      <c r="M1380" s="574"/>
      <c r="N1380" s="583" t="s">
        <v>159</v>
      </c>
      <c r="O1380" s="584"/>
      <c r="P1380" s="584"/>
      <c r="Q1380" s="584"/>
      <c r="R1380" s="584"/>
      <c r="S1380" s="584"/>
      <c r="T1380" s="584"/>
      <c r="U1380" s="585"/>
    </row>
    <row r="1381" spans="1:21" ht="35.1" customHeight="1" x14ac:dyDescent="0.25">
      <c r="A1381" s="263">
        <f t="shared" si="21"/>
        <v>1367</v>
      </c>
      <c r="B1381" s="566" t="s">
        <v>443</v>
      </c>
      <c r="C1381" s="566"/>
      <c r="D1381" s="567" t="s">
        <v>159</v>
      </c>
      <c r="E1381" s="567"/>
      <c r="F1381" s="568" t="s">
        <v>162</v>
      </c>
      <c r="G1381" s="568"/>
      <c r="H1381" s="569"/>
      <c r="I1381" s="570"/>
      <c r="J1381" s="571"/>
      <c r="K1381" s="572" t="s">
        <v>162</v>
      </c>
      <c r="L1381" s="573"/>
      <c r="M1381" s="574"/>
      <c r="N1381" s="575" t="s">
        <v>159</v>
      </c>
      <c r="O1381" s="576"/>
      <c r="P1381" s="576"/>
      <c r="Q1381" s="576"/>
      <c r="R1381" s="576"/>
      <c r="S1381" s="576"/>
      <c r="T1381" s="576"/>
      <c r="U1381" s="577"/>
    </row>
    <row r="1382" spans="1:21" ht="35.1" customHeight="1" x14ac:dyDescent="0.25">
      <c r="A1382" s="263">
        <f t="shared" si="21"/>
        <v>1368</v>
      </c>
      <c r="B1382" s="578" t="s">
        <v>159</v>
      </c>
      <c r="C1382" s="578"/>
      <c r="D1382" s="579" t="s">
        <v>159</v>
      </c>
      <c r="E1382" s="579"/>
      <c r="F1382" s="568" t="s">
        <v>162</v>
      </c>
      <c r="G1382" s="568"/>
      <c r="H1382" s="580"/>
      <c r="I1382" s="581"/>
      <c r="J1382" s="582"/>
      <c r="K1382" s="572" t="s">
        <v>162</v>
      </c>
      <c r="L1382" s="573"/>
      <c r="M1382" s="574"/>
      <c r="N1382" s="583" t="s">
        <v>159</v>
      </c>
      <c r="O1382" s="584"/>
      <c r="P1382" s="584"/>
      <c r="Q1382" s="584"/>
      <c r="R1382" s="584"/>
      <c r="S1382" s="584"/>
      <c r="T1382" s="584"/>
      <c r="U1382" s="585"/>
    </row>
    <row r="1383" spans="1:21" ht="35.1" customHeight="1" x14ac:dyDescent="0.25">
      <c r="A1383" s="263">
        <f t="shared" si="21"/>
        <v>1369</v>
      </c>
      <c r="B1383" s="566" t="s">
        <v>159</v>
      </c>
      <c r="C1383" s="566"/>
      <c r="D1383" s="567" t="s">
        <v>159</v>
      </c>
      <c r="E1383" s="567"/>
      <c r="F1383" s="568" t="s">
        <v>162</v>
      </c>
      <c r="G1383" s="568"/>
      <c r="H1383" s="569"/>
      <c r="I1383" s="570"/>
      <c r="J1383" s="571"/>
      <c r="K1383" s="572" t="s">
        <v>162</v>
      </c>
      <c r="L1383" s="573"/>
      <c r="M1383" s="574"/>
      <c r="N1383" s="575" t="s">
        <v>159</v>
      </c>
      <c r="O1383" s="576"/>
      <c r="P1383" s="576"/>
      <c r="Q1383" s="576"/>
      <c r="R1383" s="576"/>
      <c r="S1383" s="576"/>
      <c r="T1383" s="576"/>
      <c r="U1383" s="577"/>
    </row>
    <row r="1384" spans="1:21" ht="35.1" customHeight="1" x14ac:dyDescent="0.25">
      <c r="A1384" s="263">
        <f t="shared" si="21"/>
        <v>1370</v>
      </c>
      <c r="B1384" s="578" t="s">
        <v>159</v>
      </c>
      <c r="C1384" s="578"/>
      <c r="D1384" s="579" t="s">
        <v>159</v>
      </c>
      <c r="E1384" s="579"/>
      <c r="F1384" s="568" t="s">
        <v>162</v>
      </c>
      <c r="G1384" s="568"/>
      <c r="H1384" s="580"/>
      <c r="I1384" s="581"/>
      <c r="J1384" s="582"/>
      <c r="K1384" s="572" t="s">
        <v>162</v>
      </c>
      <c r="L1384" s="573"/>
      <c r="M1384" s="574"/>
      <c r="N1384" s="583" t="s">
        <v>159</v>
      </c>
      <c r="O1384" s="584"/>
      <c r="P1384" s="584"/>
      <c r="Q1384" s="584"/>
      <c r="R1384" s="584"/>
      <c r="S1384" s="584"/>
      <c r="T1384" s="584"/>
      <c r="U1384" s="585"/>
    </row>
    <row r="1385" spans="1:21" ht="35.1" customHeight="1" x14ac:dyDescent="0.25">
      <c r="A1385" s="263">
        <f t="shared" si="21"/>
        <v>1371</v>
      </c>
      <c r="B1385" s="566" t="s">
        <v>159</v>
      </c>
      <c r="C1385" s="566"/>
      <c r="D1385" s="567" t="s">
        <v>159</v>
      </c>
      <c r="E1385" s="567"/>
      <c r="F1385" s="568" t="s">
        <v>162</v>
      </c>
      <c r="G1385" s="568"/>
      <c r="H1385" s="569"/>
      <c r="I1385" s="570"/>
      <c r="J1385" s="571"/>
      <c r="K1385" s="572" t="s">
        <v>162</v>
      </c>
      <c r="L1385" s="573"/>
      <c r="M1385" s="574"/>
      <c r="N1385" s="575" t="s">
        <v>159</v>
      </c>
      <c r="O1385" s="576"/>
      <c r="P1385" s="576"/>
      <c r="Q1385" s="576"/>
      <c r="R1385" s="576"/>
      <c r="S1385" s="576"/>
      <c r="T1385" s="576"/>
      <c r="U1385" s="577"/>
    </row>
    <row r="1386" spans="1:21" ht="35.1" customHeight="1" x14ac:dyDescent="0.25">
      <c r="A1386" s="263">
        <f t="shared" si="21"/>
        <v>1372</v>
      </c>
      <c r="B1386" s="578" t="s">
        <v>159</v>
      </c>
      <c r="C1386" s="578"/>
      <c r="D1386" s="579" t="s">
        <v>159</v>
      </c>
      <c r="E1386" s="579"/>
      <c r="F1386" s="568" t="s">
        <v>162</v>
      </c>
      <c r="G1386" s="568"/>
      <c r="H1386" s="580"/>
      <c r="I1386" s="581"/>
      <c r="J1386" s="582"/>
      <c r="K1386" s="572" t="s">
        <v>162</v>
      </c>
      <c r="L1386" s="573"/>
      <c r="M1386" s="574"/>
      <c r="N1386" s="583" t="s">
        <v>159</v>
      </c>
      <c r="O1386" s="584"/>
      <c r="P1386" s="584"/>
      <c r="Q1386" s="584"/>
      <c r="R1386" s="584"/>
      <c r="S1386" s="584"/>
      <c r="T1386" s="584"/>
      <c r="U1386" s="585"/>
    </row>
    <row r="1387" spans="1:21" ht="35.1" customHeight="1" x14ac:dyDescent="0.25">
      <c r="A1387" s="263">
        <f t="shared" si="21"/>
        <v>1373</v>
      </c>
      <c r="B1387" s="566" t="s">
        <v>451</v>
      </c>
      <c r="C1387" s="566"/>
      <c r="D1387" s="567" t="s">
        <v>159</v>
      </c>
      <c r="E1387" s="567"/>
      <c r="F1387" s="568" t="s">
        <v>162</v>
      </c>
      <c r="G1387" s="568"/>
      <c r="H1387" s="569"/>
      <c r="I1387" s="570"/>
      <c r="J1387" s="571"/>
      <c r="K1387" s="572" t="s">
        <v>162</v>
      </c>
      <c r="L1387" s="573"/>
      <c r="M1387" s="574"/>
      <c r="N1387" s="575" t="s">
        <v>159</v>
      </c>
      <c r="O1387" s="576"/>
      <c r="P1387" s="576"/>
      <c r="Q1387" s="576"/>
      <c r="R1387" s="576"/>
      <c r="S1387" s="576"/>
      <c r="T1387" s="576"/>
      <c r="U1387" s="577"/>
    </row>
    <row r="1388" spans="1:21" ht="35.1" customHeight="1" x14ac:dyDescent="0.25">
      <c r="A1388" s="263">
        <f t="shared" si="21"/>
        <v>1374</v>
      </c>
      <c r="B1388" s="578" t="s">
        <v>159</v>
      </c>
      <c r="C1388" s="578"/>
      <c r="D1388" s="579" t="s">
        <v>159</v>
      </c>
      <c r="E1388" s="579"/>
      <c r="F1388" s="568" t="s">
        <v>162</v>
      </c>
      <c r="G1388" s="568"/>
      <c r="H1388" s="580"/>
      <c r="I1388" s="581"/>
      <c r="J1388" s="582"/>
      <c r="K1388" s="572" t="s">
        <v>162</v>
      </c>
      <c r="L1388" s="573"/>
      <c r="M1388" s="574"/>
      <c r="N1388" s="583" t="s">
        <v>159</v>
      </c>
      <c r="O1388" s="584"/>
      <c r="P1388" s="584"/>
      <c r="Q1388" s="584"/>
      <c r="R1388" s="584"/>
      <c r="S1388" s="584"/>
      <c r="T1388" s="584"/>
      <c r="U1388" s="585"/>
    </row>
    <row r="1389" spans="1:21" ht="35.1" customHeight="1" x14ac:dyDescent="0.25">
      <c r="A1389" s="263">
        <f t="shared" si="21"/>
        <v>1375</v>
      </c>
      <c r="B1389" s="566" t="s">
        <v>159</v>
      </c>
      <c r="C1389" s="566"/>
      <c r="D1389" s="567" t="s">
        <v>159</v>
      </c>
      <c r="E1389" s="567"/>
      <c r="F1389" s="568" t="s">
        <v>162</v>
      </c>
      <c r="G1389" s="568"/>
      <c r="H1389" s="569"/>
      <c r="I1389" s="570"/>
      <c r="J1389" s="571"/>
      <c r="K1389" s="572" t="s">
        <v>162</v>
      </c>
      <c r="L1389" s="573"/>
      <c r="M1389" s="574"/>
      <c r="N1389" s="575" t="s">
        <v>159</v>
      </c>
      <c r="O1389" s="576"/>
      <c r="P1389" s="576"/>
      <c r="Q1389" s="576"/>
      <c r="R1389" s="576"/>
      <c r="S1389" s="576"/>
      <c r="T1389" s="576"/>
      <c r="U1389" s="577"/>
    </row>
    <row r="1390" spans="1:21" ht="35.1" customHeight="1" x14ac:dyDescent="0.25">
      <c r="A1390" s="263">
        <f t="shared" si="21"/>
        <v>1376</v>
      </c>
      <c r="B1390" s="578" t="s">
        <v>159</v>
      </c>
      <c r="C1390" s="578"/>
      <c r="D1390" s="579" t="s">
        <v>159</v>
      </c>
      <c r="E1390" s="579"/>
      <c r="F1390" s="568" t="s">
        <v>162</v>
      </c>
      <c r="G1390" s="568"/>
      <c r="H1390" s="580"/>
      <c r="I1390" s="581"/>
      <c r="J1390" s="582"/>
      <c r="K1390" s="572" t="s">
        <v>162</v>
      </c>
      <c r="L1390" s="573"/>
      <c r="M1390" s="574"/>
      <c r="N1390" s="583" t="s">
        <v>159</v>
      </c>
      <c r="O1390" s="584"/>
      <c r="P1390" s="584"/>
      <c r="Q1390" s="584"/>
      <c r="R1390" s="584"/>
      <c r="S1390" s="584"/>
      <c r="T1390" s="584"/>
      <c r="U1390" s="585"/>
    </row>
    <row r="1391" spans="1:21" ht="35.1" customHeight="1" x14ac:dyDescent="0.25">
      <c r="A1391" s="263">
        <f t="shared" si="21"/>
        <v>1377</v>
      </c>
      <c r="B1391" s="566" t="s">
        <v>159</v>
      </c>
      <c r="C1391" s="566"/>
      <c r="D1391" s="567" t="s">
        <v>159</v>
      </c>
      <c r="E1391" s="567"/>
      <c r="F1391" s="568" t="s">
        <v>162</v>
      </c>
      <c r="G1391" s="568"/>
      <c r="H1391" s="569"/>
      <c r="I1391" s="570"/>
      <c r="J1391" s="571"/>
      <c r="K1391" s="572" t="s">
        <v>162</v>
      </c>
      <c r="L1391" s="573"/>
      <c r="M1391" s="574"/>
      <c r="N1391" s="575" t="s">
        <v>159</v>
      </c>
      <c r="O1391" s="576"/>
      <c r="P1391" s="576"/>
      <c r="Q1391" s="576"/>
      <c r="R1391" s="576"/>
      <c r="S1391" s="576"/>
      <c r="T1391" s="576"/>
      <c r="U1391" s="577"/>
    </row>
    <row r="1392" spans="1:21" ht="35.1" customHeight="1" x14ac:dyDescent="0.25">
      <c r="A1392" s="263">
        <f t="shared" si="21"/>
        <v>1378</v>
      </c>
      <c r="B1392" s="578" t="s">
        <v>159</v>
      </c>
      <c r="C1392" s="578"/>
      <c r="D1392" s="579" t="s">
        <v>159</v>
      </c>
      <c r="E1392" s="579"/>
      <c r="F1392" s="568" t="s">
        <v>162</v>
      </c>
      <c r="G1392" s="568"/>
      <c r="H1392" s="580"/>
      <c r="I1392" s="581"/>
      <c r="J1392" s="582"/>
      <c r="K1392" s="572" t="s">
        <v>162</v>
      </c>
      <c r="L1392" s="573"/>
      <c r="M1392" s="574"/>
      <c r="N1392" s="583" t="s">
        <v>159</v>
      </c>
      <c r="O1392" s="584"/>
      <c r="P1392" s="584"/>
      <c r="Q1392" s="584"/>
      <c r="R1392" s="584"/>
      <c r="S1392" s="584"/>
      <c r="T1392" s="584"/>
      <c r="U1392" s="585"/>
    </row>
    <row r="1393" spans="1:21" ht="35.1" customHeight="1" x14ac:dyDescent="0.25">
      <c r="A1393" s="263">
        <f t="shared" si="21"/>
        <v>1379</v>
      </c>
      <c r="B1393" s="566" t="s">
        <v>159</v>
      </c>
      <c r="C1393" s="566"/>
      <c r="D1393" s="567" t="s">
        <v>159</v>
      </c>
      <c r="E1393" s="567"/>
      <c r="F1393" s="568" t="s">
        <v>162</v>
      </c>
      <c r="G1393" s="568"/>
      <c r="H1393" s="569"/>
      <c r="I1393" s="570"/>
      <c r="J1393" s="571"/>
      <c r="K1393" s="572" t="s">
        <v>162</v>
      </c>
      <c r="L1393" s="573"/>
      <c r="M1393" s="574"/>
      <c r="N1393" s="575" t="s">
        <v>159</v>
      </c>
      <c r="O1393" s="576"/>
      <c r="P1393" s="576"/>
      <c r="Q1393" s="576"/>
      <c r="R1393" s="576"/>
      <c r="S1393" s="576"/>
      <c r="T1393" s="576"/>
      <c r="U1393" s="577"/>
    </row>
    <row r="1394" spans="1:21" ht="35.1" customHeight="1" x14ac:dyDescent="0.25">
      <c r="A1394" s="263">
        <f t="shared" si="21"/>
        <v>1380</v>
      </c>
      <c r="B1394" s="566" t="s">
        <v>159</v>
      </c>
      <c r="C1394" s="566"/>
      <c r="D1394" s="567" t="s">
        <v>159</v>
      </c>
      <c r="E1394" s="567"/>
      <c r="F1394" s="568" t="s">
        <v>162</v>
      </c>
      <c r="G1394" s="568"/>
      <c r="H1394" s="569"/>
      <c r="I1394" s="570"/>
      <c r="J1394" s="571"/>
      <c r="K1394" s="572" t="s">
        <v>162</v>
      </c>
      <c r="L1394" s="573"/>
      <c r="M1394" s="574"/>
      <c r="N1394" s="575" t="s">
        <v>159</v>
      </c>
      <c r="O1394" s="576"/>
      <c r="P1394" s="576"/>
      <c r="Q1394" s="576"/>
      <c r="R1394" s="576"/>
      <c r="S1394" s="576"/>
      <c r="T1394" s="576"/>
      <c r="U1394" s="577"/>
    </row>
    <row r="1395" spans="1:21" ht="35.1" customHeight="1" x14ac:dyDescent="0.25">
      <c r="A1395" s="263">
        <f t="shared" si="21"/>
        <v>1381</v>
      </c>
      <c r="B1395" s="578" t="s">
        <v>159</v>
      </c>
      <c r="C1395" s="578"/>
      <c r="D1395" s="579" t="s">
        <v>159</v>
      </c>
      <c r="E1395" s="579"/>
      <c r="F1395" s="568" t="s">
        <v>162</v>
      </c>
      <c r="G1395" s="568"/>
      <c r="H1395" s="580"/>
      <c r="I1395" s="581"/>
      <c r="J1395" s="582"/>
      <c r="K1395" s="572" t="s">
        <v>162</v>
      </c>
      <c r="L1395" s="573"/>
      <c r="M1395" s="574"/>
      <c r="N1395" s="583"/>
      <c r="O1395" s="584"/>
      <c r="P1395" s="584"/>
      <c r="Q1395" s="584"/>
      <c r="R1395" s="584"/>
      <c r="S1395" s="584"/>
      <c r="T1395" s="584"/>
      <c r="U1395" s="585"/>
    </row>
    <row r="1396" spans="1:21" ht="35.1" customHeight="1" x14ac:dyDescent="0.25">
      <c r="A1396" s="263">
        <f t="shared" si="21"/>
        <v>1382</v>
      </c>
      <c r="B1396" s="566" t="s">
        <v>159</v>
      </c>
      <c r="C1396" s="566"/>
      <c r="D1396" s="567" t="s">
        <v>159</v>
      </c>
      <c r="E1396" s="567"/>
      <c r="F1396" s="568" t="s">
        <v>162</v>
      </c>
      <c r="G1396" s="568"/>
      <c r="H1396" s="569"/>
      <c r="I1396" s="570"/>
      <c r="J1396" s="571"/>
      <c r="K1396" s="572" t="s">
        <v>162</v>
      </c>
      <c r="L1396" s="573"/>
      <c r="M1396" s="574"/>
      <c r="N1396" s="575" t="s">
        <v>159</v>
      </c>
      <c r="O1396" s="576"/>
      <c r="P1396" s="576"/>
      <c r="Q1396" s="576"/>
      <c r="R1396" s="576"/>
      <c r="S1396" s="576"/>
      <c r="T1396" s="576"/>
      <c r="U1396" s="577"/>
    </row>
    <row r="1397" spans="1:21" ht="35.1" customHeight="1" x14ac:dyDescent="0.25">
      <c r="A1397" s="263">
        <f t="shared" si="21"/>
        <v>1383</v>
      </c>
      <c r="B1397" s="578" t="s">
        <v>159</v>
      </c>
      <c r="C1397" s="578"/>
      <c r="D1397" s="579" t="s">
        <v>159</v>
      </c>
      <c r="E1397" s="579"/>
      <c r="F1397" s="568" t="s">
        <v>162</v>
      </c>
      <c r="G1397" s="568"/>
      <c r="H1397" s="580"/>
      <c r="I1397" s="581"/>
      <c r="J1397" s="582"/>
      <c r="K1397" s="572" t="s">
        <v>162</v>
      </c>
      <c r="L1397" s="573"/>
      <c r="M1397" s="574"/>
      <c r="N1397" s="583" t="s">
        <v>159</v>
      </c>
      <c r="O1397" s="584"/>
      <c r="P1397" s="584"/>
      <c r="Q1397" s="584"/>
      <c r="R1397" s="584"/>
      <c r="S1397" s="584"/>
      <c r="T1397" s="584"/>
      <c r="U1397" s="585"/>
    </row>
    <row r="1398" spans="1:21" ht="35.1" customHeight="1" x14ac:dyDescent="0.25">
      <c r="A1398" s="263">
        <f t="shared" si="21"/>
        <v>1384</v>
      </c>
      <c r="B1398" s="566" t="s">
        <v>159</v>
      </c>
      <c r="C1398" s="566"/>
      <c r="D1398" s="567" t="s">
        <v>159</v>
      </c>
      <c r="E1398" s="567"/>
      <c r="F1398" s="568" t="s">
        <v>162</v>
      </c>
      <c r="G1398" s="568"/>
      <c r="H1398" s="569"/>
      <c r="I1398" s="570"/>
      <c r="J1398" s="571"/>
      <c r="K1398" s="572" t="s">
        <v>162</v>
      </c>
      <c r="L1398" s="573"/>
      <c r="M1398" s="574"/>
      <c r="N1398" s="575" t="s">
        <v>159</v>
      </c>
      <c r="O1398" s="576"/>
      <c r="P1398" s="576"/>
      <c r="Q1398" s="576"/>
      <c r="R1398" s="576"/>
      <c r="S1398" s="576"/>
      <c r="T1398" s="576"/>
      <c r="U1398" s="577"/>
    </row>
    <row r="1399" spans="1:21" ht="35.1" customHeight="1" x14ac:dyDescent="0.25">
      <c r="A1399" s="263">
        <f t="shared" si="21"/>
        <v>1385</v>
      </c>
      <c r="B1399" s="578" t="s">
        <v>159</v>
      </c>
      <c r="C1399" s="578"/>
      <c r="D1399" s="579" t="s">
        <v>159</v>
      </c>
      <c r="E1399" s="579"/>
      <c r="F1399" s="568" t="s">
        <v>162</v>
      </c>
      <c r="G1399" s="568"/>
      <c r="H1399" s="580"/>
      <c r="I1399" s="581"/>
      <c r="J1399" s="582"/>
      <c r="K1399" s="572" t="s">
        <v>162</v>
      </c>
      <c r="L1399" s="573"/>
      <c r="M1399" s="574"/>
      <c r="N1399" s="583" t="s">
        <v>159</v>
      </c>
      <c r="O1399" s="584"/>
      <c r="P1399" s="584"/>
      <c r="Q1399" s="584"/>
      <c r="R1399" s="584"/>
      <c r="S1399" s="584"/>
      <c r="T1399" s="584"/>
      <c r="U1399" s="585"/>
    </row>
    <row r="1400" spans="1:21" ht="35.1" customHeight="1" x14ac:dyDescent="0.25">
      <c r="A1400" s="263">
        <f t="shared" si="21"/>
        <v>1386</v>
      </c>
      <c r="B1400" s="566" t="s">
        <v>159</v>
      </c>
      <c r="C1400" s="566"/>
      <c r="D1400" s="567" t="s">
        <v>159</v>
      </c>
      <c r="E1400" s="567"/>
      <c r="F1400" s="568" t="s">
        <v>162</v>
      </c>
      <c r="G1400" s="568"/>
      <c r="H1400" s="569"/>
      <c r="I1400" s="570"/>
      <c r="J1400" s="571"/>
      <c r="K1400" s="572" t="s">
        <v>162</v>
      </c>
      <c r="L1400" s="573"/>
      <c r="M1400" s="574"/>
      <c r="N1400" s="575" t="s">
        <v>159</v>
      </c>
      <c r="O1400" s="576"/>
      <c r="P1400" s="576"/>
      <c r="Q1400" s="576"/>
      <c r="R1400" s="576"/>
      <c r="S1400" s="576"/>
      <c r="T1400" s="576"/>
      <c r="U1400" s="577"/>
    </row>
    <row r="1401" spans="1:21" ht="35.1" customHeight="1" x14ac:dyDescent="0.25">
      <c r="A1401" s="263">
        <f t="shared" si="21"/>
        <v>1387</v>
      </c>
      <c r="B1401" s="578" t="s">
        <v>159</v>
      </c>
      <c r="C1401" s="578"/>
      <c r="D1401" s="579" t="s">
        <v>159</v>
      </c>
      <c r="E1401" s="579"/>
      <c r="F1401" s="568" t="s">
        <v>162</v>
      </c>
      <c r="G1401" s="568"/>
      <c r="H1401" s="580"/>
      <c r="I1401" s="581"/>
      <c r="J1401" s="582"/>
      <c r="K1401" s="572" t="s">
        <v>162</v>
      </c>
      <c r="L1401" s="573"/>
      <c r="M1401" s="574"/>
      <c r="N1401" s="583" t="s">
        <v>159</v>
      </c>
      <c r="O1401" s="584"/>
      <c r="P1401" s="584"/>
      <c r="Q1401" s="584"/>
      <c r="R1401" s="584"/>
      <c r="S1401" s="584"/>
      <c r="T1401" s="584"/>
      <c r="U1401" s="585"/>
    </row>
    <row r="1402" spans="1:21" ht="35.1" customHeight="1" x14ac:dyDescent="0.25">
      <c r="A1402" s="263">
        <f t="shared" si="21"/>
        <v>1388</v>
      </c>
      <c r="B1402" s="566" t="s">
        <v>159</v>
      </c>
      <c r="C1402" s="566"/>
      <c r="D1402" s="567" t="s">
        <v>159</v>
      </c>
      <c r="E1402" s="567"/>
      <c r="F1402" s="568" t="s">
        <v>162</v>
      </c>
      <c r="G1402" s="568"/>
      <c r="H1402" s="569"/>
      <c r="I1402" s="570"/>
      <c r="J1402" s="571"/>
      <c r="K1402" s="572" t="s">
        <v>162</v>
      </c>
      <c r="L1402" s="573"/>
      <c r="M1402" s="574"/>
      <c r="N1402" s="575" t="s">
        <v>159</v>
      </c>
      <c r="O1402" s="576"/>
      <c r="P1402" s="576"/>
      <c r="Q1402" s="576"/>
      <c r="R1402" s="576"/>
      <c r="S1402" s="576"/>
      <c r="T1402" s="576"/>
      <c r="U1402" s="577"/>
    </row>
    <row r="1403" spans="1:21" ht="35.1" customHeight="1" x14ac:dyDescent="0.25">
      <c r="A1403" s="263">
        <f t="shared" si="21"/>
        <v>1389</v>
      </c>
      <c r="B1403" s="578" t="s">
        <v>159</v>
      </c>
      <c r="C1403" s="578"/>
      <c r="D1403" s="579" t="s">
        <v>159</v>
      </c>
      <c r="E1403" s="579"/>
      <c r="F1403" s="568" t="s">
        <v>162</v>
      </c>
      <c r="G1403" s="568"/>
      <c r="H1403" s="580"/>
      <c r="I1403" s="581"/>
      <c r="J1403" s="582"/>
      <c r="K1403" s="572" t="s">
        <v>162</v>
      </c>
      <c r="L1403" s="573"/>
      <c r="M1403" s="574"/>
      <c r="N1403" s="583" t="s">
        <v>159</v>
      </c>
      <c r="O1403" s="584"/>
      <c r="P1403" s="584"/>
      <c r="Q1403" s="584"/>
      <c r="R1403" s="584"/>
      <c r="S1403" s="584"/>
      <c r="T1403" s="584"/>
      <c r="U1403" s="585"/>
    </row>
    <row r="1404" spans="1:21" ht="35.1" customHeight="1" x14ac:dyDescent="0.25">
      <c r="A1404" s="263">
        <f t="shared" si="21"/>
        <v>1390</v>
      </c>
      <c r="B1404" s="566" t="s">
        <v>159</v>
      </c>
      <c r="C1404" s="566"/>
      <c r="D1404" s="567" t="s">
        <v>159</v>
      </c>
      <c r="E1404" s="567"/>
      <c r="F1404" s="568" t="s">
        <v>162</v>
      </c>
      <c r="G1404" s="568"/>
      <c r="H1404" s="569"/>
      <c r="I1404" s="570"/>
      <c r="J1404" s="571"/>
      <c r="K1404" s="572" t="s">
        <v>162</v>
      </c>
      <c r="L1404" s="573"/>
      <c r="M1404" s="574"/>
      <c r="N1404" s="575" t="s">
        <v>159</v>
      </c>
      <c r="O1404" s="576"/>
      <c r="P1404" s="576"/>
      <c r="Q1404" s="576"/>
      <c r="R1404" s="576"/>
      <c r="S1404" s="576"/>
      <c r="T1404" s="576"/>
      <c r="U1404" s="577"/>
    </row>
    <row r="1405" spans="1:21" ht="35.1" customHeight="1" x14ac:dyDescent="0.25">
      <c r="A1405" s="263">
        <f t="shared" si="21"/>
        <v>1391</v>
      </c>
      <c r="B1405" s="578" t="s">
        <v>159</v>
      </c>
      <c r="C1405" s="578"/>
      <c r="D1405" s="579" t="s">
        <v>159</v>
      </c>
      <c r="E1405" s="579"/>
      <c r="F1405" s="568" t="s">
        <v>162</v>
      </c>
      <c r="G1405" s="568"/>
      <c r="H1405" s="580"/>
      <c r="I1405" s="581"/>
      <c r="J1405" s="582"/>
      <c r="K1405" s="572" t="s">
        <v>162</v>
      </c>
      <c r="L1405" s="573"/>
      <c r="M1405" s="574"/>
      <c r="N1405" s="583" t="s">
        <v>159</v>
      </c>
      <c r="O1405" s="584"/>
      <c r="P1405" s="584"/>
      <c r="Q1405" s="584"/>
      <c r="R1405" s="584"/>
      <c r="S1405" s="584"/>
      <c r="T1405" s="584"/>
      <c r="U1405" s="585"/>
    </row>
    <row r="1406" spans="1:21" ht="35.1" customHeight="1" x14ac:dyDescent="0.25">
      <c r="A1406" s="263">
        <f t="shared" si="21"/>
        <v>1392</v>
      </c>
      <c r="B1406" s="566" t="s">
        <v>159</v>
      </c>
      <c r="C1406" s="566"/>
      <c r="D1406" s="567" t="s">
        <v>159</v>
      </c>
      <c r="E1406" s="567"/>
      <c r="F1406" s="568" t="s">
        <v>162</v>
      </c>
      <c r="G1406" s="568"/>
      <c r="H1406" s="569"/>
      <c r="I1406" s="570"/>
      <c r="J1406" s="571"/>
      <c r="K1406" s="572" t="s">
        <v>162</v>
      </c>
      <c r="L1406" s="573"/>
      <c r="M1406" s="574"/>
      <c r="N1406" s="575" t="s">
        <v>159</v>
      </c>
      <c r="O1406" s="576"/>
      <c r="P1406" s="576"/>
      <c r="Q1406" s="576"/>
      <c r="R1406" s="576"/>
      <c r="S1406" s="576"/>
      <c r="T1406" s="576"/>
      <c r="U1406" s="577"/>
    </row>
    <row r="1407" spans="1:21" ht="35.1" customHeight="1" x14ac:dyDescent="0.25">
      <c r="A1407" s="263">
        <f t="shared" si="21"/>
        <v>1393</v>
      </c>
      <c r="B1407" s="578" t="s">
        <v>159</v>
      </c>
      <c r="C1407" s="578"/>
      <c r="D1407" s="579" t="s">
        <v>159</v>
      </c>
      <c r="E1407" s="579"/>
      <c r="F1407" s="568" t="s">
        <v>162</v>
      </c>
      <c r="G1407" s="568"/>
      <c r="H1407" s="580"/>
      <c r="I1407" s="581"/>
      <c r="J1407" s="582"/>
      <c r="K1407" s="572" t="s">
        <v>162</v>
      </c>
      <c r="L1407" s="573"/>
      <c r="M1407" s="574"/>
      <c r="N1407" s="583" t="s">
        <v>159</v>
      </c>
      <c r="O1407" s="584"/>
      <c r="P1407" s="584"/>
      <c r="Q1407" s="584"/>
      <c r="R1407" s="584"/>
      <c r="S1407" s="584"/>
      <c r="T1407" s="584"/>
      <c r="U1407" s="585"/>
    </row>
    <row r="1408" spans="1:21" ht="35.1" customHeight="1" x14ac:dyDescent="0.25">
      <c r="A1408" s="263">
        <f t="shared" si="21"/>
        <v>1394</v>
      </c>
      <c r="B1408" s="566" t="s">
        <v>159</v>
      </c>
      <c r="C1408" s="566"/>
      <c r="D1408" s="567" t="s">
        <v>159</v>
      </c>
      <c r="E1408" s="567"/>
      <c r="F1408" s="568" t="s">
        <v>162</v>
      </c>
      <c r="G1408" s="568"/>
      <c r="H1408" s="569"/>
      <c r="I1408" s="570"/>
      <c r="J1408" s="571"/>
      <c r="K1408" s="572" t="s">
        <v>162</v>
      </c>
      <c r="L1408" s="573"/>
      <c r="M1408" s="574"/>
      <c r="N1408" s="575" t="s">
        <v>159</v>
      </c>
      <c r="O1408" s="576"/>
      <c r="P1408" s="576"/>
      <c r="Q1408" s="576"/>
      <c r="R1408" s="576"/>
      <c r="S1408" s="576"/>
      <c r="T1408" s="576"/>
      <c r="U1408" s="577"/>
    </row>
    <row r="1409" spans="1:21" ht="35.1" customHeight="1" x14ac:dyDescent="0.25">
      <c r="A1409" s="263">
        <f t="shared" si="21"/>
        <v>1395</v>
      </c>
      <c r="B1409" s="578" t="s">
        <v>159</v>
      </c>
      <c r="C1409" s="578"/>
      <c r="D1409" s="579" t="s">
        <v>159</v>
      </c>
      <c r="E1409" s="579"/>
      <c r="F1409" s="568" t="s">
        <v>162</v>
      </c>
      <c r="G1409" s="568"/>
      <c r="H1409" s="580"/>
      <c r="I1409" s="581"/>
      <c r="J1409" s="582"/>
      <c r="K1409" s="572" t="s">
        <v>162</v>
      </c>
      <c r="L1409" s="573"/>
      <c r="M1409" s="574"/>
      <c r="N1409" s="583" t="s">
        <v>159</v>
      </c>
      <c r="O1409" s="584"/>
      <c r="P1409" s="584"/>
      <c r="Q1409" s="584"/>
      <c r="R1409" s="584"/>
      <c r="S1409" s="584"/>
      <c r="T1409" s="584"/>
      <c r="U1409" s="585"/>
    </row>
    <row r="1410" spans="1:21" ht="35.1" customHeight="1" x14ac:dyDescent="0.25">
      <c r="A1410" s="263">
        <f t="shared" si="21"/>
        <v>1396</v>
      </c>
      <c r="B1410" s="566" t="s">
        <v>159</v>
      </c>
      <c r="C1410" s="566"/>
      <c r="D1410" s="567" t="s">
        <v>159</v>
      </c>
      <c r="E1410" s="567"/>
      <c r="F1410" s="568" t="s">
        <v>162</v>
      </c>
      <c r="G1410" s="568"/>
      <c r="H1410" s="569"/>
      <c r="I1410" s="570"/>
      <c r="J1410" s="571"/>
      <c r="K1410" s="572" t="s">
        <v>162</v>
      </c>
      <c r="L1410" s="573"/>
      <c r="M1410" s="574"/>
      <c r="N1410" s="575" t="s">
        <v>159</v>
      </c>
      <c r="O1410" s="576"/>
      <c r="P1410" s="576"/>
      <c r="Q1410" s="576"/>
      <c r="R1410" s="576"/>
      <c r="S1410" s="576"/>
      <c r="T1410" s="576"/>
      <c r="U1410" s="577"/>
    </row>
    <row r="1411" spans="1:21" ht="35.1" customHeight="1" x14ac:dyDescent="0.25">
      <c r="A1411" s="263">
        <f t="shared" si="21"/>
        <v>1397</v>
      </c>
      <c r="B1411" s="578" t="s">
        <v>159</v>
      </c>
      <c r="C1411" s="578"/>
      <c r="D1411" s="579" t="s">
        <v>159</v>
      </c>
      <c r="E1411" s="579"/>
      <c r="F1411" s="568" t="s">
        <v>162</v>
      </c>
      <c r="G1411" s="568"/>
      <c r="H1411" s="580"/>
      <c r="I1411" s="581"/>
      <c r="J1411" s="582"/>
      <c r="K1411" s="572" t="s">
        <v>162</v>
      </c>
      <c r="L1411" s="573"/>
      <c r="M1411" s="574"/>
      <c r="N1411" s="583" t="s">
        <v>159</v>
      </c>
      <c r="O1411" s="584"/>
      <c r="P1411" s="584"/>
      <c r="Q1411" s="584"/>
      <c r="R1411" s="584"/>
      <c r="S1411" s="584"/>
      <c r="T1411" s="584"/>
      <c r="U1411" s="585"/>
    </row>
    <row r="1412" spans="1:21" ht="35.1" customHeight="1" x14ac:dyDescent="0.25">
      <c r="A1412" s="263">
        <f t="shared" si="21"/>
        <v>1398</v>
      </c>
      <c r="B1412" s="566" t="s">
        <v>159</v>
      </c>
      <c r="C1412" s="566"/>
      <c r="D1412" s="567" t="s">
        <v>159</v>
      </c>
      <c r="E1412" s="567"/>
      <c r="F1412" s="568" t="s">
        <v>162</v>
      </c>
      <c r="G1412" s="568"/>
      <c r="H1412" s="569"/>
      <c r="I1412" s="570"/>
      <c r="J1412" s="571"/>
      <c r="K1412" s="572" t="s">
        <v>162</v>
      </c>
      <c r="L1412" s="573"/>
      <c r="M1412" s="574"/>
      <c r="N1412" s="575" t="s">
        <v>159</v>
      </c>
      <c r="O1412" s="576"/>
      <c r="P1412" s="576"/>
      <c r="Q1412" s="576"/>
      <c r="R1412" s="576"/>
      <c r="S1412" s="576"/>
      <c r="T1412" s="576"/>
      <c r="U1412" s="577"/>
    </row>
    <row r="1413" spans="1:21" ht="35.1" customHeight="1" x14ac:dyDescent="0.25">
      <c r="A1413" s="263">
        <f t="shared" si="21"/>
        <v>1399</v>
      </c>
      <c r="B1413" s="578" t="s">
        <v>159</v>
      </c>
      <c r="C1413" s="578"/>
      <c r="D1413" s="579" t="s">
        <v>159</v>
      </c>
      <c r="E1413" s="579"/>
      <c r="F1413" s="568" t="s">
        <v>162</v>
      </c>
      <c r="G1413" s="568"/>
      <c r="H1413" s="580"/>
      <c r="I1413" s="581"/>
      <c r="J1413" s="582"/>
      <c r="K1413" s="572" t="s">
        <v>162</v>
      </c>
      <c r="L1413" s="573"/>
      <c r="M1413" s="574"/>
      <c r="N1413" s="583" t="s">
        <v>159</v>
      </c>
      <c r="O1413" s="584"/>
      <c r="P1413" s="584"/>
      <c r="Q1413" s="584"/>
      <c r="R1413" s="584"/>
      <c r="S1413" s="584"/>
      <c r="T1413" s="584"/>
      <c r="U1413" s="585"/>
    </row>
    <row r="1414" spans="1:21" ht="35.1" customHeight="1" x14ac:dyDescent="0.25">
      <c r="A1414" s="263">
        <f t="shared" si="21"/>
        <v>1400</v>
      </c>
      <c r="B1414" s="566" t="s">
        <v>159</v>
      </c>
      <c r="C1414" s="566"/>
      <c r="D1414" s="567" t="s">
        <v>159</v>
      </c>
      <c r="E1414" s="567"/>
      <c r="F1414" s="568" t="s">
        <v>162</v>
      </c>
      <c r="G1414" s="568"/>
      <c r="H1414" s="569"/>
      <c r="I1414" s="570"/>
      <c r="J1414" s="571"/>
      <c r="K1414" s="572" t="s">
        <v>162</v>
      </c>
      <c r="L1414" s="573"/>
      <c r="M1414" s="574"/>
      <c r="N1414" s="575" t="s">
        <v>159</v>
      </c>
      <c r="O1414" s="576"/>
      <c r="P1414" s="576"/>
      <c r="Q1414" s="576"/>
      <c r="R1414" s="576"/>
      <c r="S1414" s="576"/>
      <c r="T1414" s="576"/>
      <c r="U1414" s="577"/>
    </row>
    <row r="1415" spans="1:21" ht="35.1" customHeight="1" x14ac:dyDescent="0.25">
      <c r="A1415" s="263">
        <f t="shared" si="21"/>
        <v>1401</v>
      </c>
      <c r="B1415" s="578" t="s">
        <v>159</v>
      </c>
      <c r="C1415" s="578"/>
      <c r="D1415" s="579" t="s">
        <v>159</v>
      </c>
      <c r="E1415" s="579"/>
      <c r="F1415" s="568" t="s">
        <v>162</v>
      </c>
      <c r="G1415" s="568"/>
      <c r="H1415" s="580"/>
      <c r="I1415" s="581"/>
      <c r="J1415" s="582"/>
      <c r="K1415" s="572" t="s">
        <v>162</v>
      </c>
      <c r="L1415" s="573"/>
      <c r="M1415" s="574"/>
      <c r="N1415" s="583" t="s">
        <v>159</v>
      </c>
      <c r="O1415" s="584"/>
      <c r="P1415" s="584"/>
      <c r="Q1415" s="584"/>
      <c r="R1415" s="584"/>
      <c r="S1415" s="584"/>
      <c r="T1415" s="584"/>
      <c r="U1415" s="585"/>
    </row>
    <row r="1416" spans="1:21" ht="35.1" customHeight="1" x14ac:dyDescent="0.25">
      <c r="A1416" s="263">
        <f t="shared" si="21"/>
        <v>1402</v>
      </c>
      <c r="B1416" s="566" t="s">
        <v>159</v>
      </c>
      <c r="C1416" s="566"/>
      <c r="D1416" s="567" t="s">
        <v>159</v>
      </c>
      <c r="E1416" s="567"/>
      <c r="F1416" s="568" t="s">
        <v>162</v>
      </c>
      <c r="G1416" s="568"/>
      <c r="H1416" s="569"/>
      <c r="I1416" s="570"/>
      <c r="J1416" s="571"/>
      <c r="K1416" s="572" t="s">
        <v>162</v>
      </c>
      <c r="L1416" s="573"/>
      <c r="M1416" s="574"/>
      <c r="N1416" s="575" t="s">
        <v>159</v>
      </c>
      <c r="O1416" s="576"/>
      <c r="P1416" s="576"/>
      <c r="Q1416" s="576"/>
      <c r="R1416" s="576"/>
      <c r="S1416" s="576"/>
      <c r="T1416" s="576"/>
      <c r="U1416" s="577"/>
    </row>
    <row r="1417" spans="1:21" ht="35.1" customHeight="1" x14ac:dyDescent="0.25">
      <c r="A1417" s="263">
        <f t="shared" si="21"/>
        <v>1403</v>
      </c>
      <c r="B1417" s="578" t="s">
        <v>159</v>
      </c>
      <c r="C1417" s="578"/>
      <c r="D1417" s="579" t="s">
        <v>159</v>
      </c>
      <c r="E1417" s="579"/>
      <c r="F1417" s="568" t="s">
        <v>162</v>
      </c>
      <c r="G1417" s="568"/>
      <c r="H1417" s="580"/>
      <c r="I1417" s="581"/>
      <c r="J1417" s="582"/>
      <c r="K1417" s="572" t="s">
        <v>162</v>
      </c>
      <c r="L1417" s="573"/>
      <c r="M1417" s="574"/>
      <c r="N1417" s="583" t="s">
        <v>159</v>
      </c>
      <c r="O1417" s="584"/>
      <c r="P1417" s="584"/>
      <c r="Q1417" s="584"/>
      <c r="R1417" s="584"/>
      <c r="S1417" s="584"/>
      <c r="T1417" s="584"/>
      <c r="U1417" s="585"/>
    </row>
    <row r="1418" spans="1:21" ht="35.1" customHeight="1" x14ac:dyDescent="0.25">
      <c r="A1418" s="263">
        <f t="shared" si="21"/>
        <v>1404</v>
      </c>
      <c r="B1418" s="566" t="s">
        <v>159</v>
      </c>
      <c r="C1418" s="566"/>
      <c r="D1418" s="567" t="s">
        <v>159</v>
      </c>
      <c r="E1418" s="567"/>
      <c r="F1418" s="568" t="s">
        <v>162</v>
      </c>
      <c r="G1418" s="568"/>
      <c r="H1418" s="569"/>
      <c r="I1418" s="570"/>
      <c r="J1418" s="571"/>
      <c r="K1418" s="572" t="s">
        <v>162</v>
      </c>
      <c r="L1418" s="573"/>
      <c r="M1418" s="574"/>
      <c r="N1418" s="575" t="s">
        <v>159</v>
      </c>
      <c r="O1418" s="576"/>
      <c r="P1418" s="576"/>
      <c r="Q1418" s="576"/>
      <c r="R1418" s="576"/>
      <c r="S1418" s="576"/>
      <c r="T1418" s="576"/>
      <c r="U1418" s="577"/>
    </row>
    <row r="1419" spans="1:21" ht="35.1" customHeight="1" x14ac:dyDescent="0.25">
      <c r="A1419" s="263">
        <f t="shared" si="21"/>
        <v>1405</v>
      </c>
      <c r="B1419" s="578" t="s">
        <v>159</v>
      </c>
      <c r="C1419" s="578"/>
      <c r="D1419" s="579" t="s">
        <v>159</v>
      </c>
      <c r="E1419" s="579"/>
      <c r="F1419" s="568" t="s">
        <v>162</v>
      </c>
      <c r="G1419" s="568"/>
      <c r="H1419" s="580"/>
      <c r="I1419" s="581"/>
      <c r="J1419" s="582"/>
      <c r="K1419" s="572" t="s">
        <v>162</v>
      </c>
      <c r="L1419" s="573"/>
      <c r="M1419" s="574"/>
      <c r="N1419" s="583" t="s">
        <v>159</v>
      </c>
      <c r="O1419" s="584"/>
      <c r="P1419" s="584"/>
      <c r="Q1419" s="584"/>
      <c r="R1419" s="584"/>
      <c r="S1419" s="584"/>
      <c r="T1419" s="584"/>
      <c r="U1419" s="585"/>
    </row>
    <row r="1420" spans="1:21" ht="35.1" customHeight="1" x14ac:dyDescent="0.25">
      <c r="A1420" s="263">
        <f t="shared" si="21"/>
        <v>1406</v>
      </c>
      <c r="B1420" s="566" t="s">
        <v>159</v>
      </c>
      <c r="C1420" s="566"/>
      <c r="D1420" s="567" t="s">
        <v>159</v>
      </c>
      <c r="E1420" s="567"/>
      <c r="F1420" s="568" t="s">
        <v>162</v>
      </c>
      <c r="G1420" s="568"/>
      <c r="H1420" s="569"/>
      <c r="I1420" s="570"/>
      <c r="J1420" s="571"/>
      <c r="K1420" s="572" t="s">
        <v>162</v>
      </c>
      <c r="L1420" s="573"/>
      <c r="M1420" s="574"/>
      <c r="N1420" s="575" t="s">
        <v>159</v>
      </c>
      <c r="O1420" s="576"/>
      <c r="P1420" s="576"/>
      <c r="Q1420" s="576"/>
      <c r="R1420" s="576"/>
      <c r="S1420" s="576"/>
      <c r="T1420" s="576"/>
      <c r="U1420" s="577"/>
    </row>
    <row r="1421" spans="1:21" ht="35.1" customHeight="1" x14ac:dyDescent="0.25">
      <c r="A1421" s="263">
        <f t="shared" si="21"/>
        <v>1407</v>
      </c>
      <c r="B1421" s="578" t="s">
        <v>159</v>
      </c>
      <c r="C1421" s="578"/>
      <c r="D1421" s="579" t="s">
        <v>159</v>
      </c>
      <c r="E1421" s="579"/>
      <c r="F1421" s="568" t="s">
        <v>162</v>
      </c>
      <c r="G1421" s="568"/>
      <c r="H1421" s="580"/>
      <c r="I1421" s="581"/>
      <c r="J1421" s="582"/>
      <c r="K1421" s="572" t="s">
        <v>162</v>
      </c>
      <c r="L1421" s="573"/>
      <c r="M1421" s="574"/>
      <c r="N1421" s="583" t="s">
        <v>159</v>
      </c>
      <c r="O1421" s="584"/>
      <c r="P1421" s="584"/>
      <c r="Q1421" s="584"/>
      <c r="R1421" s="584"/>
      <c r="S1421" s="584"/>
      <c r="T1421" s="584"/>
      <c r="U1421" s="585"/>
    </row>
    <row r="1422" spans="1:21" ht="35.1" customHeight="1" x14ac:dyDescent="0.25">
      <c r="A1422" s="263">
        <f t="shared" si="21"/>
        <v>1408</v>
      </c>
      <c r="B1422" s="566" t="s">
        <v>159</v>
      </c>
      <c r="C1422" s="566"/>
      <c r="D1422" s="567" t="s">
        <v>159</v>
      </c>
      <c r="E1422" s="567"/>
      <c r="F1422" s="568" t="s">
        <v>162</v>
      </c>
      <c r="G1422" s="568"/>
      <c r="H1422" s="569"/>
      <c r="I1422" s="570"/>
      <c r="J1422" s="571"/>
      <c r="K1422" s="572" t="s">
        <v>162</v>
      </c>
      <c r="L1422" s="573"/>
      <c r="M1422" s="574"/>
      <c r="N1422" s="575" t="s">
        <v>159</v>
      </c>
      <c r="O1422" s="576"/>
      <c r="P1422" s="576"/>
      <c r="Q1422" s="576"/>
      <c r="R1422" s="576"/>
      <c r="S1422" s="576"/>
      <c r="T1422" s="576"/>
      <c r="U1422" s="577"/>
    </row>
    <row r="1423" spans="1:21" ht="35.1" customHeight="1" x14ac:dyDescent="0.25">
      <c r="A1423" s="263">
        <f t="shared" ref="A1423:A1486" si="22">ROW(A1409)</f>
        <v>1409</v>
      </c>
      <c r="B1423" s="578" t="s">
        <v>159</v>
      </c>
      <c r="C1423" s="578"/>
      <c r="D1423" s="579" t="s">
        <v>159</v>
      </c>
      <c r="E1423" s="579"/>
      <c r="F1423" s="568" t="s">
        <v>162</v>
      </c>
      <c r="G1423" s="568"/>
      <c r="H1423" s="580"/>
      <c r="I1423" s="581"/>
      <c r="J1423" s="582"/>
      <c r="K1423" s="572" t="s">
        <v>162</v>
      </c>
      <c r="L1423" s="573"/>
      <c r="M1423" s="574"/>
      <c r="N1423" s="583" t="s">
        <v>159</v>
      </c>
      <c r="O1423" s="584"/>
      <c r="P1423" s="584"/>
      <c r="Q1423" s="584"/>
      <c r="R1423" s="584"/>
      <c r="S1423" s="584"/>
      <c r="T1423" s="584"/>
      <c r="U1423" s="585"/>
    </row>
    <row r="1424" spans="1:21" ht="35.1" customHeight="1" x14ac:dyDescent="0.25">
      <c r="A1424" s="263">
        <f t="shared" si="22"/>
        <v>1410</v>
      </c>
      <c r="B1424" s="566" t="s">
        <v>159</v>
      </c>
      <c r="C1424" s="566"/>
      <c r="D1424" s="567" t="s">
        <v>159</v>
      </c>
      <c r="E1424" s="567"/>
      <c r="F1424" s="568" t="s">
        <v>162</v>
      </c>
      <c r="G1424" s="568"/>
      <c r="H1424" s="569"/>
      <c r="I1424" s="570"/>
      <c r="J1424" s="571"/>
      <c r="K1424" s="572" t="s">
        <v>162</v>
      </c>
      <c r="L1424" s="573"/>
      <c r="M1424" s="574"/>
      <c r="N1424" s="575" t="s">
        <v>159</v>
      </c>
      <c r="O1424" s="576"/>
      <c r="P1424" s="576"/>
      <c r="Q1424" s="576"/>
      <c r="R1424" s="576"/>
      <c r="S1424" s="576"/>
      <c r="T1424" s="576"/>
      <c r="U1424" s="577"/>
    </row>
    <row r="1425" spans="1:21" ht="35.1" customHeight="1" x14ac:dyDescent="0.25">
      <c r="A1425" s="263">
        <f t="shared" si="22"/>
        <v>1411</v>
      </c>
      <c r="B1425" s="578" t="s">
        <v>159</v>
      </c>
      <c r="C1425" s="578"/>
      <c r="D1425" s="579" t="s">
        <v>159</v>
      </c>
      <c r="E1425" s="579"/>
      <c r="F1425" s="568" t="s">
        <v>162</v>
      </c>
      <c r="G1425" s="568"/>
      <c r="H1425" s="580"/>
      <c r="I1425" s="581"/>
      <c r="J1425" s="582"/>
      <c r="K1425" s="572" t="s">
        <v>162</v>
      </c>
      <c r="L1425" s="573"/>
      <c r="M1425" s="574"/>
      <c r="N1425" s="583" t="s">
        <v>159</v>
      </c>
      <c r="O1425" s="584"/>
      <c r="P1425" s="584"/>
      <c r="Q1425" s="584"/>
      <c r="R1425" s="584"/>
      <c r="S1425" s="584"/>
      <c r="T1425" s="584"/>
      <c r="U1425" s="585"/>
    </row>
    <row r="1426" spans="1:21" ht="35.1" customHeight="1" x14ac:dyDescent="0.25">
      <c r="A1426" s="263">
        <f t="shared" si="22"/>
        <v>1412</v>
      </c>
      <c r="B1426" s="566" t="s">
        <v>159</v>
      </c>
      <c r="C1426" s="566"/>
      <c r="D1426" s="567" t="s">
        <v>159</v>
      </c>
      <c r="E1426" s="567"/>
      <c r="F1426" s="568" t="s">
        <v>162</v>
      </c>
      <c r="G1426" s="568"/>
      <c r="H1426" s="569"/>
      <c r="I1426" s="570"/>
      <c r="J1426" s="571"/>
      <c r="K1426" s="572" t="s">
        <v>162</v>
      </c>
      <c r="L1426" s="573"/>
      <c r="M1426" s="574"/>
      <c r="N1426" s="575" t="s">
        <v>159</v>
      </c>
      <c r="O1426" s="576"/>
      <c r="P1426" s="576"/>
      <c r="Q1426" s="576"/>
      <c r="R1426" s="576"/>
      <c r="S1426" s="576"/>
      <c r="T1426" s="576"/>
      <c r="U1426" s="577"/>
    </row>
    <row r="1427" spans="1:21" ht="35.1" customHeight="1" x14ac:dyDescent="0.25">
      <c r="A1427" s="263">
        <f t="shared" si="22"/>
        <v>1413</v>
      </c>
      <c r="B1427" s="578" t="s">
        <v>159</v>
      </c>
      <c r="C1427" s="578"/>
      <c r="D1427" s="579" t="s">
        <v>159</v>
      </c>
      <c r="E1427" s="579"/>
      <c r="F1427" s="568" t="s">
        <v>162</v>
      </c>
      <c r="G1427" s="568"/>
      <c r="H1427" s="580"/>
      <c r="I1427" s="581"/>
      <c r="J1427" s="582"/>
      <c r="K1427" s="572" t="s">
        <v>162</v>
      </c>
      <c r="L1427" s="573"/>
      <c r="M1427" s="574"/>
      <c r="N1427" s="583" t="s">
        <v>159</v>
      </c>
      <c r="O1427" s="584"/>
      <c r="P1427" s="584"/>
      <c r="Q1427" s="584"/>
      <c r="R1427" s="584"/>
      <c r="S1427" s="584"/>
      <c r="T1427" s="584"/>
      <c r="U1427" s="585"/>
    </row>
    <row r="1428" spans="1:21" ht="35.1" customHeight="1" x14ac:dyDescent="0.25">
      <c r="A1428" s="263">
        <f t="shared" si="22"/>
        <v>1414</v>
      </c>
      <c r="B1428" s="566" t="s">
        <v>159</v>
      </c>
      <c r="C1428" s="566"/>
      <c r="D1428" s="567" t="s">
        <v>159</v>
      </c>
      <c r="E1428" s="567"/>
      <c r="F1428" s="568" t="s">
        <v>162</v>
      </c>
      <c r="G1428" s="568"/>
      <c r="H1428" s="569"/>
      <c r="I1428" s="570"/>
      <c r="J1428" s="571"/>
      <c r="K1428" s="572" t="s">
        <v>162</v>
      </c>
      <c r="L1428" s="573"/>
      <c r="M1428" s="574"/>
      <c r="N1428" s="575" t="s">
        <v>159</v>
      </c>
      <c r="O1428" s="576"/>
      <c r="P1428" s="576"/>
      <c r="Q1428" s="576"/>
      <c r="R1428" s="576"/>
      <c r="S1428" s="576"/>
      <c r="T1428" s="576"/>
      <c r="U1428" s="577"/>
    </row>
    <row r="1429" spans="1:21" ht="35.1" customHeight="1" x14ac:dyDescent="0.25">
      <c r="A1429" s="263">
        <f t="shared" si="22"/>
        <v>1415</v>
      </c>
      <c r="B1429" s="578" t="s">
        <v>159</v>
      </c>
      <c r="C1429" s="578"/>
      <c r="D1429" s="579" t="s">
        <v>159</v>
      </c>
      <c r="E1429" s="579"/>
      <c r="F1429" s="568" t="s">
        <v>162</v>
      </c>
      <c r="G1429" s="568"/>
      <c r="H1429" s="580"/>
      <c r="I1429" s="581"/>
      <c r="J1429" s="582"/>
      <c r="K1429" s="572" t="s">
        <v>162</v>
      </c>
      <c r="L1429" s="573"/>
      <c r="M1429" s="574"/>
      <c r="N1429" s="583" t="s">
        <v>159</v>
      </c>
      <c r="O1429" s="584"/>
      <c r="P1429" s="584"/>
      <c r="Q1429" s="584"/>
      <c r="R1429" s="584"/>
      <c r="S1429" s="584"/>
      <c r="T1429" s="584"/>
      <c r="U1429" s="585"/>
    </row>
    <row r="1430" spans="1:21" ht="35.1" customHeight="1" x14ac:dyDescent="0.25">
      <c r="A1430" s="263">
        <f t="shared" si="22"/>
        <v>1416</v>
      </c>
      <c r="B1430" s="566" t="s">
        <v>159</v>
      </c>
      <c r="C1430" s="566"/>
      <c r="D1430" s="567" t="s">
        <v>159</v>
      </c>
      <c r="E1430" s="567"/>
      <c r="F1430" s="568" t="s">
        <v>162</v>
      </c>
      <c r="G1430" s="568"/>
      <c r="H1430" s="569"/>
      <c r="I1430" s="570"/>
      <c r="J1430" s="571"/>
      <c r="K1430" s="572" t="s">
        <v>162</v>
      </c>
      <c r="L1430" s="573"/>
      <c r="M1430" s="574"/>
      <c r="N1430" s="575" t="s">
        <v>159</v>
      </c>
      <c r="O1430" s="576"/>
      <c r="P1430" s="576"/>
      <c r="Q1430" s="576"/>
      <c r="R1430" s="576"/>
      <c r="S1430" s="576"/>
      <c r="T1430" s="576"/>
      <c r="U1430" s="577"/>
    </row>
    <row r="1431" spans="1:21" ht="35.1" customHeight="1" x14ac:dyDescent="0.25">
      <c r="A1431" s="263">
        <f t="shared" si="22"/>
        <v>1417</v>
      </c>
      <c r="B1431" s="578" t="s">
        <v>159</v>
      </c>
      <c r="C1431" s="578"/>
      <c r="D1431" s="579" t="s">
        <v>159</v>
      </c>
      <c r="E1431" s="579"/>
      <c r="F1431" s="568" t="s">
        <v>162</v>
      </c>
      <c r="G1431" s="568"/>
      <c r="H1431" s="580"/>
      <c r="I1431" s="581"/>
      <c r="J1431" s="582"/>
      <c r="K1431" s="572" t="s">
        <v>162</v>
      </c>
      <c r="L1431" s="573"/>
      <c r="M1431" s="574"/>
      <c r="N1431" s="583" t="s">
        <v>159</v>
      </c>
      <c r="O1431" s="584"/>
      <c r="P1431" s="584"/>
      <c r="Q1431" s="584"/>
      <c r="R1431" s="584"/>
      <c r="S1431" s="584"/>
      <c r="T1431" s="584"/>
      <c r="U1431" s="585"/>
    </row>
    <row r="1432" spans="1:21" ht="35.1" customHeight="1" x14ac:dyDescent="0.25">
      <c r="A1432" s="263">
        <f t="shared" si="22"/>
        <v>1418</v>
      </c>
      <c r="B1432" s="566" t="s">
        <v>159</v>
      </c>
      <c r="C1432" s="566"/>
      <c r="D1432" s="567" t="s">
        <v>159</v>
      </c>
      <c r="E1432" s="567"/>
      <c r="F1432" s="568" t="s">
        <v>162</v>
      </c>
      <c r="G1432" s="568"/>
      <c r="H1432" s="569"/>
      <c r="I1432" s="570"/>
      <c r="J1432" s="571"/>
      <c r="K1432" s="572" t="s">
        <v>162</v>
      </c>
      <c r="L1432" s="573"/>
      <c r="M1432" s="574"/>
      <c r="N1432" s="575" t="s">
        <v>159</v>
      </c>
      <c r="O1432" s="576"/>
      <c r="P1432" s="576"/>
      <c r="Q1432" s="576"/>
      <c r="R1432" s="576"/>
      <c r="S1432" s="576"/>
      <c r="T1432" s="576"/>
      <c r="U1432" s="577"/>
    </row>
    <row r="1433" spans="1:21" ht="35.1" customHeight="1" x14ac:dyDescent="0.25">
      <c r="A1433" s="263">
        <f t="shared" si="22"/>
        <v>1419</v>
      </c>
      <c r="B1433" s="578" t="s">
        <v>159</v>
      </c>
      <c r="C1433" s="578"/>
      <c r="D1433" s="579" t="s">
        <v>159</v>
      </c>
      <c r="E1433" s="579"/>
      <c r="F1433" s="568" t="s">
        <v>162</v>
      </c>
      <c r="G1433" s="568"/>
      <c r="H1433" s="580"/>
      <c r="I1433" s="581"/>
      <c r="J1433" s="582"/>
      <c r="K1433" s="572" t="s">
        <v>162</v>
      </c>
      <c r="L1433" s="573"/>
      <c r="M1433" s="574"/>
      <c r="N1433" s="583" t="s">
        <v>159</v>
      </c>
      <c r="O1433" s="584"/>
      <c r="P1433" s="584"/>
      <c r="Q1433" s="584"/>
      <c r="R1433" s="584"/>
      <c r="S1433" s="584"/>
      <c r="T1433" s="584"/>
      <c r="U1433" s="585"/>
    </row>
    <row r="1434" spans="1:21" ht="35.1" customHeight="1" x14ac:dyDescent="0.25">
      <c r="A1434" s="263">
        <f t="shared" si="22"/>
        <v>1420</v>
      </c>
      <c r="B1434" s="566" t="s">
        <v>159</v>
      </c>
      <c r="C1434" s="566"/>
      <c r="D1434" s="567" t="s">
        <v>159</v>
      </c>
      <c r="E1434" s="567"/>
      <c r="F1434" s="568" t="s">
        <v>162</v>
      </c>
      <c r="G1434" s="568"/>
      <c r="H1434" s="569"/>
      <c r="I1434" s="570"/>
      <c r="J1434" s="571"/>
      <c r="K1434" s="572" t="s">
        <v>162</v>
      </c>
      <c r="L1434" s="573"/>
      <c r="M1434" s="574"/>
      <c r="N1434" s="575" t="s">
        <v>159</v>
      </c>
      <c r="O1434" s="576"/>
      <c r="P1434" s="576"/>
      <c r="Q1434" s="576"/>
      <c r="R1434" s="576"/>
      <c r="S1434" s="576"/>
      <c r="T1434" s="576"/>
      <c r="U1434" s="577"/>
    </row>
    <row r="1435" spans="1:21" ht="35.1" customHeight="1" x14ac:dyDescent="0.25">
      <c r="A1435" s="263">
        <f t="shared" si="22"/>
        <v>1421</v>
      </c>
      <c r="B1435" s="578" t="s">
        <v>159</v>
      </c>
      <c r="C1435" s="578"/>
      <c r="D1435" s="579" t="s">
        <v>159</v>
      </c>
      <c r="E1435" s="579"/>
      <c r="F1435" s="568" t="s">
        <v>162</v>
      </c>
      <c r="G1435" s="568"/>
      <c r="H1435" s="580"/>
      <c r="I1435" s="581"/>
      <c r="J1435" s="582"/>
      <c r="K1435" s="572" t="s">
        <v>162</v>
      </c>
      <c r="L1435" s="573"/>
      <c r="M1435" s="574"/>
      <c r="N1435" s="583" t="s">
        <v>159</v>
      </c>
      <c r="O1435" s="584"/>
      <c r="P1435" s="584"/>
      <c r="Q1435" s="584"/>
      <c r="R1435" s="584"/>
      <c r="S1435" s="584"/>
      <c r="T1435" s="584"/>
      <c r="U1435" s="585"/>
    </row>
    <row r="1436" spans="1:21" ht="35.1" customHeight="1" x14ac:dyDescent="0.25">
      <c r="A1436" s="263">
        <f t="shared" si="22"/>
        <v>1422</v>
      </c>
      <c r="B1436" s="566" t="s">
        <v>159</v>
      </c>
      <c r="C1436" s="566"/>
      <c r="D1436" s="567" t="s">
        <v>159</v>
      </c>
      <c r="E1436" s="567"/>
      <c r="F1436" s="568" t="s">
        <v>162</v>
      </c>
      <c r="G1436" s="568"/>
      <c r="H1436" s="569"/>
      <c r="I1436" s="570"/>
      <c r="J1436" s="571"/>
      <c r="K1436" s="572" t="s">
        <v>162</v>
      </c>
      <c r="L1436" s="573"/>
      <c r="M1436" s="574"/>
      <c r="N1436" s="575" t="s">
        <v>159</v>
      </c>
      <c r="O1436" s="576"/>
      <c r="P1436" s="576"/>
      <c r="Q1436" s="576"/>
      <c r="R1436" s="576"/>
      <c r="S1436" s="576"/>
      <c r="T1436" s="576"/>
      <c r="U1436" s="577"/>
    </row>
    <row r="1437" spans="1:21" ht="35.1" customHeight="1" x14ac:dyDescent="0.25">
      <c r="A1437" s="263">
        <f t="shared" si="22"/>
        <v>1423</v>
      </c>
      <c r="B1437" s="578" t="s">
        <v>159</v>
      </c>
      <c r="C1437" s="578"/>
      <c r="D1437" s="579" t="s">
        <v>159</v>
      </c>
      <c r="E1437" s="579"/>
      <c r="F1437" s="568" t="s">
        <v>162</v>
      </c>
      <c r="G1437" s="568"/>
      <c r="H1437" s="580"/>
      <c r="I1437" s="581"/>
      <c r="J1437" s="582"/>
      <c r="K1437" s="572" t="s">
        <v>162</v>
      </c>
      <c r="L1437" s="573"/>
      <c r="M1437" s="574"/>
      <c r="N1437" s="583" t="s">
        <v>159</v>
      </c>
      <c r="O1437" s="584"/>
      <c r="P1437" s="584"/>
      <c r="Q1437" s="584"/>
      <c r="R1437" s="584"/>
      <c r="S1437" s="584"/>
      <c r="T1437" s="584"/>
      <c r="U1437" s="585"/>
    </row>
    <row r="1438" spans="1:21" ht="35.1" customHeight="1" x14ac:dyDescent="0.25">
      <c r="A1438" s="263">
        <f t="shared" si="22"/>
        <v>1424</v>
      </c>
      <c r="B1438" s="566" t="s">
        <v>159</v>
      </c>
      <c r="C1438" s="566"/>
      <c r="D1438" s="567" t="s">
        <v>159</v>
      </c>
      <c r="E1438" s="567"/>
      <c r="F1438" s="568" t="s">
        <v>162</v>
      </c>
      <c r="G1438" s="568"/>
      <c r="H1438" s="569"/>
      <c r="I1438" s="570"/>
      <c r="J1438" s="571"/>
      <c r="K1438" s="572" t="s">
        <v>162</v>
      </c>
      <c r="L1438" s="573"/>
      <c r="M1438" s="574"/>
      <c r="N1438" s="575" t="s">
        <v>159</v>
      </c>
      <c r="O1438" s="576"/>
      <c r="P1438" s="576"/>
      <c r="Q1438" s="576"/>
      <c r="R1438" s="576"/>
      <c r="S1438" s="576"/>
      <c r="T1438" s="576"/>
      <c r="U1438" s="577"/>
    </row>
    <row r="1439" spans="1:21" ht="35.1" customHeight="1" x14ac:dyDescent="0.25">
      <c r="A1439" s="263">
        <f t="shared" si="22"/>
        <v>1425</v>
      </c>
      <c r="B1439" s="578" t="s">
        <v>159</v>
      </c>
      <c r="C1439" s="578"/>
      <c r="D1439" s="579" t="s">
        <v>159</v>
      </c>
      <c r="E1439" s="579"/>
      <c r="F1439" s="568" t="s">
        <v>162</v>
      </c>
      <c r="G1439" s="568"/>
      <c r="H1439" s="580"/>
      <c r="I1439" s="581"/>
      <c r="J1439" s="582"/>
      <c r="K1439" s="572" t="s">
        <v>162</v>
      </c>
      <c r="L1439" s="573"/>
      <c r="M1439" s="574"/>
      <c r="N1439" s="583" t="s">
        <v>159</v>
      </c>
      <c r="O1439" s="584"/>
      <c r="P1439" s="584"/>
      <c r="Q1439" s="584"/>
      <c r="R1439" s="584"/>
      <c r="S1439" s="584"/>
      <c r="T1439" s="584"/>
      <c r="U1439" s="585"/>
    </row>
    <row r="1440" spans="1:21" ht="35.1" customHeight="1" x14ac:dyDescent="0.25">
      <c r="A1440" s="263">
        <f t="shared" si="22"/>
        <v>1426</v>
      </c>
      <c r="B1440" s="566" t="s">
        <v>159</v>
      </c>
      <c r="C1440" s="566"/>
      <c r="D1440" s="567" t="s">
        <v>159</v>
      </c>
      <c r="E1440" s="567"/>
      <c r="F1440" s="568" t="s">
        <v>162</v>
      </c>
      <c r="G1440" s="568"/>
      <c r="H1440" s="569"/>
      <c r="I1440" s="570"/>
      <c r="J1440" s="571"/>
      <c r="K1440" s="572" t="s">
        <v>162</v>
      </c>
      <c r="L1440" s="573"/>
      <c r="M1440" s="574"/>
      <c r="N1440" s="575" t="s">
        <v>159</v>
      </c>
      <c r="O1440" s="576"/>
      <c r="P1440" s="576"/>
      <c r="Q1440" s="576"/>
      <c r="R1440" s="576"/>
      <c r="S1440" s="576"/>
      <c r="T1440" s="576"/>
      <c r="U1440" s="577"/>
    </row>
    <row r="1441" spans="1:21" ht="35.1" customHeight="1" x14ac:dyDescent="0.25">
      <c r="A1441" s="263">
        <f t="shared" si="22"/>
        <v>1427</v>
      </c>
      <c r="B1441" s="578" t="s">
        <v>159</v>
      </c>
      <c r="C1441" s="578"/>
      <c r="D1441" s="579" t="s">
        <v>159</v>
      </c>
      <c r="E1441" s="579"/>
      <c r="F1441" s="568" t="s">
        <v>162</v>
      </c>
      <c r="G1441" s="568"/>
      <c r="H1441" s="580"/>
      <c r="I1441" s="581"/>
      <c r="J1441" s="582"/>
      <c r="K1441" s="572" t="s">
        <v>162</v>
      </c>
      <c r="L1441" s="573"/>
      <c r="M1441" s="574"/>
      <c r="N1441" s="583" t="s">
        <v>159</v>
      </c>
      <c r="O1441" s="584"/>
      <c r="P1441" s="584"/>
      <c r="Q1441" s="584"/>
      <c r="R1441" s="584"/>
      <c r="S1441" s="584"/>
      <c r="T1441" s="584"/>
      <c r="U1441" s="585"/>
    </row>
    <row r="1442" spans="1:21" ht="35.1" customHeight="1" x14ac:dyDescent="0.25">
      <c r="A1442" s="263">
        <f t="shared" si="22"/>
        <v>1428</v>
      </c>
      <c r="B1442" s="566" t="s">
        <v>159</v>
      </c>
      <c r="C1442" s="566"/>
      <c r="D1442" s="567" t="s">
        <v>159</v>
      </c>
      <c r="E1442" s="567"/>
      <c r="F1442" s="568" t="s">
        <v>162</v>
      </c>
      <c r="G1442" s="568"/>
      <c r="H1442" s="569"/>
      <c r="I1442" s="570"/>
      <c r="J1442" s="571"/>
      <c r="K1442" s="572" t="s">
        <v>162</v>
      </c>
      <c r="L1442" s="573"/>
      <c r="M1442" s="574"/>
      <c r="N1442" s="575" t="s">
        <v>159</v>
      </c>
      <c r="O1442" s="576"/>
      <c r="P1442" s="576"/>
      <c r="Q1442" s="576"/>
      <c r="R1442" s="576"/>
      <c r="S1442" s="576"/>
      <c r="T1442" s="576"/>
      <c r="U1442" s="577"/>
    </row>
    <row r="1443" spans="1:21" ht="35.1" customHeight="1" x14ac:dyDescent="0.25">
      <c r="A1443" s="263">
        <f t="shared" si="22"/>
        <v>1429</v>
      </c>
      <c r="B1443" s="578" t="s">
        <v>159</v>
      </c>
      <c r="C1443" s="578"/>
      <c r="D1443" s="579" t="s">
        <v>159</v>
      </c>
      <c r="E1443" s="579"/>
      <c r="F1443" s="568" t="s">
        <v>162</v>
      </c>
      <c r="G1443" s="568"/>
      <c r="H1443" s="580"/>
      <c r="I1443" s="581"/>
      <c r="J1443" s="582"/>
      <c r="K1443" s="572" t="s">
        <v>162</v>
      </c>
      <c r="L1443" s="573"/>
      <c r="M1443" s="574"/>
      <c r="N1443" s="583" t="s">
        <v>159</v>
      </c>
      <c r="O1443" s="584"/>
      <c r="P1443" s="584"/>
      <c r="Q1443" s="584"/>
      <c r="R1443" s="584"/>
      <c r="S1443" s="584"/>
      <c r="T1443" s="584"/>
      <c r="U1443" s="585"/>
    </row>
    <row r="1444" spans="1:21" ht="35.1" customHeight="1" x14ac:dyDescent="0.25">
      <c r="A1444" s="263">
        <f t="shared" si="22"/>
        <v>1430</v>
      </c>
      <c r="B1444" s="566" t="s">
        <v>159</v>
      </c>
      <c r="C1444" s="566"/>
      <c r="D1444" s="567" t="s">
        <v>159</v>
      </c>
      <c r="E1444" s="567"/>
      <c r="F1444" s="568" t="s">
        <v>162</v>
      </c>
      <c r="G1444" s="568"/>
      <c r="H1444" s="569"/>
      <c r="I1444" s="570"/>
      <c r="J1444" s="571"/>
      <c r="K1444" s="572" t="s">
        <v>162</v>
      </c>
      <c r="L1444" s="573"/>
      <c r="M1444" s="574"/>
      <c r="N1444" s="575" t="s">
        <v>159</v>
      </c>
      <c r="O1444" s="576"/>
      <c r="P1444" s="576"/>
      <c r="Q1444" s="576"/>
      <c r="R1444" s="576"/>
      <c r="S1444" s="576"/>
      <c r="T1444" s="576"/>
      <c r="U1444" s="577"/>
    </row>
    <row r="1445" spans="1:21" ht="35.1" customHeight="1" x14ac:dyDescent="0.25">
      <c r="A1445" s="263">
        <f t="shared" si="22"/>
        <v>1431</v>
      </c>
      <c r="B1445" s="578" t="s">
        <v>159</v>
      </c>
      <c r="C1445" s="578"/>
      <c r="D1445" s="579" t="s">
        <v>159</v>
      </c>
      <c r="E1445" s="579"/>
      <c r="F1445" s="568" t="s">
        <v>162</v>
      </c>
      <c r="G1445" s="568"/>
      <c r="H1445" s="580"/>
      <c r="I1445" s="581"/>
      <c r="J1445" s="582"/>
      <c r="K1445" s="572" t="s">
        <v>162</v>
      </c>
      <c r="L1445" s="573"/>
      <c r="M1445" s="574"/>
      <c r="N1445" s="583" t="s">
        <v>159</v>
      </c>
      <c r="O1445" s="584"/>
      <c r="P1445" s="584"/>
      <c r="Q1445" s="584"/>
      <c r="R1445" s="584"/>
      <c r="S1445" s="584"/>
      <c r="T1445" s="584"/>
      <c r="U1445" s="585"/>
    </row>
    <row r="1446" spans="1:21" ht="35.1" customHeight="1" x14ac:dyDescent="0.25">
      <c r="A1446" s="263">
        <f t="shared" si="22"/>
        <v>1432</v>
      </c>
      <c r="B1446" s="566" t="s">
        <v>159</v>
      </c>
      <c r="C1446" s="566"/>
      <c r="D1446" s="567" t="s">
        <v>159</v>
      </c>
      <c r="E1446" s="567"/>
      <c r="F1446" s="568" t="s">
        <v>162</v>
      </c>
      <c r="G1446" s="568"/>
      <c r="H1446" s="569"/>
      <c r="I1446" s="570"/>
      <c r="J1446" s="571"/>
      <c r="K1446" s="572" t="s">
        <v>162</v>
      </c>
      <c r="L1446" s="573"/>
      <c r="M1446" s="574"/>
      <c r="N1446" s="575" t="s">
        <v>159</v>
      </c>
      <c r="O1446" s="576"/>
      <c r="P1446" s="576"/>
      <c r="Q1446" s="576"/>
      <c r="R1446" s="576"/>
      <c r="S1446" s="576"/>
      <c r="T1446" s="576"/>
      <c r="U1446" s="577"/>
    </row>
    <row r="1447" spans="1:21" ht="35.1" customHeight="1" x14ac:dyDescent="0.25">
      <c r="A1447" s="263">
        <f t="shared" si="22"/>
        <v>1433</v>
      </c>
      <c r="B1447" s="578" t="s">
        <v>159</v>
      </c>
      <c r="C1447" s="578"/>
      <c r="D1447" s="579" t="s">
        <v>159</v>
      </c>
      <c r="E1447" s="579"/>
      <c r="F1447" s="568" t="s">
        <v>162</v>
      </c>
      <c r="G1447" s="568"/>
      <c r="H1447" s="580"/>
      <c r="I1447" s="581"/>
      <c r="J1447" s="582"/>
      <c r="K1447" s="572" t="s">
        <v>162</v>
      </c>
      <c r="L1447" s="573"/>
      <c r="M1447" s="574"/>
      <c r="N1447" s="583" t="s">
        <v>159</v>
      </c>
      <c r="O1447" s="584"/>
      <c r="P1447" s="584"/>
      <c r="Q1447" s="584"/>
      <c r="R1447" s="584"/>
      <c r="S1447" s="584"/>
      <c r="T1447" s="584"/>
      <c r="U1447" s="585"/>
    </row>
    <row r="1448" spans="1:21" ht="35.1" customHeight="1" x14ac:dyDescent="0.25">
      <c r="A1448" s="263">
        <f t="shared" si="22"/>
        <v>1434</v>
      </c>
      <c r="B1448" s="566" t="s">
        <v>159</v>
      </c>
      <c r="C1448" s="566"/>
      <c r="D1448" s="567" t="s">
        <v>159</v>
      </c>
      <c r="E1448" s="567"/>
      <c r="F1448" s="568" t="s">
        <v>162</v>
      </c>
      <c r="G1448" s="568"/>
      <c r="H1448" s="569"/>
      <c r="I1448" s="570"/>
      <c r="J1448" s="571"/>
      <c r="K1448" s="572" t="s">
        <v>162</v>
      </c>
      <c r="L1448" s="573"/>
      <c r="M1448" s="574"/>
      <c r="N1448" s="575" t="s">
        <v>159</v>
      </c>
      <c r="O1448" s="576"/>
      <c r="P1448" s="576"/>
      <c r="Q1448" s="576"/>
      <c r="R1448" s="576"/>
      <c r="S1448" s="576"/>
      <c r="T1448" s="576"/>
      <c r="U1448" s="577"/>
    </row>
    <row r="1449" spans="1:21" ht="35.1" customHeight="1" x14ac:dyDescent="0.25">
      <c r="A1449" s="263">
        <f t="shared" si="22"/>
        <v>1435</v>
      </c>
      <c r="B1449" s="578" t="s">
        <v>159</v>
      </c>
      <c r="C1449" s="578"/>
      <c r="D1449" s="579" t="s">
        <v>159</v>
      </c>
      <c r="E1449" s="579"/>
      <c r="F1449" s="568" t="s">
        <v>162</v>
      </c>
      <c r="G1449" s="568"/>
      <c r="H1449" s="580"/>
      <c r="I1449" s="581"/>
      <c r="J1449" s="582"/>
      <c r="K1449" s="572" t="s">
        <v>162</v>
      </c>
      <c r="L1449" s="573"/>
      <c r="M1449" s="574"/>
      <c r="N1449" s="583" t="s">
        <v>159</v>
      </c>
      <c r="O1449" s="584"/>
      <c r="P1449" s="584"/>
      <c r="Q1449" s="584"/>
      <c r="R1449" s="584"/>
      <c r="S1449" s="584"/>
      <c r="T1449" s="584"/>
      <c r="U1449" s="585"/>
    </row>
    <row r="1450" spans="1:21" ht="35.1" customHeight="1" x14ac:dyDescent="0.25">
      <c r="A1450" s="263">
        <f t="shared" si="22"/>
        <v>1436</v>
      </c>
      <c r="B1450" s="566" t="s">
        <v>159</v>
      </c>
      <c r="C1450" s="566"/>
      <c r="D1450" s="567" t="s">
        <v>159</v>
      </c>
      <c r="E1450" s="567"/>
      <c r="F1450" s="568" t="s">
        <v>162</v>
      </c>
      <c r="G1450" s="568"/>
      <c r="H1450" s="569"/>
      <c r="I1450" s="570"/>
      <c r="J1450" s="571"/>
      <c r="K1450" s="572" t="s">
        <v>162</v>
      </c>
      <c r="L1450" s="573"/>
      <c r="M1450" s="574"/>
      <c r="N1450" s="575" t="s">
        <v>159</v>
      </c>
      <c r="O1450" s="576"/>
      <c r="P1450" s="576"/>
      <c r="Q1450" s="576"/>
      <c r="R1450" s="576"/>
      <c r="S1450" s="576"/>
      <c r="T1450" s="576"/>
      <c r="U1450" s="577"/>
    </row>
    <row r="1451" spans="1:21" ht="35.1" customHeight="1" x14ac:dyDescent="0.25">
      <c r="A1451" s="263">
        <f t="shared" si="22"/>
        <v>1437</v>
      </c>
      <c r="B1451" s="578" t="s">
        <v>159</v>
      </c>
      <c r="C1451" s="578"/>
      <c r="D1451" s="579" t="s">
        <v>159</v>
      </c>
      <c r="E1451" s="579"/>
      <c r="F1451" s="568" t="s">
        <v>162</v>
      </c>
      <c r="G1451" s="568"/>
      <c r="H1451" s="580"/>
      <c r="I1451" s="581"/>
      <c r="J1451" s="582"/>
      <c r="K1451" s="572" t="s">
        <v>162</v>
      </c>
      <c r="L1451" s="573"/>
      <c r="M1451" s="574"/>
      <c r="N1451" s="583" t="s">
        <v>159</v>
      </c>
      <c r="O1451" s="584"/>
      <c r="P1451" s="584"/>
      <c r="Q1451" s="584"/>
      <c r="R1451" s="584"/>
      <c r="S1451" s="584"/>
      <c r="T1451" s="584"/>
      <c r="U1451" s="585"/>
    </row>
    <row r="1452" spans="1:21" ht="35.1" customHeight="1" x14ac:dyDescent="0.25">
      <c r="A1452" s="263">
        <f t="shared" si="22"/>
        <v>1438</v>
      </c>
      <c r="B1452" s="566" t="s">
        <v>159</v>
      </c>
      <c r="C1452" s="566"/>
      <c r="D1452" s="567" t="s">
        <v>159</v>
      </c>
      <c r="E1452" s="567"/>
      <c r="F1452" s="568" t="s">
        <v>162</v>
      </c>
      <c r="G1452" s="568"/>
      <c r="H1452" s="569"/>
      <c r="I1452" s="570"/>
      <c r="J1452" s="571"/>
      <c r="K1452" s="572" t="s">
        <v>162</v>
      </c>
      <c r="L1452" s="573"/>
      <c r="M1452" s="574"/>
      <c r="N1452" s="575" t="s">
        <v>159</v>
      </c>
      <c r="O1452" s="576"/>
      <c r="P1452" s="576"/>
      <c r="Q1452" s="576"/>
      <c r="R1452" s="576"/>
      <c r="S1452" s="576"/>
      <c r="T1452" s="576"/>
      <c r="U1452" s="577"/>
    </row>
    <row r="1453" spans="1:21" ht="35.1" customHeight="1" x14ac:dyDescent="0.25">
      <c r="A1453" s="263">
        <f t="shared" si="22"/>
        <v>1439</v>
      </c>
      <c r="B1453" s="578" t="s">
        <v>159</v>
      </c>
      <c r="C1453" s="578"/>
      <c r="D1453" s="579" t="s">
        <v>159</v>
      </c>
      <c r="E1453" s="579"/>
      <c r="F1453" s="568" t="s">
        <v>162</v>
      </c>
      <c r="G1453" s="568"/>
      <c r="H1453" s="580"/>
      <c r="I1453" s="581"/>
      <c r="J1453" s="582"/>
      <c r="K1453" s="572" t="s">
        <v>162</v>
      </c>
      <c r="L1453" s="573"/>
      <c r="M1453" s="574"/>
      <c r="N1453" s="583" t="s">
        <v>159</v>
      </c>
      <c r="O1453" s="584"/>
      <c r="P1453" s="584"/>
      <c r="Q1453" s="584"/>
      <c r="R1453" s="584"/>
      <c r="S1453" s="584"/>
      <c r="T1453" s="584"/>
      <c r="U1453" s="585"/>
    </row>
    <row r="1454" spans="1:21" ht="35.1" customHeight="1" x14ac:dyDescent="0.25">
      <c r="A1454" s="263">
        <f t="shared" si="22"/>
        <v>1440</v>
      </c>
      <c r="B1454" s="566" t="s">
        <v>444</v>
      </c>
      <c r="C1454" s="566"/>
      <c r="D1454" s="567" t="s">
        <v>159</v>
      </c>
      <c r="E1454" s="567"/>
      <c r="F1454" s="568" t="s">
        <v>162</v>
      </c>
      <c r="G1454" s="568"/>
      <c r="H1454" s="569"/>
      <c r="I1454" s="570"/>
      <c r="J1454" s="571"/>
      <c r="K1454" s="572" t="s">
        <v>162</v>
      </c>
      <c r="L1454" s="573"/>
      <c r="M1454" s="574"/>
      <c r="N1454" s="575" t="s">
        <v>159</v>
      </c>
      <c r="O1454" s="576"/>
      <c r="P1454" s="576"/>
      <c r="Q1454" s="576"/>
      <c r="R1454" s="576"/>
      <c r="S1454" s="576"/>
      <c r="T1454" s="576"/>
      <c r="U1454" s="577"/>
    </row>
    <row r="1455" spans="1:21" ht="35.1" customHeight="1" x14ac:dyDescent="0.25">
      <c r="A1455" s="263">
        <f t="shared" si="22"/>
        <v>1441</v>
      </c>
      <c r="B1455" s="578" t="s">
        <v>159</v>
      </c>
      <c r="C1455" s="578"/>
      <c r="D1455" s="579" t="s">
        <v>159</v>
      </c>
      <c r="E1455" s="579"/>
      <c r="F1455" s="568" t="s">
        <v>162</v>
      </c>
      <c r="G1455" s="568"/>
      <c r="H1455" s="580"/>
      <c r="I1455" s="581"/>
      <c r="J1455" s="582"/>
      <c r="K1455" s="572" t="s">
        <v>162</v>
      </c>
      <c r="L1455" s="573"/>
      <c r="M1455" s="574"/>
      <c r="N1455" s="583" t="s">
        <v>159</v>
      </c>
      <c r="O1455" s="584"/>
      <c r="P1455" s="584"/>
      <c r="Q1455" s="584"/>
      <c r="R1455" s="584"/>
      <c r="S1455" s="584"/>
      <c r="T1455" s="584"/>
      <c r="U1455" s="585"/>
    </row>
    <row r="1456" spans="1:21" ht="35.1" customHeight="1" x14ac:dyDescent="0.25">
      <c r="A1456" s="263">
        <f t="shared" si="22"/>
        <v>1442</v>
      </c>
      <c r="B1456" s="566" t="s">
        <v>159</v>
      </c>
      <c r="C1456" s="566"/>
      <c r="D1456" s="567" t="s">
        <v>159</v>
      </c>
      <c r="E1456" s="567"/>
      <c r="F1456" s="568" t="s">
        <v>162</v>
      </c>
      <c r="G1456" s="568"/>
      <c r="H1456" s="569"/>
      <c r="I1456" s="570"/>
      <c r="J1456" s="571"/>
      <c r="K1456" s="572" t="s">
        <v>162</v>
      </c>
      <c r="L1456" s="573"/>
      <c r="M1456" s="574"/>
      <c r="N1456" s="575" t="s">
        <v>159</v>
      </c>
      <c r="O1456" s="576"/>
      <c r="P1456" s="576"/>
      <c r="Q1456" s="576"/>
      <c r="R1456" s="576"/>
      <c r="S1456" s="576"/>
      <c r="T1456" s="576"/>
      <c r="U1456" s="577"/>
    </row>
    <row r="1457" spans="1:21" ht="35.1" customHeight="1" x14ac:dyDescent="0.25">
      <c r="A1457" s="263">
        <f t="shared" si="22"/>
        <v>1443</v>
      </c>
      <c r="B1457" s="578" t="s">
        <v>159</v>
      </c>
      <c r="C1457" s="578"/>
      <c r="D1457" s="579" t="s">
        <v>159</v>
      </c>
      <c r="E1457" s="579"/>
      <c r="F1457" s="568" t="s">
        <v>162</v>
      </c>
      <c r="G1457" s="568"/>
      <c r="H1457" s="580"/>
      <c r="I1457" s="581"/>
      <c r="J1457" s="582"/>
      <c r="K1457" s="572" t="s">
        <v>162</v>
      </c>
      <c r="L1457" s="573"/>
      <c r="M1457" s="574"/>
      <c r="N1457" s="583" t="s">
        <v>159</v>
      </c>
      <c r="O1457" s="584"/>
      <c r="P1457" s="584"/>
      <c r="Q1457" s="584"/>
      <c r="R1457" s="584"/>
      <c r="S1457" s="584"/>
      <c r="T1457" s="584"/>
      <c r="U1457" s="585"/>
    </row>
    <row r="1458" spans="1:21" ht="35.1" customHeight="1" x14ac:dyDescent="0.25">
      <c r="A1458" s="263">
        <f t="shared" si="22"/>
        <v>1444</v>
      </c>
      <c r="B1458" s="566" t="s">
        <v>159</v>
      </c>
      <c r="C1458" s="566"/>
      <c r="D1458" s="567" t="s">
        <v>159</v>
      </c>
      <c r="E1458" s="567"/>
      <c r="F1458" s="568" t="s">
        <v>162</v>
      </c>
      <c r="G1458" s="568"/>
      <c r="H1458" s="569"/>
      <c r="I1458" s="570"/>
      <c r="J1458" s="571"/>
      <c r="K1458" s="572" t="s">
        <v>162</v>
      </c>
      <c r="L1458" s="573"/>
      <c r="M1458" s="574"/>
      <c r="N1458" s="575" t="s">
        <v>159</v>
      </c>
      <c r="O1458" s="576"/>
      <c r="P1458" s="576"/>
      <c r="Q1458" s="576"/>
      <c r="R1458" s="576"/>
      <c r="S1458" s="576"/>
      <c r="T1458" s="576"/>
      <c r="U1458" s="577"/>
    </row>
    <row r="1459" spans="1:21" ht="35.1" customHeight="1" x14ac:dyDescent="0.25">
      <c r="A1459" s="263">
        <f t="shared" si="22"/>
        <v>1445</v>
      </c>
      <c r="B1459" s="578" t="s">
        <v>159</v>
      </c>
      <c r="C1459" s="578"/>
      <c r="D1459" s="579" t="s">
        <v>159</v>
      </c>
      <c r="E1459" s="579"/>
      <c r="F1459" s="568" t="s">
        <v>162</v>
      </c>
      <c r="G1459" s="568"/>
      <c r="H1459" s="580"/>
      <c r="I1459" s="581"/>
      <c r="J1459" s="582"/>
      <c r="K1459" s="572" t="s">
        <v>162</v>
      </c>
      <c r="L1459" s="573"/>
      <c r="M1459" s="574"/>
      <c r="N1459" s="583" t="s">
        <v>159</v>
      </c>
      <c r="O1459" s="584"/>
      <c r="P1459" s="584"/>
      <c r="Q1459" s="584"/>
      <c r="R1459" s="584"/>
      <c r="S1459" s="584"/>
      <c r="T1459" s="584"/>
      <c r="U1459" s="585"/>
    </row>
    <row r="1460" spans="1:21" ht="35.1" customHeight="1" x14ac:dyDescent="0.25">
      <c r="A1460" s="263">
        <f t="shared" si="22"/>
        <v>1446</v>
      </c>
      <c r="B1460" s="566" t="s">
        <v>448</v>
      </c>
      <c r="C1460" s="566"/>
      <c r="D1460" s="567" t="s">
        <v>159</v>
      </c>
      <c r="E1460" s="567"/>
      <c r="F1460" s="568" t="s">
        <v>162</v>
      </c>
      <c r="G1460" s="568"/>
      <c r="H1460" s="569"/>
      <c r="I1460" s="570"/>
      <c r="J1460" s="571"/>
      <c r="K1460" s="572" t="s">
        <v>162</v>
      </c>
      <c r="L1460" s="573"/>
      <c r="M1460" s="574"/>
      <c r="N1460" s="575" t="s">
        <v>159</v>
      </c>
      <c r="O1460" s="576"/>
      <c r="P1460" s="576"/>
      <c r="Q1460" s="576"/>
      <c r="R1460" s="576"/>
      <c r="S1460" s="576"/>
      <c r="T1460" s="576"/>
      <c r="U1460" s="577"/>
    </row>
    <row r="1461" spans="1:21" ht="35.1" customHeight="1" x14ac:dyDescent="0.25">
      <c r="A1461" s="263">
        <f t="shared" si="22"/>
        <v>1447</v>
      </c>
      <c r="B1461" s="578" t="s">
        <v>159</v>
      </c>
      <c r="C1461" s="578"/>
      <c r="D1461" s="579" t="s">
        <v>159</v>
      </c>
      <c r="E1461" s="579"/>
      <c r="F1461" s="568" t="s">
        <v>162</v>
      </c>
      <c r="G1461" s="568"/>
      <c r="H1461" s="580"/>
      <c r="I1461" s="581"/>
      <c r="J1461" s="582"/>
      <c r="K1461" s="572" t="s">
        <v>162</v>
      </c>
      <c r="L1461" s="573"/>
      <c r="M1461" s="574"/>
      <c r="N1461" s="583" t="s">
        <v>159</v>
      </c>
      <c r="O1461" s="584"/>
      <c r="P1461" s="584"/>
      <c r="Q1461" s="584"/>
      <c r="R1461" s="584"/>
      <c r="S1461" s="584"/>
      <c r="T1461" s="584"/>
      <c r="U1461" s="585"/>
    </row>
    <row r="1462" spans="1:21" ht="35.1" customHeight="1" x14ac:dyDescent="0.25">
      <c r="A1462" s="263">
        <f t="shared" si="22"/>
        <v>1448</v>
      </c>
      <c r="B1462" s="566" t="s">
        <v>159</v>
      </c>
      <c r="C1462" s="566"/>
      <c r="D1462" s="567" t="s">
        <v>159</v>
      </c>
      <c r="E1462" s="567"/>
      <c r="F1462" s="568" t="s">
        <v>162</v>
      </c>
      <c r="G1462" s="568"/>
      <c r="H1462" s="569"/>
      <c r="I1462" s="570"/>
      <c r="J1462" s="571"/>
      <c r="K1462" s="572" t="s">
        <v>162</v>
      </c>
      <c r="L1462" s="573"/>
      <c r="M1462" s="574"/>
      <c r="N1462" s="575" t="s">
        <v>159</v>
      </c>
      <c r="O1462" s="576"/>
      <c r="P1462" s="576"/>
      <c r="Q1462" s="576"/>
      <c r="R1462" s="576"/>
      <c r="S1462" s="576"/>
      <c r="T1462" s="576"/>
      <c r="U1462" s="577"/>
    </row>
    <row r="1463" spans="1:21" ht="35.1" customHeight="1" x14ac:dyDescent="0.25">
      <c r="A1463" s="263">
        <f t="shared" si="22"/>
        <v>1449</v>
      </c>
      <c r="B1463" s="578" t="s">
        <v>159</v>
      </c>
      <c r="C1463" s="578"/>
      <c r="D1463" s="579" t="s">
        <v>159</v>
      </c>
      <c r="E1463" s="579"/>
      <c r="F1463" s="568" t="s">
        <v>162</v>
      </c>
      <c r="G1463" s="568"/>
      <c r="H1463" s="580"/>
      <c r="I1463" s="581"/>
      <c r="J1463" s="582"/>
      <c r="K1463" s="572" t="s">
        <v>162</v>
      </c>
      <c r="L1463" s="573"/>
      <c r="M1463" s="574"/>
      <c r="N1463" s="583" t="s">
        <v>159</v>
      </c>
      <c r="O1463" s="584"/>
      <c r="P1463" s="584"/>
      <c r="Q1463" s="584"/>
      <c r="R1463" s="584"/>
      <c r="S1463" s="584"/>
      <c r="T1463" s="584"/>
      <c r="U1463" s="585"/>
    </row>
    <row r="1464" spans="1:21" ht="35.1" customHeight="1" x14ac:dyDescent="0.25">
      <c r="A1464" s="263">
        <f t="shared" si="22"/>
        <v>1450</v>
      </c>
      <c r="B1464" s="566" t="s">
        <v>159</v>
      </c>
      <c r="C1464" s="566"/>
      <c r="D1464" s="567" t="s">
        <v>159</v>
      </c>
      <c r="E1464" s="567"/>
      <c r="F1464" s="568" t="s">
        <v>162</v>
      </c>
      <c r="G1464" s="568"/>
      <c r="H1464" s="569"/>
      <c r="I1464" s="570"/>
      <c r="J1464" s="571"/>
      <c r="K1464" s="572" t="s">
        <v>162</v>
      </c>
      <c r="L1464" s="573"/>
      <c r="M1464" s="574"/>
      <c r="N1464" s="575" t="s">
        <v>159</v>
      </c>
      <c r="O1464" s="576"/>
      <c r="P1464" s="576"/>
      <c r="Q1464" s="576"/>
      <c r="R1464" s="576"/>
      <c r="S1464" s="576"/>
      <c r="T1464" s="576"/>
      <c r="U1464" s="577"/>
    </row>
    <row r="1465" spans="1:21" ht="35.1" customHeight="1" x14ac:dyDescent="0.25">
      <c r="A1465" s="263">
        <f t="shared" si="22"/>
        <v>1451</v>
      </c>
      <c r="B1465" s="578" t="s">
        <v>159</v>
      </c>
      <c r="C1465" s="578"/>
      <c r="D1465" s="579" t="s">
        <v>159</v>
      </c>
      <c r="E1465" s="579"/>
      <c r="F1465" s="568" t="s">
        <v>162</v>
      </c>
      <c r="G1465" s="568"/>
      <c r="H1465" s="580"/>
      <c r="I1465" s="581"/>
      <c r="J1465" s="582"/>
      <c r="K1465" s="572" t="s">
        <v>162</v>
      </c>
      <c r="L1465" s="573"/>
      <c r="M1465" s="574"/>
      <c r="N1465" s="583" t="s">
        <v>159</v>
      </c>
      <c r="O1465" s="584"/>
      <c r="P1465" s="584"/>
      <c r="Q1465" s="584"/>
      <c r="R1465" s="584"/>
      <c r="S1465" s="584"/>
      <c r="T1465" s="584"/>
      <c r="U1465" s="585"/>
    </row>
    <row r="1466" spans="1:21" ht="35.1" customHeight="1" x14ac:dyDescent="0.25">
      <c r="A1466" s="263">
        <f t="shared" si="22"/>
        <v>1452</v>
      </c>
      <c r="B1466" s="566" t="s">
        <v>159</v>
      </c>
      <c r="C1466" s="566"/>
      <c r="D1466" s="567" t="s">
        <v>159</v>
      </c>
      <c r="E1466" s="567"/>
      <c r="F1466" s="568" t="s">
        <v>162</v>
      </c>
      <c r="G1466" s="568"/>
      <c r="H1466" s="569"/>
      <c r="I1466" s="570"/>
      <c r="J1466" s="571"/>
      <c r="K1466" s="572" t="s">
        <v>162</v>
      </c>
      <c r="L1466" s="573"/>
      <c r="M1466" s="574"/>
      <c r="N1466" s="575" t="s">
        <v>159</v>
      </c>
      <c r="O1466" s="576"/>
      <c r="P1466" s="576"/>
      <c r="Q1466" s="576"/>
      <c r="R1466" s="576"/>
      <c r="S1466" s="576"/>
      <c r="T1466" s="576"/>
      <c r="U1466" s="577"/>
    </row>
    <row r="1467" spans="1:21" ht="35.1" customHeight="1" x14ac:dyDescent="0.25">
      <c r="A1467" s="263">
        <f t="shared" si="22"/>
        <v>1453</v>
      </c>
      <c r="B1467" s="578" t="s">
        <v>159</v>
      </c>
      <c r="C1467" s="578"/>
      <c r="D1467" s="579" t="s">
        <v>159</v>
      </c>
      <c r="E1467" s="579"/>
      <c r="F1467" s="568" t="s">
        <v>162</v>
      </c>
      <c r="G1467" s="568"/>
      <c r="H1467" s="580"/>
      <c r="I1467" s="581"/>
      <c r="J1467" s="582"/>
      <c r="K1467" s="572" t="s">
        <v>162</v>
      </c>
      <c r="L1467" s="573"/>
      <c r="M1467" s="574"/>
      <c r="N1467" s="583" t="s">
        <v>159</v>
      </c>
      <c r="O1467" s="584"/>
      <c r="P1467" s="584"/>
      <c r="Q1467" s="584"/>
      <c r="R1467" s="584"/>
      <c r="S1467" s="584"/>
      <c r="T1467" s="584"/>
      <c r="U1467" s="585"/>
    </row>
    <row r="1468" spans="1:21" ht="35.1" customHeight="1" x14ac:dyDescent="0.25">
      <c r="A1468" s="263">
        <f t="shared" si="22"/>
        <v>1454</v>
      </c>
      <c r="B1468" s="566" t="s">
        <v>159</v>
      </c>
      <c r="C1468" s="566"/>
      <c r="D1468" s="567" t="s">
        <v>159</v>
      </c>
      <c r="E1468" s="567"/>
      <c r="F1468" s="568" t="s">
        <v>162</v>
      </c>
      <c r="G1468" s="568"/>
      <c r="H1468" s="569"/>
      <c r="I1468" s="570"/>
      <c r="J1468" s="571"/>
      <c r="K1468" s="572" t="s">
        <v>162</v>
      </c>
      <c r="L1468" s="573"/>
      <c r="M1468" s="574"/>
      <c r="N1468" s="575" t="s">
        <v>159</v>
      </c>
      <c r="O1468" s="576"/>
      <c r="P1468" s="576"/>
      <c r="Q1468" s="576"/>
      <c r="R1468" s="576"/>
      <c r="S1468" s="576"/>
      <c r="T1468" s="576"/>
      <c r="U1468" s="577"/>
    </row>
    <row r="1469" spans="1:21" ht="35.1" customHeight="1" x14ac:dyDescent="0.25">
      <c r="A1469" s="263">
        <f t="shared" si="22"/>
        <v>1455</v>
      </c>
      <c r="B1469" s="578" t="s">
        <v>159</v>
      </c>
      <c r="C1469" s="578"/>
      <c r="D1469" s="579" t="s">
        <v>159</v>
      </c>
      <c r="E1469" s="579"/>
      <c r="F1469" s="568" t="s">
        <v>162</v>
      </c>
      <c r="G1469" s="568"/>
      <c r="H1469" s="580"/>
      <c r="I1469" s="581"/>
      <c r="J1469" s="582"/>
      <c r="K1469" s="572" t="s">
        <v>162</v>
      </c>
      <c r="L1469" s="573"/>
      <c r="M1469" s="574"/>
      <c r="N1469" s="583" t="s">
        <v>159</v>
      </c>
      <c r="O1469" s="584"/>
      <c r="P1469" s="584"/>
      <c r="Q1469" s="584"/>
      <c r="R1469" s="584"/>
      <c r="S1469" s="584"/>
      <c r="T1469" s="584"/>
      <c r="U1469" s="585"/>
    </row>
    <row r="1470" spans="1:21" ht="35.1" customHeight="1" x14ac:dyDescent="0.25">
      <c r="A1470" s="263">
        <f t="shared" si="22"/>
        <v>1456</v>
      </c>
      <c r="B1470" s="566" t="s">
        <v>159</v>
      </c>
      <c r="C1470" s="566"/>
      <c r="D1470" s="567" t="s">
        <v>159</v>
      </c>
      <c r="E1470" s="567"/>
      <c r="F1470" s="568" t="s">
        <v>162</v>
      </c>
      <c r="G1470" s="568"/>
      <c r="H1470" s="569"/>
      <c r="I1470" s="570"/>
      <c r="J1470" s="571"/>
      <c r="K1470" s="572" t="s">
        <v>162</v>
      </c>
      <c r="L1470" s="573"/>
      <c r="M1470" s="574"/>
      <c r="N1470" s="575" t="s">
        <v>159</v>
      </c>
      <c r="O1470" s="576"/>
      <c r="P1470" s="576"/>
      <c r="Q1470" s="576"/>
      <c r="R1470" s="576"/>
      <c r="S1470" s="576"/>
      <c r="T1470" s="576"/>
      <c r="U1470" s="577"/>
    </row>
    <row r="1471" spans="1:21" ht="35.1" customHeight="1" x14ac:dyDescent="0.25">
      <c r="A1471" s="263">
        <f t="shared" si="22"/>
        <v>1457</v>
      </c>
      <c r="B1471" s="578" t="s">
        <v>159</v>
      </c>
      <c r="C1471" s="578"/>
      <c r="D1471" s="579" t="s">
        <v>159</v>
      </c>
      <c r="E1471" s="579"/>
      <c r="F1471" s="568" t="s">
        <v>162</v>
      </c>
      <c r="G1471" s="568"/>
      <c r="H1471" s="580"/>
      <c r="I1471" s="581"/>
      <c r="J1471" s="582"/>
      <c r="K1471" s="572" t="s">
        <v>162</v>
      </c>
      <c r="L1471" s="573"/>
      <c r="M1471" s="574"/>
      <c r="N1471" s="583" t="s">
        <v>159</v>
      </c>
      <c r="O1471" s="584"/>
      <c r="P1471" s="584"/>
      <c r="Q1471" s="584"/>
      <c r="R1471" s="584"/>
      <c r="S1471" s="584"/>
      <c r="T1471" s="584"/>
      <c r="U1471" s="585"/>
    </row>
    <row r="1472" spans="1:21" ht="35.1" customHeight="1" x14ac:dyDescent="0.25">
      <c r="A1472" s="263">
        <f t="shared" si="22"/>
        <v>1458</v>
      </c>
      <c r="B1472" s="566" t="s">
        <v>159</v>
      </c>
      <c r="C1472" s="566"/>
      <c r="D1472" s="567" t="s">
        <v>159</v>
      </c>
      <c r="E1472" s="567"/>
      <c r="F1472" s="568" t="s">
        <v>162</v>
      </c>
      <c r="G1472" s="568"/>
      <c r="H1472" s="569"/>
      <c r="I1472" s="570"/>
      <c r="J1472" s="571"/>
      <c r="K1472" s="572" t="s">
        <v>162</v>
      </c>
      <c r="L1472" s="573"/>
      <c r="M1472" s="574"/>
      <c r="N1472" s="575" t="s">
        <v>159</v>
      </c>
      <c r="O1472" s="576"/>
      <c r="P1472" s="576"/>
      <c r="Q1472" s="576"/>
      <c r="R1472" s="576"/>
      <c r="S1472" s="576"/>
      <c r="T1472" s="576"/>
      <c r="U1472" s="577"/>
    </row>
    <row r="1473" spans="1:21" ht="35.1" customHeight="1" x14ac:dyDescent="0.25">
      <c r="A1473" s="263">
        <f t="shared" si="22"/>
        <v>1459</v>
      </c>
      <c r="B1473" s="578" t="s">
        <v>447</v>
      </c>
      <c r="C1473" s="578"/>
      <c r="D1473" s="579" t="s">
        <v>159</v>
      </c>
      <c r="E1473" s="579"/>
      <c r="F1473" s="568" t="s">
        <v>162</v>
      </c>
      <c r="G1473" s="568"/>
      <c r="H1473" s="580"/>
      <c r="I1473" s="581"/>
      <c r="J1473" s="582"/>
      <c r="K1473" s="572" t="s">
        <v>162</v>
      </c>
      <c r="L1473" s="573"/>
      <c r="M1473" s="574"/>
      <c r="N1473" s="583" t="s">
        <v>159</v>
      </c>
      <c r="O1473" s="584"/>
      <c r="P1473" s="584"/>
      <c r="Q1473" s="584"/>
      <c r="R1473" s="584"/>
      <c r="S1473" s="584"/>
      <c r="T1473" s="584"/>
      <c r="U1473" s="585"/>
    </row>
    <row r="1474" spans="1:21" ht="35.1" customHeight="1" x14ac:dyDescent="0.25">
      <c r="A1474" s="263">
        <f t="shared" si="22"/>
        <v>1460</v>
      </c>
      <c r="B1474" s="566" t="s">
        <v>159</v>
      </c>
      <c r="C1474" s="566"/>
      <c r="D1474" s="567" t="s">
        <v>159</v>
      </c>
      <c r="E1474" s="567"/>
      <c r="F1474" s="568" t="s">
        <v>162</v>
      </c>
      <c r="G1474" s="568"/>
      <c r="H1474" s="569"/>
      <c r="I1474" s="570"/>
      <c r="J1474" s="571"/>
      <c r="K1474" s="572" t="s">
        <v>162</v>
      </c>
      <c r="L1474" s="573"/>
      <c r="M1474" s="574"/>
      <c r="N1474" s="575" t="s">
        <v>159</v>
      </c>
      <c r="O1474" s="576"/>
      <c r="P1474" s="576"/>
      <c r="Q1474" s="576"/>
      <c r="R1474" s="576"/>
      <c r="S1474" s="576"/>
      <c r="T1474" s="576"/>
      <c r="U1474" s="577"/>
    </row>
    <row r="1475" spans="1:21" ht="35.1" customHeight="1" x14ac:dyDescent="0.25">
      <c r="A1475" s="263">
        <f t="shared" si="22"/>
        <v>1461</v>
      </c>
      <c r="B1475" s="578" t="s">
        <v>159</v>
      </c>
      <c r="C1475" s="578"/>
      <c r="D1475" s="579" t="s">
        <v>159</v>
      </c>
      <c r="E1475" s="579"/>
      <c r="F1475" s="568" t="s">
        <v>162</v>
      </c>
      <c r="G1475" s="568"/>
      <c r="H1475" s="580"/>
      <c r="I1475" s="581"/>
      <c r="J1475" s="582"/>
      <c r="K1475" s="572" t="s">
        <v>162</v>
      </c>
      <c r="L1475" s="573"/>
      <c r="M1475" s="574"/>
      <c r="N1475" s="583" t="s">
        <v>159</v>
      </c>
      <c r="O1475" s="584"/>
      <c r="P1475" s="584"/>
      <c r="Q1475" s="584"/>
      <c r="R1475" s="584"/>
      <c r="S1475" s="584"/>
      <c r="T1475" s="584"/>
      <c r="U1475" s="585"/>
    </row>
    <row r="1476" spans="1:21" ht="35.1" customHeight="1" x14ac:dyDescent="0.25">
      <c r="A1476" s="263">
        <f t="shared" si="22"/>
        <v>1462</v>
      </c>
      <c r="B1476" s="566" t="s">
        <v>159</v>
      </c>
      <c r="C1476" s="566"/>
      <c r="D1476" s="567" t="s">
        <v>159</v>
      </c>
      <c r="E1476" s="567"/>
      <c r="F1476" s="568" t="s">
        <v>162</v>
      </c>
      <c r="G1476" s="568"/>
      <c r="H1476" s="569"/>
      <c r="I1476" s="570"/>
      <c r="J1476" s="571"/>
      <c r="K1476" s="572" t="s">
        <v>162</v>
      </c>
      <c r="L1476" s="573"/>
      <c r="M1476" s="574"/>
      <c r="N1476" s="575" t="s">
        <v>159</v>
      </c>
      <c r="O1476" s="576"/>
      <c r="P1476" s="576"/>
      <c r="Q1476" s="576"/>
      <c r="R1476" s="576"/>
      <c r="S1476" s="576"/>
      <c r="T1476" s="576"/>
      <c r="U1476" s="577"/>
    </row>
    <row r="1477" spans="1:21" ht="35.1" customHeight="1" x14ac:dyDescent="0.25">
      <c r="A1477" s="263">
        <f t="shared" si="22"/>
        <v>1463</v>
      </c>
      <c r="B1477" s="578" t="s">
        <v>159</v>
      </c>
      <c r="C1477" s="578"/>
      <c r="D1477" s="579" t="s">
        <v>159</v>
      </c>
      <c r="E1477" s="579"/>
      <c r="F1477" s="568" t="s">
        <v>162</v>
      </c>
      <c r="G1477" s="568"/>
      <c r="H1477" s="580"/>
      <c r="I1477" s="581"/>
      <c r="J1477" s="582"/>
      <c r="K1477" s="572" t="s">
        <v>162</v>
      </c>
      <c r="L1477" s="573"/>
      <c r="M1477" s="574"/>
      <c r="N1477" s="583" t="s">
        <v>159</v>
      </c>
      <c r="O1477" s="584"/>
      <c r="P1477" s="584"/>
      <c r="Q1477" s="584"/>
      <c r="R1477" s="584"/>
      <c r="S1477" s="584"/>
      <c r="T1477" s="584"/>
      <c r="U1477" s="585"/>
    </row>
    <row r="1478" spans="1:21" ht="35.1" customHeight="1" x14ac:dyDescent="0.25">
      <c r="A1478" s="263">
        <f t="shared" si="22"/>
        <v>1464</v>
      </c>
      <c r="B1478" s="566" t="s">
        <v>159</v>
      </c>
      <c r="C1478" s="566"/>
      <c r="D1478" s="567" t="s">
        <v>159</v>
      </c>
      <c r="E1478" s="567"/>
      <c r="F1478" s="568" t="s">
        <v>162</v>
      </c>
      <c r="G1478" s="568"/>
      <c r="H1478" s="569"/>
      <c r="I1478" s="570"/>
      <c r="J1478" s="571"/>
      <c r="K1478" s="572" t="s">
        <v>162</v>
      </c>
      <c r="L1478" s="573"/>
      <c r="M1478" s="574"/>
      <c r="N1478" s="575" t="s">
        <v>159</v>
      </c>
      <c r="O1478" s="576"/>
      <c r="P1478" s="576"/>
      <c r="Q1478" s="576"/>
      <c r="R1478" s="576"/>
      <c r="S1478" s="576"/>
      <c r="T1478" s="576"/>
      <c r="U1478" s="577"/>
    </row>
    <row r="1479" spans="1:21" ht="35.1" customHeight="1" x14ac:dyDescent="0.25">
      <c r="A1479" s="263">
        <f t="shared" si="22"/>
        <v>1465</v>
      </c>
      <c r="B1479" s="578" t="s">
        <v>159</v>
      </c>
      <c r="C1479" s="578"/>
      <c r="D1479" s="579" t="s">
        <v>159</v>
      </c>
      <c r="E1479" s="579"/>
      <c r="F1479" s="568" t="s">
        <v>162</v>
      </c>
      <c r="G1479" s="568"/>
      <c r="H1479" s="580"/>
      <c r="I1479" s="581"/>
      <c r="J1479" s="582"/>
      <c r="K1479" s="572" t="s">
        <v>162</v>
      </c>
      <c r="L1479" s="573"/>
      <c r="M1479" s="574"/>
      <c r="N1479" s="583" t="s">
        <v>159</v>
      </c>
      <c r="O1479" s="584"/>
      <c r="P1479" s="584"/>
      <c r="Q1479" s="584"/>
      <c r="R1479" s="584"/>
      <c r="S1479" s="584"/>
      <c r="T1479" s="584"/>
      <c r="U1479" s="585"/>
    </row>
    <row r="1480" spans="1:21" ht="35.1" customHeight="1" x14ac:dyDescent="0.25">
      <c r="A1480" s="263">
        <f t="shared" si="22"/>
        <v>1466</v>
      </c>
      <c r="B1480" s="566" t="s">
        <v>159</v>
      </c>
      <c r="C1480" s="566"/>
      <c r="D1480" s="567" t="s">
        <v>159</v>
      </c>
      <c r="E1480" s="567"/>
      <c r="F1480" s="568" t="s">
        <v>162</v>
      </c>
      <c r="G1480" s="568"/>
      <c r="H1480" s="569"/>
      <c r="I1480" s="570"/>
      <c r="J1480" s="571"/>
      <c r="K1480" s="572" t="s">
        <v>162</v>
      </c>
      <c r="L1480" s="573"/>
      <c r="M1480" s="574"/>
      <c r="N1480" s="575" t="s">
        <v>159</v>
      </c>
      <c r="O1480" s="576"/>
      <c r="P1480" s="576"/>
      <c r="Q1480" s="576"/>
      <c r="R1480" s="576"/>
      <c r="S1480" s="576"/>
      <c r="T1480" s="576"/>
      <c r="U1480" s="577"/>
    </row>
    <row r="1481" spans="1:21" ht="35.1" customHeight="1" x14ac:dyDescent="0.25">
      <c r="A1481" s="263">
        <f t="shared" si="22"/>
        <v>1467</v>
      </c>
      <c r="B1481" s="578" t="s">
        <v>159</v>
      </c>
      <c r="C1481" s="578"/>
      <c r="D1481" s="579" t="s">
        <v>159</v>
      </c>
      <c r="E1481" s="579"/>
      <c r="F1481" s="568" t="s">
        <v>162</v>
      </c>
      <c r="G1481" s="568"/>
      <c r="H1481" s="580"/>
      <c r="I1481" s="581"/>
      <c r="J1481" s="582"/>
      <c r="K1481" s="572" t="s">
        <v>162</v>
      </c>
      <c r="L1481" s="573"/>
      <c r="M1481" s="574"/>
      <c r="N1481" s="583" t="s">
        <v>159</v>
      </c>
      <c r="O1481" s="584"/>
      <c r="P1481" s="584"/>
      <c r="Q1481" s="584"/>
      <c r="R1481" s="584"/>
      <c r="S1481" s="584"/>
      <c r="T1481" s="584"/>
      <c r="U1481" s="585"/>
    </row>
    <row r="1482" spans="1:21" ht="35.1" customHeight="1" x14ac:dyDescent="0.25">
      <c r="A1482" s="263">
        <f t="shared" si="22"/>
        <v>1468</v>
      </c>
      <c r="B1482" s="566" t="s">
        <v>444</v>
      </c>
      <c r="C1482" s="566"/>
      <c r="D1482" s="567" t="s">
        <v>159</v>
      </c>
      <c r="E1482" s="567"/>
      <c r="F1482" s="568" t="s">
        <v>162</v>
      </c>
      <c r="G1482" s="568"/>
      <c r="H1482" s="569"/>
      <c r="I1482" s="570"/>
      <c r="J1482" s="571"/>
      <c r="K1482" s="572" t="s">
        <v>162</v>
      </c>
      <c r="L1482" s="573"/>
      <c r="M1482" s="574"/>
      <c r="N1482" s="575" t="s">
        <v>159</v>
      </c>
      <c r="O1482" s="576"/>
      <c r="P1482" s="576"/>
      <c r="Q1482" s="576"/>
      <c r="R1482" s="576"/>
      <c r="S1482" s="576"/>
      <c r="T1482" s="576"/>
      <c r="U1482" s="577"/>
    </row>
    <row r="1483" spans="1:21" ht="35.1" customHeight="1" x14ac:dyDescent="0.25">
      <c r="A1483" s="263">
        <f t="shared" si="22"/>
        <v>1469</v>
      </c>
      <c r="B1483" s="578" t="s">
        <v>159</v>
      </c>
      <c r="C1483" s="578"/>
      <c r="D1483" s="579" t="s">
        <v>159</v>
      </c>
      <c r="E1483" s="579"/>
      <c r="F1483" s="568" t="s">
        <v>162</v>
      </c>
      <c r="G1483" s="568"/>
      <c r="H1483" s="580"/>
      <c r="I1483" s="581"/>
      <c r="J1483" s="582"/>
      <c r="K1483" s="572" t="s">
        <v>162</v>
      </c>
      <c r="L1483" s="573"/>
      <c r="M1483" s="574"/>
      <c r="N1483" s="583" t="s">
        <v>159</v>
      </c>
      <c r="O1483" s="584"/>
      <c r="P1483" s="584"/>
      <c r="Q1483" s="584"/>
      <c r="R1483" s="584"/>
      <c r="S1483" s="584"/>
      <c r="T1483" s="584"/>
      <c r="U1483" s="585"/>
    </row>
    <row r="1484" spans="1:21" ht="35.1" customHeight="1" x14ac:dyDescent="0.25">
      <c r="A1484" s="263">
        <f t="shared" si="22"/>
        <v>1470</v>
      </c>
      <c r="B1484" s="566" t="s">
        <v>159</v>
      </c>
      <c r="C1484" s="566"/>
      <c r="D1484" s="567" t="s">
        <v>159</v>
      </c>
      <c r="E1484" s="567"/>
      <c r="F1484" s="568" t="s">
        <v>162</v>
      </c>
      <c r="G1484" s="568"/>
      <c r="H1484" s="569"/>
      <c r="I1484" s="570"/>
      <c r="J1484" s="571"/>
      <c r="K1484" s="572" t="s">
        <v>162</v>
      </c>
      <c r="L1484" s="573"/>
      <c r="M1484" s="574"/>
      <c r="N1484" s="575" t="s">
        <v>159</v>
      </c>
      <c r="O1484" s="576"/>
      <c r="P1484" s="576"/>
      <c r="Q1484" s="576"/>
      <c r="R1484" s="576"/>
      <c r="S1484" s="576"/>
      <c r="T1484" s="576"/>
      <c r="U1484" s="577"/>
    </row>
    <row r="1485" spans="1:21" ht="35.1" customHeight="1" x14ac:dyDescent="0.25">
      <c r="A1485" s="263">
        <f t="shared" si="22"/>
        <v>1471</v>
      </c>
      <c r="B1485" s="578" t="s">
        <v>159</v>
      </c>
      <c r="C1485" s="578"/>
      <c r="D1485" s="579" t="s">
        <v>159</v>
      </c>
      <c r="E1485" s="579"/>
      <c r="F1485" s="568" t="s">
        <v>162</v>
      </c>
      <c r="G1485" s="568"/>
      <c r="H1485" s="580"/>
      <c r="I1485" s="581"/>
      <c r="J1485" s="582"/>
      <c r="K1485" s="572" t="s">
        <v>162</v>
      </c>
      <c r="L1485" s="573"/>
      <c r="M1485" s="574"/>
      <c r="N1485" s="583" t="s">
        <v>159</v>
      </c>
      <c r="O1485" s="584"/>
      <c r="P1485" s="584"/>
      <c r="Q1485" s="584"/>
      <c r="R1485" s="584"/>
      <c r="S1485" s="584"/>
      <c r="T1485" s="584"/>
      <c r="U1485" s="585"/>
    </row>
    <row r="1486" spans="1:21" ht="35.1" customHeight="1" x14ac:dyDescent="0.25">
      <c r="A1486" s="263">
        <f t="shared" si="22"/>
        <v>1472</v>
      </c>
      <c r="B1486" s="566" t="s">
        <v>159</v>
      </c>
      <c r="C1486" s="566"/>
      <c r="D1486" s="567" t="s">
        <v>159</v>
      </c>
      <c r="E1486" s="567"/>
      <c r="F1486" s="568" t="s">
        <v>162</v>
      </c>
      <c r="G1486" s="568"/>
      <c r="H1486" s="569"/>
      <c r="I1486" s="570"/>
      <c r="J1486" s="571"/>
      <c r="K1486" s="572" t="s">
        <v>162</v>
      </c>
      <c r="L1486" s="573"/>
      <c r="M1486" s="574"/>
      <c r="N1486" s="575" t="s">
        <v>159</v>
      </c>
      <c r="O1486" s="576"/>
      <c r="P1486" s="576"/>
      <c r="Q1486" s="576"/>
      <c r="R1486" s="576"/>
      <c r="S1486" s="576"/>
      <c r="T1486" s="576"/>
      <c r="U1486" s="577"/>
    </row>
    <row r="1487" spans="1:21" ht="35.1" customHeight="1" x14ac:dyDescent="0.25">
      <c r="A1487" s="263">
        <f t="shared" ref="A1487:A1514" si="23">ROW(A1473)</f>
        <v>1473</v>
      </c>
      <c r="B1487" s="578" t="s">
        <v>159</v>
      </c>
      <c r="C1487" s="578"/>
      <c r="D1487" s="579" t="s">
        <v>159</v>
      </c>
      <c r="E1487" s="579"/>
      <c r="F1487" s="568" t="s">
        <v>162</v>
      </c>
      <c r="G1487" s="568"/>
      <c r="H1487" s="580"/>
      <c r="I1487" s="581"/>
      <c r="J1487" s="582"/>
      <c r="K1487" s="572" t="s">
        <v>162</v>
      </c>
      <c r="L1487" s="573"/>
      <c r="M1487" s="574"/>
      <c r="N1487" s="583" t="s">
        <v>159</v>
      </c>
      <c r="O1487" s="584"/>
      <c r="P1487" s="584"/>
      <c r="Q1487" s="584"/>
      <c r="R1487" s="584"/>
      <c r="S1487" s="584"/>
      <c r="T1487" s="584"/>
      <c r="U1487" s="585"/>
    </row>
    <row r="1488" spans="1:21" ht="35.1" customHeight="1" x14ac:dyDescent="0.25">
      <c r="A1488" s="263">
        <f t="shared" si="23"/>
        <v>1474</v>
      </c>
      <c r="B1488" s="566" t="s">
        <v>159</v>
      </c>
      <c r="C1488" s="566"/>
      <c r="D1488" s="567" t="s">
        <v>159</v>
      </c>
      <c r="E1488" s="567"/>
      <c r="F1488" s="568" t="s">
        <v>162</v>
      </c>
      <c r="G1488" s="568"/>
      <c r="H1488" s="569"/>
      <c r="I1488" s="570"/>
      <c r="J1488" s="571"/>
      <c r="K1488" s="572" t="s">
        <v>162</v>
      </c>
      <c r="L1488" s="573"/>
      <c r="M1488" s="574"/>
      <c r="N1488" s="575" t="s">
        <v>159</v>
      </c>
      <c r="O1488" s="576"/>
      <c r="P1488" s="576"/>
      <c r="Q1488" s="576"/>
      <c r="R1488" s="576"/>
      <c r="S1488" s="576"/>
      <c r="T1488" s="576"/>
      <c r="U1488" s="577"/>
    </row>
    <row r="1489" spans="1:21" ht="35.1" customHeight="1" x14ac:dyDescent="0.25">
      <c r="A1489" s="263">
        <f t="shared" si="23"/>
        <v>1475</v>
      </c>
      <c r="B1489" s="578" t="s">
        <v>159</v>
      </c>
      <c r="C1489" s="578"/>
      <c r="D1489" s="579" t="s">
        <v>159</v>
      </c>
      <c r="E1489" s="579"/>
      <c r="F1489" s="568" t="s">
        <v>162</v>
      </c>
      <c r="G1489" s="568"/>
      <c r="H1489" s="580"/>
      <c r="I1489" s="581"/>
      <c r="J1489" s="582"/>
      <c r="K1489" s="572" t="s">
        <v>162</v>
      </c>
      <c r="L1489" s="573"/>
      <c r="M1489" s="574"/>
      <c r="N1489" s="583" t="s">
        <v>159</v>
      </c>
      <c r="O1489" s="584"/>
      <c r="P1489" s="584"/>
      <c r="Q1489" s="584"/>
      <c r="R1489" s="584"/>
      <c r="S1489" s="584"/>
      <c r="T1489" s="584"/>
      <c r="U1489" s="585"/>
    </row>
    <row r="1490" spans="1:21" ht="35.1" customHeight="1" x14ac:dyDescent="0.25">
      <c r="A1490" s="263">
        <f t="shared" si="23"/>
        <v>1476</v>
      </c>
      <c r="B1490" s="566" t="s">
        <v>450</v>
      </c>
      <c r="C1490" s="566"/>
      <c r="D1490" s="567" t="s">
        <v>159</v>
      </c>
      <c r="E1490" s="567"/>
      <c r="F1490" s="568" t="s">
        <v>162</v>
      </c>
      <c r="G1490" s="568"/>
      <c r="H1490" s="569"/>
      <c r="I1490" s="570"/>
      <c r="J1490" s="571"/>
      <c r="K1490" s="572" t="s">
        <v>162</v>
      </c>
      <c r="L1490" s="573"/>
      <c r="M1490" s="574"/>
      <c r="N1490" s="575" t="s">
        <v>159</v>
      </c>
      <c r="O1490" s="576"/>
      <c r="P1490" s="576"/>
      <c r="Q1490" s="576"/>
      <c r="R1490" s="576"/>
      <c r="S1490" s="576"/>
      <c r="T1490" s="576"/>
      <c r="U1490" s="577"/>
    </row>
    <row r="1491" spans="1:21" ht="35.1" customHeight="1" x14ac:dyDescent="0.25">
      <c r="A1491" s="263">
        <f t="shared" si="23"/>
        <v>1477</v>
      </c>
      <c r="B1491" s="578" t="s">
        <v>159</v>
      </c>
      <c r="C1491" s="578"/>
      <c r="D1491" s="579" t="s">
        <v>159</v>
      </c>
      <c r="E1491" s="579"/>
      <c r="F1491" s="568" t="s">
        <v>162</v>
      </c>
      <c r="G1491" s="568"/>
      <c r="H1491" s="580"/>
      <c r="I1491" s="581"/>
      <c r="J1491" s="582"/>
      <c r="K1491" s="572" t="s">
        <v>162</v>
      </c>
      <c r="L1491" s="573"/>
      <c r="M1491" s="574"/>
      <c r="N1491" s="583" t="s">
        <v>159</v>
      </c>
      <c r="O1491" s="584"/>
      <c r="P1491" s="584"/>
      <c r="Q1491" s="584"/>
      <c r="R1491" s="584"/>
      <c r="S1491" s="584"/>
      <c r="T1491" s="584"/>
      <c r="U1491" s="585"/>
    </row>
    <row r="1492" spans="1:21" ht="35.1" customHeight="1" x14ac:dyDescent="0.25">
      <c r="A1492" s="263">
        <f t="shared" si="23"/>
        <v>1478</v>
      </c>
      <c r="B1492" s="566" t="s">
        <v>159</v>
      </c>
      <c r="C1492" s="566"/>
      <c r="D1492" s="567" t="s">
        <v>159</v>
      </c>
      <c r="E1492" s="567"/>
      <c r="F1492" s="568" t="s">
        <v>162</v>
      </c>
      <c r="G1492" s="568"/>
      <c r="H1492" s="569"/>
      <c r="I1492" s="570"/>
      <c r="J1492" s="571"/>
      <c r="K1492" s="572" t="s">
        <v>162</v>
      </c>
      <c r="L1492" s="573"/>
      <c r="M1492" s="574"/>
      <c r="N1492" s="575" t="s">
        <v>159</v>
      </c>
      <c r="O1492" s="576"/>
      <c r="P1492" s="576"/>
      <c r="Q1492" s="576"/>
      <c r="R1492" s="576"/>
      <c r="S1492" s="576"/>
      <c r="T1492" s="576"/>
      <c r="U1492" s="577"/>
    </row>
    <row r="1493" spans="1:21" ht="35.1" customHeight="1" x14ac:dyDescent="0.25">
      <c r="A1493" s="263">
        <f t="shared" si="23"/>
        <v>1479</v>
      </c>
      <c r="B1493" s="578" t="s">
        <v>159</v>
      </c>
      <c r="C1493" s="578"/>
      <c r="D1493" s="579" t="s">
        <v>159</v>
      </c>
      <c r="E1493" s="579"/>
      <c r="F1493" s="568" t="s">
        <v>162</v>
      </c>
      <c r="G1493" s="568"/>
      <c r="H1493" s="580"/>
      <c r="I1493" s="581"/>
      <c r="J1493" s="582"/>
      <c r="K1493" s="572" t="s">
        <v>162</v>
      </c>
      <c r="L1493" s="573"/>
      <c r="M1493" s="574"/>
      <c r="N1493" s="583" t="s">
        <v>159</v>
      </c>
      <c r="O1493" s="584"/>
      <c r="P1493" s="584"/>
      <c r="Q1493" s="584"/>
      <c r="R1493" s="584"/>
      <c r="S1493" s="584"/>
      <c r="T1493" s="584"/>
      <c r="U1493" s="585"/>
    </row>
    <row r="1494" spans="1:21" ht="35.1" customHeight="1" x14ac:dyDescent="0.25">
      <c r="A1494" s="263">
        <f t="shared" si="23"/>
        <v>1480</v>
      </c>
      <c r="B1494" s="566" t="s">
        <v>159</v>
      </c>
      <c r="C1494" s="566"/>
      <c r="D1494" s="567" t="s">
        <v>159</v>
      </c>
      <c r="E1494" s="567"/>
      <c r="F1494" s="568" t="s">
        <v>162</v>
      </c>
      <c r="G1494" s="568"/>
      <c r="H1494" s="569"/>
      <c r="I1494" s="570"/>
      <c r="J1494" s="571"/>
      <c r="K1494" s="572" t="s">
        <v>162</v>
      </c>
      <c r="L1494" s="573"/>
      <c r="M1494" s="574"/>
      <c r="N1494" s="575" t="s">
        <v>159</v>
      </c>
      <c r="O1494" s="576"/>
      <c r="P1494" s="576"/>
      <c r="Q1494" s="576"/>
      <c r="R1494" s="576"/>
      <c r="S1494" s="576"/>
      <c r="T1494" s="576"/>
      <c r="U1494" s="577"/>
    </row>
    <row r="1495" spans="1:21" ht="35.1" customHeight="1" x14ac:dyDescent="0.25">
      <c r="A1495" s="263">
        <f t="shared" si="23"/>
        <v>1481</v>
      </c>
      <c r="B1495" s="578" t="s">
        <v>159</v>
      </c>
      <c r="C1495" s="578"/>
      <c r="D1495" s="579" t="s">
        <v>159</v>
      </c>
      <c r="E1495" s="579"/>
      <c r="F1495" s="568" t="s">
        <v>162</v>
      </c>
      <c r="G1495" s="568"/>
      <c r="H1495" s="580"/>
      <c r="I1495" s="581"/>
      <c r="J1495" s="582"/>
      <c r="K1495" s="572" t="s">
        <v>162</v>
      </c>
      <c r="L1495" s="573"/>
      <c r="M1495" s="574"/>
      <c r="N1495" s="583" t="s">
        <v>159</v>
      </c>
      <c r="O1495" s="584"/>
      <c r="P1495" s="584"/>
      <c r="Q1495" s="584"/>
      <c r="R1495" s="584"/>
      <c r="S1495" s="584"/>
      <c r="T1495" s="584"/>
      <c r="U1495" s="585"/>
    </row>
    <row r="1496" spans="1:21" ht="35.1" customHeight="1" x14ac:dyDescent="0.25">
      <c r="A1496" s="263">
        <f t="shared" si="23"/>
        <v>1482</v>
      </c>
      <c r="B1496" s="566" t="s">
        <v>159</v>
      </c>
      <c r="C1496" s="566"/>
      <c r="D1496" s="567" t="s">
        <v>159</v>
      </c>
      <c r="E1496" s="567"/>
      <c r="F1496" s="568" t="s">
        <v>162</v>
      </c>
      <c r="G1496" s="568"/>
      <c r="H1496" s="569"/>
      <c r="I1496" s="570"/>
      <c r="J1496" s="571"/>
      <c r="K1496" s="572" t="s">
        <v>162</v>
      </c>
      <c r="L1496" s="573"/>
      <c r="M1496" s="574"/>
      <c r="N1496" s="575" t="s">
        <v>159</v>
      </c>
      <c r="O1496" s="576"/>
      <c r="P1496" s="576"/>
      <c r="Q1496" s="576"/>
      <c r="R1496" s="576"/>
      <c r="S1496" s="576"/>
      <c r="T1496" s="576"/>
      <c r="U1496" s="577"/>
    </row>
    <row r="1497" spans="1:21" ht="35.1" customHeight="1" x14ac:dyDescent="0.25">
      <c r="A1497" s="263">
        <f t="shared" si="23"/>
        <v>1483</v>
      </c>
      <c r="B1497" s="578" t="s">
        <v>159</v>
      </c>
      <c r="C1497" s="578"/>
      <c r="D1497" s="579" t="s">
        <v>159</v>
      </c>
      <c r="E1497" s="579"/>
      <c r="F1497" s="568" t="s">
        <v>162</v>
      </c>
      <c r="G1497" s="568"/>
      <c r="H1497" s="580"/>
      <c r="I1497" s="581"/>
      <c r="J1497" s="582"/>
      <c r="K1497" s="572" t="s">
        <v>162</v>
      </c>
      <c r="L1497" s="573"/>
      <c r="M1497" s="574"/>
      <c r="N1497" s="583" t="s">
        <v>159</v>
      </c>
      <c r="O1497" s="584"/>
      <c r="P1497" s="584"/>
      <c r="Q1497" s="584"/>
      <c r="R1497" s="584"/>
      <c r="S1497" s="584"/>
      <c r="T1497" s="584"/>
      <c r="U1497" s="585"/>
    </row>
    <row r="1498" spans="1:21" ht="35.1" customHeight="1" x14ac:dyDescent="0.25">
      <c r="A1498" s="263">
        <f t="shared" si="23"/>
        <v>1484</v>
      </c>
      <c r="B1498" s="566" t="s">
        <v>159</v>
      </c>
      <c r="C1498" s="566"/>
      <c r="D1498" s="567" t="s">
        <v>159</v>
      </c>
      <c r="E1498" s="567"/>
      <c r="F1498" s="568" t="s">
        <v>162</v>
      </c>
      <c r="G1498" s="568"/>
      <c r="H1498" s="569"/>
      <c r="I1498" s="570"/>
      <c r="J1498" s="571"/>
      <c r="K1498" s="572" t="s">
        <v>162</v>
      </c>
      <c r="L1498" s="573"/>
      <c r="M1498" s="574"/>
      <c r="N1498" s="575" t="s">
        <v>159</v>
      </c>
      <c r="O1498" s="576"/>
      <c r="P1498" s="576"/>
      <c r="Q1498" s="576"/>
      <c r="R1498" s="576"/>
      <c r="S1498" s="576"/>
      <c r="T1498" s="576"/>
      <c r="U1498" s="577"/>
    </row>
    <row r="1499" spans="1:21" ht="35.1" customHeight="1" x14ac:dyDescent="0.25">
      <c r="A1499" s="263">
        <f t="shared" si="23"/>
        <v>1485</v>
      </c>
      <c r="B1499" s="578" t="s">
        <v>159</v>
      </c>
      <c r="C1499" s="578"/>
      <c r="D1499" s="579" t="s">
        <v>159</v>
      </c>
      <c r="E1499" s="579"/>
      <c r="F1499" s="568" t="s">
        <v>162</v>
      </c>
      <c r="G1499" s="568"/>
      <c r="H1499" s="580"/>
      <c r="I1499" s="581"/>
      <c r="J1499" s="582"/>
      <c r="K1499" s="572" t="s">
        <v>162</v>
      </c>
      <c r="L1499" s="573"/>
      <c r="M1499" s="574"/>
      <c r="N1499" s="583" t="s">
        <v>159</v>
      </c>
      <c r="O1499" s="584"/>
      <c r="P1499" s="584"/>
      <c r="Q1499" s="584"/>
      <c r="R1499" s="584"/>
      <c r="S1499" s="584"/>
      <c r="T1499" s="584"/>
      <c r="U1499" s="585"/>
    </row>
    <row r="1500" spans="1:21" ht="35.1" customHeight="1" x14ac:dyDescent="0.25">
      <c r="A1500" s="263">
        <f t="shared" si="23"/>
        <v>1486</v>
      </c>
      <c r="B1500" s="566" t="s">
        <v>159</v>
      </c>
      <c r="C1500" s="566"/>
      <c r="D1500" s="567" t="s">
        <v>159</v>
      </c>
      <c r="E1500" s="567"/>
      <c r="F1500" s="568" t="s">
        <v>162</v>
      </c>
      <c r="G1500" s="568"/>
      <c r="H1500" s="569"/>
      <c r="I1500" s="570"/>
      <c r="J1500" s="571"/>
      <c r="K1500" s="572" t="s">
        <v>162</v>
      </c>
      <c r="L1500" s="573"/>
      <c r="M1500" s="574"/>
      <c r="N1500" s="575" t="s">
        <v>159</v>
      </c>
      <c r="O1500" s="576"/>
      <c r="P1500" s="576"/>
      <c r="Q1500" s="576"/>
      <c r="R1500" s="576"/>
      <c r="S1500" s="576"/>
      <c r="T1500" s="576"/>
      <c r="U1500" s="577"/>
    </row>
    <row r="1501" spans="1:21" ht="35.1" customHeight="1" x14ac:dyDescent="0.25">
      <c r="A1501" s="263">
        <f t="shared" si="23"/>
        <v>1487</v>
      </c>
      <c r="B1501" s="578" t="s">
        <v>159</v>
      </c>
      <c r="C1501" s="578"/>
      <c r="D1501" s="579" t="s">
        <v>159</v>
      </c>
      <c r="E1501" s="579"/>
      <c r="F1501" s="568" t="s">
        <v>162</v>
      </c>
      <c r="G1501" s="568"/>
      <c r="H1501" s="580"/>
      <c r="I1501" s="581"/>
      <c r="J1501" s="582"/>
      <c r="K1501" s="572" t="s">
        <v>162</v>
      </c>
      <c r="L1501" s="573"/>
      <c r="M1501" s="574"/>
      <c r="N1501" s="583" t="s">
        <v>159</v>
      </c>
      <c r="O1501" s="584"/>
      <c r="P1501" s="584"/>
      <c r="Q1501" s="584"/>
      <c r="R1501" s="584"/>
      <c r="S1501" s="584"/>
      <c r="T1501" s="584"/>
      <c r="U1501" s="585"/>
    </row>
    <row r="1502" spans="1:21" ht="35.1" customHeight="1" x14ac:dyDescent="0.25">
      <c r="A1502" s="263">
        <f t="shared" si="23"/>
        <v>1488</v>
      </c>
      <c r="B1502" s="566" t="s">
        <v>448</v>
      </c>
      <c r="C1502" s="566"/>
      <c r="D1502" s="567" t="s">
        <v>159</v>
      </c>
      <c r="E1502" s="567"/>
      <c r="F1502" s="568" t="s">
        <v>162</v>
      </c>
      <c r="G1502" s="568"/>
      <c r="H1502" s="569"/>
      <c r="I1502" s="570"/>
      <c r="J1502" s="571"/>
      <c r="K1502" s="572" t="s">
        <v>162</v>
      </c>
      <c r="L1502" s="573"/>
      <c r="M1502" s="574"/>
      <c r="N1502" s="575" t="s">
        <v>159</v>
      </c>
      <c r="O1502" s="576"/>
      <c r="P1502" s="576"/>
      <c r="Q1502" s="576"/>
      <c r="R1502" s="576"/>
      <c r="S1502" s="576"/>
      <c r="T1502" s="576"/>
      <c r="U1502" s="577"/>
    </row>
    <row r="1503" spans="1:21" ht="35.1" customHeight="1" x14ac:dyDescent="0.25">
      <c r="A1503" s="263">
        <f t="shared" si="23"/>
        <v>1489</v>
      </c>
      <c r="B1503" s="578" t="s">
        <v>159</v>
      </c>
      <c r="C1503" s="578"/>
      <c r="D1503" s="579" t="s">
        <v>159</v>
      </c>
      <c r="E1503" s="579"/>
      <c r="F1503" s="568" t="s">
        <v>162</v>
      </c>
      <c r="G1503" s="568"/>
      <c r="H1503" s="580"/>
      <c r="I1503" s="581"/>
      <c r="J1503" s="582"/>
      <c r="K1503" s="572" t="s">
        <v>162</v>
      </c>
      <c r="L1503" s="573"/>
      <c r="M1503" s="574"/>
      <c r="N1503" s="583" t="s">
        <v>159</v>
      </c>
      <c r="O1503" s="584"/>
      <c r="P1503" s="584"/>
      <c r="Q1503" s="584"/>
      <c r="R1503" s="584"/>
      <c r="S1503" s="584"/>
      <c r="T1503" s="584"/>
      <c r="U1503" s="585"/>
    </row>
    <row r="1504" spans="1:21" ht="35.1" customHeight="1" x14ac:dyDescent="0.25">
      <c r="A1504" s="263">
        <f t="shared" si="23"/>
        <v>1490</v>
      </c>
      <c r="B1504" s="566" t="s">
        <v>159</v>
      </c>
      <c r="C1504" s="566"/>
      <c r="D1504" s="567" t="s">
        <v>159</v>
      </c>
      <c r="E1504" s="567"/>
      <c r="F1504" s="568" t="s">
        <v>162</v>
      </c>
      <c r="G1504" s="568"/>
      <c r="H1504" s="569"/>
      <c r="I1504" s="570"/>
      <c r="J1504" s="571"/>
      <c r="K1504" s="572" t="s">
        <v>162</v>
      </c>
      <c r="L1504" s="573"/>
      <c r="M1504" s="574"/>
      <c r="N1504" s="575" t="s">
        <v>159</v>
      </c>
      <c r="O1504" s="576"/>
      <c r="P1504" s="576"/>
      <c r="Q1504" s="576"/>
      <c r="R1504" s="576"/>
      <c r="S1504" s="576"/>
      <c r="T1504" s="576"/>
      <c r="U1504" s="577"/>
    </row>
    <row r="1505" spans="1:21" ht="35.1" customHeight="1" x14ac:dyDescent="0.25">
      <c r="A1505" s="263">
        <f t="shared" si="23"/>
        <v>1491</v>
      </c>
      <c r="B1505" s="578" t="s">
        <v>159</v>
      </c>
      <c r="C1505" s="578"/>
      <c r="D1505" s="579" t="s">
        <v>159</v>
      </c>
      <c r="E1505" s="579"/>
      <c r="F1505" s="568" t="s">
        <v>162</v>
      </c>
      <c r="G1505" s="568"/>
      <c r="H1505" s="580"/>
      <c r="I1505" s="581"/>
      <c r="J1505" s="582"/>
      <c r="K1505" s="572" t="s">
        <v>162</v>
      </c>
      <c r="L1505" s="573"/>
      <c r="M1505" s="574"/>
      <c r="N1505" s="583" t="s">
        <v>159</v>
      </c>
      <c r="O1505" s="584"/>
      <c r="P1505" s="584"/>
      <c r="Q1505" s="584"/>
      <c r="R1505" s="584"/>
      <c r="S1505" s="584"/>
      <c r="T1505" s="584"/>
      <c r="U1505" s="585"/>
    </row>
    <row r="1506" spans="1:21" ht="35.1" customHeight="1" x14ac:dyDescent="0.25">
      <c r="A1506" s="263">
        <f t="shared" si="23"/>
        <v>1492</v>
      </c>
      <c r="B1506" s="566" t="s">
        <v>159</v>
      </c>
      <c r="C1506" s="566"/>
      <c r="D1506" s="567" t="s">
        <v>159</v>
      </c>
      <c r="E1506" s="567"/>
      <c r="F1506" s="568" t="s">
        <v>162</v>
      </c>
      <c r="G1506" s="568"/>
      <c r="H1506" s="569"/>
      <c r="I1506" s="570"/>
      <c r="J1506" s="571"/>
      <c r="K1506" s="572" t="s">
        <v>162</v>
      </c>
      <c r="L1506" s="573"/>
      <c r="M1506" s="574"/>
      <c r="N1506" s="575" t="s">
        <v>159</v>
      </c>
      <c r="O1506" s="576"/>
      <c r="P1506" s="576"/>
      <c r="Q1506" s="576"/>
      <c r="R1506" s="576"/>
      <c r="S1506" s="576"/>
      <c r="T1506" s="576"/>
      <c r="U1506" s="577"/>
    </row>
    <row r="1507" spans="1:21" ht="35.1" customHeight="1" x14ac:dyDescent="0.25">
      <c r="A1507" s="263">
        <f t="shared" si="23"/>
        <v>1493</v>
      </c>
      <c r="B1507" s="578" t="s">
        <v>159</v>
      </c>
      <c r="C1507" s="578"/>
      <c r="D1507" s="579" t="s">
        <v>159</v>
      </c>
      <c r="E1507" s="579"/>
      <c r="F1507" s="568" t="s">
        <v>162</v>
      </c>
      <c r="G1507" s="568"/>
      <c r="H1507" s="580"/>
      <c r="I1507" s="581"/>
      <c r="J1507" s="582"/>
      <c r="K1507" s="572" t="s">
        <v>162</v>
      </c>
      <c r="L1507" s="573"/>
      <c r="M1507" s="574"/>
      <c r="N1507" s="583" t="s">
        <v>159</v>
      </c>
      <c r="O1507" s="584"/>
      <c r="P1507" s="584"/>
      <c r="Q1507" s="584"/>
      <c r="R1507" s="584"/>
      <c r="S1507" s="584"/>
      <c r="T1507" s="584"/>
      <c r="U1507" s="585"/>
    </row>
    <row r="1508" spans="1:21" ht="35.1" customHeight="1" x14ac:dyDescent="0.25">
      <c r="A1508" s="263">
        <f t="shared" si="23"/>
        <v>1494</v>
      </c>
      <c r="B1508" s="566" t="s">
        <v>159</v>
      </c>
      <c r="C1508" s="566"/>
      <c r="D1508" s="567" t="s">
        <v>159</v>
      </c>
      <c r="E1508" s="567"/>
      <c r="F1508" s="568" t="s">
        <v>162</v>
      </c>
      <c r="G1508" s="568"/>
      <c r="H1508" s="569"/>
      <c r="I1508" s="570"/>
      <c r="J1508" s="571"/>
      <c r="K1508" s="572" t="s">
        <v>162</v>
      </c>
      <c r="L1508" s="573"/>
      <c r="M1508" s="574"/>
      <c r="N1508" s="575" t="s">
        <v>159</v>
      </c>
      <c r="O1508" s="576"/>
      <c r="P1508" s="576"/>
      <c r="Q1508" s="576"/>
      <c r="R1508" s="576"/>
      <c r="S1508" s="576"/>
      <c r="T1508" s="576"/>
      <c r="U1508" s="577"/>
    </row>
    <row r="1509" spans="1:21" ht="35.1" customHeight="1" x14ac:dyDescent="0.25">
      <c r="A1509" s="263">
        <f t="shared" si="23"/>
        <v>1495</v>
      </c>
      <c r="B1509" s="578" t="s">
        <v>159</v>
      </c>
      <c r="C1509" s="578"/>
      <c r="D1509" s="579" t="s">
        <v>159</v>
      </c>
      <c r="E1509" s="579"/>
      <c r="F1509" s="568" t="s">
        <v>162</v>
      </c>
      <c r="G1509" s="568"/>
      <c r="H1509" s="580"/>
      <c r="I1509" s="581"/>
      <c r="J1509" s="582"/>
      <c r="K1509" s="572" t="s">
        <v>162</v>
      </c>
      <c r="L1509" s="573"/>
      <c r="M1509" s="574"/>
      <c r="N1509" s="583" t="s">
        <v>159</v>
      </c>
      <c r="O1509" s="584"/>
      <c r="P1509" s="584"/>
      <c r="Q1509" s="584"/>
      <c r="R1509" s="584"/>
      <c r="S1509" s="584"/>
      <c r="T1509" s="584"/>
      <c r="U1509" s="585"/>
    </row>
    <row r="1510" spans="1:21" ht="35.1" customHeight="1" x14ac:dyDescent="0.25">
      <c r="A1510" s="263">
        <f t="shared" si="23"/>
        <v>1496</v>
      </c>
      <c r="B1510" s="566" t="s">
        <v>444</v>
      </c>
      <c r="C1510" s="566"/>
      <c r="D1510" s="567" t="s">
        <v>159</v>
      </c>
      <c r="E1510" s="567"/>
      <c r="F1510" s="568" t="s">
        <v>162</v>
      </c>
      <c r="G1510" s="568"/>
      <c r="H1510" s="569"/>
      <c r="I1510" s="570"/>
      <c r="J1510" s="571"/>
      <c r="K1510" s="572" t="s">
        <v>162</v>
      </c>
      <c r="L1510" s="573"/>
      <c r="M1510" s="574"/>
      <c r="N1510" s="575" t="s">
        <v>159</v>
      </c>
      <c r="O1510" s="576"/>
      <c r="P1510" s="576"/>
      <c r="Q1510" s="576"/>
      <c r="R1510" s="576"/>
      <c r="S1510" s="576"/>
      <c r="T1510" s="576"/>
      <c r="U1510" s="577"/>
    </row>
    <row r="1511" spans="1:21" ht="35.1" customHeight="1" x14ac:dyDescent="0.25">
      <c r="A1511" s="263">
        <f t="shared" si="23"/>
        <v>1497</v>
      </c>
      <c r="B1511" s="578" t="s">
        <v>159</v>
      </c>
      <c r="C1511" s="578"/>
      <c r="D1511" s="579" t="s">
        <v>159</v>
      </c>
      <c r="E1511" s="579"/>
      <c r="F1511" s="568" t="s">
        <v>162</v>
      </c>
      <c r="G1511" s="568"/>
      <c r="H1511" s="580"/>
      <c r="I1511" s="581"/>
      <c r="J1511" s="582"/>
      <c r="K1511" s="572" t="s">
        <v>162</v>
      </c>
      <c r="L1511" s="573"/>
      <c r="M1511" s="574"/>
      <c r="N1511" s="583" t="s">
        <v>159</v>
      </c>
      <c r="O1511" s="584"/>
      <c r="P1511" s="584"/>
      <c r="Q1511" s="584"/>
      <c r="R1511" s="584"/>
      <c r="S1511" s="584"/>
      <c r="T1511" s="584"/>
      <c r="U1511" s="585"/>
    </row>
    <row r="1512" spans="1:21" ht="35.1" customHeight="1" x14ac:dyDescent="0.25">
      <c r="A1512" s="263">
        <f t="shared" si="23"/>
        <v>1498</v>
      </c>
      <c r="B1512" s="566" t="s">
        <v>159</v>
      </c>
      <c r="C1512" s="566"/>
      <c r="D1512" s="567" t="s">
        <v>159</v>
      </c>
      <c r="E1512" s="567"/>
      <c r="F1512" s="568" t="s">
        <v>162</v>
      </c>
      <c r="G1512" s="568"/>
      <c r="H1512" s="569"/>
      <c r="I1512" s="570"/>
      <c r="J1512" s="571"/>
      <c r="K1512" s="572" t="s">
        <v>162</v>
      </c>
      <c r="L1512" s="573"/>
      <c r="M1512" s="574"/>
      <c r="N1512" s="575" t="s">
        <v>159</v>
      </c>
      <c r="O1512" s="576"/>
      <c r="P1512" s="576"/>
      <c r="Q1512" s="576"/>
      <c r="R1512" s="576"/>
      <c r="S1512" s="576"/>
      <c r="T1512" s="576"/>
      <c r="U1512" s="577"/>
    </row>
    <row r="1513" spans="1:21" ht="35.1" customHeight="1" x14ac:dyDescent="0.25">
      <c r="A1513" s="263">
        <f t="shared" si="23"/>
        <v>1499</v>
      </c>
      <c r="B1513" s="578" t="s">
        <v>159</v>
      </c>
      <c r="C1513" s="578"/>
      <c r="D1513" s="579" t="s">
        <v>159</v>
      </c>
      <c r="E1513" s="579"/>
      <c r="F1513" s="568" t="s">
        <v>162</v>
      </c>
      <c r="G1513" s="568"/>
      <c r="H1513" s="580"/>
      <c r="I1513" s="581"/>
      <c r="J1513" s="582"/>
      <c r="K1513" s="572" t="s">
        <v>162</v>
      </c>
      <c r="L1513" s="573"/>
      <c r="M1513" s="574"/>
      <c r="N1513" s="583" t="s">
        <v>159</v>
      </c>
      <c r="O1513" s="584"/>
      <c r="P1513" s="584"/>
      <c r="Q1513" s="584"/>
      <c r="R1513" s="584"/>
      <c r="S1513" s="584"/>
      <c r="T1513" s="584"/>
      <c r="U1513" s="585"/>
    </row>
    <row r="1514" spans="1:21" ht="35.1" customHeight="1" x14ac:dyDescent="0.25">
      <c r="A1514" s="263">
        <f t="shared" si="23"/>
        <v>1500</v>
      </c>
      <c r="B1514" s="566" t="s">
        <v>159</v>
      </c>
      <c r="C1514" s="566"/>
      <c r="D1514" s="567" t="s">
        <v>159</v>
      </c>
      <c r="E1514" s="567"/>
      <c r="F1514" s="568" t="s">
        <v>162</v>
      </c>
      <c r="G1514" s="568"/>
      <c r="H1514" s="569"/>
      <c r="I1514" s="570"/>
      <c r="J1514" s="571"/>
      <c r="K1514" s="572" t="s">
        <v>162</v>
      </c>
      <c r="L1514" s="573"/>
      <c r="M1514" s="574"/>
      <c r="N1514" s="575" t="s">
        <v>159</v>
      </c>
      <c r="O1514" s="576"/>
      <c r="P1514" s="576"/>
      <c r="Q1514" s="576"/>
      <c r="R1514" s="576"/>
      <c r="S1514" s="576"/>
      <c r="T1514" s="576"/>
      <c r="U1514" s="577"/>
    </row>
  </sheetData>
  <sheetProtection algorithmName="SHA-512" hashValue="jMyWWUvnsfhbnJWqyTW6iGCCNKae1vSkCW/L0fNzg1MJ6kctZKiYL+EKBohNj4pBXdf8i/fm30mDGH35No+BoA==" saltValue="SuB0bOZIHXEwYLpCLk1Ttg==" spinCount="100000" sheet="1" objects="1" scenarios="1"/>
  <mergeCells count="9040">
    <mergeCell ref="K208:M208"/>
    <mergeCell ref="K209:M209"/>
    <mergeCell ref="K210:M210"/>
    <mergeCell ref="K211:M211"/>
    <mergeCell ref="K200:M200"/>
    <mergeCell ref="K201:M201"/>
    <mergeCell ref="K202:M202"/>
    <mergeCell ref="K203:M203"/>
    <mergeCell ref="K204:M204"/>
    <mergeCell ref="K205:M205"/>
    <mergeCell ref="K195:M195"/>
    <mergeCell ref="K196:M196"/>
    <mergeCell ref="K197:M197"/>
    <mergeCell ref="K198:M198"/>
    <mergeCell ref="K199:M199"/>
    <mergeCell ref="K191:M191"/>
    <mergeCell ref="K192:M192"/>
    <mergeCell ref="K193:M193"/>
    <mergeCell ref="K194:M194"/>
    <mergeCell ref="K184:M184"/>
    <mergeCell ref="K185:M185"/>
    <mergeCell ref="K186:M186"/>
    <mergeCell ref="K187:M187"/>
    <mergeCell ref="K188:M188"/>
    <mergeCell ref="K178:M178"/>
    <mergeCell ref="K179:M179"/>
    <mergeCell ref="K180:M180"/>
    <mergeCell ref="K181:M181"/>
    <mergeCell ref="K182:M182"/>
    <mergeCell ref="K183:M183"/>
    <mergeCell ref="K172:M172"/>
    <mergeCell ref="K173:M173"/>
    <mergeCell ref="K206:M206"/>
    <mergeCell ref="K207:M207"/>
    <mergeCell ref="K174:M174"/>
    <mergeCell ref="K175:M175"/>
    <mergeCell ref="K176:M176"/>
    <mergeCell ref="K177:M177"/>
    <mergeCell ref="K189:M189"/>
    <mergeCell ref="K190:M190"/>
    <mergeCell ref="K167:M167"/>
    <mergeCell ref="K168:M168"/>
    <mergeCell ref="K169:M169"/>
    <mergeCell ref="K170:M170"/>
    <mergeCell ref="K171:M171"/>
    <mergeCell ref="K161:M161"/>
    <mergeCell ref="K162:M162"/>
    <mergeCell ref="K163:M163"/>
    <mergeCell ref="K164:M164"/>
    <mergeCell ref="K165:M165"/>
    <mergeCell ref="K166:M166"/>
    <mergeCell ref="K156:M156"/>
    <mergeCell ref="K157:M157"/>
    <mergeCell ref="K158:M158"/>
    <mergeCell ref="K159:M159"/>
    <mergeCell ref="K160:M160"/>
    <mergeCell ref="K150:M150"/>
    <mergeCell ref="K151:M151"/>
    <mergeCell ref="K152:M152"/>
    <mergeCell ref="K153:M153"/>
    <mergeCell ref="K154:M154"/>
    <mergeCell ref="K155:M155"/>
    <mergeCell ref="K127:M127"/>
    <mergeCell ref="K116:M116"/>
    <mergeCell ref="K117:M117"/>
    <mergeCell ref="K118:M118"/>
    <mergeCell ref="K119:M119"/>
    <mergeCell ref="K120:M120"/>
    <mergeCell ref="K121:M121"/>
    <mergeCell ref="K144:M144"/>
    <mergeCell ref="K145:M145"/>
    <mergeCell ref="K146:M146"/>
    <mergeCell ref="K147:M147"/>
    <mergeCell ref="K148:M148"/>
    <mergeCell ref="K149:M149"/>
    <mergeCell ref="K140:M140"/>
    <mergeCell ref="K141:M141"/>
    <mergeCell ref="K142:M142"/>
    <mergeCell ref="K143:M143"/>
    <mergeCell ref="K133:M133"/>
    <mergeCell ref="K134:M134"/>
    <mergeCell ref="K135:M135"/>
    <mergeCell ref="K136:M136"/>
    <mergeCell ref="K137:M137"/>
    <mergeCell ref="K138:M138"/>
    <mergeCell ref="K111:M111"/>
    <mergeCell ref="K112:M112"/>
    <mergeCell ref="K113:M113"/>
    <mergeCell ref="K114:M114"/>
    <mergeCell ref="K115:M115"/>
    <mergeCell ref="K139:M139"/>
    <mergeCell ref="K106:M106"/>
    <mergeCell ref="K107:M107"/>
    <mergeCell ref="K108:M108"/>
    <mergeCell ref="K109:M109"/>
    <mergeCell ref="K110:M110"/>
    <mergeCell ref="K100:M100"/>
    <mergeCell ref="K101:M101"/>
    <mergeCell ref="K102:M102"/>
    <mergeCell ref="K103:M103"/>
    <mergeCell ref="K104:M104"/>
    <mergeCell ref="K94:M94"/>
    <mergeCell ref="K95:M95"/>
    <mergeCell ref="K96:M96"/>
    <mergeCell ref="K97:M97"/>
    <mergeCell ref="K98:M98"/>
    <mergeCell ref="K99:M99"/>
    <mergeCell ref="K122:M122"/>
    <mergeCell ref="K128:M128"/>
    <mergeCell ref="K129:M129"/>
    <mergeCell ref="K130:M130"/>
    <mergeCell ref="K131:M131"/>
    <mergeCell ref="K132:M132"/>
    <mergeCell ref="K123:M123"/>
    <mergeCell ref="K124:M124"/>
    <mergeCell ref="K125:M125"/>
    <mergeCell ref="K126:M126"/>
    <mergeCell ref="K89:M89"/>
    <mergeCell ref="K90:M90"/>
    <mergeCell ref="K91:M91"/>
    <mergeCell ref="K92:M92"/>
    <mergeCell ref="K93:M93"/>
    <mergeCell ref="K83:M83"/>
    <mergeCell ref="K84:M84"/>
    <mergeCell ref="K85:M85"/>
    <mergeCell ref="K86:M86"/>
    <mergeCell ref="K87:M87"/>
    <mergeCell ref="K77:M77"/>
    <mergeCell ref="K78:M78"/>
    <mergeCell ref="K79:M79"/>
    <mergeCell ref="K80:M80"/>
    <mergeCell ref="K81:M81"/>
    <mergeCell ref="K82:M82"/>
    <mergeCell ref="K105:M105"/>
    <mergeCell ref="K73:M73"/>
    <mergeCell ref="K74:M74"/>
    <mergeCell ref="K75:M75"/>
    <mergeCell ref="K76:M76"/>
    <mergeCell ref="K66:M66"/>
    <mergeCell ref="K67:M67"/>
    <mergeCell ref="K68:M68"/>
    <mergeCell ref="K69:M69"/>
    <mergeCell ref="K70:M70"/>
    <mergeCell ref="K71:M71"/>
    <mergeCell ref="K60:M60"/>
    <mergeCell ref="K61:M61"/>
    <mergeCell ref="K62:M62"/>
    <mergeCell ref="K63:M63"/>
    <mergeCell ref="K64:M64"/>
    <mergeCell ref="K65:M65"/>
    <mergeCell ref="K88:M88"/>
    <mergeCell ref="K55:M55"/>
    <mergeCell ref="K56:M56"/>
    <mergeCell ref="K57:M57"/>
    <mergeCell ref="K58:M58"/>
    <mergeCell ref="K59:M59"/>
    <mergeCell ref="K49:M49"/>
    <mergeCell ref="K50:M50"/>
    <mergeCell ref="K51:M51"/>
    <mergeCell ref="K52:M52"/>
    <mergeCell ref="K53:M53"/>
    <mergeCell ref="K54:M54"/>
    <mergeCell ref="K44:M44"/>
    <mergeCell ref="K45:M45"/>
    <mergeCell ref="K46:M46"/>
    <mergeCell ref="K47:M47"/>
    <mergeCell ref="K48:M48"/>
    <mergeCell ref="K72:M72"/>
    <mergeCell ref="K38:M38"/>
    <mergeCell ref="K39:M39"/>
    <mergeCell ref="K40:M40"/>
    <mergeCell ref="K41:M41"/>
    <mergeCell ref="K42:M42"/>
    <mergeCell ref="K43:M43"/>
    <mergeCell ref="K32:M32"/>
    <mergeCell ref="K33:M33"/>
    <mergeCell ref="K34:M34"/>
    <mergeCell ref="K35:M35"/>
    <mergeCell ref="K36:M36"/>
    <mergeCell ref="K37:M37"/>
    <mergeCell ref="K27:M27"/>
    <mergeCell ref="K28:M28"/>
    <mergeCell ref="K29:M29"/>
    <mergeCell ref="K30:M30"/>
    <mergeCell ref="K31:M31"/>
    <mergeCell ref="K24:M24"/>
    <mergeCell ref="K25:M25"/>
    <mergeCell ref="K26:M26"/>
    <mergeCell ref="K15:M15"/>
    <mergeCell ref="K16:M16"/>
    <mergeCell ref="K17:M17"/>
    <mergeCell ref="K18:M18"/>
    <mergeCell ref="K19:M19"/>
    <mergeCell ref="K20:M20"/>
    <mergeCell ref="P9:Y9"/>
    <mergeCell ref="Z9:AC9"/>
    <mergeCell ref="AE9:AJ9"/>
    <mergeCell ref="AK9:AU9"/>
    <mergeCell ref="A10:AU10"/>
    <mergeCell ref="A11:AU11"/>
    <mergeCell ref="B25:C25"/>
    <mergeCell ref="D25:E25"/>
    <mergeCell ref="F25:G25"/>
    <mergeCell ref="H25:J25"/>
    <mergeCell ref="B24:C24"/>
    <mergeCell ref="D24:E24"/>
    <mergeCell ref="F24:G24"/>
    <mergeCell ref="H24:J24"/>
    <mergeCell ref="B23:C23"/>
    <mergeCell ref="D23:E23"/>
    <mergeCell ref="F23:G23"/>
    <mergeCell ref="H23:J23"/>
    <mergeCell ref="B22:C22"/>
    <mergeCell ref="D22:E22"/>
    <mergeCell ref="D18:E18"/>
    <mergeCell ref="F18:G18"/>
    <mergeCell ref="H18:J18"/>
    <mergeCell ref="AE7:AJ7"/>
    <mergeCell ref="AK7:AU7"/>
    <mergeCell ref="A8:O8"/>
    <mergeCell ref="AE8:AJ8"/>
    <mergeCell ref="AK8:AU8"/>
    <mergeCell ref="A4:AU4"/>
    <mergeCell ref="A5:O5"/>
    <mergeCell ref="P5:AC5"/>
    <mergeCell ref="AE5:AJ5"/>
    <mergeCell ref="AK5:AU5"/>
    <mergeCell ref="A6:O6"/>
    <mergeCell ref="P6:AC6"/>
    <mergeCell ref="AE6:AJ6"/>
    <mergeCell ref="B211:C211"/>
    <mergeCell ref="D211:E211"/>
    <mergeCell ref="F211:G211"/>
    <mergeCell ref="H211:J211"/>
    <mergeCell ref="B210:C210"/>
    <mergeCell ref="D210:E210"/>
    <mergeCell ref="F210:G210"/>
    <mergeCell ref="H210:J210"/>
    <mergeCell ref="B209:C209"/>
    <mergeCell ref="D209:E209"/>
    <mergeCell ref="F209:G209"/>
    <mergeCell ref="H209:J209"/>
    <mergeCell ref="B208:C208"/>
    <mergeCell ref="D208:E208"/>
    <mergeCell ref="F208:G208"/>
    <mergeCell ref="H208:J208"/>
    <mergeCell ref="K21:M21"/>
    <mergeCell ref="K22:M22"/>
    <mergeCell ref="K23:M23"/>
    <mergeCell ref="B198:C198"/>
    <mergeCell ref="D198:E198"/>
    <mergeCell ref="F198:G198"/>
    <mergeCell ref="H198:J198"/>
    <mergeCell ref="B207:C207"/>
    <mergeCell ref="D207:E207"/>
    <mergeCell ref="F207:G207"/>
    <mergeCell ref="H207:J207"/>
    <mergeCell ref="B206:C206"/>
    <mergeCell ref="D206:E206"/>
    <mergeCell ref="F206:G206"/>
    <mergeCell ref="H206:J206"/>
    <mergeCell ref="B205:C205"/>
    <mergeCell ref="D205:E205"/>
    <mergeCell ref="F205:G205"/>
    <mergeCell ref="H205:J205"/>
    <mergeCell ref="B204:C204"/>
    <mergeCell ref="D204:E204"/>
    <mergeCell ref="F204:G204"/>
    <mergeCell ref="H204:J204"/>
    <mergeCell ref="B203:C203"/>
    <mergeCell ref="D203:E203"/>
    <mergeCell ref="F203:G203"/>
    <mergeCell ref="H203:J203"/>
    <mergeCell ref="B197:C197"/>
    <mergeCell ref="D197:E197"/>
    <mergeCell ref="F197:G197"/>
    <mergeCell ref="H197:J197"/>
    <mergeCell ref="B196:C196"/>
    <mergeCell ref="D196:E196"/>
    <mergeCell ref="F196:G196"/>
    <mergeCell ref="H196:J196"/>
    <mergeCell ref="B195:C195"/>
    <mergeCell ref="D195:E195"/>
    <mergeCell ref="F195:G195"/>
    <mergeCell ref="H195:J195"/>
    <mergeCell ref="B194:C194"/>
    <mergeCell ref="D194:E194"/>
    <mergeCell ref="F194:G194"/>
    <mergeCell ref="H194:J194"/>
    <mergeCell ref="B202:C202"/>
    <mergeCell ref="D202:E202"/>
    <mergeCell ref="F202:G202"/>
    <mergeCell ref="H202:J202"/>
    <mergeCell ref="B201:C201"/>
    <mergeCell ref="D201:E201"/>
    <mergeCell ref="F201:G201"/>
    <mergeCell ref="H201:J201"/>
    <mergeCell ref="B200:C200"/>
    <mergeCell ref="D200:E200"/>
    <mergeCell ref="F200:G200"/>
    <mergeCell ref="H200:J200"/>
    <mergeCell ref="B199:C199"/>
    <mergeCell ref="D199:E199"/>
    <mergeCell ref="F199:G199"/>
    <mergeCell ref="H199:J199"/>
    <mergeCell ref="B184:C184"/>
    <mergeCell ref="D184:E184"/>
    <mergeCell ref="F184:G184"/>
    <mergeCell ref="H184:J184"/>
    <mergeCell ref="B193:C193"/>
    <mergeCell ref="D193:E193"/>
    <mergeCell ref="F193:G193"/>
    <mergeCell ref="H193:J193"/>
    <mergeCell ref="B192:C192"/>
    <mergeCell ref="D192:E192"/>
    <mergeCell ref="F192:G192"/>
    <mergeCell ref="H192:J192"/>
    <mergeCell ref="B191:C191"/>
    <mergeCell ref="D191:E191"/>
    <mergeCell ref="F191:G191"/>
    <mergeCell ref="H191:J191"/>
    <mergeCell ref="B190:C190"/>
    <mergeCell ref="D190:E190"/>
    <mergeCell ref="F190:G190"/>
    <mergeCell ref="H190:J190"/>
    <mergeCell ref="B189:C189"/>
    <mergeCell ref="D189:E189"/>
    <mergeCell ref="F189:G189"/>
    <mergeCell ref="H189:J189"/>
    <mergeCell ref="B183:C183"/>
    <mergeCell ref="D183:E183"/>
    <mergeCell ref="F183:G183"/>
    <mergeCell ref="H183:J183"/>
    <mergeCell ref="B182:C182"/>
    <mergeCell ref="D182:E182"/>
    <mergeCell ref="F182:G182"/>
    <mergeCell ref="H182:J182"/>
    <mergeCell ref="B181:C181"/>
    <mergeCell ref="D181:E181"/>
    <mergeCell ref="F181:G181"/>
    <mergeCell ref="H181:J181"/>
    <mergeCell ref="B180:C180"/>
    <mergeCell ref="D180:E180"/>
    <mergeCell ref="F180:G180"/>
    <mergeCell ref="H180:J180"/>
    <mergeCell ref="B188:C188"/>
    <mergeCell ref="D188:E188"/>
    <mergeCell ref="F188:G188"/>
    <mergeCell ref="H188:J188"/>
    <mergeCell ref="B187:C187"/>
    <mergeCell ref="D187:E187"/>
    <mergeCell ref="F187:G187"/>
    <mergeCell ref="H187:J187"/>
    <mergeCell ref="B186:C186"/>
    <mergeCell ref="D186:E186"/>
    <mergeCell ref="F186:G186"/>
    <mergeCell ref="H186:J186"/>
    <mergeCell ref="B185:C185"/>
    <mergeCell ref="D185:E185"/>
    <mergeCell ref="F185:G185"/>
    <mergeCell ref="H185:J185"/>
    <mergeCell ref="B170:C170"/>
    <mergeCell ref="D170:E170"/>
    <mergeCell ref="F170:G170"/>
    <mergeCell ref="H170:J170"/>
    <mergeCell ref="B179:C179"/>
    <mergeCell ref="D179:E179"/>
    <mergeCell ref="F179:G179"/>
    <mergeCell ref="H179:J179"/>
    <mergeCell ref="B178:C178"/>
    <mergeCell ref="D178:E178"/>
    <mergeCell ref="F178:G178"/>
    <mergeCell ref="H178:J178"/>
    <mergeCell ref="B177:C177"/>
    <mergeCell ref="D177:E177"/>
    <mergeCell ref="F177:G177"/>
    <mergeCell ref="H177:J177"/>
    <mergeCell ref="B176:C176"/>
    <mergeCell ref="D176:E176"/>
    <mergeCell ref="F176:G176"/>
    <mergeCell ref="H176:J176"/>
    <mergeCell ref="B175:C175"/>
    <mergeCell ref="D175:E175"/>
    <mergeCell ref="F175:G175"/>
    <mergeCell ref="H175:J175"/>
    <mergeCell ref="B169:C169"/>
    <mergeCell ref="D169:E169"/>
    <mergeCell ref="F169:G169"/>
    <mergeCell ref="H169:J169"/>
    <mergeCell ref="B168:C168"/>
    <mergeCell ref="D168:E168"/>
    <mergeCell ref="F168:G168"/>
    <mergeCell ref="H168:J168"/>
    <mergeCell ref="B167:C167"/>
    <mergeCell ref="D167:E167"/>
    <mergeCell ref="F167:G167"/>
    <mergeCell ref="H167:J167"/>
    <mergeCell ref="B166:C166"/>
    <mergeCell ref="D166:E166"/>
    <mergeCell ref="F166:G166"/>
    <mergeCell ref="H166:J166"/>
    <mergeCell ref="B174:C174"/>
    <mergeCell ref="D174:E174"/>
    <mergeCell ref="F174:G174"/>
    <mergeCell ref="H174:J174"/>
    <mergeCell ref="B173:C173"/>
    <mergeCell ref="D173:E173"/>
    <mergeCell ref="F173:G173"/>
    <mergeCell ref="H173:J173"/>
    <mergeCell ref="B172:C172"/>
    <mergeCell ref="D172:E172"/>
    <mergeCell ref="F172:G172"/>
    <mergeCell ref="H172:J172"/>
    <mergeCell ref="B171:C171"/>
    <mergeCell ref="D171:E171"/>
    <mergeCell ref="F171:G171"/>
    <mergeCell ref="H171:J171"/>
    <mergeCell ref="B156:C156"/>
    <mergeCell ref="D156:E156"/>
    <mergeCell ref="F156:G156"/>
    <mergeCell ref="H156:J156"/>
    <mergeCell ref="B165:C165"/>
    <mergeCell ref="D165:E165"/>
    <mergeCell ref="F165:G165"/>
    <mergeCell ref="H165:J165"/>
    <mergeCell ref="B164:C164"/>
    <mergeCell ref="D164:E164"/>
    <mergeCell ref="F164:G164"/>
    <mergeCell ref="H164:J164"/>
    <mergeCell ref="B163:C163"/>
    <mergeCell ref="D163:E163"/>
    <mergeCell ref="F163:G163"/>
    <mergeCell ref="H163:J163"/>
    <mergeCell ref="B162:C162"/>
    <mergeCell ref="D162:E162"/>
    <mergeCell ref="F162:G162"/>
    <mergeCell ref="H162:J162"/>
    <mergeCell ref="B161:C161"/>
    <mergeCell ref="D161:E161"/>
    <mergeCell ref="F161:G161"/>
    <mergeCell ref="H161:J161"/>
    <mergeCell ref="B155:C155"/>
    <mergeCell ref="D155:E155"/>
    <mergeCell ref="F155:G155"/>
    <mergeCell ref="H155:J155"/>
    <mergeCell ref="B154:C154"/>
    <mergeCell ref="D154:E154"/>
    <mergeCell ref="F154:G154"/>
    <mergeCell ref="H154:J154"/>
    <mergeCell ref="B153:C153"/>
    <mergeCell ref="D153:E153"/>
    <mergeCell ref="F153:G153"/>
    <mergeCell ref="H153:J153"/>
    <mergeCell ref="B152:C152"/>
    <mergeCell ref="D152:E152"/>
    <mergeCell ref="F152:G152"/>
    <mergeCell ref="H152:J152"/>
    <mergeCell ref="B160:C160"/>
    <mergeCell ref="D160:E160"/>
    <mergeCell ref="F160:G160"/>
    <mergeCell ref="H160:J160"/>
    <mergeCell ref="B159:C159"/>
    <mergeCell ref="D159:E159"/>
    <mergeCell ref="F159:G159"/>
    <mergeCell ref="H159:J159"/>
    <mergeCell ref="B158:C158"/>
    <mergeCell ref="D158:E158"/>
    <mergeCell ref="F158:G158"/>
    <mergeCell ref="H158:J158"/>
    <mergeCell ref="B157:C157"/>
    <mergeCell ref="D157:E157"/>
    <mergeCell ref="F157:G157"/>
    <mergeCell ref="H157:J157"/>
    <mergeCell ref="B142:C142"/>
    <mergeCell ref="D142:E142"/>
    <mergeCell ref="F142:G142"/>
    <mergeCell ref="H142:J142"/>
    <mergeCell ref="B151:C151"/>
    <mergeCell ref="D151:E151"/>
    <mergeCell ref="F151:G151"/>
    <mergeCell ref="H151:J151"/>
    <mergeCell ref="B150:C150"/>
    <mergeCell ref="D150:E150"/>
    <mergeCell ref="F150:G150"/>
    <mergeCell ref="H150:J150"/>
    <mergeCell ref="B149:C149"/>
    <mergeCell ref="D149:E149"/>
    <mergeCell ref="F149:G149"/>
    <mergeCell ref="H149:J149"/>
    <mergeCell ref="B148:C148"/>
    <mergeCell ref="D148:E148"/>
    <mergeCell ref="F148:G148"/>
    <mergeCell ref="H148:J148"/>
    <mergeCell ref="B147:C147"/>
    <mergeCell ref="D147:E147"/>
    <mergeCell ref="F147:G147"/>
    <mergeCell ref="H147:J147"/>
    <mergeCell ref="B141:C141"/>
    <mergeCell ref="D141:E141"/>
    <mergeCell ref="F141:G141"/>
    <mergeCell ref="H141:J141"/>
    <mergeCell ref="B140:C140"/>
    <mergeCell ref="D140:E140"/>
    <mergeCell ref="F140:G140"/>
    <mergeCell ref="H140:J140"/>
    <mergeCell ref="B139:C139"/>
    <mergeCell ref="D139:E139"/>
    <mergeCell ref="F139:G139"/>
    <mergeCell ref="H139:J139"/>
    <mergeCell ref="B138:C138"/>
    <mergeCell ref="D138:E138"/>
    <mergeCell ref="F138:G138"/>
    <mergeCell ref="H138:J138"/>
    <mergeCell ref="B146:C146"/>
    <mergeCell ref="D146:E146"/>
    <mergeCell ref="F146:G146"/>
    <mergeCell ref="H146:J146"/>
    <mergeCell ref="B145:C145"/>
    <mergeCell ref="D145:E145"/>
    <mergeCell ref="F145:G145"/>
    <mergeCell ref="H145:J145"/>
    <mergeCell ref="B144:C144"/>
    <mergeCell ref="D144:E144"/>
    <mergeCell ref="F144:G144"/>
    <mergeCell ref="H144:J144"/>
    <mergeCell ref="B143:C143"/>
    <mergeCell ref="D143:E143"/>
    <mergeCell ref="F143:G143"/>
    <mergeCell ref="H143:J143"/>
    <mergeCell ref="B128:C128"/>
    <mergeCell ref="D128:E128"/>
    <mergeCell ref="F128:G128"/>
    <mergeCell ref="H128:J128"/>
    <mergeCell ref="B137:C137"/>
    <mergeCell ref="D137:E137"/>
    <mergeCell ref="F137:G137"/>
    <mergeCell ref="H137:J137"/>
    <mergeCell ref="B136:C136"/>
    <mergeCell ref="D136:E136"/>
    <mergeCell ref="F136:G136"/>
    <mergeCell ref="H136:J136"/>
    <mergeCell ref="B135:C135"/>
    <mergeCell ref="D135:E135"/>
    <mergeCell ref="F135:G135"/>
    <mergeCell ref="H135:J135"/>
    <mergeCell ref="B134:C134"/>
    <mergeCell ref="D134:E134"/>
    <mergeCell ref="F134:G134"/>
    <mergeCell ref="H134:J134"/>
    <mergeCell ref="B133:C133"/>
    <mergeCell ref="D133:E133"/>
    <mergeCell ref="F133:G133"/>
    <mergeCell ref="H133:J133"/>
    <mergeCell ref="B127:C127"/>
    <mergeCell ref="D127:E127"/>
    <mergeCell ref="F127:G127"/>
    <mergeCell ref="H127:J127"/>
    <mergeCell ref="B126:C126"/>
    <mergeCell ref="D126:E126"/>
    <mergeCell ref="F126:G126"/>
    <mergeCell ref="H126:J126"/>
    <mergeCell ref="B125:C125"/>
    <mergeCell ref="D125:E125"/>
    <mergeCell ref="F125:G125"/>
    <mergeCell ref="H125:J125"/>
    <mergeCell ref="B124:C124"/>
    <mergeCell ref="D124:E124"/>
    <mergeCell ref="F124:G124"/>
    <mergeCell ref="H124:J124"/>
    <mergeCell ref="B132:C132"/>
    <mergeCell ref="D132:E132"/>
    <mergeCell ref="F132:G132"/>
    <mergeCell ref="H132:J132"/>
    <mergeCell ref="B131:C131"/>
    <mergeCell ref="D131:E131"/>
    <mergeCell ref="F131:G131"/>
    <mergeCell ref="H131:J131"/>
    <mergeCell ref="B130:C130"/>
    <mergeCell ref="D130:E130"/>
    <mergeCell ref="F130:G130"/>
    <mergeCell ref="H130:J130"/>
    <mergeCell ref="B129:C129"/>
    <mergeCell ref="D129:E129"/>
    <mergeCell ref="F129:G129"/>
    <mergeCell ref="H129:J129"/>
    <mergeCell ref="B114:C114"/>
    <mergeCell ref="D114:E114"/>
    <mergeCell ref="F114:G114"/>
    <mergeCell ref="H114:J114"/>
    <mergeCell ref="B123:C123"/>
    <mergeCell ref="D123:E123"/>
    <mergeCell ref="F123:G123"/>
    <mergeCell ref="H123:J123"/>
    <mergeCell ref="B122:C122"/>
    <mergeCell ref="D122:E122"/>
    <mergeCell ref="F122:G122"/>
    <mergeCell ref="H122:J122"/>
    <mergeCell ref="B121:C121"/>
    <mergeCell ref="D121:E121"/>
    <mergeCell ref="F121:G121"/>
    <mergeCell ref="H121:J121"/>
    <mergeCell ref="B120:C120"/>
    <mergeCell ref="D120:E120"/>
    <mergeCell ref="F120:G120"/>
    <mergeCell ref="H120:J120"/>
    <mergeCell ref="B119:C119"/>
    <mergeCell ref="D119:E119"/>
    <mergeCell ref="F119:G119"/>
    <mergeCell ref="H119:J119"/>
    <mergeCell ref="B113:C113"/>
    <mergeCell ref="D113:E113"/>
    <mergeCell ref="F113:G113"/>
    <mergeCell ref="H113:J113"/>
    <mergeCell ref="B112:C112"/>
    <mergeCell ref="D112:E112"/>
    <mergeCell ref="F112:G112"/>
    <mergeCell ref="H112:J112"/>
    <mergeCell ref="B111:C111"/>
    <mergeCell ref="D111:E111"/>
    <mergeCell ref="F111:G111"/>
    <mergeCell ref="H111:J111"/>
    <mergeCell ref="B110:C110"/>
    <mergeCell ref="D110:E110"/>
    <mergeCell ref="F110:G110"/>
    <mergeCell ref="H110:J110"/>
    <mergeCell ref="B118:C118"/>
    <mergeCell ref="D118:E118"/>
    <mergeCell ref="F118:G118"/>
    <mergeCell ref="H118:J118"/>
    <mergeCell ref="B117:C117"/>
    <mergeCell ref="D117:E117"/>
    <mergeCell ref="F117:G117"/>
    <mergeCell ref="H117:J117"/>
    <mergeCell ref="B116:C116"/>
    <mergeCell ref="D116:E116"/>
    <mergeCell ref="F116:G116"/>
    <mergeCell ref="H116:J116"/>
    <mergeCell ref="B115:C115"/>
    <mergeCell ref="D115:E115"/>
    <mergeCell ref="F115:G115"/>
    <mergeCell ref="H115:J115"/>
    <mergeCell ref="B100:C100"/>
    <mergeCell ref="D100:E100"/>
    <mergeCell ref="F100:G100"/>
    <mergeCell ref="H100:J100"/>
    <mergeCell ref="B109:C109"/>
    <mergeCell ref="D109:E109"/>
    <mergeCell ref="F109:G109"/>
    <mergeCell ref="H109:J109"/>
    <mergeCell ref="B108:C108"/>
    <mergeCell ref="D108:E108"/>
    <mergeCell ref="F108:G108"/>
    <mergeCell ref="H108:J108"/>
    <mergeCell ref="B107:C107"/>
    <mergeCell ref="D107:E107"/>
    <mergeCell ref="F107:G107"/>
    <mergeCell ref="H107:J107"/>
    <mergeCell ref="B106:C106"/>
    <mergeCell ref="D106:E106"/>
    <mergeCell ref="F106:G106"/>
    <mergeCell ref="H106:J106"/>
    <mergeCell ref="B105:C105"/>
    <mergeCell ref="D105:E105"/>
    <mergeCell ref="F105:G105"/>
    <mergeCell ref="H105:J105"/>
    <mergeCell ref="B99:C99"/>
    <mergeCell ref="D99:E99"/>
    <mergeCell ref="F99:G99"/>
    <mergeCell ref="H99:J99"/>
    <mergeCell ref="B98:C98"/>
    <mergeCell ref="D98:E98"/>
    <mergeCell ref="F98:G98"/>
    <mergeCell ref="H98:J98"/>
    <mergeCell ref="B97:C97"/>
    <mergeCell ref="D97:E97"/>
    <mergeCell ref="F97:G97"/>
    <mergeCell ref="H97:J97"/>
    <mergeCell ref="B96:C96"/>
    <mergeCell ref="D96:E96"/>
    <mergeCell ref="F96:G96"/>
    <mergeCell ref="H96:J96"/>
    <mergeCell ref="B104:C104"/>
    <mergeCell ref="D104:E104"/>
    <mergeCell ref="F104:G104"/>
    <mergeCell ref="H104:J104"/>
    <mergeCell ref="B103:C103"/>
    <mergeCell ref="D103:E103"/>
    <mergeCell ref="F103:G103"/>
    <mergeCell ref="H103:J103"/>
    <mergeCell ref="B102:C102"/>
    <mergeCell ref="D102:E102"/>
    <mergeCell ref="F102:G102"/>
    <mergeCell ref="H102:J102"/>
    <mergeCell ref="B101:C101"/>
    <mergeCell ref="D101:E101"/>
    <mergeCell ref="F101:G101"/>
    <mergeCell ref="H101:J101"/>
    <mergeCell ref="B86:C86"/>
    <mergeCell ref="D86:E86"/>
    <mergeCell ref="F86:G86"/>
    <mergeCell ref="H86:J86"/>
    <mergeCell ref="B95:C95"/>
    <mergeCell ref="D95:E95"/>
    <mergeCell ref="F95:G95"/>
    <mergeCell ref="H95:J95"/>
    <mergeCell ref="B94:C94"/>
    <mergeCell ref="D94:E94"/>
    <mergeCell ref="F94:G94"/>
    <mergeCell ref="H94:J94"/>
    <mergeCell ref="B93:C93"/>
    <mergeCell ref="D93:E93"/>
    <mergeCell ref="F93:G93"/>
    <mergeCell ref="H93:J93"/>
    <mergeCell ref="B92:C92"/>
    <mergeCell ref="D92:E92"/>
    <mergeCell ref="F92:G92"/>
    <mergeCell ref="H92:J92"/>
    <mergeCell ref="B91:C91"/>
    <mergeCell ref="D91:E91"/>
    <mergeCell ref="F91:G91"/>
    <mergeCell ref="H91:J91"/>
    <mergeCell ref="B85:C85"/>
    <mergeCell ref="D85:E85"/>
    <mergeCell ref="F85:G85"/>
    <mergeCell ref="H85:J85"/>
    <mergeCell ref="B84:C84"/>
    <mergeCell ref="D84:E84"/>
    <mergeCell ref="F84:G84"/>
    <mergeCell ref="H84:J84"/>
    <mergeCell ref="B83:C83"/>
    <mergeCell ref="D83:E83"/>
    <mergeCell ref="F83:G83"/>
    <mergeCell ref="H83:J83"/>
    <mergeCell ref="B82:C82"/>
    <mergeCell ref="D82:E82"/>
    <mergeCell ref="F82:G82"/>
    <mergeCell ref="H82:J82"/>
    <mergeCell ref="B90:C90"/>
    <mergeCell ref="D90:E90"/>
    <mergeCell ref="F90:G90"/>
    <mergeCell ref="H90:J90"/>
    <mergeCell ref="B89:C89"/>
    <mergeCell ref="D89:E89"/>
    <mergeCell ref="F89:G89"/>
    <mergeCell ref="H89:J89"/>
    <mergeCell ref="B88:C88"/>
    <mergeCell ref="D88:E88"/>
    <mergeCell ref="F88:G88"/>
    <mergeCell ref="H88:J88"/>
    <mergeCell ref="B87:C87"/>
    <mergeCell ref="D87:E87"/>
    <mergeCell ref="F87:G87"/>
    <mergeCell ref="H87:J87"/>
    <mergeCell ref="B72:C72"/>
    <mergeCell ref="D72:E72"/>
    <mergeCell ref="F72:G72"/>
    <mergeCell ref="H72:J72"/>
    <mergeCell ref="B81:C81"/>
    <mergeCell ref="D81:E81"/>
    <mergeCell ref="F81:G81"/>
    <mergeCell ref="H81:J81"/>
    <mergeCell ref="B80:C80"/>
    <mergeCell ref="D80:E80"/>
    <mergeCell ref="F80:G80"/>
    <mergeCell ref="H80:J80"/>
    <mergeCell ref="B79:C79"/>
    <mergeCell ref="D79:E79"/>
    <mergeCell ref="F79:G79"/>
    <mergeCell ref="H79:J79"/>
    <mergeCell ref="B78:C78"/>
    <mergeCell ref="D78:E78"/>
    <mergeCell ref="F78:G78"/>
    <mergeCell ref="H78:J78"/>
    <mergeCell ref="B77:C77"/>
    <mergeCell ref="D77:E77"/>
    <mergeCell ref="F77:G77"/>
    <mergeCell ref="H77:J77"/>
    <mergeCell ref="B71:C71"/>
    <mergeCell ref="D71:E71"/>
    <mergeCell ref="F71:G71"/>
    <mergeCell ref="H71:J71"/>
    <mergeCell ref="B70:C70"/>
    <mergeCell ref="D70:E70"/>
    <mergeCell ref="F70:G70"/>
    <mergeCell ref="H70:J70"/>
    <mergeCell ref="B69:C69"/>
    <mergeCell ref="D69:E69"/>
    <mergeCell ref="F69:G69"/>
    <mergeCell ref="H69:J69"/>
    <mergeCell ref="B68:C68"/>
    <mergeCell ref="D68:E68"/>
    <mergeCell ref="F68:G68"/>
    <mergeCell ref="H68:J68"/>
    <mergeCell ref="B76:C76"/>
    <mergeCell ref="D76:E76"/>
    <mergeCell ref="F76:G76"/>
    <mergeCell ref="H76:J76"/>
    <mergeCell ref="B75:C75"/>
    <mergeCell ref="D75:E75"/>
    <mergeCell ref="F75:G75"/>
    <mergeCell ref="H75:J75"/>
    <mergeCell ref="B74:C74"/>
    <mergeCell ref="D74:E74"/>
    <mergeCell ref="F74:G74"/>
    <mergeCell ref="H74:J74"/>
    <mergeCell ref="B73:C73"/>
    <mergeCell ref="D73:E73"/>
    <mergeCell ref="F73:G73"/>
    <mergeCell ref="H73:J73"/>
    <mergeCell ref="B58:C58"/>
    <mergeCell ref="D58:E58"/>
    <mergeCell ref="F58:G58"/>
    <mergeCell ref="H58:J58"/>
    <mergeCell ref="B67:C67"/>
    <mergeCell ref="D67:E67"/>
    <mergeCell ref="F67:G67"/>
    <mergeCell ref="H67:J67"/>
    <mergeCell ref="B66:C66"/>
    <mergeCell ref="D66:E66"/>
    <mergeCell ref="F66:G66"/>
    <mergeCell ref="H66:J66"/>
    <mergeCell ref="B65:C65"/>
    <mergeCell ref="D65:E65"/>
    <mergeCell ref="F65:G65"/>
    <mergeCell ref="H65:J65"/>
    <mergeCell ref="B64:C64"/>
    <mergeCell ref="D64:E64"/>
    <mergeCell ref="F64:G64"/>
    <mergeCell ref="H64:J64"/>
    <mergeCell ref="B63:C63"/>
    <mergeCell ref="D63:E63"/>
    <mergeCell ref="F63:G63"/>
    <mergeCell ref="H63:J63"/>
    <mergeCell ref="B57:C57"/>
    <mergeCell ref="D57:E57"/>
    <mergeCell ref="F57:G57"/>
    <mergeCell ref="H57:J57"/>
    <mergeCell ref="B56:C56"/>
    <mergeCell ref="D56:E56"/>
    <mergeCell ref="F56:G56"/>
    <mergeCell ref="H56:J56"/>
    <mergeCell ref="B55:C55"/>
    <mergeCell ref="D55:E55"/>
    <mergeCell ref="F55:G55"/>
    <mergeCell ref="H55:J55"/>
    <mergeCell ref="B54:C54"/>
    <mergeCell ref="D54:E54"/>
    <mergeCell ref="F54:G54"/>
    <mergeCell ref="H54:J54"/>
    <mergeCell ref="B62:C62"/>
    <mergeCell ref="D62:E62"/>
    <mergeCell ref="F62:G62"/>
    <mergeCell ref="H62:J62"/>
    <mergeCell ref="B61:C61"/>
    <mergeCell ref="D61:E61"/>
    <mergeCell ref="F61:G61"/>
    <mergeCell ref="H61:J61"/>
    <mergeCell ref="B60:C60"/>
    <mergeCell ref="D60:E60"/>
    <mergeCell ref="F60:G60"/>
    <mergeCell ref="H60:J60"/>
    <mergeCell ref="B59:C59"/>
    <mergeCell ref="D59:E59"/>
    <mergeCell ref="F59:G59"/>
    <mergeCell ref="H59:J59"/>
    <mergeCell ref="B44:C44"/>
    <mergeCell ref="D44:E44"/>
    <mergeCell ref="F44:G44"/>
    <mergeCell ref="H44:J44"/>
    <mergeCell ref="B53:C53"/>
    <mergeCell ref="D53:E53"/>
    <mergeCell ref="F53:G53"/>
    <mergeCell ref="H53:J53"/>
    <mergeCell ref="B52:C52"/>
    <mergeCell ref="D52:E52"/>
    <mergeCell ref="F52:G52"/>
    <mergeCell ref="H52:J52"/>
    <mergeCell ref="B51:C51"/>
    <mergeCell ref="D51:E51"/>
    <mergeCell ref="F51:G51"/>
    <mergeCell ref="H51:J51"/>
    <mergeCell ref="B50:C50"/>
    <mergeCell ref="D50:E50"/>
    <mergeCell ref="F50:G50"/>
    <mergeCell ref="H50:J50"/>
    <mergeCell ref="B49:C49"/>
    <mergeCell ref="D49:E49"/>
    <mergeCell ref="F49:G49"/>
    <mergeCell ref="H49:J49"/>
    <mergeCell ref="B43:C43"/>
    <mergeCell ref="D43:E43"/>
    <mergeCell ref="F43:G43"/>
    <mergeCell ref="H43:J43"/>
    <mergeCell ref="B42:C42"/>
    <mergeCell ref="D42:E42"/>
    <mergeCell ref="F42:G42"/>
    <mergeCell ref="H42:J42"/>
    <mergeCell ref="B41:C41"/>
    <mergeCell ref="D41:E41"/>
    <mergeCell ref="F41:G41"/>
    <mergeCell ref="H41:J41"/>
    <mergeCell ref="B40:C40"/>
    <mergeCell ref="D40:E40"/>
    <mergeCell ref="F40:G40"/>
    <mergeCell ref="H40:J40"/>
    <mergeCell ref="B48:C48"/>
    <mergeCell ref="D48:E48"/>
    <mergeCell ref="F48:G48"/>
    <mergeCell ref="H48:J48"/>
    <mergeCell ref="B47:C47"/>
    <mergeCell ref="D47:E47"/>
    <mergeCell ref="F47:G47"/>
    <mergeCell ref="H47:J47"/>
    <mergeCell ref="B46:C46"/>
    <mergeCell ref="D46:E46"/>
    <mergeCell ref="F46:G46"/>
    <mergeCell ref="H46:J46"/>
    <mergeCell ref="B45:C45"/>
    <mergeCell ref="D45:E45"/>
    <mergeCell ref="F45:G45"/>
    <mergeCell ref="H45:J45"/>
    <mergeCell ref="B30:C30"/>
    <mergeCell ref="D30:E30"/>
    <mergeCell ref="F30:G30"/>
    <mergeCell ref="H30:J30"/>
    <mergeCell ref="B39:C39"/>
    <mergeCell ref="D39:E39"/>
    <mergeCell ref="F39:G39"/>
    <mergeCell ref="H39:J39"/>
    <mergeCell ref="B38:C38"/>
    <mergeCell ref="D38:E38"/>
    <mergeCell ref="F38:G38"/>
    <mergeCell ref="H38:J38"/>
    <mergeCell ref="B37:C37"/>
    <mergeCell ref="D37:E37"/>
    <mergeCell ref="F37:G37"/>
    <mergeCell ref="H37:J37"/>
    <mergeCell ref="B36:C36"/>
    <mergeCell ref="D36:E36"/>
    <mergeCell ref="F36:G36"/>
    <mergeCell ref="H36:J36"/>
    <mergeCell ref="B35:C35"/>
    <mergeCell ref="D35:E35"/>
    <mergeCell ref="F35:G35"/>
    <mergeCell ref="H35:J35"/>
    <mergeCell ref="F26:G26"/>
    <mergeCell ref="H26:J26"/>
    <mergeCell ref="A9:O9"/>
    <mergeCell ref="N17:U17"/>
    <mergeCell ref="N18:U18"/>
    <mergeCell ref="N19:U19"/>
    <mergeCell ref="N20:U20"/>
    <mergeCell ref="N21:U21"/>
    <mergeCell ref="N22:U22"/>
    <mergeCell ref="N23:U23"/>
    <mergeCell ref="N24:U24"/>
    <mergeCell ref="N25:U25"/>
    <mergeCell ref="N26:U26"/>
    <mergeCell ref="N27:U27"/>
    <mergeCell ref="N28:U28"/>
    <mergeCell ref="N29:U29"/>
    <mergeCell ref="B34:C34"/>
    <mergeCell ref="D34:E34"/>
    <mergeCell ref="F34:G34"/>
    <mergeCell ref="H34:J34"/>
    <mergeCell ref="B33:C33"/>
    <mergeCell ref="D33:E33"/>
    <mergeCell ref="F33:G33"/>
    <mergeCell ref="H33:J33"/>
    <mergeCell ref="B32:C32"/>
    <mergeCell ref="D32:E32"/>
    <mergeCell ref="F32:G32"/>
    <mergeCell ref="H32:J32"/>
    <mergeCell ref="B31:C31"/>
    <mergeCell ref="D31:E31"/>
    <mergeCell ref="F31:G31"/>
    <mergeCell ref="H31:J31"/>
    <mergeCell ref="K1:M1"/>
    <mergeCell ref="B1:C1"/>
    <mergeCell ref="D1:E1"/>
    <mergeCell ref="F1:G1"/>
    <mergeCell ref="H1:J1"/>
    <mergeCell ref="B17:C17"/>
    <mergeCell ref="D17:E17"/>
    <mergeCell ref="F17:G17"/>
    <mergeCell ref="H17:J17"/>
    <mergeCell ref="B16:C16"/>
    <mergeCell ref="D16:E16"/>
    <mergeCell ref="F16:G16"/>
    <mergeCell ref="H16:J16"/>
    <mergeCell ref="B15:C15"/>
    <mergeCell ref="D15:E15"/>
    <mergeCell ref="F15:G15"/>
    <mergeCell ref="H15:J15"/>
    <mergeCell ref="K14:M14"/>
    <mergeCell ref="B14:C14"/>
    <mergeCell ref="D14:E14"/>
    <mergeCell ref="F14:G14"/>
    <mergeCell ref="H14:J14"/>
    <mergeCell ref="F12:M13"/>
    <mergeCell ref="A2:AU2"/>
    <mergeCell ref="A3:AU3"/>
    <mergeCell ref="N12:U13"/>
    <mergeCell ref="N14:U14"/>
    <mergeCell ref="N15:U15"/>
    <mergeCell ref="AK6:AU6"/>
    <mergeCell ref="A7:O7"/>
    <mergeCell ref="P7:AC8"/>
    <mergeCell ref="N16:U16"/>
    <mergeCell ref="N30:U30"/>
    <mergeCell ref="N31:U31"/>
    <mergeCell ref="A12:E13"/>
    <mergeCell ref="F22:G22"/>
    <mergeCell ref="H22:J22"/>
    <mergeCell ref="B21:C21"/>
    <mergeCell ref="D21:E21"/>
    <mergeCell ref="F21:G21"/>
    <mergeCell ref="H21:J21"/>
    <mergeCell ref="B20:C20"/>
    <mergeCell ref="D20:E20"/>
    <mergeCell ref="F20:G20"/>
    <mergeCell ref="H20:J20"/>
    <mergeCell ref="B19:C19"/>
    <mergeCell ref="D19:E19"/>
    <mergeCell ref="F19:G19"/>
    <mergeCell ref="H19:J19"/>
    <mergeCell ref="B18:C18"/>
    <mergeCell ref="B29:C29"/>
    <mergeCell ref="D29:E29"/>
    <mergeCell ref="F29:G29"/>
    <mergeCell ref="H29:J29"/>
    <mergeCell ref="B28:C28"/>
    <mergeCell ref="D28:E28"/>
    <mergeCell ref="F28:G28"/>
    <mergeCell ref="H28:J28"/>
    <mergeCell ref="B27:C27"/>
    <mergeCell ref="D27:E27"/>
    <mergeCell ref="F27:G27"/>
    <mergeCell ref="H27:J27"/>
    <mergeCell ref="B26:C26"/>
    <mergeCell ref="D26:E26"/>
    <mergeCell ref="N48:U48"/>
    <mergeCell ref="N49:U49"/>
    <mergeCell ref="N50:U50"/>
    <mergeCell ref="N51:U51"/>
    <mergeCell ref="N52:U52"/>
    <mergeCell ref="N53:U53"/>
    <mergeCell ref="N54:U54"/>
    <mergeCell ref="N55:U55"/>
    <mergeCell ref="N56:U56"/>
    <mergeCell ref="N57:U57"/>
    <mergeCell ref="N58:U58"/>
    <mergeCell ref="N59:U59"/>
    <mergeCell ref="N60:U60"/>
    <mergeCell ref="N61:U61"/>
    <mergeCell ref="N62:U62"/>
    <mergeCell ref="N63:U63"/>
    <mergeCell ref="N32:U32"/>
    <mergeCell ref="N33:U33"/>
    <mergeCell ref="N34:U34"/>
    <mergeCell ref="N35:U35"/>
    <mergeCell ref="N36:U36"/>
    <mergeCell ref="N37:U37"/>
    <mergeCell ref="N38:U38"/>
    <mergeCell ref="N39:U39"/>
    <mergeCell ref="N40:U40"/>
    <mergeCell ref="N41:U41"/>
    <mergeCell ref="N42:U42"/>
    <mergeCell ref="N43:U43"/>
    <mergeCell ref="N44:U44"/>
    <mergeCell ref="N45:U45"/>
    <mergeCell ref="N46:U46"/>
    <mergeCell ref="N47:U47"/>
    <mergeCell ref="N80:U80"/>
    <mergeCell ref="N81:U81"/>
    <mergeCell ref="N82:U82"/>
    <mergeCell ref="N83:U83"/>
    <mergeCell ref="N84:U84"/>
    <mergeCell ref="N85:U85"/>
    <mergeCell ref="N86:U86"/>
    <mergeCell ref="N87:U87"/>
    <mergeCell ref="N88:U88"/>
    <mergeCell ref="N89:U89"/>
    <mergeCell ref="N90:U90"/>
    <mergeCell ref="N91:U91"/>
    <mergeCell ref="N92:U92"/>
    <mergeCell ref="N93:U93"/>
    <mergeCell ref="N94:U94"/>
    <mergeCell ref="N95:U95"/>
    <mergeCell ref="N64:U64"/>
    <mergeCell ref="N65:U65"/>
    <mergeCell ref="N66:U66"/>
    <mergeCell ref="N67:U67"/>
    <mergeCell ref="N68:U68"/>
    <mergeCell ref="N69:U69"/>
    <mergeCell ref="N70:U70"/>
    <mergeCell ref="N71:U71"/>
    <mergeCell ref="N72:U72"/>
    <mergeCell ref="N73:U73"/>
    <mergeCell ref="N74:U74"/>
    <mergeCell ref="N75:U75"/>
    <mergeCell ref="N76:U76"/>
    <mergeCell ref="N77:U77"/>
    <mergeCell ref="N78:U78"/>
    <mergeCell ref="N79:U79"/>
    <mergeCell ref="N112:U112"/>
    <mergeCell ref="N113:U113"/>
    <mergeCell ref="N114:U114"/>
    <mergeCell ref="N115:U115"/>
    <mergeCell ref="N116:U116"/>
    <mergeCell ref="N117:U117"/>
    <mergeCell ref="N118:U118"/>
    <mergeCell ref="N119:U119"/>
    <mergeCell ref="N120:U120"/>
    <mergeCell ref="N121:U121"/>
    <mergeCell ref="N122:U122"/>
    <mergeCell ref="N123:U123"/>
    <mergeCell ref="N124:U124"/>
    <mergeCell ref="N125:U125"/>
    <mergeCell ref="N126:U126"/>
    <mergeCell ref="N127:U127"/>
    <mergeCell ref="N96:U96"/>
    <mergeCell ref="N97:U97"/>
    <mergeCell ref="N98:U98"/>
    <mergeCell ref="N99:U99"/>
    <mergeCell ref="N100:U100"/>
    <mergeCell ref="N101:U101"/>
    <mergeCell ref="N102:U102"/>
    <mergeCell ref="N103:U103"/>
    <mergeCell ref="N104:U104"/>
    <mergeCell ref="N105:U105"/>
    <mergeCell ref="N106:U106"/>
    <mergeCell ref="N107:U107"/>
    <mergeCell ref="N108:U108"/>
    <mergeCell ref="N109:U109"/>
    <mergeCell ref="N110:U110"/>
    <mergeCell ref="N111:U111"/>
    <mergeCell ref="N143:U143"/>
    <mergeCell ref="N144:U144"/>
    <mergeCell ref="N145:U145"/>
    <mergeCell ref="N146:U146"/>
    <mergeCell ref="N147:U147"/>
    <mergeCell ref="N148:U148"/>
    <mergeCell ref="N149:U149"/>
    <mergeCell ref="N150:U150"/>
    <mergeCell ref="N151:U151"/>
    <mergeCell ref="N152:U152"/>
    <mergeCell ref="N153:U153"/>
    <mergeCell ref="N154:U154"/>
    <mergeCell ref="N155:U155"/>
    <mergeCell ref="N156:U156"/>
    <mergeCell ref="N157:U157"/>
    <mergeCell ref="N158:U158"/>
    <mergeCell ref="N128:U128"/>
    <mergeCell ref="N129:U129"/>
    <mergeCell ref="N130:U130"/>
    <mergeCell ref="N131:U131"/>
    <mergeCell ref="N132:U132"/>
    <mergeCell ref="N133:U133"/>
    <mergeCell ref="N134:U134"/>
    <mergeCell ref="N135:U135"/>
    <mergeCell ref="N136:U136"/>
    <mergeCell ref="N137:U137"/>
    <mergeCell ref="N138:U138"/>
    <mergeCell ref="N139:U139"/>
    <mergeCell ref="N140:U140"/>
    <mergeCell ref="N141:U141"/>
    <mergeCell ref="N142:U142"/>
    <mergeCell ref="N185:U185"/>
    <mergeCell ref="N186:U186"/>
    <mergeCell ref="N187:U187"/>
    <mergeCell ref="N188:U188"/>
    <mergeCell ref="N189:U189"/>
    <mergeCell ref="N190:U190"/>
    <mergeCell ref="N159:U159"/>
    <mergeCell ref="N160:U160"/>
    <mergeCell ref="N161:U161"/>
    <mergeCell ref="N162:U162"/>
    <mergeCell ref="N163:U163"/>
    <mergeCell ref="N164:U164"/>
    <mergeCell ref="N165:U165"/>
    <mergeCell ref="N166:U166"/>
    <mergeCell ref="N167:U167"/>
    <mergeCell ref="N168:U168"/>
    <mergeCell ref="N169:U169"/>
    <mergeCell ref="N170:U170"/>
    <mergeCell ref="N171:U171"/>
    <mergeCell ref="N172:U172"/>
    <mergeCell ref="N173:U173"/>
    <mergeCell ref="N174:U174"/>
    <mergeCell ref="N207:U207"/>
    <mergeCell ref="N208:U208"/>
    <mergeCell ref="N209:U209"/>
    <mergeCell ref="N210:U210"/>
    <mergeCell ref="N211:U211"/>
    <mergeCell ref="N1:U1"/>
    <mergeCell ref="N191:U191"/>
    <mergeCell ref="N192:U192"/>
    <mergeCell ref="N193:U193"/>
    <mergeCell ref="N194:U194"/>
    <mergeCell ref="N195:U195"/>
    <mergeCell ref="N196:U196"/>
    <mergeCell ref="N197:U197"/>
    <mergeCell ref="N198:U198"/>
    <mergeCell ref="N199:U199"/>
    <mergeCell ref="N200:U200"/>
    <mergeCell ref="N201:U201"/>
    <mergeCell ref="N202:U202"/>
    <mergeCell ref="N203:U203"/>
    <mergeCell ref="N204:U204"/>
    <mergeCell ref="N205:U205"/>
    <mergeCell ref="N206:U206"/>
    <mergeCell ref="N175:U175"/>
    <mergeCell ref="N176:U176"/>
    <mergeCell ref="N177:U177"/>
    <mergeCell ref="N178:U178"/>
    <mergeCell ref="N179:U179"/>
    <mergeCell ref="N180:U180"/>
    <mergeCell ref="N181:U181"/>
    <mergeCell ref="N182:U182"/>
    <mergeCell ref="N183:U183"/>
    <mergeCell ref="N184:U184"/>
    <mergeCell ref="B212:C212"/>
    <mergeCell ref="D212:E212"/>
    <mergeCell ref="F212:G212"/>
    <mergeCell ref="H212:J212"/>
    <mergeCell ref="K212:M212"/>
    <mergeCell ref="N212:U212"/>
    <mergeCell ref="B213:C213"/>
    <mergeCell ref="D213:E213"/>
    <mergeCell ref="F213:G213"/>
    <mergeCell ref="H213:J213"/>
    <mergeCell ref="K213:M213"/>
    <mergeCell ref="N213:U213"/>
    <mergeCell ref="B214:C214"/>
    <mergeCell ref="D214:E214"/>
    <mergeCell ref="F214:G214"/>
    <mergeCell ref="H214:J214"/>
    <mergeCell ref="K214:M214"/>
    <mergeCell ref="N214:U214"/>
    <mergeCell ref="B215:C215"/>
    <mergeCell ref="D215:E215"/>
    <mergeCell ref="F215:G215"/>
    <mergeCell ref="H215:J215"/>
    <mergeCell ref="K215:M215"/>
    <mergeCell ref="N215:U215"/>
    <mergeCell ref="B216:C216"/>
    <mergeCell ref="D216:E216"/>
    <mergeCell ref="F216:G216"/>
    <mergeCell ref="H216:J216"/>
    <mergeCell ref="K216:M216"/>
    <mergeCell ref="N216:U216"/>
    <mergeCell ref="B217:C217"/>
    <mergeCell ref="D217:E217"/>
    <mergeCell ref="F217:G217"/>
    <mergeCell ref="H217:J217"/>
    <mergeCell ref="K217:M217"/>
    <mergeCell ref="N217:U217"/>
    <mergeCell ref="B218:C218"/>
    <mergeCell ref="D218:E218"/>
    <mergeCell ref="F218:G218"/>
    <mergeCell ref="H218:J218"/>
    <mergeCell ref="K218:M218"/>
    <mergeCell ref="N218:U218"/>
    <mergeCell ref="B219:C219"/>
    <mergeCell ref="D219:E219"/>
    <mergeCell ref="F219:G219"/>
    <mergeCell ref="H219:J219"/>
    <mergeCell ref="K219:M219"/>
    <mergeCell ref="N219:U219"/>
    <mergeCell ref="B220:C220"/>
    <mergeCell ref="D220:E220"/>
    <mergeCell ref="F220:G220"/>
    <mergeCell ref="H220:J220"/>
    <mergeCell ref="K220:M220"/>
    <mergeCell ref="N220:U220"/>
    <mergeCell ref="B221:C221"/>
    <mergeCell ref="D221:E221"/>
    <mergeCell ref="F221:G221"/>
    <mergeCell ref="H221:J221"/>
    <mergeCell ref="K221:M221"/>
    <mergeCell ref="N221:U221"/>
    <mergeCell ref="B222:C222"/>
    <mergeCell ref="D222:E222"/>
    <mergeCell ref="F222:G222"/>
    <mergeCell ref="H222:J222"/>
    <mergeCell ref="K222:M222"/>
    <mergeCell ref="N222:U222"/>
    <mergeCell ref="B223:C223"/>
    <mergeCell ref="D223:E223"/>
    <mergeCell ref="F223:G223"/>
    <mergeCell ref="H223:J223"/>
    <mergeCell ref="K223:M223"/>
    <mergeCell ref="N223:U223"/>
    <mergeCell ref="B224:C224"/>
    <mergeCell ref="D224:E224"/>
    <mergeCell ref="F224:G224"/>
    <mergeCell ref="H224:J224"/>
    <mergeCell ref="K224:M224"/>
    <mergeCell ref="N224:U224"/>
    <mergeCell ref="B225:C225"/>
    <mergeCell ref="D225:E225"/>
    <mergeCell ref="F225:G225"/>
    <mergeCell ref="H225:J225"/>
    <mergeCell ref="K225:M225"/>
    <mergeCell ref="N225:U225"/>
    <mergeCell ref="B226:C226"/>
    <mergeCell ref="D226:E226"/>
    <mergeCell ref="F226:G226"/>
    <mergeCell ref="H226:J226"/>
    <mergeCell ref="K226:M226"/>
    <mergeCell ref="N226:U226"/>
    <mergeCell ref="B227:C227"/>
    <mergeCell ref="D227:E227"/>
    <mergeCell ref="F227:G227"/>
    <mergeCell ref="H227:J227"/>
    <mergeCell ref="K227:M227"/>
    <mergeCell ref="N227:U227"/>
    <mergeCell ref="B228:C228"/>
    <mergeCell ref="D228:E228"/>
    <mergeCell ref="F228:G228"/>
    <mergeCell ref="H228:J228"/>
    <mergeCell ref="K228:M228"/>
    <mergeCell ref="N228:U228"/>
    <mergeCell ref="B229:C229"/>
    <mergeCell ref="D229:E229"/>
    <mergeCell ref="F229:G229"/>
    <mergeCell ref="H229:J229"/>
    <mergeCell ref="K229:M229"/>
    <mergeCell ref="N229:U229"/>
    <mergeCell ref="B230:C230"/>
    <mergeCell ref="D230:E230"/>
    <mergeCell ref="F230:G230"/>
    <mergeCell ref="H230:J230"/>
    <mergeCell ref="K230:M230"/>
    <mergeCell ref="N230:U230"/>
    <mergeCell ref="B231:C231"/>
    <mergeCell ref="D231:E231"/>
    <mergeCell ref="F231:G231"/>
    <mergeCell ref="H231:J231"/>
    <mergeCell ref="K231:M231"/>
    <mergeCell ref="N231:U231"/>
    <mergeCell ref="B232:C232"/>
    <mergeCell ref="D232:E232"/>
    <mergeCell ref="F232:G232"/>
    <mergeCell ref="H232:J232"/>
    <mergeCell ref="K232:M232"/>
    <mergeCell ref="N232:U232"/>
    <mergeCell ref="B233:C233"/>
    <mergeCell ref="D233:E233"/>
    <mergeCell ref="F233:G233"/>
    <mergeCell ref="H233:J233"/>
    <mergeCell ref="K233:M233"/>
    <mergeCell ref="N233:U233"/>
    <mergeCell ref="B234:C234"/>
    <mergeCell ref="D234:E234"/>
    <mergeCell ref="F234:G234"/>
    <mergeCell ref="H234:J234"/>
    <mergeCell ref="K234:M234"/>
    <mergeCell ref="N234:U234"/>
    <mergeCell ref="B235:C235"/>
    <mergeCell ref="D235:E235"/>
    <mergeCell ref="F235:G235"/>
    <mergeCell ref="H235:J235"/>
    <mergeCell ref="K235:M235"/>
    <mergeCell ref="N235:U235"/>
    <mergeCell ref="B236:C236"/>
    <mergeCell ref="D236:E236"/>
    <mergeCell ref="F236:G236"/>
    <mergeCell ref="H236:J236"/>
    <mergeCell ref="K236:M236"/>
    <mergeCell ref="N236:U236"/>
    <mergeCell ref="B237:C237"/>
    <mergeCell ref="D237:E237"/>
    <mergeCell ref="F237:G237"/>
    <mergeCell ref="H237:J237"/>
    <mergeCell ref="K237:M237"/>
    <mergeCell ref="N237:U237"/>
    <mergeCell ref="B238:C238"/>
    <mergeCell ref="D238:E238"/>
    <mergeCell ref="F238:G238"/>
    <mergeCell ref="H238:J238"/>
    <mergeCell ref="K238:M238"/>
    <mergeCell ref="N238:U238"/>
    <mergeCell ref="B239:C239"/>
    <mergeCell ref="D239:E239"/>
    <mergeCell ref="F239:G239"/>
    <mergeCell ref="H239:J239"/>
    <mergeCell ref="K239:M239"/>
    <mergeCell ref="N239:U239"/>
    <mergeCell ref="B240:C240"/>
    <mergeCell ref="D240:E240"/>
    <mergeCell ref="F240:G240"/>
    <mergeCell ref="H240:J240"/>
    <mergeCell ref="K240:M240"/>
    <mergeCell ref="N240:U240"/>
    <mergeCell ref="B241:C241"/>
    <mergeCell ref="D241:E241"/>
    <mergeCell ref="F241:G241"/>
    <mergeCell ref="H241:J241"/>
    <mergeCell ref="K241:M241"/>
    <mergeCell ref="N241:U241"/>
    <mergeCell ref="B242:C242"/>
    <mergeCell ref="D242:E242"/>
    <mergeCell ref="F242:G242"/>
    <mergeCell ref="H242:J242"/>
    <mergeCell ref="K242:M242"/>
    <mergeCell ref="N242:U242"/>
    <mergeCell ref="B243:C243"/>
    <mergeCell ref="D243:E243"/>
    <mergeCell ref="F243:G243"/>
    <mergeCell ref="H243:J243"/>
    <mergeCell ref="K243:M243"/>
    <mergeCell ref="N243:U243"/>
    <mergeCell ref="B244:C244"/>
    <mergeCell ref="D244:E244"/>
    <mergeCell ref="F244:G244"/>
    <mergeCell ref="H244:J244"/>
    <mergeCell ref="K244:M244"/>
    <mergeCell ref="N244:U244"/>
    <mergeCell ref="B245:C245"/>
    <mergeCell ref="D245:E245"/>
    <mergeCell ref="F245:G245"/>
    <mergeCell ref="H245:J245"/>
    <mergeCell ref="K245:M245"/>
    <mergeCell ref="N245:U245"/>
    <mergeCell ref="B246:C246"/>
    <mergeCell ref="D246:E246"/>
    <mergeCell ref="F246:G246"/>
    <mergeCell ref="H246:J246"/>
    <mergeCell ref="K246:M246"/>
    <mergeCell ref="N246:U246"/>
    <mergeCell ref="B247:C247"/>
    <mergeCell ref="D247:E247"/>
    <mergeCell ref="F247:G247"/>
    <mergeCell ref="H247:J247"/>
    <mergeCell ref="K247:M247"/>
    <mergeCell ref="N247:U247"/>
    <mergeCell ref="B248:C248"/>
    <mergeCell ref="D248:E248"/>
    <mergeCell ref="F248:G248"/>
    <mergeCell ref="H248:J248"/>
    <mergeCell ref="K248:M248"/>
    <mergeCell ref="N248:U248"/>
    <mergeCell ref="B249:C249"/>
    <mergeCell ref="D249:E249"/>
    <mergeCell ref="F249:G249"/>
    <mergeCell ref="H249:J249"/>
    <mergeCell ref="K249:M249"/>
    <mergeCell ref="N249:U249"/>
    <mergeCell ref="B250:C250"/>
    <mergeCell ref="D250:E250"/>
    <mergeCell ref="F250:G250"/>
    <mergeCell ref="H250:J250"/>
    <mergeCell ref="K250:M250"/>
    <mergeCell ref="N250:U250"/>
    <mergeCell ref="B251:C251"/>
    <mergeCell ref="D251:E251"/>
    <mergeCell ref="F251:G251"/>
    <mergeCell ref="H251:J251"/>
    <mergeCell ref="K251:M251"/>
    <mergeCell ref="N251:U251"/>
    <mergeCell ref="B252:C252"/>
    <mergeCell ref="D252:E252"/>
    <mergeCell ref="F252:G252"/>
    <mergeCell ref="H252:J252"/>
    <mergeCell ref="K252:M252"/>
    <mergeCell ref="N252:U252"/>
    <mergeCell ref="B253:C253"/>
    <mergeCell ref="D253:E253"/>
    <mergeCell ref="F253:G253"/>
    <mergeCell ref="H253:J253"/>
    <mergeCell ref="K253:M253"/>
    <mergeCell ref="N253:U253"/>
    <mergeCell ref="B254:C254"/>
    <mergeCell ref="D254:E254"/>
    <mergeCell ref="F254:G254"/>
    <mergeCell ref="H254:J254"/>
    <mergeCell ref="K254:M254"/>
    <mergeCell ref="N254:U254"/>
    <mergeCell ref="B255:C255"/>
    <mergeCell ref="D255:E255"/>
    <mergeCell ref="F255:G255"/>
    <mergeCell ref="H255:J255"/>
    <mergeCell ref="K255:M255"/>
    <mergeCell ref="N255:U255"/>
    <mergeCell ref="B256:C256"/>
    <mergeCell ref="D256:E256"/>
    <mergeCell ref="F256:G256"/>
    <mergeCell ref="H256:J256"/>
    <mergeCell ref="K256:M256"/>
    <mergeCell ref="N256:U256"/>
    <mergeCell ref="B257:C257"/>
    <mergeCell ref="D257:E257"/>
    <mergeCell ref="F257:G257"/>
    <mergeCell ref="H257:J257"/>
    <mergeCell ref="K257:M257"/>
    <mergeCell ref="N257:U257"/>
    <mergeCell ref="B258:C258"/>
    <mergeCell ref="D258:E258"/>
    <mergeCell ref="F258:G258"/>
    <mergeCell ref="H258:J258"/>
    <mergeCell ref="K258:M258"/>
    <mergeCell ref="N258:U258"/>
    <mergeCell ref="B259:C259"/>
    <mergeCell ref="D259:E259"/>
    <mergeCell ref="F259:G259"/>
    <mergeCell ref="H259:J259"/>
    <mergeCell ref="K259:M259"/>
    <mergeCell ref="N259:U259"/>
    <mergeCell ref="B260:C260"/>
    <mergeCell ref="D260:E260"/>
    <mergeCell ref="F260:G260"/>
    <mergeCell ref="H260:J260"/>
    <mergeCell ref="K260:M260"/>
    <mergeCell ref="N260:U260"/>
    <mergeCell ref="B261:C261"/>
    <mergeCell ref="D261:E261"/>
    <mergeCell ref="F261:G261"/>
    <mergeCell ref="H261:J261"/>
    <mergeCell ref="K261:M261"/>
    <mergeCell ref="N261:U261"/>
    <mergeCell ref="B262:C262"/>
    <mergeCell ref="D262:E262"/>
    <mergeCell ref="F262:G262"/>
    <mergeCell ref="H262:J262"/>
    <mergeCell ref="K262:M262"/>
    <mergeCell ref="N262:U262"/>
    <mergeCell ref="B263:C263"/>
    <mergeCell ref="D263:E263"/>
    <mergeCell ref="F263:G263"/>
    <mergeCell ref="H263:J263"/>
    <mergeCell ref="K263:M263"/>
    <mergeCell ref="N263:U263"/>
    <mergeCell ref="B264:C264"/>
    <mergeCell ref="D264:E264"/>
    <mergeCell ref="F264:G264"/>
    <mergeCell ref="H264:J264"/>
    <mergeCell ref="K264:M264"/>
    <mergeCell ref="N264:U264"/>
    <mergeCell ref="B265:C265"/>
    <mergeCell ref="D265:E265"/>
    <mergeCell ref="F265:G265"/>
    <mergeCell ref="H265:J265"/>
    <mergeCell ref="K265:M265"/>
    <mergeCell ref="N265:U265"/>
    <mergeCell ref="B266:C266"/>
    <mergeCell ref="D266:E266"/>
    <mergeCell ref="F266:G266"/>
    <mergeCell ref="H266:J266"/>
    <mergeCell ref="K266:M266"/>
    <mergeCell ref="N266:U266"/>
    <mergeCell ref="B267:C267"/>
    <mergeCell ref="D267:E267"/>
    <mergeCell ref="F267:G267"/>
    <mergeCell ref="H267:J267"/>
    <mergeCell ref="K267:M267"/>
    <mergeCell ref="N267:U267"/>
    <mergeCell ref="B268:C268"/>
    <mergeCell ref="D268:E268"/>
    <mergeCell ref="F268:G268"/>
    <mergeCell ref="H268:J268"/>
    <mergeCell ref="K268:M268"/>
    <mergeCell ref="N268:U268"/>
    <mergeCell ref="B269:C269"/>
    <mergeCell ref="D269:E269"/>
    <mergeCell ref="F269:G269"/>
    <mergeCell ref="H269:J269"/>
    <mergeCell ref="K269:M269"/>
    <mergeCell ref="N269:U269"/>
    <mergeCell ref="B270:C270"/>
    <mergeCell ref="D270:E270"/>
    <mergeCell ref="F270:G270"/>
    <mergeCell ref="H270:J270"/>
    <mergeCell ref="K270:M270"/>
    <mergeCell ref="N270:U270"/>
    <mergeCell ref="B271:C271"/>
    <mergeCell ref="D271:E271"/>
    <mergeCell ref="F271:G271"/>
    <mergeCell ref="H271:J271"/>
    <mergeCell ref="K271:M271"/>
    <mergeCell ref="N271:U271"/>
    <mergeCell ref="B272:C272"/>
    <mergeCell ref="D272:E272"/>
    <mergeCell ref="F272:G272"/>
    <mergeCell ref="H272:J272"/>
    <mergeCell ref="K272:M272"/>
    <mergeCell ref="N272:U272"/>
    <mergeCell ref="B273:C273"/>
    <mergeCell ref="D273:E273"/>
    <mergeCell ref="F273:G273"/>
    <mergeCell ref="H273:J273"/>
    <mergeCell ref="K273:M273"/>
    <mergeCell ref="N273:U273"/>
    <mergeCell ref="B274:C274"/>
    <mergeCell ref="D274:E274"/>
    <mergeCell ref="F274:G274"/>
    <mergeCell ref="H274:J274"/>
    <mergeCell ref="K274:M274"/>
    <mergeCell ref="N274:U274"/>
    <mergeCell ref="B275:C275"/>
    <mergeCell ref="D275:E275"/>
    <mergeCell ref="F275:G275"/>
    <mergeCell ref="H275:J275"/>
    <mergeCell ref="K275:M275"/>
    <mergeCell ref="N275:U275"/>
    <mergeCell ref="B276:C276"/>
    <mergeCell ref="D276:E276"/>
    <mergeCell ref="F276:G276"/>
    <mergeCell ref="H276:J276"/>
    <mergeCell ref="K276:M276"/>
    <mergeCell ref="N276:U276"/>
    <mergeCell ref="B277:C277"/>
    <mergeCell ref="D277:E277"/>
    <mergeCell ref="F277:G277"/>
    <mergeCell ref="H277:J277"/>
    <mergeCell ref="K277:M277"/>
    <mergeCell ref="N277:U277"/>
    <mergeCell ref="B278:C278"/>
    <mergeCell ref="D278:E278"/>
    <mergeCell ref="F278:G278"/>
    <mergeCell ref="H278:J278"/>
    <mergeCell ref="K278:M278"/>
    <mergeCell ref="N278:U278"/>
    <mergeCell ref="B279:C279"/>
    <mergeCell ref="D279:E279"/>
    <mergeCell ref="F279:G279"/>
    <mergeCell ref="H279:J279"/>
    <mergeCell ref="K279:M279"/>
    <mergeCell ref="N279:U279"/>
    <mergeCell ref="B280:C280"/>
    <mergeCell ref="D280:E280"/>
    <mergeCell ref="F280:G280"/>
    <mergeCell ref="H280:J280"/>
    <mergeCell ref="K280:M280"/>
    <mergeCell ref="N280:U280"/>
    <mergeCell ref="B281:C281"/>
    <mergeCell ref="D281:E281"/>
    <mergeCell ref="F281:G281"/>
    <mergeCell ref="H281:J281"/>
    <mergeCell ref="K281:M281"/>
    <mergeCell ref="N281:U281"/>
    <mergeCell ref="B282:C282"/>
    <mergeCell ref="D282:E282"/>
    <mergeCell ref="F282:G282"/>
    <mergeCell ref="H282:J282"/>
    <mergeCell ref="K282:M282"/>
    <mergeCell ref="N282:U282"/>
    <mergeCell ref="B283:C283"/>
    <mergeCell ref="D283:E283"/>
    <mergeCell ref="F283:G283"/>
    <mergeCell ref="H283:J283"/>
    <mergeCell ref="K283:M283"/>
    <mergeCell ref="N283:U283"/>
    <mergeCell ref="B284:C284"/>
    <mergeCell ref="D284:E284"/>
    <mergeCell ref="F284:G284"/>
    <mergeCell ref="H284:J284"/>
    <mergeCell ref="K284:M284"/>
    <mergeCell ref="N284:U284"/>
    <mergeCell ref="B285:C285"/>
    <mergeCell ref="D285:E285"/>
    <mergeCell ref="F285:G285"/>
    <mergeCell ref="H285:J285"/>
    <mergeCell ref="K285:M285"/>
    <mergeCell ref="N285:U285"/>
    <mergeCell ref="B286:C286"/>
    <mergeCell ref="D286:E286"/>
    <mergeCell ref="F286:G286"/>
    <mergeCell ref="H286:J286"/>
    <mergeCell ref="K286:M286"/>
    <mergeCell ref="N286:U286"/>
    <mergeCell ref="B287:C287"/>
    <mergeCell ref="D287:E287"/>
    <mergeCell ref="F287:G287"/>
    <mergeCell ref="H287:J287"/>
    <mergeCell ref="K287:M287"/>
    <mergeCell ref="N287:U287"/>
    <mergeCell ref="B288:C288"/>
    <mergeCell ref="D288:E288"/>
    <mergeCell ref="F288:G288"/>
    <mergeCell ref="H288:J288"/>
    <mergeCell ref="K288:M288"/>
    <mergeCell ref="N288:U288"/>
    <mergeCell ref="B289:C289"/>
    <mergeCell ref="D289:E289"/>
    <mergeCell ref="F289:G289"/>
    <mergeCell ref="H289:J289"/>
    <mergeCell ref="K289:M289"/>
    <mergeCell ref="N289:U289"/>
    <mergeCell ref="B290:C290"/>
    <mergeCell ref="D290:E290"/>
    <mergeCell ref="F290:G290"/>
    <mergeCell ref="H290:J290"/>
    <mergeCell ref="K290:M290"/>
    <mergeCell ref="N290:U290"/>
    <mergeCell ref="B291:C291"/>
    <mergeCell ref="D291:E291"/>
    <mergeCell ref="F291:G291"/>
    <mergeCell ref="H291:J291"/>
    <mergeCell ref="K291:M291"/>
    <mergeCell ref="N291:U291"/>
    <mergeCell ref="B292:C292"/>
    <mergeCell ref="D292:E292"/>
    <mergeCell ref="F292:G292"/>
    <mergeCell ref="H292:J292"/>
    <mergeCell ref="K292:M292"/>
    <mergeCell ref="N292:U292"/>
    <mergeCell ref="B293:C293"/>
    <mergeCell ref="D293:E293"/>
    <mergeCell ref="F293:G293"/>
    <mergeCell ref="H293:J293"/>
    <mergeCell ref="K293:M293"/>
    <mergeCell ref="N293:U293"/>
    <mergeCell ref="B294:C294"/>
    <mergeCell ref="D294:E294"/>
    <mergeCell ref="F294:G294"/>
    <mergeCell ref="H294:J294"/>
    <mergeCell ref="K294:M294"/>
    <mergeCell ref="N294:U294"/>
    <mergeCell ref="B295:C295"/>
    <mergeCell ref="D295:E295"/>
    <mergeCell ref="F295:G295"/>
    <mergeCell ref="H295:J295"/>
    <mergeCell ref="K295:M295"/>
    <mergeCell ref="N295:U295"/>
    <mergeCell ref="B296:C296"/>
    <mergeCell ref="D296:E296"/>
    <mergeCell ref="F296:G296"/>
    <mergeCell ref="H296:J296"/>
    <mergeCell ref="K296:M296"/>
    <mergeCell ref="N296:U296"/>
    <mergeCell ref="B297:C297"/>
    <mergeCell ref="D297:E297"/>
    <mergeCell ref="F297:G297"/>
    <mergeCell ref="H297:J297"/>
    <mergeCell ref="K297:M297"/>
    <mergeCell ref="N297:U297"/>
    <mergeCell ref="B298:C298"/>
    <mergeCell ref="D298:E298"/>
    <mergeCell ref="F298:G298"/>
    <mergeCell ref="H298:J298"/>
    <mergeCell ref="K298:M298"/>
    <mergeCell ref="N298:U298"/>
    <mergeCell ref="B299:C299"/>
    <mergeCell ref="D299:E299"/>
    <mergeCell ref="F299:G299"/>
    <mergeCell ref="H299:J299"/>
    <mergeCell ref="K299:M299"/>
    <mergeCell ref="N299:U299"/>
    <mergeCell ref="B300:C300"/>
    <mergeCell ref="D300:E300"/>
    <mergeCell ref="F300:G300"/>
    <mergeCell ref="H300:J300"/>
    <mergeCell ref="K300:M300"/>
    <mergeCell ref="N300:U300"/>
    <mergeCell ref="B301:C301"/>
    <mergeCell ref="D301:E301"/>
    <mergeCell ref="F301:G301"/>
    <mergeCell ref="H301:J301"/>
    <mergeCell ref="K301:M301"/>
    <mergeCell ref="N301:U301"/>
    <mergeCell ref="B302:C302"/>
    <mergeCell ref="D302:E302"/>
    <mergeCell ref="F302:G302"/>
    <mergeCell ref="H302:J302"/>
    <mergeCell ref="K302:M302"/>
    <mergeCell ref="N302:U302"/>
    <mergeCell ref="B303:C303"/>
    <mergeCell ref="D303:E303"/>
    <mergeCell ref="F303:G303"/>
    <mergeCell ref="H303:J303"/>
    <mergeCell ref="K303:M303"/>
    <mergeCell ref="N303:U303"/>
    <mergeCell ref="B304:C304"/>
    <mergeCell ref="D304:E304"/>
    <mergeCell ref="F304:G304"/>
    <mergeCell ref="H304:J304"/>
    <mergeCell ref="K304:M304"/>
    <mergeCell ref="N304:U304"/>
    <mergeCell ref="B305:C305"/>
    <mergeCell ref="D305:E305"/>
    <mergeCell ref="F305:G305"/>
    <mergeCell ref="H305:J305"/>
    <mergeCell ref="K305:M305"/>
    <mergeCell ref="N305:U305"/>
    <mergeCell ref="B306:C306"/>
    <mergeCell ref="D306:E306"/>
    <mergeCell ref="F306:G306"/>
    <mergeCell ref="H306:J306"/>
    <mergeCell ref="K306:M306"/>
    <mergeCell ref="N306:U306"/>
    <mergeCell ref="B307:C307"/>
    <mergeCell ref="D307:E307"/>
    <mergeCell ref="F307:G307"/>
    <mergeCell ref="H307:J307"/>
    <mergeCell ref="K307:M307"/>
    <mergeCell ref="N307:U307"/>
    <mergeCell ref="B308:C308"/>
    <mergeCell ref="D308:E308"/>
    <mergeCell ref="F308:G308"/>
    <mergeCell ref="H308:J308"/>
    <mergeCell ref="K308:M308"/>
    <mergeCell ref="N308:U308"/>
    <mergeCell ref="B309:C309"/>
    <mergeCell ref="D309:E309"/>
    <mergeCell ref="F309:G309"/>
    <mergeCell ref="H309:J309"/>
    <mergeCell ref="K309:M309"/>
    <mergeCell ref="N309:U309"/>
    <mergeCell ref="B310:C310"/>
    <mergeCell ref="D310:E310"/>
    <mergeCell ref="F310:G310"/>
    <mergeCell ref="H310:J310"/>
    <mergeCell ref="K310:M310"/>
    <mergeCell ref="N310:U310"/>
    <mergeCell ref="B311:C311"/>
    <mergeCell ref="D311:E311"/>
    <mergeCell ref="F311:G311"/>
    <mergeCell ref="H311:J311"/>
    <mergeCell ref="K311:M311"/>
    <mergeCell ref="N311:U311"/>
    <mergeCell ref="B312:C312"/>
    <mergeCell ref="D312:E312"/>
    <mergeCell ref="F312:G312"/>
    <mergeCell ref="H312:J312"/>
    <mergeCell ref="K312:M312"/>
    <mergeCell ref="N312:U312"/>
    <mergeCell ref="B313:C313"/>
    <mergeCell ref="D313:E313"/>
    <mergeCell ref="F313:G313"/>
    <mergeCell ref="H313:J313"/>
    <mergeCell ref="K313:M313"/>
    <mergeCell ref="N313:U313"/>
    <mergeCell ref="B314:C314"/>
    <mergeCell ref="D314:E314"/>
    <mergeCell ref="F314:G314"/>
    <mergeCell ref="H314:J314"/>
    <mergeCell ref="K314:M314"/>
    <mergeCell ref="N314:U314"/>
    <mergeCell ref="B315:C315"/>
    <mergeCell ref="D315:E315"/>
    <mergeCell ref="F315:G315"/>
    <mergeCell ref="H315:J315"/>
    <mergeCell ref="K315:M315"/>
    <mergeCell ref="N315:U315"/>
    <mergeCell ref="B316:C316"/>
    <mergeCell ref="D316:E316"/>
    <mergeCell ref="F316:G316"/>
    <mergeCell ref="H316:J316"/>
    <mergeCell ref="K316:M316"/>
    <mergeCell ref="N316:U316"/>
    <mergeCell ref="B317:C317"/>
    <mergeCell ref="D317:E317"/>
    <mergeCell ref="F317:G317"/>
    <mergeCell ref="H317:J317"/>
    <mergeCell ref="K317:M317"/>
    <mergeCell ref="N317:U317"/>
    <mergeCell ref="B318:C318"/>
    <mergeCell ref="D318:E318"/>
    <mergeCell ref="F318:G318"/>
    <mergeCell ref="H318:J318"/>
    <mergeCell ref="K318:M318"/>
    <mergeCell ref="N318:U318"/>
    <mergeCell ref="B319:C319"/>
    <mergeCell ref="D319:E319"/>
    <mergeCell ref="F319:G319"/>
    <mergeCell ref="H319:J319"/>
    <mergeCell ref="K319:M319"/>
    <mergeCell ref="N319:U319"/>
    <mergeCell ref="B320:C320"/>
    <mergeCell ref="D320:E320"/>
    <mergeCell ref="F320:G320"/>
    <mergeCell ref="H320:J320"/>
    <mergeCell ref="K320:M320"/>
    <mergeCell ref="N320:U320"/>
    <mergeCell ref="B321:C321"/>
    <mergeCell ref="D321:E321"/>
    <mergeCell ref="F321:G321"/>
    <mergeCell ref="H321:J321"/>
    <mergeCell ref="K321:M321"/>
    <mergeCell ref="N321:U321"/>
    <mergeCell ref="B322:C322"/>
    <mergeCell ref="D322:E322"/>
    <mergeCell ref="F322:G322"/>
    <mergeCell ref="H322:J322"/>
    <mergeCell ref="K322:M322"/>
    <mergeCell ref="N322:U322"/>
    <mergeCell ref="B323:C323"/>
    <mergeCell ref="D323:E323"/>
    <mergeCell ref="F323:G323"/>
    <mergeCell ref="H323:J323"/>
    <mergeCell ref="K323:M323"/>
    <mergeCell ref="N323:U323"/>
    <mergeCell ref="B324:C324"/>
    <mergeCell ref="D324:E324"/>
    <mergeCell ref="F324:G324"/>
    <mergeCell ref="H324:J324"/>
    <mergeCell ref="K324:M324"/>
    <mergeCell ref="N324:U324"/>
    <mergeCell ref="B325:C325"/>
    <mergeCell ref="D325:E325"/>
    <mergeCell ref="F325:G325"/>
    <mergeCell ref="H325:J325"/>
    <mergeCell ref="K325:M325"/>
    <mergeCell ref="N325:U325"/>
    <mergeCell ref="B326:C326"/>
    <mergeCell ref="D326:E326"/>
    <mergeCell ref="F326:G326"/>
    <mergeCell ref="H326:J326"/>
    <mergeCell ref="K326:M326"/>
    <mergeCell ref="N326:U326"/>
    <mergeCell ref="B327:C327"/>
    <mergeCell ref="D327:E327"/>
    <mergeCell ref="F327:G327"/>
    <mergeCell ref="H327:J327"/>
    <mergeCell ref="K327:M327"/>
    <mergeCell ref="N327:U327"/>
    <mergeCell ref="B328:C328"/>
    <mergeCell ref="D328:E328"/>
    <mergeCell ref="F328:G328"/>
    <mergeCell ref="H328:J328"/>
    <mergeCell ref="K328:M328"/>
    <mergeCell ref="N328:U328"/>
    <mergeCell ref="B329:C329"/>
    <mergeCell ref="D329:E329"/>
    <mergeCell ref="F329:G329"/>
    <mergeCell ref="H329:J329"/>
    <mergeCell ref="K329:M329"/>
    <mergeCell ref="N329:U329"/>
    <mergeCell ref="B330:C330"/>
    <mergeCell ref="D330:E330"/>
    <mergeCell ref="F330:G330"/>
    <mergeCell ref="H330:J330"/>
    <mergeCell ref="K330:M330"/>
    <mergeCell ref="N330:U330"/>
    <mergeCell ref="B331:C331"/>
    <mergeCell ref="D331:E331"/>
    <mergeCell ref="F331:G331"/>
    <mergeCell ref="H331:J331"/>
    <mergeCell ref="K331:M331"/>
    <mergeCell ref="N331:U331"/>
    <mergeCell ref="B332:C332"/>
    <mergeCell ref="D332:E332"/>
    <mergeCell ref="F332:G332"/>
    <mergeCell ref="H332:J332"/>
    <mergeCell ref="K332:M332"/>
    <mergeCell ref="N332:U332"/>
    <mergeCell ref="B333:C333"/>
    <mergeCell ref="D333:E333"/>
    <mergeCell ref="F333:G333"/>
    <mergeCell ref="H333:J333"/>
    <mergeCell ref="K333:M333"/>
    <mergeCell ref="N333:U333"/>
    <mergeCell ref="B334:C334"/>
    <mergeCell ref="D334:E334"/>
    <mergeCell ref="F334:G334"/>
    <mergeCell ref="H334:J334"/>
    <mergeCell ref="K334:M334"/>
    <mergeCell ref="N334:U334"/>
    <mergeCell ref="B335:C335"/>
    <mergeCell ref="D335:E335"/>
    <mergeCell ref="F335:G335"/>
    <mergeCell ref="H335:J335"/>
    <mergeCell ref="K335:M335"/>
    <mergeCell ref="N335:U335"/>
    <mergeCell ref="B336:C336"/>
    <mergeCell ref="D336:E336"/>
    <mergeCell ref="F336:G336"/>
    <mergeCell ref="H336:J336"/>
    <mergeCell ref="K336:M336"/>
    <mergeCell ref="N336:U336"/>
    <mergeCell ref="B337:C337"/>
    <mergeCell ref="D337:E337"/>
    <mergeCell ref="F337:G337"/>
    <mergeCell ref="H337:J337"/>
    <mergeCell ref="K337:M337"/>
    <mergeCell ref="N337:U337"/>
    <mergeCell ref="B338:C338"/>
    <mergeCell ref="D338:E338"/>
    <mergeCell ref="F338:G338"/>
    <mergeCell ref="H338:J338"/>
    <mergeCell ref="K338:M338"/>
    <mergeCell ref="N338:U338"/>
    <mergeCell ref="B339:C339"/>
    <mergeCell ref="D339:E339"/>
    <mergeCell ref="F339:G339"/>
    <mergeCell ref="H339:J339"/>
    <mergeCell ref="K339:M339"/>
    <mergeCell ref="N339:U339"/>
    <mergeCell ref="B340:C340"/>
    <mergeCell ref="D340:E340"/>
    <mergeCell ref="F340:G340"/>
    <mergeCell ref="H340:J340"/>
    <mergeCell ref="K340:M340"/>
    <mergeCell ref="N340:U340"/>
    <mergeCell ref="B341:C341"/>
    <mergeCell ref="D341:E341"/>
    <mergeCell ref="F341:G341"/>
    <mergeCell ref="H341:J341"/>
    <mergeCell ref="K341:M341"/>
    <mergeCell ref="N341:U341"/>
    <mergeCell ref="B342:C342"/>
    <mergeCell ref="D342:E342"/>
    <mergeCell ref="F342:G342"/>
    <mergeCell ref="H342:J342"/>
    <mergeCell ref="K342:M342"/>
    <mergeCell ref="N342:U342"/>
    <mergeCell ref="B343:C343"/>
    <mergeCell ref="D343:E343"/>
    <mergeCell ref="F343:G343"/>
    <mergeCell ref="H343:J343"/>
    <mergeCell ref="K343:M343"/>
    <mergeCell ref="N343:U343"/>
    <mergeCell ref="B344:C344"/>
    <mergeCell ref="D344:E344"/>
    <mergeCell ref="F344:G344"/>
    <mergeCell ref="H344:J344"/>
    <mergeCell ref="K344:M344"/>
    <mergeCell ref="N344:U344"/>
    <mergeCell ref="B345:C345"/>
    <mergeCell ref="D345:E345"/>
    <mergeCell ref="F345:G345"/>
    <mergeCell ref="H345:J345"/>
    <mergeCell ref="K345:M345"/>
    <mergeCell ref="N345:U345"/>
    <mergeCell ref="B346:C346"/>
    <mergeCell ref="D346:E346"/>
    <mergeCell ref="F346:G346"/>
    <mergeCell ref="H346:J346"/>
    <mergeCell ref="K346:M346"/>
    <mergeCell ref="N346:U346"/>
    <mergeCell ref="B347:C347"/>
    <mergeCell ref="D347:E347"/>
    <mergeCell ref="F347:G347"/>
    <mergeCell ref="H347:J347"/>
    <mergeCell ref="K347:M347"/>
    <mergeCell ref="N347:U347"/>
    <mergeCell ref="B348:C348"/>
    <mergeCell ref="D348:E348"/>
    <mergeCell ref="F348:G348"/>
    <mergeCell ref="H348:J348"/>
    <mergeCell ref="K348:M348"/>
    <mergeCell ref="N348:U348"/>
    <mergeCell ref="B349:C349"/>
    <mergeCell ref="D349:E349"/>
    <mergeCell ref="F349:G349"/>
    <mergeCell ref="H349:J349"/>
    <mergeCell ref="K349:M349"/>
    <mergeCell ref="N349:U349"/>
    <mergeCell ref="B350:C350"/>
    <mergeCell ref="D350:E350"/>
    <mergeCell ref="F350:G350"/>
    <mergeCell ref="H350:J350"/>
    <mergeCell ref="K350:M350"/>
    <mergeCell ref="N350:U350"/>
    <mergeCell ref="B351:C351"/>
    <mergeCell ref="D351:E351"/>
    <mergeCell ref="F351:G351"/>
    <mergeCell ref="H351:J351"/>
    <mergeCell ref="K351:M351"/>
    <mergeCell ref="N351:U351"/>
    <mergeCell ref="B352:C352"/>
    <mergeCell ref="D352:E352"/>
    <mergeCell ref="F352:G352"/>
    <mergeCell ref="H352:J352"/>
    <mergeCell ref="K352:M352"/>
    <mergeCell ref="N352:U352"/>
    <mergeCell ref="B353:C353"/>
    <mergeCell ref="D353:E353"/>
    <mergeCell ref="F353:G353"/>
    <mergeCell ref="H353:J353"/>
    <mergeCell ref="K353:M353"/>
    <mergeCell ref="N353:U353"/>
    <mergeCell ref="B354:C354"/>
    <mergeCell ref="D354:E354"/>
    <mergeCell ref="F354:G354"/>
    <mergeCell ref="H354:J354"/>
    <mergeCell ref="K354:M354"/>
    <mergeCell ref="N354:U354"/>
    <mergeCell ref="B355:C355"/>
    <mergeCell ref="D355:E355"/>
    <mergeCell ref="F355:G355"/>
    <mergeCell ref="H355:J355"/>
    <mergeCell ref="K355:M355"/>
    <mergeCell ref="N355:U355"/>
    <mergeCell ref="B356:C356"/>
    <mergeCell ref="D356:E356"/>
    <mergeCell ref="F356:G356"/>
    <mergeCell ref="H356:J356"/>
    <mergeCell ref="K356:M356"/>
    <mergeCell ref="N356:U356"/>
    <mergeCell ref="B357:C357"/>
    <mergeCell ref="D357:E357"/>
    <mergeCell ref="F357:G357"/>
    <mergeCell ref="H357:J357"/>
    <mergeCell ref="K357:M357"/>
    <mergeCell ref="N357:U357"/>
    <mergeCell ref="B358:C358"/>
    <mergeCell ref="D358:E358"/>
    <mergeCell ref="F358:G358"/>
    <mergeCell ref="H358:J358"/>
    <mergeCell ref="K358:M358"/>
    <mergeCell ref="N358:U358"/>
    <mergeCell ref="B359:C359"/>
    <mergeCell ref="D359:E359"/>
    <mergeCell ref="F359:G359"/>
    <mergeCell ref="H359:J359"/>
    <mergeCell ref="K359:M359"/>
    <mergeCell ref="N359:U359"/>
    <mergeCell ref="B360:C360"/>
    <mergeCell ref="D360:E360"/>
    <mergeCell ref="F360:G360"/>
    <mergeCell ref="H360:J360"/>
    <mergeCell ref="K360:M360"/>
    <mergeCell ref="N360:U360"/>
    <mergeCell ref="B361:C361"/>
    <mergeCell ref="D361:E361"/>
    <mergeCell ref="F361:G361"/>
    <mergeCell ref="H361:J361"/>
    <mergeCell ref="K361:M361"/>
    <mergeCell ref="N361:U361"/>
    <mergeCell ref="B362:C362"/>
    <mergeCell ref="D362:E362"/>
    <mergeCell ref="F362:G362"/>
    <mergeCell ref="H362:J362"/>
    <mergeCell ref="K362:M362"/>
    <mergeCell ref="N362:U362"/>
    <mergeCell ref="B363:C363"/>
    <mergeCell ref="D363:E363"/>
    <mergeCell ref="F363:G363"/>
    <mergeCell ref="H363:J363"/>
    <mergeCell ref="K363:M363"/>
    <mergeCell ref="N363:U363"/>
    <mergeCell ref="B364:C364"/>
    <mergeCell ref="D364:E364"/>
    <mergeCell ref="F364:G364"/>
    <mergeCell ref="H364:J364"/>
    <mergeCell ref="K364:M364"/>
    <mergeCell ref="N364:U364"/>
    <mergeCell ref="B365:C365"/>
    <mergeCell ref="D365:E365"/>
    <mergeCell ref="F365:G365"/>
    <mergeCell ref="H365:J365"/>
    <mergeCell ref="K365:M365"/>
    <mergeCell ref="N365:U365"/>
    <mergeCell ref="B366:C366"/>
    <mergeCell ref="D366:E366"/>
    <mergeCell ref="F366:G366"/>
    <mergeCell ref="H366:J366"/>
    <mergeCell ref="K366:M366"/>
    <mergeCell ref="N366:U366"/>
    <mergeCell ref="B367:C367"/>
    <mergeCell ref="D367:E367"/>
    <mergeCell ref="F367:G367"/>
    <mergeCell ref="H367:J367"/>
    <mergeCell ref="K367:M367"/>
    <mergeCell ref="N367:U367"/>
    <mergeCell ref="B368:C368"/>
    <mergeCell ref="D368:E368"/>
    <mergeCell ref="F368:G368"/>
    <mergeCell ref="H368:J368"/>
    <mergeCell ref="K368:M368"/>
    <mergeCell ref="N368:U368"/>
    <mergeCell ref="B369:C369"/>
    <mergeCell ref="D369:E369"/>
    <mergeCell ref="F369:G369"/>
    <mergeCell ref="H369:J369"/>
    <mergeCell ref="K369:M369"/>
    <mergeCell ref="N369:U369"/>
    <mergeCell ref="B370:C370"/>
    <mergeCell ref="D370:E370"/>
    <mergeCell ref="F370:G370"/>
    <mergeCell ref="H370:J370"/>
    <mergeCell ref="K370:M370"/>
    <mergeCell ref="N370:U370"/>
    <mergeCell ref="B371:C371"/>
    <mergeCell ref="D371:E371"/>
    <mergeCell ref="F371:G371"/>
    <mergeCell ref="H371:J371"/>
    <mergeCell ref="K371:M371"/>
    <mergeCell ref="N371:U371"/>
    <mergeCell ref="B372:C372"/>
    <mergeCell ref="D372:E372"/>
    <mergeCell ref="F372:G372"/>
    <mergeCell ref="H372:J372"/>
    <mergeCell ref="K372:M372"/>
    <mergeCell ref="N372:U372"/>
    <mergeCell ref="B373:C373"/>
    <mergeCell ref="D373:E373"/>
    <mergeCell ref="F373:G373"/>
    <mergeCell ref="H373:J373"/>
    <mergeCell ref="K373:M373"/>
    <mergeCell ref="N373:U373"/>
    <mergeCell ref="B374:C374"/>
    <mergeCell ref="D374:E374"/>
    <mergeCell ref="F374:G374"/>
    <mergeCell ref="H374:J374"/>
    <mergeCell ref="K374:M374"/>
    <mergeCell ref="N374:U374"/>
    <mergeCell ref="B375:C375"/>
    <mergeCell ref="D375:E375"/>
    <mergeCell ref="F375:G375"/>
    <mergeCell ref="H375:J375"/>
    <mergeCell ref="K375:M375"/>
    <mergeCell ref="N375:U375"/>
    <mergeCell ref="B376:C376"/>
    <mergeCell ref="D376:E376"/>
    <mergeCell ref="F376:G376"/>
    <mergeCell ref="H376:J376"/>
    <mergeCell ref="K376:M376"/>
    <mergeCell ref="N376:U376"/>
    <mergeCell ref="B377:C377"/>
    <mergeCell ref="D377:E377"/>
    <mergeCell ref="F377:G377"/>
    <mergeCell ref="H377:J377"/>
    <mergeCell ref="K377:M377"/>
    <mergeCell ref="N377:U377"/>
    <mergeCell ref="B378:C378"/>
    <mergeCell ref="D378:E378"/>
    <mergeCell ref="F378:G378"/>
    <mergeCell ref="H378:J378"/>
    <mergeCell ref="K378:M378"/>
    <mergeCell ref="N378:U378"/>
    <mergeCell ref="B379:C379"/>
    <mergeCell ref="D379:E379"/>
    <mergeCell ref="F379:G379"/>
    <mergeCell ref="H379:J379"/>
    <mergeCell ref="K379:M379"/>
    <mergeCell ref="N379:U379"/>
    <mergeCell ref="B380:C380"/>
    <mergeCell ref="D380:E380"/>
    <mergeCell ref="F380:G380"/>
    <mergeCell ref="H380:J380"/>
    <mergeCell ref="K380:M380"/>
    <mergeCell ref="N380:U380"/>
    <mergeCell ref="B381:C381"/>
    <mergeCell ref="D381:E381"/>
    <mergeCell ref="F381:G381"/>
    <mergeCell ref="H381:J381"/>
    <mergeCell ref="K381:M381"/>
    <mergeCell ref="N381:U381"/>
    <mergeCell ref="B382:C382"/>
    <mergeCell ref="D382:E382"/>
    <mergeCell ref="F382:G382"/>
    <mergeCell ref="H382:J382"/>
    <mergeCell ref="K382:M382"/>
    <mergeCell ref="N382:U382"/>
    <mergeCell ref="B383:C383"/>
    <mergeCell ref="D383:E383"/>
    <mergeCell ref="F383:G383"/>
    <mergeCell ref="H383:J383"/>
    <mergeCell ref="K383:M383"/>
    <mergeCell ref="N383:U383"/>
    <mergeCell ref="B384:C384"/>
    <mergeCell ref="D384:E384"/>
    <mergeCell ref="F384:G384"/>
    <mergeCell ref="H384:J384"/>
    <mergeCell ref="K384:M384"/>
    <mergeCell ref="N384:U384"/>
    <mergeCell ref="B385:C385"/>
    <mergeCell ref="D385:E385"/>
    <mergeCell ref="F385:G385"/>
    <mergeCell ref="H385:J385"/>
    <mergeCell ref="K385:M385"/>
    <mergeCell ref="N385:U385"/>
    <mergeCell ref="B386:C386"/>
    <mergeCell ref="D386:E386"/>
    <mergeCell ref="F386:G386"/>
    <mergeCell ref="H386:J386"/>
    <mergeCell ref="K386:M386"/>
    <mergeCell ref="N386:U386"/>
    <mergeCell ref="B387:C387"/>
    <mergeCell ref="D387:E387"/>
    <mergeCell ref="F387:G387"/>
    <mergeCell ref="H387:J387"/>
    <mergeCell ref="K387:M387"/>
    <mergeCell ref="N387:U387"/>
    <mergeCell ref="B388:C388"/>
    <mergeCell ref="D388:E388"/>
    <mergeCell ref="F388:G388"/>
    <mergeCell ref="H388:J388"/>
    <mergeCell ref="K388:M388"/>
    <mergeCell ref="N388:U388"/>
    <mergeCell ref="B389:C389"/>
    <mergeCell ref="D389:E389"/>
    <mergeCell ref="F389:G389"/>
    <mergeCell ref="H389:J389"/>
    <mergeCell ref="K389:M389"/>
    <mergeCell ref="N389:U389"/>
    <mergeCell ref="B390:C390"/>
    <mergeCell ref="D390:E390"/>
    <mergeCell ref="F390:G390"/>
    <mergeCell ref="H390:J390"/>
    <mergeCell ref="K390:M390"/>
    <mergeCell ref="N390:U390"/>
    <mergeCell ref="B391:C391"/>
    <mergeCell ref="D391:E391"/>
    <mergeCell ref="F391:G391"/>
    <mergeCell ref="H391:J391"/>
    <mergeCell ref="K391:M391"/>
    <mergeCell ref="N391:U391"/>
    <mergeCell ref="B392:C392"/>
    <mergeCell ref="D392:E392"/>
    <mergeCell ref="F392:G392"/>
    <mergeCell ref="H392:J392"/>
    <mergeCell ref="K392:M392"/>
    <mergeCell ref="N392:U392"/>
    <mergeCell ref="B393:C393"/>
    <mergeCell ref="D393:E393"/>
    <mergeCell ref="F393:G393"/>
    <mergeCell ref="H393:J393"/>
    <mergeCell ref="K393:M393"/>
    <mergeCell ref="N393:U393"/>
    <mergeCell ref="B394:C394"/>
    <mergeCell ref="D394:E394"/>
    <mergeCell ref="F394:G394"/>
    <mergeCell ref="H394:J394"/>
    <mergeCell ref="K394:M394"/>
    <mergeCell ref="N394:U394"/>
    <mergeCell ref="B395:C395"/>
    <mergeCell ref="D395:E395"/>
    <mergeCell ref="F395:G395"/>
    <mergeCell ref="H395:J395"/>
    <mergeCell ref="K395:M395"/>
    <mergeCell ref="N395:U395"/>
    <mergeCell ref="B396:C396"/>
    <mergeCell ref="D396:E396"/>
    <mergeCell ref="F396:G396"/>
    <mergeCell ref="H396:J396"/>
    <mergeCell ref="K396:M396"/>
    <mergeCell ref="N396:U396"/>
    <mergeCell ref="B397:C397"/>
    <mergeCell ref="D397:E397"/>
    <mergeCell ref="F397:G397"/>
    <mergeCell ref="H397:J397"/>
    <mergeCell ref="K397:M397"/>
    <mergeCell ref="N397:U397"/>
    <mergeCell ref="B398:C398"/>
    <mergeCell ref="D398:E398"/>
    <mergeCell ref="F398:G398"/>
    <mergeCell ref="H398:J398"/>
    <mergeCell ref="K398:M398"/>
    <mergeCell ref="N398:U398"/>
    <mergeCell ref="B399:C399"/>
    <mergeCell ref="D399:E399"/>
    <mergeCell ref="F399:G399"/>
    <mergeCell ref="H399:J399"/>
    <mergeCell ref="K399:M399"/>
    <mergeCell ref="N399:U399"/>
    <mergeCell ref="B400:C400"/>
    <mergeCell ref="D400:E400"/>
    <mergeCell ref="F400:G400"/>
    <mergeCell ref="H400:J400"/>
    <mergeCell ref="K400:M400"/>
    <mergeCell ref="N400:U400"/>
    <mergeCell ref="B401:C401"/>
    <mergeCell ref="D401:E401"/>
    <mergeCell ref="F401:G401"/>
    <mergeCell ref="H401:J401"/>
    <mergeCell ref="K401:M401"/>
    <mergeCell ref="N401:U401"/>
    <mergeCell ref="B402:C402"/>
    <mergeCell ref="D402:E402"/>
    <mergeCell ref="F402:G402"/>
    <mergeCell ref="H402:J402"/>
    <mergeCell ref="K402:M402"/>
    <mergeCell ref="N402:U402"/>
    <mergeCell ref="B403:C403"/>
    <mergeCell ref="D403:E403"/>
    <mergeCell ref="F403:G403"/>
    <mergeCell ref="H403:J403"/>
    <mergeCell ref="K403:M403"/>
    <mergeCell ref="N403:U403"/>
    <mergeCell ref="B404:C404"/>
    <mergeCell ref="D404:E404"/>
    <mergeCell ref="F404:G404"/>
    <mergeCell ref="H404:J404"/>
    <mergeCell ref="K404:M404"/>
    <mergeCell ref="N404:U404"/>
    <mergeCell ref="B405:C405"/>
    <mergeCell ref="D405:E405"/>
    <mergeCell ref="F405:G405"/>
    <mergeCell ref="H405:J405"/>
    <mergeCell ref="K405:M405"/>
    <mergeCell ref="N405:U405"/>
    <mergeCell ref="B406:C406"/>
    <mergeCell ref="D406:E406"/>
    <mergeCell ref="F406:G406"/>
    <mergeCell ref="H406:J406"/>
    <mergeCell ref="K406:M406"/>
    <mergeCell ref="N406:U406"/>
    <mergeCell ref="B407:C407"/>
    <mergeCell ref="D407:E407"/>
    <mergeCell ref="F407:G407"/>
    <mergeCell ref="H407:J407"/>
    <mergeCell ref="K407:M407"/>
    <mergeCell ref="N407:U407"/>
    <mergeCell ref="B408:C408"/>
    <mergeCell ref="D408:E408"/>
    <mergeCell ref="F408:G408"/>
    <mergeCell ref="H408:J408"/>
    <mergeCell ref="K408:M408"/>
    <mergeCell ref="N408:U408"/>
    <mergeCell ref="B409:C409"/>
    <mergeCell ref="D409:E409"/>
    <mergeCell ref="F409:G409"/>
    <mergeCell ref="H409:J409"/>
    <mergeCell ref="K409:M409"/>
    <mergeCell ref="N409:U409"/>
    <mergeCell ref="B410:C410"/>
    <mergeCell ref="D410:E410"/>
    <mergeCell ref="F410:G410"/>
    <mergeCell ref="H410:J410"/>
    <mergeCell ref="K410:M410"/>
    <mergeCell ref="N410:U410"/>
    <mergeCell ref="B411:C411"/>
    <mergeCell ref="D411:E411"/>
    <mergeCell ref="F411:G411"/>
    <mergeCell ref="H411:J411"/>
    <mergeCell ref="K411:M411"/>
    <mergeCell ref="N411:U411"/>
    <mergeCell ref="B412:C412"/>
    <mergeCell ref="D412:E412"/>
    <mergeCell ref="F412:G412"/>
    <mergeCell ref="H412:J412"/>
    <mergeCell ref="K412:M412"/>
    <mergeCell ref="N412:U412"/>
    <mergeCell ref="B413:C413"/>
    <mergeCell ref="D413:E413"/>
    <mergeCell ref="F413:G413"/>
    <mergeCell ref="H413:J413"/>
    <mergeCell ref="K413:M413"/>
    <mergeCell ref="N413:U413"/>
    <mergeCell ref="B414:C414"/>
    <mergeCell ref="D414:E414"/>
    <mergeCell ref="F414:G414"/>
    <mergeCell ref="H414:J414"/>
    <mergeCell ref="K414:M414"/>
    <mergeCell ref="N414:U414"/>
    <mergeCell ref="B415:C415"/>
    <mergeCell ref="D415:E415"/>
    <mergeCell ref="F415:G415"/>
    <mergeCell ref="H415:J415"/>
    <mergeCell ref="K415:M415"/>
    <mergeCell ref="N415:U415"/>
    <mergeCell ref="B416:C416"/>
    <mergeCell ref="D416:E416"/>
    <mergeCell ref="F416:G416"/>
    <mergeCell ref="H416:J416"/>
    <mergeCell ref="K416:M416"/>
    <mergeCell ref="N416:U416"/>
    <mergeCell ref="B417:C417"/>
    <mergeCell ref="D417:E417"/>
    <mergeCell ref="F417:G417"/>
    <mergeCell ref="H417:J417"/>
    <mergeCell ref="K417:M417"/>
    <mergeCell ref="N417:U417"/>
    <mergeCell ref="B418:C418"/>
    <mergeCell ref="D418:E418"/>
    <mergeCell ref="F418:G418"/>
    <mergeCell ref="H418:J418"/>
    <mergeCell ref="K418:M418"/>
    <mergeCell ref="N418:U418"/>
    <mergeCell ref="B419:C419"/>
    <mergeCell ref="D419:E419"/>
    <mergeCell ref="F419:G419"/>
    <mergeCell ref="H419:J419"/>
    <mergeCell ref="K419:M419"/>
    <mergeCell ref="N419:U419"/>
    <mergeCell ref="B420:C420"/>
    <mergeCell ref="D420:E420"/>
    <mergeCell ref="F420:G420"/>
    <mergeCell ref="H420:J420"/>
    <mergeCell ref="K420:M420"/>
    <mergeCell ref="N420:U420"/>
    <mergeCell ref="B421:C421"/>
    <mergeCell ref="D421:E421"/>
    <mergeCell ref="F421:G421"/>
    <mergeCell ref="H421:J421"/>
    <mergeCell ref="K421:M421"/>
    <mergeCell ref="N421:U421"/>
    <mergeCell ref="B422:C422"/>
    <mergeCell ref="D422:E422"/>
    <mergeCell ref="F422:G422"/>
    <mergeCell ref="H422:J422"/>
    <mergeCell ref="K422:M422"/>
    <mergeCell ref="N422:U422"/>
    <mergeCell ref="B423:C423"/>
    <mergeCell ref="D423:E423"/>
    <mergeCell ref="F423:G423"/>
    <mergeCell ref="H423:J423"/>
    <mergeCell ref="K423:M423"/>
    <mergeCell ref="N423:U423"/>
    <mergeCell ref="B424:C424"/>
    <mergeCell ref="D424:E424"/>
    <mergeCell ref="F424:G424"/>
    <mergeCell ref="H424:J424"/>
    <mergeCell ref="K424:M424"/>
    <mergeCell ref="N424:U424"/>
    <mergeCell ref="B425:C425"/>
    <mergeCell ref="D425:E425"/>
    <mergeCell ref="F425:G425"/>
    <mergeCell ref="H425:J425"/>
    <mergeCell ref="K425:M425"/>
    <mergeCell ref="N425:U425"/>
    <mergeCell ref="B426:C426"/>
    <mergeCell ref="D426:E426"/>
    <mergeCell ref="F426:G426"/>
    <mergeCell ref="H426:J426"/>
    <mergeCell ref="K426:M426"/>
    <mergeCell ref="N426:U426"/>
    <mergeCell ref="B427:C427"/>
    <mergeCell ref="D427:E427"/>
    <mergeCell ref="F427:G427"/>
    <mergeCell ref="H427:J427"/>
    <mergeCell ref="K427:M427"/>
    <mergeCell ref="N427:U427"/>
    <mergeCell ref="B428:C428"/>
    <mergeCell ref="D428:E428"/>
    <mergeCell ref="F428:G428"/>
    <mergeCell ref="H428:J428"/>
    <mergeCell ref="K428:M428"/>
    <mergeCell ref="N428:U428"/>
    <mergeCell ref="B429:C429"/>
    <mergeCell ref="D429:E429"/>
    <mergeCell ref="F429:G429"/>
    <mergeCell ref="H429:J429"/>
    <mergeCell ref="K429:M429"/>
    <mergeCell ref="N429:U429"/>
    <mergeCell ref="B430:C430"/>
    <mergeCell ref="D430:E430"/>
    <mergeCell ref="F430:G430"/>
    <mergeCell ref="H430:J430"/>
    <mergeCell ref="K430:M430"/>
    <mergeCell ref="N430:U430"/>
    <mergeCell ref="B431:C431"/>
    <mergeCell ref="D431:E431"/>
    <mergeCell ref="F431:G431"/>
    <mergeCell ref="H431:J431"/>
    <mergeCell ref="K431:M431"/>
    <mergeCell ref="N431:U431"/>
    <mergeCell ref="B432:C432"/>
    <mergeCell ref="D432:E432"/>
    <mergeCell ref="F432:G432"/>
    <mergeCell ref="H432:J432"/>
    <mergeCell ref="K432:M432"/>
    <mergeCell ref="N432:U432"/>
    <mergeCell ref="B433:C433"/>
    <mergeCell ref="D433:E433"/>
    <mergeCell ref="F433:G433"/>
    <mergeCell ref="H433:J433"/>
    <mergeCell ref="K433:M433"/>
    <mergeCell ref="N433:U433"/>
    <mergeCell ref="B434:C434"/>
    <mergeCell ref="D434:E434"/>
    <mergeCell ref="F434:G434"/>
    <mergeCell ref="H434:J434"/>
    <mergeCell ref="K434:M434"/>
    <mergeCell ref="N434:U434"/>
    <mergeCell ref="B435:C435"/>
    <mergeCell ref="D435:E435"/>
    <mergeCell ref="F435:G435"/>
    <mergeCell ref="H435:J435"/>
    <mergeCell ref="K435:M435"/>
    <mergeCell ref="N435:U435"/>
    <mergeCell ref="B436:C436"/>
    <mergeCell ref="D436:E436"/>
    <mergeCell ref="F436:G436"/>
    <mergeCell ref="H436:J436"/>
    <mergeCell ref="K436:M436"/>
    <mergeCell ref="N436:U436"/>
    <mergeCell ref="B437:C437"/>
    <mergeCell ref="D437:E437"/>
    <mergeCell ref="F437:G437"/>
    <mergeCell ref="H437:J437"/>
    <mergeCell ref="K437:M437"/>
    <mergeCell ref="N437:U437"/>
    <mergeCell ref="B438:C438"/>
    <mergeCell ref="D438:E438"/>
    <mergeCell ref="F438:G438"/>
    <mergeCell ref="H438:J438"/>
    <mergeCell ref="K438:M438"/>
    <mergeCell ref="N438:U438"/>
    <mergeCell ref="B439:C439"/>
    <mergeCell ref="D439:E439"/>
    <mergeCell ref="F439:G439"/>
    <mergeCell ref="H439:J439"/>
    <mergeCell ref="K439:M439"/>
    <mergeCell ref="N439:U439"/>
    <mergeCell ref="B440:C440"/>
    <mergeCell ref="D440:E440"/>
    <mergeCell ref="F440:G440"/>
    <mergeCell ref="H440:J440"/>
    <mergeCell ref="K440:M440"/>
    <mergeCell ref="N440:U440"/>
    <mergeCell ref="B441:C441"/>
    <mergeCell ref="D441:E441"/>
    <mergeCell ref="F441:G441"/>
    <mergeCell ref="H441:J441"/>
    <mergeCell ref="K441:M441"/>
    <mergeCell ref="N441:U441"/>
    <mergeCell ref="B442:C442"/>
    <mergeCell ref="D442:E442"/>
    <mergeCell ref="F442:G442"/>
    <mergeCell ref="H442:J442"/>
    <mergeCell ref="K442:M442"/>
    <mergeCell ref="N442:U442"/>
    <mergeCell ref="B443:C443"/>
    <mergeCell ref="D443:E443"/>
    <mergeCell ref="F443:G443"/>
    <mergeCell ref="H443:J443"/>
    <mergeCell ref="K443:M443"/>
    <mergeCell ref="N443:U443"/>
    <mergeCell ref="B444:C444"/>
    <mergeCell ref="D444:E444"/>
    <mergeCell ref="F444:G444"/>
    <mergeCell ref="H444:J444"/>
    <mergeCell ref="K444:M444"/>
    <mergeCell ref="N444:U444"/>
    <mergeCell ref="B445:C445"/>
    <mergeCell ref="D445:E445"/>
    <mergeCell ref="F445:G445"/>
    <mergeCell ref="H445:J445"/>
    <mergeCell ref="K445:M445"/>
    <mergeCell ref="N445:U445"/>
    <mergeCell ref="B446:C446"/>
    <mergeCell ref="D446:E446"/>
    <mergeCell ref="F446:G446"/>
    <mergeCell ref="H446:J446"/>
    <mergeCell ref="K446:M446"/>
    <mergeCell ref="N446:U446"/>
    <mergeCell ref="B447:C447"/>
    <mergeCell ref="D447:E447"/>
    <mergeCell ref="F447:G447"/>
    <mergeCell ref="H447:J447"/>
    <mergeCell ref="K447:M447"/>
    <mergeCell ref="N447:U447"/>
    <mergeCell ref="B448:C448"/>
    <mergeCell ref="D448:E448"/>
    <mergeCell ref="F448:G448"/>
    <mergeCell ref="H448:J448"/>
    <mergeCell ref="K448:M448"/>
    <mergeCell ref="N448:U448"/>
    <mergeCell ref="B449:C449"/>
    <mergeCell ref="D449:E449"/>
    <mergeCell ref="F449:G449"/>
    <mergeCell ref="H449:J449"/>
    <mergeCell ref="K449:M449"/>
    <mergeCell ref="N449:U449"/>
    <mergeCell ref="B450:C450"/>
    <mergeCell ref="D450:E450"/>
    <mergeCell ref="F450:G450"/>
    <mergeCell ref="H450:J450"/>
    <mergeCell ref="K450:M450"/>
    <mergeCell ref="N450:U450"/>
    <mergeCell ref="B451:C451"/>
    <mergeCell ref="D451:E451"/>
    <mergeCell ref="F451:G451"/>
    <mergeCell ref="H451:J451"/>
    <mergeCell ref="K451:M451"/>
    <mergeCell ref="N451:U451"/>
    <mergeCell ref="B452:C452"/>
    <mergeCell ref="D452:E452"/>
    <mergeCell ref="F452:G452"/>
    <mergeCell ref="H452:J452"/>
    <mergeCell ref="K452:M452"/>
    <mergeCell ref="N452:U452"/>
    <mergeCell ref="B453:C453"/>
    <mergeCell ref="D453:E453"/>
    <mergeCell ref="F453:G453"/>
    <mergeCell ref="H453:J453"/>
    <mergeCell ref="K453:M453"/>
    <mergeCell ref="N453:U453"/>
    <mergeCell ref="B454:C454"/>
    <mergeCell ref="D454:E454"/>
    <mergeCell ref="F454:G454"/>
    <mergeCell ref="H454:J454"/>
    <mergeCell ref="K454:M454"/>
    <mergeCell ref="N454:U454"/>
    <mergeCell ref="B455:C455"/>
    <mergeCell ref="D455:E455"/>
    <mergeCell ref="F455:G455"/>
    <mergeCell ref="H455:J455"/>
    <mergeCell ref="K455:M455"/>
    <mergeCell ref="N455:U455"/>
    <mergeCell ref="B456:C456"/>
    <mergeCell ref="D456:E456"/>
    <mergeCell ref="F456:G456"/>
    <mergeCell ref="H456:J456"/>
    <mergeCell ref="K456:M456"/>
    <mergeCell ref="N456:U456"/>
    <mergeCell ref="B457:C457"/>
    <mergeCell ref="D457:E457"/>
    <mergeCell ref="F457:G457"/>
    <mergeCell ref="H457:J457"/>
    <mergeCell ref="K457:M457"/>
    <mergeCell ref="N457:U457"/>
    <mergeCell ref="B458:C458"/>
    <mergeCell ref="D458:E458"/>
    <mergeCell ref="F458:G458"/>
    <mergeCell ref="H458:J458"/>
    <mergeCell ref="K458:M458"/>
    <mergeCell ref="N458:U458"/>
    <mergeCell ref="B459:C459"/>
    <mergeCell ref="D459:E459"/>
    <mergeCell ref="F459:G459"/>
    <mergeCell ref="H459:J459"/>
    <mergeCell ref="K459:M459"/>
    <mergeCell ref="N459:U459"/>
    <mergeCell ref="B460:C460"/>
    <mergeCell ref="D460:E460"/>
    <mergeCell ref="F460:G460"/>
    <mergeCell ref="H460:J460"/>
    <mergeCell ref="K460:M460"/>
    <mergeCell ref="N460:U460"/>
    <mergeCell ref="B461:C461"/>
    <mergeCell ref="D461:E461"/>
    <mergeCell ref="F461:G461"/>
    <mergeCell ref="H461:J461"/>
    <mergeCell ref="K461:M461"/>
    <mergeCell ref="N461:U461"/>
    <mergeCell ref="B462:C462"/>
    <mergeCell ref="D462:E462"/>
    <mergeCell ref="F462:G462"/>
    <mergeCell ref="H462:J462"/>
    <mergeCell ref="K462:M462"/>
    <mergeCell ref="N462:U462"/>
    <mergeCell ref="B463:C463"/>
    <mergeCell ref="D463:E463"/>
    <mergeCell ref="F463:G463"/>
    <mergeCell ref="H463:J463"/>
    <mergeCell ref="K463:M463"/>
    <mergeCell ref="N463:U463"/>
    <mergeCell ref="B464:C464"/>
    <mergeCell ref="D464:E464"/>
    <mergeCell ref="F464:G464"/>
    <mergeCell ref="H464:J464"/>
    <mergeCell ref="K464:M464"/>
    <mergeCell ref="N464:U464"/>
    <mergeCell ref="B465:C465"/>
    <mergeCell ref="D465:E465"/>
    <mergeCell ref="F465:G465"/>
    <mergeCell ref="H465:J465"/>
    <mergeCell ref="K465:M465"/>
    <mergeCell ref="N465:U465"/>
    <mergeCell ref="B466:C466"/>
    <mergeCell ref="D466:E466"/>
    <mergeCell ref="F466:G466"/>
    <mergeCell ref="H466:J466"/>
    <mergeCell ref="K466:M466"/>
    <mergeCell ref="N466:U466"/>
    <mergeCell ref="B467:C467"/>
    <mergeCell ref="D467:E467"/>
    <mergeCell ref="F467:G467"/>
    <mergeCell ref="H467:J467"/>
    <mergeCell ref="K467:M467"/>
    <mergeCell ref="N467:U467"/>
    <mergeCell ref="B468:C468"/>
    <mergeCell ref="D468:E468"/>
    <mergeCell ref="F468:G468"/>
    <mergeCell ref="H468:J468"/>
    <mergeCell ref="K468:M468"/>
    <mergeCell ref="N468:U468"/>
    <mergeCell ref="B469:C469"/>
    <mergeCell ref="D469:E469"/>
    <mergeCell ref="F469:G469"/>
    <mergeCell ref="H469:J469"/>
    <mergeCell ref="K469:M469"/>
    <mergeCell ref="N469:U469"/>
    <mergeCell ref="B470:C470"/>
    <mergeCell ref="D470:E470"/>
    <mergeCell ref="F470:G470"/>
    <mergeCell ref="H470:J470"/>
    <mergeCell ref="K470:M470"/>
    <mergeCell ref="N470:U470"/>
    <mergeCell ref="B471:C471"/>
    <mergeCell ref="D471:E471"/>
    <mergeCell ref="F471:G471"/>
    <mergeCell ref="H471:J471"/>
    <mergeCell ref="K471:M471"/>
    <mergeCell ref="N471:U471"/>
    <mergeCell ref="B472:C472"/>
    <mergeCell ref="D472:E472"/>
    <mergeCell ref="F472:G472"/>
    <mergeCell ref="H472:J472"/>
    <mergeCell ref="K472:M472"/>
    <mergeCell ref="N472:U472"/>
    <mergeCell ref="B473:C473"/>
    <mergeCell ref="D473:E473"/>
    <mergeCell ref="F473:G473"/>
    <mergeCell ref="H473:J473"/>
    <mergeCell ref="K473:M473"/>
    <mergeCell ref="N473:U473"/>
    <mergeCell ref="B474:C474"/>
    <mergeCell ref="D474:E474"/>
    <mergeCell ref="F474:G474"/>
    <mergeCell ref="H474:J474"/>
    <mergeCell ref="K474:M474"/>
    <mergeCell ref="N474:U474"/>
    <mergeCell ref="B475:C475"/>
    <mergeCell ref="D475:E475"/>
    <mergeCell ref="F475:G475"/>
    <mergeCell ref="H475:J475"/>
    <mergeCell ref="K475:M475"/>
    <mergeCell ref="N475:U475"/>
    <mergeCell ref="B476:C476"/>
    <mergeCell ref="D476:E476"/>
    <mergeCell ref="F476:G476"/>
    <mergeCell ref="H476:J476"/>
    <mergeCell ref="K476:M476"/>
    <mergeCell ref="N476:U476"/>
    <mergeCell ref="B477:C477"/>
    <mergeCell ref="D477:E477"/>
    <mergeCell ref="F477:G477"/>
    <mergeCell ref="H477:J477"/>
    <mergeCell ref="K477:M477"/>
    <mergeCell ref="N477:U477"/>
    <mergeCell ref="B478:C478"/>
    <mergeCell ref="D478:E478"/>
    <mergeCell ref="F478:G478"/>
    <mergeCell ref="H478:J478"/>
    <mergeCell ref="K478:M478"/>
    <mergeCell ref="N478:U478"/>
    <mergeCell ref="B479:C479"/>
    <mergeCell ref="D479:E479"/>
    <mergeCell ref="F479:G479"/>
    <mergeCell ref="H479:J479"/>
    <mergeCell ref="K479:M479"/>
    <mergeCell ref="N479:U479"/>
    <mergeCell ref="B480:C480"/>
    <mergeCell ref="D480:E480"/>
    <mergeCell ref="F480:G480"/>
    <mergeCell ref="H480:J480"/>
    <mergeCell ref="K480:M480"/>
    <mergeCell ref="N480:U480"/>
    <mergeCell ref="B481:C481"/>
    <mergeCell ref="D481:E481"/>
    <mergeCell ref="F481:G481"/>
    <mergeCell ref="H481:J481"/>
    <mergeCell ref="K481:M481"/>
    <mergeCell ref="N481:U481"/>
    <mergeCell ref="B482:C482"/>
    <mergeCell ref="D482:E482"/>
    <mergeCell ref="F482:G482"/>
    <mergeCell ref="H482:J482"/>
    <mergeCell ref="K482:M482"/>
    <mergeCell ref="N482:U482"/>
    <mergeCell ref="B483:C483"/>
    <mergeCell ref="D483:E483"/>
    <mergeCell ref="F483:G483"/>
    <mergeCell ref="H483:J483"/>
    <mergeCell ref="K483:M483"/>
    <mergeCell ref="N483:U483"/>
    <mergeCell ref="B484:C484"/>
    <mergeCell ref="D484:E484"/>
    <mergeCell ref="F484:G484"/>
    <mergeCell ref="H484:J484"/>
    <mergeCell ref="K484:M484"/>
    <mergeCell ref="N484:U484"/>
    <mergeCell ref="B485:C485"/>
    <mergeCell ref="D485:E485"/>
    <mergeCell ref="F485:G485"/>
    <mergeCell ref="H485:J485"/>
    <mergeCell ref="K485:M485"/>
    <mergeCell ref="N485:U485"/>
    <mergeCell ref="B486:C486"/>
    <mergeCell ref="D486:E486"/>
    <mergeCell ref="F486:G486"/>
    <mergeCell ref="H486:J486"/>
    <mergeCell ref="K486:M486"/>
    <mergeCell ref="N486:U486"/>
    <mergeCell ref="B487:C487"/>
    <mergeCell ref="D487:E487"/>
    <mergeCell ref="F487:G487"/>
    <mergeCell ref="H487:J487"/>
    <mergeCell ref="K487:M487"/>
    <mergeCell ref="N487:U487"/>
    <mergeCell ref="B488:C488"/>
    <mergeCell ref="D488:E488"/>
    <mergeCell ref="F488:G488"/>
    <mergeCell ref="H488:J488"/>
    <mergeCell ref="K488:M488"/>
    <mergeCell ref="N488:U488"/>
    <mergeCell ref="B489:C489"/>
    <mergeCell ref="D489:E489"/>
    <mergeCell ref="F489:G489"/>
    <mergeCell ref="H489:J489"/>
    <mergeCell ref="K489:M489"/>
    <mergeCell ref="N489:U489"/>
    <mergeCell ref="B490:C490"/>
    <mergeCell ref="D490:E490"/>
    <mergeCell ref="F490:G490"/>
    <mergeCell ref="H490:J490"/>
    <mergeCell ref="K490:M490"/>
    <mergeCell ref="N490:U490"/>
    <mergeCell ref="B491:C491"/>
    <mergeCell ref="D491:E491"/>
    <mergeCell ref="F491:G491"/>
    <mergeCell ref="H491:J491"/>
    <mergeCell ref="K491:M491"/>
    <mergeCell ref="N491:U491"/>
    <mergeCell ref="B492:C492"/>
    <mergeCell ref="D492:E492"/>
    <mergeCell ref="F492:G492"/>
    <mergeCell ref="H492:J492"/>
    <mergeCell ref="K492:M492"/>
    <mergeCell ref="N492:U492"/>
    <mergeCell ref="B493:C493"/>
    <mergeCell ref="D493:E493"/>
    <mergeCell ref="F493:G493"/>
    <mergeCell ref="H493:J493"/>
    <mergeCell ref="K493:M493"/>
    <mergeCell ref="N493:U493"/>
    <mergeCell ref="B494:C494"/>
    <mergeCell ref="D494:E494"/>
    <mergeCell ref="F494:G494"/>
    <mergeCell ref="H494:J494"/>
    <mergeCell ref="K494:M494"/>
    <mergeCell ref="N494:U494"/>
    <mergeCell ref="B495:C495"/>
    <mergeCell ref="D495:E495"/>
    <mergeCell ref="F495:G495"/>
    <mergeCell ref="H495:J495"/>
    <mergeCell ref="K495:M495"/>
    <mergeCell ref="N495:U495"/>
    <mergeCell ref="B496:C496"/>
    <mergeCell ref="D496:E496"/>
    <mergeCell ref="F496:G496"/>
    <mergeCell ref="H496:J496"/>
    <mergeCell ref="K496:M496"/>
    <mergeCell ref="N496:U496"/>
    <mergeCell ref="B497:C497"/>
    <mergeCell ref="D497:E497"/>
    <mergeCell ref="F497:G497"/>
    <mergeCell ref="H497:J497"/>
    <mergeCell ref="K497:M497"/>
    <mergeCell ref="N497:U497"/>
    <mergeCell ref="B498:C498"/>
    <mergeCell ref="D498:E498"/>
    <mergeCell ref="F498:G498"/>
    <mergeCell ref="H498:J498"/>
    <mergeCell ref="K498:M498"/>
    <mergeCell ref="N498:U498"/>
    <mergeCell ref="B499:C499"/>
    <mergeCell ref="D499:E499"/>
    <mergeCell ref="F499:G499"/>
    <mergeCell ref="H499:J499"/>
    <mergeCell ref="K499:M499"/>
    <mergeCell ref="N499:U499"/>
    <mergeCell ref="B500:C500"/>
    <mergeCell ref="D500:E500"/>
    <mergeCell ref="F500:G500"/>
    <mergeCell ref="H500:J500"/>
    <mergeCell ref="K500:M500"/>
    <mergeCell ref="N500:U500"/>
    <mergeCell ref="B501:C501"/>
    <mergeCell ref="D501:E501"/>
    <mergeCell ref="F501:G501"/>
    <mergeCell ref="H501:J501"/>
    <mergeCell ref="K501:M501"/>
    <mergeCell ref="N501:U501"/>
    <mergeCell ref="B502:C502"/>
    <mergeCell ref="D502:E502"/>
    <mergeCell ref="F502:G502"/>
    <mergeCell ref="H502:J502"/>
    <mergeCell ref="K502:M502"/>
    <mergeCell ref="N502:U502"/>
    <mergeCell ref="B503:C503"/>
    <mergeCell ref="D503:E503"/>
    <mergeCell ref="F503:G503"/>
    <mergeCell ref="H503:J503"/>
    <mergeCell ref="K503:M503"/>
    <mergeCell ref="N503:U503"/>
    <mergeCell ref="B504:C504"/>
    <mergeCell ref="D504:E504"/>
    <mergeCell ref="F504:G504"/>
    <mergeCell ref="H504:J504"/>
    <mergeCell ref="K504:M504"/>
    <mergeCell ref="N504:U504"/>
    <mergeCell ref="B505:C505"/>
    <mergeCell ref="D505:E505"/>
    <mergeCell ref="F505:G505"/>
    <mergeCell ref="H505:J505"/>
    <mergeCell ref="K505:M505"/>
    <mergeCell ref="N505:U505"/>
    <mergeCell ref="B506:C506"/>
    <mergeCell ref="D506:E506"/>
    <mergeCell ref="F506:G506"/>
    <mergeCell ref="H506:J506"/>
    <mergeCell ref="K506:M506"/>
    <mergeCell ref="N506:U506"/>
    <mergeCell ref="B507:C507"/>
    <mergeCell ref="D507:E507"/>
    <mergeCell ref="F507:G507"/>
    <mergeCell ref="H507:J507"/>
    <mergeCell ref="K507:M507"/>
    <mergeCell ref="N507:U507"/>
    <mergeCell ref="B508:C508"/>
    <mergeCell ref="D508:E508"/>
    <mergeCell ref="F508:G508"/>
    <mergeCell ref="H508:J508"/>
    <mergeCell ref="K508:M508"/>
    <mergeCell ref="N508:U508"/>
    <mergeCell ref="B509:C509"/>
    <mergeCell ref="D509:E509"/>
    <mergeCell ref="F509:G509"/>
    <mergeCell ref="H509:J509"/>
    <mergeCell ref="K509:M509"/>
    <mergeCell ref="N509:U509"/>
    <mergeCell ref="B510:C510"/>
    <mergeCell ref="D510:E510"/>
    <mergeCell ref="F510:G510"/>
    <mergeCell ref="H510:J510"/>
    <mergeCell ref="K510:M510"/>
    <mergeCell ref="N510:U510"/>
    <mergeCell ref="B511:C511"/>
    <mergeCell ref="D511:E511"/>
    <mergeCell ref="F511:G511"/>
    <mergeCell ref="H511:J511"/>
    <mergeCell ref="K511:M511"/>
    <mergeCell ref="N511:U511"/>
    <mergeCell ref="B512:C512"/>
    <mergeCell ref="D512:E512"/>
    <mergeCell ref="F512:G512"/>
    <mergeCell ref="H512:J512"/>
    <mergeCell ref="K512:M512"/>
    <mergeCell ref="N512:U512"/>
    <mergeCell ref="B513:C513"/>
    <mergeCell ref="D513:E513"/>
    <mergeCell ref="F513:G513"/>
    <mergeCell ref="H513:J513"/>
    <mergeCell ref="K513:M513"/>
    <mergeCell ref="N513:U513"/>
    <mergeCell ref="B514:C514"/>
    <mergeCell ref="D514:E514"/>
    <mergeCell ref="F514:G514"/>
    <mergeCell ref="H514:J514"/>
    <mergeCell ref="K514:M514"/>
    <mergeCell ref="N514:U514"/>
    <mergeCell ref="B515:C515"/>
    <mergeCell ref="D515:E515"/>
    <mergeCell ref="F515:G515"/>
    <mergeCell ref="H515:J515"/>
    <mergeCell ref="K515:M515"/>
    <mergeCell ref="N515:U515"/>
    <mergeCell ref="B516:C516"/>
    <mergeCell ref="D516:E516"/>
    <mergeCell ref="F516:G516"/>
    <mergeCell ref="H516:J516"/>
    <mergeCell ref="K516:M516"/>
    <mergeCell ref="N516:U516"/>
    <mergeCell ref="B517:C517"/>
    <mergeCell ref="D517:E517"/>
    <mergeCell ref="F517:G517"/>
    <mergeCell ref="H517:J517"/>
    <mergeCell ref="K517:M517"/>
    <mergeCell ref="N517:U517"/>
    <mergeCell ref="B518:C518"/>
    <mergeCell ref="D518:E518"/>
    <mergeCell ref="F518:G518"/>
    <mergeCell ref="H518:J518"/>
    <mergeCell ref="K518:M518"/>
    <mergeCell ref="N518:U518"/>
    <mergeCell ref="B519:C519"/>
    <mergeCell ref="D519:E519"/>
    <mergeCell ref="F519:G519"/>
    <mergeCell ref="H519:J519"/>
    <mergeCell ref="K519:M519"/>
    <mergeCell ref="N519:U519"/>
    <mergeCell ref="B520:C520"/>
    <mergeCell ref="D520:E520"/>
    <mergeCell ref="F520:G520"/>
    <mergeCell ref="H520:J520"/>
    <mergeCell ref="K520:M520"/>
    <mergeCell ref="N520:U520"/>
    <mergeCell ref="B521:C521"/>
    <mergeCell ref="D521:E521"/>
    <mergeCell ref="F521:G521"/>
    <mergeCell ref="H521:J521"/>
    <mergeCell ref="K521:M521"/>
    <mergeCell ref="N521:U521"/>
    <mergeCell ref="B522:C522"/>
    <mergeCell ref="D522:E522"/>
    <mergeCell ref="F522:G522"/>
    <mergeCell ref="H522:J522"/>
    <mergeCell ref="K522:M522"/>
    <mergeCell ref="N522:U522"/>
    <mergeCell ref="B523:C523"/>
    <mergeCell ref="D523:E523"/>
    <mergeCell ref="F523:G523"/>
    <mergeCell ref="H523:J523"/>
    <mergeCell ref="K523:M523"/>
    <mergeCell ref="N523:U523"/>
    <mergeCell ref="B524:C524"/>
    <mergeCell ref="D524:E524"/>
    <mergeCell ref="F524:G524"/>
    <mergeCell ref="H524:J524"/>
    <mergeCell ref="K524:M524"/>
    <mergeCell ref="N524:U524"/>
    <mergeCell ref="B525:C525"/>
    <mergeCell ref="D525:E525"/>
    <mergeCell ref="F525:G525"/>
    <mergeCell ref="H525:J525"/>
    <mergeCell ref="K525:M525"/>
    <mergeCell ref="N525:U525"/>
    <mergeCell ref="B526:C526"/>
    <mergeCell ref="D526:E526"/>
    <mergeCell ref="F526:G526"/>
    <mergeCell ref="H526:J526"/>
    <mergeCell ref="K526:M526"/>
    <mergeCell ref="N526:U526"/>
    <mergeCell ref="B527:C527"/>
    <mergeCell ref="D527:E527"/>
    <mergeCell ref="F527:G527"/>
    <mergeCell ref="H527:J527"/>
    <mergeCell ref="K527:M527"/>
    <mergeCell ref="N527:U527"/>
    <mergeCell ref="B528:C528"/>
    <mergeCell ref="D528:E528"/>
    <mergeCell ref="F528:G528"/>
    <mergeCell ref="H528:J528"/>
    <mergeCell ref="K528:M528"/>
    <mergeCell ref="N528:U528"/>
    <mergeCell ref="B529:C529"/>
    <mergeCell ref="D529:E529"/>
    <mergeCell ref="F529:G529"/>
    <mergeCell ref="H529:J529"/>
    <mergeCell ref="K529:M529"/>
    <mergeCell ref="N529:U529"/>
    <mergeCell ref="B530:C530"/>
    <mergeCell ref="D530:E530"/>
    <mergeCell ref="F530:G530"/>
    <mergeCell ref="H530:J530"/>
    <mergeCell ref="K530:M530"/>
    <mergeCell ref="N530:U530"/>
    <mergeCell ref="B531:C531"/>
    <mergeCell ref="D531:E531"/>
    <mergeCell ref="F531:G531"/>
    <mergeCell ref="H531:J531"/>
    <mergeCell ref="K531:M531"/>
    <mergeCell ref="N531:U531"/>
    <mergeCell ref="B532:C532"/>
    <mergeCell ref="D532:E532"/>
    <mergeCell ref="F532:G532"/>
    <mergeCell ref="H532:J532"/>
    <mergeCell ref="K532:M532"/>
    <mergeCell ref="N532:U532"/>
    <mergeCell ref="B533:C533"/>
    <mergeCell ref="D533:E533"/>
    <mergeCell ref="F533:G533"/>
    <mergeCell ref="H533:J533"/>
    <mergeCell ref="K533:M533"/>
    <mergeCell ref="N533:U533"/>
    <mergeCell ref="B534:C534"/>
    <mergeCell ref="D534:E534"/>
    <mergeCell ref="F534:G534"/>
    <mergeCell ref="H534:J534"/>
    <mergeCell ref="K534:M534"/>
    <mergeCell ref="N534:U534"/>
    <mergeCell ref="B535:C535"/>
    <mergeCell ref="D535:E535"/>
    <mergeCell ref="F535:G535"/>
    <mergeCell ref="H535:J535"/>
    <mergeCell ref="K535:M535"/>
    <mergeCell ref="N535:U535"/>
    <mergeCell ref="B536:C536"/>
    <mergeCell ref="D536:E536"/>
    <mergeCell ref="F536:G536"/>
    <mergeCell ref="H536:J536"/>
    <mergeCell ref="K536:M536"/>
    <mergeCell ref="N536:U536"/>
    <mergeCell ref="B537:C537"/>
    <mergeCell ref="D537:E537"/>
    <mergeCell ref="F537:G537"/>
    <mergeCell ref="H537:J537"/>
    <mergeCell ref="K537:M537"/>
    <mergeCell ref="N537:U537"/>
    <mergeCell ref="B538:C538"/>
    <mergeCell ref="D538:E538"/>
    <mergeCell ref="F538:G538"/>
    <mergeCell ref="H538:J538"/>
    <mergeCell ref="K538:M538"/>
    <mergeCell ref="N538:U538"/>
    <mergeCell ref="B539:C539"/>
    <mergeCell ref="D539:E539"/>
    <mergeCell ref="F539:G539"/>
    <mergeCell ref="H539:J539"/>
    <mergeCell ref="K539:M539"/>
    <mergeCell ref="N539:U539"/>
    <mergeCell ref="B540:C540"/>
    <mergeCell ref="D540:E540"/>
    <mergeCell ref="F540:G540"/>
    <mergeCell ref="H540:J540"/>
    <mergeCell ref="K540:M540"/>
    <mergeCell ref="N540:U540"/>
    <mergeCell ref="B541:C541"/>
    <mergeCell ref="D541:E541"/>
    <mergeCell ref="F541:G541"/>
    <mergeCell ref="H541:J541"/>
    <mergeCell ref="K541:M541"/>
    <mergeCell ref="N541:U541"/>
    <mergeCell ref="B542:C542"/>
    <mergeCell ref="D542:E542"/>
    <mergeCell ref="F542:G542"/>
    <mergeCell ref="H542:J542"/>
    <mergeCell ref="K542:M542"/>
    <mergeCell ref="N542:U542"/>
    <mergeCell ref="B543:C543"/>
    <mergeCell ref="D543:E543"/>
    <mergeCell ref="F543:G543"/>
    <mergeCell ref="H543:J543"/>
    <mergeCell ref="K543:M543"/>
    <mergeCell ref="N543:U543"/>
    <mergeCell ref="B544:C544"/>
    <mergeCell ref="D544:E544"/>
    <mergeCell ref="F544:G544"/>
    <mergeCell ref="H544:J544"/>
    <mergeCell ref="K544:M544"/>
    <mergeCell ref="N544:U544"/>
    <mergeCell ref="B545:C545"/>
    <mergeCell ref="D545:E545"/>
    <mergeCell ref="F545:G545"/>
    <mergeCell ref="H545:J545"/>
    <mergeCell ref="K545:M545"/>
    <mergeCell ref="N545:U545"/>
    <mergeCell ref="B546:C546"/>
    <mergeCell ref="D546:E546"/>
    <mergeCell ref="F546:G546"/>
    <mergeCell ref="H546:J546"/>
    <mergeCell ref="K546:M546"/>
    <mergeCell ref="N546:U546"/>
    <mergeCell ref="B547:C547"/>
    <mergeCell ref="D547:E547"/>
    <mergeCell ref="F547:G547"/>
    <mergeCell ref="H547:J547"/>
    <mergeCell ref="K547:M547"/>
    <mergeCell ref="N547:U547"/>
    <mergeCell ref="B548:C548"/>
    <mergeCell ref="D548:E548"/>
    <mergeCell ref="F548:G548"/>
    <mergeCell ref="H548:J548"/>
    <mergeCell ref="K548:M548"/>
    <mergeCell ref="N548:U548"/>
    <mergeCell ref="B549:C549"/>
    <mergeCell ref="D549:E549"/>
    <mergeCell ref="F549:G549"/>
    <mergeCell ref="H549:J549"/>
    <mergeCell ref="K549:M549"/>
    <mergeCell ref="N549:U549"/>
    <mergeCell ref="B550:C550"/>
    <mergeCell ref="D550:E550"/>
    <mergeCell ref="F550:G550"/>
    <mergeCell ref="H550:J550"/>
    <mergeCell ref="K550:M550"/>
    <mergeCell ref="N550:U550"/>
    <mergeCell ref="B551:C551"/>
    <mergeCell ref="D551:E551"/>
    <mergeCell ref="F551:G551"/>
    <mergeCell ref="H551:J551"/>
    <mergeCell ref="K551:M551"/>
    <mergeCell ref="N551:U551"/>
    <mergeCell ref="B552:C552"/>
    <mergeCell ref="D552:E552"/>
    <mergeCell ref="F552:G552"/>
    <mergeCell ref="H552:J552"/>
    <mergeCell ref="K552:M552"/>
    <mergeCell ref="N552:U552"/>
    <mergeCell ref="B553:C553"/>
    <mergeCell ref="D553:E553"/>
    <mergeCell ref="F553:G553"/>
    <mergeCell ref="H553:J553"/>
    <mergeCell ref="K553:M553"/>
    <mergeCell ref="N553:U553"/>
    <mergeCell ref="B554:C554"/>
    <mergeCell ref="D554:E554"/>
    <mergeCell ref="F554:G554"/>
    <mergeCell ref="H554:J554"/>
    <mergeCell ref="K554:M554"/>
    <mergeCell ref="N554:U554"/>
    <mergeCell ref="B555:C555"/>
    <mergeCell ref="D555:E555"/>
    <mergeCell ref="F555:G555"/>
    <mergeCell ref="H555:J555"/>
    <mergeCell ref="K555:M555"/>
    <mergeCell ref="N555:U555"/>
    <mergeCell ref="B556:C556"/>
    <mergeCell ref="D556:E556"/>
    <mergeCell ref="F556:G556"/>
    <mergeCell ref="H556:J556"/>
    <mergeCell ref="K556:M556"/>
    <mergeCell ref="N556:U556"/>
    <mergeCell ref="B557:C557"/>
    <mergeCell ref="D557:E557"/>
    <mergeCell ref="F557:G557"/>
    <mergeCell ref="H557:J557"/>
    <mergeCell ref="K557:M557"/>
    <mergeCell ref="N557:U557"/>
    <mergeCell ref="B558:C558"/>
    <mergeCell ref="D558:E558"/>
    <mergeCell ref="F558:G558"/>
    <mergeCell ref="H558:J558"/>
    <mergeCell ref="K558:M558"/>
    <mergeCell ref="N558:U558"/>
    <mergeCell ref="B559:C559"/>
    <mergeCell ref="D559:E559"/>
    <mergeCell ref="F559:G559"/>
    <mergeCell ref="H559:J559"/>
    <mergeCell ref="K559:M559"/>
    <mergeCell ref="N559:U559"/>
    <mergeCell ref="B560:C560"/>
    <mergeCell ref="D560:E560"/>
    <mergeCell ref="F560:G560"/>
    <mergeCell ref="H560:J560"/>
    <mergeCell ref="K560:M560"/>
    <mergeCell ref="N560:U560"/>
    <mergeCell ref="B561:C561"/>
    <mergeCell ref="D561:E561"/>
    <mergeCell ref="F561:G561"/>
    <mergeCell ref="H561:J561"/>
    <mergeCell ref="K561:M561"/>
    <mergeCell ref="N561:U561"/>
    <mergeCell ref="B562:C562"/>
    <mergeCell ref="D562:E562"/>
    <mergeCell ref="F562:G562"/>
    <mergeCell ref="H562:J562"/>
    <mergeCell ref="K562:M562"/>
    <mergeCell ref="N562:U562"/>
    <mergeCell ref="B563:C563"/>
    <mergeCell ref="D563:E563"/>
    <mergeCell ref="F563:G563"/>
    <mergeCell ref="H563:J563"/>
    <mergeCell ref="K563:M563"/>
    <mergeCell ref="N563:U563"/>
    <mergeCell ref="B564:C564"/>
    <mergeCell ref="D564:E564"/>
    <mergeCell ref="F564:G564"/>
    <mergeCell ref="H564:J564"/>
    <mergeCell ref="K564:M564"/>
    <mergeCell ref="N564:U564"/>
    <mergeCell ref="B565:C565"/>
    <mergeCell ref="D565:E565"/>
    <mergeCell ref="F565:G565"/>
    <mergeCell ref="H565:J565"/>
    <mergeCell ref="K565:M565"/>
    <mergeCell ref="N565:U565"/>
    <mergeCell ref="B566:C566"/>
    <mergeCell ref="D566:E566"/>
    <mergeCell ref="F566:G566"/>
    <mergeCell ref="H566:J566"/>
    <mergeCell ref="K566:M566"/>
    <mergeCell ref="N566:U566"/>
    <mergeCell ref="B567:C567"/>
    <mergeCell ref="D567:E567"/>
    <mergeCell ref="F567:G567"/>
    <mergeCell ref="H567:J567"/>
    <mergeCell ref="K567:M567"/>
    <mergeCell ref="N567:U567"/>
    <mergeCell ref="B568:C568"/>
    <mergeCell ref="D568:E568"/>
    <mergeCell ref="F568:G568"/>
    <mergeCell ref="H568:J568"/>
    <mergeCell ref="K568:M568"/>
    <mergeCell ref="N568:U568"/>
    <mergeCell ref="B569:C569"/>
    <mergeCell ref="D569:E569"/>
    <mergeCell ref="F569:G569"/>
    <mergeCell ref="H569:J569"/>
    <mergeCell ref="K569:M569"/>
    <mergeCell ref="N569:U569"/>
    <mergeCell ref="B570:C570"/>
    <mergeCell ref="D570:E570"/>
    <mergeCell ref="F570:G570"/>
    <mergeCell ref="H570:J570"/>
    <mergeCell ref="K570:M570"/>
    <mergeCell ref="N570:U570"/>
    <mergeCell ref="B571:C571"/>
    <mergeCell ref="D571:E571"/>
    <mergeCell ref="F571:G571"/>
    <mergeCell ref="H571:J571"/>
    <mergeCell ref="K571:M571"/>
    <mergeCell ref="N571:U571"/>
    <mergeCell ref="B572:C572"/>
    <mergeCell ref="D572:E572"/>
    <mergeCell ref="F572:G572"/>
    <mergeCell ref="H572:J572"/>
    <mergeCell ref="K572:M572"/>
    <mergeCell ref="N572:U572"/>
    <mergeCell ref="B573:C573"/>
    <mergeCell ref="D573:E573"/>
    <mergeCell ref="F573:G573"/>
    <mergeCell ref="H573:J573"/>
    <mergeCell ref="K573:M573"/>
    <mergeCell ref="N573:U573"/>
    <mergeCell ref="B574:C574"/>
    <mergeCell ref="D574:E574"/>
    <mergeCell ref="F574:G574"/>
    <mergeCell ref="H574:J574"/>
    <mergeCell ref="K574:M574"/>
    <mergeCell ref="N574:U574"/>
    <mergeCell ref="B575:C575"/>
    <mergeCell ref="D575:E575"/>
    <mergeCell ref="F575:G575"/>
    <mergeCell ref="H575:J575"/>
    <mergeCell ref="K575:M575"/>
    <mergeCell ref="N575:U575"/>
    <mergeCell ref="B576:C576"/>
    <mergeCell ref="D576:E576"/>
    <mergeCell ref="F576:G576"/>
    <mergeCell ref="H576:J576"/>
    <mergeCell ref="K576:M576"/>
    <mergeCell ref="N576:U576"/>
    <mergeCell ref="B577:C577"/>
    <mergeCell ref="D577:E577"/>
    <mergeCell ref="F577:G577"/>
    <mergeCell ref="H577:J577"/>
    <mergeCell ref="K577:M577"/>
    <mergeCell ref="N577:U577"/>
    <mergeCell ref="B578:C578"/>
    <mergeCell ref="D578:E578"/>
    <mergeCell ref="F578:G578"/>
    <mergeCell ref="H578:J578"/>
    <mergeCell ref="K578:M578"/>
    <mergeCell ref="N578:U578"/>
    <mergeCell ref="B579:C579"/>
    <mergeCell ref="D579:E579"/>
    <mergeCell ref="F579:G579"/>
    <mergeCell ref="H579:J579"/>
    <mergeCell ref="K579:M579"/>
    <mergeCell ref="N579:U579"/>
    <mergeCell ref="B580:C580"/>
    <mergeCell ref="D580:E580"/>
    <mergeCell ref="F580:G580"/>
    <mergeCell ref="H580:J580"/>
    <mergeCell ref="K580:M580"/>
    <mergeCell ref="N580:U580"/>
    <mergeCell ref="B581:C581"/>
    <mergeCell ref="D581:E581"/>
    <mergeCell ref="F581:G581"/>
    <mergeCell ref="H581:J581"/>
    <mergeCell ref="K581:M581"/>
    <mergeCell ref="N581:U581"/>
    <mergeCell ref="B582:C582"/>
    <mergeCell ref="D582:E582"/>
    <mergeCell ref="F582:G582"/>
    <mergeCell ref="H582:J582"/>
    <mergeCell ref="K582:M582"/>
    <mergeCell ref="N582:U582"/>
    <mergeCell ref="B583:C583"/>
    <mergeCell ref="D583:E583"/>
    <mergeCell ref="F583:G583"/>
    <mergeCell ref="H583:J583"/>
    <mergeCell ref="K583:M583"/>
    <mergeCell ref="N583:U583"/>
    <mergeCell ref="B584:C584"/>
    <mergeCell ref="D584:E584"/>
    <mergeCell ref="F584:G584"/>
    <mergeCell ref="H584:J584"/>
    <mergeCell ref="K584:M584"/>
    <mergeCell ref="N584:U584"/>
    <mergeCell ref="B585:C585"/>
    <mergeCell ref="D585:E585"/>
    <mergeCell ref="F585:G585"/>
    <mergeCell ref="H585:J585"/>
    <mergeCell ref="K585:M585"/>
    <mergeCell ref="N585:U585"/>
    <mergeCell ref="B586:C586"/>
    <mergeCell ref="D586:E586"/>
    <mergeCell ref="F586:G586"/>
    <mergeCell ref="H586:J586"/>
    <mergeCell ref="K586:M586"/>
    <mergeCell ref="N586:U586"/>
    <mergeCell ref="B587:C587"/>
    <mergeCell ref="D587:E587"/>
    <mergeCell ref="F587:G587"/>
    <mergeCell ref="H587:J587"/>
    <mergeCell ref="K587:M587"/>
    <mergeCell ref="N587:U587"/>
    <mergeCell ref="B588:C588"/>
    <mergeCell ref="D588:E588"/>
    <mergeCell ref="F588:G588"/>
    <mergeCell ref="H588:J588"/>
    <mergeCell ref="K588:M588"/>
    <mergeCell ref="N588:U588"/>
    <mergeCell ref="B589:C589"/>
    <mergeCell ref="D589:E589"/>
    <mergeCell ref="F589:G589"/>
    <mergeCell ref="H589:J589"/>
    <mergeCell ref="K589:M589"/>
    <mergeCell ref="N589:U589"/>
    <mergeCell ref="B590:C590"/>
    <mergeCell ref="D590:E590"/>
    <mergeCell ref="F590:G590"/>
    <mergeCell ref="H590:J590"/>
    <mergeCell ref="K590:M590"/>
    <mergeCell ref="N590:U590"/>
    <mergeCell ref="B591:C591"/>
    <mergeCell ref="D591:E591"/>
    <mergeCell ref="F591:G591"/>
    <mergeCell ref="H591:J591"/>
    <mergeCell ref="K591:M591"/>
    <mergeCell ref="N591:U591"/>
    <mergeCell ref="B592:C592"/>
    <mergeCell ref="D592:E592"/>
    <mergeCell ref="F592:G592"/>
    <mergeCell ref="H592:J592"/>
    <mergeCell ref="K592:M592"/>
    <mergeCell ref="N592:U592"/>
    <mergeCell ref="B593:C593"/>
    <mergeCell ref="D593:E593"/>
    <mergeCell ref="F593:G593"/>
    <mergeCell ref="H593:J593"/>
    <mergeCell ref="K593:M593"/>
    <mergeCell ref="N593:U593"/>
    <mergeCell ref="B594:C594"/>
    <mergeCell ref="D594:E594"/>
    <mergeCell ref="F594:G594"/>
    <mergeCell ref="H594:J594"/>
    <mergeCell ref="K594:M594"/>
    <mergeCell ref="N594:U594"/>
    <mergeCell ref="B595:C595"/>
    <mergeCell ref="D595:E595"/>
    <mergeCell ref="F595:G595"/>
    <mergeCell ref="H595:J595"/>
    <mergeCell ref="K595:M595"/>
    <mergeCell ref="N595:U595"/>
    <mergeCell ref="B596:C596"/>
    <mergeCell ref="D596:E596"/>
    <mergeCell ref="F596:G596"/>
    <mergeCell ref="H596:J596"/>
    <mergeCell ref="K596:M596"/>
    <mergeCell ref="N596:U596"/>
    <mergeCell ref="B597:C597"/>
    <mergeCell ref="D597:E597"/>
    <mergeCell ref="F597:G597"/>
    <mergeCell ref="H597:J597"/>
    <mergeCell ref="K597:M597"/>
    <mergeCell ref="N597:U597"/>
    <mergeCell ref="B598:C598"/>
    <mergeCell ref="D598:E598"/>
    <mergeCell ref="F598:G598"/>
    <mergeCell ref="H598:J598"/>
    <mergeCell ref="K598:M598"/>
    <mergeCell ref="N598:U598"/>
    <mergeCell ref="B599:C599"/>
    <mergeCell ref="D599:E599"/>
    <mergeCell ref="F599:G599"/>
    <mergeCell ref="H599:J599"/>
    <mergeCell ref="K599:M599"/>
    <mergeCell ref="N599:U599"/>
    <mergeCell ref="B600:C600"/>
    <mergeCell ref="D600:E600"/>
    <mergeCell ref="F600:G600"/>
    <mergeCell ref="H600:J600"/>
    <mergeCell ref="K600:M600"/>
    <mergeCell ref="N600:U600"/>
    <mergeCell ref="B601:C601"/>
    <mergeCell ref="D601:E601"/>
    <mergeCell ref="F601:G601"/>
    <mergeCell ref="H601:J601"/>
    <mergeCell ref="K601:M601"/>
    <mergeCell ref="N601:U601"/>
    <mergeCell ref="B602:C602"/>
    <mergeCell ref="D602:E602"/>
    <mergeCell ref="F602:G602"/>
    <mergeCell ref="H602:J602"/>
    <mergeCell ref="K602:M602"/>
    <mergeCell ref="N602:U602"/>
    <mergeCell ref="B603:C603"/>
    <mergeCell ref="D603:E603"/>
    <mergeCell ref="F603:G603"/>
    <mergeCell ref="H603:J603"/>
    <mergeCell ref="K603:M603"/>
    <mergeCell ref="N603:U603"/>
    <mergeCell ref="B604:C604"/>
    <mergeCell ref="D604:E604"/>
    <mergeCell ref="F604:G604"/>
    <mergeCell ref="H604:J604"/>
    <mergeCell ref="K604:M604"/>
    <mergeCell ref="N604:U604"/>
    <mergeCell ref="B605:C605"/>
    <mergeCell ref="D605:E605"/>
    <mergeCell ref="F605:G605"/>
    <mergeCell ref="H605:J605"/>
    <mergeCell ref="K605:M605"/>
    <mergeCell ref="N605:U605"/>
    <mergeCell ref="B606:C606"/>
    <mergeCell ref="D606:E606"/>
    <mergeCell ref="F606:G606"/>
    <mergeCell ref="H606:J606"/>
    <mergeCell ref="K606:M606"/>
    <mergeCell ref="N606:U606"/>
    <mergeCell ref="B607:C607"/>
    <mergeCell ref="D607:E607"/>
    <mergeCell ref="F607:G607"/>
    <mergeCell ref="H607:J607"/>
    <mergeCell ref="K607:M607"/>
    <mergeCell ref="N607:U607"/>
    <mergeCell ref="B608:C608"/>
    <mergeCell ref="D608:E608"/>
    <mergeCell ref="F608:G608"/>
    <mergeCell ref="H608:J608"/>
    <mergeCell ref="K608:M608"/>
    <mergeCell ref="N608:U608"/>
    <mergeCell ref="B609:C609"/>
    <mergeCell ref="D609:E609"/>
    <mergeCell ref="F609:G609"/>
    <mergeCell ref="H609:J609"/>
    <mergeCell ref="K609:M609"/>
    <mergeCell ref="N609:U609"/>
    <mergeCell ref="B610:C610"/>
    <mergeCell ref="D610:E610"/>
    <mergeCell ref="F610:G610"/>
    <mergeCell ref="H610:J610"/>
    <mergeCell ref="K610:M610"/>
    <mergeCell ref="N610:U610"/>
    <mergeCell ref="B611:C611"/>
    <mergeCell ref="D611:E611"/>
    <mergeCell ref="F611:G611"/>
    <mergeCell ref="H611:J611"/>
    <mergeCell ref="K611:M611"/>
    <mergeCell ref="N611:U611"/>
    <mergeCell ref="B612:C612"/>
    <mergeCell ref="D612:E612"/>
    <mergeCell ref="F612:G612"/>
    <mergeCell ref="H612:J612"/>
    <mergeCell ref="K612:M612"/>
    <mergeCell ref="N612:U612"/>
    <mergeCell ref="B613:C613"/>
    <mergeCell ref="D613:E613"/>
    <mergeCell ref="F613:G613"/>
    <mergeCell ref="H613:J613"/>
    <mergeCell ref="K613:M613"/>
    <mergeCell ref="N613:U613"/>
    <mergeCell ref="B614:C614"/>
    <mergeCell ref="D614:E614"/>
    <mergeCell ref="F614:G614"/>
    <mergeCell ref="H614:J614"/>
    <mergeCell ref="K614:M614"/>
    <mergeCell ref="N614:U614"/>
    <mergeCell ref="B615:C615"/>
    <mergeCell ref="D615:E615"/>
    <mergeCell ref="F615:G615"/>
    <mergeCell ref="H615:J615"/>
    <mergeCell ref="K615:M615"/>
    <mergeCell ref="N615:U615"/>
    <mergeCell ref="B616:C616"/>
    <mergeCell ref="D616:E616"/>
    <mergeCell ref="F616:G616"/>
    <mergeCell ref="H616:J616"/>
    <mergeCell ref="K616:M616"/>
    <mergeCell ref="N616:U616"/>
    <mergeCell ref="B617:C617"/>
    <mergeCell ref="D617:E617"/>
    <mergeCell ref="F617:G617"/>
    <mergeCell ref="H617:J617"/>
    <mergeCell ref="K617:M617"/>
    <mergeCell ref="N617:U617"/>
    <mergeCell ref="B618:C618"/>
    <mergeCell ref="D618:E618"/>
    <mergeCell ref="F618:G618"/>
    <mergeCell ref="H618:J618"/>
    <mergeCell ref="K618:M618"/>
    <mergeCell ref="N618:U618"/>
    <mergeCell ref="B619:C619"/>
    <mergeCell ref="D619:E619"/>
    <mergeCell ref="F619:G619"/>
    <mergeCell ref="H619:J619"/>
    <mergeCell ref="K619:M619"/>
    <mergeCell ref="N619:U619"/>
    <mergeCell ref="B620:C620"/>
    <mergeCell ref="D620:E620"/>
    <mergeCell ref="F620:G620"/>
    <mergeCell ref="H620:J620"/>
    <mergeCell ref="K620:M620"/>
    <mergeCell ref="N620:U620"/>
    <mergeCell ref="B621:C621"/>
    <mergeCell ref="D621:E621"/>
    <mergeCell ref="F621:G621"/>
    <mergeCell ref="H621:J621"/>
    <mergeCell ref="K621:M621"/>
    <mergeCell ref="N621:U621"/>
    <mergeCell ref="B622:C622"/>
    <mergeCell ref="D622:E622"/>
    <mergeCell ref="F622:G622"/>
    <mergeCell ref="H622:J622"/>
    <mergeCell ref="K622:M622"/>
    <mergeCell ref="N622:U622"/>
    <mergeCell ref="B623:C623"/>
    <mergeCell ref="D623:E623"/>
    <mergeCell ref="F623:G623"/>
    <mergeCell ref="H623:J623"/>
    <mergeCell ref="K623:M623"/>
    <mergeCell ref="N623:U623"/>
    <mergeCell ref="B624:C624"/>
    <mergeCell ref="D624:E624"/>
    <mergeCell ref="F624:G624"/>
    <mergeCell ref="H624:J624"/>
    <mergeCell ref="K624:M624"/>
    <mergeCell ref="N624:U624"/>
    <mergeCell ref="B625:C625"/>
    <mergeCell ref="D625:E625"/>
    <mergeCell ref="F625:G625"/>
    <mergeCell ref="H625:J625"/>
    <mergeCell ref="K625:M625"/>
    <mergeCell ref="N625:U625"/>
    <mergeCell ref="B626:C626"/>
    <mergeCell ref="D626:E626"/>
    <mergeCell ref="F626:G626"/>
    <mergeCell ref="H626:J626"/>
    <mergeCell ref="K626:M626"/>
    <mergeCell ref="N626:U626"/>
    <mergeCell ref="B627:C627"/>
    <mergeCell ref="D627:E627"/>
    <mergeCell ref="F627:G627"/>
    <mergeCell ref="H627:J627"/>
    <mergeCell ref="K627:M627"/>
    <mergeCell ref="N627:U627"/>
    <mergeCell ref="B628:C628"/>
    <mergeCell ref="D628:E628"/>
    <mergeCell ref="F628:G628"/>
    <mergeCell ref="H628:J628"/>
    <mergeCell ref="K628:M628"/>
    <mergeCell ref="N628:U628"/>
    <mergeCell ref="B629:C629"/>
    <mergeCell ref="D629:E629"/>
    <mergeCell ref="F629:G629"/>
    <mergeCell ref="H629:J629"/>
    <mergeCell ref="K629:M629"/>
    <mergeCell ref="N629:U629"/>
    <mergeCell ref="B630:C630"/>
    <mergeCell ref="D630:E630"/>
    <mergeCell ref="F630:G630"/>
    <mergeCell ref="H630:J630"/>
    <mergeCell ref="K630:M630"/>
    <mergeCell ref="N630:U630"/>
    <mergeCell ref="B631:C631"/>
    <mergeCell ref="D631:E631"/>
    <mergeCell ref="F631:G631"/>
    <mergeCell ref="H631:J631"/>
    <mergeCell ref="K631:M631"/>
    <mergeCell ref="N631:U631"/>
    <mergeCell ref="B632:C632"/>
    <mergeCell ref="D632:E632"/>
    <mergeCell ref="F632:G632"/>
    <mergeCell ref="H632:J632"/>
    <mergeCell ref="K632:M632"/>
    <mergeCell ref="N632:U632"/>
    <mergeCell ref="B633:C633"/>
    <mergeCell ref="D633:E633"/>
    <mergeCell ref="F633:G633"/>
    <mergeCell ref="H633:J633"/>
    <mergeCell ref="K633:M633"/>
    <mergeCell ref="N633:U633"/>
    <mergeCell ref="B634:C634"/>
    <mergeCell ref="D634:E634"/>
    <mergeCell ref="F634:G634"/>
    <mergeCell ref="H634:J634"/>
    <mergeCell ref="K634:M634"/>
    <mergeCell ref="N634:U634"/>
    <mergeCell ref="B635:C635"/>
    <mergeCell ref="D635:E635"/>
    <mergeCell ref="F635:G635"/>
    <mergeCell ref="H635:J635"/>
    <mergeCell ref="K635:M635"/>
    <mergeCell ref="N635:U635"/>
    <mergeCell ref="B636:C636"/>
    <mergeCell ref="D636:E636"/>
    <mergeCell ref="F636:G636"/>
    <mergeCell ref="H636:J636"/>
    <mergeCell ref="K636:M636"/>
    <mergeCell ref="N636:U636"/>
    <mergeCell ref="B637:C637"/>
    <mergeCell ref="D637:E637"/>
    <mergeCell ref="F637:G637"/>
    <mergeCell ref="H637:J637"/>
    <mergeCell ref="K637:M637"/>
    <mergeCell ref="N637:U637"/>
    <mergeCell ref="B638:C638"/>
    <mergeCell ref="D638:E638"/>
    <mergeCell ref="F638:G638"/>
    <mergeCell ref="H638:J638"/>
    <mergeCell ref="K638:M638"/>
    <mergeCell ref="N638:U638"/>
    <mergeCell ref="B639:C639"/>
    <mergeCell ref="D639:E639"/>
    <mergeCell ref="F639:G639"/>
    <mergeCell ref="H639:J639"/>
    <mergeCell ref="K639:M639"/>
    <mergeCell ref="N639:U639"/>
    <mergeCell ref="B640:C640"/>
    <mergeCell ref="D640:E640"/>
    <mergeCell ref="F640:G640"/>
    <mergeCell ref="H640:J640"/>
    <mergeCell ref="K640:M640"/>
    <mergeCell ref="N640:U640"/>
    <mergeCell ref="B641:C641"/>
    <mergeCell ref="D641:E641"/>
    <mergeCell ref="F641:G641"/>
    <mergeCell ref="H641:J641"/>
    <mergeCell ref="K641:M641"/>
    <mergeCell ref="N641:U641"/>
    <mergeCell ref="B642:C642"/>
    <mergeCell ref="D642:E642"/>
    <mergeCell ref="F642:G642"/>
    <mergeCell ref="H642:J642"/>
    <mergeCell ref="K642:M642"/>
    <mergeCell ref="N642:U642"/>
    <mergeCell ref="B643:C643"/>
    <mergeCell ref="D643:E643"/>
    <mergeCell ref="F643:G643"/>
    <mergeCell ref="H643:J643"/>
    <mergeCell ref="K643:M643"/>
    <mergeCell ref="N643:U643"/>
    <mergeCell ref="B644:C644"/>
    <mergeCell ref="D644:E644"/>
    <mergeCell ref="F644:G644"/>
    <mergeCell ref="H644:J644"/>
    <mergeCell ref="K644:M644"/>
    <mergeCell ref="N644:U644"/>
    <mergeCell ref="B645:C645"/>
    <mergeCell ref="D645:E645"/>
    <mergeCell ref="F645:G645"/>
    <mergeCell ref="H645:J645"/>
    <mergeCell ref="K645:M645"/>
    <mergeCell ref="N645:U645"/>
    <mergeCell ref="B646:C646"/>
    <mergeCell ref="D646:E646"/>
    <mergeCell ref="F646:G646"/>
    <mergeCell ref="H646:J646"/>
    <mergeCell ref="K646:M646"/>
    <mergeCell ref="N646:U646"/>
    <mergeCell ref="B647:C647"/>
    <mergeCell ref="D647:E647"/>
    <mergeCell ref="F647:G647"/>
    <mergeCell ref="H647:J647"/>
    <mergeCell ref="K647:M647"/>
    <mergeCell ref="N647:U647"/>
    <mergeCell ref="B648:C648"/>
    <mergeCell ref="D648:E648"/>
    <mergeCell ref="F648:G648"/>
    <mergeCell ref="H648:J648"/>
    <mergeCell ref="K648:M648"/>
    <mergeCell ref="N648:U648"/>
    <mergeCell ref="B649:C649"/>
    <mergeCell ref="D649:E649"/>
    <mergeCell ref="F649:G649"/>
    <mergeCell ref="H649:J649"/>
    <mergeCell ref="K649:M649"/>
    <mergeCell ref="N649:U649"/>
    <mergeCell ref="B650:C650"/>
    <mergeCell ref="D650:E650"/>
    <mergeCell ref="F650:G650"/>
    <mergeCell ref="H650:J650"/>
    <mergeCell ref="K650:M650"/>
    <mergeCell ref="N650:U650"/>
    <mergeCell ref="B651:C651"/>
    <mergeCell ref="D651:E651"/>
    <mergeCell ref="F651:G651"/>
    <mergeCell ref="H651:J651"/>
    <mergeCell ref="K651:M651"/>
    <mergeCell ref="N651:U651"/>
    <mergeCell ref="B652:C652"/>
    <mergeCell ref="D652:E652"/>
    <mergeCell ref="F652:G652"/>
    <mergeCell ref="H652:J652"/>
    <mergeCell ref="K652:M652"/>
    <mergeCell ref="N652:U652"/>
    <mergeCell ref="B653:C653"/>
    <mergeCell ref="D653:E653"/>
    <mergeCell ref="F653:G653"/>
    <mergeCell ref="H653:J653"/>
    <mergeCell ref="K653:M653"/>
    <mergeCell ref="N653:U653"/>
    <mergeCell ref="B654:C654"/>
    <mergeCell ref="D654:E654"/>
    <mergeCell ref="F654:G654"/>
    <mergeCell ref="H654:J654"/>
    <mergeCell ref="K654:M654"/>
    <mergeCell ref="N654:U654"/>
    <mergeCell ref="B655:C655"/>
    <mergeCell ref="D655:E655"/>
    <mergeCell ref="F655:G655"/>
    <mergeCell ref="H655:J655"/>
    <mergeCell ref="K655:M655"/>
    <mergeCell ref="N655:U655"/>
    <mergeCell ref="B656:C656"/>
    <mergeCell ref="D656:E656"/>
    <mergeCell ref="F656:G656"/>
    <mergeCell ref="H656:J656"/>
    <mergeCell ref="K656:M656"/>
    <mergeCell ref="N656:U656"/>
    <mergeCell ref="B657:C657"/>
    <mergeCell ref="D657:E657"/>
    <mergeCell ref="F657:G657"/>
    <mergeCell ref="H657:J657"/>
    <mergeCell ref="K657:M657"/>
    <mergeCell ref="N657:U657"/>
    <mergeCell ref="B658:C658"/>
    <mergeCell ref="D658:E658"/>
    <mergeCell ref="F658:G658"/>
    <mergeCell ref="H658:J658"/>
    <mergeCell ref="K658:M658"/>
    <mergeCell ref="N658:U658"/>
    <mergeCell ref="B659:C659"/>
    <mergeCell ref="D659:E659"/>
    <mergeCell ref="F659:G659"/>
    <mergeCell ref="H659:J659"/>
    <mergeCell ref="K659:M659"/>
    <mergeCell ref="N659:U659"/>
    <mergeCell ref="B660:C660"/>
    <mergeCell ref="D660:E660"/>
    <mergeCell ref="F660:G660"/>
    <mergeCell ref="H660:J660"/>
    <mergeCell ref="K660:M660"/>
    <mergeCell ref="N660:U660"/>
    <mergeCell ref="B661:C661"/>
    <mergeCell ref="D661:E661"/>
    <mergeCell ref="F661:G661"/>
    <mergeCell ref="H661:J661"/>
    <mergeCell ref="K661:M661"/>
    <mergeCell ref="N661:U661"/>
    <mergeCell ref="B662:C662"/>
    <mergeCell ref="D662:E662"/>
    <mergeCell ref="F662:G662"/>
    <mergeCell ref="H662:J662"/>
    <mergeCell ref="K662:M662"/>
    <mergeCell ref="N662:U662"/>
    <mergeCell ref="B663:C663"/>
    <mergeCell ref="D663:E663"/>
    <mergeCell ref="F663:G663"/>
    <mergeCell ref="H663:J663"/>
    <mergeCell ref="K663:M663"/>
    <mergeCell ref="N663:U663"/>
    <mergeCell ref="B664:C664"/>
    <mergeCell ref="D664:E664"/>
    <mergeCell ref="F664:G664"/>
    <mergeCell ref="H664:J664"/>
    <mergeCell ref="K664:M664"/>
    <mergeCell ref="N664:U664"/>
    <mergeCell ref="B665:C665"/>
    <mergeCell ref="D665:E665"/>
    <mergeCell ref="F665:G665"/>
    <mergeCell ref="H665:J665"/>
    <mergeCell ref="K665:M665"/>
    <mergeCell ref="N665:U665"/>
    <mergeCell ref="B666:C666"/>
    <mergeCell ref="D666:E666"/>
    <mergeCell ref="F666:G666"/>
    <mergeCell ref="H666:J666"/>
    <mergeCell ref="K666:M666"/>
    <mergeCell ref="N666:U666"/>
    <mergeCell ref="B667:C667"/>
    <mergeCell ref="D667:E667"/>
    <mergeCell ref="F667:G667"/>
    <mergeCell ref="H667:J667"/>
    <mergeCell ref="K667:M667"/>
    <mergeCell ref="N667:U667"/>
    <mergeCell ref="B668:C668"/>
    <mergeCell ref="D668:E668"/>
    <mergeCell ref="F668:G668"/>
    <mergeCell ref="H668:J668"/>
    <mergeCell ref="K668:M668"/>
    <mergeCell ref="N668:U668"/>
    <mergeCell ref="B669:C669"/>
    <mergeCell ref="D669:E669"/>
    <mergeCell ref="F669:G669"/>
    <mergeCell ref="H669:J669"/>
    <mergeCell ref="K669:M669"/>
    <mergeCell ref="N669:U669"/>
    <mergeCell ref="B670:C670"/>
    <mergeCell ref="D670:E670"/>
    <mergeCell ref="F670:G670"/>
    <mergeCell ref="H670:J670"/>
    <mergeCell ref="K670:M670"/>
    <mergeCell ref="N670:U670"/>
    <mergeCell ref="B671:C671"/>
    <mergeCell ref="D671:E671"/>
    <mergeCell ref="F671:G671"/>
    <mergeCell ref="H671:J671"/>
    <mergeCell ref="K671:M671"/>
    <mergeCell ref="N671:U671"/>
    <mergeCell ref="B672:C672"/>
    <mergeCell ref="D672:E672"/>
    <mergeCell ref="F672:G672"/>
    <mergeCell ref="H672:J672"/>
    <mergeCell ref="K672:M672"/>
    <mergeCell ref="N672:U672"/>
    <mergeCell ref="B673:C673"/>
    <mergeCell ref="D673:E673"/>
    <mergeCell ref="F673:G673"/>
    <mergeCell ref="H673:J673"/>
    <mergeCell ref="K673:M673"/>
    <mergeCell ref="N673:U673"/>
    <mergeCell ref="B674:C674"/>
    <mergeCell ref="D674:E674"/>
    <mergeCell ref="F674:G674"/>
    <mergeCell ref="H674:J674"/>
    <mergeCell ref="K674:M674"/>
    <mergeCell ref="N674:U674"/>
    <mergeCell ref="B675:C675"/>
    <mergeCell ref="D675:E675"/>
    <mergeCell ref="F675:G675"/>
    <mergeCell ref="H675:J675"/>
    <mergeCell ref="K675:M675"/>
    <mergeCell ref="N675:U675"/>
    <mergeCell ref="B676:C676"/>
    <mergeCell ref="D676:E676"/>
    <mergeCell ref="F676:G676"/>
    <mergeCell ref="H676:J676"/>
    <mergeCell ref="K676:M676"/>
    <mergeCell ref="N676:U676"/>
    <mergeCell ref="B677:C677"/>
    <mergeCell ref="D677:E677"/>
    <mergeCell ref="F677:G677"/>
    <mergeCell ref="H677:J677"/>
    <mergeCell ref="K677:M677"/>
    <mergeCell ref="N677:U677"/>
    <mergeCell ref="B678:C678"/>
    <mergeCell ref="D678:E678"/>
    <mergeCell ref="F678:G678"/>
    <mergeCell ref="H678:J678"/>
    <mergeCell ref="K678:M678"/>
    <mergeCell ref="N678:U678"/>
    <mergeCell ref="B679:C679"/>
    <mergeCell ref="D679:E679"/>
    <mergeCell ref="F679:G679"/>
    <mergeCell ref="H679:J679"/>
    <mergeCell ref="K679:M679"/>
    <mergeCell ref="N679:U679"/>
    <mergeCell ref="B680:C680"/>
    <mergeCell ref="D680:E680"/>
    <mergeCell ref="F680:G680"/>
    <mergeCell ref="H680:J680"/>
    <mergeCell ref="K680:M680"/>
    <mergeCell ref="N680:U680"/>
    <mergeCell ref="B681:C681"/>
    <mergeCell ref="D681:E681"/>
    <mergeCell ref="F681:G681"/>
    <mergeCell ref="H681:J681"/>
    <mergeCell ref="K681:M681"/>
    <mergeCell ref="N681:U681"/>
    <mergeCell ref="B682:C682"/>
    <mergeCell ref="D682:E682"/>
    <mergeCell ref="F682:G682"/>
    <mergeCell ref="H682:J682"/>
    <mergeCell ref="K682:M682"/>
    <mergeCell ref="N682:U682"/>
    <mergeCell ref="B683:C683"/>
    <mergeCell ref="D683:E683"/>
    <mergeCell ref="F683:G683"/>
    <mergeCell ref="H683:J683"/>
    <mergeCell ref="K683:M683"/>
    <mergeCell ref="N683:U683"/>
    <mergeCell ref="B684:C684"/>
    <mergeCell ref="D684:E684"/>
    <mergeCell ref="F684:G684"/>
    <mergeCell ref="H684:J684"/>
    <mergeCell ref="K684:M684"/>
    <mergeCell ref="N684:U684"/>
    <mergeCell ref="B685:C685"/>
    <mergeCell ref="D685:E685"/>
    <mergeCell ref="F685:G685"/>
    <mergeCell ref="H685:J685"/>
    <mergeCell ref="K685:M685"/>
    <mergeCell ref="N685:U685"/>
    <mergeCell ref="B686:C686"/>
    <mergeCell ref="D686:E686"/>
    <mergeCell ref="F686:G686"/>
    <mergeCell ref="H686:J686"/>
    <mergeCell ref="K686:M686"/>
    <mergeCell ref="N686:U686"/>
    <mergeCell ref="B687:C687"/>
    <mergeCell ref="D687:E687"/>
    <mergeCell ref="F687:G687"/>
    <mergeCell ref="H687:J687"/>
    <mergeCell ref="K687:M687"/>
    <mergeCell ref="N687:U687"/>
    <mergeCell ref="B688:C688"/>
    <mergeCell ref="D688:E688"/>
    <mergeCell ref="F688:G688"/>
    <mergeCell ref="H688:J688"/>
    <mergeCell ref="K688:M688"/>
    <mergeCell ref="N688:U688"/>
    <mergeCell ref="B689:C689"/>
    <mergeCell ref="D689:E689"/>
    <mergeCell ref="F689:G689"/>
    <mergeCell ref="H689:J689"/>
    <mergeCell ref="K689:M689"/>
    <mergeCell ref="N689:U689"/>
    <mergeCell ref="B690:C690"/>
    <mergeCell ref="D690:E690"/>
    <mergeCell ref="F690:G690"/>
    <mergeCell ref="H690:J690"/>
    <mergeCell ref="K690:M690"/>
    <mergeCell ref="N690:U690"/>
    <mergeCell ref="B691:C691"/>
    <mergeCell ref="D691:E691"/>
    <mergeCell ref="F691:G691"/>
    <mergeCell ref="H691:J691"/>
    <mergeCell ref="K691:M691"/>
    <mergeCell ref="N691:U691"/>
    <mergeCell ref="B692:C692"/>
    <mergeCell ref="D692:E692"/>
    <mergeCell ref="F692:G692"/>
    <mergeCell ref="H692:J692"/>
    <mergeCell ref="K692:M692"/>
    <mergeCell ref="N692:U692"/>
    <mergeCell ref="B693:C693"/>
    <mergeCell ref="D693:E693"/>
    <mergeCell ref="F693:G693"/>
    <mergeCell ref="H693:J693"/>
    <mergeCell ref="K693:M693"/>
    <mergeCell ref="N693:U693"/>
    <mergeCell ref="B694:C694"/>
    <mergeCell ref="D694:E694"/>
    <mergeCell ref="F694:G694"/>
    <mergeCell ref="H694:J694"/>
    <mergeCell ref="K694:M694"/>
    <mergeCell ref="N694:U694"/>
    <mergeCell ref="B695:C695"/>
    <mergeCell ref="D695:E695"/>
    <mergeCell ref="F695:G695"/>
    <mergeCell ref="H695:J695"/>
    <mergeCell ref="K695:M695"/>
    <mergeCell ref="N695:U695"/>
    <mergeCell ref="B696:C696"/>
    <mergeCell ref="D696:E696"/>
    <mergeCell ref="F696:G696"/>
    <mergeCell ref="H696:J696"/>
    <mergeCell ref="K696:M696"/>
    <mergeCell ref="N696:U696"/>
    <mergeCell ref="B697:C697"/>
    <mergeCell ref="D697:E697"/>
    <mergeCell ref="F697:G697"/>
    <mergeCell ref="H697:J697"/>
    <mergeCell ref="K697:M697"/>
    <mergeCell ref="N697:U697"/>
    <mergeCell ref="B698:C698"/>
    <mergeCell ref="D698:E698"/>
    <mergeCell ref="F698:G698"/>
    <mergeCell ref="H698:J698"/>
    <mergeCell ref="K698:M698"/>
    <mergeCell ref="N698:U698"/>
    <mergeCell ref="B699:C699"/>
    <mergeCell ref="D699:E699"/>
    <mergeCell ref="F699:G699"/>
    <mergeCell ref="H699:J699"/>
    <mergeCell ref="K699:M699"/>
    <mergeCell ref="N699:U699"/>
    <mergeCell ref="B700:C700"/>
    <mergeCell ref="D700:E700"/>
    <mergeCell ref="F700:G700"/>
    <mergeCell ref="H700:J700"/>
    <mergeCell ref="K700:M700"/>
    <mergeCell ref="N700:U700"/>
    <mergeCell ref="B701:C701"/>
    <mergeCell ref="D701:E701"/>
    <mergeCell ref="F701:G701"/>
    <mergeCell ref="H701:J701"/>
    <mergeCell ref="K701:M701"/>
    <mergeCell ref="N701:U701"/>
    <mergeCell ref="B702:C702"/>
    <mergeCell ref="D702:E702"/>
    <mergeCell ref="F702:G702"/>
    <mergeCell ref="H702:J702"/>
    <mergeCell ref="K702:M702"/>
    <mergeCell ref="N702:U702"/>
    <mergeCell ref="B703:C703"/>
    <mergeCell ref="D703:E703"/>
    <mergeCell ref="F703:G703"/>
    <mergeCell ref="H703:J703"/>
    <mergeCell ref="K703:M703"/>
    <mergeCell ref="N703:U703"/>
    <mergeCell ref="B704:C704"/>
    <mergeCell ref="D704:E704"/>
    <mergeCell ref="F704:G704"/>
    <mergeCell ref="H704:J704"/>
    <mergeCell ref="K704:M704"/>
    <mergeCell ref="N704:U704"/>
    <mergeCell ref="B705:C705"/>
    <mergeCell ref="D705:E705"/>
    <mergeCell ref="F705:G705"/>
    <mergeCell ref="H705:J705"/>
    <mergeCell ref="K705:M705"/>
    <mergeCell ref="N705:U705"/>
    <mergeCell ref="B706:C706"/>
    <mergeCell ref="D706:E706"/>
    <mergeCell ref="F706:G706"/>
    <mergeCell ref="H706:J706"/>
    <mergeCell ref="K706:M706"/>
    <mergeCell ref="N706:U706"/>
    <mergeCell ref="B707:C707"/>
    <mergeCell ref="D707:E707"/>
    <mergeCell ref="F707:G707"/>
    <mergeCell ref="H707:J707"/>
    <mergeCell ref="K707:M707"/>
    <mergeCell ref="N707:U707"/>
    <mergeCell ref="B708:C708"/>
    <mergeCell ref="D708:E708"/>
    <mergeCell ref="F708:G708"/>
    <mergeCell ref="H708:J708"/>
    <mergeCell ref="K708:M708"/>
    <mergeCell ref="N708:U708"/>
    <mergeCell ref="B709:C709"/>
    <mergeCell ref="D709:E709"/>
    <mergeCell ref="F709:G709"/>
    <mergeCell ref="H709:J709"/>
    <mergeCell ref="K709:M709"/>
    <mergeCell ref="N709:U709"/>
    <mergeCell ref="B710:C710"/>
    <mergeCell ref="D710:E710"/>
    <mergeCell ref="F710:G710"/>
    <mergeCell ref="H710:J710"/>
    <mergeCell ref="K710:M710"/>
    <mergeCell ref="N710:U710"/>
    <mergeCell ref="B711:C711"/>
    <mergeCell ref="D711:E711"/>
    <mergeCell ref="F711:G711"/>
    <mergeCell ref="H711:J711"/>
    <mergeCell ref="K711:M711"/>
    <mergeCell ref="N711:U711"/>
    <mergeCell ref="B712:C712"/>
    <mergeCell ref="D712:E712"/>
    <mergeCell ref="F712:G712"/>
    <mergeCell ref="H712:J712"/>
    <mergeCell ref="K712:M712"/>
    <mergeCell ref="N712:U712"/>
    <mergeCell ref="B713:C713"/>
    <mergeCell ref="D713:E713"/>
    <mergeCell ref="F713:G713"/>
    <mergeCell ref="H713:J713"/>
    <mergeCell ref="K713:M713"/>
    <mergeCell ref="N713:U713"/>
    <mergeCell ref="B714:C714"/>
    <mergeCell ref="D714:E714"/>
    <mergeCell ref="F714:G714"/>
    <mergeCell ref="H714:J714"/>
    <mergeCell ref="K714:M714"/>
    <mergeCell ref="N714:U714"/>
    <mergeCell ref="B715:C715"/>
    <mergeCell ref="D715:E715"/>
    <mergeCell ref="F715:G715"/>
    <mergeCell ref="H715:J715"/>
    <mergeCell ref="K715:M715"/>
    <mergeCell ref="N715:U715"/>
    <mergeCell ref="B716:C716"/>
    <mergeCell ref="D716:E716"/>
    <mergeCell ref="F716:G716"/>
    <mergeCell ref="H716:J716"/>
    <mergeCell ref="K716:M716"/>
    <mergeCell ref="N716:U716"/>
    <mergeCell ref="B717:C717"/>
    <mergeCell ref="D717:E717"/>
    <mergeCell ref="F717:G717"/>
    <mergeCell ref="H717:J717"/>
    <mergeCell ref="K717:M717"/>
    <mergeCell ref="N717:U717"/>
    <mergeCell ref="B718:C718"/>
    <mergeCell ref="D718:E718"/>
    <mergeCell ref="F718:G718"/>
    <mergeCell ref="H718:J718"/>
    <mergeCell ref="K718:M718"/>
    <mergeCell ref="N718:U718"/>
    <mergeCell ref="B719:C719"/>
    <mergeCell ref="D719:E719"/>
    <mergeCell ref="F719:G719"/>
    <mergeCell ref="H719:J719"/>
    <mergeCell ref="K719:M719"/>
    <mergeCell ref="N719:U719"/>
    <mergeCell ref="B720:C720"/>
    <mergeCell ref="D720:E720"/>
    <mergeCell ref="F720:G720"/>
    <mergeCell ref="H720:J720"/>
    <mergeCell ref="K720:M720"/>
    <mergeCell ref="N720:U720"/>
    <mergeCell ref="B721:C721"/>
    <mergeCell ref="D721:E721"/>
    <mergeCell ref="F721:G721"/>
    <mergeCell ref="H721:J721"/>
    <mergeCell ref="K721:M721"/>
    <mergeCell ref="N721:U721"/>
    <mergeCell ref="B722:C722"/>
    <mergeCell ref="D722:E722"/>
    <mergeCell ref="F722:G722"/>
    <mergeCell ref="H722:J722"/>
    <mergeCell ref="K722:M722"/>
    <mergeCell ref="N722:U722"/>
    <mergeCell ref="B723:C723"/>
    <mergeCell ref="D723:E723"/>
    <mergeCell ref="F723:G723"/>
    <mergeCell ref="H723:J723"/>
    <mergeCell ref="K723:M723"/>
    <mergeCell ref="N723:U723"/>
    <mergeCell ref="B724:C724"/>
    <mergeCell ref="D724:E724"/>
    <mergeCell ref="F724:G724"/>
    <mergeCell ref="H724:J724"/>
    <mergeCell ref="K724:M724"/>
    <mergeCell ref="N724:U724"/>
    <mergeCell ref="B725:C725"/>
    <mergeCell ref="D725:E725"/>
    <mergeCell ref="F725:G725"/>
    <mergeCell ref="H725:J725"/>
    <mergeCell ref="K725:M725"/>
    <mergeCell ref="N725:U725"/>
    <mergeCell ref="B726:C726"/>
    <mergeCell ref="D726:E726"/>
    <mergeCell ref="F726:G726"/>
    <mergeCell ref="H726:J726"/>
    <mergeCell ref="K726:M726"/>
    <mergeCell ref="N726:U726"/>
    <mergeCell ref="B727:C727"/>
    <mergeCell ref="D727:E727"/>
    <mergeCell ref="F727:G727"/>
    <mergeCell ref="H727:J727"/>
    <mergeCell ref="K727:M727"/>
    <mergeCell ref="N727:U727"/>
    <mergeCell ref="B728:C728"/>
    <mergeCell ref="D728:E728"/>
    <mergeCell ref="F728:G728"/>
    <mergeCell ref="H728:J728"/>
    <mergeCell ref="K728:M728"/>
    <mergeCell ref="N728:U728"/>
    <mergeCell ref="B729:C729"/>
    <mergeCell ref="D729:E729"/>
    <mergeCell ref="F729:G729"/>
    <mergeCell ref="H729:J729"/>
    <mergeCell ref="K729:M729"/>
    <mergeCell ref="N729:U729"/>
    <mergeCell ref="B730:C730"/>
    <mergeCell ref="D730:E730"/>
    <mergeCell ref="F730:G730"/>
    <mergeCell ref="H730:J730"/>
    <mergeCell ref="K730:M730"/>
    <mergeCell ref="N730:U730"/>
    <mergeCell ref="B731:C731"/>
    <mergeCell ref="D731:E731"/>
    <mergeCell ref="F731:G731"/>
    <mergeCell ref="H731:J731"/>
    <mergeCell ref="K731:M731"/>
    <mergeCell ref="N731:U731"/>
    <mergeCell ref="B732:C732"/>
    <mergeCell ref="D732:E732"/>
    <mergeCell ref="F732:G732"/>
    <mergeCell ref="H732:J732"/>
    <mergeCell ref="K732:M732"/>
    <mergeCell ref="N732:U732"/>
    <mergeCell ref="B733:C733"/>
    <mergeCell ref="D733:E733"/>
    <mergeCell ref="F733:G733"/>
    <mergeCell ref="H733:J733"/>
    <mergeCell ref="K733:M733"/>
    <mergeCell ref="N733:U733"/>
    <mergeCell ref="B734:C734"/>
    <mergeCell ref="D734:E734"/>
    <mergeCell ref="F734:G734"/>
    <mergeCell ref="H734:J734"/>
    <mergeCell ref="K734:M734"/>
    <mergeCell ref="N734:U734"/>
    <mergeCell ref="B735:C735"/>
    <mergeCell ref="D735:E735"/>
    <mergeCell ref="F735:G735"/>
    <mergeCell ref="H735:J735"/>
    <mergeCell ref="K735:M735"/>
    <mergeCell ref="N735:U735"/>
    <mergeCell ref="B736:C736"/>
    <mergeCell ref="D736:E736"/>
    <mergeCell ref="F736:G736"/>
    <mergeCell ref="H736:J736"/>
    <mergeCell ref="K736:M736"/>
    <mergeCell ref="N736:U736"/>
    <mergeCell ref="B737:C737"/>
    <mergeCell ref="D737:E737"/>
    <mergeCell ref="F737:G737"/>
    <mergeCell ref="H737:J737"/>
    <mergeCell ref="K737:M737"/>
    <mergeCell ref="N737:U737"/>
    <mergeCell ref="B738:C738"/>
    <mergeCell ref="D738:E738"/>
    <mergeCell ref="F738:G738"/>
    <mergeCell ref="H738:J738"/>
    <mergeCell ref="K738:M738"/>
    <mergeCell ref="N738:U738"/>
    <mergeCell ref="B739:C739"/>
    <mergeCell ref="D739:E739"/>
    <mergeCell ref="F739:G739"/>
    <mergeCell ref="H739:J739"/>
    <mergeCell ref="K739:M739"/>
    <mergeCell ref="N739:U739"/>
    <mergeCell ref="B740:C740"/>
    <mergeCell ref="D740:E740"/>
    <mergeCell ref="F740:G740"/>
    <mergeCell ref="H740:J740"/>
    <mergeCell ref="K740:M740"/>
    <mergeCell ref="N740:U740"/>
    <mergeCell ref="B741:C741"/>
    <mergeCell ref="D741:E741"/>
    <mergeCell ref="F741:G741"/>
    <mergeCell ref="H741:J741"/>
    <mergeCell ref="K741:M741"/>
    <mergeCell ref="N741:U741"/>
    <mergeCell ref="B742:C742"/>
    <mergeCell ref="D742:E742"/>
    <mergeCell ref="F742:G742"/>
    <mergeCell ref="H742:J742"/>
    <mergeCell ref="K742:M742"/>
    <mergeCell ref="N742:U742"/>
    <mergeCell ref="B743:C743"/>
    <mergeCell ref="D743:E743"/>
    <mergeCell ref="F743:G743"/>
    <mergeCell ref="H743:J743"/>
    <mergeCell ref="K743:M743"/>
    <mergeCell ref="N743:U743"/>
    <mergeCell ref="B744:C744"/>
    <mergeCell ref="D744:E744"/>
    <mergeCell ref="F744:G744"/>
    <mergeCell ref="H744:J744"/>
    <mergeCell ref="K744:M744"/>
    <mergeCell ref="N744:U744"/>
    <mergeCell ref="B745:C745"/>
    <mergeCell ref="D745:E745"/>
    <mergeCell ref="F745:G745"/>
    <mergeCell ref="H745:J745"/>
    <mergeCell ref="K745:M745"/>
    <mergeCell ref="N745:U745"/>
    <mergeCell ref="B746:C746"/>
    <mergeCell ref="D746:E746"/>
    <mergeCell ref="F746:G746"/>
    <mergeCell ref="H746:J746"/>
    <mergeCell ref="K746:M746"/>
    <mergeCell ref="N746:U746"/>
    <mergeCell ref="B747:C747"/>
    <mergeCell ref="D747:E747"/>
    <mergeCell ref="F747:G747"/>
    <mergeCell ref="H747:J747"/>
    <mergeCell ref="K747:M747"/>
    <mergeCell ref="N747:U747"/>
    <mergeCell ref="B748:C748"/>
    <mergeCell ref="D748:E748"/>
    <mergeCell ref="F748:G748"/>
    <mergeCell ref="H748:J748"/>
    <mergeCell ref="K748:M748"/>
    <mergeCell ref="N748:U748"/>
    <mergeCell ref="B749:C749"/>
    <mergeCell ref="D749:E749"/>
    <mergeCell ref="F749:G749"/>
    <mergeCell ref="H749:J749"/>
    <mergeCell ref="K749:M749"/>
    <mergeCell ref="N749:U749"/>
    <mergeCell ref="B750:C750"/>
    <mergeCell ref="D750:E750"/>
    <mergeCell ref="F750:G750"/>
    <mergeCell ref="H750:J750"/>
    <mergeCell ref="K750:M750"/>
    <mergeCell ref="N750:U750"/>
    <mergeCell ref="B751:C751"/>
    <mergeCell ref="D751:E751"/>
    <mergeCell ref="F751:G751"/>
    <mergeCell ref="H751:J751"/>
    <mergeCell ref="K751:M751"/>
    <mergeCell ref="N751:U751"/>
    <mergeCell ref="B752:C752"/>
    <mergeCell ref="D752:E752"/>
    <mergeCell ref="F752:G752"/>
    <mergeCell ref="H752:J752"/>
    <mergeCell ref="K752:M752"/>
    <mergeCell ref="N752:U752"/>
    <mergeCell ref="B753:C753"/>
    <mergeCell ref="D753:E753"/>
    <mergeCell ref="F753:G753"/>
    <mergeCell ref="H753:J753"/>
    <mergeCell ref="K753:M753"/>
    <mergeCell ref="N753:U753"/>
    <mergeCell ref="B754:C754"/>
    <mergeCell ref="D754:E754"/>
    <mergeCell ref="F754:G754"/>
    <mergeCell ref="H754:J754"/>
    <mergeCell ref="K754:M754"/>
    <mergeCell ref="N754:U754"/>
    <mergeCell ref="B755:C755"/>
    <mergeCell ref="D755:E755"/>
    <mergeCell ref="F755:G755"/>
    <mergeCell ref="H755:J755"/>
    <mergeCell ref="K755:M755"/>
    <mergeCell ref="N755:U755"/>
    <mergeCell ref="B756:C756"/>
    <mergeCell ref="D756:E756"/>
    <mergeCell ref="F756:G756"/>
    <mergeCell ref="H756:J756"/>
    <mergeCell ref="K756:M756"/>
    <mergeCell ref="N756:U756"/>
    <mergeCell ref="B757:C757"/>
    <mergeCell ref="D757:E757"/>
    <mergeCell ref="F757:G757"/>
    <mergeCell ref="H757:J757"/>
    <mergeCell ref="K757:M757"/>
    <mergeCell ref="N757:U757"/>
    <mergeCell ref="B758:C758"/>
    <mergeCell ref="D758:E758"/>
    <mergeCell ref="F758:G758"/>
    <mergeCell ref="H758:J758"/>
    <mergeCell ref="K758:M758"/>
    <mergeCell ref="N758:U758"/>
    <mergeCell ref="B759:C759"/>
    <mergeCell ref="D759:E759"/>
    <mergeCell ref="F759:G759"/>
    <mergeCell ref="H759:J759"/>
    <mergeCell ref="K759:M759"/>
    <mergeCell ref="N759:U759"/>
    <mergeCell ref="B760:C760"/>
    <mergeCell ref="D760:E760"/>
    <mergeCell ref="F760:G760"/>
    <mergeCell ref="H760:J760"/>
    <mergeCell ref="K760:M760"/>
    <mergeCell ref="N760:U760"/>
    <mergeCell ref="B761:C761"/>
    <mergeCell ref="D761:E761"/>
    <mergeCell ref="F761:G761"/>
    <mergeCell ref="H761:J761"/>
    <mergeCell ref="K761:M761"/>
    <mergeCell ref="N761:U761"/>
    <mergeCell ref="B762:C762"/>
    <mergeCell ref="D762:E762"/>
    <mergeCell ref="F762:G762"/>
    <mergeCell ref="H762:J762"/>
    <mergeCell ref="K762:M762"/>
    <mergeCell ref="N762:U762"/>
    <mergeCell ref="B763:C763"/>
    <mergeCell ref="D763:E763"/>
    <mergeCell ref="F763:G763"/>
    <mergeCell ref="H763:J763"/>
    <mergeCell ref="K763:M763"/>
    <mergeCell ref="N763:U763"/>
    <mergeCell ref="B764:C764"/>
    <mergeCell ref="D764:E764"/>
    <mergeCell ref="F764:G764"/>
    <mergeCell ref="H764:J764"/>
    <mergeCell ref="K764:M764"/>
    <mergeCell ref="N764:U764"/>
    <mergeCell ref="B765:C765"/>
    <mergeCell ref="D765:E765"/>
    <mergeCell ref="F765:G765"/>
    <mergeCell ref="H765:J765"/>
    <mergeCell ref="K765:M765"/>
    <mergeCell ref="N765:U765"/>
    <mergeCell ref="B766:C766"/>
    <mergeCell ref="D766:E766"/>
    <mergeCell ref="F766:G766"/>
    <mergeCell ref="H766:J766"/>
    <mergeCell ref="K766:M766"/>
    <mergeCell ref="N766:U766"/>
    <mergeCell ref="B767:C767"/>
    <mergeCell ref="D767:E767"/>
    <mergeCell ref="F767:G767"/>
    <mergeCell ref="H767:J767"/>
    <mergeCell ref="K767:M767"/>
    <mergeCell ref="N767:U767"/>
    <mergeCell ref="B768:C768"/>
    <mergeCell ref="D768:E768"/>
    <mergeCell ref="F768:G768"/>
    <mergeCell ref="H768:J768"/>
    <mergeCell ref="K768:M768"/>
    <mergeCell ref="N768:U768"/>
    <mergeCell ref="B769:C769"/>
    <mergeCell ref="D769:E769"/>
    <mergeCell ref="F769:G769"/>
    <mergeCell ref="H769:J769"/>
    <mergeCell ref="K769:M769"/>
    <mergeCell ref="N769:U769"/>
    <mergeCell ref="B770:C770"/>
    <mergeCell ref="D770:E770"/>
    <mergeCell ref="F770:G770"/>
    <mergeCell ref="H770:J770"/>
    <mergeCell ref="K770:M770"/>
    <mergeCell ref="N770:U770"/>
    <mergeCell ref="B771:C771"/>
    <mergeCell ref="D771:E771"/>
    <mergeCell ref="F771:G771"/>
    <mergeCell ref="H771:J771"/>
    <mergeCell ref="K771:M771"/>
    <mergeCell ref="N771:U771"/>
    <mergeCell ref="B772:C772"/>
    <mergeCell ref="D772:E772"/>
    <mergeCell ref="F772:G772"/>
    <mergeCell ref="H772:J772"/>
    <mergeCell ref="K772:M772"/>
    <mergeCell ref="N772:U772"/>
    <mergeCell ref="B773:C773"/>
    <mergeCell ref="D773:E773"/>
    <mergeCell ref="F773:G773"/>
    <mergeCell ref="H773:J773"/>
    <mergeCell ref="K773:M773"/>
    <mergeCell ref="N773:U773"/>
    <mergeCell ref="B774:C774"/>
    <mergeCell ref="D774:E774"/>
    <mergeCell ref="F774:G774"/>
    <mergeCell ref="H774:J774"/>
    <mergeCell ref="K774:M774"/>
    <mergeCell ref="N774:U774"/>
    <mergeCell ref="B775:C775"/>
    <mergeCell ref="D775:E775"/>
    <mergeCell ref="F775:G775"/>
    <mergeCell ref="H775:J775"/>
    <mergeCell ref="K775:M775"/>
    <mergeCell ref="N775:U775"/>
    <mergeCell ref="B776:C776"/>
    <mergeCell ref="D776:E776"/>
    <mergeCell ref="F776:G776"/>
    <mergeCell ref="H776:J776"/>
    <mergeCell ref="K776:M776"/>
    <mergeCell ref="N776:U776"/>
    <mergeCell ref="B777:C777"/>
    <mergeCell ref="D777:E777"/>
    <mergeCell ref="F777:G777"/>
    <mergeCell ref="H777:J777"/>
    <mergeCell ref="K777:M777"/>
    <mergeCell ref="N777:U777"/>
    <mergeCell ref="B778:C778"/>
    <mergeCell ref="D778:E778"/>
    <mergeCell ref="F778:G778"/>
    <mergeCell ref="H778:J778"/>
    <mergeCell ref="K778:M778"/>
    <mergeCell ref="N778:U778"/>
    <mergeCell ref="B779:C779"/>
    <mergeCell ref="D779:E779"/>
    <mergeCell ref="F779:G779"/>
    <mergeCell ref="H779:J779"/>
    <mergeCell ref="K779:M779"/>
    <mergeCell ref="N779:U779"/>
    <mergeCell ref="B780:C780"/>
    <mergeCell ref="D780:E780"/>
    <mergeCell ref="F780:G780"/>
    <mergeCell ref="H780:J780"/>
    <mergeCell ref="K780:M780"/>
    <mergeCell ref="N780:U780"/>
    <mergeCell ref="B781:C781"/>
    <mergeCell ref="D781:E781"/>
    <mergeCell ref="F781:G781"/>
    <mergeCell ref="H781:J781"/>
    <mergeCell ref="K781:M781"/>
    <mergeCell ref="N781:U781"/>
    <mergeCell ref="B782:C782"/>
    <mergeCell ref="D782:E782"/>
    <mergeCell ref="F782:G782"/>
    <mergeCell ref="H782:J782"/>
    <mergeCell ref="K782:M782"/>
    <mergeCell ref="N782:U782"/>
    <mergeCell ref="B783:C783"/>
    <mergeCell ref="D783:E783"/>
    <mergeCell ref="F783:G783"/>
    <mergeCell ref="H783:J783"/>
    <mergeCell ref="K783:M783"/>
    <mergeCell ref="N783:U783"/>
    <mergeCell ref="B784:C784"/>
    <mergeCell ref="D784:E784"/>
    <mergeCell ref="F784:G784"/>
    <mergeCell ref="H784:J784"/>
    <mergeCell ref="K784:M784"/>
    <mergeCell ref="N784:U784"/>
    <mergeCell ref="B785:C785"/>
    <mergeCell ref="D785:E785"/>
    <mergeCell ref="F785:G785"/>
    <mergeCell ref="H785:J785"/>
    <mergeCell ref="K785:M785"/>
    <mergeCell ref="N785:U785"/>
    <mergeCell ref="B786:C786"/>
    <mergeCell ref="D786:E786"/>
    <mergeCell ref="F786:G786"/>
    <mergeCell ref="H786:J786"/>
    <mergeCell ref="K786:M786"/>
    <mergeCell ref="N786:U786"/>
    <mergeCell ref="B787:C787"/>
    <mergeCell ref="D787:E787"/>
    <mergeCell ref="F787:G787"/>
    <mergeCell ref="H787:J787"/>
    <mergeCell ref="K787:M787"/>
    <mergeCell ref="N787:U787"/>
    <mergeCell ref="B788:C788"/>
    <mergeCell ref="D788:E788"/>
    <mergeCell ref="F788:G788"/>
    <mergeCell ref="H788:J788"/>
    <mergeCell ref="K788:M788"/>
    <mergeCell ref="N788:U788"/>
    <mergeCell ref="B789:C789"/>
    <mergeCell ref="D789:E789"/>
    <mergeCell ref="F789:G789"/>
    <mergeCell ref="H789:J789"/>
    <mergeCell ref="K789:M789"/>
    <mergeCell ref="N789:U789"/>
    <mergeCell ref="B790:C790"/>
    <mergeCell ref="D790:E790"/>
    <mergeCell ref="F790:G790"/>
    <mergeCell ref="H790:J790"/>
    <mergeCell ref="K790:M790"/>
    <mergeCell ref="N790:U790"/>
    <mergeCell ref="B791:C791"/>
    <mergeCell ref="D791:E791"/>
    <mergeCell ref="F791:G791"/>
    <mergeCell ref="H791:J791"/>
    <mergeCell ref="K791:M791"/>
    <mergeCell ref="N791:U791"/>
    <mergeCell ref="B792:C792"/>
    <mergeCell ref="D792:E792"/>
    <mergeCell ref="F792:G792"/>
    <mergeCell ref="H792:J792"/>
    <mergeCell ref="K792:M792"/>
    <mergeCell ref="N792:U792"/>
    <mergeCell ref="B793:C793"/>
    <mergeCell ref="D793:E793"/>
    <mergeCell ref="F793:G793"/>
    <mergeCell ref="H793:J793"/>
    <mergeCell ref="K793:M793"/>
    <mergeCell ref="N793:U793"/>
    <mergeCell ref="B794:C794"/>
    <mergeCell ref="D794:E794"/>
    <mergeCell ref="F794:G794"/>
    <mergeCell ref="H794:J794"/>
    <mergeCell ref="K794:M794"/>
    <mergeCell ref="N794:U794"/>
    <mergeCell ref="B795:C795"/>
    <mergeCell ref="D795:E795"/>
    <mergeCell ref="F795:G795"/>
    <mergeCell ref="H795:J795"/>
    <mergeCell ref="K795:M795"/>
    <mergeCell ref="N795:U795"/>
    <mergeCell ref="B796:C796"/>
    <mergeCell ref="D796:E796"/>
    <mergeCell ref="F796:G796"/>
    <mergeCell ref="H796:J796"/>
    <mergeCell ref="K796:M796"/>
    <mergeCell ref="N796:U796"/>
    <mergeCell ref="B797:C797"/>
    <mergeCell ref="D797:E797"/>
    <mergeCell ref="F797:G797"/>
    <mergeCell ref="H797:J797"/>
    <mergeCell ref="K797:M797"/>
    <mergeCell ref="N797:U797"/>
    <mergeCell ref="B798:C798"/>
    <mergeCell ref="D798:E798"/>
    <mergeCell ref="F798:G798"/>
    <mergeCell ref="H798:J798"/>
    <mergeCell ref="K798:M798"/>
    <mergeCell ref="N798:U798"/>
    <mergeCell ref="B799:C799"/>
    <mergeCell ref="D799:E799"/>
    <mergeCell ref="F799:G799"/>
    <mergeCell ref="H799:J799"/>
    <mergeCell ref="K799:M799"/>
    <mergeCell ref="N799:U799"/>
    <mergeCell ref="B800:C800"/>
    <mergeCell ref="D800:E800"/>
    <mergeCell ref="F800:G800"/>
    <mergeCell ref="H800:J800"/>
    <mergeCell ref="K800:M800"/>
    <mergeCell ref="N800:U800"/>
    <mergeCell ref="B801:C801"/>
    <mergeCell ref="D801:E801"/>
    <mergeCell ref="F801:G801"/>
    <mergeCell ref="H801:J801"/>
    <mergeCell ref="K801:M801"/>
    <mergeCell ref="N801:U801"/>
    <mergeCell ref="B802:C802"/>
    <mergeCell ref="D802:E802"/>
    <mergeCell ref="F802:G802"/>
    <mergeCell ref="H802:J802"/>
    <mergeCell ref="K802:M802"/>
    <mergeCell ref="N802:U802"/>
    <mergeCell ref="B803:C803"/>
    <mergeCell ref="D803:E803"/>
    <mergeCell ref="F803:G803"/>
    <mergeCell ref="H803:J803"/>
    <mergeCell ref="K803:M803"/>
    <mergeCell ref="N803:U803"/>
    <mergeCell ref="B804:C804"/>
    <mergeCell ref="D804:E804"/>
    <mergeCell ref="F804:G804"/>
    <mergeCell ref="H804:J804"/>
    <mergeCell ref="K804:M804"/>
    <mergeCell ref="N804:U804"/>
    <mergeCell ref="B805:C805"/>
    <mergeCell ref="D805:E805"/>
    <mergeCell ref="F805:G805"/>
    <mergeCell ref="H805:J805"/>
    <mergeCell ref="K805:M805"/>
    <mergeCell ref="N805:U805"/>
    <mergeCell ref="B806:C806"/>
    <mergeCell ref="D806:E806"/>
    <mergeCell ref="F806:G806"/>
    <mergeCell ref="H806:J806"/>
    <mergeCell ref="K806:M806"/>
    <mergeCell ref="N806:U806"/>
    <mergeCell ref="B807:C807"/>
    <mergeCell ref="D807:E807"/>
    <mergeCell ref="F807:G807"/>
    <mergeCell ref="H807:J807"/>
    <mergeCell ref="K807:M807"/>
    <mergeCell ref="N807:U807"/>
    <mergeCell ref="B808:C808"/>
    <mergeCell ref="D808:E808"/>
    <mergeCell ref="F808:G808"/>
    <mergeCell ref="H808:J808"/>
    <mergeCell ref="K808:M808"/>
    <mergeCell ref="N808:U808"/>
    <mergeCell ref="B809:C809"/>
    <mergeCell ref="D809:E809"/>
    <mergeCell ref="F809:G809"/>
    <mergeCell ref="H809:J809"/>
    <mergeCell ref="K809:M809"/>
    <mergeCell ref="N809:U809"/>
    <mergeCell ref="B810:C810"/>
    <mergeCell ref="D810:E810"/>
    <mergeCell ref="F810:G810"/>
    <mergeCell ref="H810:J810"/>
    <mergeCell ref="K810:M810"/>
    <mergeCell ref="N810:U810"/>
    <mergeCell ref="B811:C811"/>
    <mergeCell ref="D811:E811"/>
    <mergeCell ref="F811:G811"/>
    <mergeCell ref="H811:J811"/>
    <mergeCell ref="K811:M811"/>
    <mergeCell ref="N811:U811"/>
    <mergeCell ref="B812:C812"/>
    <mergeCell ref="D812:E812"/>
    <mergeCell ref="F812:G812"/>
    <mergeCell ref="H812:J812"/>
    <mergeCell ref="K812:M812"/>
    <mergeCell ref="N812:U812"/>
    <mergeCell ref="B813:C813"/>
    <mergeCell ref="D813:E813"/>
    <mergeCell ref="F813:G813"/>
    <mergeCell ref="H813:J813"/>
    <mergeCell ref="K813:M813"/>
    <mergeCell ref="N813:U813"/>
    <mergeCell ref="B814:C814"/>
    <mergeCell ref="D814:E814"/>
    <mergeCell ref="F814:G814"/>
    <mergeCell ref="H814:J814"/>
    <mergeCell ref="K814:M814"/>
    <mergeCell ref="N814:U814"/>
    <mergeCell ref="B815:C815"/>
    <mergeCell ref="D815:E815"/>
    <mergeCell ref="F815:G815"/>
    <mergeCell ref="H815:J815"/>
    <mergeCell ref="K815:M815"/>
    <mergeCell ref="N815:U815"/>
    <mergeCell ref="B816:C816"/>
    <mergeCell ref="D816:E816"/>
    <mergeCell ref="F816:G816"/>
    <mergeCell ref="H816:J816"/>
    <mergeCell ref="K816:M816"/>
    <mergeCell ref="N816:U816"/>
    <mergeCell ref="B817:C817"/>
    <mergeCell ref="D817:E817"/>
    <mergeCell ref="F817:G817"/>
    <mergeCell ref="H817:J817"/>
    <mergeCell ref="K817:M817"/>
    <mergeCell ref="N817:U817"/>
    <mergeCell ref="B818:C818"/>
    <mergeCell ref="D818:E818"/>
    <mergeCell ref="F818:G818"/>
    <mergeCell ref="H818:J818"/>
    <mergeCell ref="K818:M818"/>
    <mergeCell ref="N818:U818"/>
    <mergeCell ref="B819:C819"/>
    <mergeCell ref="D819:E819"/>
    <mergeCell ref="F819:G819"/>
    <mergeCell ref="H819:J819"/>
    <mergeCell ref="K819:M819"/>
    <mergeCell ref="N819:U819"/>
    <mergeCell ref="B820:C820"/>
    <mergeCell ref="D820:E820"/>
    <mergeCell ref="F820:G820"/>
    <mergeCell ref="H820:J820"/>
    <mergeCell ref="K820:M820"/>
    <mergeCell ref="N820:U820"/>
    <mergeCell ref="B821:C821"/>
    <mergeCell ref="D821:E821"/>
    <mergeCell ref="F821:G821"/>
    <mergeCell ref="H821:J821"/>
    <mergeCell ref="K821:M821"/>
    <mergeCell ref="N821:U821"/>
    <mergeCell ref="B822:C822"/>
    <mergeCell ref="D822:E822"/>
    <mergeCell ref="F822:G822"/>
    <mergeCell ref="H822:J822"/>
    <mergeCell ref="K822:M822"/>
    <mergeCell ref="N822:U822"/>
    <mergeCell ref="B823:C823"/>
    <mergeCell ref="D823:E823"/>
    <mergeCell ref="F823:G823"/>
    <mergeCell ref="H823:J823"/>
    <mergeCell ref="K823:M823"/>
    <mergeCell ref="N823:U823"/>
    <mergeCell ref="B824:C824"/>
    <mergeCell ref="D824:E824"/>
    <mergeCell ref="F824:G824"/>
    <mergeCell ref="H824:J824"/>
    <mergeCell ref="K824:M824"/>
    <mergeCell ref="N824:U824"/>
    <mergeCell ref="B825:C825"/>
    <mergeCell ref="D825:E825"/>
    <mergeCell ref="F825:G825"/>
    <mergeCell ref="H825:J825"/>
    <mergeCell ref="K825:M825"/>
    <mergeCell ref="N825:U825"/>
    <mergeCell ref="B826:C826"/>
    <mergeCell ref="D826:E826"/>
    <mergeCell ref="F826:G826"/>
    <mergeCell ref="H826:J826"/>
    <mergeCell ref="K826:M826"/>
    <mergeCell ref="N826:U826"/>
    <mergeCell ref="B827:C827"/>
    <mergeCell ref="D827:E827"/>
    <mergeCell ref="F827:G827"/>
    <mergeCell ref="H827:J827"/>
    <mergeCell ref="K827:M827"/>
    <mergeCell ref="N827:U827"/>
    <mergeCell ref="B828:C828"/>
    <mergeCell ref="D828:E828"/>
    <mergeCell ref="F828:G828"/>
    <mergeCell ref="H828:J828"/>
    <mergeCell ref="K828:M828"/>
    <mergeCell ref="N828:U828"/>
    <mergeCell ref="B829:C829"/>
    <mergeCell ref="D829:E829"/>
    <mergeCell ref="F829:G829"/>
    <mergeCell ref="H829:J829"/>
    <mergeCell ref="K829:M829"/>
    <mergeCell ref="N829:U829"/>
    <mergeCell ref="B830:C830"/>
    <mergeCell ref="D830:E830"/>
    <mergeCell ref="F830:G830"/>
    <mergeCell ref="H830:J830"/>
    <mergeCell ref="K830:M830"/>
    <mergeCell ref="N830:U830"/>
    <mergeCell ref="B831:C831"/>
    <mergeCell ref="D831:E831"/>
    <mergeCell ref="F831:G831"/>
    <mergeCell ref="H831:J831"/>
    <mergeCell ref="K831:M831"/>
    <mergeCell ref="N831:U831"/>
    <mergeCell ref="B832:C832"/>
    <mergeCell ref="D832:E832"/>
    <mergeCell ref="F832:G832"/>
    <mergeCell ref="H832:J832"/>
    <mergeCell ref="K832:M832"/>
    <mergeCell ref="N832:U832"/>
    <mergeCell ref="B833:C833"/>
    <mergeCell ref="D833:E833"/>
    <mergeCell ref="F833:G833"/>
    <mergeCell ref="H833:J833"/>
    <mergeCell ref="K833:M833"/>
    <mergeCell ref="N833:U833"/>
    <mergeCell ref="B834:C834"/>
    <mergeCell ref="D834:E834"/>
    <mergeCell ref="F834:G834"/>
    <mergeCell ref="H834:J834"/>
    <mergeCell ref="K834:M834"/>
    <mergeCell ref="N834:U834"/>
    <mergeCell ref="B835:C835"/>
    <mergeCell ref="D835:E835"/>
    <mergeCell ref="F835:G835"/>
    <mergeCell ref="H835:J835"/>
    <mergeCell ref="K835:M835"/>
    <mergeCell ref="N835:U835"/>
    <mergeCell ref="B836:C836"/>
    <mergeCell ref="D836:E836"/>
    <mergeCell ref="F836:G836"/>
    <mergeCell ref="H836:J836"/>
    <mergeCell ref="K836:M836"/>
    <mergeCell ref="N836:U836"/>
    <mergeCell ref="B837:C837"/>
    <mergeCell ref="D837:E837"/>
    <mergeCell ref="F837:G837"/>
    <mergeCell ref="H837:J837"/>
    <mergeCell ref="K837:M837"/>
    <mergeCell ref="N837:U837"/>
    <mergeCell ref="B838:C838"/>
    <mergeCell ref="D838:E838"/>
    <mergeCell ref="F838:G838"/>
    <mergeCell ref="H838:J838"/>
    <mergeCell ref="K838:M838"/>
    <mergeCell ref="N838:U838"/>
    <mergeCell ref="B839:C839"/>
    <mergeCell ref="D839:E839"/>
    <mergeCell ref="F839:G839"/>
    <mergeCell ref="H839:J839"/>
    <mergeCell ref="K839:M839"/>
    <mergeCell ref="N839:U839"/>
    <mergeCell ref="B840:C840"/>
    <mergeCell ref="D840:E840"/>
    <mergeCell ref="F840:G840"/>
    <mergeCell ref="H840:J840"/>
    <mergeCell ref="K840:M840"/>
    <mergeCell ref="N840:U840"/>
    <mergeCell ref="B841:C841"/>
    <mergeCell ref="D841:E841"/>
    <mergeCell ref="F841:G841"/>
    <mergeCell ref="H841:J841"/>
    <mergeCell ref="K841:M841"/>
    <mergeCell ref="N841:U841"/>
    <mergeCell ref="B842:C842"/>
    <mergeCell ref="D842:E842"/>
    <mergeCell ref="F842:G842"/>
    <mergeCell ref="H842:J842"/>
    <mergeCell ref="K842:M842"/>
    <mergeCell ref="N842:U842"/>
    <mergeCell ref="B843:C843"/>
    <mergeCell ref="D843:E843"/>
    <mergeCell ref="F843:G843"/>
    <mergeCell ref="H843:J843"/>
    <mergeCell ref="K843:M843"/>
    <mergeCell ref="N843:U843"/>
    <mergeCell ref="B844:C844"/>
    <mergeCell ref="D844:E844"/>
    <mergeCell ref="F844:G844"/>
    <mergeCell ref="H844:J844"/>
    <mergeCell ref="K844:M844"/>
    <mergeCell ref="N844:U844"/>
    <mergeCell ref="B845:C845"/>
    <mergeCell ref="D845:E845"/>
    <mergeCell ref="F845:G845"/>
    <mergeCell ref="H845:J845"/>
    <mergeCell ref="K845:M845"/>
    <mergeCell ref="N845:U845"/>
    <mergeCell ref="B846:C846"/>
    <mergeCell ref="D846:E846"/>
    <mergeCell ref="F846:G846"/>
    <mergeCell ref="H846:J846"/>
    <mergeCell ref="K846:M846"/>
    <mergeCell ref="N846:U846"/>
    <mergeCell ref="B847:C847"/>
    <mergeCell ref="D847:E847"/>
    <mergeCell ref="F847:G847"/>
    <mergeCell ref="H847:J847"/>
    <mergeCell ref="K847:M847"/>
    <mergeCell ref="N847:U847"/>
    <mergeCell ref="B848:C848"/>
    <mergeCell ref="D848:E848"/>
    <mergeCell ref="F848:G848"/>
    <mergeCell ref="H848:J848"/>
    <mergeCell ref="K848:M848"/>
    <mergeCell ref="N848:U848"/>
    <mergeCell ref="B849:C849"/>
    <mergeCell ref="D849:E849"/>
    <mergeCell ref="F849:G849"/>
    <mergeCell ref="H849:J849"/>
    <mergeCell ref="K849:M849"/>
    <mergeCell ref="N849:U849"/>
    <mergeCell ref="B850:C850"/>
    <mergeCell ref="D850:E850"/>
    <mergeCell ref="F850:G850"/>
    <mergeCell ref="H850:J850"/>
    <mergeCell ref="K850:M850"/>
    <mergeCell ref="N850:U850"/>
    <mergeCell ref="B851:C851"/>
    <mergeCell ref="D851:E851"/>
    <mergeCell ref="F851:G851"/>
    <mergeCell ref="H851:J851"/>
    <mergeCell ref="K851:M851"/>
    <mergeCell ref="N851:U851"/>
    <mergeCell ref="B852:C852"/>
    <mergeCell ref="D852:E852"/>
    <mergeCell ref="F852:G852"/>
    <mergeCell ref="H852:J852"/>
    <mergeCell ref="K852:M852"/>
    <mergeCell ref="N852:U852"/>
    <mergeCell ref="B853:C853"/>
    <mergeCell ref="D853:E853"/>
    <mergeCell ref="F853:G853"/>
    <mergeCell ref="H853:J853"/>
    <mergeCell ref="K853:M853"/>
    <mergeCell ref="N853:U853"/>
    <mergeCell ref="B854:C854"/>
    <mergeCell ref="D854:E854"/>
    <mergeCell ref="F854:G854"/>
    <mergeCell ref="H854:J854"/>
    <mergeCell ref="K854:M854"/>
    <mergeCell ref="N854:U854"/>
    <mergeCell ref="B855:C855"/>
    <mergeCell ref="D855:E855"/>
    <mergeCell ref="F855:G855"/>
    <mergeCell ref="H855:J855"/>
    <mergeCell ref="K855:M855"/>
    <mergeCell ref="N855:U855"/>
    <mergeCell ref="B856:C856"/>
    <mergeCell ref="D856:E856"/>
    <mergeCell ref="F856:G856"/>
    <mergeCell ref="H856:J856"/>
    <mergeCell ref="K856:M856"/>
    <mergeCell ref="N856:U856"/>
    <mergeCell ref="B857:C857"/>
    <mergeCell ref="D857:E857"/>
    <mergeCell ref="F857:G857"/>
    <mergeCell ref="H857:J857"/>
    <mergeCell ref="K857:M857"/>
    <mergeCell ref="N857:U857"/>
    <mergeCell ref="B858:C858"/>
    <mergeCell ref="D858:E858"/>
    <mergeCell ref="F858:G858"/>
    <mergeCell ref="H858:J858"/>
    <mergeCell ref="K858:M858"/>
    <mergeCell ref="N858:U858"/>
    <mergeCell ref="B859:C859"/>
    <mergeCell ref="D859:E859"/>
    <mergeCell ref="F859:G859"/>
    <mergeCell ref="H859:J859"/>
    <mergeCell ref="K859:M859"/>
    <mergeCell ref="N859:U859"/>
    <mergeCell ref="B860:C860"/>
    <mergeCell ref="D860:E860"/>
    <mergeCell ref="F860:G860"/>
    <mergeCell ref="H860:J860"/>
    <mergeCell ref="K860:M860"/>
    <mergeCell ref="N860:U860"/>
    <mergeCell ref="B861:C861"/>
    <mergeCell ref="D861:E861"/>
    <mergeCell ref="F861:G861"/>
    <mergeCell ref="H861:J861"/>
    <mergeCell ref="K861:M861"/>
    <mergeCell ref="N861:U861"/>
    <mergeCell ref="B862:C862"/>
    <mergeCell ref="D862:E862"/>
    <mergeCell ref="F862:G862"/>
    <mergeCell ref="H862:J862"/>
    <mergeCell ref="K862:M862"/>
    <mergeCell ref="N862:U862"/>
    <mergeCell ref="B863:C863"/>
    <mergeCell ref="D863:E863"/>
    <mergeCell ref="F863:G863"/>
    <mergeCell ref="H863:J863"/>
    <mergeCell ref="K863:M863"/>
    <mergeCell ref="N863:U863"/>
    <mergeCell ref="B864:C864"/>
    <mergeCell ref="D864:E864"/>
    <mergeCell ref="F864:G864"/>
    <mergeCell ref="H864:J864"/>
    <mergeCell ref="K864:M864"/>
    <mergeCell ref="N864:U864"/>
    <mergeCell ref="B865:C865"/>
    <mergeCell ref="D865:E865"/>
    <mergeCell ref="F865:G865"/>
    <mergeCell ref="H865:J865"/>
    <mergeCell ref="K865:M865"/>
    <mergeCell ref="N865:U865"/>
    <mergeCell ref="B866:C866"/>
    <mergeCell ref="D866:E866"/>
    <mergeCell ref="F866:G866"/>
    <mergeCell ref="H866:J866"/>
    <mergeCell ref="K866:M866"/>
    <mergeCell ref="N866:U866"/>
    <mergeCell ref="B867:C867"/>
    <mergeCell ref="D867:E867"/>
    <mergeCell ref="F867:G867"/>
    <mergeCell ref="H867:J867"/>
    <mergeCell ref="K867:M867"/>
    <mergeCell ref="N867:U867"/>
    <mergeCell ref="B868:C868"/>
    <mergeCell ref="D868:E868"/>
    <mergeCell ref="F868:G868"/>
    <mergeCell ref="H868:J868"/>
    <mergeCell ref="K868:M868"/>
    <mergeCell ref="N868:U868"/>
    <mergeCell ref="B869:C869"/>
    <mergeCell ref="D869:E869"/>
    <mergeCell ref="F869:G869"/>
    <mergeCell ref="H869:J869"/>
    <mergeCell ref="K869:M869"/>
    <mergeCell ref="N869:U869"/>
    <mergeCell ref="B870:C870"/>
    <mergeCell ref="D870:E870"/>
    <mergeCell ref="F870:G870"/>
    <mergeCell ref="H870:J870"/>
    <mergeCell ref="K870:M870"/>
    <mergeCell ref="N870:U870"/>
    <mergeCell ref="B871:C871"/>
    <mergeCell ref="D871:E871"/>
    <mergeCell ref="F871:G871"/>
    <mergeCell ref="H871:J871"/>
    <mergeCell ref="K871:M871"/>
    <mergeCell ref="N871:U871"/>
    <mergeCell ref="B872:C872"/>
    <mergeCell ref="D872:E872"/>
    <mergeCell ref="F872:G872"/>
    <mergeCell ref="H872:J872"/>
    <mergeCell ref="K872:M872"/>
    <mergeCell ref="N872:U872"/>
    <mergeCell ref="B873:C873"/>
    <mergeCell ref="D873:E873"/>
    <mergeCell ref="F873:G873"/>
    <mergeCell ref="H873:J873"/>
    <mergeCell ref="K873:M873"/>
    <mergeCell ref="N873:U873"/>
    <mergeCell ref="B874:C874"/>
    <mergeCell ref="D874:E874"/>
    <mergeCell ref="F874:G874"/>
    <mergeCell ref="H874:J874"/>
    <mergeCell ref="K874:M874"/>
    <mergeCell ref="N874:U874"/>
    <mergeCell ref="B875:C875"/>
    <mergeCell ref="D875:E875"/>
    <mergeCell ref="F875:G875"/>
    <mergeCell ref="H875:J875"/>
    <mergeCell ref="K875:M875"/>
    <mergeCell ref="N875:U875"/>
    <mergeCell ref="B876:C876"/>
    <mergeCell ref="D876:E876"/>
    <mergeCell ref="F876:G876"/>
    <mergeCell ref="H876:J876"/>
    <mergeCell ref="K876:M876"/>
    <mergeCell ref="N876:U876"/>
    <mergeCell ref="B877:C877"/>
    <mergeCell ref="D877:E877"/>
    <mergeCell ref="F877:G877"/>
    <mergeCell ref="H877:J877"/>
    <mergeCell ref="K877:M877"/>
    <mergeCell ref="N877:U877"/>
    <mergeCell ref="B878:C878"/>
    <mergeCell ref="D878:E878"/>
    <mergeCell ref="F878:G878"/>
    <mergeCell ref="H878:J878"/>
    <mergeCell ref="K878:M878"/>
    <mergeCell ref="N878:U878"/>
    <mergeCell ref="B879:C879"/>
    <mergeCell ref="D879:E879"/>
    <mergeCell ref="F879:G879"/>
    <mergeCell ref="H879:J879"/>
    <mergeCell ref="K879:M879"/>
    <mergeCell ref="N879:U879"/>
    <mergeCell ref="B880:C880"/>
    <mergeCell ref="D880:E880"/>
    <mergeCell ref="F880:G880"/>
    <mergeCell ref="H880:J880"/>
    <mergeCell ref="K880:M880"/>
    <mergeCell ref="N880:U880"/>
    <mergeCell ref="B881:C881"/>
    <mergeCell ref="D881:E881"/>
    <mergeCell ref="F881:G881"/>
    <mergeCell ref="H881:J881"/>
    <mergeCell ref="K881:M881"/>
    <mergeCell ref="N881:U881"/>
    <mergeCell ref="B882:C882"/>
    <mergeCell ref="D882:E882"/>
    <mergeCell ref="F882:G882"/>
    <mergeCell ref="H882:J882"/>
    <mergeCell ref="K882:M882"/>
    <mergeCell ref="N882:U882"/>
    <mergeCell ref="B883:C883"/>
    <mergeCell ref="D883:E883"/>
    <mergeCell ref="F883:G883"/>
    <mergeCell ref="H883:J883"/>
    <mergeCell ref="K883:M883"/>
    <mergeCell ref="N883:U883"/>
    <mergeCell ref="B884:C884"/>
    <mergeCell ref="D884:E884"/>
    <mergeCell ref="F884:G884"/>
    <mergeCell ref="H884:J884"/>
    <mergeCell ref="K884:M884"/>
    <mergeCell ref="N884:U884"/>
    <mergeCell ref="B885:C885"/>
    <mergeCell ref="D885:E885"/>
    <mergeCell ref="F885:G885"/>
    <mergeCell ref="H885:J885"/>
    <mergeCell ref="K885:M885"/>
    <mergeCell ref="N885:U885"/>
    <mergeCell ref="B886:C886"/>
    <mergeCell ref="D886:E886"/>
    <mergeCell ref="F886:G886"/>
    <mergeCell ref="H886:J886"/>
    <mergeCell ref="K886:M886"/>
    <mergeCell ref="N886:U886"/>
    <mergeCell ref="B887:C887"/>
    <mergeCell ref="D887:E887"/>
    <mergeCell ref="F887:G887"/>
    <mergeCell ref="H887:J887"/>
    <mergeCell ref="K887:M887"/>
    <mergeCell ref="N887:U887"/>
    <mergeCell ref="B888:C888"/>
    <mergeCell ref="D888:E888"/>
    <mergeCell ref="F888:G888"/>
    <mergeCell ref="H888:J888"/>
    <mergeCell ref="K888:M888"/>
    <mergeCell ref="N888:U888"/>
    <mergeCell ref="B889:C889"/>
    <mergeCell ref="D889:E889"/>
    <mergeCell ref="F889:G889"/>
    <mergeCell ref="H889:J889"/>
    <mergeCell ref="K889:M889"/>
    <mergeCell ref="N889:U889"/>
    <mergeCell ref="B890:C890"/>
    <mergeCell ref="D890:E890"/>
    <mergeCell ref="F890:G890"/>
    <mergeCell ref="H890:J890"/>
    <mergeCell ref="K890:M890"/>
    <mergeCell ref="N890:U890"/>
    <mergeCell ref="B891:C891"/>
    <mergeCell ref="D891:E891"/>
    <mergeCell ref="F891:G891"/>
    <mergeCell ref="H891:J891"/>
    <mergeCell ref="K891:M891"/>
    <mergeCell ref="N891:U891"/>
    <mergeCell ref="B892:C892"/>
    <mergeCell ref="D892:E892"/>
    <mergeCell ref="F892:G892"/>
    <mergeCell ref="H892:J892"/>
    <mergeCell ref="K892:M892"/>
    <mergeCell ref="N892:U892"/>
    <mergeCell ref="B893:C893"/>
    <mergeCell ref="D893:E893"/>
    <mergeCell ref="F893:G893"/>
    <mergeCell ref="H893:J893"/>
    <mergeCell ref="K893:M893"/>
    <mergeCell ref="N893:U893"/>
    <mergeCell ref="B894:C894"/>
    <mergeCell ref="D894:E894"/>
    <mergeCell ref="F894:G894"/>
    <mergeCell ref="H894:J894"/>
    <mergeCell ref="K894:M894"/>
    <mergeCell ref="N894:U894"/>
    <mergeCell ref="B895:C895"/>
    <mergeCell ref="D895:E895"/>
    <mergeCell ref="F895:G895"/>
    <mergeCell ref="H895:J895"/>
    <mergeCell ref="K895:M895"/>
    <mergeCell ref="N895:U895"/>
    <mergeCell ref="B896:C896"/>
    <mergeCell ref="D896:E896"/>
    <mergeCell ref="F896:G896"/>
    <mergeCell ref="H896:J896"/>
    <mergeCell ref="K896:M896"/>
    <mergeCell ref="N896:U896"/>
    <mergeCell ref="B897:C897"/>
    <mergeCell ref="D897:E897"/>
    <mergeCell ref="F897:G897"/>
    <mergeCell ref="H897:J897"/>
    <mergeCell ref="K897:M897"/>
    <mergeCell ref="N897:U897"/>
    <mergeCell ref="B898:C898"/>
    <mergeCell ref="D898:E898"/>
    <mergeCell ref="F898:G898"/>
    <mergeCell ref="H898:J898"/>
    <mergeCell ref="K898:M898"/>
    <mergeCell ref="N898:U898"/>
    <mergeCell ref="B899:C899"/>
    <mergeCell ref="D899:E899"/>
    <mergeCell ref="F899:G899"/>
    <mergeCell ref="H899:J899"/>
    <mergeCell ref="K899:M899"/>
    <mergeCell ref="N899:U899"/>
    <mergeCell ref="B900:C900"/>
    <mergeCell ref="D900:E900"/>
    <mergeCell ref="F900:G900"/>
    <mergeCell ref="H900:J900"/>
    <mergeCell ref="K900:M900"/>
    <mergeCell ref="N900:U900"/>
    <mergeCell ref="B901:C901"/>
    <mergeCell ref="D901:E901"/>
    <mergeCell ref="F901:G901"/>
    <mergeCell ref="H901:J901"/>
    <mergeCell ref="K901:M901"/>
    <mergeCell ref="N901:U901"/>
    <mergeCell ref="B902:C902"/>
    <mergeCell ref="D902:E902"/>
    <mergeCell ref="F902:G902"/>
    <mergeCell ref="H902:J902"/>
    <mergeCell ref="K902:M902"/>
    <mergeCell ref="N902:U902"/>
    <mergeCell ref="B903:C903"/>
    <mergeCell ref="D903:E903"/>
    <mergeCell ref="F903:G903"/>
    <mergeCell ref="H903:J903"/>
    <mergeCell ref="K903:M903"/>
    <mergeCell ref="N903:U903"/>
    <mergeCell ref="B904:C904"/>
    <mergeCell ref="D904:E904"/>
    <mergeCell ref="F904:G904"/>
    <mergeCell ref="H904:J904"/>
    <mergeCell ref="K904:M904"/>
    <mergeCell ref="N904:U904"/>
    <mergeCell ref="B905:C905"/>
    <mergeCell ref="D905:E905"/>
    <mergeCell ref="F905:G905"/>
    <mergeCell ref="H905:J905"/>
    <mergeCell ref="K905:M905"/>
    <mergeCell ref="N905:U905"/>
    <mergeCell ref="B906:C906"/>
    <mergeCell ref="D906:E906"/>
    <mergeCell ref="F906:G906"/>
    <mergeCell ref="H906:J906"/>
    <mergeCell ref="K906:M906"/>
    <mergeCell ref="N906:U906"/>
    <mergeCell ref="B907:C907"/>
    <mergeCell ref="D907:E907"/>
    <mergeCell ref="F907:G907"/>
    <mergeCell ref="H907:J907"/>
    <mergeCell ref="K907:M907"/>
    <mergeCell ref="N907:U907"/>
    <mergeCell ref="B908:C908"/>
    <mergeCell ref="D908:E908"/>
    <mergeCell ref="F908:G908"/>
    <mergeCell ref="H908:J908"/>
    <mergeCell ref="K908:M908"/>
    <mergeCell ref="N908:U908"/>
    <mergeCell ref="B909:C909"/>
    <mergeCell ref="D909:E909"/>
    <mergeCell ref="F909:G909"/>
    <mergeCell ref="H909:J909"/>
    <mergeCell ref="K909:M909"/>
    <mergeCell ref="N909:U909"/>
    <mergeCell ref="B910:C910"/>
    <mergeCell ref="D910:E910"/>
    <mergeCell ref="F910:G910"/>
    <mergeCell ref="H910:J910"/>
    <mergeCell ref="K910:M910"/>
    <mergeCell ref="N910:U910"/>
    <mergeCell ref="B911:C911"/>
    <mergeCell ref="D911:E911"/>
    <mergeCell ref="F911:G911"/>
    <mergeCell ref="H911:J911"/>
    <mergeCell ref="K911:M911"/>
    <mergeCell ref="N911:U911"/>
    <mergeCell ref="B912:C912"/>
    <mergeCell ref="D912:E912"/>
    <mergeCell ref="F912:G912"/>
    <mergeCell ref="H912:J912"/>
    <mergeCell ref="K912:M912"/>
    <mergeCell ref="N912:U912"/>
    <mergeCell ref="B913:C913"/>
    <mergeCell ref="D913:E913"/>
    <mergeCell ref="F913:G913"/>
    <mergeCell ref="H913:J913"/>
    <mergeCell ref="K913:M913"/>
    <mergeCell ref="N913:U913"/>
    <mergeCell ref="B914:C914"/>
    <mergeCell ref="D914:E914"/>
    <mergeCell ref="F914:G914"/>
    <mergeCell ref="H914:J914"/>
    <mergeCell ref="K914:M914"/>
    <mergeCell ref="N914:U914"/>
    <mergeCell ref="B915:C915"/>
    <mergeCell ref="D915:E915"/>
    <mergeCell ref="F915:G915"/>
    <mergeCell ref="H915:J915"/>
    <mergeCell ref="K915:M915"/>
    <mergeCell ref="N915:U915"/>
    <mergeCell ref="B916:C916"/>
    <mergeCell ref="D916:E916"/>
    <mergeCell ref="F916:G916"/>
    <mergeCell ref="H916:J916"/>
    <mergeCell ref="K916:M916"/>
    <mergeCell ref="N916:U916"/>
    <mergeCell ref="B917:C917"/>
    <mergeCell ref="D917:E917"/>
    <mergeCell ref="F917:G917"/>
    <mergeCell ref="H917:J917"/>
    <mergeCell ref="K917:M917"/>
    <mergeCell ref="N917:U917"/>
    <mergeCell ref="B918:C918"/>
    <mergeCell ref="D918:E918"/>
    <mergeCell ref="F918:G918"/>
    <mergeCell ref="H918:J918"/>
    <mergeCell ref="K918:M918"/>
    <mergeCell ref="N918:U918"/>
    <mergeCell ref="B919:C919"/>
    <mergeCell ref="D919:E919"/>
    <mergeCell ref="F919:G919"/>
    <mergeCell ref="H919:J919"/>
    <mergeCell ref="K919:M919"/>
    <mergeCell ref="N919:U919"/>
    <mergeCell ref="B920:C920"/>
    <mergeCell ref="D920:E920"/>
    <mergeCell ref="F920:G920"/>
    <mergeCell ref="H920:J920"/>
    <mergeCell ref="K920:M920"/>
    <mergeCell ref="N920:U920"/>
    <mergeCell ref="B921:C921"/>
    <mergeCell ref="D921:E921"/>
    <mergeCell ref="F921:G921"/>
    <mergeCell ref="H921:J921"/>
    <mergeCell ref="K921:M921"/>
    <mergeCell ref="N921:U921"/>
    <mergeCell ref="B922:C922"/>
    <mergeCell ref="D922:E922"/>
    <mergeCell ref="F922:G922"/>
    <mergeCell ref="H922:J922"/>
    <mergeCell ref="K922:M922"/>
    <mergeCell ref="N922:U922"/>
    <mergeCell ref="B923:C923"/>
    <mergeCell ref="D923:E923"/>
    <mergeCell ref="F923:G923"/>
    <mergeCell ref="H923:J923"/>
    <mergeCell ref="K923:M923"/>
    <mergeCell ref="N923:U923"/>
    <mergeCell ref="B924:C924"/>
    <mergeCell ref="D924:E924"/>
    <mergeCell ref="F924:G924"/>
    <mergeCell ref="H924:J924"/>
    <mergeCell ref="K924:M924"/>
    <mergeCell ref="N924:U924"/>
    <mergeCell ref="B925:C925"/>
    <mergeCell ref="D925:E925"/>
    <mergeCell ref="F925:G925"/>
    <mergeCell ref="H925:J925"/>
    <mergeCell ref="K925:M925"/>
    <mergeCell ref="N925:U925"/>
    <mergeCell ref="B926:C926"/>
    <mergeCell ref="D926:E926"/>
    <mergeCell ref="F926:G926"/>
    <mergeCell ref="H926:J926"/>
    <mergeCell ref="K926:M926"/>
    <mergeCell ref="N926:U926"/>
    <mergeCell ref="B927:C927"/>
    <mergeCell ref="D927:E927"/>
    <mergeCell ref="F927:G927"/>
    <mergeCell ref="H927:J927"/>
    <mergeCell ref="K927:M927"/>
    <mergeCell ref="N927:U927"/>
    <mergeCell ref="B928:C928"/>
    <mergeCell ref="D928:E928"/>
    <mergeCell ref="F928:G928"/>
    <mergeCell ref="H928:J928"/>
    <mergeCell ref="K928:M928"/>
    <mergeCell ref="N928:U928"/>
    <mergeCell ref="B929:C929"/>
    <mergeCell ref="D929:E929"/>
    <mergeCell ref="F929:G929"/>
    <mergeCell ref="H929:J929"/>
    <mergeCell ref="K929:M929"/>
    <mergeCell ref="N929:U929"/>
    <mergeCell ref="B930:C930"/>
    <mergeCell ref="D930:E930"/>
    <mergeCell ref="F930:G930"/>
    <mergeCell ref="H930:J930"/>
    <mergeCell ref="K930:M930"/>
    <mergeCell ref="N930:U930"/>
    <mergeCell ref="B931:C931"/>
    <mergeCell ref="D931:E931"/>
    <mergeCell ref="F931:G931"/>
    <mergeCell ref="H931:J931"/>
    <mergeCell ref="K931:M931"/>
    <mergeCell ref="N931:U931"/>
    <mergeCell ref="B932:C932"/>
    <mergeCell ref="D932:E932"/>
    <mergeCell ref="F932:G932"/>
    <mergeCell ref="H932:J932"/>
    <mergeCell ref="K932:M932"/>
    <mergeCell ref="N932:U932"/>
    <mergeCell ref="B933:C933"/>
    <mergeCell ref="D933:E933"/>
    <mergeCell ref="F933:G933"/>
    <mergeCell ref="H933:J933"/>
    <mergeCell ref="K933:M933"/>
    <mergeCell ref="N933:U933"/>
    <mergeCell ref="B934:C934"/>
    <mergeCell ref="D934:E934"/>
    <mergeCell ref="F934:G934"/>
    <mergeCell ref="H934:J934"/>
    <mergeCell ref="K934:M934"/>
    <mergeCell ref="N934:U934"/>
    <mergeCell ref="B935:C935"/>
    <mergeCell ref="D935:E935"/>
    <mergeCell ref="F935:G935"/>
    <mergeCell ref="H935:J935"/>
    <mergeCell ref="K935:M935"/>
    <mergeCell ref="N935:U935"/>
    <mergeCell ref="B936:C936"/>
    <mergeCell ref="D936:E936"/>
    <mergeCell ref="F936:G936"/>
    <mergeCell ref="H936:J936"/>
    <mergeCell ref="K936:M936"/>
    <mergeCell ref="N936:U936"/>
    <mergeCell ref="B937:C937"/>
    <mergeCell ref="D937:E937"/>
    <mergeCell ref="F937:G937"/>
    <mergeCell ref="H937:J937"/>
    <mergeCell ref="K937:M937"/>
    <mergeCell ref="N937:U937"/>
    <mergeCell ref="B938:C938"/>
    <mergeCell ref="D938:E938"/>
    <mergeCell ref="F938:G938"/>
    <mergeCell ref="H938:J938"/>
    <mergeCell ref="K938:M938"/>
    <mergeCell ref="N938:U938"/>
    <mergeCell ref="B939:C939"/>
    <mergeCell ref="D939:E939"/>
    <mergeCell ref="F939:G939"/>
    <mergeCell ref="H939:J939"/>
    <mergeCell ref="K939:M939"/>
    <mergeCell ref="N939:U939"/>
    <mergeCell ref="B940:C940"/>
    <mergeCell ref="D940:E940"/>
    <mergeCell ref="F940:G940"/>
    <mergeCell ref="H940:J940"/>
    <mergeCell ref="K940:M940"/>
    <mergeCell ref="N940:U940"/>
    <mergeCell ref="B941:C941"/>
    <mergeCell ref="D941:E941"/>
    <mergeCell ref="F941:G941"/>
    <mergeCell ref="H941:J941"/>
    <mergeCell ref="K941:M941"/>
    <mergeCell ref="N941:U941"/>
    <mergeCell ref="B942:C942"/>
    <mergeCell ref="D942:E942"/>
    <mergeCell ref="F942:G942"/>
    <mergeCell ref="H942:J942"/>
    <mergeCell ref="K942:M942"/>
    <mergeCell ref="N942:U942"/>
    <mergeCell ref="B943:C943"/>
    <mergeCell ref="D943:E943"/>
    <mergeCell ref="F943:G943"/>
    <mergeCell ref="H943:J943"/>
    <mergeCell ref="K943:M943"/>
    <mergeCell ref="N943:U943"/>
    <mergeCell ref="B944:C944"/>
    <mergeCell ref="D944:E944"/>
    <mergeCell ref="F944:G944"/>
    <mergeCell ref="H944:J944"/>
    <mergeCell ref="K944:M944"/>
    <mergeCell ref="N944:U944"/>
    <mergeCell ref="B945:C945"/>
    <mergeCell ref="D945:E945"/>
    <mergeCell ref="F945:G945"/>
    <mergeCell ref="H945:J945"/>
    <mergeCell ref="K945:M945"/>
    <mergeCell ref="N945:U945"/>
    <mergeCell ref="B946:C946"/>
    <mergeCell ref="D946:E946"/>
    <mergeCell ref="F946:G946"/>
    <mergeCell ref="H946:J946"/>
    <mergeCell ref="K946:M946"/>
    <mergeCell ref="N946:U946"/>
    <mergeCell ref="B947:C947"/>
    <mergeCell ref="D947:E947"/>
    <mergeCell ref="F947:G947"/>
    <mergeCell ref="H947:J947"/>
    <mergeCell ref="K947:M947"/>
    <mergeCell ref="N947:U947"/>
    <mergeCell ref="B948:C948"/>
    <mergeCell ref="D948:E948"/>
    <mergeCell ref="F948:G948"/>
    <mergeCell ref="H948:J948"/>
    <mergeCell ref="K948:M948"/>
    <mergeCell ref="N948:U948"/>
    <mergeCell ref="B949:C949"/>
    <mergeCell ref="D949:E949"/>
    <mergeCell ref="F949:G949"/>
    <mergeCell ref="H949:J949"/>
    <mergeCell ref="K949:M949"/>
    <mergeCell ref="N949:U949"/>
    <mergeCell ref="B950:C950"/>
    <mergeCell ref="D950:E950"/>
    <mergeCell ref="F950:G950"/>
    <mergeCell ref="H950:J950"/>
    <mergeCell ref="K950:M950"/>
    <mergeCell ref="N950:U950"/>
    <mergeCell ref="B951:C951"/>
    <mergeCell ref="D951:E951"/>
    <mergeCell ref="F951:G951"/>
    <mergeCell ref="H951:J951"/>
    <mergeCell ref="K951:M951"/>
    <mergeCell ref="N951:U951"/>
    <mergeCell ref="B952:C952"/>
    <mergeCell ref="D952:E952"/>
    <mergeCell ref="F952:G952"/>
    <mergeCell ref="H952:J952"/>
    <mergeCell ref="K952:M952"/>
    <mergeCell ref="N952:U952"/>
    <mergeCell ref="B953:C953"/>
    <mergeCell ref="D953:E953"/>
    <mergeCell ref="F953:G953"/>
    <mergeCell ref="H953:J953"/>
    <mergeCell ref="K953:M953"/>
    <mergeCell ref="N953:U953"/>
    <mergeCell ref="B954:C954"/>
    <mergeCell ref="D954:E954"/>
    <mergeCell ref="F954:G954"/>
    <mergeCell ref="H954:J954"/>
    <mergeCell ref="K954:M954"/>
    <mergeCell ref="N954:U954"/>
    <mergeCell ref="B955:C955"/>
    <mergeCell ref="D955:E955"/>
    <mergeCell ref="F955:G955"/>
    <mergeCell ref="H955:J955"/>
    <mergeCell ref="K955:M955"/>
    <mergeCell ref="N955:U955"/>
    <mergeCell ref="B956:C956"/>
    <mergeCell ref="D956:E956"/>
    <mergeCell ref="F956:G956"/>
    <mergeCell ref="H956:J956"/>
    <mergeCell ref="K956:M956"/>
    <mergeCell ref="N956:U956"/>
    <mergeCell ref="B957:C957"/>
    <mergeCell ref="D957:E957"/>
    <mergeCell ref="F957:G957"/>
    <mergeCell ref="H957:J957"/>
    <mergeCell ref="K957:M957"/>
    <mergeCell ref="N957:U957"/>
    <mergeCell ref="B958:C958"/>
    <mergeCell ref="D958:E958"/>
    <mergeCell ref="F958:G958"/>
    <mergeCell ref="H958:J958"/>
    <mergeCell ref="K958:M958"/>
    <mergeCell ref="N958:U958"/>
    <mergeCell ref="B959:C959"/>
    <mergeCell ref="D959:E959"/>
    <mergeCell ref="F959:G959"/>
    <mergeCell ref="H959:J959"/>
    <mergeCell ref="K959:M959"/>
    <mergeCell ref="N959:U959"/>
    <mergeCell ref="B960:C960"/>
    <mergeCell ref="D960:E960"/>
    <mergeCell ref="F960:G960"/>
    <mergeCell ref="H960:J960"/>
    <mergeCell ref="K960:M960"/>
    <mergeCell ref="N960:U960"/>
    <mergeCell ref="B961:C961"/>
    <mergeCell ref="D961:E961"/>
    <mergeCell ref="F961:G961"/>
    <mergeCell ref="H961:J961"/>
    <mergeCell ref="K961:M961"/>
    <mergeCell ref="N961:U961"/>
    <mergeCell ref="B962:C962"/>
    <mergeCell ref="D962:E962"/>
    <mergeCell ref="F962:G962"/>
    <mergeCell ref="H962:J962"/>
    <mergeCell ref="K962:M962"/>
    <mergeCell ref="N962:U962"/>
    <mergeCell ref="B963:C963"/>
    <mergeCell ref="D963:E963"/>
    <mergeCell ref="F963:G963"/>
    <mergeCell ref="H963:J963"/>
    <mergeCell ref="K963:M963"/>
    <mergeCell ref="N963:U963"/>
    <mergeCell ref="B964:C964"/>
    <mergeCell ref="D964:E964"/>
    <mergeCell ref="F964:G964"/>
    <mergeCell ref="H964:J964"/>
    <mergeCell ref="K964:M964"/>
    <mergeCell ref="N964:U964"/>
    <mergeCell ref="B965:C965"/>
    <mergeCell ref="D965:E965"/>
    <mergeCell ref="F965:G965"/>
    <mergeCell ref="H965:J965"/>
    <mergeCell ref="K965:M965"/>
    <mergeCell ref="N965:U965"/>
    <mergeCell ref="B966:C966"/>
    <mergeCell ref="D966:E966"/>
    <mergeCell ref="F966:G966"/>
    <mergeCell ref="H966:J966"/>
    <mergeCell ref="K966:M966"/>
    <mergeCell ref="N966:U966"/>
    <mergeCell ref="B967:C967"/>
    <mergeCell ref="D967:E967"/>
    <mergeCell ref="F967:G967"/>
    <mergeCell ref="H967:J967"/>
    <mergeCell ref="K967:M967"/>
    <mergeCell ref="N967:U967"/>
    <mergeCell ref="B968:C968"/>
    <mergeCell ref="D968:E968"/>
    <mergeCell ref="F968:G968"/>
    <mergeCell ref="H968:J968"/>
    <mergeCell ref="K968:M968"/>
    <mergeCell ref="N968:U968"/>
    <mergeCell ref="B969:C969"/>
    <mergeCell ref="D969:E969"/>
    <mergeCell ref="F969:G969"/>
    <mergeCell ref="H969:J969"/>
    <mergeCell ref="K969:M969"/>
    <mergeCell ref="N969:U969"/>
    <mergeCell ref="B970:C970"/>
    <mergeCell ref="D970:E970"/>
    <mergeCell ref="F970:G970"/>
    <mergeCell ref="H970:J970"/>
    <mergeCell ref="K970:M970"/>
    <mergeCell ref="N970:U970"/>
    <mergeCell ref="B971:C971"/>
    <mergeCell ref="D971:E971"/>
    <mergeCell ref="F971:G971"/>
    <mergeCell ref="H971:J971"/>
    <mergeCell ref="K971:M971"/>
    <mergeCell ref="N971:U971"/>
    <mergeCell ref="B972:C972"/>
    <mergeCell ref="D972:E972"/>
    <mergeCell ref="F972:G972"/>
    <mergeCell ref="H972:J972"/>
    <mergeCell ref="K972:M972"/>
    <mergeCell ref="N972:U972"/>
    <mergeCell ref="B973:C973"/>
    <mergeCell ref="D973:E973"/>
    <mergeCell ref="F973:G973"/>
    <mergeCell ref="H973:J973"/>
    <mergeCell ref="K973:M973"/>
    <mergeCell ref="N973:U973"/>
    <mergeCell ref="B974:C974"/>
    <mergeCell ref="D974:E974"/>
    <mergeCell ref="F974:G974"/>
    <mergeCell ref="H974:J974"/>
    <mergeCell ref="K974:M974"/>
    <mergeCell ref="N974:U974"/>
    <mergeCell ref="B975:C975"/>
    <mergeCell ref="D975:E975"/>
    <mergeCell ref="F975:G975"/>
    <mergeCell ref="H975:J975"/>
    <mergeCell ref="K975:M975"/>
    <mergeCell ref="N975:U975"/>
    <mergeCell ref="B976:C976"/>
    <mergeCell ref="D976:E976"/>
    <mergeCell ref="F976:G976"/>
    <mergeCell ref="H976:J976"/>
    <mergeCell ref="K976:M976"/>
    <mergeCell ref="N976:U976"/>
    <mergeCell ref="B977:C977"/>
    <mergeCell ref="D977:E977"/>
    <mergeCell ref="F977:G977"/>
    <mergeCell ref="H977:J977"/>
    <mergeCell ref="K977:M977"/>
    <mergeCell ref="N977:U977"/>
    <mergeCell ref="B978:C978"/>
    <mergeCell ref="D978:E978"/>
    <mergeCell ref="F978:G978"/>
    <mergeCell ref="H978:J978"/>
    <mergeCell ref="K978:M978"/>
    <mergeCell ref="N978:U978"/>
    <mergeCell ref="B979:C979"/>
    <mergeCell ref="D979:E979"/>
    <mergeCell ref="F979:G979"/>
    <mergeCell ref="H979:J979"/>
    <mergeCell ref="K979:M979"/>
    <mergeCell ref="N979:U979"/>
    <mergeCell ref="B980:C980"/>
    <mergeCell ref="D980:E980"/>
    <mergeCell ref="F980:G980"/>
    <mergeCell ref="H980:J980"/>
    <mergeCell ref="K980:M980"/>
    <mergeCell ref="N980:U980"/>
    <mergeCell ref="B981:C981"/>
    <mergeCell ref="D981:E981"/>
    <mergeCell ref="F981:G981"/>
    <mergeCell ref="H981:J981"/>
    <mergeCell ref="K981:M981"/>
    <mergeCell ref="N981:U981"/>
    <mergeCell ref="B982:C982"/>
    <mergeCell ref="D982:E982"/>
    <mergeCell ref="F982:G982"/>
    <mergeCell ref="H982:J982"/>
    <mergeCell ref="K982:M982"/>
    <mergeCell ref="N982:U982"/>
    <mergeCell ref="B983:C983"/>
    <mergeCell ref="D983:E983"/>
    <mergeCell ref="F983:G983"/>
    <mergeCell ref="H983:J983"/>
    <mergeCell ref="K983:M983"/>
    <mergeCell ref="N983:U983"/>
    <mergeCell ref="B984:C984"/>
    <mergeCell ref="D984:E984"/>
    <mergeCell ref="F984:G984"/>
    <mergeCell ref="H984:J984"/>
    <mergeCell ref="K984:M984"/>
    <mergeCell ref="N984:U984"/>
    <mergeCell ref="B985:C985"/>
    <mergeCell ref="D985:E985"/>
    <mergeCell ref="F985:G985"/>
    <mergeCell ref="H985:J985"/>
    <mergeCell ref="K985:M985"/>
    <mergeCell ref="N985:U985"/>
    <mergeCell ref="B986:C986"/>
    <mergeCell ref="D986:E986"/>
    <mergeCell ref="F986:G986"/>
    <mergeCell ref="H986:J986"/>
    <mergeCell ref="K986:M986"/>
    <mergeCell ref="N986:U986"/>
    <mergeCell ref="B987:C987"/>
    <mergeCell ref="D987:E987"/>
    <mergeCell ref="F987:G987"/>
    <mergeCell ref="H987:J987"/>
    <mergeCell ref="K987:M987"/>
    <mergeCell ref="N987:U987"/>
    <mergeCell ref="B988:C988"/>
    <mergeCell ref="D988:E988"/>
    <mergeCell ref="F988:G988"/>
    <mergeCell ref="H988:J988"/>
    <mergeCell ref="K988:M988"/>
    <mergeCell ref="N988:U988"/>
    <mergeCell ref="B989:C989"/>
    <mergeCell ref="D989:E989"/>
    <mergeCell ref="F989:G989"/>
    <mergeCell ref="H989:J989"/>
    <mergeCell ref="K989:M989"/>
    <mergeCell ref="N989:U989"/>
    <mergeCell ref="B990:C990"/>
    <mergeCell ref="D990:E990"/>
    <mergeCell ref="F990:G990"/>
    <mergeCell ref="H990:J990"/>
    <mergeCell ref="K990:M990"/>
    <mergeCell ref="N990:U990"/>
    <mergeCell ref="B991:C991"/>
    <mergeCell ref="D991:E991"/>
    <mergeCell ref="F991:G991"/>
    <mergeCell ref="H991:J991"/>
    <mergeCell ref="K991:M991"/>
    <mergeCell ref="N991:U991"/>
    <mergeCell ref="B992:C992"/>
    <mergeCell ref="D992:E992"/>
    <mergeCell ref="F992:G992"/>
    <mergeCell ref="H992:J992"/>
    <mergeCell ref="K992:M992"/>
    <mergeCell ref="N992:U992"/>
    <mergeCell ref="B993:C993"/>
    <mergeCell ref="D993:E993"/>
    <mergeCell ref="F993:G993"/>
    <mergeCell ref="H993:J993"/>
    <mergeCell ref="K993:M993"/>
    <mergeCell ref="N993:U993"/>
    <mergeCell ref="B994:C994"/>
    <mergeCell ref="D994:E994"/>
    <mergeCell ref="F994:G994"/>
    <mergeCell ref="H994:J994"/>
    <mergeCell ref="K994:M994"/>
    <mergeCell ref="N994:U994"/>
    <mergeCell ref="B995:C995"/>
    <mergeCell ref="D995:E995"/>
    <mergeCell ref="F995:G995"/>
    <mergeCell ref="H995:J995"/>
    <mergeCell ref="K995:M995"/>
    <mergeCell ref="N995:U995"/>
    <mergeCell ref="B996:C996"/>
    <mergeCell ref="D996:E996"/>
    <mergeCell ref="F996:G996"/>
    <mergeCell ref="H996:J996"/>
    <mergeCell ref="K996:M996"/>
    <mergeCell ref="N996:U996"/>
    <mergeCell ref="B997:C997"/>
    <mergeCell ref="D997:E997"/>
    <mergeCell ref="F997:G997"/>
    <mergeCell ref="H997:J997"/>
    <mergeCell ref="K997:M997"/>
    <mergeCell ref="N997:U997"/>
    <mergeCell ref="B998:C998"/>
    <mergeCell ref="D998:E998"/>
    <mergeCell ref="F998:G998"/>
    <mergeCell ref="H998:J998"/>
    <mergeCell ref="K998:M998"/>
    <mergeCell ref="N998:U998"/>
    <mergeCell ref="B999:C999"/>
    <mergeCell ref="D999:E999"/>
    <mergeCell ref="F999:G999"/>
    <mergeCell ref="H999:J999"/>
    <mergeCell ref="K999:M999"/>
    <mergeCell ref="N999:U999"/>
    <mergeCell ref="B1000:C1000"/>
    <mergeCell ref="D1000:E1000"/>
    <mergeCell ref="F1000:G1000"/>
    <mergeCell ref="H1000:J1000"/>
    <mergeCell ref="K1000:M1000"/>
    <mergeCell ref="N1000:U1000"/>
    <mergeCell ref="B1001:C1001"/>
    <mergeCell ref="D1001:E1001"/>
    <mergeCell ref="F1001:G1001"/>
    <mergeCell ref="H1001:J1001"/>
    <mergeCell ref="K1001:M1001"/>
    <mergeCell ref="N1001:U1001"/>
    <mergeCell ref="B1002:C1002"/>
    <mergeCell ref="D1002:E1002"/>
    <mergeCell ref="F1002:G1002"/>
    <mergeCell ref="H1002:J1002"/>
    <mergeCell ref="K1002:M1002"/>
    <mergeCell ref="N1002:U1002"/>
    <mergeCell ref="B1003:C1003"/>
    <mergeCell ref="D1003:E1003"/>
    <mergeCell ref="F1003:G1003"/>
    <mergeCell ref="H1003:J1003"/>
    <mergeCell ref="K1003:M1003"/>
    <mergeCell ref="N1003:U1003"/>
    <mergeCell ref="B1004:C1004"/>
    <mergeCell ref="D1004:E1004"/>
    <mergeCell ref="F1004:G1004"/>
    <mergeCell ref="H1004:J1004"/>
    <mergeCell ref="K1004:M1004"/>
    <mergeCell ref="N1004:U1004"/>
    <mergeCell ref="B1005:C1005"/>
    <mergeCell ref="D1005:E1005"/>
    <mergeCell ref="F1005:G1005"/>
    <mergeCell ref="H1005:J1005"/>
    <mergeCell ref="K1005:M1005"/>
    <mergeCell ref="N1005:U1005"/>
    <mergeCell ref="B1006:C1006"/>
    <mergeCell ref="D1006:E1006"/>
    <mergeCell ref="F1006:G1006"/>
    <mergeCell ref="H1006:J1006"/>
    <mergeCell ref="K1006:M1006"/>
    <mergeCell ref="N1006:U1006"/>
    <mergeCell ref="B1007:C1007"/>
    <mergeCell ref="D1007:E1007"/>
    <mergeCell ref="F1007:G1007"/>
    <mergeCell ref="H1007:J1007"/>
    <mergeCell ref="K1007:M1007"/>
    <mergeCell ref="N1007:U1007"/>
    <mergeCell ref="B1008:C1008"/>
    <mergeCell ref="D1008:E1008"/>
    <mergeCell ref="F1008:G1008"/>
    <mergeCell ref="H1008:J1008"/>
    <mergeCell ref="K1008:M1008"/>
    <mergeCell ref="N1008:U1008"/>
    <mergeCell ref="B1009:C1009"/>
    <mergeCell ref="D1009:E1009"/>
    <mergeCell ref="F1009:G1009"/>
    <mergeCell ref="H1009:J1009"/>
    <mergeCell ref="K1009:M1009"/>
    <mergeCell ref="N1009:U1009"/>
    <mergeCell ref="B1010:C1010"/>
    <mergeCell ref="D1010:E1010"/>
    <mergeCell ref="F1010:G1010"/>
    <mergeCell ref="H1010:J1010"/>
    <mergeCell ref="K1010:M1010"/>
    <mergeCell ref="N1010:U1010"/>
    <mergeCell ref="B1011:C1011"/>
    <mergeCell ref="D1011:E1011"/>
    <mergeCell ref="F1011:G1011"/>
    <mergeCell ref="H1011:J1011"/>
    <mergeCell ref="K1011:M1011"/>
    <mergeCell ref="N1011:U1011"/>
    <mergeCell ref="B1012:C1012"/>
    <mergeCell ref="D1012:E1012"/>
    <mergeCell ref="F1012:G1012"/>
    <mergeCell ref="H1012:J1012"/>
    <mergeCell ref="K1012:M1012"/>
    <mergeCell ref="N1012:U1012"/>
    <mergeCell ref="B1013:C1013"/>
    <mergeCell ref="D1013:E1013"/>
    <mergeCell ref="F1013:G1013"/>
    <mergeCell ref="H1013:J1013"/>
    <mergeCell ref="K1013:M1013"/>
    <mergeCell ref="N1013:U1013"/>
    <mergeCell ref="B1014:C1014"/>
    <mergeCell ref="D1014:E1014"/>
    <mergeCell ref="F1014:G1014"/>
    <mergeCell ref="H1014:J1014"/>
    <mergeCell ref="K1014:M1014"/>
    <mergeCell ref="N1014:U1014"/>
    <mergeCell ref="B1015:C1015"/>
    <mergeCell ref="D1015:E1015"/>
    <mergeCell ref="F1015:G1015"/>
    <mergeCell ref="H1015:J1015"/>
    <mergeCell ref="K1015:M1015"/>
    <mergeCell ref="N1015:U1015"/>
    <mergeCell ref="B1016:C1016"/>
    <mergeCell ref="D1016:E1016"/>
    <mergeCell ref="F1016:G1016"/>
    <mergeCell ref="H1016:J1016"/>
    <mergeCell ref="K1016:M1016"/>
    <mergeCell ref="N1016:U1016"/>
    <mergeCell ref="B1017:C1017"/>
    <mergeCell ref="D1017:E1017"/>
    <mergeCell ref="F1017:G1017"/>
    <mergeCell ref="H1017:J1017"/>
    <mergeCell ref="K1017:M1017"/>
    <mergeCell ref="N1017:U1017"/>
    <mergeCell ref="B1018:C1018"/>
    <mergeCell ref="D1018:E1018"/>
    <mergeCell ref="F1018:G1018"/>
    <mergeCell ref="H1018:J1018"/>
    <mergeCell ref="K1018:M1018"/>
    <mergeCell ref="N1018:U1018"/>
    <mergeCell ref="B1019:C1019"/>
    <mergeCell ref="D1019:E1019"/>
    <mergeCell ref="F1019:G1019"/>
    <mergeCell ref="H1019:J1019"/>
    <mergeCell ref="K1019:M1019"/>
    <mergeCell ref="N1019:U1019"/>
    <mergeCell ref="B1020:C1020"/>
    <mergeCell ref="D1020:E1020"/>
    <mergeCell ref="F1020:G1020"/>
    <mergeCell ref="H1020:J1020"/>
    <mergeCell ref="K1020:M1020"/>
    <mergeCell ref="N1020:U1020"/>
    <mergeCell ref="B1021:C1021"/>
    <mergeCell ref="D1021:E1021"/>
    <mergeCell ref="F1021:G1021"/>
    <mergeCell ref="H1021:J1021"/>
    <mergeCell ref="K1021:M1021"/>
    <mergeCell ref="N1021:U1021"/>
    <mergeCell ref="B1022:C1022"/>
    <mergeCell ref="D1022:E1022"/>
    <mergeCell ref="F1022:G1022"/>
    <mergeCell ref="H1022:J1022"/>
    <mergeCell ref="K1022:M1022"/>
    <mergeCell ref="N1022:U1022"/>
    <mergeCell ref="B1023:C1023"/>
    <mergeCell ref="D1023:E1023"/>
    <mergeCell ref="F1023:G1023"/>
    <mergeCell ref="H1023:J1023"/>
    <mergeCell ref="K1023:M1023"/>
    <mergeCell ref="N1023:U1023"/>
    <mergeCell ref="B1024:C1024"/>
    <mergeCell ref="D1024:E1024"/>
    <mergeCell ref="F1024:G1024"/>
    <mergeCell ref="H1024:J1024"/>
    <mergeCell ref="K1024:M1024"/>
    <mergeCell ref="N1024:U1024"/>
    <mergeCell ref="B1025:C1025"/>
    <mergeCell ref="D1025:E1025"/>
    <mergeCell ref="F1025:G1025"/>
    <mergeCell ref="H1025:J1025"/>
    <mergeCell ref="K1025:M1025"/>
    <mergeCell ref="N1025:U1025"/>
    <mergeCell ref="B1026:C1026"/>
    <mergeCell ref="D1026:E1026"/>
    <mergeCell ref="F1026:G1026"/>
    <mergeCell ref="H1026:J1026"/>
    <mergeCell ref="K1026:M1026"/>
    <mergeCell ref="N1026:U1026"/>
    <mergeCell ref="B1027:C1027"/>
    <mergeCell ref="D1027:E1027"/>
    <mergeCell ref="F1027:G1027"/>
    <mergeCell ref="H1027:J1027"/>
    <mergeCell ref="K1027:M1027"/>
    <mergeCell ref="N1027:U1027"/>
    <mergeCell ref="B1028:C1028"/>
    <mergeCell ref="D1028:E1028"/>
    <mergeCell ref="F1028:G1028"/>
    <mergeCell ref="H1028:J1028"/>
    <mergeCell ref="K1028:M1028"/>
    <mergeCell ref="N1028:U1028"/>
    <mergeCell ref="B1029:C1029"/>
    <mergeCell ref="D1029:E1029"/>
    <mergeCell ref="F1029:G1029"/>
    <mergeCell ref="H1029:J1029"/>
    <mergeCell ref="K1029:M1029"/>
    <mergeCell ref="N1029:U1029"/>
    <mergeCell ref="B1030:C1030"/>
    <mergeCell ref="D1030:E1030"/>
    <mergeCell ref="F1030:G1030"/>
    <mergeCell ref="H1030:J1030"/>
    <mergeCell ref="K1030:M1030"/>
    <mergeCell ref="N1030:U1030"/>
    <mergeCell ref="B1031:C1031"/>
    <mergeCell ref="D1031:E1031"/>
    <mergeCell ref="F1031:G1031"/>
    <mergeCell ref="H1031:J1031"/>
    <mergeCell ref="K1031:M1031"/>
    <mergeCell ref="N1031:U1031"/>
    <mergeCell ref="B1032:C1032"/>
    <mergeCell ref="D1032:E1032"/>
    <mergeCell ref="F1032:G1032"/>
    <mergeCell ref="H1032:J1032"/>
    <mergeCell ref="K1032:M1032"/>
    <mergeCell ref="N1032:U1032"/>
    <mergeCell ref="B1033:C1033"/>
    <mergeCell ref="D1033:E1033"/>
    <mergeCell ref="F1033:G1033"/>
    <mergeCell ref="H1033:J1033"/>
    <mergeCell ref="K1033:M1033"/>
    <mergeCell ref="N1033:U1033"/>
    <mergeCell ref="B1034:C1034"/>
    <mergeCell ref="D1034:E1034"/>
    <mergeCell ref="F1034:G1034"/>
    <mergeCell ref="H1034:J1034"/>
    <mergeCell ref="K1034:M1034"/>
    <mergeCell ref="N1034:U1034"/>
    <mergeCell ref="B1035:C1035"/>
    <mergeCell ref="D1035:E1035"/>
    <mergeCell ref="F1035:G1035"/>
    <mergeCell ref="H1035:J1035"/>
    <mergeCell ref="K1035:M1035"/>
    <mergeCell ref="N1035:U1035"/>
    <mergeCell ref="B1036:C1036"/>
    <mergeCell ref="D1036:E1036"/>
    <mergeCell ref="F1036:G1036"/>
    <mergeCell ref="H1036:J1036"/>
    <mergeCell ref="K1036:M1036"/>
    <mergeCell ref="N1036:U1036"/>
    <mergeCell ref="B1037:C1037"/>
    <mergeCell ref="D1037:E1037"/>
    <mergeCell ref="F1037:G1037"/>
    <mergeCell ref="H1037:J1037"/>
    <mergeCell ref="K1037:M1037"/>
    <mergeCell ref="N1037:U1037"/>
    <mergeCell ref="B1038:C1038"/>
    <mergeCell ref="D1038:E1038"/>
    <mergeCell ref="F1038:G1038"/>
    <mergeCell ref="H1038:J1038"/>
    <mergeCell ref="K1038:M1038"/>
    <mergeCell ref="N1038:U1038"/>
    <mergeCell ref="B1039:C1039"/>
    <mergeCell ref="D1039:E1039"/>
    <mergeCell ref="F1039:G1039"/>
    <mergeCell ref="H1039:J1039"/>
    <mergeCell ref="K1039:M1039"/>
    <mergeCell ref="N1039:U1039"/>
    <mergeCell ref="B1040:C1040"/>
    <mergeCell ref="D1040:E1040"/>
    <mergeCell ref="F1040:G1040"/>
    <mergeCell ref="H1040:J1040"/>
    <mergeCell ref="K1040:M1040"/>
    <mergeCell ref="N1040:U1040"/>
    <mergeCell ref="B1041:C1041"/>
    <mergeCell ref="D1041:E1041"/>
    <mergeCell ref="F1041:G1041"/>
    <mergeCell ref="H1041:J1041"/>
    <mergeCell ref="K1041:M1041"/>
    <mergeCell ref="N1041:U1041"/>
    <mergeCell ref="B1042:C1042"/>
    <mergeCell ref="D1042:E1042"/>
    <mergeCell ref="F1042:G1042"/>
    <mergeCell ref="H1042:J1042"/>
    <mergeCell ref="K1042:M1042"/>
    <mergeCell ref="N1042:U1042"/>
    <mergeCell ref="B1043:C1043"/>
    <mergeCell ref="D1043:E1043"/>
    <mergeCell ref="F1043:G1043"/>
    <mergeCell ref="H1043:J1043"/>
    <mergeCell ref="K1043:M1043"/>
    <mergeCell ref="N1043:U1043"/>
    <mergeCell ref="B1044:C1044"/>
    <mergeCell ref="D1044:E1044"/>
    <mergeCell ref="F1044:G1044"/>
    <mergeCell ref="H1044:J1044"/>
    <mergeCell ref="K1044:M1044"/>
    <mergeCell ref="N1044:U1044"/>
    <mergeCell ref="B1045:C1045"/>
    <mergeCell ref="D1045:E1045"/>
    <mergeCell ref="F1045:G1045"/>
    <mergeCell ref="H1045:J1045"/>
    <mergeCell ref="K1045:M1045"/>
    <mergeCell ref="N1045:U1045"/>
    <mergeCell ref="B1046:C1046"/>
    <mergeCell ref="D1046:E1046"/>
    <mergeCell ref="F1046:G1046"/>
    <mergeCell ref="H1046:J1046"/>
    <mergeCell ref="K1046:M1046"/>
    <mergeCell ref="N1046:U1046"/>
    <mergeCell ref="B1047:C1047"/>
    <mergeCell ref="D1047:E1047"/>
    <mergeCell ref="F1047:G1047"/>
    <mergeCell ref="H1047:J1047"/>
    <mergeCell ref="K1047:M1047"/>
    <mergeCell ref="N1047:U1047"/>
    <mergeCell ref="B1048:C1048"/>
    <mergeCell ref="D1048:E1048"/>
    <mergeCell ref="F1048:G1048"/>
    <mergeCell ref="H1048:J1048"/>
    <mergeCell ref="K1048:M1048"/>
    <mergeCell ref="N1048:U1048"/>
    <mergeCell ref="B1049:C1049"/>
    <mergeCell ref="D1049:E1049"/>
    <mergeCell ref="F1049:G1049"/>
    <mergeCell ref="H1049:J1049"/>
    <mergeCell ref="K1049:M1049"/>
    <mergeCell ref="N1049:U1049"/>
    <mergeCell ref="B1050:C1050"/>
    <mergeCell ref="D1050:E1050"/>
    <mergeCell ref="F1050:G1050"/>
    <mergeCell ref="H1050:J1050"/>
    <mergeCell ref="K1050:M1050"/>
    <mergeCell ref="N1050:U1050"/>
    <mergeCell ref="B1051:C1051"/>
    <mergeCell ref="D1051:E1051"/>
    <mergeCell ref="F1051:G1051"/>
    <mergeCell ref="H1051:J1051"/>
    <mergeCell ref="K1051:M1051"/>
    <mergeCell ref="N1051:U1051"/>
    <mergeCell ref="B1052:C1052"/>
    <mergeCell ref="D1052:E1052"/>
    <mergeCell ref="F1052:G1052"/>
    <mergeCell ref="H1052:J1052"/>
    <mergeCell ref="K1052:M1052"/>
    <mergeCell ref="N1052:U1052"/>
    <mergeCell ref="B1053:C1053"/>
    <mergeCell ref="D1053:E1053"/>
    <mergeCell ref="F1053:G1053"/>
    <mergeCell ref="H1053:J1053"/>
    <mergeCell ref="K1053:M1053"/>
    <mergeCell ref="N1053:U1053"/>
    <mergeCell ref="B1054:C1054"/>
    <mergeCell ref="D1054:E1054"/>
    <mergeCell ref="F1054:G1054"/>
    <mergeCell ref="H1054:J1054"/>
    <mergeCell ref="K1054:M1054"/>
    <mergeCell ref="N1054:U1054"/>
    <mergeCell ref="B1055:C1055"/>
    <mergeCell ref="D1055:E1055"/>
    <mergeCell ref="F1055:G1055"/>
    <mergeCell ref="H1055:J1055"/>
    <mergeCell ref="K1055:M1055"/>
    <mergeCell ref="N1055:U1055"/>
    <mergeCell ref="B1056:C1056"/>
    <mergeCell ref="D1056:E1056"/>
    <mergeCell ref="F1056:G1056"/>
    <mergeCell ref="H1056:J1056"/>
    <mergeCell ref="K1056:M1056"/>
    <mergeCell ref="N1056:U1056"/>
    <mergeCell ref="B1057:C1057"/>
    <mergeCell ref="D1057:E1057"/>
    <mergeCell ref="F1057:G1057"/>
    <mergeCell ref="H1057:J1057"/>
    <mergeCell ref="K1057:M1057"/>
    <mergeCell ref="N1057:U1057"/>
    <mergeCell ref="B1058:C1058"/>
    <mergeCell ref="D1058:E1058"/>
    <mergeCell ref="F1058:G1058"/>
    <mergeCell ref="H1058:J1058"/>
    <mergeCell ref="K1058:M1058"/>
    <mergeCell ref="N1058:U1058"/>
    <mergeCell ref="B1059:C1059"/>
    <mergeCell ref="D1059:E1059"/>
    <mergeCell ref="F1059:G1059"/>
    <mergeCell ref="H1059:J1059"/>
    <mergeCell ref="K1059:M1059"/>
    <mergeCell ref="N1059:U1059"/>
    <mergeCell ref="B1060:C1060"/>
    <mergeCell ref="D1060:E1060"/>
    <mergeCell ref="F1060:G1060"/>
    <mergeCell ref="H1060:J1060"/>
    <mergeCell ref="K1060:M1060"/>
    <mergeCell ref="N1060:U1060"/>
    <mergeCell ref="B1061:C1061"/>
    <mergeCell ref="D1061:E1061"/>
    <mergeCell ref="F1061:G1061"/>
    <mergeCell ref="H1061:J1061"/>
    <mergeCell ref="K1061:M1061"/>
    <mergeCell ref="N1061:U1061"/>
    <mergeCell ref="B1062:C1062"/>
    <mergeCell ref="D1062:E1062"/>
    <mergeCell ref="F1062:G1062"/>
    <mergeCell ref="H1062:J1062"/>
    <mergeCell ref="K1062:M1062"/>
    <mergeCell ref="N1062:U1062"/>
    <mergeCell ref="B1063:C1063"/>
    <mergeCell ref="D1063:E1063"/>
    <mergeCell ref="F1063:G1063"/>
    <mergeCell ref="H1063:J1063"/>
    <mergeCell ref="K1063:M1063"/>
    <mergeCell ref="N1063:U1063"/>
    <mergeCell ref="B1064:C1064"/>
    <mergeCell ref="D1064:E1064"/>
    <mergeCell ref="F1064:G1064"/>
    <mergeCell ref="H1064:J1064"/>
    <mergeCell ref="K1064:M1064"/>
    <mergeCell ref="N1064:U1064"/>
    <mergeCell ref="B1065:C1065"/>
    <mergeCell ref="D1065:E1065"/>
    <mergeCell ref="F1065:G1065"/>
    <mergeCell ref="H1065:J1065"/>
    <mergeCell ref="K1065:M1065"/>
    <mergeCell ref="N1065:U1065"/>
    <mergeCell ref="B1066:C1066"/>
    <mergeCell ref="D1066:E1066"/>
    <mergeCell ref="F1066:G1066"/>
    <mergeCell ref="H1066:J1066"/>
    <mergeCell ref="K1066:M1066"/>
    <mergeCell ref="N1066:U1066"/>
    <mergeCell ref="B1067:C1067"/>
    <mergeCell ref="D1067:E1067"/>
    <mergeCell ref="F1067:G1067"/>
    <mergeCell ref="H1067:J1067"/>
    <mergeCell ref="K1067:M1067"/>
    <mergeCell ref="N1067:U1067"/>
    <mergeCell ref="B1068:C1068"/>
    <mergeCell ref="D1068:E1068"/>
    <mergeCell ref="F1068:G1068"/>
    <mergeCell ref="H1068:J1068"/>
    <mergeCell ref="K1068:M1068"/>
    <mergeCell ref="N1068:U1068"/>
    <mergeCell ref="B1069:C1069"/>
    <mergeCell ref="D1069:E1069"/>
    <mergeCell ref="F1069:G1069"/>
    <mergeCell ref="H1069:J1069"/>
    <mergeCell ref="K1069:M1069"/>
    <mergeCell ref="N1069:U1069"/>
    <mergeCell ref="B1070:C1070"/>
    <mergeCell ref="D1070:E1070"/>
    <mergeCell ref="F1070:G1070"/>
    <mergeCell ref="H1070:J1070"/>
    <mergeCell ref="K1070:M1070"/>
    <mergeCell ref="N1070:U1070"/>
    <mergeCell ref="B1071:C1071"/>
    <mergeCell ref="D1071:E1071"/>
    <mergeCell ref="F1071:G1071"/>
    <mergeCell ref="H1071:J1071"/>
    <mergeCell ref="K1071:M1071"/>
    <mergeCell ref="N1071:U1071"/>
    <mergeCell ref="B1072:C1072"/>
    <mergeCell ref="D1072:E1072"/>
    <mergeCell ref="F1072:G1072"/>
    <mergeCell ref="H1072:J1072"/>
    <mergeCell ref="K1072:M1072"/>
    <mergeCell ref="N1072:U1072"/>
    <mergeCell ref="B1073:C1073"/>
    <mergeCell ref="D1073:E1073"/>
    <mergeCell ref="F1073:G1073"/>
    <mergeCell ref="H1073:J1073"/>
    <mergeCell ref="K1073:M1073"/>
    <mergeCell ref="N1073:U1073"/>
    <mergeCell ref="B1074:C1074"/>
    <mergeCell ref="D1074:E1074"/>
    <mergeCell ref="F1074:G1074"/>
    <mergeCell ref="H1074:J1074"/>
    <mergeCell ref="K1074:M1074"/>
    <mergeCell ref="N1074:U1074"/>
    <mergeCell ref="B1075:C1075"/>
    <mergeCell ref="D1075:E1075"/>
    <mergeCell ref="F1075:G1075"/>
    <mergeCell ref="H1075:J1075"/>
    <mergeCell ref="K1075:M1075"/>
    <mergeCell ref="N1075:U1075"/>
    <mergeCell ref="B1076:C1076"/>
    <mergeCell ref="D1076:E1076"/>
    <mergeCell ref="F1076:G1076"/>
    <mergeCell ref="H1076:J1076"/>
    <mergeCell ref="K1076:M1076"/>
    <mergeCell ref="N1076:U1076"/>
    <mergeCell ref="B1077:C1077"/>
    <mergeCell ref="D1077:E1077"/>
    <mergeCell ref="F1077:G1077"/>
    <mergeCell ref="H1077:J1077"/>
    <mergeCell ref="K1077:M1077"/>
    <mergeCell ref="N1077:U1077"/>
    <mergeCell ref="B1078:C1078"/>
    <mergeCell ref="D1078:E1078"/>
    <mergeCell ref="F1078:G1078"/>
    <mergeCell ref="H1078:J1078"/>
    <mergeCell ref="K1078:M1078"/>
    <mergeCell ref="N1078:U1078"/>
    <mergeCell ref="B1079:C1079"/>
    <mergeCell ref="D1079:E1079"/>
    <mergeCell ref="F1079:G1079"/>
    <mergeCell ref="H1079:J1079"/>
    <mergeCell ref="K1079:M1079"/>
    <mergeCell ref="N1079:U1079"/>
    <mergeCell ref="B1080:C1080"/>
    <mergeCell ref="D1080:E1080"/>
    <mergeCell ref="F1080:G1080"/>
    <mergeCell ref="H1080:J1080"/>
    <mergeCell ref="K1080:M1080"/>
    <mergeCell ref="N1080:U1080"/>
    <mergeCell ref="B1081:C1081"/>
    <mergeCell ref="D1081:E1081"/>
    <mergeCell ref="F1081:G1081"/>
    <mergeCell ref="H1081:J1081"/>
    <mergeCell ref="K1081:M1081"/>
    <mergeCell ref="N1081:U1081"/>
    <mergeCell ref="B1082:C1082"/>
    <mergeCell ref="D1082:E1082"/>
    <mergeCell ref="F1082:G1082"/>
    <mergeCell ref="H1082:J1082"/>
    <mergeCell ref="K1082:M1082"/>
    <mergeCell ref="N1082:U1082"/>
    <mergeCell ref="B1083:C1083"/>
    <mergeCell ref="D1083:E1083"/>
    <mergeCell ref="F1083:G1083"/>
    <mergeCell ref="H1083:J1083"/>
    <mergeCell ref="K1083:M1083"/>
    <mergeCell ref="N1083:U1083"/>
    <mergeCell ref="B1084:C1084"/>
    <mergeCell ref="D1084:E1084"/>
    <mergeCell ref="F1084:G1084"/>
    <mergeCell ref="H1084:J1084"/>
    <mergeCell ref="K1084:M1084"/>
    <mergeCell ref="N1084:U1084"/>
    <mergeCell ref="B1085:C1085"/>
    <mergeCell ref="D1085:E1085"/>
    <mergeCell ref="F1085:G1085"/>
    <mergeCell ref="H1085:J1085"/>
    <mergeCell ref="K1085:M1085"/>
    <mergeCell ref="N1085:U1085"/>
    <mergeCell ref="B1086:C1086"/>
    <mergeCell ref="D1086:E1086"/>
    <mergeCell ref="F1086:G1086"/>
    <mergeCell ref="H1086:J1086"/>
    <mergeCell ref="K1086:M1086"/>
    <mergeCell ref="N1086:U1086"/>
    <mergeCell ref="B1087:C1087"/>
    <mergeCell ref="D1087:E1087"/>
    <mergeCell ref="F1087:G1087"/>
    <mergeCell ref="H1087:J1087"/>
    <mergeCell ref="K1087:M1087"/>
    <mergeCell ref="N1087:U1087"/>
    <mergeCell ref="B1088:C1088"/>
    <mergeCell ref="D1088:E1088"/>
    <mergeCell ref="F1088:G1088"/>
    <mergeCell ref="H1088:J1088"/>
    <mergeCell ref="K1088:M1088"/>
    <mergeCell ref="N1088:U1088"/>
    <mergeCell ref="B1089:C1089"/>
    <mergeCell ref="D1089:E1089"/>
    <mergeCell ref="F1089:G1089"/>
    <mergeCell ref="H1089:J1089"/>
    <mergeCell ref="K1089:M1089"/>
    <mergeCell ref="N1089:U1089"/>
    <mergeCell ref="B1090:C1090"/>
    <mergeCell ref="D1090:E1090"/>
    <mergeCell ref="F1090:G1090"/>
    <mergeCell ref="H1090:J1090"/>
    <mergeCell ref="K1090:M1090"/>
    <mergeCell ref="N1090:U1090"/>
    <mergeCell ref="B1091:C1091"/>
    <mergeCell ref="D1091:E1091"/>
    <mergeCell ref="F1091:G1091"/>
    <mergeCell ref="H1091:J1091"/>
    <mergeCell ref="K1091:M1091"/>
    <mergeCell ref="N1091:U1091"/>
    <mergeCell ref="B1092:C1092"/>
    <mergeCell ref="D1092:E1092"/>
    <mergeCell ref="F1092:G1092"/>
    <mergeCell ref="H1092:J1092"/>
    <mergeCell ref="K1092:M1092"/>
    <mergeCell ref="N1092:U1092"/>
    <mergeCell ref="B1093:C1093"/>
    <mergeCell ref="D1093:E1093"/>
    <mergeCell ref="F1093:G1093"/>
    <mergeCell ref="H1093:J1093"/>
    <mergeCell ref="K1093:M1093"/>
    <mergeCell ref="N1093:U1093"/>
    <mergeCell ref="B1094:C1094"/>
    <mergeCell ref="D1094:E1094"/>
    <mergeCell ref="F1094:G1094"/>
    <mergeCell ref="H1094:J1094"/>
    <mergeCell ref="K1094:M1094"/>
    <mergeCell ref="N1094:U1094"/>
    <mergeCell ref="B1095:C1095"/>
    <mergeCell ref="D1095:E1095"/>
    <mergeCell ref="F1095:G1095"/>
    <mergeCell ref="H1095:J1095"/>
    <mergeCell ref="K1095:M1095"/>
    <mergeCell ref="N1095:U1095"/>
    <mergeCell ref="B1096:C1096"/>
    <mergeCell ref="D1096:E1096"/>
    <mergeCell ref="F1096:G1096"/>
    <mergeCell ref="H1096:J1096"/>
    <mergeCell ref="K1096:M1096"/>
    <mergeCell ref="N1096:U1096"/>
    <mergeCell ref="B1097:C1097"/>
    <mergeCell ref="D1097:E1097"/>
    <mergeCell ref="F1097:G1097"/>
    <mergeCell ref="H1097:J1097"/>
    <mergeCell ref="K1097:M1097"/>
    <mergeCell ref="N1097:U1097"/>
    <mergeCell ref="B1098:C1098"/>
    <mergeCell ref="D1098:E1098"/>
    <mergeCell ref="F1098:G1098"/>
    <mergeCell ref="H1098:J1098"/>
    <mergeCell ref="K1098:M1098"/>
    <mergeCell ref="N1098:U1098"/>
    <mergeCell ref="B1099:C1099"/>
    <mergeCell ref="D1099:E1099"/>
    <mergeCell ref="F1099:G1099"/>
    <mergeCell ref="H1099:J1099"/>
    <mergeCell ref="K1099:M1099"/>
    <mergeCell ref="N1099:U1099"/>
    <mergeCell ref="B1100:C1100"/>
    <mergeCell ref="D1100:E1100"/>
    <mergeCell ref="F1100:G1100"/>
    <mergeCell ref="H1100:J1100"/>
    <mergeCell ref="K1100:M1100"/>
    <mergeCell ref="N1100:U1100"/>
    <mergeCell ref="B1101:C1101"/>
    <mergeCell ref="D1101:E1101"/>
    <mergeCell ref="F1101:G1101"/>
    <mergeCell ref="H1101:J1101"/>
    <mergeCell ref="K1101:M1101"/>
    <mergeCell ref="N1101:U1101"/>
    <mergeCell ref="B1102:C1102"/>
    <mergeCell ref="D1102:E1102"/>
    <mergeCell ref="F1102:G1102"/>
    <mergeCell ref="H1102:J1102"/>
    <mergeCell ref="K1102:M1102"/>
    <mergeCell ref="N1102:U1102"/>
    <mergeCell ref="B1103:C1103"/>
    <mergeCell ref="D1103:E1103"/>
    <mergeCell ref="F1103:G1103"/>
    <mergeCell ref="H1103:J1103"/>
    <mergeCell ref="K1103:M1103"/>
    <mergeCell ref="N1103:U1103"/>
    <mergeCell ref="B1104:C1104"/>
    <mergeCell ref="D1104:E1104"/>
    <mergeCell ref="F1104:G1104"/>
    <mergeCell ref="H1104:J1104"/>
    <mergeCell ref="K1104:M1104"/>
    <mergeCell ref="N1104:U1104"/>
    <mergeCell ref="B1105:C1105"/>
    <mergeCell ref="D1105:E1105"/>
    <mergeCell ref="F1105:G1105"/>
    <mergeCell ref="H1105:J1105"/>
    <mergeCell ref="K1105:M1105"/>
    <mergeCell ref="N1105:U1105"/>
    <mergeCell ref="B1106:C1106"/>
    <mergeCell ref="D1106:E1106"/>
    <mergeCell ref="F1106:G1106"/>
    <mergeCell ref="H1106:J1106"/>
    <mergeCell ref="K1106:M1106"/>
    <mergeCell ref="N1106:U1106"/>
    <mergeCell ref="B1107:C1107"/>
    <mergeCell ref="D1107:E1107"/>
    <mergeCell ref="F1107:G1107"/>
    <mergeCell ref="H1107:J1107"/>
    <mergeCell ref="K1107:M1107"/>
    <mergeCell ref="N1107:U1107"/>
    <mergeCell ref="B1108:C1108"/>
    <mergeCell ref="D1108:E1108"/>
    <mergeCell ref="F1108:G1108"/>
    <mergeCell ref="H1108:J1108"/>
    <mergeCell ref="K1108:M1108"/>
    <mergeCell ref="N1108:U1108"/>
    <mergeCell ref="B1109:C1109"/>
    <mergeCell ref="D1109:E1109"/>
    <mergeCell ref="F1109:G1109"/>
    <mergeCell ref="H1109:J1109"/>
    <mergeCell ref="K1109:M1109"/>
    <mergeCell ref="N1109:U1109"/>
    <mergeCell ref="B1110:C1110"/>
    <mergeCell ref="D1110:E1110"/>
    <mergeCell ref="F1110:G1110"/>
    <mergeCell ref="H1110:J1110"/>
    <mergeCell ref="K1110:M1110"/>
    <mergeCell ref="N1110:U1110"/>
    <mergeCell ref="B1111:C1111"/>
    <mergeCell ref="D1111:E1111"/>
    <mergeCell ref="F1111:G1111"/>
    <mergeCell ref="H1111:J1111"/>
    <mergeCell ref="K1111:M1111"/>
    <mergeCell ref="N1111:U1111"/>
    <mergeCell ref="B1112:C1112"/>
    <mergeCell ref="D1112:E1112"/>
    <mergeCell ref="F1112:G1112"/>
    <mergeCell ref="H1112:J1112"/>
    <mergeCell ref="K1112:M1112"/>
    <mergeCell ref="N1112:U1112"/>
    <mergeCell ref="B1113:C1113"/>
    <mergeCell ref="D1113:E1113"/>
    <mergeCell ref="F1113:G1113"/>
    <mergeCell ref="H1113:J1113"/>
    <mergeCell ref="K1113:M1113"/>
    <mergeCell ref="N1113:U1113"/>
    <mergeCell ref="B1114:C1114"/>
    <mergeCell ref="D1114:E1114"/>
    <mergeCell ref="F1114:G1114"/>
    <mergeCell ref="H1114:J1114"/>
    <mergeCell ref="K1114:M1114"/>
    <mergeCell ref="N1114:U1114"/>
    <mergeCell ref="B1115:C1115"/>
    <mergeCell ref="D1115:E1115"/>
    <mergeCell ref="F1115:G1115"/>
    <mergeCell ref="H1115:J1115"/>
    <mergeCell ref="K1115:M1115"/>
    <mergeCell ref="N1115:U1115"/>
    <mergeCell ref="B1116:C1116"/>
    <mergeCell ref="D1116:E1116"/>
    <mergeCell ref="F1116:G1116"/>
    <mergeCell ref="H1116:J1116"/>
    <mergeCell ref="K1116:M1116"/>
    <mergeCell ref="N1116:U1116"/>
    <mergeCell ref="B1117:C1117"/>
    <mergeCell ref="D1117:E1117"/>
    <mergeCell ref="F1117:G1117"/>
    <mergeCell ref="H1117:J1117"/>
    <mergeCell ref="K1117:M1117"/>
    <mergeCell ref="N1117:U1117"/>
    <mergeCell ref="B1118:C1118"/>
    <mergeCell ref="D1118:E1118"/>
    <mergeCell ref="F1118:G1118"/>
    <mergeCell ref="H1118:J1118"/>
    <mergeCell ref="K1118:M1118"/>
    <mergeCell ref="N1118:U1118"/>
    <mergeCell ref="B1119:C1119"/>
    <mergeCell ref="D1119:E1119"/>
    <mergeCell ref="F1119:G1119"/>
    <mergeCell ref="H1119:J1119"/>
    <mergeCell ref="K1119:M1119"/>
    <mergeCell ref="N1119:U1119"/>
    <mergeCell ref="B1120:C1120"/>
    <mergeCell ref="D1120:E1120"/>
    <mergeCell ref="F1120:G1120"/>
    <mergeCell ref="H1120:J1120"/>
    <mergeCell ref="K1120:M1120"/>
    <mergeCell ref="N1120:U1120"/>
    <mergeCell ref="B1121:C1121"/>
    <mergeCell ref="D1121:E1121"/>
    <mergeCell ref="F1121:G1121"/>
    <mergeCell ref="H1121:J1121"/>
    <mergeCell ref="K1121:M1121"/>
    <mergeCell ref="N1121:U1121"/>
    <mergeCell ref="B1122:C1122"/>
    <mergeCell ref="D1122:E1122"/>
    <mergeCell ref="F1122:G1122"/>
    <mergeCell ref="H1122:J1122"/>
    <mergeCell ref="K1122:M1122"/>
    <mergeCell ref="N1122:U1122"/>
    <mergeCell ref="B1123:C1123"/>
    <mergeCell ref="D1123:E1123"/>
    <mergeCell ref="F1123:G1123"/>
    <mergeCell ref="H1123:J1123"/>
    <mergeCell ref="K1123:M1123"/>
    <mergeCell ref="N1123:U1123"/>
    <mergeCell ref="B1124:C1124"/>
    <mergeCell ref="D1124:E1124"/>
    <mergeCell ref="F1124:G1124"/>
    <mergeCell ref="H1124:J1124"/>
    <mergeCell ref="K1124:M1124"/>
    <mergeCell ref="N1124:U1124"/>
    <mergeCell ref="B1125:C1125"/>
    <mergeCell ref="D1125:E1125"/>
    <mergeCell ref="F1125:G1125"/>
    <mergeCell ref="H1125:J1125"/>
    <mergeCell ref="K1125:M1125"/>
    <mergeCell ref="N1125:U1125"/>
    <mergeCell ref="B1126:C1126"/>
    <mergeCell ref="D1126:E1126"/>
    <mergeCell ref="F1126:G1126"/>
    <mergeCell ref="H1126:J1126"/>
    <mergeCell ref="K1126:M1126"/>
    <mergeCell ref="N1126:U1126"/>
    <mergeCell ref="B1127:C1127"/>
    <mergeCell ref="D1127:E1127"/>
    <mergeCell ref="F1127:G1127"/>
    <mergeCell ref="H1127:J1127"/>
    <mergeCell ref="K1127:M1127"/>
    <mergeCell ref="N1127:U1127"/>
    <mergeCell ref="B1128:C1128"/>
    <mergeCell ref="D1128:E1128"/>
    <mergeCell ref="F1128:G1128"/>
    <mergeCell ref="H1128:J1128"/>
    <mergeCell ref="K1128:M1128"/>
    <mergeCell ref="N1128:U1128"/>
    <mergeCell ref="B1129:C1129"/>
    <mergeCell ref="D1129:E1129"/>
    <mergeCell ref="F1129:G1129"/>
    <mergeCell ref="H1129:J1129"/>
    <mergeCell ref="K1129:M1129"/>
    <mergeCell ref="N1129:U1129"/>
    <mergeCell ref="B1130:C1130"/>
    <mergeCell ref="D1130:E1130"/>
    <mergeCell ref="F1130:G1130"/>
    <mergeCell ref="H1130:J1130"/>
    <mergeCell ref="K1130:M1130"/>
    <mergeCell ref="N1130:U1130"/>
    <mergeCell ref="B1131:C1131"/>
    <mergeCell ref="D1131:E1131"/>
    <mergeCell ref="F1131:G1131"/>
    <mergeCell ref="H1131:J1131"/>
    <mergeCell ref="K1131:M1131"/>
    <mergeCell ref="N1131:U1131"/>
    <mergeCell ref="B1132:C1132"/>
    <mergeCell ref="D1132:E1132"/>
    <mergeCell ref="F1132:G1132"/>
    <mergeCell ref="H1132:J1132"/>
    <mergeCell ref="K1132:M1132"/>
    <mergeCell ref="N1132:U1132"/>
    <mergeCell ref="B1133:C1133"/>
    <mergeCell ref="D1133:E1133"/>
    <mergeCell ref="F1133:G1133"/>
    <mergeCell ref="H1133:J1133"/>
    <mergeCell ref="K1133:M1133"/>
    <mergeCell ref="N1133:U1133"/>
    <mergeCell ref="B1134:C1134"/>
    <mergeCell ref="D1134:E1134"/>
    <mergeCell ref="F1134:G1134"/>
    <mergeCell ref="H1134:J1134"/>
    <mergeCell ref="K1134:M1134"/>
    <mergeCell ref="N1134:U1134"/>
    <mergeCell ref="B1135:C1135"/>
    <mergeCell ref="D1135:E1135"/>
    <mergeCell ref="F1135:G1135"/>
    <mergeCell ref="H1135:J1135"/>
    <mergeCell ref="K1135:M1135"/>
    <mergeCell ref="N1135:U1135"/>
    <mergeCell ref="B1136:C1136"/>
    <mergeCell ref="D1136:E1136"/>
    <mergeCell ref="F1136:G1136"/>
    <mergeCell ref="H1136:J1136"/>
    <mergeCell ref="K1136:M1136"/>
    <mergeCell ref="N1136:U1136"/>
    <mergeCell ref="B1137:C1137"/>
    <mergeCell ref="D1137:E1137"/>
    <mergeCell ref="F1137:G1137"/>
    <mergeCell ref="H1137:J1137"/>
    <mergeCell ref="K1137:M1137"/>
    <mergeCell ref="N1137:U1137"/>
    <mergeCell ref="B1138:C1138"/>
    <mergeCell ref="D1138:E1138"/>
    <mergeCell ref="F1138:G1138"/>
    <mergeCell ref="H1138:J1138"/>
    <mergeCell ref="K1138:M1138"/>
    <mergeCell ref="N1138:U1138"/>
    <mergeCell ref="B1139:C1139"/>
    <mergeCell ref="D1139:E1139"/>
    <mergeCell ref="F1139:G1139"/>
    <mergeCell ref="H1139:J1139"/>
    <mergeCell ref="K1139:M1139"/>
    <mergeCell ref="N1139:U1139"/>
    <mergeCell ref="B1140:C1140"/>
    <mergeCell ref="D1140:E1140"/>
    <mergeCell ref="F1140:G1140"/>
    <mergeCell ref="H1140:J1140"/>
    <mergeCell ref="K1140:M1140"/>
    <mergeCell ref="N1140:U1140"/>
    <mergeCell ref="B1141:C1141"/>
    <mergeCell ref="D1141:E1141"/>
    <mergeCell ref="F1141:G1141"/>
    <mergeCell ref="H1141:J1141"/>
    <mergeCell ref="K1141:M1141"/>
    <mergeCell ref="N1141:U1141"/>
    <mergeCell ref="B1142:C1142"/>
    <mergeCell ref="D1142:E1142"/>
    <mergeCell ref="F1142:G1142"/>
    <mergeCell ref="H1142:J1142"/>
    <mergeCell ref="K1142:M1142"/>
    <mergeCell ref="N1142:U1142"/>
    <mergeCell ref="B1143:C1143"/>
    <mergeCell ref="D1143:E1143"/>
    <mergeCell ref="F1143:G1143"/>
    <mergeCell ref="H1143:J1143"/>
    <mergeCell ref="K1143:M1143"/>
    <mergeCell ref="N1143:U1143"/>
    <mergeCell ref="B1144:C1144"/>
    <mergeCell ref="D1144:E1144"/>
    <mergeCell ref="F1144:G1144"/>
    <mergeCell ref="H1144:J1144"/>
    <mergeCell ref="K1144:M1144"/>
    <mergeCell ref="N1144:U1144"/>
    <mergeCell ref="B1145:C1145"/>
    <mergeCell ref="D1145:E1145"/>
    <mergeCell ref="F1145:G1145"/>
    <mergeCell ref="H1145:J1145"/>
    <mergeCell ref="K1145:M1145"/>
    <mergeCell ref="N1145:U1145"/>
    <mergeCell ref="B1146:C1146"/>
    <mergeCell ref="D1146:E1146"/>
    <mergeCell ref="F1146:G1146"/>
    <mergeCell ref="H1146:J1146"/>
    <mergeCell ref="K1146:M1146"/>
    <mergeCell ref="N1146:U1146"/>
    <mergeCell ref="B1147:C1147"/>
    <mergeCell ref="D1147:E1147"/>
    <mergeCell ref="F1147:G1147"/>
    <mergeCell ref="H1147:J1147"/>
    <mergeCell ref="K1147:M1147"/>
    <mergeCell ref="N1147:U1147"/>
    <mergeCell ref="B1148:C1148"/>
    <mergeCell ref="D1148:E1148"/>
    <mergeCell ref="F1148:G1148"/>
    <mergeCell ref="H1148:J1148"/>
    <mergeCell ref="K1148:M1148"/>
    <mergeCell ref="N1148:U1148"/>
    <mergeCell ref="B1149:C1149"/>
    <mergeCell ref="D1149:E1149"/>
    <mergeCell ref="F1149:G1149"/>
    <mergeCell ref="H1149:J1149"/>
    <mergeCell ref="K1149:M1149"/>
    <mergeCell ref="N1149:U1149"/>
    <mergeCell ref="B1150:C1150"/>
    <mergeCell ref="D1150:E1150"/>
    <mergeCell ref="F1150:G1150"/>
    <mergeCell ref="H1150:J1150"/>
    <mergeCell ref="K1150:M1150"/>
    <mergeCell ref="N1150:U1150"/>
    <mergeCell ref="B1151:C1151"/>
    <mergeCell ref="D1151:E1151"/>
    <mergeCell ref="F1151:G1151"/>
    <mergeCell ref="H1151:J1151"/>
    <mergeCell ref="K1151:M1151"/>
    <mergeCell ref="N1151:U1151"/>
    <mergeCell ref="B1152:C1152"/>
    <mergeCell ref="D1152:E1152"/>
    <mergeCell ref="F1152:G1152"/>
    <mergeCell ref="H1152:J1152"/>
    <mergeCell ref="K1152:M1152"/>
    <mergeCell ref="N1152:U1152"/>
    <mergeCell ref="B1153:C1153"/>
    <mergeCell ref="D1153:E1153"/>
    <mergeCell ref="F1153:G1153"/>
    <mergeCell ref="H1153:J1153"/>
    <mergeCell ref="K1153:M1153"/>
    <mergeCell ref="N1153:U1153"/>
    <mergeCell ref="B1154:C1154"/>
    <mergeCell ref="D1154:E1154"/>
    <mergeCell ref="F1154:G1154"/>
    <mergeCell ref="H1154:J1154"/>
    <mergeCell ref="K1154:M1154"/>
    <mergeCell ref="N1154:U1154"/>
    <mergeCell ref="B1155:C1155"/>
    <mergeCell ref="D1155:E1155"/>
    <mergeCell ref="F1155:G1155"/>
    <mergeCell ref="H1155:J1155"/>
    <mergeCell ref="K1155:M1155"/>
    <mergeCell ref="N1155:U1155"/>
    <mergeCell ref="B1156:C1156"/>
    <mergeCell ref="D1156:E1156"/>
    <mergeCell ref="F1156:G1156"/>
    <mergeCell ref="H1156:J1156"/>
    <mergeCell ref="K1156:M1156"/>
    <mergeCell ref="N1156:U1156"/>
    <mergeCell ref="B1157:C1157"/>
    <mergeCell ref="D1157:E1157"/>
    <mergeCell ref="F1157:G1157"/>
    <mergeCell ref="H1157:J1157"/>
    <mergeCell ref="K1157:M1157"/>
    <mergeCell ref="N1157:U1157"/>
    <mergeCell ref="B1158:C1158"/>
    <mergeCell ref="D1158:E1158"/>
    <mergeCell ref="F1158:G1158"/>
    <mergeCell ref="H1158:J1158"/>
    <mergeCell ref="K1158:M1158"/>
    <mergeCell ref="N1158:U1158"/>
    <mergeCell ref="B1159:C1159"/>
    <mergeCell ref="D1159:E1159"/>
    <mergeCell ref="F1159:G1159"/>
    <mergeCell ref="H1159:J1159"/>
    <mergeCell ref="K1159:M1159"/>
    <mergeCell ref="N1159:U1159"/>
    <mergeCell ref="B1160:C1160"/>
    <mergeCell ref="D1160:E1160"/>
    <mergeCell ref="F1160:G1160"/>
    <mergeCell ref="H1160:J1160"/>
    <mergeCell ref="K1160:M1160"/>
    <mergeCell ref="N1160:U1160"/>
    <mergeCell ref="B1161:C1161"/>
    <mergeCell ref="D1161:E1161"/>
    <mergeCell ref="F1161:G1161"/>
    <mergeCell ref="H1161:J1161"/>
    <mergeCell ref="K1161:M1161"/>
    <mergeCell ref="N1161:U1161"/>
    <mergeCell ref="B1162:C1162"/>
    <mergeCell ref="D1162:E1162"/>
    <mergeCell ref="F1162:G1162"/>
    <mergeCell ref="H1162:J1162"/>
    <mergeCell ref="K1162:M1162"/>
    <mergeCell ref="N1162:U1162"/>
    <mergeCell ref="B1163:C1163"/>
    <mergeCell ref="D1163:E1163"/>
    <mergeCell ref="F1163:G1163"/>
    <mergeCell ref="H1163:J1163"/>
    <mergeCell ref="K1163:M1163"/>
    <mergeCell ref="N1163:U1163"/>
    <mergeCell ref="B1164:C1164"/>
    <mergeCell ref="D1164:E1164"/>
    <mergeCell ref="F1164:G1164"/>
    <mergeCell ref="H1164:J1164"/>
    <mergeCell ref="K1164:M1164"/>
    <mergeCell ref="N1164:U1164"/>
    <mergeCell ref="B1165:C1165"/>
    <mergeCell ref="D1165:E1165"/>
    <mergeCell ref="F1165:G1165"/>
    <mergeCell ref="H1165:J1165"/>
    <mergeCell ref="K1165:M1165"/>
    <mergeCell ref="N1165:U1165"/>
    <mergeCell ref="B1166:C1166"/>
    <mergeCell ref="D1166:E1166"/>
    <mergeCell ref="F1166:G1166"/>
    <mergeCell ref="H1166:J1166"/>
    <mergeCell ref="K1166:M1166"/>
    <mergeCell ref="N1166:U1166"/>
    <mergeCell ref="B1167:C1167"/>
    <mergeCell ref="D1167:E1167"/>
    <mergeCell ref="F1167:G1167"/>
    <mergeCell ref="H1167:J1167"/>
    <mergeCell ref="K1167:M1167"/>
    <mergeCell ref="N1167:U1167"/>
    <mergeCell ref="B1168:C1168"/>
    <mergeCell ref="D1168:E1168"/>
    <mergeCell ref="F1168:G1168"/>
    <mergeCell ref="H1168:J1168"/>
    <mergeCell ref="K1168:M1168"/>
    <mergeCell ref="N1168:U1168"/>
    <mergeCell ref="B1169:C1169"/>
    <mergeCell ref="D1169:E1169"/>
    <mergeCell ref="F1169:G1169"/>
    <mergeCell ref="H1169:J1169"/>
    <mergeCell ref="K1169:M1169"/>
    <mergeCell ref="N1169:U1169"/>
    <mergeCell ref="B1170:C1170"/>
    <mergeCell ref="D1170:E1170"/>
    <mergeCell ref="F1170:G1170"/>
    <mergeCell ref="H1170:J1170"/>
    <mergeCell ref="K1170:M1170"/>
    <mergeCell ref="N1170:U1170"/>
    <mergeCell ref="B1171:C1171"/>
    <mergeCell ref="D1171:E1171"/>
    <mergeCell ref="F1171:G1171"/>
    <mergeCell ref="H1171:J1171"/>
    <mergeCell ref="K1171:M1171"/>
    <mergeCell ref="N1171:U1171"/>
    <mergeCell ref="B1172:C1172"/>
    <mergeCell ref="D1172:E1172"/>
    <mergeCell ref="F1172:G1172"/>
    <mergeCell ref="H1172:J1172"/>
    <mergeCell ref="K1172:M1172"/>
    <mergeCell ref="N1172:U1172"/>
    <mergeCell ref="B1173:C1173"/>
    <mergeCell ref="D1173:E1173"/>
    <mergeCell ref="F1173:G1173"/>
    <mergeCell ref="H1173:J1173"/>
    <mergeCell ref="K1173:M1173"/>
    <mergeCell ref="N1173:U1173"/>
    <mergeCell ref="B1174:C1174"/>
    <mergeCell ref="D1174:E1174"/>
    <mergeCell ref="F1174:G1174"/>
    <mergeCell ref="H1174:J1174"/>
    <mergeCell ref="K1174:M1174"/>
    <mergeCell ref="N1174:U1174"/>
    <mergeCell ref="B1175:C1175"/>
    <mergeCell ref="D1175:E1175"/>
    <mergeCell ref="F1175:G1175"/>
    <mergeCell ref="H1175:J1175"/>
    <mergeCell ref="K1175:M1175"/>
    <mergeCell ref="N1175:U1175"/>
    <mergeCell ref="B1176:C1176"/>
    <mergeCell ref="D1176:E1176"/>
    <mergeCell ref="F1176:G1176"/>
    <mergeCell ref="H1176:J1176"/>
    <mergeCell ref="K1176:M1176"/>
    <mergeCell ref="N1176:U1176"/>
    <mergeCell ref="B1177:C1177"/>
    <mergeCell ref="D1177:E1177"/>
    <mergeCell ref="F1177:G1177"/>
    <mergeCell ref="H1177:J1177"/>
    <mergeCell ref="K1177:M1177"/>
    <mergeCell ref="N1177:U1177"/>
    <mergeCell ref="B1178:C1178"/>
    <mergeCell ref="D1178:E1178"/>
    <mergeCell ref="F1178:G1178"/>
    <mergeCell ref="H1178:J1178"/>
    <mergeCell ref="K1178:M1178"/>
    <mergeCell ref="N1178:U1178"/>
    <mergeCell ref="B1179:C1179"/>
    <mergeCell ref="D1179:E1179"/>
    <mergeCell ref="F1179:G1179"/>
    <mergeCell ref="H1179:J1179"/>
    <mergeCell ref="K1179:M1179"/>
    <mergeCell ref="N1179:U1179"/>
    <mergeCell ref="B1180:C1180"/>
    <mergeCell ref="D1180:E1180"/>
    <mergeCell ref="F1180:G1180"/>
    <mergeCell ref="H1180:J1180"/>
    <mergeCell ref="K1180:M1180"/>
    <mergeCell ref="N1180:U1180"/>
    <mergeCell ref="B1181:C1181"/>
    <mergeCell ref="D1181:E1181"/>
    <mergeCell ref="F1181:G1181"/>
    <mergeCell ref="H1181:J1181"/>
    <mergeCell ref="K1181:M1181"/>
    <mergeCell ref="N1181:U1181"/>
    <mergeCell ref="B1182:C1182"/>
    <mergeCell ref="D1182:E1182"/>
    <mergeCell ref="F1182:G1182"/>
    <mergeCell ref="H1182:J1182"/>
    <mergeCell ref="K1182:M1182"/>
    <mergeCell ref="N1182:U1182"/>
    <mergeCell ref="B1183:C1183"/>
    <mergeCell ref="D1183:E1183"/>
    <mergeCell ref="F1183:G1183"/>
    <mergeCell ref="H1183:J1183"/>
    <mergeCell ref="K1183:M1183"/>
    <mergeCell ref="N1183:U1183"/>
    <mergeCell ref="B1184:C1184"/>
    <mergeCell ref="D1184:E1184"/>
    <mergeCell ref="F1184:G1184"/>
    <mergeCell ref="H1184:J1184"/>
    <mergeCell ref="K1184:M1184"/>
    <mergeCell ref="N1184:U1184"/>
    <mergeCell ref="B1185:C1185"/>
    <mergeCell ref="D1185:E1185"/>
    <mergeCell ref="F1185:G1185"/>
    <mergeCell ref="H1185:J1185"/>
    <mergeCell ref="K1185:M1185"/>
    <mergeCell ref="N1185:U1185"/>
    <mergeCell ref="B1186:C1186"/>
    <mergeCell ref="D1186:E1186"/>
    <mergeCell ref="F1186:G1186"/>
    <mergeCell ref="H1186:J1186"/>
    <mergeCell ref="K1186:M1186"/>
    <mergeCell ref="N1186:U1186"/>
    <mergeCell ref="B1187:C1187"/>
    <mergeCell ref="D1187:E1187"/>
    <mergeCell ref="F1187:G1187"/>
    <mergeCell ref="H1187:J1187"/>
    <mergeCell ref="K1187:M1187"/>
    <mergeCell ref="N1187:U1187"/>
    <mergeCell ref="B1188:C1188"/>
    <mergeCell ref="D1188:E1188"/>
    <mergeCell ref="F1188:G1188"/>
    <mergeCell ref="H1188:J1188"/>
    <mergeCell ref="K1188:M1188"/>
    <mergeCell ref="N1188:U1188"/>
    <mergeCell ref="B1189:C1189"/>
    <mergeCell ref="D1189:E1189"/>
    <mergeCell ref="F1189:G1189"/>
    <mergeCell ref="H1189:J1189"/>
    <mergeCell ref="K1189:M1189"/>
    <mergeCell ref="N1189:U1189"/>
    <mergeCell ref="B1190:C1190"/>
    <mergeCell ref="D1190:E1190"/>
    <mergeCell ref="F1190:G1190"/>
    <mergeCell ref="H1190:J1190"/>
    <mergeCell ref="K1190:M1190"/>
    <mergeCell ref="N1190:U1190"/>
    <mergeCell ref="B1191:C1191"/>
    <mergeCell ref="D1191:E1191"/>
    <mergeCell ref="F1191:G1191"/>
    <mergeCell ref="H1191:J1191"/>
    <mergeCell ref="K1191:M1191"/>
    <mergeCell ref="N1191:U1191"/>
    <mergeCell ref="B1192:C1192"/>
    <mergeCell ref="D1192:E1192"/>
    <mergeCell ref="F1192:G1192"/>
    <mergeCell ref="H1192:J1192"/>
    <mergeCell ref="K1192:M1192"/>
    <mergeCell ref="N1192:U1192"/>
    <mergeCell ref="B1193:C1193"/>
    <mergeCell ref="D1193:E1193"/>
    <mergeCell ref="F1193:G1193"/>
    <mergeCell ref="H1193:J1193"/>
    <mergeCell ref="K1193:M1193"/>
    <mergeCell ref="N1193:U1193"/>
    <mergeCell ref="B1194:C1194"/>
    <mergeCell ref="D1194:E1194"/>
    <mergeCell ref="F1194:G1194"/>
    <mergeCell ref="H1194:J1194"/>
    <mergeCell ref="K1194:M1194"/>
    <mergeCell ref="N1194:U1194"/>
    <mergeCell ref="B1195:C1195"/>
    <mergeCell ref="D1195:E1195"/>
    <mergeCell ref="F1195:G1195"/>
    <mergeCell ref="H1195:J1195"/>
    <mergeCell ref="K1195:M1195"/>
    <mergeCell ref="N1195:U1195"/>
    <mergeCell ref="B1196:C1196"/>
    <mergeCell ref="D1196:E1196"/>
    <mergeCell ref="F1196:G1196"/>
    <mergeCell ref="H1196:J1196"/>
    <mergeCell ref="K1196:M1196"/>
    <mergeCell ref="N1196:U1196"/>
    <mergeCell ref="B1197:C1197"/>
    <mergeCell ref="D1197:E1197"/>
    <mergeCell ref="F1197:G1197"/>
    <mergeCell ref="H1197:J1197"/>
    <mergeCell ref="K1197:M1197"/>
    <mergeCell ref="N1197:U1197"/>
    <mergeCell ref="B1198:C1198"/>
    <mergeCell ref="D1198:E1198"/>
    <mergeCell ref="F1198:G1198"/>
    <mergeCell ref="H1198:J1198"/>
    <mergeCell ref="K1198:M1198"/>
    <mergeCell ref="N1198:U1198"/>
    <mergeCell ref="B1199:C1199"/>
    <mergeCell ref="D1199:E1199"/>
    <mergeCell ref="F1199:G1199"/>
    <mergeCell ref="H1199:J1199"/>
    <mergeCell ref="K1199:M1199"/>
    <mergeCell ref="N1199:U1199"/>
    <mergeCell ref="B1200:C1200"/>
    <mergeCell ref="D1200:E1200"/>
    <mergeCell ref="F1200:G1200"/>
    <mergeCell ref="H1200:J1200"/>
    <mergeCell ref="K1200:M1200"/>
    <mergeCell ref="N1200:U1200"/>
    <mergeCell ref="B1201:C1201"/>
    <mergeCell ref="D1201:E1201"/>
    <mergeCell ref="F1201:G1201"/>
    <mergeCell ref="H1201:J1201"/>
    <mergeCell ref="K1201:M1201"/>
    <mergeCell ref="N1201:U1201"/>
    <mergeCell ref="B1202:C1202"/>
    <mergeCell ref="D1202:E1202"/>
    <mergeCell ref="F1202:G1202"/>
    <mergeCell ref="H1202:J1202"/>
    <mergeCell ref="K1202:M1202"/>
    <mergeCell ref="N1202:U1202"/>
    <mergeCell ref="B1203:C1203"/>
    <mergeCell ref="D1203:E1203"/>
    <mergeCell ref="F1203:G1203"/>
    <mergeCell ref="H1203:J1203"/>
    <mergeCell ref="K1203:M1203"/>
    <mergeCell ref="N1203:U1203"/>
    <mergeCell ref="B1204:C1204"/>
    <mergeCell ref="D1204:E1204"/>
    <mergeCell ref="F1204:G1204"/>
    <mergeCell ref="H1204:J1204"/>
    <mergeCell ref="K1204:M1204"/>
    <mergeCell ref="N1204:U1204"/>
    <mergeCell ref="B1205:C1205"/>
    <mergeCell ref="D1205:E1205"/>
    <mergeCell ref="F1205:G1205"/>
    <mergeCell ref="H1205:J1205"/>
    <mergeCell ref="K1205:M1205"/>
    <mergeCell ref="N1205:U1205"/>
    <mergeCell ref="B1206:C1206"/>
    <mergeCell ref="D1206:E1206"/>
    <mergeCell ref="F1206:G1206"/>
    <mergeCell ref="H1206:J1206"/>
    <mergeCell ref="K1206:M1206"/>
    <mergeCell ref="N1206:U1206"/>
    <mergeCell ref="B1207:C1207"/>
    <mergeCell ref="D1207:E1207"/>
    <mergeCell ref="F1207:G1207"/>
    <mergeCell ref="H1207:J1207"/>
    <mergeCell ref="K1207:M1207"/>
    <mergeCell ref="N1207:U1207"/>
    <mergeCell ref="B1208:C1208"/>
    <mergeCell ref="D1208:E1208"/>
    <mergeCell ref="F1208:G1208"/>
    <mergeCell ref="H1208:J1208"/>
    <mergeCell ref="K1208:M1208"/>
    <mergeCell ref="N1208:U1208"/>
    <mergeCell ref="B1209:C1209"/>
    <mergeCell ref="D1209:E1209"/>
    <mergeCell ref="F1209:G1209"/>
    <mergeCell ref="H1209:J1209"/>
    <mergeCell ref="K1209:M1209"/>
    <mergeCell ref="N1209:U1209"/>
    <mergeCell ref="B1210:C1210"/>
    <mergeCell ref="D1210:E1210"/>
    <mergeCell ref="F1210:G1210"/>
    <mergeCell ref="H1210:J1210"/>
    <mergeCell ref="K1210:M1210"/>
    <mergeCell ref="N1210:U1210"/>
    <mergeCell ref="B1211:C1211"/>
    <mergeCell ref="D1211:E1211"/>
    <mergeCell ref="F1211:G1211"/>
    <mergeCell ref="H1211:J1211"/>
    <mergeCell ref="K1211:M1211"/>
    <mergeCell ref="N1211:U1211"/>
    <mergeCell ref="B1212:C1212"/>
    <mergeCell ref="D1212:E1212"/>
    <mergeCell ref="F1212:G1212"/>
    <mergeCell ref="H1212:J1212"/>
    <mergeCell ref="K1212:M1212"/>
    <mergeCell ref="N1212:U1212"/>
    <mergeCell ref="B1213:C1213"/>
    <mergeCell ref="D1213:E1213"/>
    <mergeCell ref="F1213:G1213"/>
    <mergeCell ref="H1213:J1213"/>
    <mergeCell ref="K1213:M1213"/>
    <mergeCell ref="N1213:U1213"/>
    <mergeCell ref="B1214:C1214"/>
    <mergeCell ref="D1214:E1214"/>
    <mergeCell ref="F1214:G1214"/>
    <mergeCell ref="H1214:J1214"/>
    <mergeCell ref="K1214:M1214"/>
    <mergeCell ref="N1214:U1214"/>
    <mergeCell ref="B1215:C1215"/>
    <mergeCell ref="D1215:E1215"/>
    <mergeCell ref="F1215:G1215"/>
    <mergeCell ref="H1215:J1215"/>
    <mergeCell ref="K1215:M1215"/>
    <mergeCell ref="N1215:U1215"/>
    <mergeCell ref="B1216:C1216"/>
    <mergeCell ref="D1216:E1216"/>
    <mergeCell ref="F1216:G1216"/>
    <mergeCell ref="H1216:J1216"/>
    <mergeCell ref="K1216:M1216"/>
    <mergeCell ref="N1216:U1216"/>
    <mergeCell ref="B1217:C1217"/>
    <mergeCell ref="D1217:E1217"/>
    <mergeCell ref="F1217:G1217"/>
    <mergeCell ref="H1217:J1217"/>
    <mergeCell ref="K1217:M1217"/>
    <mergeCell ref="N1217:U1217"/>
    <mergeCell ref="B1218:C1218"/>
    <mergeCell ref="D1218:E1218"/>
    <mergeCell ref="F1218:G1218"/>
    <mergeCell ref="H1218:J1218"/>
    <mergeCell ref="K1218:M1218"/>
    <mergeCell ref="N1218:U1218"/>
    <mergeCell ref="B1219:C1219"/>
    <mergeCell ref="D1219:E1219"/>
    <mergeCell ref="F1219:G1219"/>
    <mergeCell ref="H1219:J1219"/>
    <mergeCell ref="K1219:M1219"/>
    <mergeCell ref="N1219:U1219"/>
    <mergeCell ref="B1220:C1220"/>
    <mergeCell ref="D1220:E1220"/>
    <mergeCell ref="F1220:G1220"/>
    <mergeCell ref="H1220:J1220"/>
    <mergeCell ref="K1220:M1220"/>
    <mergeCell ref="N1220:U1220"/>
    <mergeCell ref="B1221:C1221"/>
    <mergeCell ref="D1221:E1221"/>
    <mergeCell ref="F1221:G1221"/>
    <mergeCell ref="H1221:J1221"/>
    <mergeCell ref="K1221:M1221"/>
    <mergeCell ref="N1221:U1221"/>
    <mergeCell ref="B1222:C1222"/>
    <mergeCell ref="D1222:E1222"/>
    <mergeCell ref="F1222:G1222"/>
    <mergeCell ref="H1222:J1222"/>
    <mergeCell ref="K1222:M1222"/>
    <mergeCell ref="N1222:U1222"/>
    <mergeCell ref="B1223:C1223"/>
    <mergeCell ref="D1223:E1223"/>
    <mergeCell ref="F1223:G1223"/>
    <mergeCell ref="H1223:J1223"/>
    <mergeCell ref="K1223:M1223"/>
    <mergeCell ref="N1223:U1223"/>
    <mergeCell ref="B1224:C1224"/>
    <mergeCell ref="D1224:E1224"/>
    <mergeCell ref="F1224:G1224"/>
    <mergeCell ref="H1224:J1224"/>
    <mergeCell ref="K1224:M1224"/>
    <mergeCell ref="N1224:U1224"/>
    <mergeCell ref="B1225:C1225"/>
    <mergeCell ref="D1225:E1225"/>
    <mergeCell ref="F1225:G1225"/>
    <mergeCell ref="H1225:J1225"/>
    <mergeCell ref="K1225:M1225"/>
    <mergeCell ref="N1225:U1225"/>
    <mergeCell ref="B1226:C1226"/>
    <mergeCell ref="D1226:E1226"/>
    <mergeCell ref="F1226:G1226"/>
    <mergeCell ref="H1226:J1226"/>
    <mergeCell ref="K1226:M1226"/>
    <mergeCell ref="N1226:U1226"/>
    <mergeCell ref="B1227:C1227"/>
    <mergeCell ref="D1227:E1227"/>
    <mergeCell ref="F1227:G1227"/>
    <mergeCell ref="H1227:J1227"/>
    <mergeCell ref="K1227:M1227"/>
    <mergeCell ref="N1227:U1227"/>
    <mergeCell ref="B1228:C1228"/>
    <mergeCell ref="D1228:E1228"/>
    <mergeCell ref="F1228:G1228"/>
    <mergeCell ref="H1228:J1228"/>
    <mergeCell ref="K1228:M1228"/>
    <mergeCell ref="N1228:U1228"/>
    <mergeCell ref="B1229:C1229"/>
    <mergeCell ref="D1229:E1229"/>
    <mergeCell ref="F1229:G1229"/>
    <mergeCell ref="H1229:J1229"/>
    <mergeCell ref="K1229:M1229"/>
    <mergeCell ref="N1229:U1229"/>
    <mergeCell ref="B1230:C1230"/>
    <mergeCell ref="D1230:E1230"/>
    <mergeCell ref="F1230:G1230"/>
    <mergeCell ref="H1230:J1230"/>
    <mergeCell ref="K1230:M1230"/>
    <mergeCell ref="N1230:U1230"/>
    <mergeCell ref="B1231:C1231"/>
    <mergeCell ref="D1231:E1231"/>
    <mergeCell ref="F1231:G1231"/>
    <mergeCell ref="H1231:J1231"/>
    <mergeCell ref="K1231:M1231"/>
    <mergeCell ref="N1231:U1231"/>
    <mergeCell ref="B1232:C1232"/>
    <mergeCell ref="D1232:E1232"/>
    <mergeCell ref="F1232:G1232"/>
    <mergeCell ref="H1232:J1232"/>
    <mergeCell ref="K1232:M1232"/>
    <mergeCell ref="N1232:U1232"/>
    <mergeCell ref="B1233:C1233"/>
    <mergeCell ref="D1233:E1233"/>
    <mergeCell ref="F1233:G1233"/>
    <mergeCell ref="H1233:J1233"/>
    <mergeCell ref="K1233:M1233"/>
    <mergeCell ref="N1233:U1233"/>
    <mergeCell ref="B1234:C1234"/>
    <mergeCell ref="D1234:E1234"/>
    <mergeCell ref="F1234:G1234"/>
    <mergeCell ref="H1234:J1234"/>
    <mergeCell ref="K1234:M1234"/>
    <mergeCell ref="N1234:U1234"/>
    <mergeCell ref="B1235:C1235"/>
    <mergeCell ref="D1235:E1235"/>
    <mergeCell ref="F1235:G1235"/>
    <mergeCell ref="H1235:J1235"/>
    <mergeCell ref="K1235:M1235"/>
    <mergeCell ref="N1235:U1235"/>
    <mergeCell ref="B1236:C1236"/>
    <mergeCell ref="D1236:E1236"/>
    <mergeCell ref="F1236:G1236"/>
    <mergeCell ref="H1236:J1236"/>
    <mergeCell ref="K1236:M1236"/>
    <mergeCell ref="N1236:U1236"/>
    <mergeCell ref="B1237:C1237"/>
    <mergeCell ref="D1237:E1237"/>
    <mergeCell ref="F1237:G1237"/>
    <mergeCell ref="H1237:J1237"/>
    <mergeCell ref="K1237:M1237"/>
    <mergeCell ref="N1237:U1237"/>
    <mergeCell ref="B1238:C1238"/>
    <mergeCell ref="D1238:E1238"/>
    <mergeCell ref="F1238:G1238"/>
    <mergeCell ref="H1238:J1238"/>
    <mergeCell ref="K1238:M1238"/>
    <mergeCell ref="N1238:U1238"/>
    <mergeCell ref="B1239:C1239"/>
    <mergeCell ref="D1239:E1239"/>
    <mergeCell ref="F1239:G1239"/>
    <mergeCell ref="H1239:J1239"/>
    <mergeCell ref="K1239:M1239"/>
    <mergeCell ref="N1239:U1239"/>
    <mergeCell ref="B1240:C1240"/>
    <mergeCell ref="D1240:E1240"/>
    <mergeCell ref="F1240:G1240"/>
    <mergeCell ref="H1240:J1240"/>
    <mergeCell ref="K1240:M1240"/>
    <mergeCell ref="N1240:U1240"/>
    <mergeCell ref="B1241:C1241"/>
    <mergeCell ref="D1241:E1241"/>
    <mergeCell ref="F1241:G1241"/>
    <mergeCell ref="H1241:J1241"/>
    <mergeCell ref="K1241:M1241"/>
    <mergeCell ref="N1241:U1241"/>
    <mergeCell ref="B1242:C1242"/>
    <mergeCell ref="D1242:E1242"/>
    <mergeCell ref="F1242:G1242"/>
    <mergeCell ref="H1242:J1242"/>
    <mergeCell ref="K1242:M1242"/>
    <mergeCell ref="N1242:U1242"/>
    <mergeCell ref="B1243:C1243"/>
    <mergeCell ref="D1243:E1243"/>
    <mergeCell ref="F1243:G1243"/>
    <mergeCell ref="H1243:J1243"/>
    <mergeCell ref="K1243:M1243"/>
    <mergeCell ref="N1243:U1243"/>
    <mergeCell ref="B1244:C1244"/>
    <mergeCell ref="D1244:E1244"/>
    <mergeCell ref="F1244:G1244"/>
    <mergeCell ref="H1244:J1244"/>
    <mergeCell ref="K1244:M1244"/>
    <mergeCell ref="N1244:U1244"/>
    <mergeCell ref="B1245:C1245"/>
    <mergeCell ref="D1245:E1245"/>
    <mergeCell ref="F1245:G1245"/>
    <mergeCell ref="H1245:J1245"/>
    <mergeCell ref="K1245:M1245"/>
    <mergeCell ref="N1245:U1245"/>
    <mergeCell ref="B1246:C1246"/>
    <mergeCell ref="D1246:E1246"/>
    <mergeCell ref="F1246:G1246"/>
    <mergeCell ref="H1246:J1246"/>
    <mergeCell ref="K1246:M1246"/>
    <mergeCell ref="N1246:U1246"/>
    <mergeCell ref="B1247:C1247"/>
    <mergeCell ref="D1247:E1247"/>
    <mergeCell ref="F1247:G1247"/>
    <mergeCell ref="H1247:J1247"/>
    <mergeCell ref="K1247:M1247"/>
    <mergeCell ref="N1247:U1247"/>
    <mergeCell ref="B1248:C1248"/>
    <mergeCell ref="D1248:E1248"/>
    <mergeCell ref="F1248:G1248"/>
    <mergeCell ref="H1248:J1248"/>
    <mergeCell ref="K1248:M1248"/>
    <mergeCell ref="N1248:U1248"/>
    <mergeCell ref="B1249:C1249"/>
    <mergeCell ref="D1249:E1249"/>
    <mergeCell ref="F1249:G1249"/>
    <mergeCell ref="H1249:J1249"/>
    <mergeCell ref="K1249:M1249"/>
    <mergeCell ref="N1249:U1249"/>
    <mergeCell ref="B1250:C1250"/>
    <mergeCell ref="D1250:E1250"/>
    <mergeCell ref="F1250:G1250"/>
    <mergeCell ref="H1250:J1250"/>
    <mergeCell ref="K1250:M1250"/>
    <mergeCell ref="N1250:U1250"/>
    <mergeCell ref="B1251:C1251"/>
    <mergeCell ref="D1251:E1251"/>
    <mergeCell ref="F1251:G1251"/>
    <mergeCell ref="H1251:J1251"/>
    <mergeCell ref="K1251:M1251"/>
    <mergeCell ref="N1251:U1251"/>
    <mergeCell ref="B1252:C1252"/>
    <mergeCell ref="D1252:E1252"/>
    <mergeCell ref="F1252:G1252"/>
    <mergeCell ref="H1252:J1252"/>
    <mergeCell ref="K1252:M1252"/>
    <mergeCell ref="N1252:U1252"/>
    <mergeCell ref="B1253:C1253"/>
    <mergeCell ref="D1253:E1253"/>
    <mergeCell ref="F1253:G1253"/>
    <mergeCell ref="H1253:J1253"/>
    <mergeCell ref="K1253:M1253"/>
    <mergeCell ref="N1253:U1253"/>
    <mergeCell ref="B1254:C1254"/>
    <mergeCell ref="D1254:E1254"/>
    <mergeCell ref="F1254:G1254"/>
    <mergeCell ref="H1254:J1254"/>
    <mergeCell ref="K1254:M1254"/>
    <mergeCell ref="N1254:U1254"/>
    <mergeCell ref="B1255:C1255"/>
    <mergeCell ref="D1255:E1255"/>
    <mergeCell ref="F1255:G1255"/>
    <mergeCell ref="H1255:J1255"/>
    <mergeCell ref="K1255:M1255"/>
    <mergeCell ref="N1255:U1255"/>
    <mergeCell ref="B1256:C1256"/>
    <mergeCell ref="D1256:E1256"/>
    <mergeCell ref="F1256:G1256"/>
    <mergeCell ref="H1256:J1256"/>
    <mergeCell ref="K1256:M1256"/>
    <mergeCell ref="N1256:U1256"/>
    <mergeCell ref="B1257:C1257"/>
    <mergeCell ref="D1257:E1257"/>
    <mergeCell ref="F1257:G1257"/>
    <mergeCell ref="H1257:J1257"/>
    <mergeCell ref="K1257:M1257"/>
    <mergeCell ref="N1257:U1257"/>
    <mergeCell ref="B1258:C1258"/>
    <mergeCell ref="D1258:E1258"/>
    <mergeCell ref="F1258:G1258"/>
    <mergeCell ref="H1258:J1258"/>
    <mergeCell ref="K1258:M1258"/>
    <mergeCell ref="N1258:U1258"/>
    <mergeCell ref="B1259:C1259"/>
    <mergeCell ref="D1259:E1259"/>
    <mergeCell ref="F1259:G1259"/>
    <mergeCell ref="H1259:J1259"/>
    <mergeCell ref="K1259:M1259"/>
    <mergeCell ref="N1259:U1259"/>
    <mergeCell ref="B1260:C1260"/>
    <mergeCell ref="D1260:E1260"/>
    <mergeCell ref="F1260:G1260"/>
    <mergeCell ref="H1260:J1260"/>
    <mergeCell ref="K1260:M1260"/>
    <mergeCell ref="N1260:U1260"/>
    <mergeCell ref="B1261:C1261"/>
    <mergeCell ref="D1261:E1261"/>
    <mergeCell ref="F1261:G1261"/>
    <mergeCell ref="H1261:J1261"/>
    <mergeCell ref="K1261:M1261"/>
    <mergeCell ref="N1261:U1261"/>
    <mergeCell ref="B1262:C1262"/>
    <mergeCell ref="D1262:E1262"/>
    <mergeCell ref="F1262:G1262"/>
    <mergeCell ref="H1262:J1262"/>
    <mergeCell ref="K1262:M1262"/>
    <mergeCell ref="N1262:U1262"/>
    <mergeCell ref="B1263:C1263"/>
    <mergeCell ref="D1263:E1263"/>
    <mergeCell ref="F1263:G1263"/>
    <mergeCell ref="H1263:J1263"/>
    <mergeCell ref="K1263:M1263"/>
    <mergeCell ref="N1263:U1263"/>
    <mergeCell ref="B1264:C1264"/>
    <mergeCell ref="D1264:E1264"/>
    <mergeCell ref="F1264:G1264"/>
    <mergeCell ref="H1264:J1264"/>
    <mergeCell ref="K1264:M1264"/>
    <mergeCell ref="N1264:U1264"/>
    <mergeCell ref="B1265:C1265"/>
    <mergeCell ref="D1265:E1265"/>
    <mergeCell ref="F1265:G1265"/>
    <mergeCell ref="H1265:J1265"/>
    <mergeCell ref="K1265:M1265"/>
    <mergeCell ref="N1265:U1265"/>
    <mergeCell ref="B1266:C1266"/>
    <mergeCell ref="D1266:E1266"/>
    <mergeCell ref="F1266:G1266"/>
    <mergeCell ref="H1266:J1266"/>
    <mergeCell ref="K1266:M1266"/>
    <mergeCell ref="N1266:U1266"/>
    <mergeCell ref="B1267:C1267"/>
    <mergeCell ref="D1267:E1267"/>
    <mergeCell ref="F1267:G1267"/>
    <mergeCell ref="H1267:J1267"/>
    <mergeCell ref="K1267:M1267"/>
    <mergeCell ref="N1267:U1267"/>
    <mergeCell ref="B1268:C1268"/>
    <mergeCell ref="D1268:E1268"/>
    <mergeCell ref="F1268:G1268"/>
    <mergeCell ref="H1268:J1268"/>
    <mergeCell ref="K1268:M1268"/>
    <mergeCell ref="N1268:U1268"/>
    <mergeCell ref="B1269:C1269"/>
    <mergeCell ref="D1269:E1269"/>
    <mergeCell ref="F1269:G1269"/>
    <mergeCell ref="H1269:J1269"/>
    <mergeCell ref="K1269:M1269"/>
    <mergeCell ref="N1269:U1269"/>
    <mergeCell ref="B1270:C1270"/>
    <mergeCell ref="D1270:E1270"/>
    <mergeCell ref="F1270:G1270"/>
    <mergeCell ref="H1270:J1270"/>
    <mergeCell ref="K1270:M1270"/>
    <mergeCell ref="N1270:U1270"/>
    <mergeCell ref="B1271:C1271"/>
    <mergeCell ref="D1271:E1271"/>
    <mergeCell ref="F1271:G1271"/>
    <mergeCell ref="H1271:J1271"/>
    <mergeCell ref="K1271:M1271"/>
    <mergeCell ref="N1271:U1271"/>
    <mergeCell ref="B1272:C1272"/>
    <mergeCell ref="D1272:E1272"/>
    <mergeCell ref="F1272:G1272"/>
    <mergeCell ref="H1272:J1272"/>
    <mergeCell ref="K1272:M1272"/>
    <mergeCell ref="N1272:U1272"/>
    <mergeCell ref="B1273:C1273"/>
    <mergeCell ref="D1273:E1273"/>
    <mergeCell ref="F1273:G1273"/>
    <mergeCell ref="H1273:J1273"/>
    <mergeCell ref="K1273:M1273"/>
    <mergeCell ref="N1273:U1273"/>
    <mergeCell ref="B1274:C1274"/>
    <mergeCell ref="D1274:E1274"/>
    <mergeCell ref="F1274:G1274"/>
    <mergeCell ref="H1274:J1274"/>
    <mergeCell ref="K1274:M1274"/>
    <mergeCell ref="N1274:U1274"/>
    <mergeCell ref="B1275:C1275"/>
    <mergeCell ref="D1275:E1275"/>
    <mergeCell ref="F1275:G1275"/>
    <mergeCell ref="H1275:J1275"/>
    <mergeCell ref="K1275:M1275"/>
    <mergeCell ref="N1275:U1275"/>
    <mergeCell ref="B1276:C1276"/>
    <mergeCell ref="D1276:E1276"/>
    <mergeCell ref="F1276:G1276"/>
    <mergeCell ref="H1276:J1276"/>
    <mergeCell ref="K1276:M1276"/>
    <mergeCell ref="N1276:U1276"/>
    <mergeCell ref="B1277:C1277"/>
    <mergeCell ref="D1277:E1277"/>
    <mergeCell ref="F1277:G1277"/>
    <mergeCell ref="H1277:J1277"/>
    <mergeCell ref="K1277:M1277"/>
    <mergeCell ref="N1277:U1277"/>
    <mergeCell ref="B1278:C1278"/>
    <mergeCell ref="D1278:E1278"/>
    <mergeCell ref="F1278:G1278"/>
    <mergeCell ref="H1278:J1278"/>
    <mergeCell ref="K1278:M1278"/>
    <mergeCell ref="N1278:U1278"/>
    <mergeCell ref="B1279:C1279"/>
    <mergeCell ref="D1279:E1279"/>
    <mergeCell ref="F1279:G1279"/>
    <mergeCell ref="H1279:J1279"/>
    <mergeCell ref="K1279:M1279"/>
    <mergeCell ref="N1279:U1279"/>
    <mergeCell ref="B1280:C1280"/>
    <mergeCell ref="D1280:E1280"/>
    <mergeCell ref="F1280:G1280"/>
    <mergeCell ref="H1280:J1280"/>
    <mergeCell ref="K1280:M1280"/>
    <mergeCell ref="N1280:U1280"/>
    <mergeCell ref="B1281:C1281"/>
    <mergeCell ref="D1281:E1281"/>
    <mergeCell ref="F1281:G1281"/>
    <mergeCell ref="H1281:J1281"/>
    <mergeCell ref="K1281:M1281"/>
    <mergeCell ref="N1281:U1281"/>
    <mergeCell ref="B1282:C1282"/>
    <mergeCell ref="D1282:E1282"/>
    <mergeCell ref="F1282:G1282"/>
    <mergeCell ref="H1282:J1282"/>
    <mergeCell ref="K1282:M1282"/>
    <mergeCell ref="N1282:U1282"/>
    <mergeCell ref="B1283:C1283"/>
    <mergeCell ref="D1283:E1283"/>
    <mergeCell ref="F1283:G1283"/>
    <mergeCell ref="H1283:J1283"/>
    <mergeCell ref="K1283:M1283"/>
    <mergeCell ref="N1283:U1283"/>
    <mergeCell ref="B1284:C1284"/>
    <mergeCell ref="D1284:E1284"/>
    <mergeCell ref="F1284:G1284"/>
    <mergeCell ref="H1284:J1284"/>
    <mergeCell ref="K1284:M1284"/>
    <mergeCell ref="N1284:U1284"/>
    <mergeCell ref="B1285:C1285"/>
    <mergeCell ref="D1285:E1285"/>
    <mergeCell ref="F1285:G1285"/>
    <mergeCell ref="H1285:J1285"/>
    <mergeCell ref="K1285:M1285"/>
    <mergeCell ref="N1285:U1285"/>
    <mergeCell ref="B1286:C1286"/>
    <mergeCell ref="D1286:E1286"/>
    <mergeCell ref="F1286:G1286"/>
    <mergeCell ref="H1286:J1286"/>
    <mergeCell ref="K1286:M1286"/>
    <mergeCell ref="N1286:U1286"/>
    <mergeCell ref="B1287:C1287"/>
    <mergeCell ref="D1287:E1287"/>
    <mergeCell ref="F1287:G1287"/>
    <mergeCell ref="H1287:J1287"/>
    <mergeCell ref="K1287:M1287"/>
    <mergeCell ref="N1287:U1287"/>
    <mergeCell ref="B1288:C1288"/>
    <mergeCell ref="D1288:E1288"/>
    <mergeCell ref="F1288:G1288"/>
    <mergeCell ref="H1288:J1288"/>
    <mergeCell ref="K1288:M1288"/>
    <mergeCell ref="N1288:U1288"/>
    <mergeCell ref="B1289:C1289"/>
    <mergeCell ref="D1289:E1289"/>
    <mergeCell ref="F1289:G1289"/>
    <mergeCell ref="H1289:J1289"/>
    <mergeCell ref="K1289:M1289"/>
    <mergeCell ref="N1289:U1289"/>
    <mergeCell ref="B1290:C1290"/>
    <mergeCell ref="D1290:E1290"/>
    <mergeCell ref="F1290:G1290"/>
    <mergeCell ref="H1290:J1290"/>
    <mergeCell ref="K1290:M1290"/>
    <mergeCell ref="N1290:U1290"/>
    <mergeCell ref="B1291:C1291"/>
    <mergeCell ref="D1291:E1291"/>
    <mergeCell ref="F1291:G1291"/>
    <mergeCell ref="H1291:J1291"/>
    <mergeCell ref="K1291:M1291"/>
    <mergeCell ref="N1291:U1291"/>
    <mergeCell ref="B1292:C1292"/>
    <mergeCell ref="D1292:E1292"/>
    <mergeCell ref="F1292:G1292"/>
    <mergeCell ref="H1292:J1292"/>
    <mergeCell ref="K1292:M1292"/>
    <mergeCell ref="N1292:U1292"/>
    <mergeCell ref="B1293:C1293"/>
    <mergeCell ref="D1293:E1293"/>
    <mergeCell ref="F1293:G1293"/>
    <mergeCell ref="H1293:J1293"/>
    <mergeCell ref="K1293:M1293"/>
    <mergeCell ref="N1293:U1293"/>
    <mergeCell ref="B1294:C1294"/>
    <mergeCell ref="D1294:E1294"/>
    <mergeCell ref="F1294:G1294"/>
    <mergeCell ref="H1294:J1294"/>
    <mergeCell ref="K1294:M1294"/>
    <mergeCell ref="N1294:U1294"/>
    <mergeCell ref="B1295:C1295"/>
    <mergeCell ref="D1295:E1295"/>
    <mergeCell ref="F1295:G1295"/>
    <mergeCell ref="H1295:J1295"/>
    <mergeCell ref="K1295:M1295"/>
    <mergeCell ref="N1295:U1295"/>
    <mergeCell ref="B1296:C1296"/>
    <mergeCell ref="D1296:E1296"/>
    <mergeCell ref="F1296:G1296"/>
    <mergeCell ref="H1296:J1296"/>
    <mergeCell ref="K1296:M1296"/>
    <mergeCell ref="N1296:U1296"/>
    <mergeCell ref="B1297:C1297"/>
    <mergeCell ref="D1297:E1297"/>
    <mergeCell ref="F1297:G1297"/>
    <mergeCell ref="H1297:J1297"/>
    <mergeCell ref="K1297:M1297"/>
    <mergeCell ref="N1297:U1297"/>
    <mergeCell ref="B1298:C1298"/>
    <mergeCell ref="D1298:E1298"/>
    <mergeCell ref="F1298:G1298"/>
    <mergeCell ref="H1298:J1298"/>
    <mergeCell ref="K1298:M1298"/>
    <mergeCell ref="N1298:U1298"/>
    <mergeCell ref="B1299:C1299"/>
    <mergeCell ref="D1299:E1299"/>
    <mergeCell ref="F1299:G1299"/>
    <mergeCell ref="H1299:J1299"/>
    <mergeCell ref="K1299:M1299"/>
    <mergeCell ref="N1299:U1299"/>
    <mergeCell ref="B1300:C1300"/>
    <mergeCell ref="D1300:E1300"/>
    <mergeCell ref="F1300:G1300"/>
    <mergeCell ref="H1300:J1300"/>
    <mergeCell ref="K1300:M1300"/>
    <mergeCell ref="N1300:U1300"/>
    <mergeCell ref="B1301:C1301"/>
    <mergeCell ref="D1301:E1301"/>
    <mergeCell ref="F1301:G1301"/>
    <mergeCell ref="H1301:J1301"/>
    <mergeCell ref="K1301:M1301"/>
    <mergeCell ref="N1301:U1301"/>
    <mergeCell ref="B1302:C1302"/>
    <mergeCell ref="D1302:E1302"/>
    <mergeCell ref="F1302:G1302"/>
    <mergeCell ref="H1302:J1302"/>
    <mergeCell ref="K1302:M1302"/>
    <mergeCell ref="N1302:U1302"/>
    <mergeCell ref="B1303:C1303"/>
    <mergeCell ref="D1303:E1303"/>
    <mergeCell ref="F1303:G1303"/>
    <mergeCell ref="H1303:J1303"/>
    <mergeCell ref="K1303:M1303"/>
    <mergeCell ref="N1303:U1303"/>
    <mergeCell ref="B1304:C1304"/>
    <mergeCell ref="D1304:E1304"/>
    <mergeCell ref="F1304:G1304"/>
    <mergeCell ref="H1304:J1304"/>
    <mergeCell ref="K1304:M1304"/>
    <mergeCell ref="N1304:U1304"/>
    <mergeCell ref="B1305:C1305"/>
    <mergeCell ref="D1305:E1305"/>
    <mergeCell ref="F1305:G1305"/>
    <mergeCell ref="H1305:J1305"/>
    <mergeCell ref="K1305:M1305"/>
    <mergeCell ref="N1305:U1305"/>
    <mergeCell ref="B1306:C1306"/>
    <mergeCell ref="D1306:E1306"/>
    <mergeCell ref="F1306:G1306"/>
    <mergeCell ref="H1306:J1306"/>
    <mergeCell ref="K1306:M1306"/>
    <mergeCell ref="N1306:U1306"/>
    <mergeCell ref="B1307:C1307"/>
    <mergeCell ref="D1307:E1307"/>
    <mergeCell ref="F1307:G1307"/>
    <mergeCell ref="H1307:J1307"/>
    <mergeCell ref="K1307:M1307"/>
    <mergeCell ref="N1307:U1307"/>
    <mergeCell ref="B1308:C1308"/>
    <mergeCell ref="D1308:E1308"/>
    <mergeCell ref="F1308:G1308"/>
    <mergeCell ref="H1308:J1308"/>
    <mergeCell ref="K1308:M1308"/>
    <mergeCell ref="N1308:U1308"/>
    <mergeCell ref="B1309:C1309"/>
    <mergeCell ref="D1309:E1309"/>
    <mergeCell ref="F1309:G1309"/>
    <mergeCell ref="H1309:J1309"/>
    <mergeCell ref="K1309:M1309"/>
    <mergeCell ref="N1309:U1309"/>
    <mergeCell ref="B1310:C1310"/>
    <mergeCell ref="D1310:E1310"/>
    <mergeCell ref="F1310:G1310"/>
    <mergeCell ref="H1310:J1310"/>
    <mergeCell ref="K1310:M1310"/>
    <mergeCell ref="N1310:U1310"/>
    <mergeCell ref="B1311:C1311"/>
    <mergeCell ref="D1311:E1311"/>
    <mergeCell ref="F1311:G1311"/>
    <mergeCell ref="H1311:J1311"/>
    <mergeCell ref="K1311:M1311"/>
    <mergeCell ref="N1311:U1311"/>
    <mergeCell ref="B1312:C1312"/>
    <mergeCell ref="D1312:E1312"/>
    <mergeCell ref="F1312:G1312"/>
    <mergeCell ref="H1312:J1312"/>
    <mergeCell ref="K1312:M1312"/>
    <mergeCell ref="N1312:U1312"/>
    <mergeCell ref="B1313:C1313"/>
    <mergeCell ref="D1313:E1313"/>
    <mergeCell ref="F1313:G1313"/>
    <mergeCell ref="H1313:J1313"/>
    <mergeCell ref="K1313:M1313"/>
    <mergeCell ref="N1313:U1313"/>
    <mergeCell ref="B1314:C1314"/>
    <mergeCell ref="D1314:E1314"/>
    <mergeCell ref="F1314:G1314"/>
    <mergeCell ref="H1314:J1314"/>
    <mergeCell ref="K1314:M1314"/>
    <mergeCell ref="N1314:U1314"/>
    <mergeCell ref="B1315:C1315"/>
    <mergeCell ref="D1315:E1315"/>
    <mergeCell ref="F1315:G1315"/>
    <mergeCell ref="H1315:J1315"/>
    <mergeCell ref="K1315:M1315"/>
    <mergeCell ref="N1315:U1315"/>
    <mergeCell ref="B1316:C1316"/>
    <mergeCell ref="D1316:E1316"/>
    <mergeCell ref="F1316:G1316"/>
    <mergeCell ref="H1316:J1316"/>
    <mergeCell ref="K1316:M1316"/>
    <mergeCell ref="N1316:U1316"/>
    <mergeCell ref="B1317:C1317"/>
    <mergeCell ref="D1317:E1317"/>
    <mergeCell ref="F1317:G1317"/>
    <mergeCell ref="H1317:J1317"/>
    <mergeCell ref="K1317:M1317"/>
    <mergeCell ref="N1317:U1317"/>
    <mergeCell ref="B1318:C1318"/>
    <mergeCell ref="D1318:E1318"/>
    <mergeCell ref="F1318:G1318"/>
    <mergeCell ref="H1318:J1318"/>
    <mergeCell ref="K1318:M1318"/>
    <mergeCell ref="N1318:U1318"/>
    <mergeCell ref="B1319:C1319"/>
    <mergeCell ref="D1319:E1319"/>
    <mergeCell ref="F1319:G1319"/>
    <mergeCell ref="H1319:J1319"/>
    <mergeCell ref="K1319:M1319"/>
    <mergeCell ref="N1319:U1319"/>
    <mergeCell ref="B1320:C1320"/>
    <mergeCell ref="D1320:E1320"/>
    <mergeCell ref="F1320:G1320"/>
    <mergeCell ref="H1320:J1320"/>
    <mergeCell ref="K1320:M1320"/>
    <mergeCell ref="N1320:U1320"/>
    <mergeCell ref="B1321:C1321"/>
    <mergeCell ref="D1321:E1321"/>
    <mergeCell ref="F1321:G1321"/>
    <mergeCell ref="H1321:J1321"/>
    <mergeCell ref="K1321:M1321"/>
    <mergeCell ref="N1321:U1321"/>
    <mergeCell ref="B1322:C1322"/>
    <mergeCell ref="D1322:E1322"/>
    <mergeCell ref="F1322:G1322"/>
    <mergeCell ref="H1322:J1322"/>
    <mergeCell ref="K1322:M1322"/>
    <mergeCell ref="N1322:U1322"/>
    <mergeCell ref="B1323:C1323"/>
    <mergeCell ref="D1323:E1323"/>
    <mergeCell ref="F1323:G1323"/>
    <mergeCell ref="H1323:J1323"/>
    <mergeCell ref="K1323:M1323"/>
    <mergeCell ref="N1323:U1323"/>
    <mergeCell ref="B1324:C1324"/>
    <mergeCell ref="D1324:E1324"/>
    <mergeCell ref="F1324:G1324"/>
    <mergeCell ref="H1324:J1324"/>
    <mergeCell ref="K1324:M1324"/>
    <mergeCell ref="N1324:U1324"/>
    <mergeCell ref="B1325:C1325"/>
    <mergeCell ref="D1325:E1325"/>
    <mergeCell ref="F1325:G1325"/>
    <mergeCell ref="H1325:J1325"/>
    <mergeCell ref="K1325:M1325"/>
    <mergeCell ref="N1325:U1325"/>
    <mergeCell ref="B1326:C1326"/>
    <mergeCell ref="D1326:E1326"/>
    <mergeCell ref="F1326:G1326"/>
    <mergeCell ref="H1326:J1326"/>
    <mergeCell ref="K1326:M1326"/>
    <mergeCell ref="N1326:U1326"/>
    <mergeCell ref="B1327:C1327"/>
    <mergeCell ref="D1327:E1327"/>
    <mergeCell ref="F1327:G1327"/>
    <mergeCell ref="H1327:J1327"/>
    <mergeCell ref="K1327:M1327"/>
    <mergeCell ref="N1327:U1327"/>
    <mergeCell ref="B1328:C1328"/>
    <mergeCell ref="D1328:E1328"/>
    <mergeCell ref="F1328:G1328"/>
    <mergeCell ref="H1328:J1328"/>
    <mergeCell ref="K1328:M1328"/>
    <mergeCell ref="N1328:U1328"/>
    <mergeCell ref="B1329:C1329"/>
    <mergeCell ref="D1329:E1329"/>
    <mergeCell ref="F1329:G1329"/>
    <mergeCell ref="H1329:J1329"/>
    <mergeCell ref="K1329:M1329"/>
    <mergeCell ref="N1329:U1329"/>
    <mergeCell ref="B1330:C1330"/>
    <mergeCell ref="D1330:E1330"/>
    <mergeCell ref="F1330:G1330"/>
    <mergeCell ref="H1330:J1330"/>
    <mergeCell ref="K1330:M1330"/>
    <mergeCell ref="N1330:U1330"/>
    <mergeCell ref="B1331:C1331"/>
    <mergeCell ref="D1331:E1331"/>
    <mergeCell ref="F1331:G1331"/>
    <mergeCell ref="H1331:J1331"/>
    <mergeCell ref="K1331:M1331"/>
    <mergeCell ref="N1331:U1331"/>
    <mergeCell ref="B1332:C1332"/>
    <mergeCell ref="D1332:E1332"/>
    <mergeCell ref="F1332:G1332"/>
    <mergeCell ref="H1332:J1332"/>
    <mergeCell ref="K1332:M1332"/>
    <mergeCell ref="N1332:U1332"/>
    <mergeCell ref="B1333:C1333"/>
    <mergeCell ref="D1333:E1333"/>
    <mergeCell ref="F1333:G1333"/>
    <mergeCell ref="H1333:J1333"/>
    <mergeCell ref="K1333:M1333"/>
    <mergeCell ref="N1333:U1333"/>
    <mergeCell ref="B1334:C1334"/>
    <mergeCell ref="D1334:E1334"/>
    <mergeCell ref="F1334:G1334"/>
    <mergeCell ref="H1334:J1334"/>
    <mergeCell ref="K1334:M1334"/>
    <mergeCell ref="N1334:U1334"/>
    <mergeCell ref="B1335:C1335"/>
    <mergeCell ref="D1335:E1335"/>
    <mergeCell ref="F1335:G1335"/>
    <mergeCell ref="H1335:J1335"/>
    <mergeCell ref="K1335:M1335"/>
    <mergeCell ref="N1335:U1335"/>
    <mergeCell ref="B1336:C1336"/>
    <mergeCell ref="D1336:E1336"/>
    <mergeCell ref="F1336:G1336"/>
    <mergeCell ref="H1336:J1336"/>
    <mergeCell ref="K1336:M1336"/>
    <mergeCell ref="N1336:U1336"/>
    <mergeCell ref="B1337:C1337"/>
    <mergeCell ref="D1337:E1337"/>
    <mergeCell ref="F1337:G1337"/>
    <mergeCell ref="H1337:J1337"/>
    <mergeCell ref="K1337:M1337"/>
    <mergeCell ref="N1337:U1337"/>
    <mergeCell ref="B1338:C1338"/>
    <mergeCell ref="D1338:E1338"/>
    <mergeCell ref="F1338:G1338"/>
    <mergeCell ref="H1338:J1338"/>
    <mergeCell ref="K1338:M1338"/>
    <mergeCell ref="N1338:U1338"/>
    <mergeCell ref="B1339:C1339"/>
    <mergeCell ref="D1339:E1339"/>
    <mergeCell ref="F1339:G1339"/>
    <mergeCell ref="H1339:J1339"/>
    <mergeCell ref="K1339:M1339"/>
    <mergeCell ref="N1339:U1339"/>
    <mergeCell ref="B1340:C1340"/>
    <mergeCell ref="D1340:E1340"/>
    <mergeCell ref="F1340:G1340"/>
    <mergeCell ref="H1340:J1340"/>
    <mergeCell ref="K1340:M1340"/>
    <mergeCell ref="N1340:U1340"/>
    <mergeCell ref="B1341:C1341"/>
    <mergeCell ref="D1341:E1341"/>
    <mergeCell ref="F1341:G1341"/>
    <mergeCell ref="H1341:J1341"/>
    <mergeCell ref="K1341:M1341"/>
    <mergeCell ref="N1341:U1341"/>
    <mergeCell ref="B1342:C1342"/>
    <mergeCell ref="D1342:E1342"/>
    <mergeCell ref="F1342:G1342"/>
    <mergeCell ref="H1342:J1342"/>
    <mergeCell ref="K1342:M1342"/>
    <mergeCell ref="N1342:U1342"/>
    <mergeCell ref="B1343:C1343"/>
    <mergeCell ref="D1343:E1343"/>
    <mergeCell ref="F1343:G1343"/>
    <mergeCell ref="H1343:J1343"/>
    <mergeCell ref="K1343:M1343"/>
    <mergeCell ref="N1343:U1343"/>
    <mergeCell ref="B1344:C1344"/>
    <mergeCell ref="D1344:E1344"/>
    <mergeCell ref="F1344:G1344"/>
    <mergeCell ref="H1344:J1344"/>
    <mergeCell ref="K1344:M1344"/>
    <mergeCell ref="N1344:U1344"/>
    <mergeCell ref="B1345:C1345"/>
    <mergeCell ref="D1345:E1345"/>
    <mergeCell ref="F1345:G1345"/>
    <mergeCell ref="H1345:J1345"/>
    <mergeCell ref="K1345:M1345"/>
    <mergeCell ref="N1345:U1345"/>
    <mergeCell ref="B1346:C1346"/>
    <mergeCell ref="D1346:E1346"/>
    <mergeCell ref="F1346:G1346"/>
    <mergeCell ref="H1346:J1346"/>
    <mergeCell ref="K1346:M1346"/>
    <mergeCell ref="N1346:U1346"/>
    <mergeCell ref="B1347:C1347"/>
    <mergeCell ref="D1347:E1347"/>
    <mergeCell ref="F1347:G1347"/>
    <mergeCell ref="H1347:J1347"/>
    <mergeCell ref="K1347:M1347"/>
    <mergeCell ref="N1347:U1347"/>
    <mergeCell ref="B1348:C1348"/>
    <mergeCell ref="D1348:E1348"/>
    <mergeCell ref="F1348:G1348"/>
    <mergeCell ref="H1348:J1348"/>
    <mergeCell ref="K1348:M1348"/>
    <mergeCell ref="N1348:U1348"/>
    <mergeCell ref="B1349:C1349"/>
    <mergeCell ref="D1349:E1349"/>
    <mergeCell ref="F1349:G1349"/>
    <mergeCell ref="H1349:J1349"/>
    <mergeCell ref="K1349:M1349"/>
    <mergeCell ref="N1349:U1349"/>
    <mergeCell ref="B1350:C1350"/>
    <mergeCell ref="D1350:E1350"/>
    <mergeCell ref="F1350:G1350"/>
    <mergeCell ref="H1350:J1350"/>
    <mergeCell ref="K1350:M1350"/>
    <mergeCell ref="N1350:U1350"/>
    <mergeCell ref="B1351:C1351"/>
    <mergeCell ref="D1351:E1351"/>
    <mergeCell ref="F1351:G1351"/>
    <mergeCell ref="H1351:J1351"/>
    <mergeCell ref="K1351:M1351"/>
    <mergeCell ref="N1351:U1351"/>
    <mergeCell ref="B1352:C1352"/>
    <mergeCell ref="D1352:E1352"/>
    <mergeCell ref="F1352:G1352"/>
    <mergeCell ref="H1352:J1352"/>
    <mergeCell ref="K1352:M1352"/>
    <mergeCell ref="N1352:U1352"/>
    <mergeCell ref="B1353:C1353"/>
    <mergeCell ref="D1353:E1353"/>
    <mergeCell ref="F1353:G1353"/>
    <mergeCell ref="H1353:J1353"/>
    <mergeCell ref="K1353:M1353"/>
    <mergeCell ref="N1353:U1353"/>
    <mergeCell ref="B1354:C1354"/>
    <mergeCell ref="D1354:E1354"/>
    <mergeCell ref="F1354:G1354"/>
    <mergeCell ref="H1354:J1354"/>
    <mergeCell ref="K1354:M1354"/>
    <mergeCell ref="N1354:U1354"/>
    <mergeCell ref="B1355:C1355"/>
    <mergeCell ref="D1355:E1355"/>
    <mergeCell ref="F1355:G1355"/>
    <mergeCell ref="H1355:J1355"/>
    <mergeCell ref="K1355:M1355"/>
    <mergeCell ref="N1355:U1355"/>
    <mergeCell ref="B1356:C1356"/>
    <mergeCell ref="D1356:E1356"/>
    <mergeCell ref="F1356:G1356"/>
    <mergeCell ref="H1356:J1356"/>
    <mergeCell ref="K1356:M1356"/>
    <mergeCell ref="N1356:U1356"/>
    <mergeCell ref="B1357:C1357"/>
    <mergeCell ref="D1357:E1357"/>
    <mergeCell ref="F1357:G1357"/>
    <mergeCell ref="H1357:J1357"/>
    <mergeCell ref="K1357:M1357"/>
    <mergeCell ref="N1357:U1357"/>
    <mergeCell ref="B1358:C1358"/>
    <mergeCell ref="D1358:E1358"/>
    <mergeCell ref="F1358:G1358"/>
    <mergeCell ref="H1358:J1358"/>
    <mergeCell ref="K1358:M1358"/>
    <mergeCell ref="N1358:U1358"/>
    <mergeCell ref="B1359:C1359"/>
    <mergeCell ref="D1359:E1359"/>
    <mergeCell ref="F1359:G1359"/>
    <mergeCell ref="H1359:J1359"/>
    <mergeCell ref="K1359:M1359"/>
    <mergeCell ref="N1359:U1359"/>
    <mergeCell ref="B1360:C1360"/>
    <mergeCell ref="D1360:E1360"/>
    <mergeCell ref="F1360:G1360"/>
    <mergeCell ref="H1360:J1360"/>
    <mergeCell ref="K1360:M1360"/>
    <mergeCell ref="N1360:U1360"/>
    <mergeCell ref="B1361:C1361"/>
    <mergeCell ref="D1361:E1361"/>
    <mergeCell ref="F1361:G1361"/>
    <mergeCell ref="H1361:J1361"/>
    <mergeCell ref="K1361:M1361"/>
    <mergeCell ref="N1361:U1361"/>
    <mergeCell ref="B1362:C1362"/>
    <mergeCell ref="D1362:E1362"/>
    <mergeCell ref="F1362:G1362"/>
    <mergeCell ref="H1362:J1362"/>
    <mergeCell ref="K1362:M1362"/>
    <mergeCell ref="N1362:U1362"/>
    <mergeCell ref="B1363:C1363"/>
    <mergeCell ref="D1363:E1363"/>
    <mergeCell ref="F1363:G1363"/>
    <mergeCell ref="H1363:J1363"/>
    <mergeCell ref="K1363:M1363"/>
    <mergeCell ref="N1363:U1363"/>
    <mergeCell ref="B1364:C1364"/>
    <mergeCell ref="D1364:E1364"/>
    <mergeCell ref="F1364:G1364"/>
    <mergeCell ref="H1364:J1364"/>
    <mergeCell ref="K1364:M1364"/>
    <mergeCell ref="N1364:U1364"/>
    <mergeCell ref="B1365:C1365"/>
    <mergeCell ref="D1365:E1365"/>
    <mergeCell ref="F1365:G1365"/>
    <mergeCell ref="H1365:J1365"/>
    <mergeCell ref="K1365:M1365"/>
    <mergeCell ref="N1365:U1365"/>
    <mergeCell ref="B1366:C1366"/>
    <mergeCell ref="D1366:E1366"/>
    <mergeCell ref="F1366:G1366"/>
    <mergeCell ref="H1366:J1366"/>
    <mergeCell ref="K1366:M1366"/>
    <mergeCell ref="N1366:U1366"/>
    <mergeCell ref="B1367:C1367"/>
    <mergeCell ref="D1367:E1367"/>
    <mergeCell ref="F1367:G1367"/>
    <mergeCell ref="H1367:J1367"/>
    <mergeCell ref="K1367:M1367"/>
    <mergeCell ref="N1367:U1367"/>
    <mergeCell ref="B1368:C1368"/>
    <mergeCell ref="D1368:E1368"/>
    <mergeCell ref="F1368:G1368"/>
    <mergeCell ref="H1368:J1368"/>
    <mergeCell ref="K1368:M1368"/>
    <mergeCell ref="N1368:U1368"/>
    <mergeCell ref="B1369:C1369"/>
    <mergeCell ref="D1369:E1369"/>
    <mergeCell ref="F1369:G1369"/>
    <mergeCell ref="H1369:J1369"/>
    <mergeCell ref="K1369:M1369"/>
    <mergeCell ref="N1369:U1369"/>
    <mergeCell ref="B1370:C1370"/>
    <mergeCell ref="D1370:E1370"/>
    <mergeCell ref="F1370:G1370"/>
    <mergeCell ref="H1370:J1370"/>
    <mergeCell ref="K1370:M1370"/>
    <mergeCell ref="N1370:U1370"/>
    <mergeCell ref="B1371:C1371"/>
    <mergeCell ref="D1371:E1371"/>
    <mergeCell ref="F1371:G1371"/>
    <mergeCell ref="H1371:J1371"/>
    <mergeCell ref="K1371:M1371"/>
    <mergeCell ref="N1371:U1371"/>
    <mergeCell ref="B1372:C1372"/>
    <mergeCell ref="D1372:E1372"/>
    <mergeCell ref="F1372:G1372"/>
    <mergeCell ref="H1372:J1372"/>
    <mergeCell ref="K1372:M1372"/>
    <mergeCell ref="N1372:U1372"/>
    <mergeCell ref="B1373:C1373"/>
    <mergeCell ref="D1373:E1373"/>
    <mergeCell ref="F1373:G1373"/>
    <mergeCell ref="H1373:J1373"/>
    <mergeCell ref="K1373:M1373"/>
    <mergeCell ref="N1373:U1373"/>
    <mergeCell ref="B1374:C1374"/>
    <mergeCell ref="D1374:E1374"/>
    <mergeCell ref="F1374:G1374"/>
    <mergeCell ref="H1374:J1374"/>
    <mergeCell ref="K1374:M1374"/>
    <mergeCell ref="N1374:U1374"/>
    <mergeCell ref="B1375:C1375"/>
    <mergeCell ref="D1375:E1375"/>
    <mergeCell ref="F1375:G1375"/>
    <mergeCell ref="H1375:J1375"/>
    <mergeCell ref="K1375:M1375"/>
    <mergeCell ref="N1375:U1375"/>
    <mergeCell ref="B1376:C1376"/>
    <mergeCell ref="D1376:E1376"/>
    <mergeCell ref="F1376:G1376"/>
    <mergeCell ref="H1376:J1376"/>
    <mergeCell ref="K1376:M1376"/>
    <mergeCell ref="N1376:U1376"/>
    <mergeCell ref="B1377:C1377"/>
    <mergeCell ref="D1377:E1377"/>
    <mergeCell ref="F1377:G1377"/>
    <mergeCell ref="H1377:J1377"/>
    <mergeCell ref="K1377:M1377"/>
    <mergeCell ref="N1377:U1377"/>
    <mergeCell ref="B1378:C1378"/>
    <mergeCell ref="D1378:E1378"/>
    <mergeCell ref="F1378:G1378"/>
    <mergeCell ref="H1378:J1378"/>
    <mergeCell ref="K1378:M1378"/>
    <mergeCell ref="N1378:U1378"/>
    <mergeCell ref="B1379:C1379"/>
    <mergeCell ref="D1379:E1379"/>
    <mergeCell ref="F1379:G1379"/>
    <mergeCell ref="H1379:J1379"/>
    <mergeCell ref="K1379:M1379"/>
    <mergeCell ref="N1379:U1379"/>
    <mergeCell ref="B1380:C1380"/>
    <mergeCell ref="D1380:E1380"/>
    <mergeCell ref="F1380:G1380"/>
    <mergeCell ref="H1380:J1380"/>
    <mergeCell ref="K1380:M1380"/>
    <mergeCell ref="N1380:U1380"/>
    <mergeCell ref="B1381:C1381"/>
    <mergeCell ref="D1381:E1381"/>
    <mergeCell ref="F1381:G1381"/>
    <mergeCell ref="H1381:J1381"/>
    <mergeCell ref="K1381:M1381"/>
    <mergeCell ref="N1381:U1381"/>
    <mergeCell ref="B1382:C1382"/>
    <mergeCell ref="D1382:E1382"/>
    <mergeCell ref="F1382:G1382"/>
    <mergeCell ref="H1382:J1382"/>
    <mergeCell ref="K1382:M1382"/>
    <mergeCell ref="N1382:U1382"/>
    <mergeCell ref="B1383:C1383"/>
    <mergeCell ref="D1383:E1383"/>
    <mergeCell ref="F1383:G1383"/>
    <mergeCell ref="H1383:J1383"/>
    <mergeCell ref="K1383:M1383"/>
    <mergeCell ref="N1383:U1383"/>
    <mergeCell ref="B1384:C1384"/>
    <mergeCell ref="D1384:E1384"/>
    <mergeCell ref="F1384:G1384"/>
    <mergeCell ref="H1384:J1384"/>
    <mergeCell ref="K1384:M1384"/>
    <mergeCell ref="N1384:U1384"/>
    <mergeCell ref="B1385:C1385"/>
    <mergeCell ref="D1385:E1385"/>
    <mergeCell ref="F1385:G1385"/>
    <mergeCell ref="H1385:J1385"/>
    <mergeCell ref="K1385:M1385"/>
    <mergeCell ref="N1385:U1385"/>
    <mergeCell ref="B1386:C1386"/>
    <mergeCell ref="D1386:E1386"/>
    <mergeCell ref="F1386:G1386"/>
    <mergeCell ref="H1386:J1386"/>
    <mergeCell ref="K1386:M1386"/>
    <mergeCell ref="N1386:U1386"/>
    <mergeCell ref="B1387:C1387"/>
    <mergeCell ref="D1387:E1387"/>
    <mergeCell ref="F1387:G1387"/>
    <mergeCell ref="H1387:J1387"/>
    <mergeCell ref="K1387:M1387"/>
    <mergeCell ref="N1387:U1387"/>
    <mergeCell ref="B1388:C1388"/>
    <mergeCell ref="D1388:E1388"/>
    <mergeCell ref="F1388:G1388"/>
    <mergeCell ref="H1388:J1388"/>
    <mergeCell ref="K1388:M1388"/>
    <mergeCell ref="N1388:U1388"/>
    <mergeCell ref="B1389:C1389"/>
    <mergeCell ref="D1389:E1389"/>
    <mergeCell ref="F1389:G1389"/>
    <mergeCell ref="H1389:J1389"/>
    <mergeCell ref="K1389:M1389"/>
    <mergeCell ref="N1389:U1389"/>
    <mergeCell ref="B1390:C1390"/>
    <mergeCell ref="D1390:E1390"/>
    <mergeCell ref="F1390:G1390"/>
    <mergeCell ref="H1390:J1390"/>
    <mergeCell ref="K1390:M1390"/>
    <mergeCell ref="N1390:U1390"/>
    <mergeCell ref="B1391:C1391"/>
    <mergeCell ref="D1391:E1391"/>
    <mergeCell ref="F1391:G1391"/>
    <mergeCell ref="H1391:J1391"/>
    <mergeCell ref="K1391:M1391"/>
    <mergeCell ref="N1391:U1391"/>
    <mergeCell ref="B1392:C1392"/>
    <mergeCell ref="D1392:E1392"/>
    <mergeCell ref="F1392:G1392"/>
    <mergeCell ref="H1392:J1392"/>
    <mergeCell ref="K1392:M1392"/>
    <mergeCell ref="N1392:U1392"/>
    <mergeCell ref="B1393:C1393"/>
    <mergeCell ref="D1393:E1393"/>
    <mergeCell ref="F1393:G1393"/>
    <mergeCell ref="H1393:J1393"/>
    <mergeCell ref="K1393:M1393"/>
    <mergeCell ref="N1393:U1393"/>
    <mergeCell ref="B1394:C1394"/>
    <mergeCell ref="D1394:E1394"/>
    <mergeCell ref="F1394:G1394"/>
    <mergeCell ref="H1394:J1394"/>
    <mergeCell ref="K1394:M1394"/>
    <mergeCell ref="N1394:U1394"/>
    <mergeCell ref="B1395:C1395"/>
    <mergeCell ref="D1395:E1395"/>
    <mergeCell ref="F1395:G1395"/>
    <mergeCell ref="H1395:J1395"/>
    <mergeCell ref="K1395:M1395"/>
    <mergeCell ref="N1395:U1395"/>
    <mergeCell ref="B1396:C1396"/>
    <mergeCell ref="D1396:E1396"/>
    <mergeCell ref="F1396:G1396"/>
    <mergeCell ref="H1396:J1396"/>
    <mergeCell ref="K1396:M1396"/>
    <mergeCell ref="N1396:U1396"/>
    <mergeCell ref="B1397:C1397"/>
    <mergeCell ref="D1397:E1397"/>
    <mergeCell ref="F1397:G1397"/>
    <mergeCell ref="H1397:J1397"/>
    <mergeCell ref="K1397:M1397"/>
    <mergeCell ref="N1397:U1397"/>
    <mergeCell ref="B1398:C1398"/>
    <mergeCell ref="D1398:E1398"/>
    <mergeCell ref="F1398:G1398"/>
    <mergeCell ref="H1398:J1398"/>
    <mergeCell ref="K1398:M1398"/>
    <mergeCell ref="N1398:U1398"/>
    <mergeCell ref="B1399:C1399"/>
    <mergeCell ref="D1399:E1399"/>
    <mergeCell ref="F1399:G1399"/>
    <mergeCell ref="H1399:J1399"/>
    <mergeCell ref="K1399:M1399"/>
    <mergeCell ref="N1399:U1399"/>
    <mergeCell ref="B1400:C1400"/>
    <mergeCell ref="D1400:E1400"/>
    <mergeCell ref="F1400:G1400"/>
    <mergeCell ref="H1400:J1400"/>
    <mergeCell ref="K1400:M1400"/>
    <mergeCell ref="N1400:U1400"/>
    <mergeCell ref="B1401:C1401"/>
    <mergeCell ref="D1401:E1401"/>
    <mergeCell ref="F1401:G1401"/>
    <mergeCell ref="H1401:J1401"/>
    <mergeCell ref="K1401:M1401"/>
    <mergeCell ref="N1401:U1401"/>
    <mergeCell ref="B1402:C1402"/>
    <mergeCell ref="D1402:E1402"/>
    <mergeCell ref="F1402:G1402"/>
    <mergeCell ref="H1402:J1402"/>
    <mergeCell ref="K1402:M1402"/>
    <mergeCell ref="N1402:U1402"/>
    <mergeCell ref="B1403:C1403"/>
    <mergeCell ref="D1403:E1403"/>
    <mergeCell ref="F1403:G1403"/>
    <mergeCell ref="H1403:J1403"/>
    <mergeCell ref="K1403:M1403"/>
    <mergeCell ref="N1403:U1403"/>
    <mergeCell ref="B1404:C1404"/>
    <mergeCell ref="D1404:E1404"/>
    <mergeCell ref="F1404:G1404"/>
    <mergeCell ref="H1404:J1404"/>
    <mergeCell ref="K1404:M1404"/>
    <mergeCell ref="N1404:U1404"/>
    <mergeCell ref="B1405:C1405"/>
    <mergeCell ref="D1405:E1405"/>
    <mergeCell ref="F1405:G1405"/>
    <mergeCell ref="H1405:J1405"/>
    <mergeCell ref="K1405:M1405"/>
    <mergeCell ref="N1405:U1405"/>
    <mergeCell ref="B1406:C1406"/>
    <mergeCell ref="D1406:E1406"/>
    <mergeCell ref="F1406:G1406"/>
    <mergeCell ref="H1406:J1406"/>
    <mergeCell ref="K1406:M1406"/>
    <mergeCell ref="N1406:U1406"/>
    <mergeCell ref="B1407:C1407"/>
    <mergeCell ref="D1407:E1407"/>
    <mergeCell ref="F1407:G1407"/>
    <mergeCell ref="H1407:J1407"/>
    <mergeCell ref="K1407:M1407"/>
    <mergeCell ref="N1407:U1407"/>
    <mergeCell ref="B1408:C1408"/>
    <mergeCell ref="D1408:E1408"/>
    <mergeCell ref="F1408:G1408"/>
    <mergeCell ref="H1408:J1408"/>
    <mergeCell ref="K1408:M1408"/>
    <mergeCell ref="N1408:U1408"/>
    <mergeCell ref="B1409:C1409"/>
    <mergeCell ref="D1409:E1409"/>
    <mergeCell ref="F1409:G1409"/>
    <mergeCell ref="H1409:J1409"/>
    <mergeCell ref="K1409:M1409"/>
    <mergeCell ref="N1409:U1409"/>
    <mergeCell ref="B1410:C1410"/>
    <mergeCell ref="D1410:E1410"/>
    <mergeCell ref="F1410:G1410"/>
    <mergeCell ref="H1410:J1410"/>
    <mergeCell ref="K1410:M1410"/>
    <mergeCell ref="N1410:U1410"/>
    <mergeCell ref="B1411:C1411"/>
    <mergeCell ref="D1411:E1411"/>
    <mergeCell ref="F1411:G1411"/>
    <mergeCell ref="H1411:J1411"/>
    <mergeCell ref="K1411:M1411"/>
    <mergeCell ref="N1411:U1411"/>
    <mergeCell ref="B1412:C1412"/>
    <mergeCell ref="D1412:E1412"/>
    <mergeCell ref="F1412:G1412"/>
    <mergeCell ref="H1412:J1412"/>
    <mergeCell ref="K1412:M1412"/>
    <mergeCell ref="N1412:U1412"/>
    <mergeCell ref="B1413:C1413"/>
    <mergeCell ref="D1413:E1413"/>
    <mergeCell ref="F1413:G1413"/>
    <mergeCell ref="H1413:J1413"/>
    <mergeCell ref="K1413:M1413"/>
    <mergeCell ref="N1413:U1413"/>
    <mergeCell ref="B1414:C1414"/>
    <mergeCell ref="D1414:E1414"/>
    <mergeCell ref="F1414:G1414"/>
    <mergeCell ref="H1414:J1414"/>
    <mergeCell ref="K1414:M1414"/>
    <mergeCell ref="N1414:U1414"/>
    <mergeCell ref="B1415:C1415"/>
    <mergeCell ref="D1415:E1415"/>
    <mergeCell ref="F1415:G1415"/>
    <mergeCell ref="H1415:J1415"/>
    <mergeCell ref="K1415:M1415"/>
    <mergeCell ref="N1415:U1415"/>
    <mergeCell ref="B1416:C1416"/>
    <mergeCell ref="D1416:E1416"/>
    <mergeCell ref="F1416:G1416"/>
    <mergeCell ref="H1416:J1416"/>
    <mergeCell ref="K1416:M1416"/>
    <mergeCell ref="N1416:U1416"/>
    <mergeCell ref="B1417:C1417"/>
    <mergeCell ref="D1417:E1417"/>
    <mergeCell ref="F1417:G1417"/>
    <mergeCell ref="H1417:J1417"/>
    <mergeCell ref="K1417:M1417"/>
    <mergeCell ref="N1417:U1417"/>
    <mergeCell ref="B1418:C1418"/>
    <mergeCell ref="D1418:E1418"/>
    <mergeCell ref="F1418:G1418"/>
    <mergeCell ref="H1418:J1418"/>
    <mergeCell ref="K1418:M1418"/>
    <mergeCell ref="N1418:U1418"/>
    <mergeCell ref="B1419:C1419"/>
    <mergeCell ref="D1419:E1419"/>
    <mergeCell ref="F1419:G1419"/>
    <mergeCell ref="H1419:J1419"/>
    <mergeCell ref="K1419:M1419"/>
    <mergeCell ref="N1419:U1419"/>
    <mergeCell ref="B1420:C1420"/>
    <mergeCell ref="D1420:E1420"/>
    <mergeCell ref="F1420:G1420"/>
    <mergeCell ref="H1420:J1420"/>
    <mergeCell ref="K1420:M1420"/>
    <mergeCell ref="N1420:U1420"/>
    <mergeCell ref="B1421:C1421"/>
    <mergeCell ref="D1421:E1421"/>
    <mergeCell ref="F1421:G1421"/>
    <mergeCell ref="H1421:J1421"/>
    <mergeCell ref="K1421:M1421"/>
    <mergeCell ref="N1421:U1421"/>
    <mergeCell ref="B1422:C1422"/>
    <mergeCell ref="D1422:E1422"/>
    <mergeCell ref="F1422:G1422"/>
    <mergeCell ref="H1422:J1422"/>
    <mergeCell ref="K1422:M1422"/>
    <mergeCell ref="N1422:U1422"/>
    <mergeCell ref="B1423:C1423"/>
    <mergeCell ref="D1423:E1423"/>
    <mergeCell ref="F1423:G1423"/>
    <mergeCell ref="H1423:J1423"/>
    <mergeCell ref="K1423:M1423"/>
    <mergeCell ref="N1423:U1423"/>
    <mergeCell ref="B1424:C1424"/>
    <mergeCell ref="D1424:E1424"/>
    <mergeCell ref="F1424:G1424"/>
    <mergeCell ref="H1424:J1424"/>
    <mergeCell ref="K1424:M1424"/>
    <mergeCell ref="N1424:U1424"/>
    <mergeCell ref="B1425:C1425"/>
    <mergeCell ref="D1425:E1425"/>
    <mergeCell ref="F1425:G1425"/>
    <mergeCell ref="H1425:J1425"/>
    <mergeCell ref="K1425:M1425"/>
    <mergeCell ref="N1425:U1425"/>
    <mergeCell ref="B1426:C1426"/>
    <mergeCell ref="D1426:E1426"/>
    <mergeCell ref="F1426:G1426"/>
    <mergeCell ref="H1426:J1426"/>
    <mergeCell ref="K1426:M1426"/>
    <mergeCell ref="N1426:U1426"/>
    <mergeCell ref="B1427:C1427"/>
    <mergeCell ref="D1427:E1427"/>
    <mergeCell ref="F1427:G1427"/>
    <mergeCell ref="H1427:J1427"/>
    <mergeCell ref="K1427:M1427"/>
    <mergeCell ref="N1427:U1427"/>
    <mergeCell ref="B1428:C1428"/>
    <mergeCell ref="D1428:E1428"/>
    <mergeCell ref="F1428:G1428"/>
    <mergeCell ref="H1428:J1428"/>
    <mergeCell ref="K1428:M1428"/>
    <mergeCell ref="N1428:U1428"/>
    <mergeCell ref="B1429:C1429"/>
    <mergeCell ref="D1429:E1429"/>
    <mergeCell ref="F1429:G1429"/>
    <mergeCell ref="H1429:J1429"/>
    <mergeCell ref="K1429:M1429"/>
    <mergeCell ref="N1429:U1429"/>
    <mergeCell ref="B1430:C1430"/>
    <mergeCell ref="D1430:E1430"/>
    <mergeCell ref="F1430:G1430"/>
    <mergeCell ref="H1430:J1430"/>
    <mergeCell ref="K1430:M1430"/>
    <mergeCell ref="N1430:U1430"/>
    <mergeCell ref="B1431:C1431"/>
    <mergeCell ref="D1431:E1431"/>
    <mergeCell ref="F1431:G1431"/>
    <mergeCell ref="H1431:J1431"/>
    <mergeCell ref="K1431:M1431"/>
    <mergeCell ref="N1431:U1431"/>
    <mergeCell ref="B1432:C1432"/>
    <mergeCell ref="D1432:E1432"/>
    <mergeCell ref="F1432:G1432"/>
    <mergeCell ref="H1432:J1432"/>
    <mergeCell ref="K1432:M1432"/>
    <mergeCell ref="N1432:U1432"/>
    <mergeCell ref="B1433:C1433"/>
    <mergeCell ref="D1433:E1433"/>
    <mergeCell ref="F1433:G1433"/>
    <mergeCell ref="H1433:J1433"/>
    <mergeCell ref="K1433:M1433"/>
    <mergeCell ref="N1433:U1433"/>
    <mergeCell ref="B1434:C1434"/>
    <mergeCell ref="D1434:E1434"/>
    <mergeCell ref="F1434:G1434"/>
    <mergeCell ref="H1434:J1434"/>
    <mergeCell ref="K1434:M1434"/>
    <mergeCell ref="N1434:U1434"/>
    <mergeCell ref="B1435:C1435"/>
    <mergeCell ref="D1435:E1435"/>
    <mergeCell ref="F1435:G1435"/>
    <mergeCell ref="H1435:J1435"/>
    <mergeCell ref="K1435:M1435"/>
    <mergeCell ref="N1435:U1435"/>
    <mergeCell ref="B1436:C1436"/>
    <mergeCell ref="D1436:E1436"/>
    <mergeCell ref="F1436:G1436"/>
    <mergeCell ref="H1436:J1436"/>
    <mergeCell ref="K1436:M1436"/>
    <mergeCell ref="N1436:U1436"/>
    <mergeCell ref="B1437:C1437"/>
    <mergeCell ref="D1437:E1437"/>
    <mergeCell ref="F1437:G1437"/>
    <mergeCell ref="H1437:J1437"/>
    <mergeCell ref="K1437:M1437"/>
    <mergeCell ref="N1437:U1437"/>
    <mergeCell ref="B1438:C1438"/>
    <mergeCell ref="D1438:E1438"/>
    <mergeCell ref="F1438:G1438"/>
    <mergeCell ref="H1438:J1438"/>
    <mergeCell ref="K1438:M1438"/>
    <mergeCell ref="N1438:U1438"/>
    <mergeCell ref="B1439:C1439"/>
    <mergeCell ref="D1439:E1439"/>
    <mergeCell ref="F1439:G1439"/>
    <mergeCell ref="H1439:J1439"/>
    <mergeCell ref="K1439:M1439"/>
    <mergeCell ref="N1439:U1439"/>
    <mergeCell ref="B1440:C1440"/>
    <mergeCell ref="D1440:E1440"/>
    <mergeCell ref="F1440:G1440"/>
    <mergeCell ref="H1440:J1440"/>
    <mergeCell ref="K1440:M1440"/>
    <mergeCell ref="N1440:U1440"/>
    <mergeCell ref="B1441:C1441"/>
    <mergeCell ref="D1441:E1441"/>
    <mergeCell ref="F1441:G1441"/>
    <mergeCell ref="H1441:J1441"/>
    <mergeCell ref="K1441:M1441"/>
    <mergeCell ref="N1441:U1441"/>
    <mergeCell ref="B1442:C1442"/>
    <mergeCell ref="D1442:E1442"/>
    <mergeCell ref="F1442:G1442"/>
    <mergeCell ref="H1442:J1442"/>
    <mergeCell ref="K1442:M1442"/>
    <mergeCell ref="N1442:U1442"/>
    <mergeCell ref="B1443:C1443"/>
    <mergeCell ref="D1443:E1443"/>
    <mergeCell ref="F1443:G1443"/>
    <mergeCell ref="H1443:J1443"/>
    <mergeCell ref="K1443:M1443"/>
    <mergeCell ref="N1443:U1443"/>
    <mergeCell ref="B1444:C1444"/>
    <mergeCell ref="D1444:E1444"/>
    <mergeCell ref="F1444:G1444"/>
    <mergeCell ref="H1444:J1444"/>
    <mergeCell ref="K1444:M1444"/>
    <mergeCell ref="N1444:U1444"/>
    <mergeCell ref="B1445:C1445"/>
    <mergeCell ref="D1445:E1445"/>
    <mergeCell ref="F1445:G1445"/>
    <mergeCell ref="H1445:J1445"/>
    <mergeCell ref="K1445:M1445"/>
    <mergeCell ref="N1445:U1445"/>
    <mergeCell ref="B1446:C1446"/>
    <mergeCell ref="D1446:E1446"/>
    <mergeCell ref="F1446:G1446"/>
    <mergeCell ref="H1446:J1446"/>
    <mergeCell ref="K1446:M1446"/>
    <mergeCell ref="N1446:U1446"/>
    <mergeCell ref="B1447:C1447"/>
    <mergeCell ref="D1447:E1447"/>
    <mergeCell ref="F1447:G1447"/>
    <mergeCell ref="H1447:J1447"/>
    <mergeCell ref="K1447:M1447"/>
    <mergeCell ref="N1447:U1447"/>
    <mergeCell ref="B1448:C1448"/>
    <mergeCell ref="D1448:E1448"/>
    <mergeCell ref="F1448:G1448"/>
    <mergeCell ref="H1448:J1448"/>
    <mergeCell ref="K1448:M1448"/>
    <mergeCell ref="N1448:U1448"/>
    <mergeCell ref="B1449:C1449"/>
    <mergeCell ref="D1449:E1449"/>
    <mergeCell ref="F1449:G1449"/>
    <mergeCell ref="H1449:J1449"/>
    <mergeCell ref="K1449:M1449"/>
    <mergeCell ref="N1449:U1449"/>
    <mergeCell ref="B1450:C1450"/>
    <mergeCell ref="D1450:E1450"/>
    <mergeCell ref="F1450:G1450"/>
    <mergeCell ref="H1450:J1450"/>
    <mergeCell ref="K1450:M1450"/>
    <mergeCell ref="N1450:U1450"/>
    <mergeCell ref="B1451:C1451"/>
    <mergeCell ref="D1451:E1451"/>
    <mergeCell ref="F1451:G1451"/>
    <mergeCell ref="H1451:J1451"/>
    <mergeCell ref="K1451:M1451"/>
    <mergeCell ref="N1451:U1451"/>
    <mergeCell ref="B1452:C1452"/>
    <mergeCell ref="D1452:E1452"/>
    <mergeCell ref="F1452:G1452"/>
    <mergeCell ref="H1452:J1452"/>
    <mergeCell ref="K1452:M1452"/>
    <mergeCell ref="N1452:U1452"/>
    <mergeCell ref="B1453:C1453"/>
    <mergeCell ref="D1453:E1453"/>
    <mergeCell ref="F1453:G1453"/>
    <mergeCell ref="H1453:J1453"/>
    <mergeCell ref="K1453:M1453"/>
    <mergeCell ref="N1453:U1453"/>
    <mergeCell ref="B1454:C1454"/>
    <mergeCell ref="D1454:E1454"/>
    <mergeCell ref="F1454:G1454"/>
    <mergeCell ref="H1454:J1454"/>
    <mergeCell ref="K1454:M1454"/>
    <mergeCell ref="N1454:U1454"/>
    <mergeCell ref="B1455:C1455"/>
    <mergeCell ref="D1455:E1455"/>
    <mergeCell ref="F1455:G1455"/>
    <mergeCell ref="H1455:J1455"/>
    <mergeCell ref="K1455:M1455"/>
    <mergeCell ref="N1455:U1455"/>
    <mergeCell ref="B1456:C1456"/>
    <mergeCell ref="D1456:E1456"/>
    <mergeCell ref="F1456:G1456"/>
    <mergeCell ref="H1456:J1456"/>
    <mergeCell ref="K1456:M1456"/>
    <mergeCell ref="N1456:U1456"/>
    <mergeCell ref="B1457:C1457"/>
    <mergeCell ref="D1457:E1457"/>
    <mergeCell ref="F1457:G1457"/>
    <mergeCell ref="H1457:J1457"/>
    <mergeCell ref="K1457:M1457"/>
    <mergeCell ref="N1457:U1457"/>
    <mergeCell ref="B1458:C1458"/>
    <mergeCell ref="D1458:E1458"/>
    <mergeCell ref="F1458:G1458"/>
    <mergeCell ref="H1458:J1458"/>
    <mergeCell ref="K1458:M1458"/>
    <mergeCell ref="N1458:U1458"/>
    <mergeCell ref="B1459:C1459"/>
    <mergeCell ref="D1459:E1459"/>
    <mergeCell ref="F1459:G1459"/>
    <mergeCell ref="H1459:J1459"/>
    <mergeCell ref="K1459:M1459"/>
    <mergeCell ref="N1459:U1459"/>
    <mergeCell ref="B1460:C1460"/>
    <mergeCell ref="D1460:E1460"/>
    <mergeCell ref="F1460:G1460"/>
    <mergeCell ref="H1460:J1460"/>
    <mergeCell ref="K1460:M1460"/>
    <mergeCell ref="N1460:U1460"/>
    <mergeCell ref="B1461:C1461"/>
    <mergeCell ref="D1461:E1461"/>
    <mergeCell ref="F1461:G1461"/>
    <mergeCell ref="H1461:J1461"/>
    <mergeCell ref="K1461:M1461"/>
    <mergeCell ref="N1461:U1461"/>
    <mergeCell ref="B1462:C1462"/>
    <mergeCell ref="D1462:E1462"/>
    <mergeCell ref="F1462:G1462"/>
    <mergeCell ref="H1462:J1462"/>
    <mergeCell ref="K1462:M1462"/>
    <mergeCell ref="N1462:U1462"/>
    <mergeCell ref="B1463:C1463"/>
    <mergeCell ref="D1463:E1463"/>
    <mergeCell ref="F1463:G1463"/>
    <mergeCell ref="H1463:J1463"/>
    <mergeCell ref="K1463:M1463"/>
    <mergeCell ref="N1463:U1463"/>
    <mergeCell ref="B1464:C1464"/>
    <mergeCell ref="D1464:E1464"/>
    <mergeCell ref="F1464:G1464"/>
    <mergeCell ref="H1464:J1464"/>
    <mergeCell ref="K1464:M1464"/>
    <mergeCell ref="N1464:U1464"/>
    <mergeCell ref="B1465:C1465"/>
    <mergeCell ref="D1465:E1465"/>
    <mergeCell ref="F1465:G1465"/>
    <mergeCell ref="H1465:J1465"/>
    <mergeCell ref="K1465:M1465"/>
    <mergeCell ref="N1465:U1465"/>
    <mergeCell ref="B1466:C1466"/>
    <mergeCell ref="D1466:E1466"/>
    <mergeCell ref="F1466:G1466"/>
    <mergeCell ref="H1466:J1466"/>
    <mergeCell ref="K1466:M1466"/>
    <mergeCell ref="N1466:U1466"/>
    <mergeCell ref="B1467:C1467"/>
    <mergeCell ref="D1467:E1467"/>
    <mergeCell ref="F1467:G1467"/>
    <mergeCell ref="H1467:J1467"/>
    <mergeCell ref="K1467:M1467"/>
    <mergeCell ref="N1467:U1467"/>
    <mergeCell ref="B1468:C1468"/>
    <mergeCell ref="D1468:E1468"/>
    <mergeCell ref="F1468:G1468"/>
    <mergeCell ref="H1468:J1468"/>
    <mergeCell ref="K1468:M1468"/>
    <mergeCell ref="N1468:U1468"/>
    <mergeCell ref="B1469:C1469"/>
    <mergeCell ref="D1469:E1469"/>
    <mergeCell ref="F1469:G1469"/>
    <mergeCell ref="H1469:J1469"/>
    <mergeCell ref="K1469:M1469"/>
    <mergeCell ref="N1469:U1469"/>
    <mergeCell ref="B1470:C1470"/>
    <mergeCell ref="D1470:E1470"/>
    <mergeCell ref="F1470:G1470"/>
    <mergeCell ref="H1470:J1470"/>
    <mergeCell ref="K1470:M1470"/>
    <mergeCell ref="N1470:U1470"/>
    <mergeCell ref="B1471:C1471"/>
    <mergeCell ref="D1471:E1471"/>
    <mergeCell ref="F1471:G1471"/>
    <mergeCell ref="H1471:J1471"/>
    <mergeCell ref="K1471:M1471"/>
    <mergeCell ref="N1471:U1471"/>
    <mergeCell ref="B1472:C1472"/>
    <mergeCell ref="D1472:E1472"/>
    <mergeCell ref="F1472:G1472"/>
    <mergeCell ref="H1472:J1472"/>
    <mergeCell ref="K1472:M1472"/>
    <mergeCell ref="N1472:U1472"/>
    <mergeCell ref="B1473:C1473"/>
    <mergeCell ref="D1473:E1473"/>
    <mergeCell ref="F1473:G1473"/>
    <mergeCell ref="H1473:J1473"/>
    <mergeCell ref="K1473:M1473"/>
    <mergeCell ref="N1473:U1473"/>
    <mergeCell ref="B1474:C1474"/>
    <mergeCell ref="D1474:E1474"/>
    <mergeCell ref="F1474:G1474"/>
    <mergeCell ref="H1474:J1474"/>
    <mergeCell ref="K1474:M1474"/>
    <mergeCell ref="N1474:U1474"/>
    <mergeCell ref="B1475:C1475"/>
    <mergeCell ref="D1475:E1475"/>
    <mergeCell ref="F1475:G1475"/>
    <mergeCell ref="H1475:J1475"/>
    <mergeCell ref="K1475:M1475"/>
    <mergeCell ref="N1475:U1475"/>
    <mergeCell ref="B1476:C1476"/>
    <mergeCell ref="D1476:E1476"/>
    <mergeCell ref="F1476:G1476"/>
    <mergeCell ref="H1476:J1476"/>
    <mergeCell ref="K1476:M1476"/>
    <mergeCell ref="N1476:U1476"/>
    <mergeCell ref="B1477:C1477"/>
    <mergeCell ref="D1477:E1477"/>
    <mergeCell ref="F1477:G1477"/>
    <mergeCell ref="H1477:J1477"/>
    <mergeCell ref="K1477:M1477"/>
    <mergeCell ref="N1477:U1477"/>
    <mergeCell ref="B1478:C1478"/>
    <mergeCell ref="D1478:E1478"/>
    <mergeCell ref="F1478:G1478"/>
    <mergeCell ref="H1478:J1478"/>
    <mergeCell ref="K1478:M1478"/>
    <mergeCell ref="N1478:U1478"/>
    <mergeCell ref="B1479:C1479"/>
    <mergeCell ref="D1479:E1479"/>
    <mergeCell ref="F1479:G1479"/>
    <mergeCell ref="H1479:J1479"/>
    <mergeCell ref="K1479:M1479"/>
    <mergeCell ref="N1479:U1479"/>
    <mergeCell ref="B1480:C1480"/>
    <mergeCell ref="D1480:E1480"/>
    <mergeCell ref="F1480:G1480"/>
    <mergeCell ref="H1480:J1480"/>
    <mergeCell ref="K1480:M1480"/>
    <mergeCell ref="N1480:U1480"/>
    <mergeCell ref="B1481:C1481"/>
    <mergeCell ref="D1481:E1481"/>
    <mergeCell ref="F1481:G1481"/>
    <mergeCell ref="H1481:J1481"/>
    <mergeCell ref="K1481:M1481"/>
    <mergeCell ref="N1481:U1481"/>
    <mergeCell ref="B1482:C1482"/>
    <mergeCell ref="D1482:E1482"/>
    <mergeCell ref="F1482:G1482"/>
    <mergeCell ref="H1482:J1482"/>
    <mergeCell ref="K1482:M1482"/>
    <mergeCell ref="N1482:U1482"/>
    <mergeCell ref="B1483:C1483"/>
    <mergeCell ref="D1483:E1483"/>
    <mergeCell ref="F1483:G1483"/>
    <mergeCell ref="H1483:J1483"/>
    <mergeCell ref="K1483:M1483"/>
    <mergeCell ref="N1483:U1483"/>
    <mergeCell ref="B1484:C1484"/>
    <mergeCell ref="D1484:E1484"/>
    <mergeCell ref="F1484:G1484"/>
    <mergeCell ref="H1484:J1484"/>
    <mergeCell ref="K1484:M1484"/>
    <mergeCell ref="N1484:U1484"/>
    <mergeCell ref="B1485:C1485"/>
    <mergeCell ref="D1485:E1485"/>
    <mergeCell ref="F1485:G1485"/>
    <mergeCell ref="H1485:J1485"/>
    <mergeCell ref="K1485:M1485"/>
    <mergeCell ref="N1485:U1485"/>
    <mergeCell ref="B1486:C1486"/>
    <mergeCell ref="D1486:E1486"/>
    <mergeCell ref="F1486:G1486"/>
    <mergeCell ref="H1486:J1486"/>
    <mergeCell ref="K1486:M1486"/>
    <mergeCell ref="N1486:U1486"/>
    <mergeCell ref="B1487:C1487"/>
    <mergeCell ref="D1487:E1487"/>
    <mergeCell ref="F1487:G1487"/>
    <mergeCell ref="H1487:J1487"/>
    <mergeCell ref="K1487:M1487"/>
    <mergeCell ref="N1487:U1487"/>
    <mergeCell ref="B1488:C1488"/>
    <mergeCell ref="D1488:E1488"/>
    <mergeCell ref="F1488:G1488"/>
    <mergeCell ref="H1488:J1488"/>
    <mergeCell ref="K1488:M1488"/>
    <mergeCell ref="N1488:U1488"/>
    <mergeCell ref="B1489:C1489"/>
    <mergeCell ref="D1489:E1489"/>
    <mergeCell ref="F1489:G1489"/>
    <mergeCell ref="H1489:J1489"/>
    <mergeCell ref="K1489:M1489"/>
    <mergeCell ref="N1489:U1489"/>
    <mergeCell ref="B1490:C1490"/>
    <mergeCell ref="D1490:E1490"/>
    <mergeCell ref="F1490:G1490"/>
    <mergeCell ref="H1490:J1490"/>
    <mergeCell ref="K1490:M1490"/>
    <mergeCell ref="N1490:U1490"/>
    <mergeCell ref="B1491:C1491"/>
    <mergeCell ref="D1491:E1491"/>
    <mergeCell ref="F1491:G1491"/>
    <mergeCell ref="H1491:J1491"/>
    <mergeCell ref="K1491:M1491"/>
    <mergeCell ref="N1491:U1491"/>
    <mergeCell ref="B1492:C1492"/>
    <mergeCell ref="D1492:E1492"/>
    <mergeCell ref="F1492:G1492"/>
    <mergeCell ref="H1492:J1492"/>
    <mergeCell ref="K1492:M1492"/>
    <mergeCell ref="N1492:U1492"/>
    <mergeCell ref="B1493:C1493"/>
    <mergeCell ref="D1493:E1493"/>
    <mergeCell ref="F1493:G1493"/>
    <mergeCell ref="H1493:J1493"/>
    <mergeCell ref="K1493:M1493"/>
    <mergeCell ref="N1493:U1493"/>
    <mergeCell ref="B1494:C1494"/>
    <mergeCell ref="D1494:E1494"/>
    <mergeCell ref="F1494:G1494"/>
    <mergeCell ref="H1494:J1494"/>
    <mergeCell ref="K1494:M1494"/>
    <mergeCell ref="N1494:U1494"/>
    <mergeCell ref="B1495:C1495"/>
    <mergeCell ref="D1495:E1495"/>
    <mergeCell ref="F1495:G1495"/>
    <mergeCell ref="H1495:J1495"/>
    <mergeCell ref="K1495:M1495"/>
    <mergeCell ref="N1495:U1495"/>
    <mergeCell ref="B1496:C1496"/>
    <mergeCell ref="D1496:E1496"/>
    <mergeCell ref="F1496:G1496"/>
    <mergeCell ref="H1496:J1496"/>
    <mergeCell ref="K1496:M1496"/>
    <mergeCell ref="N1496:U1496"/>
    <mergeCell ref="B1497:C1497"/>
    <mergeCell ref="D1497:E1497"/>
    <mergeCell ref="F1497:G1497"/>
    <mergeCell ref="H1497:J1497"/>
    <mergeCell ref="K1497:M1497"/>
    <mergeCell ref="N1497:U1497"/>
    <mergeCell ref="B1498:C1498"/>
    <mergeCell ref="D1498:E1498"/>
    <mergeCell ref="F1498:G1498"/>
    <mergeCell ref="H1498:J1498"/>
    <mergeCell ref="K1498:M1498"/>
    <mergeCell ref="N1498:U1498"/>
    <mergeCell ref="B1499:C1499"/>
    <mergeCell ref="D1499:E1499"/>
    <mergeCell ref="F1499:G1499"/>
    <mergeCell ref="H1499:J1499"/>
    <mergeCell ref="K1499:M1499"/>
    <mergeCell ref="N1499:U1499"/>
    <mergeCell ref="B1500:C1500"/>
    <mergeCell ref="D1500:E1500"/>
    <mergeCell ref="F1500:G1500"/>
    <mergeCell ref="H1500:J1500"/>
    <mergeCell ref="K1500:M1500"/>
    <mergeCell ref="N1500:U1500"/>
    <mergeCell ref="B1501:C1501"/>
    <mergeCell ref="D1501:E1501"/>
    <mergeCell ref="F1501:G1501"/>
    <mergeCell ref="H1501:J1501"/>
    <mergeCell ref="K1501:M1501"/>
    <mergeCell ref="N1501:U1501"/>
    <mergeCell ref="B1502:C1502"/>
    <mergeCell ref="D1502:E1502"/>
    <mergeCell ref="F1502:G1502"/>
    <mergeCell ref="H1502:J1502"/>
    <mergeCell ref="K1502:M1502"/>
    <mergeCell ref="N1502:U1502"/>
    <mergeCell ref="B1503:C1503"/>
    <mergeCell ref="D1503:E1503"/>
    <mergeCell ref="F1503:G1503"/>
    <mergeCell ref="H1503:J1503"/>
    <mergeCell ref="K1503:M1503"/>
    <mergeCell ref="N1503:U1503"/>
    <mergeCell ref="B1504:C1504"/>
    <mergeCell ref="D1504:E1504"/>
    <mergeCell ref="F1504:G1504"/>
    <mergeCell ref="H1504:J1504"/>
    <mergeCell ref="K1504:M1504"/>
    <mergeCell ref="N1504:U1504"/>
    <mergeCell ref="B1505:C1505"/>
    <mergeCell ref="D1505:E1505"/>
    <mergeCell ref="F1505:G1505"/>
    <mergeCell ref="H1505:J1505"/>
    <mergeCell ref="K1505:M1505"/>
    <mergeCell ref="N1505:U1505"/>
    <mergeCell ref="B1506:C1506"/>
    <mergeCell ref="D1506:E1506"/>
    <mergeCell ref="F1506:G1506"/>
    <mergeCell ref="H1506:J1506"/>
    <mergeCell ref="K1506:M1506"/>
    <mergeCell ref="N1506:U1506"/>
    <mergeCell ref="B1507:C1507"/>
    <mergeCell ref="D1507:E1507"/>
    <mergeCell ref="F1507:G1507"/>
    <mergeCell ref="H1507:J1507"/>
    <mergeCell ref="K1507:M1507"/>
    <mergeCell ref="N1507:U1507"/>
    <mergeCell ref="B1508:C1508"/>
    <mergeCell ref="D1508:E1508"/>
    <mergeCell ref="F1508:G1508"/>
    <mergeCell ref="H1508:J1508"/>
    <mergeCell ref="K1508:M1508"/>
    <mergeCell ref="N1508:U1508"/>
    <mergeCell ref="B1509:C1509"/>
    <mergeCell ref="D1509:E1509"/>
    <mergeCell ref="F1509:G1509"/>
    <mergeCell ref="H1509:J1509"/>
    <mergeCell ref="K1509:M1509"/>
    <mergeCell ref="N1509:U1509"/>
    <mergeCell ref="B1510:C1510"/>
    <mergeCell ref="D1510:E1510"/>
    <mergeCell ref="F1510:G1510"/>
    <mergeCell ref="H1510:J1510"/>
    <mergeCell ref="K1510:M1510"/>
    <mergeCell ref="N1510:U1510"/>
    <mergeCell ref="B1514:C1514"/>
    <mergeCell ref="D1514:E1514"/>
    <mergeCell ref="F1514:G1514"/>
    <mergeCell ref="H1514:J1514"/>
    <mergeCell ref="K1514:M1514"/>
    <mergeCell ref="N1514:U1514"/>
    <mergeCell ref="B1511:C1511"/>
    <mergeCell ref="D1511:E1511"/>
    <mergeCell ref="F1511:G1511"/>
    <mergeCell ref="H1511:J1511"/>
    <mergeCell ref="K1511:M1511"/>
    <mergeCell ref="N1511:U1511"/>
    <mergeCell ref="B1512:C1512"/>
    <mergeCell ref="D1512:E1512"/>
    <mergeCell ref="F1512:G1512"/>
    <mergeCell ref="H1512:J1512"/>
    <mergeCell ref="K1512:M1512"/>
    <mergeCell ref="N1512:U1512"/>
    <mergeCell ref="B1513:C1513"/>
    <mergeCell ref="D1513:E1513"/>
    <mergeCell ref="F1513:G1513"/>
    <mergeCell ref="H1513:J1513"/>
    <mergeCell ref="K1513:M1513"/>
    <mergeCell ref="N1513:U1513"/>
  </mergeCells>
  <conditionalFormatting sqref="A16:A211">
    <cfRule type="expression" dxfId="3" priority="234">
      <formula>#REF!="YES"</formula>
    </cfRule>
  </conditionalFormatting>
  <conditionalFormatting sqref="A15:E15">
    <cfRule type="expression" dxfId="2" priority="1399">
      <formula>#REF!="YES"</formula>
    </cfRule>
  </conditionalFormatting>
  <conditionalFormatting sqref="A212:E1514">
    <cfRule type="expression" dxfId="1" priority="6">
      <formula>#REF!="YES"</formula>
    </cfRule>
  </conditionalFormatting>
  <conditionalFormatting sqref="B16:E211">
    <cfRule type="expression" dxfId="0" priority="226">
      <formula>#REF!="YES"</formula>
    </cfRule>
  </conditionalFormatting>
  <pageMargins left="0" right="0" top="0.75" bottom="0.75" header="0.3" footer="0.3"/>
  <pageSetup paperSize="3"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8D9555D5-2F7A-4043-9A58-BC0151C8A15E}">
          <x14:formula1>
            <xm:f>'Drop-Down Boxes '!$D$3:$D$14</xm:f>
          </x14:formula1>
          <xm:sqref>P9:Y9</xm:sqref>
        </x14:dataValidation>
        <x14:dataValidation type="list" allowBlank="1" showInputMessage="1" showErrorMessage="1" xr:uid="{143B3EF5-7119-4261-A1BA-8B6B477E4CEC}">
          <x14:formula1>
            <xm:f>'Drop-Down Boxes '!$H$3:$H$11</xm:f>
          </x14:formula1>
          <xm:sqref>Z9:AC9</xm:sqref>
        </x14:dataValidation>
        <x14:dataValidation type="list" allowBlank="1" showInputMessage="1" showErrorMessage="1" xr:uid="{A7F1AED0-5037-47E6-AF40-91A9AFDFA057}">
          <x14:formula1>
            <xm:f>'Drop-Down Boxes '!$O$84:$O$86</xm:f>
          </x14:formula1>
          <xm:sqref>H15:J1514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C18EF-4186-4110-B63F-0962FB1F3AE2}">
  <sheetPr>
    <tabColor rgb="FF00B050"/>
  </sheetPr>
  <dimension ref="A1:BV1724"/>
  <sheetViews>
    <sheetView zoomScale="90" zoomScaleNormal="90" workbookViewId="0">
      <pane ySplit="1" topLeftCell="A2" activePane="bottomLeft" state="frozen"/>
      <selection pane="bottomLeft" activeCell="H6" sqref="H6:U6"/>
    </sheetView>
  </sheetViews>
  <sheetFormatPr defaultColWidth="8.85546875" defaultRowHeight="15" x14ac:dyDescent="0.25"/>
  <cols>
    <col min="1" max="1" width="5.28515625" customWidth="1"/>
    <col min="2" max="6" width="5.7109375" customWidth="1"/>
    <col min="7" max="7" width="4.85546875" customWidth="1"/>
    <col min="8" max="11" width="5.7109375" customWidth="1"/>
    <col min="12" max="12" width="6.7109375" customWidth="1"/>
    <col min="13" max="13" width="6.85546875" customWidth="1"/>
    <col min="14" max="14" width="6.5703125" customWidth="1"/>
    <col min="15" max="15" width="6" customWidth="1"/>
    <col min="16" max="19" width="5.7109375" customWidth="1"/>
    <col min="20" max="20" width="4.85546875" customWidth="1"/>
    <col min="21" max="21" width="4.42578125" customWidth="1"/>
    <col min="22" max="33" width="5.7109375" customWidth="1"/>
    <col min="34" max="34" width="6.5703125" customWidth="1"/>
    <col min="35" max="35" width="6.7109375" customWidth="1"/>
    <col min="36" max="36" width="7.28515625" customWidth="1"/>
    <col min="37" max="37" width="7.5703125" customWidth="1"/>
    <col min="38" max="42" width="5.7109375" customWidth="1"/>
    <col min="43" max="43" width="6.7109375" customWidth="1"/>
    <col min="44" max="44" width="6.5703125" customWidth="1"/>
    <col min="45" max="45" width="7.140625" customWidth="1"/>
    <col min="46" max="49" width="5.7109375" customWidth="1"/>
    <col min="50" max="52" width="4.7109375" customWidth="1"/>
    <col min="53" max="54" width="5.7109375" customWidth="1"/>
    <col min="55" max="55" width="6.140625" customWidth="1"/>
    <col min="56" max="56" width="4.7109375" customWidth="1"/>
    <col min="57" max="57" width="6.140625" customWidth="1"/>
    <col min="58" max="63" width="4.7109375" customWidth="1"/>
    <col min="64" max="64" width="5.85546875" customWidth="1"/>
    <col min="65" max="90" width="4.7109375" customWidth="1"/>
  </cols>
  <sheetData>
    <row r="1" spans="1:74" ht="65.099999999999994" customHeight="1" x14ac:dyDescent="0.25">
      <c r="A1" s="10" t="s">
        <v>15</v>
      </c>
      <c r="B1" s="815" t="s">
        <v>157</v>
      </c>
      <c r="C1" s="815"/>
      <c r="D1" s="816" t="s">
        <v>405</v>
      </c>
      <c r="E1" s="816"/>
      <c r="F1" s="599" t="s">
        <v>796</v>
      </c>
      <c r="G1" s="600"/>
      <c r="H1" s="594" t="s">
        <v>795</v>
      </c>
      <c r="I1" s="596"/>
      <c r="J1" s="745" t="s">
        <v>928</v>
      </c>
      <c r="K1" s="746"/>
      <c r="L1" s="783" t="s">
        <v>909</v>
      </c>
      <c r="M1" s="784"/>
      <c r="N1" s="197" t="s">
        <v>6</v>
      </c>
      <c r="O1" s="342" t="s">
        <v>47</v>
      </c>
      <c r="P1" s="785" t="s">
        <v>48</v>
      </c>
      <c r="Q1" s="786"/>
      <c r="R1" s="790" t="s">
        <v>54</v>
      </c>
      <c r="S1" s="791"/>
      <c r="T1" s="844" t="s">
        <v>425</v>
      </c>
      <c r="U1" s="845"/>
      <c r="V1" s="772" t="s">
        <v>904</v>
      </c>
      <c r="W1" s="773"/>
      <c r="X1" s="809" t="s">
        <v>870</v>
      </c>
      <c r="Y1" s="810"/>
      <c r="Z1" s="810"/>
      <c r="AA1" s="811"/>
      <c r="AB1" s="776" t="s">
        <v>871</v>
      </c>
      <c r="AC1" s="777"/>
      <c r="AD1" s="777"/>
      <c r="AE1" s="778"/>
      <c r="AF1" s="857" t="s">
        <v>857</v>
      </c>
      <c r="AG1" s="858"/>
      <c r="AH1" s="750" t="s">
        <v>862</v>
      </c>
      <c r="AI1" s="751"/>
      <c r="AJ1" s="812" t="s">
        <v>889</v>
      </c>
      <c r="AK1" s="813"/>
      <c r="AL1" s="594" t="s">
        <v>408</v>
      </c>
      <c r="AM1" s="596"/>
      <c r="AN1" s="779" t="s">
        <v>791</v>
      </c>
      <c r="AO1" s="780"/>
      <c r="AP1" s="745" t="s">
        <v>784</v>
      </c>
      <c r="AQ1" s="746"/>
      <c r="AR1" s="781" t="s">
        <v>786</v>
      </c>
      <c r="AS1" s="782"/>
      <c r="AT1" s="745" t="s">
        <v>787</v>
      </c>
      <c r="AU1" s="746"/>
      <c r="AV1" s="700" t="s">
        <v>782</v>
      </c>
      <c r="AW1" s="702"/>
      <c r="AX1" s="839" t="s">
        <v>629</v>
      </c>
      <c r="AY1" s="840"/>
      <c r="AZ1" s="841"/>
      <c r="BA1" s="804" t="s">
        <v>790</v>
      </c>
      <c r="BB1" s="805"/>
      <c r="BC1" s="217" t="s">
        <v>413</v>
      </c>
      <c r="BD1" s="842" t="s">
        <v>168</v>
      </c>
      <c r="BE1" s="843"/>
      <c r="BF1" s="804" t="s">
        <v>228</v>
      </c>
      <c r="BG1" s="814"/>
      <c r="BH1" s="814"/>
      <c r="BI1" s="805"/>
      <c r="BJ1" s="806" t="s">
        <v>635</v>
      </c>
      <c r="BK1" s="807"/>
      <c r="BL1" s="807"/>
      <c r="BM1" s="808"/>
      <c r="BN1" s="817" t="s">
        <v>30</v>
      </c>
      <c r="BO1" s="818"/>
      <c r="BP1" s="818"/>
      <c r="BQ1" s="818"/>
      <c r="BR1" s="818"/>
      <c r="BS1" s="818"/>
      <c r="BT1" s="818"/>
      <c r="BU1" s="818"/>
      <c r="BV1" s="819"/>
    </row>
    <row r="2" spans="1:74" ht="19.899999999999999" customHeight="1" x14ac:dyDescent="0.25">
      <c r="A2" s="556" t="str">
        <f>'GRANTEE SET UP INFO &amp; DATE '!A1</f>
        <v>WV Bureau for Behavioral Health  - Peer Recovery Support Services  V 20200110</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row>
    <row r="3" spans="1:74" ht="19.899999999999999" customHeight="1" x14ac:dyDescent="0.25">
      <c r="A3" s="557" t="str">
        <f>'GRANTEE SET UP INFO &amp; DATE '!A2</f>
        <v xml:space="preserve">Program reports need to be submitted electronically, via e-mail to DHHRBBHReporting@wv.gov  within 25 calendar days of the end of each month </v>
      </c>
      <c r="B3" s="557"/>
      <c r="C3" s="557"/>
      <c r="D3" s="557"/>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row>
    <row r="4" spans="1:74" ht="9.9499999999999993" customHeight="1" x14ac:dyDescent="0.25">
      <c r="A4" s="264"/>
      <c r="B4" s="264"/>
      <c r="C4" s="264"/>
      <c r="D4" s="264"/>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row>
    <row r="5" spans="1:74" ht="28.15" customHeight="1" x14ac:dyDescent="0.25">
      <c r="A5" s="638" t="s">
        <v>739</v>
      </c>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1"/>
      <c r="AQ5" s="1"/>
      <c r="AR5" s="831"/>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c r="BT5" s="832"/>
      <c r="BU5" s="832"/>
      <c r="BV5" s="833"/>
    </row>
    <row r="6" spans="1:74" ht="30" customHeight="1" x14ac:dyDescent="0.25">
      <c r="A6" s="640" t="s">
        <v>160</v>
      </c>
      <c r="B6" s="641"/>
      <c r="C6" s="641"/>
      <c r="D6" s="641"/>
      <c r="E6" s="641"/>
      <c r="F6" s="641"/>
      <c r="G6" s="641"/>
      <c r="H6" s="643" t="str">
        <f>'GRANTEE SET UP INFO &amp; DATE '!H4</f>
        <v>Jobs and Hope</v>
      </c>
      <c r="I6" s="644"/>
      <c r="J6" s="644"/>
      <c r="K6" s="644"/>
      <c r="L6" s="644"/>
      <c r="M6" s="644"/>
      <c r="N6" s="644"/>
      <c r="O6" s="644"/>
      <c r="P6" s="644"/>
      <c r="Q6" s="644"/>
      <c r="R6" s="644"/>
      <c r="S6" s="644"/>
      <c r="T6" s="644"/>
      <c r="U6" s="645"/>
      <c r="V6" s="646" t="s">
        <v>158</v>
      </c>
      <c r="W6" s="647"/>
      <c r="X6" s="647"/>
      <c r="Y6" s="647"/>
      <c r="Z6" s="647"/>
      <c r="AA6" s="647"/>
      <c r="AB6" s="648"/>
      <c r="AC6" s="649" t="str">
        <f>'GRANTEE SET UP INFO &amp; DATE '!Z4</f>
        <v xml:space="preserve">Grantee formal Name (name on grant agreement) </v>
      </c>
      <c r="AD6" s="650"/>
      <c r="AE6" s="650"/>
      <c r="AF6" s="650"/>
      <c r="AG6" s="650"/>
      <c r="AH6" s="650"/>
      <c r="AI6" s="650"/>
      <c r="AJ6" s="650"/>
      <c r="AK6" s="650"/>
      <c r="AL6" s="650"/>
      <c r="AM6" s="650"/>
      <c r="AN6" s="650"/>
      <c r="AO6" s="650"/>
      <c r="AP6" s="650"/>
      <c r="AQ6" s="651"/>
      <c r="AR6" s="834"/>
      <c r="AS6" s="835"/>
      <c r="AT6" s="835"/>
      <c r="AU6" s="835"/>
      <c r="AV6" s="835"/>
      <c r="AW6" s="835"/>
      <c r="AX6" s="835"/>
      <c r="AY6" s="835"/>
      <c r="AZ6" s="835"/>
      <c r="BA6" s="835"/>
      <c r="BB6" s="835"/>
      <c r="BC6" s="835"/>
      <c r="BD6" s="835"/>
      <c r="BE6" s="835"/>
      <c r="BF6" s="835"/>
      <c r="BG6" s="835"/>
      <c r="BH6" s="835"/>
      <c r="BI6" s="835"/>
      <c r="BJ6" s="835"/>
      <c r="BK6" s="835"/>
      <c r="BL6" s="835"/>
      <c r="BM6" s="835"/>
      <c r="BN6" s="835"/>
      <c r="BO6" s="835"/>
      <c r="BP6" s="835"/>
      <c r="BQ6" s="835"/>
      <c r="BR6" s="835"/>
      <c r="BS6" s="835"/>
      <c r="BT6" s="835"/>
      <c r="BU6" s="835"/>
      <c r="BV6" s="836"/>
    </row>
    <row r="7" spans="1:74" x14ac:dyDescent="0.25">
      <c r="A7" s="631" t="s">
        <v>156</v>
      </c>
      <c r="B7" s="632"/>
      <c r="C7" s="632"/>
      <c r="D7" s="632"/>
      <c r="E7" s="632"/>
      <c r="F7" s="632"/>
      <c r="G7" s="632"/>
      <c r="H7" s="634" t="str">
        <f>'GRANTEE SET UP INFO &amp; DATE '!H5</f>
        <v>Jobs and Hope</v>
      </c>
      <c r="I7" s="509"/>
      <c r="J7" s="509"/>
      <c r="K7" s="509"/>
      <c r="L7" s="509"/>
      <c r="M7" s="509"/>
      <c r="N7" s="509"/>
      <c r="O7" s="509"/>
      <c r="P7" s="509"/>
      <c r="Q7" s="509"/>
      <c r="R7" s="509"/>
      <c r="S7" s="509"/>
      <c r="T7" s="509"/>
      <c r="U7" s="510"/>
      <c r="V7" s="652" t="s">
        <v>4</v>
      </c>
      <c r="W7" s="653"/>
      <c r="X7" s="653"/>
      <c r="Y7" s="653"/>
      <c r="Z7" s="653"/>
      <c r="AA7" s="653"/>
      <c r="AB7" s="654"/>
      <c r="AC7" s="616" t="str">
        <f>'GRANTEE SET UP INFO &amp; DATE '!Z5</f>
        <v>Names of Contact(s):</v>
      </c>
      <c r="AD7" s="617"/>
      <c r="AE7" s="617"/>
      <c r="AF7" s="617"/>
      <c r="AG7" s="617"/>
      <c r="AH7" s="617"/>
      <c r="AI7" s="617"/>
      <c r="AJ7" s="617"/>
      <c r="AK7" s="617"/>
      <c r="AL7" s="617"/>
      <c r="AM7" s="617"/>
      <c r="AN7" s="617"/>
      <c r="AO7" s="617"/>
      <c r="AP7" s="617"/>
      <c r="AQ7" s="618"/>
      <c r="AR7" s="834"/>
      <c r="AS7" s="835"/>
      <c r="AT7" s="835"/>
      <c r="AU7" s="835"/>
      <c r="AV7" s="835"/>
      <c r="AW7" s="835"/>
      <c r="AX7" s="835"/>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6"/>
    </row>
    <row r="8" spans="1:74" ht="14.45" customHeight="1" x14ac:dyDescent="0.25">
      <c r="A8" s="619" t="s">
        <v>1</v>
      </c>
      <c r="B8" s="620"/>
      <c r="C8" s="620"/>
      <c r="D8" s="620"/>
      <c r="E8" s="620"/>
      <c r="F8" s="620"/>
      <c r="G8" s="620"/>
      <c r="H8" s="622" t="str">
        <f>'GRANTEE SET UP INFO &amp; DATE '!H6</f>
        <v>123 Any Street, Any City, WV 12345</v>
      </c>
      <c r="I8" s="623"/>
      <c r="J8" s="623"/>
      <c r="K8" s="623"/>
      <c r="L8" s="623"/>
      <c r="M8" s="623"/>
      <c r="N8" s="623"/>
      <c r="O8" s="623"/>
      <c r="P8" s="623"/>
      <c r="Q8" s="623"/>
      <c r="R8" s="623"/>
      <c r="S8" s="623"/>
      <c r="T8" s="623"/>
      <c r="U8" s="624"/>
      <c r="V8" s="631" t="s">
        <v>793</v>
      </c>
      <c r="W8" s="632"/>
      <c r="X8" s="632"/>
      <c r="Y8" s="632"/>
      <c r="Z8" s="632"/>
      <c r="AA8" s="632"/>
      <c r="AB8" s="633"/>
      <c r="AC8" s="634" t="str">
        <f>'GRANTEE SET UP INFO &amp; DATE '!Z6</f>
        <v>Phone numbers for contacts</v>
      </c>
      <c r="AD8" s="509"/>
      <c r="AE8" s="509"/>
      <c r="AF8" s="509"/>
      <c r="AG8" s="509"/>
      <c r="AH8" s="509"/>
      <c r="AI8" s="509"/>
      <c r="AJ8" s="509"/>
      <c r="AK8" s="509"/>
      <c r="AL8" s="509"/>
      <c r="AM8" s="509"/>
      <c r="AN8" s="509"/>
      <c r="AO8" s="509"/>
      <c r="AP8" s="509"/>
      <c r="AQ8" s="510"/>
      <c r="AR8" s="834"/>
      <c r="AS8" s="835"/>
      <c r="AT8" s="835"/>
      <c r="AU8" s="835"/>
      <c r="AV8" s="835"/>
      <c r="AW8" s="835"/>
      <c r="AX8" s="835"/>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6"/>
    </row>
    <row r="9" spans="1:74" x14ac:dyDescent="0.25">
      <c r="A9" s="635"/>
      <c r="B9" s="636"/>
      <c r="C9" s="636"/>
      <c r="D9" s="636"/>
      <c r="E9" s="636"/>
      <c r="F9" s="636"/>
      <c r="G9" s="636"/>
      <c r="H9" s="625"/>
      <c r="I9" s="626"/>
      <c r="J9" s="626"/>
      <c r="K9" s="626"/>
      <c r="L9" s="626"/>
      <c r="M9" s="626"/>
      <c r="N9" s="626"/>
      <c r="O9" s="626"/>
      <c r="P9" s="626"/>
      <c r="Q9" s="626"/>
      <c r="R9" s="626"/>
      <c r="S9" s="626"/>
      <c r="T9" s="626"/>
      <c r="U9" s="627"/>
      <c r="V9" s="631" t="s">
        <v>966</v>
      </c>
      <c r="W9" s="632"/>
      <c r="X9" s="632"/>
      <c r="Y9" s="632"/>
      <c r="Z9" s="632"/>
      <c r="AA9" s="632"/>
      <c r="AB9" s="633"/>
      <c r="AC9" s="634" t="str">
        <f>'GRANTEE SET UP INFO &amp; DATE '!Z7</f>
        <v xml:space="preserve">number on grant agreement or TFB </v>
      </c>
      <c r="AD9" s="509"/>
      <c r="AE9" s="509"/>
      <c r="AF9" s="509"/>
      <c r="AG9" s="509"/>
      <c r="AH9" s="509"/>
      <c r="AI9" s="509"/>
      <c r="AJ9" s="509"/>
      <c r="AK9" s="509"/>
      <c r="AL9" s="509"/>
      <c r="AM9" s="509"/>
      <c r="AN9" s="509"/>
      <c r="AO9" s="509"/>
      <c r="AP9" s="509"/>
      <c r="AQ9" s="510"/>
      <c r="AR9" s="834"/>
      <c r="AS9" s="835"/>
      <c r="AT9" s="835"/>
      <c r="AU9" s="835"/>
      <c r="AV9" s="835"/>
      <c r="AW9" s="835"/>
      <c r="AX9" s="835"/>
      <c r="AY9" s="835"/>
      <c r="AZ9" s="835"/>
      <c r="BA9" s="835"/>
      <c r="BB9" s="835"/>
      <c r="BC9" s="835"/>
      <c r="BD9" s="835"/>
      <c r="BE9" s="835"/>
      <c r="BF9" s="835"/>
      <c r="BG9" s="835"/>
      <c r="BH9" s="835"/>
      <c r="BI9" s="835"/>
      <c r="BJ9" s="835"/>
      <c r="BK9" s="835"/>
      <c r="BL9" s="835"/>
      <c r="BM9" s="835"/>
      <c r="BN9" s="835"/>
      <c r="BO9" s="835"/>
      <c r="BP9" s="835"/>
      <c r="BQ9" s="835"/>
      <c r="BR9" s="835"/>
      <c r="BS9" s="835"/>
      <c r="BT9" s="835"/>
      <c r="BU9" s="835"/>
      <c r="BV9" s="836"/>
    </row>
    <row r="10" spans="1:74" ht="20.100000000000001" customHeight="1" x14ac:dyDescent="0.25">
      <c r="A10" s="628" t="s">
        <v>44</v>
      </c>
      <c r="B10" s="629"/>
      <c r="C10" s="629"/>
      <c r="D10" s="629"/>
      <c r="E10" s="629"/>
      <c r="F10" s="629"/>
      <c r="G10" s="629"/>
      <c r="H10" s="787" t="str">
        <f>'GRANTEE SET UP INFO &amp; DATE '!H8</f>
        <v>October 1 - 31</v>
      </c>
      <c r="I10" s="788"/>
      <c r="J10" s="788"/>
      <c r="K10" s="788"/>
      <c r="L10" s="788"/>
      <c r="M10" s="788"/>
      <c r="N10" s="788"/>
      <c r="O10" s="788"/>
      <c r="P10" s="788"/>
      <c r="Q10" s="789"/>
      <c r="R10" s="655">
        <f>'GRANTEE SET UP INFO &amp; DATE '!P8</f>
        <v>2024</v>
      </c>
      <c r="S10" s="656"/>
      <c r="T10" s="656"/>
      <c r="U10" s="657"/>
      <c r="V10" s="658" t="s">
        <v>794</v>
      </c>
      <c r="W10" s="659"/>
      <c r="X10" s="659"/>
      <c r="Y10" s="659"/>
      <c r="Z10" s="659"/>
      <c r="AA10" s="659"/>
      <c r="AB10" s="660"/>
      <c r="AC10" s="634" t="str">
        <f>'GRANTEE SET UP INFO &amp; DATE '!Z8</f>
        <v>program code can locate on SOW or  TFB</v>
      </c>
      <c r="AD10" s="509"/>
      <c r="AE10" s="509"/>
      <c r="AF10" s="509"/>
      <c r="AG10" s="509"/>
      <c r="AH10" s="509"/>
      <c r="AI10" s="509"/>
      <c r="AJ10" s="509"/>
      <c r="AK10" s="509"/>
      <c r="AL10" s="509"/>
      <c r="AM10" s="509"/>
      <c r="AN10" s="509"/>
      <c r="AO10" s="509"/>
      <c r="AP10" s="509"/>
      <c r="AQ10" s="510"/>
      <c r="AR10" s="834"/>
      <c r="AS10" s="835"/>
      <c r="AT10" s="835"/>
      <c r="AU10" s="835"/>
      <c r="AV10" s="835"/>
      <c r="AW10" s="835"/>
      <c r="AX10" s="835"/>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6"/>
    </row>
    <row r="11" spans="1:74" ht="34.9" customHeight="1" x14ac:dyDescent="0.25">
      <c r="A11" s="849" t="s">
        <v>630</v>
      </c>
      <c r="B11" s="849"/>
      <c r="C11" s="849"/>
      <c r="D11" s="849"/>
      <c r="E11" s="849"/>
      <c r="F11" s="849"/>
      <c r="G11" s="849"/>
      <c r="H11" s="849"/>
      <c r="I11" s="849"/>
      <c r="J11" s="849"/>
      <c r="K11" s="849"/>
      <c r="L11" s="849"/>
      <c r="M11" s="849"/>
      <c r="N11" s="849"/>
      <c r="O11" s="849"/>
      <c r="P11" s="849"/>
      <c r="Q11" s="849"/>
      <c r="R11" s="849"/>
      <c r="S11" s="849"/>
      <c r="T11" s="849"/>
      <c r="U11" s="849"/>
      <c r="V11" s="850"/>
      <c r="W11" s="850"/>
      <c r="X11" s="850"/>
      <c r="Y11" s="850"/>
      <c r="Z11" s="850"/>
      <c r="AA11" s="850"/>
      <c r="AB11" s="850"/>
      <c r="AC11" s="850"/>
      <c r="AD11" s="850"/>
      <c r="AE11" s="850"/>
      <c r="AF11" s="287"/>
      <c r="AG11" s="287"/>
      <c r="AH11" s="287"/>
      <c r="AI11" s="287"/>
      <c r="AJ11" s="2"/>
      <c r="AK11" s="2"/>
      <c r="AL11" s="2"/>
      <c r="AM11" s="2"/>
      <c r="AN11" s="2"/>
      <c r="AO11" s="2"/>
      <c r="AP11" s="2"/>
      <c r="AQ11" s="2"/>
      <c r="AR11" s="834"/>
      <c r="AS11" s="835"/>
      <c r="AT11" s="835"/>
      <c r="AU11" s="835"/>
      <c r="AV11" s="835"/>
      <c r="AW11" s="835"/>
      <c r="AX11" s="835"/>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6"/>
    </row>
    <row r="12" spans="1:74" ht="39.950000000000003" customHeight="1" x14ac:dyDescent="0.25">
      <c r="A12" s="639" t="s">
        <v>740</v>
      </c>
      <c r="B12" s="639"/>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1"/>
      <c r="AR12" s="834"/>
      <c r="AS12" s="835"/>
      <c r="AT12" s="835"/>
      <c r="AU12" s="835"/>
      <c r="AV12" s="835"/>
      <c r="AW12" s="835"/>
      <c r="AX12" s="835"/>
      <c r="AY12" s="835"/>
      <c r="AZ12" s="835"/>
      <c r="BA12" s="835"/>
      <c r="BB12" s="835"/>
      <c r="BC12" s="835"/>
      <c r="BD12" s="835"/>
      <c r="BE12" s="835"/>
      <c r="BF12" s="835"/>
      <c r="BG12" s="835"/>
      <c r="BH12" s="835"/>
      <c r="BI12" s="835"/>
      <c r="BJ12" s="835"/>
      <c r="BK12" s="835"/>
      <c r="BL12" s="835"/>
      <c r="BM12" s="835"/>
      <c r="BN12" s="837"/>
      <c r="BO12" s="837"/>
      <c r="BP12" s="837"/>
      <c r="BQ12" s="837"/>
      <c r="BR12" s="837"/>
      <c r="BS12" s="837"/>
      <c r="BT12" s="837"/>
      <c r="BU12" s="837"/>
      <c r="BV12" s="838"/>
    </row>
    <row r="13" spans="1:74" ht="90" customHeight="1" x14ac:dyDescent="0.25">
      <c r="A13" s="758" t="s">
        <v>407</v>
      </c>
      <c r="B13" s="759"/>
      <c r="C13" s="759"/>
      <c r="D13" s="759"/>
      <c r="E13" s="760"/>
      <c r="F13" s="769" t="s">
        <v>964</v>
      </c>
      <c r="G13" s="770"/>
      <c r="H13" s="770"/>
      <c r="I13" s="770"/>
      <c r="J13" s="770"/>
      <c r="K13" s="770"/>
      <c r="L13" s="770"/>
      <c r="M13" s="770"/>
      <c r="N13" s="770"/>
      <c r="O13" s="770"/>
      <c r="P13" s="770"/>
      <c r="Q13" s="770"/>
      <c r="R13" s="770"/>
      <c r="S13" s="770"/>
      <c r="T13" s="770"/>
      <c r="U13" s="770"/>
      <c r="V13" s="770"/>
      <c r="W13" s="771"/>
      <c r="X13" s="747" t="s">
        <v>869</v>
      </c>
      <c r="Y13" s="748"/>
      <c r="Z13" s="748"/>
      <c r="AA13" s="748"/>
      <c r="AB13" s="748" t="s">
        <v>965</v>
      </c>
      <c r="AC13" s="748"/>
      <c r="AD13" s="748"/>
      <c r="AE13" s="749"/>
      <c r="AF13" s="859" t="s">
        <v>858</v>
      </c>
      <c r="AG13" s="860"/>
      <c r="AH13" s="752" t="s">
        <v>861</v>
      </c>
      <c r="AI13" s="753"/>
      <c r="AJ13" s="865" t="s">
        <v>890</v>
      </c>
      <c r="AK13" s="866"/>
      <c r="AL13" s="866"/>
      <c r="AM13" s="866"/>
      <c r="AN13" s="866"/>
      <c r="AO13" s="867"/>
      <c r="AP13" s="861" t="s">
        <v>888</v>
      </c>
      <c r="AQ13" s="862"/>
      <c r="AR13" s="862"/>
      <c r="AS13" s="862"/>
      <c r="AT13" s="862"/>
      <c r="AU13" s="862"/>
      <c r="AV13" s="862"/>
      <c r="AW13" s="862"/>
      <c r="AX13" s="862"/>
      <c r="AY13" s="862"/>
      <c r="AZ13" s="862"/>
      <c r="BA13" s="862"/>
      <c r="BB13" s="863"/>
      <c r="BC13" s="864" t="s">
        <v>792</v>
      </c>
      <c r="BD13" s="864"/>
      <c r="BE13" s="864"/>
      <c r="BF13" s="864"/>
      <c r="BG13" s="864"/>
      <c r="BH13" s="864"/>
      <c r="BI13" s="864"/>
      <c r="BJ13" s="864"/>
      <c r="BK13" s="864"/>
      <c r="BL13" s="864"/>
      <c r="BM13" s="864"/>
      <c r="BN13" s="761" t="s">
        <v>30</v>
      </c>
      <c r="BO13" s="762"/>
      <c r="BP13" s="762"/>
      <c r="BQ13" s="762"/>
      <c r="BR13" s="762"/>
      <c r="BS13" s="762"/>
      <c r="BT13" s="762"/>
      <c r="BU13" s="762"/>
      <c r="BV13" s="763"/>
    </row>
    <row r="14" spans="1:74" ht="69.95" customHeight="1" x14ac:dyDescent="0.25">
      <c r="A14" s="13" t="s">
        <v>15</v>
      </c>
      <c r="B14" s="767" t="s">
        <v>157</v>
      </c>
      <c r="C14" s="768"/>
      <c r="D14" s="792" t="s">
        <v>405</v>
      </c>
      <c r="E14" s="793"/>
      <c r="F14" s="796" t="s">
        <v>796</v>
      </c>
      <c r="G14" s="797"/>
      <c r="H14" s="794" t="s">
        <v>795</v>
      </c>
      <c r="I14" s="795"/>
      <c r="J14" s="745" t="s">
        <v>928</v>
      </c>
      <c r="K14" s="746"/>
      <c r="L14" s="783" t="s">
        <v>909</v>
      </c>
      <c r="M14" s="784"/>
      <c r="N14" s="193" t="s">
        <v>6</v>
      </c>
      <c r="O14" s="195" t="s">
        <v>47</v>
      </c>
      <c r="P14" s="798" t="s">
        <v>48</v>
      </c>
      <c r="Q14" s="799"/>
      <c r="R14" s="855" t="s">
        <v>54</v>
      </c>
      <c r="S14" s="856"/>
      <c r="T14" s="774" t="s">
        <v>425</v>
      </c>
      <c r="U14" s="775"/>
      <c r="V14" s="772" t="s">
        <v>904</v>
      </c>
      <c r="W14" s="773"/>
      <c r="X14" s="828" t="s">
        <v>872</v>
      </c>
      <c r="Y14" s="829"/>
      <c r="Z14" s="829"/>
      <c r="AA14" s="830"/>
      <c r="AB14" s="825" t="s">
        <v>873</v>
      </c>
      <c r="AC14" s="826"/>
      <c r="AD14" s="826"/>
      <c r="AE14" s="827"/>
      <c r="AF14" s="857" t="s">
        <v>857</v>
      </c>
      <c r="AG14" s="858"/>
      <c r="AH14" s="750" t="s">
        <v>862</v>
      </c>
      <c r="AI14" s="751"/>
      <c r="AJ14" s="708" t="s">
        <v>889</v>
      </c>
      <c r="AK14" s="710"/>
      <c r="AL14" s="823" t="s">
        <v>408</v>
      </c>
      <c r="AM14" s="824"/>
      <c r="AN14" s="800" t="s">
        <v>791</v>
      </c>
      <c r="AO14" s="801"/>
      <c r="AP14" s="745" t="s">
        <v>783</v>
      </c>
      <c r="AQ14" s="746"/>
      <c r="AR14" s="802" t="s">
        <v>785</v>
      </c>
      <c r="AS14" s="803"/>
      <c r="AT14" s="851" t="s">
        <v>788</v>
      </c>
      <c r="AU14" s="852"/>
      <c r="AV14" s="700" t="s">
        <v>927</v>
      </c>
      <c r="AW14" s="702"/>
      <c r="AX14" s="764" t="s">
        <v>505</v>
      </c>
      <c r="AY14" s="765"/>
      <c r="AZ14" s="766"/>
      <c r="BA14" s="853" t="s">
        <v>789</v>
      </c>
      <c r="BB14" s="854"/>
      <c r="BC14" s="218" t="s">
        <v>413</v>
      </c>
      <c r="BD14" s="756" t="s">
        <v>168</v>
      </c>
      <c r="BE14" s="757"/>
      <c r="BF14" s="846" t="s">
        <v>228</v>
      </c>
      <c r="BG14" s="847"/>
      <c r="BH14" s="847"/>
      <c r="BI14" s="848"/>
      <c r="BJ14" s="820" t="s">
        <v>634</v>
      </c>
      <c r="BK14" s="821"/>
      <c r="BL14" s="821"/>
      <c r="BM14" s="822"/>
      <c r="BN14" s="817" t="s">
        <v>30</v>
      </c>
      <c r="BO14" s="818"/>
      <c r="BP14" s="818"/>
      <c r="BQ14" s="818"/>
      <c r="BR14" s="818"/>
      <c r="BS14" s="818"/>
      <c r="BT14" s="818"/>
      <c r="BU14" s="818"/>
      <c r="BV14" s="819"/>
    </row>
    <row r="15" spans="1:74" ht="45" customHeight="1" x14ac:dyDescent="0.25">
      <c r="A15" s="10">
        <f t="shared" ref="A15:A78" si="0">ROW(A1)</f>
        <v>1</v>
      </c>
      <c r="B15" s="662" t="s">
        <v>159</v>
      </c>
      <c r="C15" s="662"/>
      <c r="D15" s="663" t="s">
        <v>212</v>
      </c>
      <c r="E15" s="663"/>
      <c r="F15" s="664" t="s">
        <v>162</v>
      </c>
      <c r="G15" s="665"/>
      <c r="H15" s="755" t="s">
        <v>162</v>
      </c>
      <c r="I15" s="667"/>
      <c r="J15" s="706"/>
      <c r="K15" s="707"/>
      <c r="L15" s="706"/>
      <c r="M15" s="707"/>
      <c r="N15" s="194"/>
      <c r="O15" s="196"/>
      <c r="P15" s="717"/>
      <c r="Q15" s="718"/>
      <c r="R15" s="672"/>
      <c r="S15" s="673"/>
      <c r="T15" s="674"/>
      <c r="U15" s="675"/>
      <c r="V15" s="676"/>
      <c r="W15" s="677"/>
      <c r="X15" s="678" t="s">
        <v>159</v>
      </c>
      <c r="Y15" s="678"/>
      <c r="Z15" s="678"/>
      <c r="AA15" s="678"/>
      <c r="AB15" s="679" t="s">
        <v>159</v>
      </c>
      <c r="AC15" s="679"/>
      <c r="AD15" s="679"/>
      <c r="AE15" s="679"/>
      <c r="AF15" s="680"/>
      <c r="AG15" s="681"/>
      <c r="AH15" s="680"/>
      <c r="AI15" s="681"/>
      <c r="AJ15" s="686"/>
      <c r="AK15" s="687"/>
      <c r="AL15" s="684" t="s">
        <v>162</v>
      </c>
      <c r="AM15" s="685"/>
      <c r="AN15" s="666" t="s">
        <v>162</v>
      </c>
      <c r="AO15" s="667"/>
      <c r="AP15" s="686"/>
      <c r="AQ15" s="687"/>
      <c r="AR15" s="688"/>
      <c r="AS15" s="689"/>
      <c r="AT15" s="690"/>
      <c r="AU15" s="691"/>
      <c r="AV15" s="666" t="s">
        <v>162</v>
      </c>
      <c r="AW15" s="667"/>
      <c r="AX15" s="692"/>
      <c r="AY15" s="693"/>
      <c r="AZ15" s="694"/>
      <c r="BA15" s="682"/>
      <c r="BB15" s="683"/>
      <c r="BC15" s="14"/>
      <c r="BD15" s="695" t="s">
        <v>887</v>
      </c>
      <c r="BE15" s="696"/>
      <c r="BF15" s="708"/>
      <c r="BG15" s="709"/>
      <c r="BH15" s="709"/>
      <c r="BI15" s="710"/>
      <c r="BJ15" s="700" t="s">
        <v>159</v>
      </c>
      <c r="BK15" s="701"/>
      <c r="BL15" s="701"/>
      <c r="BM15" s="702"/>
      <c r="BN15" s="703" t="s">
        <v>159</v>
      </c>
      <c r="BO15" s="704"/>
      <c r="BP15" s="704"/>
      <c r="BQ15" s="704"/>
      <c r="BR15" s="704"/>
      <c r="BS15" s="704"/>
      <c r="BT15" s="704"/>
      <c r="BU15" s="704"/>
      <c r="BV15" s="705"/>
    </row>
    <row r="16" spans="1:74" ht="45" customHeight="1" x14ac:dyDescent="0.25">
      <c r="A16" s="10">
        <f t="shared" si="0"/>
        <v>2</v>
      </c>
      <c r="B16" s="711" t="s">
        <v>159</v>
      </c>
      <c r="C16" s="711"/>
      <c r="D16" s="712" t="s">
        <v>212</v>
      </c>
      <c r="E16" s="712"/>
      <c r="F16" s="664" t="s">
        <v>162</v>
      </c>
      <c r="G16" s="665"/>
      <c r="H16" s="754" t="s">
        <v>162</v>
      </c>
      <c r="I16" s="714"/>
      <c r="J16" s="715"/>
      <c r="K16" s="716"/>
      <c r="L16" s="715"/>
      <c r="M16" s="716"/>
      <c r="N16" s="215"/>
      <c r="O16" s="216"/>
      <c r="P16" s="670"/>
      <c r="Q16" s="671"/>
      <c r="R16" s="719"/>
      <c r="S16" s="720"/>
      <c r="T16" s="721"/>
      <c r="U16" s="722"/>
      <c r="V16" s="723"/>
      <c r="W16" s="724"/>
      <c r="X16" s="725" t="s">
        <v>159</v>
      </c>
      <c r="Y16" s="725"/>
      <c r="Z16" s="725"/>
      <c r="AA16" s="725"/>
      <c r="AB16" s="726" t="s">
        <v>159</v>
      </c>
      <c r="AC16" s="726"/>
      <c r="AD16" s="726"/>
      <c r="AE16" s="726"/>
      <c r="AF16" s="727"/>
      <c r="AG16" s="728"/>
      <c r="AH16" s="727"/>
      <c r="AI16" s="728"/>
      <c r="AJ16" s="682"/>
      <c r="AK16" s="683"/>
      <c r="AL16" s="664" t="s">
        <v>162</v>
      </c>
      <c r="AM16" s="665"/>
      <c r="AN16" s="713" t="s">
        <v>162</v>
      </c>
      <c r="AO16" s="714"/>
      <c r="AP16" s="729"/>
      <c r="AQ16" s="730"/>
      <c r="AR16" s="731"/>
      <c r="AS16" s="732"/>
      <c r="AT16" s="690"/>
      <c r="AU16" s="691"/>
      <c r="AV16" s="713" t="s">
        <v>162</v>
      </c>
      <c r="AW16" s="714"/>
      <c r="AX16" s="692"/>
      <c r="AY16" s="693"/>
      <c r="AZ16" s="694"/>
      <c r="BA16" s="735"/>
      <c r="BB16" s="736"/>
      <c r="BC16" s="219"/>
      <c r="BD16" s="737" t="s">
        <v>162</v>
      </c>
      <c r="BE16" s="738"/>
      <c r="BF16" s="739"/>
      <c r="BG16" s="740"/>
      <c r="BH16" s="740"/>
      <c r="BI16" s="741"/>
      <c r="BJ16" s="742" t="s">
        <v>159</v>
      </c>
      <c r="BK16" s="743"/>
      <c r="BL16" s="743"/>
      <c r="BM16" s="744"/>
      <c r="BN16" s="703" t="s">
        <v>159</v>
      </c>
      <c r="BO16" s="704"/>
      <c r="BP16" s="704"/>
      <c r="BQ16" s="704"/>
      <c r="BR16" s="704"/>
      <c r="BS16" s="704"/>
      <c r="BT16" s="704"/>
      <c r="BU16" s="704"/>
      <c r="BV16" s="705"/>
    </row>
    <row r="17" spans="1:74" ht="45" customHeight="1" x14ac:dyDescent="0.25">
      <c r="A17" s="10">
        <f t="shared" si="0"/>
        <v>3</v>
      </c>
      <c r="B17" s="662" t="s">
        <v>159</v>
      </c>
      <c r="C17" s="662"/>
      <c r="D17" s="663" t="s">
        <v>212</v>
      </c>
      <c r="E17" s="663"/>
      <c r="F17" s="664" t="s">
        <v>162</v>
      </c>
      <c r="G17" s="665"/>
      <c r="H17" s="755" t="s">
        <v>162</v>
      </c>
      <c r="I17" s="667"/>
      <c r="J17" s="706"/>
      <c r="K17" s="707"/>
      <c r="L17" s="706"/>
      <c r="M17" s="707"/>
      <c r="N17" s="194"/>
      <c r="O17" s="196"/>
      <c r="P17" s="717"/>
      <c r="Q17" s="718"/>
      <c r="R17" s="672"/>
      <c r="S17" s="673"/>
      <c r="T17" s="674"/>
      <c r="U17" s="675"/>
      <c r="V17" s="676"/>
      <c r="W17" s="677"/>
      <c r="X17" s="678" t="s">
        <v>159</v>
      </c>
      <c r="Y17" s="678"/>
      <c r="Z17" s="678"/>
      <c r="AA17" s="678"/>
      <c r="AB17" s="679" t="s">
        <v>159</v>
      </c>
      <c r="AC17" s="679"/>
      <c r="AD17" s="679"/>
      <c r="AE17" s="679"/>
      <c r="AF17" s="680"/>
      <c r="AG17" s="681"/>
      <c r="AH17" s="680"/>
      <c r="AI17" s="681"/>
      <c r="AJ17" s="686"/>
      <c r="AK17" s="687"/>
      <c r="AL17" s="684" t="s">
        <v>162</v>
      </c>
      <c r="AM17" s="685"/>
      <c r="AN17" s="666" t="s">
        <v>162</v>
      </c>
      <c r="AO17" s="667"/>
      <c r="AP17" s="686"/>
      <c r="AQ17" s="687"/>
      <c r="AR17" s="688"/>
      <c r="AS17" s="689"/>
      <c r="AT17" s="690"/>
      <c r="AU17" s="691"/>
      <c r="AV17" s="666" t="s">
        <v>162</v>
      </c>
      <c r="AW17" s="667"/>
      <c r="AX17" s="692"/>
      <c r="AY17" s="693"/>
      <c r="AZ17" s="694"/>
      <c r="BA17" s="682"/>
      <c r="BB17" s="683"/>
      <c r="BC17" s="14"/>
      <c r="BD17" s="695" t="s">
        <v>887</v>
      </c>
      <c r="BE17" s="696"/>
      <c r="BF17" s="697"/>
      <c r="BG17" s="698"/>
      <c r="BH17" s="698"/>
      <c r="BI17" s="699"/>
      <c r="BJ17" s="700" t="s">
        <v>159</v>
      </c>
      <c r="BK17" s="701"/>
      <c r="BL17" s="701"/>
      <c r="BM17" s="702"/>
      <c r="BN17" s="703" t="s">
        <v>159</v>
      </c>
      <c r="BO17" s="704"/>
      <c r="BP17" s="704"/>
      <c r="BQ17" s="704"/>
      <c r="BR17" s="704"/>
      <c r="BS17" s="704"/>
      <c r="BT17" s="704"/>
      <c r="BU17" s="704"/>
      <c r="BV17" s="705"/>
    </row>
    <row r="18" spans="1:74" ht="45" customHeight="1" x14ac:dyDescent="0.25">
      <c r="A18" s="10">
        <f t="shared" si="0"/>
        <v>4</v>
      </c>
      <c r="B18" s="711" t="s">
        <v>159</v>
      </c>
      <c r="C18" s="711"/>
      <c r="D18" s="712" t="s">
        <v>212</v>
      </c>
      <c r="E18" s="712"/>
      <c r="F18" s="664" t="s">
        <v>162</v>
      </c>
      <c r="G18" s="665"/>
      <c r="H18" s="754" t="s">
        <v>162</v>
      </c>
      <c r="I18" s="714"/>
      <c r="J18" s="715"/>
      <c r="K18" s="716"/>
      <c r="L18" s="715"/>
      <c r="M18" s="716"/>
      <c r="N18" s="215"/>
      <c r="O18" s="216"/>
      <c r="P18" s="670"/>
      <c r="Q18" s="671"/>
      <c r="R18" s="719"/>
      <c r="S18" s="720"/>
      <c r="T18" s="721"/>
      <c r="U18" s="722"/>
      <c r="V18" s="723"/>
      <c r="W18" s="724"/>
      <c r="X18" s="725" t="s">
        <v>159</v>
      </c>
      <c r="Y18" s="725"/>
      <c r="Z18" s="725"/>
      <c r="AA18" s="725"/>
      <c r="AB18" s="726" t="s">
        <v>159</v>
      </c>
      <c r="AC18" s="726"/>
      <c r="AD18" s="726"/>
      <c r="AE18" s="726"/>
      <c r="AF18" s="727"/>
      <c r="AG18" s="728"/>
      <c r="AH18" s="727"/>
      <c r="AI18" s="728"/>
      <c r="AJ18" s="682"/>
      <c r="AK18" s="683"/>
      <c r="AL18" s="664" t="s">
        <v>162</v>
      </c>
      <c r="AM18" s="665"/>
      <c r="AN18" s="713" t="s">
        <v>162</v>
      </c>
      <c r="AO18" s="714"/>
      <c r="AP18" s="729"/>
      <c r="AQ18" s="730"/>
      <c r="AR18" s="731"/>
      <c r="AS18" s="732"/>
      <c r="AT18" s="690"/>
      <c r="AU18" s="691"/>
      <c r="AV18" s="713" t="s">
        <v>162</v>
      </c>
      <c r="AW18" s="714"/>
      <c r="AX18" s="692"/>
      <c r="AY18" s="693"/>
      <c r="AZ18" s="694"/>
      <c r="BA18" s="735"/>
      <c r="BB18" s="736"/>
      <c r="BC18" s="219"/>
      <c r="BD18" s="737" t="s">
        <v>162</v>
      </c>
      <c r="BE18" s="738"/>
      <c r="BF18" s="739"/>
      <c r="BG18" s="740"/>
      <c r="BH18" s="740"/>
      <c r="BI18" s="741"/>
      <c r="BJ18" s="742" t="s">
        <v>159</v>
      </c>
      <c r="BK18" s="743"/>
      <c r="BL18" s="743"/>
      <c r="BM18" s="744"/>
      <c r="BN18" s="703" t="s">
        <v>159</v>
      </c>
      <c r="BO18" s="704"/>
      <c r="BP18" s="704"/>
      <c r="BQ18" s="704"/>
      <c r="BR18" s="704"/>
      <c r="BS18" s="704"/>
      <c r="BT18" s="704"/>
      <c r="BU18" s="704"/>
      <c r="BV18" s="705"/>
    </row>
    <row r="19" spans="1:74" ht="45" customHeight="1" x14ac:dyDescent="0.25">
      <c r="A19" s="10">
        <f t="shared" si="0"/>
        <v>5</v>
      </c>
      <c r="B19" s="662" t="s">
        <v>159</v>
      </c>
      <c r="C19" s="662"/>
      <c r="D19" s="663" t="s">
        <v>212</v>
      </c>
      <c r="E19" s="663"/>
      <c r="F19" s="664" t="s">
        <v>162</v>
      </c>
      <c r="G19" s="665"/>
      <c r="H19" s="755" t="s">
        <v>162</v>
      </c>
      <c r="I19" s="667"/>
      <c r="J19" s="706"/>
      <c r="K19" s="707"/>
      <c r="L19" s="706"/>
      <c r="M19" s="707"/>
      <c r="N19" s="194"/>
      <c r="O19" s="196"/>
      <c r="P19" s="717"/>
      <c r="Q19" s="718"/>
      <c r="R19" s="672"/>
      <c r="S19" s="673"/>
      <c r="T19" s="674"/>
      <c r="U19" s="675"/>
      <c r="V19" s="676"/>
      <c r="W19" s="677"/>
      <c r="X19" s="678" t="s">
        <v>159</v>
      </c>
      <c r="Y19" s="678"/>
      <c r="Z19" s="678"/>
      <c r="AA19" s="678"/>
      <c r="AB19" s="679" t="s">
        <v>159</v>
      </c>
      <c r="AC19" s="679"/>
      <c r="AD19" s="679"/>
      <c r="AE19" s="679"/>
      <c r="AF19" s="680"/>
      <c r="AG19" s="681"/>
      <c r="AH19" s="680"/>
      <c r="AI19" s="681"/>
      <c r="AJ19" s="686"/>
      <c r="AK19" s="687"/>
      <c r="AL19" s="684" t="s">
        <v>162</v>
      </c>
      <c r="AM19" s="685"/>
      <c r="AN19" s="666" t="s">
        <v>162</v>
      </c>
      <c r="AO19" s="667"/>
      <c r="AP19" s="686"/>
      <c r="AQ19" s="687"/>
      <c r="AR19" s="688"/>
      <c r="AS19" s="689"/>
      <c r="AT19" s="690"/>
      <c r="AU19" s="691"/>
      <c r="AV19" s="666" t="s">
        <v>162</v>
      </c>
      <c r="AW19" s="667"/>
      <c r="AX19" s="692"/>
      <c r="AY19" s="693"/>
      <c r="AZ19" s="694"/>
      <c r="BA19" s="682"/>
      <c r="BB19" s="683"/>
      <c r="BC19" s="14"/>
      <c r="BD19" s="695" t="s">
        <v>887</v>
      </c>
      <c r="BE19" s="696"/>
      <c r="BF19" s="708"/>
      <c r="BG19" s="709"/>
      <c r="BH19" s="709"/>
      <c r="BI19" s="710"/>
      <c r="BJ19" s="700" t="s">
        <v>159</v>
      </c>
      <c r="BK19" s="701"/>
      <c r="BL19" s="701"/>
      <c r="BM19" s="702"/>
      <c r="BN19" s="703" t="s">
        <v>159</v>
      </c>
      <c r="BO19" s="704"/>
      <c r="BP19" s="704"/>
      <c r="BQ19" s="704"/>
      <c r="BR19" s="704"/>
      <c r="BS19" s="704"/>
      <c r="BT19" s="704"/>
      <c r="BU19" s="704"/>
      <c r="BV19" s="705"/>
    </row>
    <row r="20" spans="1:74" ht="45" customHeight="1" x14ac:dyDescent="0.25">
      <c r="A20" s="10">
        <f t="shared" si="0"/>
        <v>6</v>
      </c>
      <c r="B20" s="711" t="s">
        <v>159</v>
      </c>
      <c r="C20" s="711"/>
      <c r="D20" s="712" t="s">
        <v>212</v>
      </c>
      <c r="E20" s="712"/>
      <c r="F20" s="664" t="s">
        <v>162</v>
      </c>
      <c r="G20" s="665"/>
      <c r="H20" s="754" t="s">
        <v>162</v>
      </c>
      <c r="I20" s="714"/>
      <c r="J20" s="715"/>
      <c r="K20" s="716"/>
      <c r="L20" s="715"/>
      <c r="M20" s="716"/>
      <c r="N20" s="215"/>
      <c r="O20" s="216"/>
      <c r="P20" s="670"/>
      <c r="Q20" s="671"/>
      <c r="R20" s="719"/>
      <c r="S20" s="720"/>
      <c r="T20" s="721"/>
      <c r="U20" s="722"/>
      <c r="V20" s="723"/>
      <c r="W20" s="724"/>
      <c r="X20" s="725" t="s">
        <v>159</v>
      </c>
      <c r="Y20" s="725"/>
      <c r="Z20" s="725"/>
      <c r="AA20" s="725"/>
      <c r="AB20" s="726" t="s">
        <v>159</v>
      </c>
      <c r="AC20" s="726"/>
      <c r="AD20" s="726"/>
      <c r="AE20" s="726"/>
      <c r="AF20" s="727"/>
      <c r="AG20" s="728"/>
      <c r="AH20" s="727"/>
      <c r="AI20" s="728"/>
      <c r="AJ20" s="682"/>
      <c r="AK20" s="683"/>
      <c r="AL20" s="664" t="s">
        <v>162</v>
      </c>
      <c r="AM20" s="665"/>
      <c r="AN20" s="713" t="s">
        <v>162</v>
      </c>
      <c r="AO20" s="714"/>
      <c r="AP20" s="729"/>
      <c r="AQ20" s="730"/>
      <c r="AR20" s="731"/>
      <c r="AS20" s="732"/>
      <c r="AT20" s="690"/>
      <c r="AU20" s="691"/>
      <c r="AV20" s="713" t="s">
        <v>162</v>
      </c>
      <c r="AW20" s="714"/>
      <c r="AX20" s="692"/>
      <c r="AY20" s="693"/>
      <c r="AZ20" s="694"/>
      <c r="BA20" s="735"/>
      <c r="BB20" s="736"/>
      <c r="BC20" s="219"/>
      <c r="BD20" s="737" t="s">
        <v>162</v>
      </c>
      <c r="BE20" s="738"/>
      <c r="BF20" s="739"/>
      <c r="BG20" s="740"/>
      <c r="BH20" s="740"/>
      <c r="BI20" s="741"/>
      <c r="BJ20" s="742" t="s">
        <v>159</v>
      </c>
      <c r="BK20" s="743"/>
      <c r="BL20" s="743"/>
      <c r="BM20" s="744"/>
      <c r="BN20" s="703" t="s">
        <v>159</v>
      </c>
      <c r="BO20" s="704"/>
      <c r="BP20" s="704"/>
      <c r="BQ20" s="704"/>
      <c r="BR20" s="704"/>
      <c r="BS20" s="704"/>
      <c r="BT20" s="704"/>
      <c r="BU20" s="704"/>
      <c r="BV20" s="705"/>
    </row>
    <row r="21" spans="1:74" ht="45" customHeight="1" x14ac:dyDescent="0.25">
      <c r="A21" s="10">
        <f t="shared" si="0"/>
        <v>7</v>
      </c>
      <c r="B21" s="662" t="s">
        <v>159</v>
      </c>
      <c r="C21" s="662"/>
      <c r="D21" s="663" t="s">
        <v>212</v>
      </c>
      <c r="E21" s="663"/>
      <c r="F21" s="664" t="s">
        <v>162</v>
      </c>
      <c r="G21" s="665"/>
      <c r="H21" s="755" t="s">
        <v>162</v>
      </c>
      <c r="I21" s="667"/>
      <c r="J21" s="706"/>
      <c r="K21" s="707"/>
      <c r="L21" s="706"/>
      <c r="M21" s="707"/>
      <c r="N21" s="194"/>
      <c r="O21" s="196"/>
      <c r="P21" s="717"/>
      <c r="Q21" s="718"/>
      <c r="R21" s="672"/>
      <c r="S21" s="673"/>
      <c r="T21" s="674"/>
      <c r="U21" s="675"/>
      <c r="V21" s="676"/>
      <c r="W21" s="677"/>
      <c r="X21" s="678" t="s">
        <v>159</v>
      </c>
      <c r="Y21" s="678"/>
      <c r="Z21" s="678"/>
      <c r="AA21" s="678"/>
      <c r="AB21" s="679" t="s">
        <v>159</v>
      </c>
      <c r="AC21" s="679"/>
      <c r="AD21" s="679"/>
      <c r="AE21" s="679"/>
      <c r="AF21" s="680"/>
      <c r="AG21" s="681"/>
      <c r="AH21" s="680"/>
      <c r="AI21" s="681"/>
      <c r="AJ21" s="686"/>
      <c r="AK21" s="687"/>
      <c r="AL21" s="684" t="s">
        <v>162</v>
      </c>
      <c r="AM21" s="685"/>
      <c r="AN21" s="666" t="s">
        <v>162</v>
      </c>
      <c r="AO21" s="667"/>
      <c r="AP21" s="686"/>
      <c r="AQ21" s="687"/>
      <c r="AR21" s="688"/>
      <c r="AS21" s="689"/>
      <c r="AT21" s="690"/>
      <c r="AU21" s="691"/>
      <c r="AV21" s="666" t="s">
        <v>162</v>
      </c>
      <c r="AW21" s="667"/>
      <c r="AX21" s="692"/>
      <c r="AY21" s="693"/>
      <c r="AZ21" s="694"/>
      <c r="BA21" s="682"/>
      <c r="BB21" s="683"/>
      <c r="BC21" s="14"/>
      <c r="BD21" s="695" t="s">
        <v>887</v>
      </c>
      <c r="BE21" s="696"/>
      <c r="BF21" s="697"/>
      <c r="BG21" s="698"/>
      <c r="BH21" s="698"/>
      <c r="BI21" s="699"/>
      <c r="BJ21" s="700" t="s">
        <v>159</v>
      </c>
      <c r="BK21" s="701"/>
      <c r="BL21" s="701"/>
      <c r="BM21" s="702"/>
      <c r="BN21" s="703" t="s">
        <v>159</v>
      </c>
      <c r="BO21" s="704"/>
      <c r="BP21" s="704"/>
      <c r="BQ21" s="704"/>
      <c r="BR21" s="704"/>
      <c r="BS21" s="704"/>
      <c r="BT21" s="704"/>
      <c r="BU21" s="704"/>
      <c r="BV21" s="705"/>
    </row>
    <row r="22" spans="1:74" ht="45" customHeight="1" x14ac:dyDescent="0.25">
      <c r="A22" s="10">
        <f t="shared" si="0"/>
        <v>8</v>
      </c>
      <c r="B22" s="711" t="s">
        <v>159</v>
      </c>
      <c r="C22" s="711"/>
      <c r="D22" s="712" t="s">
        <v>212</v>
      </c>
      <c r="E22" s="712"/>
      <c r="F22" s="664" t="s">
        <v>162</v>
      </c>
      <c r="G22" s="665"/>
      <c r="H22" s="754" t="s">
        <v>162</v>
      </c>
      <c r="I22" s="714"/>
      <c r="J22" s="715"/>
      <c r="K22" s="716"/>
      <c r="L22" s="715"/>
      <c r="M22" s="716"/>
      <c r="N22" s="215"/>
      <c r="O22" s="216"/>
      <c r="P22" s="670"/>
      <c r="Q22" s="671"/>
      <c r="R22" s="719"/>
      <c r="S22" s="720"/>
      <c r="T22" s="721"/>
      <c r="U22" s="722"/>
      <c r="V22" s="723"/>
      <c r="W22" s="724"/>
      <c r="X22" s="725" t="s">
        <v>159</v>
      </c>
      <c r="Y22" s="725"/>
      <c r="Z22" s="725"/>
      <c r="AA22" s="725"/>
      <c r="AB22" s="726" t="s">
        <v>159</v>
      </c>
      <c r="AC22" s="726"/>
      <c r="AD22" s="726"/>
      <c r="AE22" s="726"/>
      <c r="AF22" s="727"/>
      <c r="AG22" s="728"/>
      <c r="AH22" s="727"/>
      <c r="AI22" s="728"/>
      <c r="AJ22" s="682"/>
      <c r="AK22" s="683"/>
      <c r="AL22" s="664" t="s">
        <v>162</v>
      </c>
      <c r="AM22" s="665"/>
      <c r="AN22" s="713" t="s">
        <v>162</v>
      </c>
      <c r="AO22" s="714"/>
      <c r="AP22" s="729"/>
      <c r="AQ22" s="730"/>
      <c r="AR22" s="731"/>
      <c r="AS22" s="732"/>
      <c r="AT22" s="690"/>
      <c r="AU22" s="691"/>
      <c r="AV22" s="713" t="s">
        <v>162</v>
      </c>
      <c r="AW22" s="714"/>
      <c r="AX22" s="692"/>
      <c r="AY22" s="693"/>
      <c r="AZ22" s="694"/>
      <c r="BA22" s="735"/>
      <c r="BB22" s="736"/>
      <c r="BC22" s="219"/>
      <c r="BD22" s="737" t="s">
        <v>162</v>
      </c>
      <c r="BE22" s="738"/>
      <c r="BF22" s="739"/>
      <c r="BG22" s="740"/>
      <c r="BH22" s="740"/>
      <c r="BI22" s="741"/>
      <c r="BJ22" s="742" t="s">
        <v>159</v>
      </c>
      <c r="BK22" s="743"/>
      <c r="BL22" s="743"/>
      <c r="BM22" s="744"/>
      <c r="BN22" s="703" t="s">
        <v>159</v>
      </c>
      <c r="BO22" s="704"/>
      <c r="BP22" s="704"/>
      <c r="BQ22" s="704"/>
      <c r="BR22" s="704"/>
      <c r="BS22" s="704"/>
      <c r="BT22" s="704"/>
      <c r="BU22" s="704"/>
      <c r="BV22" s="705"/>
    </row>
    <row r="23" spans="1:74" ht="45" customHeight="1" x14ac:dyDescent="0.25">
      <c r="A23" s="10">
        <f t="shared" si="0"/>
        <v>9</v>
      </c>
      <c r="B23" s="662" t="s">
        <v>159</v>
      </c>
      <c r="C23" s="662"/>
      <c r="D23" s="663" t="s">
        <v>212</v>
      </c>
      <c r="E23" s="663"/>
      <c r="F23" s="664" t="s">
        <v>162</v>
      </c>
      <c r="G23" s="665"/>
      <c r="H23" s="755" t="s">
        <v>162</v>
      </c>
      <c r="I23" s="667"/>
      <c r="J23" s="706"/>
      <c r="K23" s="707"/>
      <c r="L23" s="706"/>
      <c r="M23" s="707"/>
      <c r="N23" s="194"/>
      <c r="O23" s="196"/>
      <c r="P23" s="717"/>
      <c r="Q23" s="718"/>
      <c r="R23" s="672"/>
      <c r="S23" s="673"/>
      <c r="T23" s="674"/>
      <c r="U23" s="675"/>
      <c r="V23" s="676"/>
      <c r="W23" s="677"/>
      <c r="X23" s="678" t="s">
        <v>159</v>
      </c>
      <c r="Y23" s="678"/>
      <c r="Z23" s="678"/>
      <c r="AA23" s="678"/>
      <c r="AB23" s="679" t="s">
        <v>159</v>
      </c>
      <c r="AC23" s="679"/>
      <c r="AD23" s="679"/>
      <c r="AE23" s="679"/>
      <c r="AF23" s="680"/>
      <c r="AG23" s="681"/>
      <c r="AH23" s="680"/>
      <c r="AI23" s="681"/>
      <c r="AJ23" s="686"/>
      <c r="AK23" s="687"/>
      <c r="AL23" s="684" t="s">
        <v>162</v>
      </c>
      <c r="AM23" s="685"/>
      <c r="AN23" s="666" t="s">
        <v>162</v>
      </c>
      <c r="AO23" s="667"/>
      <c r="AP23" s="686"/>
      <c r="AQ23" s="687"/>
      <c r="AR23" s="688"/>
      <c r="AS23" s="689"/>
      <c r="AT23" s="690"/>
      <c r="AU23" s="691"/>
      <c r="AV23" s="666" t="s">
        <v>162</v>
      </c>
      <c r="AW23" s="667"/>
      <c r="AX23" s="692"/>
      <c r="AY23" s="693"/>
      <c r="AZ23" s="694"/>
      <c r="BA23" s="682"/>
      <c r="BB23" s="683"/>
      <c r="BC23" s="14"/>
      <c r="BD23" s="695" t="s">
        <v>887</v>
      </c>
      <c r="BE23" s="696"/>
      <c r="BF23" s="708"/>
      <c r="BG23" s="709"/>
      <c r="BH23" s="709"/>
      <c r="BI23" s="710"/>
      <c r="BJ23" s="700" t="s">
        <v>159</v>
      </c>
      <c r="BK23" s="701"/>
      <c r="BL23" s="701"/>
      <c r="BM23" s="702"/>
      <c r="BN23" s="703" t="s">
        <v>159</v>
      </c>
      <c r="BO23" s="704"/>
      <c r="BP23" s="704"/>
      <c r="BQ23" s="704"/>
      <c r="BR23" s="704"/>
      <c r="BS23" s="704"/>
      <c r="BT23" s="704"/>
      <c r="BU23" s="704"/>
      <c r="BV23" s="705"/>
    </row>
    <row r="24" spans="1:74" ht="45" customHeight="1" x14ac:dyDescent="0.25">
      <c r="A24" s="10">
        <f t="shared" si="0"/>
        <v>10</v>
      </c>
      <c r="B24" s="711" t="s">
        <v>159</v>
      </c>
      <c r="C24" s="711"/>
      <c r="D24" s="712" t="s">
        <v>212</v>
      </c>
      <c r="E24" s="712"/>
      <c r="F24" s="664" t="s">
        <v>162</v>
      </c>
      <c r="G24" s="665"/>
      <c r="H24" s="754" t="s">
        <v>162</v>
      </c>
      <c r="I24" s="714"/>
      <c r="J24" s="715"/>
      <c r="K24" s="716"/>
      <c r="L24" s="715"/>
      <c r="M24" s="716"/>
      <c r="N24" s="215"/>
      <c r="O24" s="216"/>
      <c r="P24" s="670"/>
      <c r="Q24" s="671"/>
      <c r="R24" s="719"/>
      <c r="S24" s="720"/>
      <c r="T24" s="721"/>
      <c r="U24" s="722"/>
      <c r="V24" s="723"/>
      <c r="W24" s="724"/>
      <c r="X24" s="725" t="s">
        <v>159</v>
      </c>
      <c r="Y24" s="725"/>
      <c r="Z24" s="725"/>
      <c r="AA24" s="725"/>
      <c r="AB24" s="726" t="s">
        <v>159</v>
      </c>
      <c r="AC24" s="726"/>
      <c r="AD24" s="726"/>
      <c r="AE24" s="726"/>
      <c r="AF24" s="727"/>
      <c r="AG24" s="728"/>
      <c r="AH24" s="727"/>
      <c r="AI24" s="728"/>
      <c r="AJ24" s="682"/>
      <c r="AK24" s="683"/>
      <c r="AL24" s="664" t="s">
        <v>162</v>
      </c>
      <c r="AM24" s="665"/>
      <c r="AN24" s="713" t="s">
        <v>162</v>
      </c>
      <c r="AO24" s="714"/>
      <c r="AP24" s="729"/>
      <c r="AQ24" s="730"/>
      <c r="AR24" s="731"/>
      <c r="AS24" s="732"/>
      <c r="AT24" s="690"/>
      <c r="AU24" s="691"/>
      <c r="AV24" s="713" t="s">
        <v>162</v>
      </c>
      <c r="AW24" s="714"/>
      <c r="AX24" s="692"/>
      <c r="AY24" s="693"/>
      <c r="AZ24" s="694"/>
      <c r="BA24" s="735"/>
      <c r="BB24" s="736"/>
      <c r="BC24" s="219"/>
      <c r="BD24" s="737" t="s">
        <v>162</v>
      </c>
      <c r="BE24" s="738"/>
      <c r="BF24" s="739"/>
      <c r="BG24" s="740"/>
      <c r="BH24" s="740"/>
      <c r="BI24" s="741"/>
      <c r="BJ24" s="742" t="s">
        <v>159</v>
      </c>
      <c r="BK24" s="743"/>
      <c r="BL24" s="743"/>
      <c r="BM24" s="744"/>
      <c r="BN24" s="703" t="s">
        <v>159</v>
      </c>
      <c r="BO24" s="704"/>
      <c r="BP24" s="704"/>
      <c r="BQ24" s="704"/>
      <c r="BR24" s="704"/>
      <c r="BS24" s="704"/>
      <c r="BT24" s="704"/>
      <c r="BU24" s="704"/>
      <c r="BV24" s="705"/>
    </row>
    <row r="25" spans="1:74" ht="45" customHeight="1" x14ac:dyDescent="0.25">
      <c r="A25" s="10">
        <f t="shared" si="0"/>
        <v>11</v>
      </c>
      <c r="B25" s="662" t="s">
        <v>159</v>
      </c>
      <c r="C25" s="662"/>
      <c r="D25" s="663" t="s">
        <v>212</v>
      </c>
      <c r="E25" s="663"/>
      <c r="F25" s="664" t="s">
        <v>162</v>
      </c>
      <c r="G25" s="665"/>
      <c r="H25" s="755" t="s">
        <v>162</v>
      </c>
      <c r="I25" s="667"/>
      <c r="J25" s="706"/>
      <c r="K25" s="707"/>
      <c r="L25" s="706"/>
      <c r="M25" s="707"/>
      <c r="N25" s="194"/>
      <c r="O25" s="196"/>
      <c r="P25" s="717"/>
      <c r="Q25" s="718"/>
      <c r="R25" s="672"/>
      <c r="S25" s="673"/>
      <c r="T25" s="674"/>
      <c r="U25" s="675"/>
      <c r="V25" s="676"/>
      <c r="W25" s="677"/>
      <c r="X25" s="678" t="s">
        <v>159</v>
      </c>
      <c r="Y25" s="678"/>
      <c r="Z25" s="678"/>
      <c r="AA25" s="678"/>
      <c r="AB25" s="679" t="s">
        <v>159</v>
      </c>
      <c r="AC25" s="679"/>
      <c r="AD25" s="679"/>
      <c r="AE25" s="679"/>
      <c r="AF25" s="680"/>
      <c r="AG25" s="681"/>
      <c r="AH25" s="680"/>
      <c r="AI25" s="681"/>
      <c r="AJ25" s="686"/>
      <c r="AK25" s="687"/>
      <c r="AL25" s="684" t="s">
        <v>162</v>
      </c>
      <c r="AM25" s="685"/>
      <c r="AN25" s="666" t="s">
        <v>162</v>
      </c>
      <c r="AO25" s="667"/>
      <c r="AP25" s="686"/>
      <c r="AQ25" s="687"/>
      <c r="AR25" s="688"/>
      <c r="AS25" s="689"/>
      <c r="AT25" s="690"/>
      <c r="AU25" s="691"/>
      <c r="AV25" s="666" t="s">
        <v>162</v>
      </c>
      <c r="AW25" s="667"/>
      <c r="AX25" s="692"/>
      <c r="AY25" s="693"/>
      <c r="AZ25" s="694"/>
      <c r="BA25" s="682"/>
      <c r="BB25" s="683"/>
      <c r="BC25" s="14"/>
      <c r="BD25" s="695" t="s">
        <v>887</v>
      </c>
      <c r="BE25" s="696"/>
      <c r="BF25" s="708"/>
      <c r="BG25" s="709"/>
      <c r="BH25" s="709"/>
      <c r="BI25" s="710"/>
      <c r="BJ25" s="700" t="s">
        <v>159</v>
      </c>
      <c r="BK25" s="701"/>
      <c r="BL25" s="701"/>
      <c r="BM25" s="702"/>
      <c r="BN25" s="703" t="s">
        <v>159</v>
      </c>
      <c r="BO25" s="704"/>
      <c r="BP25" s="704"/>
      <c r="BQ25" s="704"/>
      <c r="BR25" s="704"/>
      <c r="BS25" s="704"/>
      <c r="BT25" s="704"/>
      <c r="BU25" s="704"/>
      <c r="BV25" s="705"/>
    </row>
    <row r="26" spans="1:74" ht="45" customHeight="1" x14ac:dyDescent="0.25">
      <c r="A26" s="10">
        <f t="shared" si="0"/>
        <v>12</v>
      </c>
      <c r="B26" s="711" t="s">
        <v>159</v>
      </c>
      <c r="C26" s="711"/>
      <c r="D26" s="712" t="s">
        <v>212</v>
      </c>
      <c r="E26" s="712"/>
      <c r="F26" s="664" t="s">
        <v>162</v>
      </c>
      <c r="G26" s="665"/>
      <c r="H26" s="754" t="s">
        <v>162</v>
      </c>
      <c r="I26" s="714"/>
      <c r="J26" s="715"/>
      <c r="K26" s="716"/>
      <c r="L26" s="715"/>
      <c r="M26" s="716"/>
      <c r="N26" s="215"/>
      <c r="O26" s="216"/>
      <c r="P26" s="670"/>
      <c r="Q26" s="671"/>
      <c r="R26" s="719"/>
      <c r="S26" s="720"/>
      <c r="T26" s="721"/>
      <c r="U26" s="722"/>
      <c r="V26" s="723"/>
      <c r="W26" s="724"/>
      <c r="X26" s="725" t="s">
        <v>159</v>
      </c>
      <c r="Y26" s="725"/>
      <c r="Z26" s="725"/>
      <c r="AA26" s="725"/>
      <c r="AB26" s="726" t="s">
        <v>159</v>
      </c>
      <c r="AC26" s="726"/>
      <c r="AD26" s="726"/>
      <c r="AE26" s="726"/>
      <c r="AF26" s="727"/>
      <c r="AG26" s="728"/>
      <c r="AH26" s="727"/>
      <c r="AI26" s="728"/>
      <c r="AJ26" s="682"/>
      <c r="AK26" s="683"/>
      <c r="AL26" s="664" t="s">
        <v>162</v>
      </c>
      <c r="AM26" s="665"/>
      <c r="AN26" s="713" t="s">
        <v>162</v>
      </c>
      <c r="AO26" s="714"/>
      <c r="AP26" s="729"/>
      <c r="AQ26" s="730"/>
      <c r="AR26" s="731"/>
      <c r="AS26" s="732"/>
      <c r="AT26" s="690"/>
      <c r="AU26" s="691"/>
      <c r="AV26" s="713" t="s">
        <v>162</v>
      </c>
      <c r="AW26" s="714"/>
      <c r="AX26" s="692"/>
      <c r="AY26" s="693"/>
      <c r="AZ26" s="694"/>
      <c r="BA26" s="735"/>
      <c r="BB26" s="736"/>
      <c r="BC26" s="219"/>
      <c r="BD26" s="737" t="s">
        <v>162</v>
      </c>
      <c r="BE26" s="738"/>
      <c r="BF26" s="739"/>
      <c r="BG26" s="740"/>
      <c r="BH26" s="740"/>
      <c r="BI26" s="741"/>
      <c r="BJ26" s="742" t="s">
        <v>159</v>
      </c>
      <c r="BK26" s="743"/>
      <c r="BL26" s="743"/>
      <c r="BM26" s="744"/>
      <c r="BN26" s="703" t="s">
        <v>159</v>
      </c>
      <c r="BO26" s="704"/>
      <c r="BP26" s="704"/>
      <c r="BQ26" s="704"/>
      <c r="BR26" s="704"/>
      <c r="BS26" s="704"/>
      <c r="BT26" s="704"/>
      <c r="BU26" s="704"/>
      <c r="BV26" s="705"/>
    </row>
    <row r="27" spans="1:74" ht="45" customHeight="1" x14ac:dyDescent="0.25">
      <c r="A27" s="10">
        <f t="shared" si="0"/>
        <v>13</v>
      </c>
      <c r="B27" s="662" t="s">
        <v>159</v>
      </c>
      <c r="C27" s="662"/>
      <c r="D27" s="663" t="s">
        <v>212</v>
      </c>
      <c r="E27" s="663"/>
      <c r="F27" s="664" t="s">
        <v>162</v>
      </c>
      <c r="G27" s="665"/>
      <c r="H27" s="755" t="s">
        <v>162</v>
      </c>
      <c r="I27" s="667"/>
      <c r="J27" s="706"/>
      <c r="K27" s="707"/>
      <c r="L27" s="706"/>
      <c r="M27" s="707"/>
      <c r="N27" s="194"/>
      <c r="O27" s="196"/>
      <c r="P27" s="717"/>
      <c r="Q27" s="718"/>
      <c r="R27" s="672"/>
      <c r="S27" s="673"/>
      <c r="T27" s="674"/>
      <c r="U27" s="675"/>
      <c r="V27" s="676"/>
      <c r="W27" s="677"/>
      <c r="X27" s="678" t="s">
        <v>159</v>
      </c>
      <c r="Y27" s="678"/>
      <c r="Z27" s="678"/>
      <c r="AA27" s="678"/>
      <c r="AB27" s="679" t="s">
        <v>159</v>
      </c>
      <c r="AC27" s="679"/>
      <c r="AD27" s="679"/>
      <c r="AE27" s="679"/>
      <c r="AF27" s="680"/>
      <c r="AG27" s="681"/>
      <c r="AH27" s="680"/>
      <c r="AI27" s="681"/>
      <c r="AJ27" s="686"/>
      <c r="AK27" s="687"/>
      <c r="AL27" s="684" t="s">
        <v>162</v>
      </c>
      <c r="AM27" s="685"/>
      <c r="AN27" s="666" t="s">
        <v>162</v>
      </c>
      <c r="AO27" s="667"/>
      <c r="AP27" s="686"/>
      <c r="AQ27" s="687"/>
      <c r="AR27" s="688"/>
      <c r="AS27" s="689"/>
      <c r="AT27" s="690"/>
      <c r="AU27" s="691"/>
      <c r="AV27" s="666" t="s">
        <v>162</v>
      </c>
      <c r="AW27" s="667"/>
      <c r="AX27" s="692"/>
      <c r="AY27" s="693"/>
      <c r="AZ27" s="694"/>
      <c r="BA27" s="682"/>
      <c r="BB27" s="683"/>
      <c r="BC27" s="14"/>
      <c r="BD27" s="695" t="s">
        <v>887</v>
      </c>
      <c r="BE27" s="696"/>
      <c r="BF27" s="697"/>
      <c r="BG27" s="698"/>
      <c r="BH27" s="698"/>
      <c r="BI27" s="699"/>
      <c r="BJ27" s="700" t="s">
        <v>159</v>
      </c>
      <c r="BK27" s="701"/>
      <c r="BL27" s="701"/>
      <c r="BM27" s="702"/>
      <c r="BN27" s="703" t="s">
        <v>159</v>
      </c>
      <c r="BO27" s="704"/>
      <c r="BP27" s="704"/>
      <c r="BQ27" s="704"/>
      <c r="BR27" s="704"/>
      <c r="BS27" s="704"/>
      <c r="BT27" s="704"/>
      <c r="BU27" s="704"/>
      <c r="BV27" s="705"/>
    </row>
    <row r="28" spans="1:74" ht="45" customHeight="1" x14ac:dyDescent="0.25">
      <c r="A28" s="10">
        <f t="shared" si="0"/>
        <v>14</v>
      </c>
      <c r="B28" s="711" t="s">
        <v>159</v>
      </c>
      <c r="C28" s="711"/>
      <c r="D28" s="712" t="s">
        <v>212</v>
      </c>
      <c r="E28" s="712"/>
      <c r="F28" s="664" t="s">
        <v>162</v>
      </c>
      <c r="G28" s="665"/>
      <c r="H28" s="754" t="s">
        <v>162</v>
      </c>
      <c r="I28" s="714"/>
      <c r="J28" s="715"/>
      <c r="K28" s="716"/>
      <c r="L28" s="715"/>
      <c r="M28" s="716"/>
      <c r="N28" s="215"/>
      <c r="O28" s="216"/>
      <c r="P28" s="670"/>
      <c r="Q28" s="671"/>
      <c r="R28" s="719"/>
      <c r="S28" s="720"/>
      <c r="T28" s="721"/>
      <c r="U28" s="722"/>
      <c r="V28" s="723"/>
      <c r="W28" s="724"/>
      <c r="X28" s="725" t="s">
        <v>159</v>
      </c>
      <c r="Y28" s="725"/>
      <c r="Z28" s="725"/>
      <c r="AA28" s="725"/>
      <c r="AB28" s="726" t="s">
        <v>159</v>
      </c>
      <c r="AC28" s="726"/>
      <c r="AD28" s="726"/>
      <c r="AE28" s="726"/>
      <c r="AF28" s="727"/>
      <c r="AG28" s="728"/>
      <c r="AH28" s="727"/>
      <c r="AI28" s="728"/>
      <c r="AJ28" s="682"/>
      <c r="AK28" s="683"/>
      <c r="AL28" s="664" t="s">
        <v>162</v>
      </c>
      <c r="AM28" s="665"/>
      <c r="AN28" s="713" t="s">
        <v>162</v>
      </c>
      <c r="AO28" s="714"/>
      <c r="AP28" s="729"/>
      <c r="AQ28" s="730"/>
      <c r="AR28" s="731"/>
      <c r="AS28" s="732"/>
      <c r="AT28" s="690"/>
      <c r="AU28" s="691"/>
      <c r="AV28" s="713" t="s">
        <v>162</v>
      </c>
      <c r="AW28" s="714"/>
      <c r="AX28" s="692"/>
      <c r="AY28" s="693"/>
      <c r="AZ28" s="694"/>
      <c r="BA28" s="735"/>
      <c r="BB28" s="736"/>
      <c r="BC28" s="219"/>
      <c r="BD28" s="737" t="s">
        <v>162</v>
      </c>
      <c r="BE28" s="738"/>
      <c r="BF28" s="739"/>
      <c r="BG28" s="740"/>
      <c r="BH28" s="740"/>
      <c r="BI28" s="741"/>
      <c r="BJ28" s="742" t="s">
        <v>159</v>
      </c>
      <c r="BK28" s="743"/>
      <c r="BL28" s="743"/>
      <c r="BM28" s="744"/>
      <c r="BN28" s="703" t="s">
        <v>159</v>
      </c>
      <c r="BO28" s="704"/>
      <c r="BP28" s="704"/>
      <c r="BQ28" s="704"/>
      <c r="BR28" s="704"/>
      <c r="BS28" s="704"/>
      <c r="BT28" s="704"/>
      <c r="BU28" s="704"/>
      <c r="BV28" s="705"/>
    </row>
    <row r="29" spans="1:74" ht="45" customHeight="1" x14ac:dyDescent="0.25">
      <c r="A29" s="10">
        <f t="shared" si="0"/>
        <v>15</v>
      </c>
      <c r="B29" s="662" t="s">
        <v>159</v>
      </c>
      <c r="C29" s="662"/>
      <c r="D29" s="663" t="s">
        <v>212</v>
      </c>
      <c r="E29" s="663"/>
      <c r="F29" s="664" t="s">
        <v>162</v>
      </c>
      <c r="G29" s="665"/>
      <c r="H29" s="755" t="s">
        <v>162</v>
      </c>
      <c r="I29" s="667"/>
      <c r="J29" s="706"/>
      <c r="K29" s="707"/>
      <c r="L29" s="706"/>
      <c r="M29" s="707"/>
      <c r="N29" s="194"/>
      <c r="O29" s="196"/>
      <c r="P29" s="717"/>
      <c r="Q29" s="718"/>
      <c r="R29" s="672"/>
      <c r="S29" s="673"/>
      <c r="T29" s="674"/>
      <c r="U29" s="675"/>
      <c r="V29" s="676"/>
      <c r="W29" s="677"/>
      <c r="X29" s="678" t="s">
        <v>159</v>
      </c>
      <c r="Y29" s="678"/>
      <c r="Z29" s="678"/>
      <c r="AA29" s="678"/>
      <c r="AB29" s="679" t="s">
        <v>159</v>
      </c>
      <c r="AC29" s="679"/>
      <c r="AD29" s="679"/>
      <c r="AE29" s="679"/>
      <c r="AF29" s="680"/>
      <c r="AG29" s="681"/>
      <c r="AH29" s="680"/>
      <c r="AI29" s="681"/>
      <c r="AJ29" s="686"/>
      <c r="AK29" s="687"/>
      <c r="AL29" s="684" t="s">
        <v>162</v>
      </c>
      <c r="AM29" s="685"/>
      <c r="AN29" s="666" t="s">
        <v>162</v>
      </c>
      <c r="AO29" s="667"/>
      <c r="AP29" s="686"/>
      <c r="AQ29" s="687"/>
      <c r="AR29" s="688"/>
      <c r="AS29" s="689"/>
      <c r="AT29" s="690"/>
      <c r="AU29" s="691"/>
      <c r="AV29" s="666" t="s">
        <v>162</v>
      </c>
      <c r="AW29" s="667"/>
      <c r="AX29" s="692"/>
      <c r="AY29" s="693"/>
      <c r="AZ29" s="694"/>
      <c r="BA29" s="682"/>
      <c r="BB29" s="683"/>
      <c r="BC29" s="14"/>
      <c r="BD29" s="695" t="s">
        <v>887</v>
      </c>
      <c r="BE29" s="696"/>
      <c r="BF29" s="708"/>
      <c r="BG29" s="709"/>
      <c r="BH29" s="709"/>
      <c r="BI29" s="710"/>
      <c r="BJ29" s="700" t="s">
        <v>159</v>
      </c>
      <c r="BK29" s="701"/>
      <c r="BL29" s="701"/>
      <c r="BM29" s="702"/>
      <c r="BN29" s="703" t="s">
        <v>159</v>
      </c>
      <c r="BO29" s="704"/>
      <c r="BP29" s="704"/>
      <c r="BQ29" s="704"/>
      <c r="BR29" s="704"/>
      <c r="BS29" s="704"/>
      <c r="BT29" s="704"/>
      <c r="BU29" s="704"/>
      <c r="BV29" s="705"/>
    </row>
    <row r="30" spans="1:74" ht="45" customHeight="1" x14ac:dyDescent="0.25">
      <c r="A30" s="10">
        <f t="shared" si="0"/>
        <v>16</v>
      </c>
      <c r="B30" s="711" t="s">
        <v>159</v>
      </c>
      <c r="C30" s="711"/>
      <c r="D30" s="712" t="s">
        <v>212</v>
      </c>
      <c r="E30" s="712"/>
      <c r="F30" s="664" t="s">
        <v>162</v>
      </c>
      <c r="G30" s="665"/>
      <c r="H30" s="754" t="s">
        <v>162</v>
      </c>
      <c r="I30" s="714"/>
      <c r="J30" s="715"/>
      <c r="K30" s="716"/>
      <c r="L30" s="715"/>
      <c r="M30" s="716"/>
      <c r="N30" s="215"/>
      <c r="O30" s="216"/>
      <c r="P30" s="670"/>
      <c r="Q30" s="671"/>
      <c r="R30" s="719"/>
      <c r="S30" s="720"/>
      <c r="T30" s="721"/>
      <c r="U30" s="722"/>
      <c r="V30" s="723"/>
      <c r="W30" s="724"/>
      <c r="X30" s="725" t="s">
        <v>159</v>
      </c>
      <c r="Y30" s="725"/>
      <c r="Z30" s="725"/>
      <c r="AA30" s="725"/>
      <c r="AB30" s="726" t="s">
        <v>159</v>
      </c>
      <c r="AC30" s="726"/>
      <c r="AD30" s="726"/>
      <c r="AE30" s="726"/>
      <c r="AF30" s="727"/>
      <c r="AG30" s="728"/>
      <c r="AH30" s="727"/>
      <c r="AI30" s="728"/>
      <c r="AJ30" s="682"/>
      <c r="AK30" s="683"/>
      <c r="AL30" s="664" t="s">
        <v>162</v>
      </c>
      <c r="AM30" s="665"/>
      <c r="AN30" s="713" t="s">
        <v>162</v>
      </c>
      <c r="AO30" s="714"/>
      <c r="AP30" s="729"/>
      <c r="AQ30" s="730"/>
      <c r="AR30" s="731"/>
      <c r="AS30" s="732"/>
      <c r="AT30" s="690"/>
      <c r="AU30" s="691"/>
      <c r="AV30" s="713" t="s">
        <v>162</v>
      </c>
      <c r="AW30" s="714"/>
      <c r="AX30" s="692"/>
      <c r="AY30" s="693"/>
      <c r="AZ30" s="694"/>
      <c r="BA30" s="735"/>
      <c r="BB30" s="736"/>
      <c r="BC30" s="219"/>
      <c r="BD30" s="737" t="s">
        <v>162</v>
      </c>
      <c r="BE30" s="738"/>
      <c r="BF30" s="739"/>
      <c r="BG30" s="740"/>
      <c r="BH30" s="740"/>
      <c r="BI30" s="741"/>
      <c r="BJ30" s="742" t="s">
        <v>159</v>
      </c>
      <c r="BK30" s="743"/>
      <c r="BL30" s="743"/>
      <c r="BM30" s="744"/>
      <c r="BN30" s="703" t="s">
        <v>159</v>
      </c>
      <c r="BO30" s="704"/>
      <c r="BP30" s="704"/>
      <c r="BQ30" s="704"/>
      <c r="BR30" s="704"/>
      <c r="BS30" s="704"/>
      <c r="BT30" s="704"/>
      <c r="BU30" s="704"/>
      <c r="BV30" s="705"/>
    </row>
    <row r="31" spans="1:74" ht="45" customHeight="1" x14ac:dyDescent="0.25">
      <c r="A31" s="10">
        <f t="shared" si="0"/>
        <v>17</v>
      </c>
      <c r="B31" s="662" t="s">
        <v>159</v>
      </c>
      <c r="C31" s="662"/>
      <c r="D31" s="663" t="s">
        <v>212</v>
      </c>
      <c r="E31" s="663"/>
      <c r="F31" s="664" t="s">
        <v>162</v>
      </c>
      <c r="G31" s="665"/>
      <c r="H31" s="755" t="s">
        <v>162</v>
      </c>
      <c r="I31" s="667"/>
      <c r="J31" s="706"/>
      <c r="K31" s="707"/>
      <c r="L31" s="706"/>
      <c r="M31" s="707"/>
      <c r="N31" s="194"/>
      <c r="O31" s="196"/>
      <c r="P31" s="717"/>
      <c r="Q31" s="718"/>
      <c r="R31" s="672"/>
      <c r="S31" s="673"/>
      <c r="T31" s="674"/>
      <c r="U31" s="675"/>
      <c r="V31" s="676"/>
      <c r="W31" s="677"/>
      <c r="X31" s="678" t="s">
        <v>159</v>
      </c>
      <c r="Y31" s="678"/>
      <c r="Z31" s="678"/>
      <c r="AA31" s="678"/>
      <c r="AB31" s="679" t="s">
        <v>159</v>
      </c>
      <c r="AC31" s="679"/>
      <c r="AD31" s="679"/>
      <c r="AE31" s="679"/>
      <c r="AF31" s="680"/>
      <c r="AG31" s="681"/>
      <c r="AH31" s="680"/>
      <c r="AI31" s="681"/>
      <c r="AJ31" s="686"/>
      <c r="AK31" s="687"/>
      <c r="AL31" s="684" t="s">
        <v>162</v>
      </c>
      <c r="AM31" s="685"/>
      <c r="AN31" s="666" t="s">
        <v>162</v>
      </c>
      <c r="AO31" s="667"/>
      <c r="AP31" s="686"/>
      <c r="AQ31" s="687"/>
      <c r="AR31" s="688"/>
      <c r="AS31" s="689"/>
      <c r="AT31" s="690"/>
      <c r="AU31" s="691"/>
      <c r="AV31" s="666" t="s">
        <v>162</v>
      </c>
      <c r="AW31" s="667"/>
      <c r="AX31" s="692"/>
      <c r="AY31" s="693"/>
      <c r="AZ31" s="694"/>
      <c r="BA31" s="682"/>
      <c r="BB31" s="683"/>
      <c r="BC31" s="14"/>
      <c r="BD31" s="695" t="s">
        <v>887</v>
      </c>
      <c r="BE31" s="696"/>
      <c r="BF31" s="697"/>
      <c r="BG31" s="698"/>
      <c r="BH31" s="698"/>
      <c r="BI31" s="699"/>
      <c r="BJ31" s="700" t="s">
        <v>159</v>
      </c>
      <c r="BK31" s="701"/>
      <c r="BL31" s="701"/>
      <c r="BM31" s="702"/>
      <c r="BN31" s="703" t="s">
        <v>159</v>
      </c>
      <c r="BO31" s="704"/>
      <c r="BP31" s="704"/>
      <c r="BQ31" s="704"/>
      <c r="BR31" s="704"/>
      <c r="BS31" s="704"/>
      <c r="BT31" s="704"/>
      <c r="BU31" s="704"/>
      <c r="BV31" s="705"/>
    </row>
    <row r="32" spans="1:74" ht="45" customHeight="1" x14ac:dyDescent="0.25">
      <c r="A32" s="10">
        <f t="shared" si="0"/>
        <v>18</v>
      </c>
      <c r="B32" s="711" t="s">
        <v>159</v>
      </c>
      <c r="C32" s="711"/>
      <c r="D32" s="712" t="s">
        <v>212</v>
      </c>
      <c r="E32" s="712"/>
      <c r="F32" s="664" t="s">
        <v>162</v>
      </c>
      <c r="G32" s="665"/>
      <c r="H32" s="754" t="s">
        <v>162</v>
      </c>
      <c r="I32" s="714"/>
      <c r="J32" s="715"/>
      <c r="K32" s="716"/>
      <c r="L32" s="715"/>
      <c r="M32" s="716"/>
      <c r="N32" s="215"/>
      <c r="O32" s="216"/>
      <c r="P32" s="670"/>
      <c r="Q32" s="671"/>
      <c r="R32" s="719"/>
      <c r="S32" s="720"/>
      <c r="T32" s="721"/>
      <c r="U32" s="722"/>
      <c r="V32" s="723"/>
      <c r="W32" s="724"/>
      <c r="X32" s="725" t="s">
        <v>159</v>
      </c>
      <c r="Y32" s="725"/>
      <c r="Z32" s="725"/>
      <c r="AA32" s="725"/>
      <c r="AB32" s="726" t="s">
        <v>159</v>
      </c>
      <c r="AC32" s="726"/>
      <c r="AD32" s="726"/>
      <c r="AE32" s="726"/>
      <c r="AF32" s="727"/>
      <c r="AG32" s="728"/>
      <c r="AH32" s="727"/>
      <c r="AI32" s="728"/>
      <c r="AJ32" s="682"/>
      <c r="AK32" s="683"/>
      <c r="AL32" s="664" t="s">
        <v>162</v>
      </c>
      <c r="AM32" s="665"/>
      <c r="AN32" s="713" t="s">
        <v>162</v>
      </c>
      <c r="AO32" s="714"/>
      <c r="AP32" s="729"/>
      <c r="AQ32" s="730"/>
      <c r="AR32" s="731"/>
      <c r="AS32" s="732"/>
      <c r="AT32" s="690"/>
      <c r="AU32" s="691"/>
      <c r="AV32" s="713" t="s">
        <v>162</v>
      </c>
      <c r="AW32" s="714"/>
      <c r="AX32" s="692"/>
      <c r="AY32" s="693"/>
      <c r="AZ32" s="694"/>
      <c r="BA32" s="735"/>
      <c r="BB32" s="736"/>
      <c r="BC32" s="219"/>
      <c r="BD32" s="737" t="s">
        <v>162</v>
      </c>
      <c r="BE32" s="738"/>
      <c r="BF32" s="739"/>
      <c r="BG32" s="740"/>
      <c r="BH32" s="740"/>
      <c r="BI32" s="741"/>
      <c r="BJ32" s="742" t="s">
        <v>159</v>
      </c>
      <c r="BK32" s="743"/>
      <c r="BL32" s="743"/>
      <c r="BM32" s="744"/>
      <c r="BN32" s="703" t="s">
        <v>159</v>
      </c>
      <c r="BO32" s="704"/>
      <c r="BP32" s="704"/>
      <c r="BQ32" s="704"/>
      <c r="BR32" s="704"/>
      <c r="BS32" s="704"/>
      <c r="BT32" s="704"/>
      <c r="BU32" s="704"/>
      <c r="BV32" s="705"/>
    </row>
    <row r="33" spans="1:74" ht="45" customHeight="1" x14ac:dyDescent="0.25">
      <c r="A33" s="10">
        <f t="shared" si="0"/>
        <v>19</v>
      </c>
      <c r="B33" s="662" t="s">
        <v>159</v>
      </c>
      <c r="C33" s="662"/>
      <c r="D33" s="663" t="s">
        <v>212</v>
      </c>
      <c r="E33" s="663"/>
      <c r="F33" s="664" t="s">
        <v>162</v>
      </c>
      <c r="G33" s="665"/>
      <c r="H33" s="755" t="s">
        <v>162</v>
      </c>
      <c r="I33" s="667"/>
      <c r="J33" s="706"/>
      <c r="K33" s="707"/>
      <c r="L33" s="706"/>
      <c r="M33" s="707"/>
      <c r="N33" s="194"/>
      <c r="O33" s="196"/>
      <c r="P33" s="717"/>
      <c r="Q33" s="718"/>
      <c r="R33" s="672"/>
      <c r="S33" s="673"/>
      <c r="T33" s="674"/>
      <c r="U33" s="675"/>
      <c r="V33" s="676"/>
      <c r="W33" s="677"/>
      <c r="X33" s="678" t="s">
        <v>159</v>
      </c>
      <c r="Y33" s="678"/>
      <c r="Z33" s="678"/>
      <c r="AA33" s="678"/>
      <c r="AB33" s="679" t="s">
        <v>159</v>
      </c>
      <c r="AC33" s="679"/>
      <c r="AD33" s="679"/>
      <c r="AE33" s="679"/>
      <c r="AF33" s="680"/>
      <c r="AG33" s="681"/>
      <c r="AH33" s="680"/>
      <c r="AI33" s="681"/>
      <c r="AJ33" s="686"/>
      <c r="AK33" s="687"/>
      <c r="AL33" s="684" t="s">
        <v>162</v>
      </c>
      <c r="AM33" s="685"/>
      <c r="AN33" s="666" t="s">
        <v>162</v>
      </c>
      <c r="AO33" s="667"/>
      <c r="AP33" s="686"/>
      <c r="AQ33" s="687"/>
      <c r="AR33" s="688"/>
      <c r="AS33" s="689"/>
      <c r="AT33" s="690"/>
      <c r="AU33" s="691"/>
      <c r="AV33" s="666" t="s">
        <v>162</v>
      </c>
      <c r="AW33" s="667"/>
      <c r="AX33" s="692"/>
      <c r="AY33" s="693"/>
      <c r="AZ33" s="694"/>
      <c r="BA33" s="682"/>
      <c r="BB33" s="683"/>
      <c r="BC33" s="14"/>
      <c r="BD33" s="695" t="s">
        <v>887</v>
      </c>
      <c r="BE33" s="696"/>
      <c r="BF33" s="708"/>
      <c r="BG33" s="709"/>
      <c r="BH33" s="709"/>
      <c r="BI33" s="710"/>
      <c r="BJ33" s="700" t="s">
        <v>159</v>
      </c>
      <c r="BK33" s="701"/>
      <c r="BL33" s="701"/>
      <c r="BM33" s="702"/>
      <c r="BN33" s="703" t="s">
        <v>159</v>
      </c>
      <c r="BO33" s="704"/>
      <c r="BP33" s="704"/>
      <c r="BQ33" s="704"/>
      <c r="BR33" s="704"/>
      <c r="BS33" s="704"/>
      <c r="BT33" s="704"/>
      <c r="BU33" s="704"/>
      <c r="BV33" s="705"/>
    </row>
    <row r="34" spans="1:74" ht="45" customHeight="1" x14ac:dyDescent="0.25">
      <c r="A34" s="10">
        <f t="shared" si="0"/>
        <v>20</v>
      </c>
      <c r="B34" s="711" t="s">
        <v>159</v>
      </c>
      <c r="C34" s="711"/>
      <c r="D34" s="712" t="s">
        <v>212</v>
      </c>
      <c r="E34" s="712"/>
      <c r="F34" s="664" t="s">
        <v>162</v>
      </c>
      <c r="G34" s="665"/>
      <c r="H34" s="754" t="s">
        <v>162</v>
      </c>
      <c r="I34" s="714"/>
      <c r="J34" s="715"/>
      <c r="K34" s="716"/>
      <c r="L34" s="715"/>
      <c r="M34" s="716"/>
      <c r="N34" s="215"/>
      <c r="O34" s="216"/>
      <c r="P34" s="670"/>
      <c r="Q34" s="671"/>
      <c r="R34" s="719"/>
      <c r="S34" s="720"/>
      <c r="T34" s="721"/>
      <c r="U34" s="722"/>
      <c r="V34" s="723"/>
      <c r="W34" s="724"/>
      <c r="X34" s="725" t="s">
        <v>159</v>
      </c>
      <c r="Y34" s="725"/>
      <c r="Z34" s="725"/>
      <c r="AA34" s="725"/>
      <c r="AB34" s="726" t="s">
        <v>159</v>
      </c>
      <c r="AC34" s="726"/>
      <c r="AD34" s="726"/>
      <c r="AE34" s="726"/>
      <c r="AF34" s="727"/>
      <c r="AG34" s="728"/>
      <c r="AH34" s="727"/>
      <c r="AI34" s="728"/>
      <c r="AJ34" s="682"/>
      <c r="AK34" s="683"/>
      <c r="AL34" s="664" t="s">
        <v>162</v>
      </c>
      <c r="AM34" s="665"/>
      <c r="AN34" s="713" t="s">
        <v>162</v>
      </c>
      <c r="AO34" s="714"/>
      <c r="AP34" s="729"/>
      <c r="AQ34" s="730"/>
      <c r="AR34" s="731"/>
      <c r="AS34" s="732"/>
      <c r="AT34" s="690"/>
      <c r="AU34" s="691"/>
      <c r="AV34" s="713" t="s">
        <v>162</v>
      </c>
      <c r="AW34" s="714"/>
      <c r="AX34" s="692"/>
      <c r="AY34" s="693"/>
      <c r="AZ34" s="694"/>
      <c r="BA34" s="735"/>
      <c r="BB34" s="736"/>
      <c r="BC34" s="219"/>
      <c r="BD34" s="737" t="s">
        <v>162</v>
      </c>
      <c r="BE34" s="738"/>
      <c r="BF34" s="739"/>
      <c r="BG34" s="740"/>
      <c r="BH34" s="740"/>
      <c r="BI34" s="741"/>
      <c r="BJ34" s="742" t="s">
        <v>159</v>
      </c>
      <c r="BK34" s="743"/>
      <c r="BL34" s="743"/>
      <c r="BM34" s="744"/>
      <c r="BN34" s="703" t="s">
        <v>159</v>
      </c>
      <c r="BO34" s="704"/>
      <c r="BP34" s="704"/>
      <c r="BQ34" s="704"/>
      <c r="BR34" s="704"/>
      <c r="BS34" s="704"/>
      <c r="BT34" s="704"/>
      <c r="BU34" s="704"/>
      <c r="BV34" s="705"/>
    </row>
    <row r="35" spans="1:74" ht="45" customHeight="1" x14ac:dyDescent="0.25">
      <c r="A35" s="10">
        <f t="shared" si="0"/>
        <v>21</v>
      </c>
      <c r="B35" s="662" t="s">
        <v>159</v>
      </c>
      <c r="C35" s="662"/>
      <c r="D35" s="663" t="s">
        <v>212</v>
      </c>
      <c r="E35" s="663"/>
      <c r="F35" s="664" t="s">
        <v>162</v>
      </c>
      <c r="G35" s="665"/>
      <c r="H35" s="755" t="s">
        <v>162</v>
      </c>
      <c r="I35" s="667"/>
      <c r="J35" s="706"/>
      <c r="K35" s="707"/>
      <c r="L35" s="706"/>
      <c r="M35" s="707"/>
      <c r="N35" s="194"/>
      <c r="O35" s="196"/>
      <c r="P35" s="717"/>
      <c r="Q35" s="718"/>
      <c r="R35" s="672"/>
      <c r="S35" s="673"/>
      <c r="T35" s="674"/>
      <c r="U35" s="675"/>
      <c r="V35" s="676"/>
      <c r="W35" s="677"/>
      <c r="X35" s="678" t="s">
        <v>159</v>
      </c>
      <c r="Y35" s="678"/>
      <c r="Z35" s="678"/>
      <c r="AA35" s="678"/>
      <c r="AB35" s="679" t="s">
        <v>159</v>
      </c>
      <c r="AC35" s="679"/>
      <c r="AD35" s="679"/>
      <c r="AE35" s="679"/>
      <c r="AF35" s="680"/>
      <c r="AG35" s="681"/>
      <c r="AH35" s="680"/>
      <c r="AI35" s="681"/>
      <c r="AJ35" s="686"/>
      <c r="AK35" s="687"/>
      <c r="AL35" s="684" t="s">
        <v>162</v>
      </c>
      <c r="AM35" s="685"/>
      <c r="AN35" s="666" t="s">
        <v>162</v>
      </c>
      <c r="AO35" s="667"/>
      <c r="AP35" s="686"/>
      <c r="AQ35" s="687"/>
      <c r="AR35" s="688"/>
      <c r="AS35" s="689"/>
      <c r="AT35" s="690"/>
      <c r="AU35" s="691"/>
      <c r="AV35" s="666" t="s">
        <v>162</v>
      </c>
      <c r="AW35" s="667"/>
      <c r="AX35" s="692"/>
      <c r="AY35" s="693"/>
      <c r="AZ35" s="694"/>
      <c r="BA35" s="682"/>
      <c r="BB35" s="683"/>
      <c r="BC35" s="14"/>
      <c r="BD35" s="695" t="s">
        <v>887</v>
      </c>
      <c r="BE35" s="696"/>
      <c r="BF35" s="708"/>
      <c r="BG35" s="709"/>
      <c r="BH35" s="709"/>
      <c r="BI35" s="710"/>
      <c r="BJ35" s="700" t="s">
        <v>159</v>
      </c>
      <c r="BK35" s="701"/>
      <c r="BL35" s="701"/>
      <c r="BM35" s="702"/>
      <c r="BN35" s="703" t="s">
        <v>159</v>
      </c>
      <c r="BO35" s="704"/>
      <c r="BP35" s="704"/>
      <c r="BQ35" s="704"/>
      <c r="BR35" s="704"/>
      <c r="BS35" s="704"/>
      <c r="BT35" s="704"/>
      <c r="BU35" s="704"/>
      <c r="BV35" s="705"/>
    </row>
    <row r="36" spans="1:74" ht="45" customHeight="1" x14ac:dyDescent="0.25">
      <c r="A36" s="10">
        <f t="shared" si="0"/>
        <v>22</v>
      </c>
      <c r="B36" s="711" t="s">
        <v>159</v>
      </c>
      <c r="C36" s="711"/>
      <c r="D36" s="712" t="s">
        <v>212</v>
      </c>
      <c r="E36" s="712"/>
      <c r="F36" s="664" t="s">
        <v>162</v>
      </c>
      <c r="G36" s="665"/>
      <c r="H36" s="754" t="s">
        <v>162</v>
      </c>
      <c r="I36" s="714"/>
      <c r="J36" s="715"/>
      <c r="K36" s="716"/>
      <c r="L36" s="715"/>
      <c r="M36" s="716"/>
      <c r="N36" s="215"/>
      <c r="O36" s="216"/>
      <c r="P36" s="670"/>
      <c r="Q36" s="671"/>
      <c r="R36" s="719"/>
      <c r="S36" s="720"/>
      <c r="T36" s="721"/>
      <c r="U36" s="722"/>
      <c r="V36" s="723"/>
      <c r="W36" s="724"/>
      <c r="X36" s="725" t="s">
        <v>159</v>
      </c>
      <c r="Y36" s="725"/>
      <c r="Z36" s="725"/>
      <c r="AA36" s="725"/>
      <c r="AB36" s="726" t="s">
        <v>159</v>
      </c>
      <c r="AC36" s="726"/>
      <c r="AD36" s="726"/>
      <c r="AE36" s="726"/>
      <c r="AF36" s="727"/>
      <c r="AG36" s="728"/>
      <c r="AH36" s="727"/>
      <c r="AI36" s="728"/>
      <c r="AJ36" s="682"/>
      <c r="AK36" s="683"/>
      <c r="AL36" s="664" t="s">
        <v>162</v>
      </c>
      <c r="AM36" s="665"/>
      <c r="AN36" s="713" t="s">
        <v>162</v>
      </c>
      <c r="AO36" s="714"/>
      <c r="AP36" s="729"/>
      <c r="AQ36" s="730"/>
      <c r="AR36" s="731"/>
      <c r="AS36" s="732"/>
      <c r="AT36" s="690"/>
      <c r="AU36" s="691"/>
      <c r="AV36" s="713" t="s">
        <v>162</v>
      </c>
      <c r="AW36" s="714"/>
      <c r="AX36" s="692"/>
      <c r="AY36" s="693"/>
      <c r="AZ36" s="694"/>
      <c r="BA36" s="735"/>
      <c r="BB36" s="736"/>
      <c r="BC36" s="219"/>
      <c r="BD36" s="737" t="s">
        <v>162</v>
      </c>
      <c r="BE36" s="738"/>
      <c r="BF36" s="739"/>
      <c r="BG36" s="740"/>
      <c r="BH36" s="740"/>
      <c r="BI36" s="741"/>
      <c r="BJ36" s="742" t="s">
        <v>159</v>
      </c>
      <c r="BK36" s="743"/>
      <c r="BL36" s="743"/>
      <c r="BM36" s="744"/>
      <c r="BN36" s="703" t="s">
        <v>159</v>
      </c>
      <c r="BO36" s="704"/>
      <c r="BP36" s="704"/>
      <c r="BQ36" s="704"/>
      <c r="BR36" s="704"/>
      <c r="BS36" s="704"/>
      <c r="BT36" s="704"/>
      <c r="BU36" s="704"/>
      <c r="BV36" s="705"/>
    </row>
    <row r="37" spans="1:74" ht="45" customHeight="1" x14ac:dyDescent="0.25">
      <c r="A37" s="10">
        <f t="shared" si="0"/>
        <v>23</v>
      </c>
      <c r="B37" s="662" t="s">
        <v>159</v>
      </c>
      <c r="C37" s="662"/>
      <c r="D37" s="663" t="s">
        <v>212</v>
      </c>
      <c r="E37" s="663"/>
      <c r="F37" s="664" t="s">
        <v>162</v>
      </c>
      <c r="G37" s="665"/>
      <c r="H37" s="755" t="s">
        <v>162</v>
      </c>
      <c r="I37" s="667"/>
      <c r="J37" s="706"/>
      <c r="K37" s="707"/>
      <c r="L37" s="706"/>
      <c r="M37" s="707"/>
      <c r="N37" s="194"/>
      <c r="O37" s="196"/>
      <c r="P37" s="717"/>
      <c r="Q37" s="718"/>
      <c r="R37" s="672"/>
      <c r="S37" s="673"/>
      <c r="T37" s="674"/>
      <c r="U37" s="675"/>
      <c r="V37" s="676"/>
      <c r="W37" s="677"/>
      <c r="X37" s="678" t="s">
        <v>159</v>
      </c>
      <c r="Y37" s="678"/>
      <c r="Z37" s="678"/>
      <c r="AA37" s="678"/>
      <c r="AB37" s="679" t="s">
        <v>159</v>
      </c>
      <c r="AC37" s="679"/>
      <c r="AD37" s="679"/>
      <c r="AE37" s="679"/>
      <c r="AF37" s="680"/>
      <c r="AG37" s="681"/>
      <c r="AH37" s="680"/>
      <c r="AI37" s="681"/>
      <c r="AJ37" s="686"/>
      <c r="AK37" s="687"/>
      <c r="AL37" s="684" t="s">
        <v>162</v>
      </c>
      <c r="AM37" s="685"/>
      <c r="AN37" s="666" t="s">
        <v>162</v>
      </c>
      <c r="AO37" s="667"/>
      <c r="AP37" s="686"/>
      <c r="AQ37" s="687"/>
      <c r="AR37" s="688"/>
      <c r="AS37" s="689"/>
      <c r="AT37" s="690"/>
      <c r="AU37" s="691"/>
      <c r="AV37" s="666" t="s">
        <v>162</v>
      </c>
      <c r="AW37" s="667"/>
      <c r="AX37" s="692"/>
      <c r="AY37" s="693"/>
      <c r="AZ37" s="694"/>
      <c r="BA37" s="682"/>
      <c r="BB37" s="683"/>
      <c r="BC37" s="14"/>
      <c r="BD37" s="695" t="s">
        <v>887</v>
      </c>
      <c r="BE37" s="696"/>
      <c r="BF37" s="697"/>
      <c r="BG37" s="698"/>
      <c r="BH37" s="698"/>
      <c r="BI37" s="699"/>
      <c r="BJ37" s="700" t="s">
        <v>159</v>
      </c>
      <c r="BK37" s="701"/>
      <c r="BL37" s="701"/>
      <c r="BM37" s="702"/>
      <c r="BN37" s="703" t="s">
        <v>159</v>
      </c>
      <c r="BO37" s="704"/>
      <c r="BP37" s="704"/>
      <c r="BQ37" s="704"/>
      <c r="BR37" s="704"/>
      <c r="BS37" s="704"/>
      <c r="BT37" s="704"/>
      <c r="BU37" s="704"/>
      <c r="BV37" s="705"/>
    </row>
    <row r="38" spans="1:74" ht="45" customHeight="1" x14ac:dyDescent="0.25">
      <c r="A38" s="10">
        <f t="shared" si="0"/>
        <v>24</v>
      </c>
      <c r="B38" s="711" t="s">
        <v>159</v>
      </c>
      <c r="C38" s="711"/>
      <c r="D38" s="712" t="s">
        <v>212</v>
      </c>
      <c r="E38" s="712"/>
      <c r="F38" s="664" t="s">
        <v>162</v>
      </c>
      <c r="G38" s="665"/>
      <c r="H38" s="754" t="s">
        <v>162</v>
      </c>
      <c r="I38" s="714"/>
      <c r="J38" s="715"/>
      <c r="K38" s="716"/>
      <c r="L38" s="715"/>
      <c r="M38" s="716"/>
      <c r="N38" s="215"/>
      <c r="O38" s="216"/>
      <c r="P38" s="670"/>
      <c r="Q38" s="671"/>
      <c r="R38" s="719"/>
      <c r="S38" s="720"/>
      <c r="T38" s="721"/>
      <c r="U38" s="722"/>
      <c r="V38" s="723"/>
      <c r="W38" s="724"/>
      <c r="X38" s="725" t="s">
        <v>159</v>
      </c>
      <c r="Y38" s="725"/>
      <c r="Z38" s="725"/>
      <c r="AA38" s="725"/>
      <c r="AB38" s="726" t="s">
        <v>159</v>
      </c>
      <c r="AC38" s="726"/>
      <c r="AD38" s="726"/>
      <c r="AE38" s="726"/>
      <c r="AF38" s="727"/>
      <c r="AG38" s="728"/>
      <c r="AH38" s="727"/>
      <c r="AI38" s="728"/>
      <c r="AJ38" s="682"/>
      <c r="AK38" s="683"/>
      <c r="AL38" s="664" t="s">
        <v>162</v>
      </c>
      <c r="AM38" s="665"/>
      <c r="AN38" s="713" t="s">
        <v>162</v>
      </c>
      <c r="AO38" s="714"/>
      <c r="AP38" s="729"/>
      <c r="AQ38" s="730"/>
      <c r="AR38" s="731"/>
      <c r="AS38" s="732"/>
      <c r="AT38" s="690"/>
      <c r="AU38" s="691"/>
      <c r="AV38" s="713" t="s">
        <v>162</v>
      </c>
      <c r="AW38" s="714"/>
      <c r="AX38" s="692"/>
      <c r="AY38" s="693"/>
      <c r="AZ38" s="694"/>
      <c r="BA38" s="735"/>
      <c r="BB38" s="736"/>
      <c r="BC38" s="219"/>
      <c r="BD38" s="737" t="s">
        <v>162</v>
      </c>
      <c r="BE38" s="738"/>
      <c r="BF38" s="739"/>
      <c r="BG38" s="740"/>
      <c r="BH38" s="740"/>
      <c r="BI38" s="741"/>
      <c r="BJ38" s="742" t="s">
        <v>159</v>
      </c>
      <c r="BK38" s="743"/>
      <c r="BL38" s="743"/>
      <c r="BM38" s="744"/>
      <c r="BN38" s="703" t="s">
        <v>159</v>
      </c>
      <c r="BO38" s="704"/>
      <c r="BP38" s="704"/>
      <c r="BQ38" s="704"/>
      <c r="BR38" s="704"/>
      <c r="BS38" s="704"/>
      <c r="BT38" s="704"/>
      <c r="BU38" s="704"/>
      <c r="BV38" s="705"/>
    </row>
    <row r="39" spans="1:74" ht="45" customHeight="1" x14ac:dyDescent="0.25">
      <c r="A39" s="10">
        <f t="shared" si="0"/>
        <v>25</v>
      </c>
      <c r="B39" s="662" t="s">
        <v>159</v>
      </c>
      <c r="C39" s="662"/>
      <c r="D39" s="663" t="s">
        <v>212</v>
      </c>
      <c r="E39" s="663"/>
      <c r="F39" s="664" t="s">
        <v>162</v>
      </c>
      <c r="G39" s="665"/>
      <c r="H39" s="755" t="s">
        <v>162</v>
      </c>
      <c r="I39" s="667"/>
      <c r="J39" s="706"/>
      <c r="K39" s="707"/>
      <c r="L39" s="706"/>
      <c r="M39" s="707"/>
      <c r="N39" s="194"/>
      <c r="O39" s="196"/>
      <c r="P39" s="717"/>
      <c r="Q39" s="718"/>
      <c r="R39" s="672"/>
      <c r="S39" s="673"/>
      <c r="T39" s="674"/>
      <c r="U39" s="675"/>
      <c r="V39" s="676"/>
      <c r="W39" s="677"/>
      <c r="X39" s="678" t="s">
        <v>159</v>
      </c>
      <c r="Y39" s="678"/>
      <c r="Z39" s="678"/>
      <c r="AA39" s="678"/>
      <c r="AB39" s="679" t="s">
        <v>159</v>
      </c>
      <c r="AC39" s="679"/>
      <c r="AD39" s="679"/>
      <c r="AE39" s="679"/>
      <c r="AF39" s="680"/>
      <c r="AG39" s="681"/>
      <c r="AH39" s="680"/>
      <c r="AI39" s="681"/>
      <c r="AJ39" s="686"/>
      <c r="AK39" s="687"/>
      <c r="AL39" s="684" t="s">
        <v>162</v>
      </c>
      <c r="AM39" s="685"/>
      <c r="AN39" s="666" t="s">
        <v>162</v>
      </c>
      <c r="AO39" s="667"/>
      <c r="AP39" s="686"/>
      <c r="AQ39" s="687"/>
      <c r="AR39" s="688"/>
      <c r="AS39" s="689"/>
      <c r="AT39" s="690"/>
      <c r="AU39" s="691"/>
      <c r="AV39" s="666" t="s">
        <v>162</v>
      </c>
      <c r="AW39" s="667"/>
      <c r="AX39" s="692"/>
      <c r="AY39" s="693"/>
      <c r="AZ39" s="694"/>
      <c r="BA39" s="682"/>
      <c r="BB39" s="683"/>
      <c r="BC39" s="14"/>
      <c r="BD39" s="695" t="s">
        <v>887</v>
      </c>
      <c r="BE39" s="696"/>
      <c r="BF39" s="708"/>
      <c r="BG39" s="709"/>
      <c r="BH39" s="709"/>
      <c r="BI39" s="710"/>
      <c r="BJ39" s="700" t="s">
        <v>159</v>
      </c>
      <c r="BK39" s="701"/>
      <c r="BL39" s="701"/>
      <c r="BM39" s="702"/>
      <c r="BN39" s="703" t="s">
        <v>159</v>
      </c>
      <c r="BO39" s="704"/>
      <c r="BP39" s="704"/>
      <c r="BQ39" s="704"/>
      <c r="BR39" s="704"/>
      <c r="BS39" s="704"/>
      <c r="BT39" s="704"/>
      <c r="BU39" s="704"/>
      <c r="BV39" s="705"/>
    </row>
    <row r="40" spans="1:74" ht="45" customHeight="1" x14ac:dyDescent="0.25">
      <c r="A40" s="10">
        <f t="shared" si="0"/>
        <v>26</v>
      </c>
      <c r="B40" s="711" t="s">
        <v>159</v>
      </c>
      <c r="C40" s="711"/>
      <c r="D40" s="712" t="s">
        <v>212</v>
      </c>
      <c r="E40" s="712"/>
      <c r="F40" s="664" t="s">
        <v>162</v>
      </c>
      <c r="G40" s="665"/>
      <c r="H40" s="754" t="s">
        <v>162</v>
      </c>
      <c r="I40" s="714"/>
      <c r="J40" s="715"/>
      <c r="K40" s="716"/>
      <c r="L40" s="715"/>
      <c r="M40" s="716"/>
      <c r="N40" s="215"/>
      <c r="O40" s="216"/>
      <c r="P40" s="670"/>
      <c r="Q40" s="671"/>
      <c r="R40" s="719"/>
      <c r="S40" s="720"/>
      <c r="T40" s="721"/>
      <c r="U40" s="722"/>
      <c r="V40" s="723"/>
      <c r="W40" s="724"/>
      <c r="X40" s="725" t="s">
        <v>159</v>
      </c>
      <c r="Y40" s="725"/>
      <c r="Z40" s="725"/>
      <c r="AA40" s="725"/>
      <c r="AB40" s="726" t="s">
        <v>159</v>
      </c>
      <c r="AC40" s="726"/>
      <c r="AD40" s="726"/>
      <c r="AE40" s="726"/>
      <c r="AF40" s="727"/>
      <c r="AG40" s="728"/>
      <c r="AH40" s="727"/>
      <c r="AI40" s="728"/>
      <c r="AJ40" s="682"/>
      <c r="AK40" s="683"/>
      <c r="AL40" s="664" t="s">
        <v>162</v>
      </c>
      <c r="AM40" s="665"/>
      <c r="AN40" s="713" t="s">
        <v>162</v>
      </c>
      <c r="AO40" s="714"/>
      <c r="AP40" s="729"/>
      <c r="AQ40" s="730"/>
      <c r="AR40" s="731"/>
      <c r="AS40" s="732"/>
      <c r="AT40" s="690"/>
      <c r="AU40" s="691"/>
      <c r="AV40" s="713" t="s">
        <v>162</v>
      </c>
      <c r="AW40" s="714"/>
      <c r="AX40" s="692"/>
      <c r="AY40" s="693"/>
      <c r="AZ40" s="694"/>
      <c r="BA40" s="735"/>
      <c r="BB40" s="736"/>
      <c r="BC40" s="219"/>
      <c r="BD40" s="737" t="s">
        <v>162</v>
      </c>
      <c r="BE40" s="738"/>
      <c r="BF40" s="739"/>
      <c r="BG40" s="740"/>
      <c r="BH40" s="740"/>
      <c r="BI40" s="741"/>
      <c r="BJ40" s="742" t="s">
        <v>159</v>
      </c>
      <c r="BK40" s="743"/>
      <c r="BL40" s="743"/>
      <c r="BM40" s="744"/>
      <c r="BN40" s="703" t="s">
        <v>159</v>
      </c>
      <c r="BO40" s="704"/>
      <c r="BP40" s="704"/>
      <c r="BQ40" s="704"/>
      <c r="BR40" s="704"/>
      <c r="BS40" s="704"/>
      <c r="BT40" s="704"/>
      <c r="BU40" s="704"/>
      <c r="BV40" s="705"/>
    </row>
    <row r="41" spans="1:74" ht="45" customHeight="1" x14ac:dyDescent="0.25">
      <c r="A41" s="10">
        <f t="shared" si="0"/>
        <v>27</v>
      </c>
      <c r="B41" s="662" t="s">
        <v>159</v>
      </c>
      <c r="C41" s="662"/>
      <c r="D41" s="663" t="s">
        <v>212</v>
      </c>
      <c r="E41" s="663"/>
      <c r="F41" s="664" t="s">
        <v>162</v>
      </c>
      <c r="G41" s="665"/>
      <c r="H41" s="755" t="s">
        <v>162</v>
      </c>
      <c r="I41" s="667"/>
      <c r="J41" s="706"/>
      <c r="K41" s="707"/>
      <c r="L41" s="706"/>
      <c r="M41" s="707"/>
      <c r="N41" s="194"/>
      <c r="O41" s="196"/>
      <c r="P41" s="717"/>
      <c r="Q41" s="718"/>
      <c r="R41" s="672"/>
      <c r="S41" s="673"/>
      <c r="T41" s="674"/>
      <c r="U41" s="675"/>
      <c r="V41" s="676"/>
      <c r="W41" s="677"/>
      <c r="X41" s="678" t="s">
        <v>159</v>
      </c>
      <c r="Y41" s="678"/>
      <c r="Z41" s="678"/>
      <c r="AA41" s="678"/>
      <c r="AB41" s="679" t="s">
        <v>159</v>
      </c>
      <c r="AC41" s="679"/>
      <c r="AD41" s="679"/>
      <c r="AE41" s="679"/>
      <c r="AF41" s="680"/>
      <c r="AG41" s="681"/>
      <c r="AH41" s="680"/>
      <c r="AI41" s="681"/>
      <c r="AJ41" s="686"/>
      <c r="AK41" s="687"/>
      <c r="AL41" s="684" t="s">
        <v>162</v>
      </c>
      <c r="AM41" s="685"/>
      <c r="AN41" s="666" t="s">
        <v>162</v>
      </c>
      <c r="AO41" s="667"/>
      <c r="AP41" s="686"/>
      <c r="AQ41" s="687"/>
      <c r="AR41" s="688"/>
      <c r="AS41" s="689"/>
      <c r="AT41" s="690"/>
      <c r="AU41" s="691"/>
      <c r="AV41" s="666" t="s">
        <v>162</v>
      </c>
      <c r="AW41" s="667"/>
      <c r="AX41" s="692"/>
      <c r="AY41" s="693"/>
      <c r="AZ41" s="694"/>
      <c r="BA41" s="682"/>
      <c r="BB41" s="683"/>
      <c r="BC41" s="14"/>
      <c r="BD41" s="695" t="s">
        <v>887</v>
      </c>
      <c r="BE41" s="696"/>
      <c r="BF41" s="697"/>
      <c r="BG41" s="698"/>
      <c r="BH41" s="698"/>
      <c r="BI41" s="699"/>
      <c r="BJ41" s="700" t="s">
        <v>159</v>
      </c>
      <c r="BK41" s="701"/>
      <c r="BL41" s="701"/>
      <c r="BM41" s="702"/>
      <c r="BN41" s="703" t="s">
        <v>159</v>
      </c>
      <c r="BO41" s="704"/>
      <c r="BP41" s="704"/>
      <c r="BQ41" s="704"/>
      <c r="BR41" s="704"/>
      <c r="BS41" s="704"/>
      <c r="BT41" s="704"/>
      <c r="BU41" s="704"/>
      <c r="BV41" s="705"/>
    </row>
    <row r="42" spans="1:74" ht="45" customHeight="1" x14ac:dyDescent="0.25">
      <c r="A42" s="10">
        <f t="shared" si="0"/>
        <v>28</v>
      </c>
      <c r="B42" s="711" t="s">
        <v>159</v>
      </c>
      <c r="C42" s="711"/>
      <c r="D42" s="712" t="s">
        <v>212</v>
      </c>
      <c r="E42" s="712"/>
      <c r="F42" s="664" t="s">
        <v>162</v>
      </c>
      <c r="G42" s="665"/>
      <c r="H42" s="754" t="s">
        <v>162</v>
      </c>
      <c r="I42" s="714"/>
      <c r="J42" s="715"/>
      <c r="K42" s="716"/>
      <c r="L42" s="715"/>
      <c r="M42" s="716"/>
      <c r="N42" s="215"/>
      <c r="O42" s="216"/>
      <c r="P42" s="670"/>
      <c r="Q42" s="671"/>
      <c r="R42" s="719"/>
      <c r="S42" s="720"/>
      <c r="T42" s="721"/>
      <c r="U42" s="722"/>
      <c r="V42" s="723"/>
      <c r="W42" s="724"/>
      <c r="X42" s="725" t="s">
        <v>159</v>
      </c>
      <c r="Y42" s="725"/>
      <c r="Z42" s="725"/>
      <c r="AA42" s="725"/>
      <c r="AB42" s="726" t="s">
        <v>159</v>
      </c>
      <c r="AC42" s="726"/>
      <c r="AD42" s="726"/>
      <c r="AE42" s="726"/>
      <c r="AF42" s="727"/>
      <c r="AG42" s="728"/>
      <c r="AH42" s="727"/>
      <c r="AI42" s="728"/>
      <c r="AJ42" s="682"/>
      <c r="AK42" s="683"/>
      <c r="AL42" s="664" t="s">
        <v>162</v>
      </c>
      <c r="AM42" s="665"/>
      <c r="AN42" s="713" t="s">
        <v>162</v>
      </c>
      <c r="AO42" s="714"/>
      <c r="AP42" s="729"/>
      <c r="AQ42" s="730"/>
      <c r="AR42" s="731"/>
      <c r="AS42" s="732"/>
      <c r="AT42" s="690"/>
      <c r="AU42" s="691"/>
      <c r="AV42" s="713" t="s">
        <v>162</v>
      </c>
      <c r="AW42" s="714"/>
      <c r="AX42" s="692"/>
      <c r="AY42" s="693"/>
      <c r="AZ42" s="694"/>
      <c r="BA42" s="735"/>
      <c r="BB42" s="736"/>
      <c r="BC42" s="219"/>
      <c r="BD42" s="737" t="s">
        <v>162</v>
      </c>
      <c r="BE42" s="738"/>
      <c r="BF42" s="739"/>
      <c r="BG42" s="740"/>
      <c r="BH42" s="740"/>
      <c r="BI42" s="741"/>
      <c r="BJ42" s="742" t="s">
        <v>159</v>
      </c>
      <c r="BK42" s="743"/>
      <c r="BL42" s="743"/>
      <c r="BM42" s="744"/>
      <c r="BN42" s="703" t="s">
        <v>159</v>
      </c>
      <c r="BO42" s="704"/>
      <c r="BP42" s="704"/>
      <c r="BQ42" s="704"/>
      <c r="BR42" s="704"/>
      <c r="BS42" s="704"/>
      <c r="BT42" s="704"/>
      <c r="BU42" s="704"/>
      <c r="BV42" s="705"/>
    </row>
    <row r="43" spans="1:74" ht="45" customHeight="1" x14ac:dyDescent="0.25">
      <c r="A43" s="10">
        <f t="shared" si="0"/>
        <v>29</v>
      </c>
      <c r="B43" s="662" t="s">
        <v>159</v>
      </c>
      <c r="C43" s="662"/>
      <c r="D43" s="663" t="s">
        <v>212</v>
      </c>
      <c r="E43" s="663"/>
      <c r="F43" s="664" t="s">
        <v>162</v>
      </c>
      <c r="G43" s="665"/>
      <c r="H43" s="755" t="s">
        <v>162</v>
      </c>
      <c r="I43" s="667"/>
      <c r="J43" s="706"/>
      <c r="K43" s="707"/>
      <c r="L43" s="706"/>
      <c r="M43" s="707"/>
      <c r="N43" s="194"/>
      <c r="O43" s="196"/>
      <c r="P43" s="717"/>
      <c r="Q43" s="718"/>
      <c r="R43" s="672"/>
      <c r="S43" s="673"/>
      <c r="T43" s="674"/>
      <c r="U43" s="675"/>
      <c r="V43" s="676"/>
      <c r="W43" s="677"/>
      <c r="X43" s="678" t="s">
        <v>159</v>
      </c>
      <c r="Y43" s="678"/>
      <c r="Z43" s="678"/>
      <c r="AA43" s="678"/>
      <c r="AB43" s="679" t="s">
        <v>159</v>
      </c>
      <c r="AC43" s="679"/>
      <c r="AD43" s="679"/>
      <c r="AE43" s="679"/>
      <c r="AF43" s="680"/>
      <c r="AG43" s="681"/>
      <c r="AH43" s="680"/>
      <c r="AI43" s="681"/>
      <c r="AJ43" s="686"/>
      <c r="AK43" s="687"/>
      <c r="AL43" s="684" t="s">
        <v>162</v>
      </c>
      <c r="AM43" s="685"/>
      <c r="AN43" s="666" t="s">
        <v>162</v>
      </c>
      <c r="AO43" s="667"/>
      <c r="AP43" s="686"/>
      <c r="AQ43" s="687"/>
      <c r="AR43" s="688"/>
      <c r="AS43" s="689"/>
      <c r="AT43" s="690"/>
      <c r="AU43" s="691"/>
      <c r="AV43" s="666" t="s">
        <v>162</v>
      </c>
      <c r="AW43" s="667"/>
      <c r="AX43" s="692"/>
      <c r="AY43" s="693"/>
      <c r="AZ43" s="694"/>
      <c r="BA43" s="682"/>
      <c r="BB43" s="683"/>
      <c r="BC43" s="14"/>
      <c r="BD43" s="695" t="s">
        <v>887</v>
      </c>
      <c r="BE43" s="696"/>
      <c r="BF43" s="708"/>
      <c r="BG43" s="709"/>
      <c r="BH43" s="709"/>
      <c r="BI43" s="710"/>
      <c r="BJ43" s="700" t="s">
        <v>159</v>
      </c>
      <c r="BK43" s="701"/>
      <c r="BL43" s="701"/>
      <c r="BM43" s="702"/>
      <c r="BN43" s="703" t="s">
        <v>159</v>
      </c>
      <c r="BO43" s="704"/>
      <c r="BP43" s="704"/>
      <c r="BQ43" s="704"/>
      <c r="BR43" s="704"/>
      <c r="BS43" s="704"/>
      <c r="BT43" s="704"/>
      <c r="BU43" s="704"/>
      <c r="BV43" s="705"/>
    </row>
    <row r="44" spans="1:74" ht="45" customHeight="1" x14ac:dyDescent="0.25">
      <c r="A44" s="10">
        <f t="shared" si="0"/>
        <v>30</v>
      </c>
      <c r="B44" s="711" t="s">
        <v>159</v>
      </c>
      <c r="C44" s="711"/>
      <c r="D44" s="712" t="s">
        <v>212</v>
      </c>
      <c r="E44" s="712"/>
      <c r="F44" s="664" t="s">
        <v>162</v>
      </c>
      <c r="G44" s="665"/>
      <c r="H44" s="754" t="s">
        <v>162</v>
      </c>
      <c r="I44" s="714"/>
      <c r="J44" s="715"/>
      <c r="K44" s="716"/>
      <c r="L44" s="715"/>
      <c r="M44" s="716"/>
      <c r="N44" s="215"/>
      <c r="O44" s="216"/>
      <c r="P44" s="670"/>
      <c r="Q44" s="671"/>
      <c r="R44" s="719"/>
      <c r="S44" s="720"/>
      <c r="T44" s="721"/>
      <c r="U44" s="722"/>
      <c r="V44" s="723"/>
      <c r="W44" s="724"/>
      <c r="X44" s="725" t="s">
        <v>159</v>
      </c>
      <c r="Y44" s="725"/>
      <c r="Z44" s="725"/>
      <c r="AA44" s="725"/>
      <c r="AB44" s="726" t="s">
        <v>159</v>
      </c>
      <c r="AC44" s="726"/>
      <c r="AD44" s="726"/>
      <c r="AE44" s="726"/>
      <c r="AF44" s="727"/>
      <c r="AG44" s="728"/>
      <c r="AH44" s="727"/>
      <c r="AI44" s="728"/>
      <c r="AJ44" s="682"/>
      <c r="AK44" s="683"/>
      <c r="AL44" s="664" t="s">
        <v>162</v>
      </c>
      <c r="AM44" s="665"/>
      <c r="AN44" s="713" t="s">
        <v>162</v>
      </c>
      <c r="AO44" s="714"/>
      <c r="AP44" s="729"/>
      <c r="AQ44" s="730"/>
      <c r="AR44" s="731"/>
      <c r="AS44" s="732"/>
      <c r="AT44" s="690"/>
      <c r="AU44" s="691"/>
      <c r="AV44" s="713" t="s">
        <v>162</v>
      </c>
      <c r="AW44" s="714"/>
      <c r="AX44" s="692"/>
      <c r="AY44" s="693"/>
      <c r="AZ44" s="694"/>
      <c r="BA44" s="735"/>
      <c r="BB44" s="736"/>
      <c r="BC44" s="219"/>
      <c r="BD44" s="737" t="s">
        <v>162</v>
      </c>
      <c r="BE44" s="738"/>
      <c r="BF44" s="739"/>
      <c r="BG44" s="740"/>
      <c r="BH44" s="740"/>
      <c r="BI44" s="741"/>
      <c r="BJ44" s="742" t="s">
        <v>159</v>
      </c>
      <c r="BK44" s="743"/>
      <c r="BL44" s="743"/>
      <c r="BM44" s="744"/>
      <c r="BN44" s="703" t="s">
        <v>159</v>
      </c>
      <c r="BO44" s="704"/>
      <c r="BP44" s="704"/>
      <c r="BQ44" s="704"/>
      <c r="BR44" s="704"/>
      <c r="BS44" s="704"/>
      <c r="BT44" s="704"/>
      <c r="BU44" s="704"/>
      <c r="BV44" s="705"/>
    </row>
    <row r="45" spans="1:74" ht="45" customHeight="1" x14ac:dyDescent="0.25">
      <c r="A45" s="10">
        <f t="shared" si="0"/>
        <v>31</v>
      </c>
      <c r="B45" s="662" t="s">
        <v>159</v>
      </c>
      <c r="C45" s="662"/>
      <c r="D45" s="663" t="s">
        <v>212</v>
      </c>
      <c r="E45" s="663"/>
      <c r="F45" s="664" t="s">
        <v>162</v>
      </c>
      <c r="G45" s="665"/>
      <c r="H45" s="755" t="s">
        <v>162</v>
      </c>
      <c r="I45" s="667"/>
      <c r="J45" s="706"/>
      <c r="K45" s="707"/>
      <c r="L45" s="706"/>
      <c r="M45" s="707"/>
      <c r="N45" s="194"/>
      <c r="O45" s="196"/>
      <c r="P45" s="717"/>
      <c r="Q45" s="718"/>
      <c r="R45" s="672"/>
      <c r="S45" s="673"/>
      <c r="T45" s="674"/>
      <c r="U45" s="675"/>
      <c r="V45" s="676"/>
      <c r="W45" s="677"/>
      <c r="X45" s="678" t="s">
        <v>159</v>
      </c>
      <c r="Y45" s="678"/>
      <c r="Z45" s="678"/>
      <c r="AA45" s="678"/>
      <c r="AB45" s="679" t="s">
        <v>159</v>
      </c>
      <c r="AC45" s="679"/>
      <c r="AD45" s="679"/>
      <c r="AE45" s="679"/>
      <c r="AF45" s="680"/>
      <c r="AG45" s="681"/>
      <c r="AH45" s="680"/>
      <c r="AI45" s="681"/>
      <c r="AJ45" s="686"/>
      <c r="AK45" s="687"/>
      <c r="AL45" s="684" t="s">
        <v>162</v>
      </c>
      <c r="AM45" s="685"/>
      <c r="AN45" s="666" t="s">
        <v>162</v>
      </c>
      <c r="AO45" s="667"/>
      <c r="AP45" s="686"/>
      <c r="AQ45" s="687"/>
      <c r="AR45" s="688"/>
      <c r="AS45" s="689"/>
      <c r="AT45" s="690"/>
      <c r="AU45" s="691"/>
      <c r="AV45" s="666" t="s">
        <v>162</v>
      </c>
      <c r="AW45" s="667"/>
      <c r="AX45" s="692"/>
      <c r="AY45" s="693"/>
      <c r="AZ45" s="694"/>
      <c r="BA45" s="682"/>
      <c r="BB45" s="683"/>
      <c r="BC45" s="14"/>
      <c r="BD45" s="695" t="s">
        <v>887</v>
      </c>
      <c r="BE45" s="696"/>
      <c r="BF45" s="708"/>
      <c r="BG45" s="709"/>
      <c r="BH45" s="709"/>
      <c r="BI45" s="710"/>
      <c r="BJ45" s="700" t="s">
        <v>159</v>
      </c>
      <c r="BK45" s="701"/>
      <c r="BL45" s="701"/>
      <c r="BM45" s="702"/>
      <c r="BN45" s="703" t="s">
        <v>159</v>
      </c>
      <c r="BO45" s="704"/>
      <c r="BP45" s="704"/>
      <c r="BQ45" s="704"/>
      <c r="BR45" s="704"/>
      <c r="BS45" s="704"/>
      <c r="BT45" s="704"/>
      <c r="BU45" s="704"/>
      <c r="BV45" s="705"/>
    </row>
    <row r="46" spans="1:74" ht="45" customHeight="1" x14ac:dyDescent="0.25">
      <c r="A46" s="10">
        <f t="shared" si="0"/>
        <v>32</v>
      </c>
      <c r="B46" s="711" t="s">
        <v>159</v>
      </c>
      <c r="C46" s="711"/>
      <c r="D46" s="712" t="s">
        <v>212</v>
      </c>
      <c r="E46" s="712"/>
      <c r="F46" s="664" t="s">
        <v>162</v>
      </c>
      <c r="G46" s="665"/>
      <c r="H46" s="754" t="s">
        <v>162</v>
      </c>
      <c r="I46" s="714"/>
      <c r="J46" s="715"/>
      <c r="K46" s="716"/>
      <c r="L46" s="715"/>
      <c r="M46" s="716"/>
      <c r="N46" s="215"/>
      <c r="O46" s="216"/>
      <c r="P46" s="670"/>
      <c r="Q46" s="671"/>
      <c r="R46" s="719"/>
      <c r="S46" s="720"/>
      <c r="T46" s="721"/>
      <c r="U46" s="722"/>
      <c r="V46" s="723"/>
      <c r="W46" s="724"/>
      <c r="X46" s="725" t="s">
        <v>159</v>
      </c>
      <c r="Y46" s="725"/>
      <c r="Z46" s="725"/>
      <c r="AA46" s="725"/>
      <c r="AB46" s="726" t="s">
        <v>159</v>
      </c>
      <c r="AC46" s="726"/>
      <c r="AD46" s="726"/>
      <c r="AE46" s="726"/>
      <c r="AF46" s="727"/>
      <c r="AG46" s="728"/>
      <c r="AH46" s="727"/>
      <c r="AI46" s="728"/>
      <c r="AJ46" s="682"/>
      <c r="AK46" s="683"/>
      <c r="AL46" s="664" t="s">
        <v>162</v>
      </c>
      <c r="AM46" s="665"/>
      <c r="AN46" s="713" t="s">
        <v>162</v>
      </c>
      <c r="AO46" s="714"/>
      <c r="AP46" s="729"/>
      <c r="AQ46" s="730"/>
      <c r="AR46" s="731"/>
      <c r="AS46" s="732"/>
      <c r="AT46" s="690"/>
      <c r="AU46" s="691"/>
      <c r="AV46" s="713" t="s">
        <v>162</v>
      </c>
      <c r="AW46" s="714"/>
      <c r="AX46" s="692"/>
      <c r="AY46" s="693"/>
      <c r="AZ46" s="694"/>
      <c r="BA46" s="735"/>
      <c r="BB46" s="736"/>
      <c r="BC46" s="219"/>
      <c r="BD46" s="737" t="s">
        <v>162</v>
      </c>
      <c r="BE46" s="738"/>
      <c r="BF46" s="739"/>
      <c r="BG46" s="740"/>
      <c r="BH46" s="740"/>
      <c r="BI46" s="741"/>
      <c r="BJ46" s="742" t="s">
        <v>159</v>
      </c>
      <c r="BK46" s="743"/>
      <c r="BL46" s="743"/>
      <c r="BM46" s="744"/>
      <c r="BN46" s="703" t="s">
        <v>159</v>
      </c>
      <c r="BO46" s="704"/>
      <c r="BP46" s="704"/>
      <c r="BQ46" s="704"/>
      <c r="BR46" s="704"/>
      <c r="BS46" s="704"/>
      <c r="BT46" s="704"/>
      <c r="BU46" s="704"/>
      <c r="BV46" s="705"/>
    </row>
    <row r="47" spans="1:74" ht="45" customHeight="1" x14ac:dyDescent="0.25">
      <c r="A47" s="10">
        <f t="shared" si="0"/>
        <v>33</v>
      </c>
      <c r="B47" s="662" t="s">
        <v>159</v>
      </c>
      <c r="C47" s="662"/>
      <c r="D47" s="663" t="s">
        <v>212</v>
      </c>
      <c r="E47" s="663"/>
      <c r="F47" s="664" t="s">
        <v>162</v>
      </c>
      <c r="G47" s="665"/>
      <c r="H47" s="755" t="s">
        <v>162</v>
      </c>
      <c r="I47" s="667"/>
      <c r="J47" s="706"/>
      <c r="K47" s="707"/>
      <c r="L47" s="706"/>
      <c r="M47" s="707"/>
      <c r="N47" s="194"/>
      <c r="O47" s="196"/>
      <c r="P47" s="717"/>
      <c r="Q47" s="718"/>
      <c r="R47" s="672"/>
      <c r="S47" s="673"/>
      <c r="T47" s="674"/>
      <c r="U47" s="675"/>
      <c r="V47" s="676"/>
      <c r="W47" s="677"/>
      <c r="X47" s="678" t="s">
        <v>159</v>
      </c>
      <c r="Y47" s="678"/>
      <c r="Z47" s="678"/>
      <c r="AA47" s="678"/>
      <c r="AB47" s="679" t="s">
        <v>159</v>
      </c>
      <c r="AC47" s="679"/>
      <c r="AD47" s="679"/>
      <c r="AE47" s="679"/>
      <c r="AF47" s="680"/>
      <c r="AG47" s="681"/>
      <c r="AH47" s="680"/>
      <c r="AI47" s="681"/>
      <c r="AJ47" s="686"/>
      <c r="AK47" s="687"/>
      <c r="AL47" s="684" t="s">
        <v>162</v>
      </c>
      <c r="AM47" s="685"/>
      <c r="AN47" s="666" t="s">
        <v>162</v>
      </c>
      <c r="AO47" s="667"/>
      <c r="AP47" s="686"/>
      <c r="AQ47" s="687"/>
      <c r="AR47" s="688"/>
      <c r="AS47" s="689"/>
      <c r="AT47" s="690"/>
      <c r="AU47" s="691"/>
      <c r="AV47" s="666" t="s">
        <v>162</v>
      </c>
      <c r="AW47" s="667"/>
      <c r="AX47" s="692"/>
      <c r="AY47" s="693"/>
      <c r="AZ47" s="694"/>
      <c r="BA47" s="682"/>
      <c r="BB47" s="683"/>
      <c r="BC47" s="14"/>
      <c r="BD47" s="695" t="s">
        <v>887</v>
      </c>
      <c r="BE47" s="696"/>
      <c r="BF47" s="697"/>
      <c r="BG47" s="698"/>
      <c r="BH47" s="698"/>
      <c r="BI47" s="699"/>
      <c r="BJ47" s="700" t="s">
        <v>159</v>
      </c>
      <c r="BK47" s="701"/>
      <c r="BL47" s="701"/>
      <c r="BM47" s="702"/>
      <c r="BN47" s="703" t="s">
        <v>159</v>
      </c>
      <c r="BO47" s="704"/>
      <c r="BP47" s="704"/>
      <c r="BQ47" s="704"/>
      <c r="BR47" s="704"/>
      <c r="BS47" s="704"/>
      <c r="BT47" s="704"/>
      <c r="BU47" s="704"/>
      <c r="BV47" s="705"/>
    </row>
    <row r="48" spans="1:74" ht="45" customHeight="1" x14ac:dyDescent="0.25">
      <c r="A48" s="10">
        <f t="shared" si="0"/>
        <v>34</v>
      </c>
      <c r="B48" s="711" t="s">
        <v>159</v>
      </c>
      <c r="C48" s="711"/>
      <c r="D48" s="712" t="s">
        <v>212</v>
      </c>
      <c r="E48" s="712"/>
      <c r="F48" s="664" t="s">
        <v>162</v>
      </c>
      <c r="G48" s="665"/>
      <c r="H48" s="754" t="s">
        <v>162</v>
      </c>
      <c r="I48" s="714"/>
      <c r="J48" s="715"/>
      <c r="K48" s="716"/>
      <c r="L48" s="715"/>
      <c r="M48" s="716"/>
      <c r="N48" s="215"/>
      <c r="O48" s="216"/>
      <c r="P48" s="670"/>
      <c r="Q48" s="671"/>
      <c r="R48" s="719"/>
      <c r="S48" s="720"/>
      <c r="T48" s="721"/>
      <c r="U48" s="722"/>
      <c r="V48" s="723"/>
      <c r="W48" s="724"/>
      <c r="X48" s="725" t="s">
        <v>159</v>
      </c>
      <c r="Y48" s="725"/>
      <c r="Z48" s="725"/>
      <c r="AA48" s="725"/>
      <c r="AB48" s="726" t="s">
        <v>159</v>
      </c>
      <c r="AC48" s="726"/>
      <c r="AD48" s="726"/>
      <c r="AE48" s="726"/>
      <c r="AF48" s="727"/>
      <c r="AG48" s="728"/>
      <c r="AH48" s="727"/>
      <c r="AI48" s="728"/>
      <c r="AJ48" s="682"/>
      <c r="AK48" s="683"/>
      <c r="AL48" s="664" t="s">
        <v>162</v>
      </c>
      <c r="AM48" s="665"/>
      <c r="AN48" s="713" t="s">
        <v>162</v>
      </c>
      <c r="AO48" s="714"/>
      <c r="AP48" s="729"/>
      <c r="AQ48" s="730"/>
      <c r="AR48" s="731"/>
      <c r="AS48" s="732"/>
      <c r="AT48" s="690"/>
      <c r="AU48" s="691"/>
      <c r="AV48" s="713" t="s">
        <v>162</v>
      </c>
      <c r="AW48" s="714"/>
      <c r="AX48" s="692"/>
      <c r="AY48" s="693"/>
      <c r="AZ48" s="694"/>
      <c r="BA48" s="735"/>
      <c r="BB48" s="736"/>
      <c r="BC48" s="219"/>
      <c r="BD48" s="737" t="s">
        <v>162</v>
      </c>
      <c r="BE48" s="738"/>
      <c r="BF48" s="739"/>
      <c r="BG48" s="740"/>
      <c r="BH48" s="740"/>
      <c r="BI48" s="741"/>
      <c r="BJ48" s="742" t="s">
        <v>159</v>
      </c>
      <c r="BK48" s="743"/>
      <c r="BL48" s="743"/>
      <c r="BM48" s="744"/>
      <c r="BN48" s="703" t="s">
        <v>159</v>
      </c>
      <c r="BO48" s="704"/>
      <c r="BP48" s="704"/>
      <c r="BQ48" s="704"/>
      <c r="BR48" s="704"/>
      <c r="BS48" s="704"/>
      <c r="BT48" s="704"/>
      <c r="BU48" s="704"/>
      <c r="BV48" s="705"/>
    </row>
    <row r="49" spans="1:74" ht="45" customHeight="1" x14ac:dyDescent="0.25">
      <c r="A49" s="10">
        <f t="shared" si="0"/>
        <v>35</v>
      </c>
      <c r="B49" s="662" t="s">
        <v>159</v>
      </c>
      <c r="C49" s="662"/>
      <c r="D49" s="663" t="s">
        <v>212</v>
      </c>
      <c r="E49" s="663"/>
      <c r="F49" s="664" t="s">
        <v>162</v>
      </c>
      <c r="G49" s="665"/>
      <c r="H49" s="755" t="s">
        <v>162</v>
      </c>
      <c r="I49" s="667"/>
      <c r="J49" s="706"/>
      <c r="K49" s="707"/>
      <c r="L49" s="706"/>
      <c r="M49" s="707"/>
      <c r="N49" s="194"/>
      <c r="O49" s="196"/>
      <c r="P49" s="717"/>
      <c r="Q49" s="718"/>
      <c r="R49" s="672"/>
      <c r="S49" s="673"/>
      <c r="T49" s="674"/>
      <c r="U49" s="675"/>
      <c r="V49" s="676"/>
      <c r="W49" s="677"/>
      <c r="X49" s="678" t="s">
        <v>159</v>
      </c>
      <c r="Y49" s="678"/>
      <c r="Z49" s="678"/>
      <c r="AA49" s="678"/>
      <c r="AB49" s="679" t="s">
        <v>159</v>
      </c>
      <c r="AC49" s="679"/>
      <c r="AD49" s="679"/>
      <c r="AE49" s="679"/>
      <c r="AF49" s="680"/>
      <c r="AG49" s="681"/>
      <c r="AH49" s="680"/>
      <c r="AI49" s="681"/>
      <c r="AJ49" s="686"/>
      <c r="AK49" s="687"/>
      <c r="AL49" s="684" t="s">
        <v>162</v>
      </c>
      <c r="AM49" s="685"/>
      <c r="AN49" s="666" t="s">
        <v>162</v>
      </c>
      <c r="AO49" s="667"/>
      <c r="AP49" s="686"/>
      <c r="AQ49" s="687"/>
      <c r="AR49" s="688"/>
      <c r="AS49" s="689"/>
      <c r="AT49" s="690"/>
      <c r="AU49" s="691"/>
      <c r="AV49" s="666" t="s">
        <v>162</v>
      </c>
      <c r="AW49" s="667"/>
      <c r="AX49" s="692"/>
      <c r="AY49" s="693"/>
      <c r="AZ49" s="694"/>
      <c r="BA49" s="682"/>
      <c r="BB49" s="683"/>
      <c r="BC49" s="14"/>
      <c r="BD49" s="695" t="s">
        <v>887</v>
      </c>
      <c r="BE49" s="696"/>
      <c r="BF49" s="708"/>
      <c r="BG49" s="709"/>
      <c r="BH49" s="709"/>
      <c r="BI49" s="710"/>
      <c r="BJ49" s="700" t="s">
        <v>159</v>
      </c>
      <c r="BK49" s="701"/>
      <c r="BL49" s="701"/>
      <c r="BM49" s="702"/>
      <c r="BN49" s="703" t="s">
        <v>159</v>
      </c>
      <c r="BO49" s="704"/>
      <c r="BP49" s="704"/>
      <c r="BQ49" s="704"/>
      <c r="BR49" s="704"/>
      <c r="BS49" s="704"/>
      <c r="BT49" s="704"/>
      <c r="BU49" s="704"/>
      <c r="BV49" s="705"/>
    </row>
    <row r="50" spans="1:74" ht="45" customHeight="1" x14ac:dyDescent="0.25">
      <c r="A50" s="10">
        <f t="shared" si="0"/>
        <v>36</v>
      </c>
      <c r="B50" s="711" t="s">
        <v>159</v>
      </c>
      <c r="C50" s="711"/>
      <c r="D50" s="712" t="s">
        <v>212</v>
      </c>
      <c r="E50" s="712"/>
      <c r="F50" s="664" t="s">
        <v>162</v>
      </c>
      <c r="G50" s="665"/>
      <c r="H50" s="754" t="s">
        <v>162</v>
      </c>
      <c r="I50" s="714"/>
      <c r="J50" s="715"/>
      <c r="K50" s="716"/>
      <c r="L50" s="715"/>
      <c r="M50" s="716"/>
      <c r="N50" s="215"/>
      <c r="O50" s="216"/>
      <c r="P50" s="670"/>
      <c r="Q50" s="671"/>
      <c r="R50" s="719"/>
      <c r="S50" s="720"/>
      <c r="T50" s="721"/>
      <c r="U50" s="722"/>
      <c r="V50" s="723"/>
      <c r="W50" s="724"/>
      <c r="X50" s="725" t="s">
        <v>159</v>
      </c>
      <c r="Y50" s="725"/>
      <c r="Z50" s="725"/>
      <c r="AA50" s="725"/>
      <c r="AB50" s="726" t="s">
        <v>159</v>
      </c>
      <c r="AC50" s="726"/>
      <c r="AD50" s="726"/>
      <c r="AE50" s="726"/>
      <c r="AF50" s="727"/>
      <c r="AG50" s="728"/>
      <c r="AH50" s="727"/>
      <c r="AI50" s="728"/>
      <c r="AJ50" s="682"/>
      <c r="AK50" s="683"/>
      <c r="AL50" s="664" t="s">
        <v>162</v>
      </c>
      <c r="AM50" s="665"/>
      <c r="AN50" s="713" t="s">
        <v>162</v>
      </c>
      <c r="AO50" s="714"/>
      <c r="AP50" s="729"/>
      <c r="AQ50" s="730"/>
      <c r="AR50" s="731"/>
      <c r="AS50" s="732"/>
      <c r="AT50" s="690"/>
      <c r="AU50" s="691"/>
      <c r="AV50" s="713" t="s">
        <v>162</v>
      </c>
      <c r="AW50" s="714"/>
      <c r="AX50" s="692"/>
      <c r="AY50" s="693"/>
      <c r="AZ50" s="694"/>
      <c r="BA50" s="735"/>
      <c r="BB50" s="736"/>
      <c r="BC50" s="219"/>
      <c r="BD50" s="737" t="s">
        <v>162</v>
      </c>
      <c r="BE50" s="738"/>
      <c r="BF50" s="739"/>
      <c r="BG50" s="740"/>
      <c r="BH50" s="740"/>
      <c r="BI50" s="741"/>
      <c r="BJ50" s="742" t="s">
        <v>159</v>
      </c>
      <c r="BK50" s="743"/>
      <c r="BL50" s="743"/>
      <c r="BM50" s="744"/>
      <c r="BN50" s="703" t="s">
        <v>159</v>
      </c>
      <c r="BO50" s="704"/>
      <c r="BP50" s="704"/>
      <c r="BQ50" s="704"/>
      <c r="BR50" s="704"/>
      <c r="BS50" s="704"/>
      <c r="BT50" s="704"/>
      <c r="BU50" s="704"/>
      <c r="BV50" s="705"/>
    </row>
    <row r="51" spans="1:74" ht="45" customHeight="1" x14ac:dyDescent="0.25">
      <c r="A51" s="10">
        <f t="shared" si="0"/>
        <v>37</v>
      </c>
      <c r="B51" s="662" t="s">
        <v>159</v>
      </c>
      <c r="C51" s="662"/>
      <c r="D51" s="663" t="s">
        <v>212</v>
      </c>
      <c r="E51" s="663"/>
      <c r="F51" s="664" t="s">
        <v>162</v>
      </c>
      <c r="G51" s="665"/>
      <c r="H51" s="755" t="s">
        <v>162</v>
      </c>
      <c r="I51" s="667"/>
      <c r="J51" s="706"/>
      <c r="K51" s="707"/>
      <c r="L51" s="706"/>
      <c r="M51" s="707"/>
      <c r="N51" s="194"/>
      <c r="O51" s="196"/>
      <c r="P51" s="717"/>
      <c r="Q51" s="718"/>
      <c r="R51" s="672"/>
      <c r="S51" s="673"/>
      <c r="T51" s="674"/>
      <c r="U51" s="675"/>
      <c r="V51" s="676"/>
      <c r="W51" s="677"/>
      <c r="X51" s="678" t="s">
        <v>159</v>
      </c>
      <c r="Y51" s="678"/>
      <c r="Z51" s="678"/>
      <c r="AA51" s="678"/>
      <c r="AB51" s="679" t="s">
        <v>159</v>
      </c>
      <c r="AC51" s="679"/>
      <c r="AD51" s="679"/>
      <c r="AE51" s="679"/>
      <c r="AF51" s="680"/>
      <c r="AG51" s="681"/>
      <c r="AH51" s="680"/>
      <c r="AI51" s="681"/>
      <c r="AJ51" s="686"/>
      <c r="AK51" s="687"/>
      <c r="AL51" s="684" t="s">
        <v>162</v>
      </c>
      <c r="AM51" s="685"/>
      <c r="AN51" s="666" t="s">
        <v>162</v>
      </c>
      <c r="AO51" s="667"/>
      <c r="AP51" s="686"/>
      <c r="AQ51" s="687"/>
      <c r="AR51" s="688"/>
      <c r="AS51" s="689"/>
      <c r="AT51" s="690"/>
      <c r="AU51" s="691"/>
      <c r="AV51" s="666" t="s">
        <v>162</v>
      </c>
      <c r="AW51" s="667"/>
      <c r="AX51" s="692"/>
      <c r="AY51" s="693"/>
      <c r="AZ51" s="694"/>
      <c r="BA51" s="682"/>
      <c r="BB51" s="683"/>
      <c r="BC51" s="14"/>
      <c r="BD51" s="695" t="s">
        <v>887</v>
      </c>
      <c r="BE51" s="696"/>
      <c r="BF51" s="697"/>
      <c r="BG51" s="698"/>
      <c r="BH51" s="698"/>
      <c r="BI51" s="699"/>
      <c r="BJ51" s="700" t="s">
        <v>159</v>
      </c>
      <c r="BK51" s="701"/>
      <c r="BL51" s="701"/>
      <c r="BM51" s="702"/>
      <c r="BN51" s="703" t="s">
        <v>159</v>
      </c>
      <c r="BO51" s="704"/>
      <c r="BP51" s="704"/>
      <c r="BQ51" s="704"/>
      <c r="BR51" s="704"/>
      <c r="BS51" s="704"/>
      <c r="BT51" s="704"/>
      <c r="BU51" s="704"/>
      <c r="BV51" s="705"/>
    </row>
    <row r="52" spans="1:74" ht="45" customHeight="1" x14ac:dyDescent="0.25">
      <c r="A52" s="10">
        <f t="shared" si="0"/>
        <v>38</v>
      </c>
      <c r="B52" s="711" t="s">
        <v>159</v>
      </c>
      <c r="C52" s="711"/>
      <c r="D52" s="712" t="s">
        <v>212</v>
      </c>
      <c r="E52" s="712"/>
      <c r="F52" s="664" t="s">
        <v>162</v>
      </c>
      <c r="G52" s="665"/>
      <c r="H52" s="754" t="s">
        <v>162</v>
      </c>
      <c r="I52" s="714"/>
      <c r="J52" s="715"/>
      <c r="K52" s="716"/>
      <c r="L52" s="715"/>
      <c r="M52" s="716"/>
      <c r="N52" s="215"/>
      <c r="O52" s="216"/>
      <c r="P52" s="670"/>
      <c r="Q52" s="671"/>
      <c r="R52" s="719"/>
      <c r="S52" s="720"/>
      <c r="T52" s="721"/>
      <c r="U52" s="722"/>
      <c r="V52" s="723"/>
      <c r="W52" s="724"/>
      <c r="X52" s="725" t="s">
        <v>159</v>
      </c>
      <c r="Y52" s="725"/>
      <c r="Z52" s="725"/>
      <c r="AA52" s="725"/>
      <c r="AB52" s="726" t="s">
        <v>159</v>
      </c>
      <c r="AC52" s="726"/>
      <c r="AD52" s="726"/>
      <c r="AE52" s="726"/>
      <c r="AF52" s="727"/>
      <c r="AG52" s="728"/>
      <c r="AH52" s="727"/>
      <c r="AI52" s="728"/>
      <c r="AJ52" s="682"/>
      <c r="AK52" s="683"/>
      <c r="AL52" s="664" t="s">
        <v>162</v>
      </c>
      <c r="AM52" s="665"/>
      <c r="AN52" s="713" t="s">
        <v>162</v>
      </c>
      <c r="AO52" s="714"/>
      <c r="AP52" s="729"/>
      <c r="AQ52" s="730"/>
      <c r="AR52" s="731"/>
      <c r="AS52" s="732"/>
      <c r="AT52" s="690"/>
      <c r="AU52" s="691"/>
      <c r="AV52" s="713" t="s">
        <v>162</v>
      </c>
      <c r="AW52" s="714"/>
      <c r="AX52" s="692"/>
      <c r="AY52" s="693"/>
      <c r="AZ52" s="694"/>
      <c r="BA52" s="735"/>
      <c r="BB52" s="736"/>
      <c r="BC52" s="219"/>
      <c r="BD52" s="737" t="s">
        <v>162</v>
      </c>
      <c r="BE52" s="738"/>
      <c r="BF52" s="739"/>
      <c r="BG52" s="740"/>
      <c r="BH52" s="740"/>
      <c r="BI52" s="741"/>
      <c r="BJ52" s="742" t="s">
        <v>159</v>
      </c>
      <c r="BK52" s="743"/>
      <c r="BL52" s="743"/>
      <c r="BM52" s="744"/>
      <c r="BN52" s="703" t="s">
        <v>159</v>
      </c>
      <c r="BO52" s="704"/>
      <c r="BP52" s="704"/>
      <c r="BQ52" s="704"/>
      <c r="BR52" s="704"/>
      <c r="BS52" s="704"/>
      <c r="BT52" s="704"/>
      <c r="BU52" s="704"/>
      <c r="BV52" s="705"/>
    </row>
    <row r="53" spans="1:74" ht="45" customHeight="1" x14ac:dyDescent="0.25">
      <c r="A53" s="10">
        <f t="shared" si="0"/>
        <v>39</v>
      </c>
      <c r="B53" s="662" t="s">
        <v>159</v>
      </c>
      <c r="C53" s="662"/>
      <c r="D53" s="663" t="s">
        <v>212</v>
      </c>
      <c r="E53" s="663"/>
      <c r="F53" s="664" t="s">
        <v>162</v>
      </c>
      <c r="G53" s="665"/>
      <c r="H53" s="755" t="s">
        <v>162</v>
      </c>
      <c r="I53" s="667"/>
      <c r="J53" s="706"/>
      <c r="K53" s="707"/>
      <c r="L53" s="706"/>
      <c r="M53" s="707"/>
      <c r="N53" s="194"/>
      <c r="O53" s="196"/>
      <c r="P53" s="717"/>
      <c r="Q53" s="718"/>
      <c r="R53" s="672"/>
      <c r="S53" s="673"/>
      <c r="T53" s="674"/>
      <c r="U53" s="675"/>
      <c r="V53" s="676"/>
      <c r="W53" s="677"/>
      <c r="X53" s="678" t="s">
        <v>159</v>
      </c>
      <c r="Y53" s="678"/>
      <c r="Z53" s="678"/>
      <c r="AA53" s="678"/>
      <c r="AB53" s="679" t="s">
        <v>159</v>
      </c>
      <c r="AC53" s="679"/>
      <c r="AD53" s="679"/>
      <c r="AE53" s="679"/>
      <c r="AF53" s="680"/>
      <c r="AG53" s="681"/>
      <c r="AH53" s="680"/>
      <c r="AI53" s="681"/>
      <c r="AJ53" s="686"/>
      <c r="AK53" s="687"/>
      <c r="AL53" s="684" t="s">
        <v>162</v>
      </c>
      <c r="AM53" s="685"/>
      <c r="AN53" s="666" t="s">
        <v>162</v>
      </c>
      <c r="AO53" s="667"/>
      <c r="AP53" s="686"/>
      <c r="AQ53" s="687"/>
      <c r="AR53" s="688"/>
      <c r="AS53" s="689"/>
      <c r="AT53" s="690"/>
      <c r="AU53" s="691"/>
      <c r="AV53" s="666" t="s">
        <v>162</v>
      </c>
      <c r="AW53" s="667"/>
      <c r="AX53" s="692"/>
      <c r="AY53" s="693"/>
      <c r="AZ53" s="694"/>
      <c r="BA53" s="682"/>
      <c r="BB53" s="683"/>
      <c r="BC53" s="14"/>
      <c r="BD53" s="695" t="s">
        <v>887</v>
      </c>
      <c r="BE53" s="696"/>
      <c r="BF53" s="708"/>
      <c r="BG53" s="709"/>
      <c r="BH53" s="709"/>
      <c r="BI53" s="710"/>
      <c r="BJ53" s="700" t="s">
        <v>159</v>
      </c>
      <c r="BK53" s="701"/>
      <c r="BL53" s="701"/>
      <c r="BM53" s="702"/>
      <c r="BN53" s="703" t="s">
        <v>159</v>
      </c>
      <c r="BO53" s="704"/>
      <c r="BP53" s="704"/>
      <c r="BQ53" s="704"/>
      <c r="BR53" s="704"/>
      <c r="BS53" s="704"/>
      <c r="BT53" s="704"/>
      <c r="BU53" s="704"/>
      <c r="BV53" s="705"/>
    </row>
    <row r="54" spans="1:74" ht="45" customHeight="1" x14ac:dyDescent="0.25">
      <c r="A54" s="10">
        <f t="shared" si="0"/>
        <v>40</v>
      </c>
      <c r="B54" s="711" t="s">
        <v>159</v>
      </c>
      <c r="C54" s="711"/>
      <c r="D54" s="712" t="s">
        <v>212</v>
      </c>
      <c r="E54" s="712"/>
      <c r="F54" s="664" t="s">
        <v>162</v>
      </c>
      <c r="G54" s="665"/>
      <c r="H54" s="754" t="s">
        <v>162</v>
      </c>
      <c r="I54" s="714"/>
      <c r="J54" s="715"/>
      <c r="K54" s="716"/>
      <c r="L54" s="715"/>
      <c r="M54" s="716"/>
      <c r="N54" s="215"/>
      <c r="O54" s="216"/>
      <c r="P54" s="670"/>
      <c r="Q54" s="671"/>
      <c r="R54" s="719"/>
      <c r="S54" s="720"/>
      <c r="T54" s="721"/>
      <c r="U54" s="722"/>
      <c r="V54" s="723"/>
      <c r="W54" s="724"/>
      <c r="X54" s="725" t="s">
        <v>159</v>
      </c>
      <c r="Y54" s="725"/>
      <c r="Z54" s="725"/>
      <c r="AA54" s="725"/>
      <c r="AB54" s="726" t="s">
        <v>159</v>
      </c>
      <c r="AC54" s="726"/>
      <c r="AD54" s="726"/>
      <c r="AE54" s="726"/>
      <c r="AF54" s="727"/>
      <c r="AG54" s="728"/>
      <c r="AH54" s="727"/>
      <c r="AI54" s="728"/>
      <c r="AJ54" s="682"/>
      <c r="AK54" s="683"/>
      <c r="AL54" s="664" t="s">
        <v>162</v>
      </c>
      <c r="AM54" s="665"/>
      <c r="AN54" s="713" t="s">
        <v>162</v>
      </c>
      <c r="AO54" s="714"/>
      <c r="AP54" s="729"/>
      <c r="AQ54" s="730"/>
      <c r="AR54" s="731"/>
      <c r="AS54" s="732"/>
      <c r="AT54" s="690"/>
      <c r="AU54" s="691"/>
      <c r="AV54" s="713" t="s">
        <v>162</v>
      </c>
      <c r="AW54" s="714"/>
      <c r="AX54" s="692"/>
      <c r="AY54" s="693"/>
      <c r="AZ54" s="694"/>
      <c r="BA54" s="735"/>
      <c r="BB54" s="736"/>
      <c r="BC54" s="219"/>
      <c r="BD54" s="737" t="s">
        <v>162</v>
      </c>
      <c r="BE54" s="738"/>
      <c r="BF54" s="739"/>
      <c r="BG54" s="740"/>
      <c r="BH54" s="740"/>
      <c r="BI54" s="741"/>
      <c r="BJ54" s="742" t="s">
        <v>159</v>
      </c>
      <c r="BK54" s="743"/>
      <c r="BL54" s="743"/>
      <c r="BM54" s="744"/>
      <c r="BN54" s="703" t="s">
        <v>159</v>
      </c>
      <c r="BO54" s="704"/>
      <c r="BP54" s="704"/>
      <c r="BQ54" s="704"/>
      <c r="BR54" s="704"/>
      <c r="BS54" s="704"/>
      <c r="BT54" s="704"/>
      <c r="BU54" s="704"/>
      <c r="BV54" s="705"/>
    </row>
    <row r="55" spans="1:74" ht="45" customHeight="1" x14ac:dyDescent="0.25">
      <c r="A55" s="10">
        <f t="shared" si="0"/>
        <v>41</v>
      </c>
      <c r="B55" s="662" t="s">
        <v>159</v>
      </c>
      <c r="C55" s="662"/>
      <c r="D55" s="663" t="s">
        <v>212</v>
      </c>
      <c r="E55" s="663"/>
      <c r="F55" s="664" t="s">
        <v>162</v>
      </c>
      <c r="G55" s="665"/>
      <c r="H55" s="755" t="s">
        <v>162</v>
      </c>
      <c r="I55" s="667"/>
      <c r="J55" s="706"/>
      <c r="K55" s="707"/>
      <c r="L55" s="706"/>
      <c r="M55" s="707"/>
      <c r="N55" s="194"/>
      <c r="O55" s="196"/>
      <c r="P55" s="717"/>
      <c r="Q55" s="718"/>
      <c r="R55" s="672"/>
      <c r="S55" s="673"/>
      <c r="T55" s="674"/>
      <c r="U55" s="675"/>
      <c r="V55" s="676"/>
      <c r="W55" s="677"/>
      <c r="X55" s="678" t="s">
        <v>159</v>
      </c>
      <c r="Y55" s="678"/>
      <c r="Z55" s="678"/>
      <c r="AA55" s="678"/>
      <c r="AB55" s="679" t="s">
        <v>159</v>
      </c>
      <c r="AC55" s="679"/>
      <c r="AD55" s="679"/>
      <c r="AE55" s="679"/>
      <c r="AF55" s="680"/>
      <c r="AG55" s="681"/>
      <c r="AH55" s="680"/>
      <c r="AI55" s="681"/>
      <c r="AJ55" s="686"/>
      <c r="AK55" s="687"/>
      <c r="AL55" s="684" t="s">
        <v>162</v>
      </c>
      <c r="AM55" s="685"/>
      <c r="AN55" s="666" t="s">
        <v>162</v>
      </c>
      <c r="AO55" s="667"/>
      <c r="AP55" s="686"/>
      <c r="AQ55" s="687"/>
      <c r="AR55" s="688"/>
      <c r="AS55" s="689"/>
      <c r="AT55" s="690"/>
      <c r="AU55" s="691"/>
      <c r="AV55" s="666" t="s">
        <v>162</v>
      </c>
      <c r="AW55" s="667"/>
      <c r="AX55" s="692"/>
      <c r="AY55" s="693"/>
      <c r="AZ55" s="694"/>
      <c r="BA55" s="682"/>
      <c r="BB55" s="683"/>
      <c r="BC55" s="14"/>
      <c r="BD55" s="695" t="s">
        <v>887</v>
      </c>
      <c r="BE55" s="696"/>
      <c r="BF55" s="708"/>
      <c r="BG55" s="709"/>
      <c r="BH55" s="709"/>
      <c r="BI55" s="710"/>
      <c r="BJ55" s="700" t="s">
        <v>159</v>
      </c>
      <c r="BK55" s="701"/>
      <c r="BL55" s="701"/>
      <c r="BM55" s="702"/>
      <c r="BN55" s="703" t="s">
        <v>159</v>
      </c>
      <c r="BO55" s="704"/>
      <c r="BP55" s="704"/>
      <c r="BQ55" s="704"/>
      <c r="BR55" s="704"/>
      <c r="BS55" s="704"/>
      <c r="BT55" s="704"/>
      <c r="BU55" s="704"/>
      <c r="BV55" s="705"/>
    </row>
    <row r="56" spans="1:74" ht="45" customHeight="1" x14ac:dyDescent="0.25">
      <c r="A56" s="10">
        <f t="shared" si="0"/>
        <v>42</v>
      </c>
      <c r="B56" s="711" t="s">
        <v>159</v>
      </c>
      <c r="C56" s="711"/>
      <c r="D56" s="712" t="s">
        <v>212</v>
      </c>
      <c r="E56" s="712"/>
      <c r="F56" s="664" t="s">
        <v>162</v>
      </c>
      <c r="G56" s="665"/>
      <c r="H56" s="754" t="s">
        <v>162</v>
      </c>
      <c r="I56" s="714"/>
      <c r="J56" s="715"/>
      <c r="K56" s="716"/>
      <c r="L56" s="715"/>
      <c r="M56" s="716"/>
      <c r="N56" s="215"/>
      <c r="O56" s="216"/>
      <c r="P56" s="670"/>
      <c r="Q56" s="671"/>
      <c r="R56" s="719"/>
      <c r="S56" s="720"/>
      <c r="T56" s="721"/>
      <c r="U56" s="722"/>
      <c r="V56" s="723"/>
      <c r="W56" s="724"/>
      <c r="X56" s="725" t="s">
        <v>159</v>
      </c>
      <c r="Y56" s="725"/>
      <c r="Z56" s="725"/>
      <c r="AA56" s="725"/>
      <c r="AB56" s="726" t="s">
        <v>159</v>
      </c>
      <c r="AC56" s="726"/>
      <c r="AD56" s="726"/>
      <c r="AE56" s="726"/>
      <c r="AF56" s="727"/>
      <c r="AG56" s="728"/>
      <c r="AH56" s="727"/>
      <c r="AI56" s="728"/>
      <c r="AJ56" s="682"/>
      <c r="AK56" s="683"/>
      <c r="AL56" s="664" t="s">
        <v>162</v>
      </c>
      <c r="AM56" s="665"/>
      <c r="AN56" s="713" t="s">
        <v>162</v>
      </c>
      <c r="AO56" s="714"/>
      <c r="AP56" s="729"/>
      <c r="AQ56" s="730"/>
      <c r="AR56" s="731"/>
      <c r="AS56" s="732"/>
      <c r="AT56" s="690"/>
      <c r="AU56" s="691"/>
      <c r="AV56" s="713" t="s">
        <v>162</v>
      </c>
      <c r="AW56" s="714"/>
      <c r="AX56" s="692"/>
      <c r="AY56" s="693"/>
      <c r="AZ56" s="694"/>
      <c r="BA56" s="735"/>
      <c r="BB56" s="736"/>
      <c r="BC56" s="219"/>
      <c r="BD56" s="737" t="s">
        <v>162</v>
      </c>
      <c r="BE56" s="738"/>
      <c r="BF56" s="739"/>
      <c r="BG56" s="740"/>
      <c r="BH56" s="740"/>
      <c r="BI56" s="741"/>
      <c r="BJ56" s="742" t="s">
        <v>159</v>
      </c>
      <c r="BK56" s="743"/>
      <c r="BL56" s="743"/>
      <c r="BM56" s="744"/>
      <c r="BN56" s="703" t="s">
        <v>159</v>
      </c>
      <c r="BO56" s="704"/>
      <c r="BP56" s="704"/>
      <c r="BQ56" s="704"/>
      <c r="BR56" s="704"/>
      <c r="BS56" s="704"/>
      <c r="BT56" s="704"/>
      <c r="BU56" s="704"/>
      <c r="BV56" s="705"/>
    </row>
    <row r="57" spans="1:74" ht="45" customHeight="1" x14ac:dyDescent="0.25">
      <c r="A57" s="10">
        <f t="shared" si="0"/>
        <v>43</v>
      </c>
      <c r="B57" s="662" t="s">
        <v>159</v>
      </c>
      <c r="C57" s="662"/>
      <c r="D57" s="663" t="s">
        <v>212</v>
      </c>
      <c r="E57" s="663"/>
      <c r="F57" s="664" t="s">
        <v>162</v>
      </c>
      <c r="G57" s="665"/>
      <c r="H57" s="755" t="s">
        <v>162</v>
      </c>
      <c r="I57" s="667"/>
      <c r="J57" s="706"/>
      <c r="K57" s="707"/>
      <c r="L57" s="706"/>
      <c r="M57" s="707"/>
      <c r="N57" s="194"/>
      <c r="O57" s="196"/>
      <c r="P57" s="717"/>
      <c r="Q57" s="718"/>
      <c r="R57" s="672"/>
      <c r="S57" s="673"/>
      <c r="T57" s="674"/>
      <c r="U57" s="675"/>
      <c r="V57" s="676"/>
      <c r="W57" s="677"/>
      <c r="X57" s="678" t="s">
        <v>159</v>
      </c>
      <c r="Y57" s="678"/>
      <c r="Z57" s="678"/>
      <c r="AA57" s="678"/>
      <c r="AB57" s="679" t="s">
        <v>159</v>
      </c>
      <c r="AC57" s="679"/>
      <c r="AD57" s="679"/>
      <c r="AE57" s="679"/>
      <c r="AF57" s="680"/>
      <c r="AG57" s="681"/>
      <c r="AH57" s="680"/>
      <c r="AI57" s="681"/>
      <c r="AJ57" s="686"/>
      <c r="AK57" s="687"/>
      <c r="AL57" s="684" t="s">
        <v>162</v>
      </c>
      <c r="AM57" s="685"/>
      <c r="AN57" s="666" t="s">
        <v>162</v>
      </c>
      <c r="AO57" s="667"/>
      <c r="AP57" s="686"/>
      <c r="AQ57" s="687"/>
      <c r="AR57" s="688"/>
      <c r="AS57" s="689"/>
      <c r="AT57" s="690"/>
      <c r="AU57" s="691"/>
      <c r="AV57" s="666" t="s">
        <v>162</v>
      </c>
      <c r="AW57" s="667"/>
      <c r="AX57" s="692"/>
      <c r="AY57" s="693"/>
      <c r="AZ57" s="694"/>
      <c r="BA57" s="682"/>
      <c r="BB57" s="683"/>
      <c r="BC57" s="14"/>
      <c r="BD57" s="695" t="s">
        <v>887</v>
      </c>
      <c r="BE57" s="696"/>
      <c r="BF57" s="697"/>
      <c r="BG57" s="698"/>
      <c r="BH57" s="698"/>
      <c r="BI57" s="699"/>
      <c r="BJ57" s="700" t="s">
        <v>159</v>
      </c>
      <c r="BK57" s="701"/>
      <c r="BL57" s="701"/>
      <c r="BM57" s="702"/>
      <c r="BN57" s="703" t="s">
        <v>159</v>
      </c>
      <c r="BO57" s="704"/>
      <c r="BP57" s="704"/>
      <c r="BQ57" s="704"/>
      <c r="BR57" s="704"/>
      <c r="BS57" s="704"/>
      <c r="BT57" s="704"/>
      <c r="BU57" s="704"/>
      <c r="BV57" s="705"/>
    </row>
    <row r="58" spans="1:74" ht="45" customHeight="1" x14ac:dyDescent="0.25">
      <c r="A58" s="10">
        <f t="shared" si="0"/>
        <v>44</v>
      </c>
      <c r="B58" s="711" t="s">
        <v>159</v>
      </c>
      <c r="C58" s="711"/>
      <c r="D58" s="712" t="s">
        <v>212</v>
      </c>
      <c r="E58" s="712"/>
      <c r="F58" s="664" t="s">
        <v>162</v>
      </c>
      <c r="G58" s="665"/>
      <c r="H58" s="754" t="s">
        <v>162</v>
      </c>
      <c r="I58" s="714"/>
      <c r="J58" s="715"/>
      <c r="K58" s="716"/>
      <c r="L58" s="715"/>
      <c r="M58" s="716"/>
      <c r="N58" s="215"/>
      <c r="O58" s="216"/>
      <c r="P58" s="670"/>
      <c r="Q58" s="671"/>
      <c r="R58" s="719"/>
      <c r="S58" s="720"/>
      <c r="T58" s="721"/>
      <c r="U58" s="722"/>
      <c r="V58" s="723"/>
      <c r="W58" s="724"/>
      <c r="X58" s="725" t="s">
        <v>159</v>
      </c>
      <c r="Y58" s="725"/>
      <c r="Z58" s="725"/>
      <c r="AA58" s="725"/>
      <c r="AB58" s="726" t="s">
        <v>159</v>
      </c>
      <c r="AC58" s="726"/>
      <c r="AD58" s="726"/>
      <c r="AE58" s="726"/>
      <c r="AF58" s="727"/>
      <c r="AG58" s="728"/>
      <c r="AH58" s="727"/>
      <c r="AI58" s="728"/>
      <c r="AJ58" s="682"/>
      <c r="AK58" s="683"/>
      <c r="AL58" s="664" t="s">
        <v>162</v>
      </c>
      <c r="AM58" s="665"/>
      <c r="AN58" s="713" t="s">
        <v>162</v>
      </c>
      <c r="AO58" s="714"/>
      <c r="AP58" s="729"/>
      <c r="AQ58" s="730"/>
      <c r="AR58" s="731"/>
      <c r="AS58" s="732"/>
      <c r="AT58" s="690"/>
      <c r="AU58" s="691"/>
      <c r="AV58" s="713" t="s">
        <v>162</v>
      </c>
      <c r="AW58" s="714"/>
      <c r="AX58" s="692"/>
      <c r="AY58" s="693"/>
      <c r="AZ58" s="694"/>
      <c r="BA58" s="735"/>
      <c r="BB58" s="736"/>
      <c r="BC58" s="219"/>
      <c r="BD58" s="737" t="s">
        <v>162</v>
      </c>
      <c r="BE58" s="738"/>
      <c r="BF58" s="739"/>
      <c r="BG58" s="740"/>
      <c r="BH58" s="740"/>
      <c r="BI58" s="741"/>
      <c r="BJ58" s="742" t="s">
        <v>159</v>
      </c>
      <c r="BK58" s="743"/>
      <c r="BL58" s="743"/>
      <c r="BM58" s="744"/>
      <c r="BN58" s="703" t="s">
        <v>159</v>
      </c>
      <c r="BO58" s="704"/>
      <c r="BP58" s="704"/>
      <c r="BQ58" s="704"/>
      <c r="BR58" s="704"/>
      <c r="BS58" s="704"/>
      <c r="BT58" s="704"/>
      <c r="BU58" s="704"/>
      <c r="BV58" s="705"/>
    </row>
    <row r="59" spans="1:74" ht="45" customHeight="1" x14ac:dyDescent="0.25">
      <c r="A59" s="10">
        <f t="shared" si="0"/>
        <v>45</v>
      </c>
      <c r="B59" s="662" t="s">
        <v>159</v>
      </c>
      <c r="C59" s="662"/>
      <c r="D59" s="663" t="s">
        <v>212</v>
      </c>
      <c r="E59" s="663"/>
      <c r="F59" s="664" t="s">
        <v>162</v>
      </c>
      <c r="G59" s="665"/>
      <c r="H59" s="755" t="s">
        <v>162</v>
      </c>
      <c r="I59" s="667"/>
      <c r="J59" s="706"/>
      <c r="K59" s="707"/>
      <c r="L59" s="706"/>
      <c r="M59" s="707"/>
      <c r="N59" s="194"/>
      <c r="O59" s="196"/>
      <c r="P59" s="717"/>
      <c r="Q59" s="718"/>
      <c r="R59" s="672"/>
      <c r="S59" s="673"/>
      <c r="T59" s="674"/>
      <c r="U59" s="675"/>
      <c r="V59" s="676"/>
      <c r="W59" s="677"/>
      <c r="X59" s="678" t="s">
        <v>159</v>
      </c>
      <c r="Y59" s="678"/>
      <c r="Z59" s="678"/>
      <c r="AA59" s="678"/>
      <c r="AB59" s="679" t="s">
        <v>159</v>
      </c>
      <c r="AC59" s="679"/>
      <c r="AD59" s="679"/>
      <c r="AE59" s="679"/>
      <c r="AF59" s="680"/>
      <c r="AG59" s="681"/>
      <c r="AH59" s="680"/>
      <c r="AI59" s="681"/>
      <c r="AJ59" s="686"/>
      <c r="AK59" s="687"/>
      <c r="AL59" s="684" t="s">
        <v>162</v>
      </c>
      <c r="AM59" s="685"/>
      <c r="AN59" s="666" t="s">
        <v>162</v>
      </c>
      <c r="AO59" s="667"/>
      <c r="AP59" s="686"/>
      <c r="AQ59" s="687"/>
      <c r="AR59" s="688"/>
      <c r="AS59" s="689"/>
      <c r="AT59" s="690"/>
      <c r="AU59" s="691"/>
      <c r="AV59" s="666" t="s">
        <v>162</v>
      </c>
      <c r="AW59" s="667"/>
      <c r="AX59" s="692"/>
      <c r="AY59" s="693"/>
      <c r="AZ59" s="694"/>
      <c r="BA59" s="682"/>
      <c r="BB59" s="683"/>
      <c r="BC59" s="14"/>
      <c r="BD59" s="695" t="s">
        <v>887</v>
      </c>
      <c r="BE59" s="696"/>
      <c r="BF59" s="708"/>
      <c r="BG59" s="709"/>
      <c r="BH59" s="709"/>
      <c r="BI59" s="710"/>
      <c r="BJ59" s="700" t="s">
        <v>159</v>
      </c>
      <c r="BK59" s="701"/>
      <c r="BL59" s="701"/>
      <c r="BM59" s="702"/>
      <c r="BN59" s="703" t="s">
        <v>159</v>
      </c>
      <c r="BO59" s="704"/>
      <c r="BP59" s="704"/>
      <c r="BQ59" s="704"/>
      <c r="BR59" s="704"/>
      <c r="BS59" s="704"/>
      <c r="BT59" s="704"/>
      <c r="BU59" s="704"/>
      <c r="BV59" s="705"/>
    </row>
    <row r="60" spans="1:74" ht="45" customHeight="1" x14ac:dyDescent="0.25">
      <c r="A60" s="10">
        <f t="shared" si="0"/>
        <v>46</v>
      </c>
      <c r="B60" s="711" t="s">
        <v>159</v>
      </c>
      <c r="C60" s="711"/>
      <c r="D60" s="712" t="s">
        <v>212</v>
      </c>
      <c r="E60" s="712"/>
      <c r="F60" s="664" t="s">
        <v>162</v>
      </c>
      <c r="G60" s="665"/>
      <c r="H60" s="754" t="s">
        <v>162</v>
      </c>
      <c r="I60" s="714"/>
      <c r="J60" s="715"/>
      <c r="K60" s="716"/>
      <c r="L60" s="715"/>
      <c r="M60" s="716"/>
      <c r="N60" s="215"/>
      <c r="O60" s="216"/>
      <c r="P60" s="670"/>
      <c r="Q60" s="671"/>
      <c r="R60" s="719"/>
      <c r="S60" s="720"/>
      <c r="T60" s="721"/>
      <c r="U60" s="722"/>
      <c r="V60" s="723"/>
      <c r="W60" s="724"/>
      <c r="X60" s="725" t="s">
        <v>159</v>
      </c>
      <c r="Y60" s="725"/>
      <c r="Z60" s="725"/>
      <c r="AA60" s="725"/>
      <c r="AB60" s="726" t="s">
        <v>159</v>
      </c>
      <c r="AC60" s="726"/>
      <c r="AD60" s="726"/>
      <c r="AE60" s="726"/>
      <c r="AF60" s="727"/>
      <c r="AG60" s="728"/>
      <c r="AH60" s="727"/>
      <c r="AI60" s="728"/>
      <c r="AJ60" s="682"/>
      <c r="AK60" s="683"/>
      <c r="AL60" s="664" t="s">
        <v>162</v>
      </c>
      <c r="AM60" s="665"/>
      <c r="AN60" s="713" t="s">
        <v>162</v>
      </c>
      <c r="AO60" s="714"/>
      <c r="AP60" s="729"/>
      <c r="AQ60" s="730"/>
      <c r="AR60" s="731"/>
      <c r="AS60" s="732"/>
      <c r="AT60" s="690"/>
      <c r="AU60" s="691"/>
      <c r="AV60" s="713" t="s">
        <v>162</v>
      </c>
      <c r="AW60" s="714"/>
      <c r="AX60" s="692"/>
      <c r="AY60" s="693"/>
      <c r="AZ60" s="694"/>
      <c r="BA60" s="735"/>
      <c r="BB60" s="736"/>
      <c r="BC60" s="219"/>
      <c r="BD60" s="737" t="s">
        <v>162</v>
      </c>
      <c r="BE60" s="738"/>
      <c r="BF60" s="739"/>
      <c r="BG60" s="740"/>
      <c r="BH60" s="740"/>
      <c r="BI60" s="741"/>
      <c r="BJ60" s="742" t="s">
        <v>159</v>
      </c>
      <c r="BK60" s="743"/>
      <c r="BL60" s="743"/>
      <c r="BM60" s="744"/>
      <c r="BN60" s="703" t="s">
        <v>159</v>
      </c>
      <c r="BO60" s="704"/>
      <c r="BP60" s="704"/>
      <c r="BQ60" s="704"/>
      <c r="BR60" s="704"/>
      <c r="BS60" s="704"/>
      <c r="BT60" s="704"/>
      <c r="BU60" s="704"/>
      <c r="BV60" s="705"/>
    </row>
    <row r="61" spans="1:74" ht="45" customHeight="1" x14ac:dyDescent="0.25">
      <c r="A61" s="10">
        <f t="shared" si="0"/>
        <v>47</v>
      </c>
      <c r="B61" s="662" t="s">
        <v>159</v>
      </c>
      <c r="C61" s="662"/>
      <c r="D61" s="663" t="s">
        <v>212</v>
      </c>
      <c r="E61" s="663"/>
      <c r="F61" s="664" t="s">
        <v>162</v>
      </c>
      <c r="G61" s="665"/>
      <c r="H61" s="755" t="s">
        <v>162</v>
      </c>
      <c r="I61" s="667"/>
      <c r="J61" s="706"/>
      <c r="K61" s="707"/>
      <c r="L61" s="706"/>
      <c r="M61" s="707"/>
      <c r="N61" s="194"/>
      <c r="O61" s="196"/>
      <c r="P61" s="717"/>
      <c r="Q61" s="718"/>
      <c r="R61" s="672"/>
      <c r="S61" s="673"/>
      <c r="T61" s="674"/>
      <c r="U61" s="675"/>
      <c r="V61" s="676"/>
      <c r="W61" s="677"/>
      <c r="X61" s="678" t="s">
        <v>159</v>
      </c>
      <c r="Y61" s="678"/>
      <c r="Z61" s="678"/>
      <c r="AA61" s="678"/>
      <c r="AB61" s="679" t="s">
        <v>159</v>
      </c>
      <c r="AC61" s="679"/>
      <c r="AD61" s="679"/>
      <c r="AE61" s="679"/>
      <c r="AF61" s="680"/>
      <c r="AG61" s="681"/>
      <c r="AH61" s="680"/>
      <c r="AI61" s="681"/>
      <c r="AJ61" s="686"/>
      <c r="AK61" s="687"/>
      <c r="AL61" s="684" t="s">
        <v>162</v>
      </c>
      <c r="AM61" s="685"/>
      <c r="AN61" s="666" t="s">
        <v>162</v>
      </c>
      <c r="AO61" s="667"/>
      <c r="AP61" s="686"/>
      <c r="AQ61" s="687"/>
      <c r="AR61" s="688"/>
      <c r="AS61" s="689"/>
      <c r="AT61" s="690"/>
      <c r="AU61" s="691"/>
      <c r="AV61" s="666" t="s">
        <v>162</v>
      </c>
      <c r="AW61" s="667"/>
      <c r="AX61" s="692"/>
      <c r="AY61" s="693"/>
      <c r="AZ61" s="694"/>
      <c r="BA61" s="682"/>
      <c r="BB61" s="683"/>
      <c r="BC61" s="14"/>
      <c r="BD61" s="695" t="s">
        <v>887</v>
      </c>
      <c r="BE61" s="696"/>
      <c r="BF61" s="697"/>
      <c r="BG61" s="698"/>
      <c r="BH61" s="698"/>
      <c r="BI61" s="699"/>
      <c r="BJ61" s="700" t="s">
        <v>159</v>
      </c>
      <c r="BK61" s="701"/>
      <c r="BL61" s="701"/>
      <c r="BM61" s="702"/>
      <c r="BN61" s="703" t="s">
        <v>159</v>
      </c>
      <c r="BO61" s="704"/>
      <c r="BP61" s="704"/>
      <c r="BQ61" s="704"/>
      <c r="BR61" s="704"/>
      <c r="BS61" s="704"/>
      <c r="BT61" s="704"/>
      <c r="BU61" s="704"/>
      <c r="BV61" s="705"/>
    </row>
    <row r="62" spans="1:74" ht="45" customHeight="1" x14ac:dyDescent="0.25">
      <c r="A62" s="10">
        <f t="shared" si="0"/>
        <v>48</v>
      </c>
      <c r="B62" s="711" t="s">
        <v>159</v>
      </c>
      <c r="C62" s="711"/>
      <c r="D62" s="712" t="s">
        <v>212</v>
      </c>
      <c r="E62" s="712"/>
      <c r="F62" s="664" t="s">
        <v>162</v>
      </c>
      <c r="G62" s="665"/>
      <c r="H62" s="754" t="s">
        <v>162</v>
      </c>
      <c r="I62" s="714"/>
      <c r="J62" s="715"/>
      <c r="K62" s="716"/>
      <c r="L62" s="715"/>
      <c r="M62" s="716"/>
      <c r="N62" s="215"/>
      <c r="O62" s="216"/>
      <c r="P62" s="670"/>
      <c r="Q62" s="671"/>
      <c r="R62" s="719"/>
      <c r="S62" s="720"/>
      <c r="T62" s="721"/>
      <c r="U62" s="722"/>
      <c r="V62" s="723"/>
      <c r="W62" s="724"/>
      <c r="X62" s="725" t="s">
        <v>159</v>
      </c>
      <c r="Y62" s="725"/>
      <c r="Z62" s="725"/>
      <c r="AA62" s="725"/>
      <c r="AB62" s="726" t="s">
        <v>159</v>
      </c>
      <c r="AC62" s="726"/>
      <c r="AD62" s="726"/>
      <c r="AE62" s="726"/>
      <c r="AF62" s="727"/>
      <c r="AG62" s="728"/>
      <c r="AH62" s="727"/>
      <c r="AI62" s="728"/>
      <c r="AJ62" s="682"/>
      <c r="AK62" s="683"/>
      <c r="AL62" s="664" t="s">
        <v>162</v>
      </c>
      <c r="AM62" s="665"/>
      <c r="AN62" s="713" t="s">
        <v>162</v>
      </c>
      <c r="AO62" s="714"/>
      <c r="AP62" s="729"/>
      <c r="AQ62" s="730"/>
      <c r="AR62" s="731"/>
      <c r="AS62" s="732"/>
      <c r="AT62" s="690"/>
      <c r="AU62" s="691"/>
      <c r="AV62" s="713" t="s">
        <v>162</v>
      </c>
      <c r="AW62" s="714"/>
      <c r="AX62" s="692"/>
      <c r="AY62" s="693"/>
      <c r="AZ62" s="694"/>
      <c r="BA62" s="735"/>
      <c r="BB62" s="736"/>
      <c r="BC62" s="219"/>
      <c r="BD62" s="737" t="s">
        <v>162</v>
      </c>
      <c r="BE62" s="738"/>
      <c r="BF62" s="739"/>
      <c r="BG62" s="740"/>
      <c r="BH62" s="740"/>
      <c r="BI62" s="741"/>
      <c r="BJ62" s="742" t="s">
        <v>159</v>
      </c>
      <c r="BK62" s="743"/>
      <c r="BL62" s="743"/>
      <c r="BM62" s="744"/>
      <c r="BN62" s="703" t="s">
        <v>159</v>
      </c>
      <c r="BO62" s="704"/>
      <c r="BP62" s="704"/>
      <c r="BQ62" s="704"/>
      <c r="BR62" s="704"/>
      <c r="BS62" s="704"/>
      <c r="BT62" s="704"/>
      <c r="BU62" s="704"/>
      <c r="BV62" s="705"/>
    </row>
    <row r="63" spans="1:74" ht="45" customHeight="1" x14ac:dyDescent="0.25">
      <c r="A63" s="10">
        <f t="shared" si="0"/>
        <v>49</v>
      </c>
      <c r="B63" s="662" t="s">
        <v>159</v>
      </c>
      <c r="C63" s="662"/>
      <c r="D63" s="663" t="s">
        <v>212</v>
      </c>
      <c r="E63" s="663"/>
      <c r="F63" s="664" t="s">
        <v>162</v>
      </c>
      <c r="G63" s="665"/>
      <c r="H63" s="755" t="s">
        <v>162</v>
      </c>
      <c r="I63" s="667"/>
      <c r="J63" s="706"/>
      <c r="K63" s="707"/>
      <c r="L63" s="706"/>
      <c r="M63" s="707"/>
      <c r="N63" s="194"/>
      <c r="O63" s="196"/>
      <c r="P63" s="717"/>
      <c r="Q63" s="718"/>
      <c r="R63" s="672"/>
      <c r="S63" s="673"/>
      <c r="T63" s="674"/>
      <c r="U63" s="675"/>
      <c r="V63" s="676"/>
      <c r="W63" s="677"/>
      <c r="X63" s="678" t="s">
        <v>159</v>
      </c>
      <c r="Y63" s="678"/>
      <c r="Z63" s="678"/>
      <c r="AA63" s="678"/>
      <c r="AB63" s="679" t="s">
        <v>159</v>
      </c>
      <c r="AC63" s="679"/>
      <c r="AD63" s="679"/>
      <c r="AE63" s="679"/>
      <c r="AF63" s="680"/>
      <c r="AG63" s="681"/>
      <c r="AH63" s="680"/>
      <c r="AI63" s="681"/>
      <c r="AJ63" s="686"/>
      <c r="AK63" s="687"/>
      <c r="AL63" s="684" t="s">
        <v>162</v>
      </c>
      <c r="AM63" s="685"/>
      <c r="AN63" s="666" t="s">
        <v>162</v>
      </c>
      <c r="AO63" s="667"/>
      <c r="AP63" s="686"/>
      <c r="AQ63" s="687"/>
      <c r="AR63" s="688"/>
      <c r="AS63" s="689"/>
      <c r="AT63" s="690"/>
      <c r="AU63" s="691"/>
      <c r="AV63" s="666" t="s">
        <v>162</v>
      </c>
      <c r="AW63" s="667"/>
      <c r="AX63" s="692"/>
      <c r="AY63" s="693"/>
      <c r="AZ63" s="694"/>
      <c r="BA63" s="682"/>
      <c r="BB63" s="683"/>
      <c r="BC63" s="14"/>
      <c r="BD63" s="695" t="s">
        <v>887</v>
      </c>
      <c r="BE63" s="696"/>
      <c r="BF63" s="708"/>
      <c r="BG63" s="709"/>
      <c r="BH63" s="709"/>
      <c r="BI63" s="710"/>
      <c r="BJ63" s="700" t="s">
        <v>159</v>
      </c>
      <c r="BK63" s="701"/>
      <c r="BL63" s="701"/>
      <c r="BM63" s="702"/>
      <c r="BN63" s="703" t="s">
        <v>159</v>
      </c>
      <c r="BO63" s="704"/>
      <c r="BP63" s="704"/>
      <c r="BQ63" s="704"/>
      <c r="BR63" s="704"/>
      <c r="BS63" s="704"/>
      <c r="BT63" s="704"/>
      <c r="BU63" s="704"/>
      <c r="BV63" s="705"/>
    </row>
    <row r="64" spans="1:74" ht="45" customHeight="1" x14ac:dyDescent="0.25">
      <c r="A64" s="10">
        <f t="shared" si="0"/>
        <v>50</v>
      </c>
      <c r="B64" s="711" t="s">
        <v>159</v>
      </c>
      <c r="C64" s="711"/>
      <c r="D64" s="712" t="s">
        <v>212</v>
      </c>
      <c r="E64" s="712"/>
      <c r="F64" s="664" t="s">
        <v>162</v>
      </c>
      <c r="G64" s="665"/>
      <c r="H64" s="754" t="s">
        <v>162</v>
      </c>
      <c r="I64" s="714"/>
      <c r="J64" s="715"/>
      <c r="K64" s="716"/>
      <c r="L64" s="715"/>
      <c r="M64" s="716"/>
      <c r="N64" s="215"/>
      <c r="O64" s="216"/>
      <c r="P64" s="670"/>
      <c r="Q64" s="671"/>
      <c r="R64" s="719"/>
      <c r="S64" s="720"/>
      <c r="T64" s="721"/>
      <c r="U64" s="722"/>
      <c r="V64" s="723"/>
      <c r="W64" s="724"/>
      <c r="X64" s="725" t="s">
        <v>159</v>
      </c>
      <c r="Y64" s="725"/>
      <c r="Z64" s="725"/>
      <c r="AA64" s="725"/>
      <c r="AB64" s="726" t="s">
        <v>159</v>
      </c>
      <c r="AC64" s="726"/>
      <c r="AD64" s="726"/>
      <c r="AE64" s="726"/>
      <c r="AF64" s="727"/>
      <c r="AG64" s="728"/>
      <c r="AH64" s="727"/>
      <c r="AI64" s="728"/>
      <c r="AJ64" s="682"/>
      <c r="AK64" s="683"/>
      <c r="AL64" s="664" t="s">
        <v>162</v>
      </c>
      <c r="AM64" s="665"/>
      <c r="AN64" s="713" t="s">
        <v>162</v>
      </c>
      <c r="AO64" s="714"/>
      <c r="AP64" s="729"/>
      <c r="AQ64" s="730"/>
      <c r="AR64" s="731"/>
      <c r="AS64" s="732"/>
      <c r="AT64" s="690"/>
      <c r="AU64" s="691"/>
      <c r="AV64" s="713" t="s">
        <v>162</v>
      </c>
      <c r="AW64" s="714"/>
      <c r="AX64" s="692"/>
      <c r="AY64" s="693"/>
      <c r="AZ64" s="694"/>
      <c r="BA64" s="735"/>
      <c r="BB64" s="736"/>
      <c r="BC64" s="219"/>
      <c r="BD64" s="737" t="s">
        <v>162</v>
      </c>
      <c r="BE64" s="738"/>
      <c r="BF64" s="739"/>
      <c r="BG64" s="740"/>
      <c r="BH64" s="740"/>
      <c r="BI64" s="741"/>
      <c r="BJ64" s="742" t="s">
        <v>159</v>
      </c>
      <c r="BK64" s="743"/>
      <c r="BL64" s="743"/>
      <c r="BM64" s="744"/>
      <c r="BN64" s="703" t="s">
        <v>159</v>
      </c>
      <c r="BO64" s="704"/>
      <c r="BP64" s="704"/>
      <c r="BQ64" s="704"/>
      <c r="BR64" s="704"/>
      <c r="BS64" s="704"/>
      <c r="BT64" s="704"/>
      <c r="BU64" s="704"/>
      <c r="BV64" s="705"/>
    </row>
    <row r="65" spans="1:74" ht="45" customHeight="1" x14ac:dyDescent="0.25">
      <c r="A65" s="10">
        <f t="shared" si="0"/>
        <v>51</v>
      </c>
      <c r="B65" s="662" t="s">
        <v>159</v>
      </c>
      <c r="C65" s="662"/>
      <c r="D65" s="663" t="s">
        <v>212</v>
      </c>
      <c r="E65" s="663"/>
      <c r="F65" s="664" t="s">
        <v>162</v>
      </c>
      <c r="G65" s="665"/>
      <c r="H65" s="755" t="s">
        <v>162</v>
      </c>
      <c r="I65" s="667"/>
      <c r="J65" s="706"/>
      <c r="K65" s="707"/>
      <c r="L65" s="706"/>
      <c r="M65" s="707"/>
      <c r="N65" s="194"/>
      <c r="O65" s="196"/>
      <c r="P65" s="717"/>
      <c r="Q65" s="718"/>
      <c r="R65" s="672"/>
      <c r="S65" s="673"/>
      <c r="T65" s="674"/>
      <c r="U65" s="675"/>
      <c r="V65" s="676"/>
      <c r="W65" s="677"/>
      <c r="X65" s="678" t="s">
        <v>159</v>
      </c>
      <c r="Y65" s="678"/>
      <c r="Z65" s="678"/>
      <c r="AA65" s="678"/>
      <c r="AB65" s="679" t="s">
        <v>159</v>
      </c>
      <c r="AC65" s="679"/>
      <c r="AD65" s="679"/>
      <c r="AE65" s="679"/>
      <c r="AF65" s="680"/>
      <c r="AG65" s="681"/>
      <c r="AH65" s="680"/>
      <c r="AI65" s="681"/>
      <c r="AJ65" s="686"/>
      <c r="AK65" s="687"/>
      <c r="AL65" s="684" t="s">
        <v>162</v>
      </c>
      <c r="AM65" s="685"/>
      <c r="AN65" s="666" t="s">
        <v>162</v>
      </c>
      <c r="AO65" s="667"/>
      <c r="AP65" s="686"/>
      <c r="AQ65" s="687"/>
      <c r="AR65" s="688"/>
      <c r="AS65" s="689"/>
      <c r="AT65" s="690"/>
      <c r="AU65" s="691"/>
      <c r="AV65" s="666" t="s">
        <v>162</v>
      </c>
      <c r="AW65" s="667"/>
      <c r="AX65" s="692"/>
      <c r="AY65" s="693"/>
      <c r="AZ65" s="694"/>
      <c r="BA65" s="682"/>
      <c r="BB65" s="683"/>
      <c r="BC65" s="14"/>
      <c r="BD65" s="695" t="s">
        <v>887</v>
      </c>
      <c r="BE65" s="696"/>
      <c r="BF65" s="708"/>
      <c r="BG65" s="709"/>
      <c r="BH65" s="709"/>
      <c r="BI65" s="710"/>
      <c r="BJ65" s="700" t="s">
        <v>159</v>
      </c>
      <c r="BK65" s="701"/>
      <c r="BL65" s="701"/>
      <c r="BM65" s="702"/>
      <c r="BN65" s="703" t="s">
        <v>159</v>
      </c>
      <c r="BO65" s="704"/>
      <c r="BP65" s="704"/>
      <c r="BQ65" s="704"/>
      <c r="BR65" s="704"/>
      <c r="BS65" s="704"/>
      <c r="BT65" s="704"/>
      <c r="BU65" s="704"/>
      <c r="BV65" s="705"/>
    </row>
    <row r="66" spans="1:74" ht="45" customHeight="1" x14ac:dyDescent="0.25">
      <c r="A66" s="10">
        <f t="shared" si="0"/>
        <v>52</v>
      </c>
      <c r="B66" s="711" t="s">
        <v>159</v>
      </c>
      <c r="C66" s="711"/>
      <c r="D66" s="712" t="s">
        <v>212</v>
      </c>
      <c r="E66" s="712"/>
      <c r="F66" s="664" t="s">
        <v>162</v>
      </c>
      <c r="G66" s="665"/>
      <c r="H66" s="754" t="s">
        <v>162</v>
      </c>
      <c r="I66" s="714"/>
      <c r="J66" s="715"/>
      <c r="K66" s="716"/>
      <c r="L66" s="715"/>
      <c r="M66" s="716"/>
      <c r="N66" s="215"/>
      <c r="O66" s="216"/>
      <c r="P66" s="670"/>
      <c r="Q66" s="671"/>
      <c r="R66" s="719"/>
      <c r="S66" s="720"/>
      <c r="T66" s="721"/>
      <c r="U66" s="722"/>
      <c r="V66" s="723"/>
      <c r="W66" s="724"/>
      <c r="X66" s="725" t="s">
        <v>159</v>
      </c>
      <c r="Y66" s="725"/>
      <c r="Z66" s="725"/>
      <c r="AA66" s="725"/>
      <c r="AB66" s="726" t="s">
        <v>159</v>
      </c>
      <c r="AC66" s="726"/>
      <c r="AD66" s="726"/>
      <c r="AE66" s="726"/>
      <c r="AF66" s="727"/>
      <c r="AG66" s="728"/>
      <c r="AH66" s="727"/>
      <c r="AI66" s="728"/>
      <c r="AJ66" s="682"/>
      <c r="AK66" s="683"/>
      <c r="AL66" s="664" t="s">
        <v>162</v>
      </c>
      <c r="AM66" s="665"/>
      <c r="AN66" s="713" t="s">
        <v>162</v>
      </c>
      <c r="AO66" s="714"/>
      <c r="AP66" s="729"/>
      <c r="AQ66" s="730"/>
      <c r="AR66" s="731"/>
      <c r="AS66" s="732"/>
      <c r="AT66" s="690"/>
      <c r="AU66" s="691"/>
      <c r="AV66" s="713" t="s">
        <v>162</v>
      </c>
      <c r="AW66" s="714"/>
      <c r="AX66" s="692"/>
      <c r="AY66" s="693"/>
      <c r="AZ66" s="694"/>
      <c r="BA66" s="735"/>
      <c r="BB66" s="736"/>
      <c r="BC66" s="219"/>
      <c r="BD66" s="737" t="s">
        <v>162</v>
      </c>
      <c r="BE66" s="738"/>
      <c r="BF66" s="739"/>
      <c r="BG66" s="740"/>
      <c r="BH66" s="740"/>
      <c r="BI66" s="741"/>
      <c r="BJ66" s="742" t="s">
        <v>159</v>
      </c>
      <c r="BK66" s="743"/>
      <c r="BL66" s="743"/>
      <c r="BM66" s="744"/>
      <c r="BN66" s="703" t="s">
        <v>159</v>
      </c>
      <c r="BO66" s="704"/>
      <c r="BP66" s="704"/>
      <c r="BQ66" s="704"/>
      <c r="BR66" s="704"/>
      <c r="BS66" s="704"/>
      <c r="BT66" s="704"/>
      <c r="BU66" s="704"/>
      <c r="BV66" s="705"/>
    </row>
    <row r="67" spans="1:74" ht="45" customHeight="1" x14ac:dyDescent="0.25">
      <c r="A67" s="10">
        <f t="shared" si="0"/>
        <v>53</v>
      </c>
      <c r="B67" s="662" t="s">
        <v>159</v>
      </c>
      <c r="C67" s="662"/>
      <c r="D67" s="663" t="s">
        <v>212</v>
      </c>
      <c r="E67" s="663"/>
      <c r="F67" s="664" t="s">
        <v>162</v>
      </c>
      <c r="G67" s="665"/>
      <c r="H67" s="755" t="s">
        <v>162</v>
      </c>
      <c r="I67" s="667"/>
      <c r="J67" s="706"/>
      <c r="K67" s="707"/>
      <c r="L67" s="706"/>
      <c r="M67" s="707"/>
      <c r="N67" s="194"/>
      <c r="O67" s="216"/>
      <c r="P67" s="717"/>
      <c r="Q67" s="718"/>
      <c r="R67" s="672"/>
      <c r="S67" s="673"/>
      <c r="T67" s="674"/>
      <c r="U67" s="675"/>
      <c r="V67" s="676"/>
      <c r="W67" s="677"/>
      <c r="X67" s="678" t="s">
        <v>159</v>
      </c>
      <c r="Y67" s="678"/>
      <c r="Z67" s="678"/>
      <c r="AA67" s="678"/>
      <c r="AB67" s="679" t="s">
        <v>159</v>
      </c>
      <c r="AC67" s="679"/>
      <c r="AD67" s="679"/>
      <c r="AE67" s="679"/>
      <c r="AF67" s="680"/>
      <c r="AG67" s="681"/>
      <c r="AH67" s="680"/>
      <c r="AI67" s="681"/>
      <c r="AJ67" s="686"/>
      <c r="AK67" s="687"/>
      <c r="AL67" s="684" t="s">
        <v>162</v>
      </c>
      <c r="AM67" s="685"/>
      <c r="AN67" s="666" t="s">
        <v>162</v>
      </c>
      <c r="AO67" s="667"/>
      <c r="AP67" s="686"/>
      <c r="AQ67" s="687"/>
      <c r="AR67" s="688"/>
      <c r="AS67" s="689"/>
      <c r="AT67" s="690"/>
      <c r="AU67" s="691"/>
      <c r="AV67" s="666" t="s">
        <v>162</v>
      </c>
      <c r="AW67" s="667"/>
      <c r="AX67" s="692"/>
      <c r="AY67" s="693"/>
      <c r="AZ67" s="694"/>
      <c r="BA67" s="682"/>
      <c r="BB67" s="683"/>
      <c r="BC67" s="14"/>
      <c r="BD67" s="695" t="s">
        <v>887</v>
      </c>
      <c r="BE67" s="696"/>
      <c r="BF67" s="697"/>
      <c r="BG67" s="698"/>
      <c r="BH67" s="698"/>
      <c r="BI67" s="699"/>
      <c r="BJ67" s="700" t="s">
        <v>159</v>
      </c>
      <c r="BK67" s="701"/>
      <c r="BL67" s="701"/>
      <c r="BM67" s="702"/>
      <c r="BN67" s="703" t="s">
        <v>159</v>
      </c>
      <c r="BO67" s="704"/>
      <c r="BP67" s="704"/>
      <c r="BQ67" s="704"/>
      <c r="BR67" s="704"/>
      <c r="BS67" s="704"/>
      <c r="BT67" s="704"/>
      <c r="BU67" s="704"/>
      <c r="BV67" s="705"/>
    </row>
    <row r="68" spans="1:74" ht="45" customHeight="1" x14ac:dyDescent="0.25">
      <c r="A68" s="10">
        <f t="shared" si="0"/>
        <v>54</v>
      </c>
      <c r="B68" s="711" t="s">
        <v>159</v>
      </c>
      <c r="C68" s="711"/>
      <c r="D68" s="712" t="s">
        <v>212</v>
      </c>
      <c r="E68" s="712"/>
      <c r="F68" s="664" t="s">
        <v>162</v>
      </c>
      <c r="G68" s="665"/>
      <c r="H68" s="754" t="s">
        <v>162</v>
      </c>
      <c r="I68" s="714"/>
      <c r="J68" s="715"/>
      <c r="K68" s="716"/>
      <c r="L68" s="715"/>
      <c r="M68" s="716"/>
      <c r="N68" s="215"/>
      <c r="O68" s="196"/>
      <c r="P68" s="670"/>
      <c r="Q68" s="671"/>
      <c r="R68" s="719"/>
      <c r="S68" s="720"/>
      <c r="T68" s="721"/>
      <c r="U68" s="722"/>
      <c r="V68" s="723"/>
      <c r="W68" s="724"/>
      <c r="X68" s="725" t="s">
        <v>159</v>
      </c>
      <c r="Y68" s="725"/>
      <c r="Z68" s="725"/>
      <c r="AA68" s="725"/>
      <c r="AB68" s="726" t="s">
        <v>159</v>
      </c>
      <c r="AC68" s="726"/>
      <c r="AD68" s="726"/>
      <c r="AE68" s="726"/>
      <c r="AF68" s="727"/>
      <c r="AG68" s="728"/>
      <c r="AH68" s="727"/>
      <c r="AI68" s="728"/>
      <c r="AJ68" s="682"/>
      <c r="AK68" s="683"/>
      <c r="AL68" s="664" t="s">
        <v>162</v>
      </c>
      <c r="AM68" s="665"/>
      <c r="AN68" s="713" t="s">
        <v>162</v>
      </c>
      <c r="AO68" s="714"/>
      <c r="AP68" s="729"/>
      <c r="AQ68" s="730"/>
      <c r="AR68" s="731"/>
      <c r="AS68" s="732"/>
      <c r="AT68" s="690"/>
      <c r="AU68" s="691"/>
      <c r="AV68" s="713" t="s">
        <v>162</v>
      </c>
      <c r="AW68" s="714"/>
      <c r="AX68" s="692"/>
      <c r="AY68" s="693"/>
      <c r="AZ68" s="694"/>
      <c r="BA68" s="735"/>
      <c r="BB68" s="736"/>
      <c r="BC68" s="219"/>
      <c r="BD68" s="737" t="s">
        <v>162</v>
      </c>
      <c r="BE68" s="738"/>
      <c r="BF68" s="739"/>
      <c r="BG68" s="740"/>
      <c r="BH68" s="740"/>
      <c r="BI68" s="741"/>
      <c r="BJ68" s="742" t="s">
        <v>159</v>
      </c>
      <c r="BK68" s="743"/>
      <c r="BL68" s="743"/>
      <c r="BM68" s="744"/>
      <c r="BN68" s="703" t="s">
        <v>159</v>
      </c>
      <c r="BO68" s="704"/>
      <c r="BP68" s="704"/>
      <c r="BQ68" s="704"/>
      <c r="BR68" s="704"/>
      <c r="BS68" s="704"/>
      <c r="BT68" s="704"/>
      <c r="BU68" s="704"/>
      <c r="BV68" s="705"/>
    </row>
    <row r="69" spans="1:74" ht="45" customHeight="1" x14ac:dyDescent="0.25">
      <c r="A69" s="10">
        <f t="shared" si="0"/>
        <v>55</v>
      </c>
      <c r="B69" s="662" t="s">
        <v>159</v>
      </c>
      <c r="C69" s="662"/>
      <c r="D69" s="663" t="s">
        <v>212</v>
      </c>
      <c r="E69" s="663"/>
      <c r="F69" s="664" t="s">
        <v>162</v>
      </c>
      <c r="G69" s="665"/>
      <c r="H69" s="755" t="s">
        <v>162</v>
      </c>
      <c r="I69" s="667"/>
      <c r="J69" s="706"/>
      <c r="K69" s="707"/>
      <c r="L69" s="706"/>
      <c r="M69" s="707"/>
      <c r="N69" s="194"/>
      <c r="O69" s="216"/>
      <c r="P69" s="717"/>
      <c r="Q69" s="718"/>
      <c r="R69" s="672"/>
      <c r="S69" s="673"/>
      <c r="T69" s="674"/>
      <c r="U69" s="675"/>
      <c r="V69" s="676"/>
      <c r="W69" s="677"/>
      <c r="X69" s="678" t="s">
        <v>159</v>
      </c>
      <c r="Y69" s="678"/>
      <c r="Z69" s="678"/>
      <c r="AA69" s="678"/>
      <c r="AB69" s="679" t="s">
        <v>159</v>
      </c>
      <c r="AC69" s="679"/>
      <c r="AD69" s="679"/>
      <c r="AE69" s="679"/>
      <c r="AF69" s="680"/>
      <c r="AG69" s="681"/>
      <c r="AH69" s="680"/>
      <c r="AI69" s="681"/>
      <c r="AJ69" s="686"/>
      <c r="AK69" s="687"/>
      <c r="AL69" s="684" t="s">
        <v>162</v>
      </c>
      <c r="AM69" s="685"/>
      <c r="AN69" s="666" t="s">
        <v>162</v>
      </c>
      <c r="AO69" s="667"/>
      <c r="AP69" s="686"/>
      <c r="AQ69" s="687"/>
      <c r="AR69" s="688"/>
      <c r="AS69" s="689"/>
      <c r="AT69" s="690"/>
      <c r="AU69" s="691"/>
      <c r="AV69" s="666" t="s">
        <v>162</v>
      </c>
      <c r="AW69" s="667"/>
      <c r="AX69" s="692"/>
      <c r="AY69" s="693"/>
      <c r="AZ69" s="694"/>
      <c r="BA69" s="682"/>
      <c r="BB69" s="683"/>
      <c r="BC69" s="14"/>
      <c r="BD69" s="695" t="s">
        <v>887</v>
      </c>
      <c r="BE69" s="696"/>
      <c r="BF69" s="708"/>
      <c r="BG69" s="709"/>
      <c r="BH69" s="709"/>
      <c r="BI69" s="710"/>
      <c r="BJ69" s="700" t="s">
        <v>159</v>
      </c>
      <c r="BK69" s="701"/>
      <c r="BL69" s="701"/>
      <c r="BM69" s="702"/>
      <c r="BN69" s="703" t="s">
        <v>159</v>
      </c>
      <c r="BO69" s="704"/>
      <c r="BP69" s="704"/>
      <c r="BQ69" s="704"/>
      <c r="BR69" s="704"/>
      <c r="BS69" s="704"/>
      <c r="BT69" s="704"/>
      <c r="BU69" s="704"/>
      <c r="BV69" s="705"/>
    </row>
    <row r="70" spans="1:74" ht="45" customHeight="1" x14ac:dyDescent="0.25">
      <c r="A70" s="10">
        <f t="shared" si="0"/>
        <v>56</v>
      </c>
      <c r="B70" s="711" t="s">
        <v>159</v>
      </c>
      <c r="C70" s="711"/>
      <c r="D70" s="712" t="s">
        <v>212</v>
      </c>
      <c r="E70" s="712"/>
      <c r="F70" s="664" t="s">
        <v>162</v>
      </c>
      <c r="G70" s="665"/>
      <c r="H70" s="754" t="s">
        <v>162</v>
      </c>
      <c r="I70" s="714"/>
      <c r="J70" s="715"/>
      <c r="K70" s="716"/>
      <c r="L70" s="715"/>
      <c r="M70" s="716"/>
      <c r="N70" s="215"/>
      <c r="O70" s="196"/>
      <c r="P70" s="670"/>
      <c r="Q70" s="671"/>
      <c r="R70" s="719"/>
      <c r="S70" s="720"/>
      <c r="T70" s="721"/>
      <c r="U70" s="722"/>
      <c r="V70" s="723"/>
      <c r="W70" s="724"/>
      <c r="X70" s="725" t="s">
        <v>159</v>
      </c>
      <c r="Y70" s="725"/>
      <c r="Z70" s="725"/>
      <c r="AA70" s="725"/>
      <c r="AB70" s="726" t="s">
        <v>159</v>
      </c>
      <c r="AC70" s="726"/>
      <c r="AD70" s="726"/>
      <c r="AE70" s="726"/>
      <c r="AF70" s="727"/>
      <c r="AG70" s="728"/>
      <c r="AH70" s="727"/>
      <c r="AI70" s="728"/>
      <c r="AJ70" s="682"/>
      <c r="AK70" s="683"/>
      <c r="AL70" s="664" t="s">
        <v>162</v>
      </c>
      <c r="AM70" s="665"/>
      <c r="AN70" s="713" t="s">
        <v>162</v>
      </c>
      <c r="AO70" s="714"/>
      <c r="AP70" s="729"/>
      <c r="AQ70" s="730"/>
      <c r="AR70" s="731"/>
      <c r="AS70" s="732"/>
      <c r="AT70" s="690"/>
      <c r="AU70" s="691"/>
      <c r="AV70" s="713" t="s">
        <v>162</v>
      </c>
      <c r="AW70" s="714"/>
      <c r="AX70" s="692"/>
      <c r="AY70" s="693"/>
      <c r="AZ70" s="694"/>
      <c r="BA70" s="735"/>
      <c r="BB70" s="736"/>
      <c r="BC70" s="219"/>
      <c r="BD70" s="737" t="s">
        <v>162</v>
      </c>
      <c r="BE70" s="738"/>
      <c r="BF70" s="739"/>
      <c r="BG70" s="740"/>
      <c r="BH70" s="740"/>
      <c r="BI70" s="741"/>
      <c r="BJ70" s="742" t="s">
        <v>159</v>
      </c>
      <c r="BK70" s="743"/>
      <c r="BL70" s="743"/>
      <c r="BM70" s="744"/>
      <c r="BN70" s="703" t="s">
        <v>159</v>
      </c>
      <c r="BO70" s="704"/>
      <c r="BP70" s="704"/>
      <c r="BQ70" s="704"/>
      <c r="BR70" s="704"/>
      <c r="BS70" s="704"/>
      <c r="BT70" s="704"/>
      <c r="BU70" s="704"/>
      <c r="BV70" s="705"/>
    </row>
    <row r="71" spans="1:74" ht="45" customHeight="1" x14ac:dyDescent="0.25">
      <c r="A71" s="10">
        <f t="shared" si="0"/>
        <v>57</v>
      </c>
      <c r="B71" s="662" t="s">
        <v>159</v>
      </c>
      <c r="C71" s="662"/>
      <c r="D71" s="663" t="s">
        <v>212</v>
      </c>
      <c r="E71" s="663"/>
      <c r="F71" s="664" t="s">
        <v>162</v>
      </c>
      <c r="G71" s="665"/>
      <c r="H71" s="755" t="s">
        <v>162</v>
      </c>
      <c r="I71" s="667"/>
      <c r="J71" s="706"/>
      <c r="K71" s="707"/>
      <c r="L71" s="706"/>
      <c r="M71" s="707"/>
      <c r="N71" s="194"/>
      <c r="O71" s="216"/>
      <c r="P71" s="717"/>
      <c r="Q71" s="718"/>
      <c r="R71" s="672"/>
      <c r="S71" s="673"/>
      <c r="T71" s="674"/>
      <c r="U71" s="675"/>
      <c r="V71" s="676"/>
      <c r="W71" s="677"/>
      <c r="X71" s="678" t="s">
        <v>159</v>
      </c>
      <c r="Y71" s="678"/>
      <c r="Z71" s="678"/>
      <c r="AA71" s="678"/>
      <c r="AB71" s="679" t="s">
        <v>159</v>
      </c>
      <c r="AC71" s="679"/>
      <c r="AD71" s="679"/>
      <c r="AE71" s="679"/>
      <c r="AF71" s="680"/>
      <c r="AG71" s="681"/>
      <c r="AH71" s="680"/>
      <c r="AI71" s="681"/>
      <c r="AJ71" s="686"/>
      <c r="AK71" s="687"/>
      <c r="AL71" s="684" t="s">
        <v>162</v>
      </c>
      <c r="AM71" s="685"/>
      <c r="AN71" s="666" t="s">
        <v>162</v>
      </c>
      <c r="AO71" s="667"/>
      <c r="AP71" s="686"/>
      <c r="AQ71" s="687"/>
      <c r="AR71" s="688"/>
      <c r="AS71" s="689"/>
      <c r="AT71" s="690"/>
      <c r="AU71" s="691"/>
      <c r="AV71" s="666" t="s">
        <v>162</v>
      </c>
      <c r="AW71" s="667"/>
      <c r="AX71" s="692"/>
      <c r="AY71" s="693"/>
      <c r="AZ71" s="694"/>
      <c r="BA71" s="682"/>
      <c r="BB71" s="683"/>
      <c r="BC71" s="14"/>
      <c r="BD71" s="695" t="s">
        <v>887</v>
      </c>
      <c r="BE71" s="696"/>
      <c r="BF71" s="697"/>
      <c r="BG71" s="698"/>
      <c r="BH71" s="698"/>
      <c r="BI71" s="699"/>
      <c r="BJ71" s="700" t="s">
        <v>159</v>
      </c>
      <c r="BK71" s="701"/>
      <c r="BL71" s="701"/>
      <c r="BM71" s="702"/>
      <c r="BN71" s="703" t="s">
        <v>159</v>
      </c>
      <c r="BO71" s="704"/>
      <c r="BP71" s="704"/>
      <c r="BQ71" s="704"/>
      <c r="BR71" s="704"/>
      <c r="BS71" s="704"/>
      <c r="BT71" s="704"/>
      <c r="BU71" s="704"/>
      <c r="BV71" s="705"/>
    </row>
    <row r="72" spans="1:74" ht="45" customHeight="1" x14ac:dyDescent="0.25">
      <c r="A72" s="10">
        <f t="shared" si="0"/>
        <v>58</v>
      </c>
      <c r="B72" s="711" t="s">
        <v>159</v>
      </c>
      <c r="C72" s="711"/>
      <c r="D72" s="712" t="s">
        <v>212</v>
      </c>
      <c r="E72" s="712"/>
      <c r="F72" s="664" t="s">
        <v>162</v>
      </c>
      <c r="G72" s="665"/>
      <c r="H72" s="754" t="s">
        <v>162</v>
      </c>
      <c r="I72" s="714"/>
      <c r="J72" s="715"/>
      <c r="K72" s="716"/>
      <c r="L72" s="715"/>
      <c r="M72" s="716"/>
      <c r="N72" s="215"/>
      <c r="O72" s="196"/>
      <c r="P72" s="670"/>
      <c r="Q72" s="671"/>
      <c r="R72" s="719"/>
      <c r="S72" s="720"/>
      <c r="T72" s="721"/>
      <c r="U72" s="722"/>
      <c r="V72" s="723"/>
      <c r="W72" s="724"/>
      <c r="X72" s="725" t="s">
        <v>159</v>
      </c>
      <c r="Y72" s="725"/>
      <c r="Z72" s="725"/>
      <c r="AA72" s="725"/>
      <c r="AB72" s="726" t="s">
        <v>159</v>
      </c>
      <c r="AC72" s="726"/>
      <c r="AD72" s="726"/>
      <c r="AE72" s="726"/>
      <c r="AF72" s="727"/>
      <c r="AG72" s="728"/>
      <c r="AH72" s="727"/>
      <c r="AI72" s="728"/>
      <c r="AJ72" s="682"/>
      <c r="AK72" s="683"/>
      <c r="AL72" s="664" t="s">
        <v>162</v>
      </c>
      <c r="AM72" s="665"/>
      <c r="AN72" s="713" t="s">
        <v>162</v>
      </c>
      <c r="AO72" s="714"/>
      <c r="AP72" s="729"/>
      <c r="AQ72" s="730"/>
      <c r="AR72" s="731"/>
      <c r="AS72" s="732"/>
      <c r="AT72" s="690"/>
      <c r="AU72" s="691"/>
      <c r="AV72" s="713" t="s">
        <v>162</v>
      </c>
      <c r="AW72" s="714"/>
      <c r="AX72" s="692"/>
      <c r="AY72" s="693"/>
      <c r="AZ72" s="694"/>
      <c r="BA72" s="735"/>
      <c r="BB72" s="736"/>
      <c r="BC72" s="219"/>
      <c r="BD72" s="737" t="s">
        <v>162</v>
      </c>
      <c r="BE72" s="738"/>
      <c r="BF72" s="739"/>
      <c r="BG72" s="740"/>
      <c r="BH72" s="740"/>
      <c r="BI72" s="741"/>
      <c r="BJ72" s="742" t="s">
        <v>159</v>
      </c>
      <c r="BK72" s="743"/>
      <c r="BL72" s="743"/>
      <c r="BM72" s="744"/>
      <c r="BN72" s="703" t="s">
        <v>159</v>
      </c>
      <c r="BO72" s="704"/>
      <c r="BP72" s="704"/>
      <c r="BQ72" s="704"/>
      <c r="BR72" s="704"/>
      <c r="BS72" s="704"/>
      <c r="BT72" s="704"/>
      <c r="BU72" s="704"/>
      <c r="BV72" s="705"/>
    </row>
    <row r="73" spans="1:74" ht="45" customHeight="1" x14ac:dyDescent="0.25">
      <c r="A73" s="10">
        <f t="shared" si="0"/>
        <v>59</v>
      </c>
      <c r="B73" s="662" t="s">
        <v>159</v>
      </c>
      <c r="C73" s="662"/>
      <c r="D73" s="663" t="s">
        <v>212</v>
      </c>
      <c r="E73" s="663"/>
      <c r="F73" s="664" t="s">
        <v>162</v>
      </c>
      <c r="G73" s="665"/>
      <c r="H73" s="755" t="s">
        <v>162</v>
      </c>
      <c r="I73" s="667"/>
      <c r="J73" s="706"/>
      <c r="K73" s="707"/>
      <c r="L73" s="706"/>
      <c r="M73" s="707"/>
      <c r="N73" s="194"/>
      <c r="O73" s="216"/>
      <c r="P73" s="717"/>
      <c r="Q73" s="718"/>
      <c r="R73" s="672"/>
      <c r="S73" s="673"/>
      <c r="T73" s="674"/>
      <c r="U73" s="675"/>
      <c r="V73" s="676"/>
      <c r="W73" s="677"/>
      <c r="X73" s="678" t="s">
        <v>159</v>
      </c>
      <c r="Y73" s="678"/>
      <c r="Z73" s="678"/>
      <c r="AA73" s="678"/>
      <c r="AB73" s="679" t="s">
        <v>159</v>
      </c>
      <c r="AC73" s="679"/>
      <c r="AD73" s="679"/>
      <c r="AE73" s="679"/>
      <c r="AF73" s="680"/>
      <c r="AG73" s="681"/>
      <c r="AH73" s="680"/>
      <c r="AI73" s="681"/>
      <c r="AJ73" s="686"/>
      <c r="AK73" s="687"/>
      <c r="AL73" s="684" t="s">
        <v>162</v>
      </c>
      <c r="AM73" s="685"/>
      <c r="AN73" s="666" t="s">
        <v>162</v>
      </c>
      <c r="AO73" s="667"/>
      <c r="AP73" s="686"/>
      <c r="AQ73" s="687"/>
      <c r="AR73" s="688"/>
      <c r="AS73" s="689"/>
      <c r="AT73" s="690"/>
      <c r="AU73" s="691"/>
      <c r="AV73" s="666" t="s">
        <v>162</v>
      </c>
      <c r="AW73" s="667"/>
      <c r="AX73" s="692"/>
      <c r="AY73" s="693"/>
      <c r="AZ73" s="694"/>
      <c r="BA73" s="682"/>
      <c r="BB73" s="683"/>
      <c r="BC73" s="14"/>
      <c r="BD73" s="695" t="s">
        <v>887</v>
      </c>
      <c r="BE73" s="696"/>
      <c r="BF73" s="708"/>
      <c r="BG73" s="709"/>
      <c r="BH73" s="709"/>
      <c r="BI73" s="710"/>
      <c r="BJ73" s="700" t="s">
        <v>159</v>
      </c>
      <c r="BK73" s="701"/>
      <c r="BL73" s="701"/>
      <c r="BM73" s="702"/>
      <c r="BN73" s="703" t="s">
        <v>159</v>
      </c>
      <c r="BO73" s="704"/>
      <c r="BP73" s="704"/>
      <c r="BQ73" s="704"/>
      <c r="BR73" s="704"/>
      <c r="BS73" s="704"/>
      <c r="BT73" s="704"/>
      <c r="BU73" s="704"/>
      <c r="BV73" s="705"/>
    </row>
    <row r="74" spans="1:74" ht="45" customHeight="1" x14ac:dyDescent="0.25">
      <c r="A74" s="10">
        <f t="shared" si="0"/>
        <v>60</v>
      </c>
      <c r="B74" s="711" t="s">
        <v>159</v>
      </c>
      <c r="C74" s="711"/>
      <c r="D74" s="712" t="s">
        <v>212</v>
      </c>
      <c r="E74" s="712"/>
      <c r="F74" s="664" t="s">
        <v>162</v>
      </c>
      <c r="G74" s="665"/>
      <c r="H74" s="754" t="s">
        <v>162</v>
      </c>
      <c r="I74" s="714"/>
      <c r="J74" s="715"/>
      <c r="K74" s="716"/>
      <c r="L74" s="715"/>
      <c r="M74" s="716"/>
      <c r="N74" s="215"/>
      <c r="O74" s="196"/>
      <c r="P74" s="670"/>
      <c r="Q74" s="671"/>
      <c r="R74" s="719"/>
      <c r="S74" s="720"/>
      <c r="T74" s="721"/>
      <c r="U74" s="722"/>
      <c r="V74" s="723"/>
      <c r="W74" s="724"/>
      <c r="X74" s="725" t="s">
        <v>159</v>
      </c>
      <c r="Y74" s="725"/>
      <c r="Z74" s="725"/>
      <c r="AA74" s="725"/>
      <c r="AB74" s="726" t="s">
        <v>159</v>
      </c>
      <c r="AC74" s="726"/>
      <c r="AD74" s="726"/>
      <c r="AE74" s="726"/>
      <c r="AF74" s="727"/>
      <c r="AG74" s="728"/>
      <c r="AH74" s="727"/>
      <c r="AI74" s="728"/>
      <c r="AJ74" s="682"/>
      <c r="AK74" s="683"/>
      <c r="AL74" s="664" t="s">
        <v>162</v>
      </c>
      <c r="AM74" s="665"/>
      <c r="AN74" s="713" t="s">
        <v>162</v>
      </c>
      <c r="AO74" s="714"/>
      <c r="AP74" s="729"/>
      <c r="AQ74" s="730"/>
      <c r="AR74" s="731"/>
      <c r="AS74" s="732"/>
      <c r="AT74" s="690"/>
      <c r="AU74" s="691"/>
      <c r="AV74" s="713" t="s">
        <v>162</v>
      </c>
      <c r="AW74" s="714"/>
      <c r="AX74" s="692"/>
      <c r="AY74" s="693"/>
      <c r="AZ74" s="694"/>
      <c r="BA74" s="735"/>
      <c r="BB74" s="736"/>
      <c r="BC74" s="219"/>
      <c r="BD74" s="737" t="s">
        <v>162</v>
      </c>
      <c r="BE74" s="738"/>
      <c r="BF74" s="739"/>
      <c r="BG74" s="740"/>
      <c r="BH74" s="740"/>
      <c r="BI74" s="741"/>
      <c r="BJ74" s="742" t="s">
        <v>159</v>
      </c>
      <c r="BK74" s="743"/>
      <c r="BL74" s="743"/>
      <c r="BM74" s="744"/>
      <c r="BN74" s="703" t="s">
        <v>159</v>
      </c>
      <c r="BO74" s="704"/>
      <c r="BP74" s="704"/>
      <c r="BQ74" s="704"/>
      <c r="BR74" s="704"/>
      <c r="BS74" s="704"/>
      <c r="BT74" s="704"/>
      <c r="BU74" s="704"/>
      <c r="BV74" s="705"/>
    </row>
    <row r="75" spans="1:74" ht="45" customHeight="1" x14ac:dyDescent="0.25">
      <c r="A75" s="10">
        <f t="shared" si="0"/>
        <v>61</v>
      </c>
      <c r="B75" s="662" t="s">
        <v>159</v>
      </c>
      <c r="C75" s="662"/>
      <c r="D75" s="663" t="s">
        <v>212</v>
      </c>
      <c r="E75" s="663"/>
      <c r="F75" s="664" t="s">
        <v>162</v>
      </c>
      <c r="G75" s="665"/>
      <c r="H75" s="755" t="s">
        <v>162</v>
      </c>
      <c r="I75" s="667"/>
      <c r="J75" s="706"/>
      <c r="K75" s="707"/>
      <c r="L75" s="706"/>
      <c r="M75" s="707"/>
      <c r="N75" s="194"/>
      <c r="O75" s="216"/>
      <c r="P75" s="717"/>
      <c r="Q75" s="718"/>
      <c r="R75" s="672"/>
      <c r="S75" s="673"/>
      <c r="T75" s="674"/>
      <c r="U75" s="675"/>
      <c r="V75" s="676"/>
      <c r="W75" s="677"/>
      <c r="X75" s="678" t="s">
        <v>159</v>
      </c>
      <c r="Y75" s="678"/>
      <c r="Z75" s="678"/>
      <c r="AA75" s="678"/>
      <c r="AB75" s="679" t="s">
        <v>159</v>
      </c>
      <c r="AC75" s="679"/>
      <c r="AD75" s="679"/>
      <c r="AE75" s="679"/>
      <c r="AF75" s="680"/>
      <c r="AG75" s="681"/>
      <c r="AH75" s="680"/>
      <c r="AI75" s="681"/>
      <c r="AJ75" s="686"/>
      <c r="AK75" s="687"/>
      <c r="AL75" s="684" t="s">
        <v>162</v>
      </c>
      <c r="AM75" s="685"/>
      <c r="AN75" s="666" t="s">
        <v>162</v>
      </c>
      <c r="AO75" s="667"/>
      <c r="AP75" s="686"/>
      <c r="AQ75" s="687"/>
      <c r="AR75" s="688"/>
      <c r="AS75" s="689"/>
      <c r="AT75" s="690"/>
      <c r="AU75" s="691"/>
      <c r="AV75" s="666" t="s">
        <v>162</v>
      </c>
      <c r="AW75" s="667"/>
      <c r="AX75" s="692"/>
      <c r="AY75" s="693"/>
      <c r="AZ75" s="694"/>
      <c r="BA75" s="682"/>
      <c r="BB75" s="683"/>
      <c r="BC75" s="14"/>
      <c r="BD75" s="695" t="s">
        <v>887</v>
      </c>
      <c r="BE75" s="696"/>
      <c r="BF75" s="708"/>
      <c r="BG75" s="709"/>
      <c r="BH75" s="709"/>
      <c r="BI75" s="710"/>
      <c r="BJ75" s="700" t="s">
        <v>159</v>
      </c>
      <c r="BK75" s="701"/>
      <c r="BL75" s="701"/>
      <c r="BM75" s="702"/>
      <c r="BN75" s="703" t="s">
        <v>159</v>
      </c>
      <c r="BO75" s="704"/>
      <c r="BP75" s="704"/>
      <c r="BQ75" s="704"/>
      <c r="BR75" s="704"/>
      <c r="BS75" s="704"/>
      <c r="BT75" s="704"/>
      <c r="BU75" s="704"/>
      <c r="BV75" s="705"/>
    </row>
    <row r="76" spans="1:74" ht="45" customHeight="1" x14ac:dyDescent="0.25">
      <c r="A76" s="10">
        <f t="shared" si="0"/>
        <v>62</v>
      </c>
      <c r="B76" s="711" t="s">
        <v>159</v>
      </c>
      <c r="C76" s="711"/>
      <c r="D76" s="712" t="s">
        <v>212</v>
      </c>
      <c r="E76" s="712"/>
      <c r="F76" s="664" t="s">
        <v>162</v>
      </c>
      <c r="G76" s="665"/>
      <c r="H76" s="754" t="s">
        <v>162</v>
      </c>
      <c r="I76" s="714"/>
      <c r="J76" s="715"/>
      <c r="K76" s="716"/>
      <c r="L76" s="715"/>
      <c r="M76" s="716"/>
      <c r="N76" s="215"/>
      <c r="O76" s="196"/>
      <c r="P76" s="670"/>
      <c r="Q76" s="671"/>
      <c r="R76" s="719"/>
      <c r="S76" s="720"/>
      <c r="T76" s="721"/>
      <c r="U76" s="722"/>
      <c r="V76" s="723"/>
      <c r="W76" s="724"/>
      <c r="X76" s="725" t="s">
        <v>159</v>
      </c>
      <c r="Y76" s="725"/>
      <c r="Z76" s="725"/>
      <c r="AA76" s="725"/>
      <c r="AB76" s="726" t="s">
        <v>159</v>
      </c>
      <c r="AC76" s="726"/>
      <c r="AD76" s="726"/>
      <c r="AE76" s="726"/>
      <c r="AF76" s="727"/>
      <c r="AG76" s="728"/>
      <c r="AH76" s="727"/>
      <c r="AI76" s="728"/>
      <c r="AJ76" s="682"/>
      <c r="AK76" s="683"/>
      <c r="AL76" s="664" t="s">
        <v>162</v>
      </c>
      <c r="AM76" s="665"/>
      <c r="AN76" s="713" t="s">
        <v>162</v>
      </c>
      <c r="AO76" s="714"/>
      <c r="AP76" s="729"/>
      <c r="AQ76" s="730"/>
      <c r="AR76" s="731"/>
      <c r="AS76" s="732"/>
      <c r="AT76" s="690"/>
      <c r="AU76" s="691"/>
      <c r="AV76" s="713" t="s">
        <v>162</v>
      </c>
      <c r="AW76" s="714"/>
      <c r="AX76" s="692"/>
      <c r="AY76" s="693"/>
      <c r="AZ76" s="694"/>
      <c r="BA76" s="735"/>
      <c r="BB76" s="736"/>
      <c r="BC76" s="219"/>
      <c r="BD76" s="737" t="s">
        <v>162</v>
      </c>
      <c r="BE76" s="738"/>
      <c r="BF76" s="739"/>
      <c r="BG76" s="740"/>
      <c r="BH76" s="740"/>
      <c r="BI76" s="741"/>
      <c r="BJ76" s="742" t="s">
        <v>159</v>
      </c>
      <c r="BK76" s="743"/>
      <c r="BL76" s="743"/>
      <c r="BM76" s="744"/>
      <c r="BN76" s="703" t="s">
        <v>159</v>
      </c>
      <c r="BO76" s="704"/>
      <c r="BP76" s="704"/>
      <c r="BQ76" s="704"/>
      <c r="BR76" s="704"/>
      <c r="BS76" s="704"/>
      <c r="BT76" s="704"/>
      <c r="BU76" s="704"/>
      <c r="BV76" s="705"/>
    </row>
    <row r="77" spans="1:74" ht="45" customHeight="1" x14ac:dyDescent="0.25">
      <c r="A77" s="10">
        <f t="shared" si="0"/>
        <v>63</v>
      </c>
      <c r="B77" s="662" t="s">
        <v>159</v>
      </c>
      <c r="C77" s="662"/>
      <c r="D77" s="663" t="s">
        <v>212</v>
      </c>
      <c r="E77" s="663"/>
      <c r="F77" s="664" t="s">
        <v>162</v>
      </c>
      <c r="G77" s="665"/>
      <c r="H77" s="755" t="s">
        <v>162</v>
      </c>
      <c r="I77" s="667"/>
      <c r="J77" s="706"/>
      <c r="K77" s="707"/>
      <c r="L77" s="706"/>
      <c r="M77" s="707"/>
      <c r="N77" s="194"/>
      <c r="O77" s="216"/>
      <c r="P77" s="717"/>
      <c r="Q77" s="718"/>
      <c r="R77" s="672"/>
      <c r="S77" s="673"/>
      <c r="T77" s="674"/>
      <c r="U77" s="675"/>
      <c r="V77" s="676"/>
      <c r="W77" s="677"/>
      <c r="X77" s="678" t="s">
        <v>159</v>
      </c>
      <c r="Y77" s="678"/>
      <c r="Z77" s="678"/>
      <c r="AA77" s="678"/>
      <c r="AB77" s="679" t="s">
        <v>159</v>
      </c>
      <c r="AC77" s="679"/>
      <c r="AD77" s="679"/>
      <c r="AE77" s="679"/>
      <c r="AF77" s="680"/>
      <c r="AG77" s="681"/>
      <c r="AH77" s="680"/>
      <c r="AI77" s="681"/>
      <c r="AJ77" s="686"/>
      <c r="AK77" s="687"/>
      <c r="AL77" s="684" t="s">
        <v>162</v>
      </c>
      <c r="AM77" s="685"/>
      <c r="AN77" s="666" t="s">
        <v>162</v>
      </c>
      <c r="AO77" s="667"/>
      <c r="AP77" s="686"/>
      <c r="AQ77" s="687"/>
      <c r="AR77" s="688"/>
      <c r="AS77" s="689"/>
      <c r="AT77" s="690"/>
      <c r="AU77" s="691"/>
      <c r="AV77" s="666" t="s">
        <v>162</v>
      </c>
      <c r="AW77" s="667"/>
      <c r="AX77" s="692"/>
      <c r="AY77" s="693"/>
      <c r="AZ77" s="694"/>
      <c r="BA77" s="682"/>
      <c r="BB77" s="683"/>
      <c r="BC77" s="14"/>
      <c r="BD77" s="695" t="s">
        <v>887</v>
      </c>
      <c r="BE77" s="696"/>
      <c r="BF77" s="697"/>
      <c r="BG77" s="698"/>
      <c r="BH77" s="698"/>
      <c r="BI77" s="699"/>
      <c r="BJ77" s="700" t="s">
        <v>159</v>
      </c>
      <c r="BK77" s="701"/>
      <c r="BL77" s="701"/>
      <c r="BM77" s="702"/>
      <c r="BN77" s="703" t="s">
        <v>159</v>
      </c>
      <c r="BO77" s="704"/>
      <c r="BP77" s="704"/>
      <c r="BQ77" s="704"/>
      <c r="BR77" s="704"/>
      <c r="BS77" s="704"/>
      <c r="BT77" s="704"/>
      <c r="BU77" s="704"/>
      <c r="BV77" s="705"/>
    </row>
    <row r="78" spans="1:74" ht="45" customHeight="1" x14ac:dyDescent="0.25">
      <c r="A78" s="10">
        <f t="shared" si="0"/>
        <v>64</v>
      </c>
      <c r="B78" s="711" t="s">
        <v>159</v>
      </c>
      <c r="C78" s="711"/>
      <c r="D78" s="712" t="s">
        <v>212</v>
      </c>
      <c r="E78" s="712"/>
      <c r="F78" s="664" t="s">
        <v>162</v>
      </c>
      <c r="G78" s="665"/>
      <c r="H78" s="754" t="s">
        <v>162</v>
      </c>
      <c r="I78" s="714"/>
      <c r="J78" s="715"/>
      <c r="K78" s="716"/>
      <c r="L78" s="715"/>
      <c r="M78" s="716"/>
      <c r="N78" s="215"/>
      <c r="O78" s="196"/>
      <c r="P78" s="670"/>
      <c r="Q78" s="671"/>
      <c r="R78" s="719"/>
      <c r="S78" s="720"/>
      <c r="T78" s="721"/>
      <c r="U78" s="722"/>
      <c r="V78" s="723"/>
      <c r="W78" s="724"/>
      <c r="X78" s="725" t="s">
        <v>159</v>
      </c>
      <c r="Y78" s="725"/>
      <c r="Z78" s="725"/>
      <c r="AA78" s="725"/>
      <c r="AB78" s="726" t="s">
        <v>159</v>
      </c>
      <c r="AC78" s="726"/>
      <c r="AD78" s="726"/>
      <c r="AE78" s="726"/>
      <c r="AF78" s="727"/>
      <c r="AG78" s="728"/>
      <c r="AH78" s="727"/>
      <c r="AI78" s="728"/>
      <c r="AJ78" s="682"/>
      <c r="AK78" s="683"/>
      <c r="AL78" s="664" t="s">
        <v>162</v>
      </c>
      <c r="AM78" s="665"/>
      <c r="AN78" s="713" t="s">
        <v>162</v>
      </c>
      <c r="AO78" s="714"/>
      <c r="AP78" s="729"/>
      <c r="AQ78" s="730"/>
      <c r="AR78" s="731"/>
      <c r="AS78" s="732"/>
      <c r="AT78" s="690"/>
      <c r="AU78" s="691"/>
      <c r="AV78" s="713" t="s">
        <v>162</v>
      </c>
      <c r="AW78" s="714"/>
      <c r="AX78" s="692"/>
      <c r="AY78" s="693"/>
      <c r="AZ78" s="694"/>
      <c r="BA78" s="735"/>
      <c r="BB78" s="736"/>
      <c r="BC78" s="219"/>
      <c r="BD78" s="737" t="s">
        <v>162</v>
      </c>
      <c r="BE78" s="738"/>
      <c r="BF78" s="739"/>
      <c r="BG78" s="740"/>
      <c r="BH78" s="740"/>
      <c r="BI78" s="741"/>
      <c r="BJ78" s="742" t="s">
        <v>159</v>
      </c>
      <c r="BK78" s="743"/>
      <c r="BL78" s="743"/>
      <c r="BM78" s="744"/>
      <c r="BN78" s="703" t="s">
        <v>159</v>
      </c>
      <c r="BO78" s="704"/>
      <c r="BP78" s="704"/>
      <c r="BQ78" s="704"/>
      <c r="BR78" s="704"/>
      <c r="BS78" s="704"/>
      <c r="BT78" s="704"/>
      <c r="BU78" s="704"/>
      <c r="BV78" s="705"/>
    </row>
    <row r="79" spans="1:74" ht="45" customHeight="1" x14ac:dyDescent="0.25">
      <c r="A79" s="10">
        <f t="shared" ref="A79:A142" si="1">ROW(A65)</f>
        <v>65</v>
      </c>
      <c r="B79" s="662" t="s">
        <v>159</v>
      </c>
      <c r="C79" s="662"/>
      <c r="D79" s="663" t="s">
        <v>212</v>
      </c>
      <c r="E79" s="663"/>
      <c r="F79" s="664" t="s">
        <v>162</v>
      </c>
      <c r="G79" s="665"/>
      <c r="H79" s="755" t="s">
        <v>162</v>
      </c>
      <c r="I79" s="667"/>
      <c r="J79" s="706"/>
      <c r="K79" s="707"/>
      <c r="L79" s="706"/>
      <c r="M79" s="707"/>
      <c r="N79" s="194"/>
      <c r="O79" s="216"/>
      <c r="P79" s="717"/>
      <c r="Q79" s="718"/>
      <c r="R79" s="672"/>
      <c r="S79" s="673"/>
      <c r="T79" s="674"/>
      <c r="U79" s="675"/>
      <c r="V79" s="676"/>
      <c r="W79" s="677"/>
      <c r="X79" s="678" t="s">
        <v>159</v>
      </c>
      <c r="Y79" s="678"/>
      <c r="Z79" s="678"/>
      <c r="AA79" s="678"/>
      <c r="AB79" s="679" t="s">
        <v>159</v>
      </c>
      <c r="AC79" s="679"/>
      <c r="AD79" s="679"/>
      <c r="AE79" s="679"/>
      <c r="AF79" s="680"/>
      <c r="AG79" s="681"/>
      <c r="AH79" s="680"/>
      <c r="AI79" s="681"/>
      <c r="AJ79" s="686"/>
      <c r="AK79" s="687"/>
      <c r="AL79" s="684" t="s">
        <v>162</v>
      </c>
      <c r="AM79" s="685"/>
      <c r="AN79" s="666" t="s">
        <v>162</v>
      </c>
      <c r="AO79" s="667"/>
      <c r="AP79" s="686"/>
      <c r="AQ79" s="687"/>
      <c r="AR79" s="688"/>
      <c r="AS79" s="689"/>
      <c r="AT79" s="690"/>
      <c r="AU79" s="691"/>
      <c r="AV79" s="666" t="s">
        <v>162</v>
      </c>
      <c r="AW79" s="667"/>
      <c r="AX79" s="692"/>
      <c r="AY79" s="693"/>
      <c r="AZ79" s="694"/>
      <c r="BA79" s="682"/>
      <c r="BB79" s="683"/>
      <c r="BC79" s="14"/>
      <c r="BD79" s="695" t="s">
        <v>887</v>
      </c>
      <c r="BE79" s="696"/>
      <c r="BF79" s="708"/>
      <c r="BG79" s="709"/>
      <c r="BH79" s="709"/>
      <c r="BI79" s="710"/>
      <c r="BJ79" s="700" t="s">
        <v>159</v>
      </c>
      <c r="BK79" s="701"/>
      <c r="BL79" s="701"/>
      <c r="BM79" s="702"/>
      <c r="BN79" s="703" t="s">
        <v>159</v>
      </c>
      <c r="BO79" s="704"/>
      <c r="BP79" s="704"/>
      <c r="BQ79" s="704"/>
      <c r="BR79" s="704"/>
      <c r="BS79" s="704"/>
      <c r="BT79" s="704"/>
      <c r="BU79" s="704"/>
      <c r="BV79" s="705"/>
    </row>
    <row r="80" spans="1:74" ht="45" customHeight="1" x14ac:dyDescent="0.25">
      <c r="A80" s="10">
        <f t="shared" si="1"/>
        <v>66</v>
      </c>
      <c r="B80" s="711" t="s">
        <v>159</v>
      </c>
      <c r="C80" s="711"/>
      <c r="D80" s="712" t="s">
        <v>212</v>
      </c>
      <c r="E80" s="712"/>
      <c r="F80" s="664" t="s">
        <v>162</v>
      </c>
      <c r="G80" s="665"/>
      <c r="H80" s="754" t="s">
        <v>162</v>
      </c>
      <c r="I80" s="714"/>
      <c r="J80" s="715"/>
      <c r="K80" s="716"/>
      <c r="L80" s="715"/>
      <c r="M80" s="716"/>
      <c r="N80" s="215"/>
      <c r="O80" s="196"/>
      <c r="P80" s="670"/>
      <c r="Q80" s="671"/>
      <c r="R80" s="719"/>
      <c r="S80" s="720"/>
      <c r="T80" s="721"/>
      <c r="U80" s="722"/>
      <c r="V80" s="723"/>
      <c r="W80" s="724"/>
      <c r="X80" s="725" t="s">
        <v>159</v>
      </c>
      <c r="Y80" s="725"/>
      <c r="Z80" s="725"/>
      <c r="AA80" s="725"/>
      <c r="AB80" s="726" t="s">
        <v>159</v>
      </c>
      <c r="AC80" s="726"/>
      <c r="AD80" s="726"/>
      <c r="AE80" s="726"/>
      <c r="AF80" s="727"/>
      <c r="AG80" s="728"/>
      <c r="AH80" s="727"/>
      <c r="AI80" s="728"/>
      <c r="AJ80" s="682"/>
      <c r="AK80" s="683"/>
      <c r="AL80" s="664" t="s">
        <v>162</v>
      </c>
      <c r="AM80" s="665"/>
      <c r="AN80" s="713" t="s">
        <v>162</v>
      </c>
      <c r="AO80" s="714"/>
      <c r="AP80" s="729"/>
      <c r="AQ80" s="730"/>
      <c r="AR80" s="731"/>
      <c r="AS80" s="732"/>
      <c r="AT80" s="690"/>
      <c r="AU80" s="691"/>
      <c r="AV80" s="713" t="s">
        <v>162</v>
      </c>
      <c r="AW80" s="714"/>
      <c r="AX80" s="692"/>
      <c r="AY80" s="693"/>
      <c r="AZ80" s="694"/>
      <c r="BA80" s="735"/>
      <c r="BB80" s="736"/>
      <c r="BC80" s="219"/>
      <c r="BD80" s="737" t="s">
        <v>162</v>
      </c>
      <c r="BE80" s="738"/>
      <c r="BF80" s="739"/>
      <c r="BG80" s="740"/>
      <c r="BH80" s="740"/>
      <c r="BI80" s="741"/>
      <c r="BJ80" s="742" t="s">
        <v>159</v>
      </c>
      <c r="BK80" s="743"/>
      <c r="BL80" s="743"/>
      <c r="BM80" s="744"/>
      <c r="BN80" s="703" t="s">
        <v>159</v>
      </c>
      <c r="BO80" s="704"/>
      <c r="BP80" s="704"/>
      <c r="BQ80" s="704"/>
      <c r="BR80" s="704"/>
      <c r="BS80" s="704"/>
      <c r="BT80" s="704"/>
      <c r="BU80" s="704"/>
      <c r="BV80" s="705"/>
    </row>
    <row r="81" spans="1:74" ht="45" customHeight="1" x14ac:dyDescent="0.25">
      <c r="A81" s="10">
        <f t="shared" si="1"/>
        <v>67</v>
      </c>
      <c r="B81" s="662" t="s">
        <v>159</v>
      </c>
      <c r="C81" s="662"/>
      <c r="D81" s="663" t="s">
        <v>212</v>
      </c>
      <c r="E81" s="663"/>
      <c r="F81" s="664" t="s">
        <v>162</v>
      </c>
      <c r="G81" s="665"/>
      <c r="H81" s="755" t="s">
        <v>162</v>
      </c>
      <c r="I81" s="667"/>
      <c r="J81" s="706"/>
      <c r="K81" s="707"/>
      <c r="L81" s="706"/>
      <c r="M81" s="707"/>
      <c r="N81" s="194"/>
      <c r="O81" s="216"/>
      <c r="P81" s="717"/>
      <c r="Q81" s="718"/>
      <c r="R81" s="672"/>
      <c r="S81" s="673"/>
      <c r="T81" s="674"/>
      <c r="U81" s="675"/>
      <c r="V81" s="676"/>
      <c r="W81" s="677"/>
      <c r="X81" s="678" t="s">
        <v>159</v>
      </c>
      <c r="Y81" s="678"/>
      <c r="Z81" s="678"/>
      <c r="AA81" s="678"/>
      <c r="AB81" s="679" t="s">
        <v>159</v>
      </c>
      <c r="AC81" s="679"/>
      <c r="AD81" s="679"/>
      <c r="AE81" s="679"/>
      <c r="AF81" s="680"/>
      <c r="AG81" s="681"/>
      <c r="AH81" s="680"/>
      <c r="AI81" s="681"/>
      <c r="AJ81" s="686"/>
      <c r="AK81" s="687"/>
      <c r="AL81" s="684" t="s">
        <v>162</v>
      </c>
      <c r="AM81" s="685"/>
      <c r="AN81" s="666" t="s">
        <v>162</v>
      </c>
      <c r="AO81" s="667"/>
      <c r="AP81" s="686"/>
      <c r="AQ81" s="687"/>
      <c r="AR81" s="688"/>
      <c r="AS81" s="689"/>
      <c r="AT81" s="690"/>
      <c r="AU81" s="691"/>
      <c r="AV81" s="666" t="s">
        <v>162</v>
      </c>
      <c r="AW81" s="667"/>
      <c r="AX81" s="692"/>
      <c r="AY81" s="693"/>
      <c r="AZ81" s="694"/>
      <c r="BA81" s="682"/>
      <c r="BB81" s="683"/>
      <c r="BC81" s="14"/>
      <c r="BD81" s="695" t="s">
        <v>887</v>
      </c>
      <c r="BE81" s="696"/>
      <c r="BF81" s="697"/>
      <c r="BG81" s="698"/>
      <c r="BH81" s="698"/>
      <c r="BI81" s="699"/>
      <c r="BJ81" s="700" t="s">
        <v>159</v>
      </c>
      <c r="BK81" s="701"/>
      <c r="BL81" s="701"/>
      <c r="BM81" s="702"/>
      <c r="BN81" s="703" t="s">
        <v>159</v>
      </c>
      <c r="BO81" s="704"/>
      <c r="BP81" s="704"/>
      <c r="BQ81" s="704"/>
      <c r="BR81" s="704"/>
      <c r="BS81" s="704"/>
      <c r="BT81" s="704"/>
      <c r="BU81" s="704"/>
      <c r="BV81" s="705"/>
    </row>
    <row r="82" spans="1:74" ht="45" customHeight="1" x14ac:dyDescent="0.25">
      <c r="A82" s="10">
        <f t="shared" si="1"/>
        <v>68</v>
      </c>
      <c r="B82" s="711" t="s">
        <v>159</v>
      </c>
      <c r="C82" s="711"/>
      <c r="D82" s="712" t="s">
        <v>212</v>
      </c>
      <c r="E82" s="712"/>
      <c r="F82" s="664" t="s">
        <v>162</v>
      </c>
      <c r="G82" s="665"/>
      <c r="H82" s="754" t="s">
        <v>162</v>
      </c>
      <c r="I82" s="714"/>
      <c r="J82" s="715"/>
      <c r="K82" s="716"/>
      <c r="L82" s="715"/>
      <c r="M82" s="716"/>
      <c r="N82" s="215"/>
      <c r="O82" s="196"/>
      <c r="P82" s="670"/>
      <c r="Q82" s="671"/>
      <c r="R82" s="719"/>
      <c r="S82" s="720"/>
      <c r="T82" s="721"/>
      <c r="U82" s="722"/>
      <c r="V82" s="723"/>
      <c r="W82" s="724"/>
      <c r="X82" s="725" t="s">
        <v>159</v>
      </c>
      <c r="Y82" s="725"/>
      <c r="Z82" s="725"/>
      <c r="AA82" s="725"/>
      <c r="AB82" s="726" t="s">
        <v>159</v>
      </c>
      <c r="AC82" s="726"/>
      <c r="AD82" s="726"/>
      <c r="AE82" s="726"/>
      <c r="AF82" s="727"/>
      <c r="AG82" s="728"/>
      <c r="AH82" s="727"/>
      <c r="AI82" s="728"/>
      <c r="AJ82" s="682"/>
      <c r="AK82" s="683"/>
      <c r="AL82" s="664" t="s">
        <v>162</v>
      </c>
      <c r="AM82" s="665"/>
      <c r="AN82" s="713" t="s">
        <v>162</v>
      </c>
      <c r="AO82" s="714"/>
      <c r="AP82" s="729"/>
      <c r="AQ82" s="730"/>
      <c r="AR82" s="731"/>
      <c r="AS82" s="732"/>
      <c r="AT82" s="690"/>
      <c r="AU82" s="691"/>
      <c r="AV82" s="713" t="s">
        <v>162</v>
      </c>
      <c r="AW82" s="714"/>
      <c r="AX82" s="692"/>
      <c r="AY82" s="693"/>
      <c r="AZ82" s="694"/>
      <c r="BA82" s="735"/>
      <c r="BB82" s="736"/>
      <c r="BC82" s="219"/>
      <c r="BD82" s="737" t="s">
        <v>162</v>
      </c>
      <c r="BE82" s="738"/>
      <c r="BF82" s="739"/>
      <c r="BG82" s="740"/>
      <c r="BH82" s="740"/>
      <c r="BI82" s="741"/>
      <c r="BJ82" s="742" t="s">
        <v>159</v>
      </c>
      <c r="BK82" s="743"/>
      <c r="BL82" s="743"/>
      <c r="BM82" s="744"/>
      <c r="BN82" s="703" t="s">
        <v>159</v>
      </c>
      <c r="BO82" s="704"/>
      <c r="BP82" s="704"/>
      <c r="BQ82" s="704"/>
      <c r="BR82" s="704"/>
      <c r="BS82" s="704"/>
      <c r="BT82" s="704"/>
      <c r="BU82" s="704"/>
      <c r="BV82" s="705"/>
    </row>
    <row r="83" spans="1:74" ht="45" customHeight="1" x14ac:dyDescent="0.25">
      <c r="A83" s="10">
        <f t="shared" si="1"/>
        <v>69</v>
      </c>
      <c r="B83" s="662" t="s">
        <v>159</v>
      </c>
      <c r="C83" s="662"/>
      <c r="D83" s="663" t="s">
        <v>212</v>
      </c>
      <c r="E83" s="663"/>
      <c r="F83" s="664" t="s">
        <v>162</v>
      </c>
      <c r="G83" s="665"/>
      <c r="H83" s="755" t="s">
        <v>162</v>
      </c>
      <c r="I83" s="667"/>
      <c r="J83" s="706"/>
      <c r="K83" s="707"/>
      <c r="L83" s="706"/>
      <c r="M83" s="707"/>
      <c r="N83" s="194"/>
      <c r="O83" s="216"/>
      <c r="P83" s="717"/>
      <c r="Q83" s="718"/>
      <c r="R83" s="672"/>
      <c r="S83" s="673"/>
      <c r="T83" s="674"/>
      <c r="U83" s="675"/>
      <c r="V83" s="676"/>
      <c r="W83" s="677"/>
      <c r="X83" s="678" t="s">
        <v>159</v>
      </c>
      <c r="Y83" s="678"/>
      <c r="Z83" s="678"/>
      <c r="AA83" s="678"/>
      <c r="AB83" s="679" t="s">
        <v>159</v>
      </c>
      <c r="AC83" s="679"/>
      <c r="AD83" s="679"/>
      <c r="AE83" s="679"/>
      <c r="AF83" s="680"/>
      <c r="AG83" s="681"/>
      <c r="AH83" s="680"/>
      <c r="AI83" s="681"/>
      <c r="AJ83" s="686"/>
      <c r="AK83" s="687"/>
      <c r="AL83" s="684" t="s">
        <v>162</v>
      </c>
      <c r="AM83" s="685"/>
      <c r="AN83" s="666" t="s">
        <v>162</v>
      </c>
      <c r="AO83" s="667"/>
      <c r="AP83" s="686"/>
      <c r="AQ83" s="687"/>
      <c r="AR83" s="688"/>
      <c r="AS83" s="689"/>
      <c r="AT83" s="690"/>
      <c r="AU83" s="691"/>
      <c r="AV83" s="666" t="s">
        <v>162</v>
      </c>
      <c r="AW83" s="667"/>
      <c r="AX83" s="692"/>
      <c r="AY83" s="693"/>
      <c r="AZ83" s="694"/>
      <c r="BA83" s="682"/>
      <c r="BB83" s="683"/>
      <c r="BC83" s="14"/>
      <c r="BD83" s="695" t="s">
        <v>162</v>
      </c>
      <c r="BE83" s="696"/>
      <c r="BF83" s="708"/>
      <c r="BG83" s="709"/>
      <c r="BH83" s="709"/>
      <c r="BI83" s="710"/>
      <c r="BJ83" s="700" t="s">
        <v>159</v>
      </c>
      <c r="BK83" s="701"/>
      <c r="BL83" s="701"/>
      <c r="BM83" s="702"/>
      <c r="BN83" s="703" t="s">
        <v>159</v>
      </c>
      <c r="BO83" s="704"/>
      <c r="BP83" s="704"/>
      <c r="BQ83" s="704"/>
      <c r="BR83" s="704"/>
      <c r="BS83" s="704"/>
      <c r="BT83" s="704"/>
      <c r="BU83" s="704"/>
      <c r="BV83" s="705"/>
    </row>
    <row r="84" spans="1:74" ht="45" customHeight="1" x14ac:dyDescent="0.25">
      <c r="A84" s="10">
        <f t="shared" si="1"/>
        <v>70</v>
      </c>
      <c r="B84" s="711" t="s">
        <v>159</v>
      </c>
      <c r="C84" s="711"/>
      <c r="D84" s="712" t="s">
        <v>212</v>
      </c>
      <c r="E84" s="712"/>
      <c r="F84" s="664" t="s">
        <v>162</v>
      </c>
      <c r="G84" s="665"/>
      <c r="H84" s="754" t="s">
        <v>162</v>
      </c>
      <c r="I84" s="714"/>
      <c r="J84" s="715"/>
      <c r="K84" s="716"/>
      <c r="L84" s="715"/>
      <c r="M84" s="716"/>
      <c r="N84" s="215"/>
      <c r="O84" s="196"/>
      <c r="P84" s="670"/>
      <c r="Q84" s="671"/>
      <c r="R84" s="719"/>
      <c r="S84" s="720"/>
      <c r="T84" s="721"/>
      <c r="U84" s="722"/>
      <c r="V84" s="723"/>
      <c r="W84" s="724"/>
      <c r="X84" s="725" t="s">
        <v>159</v>
      </c>
      <c r="Y84" s="725"/>
      <c r="Z84" s="725"/>
      <c r="AA84" s="725"/>
      <c r="AB84" s="726" t="s">
        <v>159</v>
      </c>
      <c r="AC84" s="726"/>
      <c r="AD84" s="726"/>
      <c r="AE84" s="726"/>
      <c r="AF84" s="727"/>
      <c r="AG84" s="728"/>
      <c r="AH84" s="727"/>
      <c r="AI84" s="728"/>
      <c r="AJ84" s="682"/>
      <c r="AK84" s="683"/>
      <c r="AL84" s="664" t="s">
        <v>162</v>
      </c>
      <c r="AM84" s="665"/>
      <c r="AN84" s="713" t="s">
        <v>162</v>
      </c>
      <c r="AO84" s="714"/>
      <c r="AP84" s="729"/>
      <c r="AQ84" s="730"/>
      <c r="AR84" s="731"/>
      <c r="AS84" s="732"/>
      <c r="AT84" s="690"/>
      <c r="AU84" s="691"/>
      <c r="AV84" s="713" t="s">
        <v>162</v>
      </c>
      <c r="AW84" s="714"/>
      <c r="AX84" s="692"/>
      <c r="AY84" s="693"/>
      <c r="AZ84" s="694"/>
      <c r="BA84" s="735"/>
      <c r="BB84" s="736"/>
      <c r="BC84" s="219"/>
      <c r="BD84" s="737" t="s">
        <v>162</v>
      </c>
      <c r="BE84" s="738"/>
      <c r="BF84" s="739"/>
      <c r="BG84" s="740"/>
      <c r="BH84" s="740"/>
      <c r="BI84" s="741"/>
      <c r="BJ84" s="742" t="s">
        <v>159</v>
      </c>
      <c r="BK84" s="743"/>
      <c r="BL84" s="743"/>
      <c r="BM84" s="744"/>
      <c r="BN84" s="703" t="s">
        <v>159</v>
      </c>
      <c r="BO84" s="704"/>
      <c r="BP84" s="704"/>
      <c r="BQ84" s="704"/>
      <c r="BR84" s="704"/>
      <c r="BS84" s="704"/>
      <c r="BT84" s="704"/>
      <c r="BU84" s="704"/>
      <c r="BV84" s="705"/>
    </row>
    <row r="85" spans="1:74" ht="45" customHeight="1" x14ac:dyDescent="0.25">
      <c r="A85" s="10">
        <f t="shared" si="1"/>
        <v>71</v>
      </c>
      <c r="B85" s="662" t="s">
        <v>159</v>
      </c>
      <c r="C85" s="662"/>
      <c r="D85" s="663" t="s">
        <v>212</v>
      </c>
      <c r="E85" s="663"/>
      <c r="F85" s="664" t="s">
        <v>162</v>
      </c>
      <c r="G85" s="665"/>
      <c r="H85" s="755" t="s">
        <v>162</v>
      </c>
      <c r="I85" s="667"/>
      <c r="J85" s="706"/>
      <c r="K85" s="707"/>
      <c r="L85" s="706"/>
      <c r="M85" s="707"/>
      <c r="N85" s="194"/>
      <c r="O85" s="216"/>
      <c r="P85" s="717"/>
      <c r="Q85" s="718"/>
      <c r="R85" s="672"/>
      <c r="S85" s="673"/>
      <c r="T85" s="674"/>
      <c r="U85" s="675"/>
      <c r="V85" s="676"/>
      <c r="W85" s="677"/>
      <c r="X85" s="678" t="s">
        <v>159</v>
      </c>
      <c r="Y85" s="678"/>
      <c r="Z85" s="678"/>
      <c r="AA85" s="678"/>
      <c r="AB85" s="679" t="s">
        <v>159</v>
      </c>
      <c r="AC85" s="679"/>
      <c r="AD85" s="679"/>
      <c r="AE85" s="679"/>
      <c r="AF85" s="680"/>
      <c r="AG85" s="681"/>
      <c r="AH85" s="680"/>
      <c r="AI85" s="681"/>
      <c r="AJ85" s="686"/>
      <c r="AK85" s="687"/>
      <c r="AL85" s="684" t="s">
        <v>162</v>
      </c>
      <c r="AM85" s="685"/>
      <c r="AN85" s="666" t="s">
        <v>162</v>
      </c>
      <c r="AO85" s="667"/>
      <c r="AP85" s="686"/>
      <c r="AQ85" s="687"/>
      <c r="AR85" s="688"/>
      <c r="AS85" s="689"/>
      <c r="AT85" s="690"/>
      <c r="AU85" s="691"/>
      <c r="AV85" s="666" t="s">
        <v>162</v>
      </c>
      <c r="AW85" s="667"/>
      <c r="AX85" s="692"/>
      <c r="AY85" s="693"/>
      <c r="AZ85" s="694"/>
      <c r="BA85" s="682"/>
      <c r="BB85" s="683"/>
      <c r="BC85" s="14"/>
      <c r="BD85" s="695" t="s">
        <v>162</v>
      </c>
      <c r="BE85" s="696"/>
      <c r="BF85" s="708"/>
      <c r="BG85" s="709"/>
      <c r="BH85" s="709"/>
      <c r="BI85" s="710"/>
      <c r="BJ85" s="700" t="s">
        <v>159</v>
      </c>
      <c r="BK85" s="701"/>
      <c r="BL85" s="701"/>
      <c r="BM85" s="702"/>
      <c r="BN85" s="703" t="s">
        <v>159</v>
      </c>
      <c r="BO85" s="704"/>
      <c r="BP85" s="704"/>
      <c r="BQ85" s="704"/>
      <c r="BR85" s="704"/>
      <c r="BS85" s="704"/>
      <c r="BT85" s="704"/>
      <c r="BU85" s="704"/>
      <c r="BV85" s="705"/>
    </row>
    <row r="86" spans="1:74" ht="45" customHeight="1" x14ac:dyDescent="0.25">
      <c r="A86" s="10">
        <f t="shared" si="1"/>
        <v>72</v>
      </c>
      <c r="B86" s="711" t="s">
        <v>159</v>
      </c>
      <c r="C86" s="711"/>
      <c r="D86" s="712" t="s">
        <v>212</v>
      </c>
      <c r="E86" s="712"/>
      <c r="F86" s="664" t="s">
        <v>162</v>
      </c>
      <c r="G86" s="665"/>
      <c r="H86" s="754" t="s">
        <v>162</v>
      </c>
      <c r="I86" s="714"/>
      <c r="J86" s="715"/>
      <c r="K86" s="716"/>
      <c r="L86" s="715"/>
      <c r="M86" s="716"/>
      <c r="N86" s="215"/>
      <c r="O86" s="196"/>
      <c r="P86" s="670"/>
      <c r="Q86" s="671"/>
      <c r="R86" s="719"/>
      <c r="S86" s="720"/>
      <c r="T86" s="721"/>
      <c r="U86" s="722"/>
      <c r="V86" s="723"/>
      <c r="W86" s="724"/>
      <c r="X86" s="725" t="s">
        <v>159</v>
      </c>
      <c r="Y86" s="725"/>
      <c r="Z86" s="725"/>
      <c r="AA86" s="725"/>
      <c r="AB86" s="726" t="s">
        <v>159</v>
      </c>
      <c r="AC86" s="726"/>
      <c r="AD86" s="726"/>
      <c r="AE86" s="726"/>
      <c r="AF86" s="727"/>
      <c r="AG86" s="728"/>
      <c r="AH86" s="727"/>
      <c r="AI86" s="728"/>
      <c r="AJ86" s="682"/>
      <c r="AK86" s="683"/>
      <c r="AL86" s="664" t="s">
        <v>162</v>
      </c>
      <c r="AM86" s="665"/>
      <c r="AN86" s="713" t="s">
        <v>162</v>
      </c>
      <c r="AO86" s="714"/>
      <c r="AP86" s="729"/>
      <c r="AQ86" s="730"/>
      <c r="AR86" s="731"/>
      <c r="AS86" s="732"/>
      <c r="AT86" s="690"/>
      <c r="AU86" s="691"/>
      <c r="AV86" s="713" t="s">
        <v>162</v>
      </c>
      <c r="AW86" s="714"/>
      <c r="AX86" s="692"/>
      <c r="AY86" s="693"/>
      <c r="AZ86" s="694"/>
      <c r="BA86" s="735"/>
      <c r="BB86" s="736"/>
      <c r="BC86" s="219"/>
      <c r="BD86" s="737" t="s">
        <v>162</v>
      </c>
      <c r="BE86" s="738"/>
      <c r="BF86" s="739"/>
      <c r="BG86" s="740"/>
      <c r="BH86" s="740"/>
      <c r="BI86" s="741"/>
      <c r="BJ86" s="742" t="s">
        <v>159</v>
      </c>
      <c r="BK86" s="743"/>
      <c r="BL86" s="743"/>
      <c r="BM86" s="744"/>
      <c r="BN86" s="703" t="s">
        <v>159</v>
      </c>
      <c r="BO86" s="704"/>
      <c r="BP86" s="704"/>
      <c r="BQ86" s="704"/>
      <c r="BR86" s="704"/>
      <c r="BS86" s="704"/>
      <c r="BT86" s="704"/>
      <c r="BU86" s="704"/>
      <c r="BV86" s="705"/>
    </row>
    <row r="87" spans="1:74" ht="45" customHeight="1" x14ac:dyDescent="0.25">
      <c r="A87" s="10">
        <f t="shared" si="1"/>
        <v>73</v>
      </c>
      <c r="B87" s="662" t="s">
        <v>159</v>
      </c>
      <c r="C87" s="662"/>
      <c r="D87" s="663" t="s">
        <v>212</v>
      </c>
      <c r="E87" s="663"/>
      <c r="F87" s="664" t="s">
        <v>162</v>
      </c>
      <c r="G87" s="665"/>
      <c r="H87" s="755" t="s">
        <v>162</v>
      </c>
      <c r="I87" s="667"/>
      <c r="J87" s="706"/>
      <c r="K87" s="707"/>
      <c r="L87" s="706"/>
      <c r="M87" s="707"/>
      <c r="N87" s="194"/>
      <c r="O87" s="216"/>
      <c r="P87" s="717"/>
      <c r="Q87" s="718"/>
      <c r="R87" s="672"/>
      <c r="S87" s="673"/>
      <c r="T87" s="674"/>
      <c r="U87" s="675"/>
      <c r="V87" s="676"/>
      <c r="W87" s="677"/>
      <c r="X87" s="678" t="s">
        <v>159</v>
      </c>
      <c r="Y87" s="678"/>
      <c r="Z87" s="678"/>
      <c r="AA87" s="678"/>
      <c r="AB87" s="679" t="s">
        <v>159</v>
      </c>
      <c r="AC87" s="679"/>
      <c r="AD87" s="679"/>
      <c r="AE87" s="679"/>
      <c r="AF87" s="680"/>
      <c r="AG87" s="681"/>
      <c r="AH87" s="680"/>
      <c r="AI87" s="681"/>
      <c r="AJ87" s="686"/>
      <c r="AK87" s="687"/>
      <c r="AL87" s="684" t="s">
        <v>162</v>
      </c>
      <c r="AM87" s="685"/>
      <c r="AN87" s="666" t="s">
        <v>162</v>
      </c>
      <c r="AO87" s="667"/>
      <c r="AP87" s="686"/>
      <c r="AQ87" s="687"/>
      <c r="AR87" s="688"/>
      <c r="AS87" s="689"/>
      <c r="AT87" s="690"/>
      <c r="AU87" s="691"/>
      <c r="AV87" s="666" t="s">
        <v>162</v>
      </c>
      <c r="AW87" s="667"/>
      <c r="AX87" s="692"/>
      <c r="AY87" s="693"/>
      <c r="AZ87" s="694"/>
      <c r="BA87" s="682"/>
      <c r="BB87" s="683"/>
      <c r="BC87" s="14"/>
      <c r="BD87" s="695" t="s">
        <v>162</v>
      </c>
      <c r="BE87" s="696"/>
      <c r="BF87" s="697"/>
      <c r="BG87" s="698"/>
      <c r="BH87" s="698"/>
      <c r="BI87" s="699"/>
      <c r="BJ87" s="700" t="s">
        <v>159</v>
      </c>
      <c r="BK87" s="701"/>
      <c r="BL87" s="701"/>
      <c r="BM87" s="702"/>
      <c r="BN87" s="703" t="s">
        <v>159</v>
      </c>
      <c r="BO87" s="704"/>
      <c r="BP87" s="704"/>
      <c r="BQ87" s="704"/>
      <c r="BR87" s="704"/>
      <c r="BS87" s="704"/>
      <c r="BT87" s="704"/>
      <c r="BU87" s="704"/>
      <c r="BV87" s="705"/>
    </row>
    <row r="88" spans="1:74" ht="45" customHeight="1" x14ac:dyDescent="0.25">
      <c r="A88" s="10">
        <f t="shared" si="1"/>
        <v>74</v>
      </c>
      <c r="B88" s="711" t="s">
        <v>159</v>
      </c>
      <c r="C88" s="711"/>
      <c r="D88" s="712" t="s">
        <v>212</v>
      </c>
      <c r="E88" s="712"/>
      <c r="F88" s="664" t="s">
        <v>162</v>
      </c>
      <c r="G88" s="665"/>
      <c r="H88" s="754" t="s">
        <v>162</v>
      </c>
      <c r="I88" s="714"/>
      <c r="J88" s="715"/>
      <c r="K88" s="716"/>
      <c r="L88" s="715"/>
      <c r="M88" s="716"/>
      <c r="N88" s="215"/>
      <c r="O88" s="196"/>
      <c r="P88" s="670"/>
      <c r="Q88" s="671"/>
      <c r="R88" s="719"/>
      <c r="S88" s="720"/>
      <c r="T88" s="721"/>
      <c r="U88" s="722"/>
      <c r="V88" s="723"/>
      <c r="W88" s="724"/>
      <c r="X88" s="725" t="s">
        <v>159</v>
      </c>
      <c r="Y88" s="725"/>
      <c r="Z88" s="725"/>
      <c r="AA88" s="725"/>
      <c r="AB88" s="726" t="s">
        <v>159</v>
      </c>
      <c r="AC88" s="726"/>
      <c r="AD88" s="726"/>
      <c r="AE88" s="726"/>
      <c r="AF88" s="727"/>
      <c r="AG88" s="728"/>
      <c r="AH88" s="727"/>
      <c r="AI88" s="728"/>
      <c r="AJ88" s="682"/>
      <c r="AK88" s="683"/>
      <c r="AL88" s="664" t="s">
        <v>162</v>
      </c>
      <c r="AM88" s="665"/>
      <c r="AN88" s="713" t="s">
        <v>162</v>
      </c>
      <c r="AO88" s="714"/>
      <c r="AP88" s="729"/>
      <c r="AQ88" s="730"/>
      <c r="AR88" s="731"/>
      <c r="AS88" s="732"/>
      <c r="AT88" s="690"/>
      <c r="AU88" s="691"/>
      <c r="AV88" s="713" t="s">
        <v>162</v>
      </c>
      <c r="AW88" s="714"/>
      <c r="AX88" s="692"/>
      <c r="AY88" s="693"/>
      <c r="AZ88" s="694"/>
      <c r="BA88" s="735"/>
      <c r="BB88" s="736"/>
      <c r="BC88" s="219"/>
      <c r="BD88" s="737" t="s">
        <v>162</v>
      </c>
      <c r="BE88" s="738"/>
      <c r="BF88" s="739"/>
      <c r="BG88" s="740"/>
      <c r="BH88" s="740"/>
      <c r="BI88" s="741"/>
      <c r="BJ88" s="742" t="s">
        <v>159</v>
      </c>
      <c r="BK88" s="743"/>
      <c r="BL88" s="743"/>
      <c r="BM88" s="744"/>
      <c r="BN88" s="703" t="s">
        <v>159</v>
      </c>
      <c r="BO88" s="704"/>
      <c r="BP88" s="704"/>
      <c r="BQ88" s="704"/>
      <c r="BR88" s="704"/>
      <c r="BS88" s="704"/>
      <c r="BT88" s="704"/>
      <c r="BU88" s="704"/>
      <c r="BV88" s="705"/>
    </row>
    <row r="89" spans="1:74" ht="45" customHeight="1" x14ac:dyDescent="0.25">
      <c r="A89" s="10">
        <f t="shared" si="1"/>
        <v>75</v>
      </c>
      <c r="B89" s="662" t="s">
        <v>159</v>
      </c>
      <c r="C89" s="662"/>
      <c r="D89" s="663" t="s">
        <v>212</v>
      </c>
      <c r="E89" s="663"/>
      <c r="F89" s="664" t="s">
        <v>162</v>
      </c>
      <c r="G89" s="665"/>
      <c r="H89" s="755" t="s">
        <v>162</v>
      </c>
      <c r="I89" s="667"/>
      <c r="J89" s="706"/>
      <c r="K89" s="707"/>
      <c r="L89" s="706"/>
      <c r="M89" s="707"/>
      <c r="N89" s="194"/>
      <c r="O89" s="216"/>
      <c r="P89" s="717"/>
      <c r="Q89" s="718"/>
      <c r="R89" s="672"/>
      <c r="S89" s="673"/>
      <c r="T89" s="674"/>
      <c r="U89" s="675"/>
      <c r="V89" s="676"/>
      <c r="W89" s="677"/>
      <c r="X89" s="678" t="s">
        <v>159</v>
      </c>
      <c r="Y89" s="678"/>
      <c r="Z89" s="678"/>
      <c r="AA89" s="678"/>
      <c r="AB89" s="679" t="s">
        <v>159</v>
      </c>
      <c r="AC89" s="679"/>
      <c r="AD89" s="679"/>
      <c r="AE89" s="679"/>
      <c r="AF89" s="680"/>
      <c r="AG89" s="681"/>
      <c r="AH89" s="680"/>
      <c r="AI89" s="681"/>
      <c r="AJ89" s="686"/>
      <c r="AK89" s="687"/>
      <c r="AL89" s="684" t="s">
        <v>162</v>
      </c>
      <c r="AM89" s="685"/>
      <c r="AN89" s="666" t="s">
        <v>162</v>
      </c>
      <c r="AO89" s="667"/>
      <c r="AP89" s="686"/>
      <c r="AQ89" s="687"/>
      <c r="AR89" s="688"/>
      <c r="AS89" s="689"/>
      <c r="AT89" s="690"/>
      <c r="AU89" s="691"/>
      <c r="AV89" s="666" t="s">
        <v>162</v>
      </c>
      <c r="AW89" s="667"/>
      <c r="AX89" s="692"/>
      <c r="AY89" s="693"/>
      <c r="AZ89" s="694"/>
      <c r="BA89" s="682"/>
      <c r="BB89" s="683"/>
      <c r="BC89" s="14"/>
      <c r="BD89" s="695" t="s">
        <v>162</v>
      </c>
      <c r="BE89" s="696"/>
      <c r="BF89" s="708"/>
      <c r="BG89" s="709"/>
      <c r="BH89" s="709"/>
      <c r="BI89" s="710"/>
      <c r="BJ89" s="700" t="s">
        <v>159</v>
      </c>
      <c r="BK89" s="701"/>
      <c r="BL89" s="701"/>
      <c r="BM89" s="702"/>
      <c r="BN89" s="703" t="s">
        <v>159</v>
      </c>
      <c r="BO89" s="704"/>
      <c r="BP89" s="704"/>
      <c r="BQ89" s="704"/>
      <c r="BR89" s="704"/>
      <c r="BS89" s="704"/>
      <c r="BT89" s="704"/>
      <c r="BU89" s="704"/>
      <c r="BV89" s="705"/>
    </row>
    <row r="90" spans="1:74" ht="45" customHeight="1" x14ac:dyDescent="0.25">
      <c r="A90" s="10">
        <f t="shared" si="1"/>
        <v>76</v>
      </c>
      <c r="B90" s="711" t="s">
        <v>159</v>
      </c>
      <c r="C90" s="711"/>
      <c r="D90" s="712" t="s">
        <v>212</v>
      </c>
      <c r="E90" s="712"/>
      <c r="F90" s="664" t="s">
        <v>162</v>
      </c>
      <c r="G90" s="665"/>
      <c r="H90" s="754" t="s">
        <v>162</v>
      </c>
      <c r="I90" s="714"/>
      <c r="J90" s="715"/>
      <c r="K90" s="716"/>
      <c r="L90" s="715"/>
      <c r="M90" s="716"/>
      <c r="N90" s="215"/>
      <c r="O90" s="196"/>
      <c r="P90" s="670"/>
      <c r="Q90" s="671"/>
      <c r="R90" s="719"/>
      <c r="S90" s="720"/>
      <c r="T90" s="721"/>
      <c r="U90" s="722"/>
      <c r="V90" s="723"/>
      <c r="W90" s="724"/>
      <c r="X90" s="725" t="s">
        <v>159</v>
      </c>
      <c r="Y90" s="725"/>
      <c r="Z90" s="725"/>
      <c r="AA90" s="725"/>
      <c r="AB90" s="726" t="s">
        <v>159</v>
      </c>
      <c r="AC90" s="726"/>
      <c r="AD90" s="726"/>
      <c r="AE90" s="726"/>
      <c r="AF90" s="727"/>
      <c r="AG90" s="728"/>
      <c r="AH90" s="727"/>
      <c r="AI90" s="728"/>
      <c r="AJ90" s="682"/>
      <c r="AK90" s="683"/>
      <c r="AL90" s="664" t="s">
        <v>162</v>
      </c>
      <c r="AM90" s="665"/>
      <c r="AN90" s="713" t="s">
        <v>162</v>
      </c>
      <c r="AO90" s="714"/>
      <c r="AP90" s="729"/>
      <c r="AQ90" s="730"/>
      <c r="AR90" s="731"/>
      <c r="AS90" s="732"/>
      <c r="AT90" s="690"/>
      <c r="AU90" s="691"/>
      <c r="AV90" s="713" t="s">
        <v>162</v>
      </c>
      <c r="AW90" s="714"/>
      <c r="AX90" s="692"/>
      <c r="AY90" s="693"/>
      <c r="AZ90" s="694"/>
      <c r="BA90" s="735"/>
      <c r="BB90" s="736"/>
      <c r="BC90" s="219"/>
      <c r="BD90" s="737" t="s">
        <v>162</v>
      </c>
      <c r="BE90" s="738"/>
      <c r="BF90" s="739"/>
      <c r="BG90" s="740"/>
      <c r="BH90" s="740"/>
      <c r="BI90" s="741"/>
      <c r="BJ90" s="742" t="s">
        <v>159</v>
      </c>
      <c r="BK90" s="743"/>
      <c r="BL90" s="743"/>
      <c r="BM90" s="744"/>
      <c r="BN90" s="703" t="s">
        <v>159</v>
      </c>
      <c r="BO90" s="704"/>
      <c r="BP90" s="704"/>
      <c r="BQ90" s="704"/>
      <c r="BR90" s="704"/>
      <c r="BS90" s="704"/>
      <c r="BT90" s="704"/>
      <c r="BU90" s="704"/>
      <c r="BV90" s="705"/>
    </row>
    <row r="91" spans="1:74" ht="45" customHeight="1" x14ac:dyDescent="0.25">
      <c r="A91" s="10">
        <f t="shared" si="1"/>
        <v>77</v>
      </c>
      <c r="B91" s="662" t="s">
        <v>159</v>
      </c>
      <c r="C91" s="662"/>
      <c r="D91" s="663" t="s">
        <v>212</v>
      </c>
      <c r="E91" s="663"/>
      <c r="F91" s="664" t="s">
        <v>162</v>
      </c>
      <c r="G91" s="665"/>
      <c r="H91" s="755" t="s">
        <v>162</v>
      </c>
      <c r="I91" s="667"/>
      <c r="J91" s="706"/>
      <c r="K91" s="707"/>
      <c r="L91" s="706"/>
      <c r="M91" s="707"/>
      <c r="N91" s="194"/>
      <c r="O91" s="216"/>
      <c r="P91" s="717"/>
      <c r="Q91" s="718"/>
      <c r="R91" s="672"/>
      <c r="S91" s="673"/>
      <c r="T91" s="674"/>
      <c r="U91" s="675"/>
      <c r="V91" s="676"/>
      <c r="W91" s="677"/>
      <c r="X91" s="678" t="s">
        <v>159</v>
      </c>
      <c r="Y91" s="678"/>
      <c r="Z91" s="678"/>
      <c r="AA91" s="678"/>
      <c r="AB91" s="679" t="s">
        <v>159</v>
      </c>
      <c r="AC91" s="679"/>
      <c r="AD91" s="679"/>
      <c r="AE91" s="679"/>
      <c r="AF91" s="680"/>
      <c r="AG91" s="681"/>
      <c r="AH91" s="680"/>
      <c r="AI91" s="681"/>
      <c r="AJ91" s="686"/>
      <c r="AK91" s="687"/>
      <c r="AL91" s="684" t="s">
        <v>162</v>
      </c>
      <c r="AM91" s="685"/>
      <c r="AN91" s="666" t="s">
        <v>162</v>
      </c>
      <c r="AO91" s="667"/>
      <c r="AP91" s="686"/>
      <c r="AQ91" s="687"/>
      <c r="AR91" s="688"/>
      <c r="AS91" s="689"/>
      <c r="AT91" s="690"/>
      <c r="AU91" s="691"/>
      <c r="AV91" s="666" t="s">
        <v>162</v>
      </c>
      <c r="AW91" s="667"/>
      <c r="AX91" s="692"/>
      <c r="AY91" s="693"/>
      <c r="AZ91" s="694"/>
      <c r="BA91" s="682"/>
      <c r="BB91" s="683"/>
      <c r="BC91" s="14"/>
      <c r="BD91" s="695" t="s">
        <v>162</v>
      </c>
      <c r="BE91" s="696"/>
      <c r="BF91" s="697"/>
      <c r="BG91" s="698"/>
      <c r="BH91" s="698"/>
      <c r="BI91" s="699"/>
      <c r="BJ91" s="700" t="s">
        <v>159</v>
      </c>
      <c r="BK91" s="701"/>
      <c r="BL91" s="701"/>
      <c r="BM91" s="702"/>
      <c r="BN91" s="703" t="s">
        <v>159</v>
      </c>
      <c r="BO91" s="704"/>
      <c r="BP91" s="704"/>
      <c r="BQ91" s="704"/>
      <c r="BR91" s="704"/>
      <c r="BS91" s="704"/>
      <c r="BT91" s="704"/>
      <c r="BU91" s="704"/>
      <c r="BV91" s="705"/>
    </row>
    <row r="92" spans="1:74" ht="45" customHeight="1" x14ac:dyDescent="0.25">
      <c r="A92" s="10">
        <f t="shared" si="1"/>
        <v>78</v>
      </c>
      <c r="B92" s="711" t="s">
        <v>159</v>
      </c>
      <c r="C92" s="711"/>
      <c r="D92" s="712" t="s">
        <v>212</v>
      </c>
      <c r="E92" s="712"/>
      <c r="F92" s="664" t="s">
        <v>162</v>
      </c>
      <c r="G92" s="665"/>
      <c r="H92" s="754" t="s">
        <v>162</v>
      </c>
      <c r="I92" s="714"/>
      <c r="J92" s="715"/>
      <c r="K92" s="716"/>
      <c r="L92" s="715"/>
      <c r="M92" s="716"/>
      <c r="N92" s="215"/>
      <c r="O92" s="196"/>
      <c r="P92" s="670"/>
      <c r="Q92" s="671"/>
      <c r="R92" s="719"/>
      <c r="S92" s="720"/>
      <c r="T92" s="721"/>
      <c r="U92" s="722"/>
      <c r="V92" s="723"/>
      <c r="W92" s="724"/>
      <c r="X92" s="725" t="s">
        <v>159</v>
      </c>
      <c r="Y92" s="725"/>
      <c r="Z92" s="725"/>
      <c r="AA92" s="725"/>
      <c r="AB92" s="726" t="s">
        <v>159</v>
      </c>
      <c r="AC92" s="726"/>
      <c r="AD92" s="726"/>
      <c r="AE92" s="726"/>
      <c r="AF92" s="727"/>
      <c r="AG92" s="728"/>
      <c r="AH92" s="727"/>
      <c r="AI92" s="728"/>
      <c r="AJ92" s="682"/>
      <c r="AK92" s="683"/>
      <c r="AL92" s="664" t="s">
        <v>162</v>
      </c>
      <c r="AM92" s="665"/>
      <c r="AN92" s="713" t="s">
        <v>162</v>
      </c>
      <c r="AO92" s="714"/>
      <c r="AP92" s="729"/>
      <c r="AQ92" s="730"/>
      <c r="AR92" s="731"/>
      <c r="AS92" s="732"/>
      <c r="AT92" s="690"/>
      <c r="AU92" s="691"/>
      <c r="AV92" s="713" t="s">
        <v>162</v>
      </c>
      <c r="AW92" s="714"/>
      <c r="AX92" s="692"/>
      <c r="AY92" s="693"/>
      <c r="AZ92" s="694"/>
      <c r="BA92" s="735"/>
      <c r="BB92" s="736"/>
      <c r="BC92" s="219"/>
      <c r="BD92" s="737" t="s">
        <v>162</v>
      </c>
      <c r="BE92" s="738"/>
      <c r="BF92" s="739"/>
      <c r="BG92" s="740"/>
      <c r="BH92" s="740"/>
      <c r="BI92" s="741"/>
      <c r="BJ92" s="742" t="s">
        <v>159</v>
      </c>
      <c r="BK92" s="743"/>
      <c r="BL92" s="743"/>
      <c r="BM92" s="744"/>
      <c r="BN92" s="703" t="s">
        <v>159</v>
      </c>
      <c r="BO92" s="704"/>
      <c r="BP92" s="704"/>
      <c r="BQ92" s="704"/>
      <c r="BR92" s="704"/>
      <c r="BS92" s="704"/>
      <c r="BT92" s="704"/>
      <c r="BU92" s="704"/>
      <c r="BV92" s="705"/>
    </row>
    <row r="93" spans="1:74" ht="45" customHeight="1" x14ac:dyDescent="0.25">
      <c r="A93" s="10">
        <f t="shared" si="1"/>
        <v>79</v>
      </c>
      <c r="B93" s="662" t="s">
        <v>159</v>
      </c>
      <c r="C93" s="662"/>
      <c r="D93" s="663" t="s">
        <v>212</v>
      </c>
      <c r="E93" s="663"/>
      <c r="F93" s="664" t="s">
        <v>162</v>
      </c>
      <c r="G93" s="665"/>
      <c r="H93" s="755" t="s">
        <v>162</v>
      </c>
      <c r="I93" s="667"/>
      <c r="J93" s="706"/>
      <c r="K93" s="707"/>
      <c r="L93" s="706"/>
      <c r="M93" s="707"/>
      <c r="N93" s="194"/>
      <c r="O93" s="216"/>
      <c r="P93" s="717"/>
      <c r="Q93" s="718"/>
      <c r="R93" s="672"/>
      <c r="S93" s="673"/>
      <c r="T93" s="674"/>
      <c r="U93" s="675"/>
      <c r="V93" s="676"/>
      <c r="W93" s="677"/>
      <c r="X93" s="678" t="s">
        <v>159</v>
      </c>
      <c r="Y93" s="678"/>
      <c r="Z93" s="678"/>
      <c r="AA93" s="678"/>
      <c r="AB93" s="679" t="s">
        <v>159</v>
      </c>
      <c r="AC93" s="679"/>
      <c r="AD93" s="679"/>
      <c r="AE93" s="679"/>
      <c r="AF93" s="680"/>
      <c r="AG93" s="681"/>
      <c r="AH93" s="680"/>
      <c r="AI93" s="681"/>
      <c r="AJ93" s="686"/>
      <c r="AK93" s="687"/>
      <c r="AL93" s="684" t="s">
        <v>162</v>
      </c>
      <c r="AM93" s="685"/>
      <c r="AN93" s="666" t="s">
        <v>162</v>
      </c>
      <c r="AO93" s="667"/>
      <c r="AP93" s="686"/>
      <c r="AQ93" s="687"/>
      <c r="AR93" s="688"/>
      <c r="AS93" s="689"/>
      <c r="AT93" s="690"/>
      <c r="AU93" s="691"/>
      <c r="AV93" s="666" t="s">
        <v>162</v>
      </c>
      <c r="AW93" s="667"/>
      <c r="AX93" s="692"/>
      <c r="AY93" s="693"/>
      <c r="AZ93" s="694"/>
      <c r="BA93" s="682"/>
      <c r="BB93" s="683"/>
      <c r="BC93" s="14"/>
      <c r="BD93" s="695" t="s">
        <v>162</v>
      </c>
      <c r="BE93" s="696"/>
      <c r="BF93" s="708"/>
      <c r="BG93" s="709"/>
      <c r="BH93" s="709"/>
      <c r="BI93" s="710"/>
      <c r="BJ93" s="700" t="s">
        <v>159</v>
      </c>
      <c r="BK93" s="701"/>
      <c r="BL93" s="701"/>
      <c r="BM93" s="702"/>
      <c r="BN93" s="703" t="s">
        <v>159</v>
      </c>
      <c r="BO93" s="704"/>
      <c r="BP93" s="704"/>
      <c r="BQ93" s="704"/>
      <c r="BR93" s="704"/>
      <c r="BS93" s="704"/>
      <c r="BT93" s="704"/>
      <c r="BU93" s="704"/>
      <c r="BV93" s="705"/>
    </row>
    <row r="94" spans="1:74" ht="45" customHeight="1" x14ac:dyDescent="0.25">
      <c r="A94" s="10">
        <f t="shared" si="1"/>
        <v>80</v>
      </c>
      <c r="B94" s="711" t="s">
        <v>159</v>
      </c>
      <c r="C94" s="711"/>
      <c r="D94" s="712" t="s">
        <v>212</v>
      </c>
      <c r="E94" s="712"/>
      <c r="F94" s="664" t="s">
        <v>162</v>
      </c>
      <c r="G94" s="665"/>
      <c r="H94" s="754" t="s">
        <v>162</v>
      </c>
      <c r="I94" s="714"/>
      <c r="J94" s="715"/>
      <c r="K94" s="716"/>
      <c r="L94" s="715"/>
      <c r="M94" s="716"/>
      <c r="N94" s="215"/>
      <c r="O94" s="196"/>
      <c r="P94" s="670"/>
      <c r="Q94" s="671"/>
      <c r="R94" s="719"/>
      <c r="S94" s="720"/>
      <c r="T94" s="721"/>
      <c r="U94" s="722"/>
      <c r="V94" s="723"/>
      <c r="W94" s="724"/>
      <c r="X94" s="725" t="s">
        <v>159</v>
      </c>
      <c r="Y94" s="725"/>
      <c r="Z94" s="725"/>
      <c r="AA94" s="725"/>
      <c r="AB94" s="726" t="s">
        <v>159</v>
      </c>
      <c r="AC94" s="726"/>
      <c r="AD94" s="726"/>
      <c r="AE94" s="726"/>
      <c r="AF94" s="727"/>
      <c r="AG94" s="728"/>
      <c r="AH94" s="727"/>
      <c r="AI94" s="728"/>
      <c r="AJ94" s="682"/>
      <c r="AK94" s="683"/>
      <c r="AL94" s="664" t="s">
        <v>162</v>
      </c>
      <c r="AM94" s="665"/>
      <c r="AN94" s="713" t="s">
        <v>162</v>
      </c>
      <c r="AO94" s="714"/>
      <c r="AP94" s="729"/>
      <c r="AQ94" s="730"/>
      <c r="AR94" s="731"/>
      <c r="AS94" s="732"/>
      <c r="AT94" s="690"/>
      <c r="AU94" s="691"/>
      <c r="AV94" s="713" t="s">
        <v>162</v>
      </c>
      <c r="AW94" s="714"/>
      <c r="AX94" s="692"/>
      <c r="AY94" s="693"/>
      <c r="AZ94" s="694"/>
      <c r="BA94" s="735"/>
      <c r="BB94" s="736"/>
      <c r="BC94" s="219"/>
      <c r="BD94" s="737" t="s">
        <v>162</v>
      </c>
      <c r="BE94" s="738"/>
      <c r="BF94" s="739"/>
      <c r="BG94" s="740"/>
      <c r="BH94" s="740"/>
      <c r="BI94" s="741"/>
      <c r="BJ94" s="742" t="s">
        <v>159</v>
      </c>
      <c r="BK94" s="743"/>
      <c r="BL94" s="743"/>
      <c r="BM94" s="744"/>
      <c r="BN94" s="703" t="s">
        <v>159</v>
      </c>
      <c r="BO94" s="704"/>
      <c r="BP94" s="704"/>
      <c r="BQ94" s="704"/>
      <c r="BR94" s="704"/>
      <c r="BS94" s="704"/>
      <c r="BT94" s="704"/>
      <c r="BU94" s="704"/>
      <c r="BV94" s="705"/>
    </row>
    <row r="95" spans="1:74" ht="45" customHeight="1" x14ac:dyDescent="0.25">
      <c r="A95" s="10">
        <f t="shared" si="1"/>
        <v>81</v>
      </c>
      <c r="B95" s="662" t="s">
        <v>159</v>
      </c>
      <c r="C95" s="662"/>
      <c r="D95" s="663" t="s">
        <v>212</v>
      </c>
      <c r="E95" s="663"/>
      <c r="F95" s="664" t="s">
        <v>162</v>
      </c>
      <c r="G95" s="665"/>
      <c r="H95" s="755" t="s">
        <v>162</v>
      </c>
      <c r="I95" s="667"/>
      <c r="J95" s="706"/>
      <c r="K95" s="707"/>
      <c r="L95" s="706"/>
      <c r="M95" s="707"/>
      <c r="N95" s="194"/>
      <c r="O95" s="216"/>
      <c r="P95" s="717"/>
      <c r="Q95" s="718"/>
      <c r="R95" s="672"/>
      <c r="S95" s="673"/>
      <c r="T95" s="674"/>
      <c r="U95" s="675"/>
      <c r="V95" s="676"/>
      <c r="W95" s="677"/>
      <c r="X95" s="678" t="s">
        <v>159</v>
      </c>
      <c r="Y95" s="678"/>
      <c r="Z95" s="678"/>
      <c r="AA95" s="678"/>
      <c r="AB95" s="679" t="s">
        <v>159</v>
      </c>
      <c r="AC95" s="679"/>
      <c r="AD95" s="679"/>
      <c r="AE95" s="679"/>
      <c r="AF95" s="680"/>
      <c r="AG95" s="681"/>
      <c r="AH95" s="680"/>
      <c r="AI95" s="681"/>
      <c r="AJ95" s="686"/>
      <c r="AK95" s="687"/>
      <c r="AL95" s="684" t="s">
        <v>162</v>
      </c>
      <c r="AM95" s="685"/>
      <c r="AN95" s="666" t="s">
        <v>162</v>
      </c>
      <c r="AO95" s="667"/>
      <c r="AP95" s="686"/>
      <c r="AQ95" s="687"/>
      <c r="AR95" s="688"/>
      <c r="AS95" s="689"/>
      <c r="AT95" s="690"/>
      <c r="AU95" s="691"/>
      <c r="AV95" s="666" t="s">
        <v>162</v>
      </c>
      <c r="AW95" s="667"/>
      <c r="AX95" s="692"/>
      <c r="AY95" s="693"/>
      <c r="AZ95" s="694"/>
      <c r="BA95" s="682"/>
      <c r="BB95" s="683"/>
      <c r="BC95" s="14"/>
      <c r="BD95" s="695" t="s">
        <v>162</v>
      </c>
      <c r="BE95" s="696"/>
      <c r="BF95" s="708"/>
      <c r="BG95" s="709"/>
      <c r="BH95" s="709"/>
      <c r="BI95" s="710"/>
      <c r="BJ95" s="700" t="s">
        <v>159</v>
      </c>
      <c r="BK95" s="701"/>
      <c r="BL95" s="701"/>
      <c r="BM95" s="702"/>
      <c r="BN95" s="703" t="s">
        <v>159</v>
      </c>
      <c r="BO95" s="704"/>
      <c r="BP95" s="704"/>
      <c r="BQ95" s="704"/>
      <c r="BR95" s="704"/>
      <c r="BS95" s="704"/>
      <c r="BT95" s="704"/>
      <c r="BU95" s="704"/>
      <c r="BV95" s="705"/>
    </row>
    <row r="96" spans="1:74" ht="45" customHeight="1" x14ac:dyDescent="0.25">
      <c r="A96" s="10">
        <f t="shared" si="1"/>
        <v>82</v>
      </c>
      <c r="B96" s="711" t="s">
        <v>159</v>
      </c>
      <c r="C96" s="711"/>
      <c r="D96" s="712" t="s">
        <v>212</v>
      </c>
      <c r="E96" s="712"/>
      <c r="F96" s="664" t="s">
        <v>162</v>
      </c>
      <c r="G96" s="665"/>
      <c r="H96" s="754" t="s">
        <v>162</v>
      </c>
      <c r="I96" s="714"/>
      <c r="J96" s="715"/>
      <c r="K96" s="716"/>
      <c r="L96" s="715"/>
      <c r="M96" s="716"/>
      <c r="N96" s="215"/>
      <c r="O96" s="196"/>
      <c r="P96" s="670"/>
      <c r="Q96" s="671"/>
      <c r="R96" s="719"/>
      <c r="S96" s="720"/>
      <c r="T96" s="721"/>
      <c r="U96" s="722"/>
      <c r="V96" s="723"/>
      <c r="W96" s="724"/>
      <c r="X96" s="725" t="s">
        <v>159</v>
      </c>
      <c r="Y96" s="725"/>
      <c r="Z96" s="725"/>
      <c r="AA96" s="725"/>
      <c r="AB96" s="726" t="s">
        <v>159</v>
      </c>
      <c r="AC96" s="726"/>
      <c r="AD96" s="726"/>
      <c r="AE96" s="726"/>
      <c r="AF96" s="727"/>
      <c r="AG96" s="728"/>
      <c r="AH96" s="727"/>
      <c r="AI96" s="728"/>
      <c r="AJ96" s="682"/>
      <c r="AK96" s="683"/>
      <c r="AL96" s="664" t="s">
        <v>162</v>
      </c>
      <c r="AM96" s="665"/>
      <c r="AN96" s="713" t="s">
        <v>162</v>
      </c>
      <c r="AO96" s="714"/>
      <c r="AP96" s="729"/>
      <c r="AQ96" s="730"/>
      <c r="AR96" s="731"/>
      <c r="AS96" s="732"/>
      <c r="AT96" s="690"/>
      <c r="AU96" s="691"/>
      <c r="AV96" s="713" t="s">
        <v>162</v>
      </c>
      <c r="AW96" s="714"/>
      <c r="AX96" s="692"/>
      <c r="AY96" s="693"/>
      <c r="AZ96" s="694"/>
      <c r="BA96" s="735"/>
      <c r="BB96" s="736"/>
      <c r="BC96" s="219"/>
      <c r="BD96" s="737" t="s">
        <v>162</v>
      </c>
      <c r="BE96" s="738"/>
      <c r="BF96" s="739"/>
      <c r="BG96" s="740"/>
      <c r="BH96" s="740"/>
      <c r="BI96" s="741"/>
      <c r="BJ96" s="742" t="s">
        <v>159</v>
      </c>
      <c r="BK96" s="743"/>
      <c r="BL96" s="743"/>
      <c r="BM96" s="744"/>
      <c r="BN96" s="703" t="s">
        <v>159</v>
      </c>
      <c r="BO96" s="704"/>
      <c r="BP96" s="704"/>
      <c r="BQ96" s="704"/>
      <c r="BR96" s="704"/>
      <c r="BS96" s="704"/>
      <c r="BT96" s="704"/>
      <c r="BU96" s="704"/>
      <c r="BV96" s="705"/>
    </row>
    <row r="97" spans="1:74" ht="45" customHeight="1" x14ac:dyDescent="0.25">
      <c r="A97" s="10">
        <f t="shared" si="1"/>
        <v>83</v>
      </c>
      <c r="B97" s="662" t="s">
        <v>159</v>
      </c>
      <c r="C97" s="662"/>
      <c r="D97" s="663" t="s">
        <v>212</v>
      </c>
      <c r="E97" s="663"/>
      <c r="F97" s="664" t="s">
        <v>162</v>
      </c>
      <c r="G97" s="665"/>
      <c r="H97" s="755" t="s">
        <v>162</v>
      </c>
      <c r="I97" s="667"/>
      <c r="J97" s="706"/>
      <c r="K97" s="707"/>
      <c r="L97" s="706"/>
      <c r="M97" s="707"/>
      <c r="N97" s="194"/>
      <c r="O97" s="216"/>
      <c r="P97" s="717"/>
      <c r="Q97" s="718"/>
      <c r="R97" s="672"/>
      <c r="S97" s="673"/>
      <c r="T97" s="674"/>
      <c r="U97" s="675"/>
      <c r="V97" s="676"/>
      <c r="W97" s="677"/>
      <c r="X97" s="678" t="s">
        <v>159</v>
      </c>
      <c r="Y97" s="678"/>
      <c r="Z97" s="678"/>
      <c r="AA97" s="678"/>
      <c r="AB97" s="679" t="s">
        <v>159</v>
      </c>
      <c r="AC97" s="679"/>
      <c r="AD97" s="679"/>
      <c r="AE97" s="679"/>
      <c r="AF97" s="680"/>
      <c r="AG97" s="681"/>
      <c r="AH97" s="680"/>
      <c r="AI97" s="681"/>
      <c r="AJ97" s="686"/>
      <c r="AK97" s="687"/>
      <c r="AL97" s="684" t="s">
        <v>162</v>
      </c>
      <c r="AM97" s="685"/>
      <c r="AN97" s="666" t="s">
        <v>162</v>
      </c>
      <c r="AO97" s="667"/>
      <c r="AP97" s="686"/>
      <c r="AQ97" s="687"/>
      <c r="AR97" s="688"/>
      <c r="AS97" s="689"/>
      <c r="AT97" s="690"/>
      <c r="AU97" s="691"/>
      <c r="AV97" s="666" t="s">
        <v>162</v>
      </c>
      <c r="AW97" s="667"/>
      <c r="AX97" s="692"/>
      <c r="AY97" s="693"/>
      <c r="AZ97" s="694"/>
      <c r="BA97" s="682"/>
      <c r="BB97" s="683"/>
      <c r="BC97" s="14"/>
      <c r="BD97" s="695" t="s">
        <v>162</v>
      </c>
      <c r="BE97" s="696"/>
      <c r="BF97" s="697"/>
      <c r="BG97" s="698"/>
      <c r="BH97" s="698"/>
      <c r="BI97" s="699"/>
      <c r="BJ97" s="700" t="s">
        <v>159</v>
      </c>
      <c r="BK97" s="701"/>
      <c r="BL97" s="701"/>
      <c r="BM97" s="702"/>
      <c r="BN97" s="703" t="s">
        <v>159</v>
      </c>
      <c r="BO97" s="704"/>
      <c r="BP97" s="704"/>
      <c r="BQ97" s="704"/>
      <c r="BR97" s="704"/>
      <c r="BS97" s="704"/>
      <c r="BT97" s="704"/>
      <c r="BU97" s="704"/>
      <c r="BV97" s="705"/>
    </row>
    <row r="98" spans="1:74" ht="45" customHeight="1" x14ac:dyDescent="0.25">
      <c r="A98" s="10">
        <f t="shared" si="1"/>
        <v>84</v>
      </c>
      <c r="B98" s="711" t="s">
        <v>159</v>
      </c>
      <c r="C98" s="711"/>
      <c r="D98" s="712" t="s">
        <v>212</v>
      </c>
      <c r="E98" s="712"/>
      <c r="F98" s="664" t="s">
        <v>162</v>
      </c>
      <c r="G98" s="665"/>
      <c r="H98" s="754" t="s">
        <v>162</v>
      </c>
      <c r="I98" s="714"/>
      <c r="J98" s="715"/>
      <c r="K98" s="716"/>
      <c r="L98" s="715"/>
      <c r="M98" s="716"/>
      <c r="N98" s="215"/>
      <c r="O98" s="196"/>
      <c r="P98" s="670"/>
      <c r="Q98" s="671"/>
      <c r="R98" s="719"/>
      <c r="S98" s="720"/>
      <c r="T98" s="721"/>
      <c r="U98" s="722"/>
      <c r="V98" s="723"/>
      <c r="W98" s="724"/>
      <c r="X98" s="725" t="s">
        <v>159</v>
      </c>
      <c r="Y98" s="725"/>
      <c r="Z98" s="725"/>
      <c r="AA98" s="725"/>
      <c r="AB98" s="726" t="s">
        <v>159</v>
      </c>
      <c r="AC98" s="726"/>
      <c r="AD98" s="726"/>
      <c r="AE98" s="726"/>
      <c r="AF98" s="727"/>
      <c r="AG98" s="728"/>
      <c r="AH98" s="727"/>
      <c r="AI98" s="728"/>
      <c r="AJ98" s="682"/>
      <c r="AK98" s="683"/>
      <c r="AL98" s="664" t="s">
        <v>162</v>
      </c>
      <c r="AM98" s="665"/>
      <c r="AN98" s="713" t="s">
        <v>162</v>
      </c>
      <c r="AO98" s="714"/>
      <c r="AP98" s="729"/>
      <c r="AQ98" s="730"/>
      <c r="AR98" s="731"/>
      <c r="AS98" s="732"/>
      <c r="AT98" s="690"/>
      <c r="AU98" s="691"/>
      <c r="AV98" s="713" t="s">
        <v>162</v>
      </c>
      <c r="AW98" s="714"/>
      <c r="AX98" s="692"/>
      <c r="AY98" s="693"/>
      <c r="AZ98" s="694"/>
      <c r="BA98" s="735"/>
      <c r="BB98" s="736"/>
      <c r="BC98" s="219"/>
      <c r="BD98" s="737" t="s">
        <v>162</v>
      </c>
      <c r="BE98" s="738"/>
      <c r="BF98" s="739"/>
      <c r="BG98" s="740"/>
      <c r="BH98" s="740"/>
      <c r="BI98" s="741"/>
      <c r="BJ98" s="742" t="s">
        <v>159</v>
      </c>
      <c r="BK98" s="743"/>
      <c r="BL98" s="743"/>
      <c r="BM98" s="744"/>
      <c r="BN98" s="703" t="s">
        <v>159</v>
      </c>
      <c r="BO98" s="704"/>
      <c r="BP98" s="704"/>
      <c r="BQ98" s="704"/>
      <c r="BR98" s="704"/>
      <c r="BS98" s="704"/>
      <c r="BT98" s="704"/>
      <c r="BU98" s="704"/>
      <c r="BV98" s="705"/>
    </row>
    <row r="99" spans="1:74" ht="45" customHeight="1" x14ac:dyDescent="0.25">
      <c r="A99" s="10">
        <f t="shared" si="1"/>
        <v>85</v>
      </c>
      <c r="B99" s="662" t="s">
        <v>159</v>
      </c>
      <c r="C99" s="662"/>
      <c r="D99" s="663" t="s">
        <v>212</v>
      </c>
      <c r="E99" s="663"/>
      <c r="F99" s="664" t="s">
        <v>162</v>
      </c>
      <c r="G99" s="665"/>
      <c r="H99" s="755" t="s">
        <v>162</v>
      </c>
      <c r="I99" s="667"/>
      <c r="J99" s="706"/>
      <c r="K99" s="707"/>
      <c r="L99" s="706"/>
      <c r="M99" s="707"/>
      <c r="N99" s="194"/>
      <c r="O99" s="216"/>
      <c r="P99" s="717"/>
      <c r="Q99" s="718"/>
      <c r="R99" s="672"/>
      <c r="S99" s="673"/>
      <c r="T99" s="674"/>
      <c r="U99" s="675"/>
      <c r="V99" s="676"/>
      <c r="W99" s="677"/>
      <c r="X99" s="678" t="s">
        <v>159</v>
      </c>
      <c r="Y99" s="678"/>
      <c r="Z99" s="678"/>
      <c r="AA99" s="678"/>
      <c r="AB99" s="679" t="s">
        <v>159</v>
      </c>
      <c r="AC99" s="679"/>
      <c r="AD99" s="679"/>
      <c r="AE99" s="679"/>
      <c r="AF99" s="680"/>
      <c r="AG99" s="681"/>
      <c r="AH99" s="680"/>
      <c r="AI99" s="681"/>
      <c r="AJ99" s="686"/>
      <c r="AK99" s="687"/>
      <c r="AL99" s="684" t="s">
        <v>162</v>
      </c>
      <c r="AM99" s="685"/>
      <c r="AN99" s="666" t="s">
        <v>162</v>
      </c>
      <c r="AO99" s="667"/>
      <c r="AP99" s="686"/>
      <c r="AQ99" s="687"/>
      <c r="AR99" s="688"/>
      <c r="AS99" s="689"/>
      <c r="AT99" s="690"/>
      <c r="AU99" s="691"/>
      <c r="AV99" s="666" t="s">
        <v>162</v>
      </c>
      <c r="AW99" s="667"/>
      <c r="AX99" s="692"/>
      <c r="AY99" s="693"/>
      <c r="AZ99" s="694"/>
      <c r="BA99" s="682"/>
      <c r="BB99" s="683"/>
      <c r="BC99" s="14"/>
      <c r="BD99" s="695" t="s">
        <v>162</v>
      </c>
      <c r="BE99" s="696"/>
      <c r="BF99" s="708"/>
      <c r="BG99" s="709"/>
      <c r="BH99" s="709"/>
      <c r="BI99" s="710"/>
      <c r="BJ99" s="700" t="s">
        <v>159</v>
      </c>
      <c r="BK99" s="701"/>
      <c r="BL99" s="701"/>
      <c r="BM99" s="702"/>
      <c r="BN99" s="703" t="s">
        <v>159</v>
      </c>
      <c r="BO99" s="704"/>
      <c r="BP99" s="704"/>
      <c r="BQ99" s="704"/>
      <c r="BR99" s="704"/>
      <c r="BS99" s="704"/>
      <c r="BT99" s="704"/>
      <c r="BU99" s="704"/>
      <c r="BV99" s="705"/>
    </row>
    <row r="100" spans="1:74" ht="45" customHeight="1" x14ac:dyDescent="0.25">
      <c r="A100" s="10">
        <f t="shared" si="1"/>
        <v>86</v>
      </c>
      <c r="B100" s="711" t="s">
        <v>159</v>
      </c>
      <c r="C100" s="711"/>
      <c r="D100" s="712" t="s">
        <v>212</v>
      </c>
      <c r="E100" s="712"/>
      <c r="F100" s="664" t="s">
        <v>162</v>
      </c>
      <c r="G100" s="665"/>
      <c r="H100" s="754" t="s">
        <v>162</v>
      </c>
      <c r="I100" s="714"/>
      <c r="J100" s="715"/>
      <c r="K100" s="716"/>
      <c r="L100" s="715"/>
      <c r="M100" s="716"/>
      <c r="N100" s="215"/>
      <c r="O100" s="196"/>
      <c r="P100" s="670"/>
      <c r="Q100" s="671"/>
      <c r="R100" s="719"/>
      <c r="S100" s="720"/>
      <c r="T100" s="721"/>
      <c r="U100" s="722"/>
      <c r="V100" s="723"/>
      <c r="W100" s="724"/>
      <c r="X100" s="725" t="s">
        <v>159</v>
      </c>
      <c r="Y100" s="725"/>
      <c r="Z100" s="725"/>
      <c r="AA100" s="725"/>
      <c r="AB100" s="726" t="s">
        <v>159</v>
      </c>
      <c r="AC100" s="726"/>
      <c r="AD100" s="726"/>
      <c r="AE100" s="726"/>
      <c r="AF100" s="727"/>
      <c r="AG100" s="728"/>
      <c r="AH100" s="727"/>
      <c r="AI100" s="728"/>
      <c r="AJ100" s="682"/>
      <c r="AK100" s="683"/>
      <c r="AL100" s="664" t="s">
        <v>162</v>
      </c>
      <c r="AM100" s="665"/>
      <c r="AN100" s="713" t="s">
        <v>162</v>
      </c>
      <c r="AO100" s="714"/>
      <c r="AP100" s="729"/>
      <c r="AQ100" s="730"/>
      <c r="AR100" s="731"/>
      <c r="AS100" s="732"/>
      <c r="AT100" s="690"/>
      <c r="AU100" s="691"/>
      <c r="AV100" s="713" t="s">
        <v>162</v>
      </c>
      <c r="AW100" s="714"/>
      <c r="AX100" s="692"/>
      <c r="AY100" s="693"/>
      <c r="AZ100" s="694"/>
      <c r="BA100" s="735"/>
      <c r="BB100" s="736"/>
      <c r="BC100" s="219"/>
      <c r="BD100" s="737" t="s">
        <v>162</v>
      </c>
      <c r="BE100" s="738"/>
      <c r="BF100" s="739"/>
      <c r="BG100" s="740"/>
      <c r="BH100" s="740"/>
      <c r="BI100" s="741"/>
      <c r="BJ100" s="742" t="s">
        <v>159</v>
      </c>
      <c r="BK100" s="743"/>
      <c r="BL100" s="743"/>
      <c r="BM100" s="744"/>
      <c r="BN100" s="703" t="s">
        <v>159</v>
      </c>
      <c r="BO100" s="704"/>
      <c r="BP100" s="704"/>
      <c r="BQ100" s="704"/>
      <c r="BR100" s="704"/>
      <c r="BS100" s="704"/>
      <c r="BT100" s="704"/>
      <c r="BU100" s="704"/>
      <c r="BV100" s="705"/>
    </row>
    <row r="101" spans="1:74" ht="45" customHeight="1" x14ac:dyDescent="0.25">
      <c r="A101" s="10">
        <f t="shared" si="1"/>
        <v>87</v>
      </c>
      <c r="B101" s="662" t="s">
        <v>159</v>
      </c>
      <c r="C101" s="662"/>
      <c r="D101" s="663" t="s">
        <v>212</v>
      </c>
      <c r="E101" s="663"/>
      <c r="F101" s="664" t="s">
        <v>162</v>
      </c>
      <c r="G101" s="665"/>
      <c r="H101" s="755" t="s">
        <v>162</v>
      </c>
      <c r="I101" s="667"/>
      <c r="J101" s="706"/>
      <c r="K101" s="707"/>
      <c r="L101" s="706"/>
      <c r="M101" s="707"/>
      <c r="N101" s="194"/>
      <c r="O101" s="216"/>
      <c r="P101" s="717"/>
      <c r="Q101" s="718"/>
      <c r="R101" s="672"/>
      <c r="S101" s="673"/>
      <c r="T101" s="674"/>
      <c r="U101" s="675"/>
      <c r="V101" s="676"/>
      <c r="W101" s="677"/>
      <c r="X101" s="678" t="s">
        <v>159</v>
      </c>
      <c r="Y101" s="678"/>
      <c r="Z101" s="678"/>
      <c r="AA101" s="678"/>
      <c r="AB101" s="679" t="s">
        <v>159</v>
      </c>
      <c r="AC101" s="679"/>
      <c r="AD101" s="679"/>
      <c r="AE101" s="679"/>
      <c r="AF101" s="680"/>
      <c r="AG101" s="681"/>
      <c r="AH101" s="680"/>
      <c r="AI101" s="681"/>
      <c r="AJ101" s="686"/>
      <c r="AK101" s="687"/>
      <c r="AL101" s="684" t="s">
        <v>162</v>
      </c>
      <c r="AM101" s="685"/>
      <c r="AN101" s="666" t="s">
        <v>162</v>
      </c>
      <c r="AO101" s="667"/>
      <c r="AP101" s="686"/>
      <c r="AQ101" s="687"/>
      <c r="AR101" s="688"/>
      <c r="AS101" s="689"/>
      <c r="AT101" s="690"/>
      <c r="AU101" s="691"/>
      <c r="AV101" s="666" t="s">
        <v>162</v>
      </c>
      <c r="AW101" s="667"/>
      <c r="AX101" s="692"/>
      <c r="AY101" s="693"/>
      <c r="AZ101" s="694"/>
      <c r="BA101" s="682"/>
      <c r="BB101" s="683"/>
      <c r="BC101" s="14"/>
      <c r="BD101" s="695" t="s">
        <v>162</v>
      </c>
      <c r="BE101" s="696"/>
      <c r="BF101" s="697"/>
      <c r="BG101" s="698"/>
      <c r="BH101" s="698"/>
      <c r="BI101" s="699"/>
      <c r="BJ101" s="700" t="s">
        <v>159</v>
      </c>
      <c r="BK101" s="701"/>
      <c r="BL101" s="701"/>
      <c r="BM101" s="702"/>
      <c r="BN101" s="703" t="s">
        <v>159</v>
      </c>
      <c r="BO101" s="704"/>
      <c r="BP101" s="704"/>
      <c r="BQ101" s="704"/>
      <c r="BR101" s="704"/>
      <c r="BS101" s="704"/>
      <c r="BT101" s="704"/>
      <c r="BU101" s="704"/>
      <c r="BV101" s="705"/>
    </row>
    <row r="102" spans="1:74" ht="45" customHeight="1" x14ac:dyDescent="0.25">
      <c r="A102" s="10">
        <f t="shared" si="1"/>
        <v>88</v>
      </c>
      <c r="B102" s="711" t="s">
        <v>159</v>
      </c>
      <c r="C102" s="711"/>
      <c r="D102" s="712" t="s">
        <v>212</v>
      </c>
      <c r="E102" s="712"/>
      <c r="F102" s="664" t="s">
        <v>162</v>
      </c>
      <c r="G102" s="665"/>
      <c r="H102" s="754" t="s">
        <v>162</v>
      </c>
      <c r="I102" s="714"/>
      <c r="J102" s="715"/>
      <c r="K102" s="716"/>
      <c r="L102" s="715"/>
      <c r="M102" s="716"/>
      <c r="N102" s="215"/>
      <c r="O102" s="196"/>
      <c r="P102" s="670"/>
      <c r="Q102" s="671"/>
      <c r="R102" s="719"/>
      <c r="S102" s="720"/>
      <c r="T102" s="721"/>
      <c r="U102" s="722"/>
      <c r="V102" s="723"/>
      <c r="W102" s="724"/>
      <c r="X102" s="725" t="s">
        <v>159</v>
      </c>
      <c r="Y102" s="725"/>
      <c r="Z102" s="725"/>
      <c r="AA102" s="725"/>
      <c r="AB102" s="726" t="s">
        <v>159</v>
      </c>
      <c r="AC102" s="726"/>
      <c r="AD102" s="726"/>
      <c r="AE102" s="726"/>
      <c r="AF102" s="727"/>
      <c r="AG102" s="728"/>
      <c r="AH102" s="727"/>
      <c r="AI102" s="728"/>
      <c r="AJ102" s="682"/>
      <c r="AK102" s="683"/>
      <c r="AL102" s="664" t="s">
        <v>162</v>
      </c>
      <c r="AM102" s="665"/>
      <c r="AN102" s="713" t="s">
        <v>162</v>
      </c>
      <c r="AO102" s="714"/>
      <c r="AP102" s="729"/>
      <c r="AQ102" s="730"/>
      <c r="AR102" s="731"/>
      <c r="AS102" s="732"/>
      <c r="AT102" s="690"/>
      <c r="AU102" s="691"/>
      <c r="AV102" s="713" t="s">
        <v>162</v>
      </c>
      <c r="AW102" s="714"/>
      <c r="AX102" s="692"/>
      <c r="AY102" s="693"/>
      <c r="AZ102" s="694"/>
      <c r="BA102" s="735"/>
      <c r="BB102" s="736"/>
      <c r="BC102" s="219"/>
      <c r="BD102" s="737" t="s">
        <v>162</v>
      </c>
      <c r="BE102" s="738"/>
      <c r="BF102" s="739"/>
      <c r="BG102" s="740"/>
      <c r="BH102" s="740"/>
      <c r="BI102" s="741"/>
      <c r="BJ102" s="742" t="s">
        <v>159</v>
      </c>
      <c r="BK102" s="743"/>
      <c r="BL102" s="743"/>
      <c r="BM102" s="744"/>
      <c r="BN102" s="703" t="s">
        <v>159</v>
      </c>
      <c r="BO102" s="704"/>
      <c r="BP102" s="704"/>
      <c r="BQ102" s="704"/>
      <c r="BR102" s="704"/>
      <c r="BS102" s="704"/>
      <c r="BT102" s="704"/>
      <c r="BU102" s="704"/>
      <c r="BV102" s="705"/>
    </row>
    <row r="103" spans="1:74" ht="45" customHeight="1" x14ac:dyDescent="0.25">
      <c r="A103" s="10">
        <f t="shared" si="1"/>
        <v>89</v>
      </c>
      <c r="B103" s="662" t="s">
        <v>159</v>
      </c>
      <c r="C103" s="662"/>
      <c r="D103" s="663" t="s">
        <v>212</v>
      </c>
      <c r="E103" s="663"/>
      <c r="F103" s="664" t="s">
        <v>162</v>
      </c>
      <c r="G103" s="665"/>
      <c r="H103" s="755" t="s">
        <v>162</v>
      </c>
      <c r="I103" s="667"/>
      <c r="J103" s="706"/>
      <c r="K103" s="707"/>
      <c r="L103" s="706"/>
      <c r="M103" s="707"/>
      <c r="N103" s="194"/>
      <c r="O103" s="216"/>
      <c r="P103" s="717"/>
      <c r="Q103" s="718"/>
      <c r="R103" s="672"/>
      <c r="S103" s="673"/>
      <c r="T103" s="674"/>
      <c r="U103" s="675"/>
      <c r="V103" s="676"/>
      <c r="W103" s="677"/>
      <c r="X103" s="678" t="s">
        <v>159</v>
      </c>
      <c r="Y103" s="678"/>
      <c r="Z103" s="678"/>
      <c r="AA103" s="678"/>
      <c r="AB103" s="679" t="s">
        <v>159</v>
      </c>
      <c r="AC103" s="679"/>
      <c r="AD103" s="679"/>
      <c r="AE103" s="679"/>
      <c r="AF103" s="680"/>
      <c r="AG103" s="681"/>
      <c r="AH103" s="680"/>
      <c r="AI103" s="681"/>
      <c r="AJ103" s="686"/>
      <c r="AK103" s="687"/>
      <c r="AL103" s="684" t="s">
        <v>162</v>
      </c>
      <c r="AM103" s="685"/>
      <c r="AN103" s="666" t="s">
        <v>162</v>
      </c>
      <c r="AO103" s="667"/>
      <c r="AP103" s="686"/>
      <c r="AQ103" s="687"/>
      <c r="AR103" s="688"/>
      <c r="AS103" s="689"/>
      <c r="AT103" s="690"/>
      <c r="AU103" s="691"/>
      <c r="AV103" s="666" t="s">
        <v>162</v>
      </c>
      <c r="AW103" s="667"/>
      <c r="AX103" s="692"/>
      <c r="AY103" s="693"/>
      <c r="AZ103" s="694"/>
      <c r="BA103" s="682"/>
      <c r="BB103" s="683"/>
      <c r="BC103" s="14"/>
      <c r="BD103" s="695" t="s">
        <v>162</v>
      </c>
      <c r="BE103" s="696"/>
      <c r="BF103" s="708"/>
      <c r="BG103" s="709"/>
      <c r="BH103" s="709"/>
      <c r="BI103" s="710"/>
      <c r="BJ103" s="700" t="s">
        <v>159</v>
      </c>
      <c r="BK103" s="701"/>
      <c r="BL103" s="701"/>
      <c r="BM103" s="702"/>
      <c r="BN103" s="703" t="s">
        <v>159</v>
      </c>
      <c r="BO103" s="704"/>
      <c r="BP103" s="704"/>
      <c r="BQ103" s="704"/>
      <c r="BR103" s="704"/>
      <c r="BS103" s="704"/>
      <c r="BT103" s="704"/>
      <c r="BU103" s="704"/>
      <c r="BV103" s="705"/>
    </row>
    <row r="104" spans="1:74" ht="45" customHeight="1" x14ac:dyDescent="0.25">
      <c r="A104" s="10">
        <f t="shared" si="1"/>
        <v>90</v>
      </c>
      <c r="B104" s="711" t="s">
        <v>159</v>
      </c>
      <c r="C104" s="711"/>
      <c r="D104" s="712" t="s">
        <v>212</v>
      </c>
      <c r="E104" s="712"/>
      <c r="F104" s="664" t="s">
        <v>162</v>
      </c>
      <c r="G104" s="665"/>
      <c r="H104" s="754" t="s">
        <v>162</v>
      </c>
      <c r="I104" s="714"/>
      <c r="J104" s="715"/>
      <c r="K104" s="716"/>
      <c r="L104" s="715"/>
      <c r="M104" s="716"/>
      <c r="N104" s="215"/>
      <c r="O104" s="196"/>
      <c r="P104" s="670"/>
      <c r="Q104" s="671"/>
      <c r="R104" s="719"/>
      <c r="S104" s="720"/>
      <c r="T104" s="721"/>
      <c r="U104" s="722"/>
      <c r="V104" s="723"/>
      <c r="W104" s="724"/>
      <c r="X104" s="725" t="s">
        <v>159</v>
      </c>
      <c r="Y104" s="725"/>
      <c r="Z104" s="725"/>
      <c r="AA104" s="725"/>
      <c r="AB104" s="726" t="s">
        <v>159</v>
      </c>
      <c r="AC104" s="726"/>
      <c r="AD104" s="726"/>
      <c r="AE104" s="726"/>
      <c r="AF104" s="727"/>
      <c r="AG104" s="728"/>
      <c r="AH104" s="727"/>
      <c r="AI104" s="728"/>
      <c r="AJ104" s="682"/>
      <c r="AK104" s="683"/>
      <c r="AL104" s="664" t="s">
        <v>162</v>
      </c>
      <c r="AM104" s="665"/>
      <c r="AN104" s="713" t="s">
        <v>162</v>
      </c>
      <c r="AO104" s="714"/>
      <c r="AP104" s="729"/>
      <c r="AQ104" s="730"/>
      <c r="AR104" s="731"/>
      <c r="AS104" s="732"/>
      <c r="AT104" s="690"/>
      <c r="AU104" s="691"/>
      <c r="AV104" s="713" t="s">
        <v>162</v>
      </c>
      <c r="AW104" s="714"/>
      <c r="AX104" s="692"/>
      <c r="AY104" s="693"/>
      <c r="AZ104" s="694"/>
      <c r="BA104" s="735"/>
      <c r="BB104" s="736"/>
      <c r="BC104" s="219"/>
      <c r="BD104" s="737" t="s">
        <v>162</v>
      </c>
      <c r="BE104" s="738"/>
      <c r="BF104" s="739"/>
      <c r="BG104" s="740"/>
      <c r="BH104" s="740"/>
      <c r="BI104" s="741"/>
      <c r="BJ104" s="742" t="s">
        <v>159</v>
      </c>
      <c r="BK104" s="743"/>
      <c r="BL104" s="743"/>
      <c r="BM104" s="744"/>
      <c r="BN104" s="703" t="s">
        <v>159</v>
      </c>
      <c r="BO104" s="704"/>
      <c r="BP104" s="704"/>
      <c r="BQ104" s="704"/>
      <c r="BR104" s="704"/>
      <c r="BS104" s="704"/>
      <c r="BT104" s="704"/>
      <c r="BU104" s="704"/>
      <c r="BV104" s="705"/>
    </row>
    <row r="105" spans="1:74" ht="45" customHeight="1" x14ac:dyDescent="0.25">
      <c r="A105" s="10">
        <f t="shared" si="1"/>
        <v>91</v>
      </c>
      <c r="B105" s="662" t="s">
        <v>159</v>
      </c>
      <c r="C105" s="662"/>
      <c r="D105" s="663" t="s">
        <v>212</v>
      </c>
      <c r="E105" s="663"/>
      <c r="F105" s="664" t="s">
        <v>162</v>
      </c>
      <c r="G105" s="665"/>
      <c r="H105" s="755" t="s">
        <v>162</v>
      </c>
      <c r="I105" s="667"/>
      <c r="J105" s="706"/>
      <c r="K105" s="707"/>
      <c r="L105" s="706"/>
      <c r="M105" s="707"/>
      <c r="N105" s="194"/>
      <c r="O105" s="216"/>
      <c r="P105" s="717"/>
      <c r="Q105" s="718"/>
      <c r="R105" s="672"/>
      <c r="S105" s="673"/>
      <c r="T105" s="674"/>
      <c r="U105" s="675"/>
      <c r="V105" s="676"/>
      <c r="W105" s="677"/>
      <c r="X105" s="678" t="s">
        <v>159</v>
      </c>
      <c r="Y105" s="678"/>
      <c r="Z105" s="678"/>
      <c r="AA105" s="678"/>
      <c r="AB105" s="679" t="s">
        <v>159</v>
      </c>
      <c r="AC105" s="679"/>
      <c r="AD105" s="679"/>
      <c r="AE105" s="679"/>
      <c r="AF105" s="680"/>
      <c r="AG105" s="681"/>
      <c r="AH105" s="680"/>
      <c r="AI105" s="681"/>
      <c r="AJ105" s="686"/>
      <c r="AK105" s="687"/>
      <c r="AL105" s="684" t="s">
        <v>162</v>
      </c>
      <c r="AM105" s="685"/>
      <c r="AN105" s="666" t="s">
        <v>162</v>
      </c>
      <c r="AO105" s="667"/>
      <c r="AP105" s="686"/>
      <c r="AQ105" s="687"/>
      <c r="AR105" s="688"/>
      <c r="AS105" s="689"/>
      <c r="AT105" s="690"/>
      <c r="AU105" s="691"/>
      <c r="AV105" s="666" t="s">
        <v>162</v>
      </c>
      <c r="AW105" s="667"/>
      <c r="AX105" s="692"/>
      <c r="AY105" s="693"/>
      <c r="AZ105" s="694"/>
      <c r="BA105" s="682"/>
      <c r="BB105" s="683"/>
      <c r="BC105" s="14"/>
      <c r="BD105" s="695" t="s">
        <v>162</v>
      </c>
      <c r="BE105" s="696"/>
      <c r="BF105" s="708"/>
      <c r="BG105" s="709"/>
      <c r="BH105" s="709"/>
      <c r="BI105" s="710"/>
      <c r="BJ105" s="700" t="s">
        <v>159</v>
      </c>
      <c r="BK105" s="701"/>
      <c r="BL105" s="701"/>
      <c r="BM105" s="702"/>
      <c r="BN105" s="703" t="s">
        <v>159</v>
      </c>
      <c r="BO105" s="704"/>
      <c r="BP105" s="704"/>
      <c r="BQ105" s="704"/>
      <c r="BR105" s="704"/>
      <c r="BS105" s="704"/>
      <c r="BT105" s="704"/>
      <c r="BU105" s="704"/>
      <c r="BV105" s="705"/>
    </row>
    <row r="106" spans="1:74" ht="45" customHeight="1" x14ac:dyDescent="0.25">
      <c r="A106" s="10">
        <f t="shared" si="1"/>
        <v>92</v>
      </c>
      <c r="B106" s="711" t="s">
        <v>159</v>
      </c>
      <c r="C106" s="711"/>
      <c r="D106" s="712" t="s">
        <v>212</v>
      </c>
      <c r="E106" s="712"/>
      <c r="F106" s="664" t="s">
        <v>162</v>
      </c>
      <c r="G106" s="665"/>
      <c r="H106" s="754" t="s">
        <v>162</v>
      </c>
      <c r="I106" s="714"/>
      <c r="J106" s="715"/>
      <c r="K106" s="716"/>
      <c r="L106" s="715"/>
      <c r="M106" s="716"/>
      <c r="N106" s="215"/>
      <c r="O106" s="196"/>
      <c r="P106" s="670"/>
      <c r="Q106" s="671"/>
      <c r="R106" s="719"/>
      <c r="S106" s="720"/>
      <c r="T106" s="721"/>
      <c r="U106" s="722"/>
      <c r="V106" s="723"/>
      <c r="W106" s="724"/>
      <c r="X106" s="725" t="s">
        <v>159</v>
      </c>
      <c r="Y106" s="725"/>
      <c r="Z106" s="725"/>
      <c r="AA106" s="725"/>
      <c r="AB106" s="726" t="s">
        <v>159</v>
      </c>
      <c r="AC106" s="726"/>
      <c r="AD106" s="726"/>
      <c r="AE106" s="726"/>
      <c r="AF106" s="727"/>
      <c r="AG106" s="728"/>
      <c r="AH106" s="727"/>
      <c r="AI106" s="728"/>
      <c r="AJ106" s="682"/>
      <c r="AK106" s="683"/>
      <c r="AL106" s="664" t="s">
        <v>162</v>
      </c>
      <c r="AM106" s="665"/>
      <c r="AN106" s="713" t="s">
        <v>162</v>
      </c>
      <c r="AO106" s="714"/>
      <c r="AP106" s="729"/>
      <c r="AQ106" s="730"/>
      <c r="AR106" s="731"/>
      <c r="AS106" s="732"/>
      <c r="AT106" s="690"/>
      <c r="AU106" s="691"/>
      <c r="AV106" s="713" t="s">
        <v>162</v>
      </c>
      <c r="AW106" s="714"/>
      <c r="AX106" s="692"/>
      <c r="AY106" s="693"/>
      <c r="AZ106" s="694"/>
      <c r="BA106" s="735"/>
      <c r="BB106" s="736"/>
      <c r="BC106" s="219"/>
      <c r="BD106" s="737" t="s">
        <v>162</v>
      </c>
      <c r="BE106" s="738"/>
      <c r="BF106" s="739"/>
      <c r="BG106" s="740"/>
      <c r="BH106" s="740"/>
      <c r="BI106" s="741"/>
      <c r="BJ106" s="742" t="s">
        <v>159</v>
      </c>
      <c r="BK106" s="743"/>
      <c r="BL106" s="743"/>
      <c r="BM106" s="744"/>
      <c r="BN106" s="703" t="s">
        <v>159</v>
      </c>
      <c r="BO106" s="704"/>
      <c r="BP106" s="704"/>
      <c r="BQ106" s="704"/>
      <c r="BR106" s="704"/>
      <c r="BS106" s="704"/>
      <c r="BT106" s="704"/>
      <c r="BU106" s="704"/>
      <c r="BV106" s="705"/>
    </row>
    <row r="107" spans="1:74" ht="45" customHeight="1" x14ac:dyDescent="0.25">
      <c r="A107" s="10">
        <f t="shared" si="1"/>
        <v>93</v>
      </c>
      <c r="B107" s="662" t="s">
        <v>159</v>
      </c>
      <c r="C107" s="662"/>
      <c r="D107" s="663" t="s">
        <v>212</v>
      </c>
      <c r="E107" s="663"/>
      <c r="F107" s="664" t="s">
        <v>162</v>
      </c>
      <c r="G107" s="665"/>
      <c r="H107" s="755" t="s">
        <v>162</v>
      </c>
      <c r="I107" s="667"/>
      <c r="J107" s="706"/>
      <c r="K107" s="707"/>
      <c r="L107" s="706"/>
      <c r="M107" s="707"/>
      <c r="N107" s="194"/>
      <c r="O107" s="216"/>
      <c r="P107" s="717"/>
      <c r="Q107" s="718"/>
      <c r="R107" s="672"/>
      <c r="S107" s="673"/>
      <c r="T107" s="674"/>
      <c r="U107" s="675"/>
      <c r="V107" s="676"/>
      <c r="W107" s="677"/>
      <c r="X107" s="678" t="s">
        <v>159</v>
      </c>
      <c r="Y107" s="678"/>
      <c r="Z107" s="678"/>
      <c r="AA107" s="678"/>
      <c r="AB107" s="679" t="s">
        <v>159</v>
      </c>
      <c r="AC107" s="679"/>
      <c r="AD107" s="679"/>
      <c r="AE107" s="679"/>
      <c r="AF107" s="680"/>
      <c r="AG107" s="681"/>
      <c r="AH107" s="680"/>
      <c r="AI107" s="681"/>
      <c r="AJ107" s="686"/>
      <c r="AK107" s="687"/>
      <c r="AL107" s="684" t="s">
        <v>162</v>
      </c>
      <c r="AM107" s="685"/>
      <c r="AN107" s="666" t="s">
        <v>162</v>
      </c>
      <c r="AO107" s="667"/>
      <c r="AP107" s="686"/>
      <c r="AQ107" s="687"/>
      <c r="AR107" s="688"/>
      <c r="AS107" s="689"/>
      <c r="AT107" s="690"/>
      <c r="AU107" s="691"/>
      <c r="AV107" s="666" t="s">
        <v>162</v>
      </c>
      <c r="AW107" s="667"/>
      <c r="AX107" s="692"/>
      <c r="AY107" s="693"/>
      <c r="AZ107" s="694"/>
      <c r="BA107" s="682"/>
      <c r="BB107" s="683"/>
      <c r="BC107" s="14"/>
      <c r="BD107" s="695" t="s">
        <v>162</v>
      </c>
      <c r="BE107" s="696"/>
      <c r="BF107" s="697"/>
      <c r="BG107" s="698"/>
      <c r="BH107" s="698"/>
      <c r="BI107" s="699"/>
      <c r="BJ107" s="700" t="s">
        <v>159</v>
      </c>
      <c r="BK107" s="701"/>
      <c r="BL107" s="701"/>
      <c r="BM107" s="702"/>
      <c r="BN107" s="703" t="s">
        <v>159</v>
      </c>
      <c r="BO107" s="704"/>
      <c r="BP107" s="704"/>
      <c r="BQ107" s="704"/>
      <c r="BR107" s="704"/>
      <c r="BS107" s="704"/>
      <c r="BT107" s="704"/>
      <c r="BU107" s="704"/>
      <c r="BV107" s="705"/>
    </row>
    <row r="108" spans="1:74" ht="45" customHeight="1" x14ac:dyDescent="0.25">
      <c r="A108" s="10">
        <f t="shared" si="1"/>
        <v>94</v>
      </c>
      <c r="B108" s="711" t="s">
        <v>159</v>
      </c>
      <c r="C108" s="711"/>
      <c r="D108" s="712" t="s">
        <v>212</v>
      </c>
      <c r="E108" s="712"/>
      <c r="F108" s="664" t="s">
        <v>162</v>
      </c>
      <c r="G108" s="665"/>
      <c r="H108" s="754" t="s">
        <v>162</v>
      </c>
      <c r="I108" s="714"/>
      <c r="J108" s="715"/>
      <c r="K108" s="716"/>
      <c r="L108" s="715"/>
      <c r="M108" s="716"/>
      <c r="N108" s="215"/>
      <c r="O108" s="196"/>
      <c r="P108" s="670"/>
      <c r="Q108" s="671"/>
      <c r="R108" s="719"/>
      <c r="S108" s="720"/>
      <c r="T108" s="721"/>
      <c r="U108" s="722"/>
      <c r="V108" s="723"/>
      <c r="W108" s="724"/>
      <c r="X108" s="725" t="s">
        <v>159</v>
      </c>
      <c r="Y108" s="725"/>
      <c r="Z108" s="725"/>
      <c r="AA108" s="725"/>
      <c r="AB108" s="726" t="s">
        <v>159</v>
      </c>
      <c r="AC108" s="726"/>
      <c r="AD108" s="726"/>
      <c r="AE108" s="726"/>
      <c r="AF108" s="727"/>
      <c r="AG108" s="728"/>
      <c r="AH108" s="727"/>
      <c r="AI108" s="728"/>
      <c r="AJ108" s="682"/>
      <c r="AK108" s="683"/>
      <c r="AL108" s="664" t="s">
        <v>162</v>
      </c>
      <c r="AM108" s="665"/>
      <c r="AN108" s="713" t="s">
        <v>162</v>
      </c>
      <c r="AO108" s="714"/>
      <c r="AP108" s="729"/>
      <c r="AQ108" s="730"/>
      <c r="AR108" s="731"/>
      <c r="AS108" s="732"/>
      <c r="AT108" s="690"/>
      <c r="AU108" s="691"/>
      <c r="AV108" s="713" t="s">
        <v>162</v>
      </c>
      <c r="AW108" s="714"/>
      <c r="AX108" s="692"/>
      <c r="AY108" s="693"/>
      <c r="AZ108" s="694"/>
      <c r="BA108" s="735"/>
      <c r="BB108" s="736"/>
      <c r="BC108" s="219"/>
      <c r="BD108" s="737" t="s">
        <v>162</v>
      </c>
      <c r="BE108" s="738"/>
      <c r="BF108" s="739"/>
      <c r="BG108" s="740"/>
      <c r="BH108" s="740"/>
      <c r="BI108" s="741"/>
      <c r="BJ108" s="742" t="s">
        <v>159</v>
      </c>
      <c r="BK108" s="743"/>
      <c r="BL108" s="743"/>
      <c r="BM108" s="744"/>
      <c r="BN108" s="703" t="s">
        <v>159</v>
      </c>
      <c r="BO108" s="704"/>
      <c r="BP108" s="704"/>
      <c r="BQ108" s="704"/>
      <c r="BR108" s="704"/>
      <c r="BS108" s="704"/>
      <c r="BT108" s="704"/>
      <c r="BU108" s="704"/>
      <c r="BV108" s="705"/>
    </row>
    <row r="109" spans="1:74" ht="45" customHeight="1" x14ac:dyDescent="0.25">
      <c r="A109" s="10">
        <f t="shared" si="1"/>
        <v>95</v>
      </c>
      <c r="B109" s="662" t="s">
        <v>159</v>
      </c>
      <c r="C109" s="662"/>
      <c r="D109" s="663" t="s">
        <v>212</v>
      </c>
      <c r="E109" s="663"/>
      <c r="F109" s="664" t="s">
        <v>162</v>
      </c>
      <c r="G109" s="665"/>
      <c r="H109" s="755" t="s">
        <v>162</v>
      </c>
      <c r="I109" s="667"/>
      <c r="J109" s="706"/>
      <c r="K109" s="707"/>
      <c r="L109" s="706"/>
      <c r="M109" s="707"/>
      <c r="N109" s="194"/>
      <c r="O109" s="216"/>
      <c r="P109" s="717"/>
      <c r="Q109" s="718"/>
      <c r="R109" s="672"/>
      <c r="S109" s="673"/>
      <c r="T109" s="674"/>
      <c r="U109" s="675"/>
      <c r="V109" s="676"/>
      <c r="W109" s="677"/>
      <c r="X109" s="678" t="s">
        <v>159</v>
      </c>
      <c r="Y109" s="678"/>
      <c r="Z109" s="678"/>
      <c r="AA109" s="678"/>
      <c r="AB109" s="679" t="s">
        <v>159</v>
      </c>
      <c r="AC109" s="679"/>
      <c r="AD109" s="679"/>
      <c r="AE109" s="679"/>
      <c r="AF109" s="680"/>
      <c r="AG109" s="681"/>
      <c r="AH109" s="680"/>
      <c r="AI109" s="681"/>
      <c r="AJ109" s="686"/>
      <c r="AK109" s="687"/>
      <c r="AL109" s="684" t="s">
        <v>162</v>
      </c>
      <c r="AM109" s="685"/>
      <c r="AN109" s="666" t="s">
        <v>162</v>
      </c>
      <c r="AO109" s="667"/>
      <c r="AP109" s="686"/>
      <c r="AQ109" s="687"/>
      <c r="AR109" s="688"/>
      <c r="AS109" s="689"/>
      <c r="AT109" s="690"/>
      <c r="AU109" s="691"/>
      <c r="AV109" s="666" t="s">
        <v>162</v>
      </c>
      <c r="AW109" s="667"/>
      <c r="AX109" s="692"/>
      <c r="AY109" s="693"/>
      <c r="AZ109" s="694"/>
      <c r="BA109" s="682"/>
      <c r="BB109" s="683"/>
      <c r="BC109" s="14"/>
      <c r="BD109" s="695" t="s">
        <v>162</v>
      </c>
      <c r="BE109" s="696"/>
      <c r="BF109" s="708"/>
      <c r="BG109" s="709"/>
      <c r="BH109" s="709"/>
      <c r="BI109" s="710"/>
      <c r="BJ109" s="700" t="s">
        <v>159</v>
      </c>
      <c r="BK109" s="701"/>
      <c r="BL109" s="701"/>
      <c r="BM109" s="702"/>
      <c r="BN109" s="703" t="s">
        <v>159</v>
      </c>
      <c r="BO109" s="704"/>
      <c r="BP109" s="704"/>
      <c r="BQ109" s="704"/>
      <c r="BR109" s="704"/>
      <c r="BS109" s="704"/>
      <c r="BT109" s="704"/>
      <c r="BU109" s="704"/>
      <c r="BV109" s="705"/>
    </row>
    <row r="110" spans="1:74" ht="45" customHeight="1" x14ac:dyDescent="0.25">
      <c r="A110" s="10">
        <f t="shared" si="1"/>
        <v>96</v>
      </c>
      <c r="B110" s="711" t="s">
        <v>159</v>
      </c>
      <c r="C110" s="711"/>
      <c r="D110" s="712" t="s">
        <v>212</v>
      </c>
      <c r="E110" s="712"/>
      <c r="F110" s="664" t="s">
        <v>162</v>
      </c>
      <c r="G110" s="665"/>
      <c r="H110" s="754" t="s">
        <v>162</v>
      </c>
      <c r="I110" s="714"/>
      <c r="J110" s="715"/>
      <c r="K110" s="716"/>
      <c r="L110" s="715"/>
      <c r="M110" s="716"/>
      <c r="N110" s="215"/>
      <c r="O110" s="196"/>
      <c r="P110" s="670"/>
      <c r="Q110" s="671"/>
      <c r="R110" s="719"/>
      <c r="S110" s="720"/>
      <c r="T110" s="721"/>
      <c r="U110" s="722"/>
      <c r="V110" s="723"/>
      <c r="W110" s="724"/>
      <c r="X110" s="725" t="s">
        <v>159</v>
      </c>
      <c r="Y110" s="725"/>
      <c r="Z110" s="725"/>
      <c r="AA110" s="725"/>
      <c r="AB110" s="726" t="s">
        <v>159</v>
      </c>
      <c r="AC110" s="726"/>
      <c r="AD110" s="726"/>
      <c r="AE110" s="726"/>
      <c r="AF110" s="727"/>
      <c r="AG110" s="728"/>
      <c r="AH110" s="727"/>
      <c r="AI110" s="728"/>
      <c r="AJ110" s="682"/>
      <c r="AK110" s="683"/>
      <c r="AL110" s="664" t="s">
        <v>162</v>
      </c>
      <c r="AM110" s="665"/>
      <c r="AN110" s="713" t="s">
        <v>162</v>
      </c>
      <c r="AO110" s="714"/>
      <c r="AP110" s="729"/>
      <c r="AQ110" s="730"/>
      <c r="AR110" s="731"/>
      <c r="AS110" s="732"/>
      <c r="AT110" s="690"/>
      <c r="AU110" s="691"/>
      <c r="AV110" s="713" t="s">
        <v>162</v>
      </c>
      <c r="AW110" s="714"/>
      <c r="AX110" s="692"/>
      <c r="AY110" s="693"/>
      <c r="AZ110" s="694"/>
      <c r="BA110" s="735"/>
      <c r="BB110" s="736"/>
      <c r="BC110" s="219"/>
      <c r="BD110" s="737" t="s">
        <v>162</v>
      </c>
      <c r="BE110" s="738"/>
      <c r="BF110" s="739"/>
      <c r="BG110" s="740"/>
      <c r="BH110" s="740"/>
      <c r="BI110" s="741"/>
      <c r="BJ110" s="742" t="s">
        <v>159</v>
      </c>
      <c r="BK110" s="743"/>
      <c r="BL110" s="743"/>
      <c r="BM110" s="744"/>
      <c r="BN110" s="703" t="s">
        <v>159</v>
      </c>
      <c r="BO110" s="704"/>
      <c r="BP110" s="704"/>
      <c r="BQ110" s="704"/>
      <c r="BR110" s="704"/>
      <c r="BS110" s="704"/>
      <c r="BT110" s="704"/>
      <c r="BU110" s="704"/>
      <c r="BV110" s="705"/>
    </row>
    <row r="111" spans="1:74" ht="45" customHeight="1" x14ac:dyDescent="0.25">
      <c r="A111" s="10">
        <f t="shared" si="1"/>
        <v>97</v>
      </c>
      <c r="B111" s="662" t="s">
        <v>159</v>
      </c>
      <c r="C111" s="662"/>
      <c r="D111" s="663" t="s">
        <v>212</v>
      </c>
      <c r="E111" s="663"/>
      <c r="F111" s="664" t="s">
        <v>162</v>
      </c>
      <c r="G111" s="665"/>
      <c r="H111" s="755" t="s">
        <v>162</v>
      </c>
      <c r="I111" s="667"/>
      <c r="J111" s="706"/>
      <c r="K111" s="707"/>
      <c r="L111" s="706"/>
      <c r="M111" s="707"/>
      <c r="N111" s="194"/>
      <c r="O111" s="216"/>
      <c r="P111" s="717"/>
      <c r="Q111" s="718"/>
      <c r="R111" s="672"/>
      <c r="S111" s="673"/>
      <c r="T111" s="674"/>
      <c r="U111" s="675"/>
      <c r="V111" s="676"/>
      <c r="W111" s="677"/>
      <c r="X111" s="678" t="s">
        <v>159</v>
      </c>
      <c r="Y111" s="678"/>
      <c r="Z111" s="678"/>
      <c r="AA111" s="678"/>
      <c r="AB111" s="679" t="s">
        <v>159</v>
      </c>
      <c r="AC111" s="679"/>
      <c r="AD111" s="679"/>
      <c r="AE111" s="679"/>
      <c r="AF111" s="680"/>
      <c r="AG111" s="681"/>
      <c r="AH111" s="680"/>
      <c r="AI111" s="681"/>
      <c r="AJ111" s="686"/>
      <c r="AK111" s="687"/>
      <c r="AL111" s="684" t="s">
        <v>162</v>
      </c>
      <c r="AM111" s="685"/>
      <c r="AN111" s="666" t="s">
        <v>162</v>
      </c>
      <c r="AO111" s="667"/>
      <c r="AP111" s="686"/>
      <c r="AQ111" s="687"/>
      <c r="AR111" s="688"/>
      <c r="AS111" s="689"/>
      <c r="AT111" s="690"/>
      <c r="AU111" s="691"/>
      <c r="AV111" s="666" t="s">
        <v>162</v>
      </c>
      <c r="AW111" s="667"/>
      <c r="AX111" s="692"/>
      <c r="AY111" s="693"/>
      <c r="AZ111" s="694"/>
      <c r="BA111" s="682"/>
      <c r="BB111" s="683"/>
      <c r="BC111" s="14"/>
      <c r="BD111" s="695" t="s">
        <v>162</v>
      </c>
      <c r="BE111" s="696"/>
      <c r="BF111" s="697"/>
      <c r="BG111" s="698"/>
      <c r="BH111" s="698"/>
      <c r="BI111" s="699"/>
      <c r="BJ111" s="700" t="s">
        <v>159</v>
      </c>
      <c r="BK111" s="701"/>
      <c r="BL111" s="701"/>
      <c r="BM111" s="702"/>
      <c r="BN111" s="703" t="s">
        <v>159</v>
      </c>
      <c r="BO111" s="704"/>
      <c r="BP111" s="704"/>
      <c r="BQ111" s="704"/>
      <c r="BR111" s="704"/>
      <c r="BS111" s="704"/>
      <c r="BT111" s="704"/>
      <c r="BU111" s="704"/>
      <c r="BV111" s="705"/>
    </row>
    <row r="112" spans="1:74" ht="45" customHeight="1" x14ac:dyDescent="0.25">
      <c r="A112" s="10">
        <f t="shared" si="1"/>
        <v>98</v>
      </c>
      <c r="B112" s="711" t="s">
        <v>159</v>
      </c>
      <c r="C112" s="711"/>
      <c r="D112" s="712" t="s">
        <v>212</v>
      </c>
      <c r="E112" s="712"/>
      <c r="F112" s="664" t="s">
        <v>162</v>
      </c>
      <c r="G112" s="665"/>
      <c r="H112" s="754" t="s">
        <v>162</v>
      </c>
      <c r="I112" s="714"/>
      <c r="J112" s="715"/>
      <c r="K112" s="716"/>
      <c r="L112" s="715"/>
      <c r="M112" s="716"/>
      <c r="N112" s="215"/>
      <c r="O112" s="196"/>
      <c r="P112" s="670"/>
      <c r="Q112" s="671"/>
      <c r="R112" s="719"/>
      <c r="S112" s="720"/>
      <c r="T112" s="721"/>
      <c r="U112" s="722"/>
      <c r="V112" s="723"/>
      <c r="W112" s="724"/>
      <c r="X112" s="725" t="s">
        <v>159</v>
      </c>
      <c r="Y112" s="725"/>
      <c r="Z112" s="725"/>
      <c r="AA112" s="725"/>
      <c r="AB112" s="726" t="s">
        <v>159</v>
      </c>
      <c r="AC112" s="726"/>
      <c r="AD112" s="726"/>
      <c r="AE112" s="726"/>
      <c r="AF112" s="727"/>
      <c r="AG112" s="728"/>
      <c r="AH112" s="727"/>
      <c r="AI112" s="728"/>
      <c r="AJ112" s="682"/>
      <c r="AK112" s="683"/>
      <c r="AL112" s="664" t="s">
        <v>162</v>
      </c>
      <c r="AM112" s="665"/>
      <c r="AN112" s="713" t="s">
        <v>162</v>
      </c>
      <c r="AO112" s="714"/>
      <c r="AP112" s="729"/>
      <c r="AQ112" s="730"/>
      <c r="AR112" s="731"/>
      <c r="AS112" s="732"/>
      <c r="AT112" s="690"/>
      <c r="AU112" s="691"/>
      <c r="AV112" s="713" t="s">
        <v>162</v>
      </c>
      <c r="AW112" s="714"/>
      <c r="AX112" s="692"/>
      <c r="AY112" s="693"/>
      <c r="AZ112" s="694"/>
      <c r="BA112" s="735"/>
      <c r="BB112" s="736"/>
      <c r="BC112" s="219"/>
      <c r="BD112" s="737" t="s">
        <v>162</v>
      </c>
      <c r="BE112" s="738"/>
      <c r="BF112" s="739"/>
      <c r="BG112" s="740"/>
      <c r="BH112" s="740"/>
      <c r="BI112" s="741"/>
      <c r="BJ112" s="742" t="s">
        <v>159</v>
      </c>
      <c r="BK112" s="743"/>
      <c r="BL112" s="743"/>
      <c r="BM112" s="744"/>
      <c r="BN112" s="703" t="s">
        <v>159</v>
      </c>
      <c r="BO112" s="704"/>
      <c r="BP112" s="704"/>
      <c r="BQ112" s="704"/>
      <c r="BR112" s="704"/>
      <c r="BS112" s="704"/>
      <c r="BT112" s="704"/>
      <c r="BU112" s="704"/>
      <c r="BV112" s="705"/>
    </row>
    <row r="113" spans="1:74" ht="45" customHeight="1" x14ac:dyDescent="0.25">
      <c r="A113" s="10">
        <f t="shared" si="1"/>
        <v>99</v>
      </c>
      <c r="B113" s="662" t="s">
        <v>159</v>
      </c>
      <c r="C113" s="662"/>
      <c r="D113" s="663" t="s">
        <v>212</v>
      </c>
      <c r="E113" s="663"/>
      <c r="F113" s="664" t="s">
        <v>162</v>
      </c>
      <c r="G113" s="665"/>
      <c r="H113" s="755" t="s">
        <v>162</v>
      </c>
      <c r="I113" s="667"/>
      <c r="J113" s="706"/>
      <c r="K113" s="707"/>
      <c r="L113" s="706"/>
      <c r="M113" s="707"/>
      <c r="N113" s="194"/>
      <c r="O113" s="216"/>
      <c r="P113" s="717"/>
      <c r="Q113" s="718"/>
      <c r="R113" s="672"/>
      <c r="S113" s="673"/>
      <c r="T113" s="674"/>
      <c r="U113" s="675"/>
      <c r="V113" s="676"/>
      <c r="W113" s="677"/>
      <c r="X113" s="678" t="s">
        <v>159</v>
      </c>
      <c r="Y113" s="678"/>
      <c r="Z113" s="678"/>
      <c r="AA113" s="678"/>
      <c r="AB113" s="679" t="s">
        <v>159</v>
      </c>
      <c r="AC113" s="679"/>
      <c r="AD113" s="679"/>
      <c r="AE113" s="679"/>
      <c r="AF113" s="680"/>
      <c r="AG113" s="681"/>
      <c r="AH113" s="680"/>
      <c r="AI113" s="681"/>
      <c r="AJ113" s="686"/>
      <c r="AK113" s="687"/>
      <c r="AL113" s="684" t="s">
        <v>162</v>
      </c>
      <c r="AM113" s="685"/>
      <c r="AN113" s="666" t="s">
        <v>162</v>
      </c>
      <c r="AO113" s="667"/>
      <c r="AP113" s="686"/>
      <c r="AQ113" s="687"/>
      <c r="AR113" s="688"/>
      <c r="AS113" s="689"/>
      <c r="AT113" s="690"/>
      <c r="AU113" s="691"/>
      <c r="AV113" s="666" t="s">
        <v>162</v>
      </c>
      <c r="AW113" s="667"/>
      <c r="AX113" s="692"/>
      <c r="AY113" s="693"/>
      <c r="AZ113" s="694"/>
      <c r="BA113" s="682"/>
      <c r="BB113" s="683"/>
      <c r="BC113" s="14"/>
      <c r="BD113" s="695" t="s">
        <v>162</v>
      </c>
      <c r="BE113" s="696"/>
      <c r="BF113" s="708"/>
      <c r="BG113" s="709"/>
      <c r="BH113" s="709"/>
      <c r="BI113" s="710"/>
      <c r="BJ113" s="700" t="s">
        <v>159</v>
      </c>
      <c r="BK113" s="701"/>
      <c r="BL113" s="701"/>
      <c r="BM113" s="702"/>
      <c r="BN113" s="703" t="s">
        <v>159</v>
      </c>
      <c r="BO113" s="704"/>
      <c r="BP113" s="704"/>
      <c r="BQ113" s="704"/>
      <c r="BR113" s="704"/>
      <c r="BS113" s="704"/>
      <c r="BT113" s="704"/>
      <c r="BU113" s="704"/>
      <c r="BV113" s="705"/>
    </row>
    <row r="114" spans="1:74" ht="45" customHeight="1" x14ac:dyDescent="0.25">
      <c r="A114" s="10">
        <f t="shared" si="1"/>
        <v>100</v>
      </c>
      <c r="B114" s="711" t="s">
        <v>159</v>
      </c>
      <c r="C114" s="711"/>
      <c r="D114" s="712" t="s">
        <v>212</v>
      </c>
      <c r="E114" s="712"/>
      <c r="F114" s="664" t="s">
        <v>162</v>
      </c>
      <c r="G114" s="665"/>
      <c r="H114" s="754" t="s">
        <v>162</v>
      </c>
      <c r="I114" s="714"/>
      <c r="J114" s="715"/>
      <c r="K114" s="716"/>
      <c r="L114" s="715"/>
      <c r="M114" s="716"/>
      <c r="N114" s="215"/>
      <c r="O114" s="196"/>
      <c r="P114" s="670"/>
      <c r="Q114" s="671"/>
      <c r="R114" s="719"/>
      <c r="S114" s="720"/>
      <c r="T114" s="721"/>
      <c r="U114" s="722"/>
      <c r="V114" s="723"/>
      <c r="W114" s="724"/>
      <c r="X114" s="725" t="s">
        <v>159</v>
      </c>
      <c r="Y114" s="725"/>
      <c r="Z114" s="725"/>
      <c r="AA114" s="725"/>
      <c r="AB114" s="726" t="s">
        <v>159</v>
      </c>
      <c r="AC114" s="726"/>
      <c r="AD114" s="726"/>
      <c r="AE114" s="726"/>
      <c r="AF114" s="727"/>
      <c r="AG114" s="728"/>
      <c r="AH114" s="727"/>
      <c r="AI114" s="728"/>
      <c r="AJ114" s="682"/>
      <c r="AK114" s="683"/>
      <c r="AL114" s="664" t="s">
        <v>162</v>
      </c>
      <c r="AM114" s="665"/>
      <c r="AN114" s="713" t="s">
        <v>162</v>
      </c>
      <c r="AO114" s="714"/>
      <c r="AP114" s="729"/>
      <c r="AQ114" s="730"/>
      <c r="AR114" s="731"/>
      <c r="AS114" s="732"/>
      <c r="AT114" s="690"/>
      <c r="AU114" s="691"/>
      <c r="AV114" s="713" t="s">
        <v>162</v>
      </c>
      <c r="AW114" s="714"/>
      <c r="AX114" s="692"/>
      <c r="AY114" s="693"/>
      <c r="AZ114" s="694"/>
      <c r="BA114" s="735"/>
      <c r="BB114" s="736"/>
      <c r="BC114" s="219"/>
      <c r="BD114" s="737" t="s">
        <v>162</v>
      </c>
      <c r="BE114" s="738"/>
      <c r="BF114" s="739"/>
      <c r="BG114" s="740"/>
      <c r="BH114" s="740"/>
      <c r="BI114" s="741"/>
      <c r="BJ114" s="742" t="s">
        <v>159</v>
      </c>
      <c r="BK114" s="743"/>
      <c r="BL114" s="743"/>
      <c r="BM114" s="744"/>
      <c r="BN114" s="703" t="s">
        <v>159</v>
      </c>
      <c r="BO114" s="704"/>
      <c r="BP114" s="704"/>
      <c r="BQ114" s="704"/>
      <c r="BR114" s="704"/>
      <c r="BS114" s="704"/>
      <c r="BT114" s="704"/>
      <c r="BU114" s="704"/>
      <c r="BV114" s="705"/>
    </row>
    <row r="115" spans="1:74" ht="45" customHeight="1" x14ac:dyDescent="0.25">
      <c r="A115" s="10">
        <f t="shared" si="1"/>
        <v>101</v>
      </c>
      <c r="B115" s="662" t="s">
        <v>159</v>
      </c>
      <c r="C115" s="662"/>
      <c r="D115" s="663" t="s">
        <v>212</v>
      </c>
      <c r="E115" s="663"/>
      <c r="F115" s="664" t="s">
        <v>162</v>
      </c>
      <c r="G115" s="665"/>
      <c r="H115" s="755" t="s">
        <v>162</v>
      </c>
      <c r="I115" s="667"/>
      <c r="J115" s="706"/>
      <c r="K115" s="707"/>
      <c r="L115" s="706"/>
      <c r="M115" s="707"/>
      <c r="N115" s="194"/>
      <c r="O115" s="216"/>
      <c r="P115" s="717"/>
      <c r="Q115" s="718"/>
      <c r="R115" s="672"/>
      <c r="S115" s="673"/>
      <c r="T115" s="674"/>
      <c r="U115" s="675"/>
      <c r="V115" s="676"/>
      <c r="W115" s="677"/>
      <c r="X115" s="678" t="s">
        <v>159</v>
      </c>
      <c r="Y115" s="678"/>
      <c r="Z115" s="678"/>
      <c r="AA115" s="678"/>
      <c r="AB115" s="679" t="s">
        <v>159</v>
      </c>
      <c r="AC115" s="679"/>
      <c r="AD115" s="679"/>
      <c r="AE115" s="679"/>
      <c r="AF115" s="680"/>
      <c r="AG115" s="681"/>
      <c r="AH115" s="680"/>
      <c r="AI115" s="681"/>
      <c r="AJ115" s="686"/>
      <c r="AK115" s="687"/>
      <c r="AL115" s="684" t="s">
        <v>162</v>
      </c>
      <c r="AM115" s="685"/>
      <c r="AN115" s="666" t="s">
        <v>162</v>
      </c>
      <c r="AO115" s="667"/>
      <c r="AP115" s="686"/>
      <c r="AQ115" s="687"/>
      <c r="AR115" s="688"/>
      <c r="AS115" s="689"/>
      <c r="AT115" s="690"/>
      <c r="AU115" s="691"/>
      <c r="AV115" s="666" t="s">
        <v>162</v>
      </c>
      <c r="AW115" s="667"/>
      <c r="AX115" s="692"/>
      <c r="AY115" s="693"/>
      <c r="AZ115" s="694"/>
      <c r="BA115" s="682"/>
      <c r="BB115" s="683"/>
      <c r="BC115" s="14"/>
      <c r="BD115" s="695" t="s">
        <v>162</v>
      </c>
      <c r="BE115" s="696"/>
      <c r="BF115" s="708"/>
      <c r="BG115" s="709"/>
      <c r="BH115" s="709"/>
      <c r="BI115" s="710"/>
      <c r="BJ115" s="700" t="s">
        <v>159</v>
      </c>
      <c r="BK115" s="701"/>
      <c r="BL115" s="701"/>
      <c r="BM115" s="702"/>
      <c r="BN115" s="703" t="s">
        <v>159</v>
      </c>
      <c r="BO115" s="704"/>
      <c r="BP115" s="704"/>
      <c r="BQ115" s="704"/>
      <c r="BR115" s="704"/>
      <c r="BS115" s="704"/>
      <c r="BT115" s="704"/>
      <c r="BU115" s="704"/>
      <c r="BV115" s="705"/>
    </row>
    <row r="116" spans="1:74" ht="45" customHeight="1" x14ac:dyDescent="0.25">
      <c r="A116" s="10">
        <f t="shared" si="1"/>
        <v>102</v>
      </c>
      <c r="B116" s="711" t="s">
        <v>159</v>
      </c>
      <c r="C116" s="711"/>
      <c r="D116" s="712" t="s">
        <v>212</v>
      </c>
      <c r="E116" s="712"/>
      <c r="F116" s="664" t="s">
        <v>162</v>
      </c>
      <c r="G116" s="665"/>
      <c r="H116" s="754" t="s">
        <v>162</v>
      </c>
      <c r="I116" s="714"/>
      <c r="J116" s="715"/>
      <c r="K116" s="716"/>
      <c r="L116" s="715"/>
      <c r="M116" s="716"/>
      <c r="N116" s="215"/>
      <c r="O116" s="196"/>
      <c r="P116" s="670"/>
      <c r="Q116" s="671"/>
      <c r="R116" s="719"/>
      <c r="S116" s="720"/>
      <c r="T116" s="721"/>
      <c r="U116" s="722"/>
      <c r="V116" s="723"/>
      <c r="W116" s="724"/>
      <c r="X116" s="725" t="s">
        <v>159</v>
      </c>
      <c r="Y116" s="725"/>
      <c r="Z116" s="725"/>
      <c r="AA116" s="725"/>
      <c r="AB116" s="726" t="s">
        <v>159</v>
      </c>
      <c r="AC116" s="726"/>
      <c r="AD116" s="726"/>
      <c r="AE116" s="726"/>
      <c r="AF116" s="727"/>
      <c r="AG116" s="728"/>
      <c r="AH116" s="727"/>
      <c r="AI116" s="728"/>
      <c r="AJ116" s="682"/>
      <c r="AK116" s="683"/>
      <c r="AL116" s="664" t="s">
        <v>162</v>
      </c>
      <c r="AM116" s="665"/>
      <c r="AN116" s="713" t="s">
        <v>162</v>
      </c>
      <c r="AO116" s="714"/>
      <c r="AP116" s="729"/>
      <c r="AQ116" s="730"/>
      <c r="AR116" s="731"/>
      <c r="AS116" s="732"/>
      <c r="AT116" s="690"/>
      <c r="AU116" s="691"/>
      <c r="AV116" s="713" t="s">
        <v>162</v>
      </c>
      <c r="AW116" s="714"/>
      <c r="AX116" s="692"/>
      <c r="AY116" s="693"/>
      <c r="AZ116" s="694"/>
      <c r="BA116" s="735"/>
      <c r="BB116" s="736"/>
      <c r="BC116" s="219"/>
      <c r="BD116" s="737" t="s">
        <v>162</v>
      </c>
      <c r="BE116" s="738"/>
      <c r="BF116" s="739"/>
      <c r="BG116" s="740"/>
      <c r="BH116" s="740"/>
      <c r="BI116" s="741"/>
      <c r="BJ116" s="742" t="s">
        <v>159</v>
      </c>
      <c r="BK116" s="743"/>
      <c r="BL116" s="743"/>
      <c r="BM116" s="744"/>
      <c r="BN116" s="703" t="s">
        <v>159</v>
      </c>
      <c r="BO116" s="704"/>
      <c r="BP116" s="704"/>
      <c r="BQ116" s="704"/>
      <c r="BR116" s="704"/>
      <c r="BS116" s="704"/>
      <c r="BT116" s="704"/>
      <c r="BU116" s="704"/>
      <c r="BV116" s="705"/>
    </row>
    <row r="117" spans="1:74" ht="45" customHeight="1" x14ac:dyDescent="0.25">
      <c r="A117" s="10">
        <f t="shared" si="1"/>
        <v>103</v>
      </c>
      <c r="B117" s="662" t="s">
        <v>159</v>
      </c>
      <c r="C117" s="662"/>
      <c r="D117" s="663" t="s">
        <v>212</v>
      </c>
      <c r="E117" s="663"/>
      <c r="F117" s="664" t="s">
        <v>162</v>
      </c>
      <c r="G117" s="665"/>
      <c r="H117" s="755" t="s">
        <v>162</v>
      </c>
      <c r="I117" s="667"/>
      <c r="J117" s="706"/>
      <c r="K117" s="707"/>
      <c r="L117" s="706"/>
      <c r="M117" s="707"/>
      <c r="N117" s="194"/>
      <c r="O117" s="216"/>
      <c r="P117" s="717"/>
      <c r="Q117" s="718"/>
      <c r="R117" s="672"/>
      <c r="S117" s="673"/>
      <c r="T117" s="674"/>
      <c r="U117" s="675"/>
      <c r="V117" s="676"/>
      <c r="W117" s="677"/>
      <c r="X117" s="678" t="s">
        <v>159</v>
      </c>
      <c r="Y117" s="678"/>
      <c r="Z117" s="678"/>
      <c r="AA117" s="678"/>
      <c r="AB117" s="679" t="s">
        <v>159</v>
      </c>
      <c r="AC117" s="679"/>
      <c r="AD117" s="679"/>
      <c r="AE117" s="679"/>
      <c r="AF117" s="680"/>
      <c r="AG117" s="681"/>
      <c r="AH117" s="680"/>
      <c r="AI117" s="681"/>
      <c r="AJ117" s="686"/>
      <c r="AK117" s="687"/>
      <c r="AL117" s="684" t="s">
        <v>162</v>
      </c>
      <c r="AM117" s="685"/>
      <c r="AN117" s="666" t="s">
        <v>162</v>
      </c>
      <c r="AO117" s="667"/>
      <c r="AP117" s="686"/>
      <c r="AQ117" s="687"/>
      <c r="AR117" s="688"/>
      <c r="AS117" s="689"/>
      <c r="AT117" s="690"/>
      <c r="AU117" s="691"/>
      <c r="AV117" s="666" t="s">
        <v>162</v>
      </c>
      <c r="AW117" s="667"/>
      <c r="AX117" s="692"/>
      <c r="AY117" s="693"/>
      <c r="AZ117" s="694"/>
      <c r="BA117" s="682"/>
      <c r="BB117" s="683"/>
      <c r="BC117" s="14"/>
      <c r="BD117" s="695" t="s">
        <v>162</v>
      </c>
      <c r="BE117" s="696"/>
      <c r="BF117" s="697"/>
      <c r="BG117" s="698"/>
      <c r="BH117" s="698"/>
      <c r="BI117" s="699"/>
      <c r="BJ117" s="700" t="s">
        <v>159</v>
      </c>
      <c r="BK117" s="701"/>
      <c r="BL117" s="701"/>
      <c r="BM117" s="702"/>
      <c r="BN117" s="703" t="s">
        <v>159</v>
      </c>
      <c r="BO117" s="704"/>
      <c r="BP117" s="704"/>
      <c r="BQ117" s="704"/>
      <c r="BR117" s="704"/>
      <c r="BS117" s="704"/>
      <c r="BT117" s="704"/>
      <c r="BU117" s="704"/>
      <c r="BV117" s="705"/>
    </row>
    <row r="118" spans="1:74" ht="45" customHeight="1" x14ac:dyDescent="0.25">
      <c r="A118" s="10">
        <f t="shared" si="1"/>
        <v>104</v>
      </c>
      <c r="B118" s="711" t="s">
        <v>159</v>
      </c>
      <c r="C118" s="711"/>
      <c r="D118" s="712" t="s">
        <v>212</v>
      </c>
      <c r="E118" s="712"/>
      <c r="F118" s="664" t="s">
        <v>162</v>
      </c>
      <c r="G118" s="665"/>
      <c r="H118" s="754" t="s">
        <v>162</v>
      </c>
      <c r="I118" s="714"/>
      <c r="J118" s="715"/>
      <c r="K118" s="716"/>
      <c r="L118" s="715"/>
      <c r="M118" s="716"/>
      <c r="N118" s="215"/>
      <c r="O118" s="196"/>
      <c r="P118" s="670"/>
      <c r="Q118" s="671"/>
      <c r="R118" s="719"/>
      <c r="S118" s="720"/>
      <c r="T118" s="721"/>
      <c r="U118" s="722"/>
      <c r="V118" s="723"/>
      <c r="W118" s="724"/>
      <c r="X118" s="725" t="s">
        <v>159</v>
      </c>
      <c r="Y118" s="725"/>
      <c r="Z118" s="725"/>
      <c r="AA118" s="725"/>
      <c r="AB118" s="726" t="s">
        <v>159</v>
      </c>
      <c r="AC118" s="726"/>
      <c r="AD118" s="726"/>
      <c r="AE118" s="726"/>
      <c r="AF118" s="727"/>
      <c r="AG118" s="728"/>
      <c r="AH118" s="727"/>
      <c r="AI118" s="728"/>
      <c r="AJ118" s="682"/>
      <c r="AK118" s="683"/>
      <c r="AL118" s="664" t="s">
        <v>162</v>
      </c>
      <c r="AM118" s="665"/>
      <c r="AN118" s="713" t="s">
        <v>162</v>
      </c>
      <c r="AO118" s="714"/>
      <c r="AP118" s="729"/>
      <c r="AQ118" s="730"/>
      <c r="AR118" s="731"/>
      <c r="AS118" s="732"/>
      <c r="AT118" s="690"/>
      <c r="AU118" s="691"/>
      <c r="AV118" s="713" t="s">
        <v>162</v>
      </c>
      <c r="AW118" s="714"/>
      <c r="AX118" s="692"/>
      <c r="AY118" s="693"/>
      <c r="AZ118" s="694"/>
      <c r="BA118" s="735"/>
      <c r="BB118" s="736"/>
      <c r="BC118" s="219"/>
      <c r="BD118" s="737" t="s">
        <v>162</v>
      </c>
      <c r="BE118" s="738"/>
      <c r="BF118" s="739"/>
      <c r="BG118" s="740"/>
      <c r="BH118" s="740"/>
      <c r="BI118" s="741"/>
      <c r="BJ118" s="742" t="s">
        <v>159</v>
      </c>
      <c r="BK118" s="743"/>
      <c r="BL118" s="743"/>
      <c r="BM118" s="744"/>
      <c r="BN118" s="703" t="s">
        <v>159</v>
      </c>
      <c r="BO118" s="704"/>
      <c r="BP118" s="704"/>
      <c r="BQ118" s="704"/>
      <c r="BR118" s="704"/>
      <c r="BS118" s="704"/>
      <c r="BT118" s="704"/>
      <c r="BU118" s="704"/>
      <c r="BV118" s="705"/>
    </row>
    <row r="119" spans="1:74" ht="45" customHeight="1" x14ac:dyDescent="0.25">
      <c r="A119" s="10">
        <f t="shared" si="1"/>
        <v>105</v>
      </c>
      <c r="B119" s="662" t="s">
        <v>159</v>
      </c>
      <c r="C119" s="662"/>
      <c r="D119" s="663" t="s">
        <v>212</v>
      </c>
      <c r="E119" s="663"/>
      <c r="F119" s="664" t="s">
        <v>162</v>
      </c>
      <c r="G119" s="665"/>
      <c r="H119" s="755" t="s">
        <v>162</v>
      </c>
      <c r="I119" s="667"/>
      <c r="J119" s="706"/>
      <c r="K119" s="707"/>
      <c r="L119" s="706"/>
      <c r="M119" s="707"/>
      <c r="N119" s="194"/>
      <c r="O119" s="216"/>
      <c r="P119" s="717"/>
      <c r="Q119" s="718"/>
      <c r="R119" s="672"/>
      <c r="S119" s="673"/>
      <c r="T119" s="674"/>
      <c r="U119" s="675"/>
      <c r="V119" s="676"/>
      <c r="W119" s="677"/>
      <c r="X119" s="678" t="s">
        <v>159</v>
      </c>
      <c r="Y119" s="678"/>
      <c r="Z119" s="678"/>
      <c r="AA119" s="678"/>
      <c r="AB119" s="679" t="s">
        <v>159</v>
      </c>
      <c r="AC119" s="679"/>
      <c r="AD119" s="679"/>
      <c r="AE119" s="679"/>
      <c r="AF119" s="680"/>
      <c r="AG119" s="681"/>
      <c r="AH119" s="680"/>
      <c r="AI119" s="681"/>
      <c r="AJ119" s="686"/>
      <c r="AK119" s="687"/>
      <c r="AL119" s="684" t="s">
        <v>162</v>
      </c>
      <c r="AM119" s="685"/>
      <c r="AN119" s="666" t="s">
        <v>162</v>
      </c>
      <c r="AO119" s="667"/>
      <c r="AP119" s="686"/>
      <c r="AQ119" s="687"/>
      <c r="AR119" s="688"/>
      <c r="AS119" s="689"/>
      <c r="AT119" s="690"/>
      <c r="AU119" s="691"/>
      <c r="AV119" s="666" t="s">
        <v>162</v>
      </c>
      <c r="AW119" s="667"/>
      <c r="AX119" s="692"/>
      <c r="AY119" s="693"/>
      <c r="AZ119" s="694"/>
      <c r="BA119" s="682"/>
      <c r="BB119" s="683"/>
      <c r="BC119" s="14"/>
      <c r="BD119" s="695" t="s">
        <v>162</v>
      </c>
      <c r="BE119" s="696"/>
      <c r="BF119" s="708"/>
      <c r="BG119" s="709"/>
      <c r="BH119" s="709"/>
      <c r="BI119" s="710"/>
      <c r="BJ119" s="700" t="s">
        <v>159</v>
      </c>
      <c r="BK119" s="701"/>
      <c r="BL119" s="701"/>
      <c r="BM119" s="702"/>
      <c r="BN119" s="703" t="s">
        <v>159</v>
      </c>
      <c r="BO119" s="704"/>
      <c r="BP119" s="704"/>
      <c r="BQ119" s="704"/>
      <c r="BR119" s="704"/>
      <c r="BS119" s="704"/>
      <c r="BT119" s="704"/>
      <c r="BU119" s="704"/>
      <c r="BV119" s="705"/>
    </row>
    <row r="120" spans="1:74" ht="45" customHeight="1" x14ac:dyDescent="0.25">
      <c r="A120" s="10">
        <f t="shared" si="1"/>
        <v>106</v>
      </c>
      <c r="B120" s="711" t="s">
        <v>159</v>
      </c>
      <c r="C120" s="711"/>
      <c r="D120" s="712" t="s">
        <v>212</v>
      </c>
      <c r="E120" s="712"/>
      <c r="F120" s="664" t="s">
        <v>162</v>
      </c>
      <c r="G120" s="665"/>
      <c r="H120" s="754" t="s">
        <v>162</v>
      </c>
      <c r="I120" s="714"/>
      <c r="J120" s="715"/>
      <c r="K120" s="716"/>
      <c r="L120" s="715"/>
      <c r="M120" s="716"/>
      <c r="N120" s="215"/>
      <c r="O120" s="196"/>
      <c r="P120" s="670"/>
      <c r="Q120" s="671"/>
      <c r="R120" s="719"/>
      <c r="S120" s="720"/>
      <c r="T120" s="721"/>
      <c r="U120" s="722"/>
      <c r="V120" s="723"/>
      <c r="W120" s="724"/>
      <c r="X120" s="725" t="s">
        <v>159</v>
      </c>
      <c r="Y120" s="725"/>
      <c r="Z120" s="725"/>
      <c r="AA120" s="725"/>
      <c r="AB120" s="726" t="s">
        <v>159</v>
      </c>
      <c r="AC120" s="726"/>
      <c r="AD120" s="726"/>
      <c r="AE120" s="726"/>
      <c r="AF120" s="727"/>
      <c r="AG120" s="728"/>
      <c r="AH120" s="727"/>
      <c r="AI120" s="728"/>
      <c r="AJ120" s="682"/>
      <c r="AK120" s="683"/>
      <c r="AL120" s="664" t="s">
        <v>162</v>
      </c>
      <c r="AM120" s="665"/>
      <c r="AN120" s="713" t="s">
        <v>162</v>
      </c>
      <c r="AO120" s="714"/>
      <c r="AP120" s="729"/>
      <c r="AQ120" s="730"/>
      <c r="AR120" s="731"/>
      <c r="AS120" s="732"/>
      <c r="AT120" s="690"/>
      <c r="AU120" s="691"/>
      <c r="AV120" s="713" t="s">
        <v>162</v>
      </c>
      <c r="AW120" s="714"/>
      <c r="AX120" s="692"/>
      <c r="AY120" s="693"/>
      <c r="AZ120" s="694"/>
      <c r="BA120" s="735"/>
      <c r="BB120" s="736"/>
      <c r="BC120" s="219"/>
      <c r="BD120" s="737" t="s">
        <v>162</v>
      </c>
      <c r="BE120" s="738"/>
      <c r="BF120" s="739"/>
      <c r="BG120" s="740"/>
      <c r="BH120" s="740"/>
      <c r="BI120" s="741"/>
      <c r="BJ120" s="742" t="s">
        <v>159</v>
      </c>
      <c r="BK120" s="743"/>
      <c r="BL120" s="743"/>
      <c r="BM120" s="744"/>
      <c r="BN120" s="703" t="s">
        <v>159</v>
      </c>
      <c r="BO120" s="704"/>
      <c r="BP120" s="704"/>
      <c r="BQ120" s="704"/>
      <c r="BR120" s="704"/>
      <c r="BS120" s="704"/>
      <c r="BT120" s="704"/>
      <c r="BU120" s="704"/>
      <c r="BV120" s="705"/>
    </row>
    <row r="121" spans="1:74" ht="45" customHeight="1" x14ac:dyDescent="0.25">
      <c r="A121" s="10">
        <f t="shared" si="1"/>
        <v>107</v>
      </c>
      <c r="B121" s="662" t="s">
        <v>159</v>
      </c>
      <c r="C121" s="662"/>
      <c r="D121" s="663" t="s">
        <v>212</v>
      </c>
      <c r="E121" s="663"/>
      <c r="F121" s="664" t="s">
        <v>162</v>
      </c>
      <c r="G121" s="665"/>
      <c r="H121" s="755" t="s">
        <v>162</v>
      </c>
      <c r="I121" s="667"/>
      <c r="J121" s="706"/>
      <c r="K121" s="707"/>
      <c r="L121" s="706"/>
      <c r="M121" s="707"/>
      <c r="N121" s="194"/>
      <c r="O121" s="216"/>
      <c r="P121" s="717"/>
      <c r="Q121" s="718"/>
      <c r="R121" s="672"/>
      <c r="S121" s="673"/>
      <c r="T121" s="674"/>
      <c r="U121" s="675"/>
      <c r="V121" s="676"/>
      <c r="W121" s="677"/>
      <c r="X121" s="678" t="s">
        <v>159</v>
      </c>
      <c r="Y121" s="678"/>
      <c r="Z121" s="678"/>
      <c r="AA121" s="678"/>
      <c r="AB121" s="679" t="s">
        <v>159</v>
      </c>
      <c r="AC121" s="679"/>
      <c r="AD121" s="679"/>
      <c r="AE121" s="679"/>
      <c r="AF121" s="680"/>
      <c r="AG121" s="681"/>
      <c r="AH121" s="680"/>
      <c r="AI121" s="681"/>
      <c r="AJ121" s="686"/>
      <c r="AK121" s="687"/>
      <c r="AL121" s="684" t="s">
        <v>162</v>
      </c>
      <c r="AM121" s="685"/>
      <c r="AN121" s="666" t="s">
        <v>162</v>
      </c>
      <c r="AO121" s="667"/>
      <c r="AP121" s="686"/>
      <c r="AQ121" s="687"/>
      <c r="AR121" s="688"/>
      <c r="AS121" s="689"/>
      <c r="AT121" s="690"/>
      <c r="AU121" s="691"/>
      <c r="AV121" s="666" t="s">
        <v>162</v>
      </c>
      <c r="AW121" s="667"/>
      <c r="AX121" s="692"/>
      <c r="AY121" s="693"/>
      <c r="AZ121" s="694"/>
      <c r="BA121" s="682"/>
      <c r="BB121" s="683"/>
      <c r="BC121" s="14"/>
      <c r="BD121" s="695" t="s">
        <v>162</v>
      </c>
      <c r="BE121" s="696"/>
      <c r="BF121" s="697"/>
      <c r="BG121" s="698"/>
      <c r="BH121" s="698"/>
      <c r="BI121" s="699"/>
      <c r="BJ121" s="700" t="s">
        <v>159</v>
      </c>
      <c r="BK121" s="701"/>
      <c r="BL121" s="701"/>
      <c r="BM121" s="702"/>
      <c r="BN121" s="703" t="s">
        <v>159</v>
      </c>
      <c r="BO121" s="704"/>
      <c r="BP121" s="704"/>
      <c r="BQ121" s="704"/>
      <c r="BR121" s="704"/>
      <c r="BS121" s="704"/>
      <c r="BT121" s="704"/>
      <c r="BU121" s="704"/>
      <c r="BV121" s="705"/>
    </row>
    <row r="122" spans="1:74" ht="45" customHeight="1" x14ac:dyDescent="0.25">
      <c r="A122" s="10">
        <f t="shared" si="1"/>
        <v>108</v>
      </c>
      <c r="B122" s="711" t="s">
        <v>159</v>
      </c>
      <c r="C122" s="711"/>
      <c r="D122" s="712" t="s">
        <v>212</v>
      </c>
      <c r="E122" s="712"/>
      <c r="F122" s="664" t="s">
        <v>162</v>
      </c>
      <c r="G122" s="665"/>
      <c r="H122" s="754" t="s">
        <v>162</v>
      </c>
      <c r="I122" s="714"/>
      <c r="J122" s="715"/>
      <c r="K122" s="716"/>
      <c r="L122" s="715"/>
      <c r="M122" s="716"/>
      <c r="N122" s="215"/>
      <c r="O122" s="196"/>
      <c r="P122" s="670"/>
      <c r="Q122" s="671"/>
      <c r="R122" s="719"/>
      <c r="S122" s="720"/>
      <c r="T122" s="721"/>
      <c r="U122" s="722"/>
      <c r="V122" s="723"/>
      <c r="W122" s="724"/>
      <c r="X122" s="725" t="s">
        <v>159</v>
      </c>
      <c r="Y122" s="725"/>
      <c r="Z122" s="725"/>
      <c r="AA122" s="725"/>
      <c r="AB122" s="726" t="s">
        <v>159</v>
      </c>
      <c r="AC122" s="726"/>
      <c r="AD122" s="726"/>
      <c r="AE122" s="726"/>
      <c r="AF122" s="727"/>
      <c r="AG122" s="728"/>
      <c r="AH122" s="727"/>
      <c r="AI122" s="728"/>
      <c r="AJ122" s="682"/>
      <c r="AK122" s="683"/>
      <c r="AL122" s="664" t="s">
        <v>162</v>
      </c>
      <c r="AM122" s="665"/>
      <c r="AN122" s="713" t="s">
        <v>162</v>
      </c>
      <c r="AO122" s="714"/>
      <c r="AP122" s="729"/>
      <c r="AQ122" s="730"/>
      <c r="AR122" s="731"/>
      <c r="AS122" s="732"/>
      <c r="AT122" s="690"/>
      <c r="AU122" s="691"/>
      <c r="AV122" s="713" t="s">
        <v>162</v>
      </c>
      <c r="AW122" s="714"/>
      <c r="AX122" s="692"/>
      <c r="AY122" s="693"/>
      <c r="AZ122" s="694"/>
      <c r="BA122" s="735"/>
      <c r="BB122" s="736"/>
      <c r="BC122" s="219"/>
      <c r="BD122" s="737" t="s">
        <v>162</v>
      </c>
      <c r="BE122" s="738"/>
      <c r="BF122" s="739"/>
      <c r="BG122" s="740"/>
      <c r="BH122" s="740"/>
      <c r="BI122" s="741"/>
      <c r="BJ122" s="742" t="s">
        <v>159</v>
      </c>
      <c r="BK122" s="743"/>
      <c r="BL122" s="743"/>
      <c r="BM122" s="744"/>
      <c r="BN122" s="703" t="s">
        <v>159</v>
      </c>
      <c r="BO122" s="704"/>
      <c r="BP122" s="704"/>
      <c r="BQ122" s="704"/>
      <c r="BR122" s="704"/>
      <c r="BS122" s="704"/>
      <c r="BT122" s="704"/>
      <c r="BU122" s="704"/>
      <c r="BV122" s="705"/>
    </row>
    <row r="123" spans="1:74" ht="45" customHeight="1" x14ac:dyDescent="0.25">
      <c r="A123" s="10">
        <f t="shared" si="1"/>
        <v>109</v>
      </c>
      <c r="B123" s="662" t="s">
        <v>159</v>
      </c>
      <c r="C123" s="662"/>
      <c r="D123" s="663" t="s">
        <v>212</v>
      </c>
      <c r="E123" s="663"/>
      <c r="F123" s="664" t="s">
        <v>162</v>
      </c>
      <c r="G123" s="665"/>
      <c r="H123" s="755" t="s">
        <v>162</v>
      </c>
      <c r="I123" s="667"/>
      <c r="J123" s="706"/>
      <c r="K123" s="707"/>
      <c r="L123" s="706"/>
      <c r="M123" s="707"/>
      <c r="N123" s="194"/>
      <c r="O123" s="216"/>
      <c r="P123" s="717"/>
      <c r="Q123" s="718"/>
      <c r="R123" s="672"/>
      <c r="S123" s="673"/>
      <c r="T123" s="674"/>
      <c r="U123" s="675"/>
      <c r="V123" s="676"/>
      <c r="W123" s="677"/>
      <c r="X123" s="678" t="s">
        <v>159</v>
      </c>
      <c r="Y123" s="678"/>
      <c r="Z123" s="678"/>
      <c r="AA123" s="678"/>
      <c r="AB123" s="679" t="s">
        <v>159</v>
      </c>
      <c r="AC123" s="679"/>
      <c r="AD123" s="679"/>
      <c r="AE123" s="679"/>
      <c r="AF123" s="680"/>
      <c r="AG123" s="681"/>
      <c r="AH123" s="680"/>
      <c r="AI123" s="681"/>
      <c r="AJ123" s="686"/>
      <c r="AK123" s="687"/>
      <c r="AL123" s="684" t="s">
        <v>162</v>
      </c>
      <c r="AM123" s="685"/>
      <c r="AN123" s="666" t="s">
        <v>162</v>
      </c>
      <c r="AO123" s="667"/>
      <c r="AP123" s="686"/>
      <c r="AQ123" s="687"/>
      <c r="AR123" s="688"/>
      <c r="AS123" s="689"/>
      <c r="AT123" s="690"/>
      <c r="AU123" s="691"/>
      <c r="AV123" s="666" t="s">
        <v>162</v>
      </c>
      <c r="AW123" s="667"/>
      <c r="AX123" s="692"/>
      <c r="AY123" s="693"/>
      <c r="AZ123" s="694"/>
      <c r="BA123" s="682"/>
      <c r="BB123" s="683"/>
      <c r="BC123" s="14"/>
      <c r="BD123" s="695" t="s">
        <v>162</v>
      </c>
      <c r="BE123" s="696"/>
      <c r="BF123" s="708"/>
      <c r="BG123" s="709"/>
      <c r="BH123" s="709"/>
      <c r="BI123" s="710"/>
      <c r="BJ123" s="700" t="s">
        <v>159</v>
      </c>
      <c r="BK123" s="701"/>
      <c r="BL123" s="701"/>
      <c r="BM123" s="702"/>
      <c r="BN123" s="703" t="s">
        <v>159</v>
      </c>
      <c r="BO123" s="704"/>
      <c r="BP123" s="704"/>
      <c r="BQ123" s="704"/>
      <c r="BR123" s="704"/>
      <c r="BS123" s="704"/>
      <c r="BT123" s="704"/>
      <c r="BU123" s="704"/>
      <c r="BV123" s="705"/>
    </row>
    <row r="124" spans="1:74" ht="45" customHeight="1" x14ac:dyDescent="0.25">
      <c r="A124" s="10">
        <f t="shared" si="1"/>
        <v>110</v>
      </c>
      <c r="B124" s="711" t="s">
        <v>159</v>
      </c>
      <c r="C124" s="711"/>
      <c r="D124" s="712" t="s">
        <v>212</v>
      </c>
      <c r="E124" s="712"/>
      <c r="F124" s="664" t="s">
        <v>162</v>
      </c>
      <c r="G124" s="665"/>
      <c r="H124" s="754" t="s">
        <v>162</v>
      </c>
      <c r="I124" s="714"/>
      <c r="J124" s="715"/>
      <c r="K124" s="716"/>
      <c r="L124" s="715"/>
      <c r="M124" s="716"/>
      <c r="N124" s="215"/>
      <c r="O124" s="196"/>
      <c r="P124" s="670"/>
      <c r="Q124" s="671"/>
      <c r="R124" s="719"/>
      <c r="S124" s="720"/>
      <c r="T124" s="721"/>
      <c r="U124" s="722"/>
      <c r="V124" s="723"/>
      <c r="W124" s="724"/>
      <c r="X124" s="725" t="s">
        <v>159</v>
      </c>
      <c r="Y124" s="725"/>
      <c r="Z124" s="725"/>
      <c r="AA124" s="725"/>
      <c r="AB124" s="726" t="s">
        <v>159</v>
      </c>
      <c r="AC124" s="726"/>
      <c r="AD124" s="726"/>
      <c r="AE124" s="726"/>
      <c r="AF124" s="727"/>
      <c r="AG124" s="728"/>
      <c r="AH124" s="727"/>
      <c r="AI124" s="728"/>
      <c r="AJ124" s="682"/>
      <c r="AK124" s="683"/>
      <c r="AL124" s="664" t="s">
        <v>162</v>
      </c>
      <c r="AM124" s="665"/>
      <c r="AN124" s="713" t="s">
        <v>162</v>
      </c>
      <c r="AO124" s="714"/>
      <c r="AP124" s="729"/>
      <c r="AQ124" s="730"/>
      <c r="AR124" s="731"/>
      <c r="AS124" s="732"/>
      <c r="AT124" s="690"/>
      <c r="AU124" s="691"/>
      <c r="AV124" s="713" t="s">
        <v>162</v>
      </c>
      <c r="AW124" s="714"/>
      <c r="AX124" s="692"/>
      <c r="AY124" s="693"/>
      <c r="AZ124" s="694"/>
      <c r="BA124" s="735"/>
      <c r="BB124" s="736"/>
      <c r="BC124" s="219"/>
      <c r="BD124" s="737" t="s">
        <v>162</v>
      </c>
      <c r="BE124" s="738"/>
      <c r="BF124" s="739"/>
      <c r="BG124" s="740"/>
      <c r="BH124" s="740"/>
      <c r="BI124" s="741"/>
      <c r="BJ124" s="742" t="s">
        <v>159</v>
      </c>
      <c r="BK124" s="743"/>
      <c r="BL124" s="743"/>
      <c r="BM124" s="744"/>
      <c r="BN124" s="703" t="s">
        <v>159</v>
      </c>
      <c r="BO124" s="704"/>
      <c r="BP124" s="704"/>
      <c r="BQ124" s="704"/>
      <c r="BR124" s="704"/>
      <c r="BS124" s="704"/>
      <c r="BT124" s="704"/>
      <c r="BU124" s="704"/>
      <c r="BV124" s="705"/>
    </row>
    <row r="125" spans="1:74" ht="45" customHeight="1" x14ac:dyDescent="0.25">
      <c r="A125" s="10">
        <f t="shared" si="1"/>
        <v>111</v>
      </c>
      <c r="B125" s="662" t="s">
        <v>159</v>
      </c>
      <c r="C125" s="662"/>
      <c r="D125" s="663" t="s">
        <v>212</v>
      </c>
      <c r="E125" s="663"/>
      <c r="F125" s="664" t="s">
        <v>162</v>
      </c>
      <c r="G125" s="665"/>
      <c r="H125" s="755" t="s">
        <v>162</v>
      </c>
      <c r="I125" s="667"/>
      <c r="J125" s="706"/>
      <c r="K125" s="707"/>
      <c r="L125" s="706"/>
      <c r="M125" s="707"/>
      <c r="N125" s="194"/>
      <c r="O125" s="216"/>
      <c r="P125" s="717"/>
      <c r="Q125" s="718"/>
      <c r="R125" s="672"/>
      <c r="S125" s="673"/>
      <c r="T125" s="674"/>
      <c r="U125" s="675"/>
      <c r="V125" s="676"/>
      <c r="W125" s="677"/>
      <c r="X125" s="678" t="s">
        <v>159</v>
      </c>
      <c r="Y125" s="678"/>
      <c r="Z125" s="678"/>
      <c r="AA125" s="678"/>
      <c r="AB125" s="679" t="s">
        <v>159</v>
      </c>
      <c r="AC125" s="679"/>
      <c r="AD125" s="679"/>
      <c r="AE125" s="679"/>
      <c r="AF125" s="680"/>
      <c r="AG125" s="681"/>
      <c r="AH125" s="680"/>
      <c r="AI125" s="681"/>
      <c r="AJ125" s="686"/>
      <c r="AK125" s="687"/>
      <c r="AL125" s="684" t="s">
        <v>162</v>
      </c>
      <c r="AM125" s="685"/>
      <c r="AN125" s="666" t="s">
        <v>162</v>
      </c>
      <c r="AO125" s="667"/>
      <c r="AP125" s="686"/>
      <c r="AQ125" s="687"/>
      <c r="AR125" s="688"/>
      <c r="AS125" s="689"/>
      <c r="AT125" s="690"/>
      <c r="AU125" s="691"/>
      <c r="AV125" s="666" t="s">
        <v>162</v>
      </c>
      <c r="AW125" s="667"/>
      <c r="AX125" s="692"/>
      <c r="AY125" s="693"/>
      <c r="AZ125" s="694"/>
      <c r="BA125" s="682"/>
      <c r="BB125" s="683"/>
      <c r="BC125" s="14"/>
      <c r="BD125" s="695" t="s">
        <v>162</v>
      </c>
      <c r="BE125" s="696"/>
      <c r="BF125" s="708"/>
      <c r="BG125" s="709"/>
      <c r="BH125" s="709"/>
      <c r="BI125" s="710"/>
      <c r="BJ125" s="700" t="s">
        <v>159</v>
      </c>
      <c r="BK125" s="701"/>
      <c r="BL125" s="701"/>
      <c r="BM125" s="702"/>
      <c r="BN125" s="703" t="s">
        <v>159</v>
      </c>
      <c r="BO125" s="704"/>
      <c r="BP125" s="704"/>
      <c r="BQ125" s="704"/>
      <c r="BR125" s="704"/>
      <c r="BS125" s="704"/>
      <c r="BT125" s="704"/>
      <c r="BU125" s="704"/>
      <c r="BV125" s="705"/>
    </row>
    <row r="126" spans="1:74" ht="45" customHeight="1" x14ac:dyDescent="0.25">
      <c r="A126" s="10">
        <f t="shared" si="1"/>
        <v>112</v>
      </c>
      <c r="B126" s="711" t="s">
        <v>159</v>
      </c>
      <c r="C126" s="711"/>
      <c r="D126" s="712" t="s">
        <v>212</v>
      </c>
      <c r="E126" s="712"/>
      <c r="F126" s="664" t="s">
        <v>162</v>
      </c>
      <c r="G126" s="665"/>
      <c r="H126" s="754" t="s">
        <v>162</v>
      </c>
      <c r="I126" s="714"/>
      <c r="J126" s="715"/>
      <c r="K126" s="716"/>
      <c r="L126" s="715"/>
      <c r="M126" s="716"/>
      <c r="N126" s="215"/>
      <c r="O126" s="196"/>
      <c r="P126" s="670"/>
      <c r="Q126" s="671"/>
      <c r="R126" s="719"/>
      <c r="S126" s="720"/>
      <c r="T126" s="721"/>
      <c r="U126" s="722"/>
      <c r="V126" s="723"/>
      <c r="W126" s="724"/>
      <c r="X126" s="725" t="s">
        <v>159</v>
      </c>
      <c r="Y126" s="725"/>
      <c r="Z126" s="725"/>
      <c r="AA126" s="725"/>
      <c r="AB126" s="726" t="s">
        <v>159</v>
      </c>
      <c r="AC126" s="726"/>
      <c r="AD126" s="726"/>
      <c r="AE126" s="726"/>
      <c r="AF126" s="727"/>
      <c r="AG126" s="728"/>
      <c r="AH126" s="727"/>
      <c r="AI126" s="728"/>
      <c r="AJ126" s="682"/>
      <c r="AK126" s="683"/>
      <c r="AL126" s="664" t="s">
        <v>162</v>
      </c>
      <c r="AM126" s="665"/>
      <c r="AN126" s="713" t="s">
        <v>162</v>
      </c>
      <c r="AO126" s="714"/>
      <c r="AP126" s="729"/>
      <c r="AQ126" s="730"/>
      <c r="AR126" s="731"/>
      <c r="AS126" s="732"/>
      <c r="AT126" s="690"/>
      <c r="AU126" s="691"/>
      <c r="AV126" s="713" t="s">
        <v>162</v>
      </c>
      <c r="AW126" s="714"/>
      <c r="AX126" s="692"/>
      <c r="AY126" s="693"/>
      <c r="AZ126" s="694"/>
      <c r="BA126" s="735"/>
      <c r="BB126" s="736"/>
      <c r="BC126" s="219"/>
      <c r="BD126" s="737" t="s">
        <v>162</v>
      </c>
      <c r="BE126" s="738"/>
      <c r="BF126" s="739"/>
      <c r="BG126" s="740"/>
      <c r="BH126" s="740"/>
      <c r="BI126" s="741"/>
      <c r="BJ126" s="742" t="s">
        <v>159</v>
      </c>
      <c r="BK126" s="743"/>
      <c r="BL126" s="743"/>
      <c r="BM126" s="744"/>
      <c r="BN126" s="703" t="s">
        <v>159</v>
      </c>
      <c r="BO126" s="704"/>
      <c r="BP126" s="704"/>
      <c r="BQ126" s="704"/>
      <c r="BR126" s="704"/>
      <c r="BS126" s="704"/>
      <c r="BT126" s="704"/>
      <c r="BU126" s="704"/>
      <c r="BV126" s="705"/>
    </row>
    <row r="127" spans="1:74" ht="45" customHeight="1" x14ac:dyDescent="0.25">
      <c r="A127" s="10">
        <f t="shared" si="1"/>
        <v>113</v>
      </c>
      <c r="B127" s="662" t="s">
        <v>159</v>
      </c>
      <c r="C127" s="662"/>
      <c r="D127" s="663" t="s">
        <v>212</v>
      </c>
      <c r="E127" s="663"/>
      <c r="F127" s="664" t="s">
        <v>162</v>
      </c>
      <c r="G127" s="665"/>
      <c r="H127" s="755" t="s">
        <v>162</v>
      </c>
      <c r="I127" s="667"/>
      <c r="J127" s="706"/>
      <c r="K127" s="707"/>
      <c r="L127" s="706"/>
      <c r="M127" s="707"/>
      <c r="N127" s="194"/>
      <c r="O127" s="216"/>
      <c r="P127" s="717"/>
      <c r="Q127" s="718"/>
      <c r="R127" s="672"/>
      <c r="S127" s="673"/>
      <c r="T127" s="674"/>
      <c r="U127" s="675"/>
      <c r="V127" s="676"/>
      <c r="W127" s="677"/>
      <c r="X127" s="678" t="s">
        <v>159</v>
      </c>
      <c r="Y127" s="678"/>
      <c r="Z127" s="678"/>
      <c r="AA127" s="678"/>
      <c r="AB127" s="679" t="s">
        <v>159</v>
      </c>
      <c r="AC127" s="679"/>
      <c r="AD127" s="679"/>
      <c r="AE127" s="679"/>
      <c r="AF127" s="680"/>
      <c r="AG127" s="681"/>
      <c r="AH127" s="680"/>
      <c r="AI127" s="681"/>
      <c r="AJ127" s="686"/>
      <c r="AK127" s="687"/>
      <c r="AL127" s="684" t="s">
        <v>162</v>
      </c>
      <c r="AM127" s="685"/>
      <c r="AN127" s="666" t="s">
        <v>162</v>
      </c>
      <c r="AO127" s="667"/>
      <c r="AP127" s="686"/>
      <c r="AQ127" s="687"/>
      <c r="AR127" s="688"/>
      <c r="AS127" s="689"/>
      <c r="AT127" s="690"/>
      <c r="AU127" s="691"/>
      <c r="AV127" s="666" t="s">
        <v>162</v>
      </c>
      <c r="AW127" s="667"/>
      <c r="AX127" s="692"/>
      <c r="AY127" s="693"/>
      <c r="AZ127" s="694"/>
      <c r="BA127" s="682"/>
      <c r="BB127" s="683"/>
      <c r="BC127" s="14"/>
      <c r="BD127" s="695" t="s">
        <v>162</v>
      </c>
      <c r="BE127" s="696"/>
      <c r="BF127" s="697"/>
      <c r="BG127" s="698"/>
      <c r="BH127" s="698"/>
      <c r="BI127" s="699"/>
      <c r="BJ127" s="700" t="s">
        <v>159</v>
      </c>
      <c r="BK127" s="701"/>
      <c r="BL127" s="701"/>
      <c r="BM127" s="702"/>
      <c r="BN127" s="703" t="s">
        <v>159</v>
      </c>
      <c r="BO127" s="704"/>
      <c r="BP127" s="704"/>
      <c r="BQ127" s="704"/>
      <c r="BR127" s="704"/>
      <c r="BS127" s="704"/>
      <c r="BT127" s="704"/>
      <c r="BU127" s="704"/>
      <c r="BV127" s="705"/>
    </row>
    <row r="128" spans="1:74" ht="45" customHeight="1" x14ac:dyDescent="0.25">
      <c r="A128" s="10">
        <f t="shared" si="1"/>
        <v>114</v>
      </c>
      <c r="B128" s="711" t="s">
        <v>159</v>
      </c>
      <c r="C128" s="711"/>
      <c r="D128" s="712" t="s">
        <v>212</v>
      </c>
      <c r="E128" s="712"/>
      <c r="F128" s="664" t="s">
        <v>162</v>
      </c>
      <c r="G128" s="665"/>
      <c r="H128" s="754" t="s">
        <v>162</v>
      </c>
      <c r="I128" s="714"/>
      <c r="J128" s="715"/>
      <c r="K128" s="716"/>
      <c r="L128" s="715"/>
      <c r="M128" s="716"/>
      <c r="N128" s="215"/>
      <c r="O128" s="196"/>
      <c r="P128" s="670"/>
      <c r="Q128" s="671"/>
      <c r="R128" s="719"/>
      <c r="S128" s="720"/>
      <c r="T128" s="721"/>
      <c r="U128" s="722"/>
      <c r="V128" s="723"/>
      <c r="W128" s="724"/>
      <c r="X128" s="725" t="s">
        <v>159</v>
      </c>
      <c r="Y128" s="725"/>
      <c r="Z128" s="725"/>
      <c r="AA128" s="725"/>
      <c r="AB128" s="726" t="s">
        <v>159</v>
      </c>
      <c r="AC128" s="726"/>
      <c r="AD128" s="726"/>
      <c r="AE128" s="726"/>
      <c r="AF128" s="727"/>
      <c r="AG128" s="728"/>
      <c r="AH128" s="727"/>
      <c r="AI128" s="728"/>
      <c r="AJ128" s="682"/>
      <c r="AK128" s="683"/>
      <c r="AL128" s="664" t="s">
        <v>162</v>
      </c>
      <c r="AM128" s="665"/>
      <c r="AN128" s="713" t="s">
        <v>162</v>
      </c>
      <c r="AO128" s="714"/>
      <c r="AP128" s="729"/>
      <c r="AQ128" s="730"/>
      <c r="AR128" s="731"/>
      <c r="AS128" s="732"/>
      <c r="AT128" s="690"/>
      <c r="AU128" s="691"/>
      <c r="AV128" s="713" t="s">
        <v>162</v>
      </c>
      <c r="AW128" s="714"/>
      <c r="AX128" s="692"/>
      <c r="AY128" s="693"/>
      <c r="AZ128" s="694"/>
      <c r="BA128" s="735"/>
      <c r="BB128" s="736"/>
      <c r="BC128" s="219"/>
      <c r="BD128" s="737" t="s">
        <v>162</v>
      </c>
      <c r="BE128" s="738"/>
      <c r="BF128" s="739"/>
      <c r="BG128" s="740"/>
      <c r="BH128" s="740"/>
      <c r="BI128" s="741"/>
      <c r="BJ128" s="742" t="s">
        <v>159</v>
      </c>
      <c r="BK128" s="743"/>
      <c r="BL128" s="743"/>
      <c r="BM128" s="744"/>
      <c r="BN128" s="703" t="s">
        <v>159</v>
      </c>
      <c r="BO128" s="704"/>
      <c r="BP128" s="704"/>
      <c r="BQ128" s="704"/>
      <c r="BR128" s="704"/>
      <c r="BS128" s="704"/>
      <c r="BT128" s="704"/>
      <c r="BU128" s="704"/>
      <c r="BV128" s="705"/>
    </row>
    <row r="129" spans="1:74" ht="45" customHeight="1" x14ac:dyDescent="0.25">
      <c r="A129" s="10">
        <f t="shared" si="1"/>
        <v>115</v>
      </c>
      <c r="B129" s="662" t="s">
        <v>159</v>
      </c>
      <c r="C129" s="662"/>
      <c r="D129" s="663" t="s">
        <v>212</v>
      </c>
      <c r="E129" s="663"/>
      <c r="F129" s="664" t="s">
        <v>162</v>
      </c>
      <c r="G129" s="665"/>
      <c r="H129" s="755" t="s">
        <v>162</v>
      </c>
      <c r="I129" s="667"/>
      <c r="J129" s="706"/>
      <c r="K129" s="707"/>
      <c r="L129" s="706"/>
      <c r="M129" s="707"/>
      <c r="N129" s="194"/>
      <c r="O129" s="216"/>
      <c r="P129" s="717"/>
      <c r="Q129" s="718"/>
      <c r="R129" s="672"/>
      <c r="S129" s="673"/>
      <c r="T129" s="674"/>
      <c r="U129" s="675"/>
      <c r="V129" s="676"/>
      <c r="W129" s="677"/>
      <c r="X129" s="678" t="s">
        <v>159</v>
      </c>
      <c r="Y129" s="678"/>
      <c r="Z129" s="678"/>
      <c r="AA129" s="678"/>
      <c r="AB129" s="679" t="s">
        <v>159</v>
      </c>
      <c r="AC129" s="679"/>
      <c r="AD129" s="679"/>
      <c r="AE129" s="679"/>
      <c r="AF129" s="680"/>
      <c r="AG129" s="681"/>
      <c r="AH129" s="680"/>
      <c r="AI129" s="681"/>
      <c r="AJ129" s="686"/>
      <c r="AK129" s="687"/>
      <c r="AL129" s="684" t="s">
        <v>162</v>
      </c>
      <c r="AM129" s="685"/>
      <c r="AN129" s="666" t="s">
        <v>162</v>
      </c>
      <c r="AO129" s="667"/>
      <c r="AP129" s="686"/>
      <c r="AQ129" s="687"/>
      <c r="AR129" s="688"/>
      <c r="AS129" s="689"/>
      <c r="AT129" s="690"/>
      <c r="AU129" s="691"/>
      <c r="AV129" s="666" t="s">
        <v>162</v>
      </c>
      <c r="AW129" s="667"/>
      <c r="AX129" s="692"/>
      <c r="AY129" s="693"/>
      <c r="AZ129" s="694"/>
      <c r="BA129" s="682"/>
      <c r="BB129" s="683"/>
      <c r="BC129" s="14"/>
      <c r="BD129" s="695" t="s">
        <v>162</v>
      </c>
      <c r="BE129" s="696"/>
      <c r="BF129" s="708"/>
      <c r="BG129" s="709"/>
      <c r="BH129" s="709"/>
      <c r="BI129" s="710"/>
      <c r="BJ129" s="700" t="s">
        <v>159</v>
      </c>
      <c r="BK129" s="701"/>
      <c r="BL129" s="701"/>
      <c r="BM129" s="702"/>
      <c r="BN129" s="703" t="s">
        <v>159</v>
      </c>
      <c r="BO129" s="704"/>
      <c r="BP129" s="704"/>
      <c r="BQ129" s="704"/>
      <c r="BR129" s="704"/>
      <c r="BS129" s="704"/>
      <c r="BT129" s="704"/>
      <c r="BU129" s="704"/>
      <c r="BV129" s="705"/>
    </row>
    <row r="130" spans="1:74" ht="45" customHeight="1" x14ac:dyDescent="0.25">
      <c r="A130" s="10">
        <f t="shared" si="1"/>
        <v>116</v>
      </c>
      <c r="B130" s="711" t="s">
        <v>159</v>
      </c>
      <c r="C130" s="711"/>
      <c r="D130" s="712" t="s">
        <v>212</v>
      </c>
      <c r="E130" s="712"/>
      <c r="F130" s="664" t="s">
        <v>162</v>
      </c>
      <c r="G130" s="665"/>
      <c r="H130" s="754" t="s">
        <v>162</v>
      </c>
      <c r="I130" s="714"/>
      <c r="J130" s="715"/>
      <c r="K130" s="716"/>
      <c r="L130" s="715"/>
      <c r="M130" s="716"/>
      <c r="N130" s="215"/>
      <c r="O130" s="216"/>
      <c r="P130" s="670"/>
      <c r="Q130" s="671"/>
      <c r="R130" s="719"/>
      <c r="S130" s="720"/>
      <c r="T130" s="721"/>
      <c r="U130" s="722"/>
      <c r="V130" s="723"/>
      <c r="W130" s="724"/>
      <c r="X130" s="725" t="s">
        <v>159</v>
      </c>
      <c r="Y130" s="725"/>
      <c r="Z130" s="725"/>
      <c r="AA130" s="725"/>
      <c r="AB130" s="726" t="s">
        <v>159</v>
      </c>
      <c r="AC130" s="726"/>
      <c r="AD130" s="726"/>
      <c r="AE130" s="726"/>
      <c r="AF130" s="727"/>
      <c r="AG130" s="728"/>
      <c r="AH130" s="727"/>
      <c r="AI130" s="728"/>
      <c r="AJ130" s="682"/>
      <c r="AK130" s="683"/>
      <c r="AL130" s="664" t="s">
        <v>162</v>
      </c>
      <c r="AM130" s="665"/>
      <c r="AN130" s="713" t="s">
        <v>162</v>
      </c>
      <c r="AO130" s="714"/>
      <c r="AP130" s="729"/>
      <c r="AQ130" s="730"/>
      <c r="AR130" s="731"/>
      <c r="AS130" s="732"/>
      <c r="AT130" s="690"/>
      <c r="AU130" s="691"/>
      <c r="AV130" s="713" t="s">
        <v>162</v>
      </c>
      <c r="AW130" s="714"/>
      <c r="AX130" s="692"/>
      <c r="AY130" s="693"/>
      <c r="AZ130" s="694"/>
      <c r="BA130" s="735"/>
      <c r="BB130" s="736"/>
      <c r="BC130" s="219"/>
      <c r="BD130" s="737" t="s">
        <v>162</v>
      </c>
      <c r="BE130" s="738"/>
      <c r="BF130" s="739"/>
      <c r="BG130" s="740"/>
      <c r="BH130" s="740"/>
      <c r="BI130" s="741"/>
      <c r="BJ130" s="742" t="s">
        <v>159</v>
      </c>
      <c r="BK130" s="743"/>
      <c r="BL130" s="743"/>
      <c r="BM130" s="744"/>
      <c r="BN130" s="703" t="s">
        <v>159</v>
      </c>
      <c r="BO130" s="704"/>
      <c r="BP130" s="704"/>
      <c r="BQ130" s="704"/>
      <c r="BR130" s="704"/>
      <c r="BS130" s="704"/>
      <c r="BT130" s="704"/>
      <c r="BU130" s="704"/>
      <c r="BV130" s="705"/>
    </row>
    <row r="131" spans="1:74" ht="45" customHeight="1" x14ac:dyDescent="0.25">
      <c r="A131" s="10">
        <f t="shared" si="1"/>
        <v>117</v>
      </c>
      <c r="B131" s="662" t="s">
        <v>159</v>
      </c>
      <c r="C131" s="662"/>
      <c r="D131" s="663" t="s">
        <v>212</v>
      </c>
      <c r="E131" s="663"/>
      <c r="F131" s="664" t="s">
        <v>162</v>
      </c>
      <c r="G131" s="665"/>
      <c r="H131" s="755" t="s">
        <v>162</v>
      </c>
      <c r="I131" s="667"/>
      <c r="J131" s="706"/>
      <c r="K131" s="707"/>
      <c r="L131" s="706"/>
      <c r="M131" s="707"/>
      <c r="N131" s="194"/>
      <c r="O131" s="196"/>
      <c r="P131" s="717"/>
      <c r="Q131" s="718"/>
      <c r="R131" s="672"/>
      <c r="S131" s="673"/>
      <c r="T131" s="674"/>
      <c r="U131" s="675"/>
      <c r="V131" s="676"/>
      <c r="W131" s="677"/>
      <c r="X131" s="678" t="s">
        <v>159</v>
      </c>
      <c r="Y131" s="678"/>
      <c r="Z131" s="678"/>
      <c r="AA131" s="678"/>
      <c r="AB131" s="679" t="s">
        <v>159</v>
      </c>
      <c r="AC131" s="679"/>
      <c r="AD131" s="679"/>
      <c r="AE131" s="679"/>
      <c r="AF131" s="680"/>
      <c r="AG131" s="681"/>
      <c r="AH131" s="680"/>
      <c r="AI131" s="681"/>
      <c r="AJ131" s="686"/>
      <c r="AK131" s="687"/>
      <c r="AL131" s="684" t="s">
        <v>162</v>
      </c>
      <c r="AM131" s="685"/>
      <c r="AN131" s="666" t="s">
        <v>162</v>
      </c>
      <c r="AO131" s="667"/>
      <c r="AP131" s="686"/>
      <c r="AQ131" s="687"/>
      <c r="AR131" s="688"/>
      <c r="AS131" s="689"/>
      <c r="AT131" s="690"/>
      <c r="AU131" s="691"/>
      <c r="AV131" s="666" t="s">
        <v>162</v>
      </c>
      <c r="AW131" s="667"/>
      <c r="AX131" s="692"/>
      <c r="AY131" s="693"/>
      <c r="AZ131" s="694"/>
      <c r="BA131" s="682"/>
      <c r="BB131" s="683"/>
      <c r="BC131" s="14"/>
      <c r="BD131" s="695" t="s">
        <v>162</v>
      </c>
      <c r="BE131" s="696"/>
      <c r="BF131" s="697"/>
      <c r="BG131" s="698"/>
      <c r="BH131" s="698"/>
      <c r="BI131" s="699"/>
      <c r="BJ131" s="700" t="s">
        <v>159</v>
      </c>
      <c r="BK131" s="701"/>
      <c r="BL131" s="701"/>
      <c r="BM131" s="702"/>
      <c r="BN131" s="703" t="s">
        <v>159</v>
      </c>
      <c r="BO131" s="704"/>
      <c r="BP131" s="704"/>
      <c r="BQ131" s="704"/>
      <c r="BR131" s="704"/>
      <c r="BS131" s="704"/>
      <c r="BT131" s="704"/>
      <c r="BU131" s="704"/>
      <c r="BV131" s="705"/>
    </row>
    <row r="132" spans="1:74" ht="45" customHeight="1" x14ac:dyDescent="0.25">
      <c r="A132" s="10">
        <f t="shared" si="1"/>
        <v>118</v>
      </c>
      <c r="B132" s="711" t="s">
        <v>159</v>
      </c>
      <c r="C132" s="711"/>
      <c r="D132" s="712" t="s">
        <v>212</v>
      </c>
      <c r="E132" s="712"/>
      <c r="F132" s="664" t="s">
        <v>162</v>
      </c>
      <c r="G132" s="665"/>
      <c r="H132" s="754" t="s">
        <v>162</v>
      </c>
      <c r="I132" s="714"/>
      <c r="J132" s="715"/>
      <c r="K132" s="716"/>
      <c r="L132" s="715"/>
      <c r="M132" s="716"/>
      <c r="N132" s="215"/>
      <c r="O132" s="216"/>
      <c r="P132" s="670"/>
      <c r="Q132" s="671"/>
      <c r="R132" s="719"/>
      <c r="S132" s="720"/>
      <c r="T132" s="721"/>
      <c r="U132" s="722"/>
      <c r="V132" s="723"/>
      <c r="W132" s="724"/>
      <c r="X132" s="725" t="s">
        <v>159</v>
      </c>
      <c r="Y132" s="725"/>
      <c r="Z132" s="725"/>
      <c r="AA132" s="725"/>
      <c r="AB132" s="726" t="s">
        <v>159</v>
      </c>
      <c r="AC132" s="726"/>
      <c r="AD132" s="726"/>
      <c r="AE132" s="726"/>
      <c r="AF132" s="727"/>
      <c r="AG132" s="728"/>
      <c r="AH132" s="727"/>
      <c r="AI132" s="728"/>
      <c r="AJ132" s="682"/>
      <c r="AK132" s="683"/>
      <c r="AL132" s="664" t="s">
        <v>162</v>
      </c>
      <c r="AM132" s="665"/>
      <c r="AN132" s="713" t="s">
        <v>162</v>
      </c>
      <c r="AO132" s="714"/>
      <c r="AP132" s="729"/>
      <c r="AQ132" s="730"/>
      <c r="AR132" s="731"/>
      <c r="AS132" s="732"/>
      <c r="AT132" s="690"/>
      <c r="AU132" s="691"/>
      <c r="AV132" s="713" t="s">
        <v>162</v>
      </c>
      <c r="AW132" s="714"/>
      <c r="AX132" s="692"/>
      <c r="AY132" s="693"/>
      <c r="AZ132" s="694"/>
      <c r="BA132" s="735"/>
      <c r="BB132" s="736"/>
      <c r="BC132" s="219"/>
      <c r="BD132" s="737" t="s">
        <v>162</v>
      </c>
      <c r="BE132" s="738"/>
      <c r="BF132" s="739"/>
      <c r="BG132" s="740"/>
      <c r="BH132" s="740"/>
      <c r="BI132" s="741"/>
      <c r="BJ132" s="742" t="s">
        <v>159</v>
      </c>
      <c r="BK132" s="743"/>
      <c r="BL132" s="743"/>
      <c r="BM132" s="744"/>
      <c r="BN132" s="703" t="s">
        <v>159</v>
      </c>
      <c r="BO132" s="704"/>
      <c r="BP132" s="704"/>
      <c r="BQ132" s="704"/>
      <c r="BR132" s="704"/>
      <c r="BS132" s="704"/>
      <c r="BT132" s="704"/>
      <c r="BU132" s="704"/>
      <c r="BV132" s="705"/>
    </row>
    <row r="133" spans="1:74" ht="45" customHeight="1" x14ac:dyDescent="0.25">
      <c r="A133" s="10">
        <f t="shared" si="1"/>
        <v>119</v>
      </c>
      <c r="B133" s="662" t="s">
        <v>159</v>
      </c>
      <c r="C133" s="662"/>
      <c r="D133" s="663" t="s">
        <v>212</v>
      </c>
      <c r="E133" s="663"/>
      <c r="F133" s="664" t="s">
        <v>162</v>
      </c>
      <c r="G133" s="665"/>
      <c r="H133" s="755" t="s">
        <v>162</v>
      </c>
      <c r="I133" s="667"/>
      <c r="J133" s="706"/>
      <c r="K133" s="707"/>
      <c r="L133" s="706"/>
      <c r="M133" s="707"/>
      <c r="N133" s="194"/>
      <c r="O133" s="196"/>
      <c r="P133" s="717"/>
      <c r="Q133" s="718"/>
      <c r="R133" s="672"/>
      <c r="S133" s="673"/>
      <c r="T133" s="674"/>
      <c r="U133" s="675"/>
      <c r="V133" s="676"/>
      <c r="W133" s="677"/>
      <c r="X133" s="678" t="s">
        <v>159</v>
      </c>
      <c r="Y133" s="678"/>
      <c r="Z133" s="678"/>
      <c r="AA133" s="678"/>
      <c r="AB133" s="679" t="s">
        <v>159</v>
      </c>
      <c r="AC133" s="679"/>
      <c r="AD133" s="679"/>
      <c r="AE133" s="679"/>
      <c r="AF133" s="680"/>
      <c r="AG133" s="681"/>
      <c r="AH133" s="680"/>
      <c r="AI133" s="681"/>
      <c r="AJ133" s="686"/>
      <c r="AK133" s="687"/>
      <c r="AL133" s="684" t="s">
        <v>162</v>
      </c>
      <c r="AM133" s="685"/>
      <c r="AN133" s="666" t="s">
        <v>162</v>
      </c>
      <c r="AO133" s="667"/>
      <c r="AP133" s="686"/>
      <c r="AQ133" s="687"/>
      <c r="AR133" s="688"/>
      <c r="AS133" s="689"/>
      <c r="AT133" s="690"/>
      <c r="AU133" s="691"/>
      <c r="AV133" s="666" t="s">
        <v>162</v>
      </c>
      <c r="AW133" s="667"/>
      <c r="AX133" s="692"/>
      <c r="AY133" s="693"/>
      <c r="AZ133" s="694"/>
      <c r="BA133" s="682"/>
      <c r="BB133" s="683"/>
      <c r="BC133" s="14"/>
      <c r="BD133" s="695" t="s">
        <v>162</v>
      </c>
      <c r="BE133" s="696"/>
      <c r="BF133" s="708"/>
      <c r="BG133" s="709"/>
      <c r="BH133" s="709"/>
      <c r="BI133" s="710"/>
      <c r="BJ133" s="700" t="s">
        <v>159</v>
      </c>
      <c r="BK133" s="701"/>
      <c r="BL133" s="701"/>
      <c r="BM133" s="702"/>
      <c r="BN133" s="703" t="s">
        <v>159</v>
      </c>
      <c r="BO133" s="704"/>
      <c r="BP133" s="704"/>
      <c r="BQ133" s="704"/>
      <c r="BR133" s="704"/>
      <c r="BS133" s="704"/>
      <c r="BT133" s="704"/>
      <c r="BU133" s="704"/>
      <c r="BV133" s="705"/>
    </row>
    <row r="134" spans="1:74" ht="45" customHeight="1" x14ac:dyDescent="0.25">
      <c r="A134" s="10">
        <f t="shared" si="1"/>
        <v>120</v>
      </c>
      <c r="B134" s="711" t="s">
        <v>159</v>
      </c>
      <c r="C134" s="711"/>
      <c r="D134" s="712" t="s">
        <v>212</v>
      </c>
      <c r="E134" s="712"/>
      <c r="F134" s="664" t="s">
        <v>162</v>
      </c>
      <c r="G134" s="665"/>
      <c r="H134" s="754" t="s">
        <v>162</v>
      </c>
      <c r="I134" s="714"/>
      <c r="J134" s="715"/>
      <c r="K134" s="716"/>
      <c r="L134" s="715"/>
      <c r="M134" s="716"/>
      <c r="N134" s="215"/>
      <c r="O134" s="216"/>
      <c r="P134" s="670"/>
      <c r="Q134" s="671"/>
      <c r="R134" s="719"/>
      <c r="S134" s="720"/>
      <c r="T134" s="721"/>
      <c r="U134" s="722"/>
      <c r="V134" s="723"/>
      <c r="W134" s="724"/>
      <c r="X134" s="725" t="s">
        <v>159</v>
      </c>
      <c r="Y134" s="725"/>
      <c r="Z134" s="725"/>
      <c r="AA134" s="725"/>
      <c r="AB134" s="726" t="s">
        <v>159</v>
      </c>
      <c r="AC134" s="726"/>
      <c r="AD134" s="726"/>
      <c r="AE134" s="726"/>
      <c r="AF134" s="727"/>
      <c r="AG134" s="728"/>
      <c r="AH134" s="727"/>
      <c r="AI134" s="728"/>
      <c r="AJ134" s="682"/>
      <c r="AK134" s="683"/>
      <c r="AL134" s="664" t="s">
        <v>162</v>
      </c>
      <c r="AM134" s="665"/>
      <c r="AN134" s="713" t="s">
        <v>162</v>
      </c>
      <c r="AO134" s="714"/>
      <c r="AP134" s="729"/>
      <c r="AQ134" s="730"/>
      <c r="AR134" s="731"/>
      <c r="AS134" s="732"/>
      <c r="AT134" s="690"/>
      <c r="AU134" s="691"/>
      <c r="AV134" s="713" t="s">
        <v>162</v>
      </c>
      <c r="AW134" s="714"/>
      <c r="AX134" s="692"/>
      <c r="AY134" s="693"/>
      <c r="AZ134" s="694"/>
      <c r="BA134" s="735"/>
      <c r="BB134" s="736"/>
      <c r="BC134" s="219"/>
      <c r="BD134" s="737" t="s">
        <v>162</v>
      </c>
      <c r="BE134" s="738"/>
      <c r="BF134" s="739"/>
      <c r="BG134" s="740"/>
      <c r="BH134" s="740"/>
      <c r="BI134" s="741"/>
      <c r="BJ134" s="742" t="s">
        <v>159</v>
      </c>
      <c r="BK134" s="743"/>
      <c r="BL134" s="743"/>
      <c r="BM134" s="744"/>
      <c r="BN134" s="703" t="s">
        <v>159</v>
      </c>
      <c r="BO134" s="704"/>
      <c r="BP134" s="704"/>
      <c r="BQ134" s="704"/>
      <c r="BR134" s="704"/>
      <c r="BS134" s="704"/>
      <c r="BT134" s="704"/>
      <c r="BU134" s="704"/>
      <c r="BV134" s="705"/>
    </row>
    <row r="135" spans="1:74" ht="45" customHeight="1" x14ac:dyDescent="0.25">
      <c r="A135" s="10">
        <f t="shared" si="1"/>
        <v>121</v>
      </c>
      <c r="B135" s="662" t="s">
        <v>159</v>
      </c>
      <c r="C135" s="662"/>
      <c r="D135" s="663" t="s">
        <v>212</v>
      </c>
      <c r="E135" s="663"/>
      <c r="F135" s="664" t="s">
        <v>162</v>
      </c>
      <c r="G135" s="665"/>
      <c r="H135" s="755" t="s">
        <v>162</v>
      </c>
      <c r="I135" s="667"/>
      <c r="J135" s="706"/>
      <c r="K135" s="707"/>
      <c r="L135" s="706"/>
      <c r="M135" s="707"/>
      <c r="N135" s="194"/>
      <c r="O135" s="196"/>
      <c r="P135" s="717"/>
      <c r="Q135" s="718"/>
      <c r="R135" s="672"/>
      <c r="S135" s="673"/>
      <c r="T135" s="674"/>
      <c r="U135" s="675"/>
      <c r="V135" s="676"/>
      <c r="W135" s="677"/>
      <c r="X135" s="678" t="s">
        <v>159</v>
      </c>
      <c r="Y135" s="678"/>
      <c r="Z135" s="678"/>
      <c r="AA135" s="678"/>
      <c r="AB135" s="679" t="s">
        <v>159</v>
      </c>
      <c r="AC135" s="679"/>
      <c r="AD135" s="679"/>
      <c r="AE135" s="679"/>
      <c r="AF135" s="680"/>
      <c r="AG135" s="681"/>
      <c r="AH135" s="680"/>
      <c r="AI135" s="681"/>
      <c r="AJ135" s="686"/>
      <c r="AK135" s="687"/>
      <c r="AL135" s="684" t="s">
        <v>162</v>
      </c>
      <c r="AM135" s="685"/>
      <c r="AN135" s="666" t="s">
        <v>162</v>
      </c>
      <c r="AO135" s="667"/>
      <c r="AP135" s="686"/>
      <c r="AQ135" s="687"/>
      <c r="AR135" s="688"/>
      <c r="AS135" s="689"/>
      <c r="AT135" s="690"/>
      <c r="AU135" s="691"/>
      <c r="AV135" s="666" t="s">
        <v>162</v>
      </c>
      <c r="AW135" s="667"/>
      <c r="AX135" s="692"/>
      <c r="AY135" s="693"/>
      <c r="AZ135" s="694"/>
      <c r="BA135" s="682"/>
      <c r="BB135" s="683"/>
      <c r="BC135" s="14"/>
      <c r="BD135" s="695" t="s">
        <v>162</v>
      </c>
      <c r="BE135" s="696"/>
      <c r="BF135" s="708"/>
      <c r="BG135" s="709"/>
      <c r="BH135" s="709"/>
      <c r="BI135" s="710"/>
      <c r="BJ135" s="700" t="s">
        <v>159</v>
      </c>
      <c r="BK135" s="701"/>
      <c r="BL135" s="701"/>
      <c r="BM135" s="702"/>
      <c r="BN135" s="703" t="s">
        <v>159</v>
      </c>
      <c r="BO135" s="704"/>
      <c r="BP135" s="704"/>
      <c r="BQ135" s="704"/>
      <c r="BR135" s="704"/>
      <c r="BS135" s="704"/>
      <c r="BT135" s="704"/>
      <c r="BU135" s="704"/>
      <c r="BV135" s="705"/>
    </row>
    <row r="136" spans="1:74" ht="45" customHeight="1" x14ac:dyDescent="0.25">
      <c r="A136" s="10">
        <f t="shared" si="1"/>
        <v>122</v>
      </c>
      <c r="B136" s="711" t="s">
        <v>159</v>
      </c>
      <c r="C136" s="711"/>
      <c r="D136" s="712" t="s">
        <v>212</v>
      </c>
      <c r="E136" s="712"/>
      <c r="F136" s="664" t="s">
        <v>162</v>
      </c>
      <c r="G136" s="665"/>
      <c r="H136" s="754" t="s">
        <v>162</v>
      </c>
      <c r="I136" s="714"/>
      <c r="J136" s="715"/>
      <c r="K136" s="716"/>
      <c r="L136" s="715"/>
      <c r="M136" s="716"/>
      <c r="N136" s="215"/>
      <c r="O136" s="216"/>
      <c r="P136" s="670"/>
      <c r="Q136" s="671"/>
      <c r="R136" s="719"/>
      <c r="S136" s="720"/>
      <c r="T136" s="721"/>
      <c r="U136" s="722"/>
      <c r="V136" s="723"/>
      <c r="W136" s="724"/>
      <c r="X136" s="725" t="s">
        <v>159</v>
      </c>
      <c r="Y136" s="725"/>
      <c r="Z136" s="725"/>
      <c r="AA136" s="725"/>
      <c r="AB136" s="726" t="s">
        <v>159</v>
      </c>
      <c r="AC136" s="726"/>
      <c r="AD136" s="726"/>
      <c r="AE136" s="726"/>
      <c r="AF136" s="727"/>
      <c r="AG136" s="728"/>
      <c r="AH136" s="727"/>
      <c r="AI136" s="728"/>
      <c r="AJ136" s="682"/>
      <c r="AK136" s="683"/>
      <c r="AL136" s="664" t="s">
        <v>162</v>
      </c>
      <c r="AM136" s="665"/>
      <c r="AN136" s="713" t="s">
        <v>162</v>
      </c>
      <c r="AO136" s="714"/>
      <c r="AP136" s="729"/>
      <c r="AQ136" s="730"/>
      <c r="AR136" s="731"/>
      <c r="AS136" s="732"/>
      <c r="AT136" s="690"/>
      <c r="AU136" s="691"/>
      <c r="AV136" s="713" t="s">
        <v>162</v>
      </c>
      <c r="AW136" s="714"/>
      <c r="AX136" s="692"/>
      <c r="AY136" s="693"/>
      <c r="AZ136" s="694"/>
      <c r="BA136" s="735"/>
      <c r="BB136" s="736"/>
      <c r="BC136" s="219"/>
      <c r="BD136" s="737" t="s">
        <v>162</v>
      </c>
      <c r="BE136" s="738"/>
      <c r="BF136" s="739"/>
      <c r="BG136" s="740"/>
      <c r="BH136" s="740"/>
      <c r="BI136" s="741"/>
      <c r="BJ136" s="742" t="s">
        <v>159</v>
      </c>
      <c r="BK136" s="743"/>
      <c r="BL136" s="743"/>
      <c r="BM136" s="744"/>
      <c r="BN136" s="703" t="s">
        <v>159</v>
      </c>
      <c r="BO136" s="704"/>
      <c r="BP136" s="704"/>
      <c r="BQ136" s="704"/>
      <c r="BR136" s="704"/>
      <c r="BS136" s="704"/>
      <c r="BT136" s="704"/>
      <c r="BU136" s="704"/>
      <c r="BV136" s="705"/>
    </row>
    <row r="137" spans="1:74" ht="45" customHeight="1" x14ac:dyDescent="0.25">
      <c r="A137" s="10">
        <f t="shared" si="1"/>
        <v>123</v>
      </c>
      <c r="B137" s="662" t="s">
        <v>159</v>
      </c>
      <c r="C137" s="662"/>
      <c r="D137" s="663" t="s">
        <v>212</v>
      </c>
      <c r="E137" s="663"/>
      <c r="F137" s="664" t="s">
        <v>162</v>
      </c>
      <c r="G137" s="665"/>
      <c r="H137" s="755" t="s">
        <v>162</v>
      </c>
      <c r="I137" s="667"/>
      <c r="J137" s="706"/>
      <c r="K137" s="707"/>
      <c r="L137" s="706"/>
      <c r="M137" s="707"/>
      <c r="N137" s="194"/>
      <c r="O137" s="196"/>
      <c r="P137" s="717"/>
      <c r="Q137" s="718"/>
      <c r="R137" s="672"/>
      <c r="S137" s="673"/>
      <c r="T137" s="674"/>
      <c r="U137" s="675"/>
      <c r="V137" s="676"/>
      <c r="W137" s="677"/>
      <c r="X137" s="678" t="s">
        <v>159</v>
      </c>
      <c r="Y137" s="678"/>
      <c r="Z137" s="678"/>
      <c r="AA137" s="678"/>
      <c r="AB137" s="679" t="s">
        <v>159</v>
      </c>
      <c r="AC137" s="679"/>
      <c r="AD137" s="679"/>
      <c r="AE137" s="679"/>
      <c r="AF137" s="680"/>
      <c r="AG137" s="681"/>
      <c r="AH137" s="680"/>
      <c r="AI137" s="681"/>
      <c r="AJ137" s="686"/>
      <c r="AK137" s="687"/>
      <c r="AL137" s="684" t="s">
        <v>162</v>
      </c>
      <c r="AM137" s="685"/>
      <c r="AN137" s="666" t="s">
        <v>162</v>
      </c>
      <c r="AO137" s="667"/>
      <c r="AP137" s="686"/>
      <c r="AQ137" s="687"/>
      <c r="AR137" s="688"/>
      <c r="AS137" s="689"/>
      <c r="AT137" s="690"/>
      <c r="AU137" s="691"/>
      <c r="AV137" s="666" t="s">
        <v>162</v>
      </c>
      <c r="AW137" s="667"/>
      <c r="AX137" s="692"/>
      <c r="AY137" s="693"/>
      <c r="AZ137" s="694"/>
      <c r="BA137" s="682"/>
      <c r="BB137" s="683"/>
      <c r="BC137" s="14"/>
      <c r="BD137" s="695" t="s">
        <v>162</v>
      </c>
      <c r="BE137" s="696"/>
      <c r="BF137" s="697"/>
      <c r="BG137" s="698"/>
      <c r="BH137" s="698"/>
      <c r="BI137" s="699"/>
      <c r="BJ137" s="700" t="s">
        <v>159</v>
      </c>
      <c r="BK137" s="701"/>
      <c r="BL137" s="701"/>
      <c r="BM137" s="702"/>
      <c r="BN137" s="703" t="s">
        <v>159</v>
      </c>
      <c r="BO137" s="704"/>
      <c r="BP137" s="704"/>
      <c r="BQ137" s="704"/>
      <c r="BR137" s="704"/>
      <c r="BS137" s="704"/>
      <c r="BT137" s="704"/>
      <c r="BU137" s="704"/>
      <c r="BV137" s="705"/>
    </row>
    <row r="138" spans="1:74" ht="45" customHeight="1" x14ac:dyDescent="0.25">
      <c r="A138" s="10">
        <f t="shared" si="1"/>
        <v>124</v>
      </c>
      <c r="B138" s="711" t="s">
        <v>159</v>
      </c>
      <c r="C138" s="711"/>
      <c r="D138" s="712" t="s">
        <v>212</v>
      </c>
      <c r="E138" s="712"/>
      <c r="F138" s="664" t="s">
        <v>162</v>
      </c>
      <c r="G138" s="665"/>
      <c r="H138" s="754" t="s">
        <v>162</v>
      </c>
      <c r="I138" s="714"/>
      <c r="J138" s="715"/>
      <c r="K138" s="716"/>
      <c r="L138" s="715"/>
      <c r="M138" s="716"/>
      <c r="N138" s="215"/>
      <c r="O138" s="216"/>
      <c r="P138" s="670"/>
      <c r="Q138" s="671"/>
      <c r="R138" s="719"/>
      <c r="S138" s="720"/>
      <c r="T138" s="721"/>
      <c r="U138" s="722"/>
      <c r="V138" s="723"/>
      <c r="W138" s="724"/>
      <c r="X138" s="725" t="s">
        <v>159</v>
      </c>
      <c r="Y138" s="725"/>
      <c r="Z138" s="725"/>
      <c r="AA138" s="725"/>
      <c r="AB138" s="726" t="s">
        <v>159</v>
      </c>
      <c r="AC138" s="726"/>
      <c r="AD138" s="726"/>
      <c r="AE138" s="726"/>
      <c r="AF138" s="727"/>
      <c r="AG138" s="728"/>
      <c r="AH138" s="727"/>
      <c r="AI138" s="728"/>
      <c r="AJ138" s="682"/>
      <c r="AK138" s="683"/>
      <c r="AL138" s="664" t="s">
        <v>162</v>
      </c>
      <c r="AM138" s="665"/>
      <c r="AN138" s="713" t="s">
        <v>162</v>
      </c>
      <c r="AO138" s="714"/>
      <c r="AP138" s="729"/>
      <c r="AQ138" s="730"/>
      <c r="AR138" s="731"/>
      <c r="AS138" s="732"/>
      <c r="AT138" s="690"/>
      <c r="AU138" s="691"/>
      <c r="AV138" s="713" t="s">
        <v>162</v>
      </c>
      <c r="AW138" s="714"/>
      <c r="AX138" s="692"/>
      <c r="AY138" s="693"/>
      <c r="AZ138" s="694"/>
      <c r="BA138" s="735"/>
      <c r="BB138" s="736"/>
      <c r="BC138" s="219"/>
      <c r="BD138" s="737" t="s">
        <v>162</v>
      </c>
      <c r="BE138" s="738"/>
      <c r="BF138" s="739"/>
      <c r="BG138" s="740"/>
      <c r="BH138" s="740"/>
      <c r="BI138" s="741"/>
      <c r="BJ138" s="742" t="s">
        <v>159</v>
      </c>
      <c r="BK138" s="743"/>
      <c r="BL138" s="743"/>
      <c r="BM138" s="744"/>
      <c r="BN138" s="703" t="s">
        <v>159</v>
      </c>
      <c r="BO138" s="704"/>
      <c r="BP138" s="704"/>
      <c r="BQ138" s="704"/>
      <c r="BR138" s="704"/>
      <c r="BS138" s="704"/>
      <c r="BT138" s="704"/>
      <c r="BU138" s="704"/>
      <c r="BV138" s="705"/>
    </row>
    <row r="139" spans="1:74" ht="45" customHeight="1" x14ac:dyDescent="0.25">
      <c r="A139" s="10">
        <f t="shared" si="1"/>
        <v>125</v>
      </c>
      <c r="B139" s="662" t="s">
        <v>159</v>
      </c>
      <c r="C139" s="662"/>
      <c r="D139" s="663" t="s">
        <v>212</v>
      </c>
      <c r="E139" s="663"/>
      <c r="F139" s="664" t="s">
        <v>162</v>
      </c>
      <c r="G139" s="665"/>
      <c r="H139" s="755" t="s">
        <v>162</v>
      </c>
      <c r="I139" s="667"/>
      <c r="J139" s="706"/>
      <c r="K139" s="707"/>
      <c r="L139" s="706"/>
      <c r="M139" s="707"/>
      <c r="N139" s="194"/>
      <c r="O139" s="196"/>
      <c r="P139" s="717"/>
      <c r="Q139" s="718"/>
      <c r="R139" s="672"/>
      <c r="S139" s="673"/>
      <c r="T139" s="674"/>
      <c r="U139" s="675"/>
      <c r="V139" s="676"/>
      <c r="W139" s="677"/>
      <c r="X139" s="678" t="s">
        <v>159</v>
      </c>
      <c r="Y139" s="678"/>
      <c r="Z139" s="678"/>
      <c r="AA139" s="678"/>
      <c r="AB139" s="679" t="s">
        <v>159</v>
      </c>
      <c r="AC139" s="679"/>
      <c r="AD139" s="679"/>
      <c r="AE139" s="679"/>
      <c r="AF139" s="680"/>
      <c r="AG139" s="681"/>
      <c r="AH139" s="680"/>
      <c r="AI139" s="681"/>
      <c r="AJ139" s="686"/>
      <c r="AK139" s="687"/>
      <c r="AL139" s="684" t="s">
        <v>162</v>
      </c>
      <c r="AM139" s="685"/>
      <c r="AN139" s="666" t="s">
        <v>162</v>
      </c>
      <c r="AO139" s="667"/>
      <c r="AP139" s="686"/>
      <c r="AQ139" s="687"/>
      <c r="AR139" s="688"/>
      <c r="AS139" s="689"/>
      <c r="AT139" s="690"/>
      <c r="AU139" s="691"/>
      <c r="AV139" s="666" t="s">
        <v>162</v>
      </c>
      <c r="AW139" s="667"/>
      <c r="AX139" s="692"/>
      <c r="AY139" s="693"/>
      <c r="AZ139" s="694"/>
      <c r="BA139" s="682"/>
      <c r="BB139" s="683"/>
      <c r="BC139" s="14"/>
      <c r="BD139" s="695" t="s">
        <v>162</v>
      </c>
      <c r="BE139" s="696"/>
      <c r="BF139" s="708"/>
      <c r="BG139" s="709"/>
      <c r="BH139" s="709"/>
      <c r="BI139" s="710"/>
      <c r="BJ139" s="700" t="s">
        <v>159</v>
      </c>
      <c r="BK139" s="701"/>
      <c r="BL139" s="701"/>
      <c r="BM139" s="702"/>
      <c r="BN139" s="703" t="s">
        <v>159</v>
      </c>
      <c r="BO139" s="704"/>
      <c r="BP139" s="704"/>
      <c r="BQ139" s="704"/>
      <c r="BR139" s="704"/>
      <c r="BS139" s="704"/>
      <c r="BT139" s="704"/>
      <c r="BU139" s="704"/>
      <c r="BV139" s="705"/>
    </row>
    <row r="140" spans="1:74" ht="45" customHeight="1" x14ac:dyDescent="0.25">
      <c r="A140" s="10">
        <f t="shared" si="1"/>
        <v>126</v>
      </c>
      <c r="B140" s="711" t="s">
        <v>159</v>
      </c>
      <c r="C140" s="711"/>
      <c r="D140" s="712" t="s">
        <v>212</v>
      </c>
      <c r="E140" s="712"/>
      <c r="F140" s="664" t="s">
        <v>162</v>
      </c>
      <c r="G140" s="665"/>
      <c r="H140" s="754" t="s">
        <v>162</v>
      </c>
      <c r="I140" s="714"/>
      <c r="J140" s="715"/>
      <c r="K140" s="716"/>
      <c r="L140" s="715"/>
      <c r="M140" s="716"/>
      <c r="N140" s="215"/>
      <c r="O140" s="216"/>
      <c r="P140" s="670"/>
      <c r="Q140" s="671"/>
      <c r="R140" s="719"/>
      <c r="S140" s="720"/>
      <c r="T140" s="721"/>
      <c r="U140" s="722"/>
      <c r="V140" s="723"/>
      <c r="W140" s="724"/>
      <c r="X140" s="725" t="s">
        <v>159</v>
      </c>
      <c r="Y140" s="725"/>
      <c r="Z140" s="725"/>
      <c r="AA140" s="725"/>
      <c r="AB140" s="726" t="s">
        <v>159</v>
      </c>
      <c r="AC140" s="726"/>
      <c r="AD140" s="726"/>
      <c r="AE140" s="726"/>
      <c r="AF140" s="727"/>
      <c r="AG140" s="728"/>
      <c r="AH140" s="727"/>
      <c r="AI140" s="728"/>
      <c r="AJ140" s="682"/>
      <c r="AK140" s="683"/>
      <c r="AL140" s="664" t="s">
        <v>162</v>
      </c>
      <c r="AM140" s="665"/>
      <c r="AN140" s="713" t="s">
        <v>162</v>
      </c>
      <c r="AO140" s="714"/>
      <c r="AP140" s="729"/>
      <c r="AQ140" s="730"/>
      <c r="AR140" s="731"/>
      <c r="AS140" s="732"/>
      <c r="AT140" s="690"/>
      <c r="AU140" s="691"/>
      <c r="AV140" s="713" t="s">
        <v>162</v>
      </c>
      <c r="AW140" s="714"/>
      <c r="AX140" s="692"/>
      <c r="AY140" s="693"/>
      <c r="AZ140" s="694"/>
      <c r="BA140" s="735"/>
      <c r="BB140" s="736"/>
      <c r="BC140" s="219"/>
      <c r="BD140" s="737" t="s">
        <v>162</v>
      </c>
      <c r="BE140" s="738"/>
      <c r="BF140" s="739"/>
      <c r="BG140" s="740"/>
      <c r="BH140" s="740"/>
      <c r="BI140" s="741"/>
      <c r="BJ140" s="742" t="s">
        <v>159</v>
      </c>
      <c r="BK140" s="743"/>
      <c r="BL140" s="743"/>
      <c r="BM140" s="744"/>
      <c r="BN140" s="703" t="s">
        <v>159</v>
      </c>
      <c r="BO140" s="704"/>
      <c r="BP140" s="704"/>
      <c r="BQ140" s="704"/>
      <c r="BR140" s="704"/>
      <c r="BS140" s="704"/>
      <c r="BT140" s="704"/>
      <c r="BU140" s="704"/>
      <c r="BV140" s="705"/>
    </row>
    <row r="141" spans="1:74" ht="45" customHeight="1" x14ac:dyDescent="0.25">
      <c r="A141" s="10">
        <f t="shared" si="1"/>
        <v>127</v>
      </c>
      <c r="B141" s="662" t="s">
        <v>159</v>
      </c>
      <c r="C141" s="662"/>
      <c r="D141" s="663" t="s">
        <v>212</v>
      </c>
      <c r="E141" s="663"/>
      <c r="F141" s="664" t="s">
        <v>162</v>
      </c>
      <c r="G141" s="665"/>
      <c r="H141" s="755" t="s">
        <v>162</v>
      </c>
      <c r="I141" s="667"/>
      <c r="J141" s="706"/>
      <c r="K141" s="707"/>
      <c r="L141" s="706"/>
      <c r="M141" s="707"/>
      <c r="N141" s="194"/>
      <c r="O141" s="196"/>
      <c r="P141" s="717"/>
      <c r="Q141" s="718"/>
      <c r="R141" s="672"/>
      <c r="S141" s="673"/>
      <c r="T141" s="674"/>
      <c r="U141" s="675"/>
      <c r="V141" s="676"/>
      <c r="W141" s="677"/>
      <c r="X141" s="678" t="s">
        <v>159</v>
      </c>
      <c r="Y141" s="678"/>
      <c r="Z141" s="678"/>
      <c r="AA141" s="678"/>
      <c r="AB141" s="679" t="s">
        <v>159</v>
      </c>
      <c r="AC141" s="679"/>
      <c r="AD141" s="679"/>
      <c r="AE141" s="679"/>
      <c r="AF141" s="680"/>
      <c r="AG141" s="681"/>
      <c r="AH141" s="680"/>
      <c r="AI141" s="681"/>
      <c r="AJ141" s="686"/>
      <c r="AK141" s="687"/>
      <c r="AL141" s="684" t="s">
        <v>162</v>
      </c>
      <c r="AM141" s="685"/>
      <c r="AN141" s="666" t="s">
        <v>162</v>
      </c>
      <c r="AO141" s="667"/>
      <c r="AP141" s="686"/>
      <c r="AQ141" s="687"/>
      <c r="AR141" s="688"/>
      <c r="AS141" s="689"/>
      <c r="AT141" s="690"/>
      <c r="AU141" s="691"/>
      <c r="AV141" s="666" t="s">
        <v>162</v>
      </c>
      <c r="AW141" s="667"/>
      <c r="AX141" s="692"/>
      <c r="AY141" s="693"/>
      <c r="AZ141" s="694"/>
      <c r="BA141" s="682"/>
      <c r="BB141" s="683"/>
      <c r="BC141" s="14"/>
      <c r="BD141" s="695" t="s">
        <v>162</v>
      </c>
      <c r="BE141" s="696"/>
      <c r="BF141" s="697"/>
      <c r="BG141" s="698"/>
      <c r="BH141" s="698"/>
      <c r="BI141" s="699"/>
      <c r="BJ141" s="700" t="s">
        <v>159</v>
      </c>
      <c r="BK141" s="701"/>
      <c r="BL141" s="701"/>
      <c r="BM141" s="702"/>
      <c r="BN141" s="703" t="s">
        <v>159</v>
      </c>
      <c r="BO141" s="704"/>
      <c r="BP141" s="704"/>
      <c r="BQ141" s="704"/>
      <c r="BR141" s="704"/>
      <c r="BS141" s="704"/>
      <c r="BT141" s="704"/>
      <c r="BU141" s="704"/>
      <c r="BV141" s="705"/>
    </row>
    <row r="142" spans="1:74" ht="45" customHeight="1" x14ac:dyDescent="0.25">
      <c r="A142" s="10">
        <f t="shared" si="1"/>
        <v>128</v>
      </c>
      <c r="B142" s="711" t="s">
        <v>159</v>
      </c>
      <c r="C142" s="711"/>
      <c r="D142" s="712" t="s">
        <v>212</v>
      </c>
      <c r="E142" s="712"/>
      <c r="F142" s="664" t="s">
        <v>162</v>
      </c>
      <c r="G142" s="665"/>
      <c r="H142" s="754" t="s">
        <v>162</v>
      </c>
      <c r="I142" s="714"/>
      <c r="J142" s="715"/>
      <c r="K142" s="716"/>
      <c r="L142" s="715"/>
      <c r="M142" s="716"/>
      <c r="N142" s="215"/>
      <c r="O142" s="216"/>
      <c r="P142" s="670"/>
      <c r="Q142" s="671"/>
      <c r="R142" s="719"/>
      <c r="S142" s="720"/>
      <c r="T142" s="721"/>
      <c r="U142" s="722"/>
      <c r="V142" s="723"/>
      <c r="W142" s="724"/>
      <c r="X142" s="725" t="s">
        <v>159</v>
      </c>
      <c r="Y142" s="725"/>
      <c r="Z142" s="725"/>
      <c r="AA142" s="725"/>
      <c r="AB142" s="726" t="s">
        <v>159</v>
      </c>
      <c r="AC142" s="726"/>
      <c r="AD142" s="726"/>
      <c r="AE142" s="726"/>
      <c r="AF142" s="727"/>
      <c r="AG142" s="728"/>
      <c r="AH142" s="727"/>
      <c r="AI142" s="728"/>
      <c r="AJ142" s="682"/>
      <c r="AK142" s="683"/>
      <c r="AL142" s="664" t="s">
        <v>162</v>
      </c>
      <c r="AM142" s="665"/>
      <c r="AN142" s="713" t="s">
        <v>162</v>
      </c>
      <c r="AO142" s="714"/>
      <c r="AP142" s="729"/>
      <c r="AQ142" s="730"/>
      <c r="AR142" s="731"/>
      <c r="AS142" s="732"/>
      <c r="AT142" s="690"/>
      <c r="AU142" s="691"/>
      <c r="AV142" s="713" t="s">
        <v>162</v>
      </c>
      <c r="AW142" s="714"/>
      <c r="AX142" s="692"/>
      <c r="AY142" s="693"/>
      <c r="AZ142" s="694"/>
      <c r="BA142" s="735"/>
      <c r="BB142" s="736"/>
      <c r="BC142" s="219"/>
      <c r="BD142" s="737" t="s">
        <v>162</v>
      </c>
      <c r="BE142" s="738"/>
      <c r="BF142" s="739"/>
      <c r="BG142" s="740"/>
      <c r="BH142" s="740"/>
      <c r="BI142" s="741"/>
      <c r="BJ142" s="742" t="s">
        <v>159</v>
      </c>
      <c r="BK142" s="743"/>
      <c r="BL142" s="743"/>
      <c r="BM142" s="744"/>
      <c r="BN142" s="703" t="s">
        <v>159</v>
      </c>
      <c r="BO142" s="704"/>
      <c r="BP142" s="704"/>
      <c r="BQ142" s="704"/>
      <c r="BR142" s="704"/>
      <c r="BS142" s="704"/>
      <c r="BT142" s="704"/>
      <c r="BU142" s="704"/>
      <c r="BV142" s="705"/>
    </row>
    <row r="143" spans="1:74" ht="45" customHeight="1" x14ac:dyDescent="0.25">
      <c r="A143" s="10">
        <f t="shared" ref="A143:A206" si="2">ROW(A129)</f>
        <v>129</v>
      </c>
      <c r="B143" s="662" t="s">
        <v>159</v>
      </c>
      <c r="C143" s="662"/>
      <c r="D143" s="663" t="s">
        <v>212</v>
      </c>
      <c r="E143" s="663"/>
      <c r="F143" s="664" t="s">
        <v>162</v>
      </c>
      <c r="G143" s="665"/>
      <c r="H143" s="755" t="s">
        <v>162</v>
      </c>
      <c r="I143" s="667"/>
      <c r="J143" s="706"/>
      <c r="K143" s="707"/>
      <c r="L143" s="706"/>
      <c r="M143" s="707"/>
      <c r="N143" s="194"/>
      <c r="O143" s="196"/>
      <c r="P143" s="717"/>
      <c r="Q143" s="718"/>
      <c r="R143" s="672"/>
      <c r="S143" s="673"/>
      <c r="T143" s="674"/>
      <c r="U143" s="675"/>
      <c r="V143" s="676"/>
      <c r="W143" s="677"/>
      <c r="X143" s="678" t="s">
        <v>159</v>
      </c>
      <c r="Y143" s="678"/>
      <c r="Z143" s="678"/>
      <c r="AA143" s="678"/>
      <c r="AB143" s="679" t="s">
        <v>159</v>
      </c>
      <c r="AC143" s="679"/>
      <c r="AD143" s="679"/>
      <c r="AE143" s="679"/>
      <c r="AF143" s="680"/>
      <c r="AG143" s="681"/>
      <c r="AH143" s="680"/>
      <c r="AI143" s="681"/>
      <c r="AJ143" s="686"/>
      <c r="AK143" s="687"/>
      <c r="AL143" s="684" t="s">
        <v>162</v>
      </c>
      <c r="AM143" s="685"/>
      <c r="AN143" s="666" t="s">
        <v>162</v>
      </c>
      <c r="AO143" s="667"/>
      <c r="AP143" s="686"/>
      <c r="AQ143" s="687"/>
      <c r="AR143" s="688"/>
      <c r="AS143" s="689"/>
      <c r="AT143" s="690"/>
      <c r="AU143" s="691"/>
      <c r="AV143" s="666" t="s">
        <v>162</v>
      </c>
      <c r="AW143" s="667"/>
      <c r="AX143" s="692"/>
      <c r="AY143" s="693"/>
      <c r="AZ143" s="694"/>
      <c r="BA143" s="682"/>
      <c r="BB143" s="683"/>
      <c r="BC143" s="14"/>
      <c r="BD143" s="695" t="s">
        <v>162</v>
      </c>
      <c r="BE143" s="696"/>
      <c r="BF143" s="708"/>
      <c r="BG143" s="709"/>
      <c r="BH143" s="709"/>
      <c r="BI143" s="710"/>
      <c r="BJ143" s="700" t="s">
        <v>159</v>
      </c>
      <c r="BK143" s="701"/>
      <c r="BL143" s="701"/>
      <c r="BM143" s="702"/>
      <c r="BN143" s="703" t="s">
        <v>159</v>
      </c>
      <c r="BO143" s="704"/>
      <c r="BP143" s="704"/>
      <c r="BQ143" s="704"/>
      <c r="BR143" s="704"/>
      <c r="BS143" s="704"/>
      <c r="BT143" s="704"/>
      <c r="BU143" s="704"/>
      <c r="BV143" s="705"/>
    </row>
    <row r="144" spans="1:74" ht="45" customHeight="1" x14ac:dyDescent="0.25">
      <c r="A144" s="10">
        <f t="shared" si="2"/>
        <v>130</v>
      </c>
      <c r="B144" s="711" t="s">
        <v>159</v>
      </c>
      <c r="C144" s="711"/>
      <c r="D144" s="712" t="s">
        <v>212</v>
      </c>
      <c r="E144" s="712"/>
      <c r="F144" s="664" t="s">
        <v>162</v>
      </c>
      <c r="G144" s="665"/>
      <c r="H144" s="754" t="s">
        <v>162</v>
      </c>
      <c r="I144" s="714"/>
      <c r="J144" s="715"/>
      <c r="K144" s="716"/>
      <c r="L144" s="715"/>
      <c r="M144" s="716"/>
      <c r="N144" s="215"/>
      <c r="O144" s="216"/>
      <c r="P144" s="670"/>
      <c r="Q144" s="671"/>
      <c r="R144" s="719"/>
      <c r="S144" s="720"/>
      <c r="T144" s="721"/>
      <c r="U144" s="722"/>
      <c r="V144" s="723"/>
      <c r="W144" s="724"/>
      <c r="X144" s="725" t="s">
        <v>159</v>
      </c>
      <c r="Y144" s="725"/>
      <c r="Z144" s="725"/>
      <c r="AA144" s="725"/>
      <c r="AB144" s="726" t="s">
        <v>159</v>
      </c>
      <c r="AC144" s="726"/>
      <c r="AD144" s="726"/>
      <c r="AE144" s="726"/>
      <c r="AF144" s="727"/>
      <c r="AG144" s="728"/>
      <c r="AH144" s="727"/>
      <c r="AI144" s="728"/>
      <c r="AJ144" s="682"/>
      <c r="AK144" s="683"/>
      <c r="AL144" s="664" t="s">
        <v>162</v>
      </c>
      <c r="AM144" s="665"/>
      <c r="AN144" s="713" t="s">
        <v>162</v>
      </c>
      <c r="AO144" s="714"/>
      <c r="AP144" s="729"/>
      <c r="AQ144" s="730"/>
      <c r="AR144" s="731"/>
      <c r="AS144" s="732"/>
      <c r="AT144" s="690"/>
      <c r="AU144" s="691"/>
      <c r="AV144" s="713" t="s">
        <v>162</v>
      </c>
      <c r="AW144" s="714"/>
      <c r="AX144" s="692"/>
      <c r="AY144" s="693"/>
      <c r="AZ144" s="694"/>
      <c r="BA144" s="735"/>
      <c r="BB144" s="736"/>
      <c r="BC144" s="219"/>
      <c r="BD144" s="737" t="s">
        <v>162</v>
      </c>
      <c r="BE144" s="738"/>
      <c r="BF144" s="739"/>
      <c r="BG144" s="740"/>
      <c r="BH144" s="740"/>
      <c r="BI144" s="741"/>
      <c r="BJ144" s="742" t="s">
        <v>159</v>
      </c>
      <c r="BK144" s="743"/>
      <c r="BL144" s="743"/>
      <c r="BM144" s="744"/>
      <c r="BN144" s="703" t="s">
        <v>159</v>
      </c>
      <c r="BO144" s="704"/>
      <c r="BP144" s="704"/>
      <c r="BQ144" s="704"/>
      <c r="BR144" s="704"/>
      <c r="BS144" s="704"/>
      <c r="BT144" s="704"/>
      <c r="BU144" s="704"/>
      <c r="BV144" s="705"/>
    </row>
    <row r="145" spans="1:74" ht="45" customHeight="1" x14ac:dyDescent="0.25">
      <c r="A145" s="10">
        <f t="shared" si="2"/>
        <v>131</v>
      </c>
      <c r="B145" s="662" t="s">
        <v>159</v>
      </c>
      <c r="C145" s="662"/>
      <c r="D145" s="663" t="s">
        <v>212</v>
      </c>
      <c r="E145" s="663"/>
      <c r="F145" s="664" t="s">
        <v>162</v>
      </c>
      <c r="G145" s="665"/>
      <c r="H145" s="755" t="s">
        <v>162</v>
      </c>
      <c r="I145" s="667"/>
      <c r="J145" s="706"/>
      <c r="K145" s="707"/>
      <c r="L145" s="706"/>
      <c r="M145" s="707"/>
      <c r="N145" s="194"/>
      <c r="O145" s="196"/>
      <c r="P145" s="717"/>
      <c r="Q145" s="718"/>
      <c r="R145" s="672"/>
      <c r="S145" s="673"/>
      <c r="T145" s="674"/>
      <c r="U145" s="675"/>
      <c r="V145" s="676"/>
      <c r="W145" s="677"/>
      <c r="X145" s="678" t="s">
        <v>159</v>
      </c>
      <c r="Y145" s="678"/>
      <c r="Z145" s="678"/>
      <c r="AA145" s="678"/>
      <c r="AB145" s="679" t="s">
        <v>159</v>
      </c>
      <c r="AC145" s="679"/>
      <c r="AD145" s="679"/>
      <c r="AE145" s="679"/>
      <c r="AF145" s="680"/>
      <c r="AG145" s="681"/>
      <c r="AH145" s="680"/>
      <c r="AI145" s="681"/>
      <c r="AJ145" s="686"/>
      <c r="AK145" s="687"/>
      <c r="AL145" s="684" t="s">
        <v>162</v>
      </c>
      <c r="AM145" s="685"/>
      <c r="AN145" s="666" t="s">
        <v>162</v>
      </c>
      <c r="AO145" s="667"/>
      <c r="AP145" s="686"/>
      <c r="AQ145" s="687"/>
      <c r="AR145" s="688"/>
      <c r="AS145" s="689"/>
      <c r="AT145" s="690"/>
      <c r="AU145" s="691"/>
      <c r="AV145" s="666" t="s">
        <v>162</v>
      </c>
      <c r="AW145" s="667"/>
      <c r="AX145" s="692"/>
      <c r="AY145" s="693"/>
      <c r="AZ145" s="694"/>
      <c r="BA145" s="682"/>
      <c r="BB145" s="683"/>
      <c r="BC145" s="14"/>
      <c r="BD145" s="695" t="s">
        <v>162</v>
      </c>
      <c r="BE145" s="696"/>
      <c r="BF145" s="708"/>
      <c r="BG145" s="709"/>
      <c r="BH145" s="709"/>
      <c r="BI145" s="710"/>
      <c r="BJ145" s="700" t="s">
        <v>159</v>
      </c>
      <c r="BK145" s="701"/>
      <c r="BL145" s="701"/>
      <c r="BM145" s="702"/>
      <c r="BN145" s="703" t="s">
        <v>159</v>
      </c>
      <c r="BO145" s="704"/>
      <c r="BP145" s="704"/>
      <c r="BQ145" s="704"/>
      <c r="BR145" s="704"/>
      <c r="BS145" s="704"/>
      <c r="BT145" s="704"/>
      <c r="BU145" s="704"/>
      <c r="BV145" s="705"/>
    </row>
    <row r="146" spans="1:74" ht="45" customHeight="1" x14ac:dyDescent="0.25">
      <c r="A146" s="10">
        <f t="shared" si="2"/>
        <v>132</v>
      </c>
      <c r="B146" s="711" t="s">
        <v>159</v>
      </c>
      <c r="C146" s="711"/>
      <c r="D146" s="712" t="s">
        <v>212</v>
      </c>
      <c r="E146" s="712"/>
      <c r="F146" s="664" t="s">
        <v>162</v>
      </c>
      <c r="G146" s="665"/>
      <c r="H146" s="754" t="s">
        <v>162</v>
      </c>
      <c r="I146" s="714"/>
      <c r="J146" s="715"/>
      <c r="K146" s="716"/>
      <c r="L146" s="715"/>
      <c r="M146" s="716"/>
      <c r="N146" s="215"/>
      <c r="O146" s="216"/>
      <c r="P146" s="670"/>
      <c r="Q146" s="671"/>
      <c r="R146" s="719"/>
      <c r="S146" s="720"/>
      <c r="T146" s="721"/>
      <c r="U146" s="722"/>
      <c r="V146" s="723"/>
      <c r="W146" s="724"/>
      <c r="X146" s="725" t="s">
        <v>159</v>
      </c>
      <c r="Y146" s="725"/>
      <c r="Z146" s="725"/>
      <c r="AA146" s="725"/>
      <c r="AB146" s="726" t="s">
        <v>159</v>
      </c>
      <c r="AC146" s="726"/>
      <c r="AD146" s="726"/>
      <c r="AE146" s="726"/>
      <c r="AF146" s="727"/>
      <c r="AG146" s="728"/>
      <c r="AH146" s="727"/>
      <c r="AI146" s="728"/>
      <c r="AJ146" s="682"/>
      <c r="AK146" s="683"/>
      <c r="AL146" s="664" t="s">
        <v>162</v>
      </c>
      <c r="AM146" s="665"/>
      <c r="AN146" s="713" t="s">
        <v>162</v>
      </c>
      <c r="AO146" s="714"/>
      <c r="AP146" s="729"/>
      <c r="AQ146" s="730"/>
      <c r="AR146" s="731"/>
      <c r="AS146" s="732"/>
      <c r="AT146" s="690"/>
      <c r="AU146" s="691"/>
      <c r="AV146" s="713" t="s">
        <v>162</v>
      </c>
      <c r="AW146" s="714"/>
      <c r="AX146" s="692"/>
      <c r="AY146" s="693"/>
      <c r="AZ146" s="694"/>
      <c r="BA146" s="735"/>
      <c r="BB146" s="736"/>
      <c r="BC146" s="219"/>
      <c r="BD146" s="737" t="s">
        <v>162</v>
      </c>
      <c r="BE146" s="738"/>
      <c r="BF146" s="739"/>
      <c r="BG146" s="740"/>
      <c r="BH146" s="740"/>
      <c r="BI146" s="741"/>
      <c r="BJ146" s="742" t="s">
        <v>159</v>
      </c>
      <c r="BK146" s="743"/>
      <c r="BL146" s="743"/>
      <c r="BM146" s="744"/>
      <c r="BN146" s="703" t="s">
        <v>159</v>
      </c>
      <c r="BO146" s="704"/>
      <c r="BP146" s="704"/>
      <c r="BQ146" s="704"/>
      <c r="BR146" s="704"/>
      <c r="BS146" s="704"/>
      <c r="BT146" s="704"/>
      <c r="BU146" s="704"/>
      <c r="BV146" s="705"/>
    </row>
    <row r="147" spans="1:74" ht="45" customHeight="1" x14ac:dyDescent="0.25">
      <c r="A147" s="10">
        <f t="shared" si="2"/>
        <v>133</v>
      </c>
      <c r="B147" s="662" t="s">
        <v>159</v>
      </c>
      <c r="C147" s="662"/>
      <c r="D147" s="663" t="s">
        <v>212</v>
      </c>
      <c r="E147" s="663"/>
      <c r="F147" s="664" t="s">
        <v>162</v>
      </c>
      <c r="G147" s="665"/>
      <c r="H147" s="755" t="s">
        <v>162</v>
      </c>
      <c r="I147" s="667"/>
      <c r="J147" s="706"/>
      <c r="K147" s="707"/>
      <c r="L147" s="706"/>
      <c r="M147" s="707"/>
      <c r="N147" s="194"/>
      <c r="O147" s="196"/>
      <c r="P147" s="717"/>
      <c r="Q147" s="718"/>
      <c r="R147" s="672"/>
      <c r="S147" s="673"/>
      <c r="T147" s="674"/>
      <c r="U147" s="675"/>
      <c r="V147" s="676"/>
      <c r="W147" s="677"/>
      <c r="X147" s="678" t="s">
        <v>159</v>
      </c>
      <c r="Y147" s="678"/>
      <c r="Z147" s="678"/>
      <c r="AA147" s="678"/>
      <c r="AB147" s="679" t="s">
        <v>159</v>
      </c>
      <c r="AC147" s="679"/>
      <c r="AD147" s="679"/>
      <c r="AE147" s="679"/>
      <c r="AF147" s="680"/>
      <c r="AG147" s="681"/>
      <c r="AH147" s="680"/>
      <c r="AI147" s="681"/>
      <c r="AJ147" s="686"/>
      <c r="AK147" s="687"/>
      <c r="AL147" s="684" t="s">
        <v>162</v>
      </c>
      <c r="AM147" s="685"/>
      <c r="AN147" s="666" t="s">
        <v>162</v>
      </c>
      <c r="AO147" s="667"/>
      <c r="AP147" s="686"/>
      <c r="AQ147" s="687"/>
      <c r="AR147" s="688"/>
      <c r="AS147" s="689"/>
      <c r="AT147" s="690"/>
      <c r="AU147" s="691"/>
      <c r="AV147" s="666" t="s">
        <v>162</v>
      </c>
      <c r="AW147" s="667"/>
      <c r="AX147" s="692"/>
      <c r="AY147" s="693"/>
      <c r="AZ147" s="694"/>
      <c r="BA147" s="682"/>
      <c r="BB147" s="683"/>
      <c r="BC147" s="14"/>
      <c r="BD147" s="695" t="s">
        <v>162</v>
      </c>
      <c r="BE147" s="696"/>
      <c r="BF147" s="697"/>
      <c r="BG147" s="698"/>
      <c r="BH147" s="698"/>
      <c r="BI147" s="699"/>
      <c r="BJ147" s="700" t="s">
        <v>159</v>
      </c>
      <c r="BK147" s="701"/>
      <c r="BL147" s="701"/>
      <c r="BM147" s="702"/>
      <c r="BN147" s="703" t="s">
        <v>159</v>
      </c>
      <c r="BO147" s="704"/>
      <c r="BP147" s="704"/>
      <c r="BQ147" s="704"/>
      <c r="BR147" s="704"/>
      <c r="BS147" s="704"/>
      <c r="BT147" s="704"/>
      <c r="BU147" s="704"/>
      <c r="BV147" s="705"/>
    </row>
    <row r="148" spans="1:74" ht="45" customHeight="1" x14ac:dyDescent="0.25">
      <c r="A148" s="10">
        <f t="shared" si="2"/>
        <v>134</v>
      </c>
      <c r="B148" s="711" t="s">
        <v>159</v>
      </c>
      <c r="C148" s="711"/>
      <c r="D148" s="712" t="s">
        <v>212</v>
      </c>
      <c r="E148" s="712"/>
      <c r="F148" s="664" t="s">
        <v>162</v>
      </c>
      <c r="G148" s="665"/>
      <c r="H148" s="754" t="s">
        <v>162</v>
      </c>
      <c r="I148" s="714"/>
      <c r="J148" s="715"/>
      <c r="K148" s="716"/>
      <c r="L148" s="715"/>
      <c r="M148" s="716"/>
      <c r="N148" s="215"/>
      <c r="O148" s="216"/>
      <c r="P148" s="670"/>
      <c r="Q148" s="671"/>
      <c r="R148" s="719"/>
      <c r="S148" s="720"/>
      <c r="T148" s="721"/>
      <c r="U148" s="722"/>
      <c r="V148" s="723"/>
      <c r="W148" s="724"/>
      <c r="X148" s="725" t="s">
        <v>159</v>
      </c>
      <c r="Y148" s="725"/>
      <c r="Z148" s="725"/>
      <c r="AA148" s="725"/>
      <c r="AB148" s="726" t="s">
        <v>159</v>
      </c>
      <c r="AC148" s="726"/>
      <c r="AD148" s="726"/>
      <c r="AE148" s="726"/>
      <c r="AF148" s="727"/>
      <c r="AG148" s="728"/>
      <c r="AH148" s="727"/>
      <c r="AI148" s="728"/>
      <c r="AJ148" s="682"/>
      <c r="AK148" s="683"/>
      <c r="AL148" s="664" t="s">
        <v>162</v>
      </c>
      <c r="AM148" s="665"/>
      <c r="AN148" s="713" t="s">
        <v>162</v>
      </c>
      <c r="AO148" s="714"/>
      <c r="AP148" s="729"/>
      <c r="AQ148" s="730"/>
      <c r="AR148" s="731"/>
      <c r="AS148" s="732"/>
      <c r="AT148" s="690"/>
      <c r="AU148" s="691"/>
      <c r="AV148" s="713" t="s">
        <v>162</v>
      </c>
      <c r="AW148" s="714"/>
      <c r="AX148" s="692"/>
      <c r="AY148" s="693"/>
      <c r="AZ148" s="694"/>
      <c r="BA148" s="735"/>
      <c r="BB148" s="736"/>
      <c r="BC148" s="219"/>
      <c r="BD148" s="737" t="s">
        <v>162</v>
      </c>
      <c r="BE148" s="738"/>
      <c r="BF148" s="739"/>
      <c r="BG148" s="740"/>
      <c r="BH148" s="740"/>
      <c r="BI148" s="741"/>
      <c r="BJ148" s="742" t="s">
        <v>159</v>
      </c>
      <c r="BK148" s="743"/>
      <c r="BL148" s="743"/>
      <c r="BM148" s="744"/>
      <c r="BN148" s="703" t="s">
        <v>159</v>
      </c>
      <c r="BO148" s="704"/>
      <c r="BP148" s="704"/>
      <c r="BQ148" s="704"/>
      <c r="BR148" s="704"/>
      <c r="BS148" s="704"/>
      <c r="BT148" s="704"/>
      <c r="BU148" s="704"/>
      <c r="BV148" s="705"/>
    </row>
    <row r="149" spans="1:74" ht="45" customHeight="1" x14ac:dyDescent="0.25">
      <c r="A149" s="10">
        <f t="shared" si="2"/>
        <v>135</v>
      </c>
      <c r="B149" s="662" t="s">
        <v>159</v>
      </c>
      <c r="C149" s="662"/>
      <c r="D149" s="663" t="s">
        <v>212</v>
      </c>
      <c r="E149" s="663"/>
      <c r="F149" s="664" t="s">
        <v>162</v>
      </c>
      <c r="G149" s="665"/>
      <c r="H149" s="755" t="s">
        <v>162</v>
      </c>
      <c r="I149" s="667"/>
      <c r="J149" s="706"/>
      <c r="K149" s="707"/>
      <c r="L149" s="706"/>
      <c r="M149" s="707"/>
      <c r="N149" s="194"/>
      <c r="O149" s="196"/>
      <c r="P149" s="717"/>
      <c r="Q149" s="718"/>
      <c r="R149" s="672"/>
      <c r="S149" s="673"/>
      <c r="T149" s="674"/>
      <c r="U149" s="675"/>
      <c r="V149" s="676"/>
      <c r="W149" s="677"/>
      <c r="X149" s="678" t="s">
        <v>159</v>
      </c>
      <c r="Y149" s="678"/>
      <c r="Z149" s="678"/>
      <c r="AA149" s="678"/>
      <c r="AB149" s="679" t="s">
        <v>159</v>
      </c>
      <c r="AC149" s="679"/>
      <c r="AD149" s="679"/>
      <c r="AE149" s="679"/>
      <c r="AF149" s="680"/>
      <c r="AG149" s="681"/>
      <c r="AH149" s="680"/>
      <c r="AI149" s="681"/>
      <c r="AJ149" s="686"/>
      <c r="AK149" s="687"/>
      <c r="AL149" s="684" t="s">
        <v>162</v>
      </c>
      <c r="AM149" s="685"/>
      <c r="AN149" s="666" t="s">
        <v>162</v>
      </c>
      <c r="AO149" s="667"/>
      <c r="AP149" s="686"/>
      <c r="AQ149" s="687"/>
      <c r="AR149" s="688"/>
      <c r="AS149" s="689"/>
      <c r="AT149" s="690"/>
      <c r="AU149" s="691"/>
      <c r="AV149" s="666" t="s">
        <v>162</v>
      </c>
      <c r="AW149" s="667"/>
      <c r="AX149" s="692"/>
      <c r="AY149" s="693"/>
      <c r="AZ149" s="694"/>
      <c r="BA149" s="682"/>
      <c r="BB149" s="683"/>
      <c r="BC149" s="14"/>
      <c r="BD149" s="695" t="s">
        <v>162</v>
      </c>
      <c r="BE149" s="696"/>
      <c r="BF149" s="708"/>
      <c r="BG149" s="709"/>
      <c r="BH149" s="709"/>
      <c r="BI149" s="710"/>
      <c r="BJ149" s="700" t="s">
        <v>159</v>
      </c>
      <c r="BK149" s="701"/>
      <c r="BL149" s="701"/>
      <c r="BM149" s="702"/>
      <c r="BN149" s="703" t="s">
        <v>159</v>
      </c>
      <c r="BO149" s="704"/>
      <c r="BP149" s="704"/>
      <c r="BQ149" s="704"/>
      <c r="BR149" s="704"/>
      <c r="BS149" s="704"/>
      <c r="BT149" s="704"/>
      <c r="BU149" s="704"/>
      <c r="BV149" s="705"/>
    </row>
    <row r="150" spans="1:74" ht="45" customHeight="1" x14ac:dyDescent="0.25">
      <c r="A150" s="10">
        <f t="shared" si="2"/>
        <v>136</v>
      </c>
      <c r="B150" s="711" t="s">
        <v>159</v>
      </c>
      <c r="C150" s="711"/>
      <c r="D150" s="712" t="s">
        <v>212</v>
      </c>
      <c r="E150" s="712"/>
      <c r="F150" s="664" t="s">
        <v>162</v>
      </c>
      <c r="G150" s="665"/>
      <c r="H150" s="754" t="s">
        <v>162</v>
      </c>
      <c r="I150" s="714"/>
      <c r="J150" s="715"/>
      <c r="K150" s="716"/>
      <c r="L150" s="715"/>
      <c r="M150" s="716"/>
      <c r="N150" s="215"/>
      <c r="O150" s="216"/>
      <c r="P150" s="670"/>
      <c r="Q150" s="671"/>
      <c r="R150" s="719"/>
      <c r="S150" s="720"/>
      <c r="T150" s="721"/>
      <c r="U150" s="722"/>
      <c r="V150" s="723"/>
      <c r="W150" s="724"/>
      <c r="X150" s="725" t="s">
        <v>159</v>
      </c>
      <c r="Y150" s="725"/>
      <c r="Z150" s="725"/>
      <c r="AA150" s="725"/>
      <c r="AB150" s="726" t="s">
        <v>159</v>
      </c>
      <c r="AC150" s="726"/>
      <c r="AD150" s="726"/>
      <c r="AE150" s="726"/>
      <c r="AF150" s="727"/>
      <c r="AG150" s="728"/>
      <c r="AH150" s="727"/>
      <c r="AI150" s="728"/>
      <c r="AJ150" s="682"/>
      <c r="AK150" s="683"/>
      <c r="AL150" s="664" t="s">
        <v>162</v>
      </c>
      <c r="AM150" s="665"/>
      <c r="AN150" s="713" t="s">
        <v>162</v>
      </c>
      <c r="AO150" s="714"/>
      <c r="AP150" s="729"/>
      <c r="AQ150" s="730"/>
      <c r="AR150" s="731"/>
      <c r="AS150" s="732"/>
      <c r="AT150" s="690"/>
      <c r="AU150" s="691"/>
      <c r="AV150" s="713" t="s">
        <v>162</v>
      </c>
      <c r="AW150" s="714"/>
      <c r="AX150" s="692"/>
      <c r="AY150" s="693"/>
      <c r="AZ150" s="694"/>
      <c r="BA150" s="735"/>
      <c r="BB150" s="736"/>
      <c r="BC150" s="219"/>
      <c r="BD150" s="737" t="s">
        <v>162</v>
      </c>
      <c r="BE150" s="738"/>
      <c r="BF150" s="739"/>
      <c r="BG150" s="740"/>
      <c r="BH150" s="740"/>
      <c r="BI150" s="741"/>
      <c r="BJ150" s="742" t="s">
        <v>159</v>
      </c>
      <c r="BK150" s="743"/>
      <c r="BL150" s="743"/>
      <c r="BM150" s="744"/>
      <c r="BN150" s="703" t="s">
        <v>159</v>
      </c>
      <c r="BO150" s="704"/>
      <c r="BP150" s="704"/>
      <c r="BQ150" s="704"/>
      <c r="BR150" s="704"/>
      <c r="BS150" s="704"/>
      <c r="BT150" s="704"/>
      <c r="BU150" s="704"/>
      <c r="BV150" s="705"/>
    </row>
    <row r="151" spans="1:74" ht="45" customHeight="1" x14ac:dyDescent="0.25">
      <c r="A151" s="10">
        <f t="shared" si="2"/>
        <v>137</v>
      </c>
      <c r="B151" s="662" t="s">
        <v>159</v>
      </c>
      <c r="C151" s="662"/>
      <c r="D151" s="663" t="s">
        <v>212</v>
      </c>
      <c r="E151" s="663"/>
      <c r="F151" s="664" t="s">
        <v>162</v>
      </c>
      <c r="G151" s="665"/>
      <c r="H151" s="755" t="s">
        <v>162</v>
      </c>
      <c r="I151" s="667"/>
      <c r="J151" s="706"/>
      <c r="K151" s="707"/>
      <c r="L151" s="706"/>
      <c r="M151" s="707"/>
      <c r="N151" s="194"/>
      <c r="O151" s="196"/>
      <c r="P151" s="717"/>
      <c r="Q151" s="718"/>
      <c r="R151" s="672"/>
      <c r="S151" s="673"/>
      <c r="T151" s="674"/>
      <c r="U151" s="675"/>
      <c r="V151" s="676"/>
      <c r="W151" s="677"/>
      <c r="X151" s="678" t="s">
        <v>159</v>
      </c>
      <c r="Y151" s="678"/>
      <c r="Z151" s="678"/>
      <c r="AA151" s="678"/>
      <c r="AB151" s="679" t="s">
        <v>159</v>
      </c>
      <c r="AC151" s="679"/>
      <c r="AD151" s="679"/>
      <c r="AE151" s="679"/>
      <c r="AF151" s="680"/>
      <c r="AG151" s="681"/>
      <c r="AH151" s="680"/>
      <c r="AI151" s="681"/>
      <c r="AJ151" s="686"/>
      <c r="AK151" s="687"/>
      <c r="AL151" s="684" t="s">
        <v>162</v>
      </c>
      <c r="AM151" s="685"/>
      <c r="AN151" s="666" t="s">
        <v>162</v>
      </c>
      <c r="AO151" s="667"/>
      <c r="AP151" s="686"/>
      <c r="AQ151" s="687"/>
      <c r="AR151" s="688"/>
      <c r="AS151" s="689"/>
      <c r="AT151" s="690"/>
      <c r="AU151" s="691"/>
      <c r="AV151" s="666" t="s">
        <v>162</v>
      </c>
      <c r="AW151" s="667"/>
      <c r="AX151" s="692"/>
      <c r="AY151" s="693"/>
      <c r="AZ151" s="694"/>
      <c r="BA151" s="682"/>
      <c r="BB151" s="683"/>
      <c r="BC151" s="14"/>
      <c r="BD151" s="695" t="s">
        <v>162</v>
      </c>
      <c r="BE151" s="696"/>
      <c r="BF151" s="697"/>
      <c r="BG151" s="698"/>
      <c r="BH151" s="698"/>
      <c r="BI151" s="699"/>
      <c r="BJ151" s="700" t="s">
        <v>159</v>
      </c>
      <c r="BK151" s="701"/>
      <c r="BL151" s="701"/>
      <c r="BM151" s="702"/>
      <c r="BN151" s="703" t="s">
        <v>159</v>
      </c>
      <c r="BO151" s="704"/>
      <c r="BP151" s="704"/>
      <c r="BQ151" s="704"/>
      <c r="BR151" s="704"/>
      <c r="BS151" s="704"/>
      <c r="BT151" s="704"/>
      <c r="BU151" s="704"/>
      <c r="BV151" s="705"/>
    </row>
    <row r="152" spans="1:74" ht="45" customHeight="1" x14ac:dyDescent="0.25">
      <c r="A152" s="10">
        <f t="shared" si="2"/>
        <v>138</v>
      </c>
      <c r="B152" s="711" t="s">
        <v>159</v>
      </c>
      <c r="C152" s="711"/>
      <c r="D152" s="712" t="s">
        <v>212</v>
      </c>
      <c r="E152" s="712"/>
      <c r="F152" s="664" t="s">
        <v>162</v>
      </c>
      <c r="G152" s="665"/>
      <c r="H152" s="754" t="s">
        <v>162</v>
      </c>
      <c r="I152" s="714"/>
      <c r="J152" s="715"/>
      <c r="K152" s="716"/>
      <c r="L152" s="715"/>
      <c r="M152" s="716"/>
      <c r="N152" s="215"/>
      <c r="O152" s="216"/>
      <c r="P152" s="670"/>
      <c r="Q152" s="671"/>
      <c r="R152" s="719"/>
      <c r="S152" s="720"/>
      <c r="T152" s="721"/>
      <c r="U152" s="722"/>
      <c r="V152" s="723"/>
      <c r="W152" s="724"/>
      <c r="X152" s="725" t="s">
        <v>159</v>
      </c>
      <c r="Y152" s="725"/>
      <c r="Z152" s="725"/>
      <c r="AA152" s="725"/>
      <c r="AB152" s="726" t="s">
        <v>159</v>
      </c>
      <c r="AC152" s="726"/>
      <c r="AD152" s="726"/>
      <c r="AE152" s="726"/>
      <c r="AF152" s="727"/>
      <c r="AG152" s="728"/>
      <c r="AH152" s="727"/>
      <c r="AI152" s="728"/>
      <c r="AJ152" s="682"/>
      <c r="AK152" s="683"/>
      <c r="AL152" s="664" t="s">
        <v>162</v>
      </c>
      <c r="AM152" s="665"/>
      <c r="AN152" s="713" t="s">
        <v>162</v>
      </c>
      <c r="AO152" s="714"/>
      <c r="AP152" s="729"/>
      <c r="AQ152" s="730"/>
      <c r="AR152" s="731"/>
      <c r="AS152" s="732"/>
      <c r="AT152" s="690"/>
      <c r="AU152" s="691"/>
      <c r="AV152" s="713" t="s">
        <v>162</v>
      </c>
      <c r="AW152" s="714"/>
      <c r="AX152" s="692"/>
      <c r="AY152" s="693"/>
      <c r="AZ152" s="694"/>
      <c r="BA152" s="735"/>
      <c r="BB152" s="736"/>
      <c r="BC152" s="219"/>
      <c r="BD152" s="695" t="s">
        <v>162</v>
      </c>
      <c r="BE152" s="696"/>
      <c r="BF152" s="739"/>
      <c r="BG152" s="740"/>
      <c r="BH152" s="740"/>
      <c r="BI152" s="741"/>
      <c r="BJ152" s="742" t="s">
        <v>159</v>
      </c>
      <c r="BK152" s="743"/>
      <c r="BL152" s="743"/>
      <c r="BM152" s="744"/>
      <c r="BN152" s="703" t="s">
        <v>159</v>
      </c>
      <c r="BO152" s="704"/>
      <c r="BP152" s="704"/>
      <c r="BQ152" s="704"/>
      <c r="BR152" s="704"/>
      <c r="BS152" s="704"/>
      <c r="BT152" s="704"/>
      <c r="BU152" s="704"/>
      <c r="BV152" s="705"/>
    </row>
    <row r="153" spans="1:74" ht="45" customHeight="1" x14ac:dyDescent="0.25">
      <c r="A153" s="10">
        <f t="shared" si="2"/>
        <v>139</v>
      </c>
      <c r="B153" s="662" t="s">
        <v>159</v>
      </c>
      <c r="C153" s="662"/>
      <c r="D153" s="663" t="s">
        <v>212</v>
      </c>
      <c r="E153" s="663"/>
      <c r="F153" s="664" t="s">
        <v>162</v>
      </c>
      <c r="G153" s="665"/>
      <c r="H153" s="755" t="s">
        <v>162</v>
      </c>
      <c r="I153" s="667"/>
      <c r="J153" s="706"/>
      <c r="K153" s="707"/>
      <c r="L153" s="706"/>
      <c r="M153" s="707"/>
      <c r="N153" s="194"/>
      <c r="O153" s="196"/>
      <c r="P153" s="717"/>
      <c r="Q153" s="718"/>
      <c r="R153" s="672"/>
      <c r="S153" s="673"/>
      <c r="T153" s="674"/>
      <c r="U153" s="675"/>
      <c r="V153" s="676"/>
      <c r="W153" s="677"/>
      <c r="X153" s="678" t="s">
        <v>159</v>
      </c>
      <c r="Y153" s="678"/>
      <c r="Z153" s="678"/>
      <c r="AA153" s="678"/>
      <c r="AB153" s="679" t="s">
        <v>159</v>
      </c>
      <c r="AC153" s="679"/>
      <c r="AD153" s="679"/>
      <c r="AE153" s="679"/>
      <c r="AF153" s="680"/>
      <c r="AG153" s="681"/>
      <c r="AH153" s="680"/>
      <c r="AI153" s="681"/>
      <c r="AJ153" s="686"/>
      <c r="AK153" s="687"/>
      <c r="AL153" s="684" t="s">
        <v>162</v>
      </c>
      <c r="AM153" s="685"/>
      <c r="AN153" s="666" t="s">
        <v>162</v>
      </c>
      <c r="AO153" s="667"/>
      <c r="AP153" s="686"/>
      <c r="AQ153" s="687"/>
      <c r="AR153" s="688"/>
      <c r="AS153" s="689"/>
      <c r="AT153" s="690"/>
      <c r="AU153" s="691"/>
      <c r="AV153" s="666" t="s">
        <v>162</v>
      </c>
      <c r="AW153" s="667"/>
      <c r="AX153" s="692"/>
      <c r="AY153" s="693"/>
      <c r="AZ153" s="694"/>
      <c r="BA153" s="682"/>
      <c r="BB153" s="683"/>
      <c r="BC153" s="14"/>
      <c r="BD153" s="737" t="s">
        <v>162</v>
      </c>
      <c r="BE153" s="738"/>
      <c r="BF153" s="708"/>
      <c r="BG153" s="709"/>
      <c r="BH153" s="709"/>
      <c r="BI153" s="710"/>
      <c r="BJ153" s="700" t="s">
        <v>159</v>
      </c>
      <c r="BK153" s="701"/>
      <c r="BL153" s="701"/>
      <c r="BM153" s="702"/>
      <c r="BN153" s="703" t="s">
        <v>159</v>
      </c>
      <c r="BO153" s="704"/>
      <c r="BP153" s="704"/>
      <c r="BQ153" s="704"/>
      <c r="BR153" s="704"/>
      <c r="BS153" s="704"/>
      <c r="BT153" s="704"/>
      <c r="BU153" s="704"/>
      <c r="BV153" s="705"/>
    </row>
    <row r="154" spans="1:74" ht="45" customHeight="1" x14ac:dyDescent="0.25">
      <c r="A154" s="10">
        <f t="shared" si="2"/>
        <v>140</v>
      </c>
      <c r="B154" s="711" t="s">
        <v>159</v>
      </c>
      <c r="C154" s="711"/>
      <c r="D154" s="712" t="s">
        <v>212</v>
      </c>
      <c r="E154" s="712"/>
      <c r="F154" s="664" t="s">
        <v>162</v>
      </c>
      <c r="G154" s="665"/>
      <c r="H154" s="754" t="s">
        <v>162</v>
      </c>
      <c r="I154" s="714"/>
      <c r="J154" s="715"/>
      <c r="K154" s="716"/>
      <c r="L154" s="715"/>
      <c r="M154" s="716"/>
      <c r="N154" s="215"/>
      <c r="O154" s="216"/>
      <c r="P154" s="670"/>
      <c r="Q154" s="671"/>
      <c r="R154" s="719"/>
      <c r="S154" s="720"/>
      <c r="T154" s="721"/>
      <c r="U154" s="722"/>
      <c r="V154" s="723"/>
      <c r="W154" s="724"/>
      <c r="X154" s="725" t="s">
        <v>159</v>
      </c>
      <c r="Y154" s="725"/>
      <c r="Z154" s="725"/>
      <c r="AA154" s="725"/>
      <c r="AB154" s="726" t="s">
        <v>159</v>
      </c>
      <c r="AC154" s="726"/>
      <c r="AD154" s="726"/>
      <c r="AE154" s="726"/>
      <c r="AF154" s="727"/>
      <c r="AG154" s="728"/>
      <c r="AH154" s="727"/>
      <c r="AI154" s="728"/>
      <c r="AJ154" s="682"/>
      <c r="AK154" s="683"/>
      <c r="AL154" s="664" t="s">
        <v>162</v>
      </c>
      <c r="AM154" s="665"/>
      <c r="AN154" s="713" t="s">
        <v>162</v>
      </c>
      <c r="AO154" s="714"/>
      <c r="AP154" s="729"/>
      <c r="AQ154" s="730"/>
      <c r="AR154" s="731"/>
      <c r="AS154" s="732"/>
      <c r="AT154" s="690"/>
      <c r="AU154" s="691"/>
      <c r="AV154" s="713" t="s">
        <v>162</v>
      </c>
      <c r="AW154" s="714"/>
      <c r="AX154" s="692"/>
      <c r="AY154" s="693"/>
      <c r="AZ154" s="694"/>
      <c r="BA154" s="735"/>
      <c r="BB154" s="736"/>
      <c r="BC154" s="219"/>
      <c r="BD154" s="695" t="s">
        <v>162</v>
      </c>
      <c r="BE154" s="696"/>
      <c r="BF154" s="739"/>
      <c r="BG154" s="740"/>
      <c r="BH154" s="740"/>
      <c r="BI154" s="741"/>
      <c r="BJ154" s="742" t="s">
        <v>159</v>
      </c>
      <c r="BK154" s="743"/>
      <c r="BL154" s="743"/>
      <c r="BM154" s="744"/>
      <c r="BN154" s="703" t="s">
        <v>159</v>
      </c>
      <c r="BO154" s="704"/>
      <c r="BP154" s="704"/>
      <c r="BQ154" s="704"/>
      <c r="BR154" s="704"/>
      <c r="BS154" s="704"/>
      <c r="BT154" s="704"/>
      <c r="BU154" s="704"/>
      <c r="BV154" s="705"/>
    </row>
    <row r="155" spans="1:74" ht="45" customHeight="1" x14ac:dyDescent="0.25">
      <c r="A155" s="10">
        <f t="shared" si="2"/>
        <v>141</v>
      </c>
      <c r="B155" s="662" t="s">
        <v>159</v>
      </c>
      <c r="C155" s="662"/>
      <c r="D155" s="663" t="s">
        <v>212</v>
      </c>
      <c r="E155" s="663"/>
      <c r="F155" s="664" t="s">
        <v>162</v>
      </c>
      <c r="G155" s="665"/>
      <c r="H155" s="755" t="s">
        <v>162</v>
      </c>
      <c r="I155" s="667"/>
      <c r="J155" s="706"/>
      <c r="K155" s="707"/>
      <c r="L155" s="706"/>
      <c r="M155" s="707"/>
      <c r="N155" s="194"/>
      <c r="O155" s="196"/>
      <c r="P155" s="717"/>
      <c r="Q155" s="718"/>
      <c r="R155" s="672"/>
      <c r="S155" s="673"/>
      <c r="T155" s="674"/>
      <c r="U155" s="675"/>
      <c r="V155" s="676"/>
      <c r="W155" s="677"/>
      <c r="X155" s="678" t="s">
        <v>159</v>
      </c>
      <c r="Y155" s="678"/>
      <c r="Z155" s="678"/>
      <c r="AA155" s="678"/>
      <c r="AB155" s="679" t="s">
        <v>159</v>
      </c>
      <c r="AC155" s="679"/>
      <c r="AD155" s="679"/>
      <c r="AE155" s="679"/>
      <c r="AF155" s="680"/>
      <c r="AG155" s="681"/>
      <c r="AH155" s="680"/>
      <c r="AI155" s="681"/>
      <c r="AJ155" s="686"/>
      <c r="AK155" s="687"/>
      <c r="AL155" s="684" t="s">
        <v>162</v>
      </c>
      <c r="AM155" s="685"/>
      <c r="AN155" s="666" t="s">
        <v>162</v>
      </c>
      <c r="AO155" s="667"/>
      <c r="AP155" s="686"/>
      <c r="AQ155" s="687"/>
      <c r="AR155" s="688"/>
      <c r="AS155" s="689"/>
      <c r="AT155" s="690"/>
      <c r="AU155" s="691"/>
      <c r="AV155" s="666" t="s">
        <v>162</v>
      </c>
      <c r="AW155" s="667"/>
      <c r="AX155" s="692"/>
      <c r="AY155" s="693"/>
      <c r="AZ155" s="694"/>
      <c r="BA155" s="682"/>
      <c r="BB155" s="683"/>
      <c r="BC155" s="14"/>
      <c r="BD155" s="695" t="s">
        <v>162</v>
      </c>
      <c r="BE155" s="696"/>
      <c r="BF155" s="708"/>
      <c r="BG155" s="709"/>
      <c r="BH155" s="709"/>
      <c r="BI155" s="710"/>
      <c r="BJ155" s="700" t="s">
        <v>159</v>
      </c>
      <c r="BK155" s="701"/>
      <c r="BL155" s="701"/>
      <c r="BM155" s="702"/>
      <c r="BN155" s="703" t="s">
        <v>159</v>
      </c>
      <c r="BO155" s="704"/>
      <c r="BP155" s="704"/>
      <c r="BQ155" s="704"/>
      <c r="BR155" s="704"/>
      <c r="BS155" s="704"/>
      <c r="BT155" s="704"/>
      <c r="BU155" s="704"/>
      <c r="BV155" s="705"/>
    </row>
    <row r="156" spans="1:74" ht="45" customHeight="1" x14ac:dyDescent="0.25">
      <c r="A156" s="10">
        <f t="shared" si="2"/>
        <v>142</v>
      </c>
      <c r="B156" s="711" t="s">
        <v>159</v>
      </c>
      <c r="C156" s="711"/>
      <c r="D156" s="712" t="s">
        <v>212</v>
      </c>
      <c r="E156" s="712"/>
      <c r="F156" s="664" t="s">
        <v>162</v>
      </c>
      <c r="G156" s="665"/>
      <c r="H156" s="754" t="s">
        <v>162</v>
      </c>
      <c r="I156" s="714"/>
      <c r="J156" s="715"/>
      <c r="K156" s="716"/>
      <c r="L156" s="715"/>
      <c r="M156" s="716"/>
      <c r="N156" s="215"/>
      <c r="O156" s="216"/>
      <c r="P156" s="670"/>
      <c r="Q156" s="671"/>
      <c r="R156" s="719"/>
      <c r="S156" s="720"/>
      <c r="T156" s="721"/>
      <c r="U156" s="722"/>
      <c r="V156" s="723"/>
      <c r="W156" s="724"/>
      <c r="X156" s="725" t="s">
        <v>159</v>
      </c>
      <c r="Y156" s="725"/>
      <c r="Z156" s="725"/>
      <c r="AA156" s="725"/>
      <c r="AB156" s="726" t="s">
        <v>159</v>
      </c>
      <c r="AC156" s="726"/>
      <c r="AD156" s="726"/>
      <c r="AE156" s="726"/>
      <c r="AF156" s="727"/>
      <c r="AG156" s="728"/>
      <c r="AH156" s="727"/>
      <c r="AI156" s="728"/>
      <c r="AJ156" s="682"/>
      <c r="AK156" s="683"/>
      <c r="AL156" s="664" t="s">
        <v>162</v>
      </c>
      <c r="AM156" s="665"/>
      <c r="AN156" s="713" t="s">
        <v>162</v>
      </c>
      <c r="AO156" s="714"/>
      <c r="AP156" s="729"/>
      <c r="AQ156" s="730"/>
      <c r="AR156" s="731"/>
      <c r="AS156" s="732"/>
      <c r="AT156" s="690"/>
      <c r="AU156" s="691"/>
      <c r="AV156" s="713" t="s">
        <v>162</v>
      </c>
      <c r="AW156" s="714"/>
      <c r="AX156" s="692"/>
      <c r="AY156" s="693"/>
      <c r="AZ156" s="694"/>
      <c r="BA156" s="735"/>
      <c r="BB156" s="736"/>
      <c r="BC156" s="219"/>
      <c r="BD156" s="737" t="s">
        <v>162</v>
      </c>
      <c r="BE156" s="738"/>
      <c r="BF156" s="739"/>
      <c r="BG156" s="740"/>
      <c r="BH156" s="740"/>
      <c r="BI156" s="741"/>
      <c r="BJ156" s="742" t="s">
        <v>159</v>
      </c>
      <c r="BK156" s="743"/>
      <c r="BL156" s="743"/>
      <c r="BM156" s="744"/>
      <c r="BN156" s="703" t="s">
        <v>159</v>
      </c>
      <c r="BO156" s="704"/>
      <c r="BP156" s="704"/>
      <c r="BQ156" s="704"/>
      <c r="BR156" s="704"/>
      <c r="BS156" s="704"/>
      <c r="BT156" s="704"/>
      <c r="BU156" s="704"/>
      <c r="BV156" s="705"/>
    </row>
    <row r="157" spans="1:74" ht="45" customHeight="1" x14ac:dyDescent="0.25">
      <c r="A157" s="10">
        <f t="shared" si="2"/>
        <v>143</v>
      </c>
      <c r="B157" s="662" t="s">
        <v>159</v>
      </c>
      <c r="C157" s="662"/>
      <c r="D157" s="663" t="s">
        <v>212</v>
      </c>
      <c r="E157" s="663"/>
      <c r="F157" s="664" t="s">
        <v>162</v>
      </c>
      <c r="G157" s="665"/>
      <c r="H157" s="755" t="s">
        <v>162</v>
      </c>
      <c r="I157" s="667"/>
      <c r="J157" s="706"/>
      <c r="K157" s="707"/>
      <c r="L157" s="706"/>
      <c r="M157" s="707"/>
      <c r="N157" s="194"/>
      <c r="O157" s="196"/>
      <c r="P157" s="717"/>
      <c r="Q157" s="718"/>
      <c r="R157" s="672"/>
      <c r="S157" s="673"/>
      <c r="T157" s="674"/>
      <c r="U157" s="675"/>
      <c r="V157" s="676"/>
      <c r="W157" s="677"/>
      <c r="X157" s="678" t="s">
        <v>159</v>
      </c>
      <c r="Y157" s="678"/>
      <c r="Z157" s="678"/>
      <c r="AA157" s="678"/>
      <c r="AB157" s="679" t="s">
        <v>159</v>
      </c>
      <c r="AC157" s="679"/>
      <c r="AD157" s="679"/>
      <c r="AE157" s="679"/>
      <c r="AF157" s="680"/>
      <c r="AG157" s="681"/>
      <c r="AH157" s="680"/>
      <c r="AI157" s="681"/>
      <c r="AJ157" s="686"/>
      <c r="AK157" s="687"/>
      <c r="AL157" s="684" t="s">
        <v>162</v>
      </c>
      <c r="AM157" s="685"/>
      <c r="AN157" s="666" t="s">
        <v>162</v>
      </c>
      <c r="AO157" s="667"/>
      <c r="AP157" s="686"/>
      <c r="AQ157" s="687"/>
      <c r="AR157" s="688"/>
      <c r="AS157" s="689"/>
      <c r="AT157" s="690"/>
      <c r="AU157" s="691"/>
      <c r="AV157" s="666" t="s">
        <v>162</v>
      </c>
      <c r="AW157" s="667"/>
      <c r="AX157" s="692"/>
      <c r="AY157" s="693"/>
      <c r="AZ157" s="694"/>
      <c r="BA157" s="682"/>
      <c r="BB157" s="683"/>
      <c r="BC157" s="14"/>
      <c r="BD157" s="695" t="s">
        <v>162</v>
      </c>
      <c r="BE157" s="696"/>
      <c r="BF157" s="697"/>
      <c r="BG157" s="698"/>
      <c r="BH157" s="698"/>
      <c r="BI157" s="699"/>
      <c r="BJ157" s="700" t="s">
        <v>159</v>
      </c>
      <c r="BK157" s="701"/>
      <c r="BL157" s="701"/>
      <c r="BM157" s="702"/>
      <c r="BN157" s="703" t="s">
        <v>159</v>
      </c>
      <c r="BO157" s="704"/>
      <c r="BP157" s="704"/>
      <c r="BQ157" s="704"/>
      <c r="BR157" s="704"/>
      <c r="BS157" s="704"/>
      <c r="BT157" s="704"/>
      <c r="BU157" s="704"/>
      <c r="BV157" s="705"/>
    </row>
    <row r="158" spans="1:74" ht="45" customHeight="1" x14ac:dyDescent="0.25">
      <c r="A158" s="10">
        <f t="shared" si="2"/>
        <v>144</v>
      </c>
      <c r="B158" s="711" t="s">
        <v>159</v>
      </c>
      <c r="C158" s="711"/>
      <c r="D158" s="712" t="s">
        <v>212</v>
      </c>
      <c r="E158" s="712"/>
      <c r="F158" s="664" t="s">
        <v>162</v>
      </c>
      <c r="G158" s="665"/>
      <c r="H158" s="754" t="s">
        <v>162</v>
      </c>
      <c r="I158" s="714"/>
      <c r="J158" s="715"/>
      <c r="K158" s="716"/>
      <c r="L158" s="715"/>
      <c r="M158" s="716"/>
      <c r="N158" s="215"/>
      <c r="O158" s="216"/>
      <c r="P158" s="670"/>
      <c r="Q158" s="671"/>
      <c r="R158" s="719"/>
      <c r="S158" s="720"/>
      <c r="T158" s="721"/>
      <c r="U158" s="722"/>
      <c r="V158" s="723"/>
      <c r="W158" s="724"/>
      <c r="X158" s="725" t="s">
        <v>159</v>
      </c>
      <c r="Y158" s="725"/>
      <c r="Z158" s="725"/>
      <c r="AA158" s="725"/>
      <c r="AB158" s="726" t="s">
        <v>159</v>
      </c>
      <c r="AC158" s="726"/>
      <c r="AD158" s="726"/>
      <c r="AE158" s="726"/>
      <c r="AF158" s="727"/>
      <c r="AG158" s="728"/>
      <c r="AH158" s="727"/>
      <c r="AI158" s="728"/>
      <c r="AJ158" s="682"/>
      <c r="AK158" s="683"/>
      <c r="AL158" s="664" t="s">
        <v>162</v>
      </c>
      <c r="AM158" s="665"/>
      <c r="AN158" s="713" t="s">
        <v>162</v>
      </c>
      <c r="AO158" s="714"/>
      <c r="AP158" s="729"/>
      <c r="AQ158" s="730"/>
      <c r="AR158" s="731"/>
      <c r="AS158" s="732"/>
      <c r="AT158" s="690"/>
      <c r="AU158" s="691"/>
      <c r="AV158" s="713" t="s">
        <v>162</v>
      </c>
      <c r="AW158" s="714"/>
      <c r="AX158" s="692"/>
      <c r="AY158" s="693"/>
      <c r="AZ158" s="694"/>
      <c r="BA158" s="735"/>
      <c r="BB158" s="736"/>
      <c r="BC158" s="219"/>
      <c r="BD158" s="737" t="s">
        <v>162</v>
      </c>
      <c r="BE158" s="738"/>
      <c r="BF158" s="739"/>
      <c r="BG158" s="740"/>
      <c r="BH158" s="740"/>
      <c r="BI158" s="741"/>
      <c r="BJ158" s="742" t="s">
        <v>159</v>
      </c>
      <c r="BK158" s="743"/>
      <c r="BL158" s="743"/>
      <c r="BM158" s="744"/>
      <c r="BN158" s="703" t="s">
        <v>159</v>
      </c>
      <c r="BO158" s="704"/>
      <c r="BP158" s="704"/>
      <c r="BQ158" s="704"/>
      <c r="BR158" s="704"/>
      <c r="BS158" s="704"/>
      <c r="BT158" s="704"/>
      <c r="BU158" s="704"/>
      <c r="BV158" s="705"/>
    </row>
    <row r="159" spans="1:74" ht="45" customHeight="1" x14ac:dyDescent="0.25">
      <c r="A159" s="10">
        <f t="shared" si="2"/>
        <v>145</v>
      </c>
      <c r="B159" s="662" t="s">
        <v>159</v>
      </c>
      <c r="C159" s="662"/>
      <c r="D159" s="663" t="s">
        <v>212</v>
      </c>
      <c r="E159" s="663"/>
      <c r="F159" s="664" t="s">
        <v>162</v>
      </c>
      <c r="G159" s="665"/>
      <c r="H159" s="755" t="s">
        <v>162</v>
      </c>
      <c r="I159" s="667"/>
      <c r="J159" s="706"/>
      <c r="K159" s="707"/>
      <c r="L159" s="706"/>
      <c r="M159" s="707"/>
      <c r="N159" s="194"/>
      <c r="O159" s="196"/>
      <c r="P159" s="717"/>
      <c r="Q159" s="718"/>
      <c r="R159" s="672"/>
      <c r="S159" s="673"/>
      <c r="T159" s="674"/>
      <c r="U159" s="675"/>
      <c r="V159" s="676"/>
      <c r="W159" s="677"/>
      <c r="X159" s="678" t="s">
        <v>159</v>
      </c>
      <c r="Y159" s="678"/>
      <c r="Z159" s="678"/>
      <c r="AA159" s="678"/>
      <c r="AB159" s="679" t="s">
        <v>159</v>
      </c>
      <c r="AC159" s="679"/>
      <c r="AD159" s="679"/>
      <c r="AE159" s="679"/>
      <c r="AF159" s="680"/>
      <c r="AG159" s="681"/>
      <c r="AH159" s="680"/>
      <c r="AI159" s="681"/>
      <c r="AJ159" s="686"/>
      <c r="AK159" s="687"/>
      <c r="AL159" s="684" t="s">
        <v>162</v>
      </c>
      <c r="AM159" s="685"/>
      <c r="AN159" s="666" t="s">
        <v>162</v>
      </c>
      <c r="AO159" s="667"/>
      <c r="AP159" s="686"/>
      <c r="AQ159" s="687"/>
      <c r="AR159" s="688"/>
      <c r="AS159" s="689"/>
      <c r="AT159" s="690"/>
      <c r="AU159" s="691"/>
      <c r="AV159" s="666" t="s">
        <v>162</v>
      </c>
      <c r="AW159" s="667"/>
      <c r="AX159" s="692"/>
      <c r="AY159" s="693"/>
      <c r="AZ159" s="694"/>
      <c r="BA159" s="682"/>
      <c r="BB159" s="683"/>
      <c r="BC159" s="14"/>
      <c r="BD159" s="695" t="s">
        <v>162</v>
      </c>
      <c r="BE159" s="696"/>
      <c r="BF159" s="708"/>
      <c r="BG159" s="709"/>
      <c r="BH159" s="709"/>
      <c r="BI159" s="710"/>
      <c r="BJ159" s="700" t="s">
        <v>159</v>
      </c>
      <c r="BK159" s="701"/>
      <c r="BL159" s="701"/>
      <c r="BM159" s="702"/>
      <c r="BN159" s="703" t="s">
        <v>159</v>
      </c>
      <c r="BO159" s="704"/>
      <c r="BP159" s="704"/>
      <c r="BQ159" s="704"/>
      <c r="BR159" s="704"/>
      <c r="BS159" s="704"/>
      <c r="BT159" s="704"/>
      <c r="BU159" s="704"/>
      <c r="BV159" s="705"/>
    </row>
    <row r="160" spans="1:74" ht="45" customHeight="1" x14ac:dyDescent="0.25">
      <c r="A160" s="10">
        <f t="shared" si="2"/>
        <v>146</v>
      </c>
      <c r="B160" s="711" t="s">
        <v>159</v>
      </c>
      <c r="C160" s="711"/>
      <c r="D160" s="712" t="s">
        <v>212</v>
      </c>
      <c r="E160" s="712"/>
      <c r="F160" s="664" t="s">
        <v>162</v>
      </c>
      <c r="G160" s="665"/>
      <c r="H160" s="754" t="s">
        <v>162</v>
      </c>
      <c r="I160" s="714"/>
      <c r="J160" s="715"/>
      <c r="K160" s="716"/>
      <c r="L160" s="715"/>
      <c r="M160" s="716"/>
      <c r="N160" s="215"/>
      <c r="O160" s="216"/>
      <c r="P160" s="670"/>
      <c r="Q160" s="671"/>
      <c r="R160" s="719"/>
      <c r="S160" s="720"/>
      <c r="T160" s="721"/>
      <c r="U160" s="722"/>
      <c r="V160" s="723"/>
      <c r="W160" s="724"/>
      <c r="X160" s="725" t="s">
        <v>159</v>
      </c>
      <c r="Y160" s="725"/>
      <c r="Z160" s="725"/>
      <c r="AA160" s="725"/>
      <c r="AB160" s="726" t="s">
        <v>159</v>
      </c>
      <c r="AC160" s="726"/>
      <c r="AD160" s="726"/>
      <c r="AE160" s="726"/>
      <c r="AF160" s="727"/>
      <c r="AG160" s="728"/>
      <c r="AH160" s="727"/>
      <c r="AI160" s="728"/>
      <c r="AJ160" s="682"/>
      <c r="AK160" s="683"/>
      <c r="AL160" s="664" t="s">
        <v>162</v>
      </c>
      <c r="AM160" s="665"/>
      <c r="AN160" s="713" t="s">
        <v>162</v>
      </c>
      <c r="AO160" s="714"/>
      <c r="AP160" s="729"/>
      <c r="AQ160" s="730"/>
      <c r="AR160" s="731"/>
      <c r="AS160" s="732"/>
      <c r="AT160" s="690"/>
      <c r="AU160" s="691"/>
      <c r="AV160" s="713" t="s">
        <v>162</v>
      </c>
      <c r="AW160" s="714"/>
      <c r="AX160" s="692"/>
      <c r="AY160" s="693"/>
      <c r="AZ160" s="694"/>
      <c r="BA160" s="735"/>
      <c r="BB160" s="736"/>
      <c r="BC160" s="219"/>
      <c r="BD160" s="737" t="s">
        <v>162</v>
      </c>
      <c r="BE160" s="738"/>
      <c r="BF160" s="739"/>
      <c r="BG160" s="740"/>
      <c r="BH160" s="740"/>
      <c r="BI160" s="741"/>
      <c r="BJ160" s="742" t="s">
        <v>159</v>
      </c>
      <c r="BK160" s="743"/>
      <c r="BL160" s="743"/>
      <c r="BM160" s="744"/>
      <c r="BN160" s="703" t="s">
        <v>159</v>
      </c>
      <c r="BO160" s="704"/>
      <c r="BP160" s="704"/>
      <c r="BQ160" s="704"/>
      <c r="BR160" s="704"/>
      <c r="BS160" s="704"/>
      <c r="BT160" s="704"/>
      <c r="BU160" s="704"/>
      <c r="BV160" s="705"/>
    </row>
    <row r="161" spans="1:74" ht="45" customHeight="1" x14ac:dyDescent="0.25">
      <c r="A161" s="10">
        <f t="shared" si="2"/>
        <v>147</v>
      </c>
      <c r="B161" s="662" t="s">
        <v>159</v>
      </c>
      <c r="C161" s="662"/>
      <c r="D161" s="663" t="s">
        <v>212</v>
      </c>
      <c r="E161" s="663"/>
      <c r="F161" s="664" t="s">
        <v>162</v>
      </c>
      <c r="G161" s="665"/>
      <c r="H161" s="755" t="s">
        <v>162</v>
      </c>
      <c r="I161" s="667"/>
      <c r="J161" s="706"/>
      <c r="K161" s="707"/>
      <c r="L161" s="706"/>
      <c r="M161" s="707"/>
      <c r="N161" s="194"/>
      <c r="O161" s="196"/>
      <c r="P161" s="717"/>
      <c r="Q161" s="718"/>
      <c r="R161" s="672"/>
      <c r="S161" s="673"/>
      <c r="T161" s="674"/>
      <c r="U161" s="675"/>
      <c r="V161" s="676"/>
      <c r="W161" s="677"/>
      <c r="X161" s="678" t="s">
        <v>159</v>
      </c>
      <c r="Y161" s="678"/>
      <c r="Z161" s="678"/>
      <c r="AA161" s="678"/>
      <c r="AB161" s="679" t="s">
        <v>159</v>
      </c>
      <c r="AC161" s="679"/>
      <c r="AD161" s="679"/>
      <c r="AE161" s="679"/>
      <c r="AF161" s="680"/>
      <c r="AG161" s="681"/>
      <c r="AH161" s="680"/>
      <c r="AI161" s="681"/>
      <c r="AJ161" s="686"/>
      <c r="AK161" s="687"/>
      <c r="AL161" s="684" t="s">
        <v>162</v>
      </c>
      <c r="AM161" s="685"/>
      <c r="AN161" s="666" t="s">
        <v>162</v>
      </c>
      <c r="AO161" s="667"/>
      <c r="AP161" s="686"/>
      <c r="AQ161" s="687"/>
      <c r="AR161" s="688"/>
      <c r="AS161" s="689"/>
      <c r="AT161" s="690"/>
      <c r="AU161" s="691"/>
      <c r="AV161" s="666" t="s">
        <v>162</v>
      </c>
      <c r="AW161" s="667"/>
      <c r="AX161" s="692"/>
      <c r="AY161" s="693"/>
      <c r="AZ161" s="694"/>
      <c r="BA161" s="682"/>
      <c r="BB161" s="683"/>
      <c r="BC161" s="14"/>
      <c r="BD161" s="695" t="s">
        <v>162</v>
      </c>
      <c r="BE161" s="696"/>
      <c r="BF161" s="697"/>
      <c r="BG161" s="698"/>
      <c r="BH161" s="698"/>
      <c r="BI161" s="699"/>
      <c r="BJ161" s="700" t="s">
        <v>159</v>
      </c>
      <c r="BK161" s="701"/>
      <c r="BL161" s="701"/>
      <c r="BM161" s="702"/>
      <c r="BN161" s="703" t="s">
        <v>159</v>
      </c>
      <c r="BO161" s="704"/>
      <c r="BP161" s="704"/>
      <c r="BQ161" s="704"/>
      <c r="BR161" s="704"/>
      <c r="BS161" s="704"/>
      <c r="BT161" s="704"/>
      <c r="BU161" s="704"/>
      <c r="BV161" s="705"/>
    </row>
    <row r="162" spans="1:74" ht="45" customHeight="1" x14ac:dyDescent="0.25">
      <c r="A162" s="10">
        <f t="shared" si="2"/>
        <v>148</v>
      </c>
      <c r="B162" s="711" t="s">
        <v>159</v>
      </c>
      <c r="C162" s="711"/>
      <c r="D162" s="712" t="s">
        <v>212</v>
      </c>
      <c r="E162" s="712"/>
      <c r="F162" s="664" t="s">
        <v>162</v>
      </c>
      <c r="G162" s="665"/>
      <c r="H162" s="754" t="s">
        <v>162</v>
      </c>
      <c r="I162" s="714"/>
      <c r="J162" s="715"/>
      <c r="K162" s="716"/>
      <c r="L162" s="715"/>
      <c r="M162" s="716"/>
      <c r="N162" s="215"/>
      <c r="O162" s="216"/>
      <c r="P162" s="670"/>
      <c r="Q162" s="671"/>
      <c r="R162" s="719"/>
      <c r="S162" s="720"/>
      <c r="T162" s="721"/>
      <c r="U162" s="722"/>
      <c r="V162" s="723"/>
      <c r="W162" s="724"/>
      <c r="X162" s="725" t="s">
        <v>159</v>
      </c>
      <c r="Y162" s="725"/>
      <c r="Z162" s="725"/>
      <c r="AA162" s="725"/>
      <c r="AB162" s="726" t="s">
        <v>159</v>
      </c>
      <c r="AC162" s="726"/>
      <c r="AD162" s="726"/>
      <c r="AE162" s="726"/>
      <c r="AF162" s="727"/>
      <c r="AG162" s="728"/>
      <c r="AH162" s="727"/>
      <c r="AI162" s="728"/>
      <c r="AJ162" s="682"/>
      <c r="AK162" s="683"/>
      <c r="AL162" s="664" t="s">
        <v>162</v>
      </c>
      <c r="AM162" s="665"/>
      <c r="AN162" s="713" t="s">
        <v>162</v>
      </c>
      <c r="AO162" s="714"/>
      <c r="AP162" s="729"/>
      <c r="AQ162" s="730"/>
      <c r="AR162" s="731"/>
      <c r="AS162" s="732"/>
      <c r="AT162" s="690"/>
      <c r="AU162" s="691"/>
      <c r="AV162" s="713" t="s">
        <v>162</v>
      </c>
      <c r="AW162" s="714"/>
      <c r="AX162" s="692"/>
      <c r="AY162" s="693"/>
      <c r="AZ162" s="694"/>
      <c r="BA162" s="735"/>
      <c r="BB162" s="736"/>
      <c r="BC162" s="219"/>
      <c r="BD162" s="737" t="s">
        <v>162</v>
      </c>
      <c r="BE162" s="738"/>
      <c r="BF162" s="739"/>
      <c r="BG162" s="740"/>
      <c r="BH162" s="740"/>
      <c r="BI162" s="741"/>
      <c r="BJ162" s="742" t="s">
        <v>159</v>
      </c>
      <c r="BK162" s="743"/>
      <c r="BL162" s="743"/>
      <c r="BM162" s="744"/>
      <c r="BN162" s="703" t="s">
        <v>159</v>
      </c>
      <c r="BO162" s="704"/>
      <c r="BP162" s="704"/>
      <c r="BQ162" s="704"/>
      <c r="BR162" s="704"/>
      <c r="BS162" s="704"/>
      <c r="BT162" s="704"/>
      <c r="BU162" s="704"/>
      <c r="BV162" s="705"/>
    </row>
    <row r="163" spans="1:74" ht="45" customHeight="1" x14ac:dyDescent="0.25">
      <c r="A163" s="10">
        <f t="shared" si="2"/>
        <v>149</v>
      </c>
      <c r="B163" s="662" t="s">
        <v>159</v>
      </c>
      <c r="C163" s="662"/>
      <c r="D163" s="663" t="s">
        <v>212</v>
      </c>
      <c r="E163" s="663"/>
      <c r="F163" s="664" t="s">
        <v>162</v>
      </c>
      <c r="G163" s="665"/>
      <c r="H163" s="755" t="s">
        <v>162</v>
      </c>
      <c r="I163" s="667"/>
      <c r="J163" s="706"/>
      <c r="K163" s="707"/>
      <c r="L163" s="706"/>
      <c r="M163" s="707"/>
      <c r="N163" s="194"/>
      <c r="O163" s="196"/>
      <c r="P163" s="717"/>
      <c r="Q163" s="718"/>
      <c r="R163" s="672"/>
      <c r="S163" s="673"/>
      <c r="T163" s="674"/>
      <c r="U163" s="675"/>
      <c r="V163" s="676"/>
      <c r="W163" s="677"/>
      <c r="X163" s="678" t="s">
        <v>159</v>
      </c>
      <c r="Y163" s="678"/>
      <c r="Z163" s="678"/>
      <c r="AA163" s="678"/>
      <c r="AB163" s="679" t="s">
        <v>159</v>
      </c>
      <c r="AC163" s="679"/>
      <c r="AD163" s="679"/>
      <c r="AE163" s="679"/>
      <c r="AF163" s="680"/>
      <c r="AG163" s="681"/>
      <c r="AH163" s="680"/>
      <c r="AI163" s="681"/>
      <c r="AJ163" s="686"/>
      <c r="AK163" s="687"/>
      <c r="AL163" s="684" t="s">
        <v>162</v>
      </c>
      <c r="AM163" s="685"/>
      <c r="AN163" s="666" t="s">
        <v>162</v>
      </c>
      <c r="AO163" s="667"/>
      <c r="AP163" s="686"/>
      <c r="AQ163" s="687"/>
      <c r="AR163" s="688"/>
      <c r="AS163" s="689"/>
      <c r="AT163" s="690"/>
      <c r="AU163" s="691"/>
      <c r="AV163" s="666" t="s">
        <v>162</v>
      </c>
      <c r="AW163" s="667"/>
      <c r="AX163" s="692"/>
      <c r="AY163" s="693"/>
      <c r="AZ163" s="694"/>
      <c r="BA163" s="682"/>
      <c r="BB163" s="683"/>
      <c r="BC163" s="14"/>
      <c r="BD163" s="695" t="s">
        <v>162</v>
      </c>
      <c r="BE163" s="696"/>
      <c r="BF163" s="708"/>
      <c r="BG163" s="709"/>
      <c r="BH163" s="709"/>
      <c r="BI163" s="710"/>
      <c r="BJ163" s="700" t="s">
        <v>159</v>
      </c>
      <c r="BK163" s="701"/>
      <c r="BL163" s="701"/>
      <c r="BM163" s="702"/>
      <c r="BN163" s="703" t="s">
        <v>159</v>
      </c>
      <c r="BO163" s="704"/>
      <c r="BP163" s="704"/>
      <c r="BQ163" s="704"/>
      <c r="BR163" s="704"/>
      <c r="BS163" s="704"/>
      <c r="BT163" s="704"/>
      <c r="BU163" s="704"/>
      <c r="BV163" s="705"/>
    </row>
    <row r="164" spans="1:74" ht="45" customHeight="1" x14ac:dyDescent="0.25">
      <c r="A164" s="10">
        <f t="shared" si="2"/>
        <v>150</v>
      </c>
      <c r="B164" s="711" t="s">
        <v>159</v>
      </c>
      <c r="C164" s="711"/>
      <c r="D164" s="712" t="s">
        <v>212</v>
      </c>
      <c r="E164" s="712"/>
      <c r="F164" s="664" t="s">
        <v>162</v>
      </c>
      <c r="G164" s="665"/>
      <c r="H164" s="754" t="s">
        <v>162</v>
      </c>
      <c r="I164" s="714"/>
      <c r="J164" s="715"/>
      <c r="K164" s="716"/>
      <c r="L164" s="715"/>
      <c r="M164" s="716"/>
      <c r="N164" s="215"/>
      <c r="O164" s="216"/>
      <c r="P164" s="670"/>
      <c r="Q164" s="671"/>
      <c r="R164" s="719"/>
      <c r="S164" s="720"/>
      <c r="T164" s="721"/>
      <c r="U164" s="722"/>
      <c r="V164" s="723"/>
      <c r="W164" s="724"/>
      <c r="X164" s="725" t="s">
        <v>159</v>
      </c>
      <c r="Y164" s="725"/>
      <c r="Z164" s="725"/>
      <c r="AA164" s="725"/>
      <c r="AB164" s="726" t="s">
        <v>159</v>
      </c>
      <c r="AC164" s="726"/>
      <c r="AD164" s="726"/>
      <c r="AE164" s="726"/>
      <c r="AF164" s="727"/>
      <c r="AG164" s="728"/>
      <c r="AH164" s="727"/>
      <c r="AI164" s="728"/>
      <c r="AJ164" s="682"/>
      <c r="AK164" s="683"/>
      <c r="AL164" s="664" t="s">
        <v>162</v>
      </c>
      <c r="AM164" s="665"/>
      <c r="AN164" s="713" t="s">
        <v>162</v>
      </c>
      <c r="AO164" s="714"/>
      <c r="AP164" s="729"/>
      <c r="AQ164" s="730"/>
      <c r="AR164" s="731"/>
      <c r="AS164" s="732"/>
      <c r="AT164" s="690"/>
      <c r="AU164" s="691"/>
      <c r="AV164" s="713" t="s">
        <v>162</v>
      </c>
      <c r="AW164" s="714"/>
      <c r="AX164" s="692"/>
      <c r="AY164" s="693"/>
      <c r="AZ164" s="694"/>
      <c r="BA164" s="735"/>
      <c r="BB164" s="736"/>
      <c r="BC164" s="219"/>
      <c r="BD164" s="737" t="s">
        <v>162</v>
      </c>
      <c r="BE164" s="738"/>
      <c r="BF164" s="739"/>
      <c r="BG164" s="740"/>
      <c r="BH164" s="740"/>
      <c r="BI164" s="741"/>
      <c r="BJ164" s="742" t="s">
        <v>159</v>
      </c>
      <c r="BK164" s="743"/>
      <c r="BL164" s="743"/>
      <c r="BM164" s="744"/>
      <c r="BN164" s="703" t="s">
        <v>159</v>
      </c>
      <c r="BO164" s="704"/>
      <c r="BP164" s="704"/>
      <c r="BQ164" s="704"/>
      <c r="BR164" s="704"/>
      <c r="BS164" s="704"/>
      <c r="BT164" s="704"/>
      <c r="BU164" s="704"/>
      <c r="BV164" s="705"/>
    </row>
    <row r="165" spans="1:74" ht="45" customHeight="1" x14ac:dyDescent="0.25">
      <c r="A165" s="10">
        <f t="shared" si="2"/>
        <v>151</v>
      </c>
      <c r="B165" s="662" t="s">
        <v>159</v>
      </c>
      <c r="C165" s="662"/>
      <c r="D165" s="663" t="s">
        <v>212</v>
      </c>
      <c r="E165" s="663"/>
      <c r="F165" s="664" t="s">
        <v>162</v>
      </c>
      <c r="G165" s="665"/>
      <c r="H165" s="755" t="s">
        <v>162</v>
      </c>
      <c r="I165" s="667"/>
      <c r="J165" s="706"/>
      <c r="K165" s="707"/>
      <c r="L165" s="706"/>
      <c r="M165" s="707"/>
      <c r="N165" s="194"/>
      <c r="O165" s="196"/>
      <c r="P165" s="717"/>
      <c r="Q165" s="718"/>
      <c r="R165" s="672"/>
      <c r="S165" s="673"/>
      <c r="T165" s="674"/>
      <c r="U165" s="675"/>
      <c r="V165" s="676"/>
      <c r="W165" s="677"/>
      <c r="X165" s="678" t="s">
        <v>159</v>
      </c>
      <c r="Y165" s="678"/>
      <c r="Z165" s="678"/>
      <c r="AA165" s="678"/>
      <c r="AB165" s="679" t="s">
        <v>159</v>
      </c>
      <c r="AC165" s="679"/>
      <c r="AD165" s="679"/>
      <c r="AE165" s="679"/>
      <c r="AF165" s="680"/>
      <c r="AG165" s="681"/>
      <c r="AH165" s="680"/>
      <c r="AI165" s="681"/>
      <c r="AJ165" s="686"/>
      <c r="AK165" s="687"/>
      <c r="AL165" s="684" t="s">
        <v>162</v>
      </c>
      <c r="AM165" s="685"/>
      <c r="AN165" s="666" t="s">
        <v>162</v>
      </c>
      <c r="AO165" s="667"/>
      <c r="AP165" s="686"/>
      <c r="AQ165" s="687"/>
      <c r="AR165" s="688"/>
      <c r="AS165" s="689"/>
      <c r="AT165" s="690"/>
      <c r="AU165" s="691"/>
      <c r="AV165" s="666" t="s">
        <v>162</v>
      </c>
      <c r="AW165" s="667"/>
      <c r="AX165" s="692"/>
      <c r="AY165" s="693"/>
      <c r="AZ165" s="694"/>
      <c r="BA165" s="682"/>
      <c r="BB165" s="683"/>
      <c r="BC165" s="14"/>
      <c r="BD165" s="695" t="s">
        <v>162</v>
      </c>
      <c r="BE165" s="696"/>
      <c r="BF165" s="708"/>
      <c r="BG165" s="709"/>
      <c r="BH165" s="709"/>
      <c r="BI165" s="710"/>
      <c r="BJ165" s="700" t="s">
        <v>159</v>
      </c>
      <c r="BK165" s="701"/>
      <c r="BL165" s="701"/>
      <c r="BM165" s="702"/>
      <c r="BN165" s="703" t="s">
        <v>159</v>
      </c>
      <c r="BO165" s="704"/>
      <c r="BP165" s="704"/>
      <c r="BQ165" s="704"/>
      <c r="BR165" s="704"/>
      <c r="BS165" s="704"/>
      <c r="BT165" s="704"/>
      <c r="BU165" s="704"/>
      <c r="BV165" s="705"/>
    </row>
    <row r="166" spans="1:74" ht="45" customHeight="1" x14ac:dyDescent="0.25">
      <c r="A166" s="10">
        <f t="shared" si="2"/>
        <v>152</v>
      </c>
      <c r="B166" s="711" t="s">
        <v>159</v>
      </c>
      <c r="C166" s="711"/>
      <c r="D166" s="712" t="s">
        <v>212</v>
      </c>
      <c r="E166" s="712"/>
      <c r="F166" s="664" t="s">
        <v>162</v>
      </c>
      <c r="G166" s="665"/>
      <c r="H166" s="754" t="s">
        <v>162</v>
      </c>
      <c r="I166" s="714"/>
      <c r="J166" s="715"/>
      <c r="K166" s="716"/>
      <c r="L166" s="715"/>
      <c r="M166" s="716"/>
      <c r="N166" s="215"/>
      <c r="O166" s="216"/>
      <c r="P166" s="670"/>
      <c r="Q166" s="671"/>
      <c r="R166" s="719"/>
      <c r="S166" s="720"/>
      <c r="T166" s="721"/>
      <c r="U166" s="722"/>
      <c r="V166" s="723"/>
      <c r="W166" s="724"/>
      <c r="X166" s="725" t="s">
        <v>159</v>
      </c>
      <c r="Y166" s="725"/>
      <c r="Z166" s="725"/>
      <c r="AA166" s="725"/>
      <c r="AB166" s="726" t="s">
        <v>159</v>
      </c>
      <c r="AC166" s="726"/>
      <c r="AD166" s="726"/>
      <c r="AE166" s="726"/>
      <c r="AF166" s="727"/>
      <c r="AG166" s="728"/>
      <c r="AH166" s="727"/>
      <c r="AI166" s="728"/>
      <c r="AJ166" s="682"/>
      <c r="AK166" s="683"/>
      <c r="AL166" s="664" t="s">
        <v>162</v>
      </c>
      <c r="AM166" s="665"/>
      <c r="AN166" s="713" t="s">
        <v>162</v>
      </c>
      <c r="AO166" s="714"/>
      <c r="AP166" s="729"/>
      <c r="AQ166" s="730"/>
      <c r="AR166" s="731"/>
      <c r="AS166" s="732"/>
      <c r="AT166" s="690"/>
      <c r="AU166" s="691"/>
      <c r="AV166" s="713" t="s">
        <v>162</v>
      </c>
      <c r="AW166" s="714"/>
      <c r="AX166" s="692"/>
      <c r="AY166" s="693"/>
      <c r="AZ166" s="694"/>
      <c r="BA166" s="735"/>
      <c r="BB166" s="736"/>
      <c r="BC166" s="219"/>
      <c r="BD166" s="737" t="s">
        <v>162</v>
      </c>
      <c r="BE166" s="738"/>
      <c r="BF166" s="739"/>
      <c r="BG166" s="740"/>
      <c r="BH166" s="740"/>
      <c r="BI166" s="741"/>
      <c r="BJ166" s="742" t="s">
        <v>159</v>
      </c>
      <c r="BK166" s="743"/>
      <c r="BL166" s="743"/>
      <c r="BM166" s="744"/>
      <c r="BN166" s="703" t="s">
        <v>159</v>
      </c>
      <c r="BO166" s="704"/>
      <c r="BP166" s="704"/>
      <c r="BQ166" s="704"/>
      <c r="BR166" s="704"/>
      <c r="BS166" s="704"/>
      <c r="BT166" s="704"/>
      <c r="BU166" s="704"/>
      <c r="BV166" s="705"/>
    </row>
    <row r="167" spans="1:74" ht="45" customHeight="1" x14ac:dyDescent="0.25">
      <c r="A167" s="10">
        <f t="shared" si="2"/>
        <v>153</v>
      </c>
      <c r="B167" s="662" t="s">
        <v>159</v>
      </c>
      <c r="C167" s="662"/>
      <c r="D167" s="663" t="s">
        <v>212</v>
      </c>
      <c r="E167" s="663"/>
      <c r="F167" s="664" t="s">
        <v>162</v>
      </c>
      <c r="G167" s="665"/>
      <c r="H167" s="755" t="s">
        <v>162</v>
      </c>
      <c r="I167" s="667"/>
      <c r="J167" s="706"/>
      <c r="K167" s="707"/>
      <c r="L167" s="706"/>
      <c r="M167" s="707"/>
      <c r="N167" s="194"/>
      <c r="O167" s="196"/>
      <c r="P167" s="717"/>
      <c r="Q167" s="718"/>
      <c r="R167" s="672"/>
      <c r="S167" s="673"/>
      <c r="T167" s="674"/>
      <c r="U167" s="675"/>
      <c r="V167" s="676"/>
      <c r="W167" s="677"/>
      <c r="X167" s="678" t="s">
        <v>159</v>
      </c>
      <c r="Y167" s="678"/>
      <c r="Z167" s="678"/>
      <c r="AA167" s="678"/>
      <c r="AB167" s="679" t="s">
        <v>159</v>
      </c>
      <c r="AC167" s="679"/>
      <c r="AD167" s="679"/>
      <c r="AE167" s="679"/>
      <c r="AF167" s="680"/>
      <c r="AG167" s="681"/>
      <c r="AH167" s="680"/>
      <c r="AI167" s="681"/>
      <c r="AJ167" s="686"/>
      <c r="AK167" s="687"/>
      <c r="AL167" s="684" t="s">
        <v>162</v>
      </c>
      <c r="AM167" s="685"/>
      <c r="AN167" s="666" t="s">
        <v>162</v>
      </c>
      <c r="AO167" s="667"/>
      <c r="AP167" s="686"/>
      <c r="AQ167" s="687"/>
      <c r="AR167" s="688"/>
      <c r="AS167" s="689"/>
      <c r="AT167" s="690"/>
      <c r="AU167" s="691"/>
      <c r="AV167" s="666" t="s">
        <v>162</v>
      </c>
      <c r="AW167" s="667"/>
      <c r="AX167" s="692"/>
      <c r="AY167" s="693"/>
      <c r="AZ167" s="694"/>
      <c r="BA167" s="682"/>
      <c r="BB167" s="683"/>
      <c r="BC167" s="14"/>
      <c r="BD167" s="695" t="s">
        <v>162</v>
      </c>
      <c r="BE167" s="696"/>
      <c r="BF167" s="697"/>
      <c r="BG167" s="698"/>
      <c r="BH167" s="698"/>
      <c r="BI167" s="699"/>
      <c r="BJ167" s="700" t="s">
        <v>159</v>
      </c>
      <c r="BK167" s="701"/>
      <c r="BL167" s="701"/>
      <c r="BM167" s="702"/>
      <c r="BN167" s="703" t="s">
        <v>159</v>
      </c>
      <c r="BO167" s="704"/>
      <c r="BP167" s="704"/>
      <c r="BQ167" s="704"/>
      <c r="BR167" s="704"/>
      <c r="BS167" s="704"/>
      <c r="BT167" s="704"/>
      <c r="BU167" s="704"/>
      <c r="BV167" s="705"/>
    </row>
    <row r="168" spans="1:74" ht="45" customHeight="1" x14ac:dyDescent="0.25">
      <c r="A168" s="10">
        <f t="shared" si="2"/>
        <v>154</v>
      </c>
      <c r="B168" s="711" t="s">
        <v>159</v>
      </c>
      <c r="C168" s="711"/>
      <c r="D168" s="712" t="s">
        <v>212</v>
      </c>
      <c r="E168" s="712"/>
      <c r="F168" s="664" t="s">
        <v>162</v>
      </c>
      <c r="G168" s="665"/>
      <c r="H168" s="754" t="s">
        <v>162</v>
      </c>
      <c r="I168" s="714"/>
      <c r="J168" s="715"/>
      <c r="K168" s="716"/>
      <c r="L168" s="715"/>
      <c r="M168" s="716"/>
      <c r="N168" s="215"/>
      <c r="O168" s="216"/>
      <c r="P168" s="670"/>
      <c r="Q168" s="671"/>
      <c r="R168" s="719"/>
      <c r="S168" s="720"/>
      <c r="T168" s="721"/>
      <c r="U168" s="722"/>
      <c r="V168" s="723"/>
      <c r="W168" s="724"/>
      <c r="X168" s="725" t="s">
        <v>159</v>
      </c>
      <c r="Y168" s="725"/>
      <c r="Z168" s="725"/>
      <c r="AA168" s="725"/>
      <c r="AB168" s="726" t="s">
        <v>159</v>
      </c>
      <c r="AC168" s="726"/>
      <c r="AD168" s="726"/>
      <c r="AE168" s="726"/>
      <c r="AF168" s="727"/>
      <c r="AG168" s="728"/>
      <c r="AH168" s="727"/>
      <c r="AI168" s="728"/>
      <c r="AJ168" s="682"/>
      <c r="AK168" s="683"/>
      <c r="AL168" s="664" t="s">
        <v>162</v>
      </c>
      <c r="AM168" s="665"/>
      <c r="AN168" s="713" t="s">
        <v>162</v>
      </c>
      <c r="AO168" s="714"/>
      <c r="AP168" s="729"/>
      <c r="AQ168" s="730"/>
      <c r="AR168" s="731"/>
      <c r="AS168" s="732"/>
      <c r="AT168" s="690"/>
      <c r="AU168" s="691"/>
      <c r="AV168" s="713" t="s">
        <v>162</v>
      </c>
      <c r="AW168" s="714"/>
      <c r="AX168" s="692"/>
      <c r="AY168" s="693"/>
      <c r="AZ168" s="694"/>
      <c r="BA168" s="735"/>
      <c r="BB168" s="736"/>
      <c r="BC168" s="219"/>
      <c r="BD168" s="737" t="s">
        <v>162</v>
      </c>
      <c r="BE168" s="738"/>
      <c r="BF168" s="739"/>
      <c r="BG168" s="740"/>
      <c r="BH168" s="740"/>
      <c r="BI168" s="741"/>
      <c r="BJ168" s="742" t="s">
        <v>159</v>
      </c>
      <c r="BK168" s="743"/>
      <c r="BL168" s="743"/>
      <c r="BM168" s="744"/>
      <c r="BN168" s="703" t="s">
        <v>159</v>
      </c>
      <c r="BO168" s="704"/>
      <c r="BP168" s="704"/>
      <c r="BQ168" s="704"/>
      <c r="BR168" s="704"/>
      <c r="BS168" s="704"/>
      <c r="BT168" s="704"/>
      <c r="BU168" s="704"/>
      <c r="BV168" s="705"/>
    </row>
    <row r="169" spans="1:74" ht="45" customHeight="1" x14ac:dyDescent="0.25">
      <c r="A169" s="10">
        <f t="shared" si="2"/>
        <v>155</v>
      </c>
      <c r="B169" s="662" t="s">
        <v>159</v>
      </c>
      <c r="C169" s="662"/>
      <c r="D169" s="663" t="s">
        <v>212</v>
      </c>
      <c r="E169" s="663"/>
      <c r="F169" s="664" t="s">
        <v>162</v>
      </c>
      <c r="G169" s="665"/>
      <c r="H169" s="755" t="s">
        <v>162</v>
      </c>
      <c r="I169" s="667"/>
      <c r="J169" s="706"/>
      <c r="K169" s="707"/>
      <c r="L169" s="706"/>
      <c r="M169" s="707"/>
      <c r="N169" s="194"/>
      <c r="O169" s="196"/>
      <c r="P169" s="717"/>
      <c r="Q169" s="718"/>
      <c r="R169" s="672"/>
      <c r="S169" s="673"/>
      <c r="T169" s="674"/>
      <c r="U169" s="675"/>
      <c r="V169" s="676"/>
      <c r="W169" s="677"/>
      <c r="X169" s="678" t="s">
        <v>159</v>
      </c>
      <c r="Y169" s="678"/>
      <c r="Z169" s="678"/>
      <c r="AA169" s="678"/>
      <c r="AB169" s="679" t="s">
        <v>159</v>
      </c>
      <c r="AC169" s="679"/>
      <c r="AD169" s="679"/>
      <c r="AE169" s="679"/>
      <c r="AF169" s="680"/>
      <c r="AG169" s="681"/>
      <c r="AH169" s="680"/>
      <c r="AI169" s="681"/>
      <c r="AJ169" s="686"/>
      <c r="AK169" s="687"/>
      <c r="AL169" s="684" t="s">
        <v>162</v>
      </c>
      <c r="AM169" s="685"/>
      <c r="AN169" s="666" t="s">
        <v>162</v>
      </c>
      <c r="AO169" s="667"/>
      <c r="AP169" s="686"/>
      <c r="AQ169" s="687"/>
      <c r="AR169" s="688"/>
      <c r="AS169" s="689"/>
      <c r="AT169" s="690"/>
      <c r="AU169" s="691"/>
      <c r="AV169" s="666" t="s">
        <v>162</v>
      </c>
      <c r="AW169" s="667"/>
      <c r="AX169" s="692"/>
      <c r="AY169" s="693"/>
      <c r="AZ169" s="694"/>
      <c r="BA169" s="682"/>
      <c r="BB169" s="683"/>
      <c r="BC169" s="14"/>
      <c r="BD169" s="695" t="s">
        <v>162</v>
      </c>
      <c r="BE169" s="696"/>
      <c r="BF169" s="708"/>
      <c r="BG169" s="709"/>
      <c r="BH169" s="709"/>
      <c r="BI169" s="710"/>
      <c r="BJ169" s="700" t="s">
        <v>159</v>
      </c>
      <c r="BK169" s="701"/>
      <c r="BL169" s="701"/>
      <c r="BM169" s="702"/>
      <c r="BN169" s="703" t="s">
        <v>159</v>
      </c>
      <c r="BO169" s="704"/>
      <c r="BP169" s="704"/>
      <c r="BQ169" s="704"/>
      <c r="BR169" s="704"/>
      <c r="BS169" s="704"/>
      <c r="BT169" s="704"/>
      <c r="BU169" s="704"/>
      <c r="BV169" s="705"/>
    </row>
    <row r="170" spans="1:74" ht="45" customHeight="1" x14ac:dyDescent="0.25">
      <c r="A170" s="10">
        <f t="shared" si="2"/>
        <v>156</v>
      </c>
      <c r="B170" s="711" t="s">
        <v>159</v>
      </c>
      <c r="C170" s="711"/>
      <c r="D170" s="712" t="s">
        <v>212</v>
      </c>
      <c r="E170" s="712"/>
      <c r="F170" s="664" t="s">
        <v>162</v>
      </c>
      <c r="G170" s="665"/>
      <c r="H170" s="754" t="s">
        <v>162</v>
      </c>
      <c r="I170" s="714"/>
      <c r="J170" s="715"/>
      <c r="K170" s="716"/>
      <c r="L170" s="715"/>
      <c r="M170" s="716"/>
      <c r="N170" s="215"/>
      <c r="O170" s="216"/>
      <c r="P170" s="670"/>
      <c r="Q170" s="671"/>
      <c r="R170" s="719"/>
      <c r="S170" s="720"/>
      <c r="T170" s="721"/>
      <c r="U170" s="722"/>
      <c r="V170" s="723"/>
      <c r="W170" s="724"/>
      <c r="X170" s="725" t="s">
        <v>159</v>
      </c>
      <c r="Y170" s="725"/>
      <c r="Z170" s="725"/>
      <c r="AA170" s="725"/>
      <c r="AB170" s="726" t="s">
        <v>159</v>
      </c>
      <c r="AC170" s="726"/>
      <c r="AD170" s="726"/>
      <c r="AE170" s="726"/>
      <c r="AF170" s="727"/>
      <c r="AG170" s="728"/>
      <c r="AH170" s="727"/>
      <c r="AI170" s="728"/>
      <c r="AJ170" s="682"/>
      <c r="AK170" s="683"/>
      <c r="AL170" s="664" t="s">
        <v>162</v>
      </c>
      <c r="AM170" s="665"/>
      <c r="AN170" s="713" t="s">
        <v>162</v>
      </c>
      <c r="AO170" s="714"/>
      <c r="AP170" s="729"/>
      <c r="AQ170" s="730"/>
      <c r="AR170" s="731"/>
      <c r="AS170" s="732"/>
      <c r="AT170" s="690"/>
      <c r="AU170" s="691"/>
      <c r="AV170" s="713" t="s">
        <v>162</v>
      </c>
      <c r="AW170" s="714"/>
      <c r="AX170" s="692"/>
      <c r="AY170" s="693"/>
      <c r="AZ170" s="694"/>
      <c r="BA170" s="735"/>
      <c r="BB170" s="736"/>
      <c r="BC170" s="219"/>
      <c r="BD170" s="737" t="s">
        <v>162</v>
      </c>
      <c r="BE170" s="738"/>
      <c r="BF170" s="739"/>
      <c r="BG170" s="740"/>
      <c r="BH170" s="740"/>
      <c r="BI170" s="741"/>
      <c r="BJ170" s="742" t="s">
        <v>159</v>
      </c>
      <c r="BK170" s="743"/>
      <c r="BL170" s="743"/>
      <c r="BM170" s="744"/>
      <c r="BN170" s="703" t="s">
        <v>159</v>
      </c>
      <c r="BO170" s="704"/>
      <c r="BP170" s="704"/>
      <c r="BQ170" s="704"/>
      <c r="BR170" s="704"/>
      <c r="BS170" s="704"/>
      <c r="BT170" s="704"/>
      <c r="BU170" s="704"/>
      <c r="BV170" s="705"/>
    </row>
    <row r="171" spans="1:74" ht="45" customHeight="1" x14ac:dyDescent="0.25">
      <c r="A171" s="10">
        <f t="shared" si="2"/>
        <v>157</v>
      </c>
      <c r="B171" s="662" t="s">
        <v>159</v>
      </c>
      <c r="C171" s="662"/>
      <c r="D171" s="663" t="s">
        <v>212</v>
      </c>
      <c r="E171" s="663"/>
      <c r="F171" s="664" t="s">
        <v>162</v>
      </c>
      <c r="G171" s="665"/>
      <c r="H171" s="755" t="s">
        <v>162</v>
      </c>
      <c r="I171" s="667"/>
      <c r="J171" s="706"/>
      <c r="K171" s="707"/>
      <c r="L171" s="706"/>
      <c r="M171" s="707"/>
      <c r="N171" s="194"/>
      <c r="O171" s="196"/>
      <c r="P171" s="717"/>
      <c r="Q171" s="718"/>
      <c r="R171" s="672"/>
      <c r="S171" s="673"/>
      <c r="T171" s="674"/>
      <c r="U171" s="675"/>
      <c r="V171" s="676"/>
      <c r="W171" s="677"/>
      <c r="X171" s="678" t="s">
        <v>159</v>
      </c>
      <c r="Y171" s="678"/>
      <c r="Z171" s="678"/>
      <c r="AA171" s="678"/>
      <c r="AB171" s="679" t="s">
        <v>159</v>
      </c>
      <c r="AC171" s="679"/>
      <c r="AD171" s="679"/>
      <c r="AE171" s="679"/>
      <c r="AF171" s="680"/>
      <c r="AG171" s="681"/>
      <c r="AH171" s="680"/>
      <c r="AI171" s="681"/>
      <c r="AJ171" s="686"/>
      <c r="AK171" s="687"/>
      <c r="AL171" s="684" t="s">
        <v>162</v>
      </c>
      <c r="AM171" s="685"/>
      <c r="AN171" s="666" t="s">
        <v>162</v>
      </c>
      <c r="AO171" s="667"/>
      <c r="AP171" s="686"/>
      <c r="AQ171" s="687"/>
      <c r="AR171" s="688"/>
      <c r="AS171" s="689"/>
      <c r="AT171" s="690"/>
      <c r="AU171" s="691"/>
      <c r="AV171" s="666" t="s">
        <v>162</v>
      </c>
      <c r="AW171" s="667"/>
      <c r="AX171" s="692"/>
      <c r="AY171" s="693"/>
      <c r="AZ171" s="694"/>
      <c r="BA171" s="682"/>
      <c r="BB171" s="683"/>
      <c r="BC171" s="14"/>
      <c r="BD171" s="695" t="s">
        <v>162</v>
      </c>
      <c r="BE171" s="696"/>
      <c r="BF171" s="697"/>
      <c r="BG171" s="698"/>
      <c r="BH171" s="698"/>
      <c r="BI171" s="699"/>
      <c r="BJ171" s="700" t="s">
        <v>159</v>
      </c>
      <c r="BK171" s="701"/>
      <c r="BL171" s="701"/>
      <c r="BM171" s="702"/>
      <c r="BN171" s="703" t="s">
        <v>159</v>
      </c>
      <c r="BO171" s="704"/>
      <c r="BP171" s="704"/>
      <c r="BQ171" s="704"/>
      <c r="BR171" s="704"/>
      <c r="BS171" s="704"/>
      <c r="BT171" s="704"/>
      <c r="BU171" s="704"/>
      <c r="BV171" s="705"/>
    </row>
    <row r="172" spans="1:74" ht="45" customHeight="1" x14ac:dyDescent="0.25">
      <c r="A172" s="10">
        <f t="shared" si="2"/>
        <v>158</v>
      </c>
      <c r="B172" s="711" t="s">
        <v>159</v>
      </c>
      <c r="C172" s="711"/>
      <c r="D172" s="712" t="s">
        <v>212</v>
      </c>
      <c r="E172" s="712"/>
      <c r="F172" s="664" t="s">
        <v>162</v>
      </c>
      <c r="G172" s="665"/>
      <c r="H172" s="754" t="s">
        <v>162</v>
      </c>
      <c r="I172" s="714"/>
      <c r="J172" s="715"/>
      <c r="K172" s="716"/>
      <c r="L172" s="715"/>
      <c r="M172" s="716"/>
      <c r="N172" s="215"/>
      <c r="O172" s="216"/>
      <c r="P172" s="670"/>
      <c r="Q172" s="671"/>
      <c r="R172" s="719"/>
      <c r="S172" s="720"/>
      <c r="T172" s="721"/>
      <c r="U172" s="722"/>
      <c r="V172" s="723"/>
      <c r="W172" s="724"/>
      <c r="X172" s="725" t="s">
        <v>159</v>
      </c>
      <c r="Y172" s="725"/>
      <c r="Z172" s="725"/>
      <c r="AA172" s="725"/>
      <c r="AB172" s="726" t="s">
        <v>159</v>
      </c>
      <c r="AC172" s="726"/>
      <c r="AD172" s="726"/>
      <c r="AE172" s="726"/>
      <c r="AF172" s="727"/>
      <c r="AG172" s="728"/>
      <c r="AH172" s="727"/>
      <c r="AI172" s="728"/>
      <c r="AJ172" s="682"/>
      <c r="AK172" s="683"/>
      <c r="AL172" s="664" t="s">
        <v>162</v>
      </c>
      <c r="AM172" s="665"/>
      <c r="AN172" s="713" t="s">
        <v>162</v>
      </c>
      <c r="AO172" s="714"/>
      <c r="AP172" s="729"/>
      <c r="AQ172" s="730"/>
      <c r="AR172" s="731"/>
      <c r="AS172" s="732"/>
      <c r="AT172" s="690"/>
      <c r="AU172" s="691"/>
      <c r="AV172" s="713" t="s">
        <v>162</v>
      </c>
      <c r="AW172" s="714"/>
      <c r="AX172" s="692"/>
      <c r="AY172" s="693"/>
      <c r="AZ172" s="694"/>
      <c r="BA172" s="735"/>
      <c r="BB172" s="736"/>
      <c r="BC172" s="219"/>
      <c r="BD172" s="737" t="s">
        <v>162</v>
      </c>
      <c r="BE172" s="738"/>
      <c r="BF172" s="739"/>
      <c r="BG172" s="740"/>
      <c r="BH172" s="740"/>
      <c r="BI172" s="741"/>
      <c r="BJ172" s="742" t="s">
        <v>159</v>
      </c>
      <c r="BK172" s="743"/>
      <c r="BL172" s="743"/>
      <c r="BM172" s="744"/>
      <c r="BN172" s="703" t="s">
        <v>159</v>
      </c>
      <c r="BO172" s="704"/>
      <c r="BP172" s="704"/>
      <c r="BQ172" s="704"/>
      <c r="BR172" s="704"/>
      <c r="BS172" s="704"/>
      <c r="BT172" s="704"/>
      <c r="BU172" s="704"/>
      <c r="BV172" s="705"/>
    </row>
    <row r="173" spans="1:74" ht="45" customHeight="1" x14ac:dyDescent="0.25">
      <c r="A173" s="10">
        <f t="shared" si="2"/>
        <v>159</v>
      </c>
      <c r="B173" s="662" t="s">
        <v>159</v>
      </c>
      <c r="C173" s="662"/>
      <c r="D173" s="663" t="s">
        <v>212</v>
      </c>
      <c r="E173" s="663"/>
      <c r="F173" s="664" t="s">
        <v>162</v>
      </c>
      <c r="G173" s="665"/>
      <c r="H173" s="755" t="s">
        <v>162</v>
      </c>
      <c r="I173" s="667"/>
      <c r="J173" s="706"/>
      <c r="K173" s="707"/>
      <c r="L173" s="706"/>
      <c r="M173" s="707"/>
      <c r="N173" s="194"/>
      <c r="O173" s="196"/>
      <c r="P173" s="717"/>
      <c r="Q173" s="718"/>
      <c r="R173" s="672"/>
      <c r="S173" s="673"/>
      <c r="T173" s="674"/>
      <c r="U173" s="675"/>
      <c r="V173" s="676"/>
      <c r="W173" s="677"/>
      <c r="X173" s="678" t="s">
        <v>159</v>
      </c>
      <c r="Y173" s="678"/>
      <c r="Z173" s="678"/>
      <c r="AA173" s="678"/>
      <c r="AB173" s="679" t="s">
        <v>159</v>
      </c>
      <c r="AC173" s="679"/>
      <c r="AD173" s="679"/>
      <c r="AE173" s="679"/>
      <c r="AF173" s="680"/>
      <c r="AG173" s="681"/>
      <c r="AH173" s="680"/>
      <c r="AI173" s="681"/>
      <c r="AJ173" s="686"/>
      <c r="AK173" s="687"/>
      <c r="AL173" s="684" t="s">
        <v>162</v>
      </c>
      <c r="AM173" s="685"/>
      <c r="AN173" s="666" t="s">
        <v>162</v>
      </c>
      <c r="AO173" s="667"/>
      <c r="AP173" s="686"/>
      <c r="AQ173" s="687"/>
      <c r="AR173" s="688"/>
      <c r="AS173" s="689"/>
      <c r="AT173" s="690"/>
      <c r="AU173" s="691"/>
      <c r="AV173" s="666" t="s">
        <v>162</v>
      </c>
      <c r="AW173" s="667"/>
      <c r="AX173" s="692"/>
      <c r="AY173" s="693"/>
      <c r="AZ173" s="694"/>
      <c r="BA173" s="682"/>
      <c r="BB173" s="683"/>
      <c r="BC173" s="14"/>
      <c r="BD173" s="695" t="s">
        <v>162</v>
      </c>
      <c r="BE173" s="696"/>
      <c r="BF173" s="708"/>
      <c r="BG173" s="709"/>
      <c r="BH173" s="709"/>
      <c r="BI173" s="710"/>
      <c r="BJ173" s="700" t="s">
        <v>159</v>
      </c>
      <c r="BK173" s="701"/>
      <c r="BL173" s="701"/>
      <c r="BM173" s="702"/>
      <c r="BN173" s="703" t="s">
        <v>159</v>
      </c>
      <c r="BO173" s="704"/>
      <c r="BP173" s="704"/>
      <c r="BQ173" s="704"/>
      <c r="BR173" s="704"/>
      <c r="BS173" s="704"/>
      <c r="BT173" s="704"/>
      <c r="BU173" s="704"/>
      <c r="BV173" s="705"/>
    </row>
    <row r="174" spans="1:74" ht="45" customHeight="1" x14ac:dyDescent="0.25">
      <c r="A174" s="10">
        <f t="shared" si="2"/>
        <v>160</v>
      </c>
      <c r="B174" s="711" t="s">
        <v>159</v>
      </c>
      <c r="C174" s="711"/>
      <c r="D174" s="712" t="s">
        <v>212</v>
      </c>
      <c r="E174" s="712"/>
      <c r="F174" s="664" t="s">
        <v>162</v>
      </c>
      <c r="G174" s="665"/>
      <c r="H174" s="754" t="s">
        <v>162</v>
      </c>
      <c r="I174" s="714"/>
      <c r="J174" s="715"/>
      <c r="K174" s="716"/>
      <c r="L174" s="715"/>
      <c r="M174" s="716"/>
      <c r="N174" s="215"/>
      <c r="O174" s="216"/>
      <c r="P174" s="670"/>
      <c r="Q174" s="671"/>
      <c r="R174" s="719"/>
      <c r="S174" s="720"/>
      <c r="T174" s="721"/>
      <c r="U174" s="722"/>
      <c r="V174" s="723"/>
      <c r="W174" s="724"/>
      <c r="X174" s="725" t="s">
        <v>159</v>
      </c>
      <c r="Y174" s="725"/>
      <c r="Z174" s="725"/>
      <c r="AA174" s="725"/>
      <c r="AB174" s="726" t="s">
        <v>159</v>
      </c>
      <c r="AC174" s="726"/>
      <c r="AD174" s="726"/>
      <c r="AE174" s="726"/>
      <c r="AF174" s="727"/>
      <c r="AG174" s="728"/>
      <c r="AH174" s="727"/>
      <c r="AI174" s="728"/>
      <c r="AJ174" s="682"/>
      <c r="AK174" s="683"/>
      <c r="AL174" s="664" t="s">
        <v>162</v>
      </c>
      <c r="AM174" s="665"/>
      <c r="AN174" s="713" t="s">
        <v>162</v>
      </c>
      <c r="AO174" s="714"/>
      <c r="AP174" s="729"/>
      <c r="AQ174" s="730"/>
      <c r="AR174" s="731"/>
      <c r="AS174" s="732"/>
      <c r="AT174" s="690"/>
      <c r="AU174" s="691"/>
      <c r="AV174" s="713" t="s">
        <v>162</v>
      </c>
      <c r="AW174" s="714"/>
      <c r="AX174" s="692"/>
      <c r="AY174" s="693"/>
      <c r="AZ174" s="694"/>
      <c r="BA174" s="735"/>
      <c r="BB174" s="736"/>
      <c r="BC174" s="219"/>
      <c r="BD174" s="737" t="s">
        <v>162</v>
      </c>
      <c r="BE174" s="738"/>
      <c r="BF174" s="739"/>
      <c r="BG174" s="740"/>
      <c r="BH174" s="740"/>
      <c r="BI174" s="741"/>
      <c r="BJ174" s="742" t="s">
        <v>159</v>
      </c>
      <c r="BK174" s="743"/>
      <c r="BL174" s="743"/>
      <c r="BM174" s="744"/>
      <c r="BN174" s="703" t="s">
        <v>159</v>
      </c>
      <c r="BO174" s="704"/>
      <c r="BP174" s="704"/>
      <c r="BQ174" s="704"/>
      <c r="BR174" s="704"/>
      <c r="BS174" s="704"/>
      <c r="BT174" s="704"/>
      <c r="BU174" s="704"/>
      <c r="BV174" s="705"/>
    </row>
    <row r="175" spans="1:74" ht="45" customHeight="1" x14ac:dyDescent="0.25">
      <c r="A175" s="10">
        <f t="shared" si="2"/>
        <v>161</v>
      </c>
      <c r="B175" s="662" t="s">
        <v>159</v>
      </c>
      <c r="C175" s="662"/>
      <c r="D175" s="663" t="s">
        <v>212</v>
      </c>
      <c r="E175" s="663"/>
      <c r="F175" s="664" t="s">
        <v>162</v>
      </c>
      <c r="G175" s="665"/>
      <c r="H175" s="755" t="s">
        <v>162</v>
      </c>
      <c r="I175" s="667"/>
      <c r="J175" s="706"/>
      <c r="K175" s="707"/>
      <c r="L175" s="706"/>
      <c r="M175" s="707"/>
      <c r="N175" s="194"/>
      <c r="O175" s="196"/>
      <c r="P175" s="717"/>
      <c r="Q175" s="718"/>
      <c r="R175" s="672"/>
      <c r="S175" s="673"/>
      <c r="T175" s="674"/>
      <c r="U175" s="675"/>
      <c r="V175" s="676"/>
      <c r="W175" s="677"/>
      <c r="X175" s="678" t="s">
        <v>159</v>
      </c>
      <c r="Y175" s="678"/>
      <c r="Z175" s="678"/>
      <c r="AA175" s="678"/>
      <c r="AB175" s="679" t="s">
        <v>159</v>
      </c>
      <c r="AC175" s="679"/>
      <c r="AD175" s="679"/>
      <c r="AE175" s="679"/>
      <c r="AF175" s="680"/>
      <c r="AG175" s="681"/>
      <c r="AH175" s="680"/>
      <c r="AI175" s="681"/>
      <c r="AJ175" s="686"/>
      <c r="AK175" s="687"/>
      <c r="AL175" s="684" t="s">
        <v>162</v>
      </c>
      <c r="AM175" s="685"/>
      <c r="AN175" s="666" t="s">
        <v>162</v>
      </c>
      <c r="AO175" s="667"/>
      <c r="AP175" s="686"/>
      <c r="AQ175" s="687"/>
      <c r="AR175" s="688"/>
      <c r="AS175" s="689"/>
      <c r="AT175" s="690"/>
      <c r="AU175" s="691"/>
      <c r="AV175" s="666" t="s">
        <v>162</v>
      </c>
      <c r="AW175" s="667"/>
      <c r="AX175" s="692"/>
      <c r="AY175" s="693"/>
      <c r="AZ175" s="694"/>
      <c r="BA175" s="682"/>
      <c r="BB175" s="683"/>
      <c r="BC175" s="14"/>
      <c r="BD175" s="695" t="s">
        <v>162</v>
      </c>
      <c r="BE175" s="696"/>
      <c r="BF175" s="708"/>
      <c r="BG175" s="709"/>
      <c r="BH175" s="709"/>
      <c r="BI175" s="710"/>
      <c r="BJ175" s="700" t="s">
        <v>159</v>
      </c>
      <c r="BK175" s="701"/>
      <c r="BL175" s="701"/>
      <c r="BM175" s="702"/>
      <c r="BN175" s="703" t="s">
        <v>159</v>
      </c>
      <c r="BO175" s="704"/>
      <c r="BP175" s="704"/>
      <c r="BQ175" s="704"/>
      <c r="BR175" s="704"/>
      <c r="BS175" s="704"/>
      <c r="BT175" s="704"/>
      <c r="BU175" s="704"/>
      <c r="BV175" s="705"/>
    </row>
    <row r="176" spans="1:74" ht="45" customHeight="1" x14ac:dyDescent="0.25">
      <c r="A176" s="10">
        <f t="shared" si="2"/>
        <v>162</v>
      </c>
      <c r="B176" s="711" t="s">
        <v>159</v>
      </c>
      <c r="C176" s="711"/>
      <c r="D176" s="712" t="s">
        <v>212</v>
      </c>
      <c r="E176" s="712"/>
      <c r="F176" s="664" t="s">
        <v>162</v>
      </c>
      <c r="G176" s="665"/>
      <c r="H176" s="754" t="s">
        <v>162</v>
      </c>
      <c r="I176" s="714"/>
      <c r="J176" s="715"/>
      <c r="K176" s="716"/>
      <c r="L176" s="715"/>
      <c r="M176" s="716"/>
      <c r="N176" s="215"/>
      <c r="O176" s="216"/>
      <c r="P176" s="670"/>
      <c r="Q176" s="671"/>
      <c r="R176" s="719"/>
      <c r="S176" s="720"/>
      <c r="T176" s="721"/>
      <c r="U176" s="722"/>
      <c r="V176" s="723"/>
      <c r="W176" s="724"/>
      <c r="X176" s="725" t="s">
        <v>159</v>
      </c>
      <c r="Y176" s="725"/>
      <c r="Z176" s="725"/>
      <c r="AA176" s="725"/>
      <c r="AB176" s="726" t="s">
        <v>159</v>
      </c>
      <c r="AC176" s="726"/>
      <c r="AD176" s="726"/>
      <c r="AE176" s="726"/>
      <c r="AF176" s="727"/>
      <c r="AG176" s="728"/>
      <c r="AH176" s="727"/>
      <c r="AI176" s="728"/>
      <c r="AJ176" s="682"/>
      <c r="AK176" s="683"/>
      <c r="AL176" s="664" t="s">
        <v>162</v>
      </c>
      <c r="AM176" s="665"/>
      <c r="AN176" s="713" t="s">
        <v>162</v>
      </c>
      <c r="AO176" s="714"/>
      <c r="AP176" s="729"/>
      <c r="AQ176" s="730"/>
      <c r="AR176" s="731"/>
      <c r="AS176" s="732"/>
      <c r="AT176" s="690"/>
      <c r="AU176" s="691"/>
      <c r="AV176" s="713" t="s">
        <v>162</v>
      </c>
      <c r="AW176" s="714"/>
      <c r="AX176" s="692"/>
      <c r="AY176" s="693"/>
      <c r="AZ176" s="694"/>
      <c r="BA176" s="735"/>
      <c r="BB176" s="736"/>
      <c r="BC176" s="219"/>
      <c r="BD176" s="737" t="s">
        <v>162</v>
      </c>
      <c r="BE176" s="738"/>
      <c r="BF176" s="739"/>
      <c r="BG176" s="740"/>
      <c r="BH176" s="740"/>
      <c r="BI176" s="741"/>
      <c r="BJ176" s="742" t="s">
        <v>159</v>
      </c>
      <c r="BK176" s="743"/>
      <c r="BL176" s="743"/>
      <c r="BM176" s="744"/>
      <c r="BN176" s="703" t="s">
        <v>159</v>
      </c>
      <c r="BO176" s="704"/>
      <c r="BP176" s="704"/>
      <c r="BQ176" s="704"/>
      <c r="BR176" s="704"/>
      <c r="BS176" s="704"/>
      <c r="BT176" s="704"/>
      <c r="BU176" s="704"/>
      <c r="BV176" s="705"/>
    </row>
    <row r="177" spans="1:74" ht="45" customHeight="1" x14ac:dyDescent="0.25">
      <c r="A177" s="10">
        <f t="shared" si="2"/>
        <v>163</v>
      </c>
      <c r="B177" s="662" t="s">
        <v>159</v>
      </c>
      <c r="C177" s="662"/>
      <c r="D177" s="663" t="s">
        <v>212</v>
      </c>
      <c r="E177" s="663"/>
      <c r="F177" s="664" t="s">
        <v>162</v>
      </c>
      <c r="G177" s="665"/>
      <c r="H177" s="755" t="s">
        <v>162</v>
      </c>
      <c r="I177" s="667"/>
      <c r="J177" s="706"/>
      <c r="K177" s="707"/>
      <c r="L177" s="706"/>
      <c r="M177" s="707"/>
      <c r="N177" s="194"/>
      <c r="O177" s="196"/>
      <c r="P177" s="717"/>
      <c r="Q177" s="718"/>
      <c r="R177" s="672"/>
      <c r="S177" s="673"/>
      <c r="T177" s="674"/>
      <c r="U177" s="675"/>
      <c r="V177" s="676"/>
      <c r="W177" s="677"/>
      <c r="X177" s="678" t="s">
        <v>159</v>
      </c>
      <c r="Y177" s="678"/>
      <c r="Z177" s="678"/>
      <c r="AA177" s="678"/>
      <c r="AB177" s="679" t="s">
        <v>159</v>
      </c>
      <c r="AC177" s="679"/>
      <c r="AD177" s="679"/>
      <c r="AE177" s="679"/>
      <c r="AF177" s="680"/>
      <c r="AG177" s="681"/>
      <c r="AH177" s="680"/>
      <c r="AI177" s="681"/>
      <c r="AJ177" s="686"/>
      <c r="AK177" s="687"/>
      <c r="AL177" s="684" t="s">
        <v>162</v>
      </c>
      <c r="AM177" s="685"/>
      <c r="AN177" s="666" t="s">
        <v>162</v>
      </c>
      <c r="AO177" s="667"/>
      <c r="AP177" s="686"/>
      <c r="AQ177" s="687"/>
      <c r="AR177" s="688"/>
      <c r="AS177" s="689"/>
      <c r="AT177" s="690"/>
      <c r="AU177" s="691"/>
      <c r="AV177" s="666" t="s">
        <v>162</v>
      </c>
      <c r="AW177" s="667"/>
      <c r="AX177" s="692"/>
      <c r="AY177" s="693"/>
      <c r="AZ177" s="694"/>
      <c r="BA177" s="682"/>
      <c r="BB177" s="683"/>
      <c r="BC177" s="14"/>
      <c r="BD177" s="695" t="s">
        <v>162</v>
      </c>
      <c r="BE177" s="696"/>
      <c r="BF177" s="697"/>
      <c r="BG177" s="698"/>
      <c r="BH177" s="698"/>
      <c r="BI177" s="699"/>
      <c r="BJ177" s="700" t="s">
        <v>159</v>
      </c>
      <c r="BK177" s="701"/>
      <c r="BL177" s="701"/>
      <c r="BM177" s="702"/>
      <c r="BN177" s="703" t="s">
        <v>159</v>
      </c>
      <c r="BO177" s="704"/>
      <c r="BP177" s="704"/>
      <c r="BQ177" s="704"/>
      <c r="BR177" s="704"/>
      <c r="BS177" s="704"/>
      <c r="BT177" s="704"/>
      <c r="BU177" s="704"/>
      <c r="BV177" s="705"/>
    </row>
    <row r="178" spans="1:74" ht="45" customHeight="1" x14ac:dyDescent="0.25">
      <c r="A178" s="10">
        <f t="shared" si="2"/>
        <v>164</v>
      </c>
      <c r="B178" s="711" t="s">
        <v>159</v>
      </c>
      <c r="C178" s="711"/>
      <c r="D178" s="712" t="s">
        <v>212</v>
      </c>
      <c r="E178" s="712"/>
      <c r="F178" s="664" t="s">
        <v>162</v>
      </c>
      <c r="G178" s="665"/>
      <c r="H178" s="754" t="s">
        <v>162</v>
      </c>
      <c r="I178" s="714"/>
      <c r="J178" s="715"/>
      <c r="K178" s="716"/>
      <c r="L178" s="715"/>
      <c r="M178" s="716"/>
      <c r="N178" s="215"/>
      <c r="O178" s="216"/>
      <c r="P178" s="670"/>
      <c r="Q178" s="671"/>
      <c r="R178" s="719"/>
      <c r="S178" s="720"/>
      <c r="T178" s="721"/>
      <c r="U178" s="722"/>
      <c r="V178" s="723"/>
      <c r="W178" s="724"/>
      <c r="X178" s="725" t="s">
        <v>159</v>
      </c>
      <c r="Y178" s="725"/>
      <c r="Z178" s="725"/>
      <c r="AA178" s="725"/>
      <c r="AB178" s="726" t="s">
        <v>159</v>
      </c>
      <c r="AC178" s="726"/>
      <c r="AD178" s="726"/>
      <c r="AE178" s="726"/>
      <c r="AF178" s="727"/>
      <c r="AG178" s="728"/>
      <c r="AH178" s="727"/>
      <c r="AI178" s="728"/>
      <c r="AJ178" s="682"/>
      <c r="AK178" s="683"/>
      <c r="AL178" s="664" t="s">
        <v>162</v>
      </c>
      <c r="AM178" s="665"/>
      <c r="AN178" s="713" t="s">
        <v>162</v>
      </c>
      <c r="AO178" s="714"/>
      <c r="AP178" s="729"/>
      <c r="AQ178" s="730"/>
      <c r="AR178" s="731"/>
      <c r="AS178" s="732"/>
      <c r="AT178" s="690"/>
      <c r="AU178" s="691"/>
      <c r="AV178" s="713" t="s">
        <v>162</v>
      </c>
      <c r="AW178" s="714"/>
      <c r="AX178" s="692"/>
      <c r="AY178" s="693"/>
      <c r="AZ178" s="694"/>
      <c r="BA178" s="735"/>
      <c r="BB178" s="736"/>
      <c r="BC178" s="219"/>
      <c r="BD178" s="737" t="s">
        <v>162</v>
      </c>
      <c r="BE178" s="738"/>
      <c r="BF178" s="739"/>
      <c r="BG178" s="740"/>
      <c r="BH178" s="740"/>
      <c r="BI178" s="741"/>
      <c r="BJ178" s="742" t="s">
        <v>159</v>
      </c>
      <c r="BK178" s="743"/>
      <c r="BL178" s="743"/>
      <c r="BM178" s="744"/>
      <c r="BN178" s="703" t="s">
        <v>159</v>
      </c>
      <c r="BO178" s="704"/>
      <c r="BP178" s="704"/>
      <c r="BQ178" s="704"/>
      <c r="BR178" s="704"/>
      <c r="BS178" s="704"/>
      <c r="BT178" s="704"/>
      <c r="BU178" s="704"/>
      <c r="BV178" s="705"/>
    </row>
    <row r="179" spans="1:74" ht="45" customHeight="1" x14ac:dyDescent="0.25">
      <c r="A179" s="10">
        <f t="shared" si="2"/>
        <v>165</v>
      </c>
      <c r="B179" s="662" t="s">
        <v>159</v>
      </c>
      <c r="C179" s="662"/>
      <c r="D179" s="663" t="s">
        <v>212</v>
      </c>
      <c r="E179" s="663"/>
      <c r="F179" s="664" t="s">
        <v>162</v>
      </c>
      <c r="G179" s="665"/>
      <c r="H179" s="755" t="s">
        <v>162</v>
      </c>
      <c r="I179" s="667"/>
      <c r="J179" s="706"/>
      <c r="K179" s="707"/>
      <c r="L179" s="706"/>
      <c r="M179" s="707"/>
      <c r="N179" s="194"/>
      <c r="O179" s="196"/>
      <c r="P179" s="717"/>
      <c r="Q179" s="718"/>
      <c r="R179" s="672"/>
      <c r="S179" s="673"/>
      <c r="T179" s="674"/>
      <c r="U179" s="675"/>
      <c r="V179" s="676"/>
      <c r="W179" s="677"/>
      <c r="X179" s="678" t="s">
        <v>159</v>
      </c>
      <c r="Y179" s="678"/>
      <c r="Z179" s="678"/>
      <c r="AA179" s="678"/>
      <c r="AB179" s="679" t="s">
        <v>159</v>
      </c>
      <c r="AC179" s="679"/>
      <c r="AD179" s="679"/>
      <c r="AE179" s="679"/>
      <c r="AF179" s="680"/>
      <c r="AG179" s="681"/>
      <c r="AH179" s="680"/>
      <c r="AI179" s="681"/>
      <c r="AJ179" s="686"/>
      <c r="AK179" s="687"/>
      <c r="AL179" s="684" t="s">
        <v>162</v>
      </c>
      <c r="AM179" s="685"/>
      <c r="AN179" s="666" t="s">
        <v>162</v>
      </c>
      <c r="AO179" s="667"/>
      <c r="AP179" s="686"/>
      <c r="AQ179" s="687"/>
      <c r="AR179" s="688"/>
      <c r="AS179" s="689"/>
      <c r="AT179" s="690"/>
      <c r="AU179" s="691"/>
      <c r="AV179" s="666" t="s">
        <v>162</v>
      </c>
      <c r="AW179" s="667"/>
      <c r="AX179" s="692"/>
      <c r="AY179" s="693"/>
      <c r="AZ179" s="694"/>
      <c r="BA179" s="682"/>
      <c r="BB179" s="683"/>
      <c r="BC179" s="14"/>
      <c r="BD179" s="695" t="s">
        <v>162</v>
      </c>
      <c r="BE179" s="696"/>
      <c r="BF179" s="708"/>
      <c r="BG179" s="709"/>
      <c r="BH179" s="709"/>
      <c r="BI179" s="710"/>
      <c r="BJ179" s="700" t="s">
        <v>159</v>
      </c>
      <c r="BK179" s="701"/>
      <c r="BL179" s="701"/>
      <c r="BM179" s="702"/>
      <c r="BN179" s="703" t="s">
        <v>159</v>
      </c>
      <c r="BO179" s="704"/>
      <c r="BP179" s="704"/>
      <c r="BQ179" s="704"/>
      <c r="BR179" s="704"/>
      <c r="BS179" s="704"/>
      <c r="BT179" s="704"/>
      <c r="BU179" s="704"/>
      <c r="BV179" s="705"/>
    </row>
    <row r="180" spans="1:74" ht="45" customHeight="1" x14ac:dyDescent="0.25">
      <c r="A180" s="10">
        <f t="shared" si="2"/>
        <v>166</v>
      </c>
      <c r="B180" s="711" t="s">
        <v>159</v>
      </c>
      <c r="C180" s="711"/>
      <c r="D180" s="712" t="s">
        <v>212</v>
      </c>
      <c r="E180" s="712"/>
      <c r="F180" s="664" t="s">
        <v>162</v>
      </c>
      <c r="G180" s="665"/>
      <c r="H180" s="754" t="s">
        <v>162</v>
      </c>
      <c r="I180" s="714"/>
      <c r="J180" s="715"/>
      <c r="K180" s="716"/>
      <c r="L180" s="715"/>
      <c r="M180" s="716"/>
      <c r="N180" s="215"/>
      <c r="O180" s="216"/>
      <c r="P180" s="670"/>
      <c r="Q180" s="671"/>
      <c r="R180" s="719"/>
      <c r="S180" s="720"/>
      <c r="T180" s="721"/>
      <c r="U180" s="722"/>
      <c r="V180" s="723"/>
      <c r="W180" s="724"/>
      <c r="X180" s="725" t="s">
        <v>159</v>
      </c>
      <c r="Y180" s="725"/>
      <c r="Z180" s="725"/>
      <c r="AA180" s="725"/>
      <c r="AB180" s="726" t="s">
        <v>159</v>
      </c>
      <c r="AC180" s="726"/>
      <c r="AD180" s="726"/>
      <c r="AE180" s="726"/>
      <c r="AF180" s="727"/>
      <c r="AG180" s="728"/>
      <c r="AH180" s="727"/>
      <c r="AI180" s="728"/>
      <c r="AJ180" s="682"/>
      <c r="AK180" s="683"/>
      <c r="AL180" s="664" t="s">
        <v>162</v>
      </c>
      <c r="AM180" s="665"/>
      <c r="AN180" s="713" t="s">
        <v>162</v>
      </c>
      <c r="AO180" s="714"/>
      <c r="AP180" s="729"/>
      <c r="AQ180" s="730"/>
      <c r="AR180" s="731"/>
      <c r="AS180" s="732"/>
      <c r="AT180" s="690"/>
      <c r="AU180" s="691"/>
      <c r="AV180" s="713" t="s">
        <v>162</v>
      </c>
      <c r="AW180" s="714"/>
      <c r="AX180" s="692"/>
      <c r="AY180" s="693"/>
      <c r="AZ180" s="694"/>
      <c r="BA180" s="735"/>
      <c r="BB180" s="736"/>
      <c r="BC180" s="219"/>
      <c r="BD180" s="737" t="s">
        <v>162</v>
      </c>
      <c r="BE180" s="738"/>
      <c r="BF180" s="739"/>
      <c r="BG180" s="740"/>
      <c r="BH180" s="740"/>
      <c r="BI180" s="741"/>
      <c r="BJ180" s="742" t="s">
        <v>159</v>
      </c>
      <c r="BK180" s="743"/>
      <c r="BL180" s="743"/>
      <c r="BM180" s="744"/>
      <c r="BN180" s="703" t="s">
        <v>159</v>
      </c>
      <c r="BO180" s="704"/>
      <c r="BP180" s="704"/>
      <c r="BQ180" s="704"/>
      <c r="BR180" s="704"/>
      <c r="BS180" s="704"/>
      <c r="BT180" s="704"/>
      <c r="BU180" s="704"/>
      <c r="BV180" s="705"/>
    </row>
    <row r="181" spans="1:74" ht="45" customHeight="1" x14ac:dyDescent="0.25">
      <c r="A181" s="10">
        <f t="shared" si="2"/>
        <v>167</v>
      </c>
      <c r="B181" s="662" t="s">
        <v>159</v>
      </c>
      <c r="C181" s="662"/>
      <c r="D181" s="663" t="s">
        <v>212</v>
      </c>
      <c r="E181" s="663"/>
      <c r="F181" s="664" t="s">
        <v>162</v>
      </c>
      <c r="G181" s="665"/>
      <c r="H181" s="755" t="s">
        <v>162</v>
      </c>
      <c r="I181" s="667"/>
      <c r="J181" s="706"/>
      <c r="K181" s="707"/>
      <c r="L181" s="706"/>
      <c r="M181" s="707"/>
      <c r="N181" s="194"/>
      <c r="O181" s="196"/>
      <c r="P181" s="717"/>
      <c r="Q181" s="718"/>
      <c r="R181" s="672"/>
      <c r="S181" s="673"/>
      <c r="T181" s="674"/>
      <c r="U181" s="675"/>
      <c r="V181" s="676"/>
      <c r="W181" s="677"/>
      <c r="X181" s="678" t="s">
        <v>159</v>
      </c>
      <c r="Y181" s="678"/>
      <c r="Z181" s="678"/>
      <c r="AA181" s="678"/>
      <c r="AB181" s="679" t="s">
        <v>159</v>
      </c>
      <c r="AC181" s="679"/>
      <c r="AD181" s="679"/>
      <c r="AE181" s="679"/>
      <c r="AF181" s="680"/>
      <c r="AG181" s="681"/>
      <c r="AH181" s="680"/>
      <c r="AI181" s="681"/>
      <c r="AJ181" s="686"/>
      <c r="AK181" s="687"/>
      <c r="AL181" s="684" t="s">
        <v>162</v>
      </c>
      <c r="AM181" s="685"/>
      <c r="AN181" s="666" t="s">
        <v>162</v>
      </c>
      <c r="AO181" s="667"/>
      <c r="AP181" s="686"/>
      <c r="AQ181" s="687"/>
      <c r="AR181" s="688"/>
      <c r="AS181" s="689"/>
      <c r="AT181" s="690"/>
      <c r="AU181" s="691"/>
      <c r="AV181" s="666" t="s">
        <v>162</v>
      </c>
      <c r="AW181" s="667"/>
      <c r="AX181" s="692"/>
      <c r="AY181" s="693"/>
      <c r="AZ181" s="694"/>
      <c r="BA181" s="682"/>
      <c r="BB181" s="683"/>
      <c r="BC181" s="14"/>
      <c r="BD181" s="695" t="s">
        <v>162</v>
      </c>
      <c r="BE181" s="696"/>
      <c r="BF181" s="697"/>
      <c r="BG181" s="698"/>
      <c r="BH181" s="698"/>
      <c r="BI181" s="699"/>
      <c r="BJ181" s="700" t="s">
        <v>159</v>
      </c>
      <c r="BK181" s="701"/>
      <c r="BL181" s="701"/>
      <c r="BM181" s="702"/>
      <c r="BN181" s="703" t="s">
        <v>159</v>
      </c>
      <c r="BO181" s="704"/>
      <c r="BP181" s="704"/>
      <c r="BQ181" s="704"/>
      <c r="BR181" s="704"/>
      <c r="BS181" s="704"/>
      <c r="BT181" s="704"/>
      <c r="BU181" s="704"/>
      <c r="BV181" s="705"/>
    </row>
    <row r="182" spans="1:74" ht="45" customHeight="1" x14ac:dyDescent="0.25">
      <c r="A182" s="10">
        <f t="shared" si="2"/>
        <v>168</v>
      </c>
      <c r="B182" s="711" t="s">
        <v>159</v>
      </c>
      <c r="C182" s="711"/>
      <c r="D182" s="712" t="s">
        <v>212</v>
      </c>
      <c r="E182" s="712"/>
      <c r="F182" s="664" t="s">
        <v>162</v>
      </c>
      <c r="G182" s="665"/>
      <c r="H182" s="754" t="s">
        <v>162</v>
      </c>
      <c r="I182" s="714"/>
      <c r="J182" s="715"/>
      <c r="K182" s="716"/>
      <c r="L182" s="715"/>
      <c r="M182" s="716"/>
      <c r="N182" s="215"/>
      <c r="O182" s="216"/>
      <c r="P182" s="670"/>
      <c r="Q182" s="671"/>
      <c r="R182" s="719"/>
      <c r="S182" s="720"/>
      <c r="T182" s="721"/>
      <c r="U182" s="722"/>
      <c r="V182" s="723"/>
      <c r="W182" s="724"/>
      <c r="X182" s="725" t="s">
        <v>159</v>
      </c>
      <c r="Y182" s="725"/>
      <c r="Z182" s="725"/>
      <c r="AA182" s="725"/>
      <c r="AB182" s="726" t="s">
        <v>159</v>
      </c>
      <c r="AC182" s="726"/>
      <c r="AD182" s="726"/>
      <c r="AE182" s="726"/>
      <c r="AF182" s="727"/>
      <c r="AG182" s="728"/>
      <c r="AH182" s="727"/>
      <c r="AI182" s="728"/>
      <c r="AJ182" s="682"/>
      <c r="AK182" s="683"/>
      <c r="AL182" s="664" t="s">
        <v>162</v>
      </c>
      <c r="AM182" s="665"/>
      <c r="AN182" s="713" t="s">
        <v>162</v>
      </c>
      <c r="AO182" s="714"/>
      <c r="AP182" s="729"/>
      <c r="AQ182" s="730"/>
      <c r="AR182" s="731"/>
      <c r="AS182" s="732"/>
      <c r="AT182" s="690"/>
      <c r="AU182" s="691"/>
      <c r="AV182" s="713" t="s">
        <v>162</v>
      </c>
      <c r="AW182" s="714"/>
      <c r="AX182" s="692"/>
      <c r="AY182" s="693"/>
      <c r="AZ182" s="694"/>
      <c r="BA182" s="735"/>
      <c r="BB182" s="736"/>
      <c r="BC182" s="219"/>
      <c r="BD182" s="737" t="s">
        <v>162</v>
      </c>
      <c r="BE182" s="738"/>
      <c r="BF182" s="739"/>
      <c r="BG182" s="740"/>
      <c r="BH182" s="740"/>
      <c r="BI182" s="741"/>
      <c r="BJ182" s="742" t="s">
        <v>159</v>
      </c>
      <c r="BK182" s="743"/>
      <c r="BL182" s="743"/>
      <c r="BM182" s="744"/>
      <c r="BN182" s="703" t="s">
        <v>159</v>
      </c>
      <c r="BO182" s="704"/>
      <c r="BP182" s="704"/>
      <c r="BQ182" s="704"/>
      <c r="BR182" s="704"/>
      <c r="BS182" s="704"/>
      <c r="BT182" s="704"/>
      <c r="BU182" s="704"/>
      <c r="BV182" s="705"/>
    </row>
    <row r="183" spans="1:74" ht="45" customHeight="1" x14ac:dyDescent="0.25">
      <c r="A183" s="10">
        <f t="shared" si="2"/>
        <v>169</v>
      </c>
      <c r="B183" s="662" t="s">
        <v>159</v>
      </c>
      <c r="C183" s="662"/>
      <c r="D183" s="663" t="s">
        <v>212</v>
      </c>
      <c r="E183" s="663"/>
      <c r="F183" s="664" t="s">
        <v>162</v>
      </c>
      <c r="G183" s="665"/>
      <c r="H183" s="755" t="s">
        <v>162</v>
      </c>
      <c r="I183" s="667"/>
      <c r="J183" s="706"/>
      <c r="K183" s="707"/>
      <c r="L183" s="706"/>
      <c r="M183" s="707"/>
      <c r="N183" s="194"/>
      <c r="O183" s="196"/>
      <c r="P183" s="717"/>
      <c r="Q183" s="718"/>
      <c r="R183" s="672"/>
      <c r="S183" s="673"/>
      <c r="T183" s="674"/>
      <c r="U183" s="675"/>
      <c r="V183" s="676"/>
      <c r="W183" s="677"/>
      <c r="X183" s="678" t="s">
        <v>159</v>
      </c>
      <c r="Y183" s="678"/>
      <c r="Z183" s="678"/>
      <c r="AA183" s="678"/>
      <c r="AB183" s="679" t="s">
        <v>159</v>
      </c>
      <c r="AC183" s="679"/>
      <c r="AD183" s="679"/>
      <c r="AE183" s="679"/>
      <c r="AF183" s="680"/>
      <c r="AG183" s="681"/>
      <c r="AH183" s="680"/>
      <c r="AI183" s="681"/>
      <c r="AJ183" s="686"/>
      <c r="AK183" s="687"/>
      <c r="AL183" s="684" t="s">
        <v>162</v>
      </c>
      <c r="AM183" s="685"/>
      <c r="AN183" s="666" t="s">
        <v>162</v>
      </c>
      <c r="AO183" s="667"/>
      <c r="AP183" s="686"/>
      <c r="AQ183" s="687"/>
      <c r="AR183" s="688"/>
      <c r="AS183" s="689"/>
      <c r="AT183" s="690"/>
      <c r="AU183" s="691"/>
      <c r="AV183" s="666" t="s">
        <v>162</v>
      </c>
      <c r="AW183" s="667"/>
      <c r="AX183" s="692"/>
      <c r="AY183" s="693"/>
      <c r="AZ183" s="694"/>
      <c r="BA183" s="682"/>
      <c r="BB183" s="683"/>
      <c r="BC183" s="14"/>
      <c r="BD183" s="695" t="s">
        <v>162</v>
      </c>
      <c r="BE183" s="696"/>
      <c r="BF183" s="708"/>
      <c r="BG183" s="709"/>
      <c r="BH183" s="709"/>
      <c r="BI183" s="710"/>
      <c r="BJ183" s="700" t="s">
        <v>159</v>
      </c>
      <c r="BK183" s="701"/>
      <c r="BL183" s="701"/>
      <c r="BM183" s="702"/>
      <c r="BN183" s="703" t="s">
        <v>159</v>
      </c>
      <c r="BO183" s="704"/>
      <c r="BP183" s="704"/>
      <c r="BQ183" s="704"/>
      <c r="BR183" s="704"/>
      <c r="BS183" s="704"/>
      <c r="BT183" s="704"/>
      <c r="BU183" s="704"/>
      <c r="BV183" s="705"/>
    </row>
    <row r="184" spans="1:74" ht="45" customHeight="1" x14ac:dyDescent="0.25">
      <c r="A184" s="10">
        <f t="shared" si="2"/>
        <v>170</v>
      </c>
      <c r="B184" s="711" t="s">
        <v>159</v>
      </c>
      <c r="C184" s="711"/>
      <c r="D184" s="712" t="s">
        <v>212</v>
      </c>
      <c r="E184" s="712"/>
      <c r="F184" s="664" t="s">
        <v>162</v>
      </c>
      <c r="G184" s="665"/>
      <c r="H184" s="754" t="s">
        <v>162</v>
      </c>
      <c r="I184" s="714"/>
      <c r="J184" s="715"/>
      <c r="K184" s="716"/>
      <c r="L184" s="715"/>
      <c r="M184" s="716"/>
      <c r="N184" s="215"/>
      <c r="O184" s="216"/>
      <c r="P184" s="670"/>
      <c r="Q184" s="671"/>
      <c r="R184" s="719"/>
      <c r="S184" s="720"/>
      <c r="T184" s="721"/>
      <c r="U184" s="722"/>
      <c r="V184" s="723"/>
      <c r="W184" s="724"/>
      <c r="X184" s="725" t="s">
        <v>159</v>
      </c>
      <c r="Y184" s="725"/>
      <c r="Z184" s="725"/>
      <c r="AA184" s="725"/>
      <c r="AB184" s="726" t="s">
        <v>159</v>
      </c>
      <c r="AC184" s="726"/>
      <c r="AD184" s="726"/>
      <c r="AE184" s="726"/>
      <c r="AF184" s="727"/>
      <c r="AG184" s="728"/>
      <c r="AH184" s="727"/>
      <c r="AI184" s="728"/>
      <c r="AJ184" s="682"/>
      <c r="AK184" s="683"/>
      <c r="AL184" s="664" t="s">
        <v>162</v>
      </c>
      <c r="AM184" s="665"/>
      <c r="AN184" s="713" t="s">
        <v>162</v>
      </c>
      <c r="AO184" s="714"/>
      <c r="AP184" s="729"/>
      <c r="AQ184" s="730"/>
      <c r="AR184" s="731"/>
      <c r="AS184" s="732"/>
      <c r="AT184" s="690"/>
      <c r="AU184" s="691"/>
      <c r="AV184" s="713" t="s">
        <v>162</v>
      </c>
      <c r="AW184" s="714"/>
      <c r="AX184" s="692"/>
      <c r="AY184" s="693"/>
      <c r="AZ184" s="694"/>
      <c r="BA184" s="735"/>
      <c r="BB184" s="736"/>
      <c r="BC184" s="219"/>
      <c r="BD184" s="737" t="s">
        <v>162</v>
      </c>
      <c r="BE184" s="738"/>
      <c r="BF184" s="739"/>
      <c r="BG184" s="740"/>
      <c r="BH184" s="740"/>
      <c r="BI184" s="741"/>
      <c r="BJ184" s="742" t="s">
        <v>159</v>
      </c>
      <c r="BK184" s="743"/>
      <c r="BL184" s="743"/>
      <c r="BM184" s="744"/>
      <c r="BN184" s="703" t="s">
        <v>159</v>
      </c>
      <c r="BO184" s="704"/>
      <c r="BP184" s="704"/>
      <c r="BQ184" s="704"/>
      <c r="BR184" s="704"/>
      <c r="BS184" s="704"/>
      <c r="BT184" s="704"/>
      <c r="BU184" s="704"/>
      <c r="BV184" s="705"/>
    </row>
    <row r="185" spans="1:74" ht="45" customHeight="1" x14ac:dyDescent="0.25">
      <c r="A185" s="10">
        <f t="shared" si="2"/>
        <v>171</v>
      </c>
      <c r="B185" s="662" t="s">
        <v>159</v>
      </c>
      <c r="C185" s="662"/>
      <c r="D185" s="663" t="s">
        <v>212</v>
      </c>
      <c r="E185" s="663"/>
      <c r="F185" s="664" t="s">
        <v>162</v>
      </c>
      <c r="G185" s="665"/>
      <c r="H185" s="755" t="s">
        <v>162</v>
      </c>
      <c r="I185" s="667"/>
      <c r="J185" s="706"/>
      <c r="K185" s="707"/>
      <c r="L185" s="706"/>
      <c r="M185" s="707"/>
      <c r="N185" s="194"/>
      <c r="O185" s="196"/>
      <c r="P185" s="717"/>
      <c r="Q185" s="718"/>
      <c r="R185" s="672"/>
      <c r="S185" s="673"/>
      <c r="T185" s="674"/>
      <c r="U185" s="675"/>
      <c r="V185" s="676"/>
      <c r="W185" s="677"/>
      <c r="X185" s="678" t="s">
        <v>159</v>
      </c>
      <c r="Y185" s="678"/>
      <c r="Z185" s="678"/>
      <c r="AA185" s="678"/>
      <c r="AB185" s="679" t="s">
        <v>159</v>
      </c>
      <c r="AC185" s="679"/>
      <c r="AD185" s="679"/>
      <c r="AE185" s="679"/>
      <c r="AF185" s="680"/>
      <c r="AG185" s="681"/>
      <c r="AH185" s="680"/>
      <c r="AI185" s="681"/>
      <c r="AJ185" s="686"/>
      <c r="AK185" s="687"/>
      <c r="AL185" s="684" t="s">
        <v>162</v>
      </c>
      <c r="AM185" s="685"/>
      <c r="AN185" s="666" t="s">
        <v>162</v>
      </c>
      <c r="AO185" s="667"/>
      <c r="AP185" s="686"/>
      <c r="AQ185" s="687"/>
      <c r="AR185" s="688"/>
      <c r="AS185" s="689"/>
      <c r="AT185" s="690"/>
      <c r="AU185" s="691"/>
      <c r="AV185" s="666" t="s">
        <v>162</v>
      </c>
      <c r="AW185" s="667"/>
      <c r="AX185" s="692"/>
      <c r="AY185" s="693"/>
      <c r="AZ185" s="694"/>
      <c r="BA185" s="682"/>
      <c r="BB185" s="683"/>
      <c r="BC185" s="14"/>
      <c r="BD185" s="695" t="s">
        <v>162</v>
      </c>
      <c r="BE185" s="696"/>
      <c r="BF185" s="708"/>
      <c r="BG185" s="709"/>
      <c r="BH185" s="709"/>
      <c r="BI185" s="710"/>
      <c r="BJ185" s="700" t="s">
        <v>159</v>
      </c>
      <c r="BK185" s="701"/>
      <c r="BL185" s="701"/>
      <c r="BM185" s="702"/>
      <c r="BN185" s="703" t="s">
        <v>159</v>
      </c>
      <c r="BO185" s="704"/>
      <c r="BP185" s="704"/>
      <c r="BQ185" s="704"/>
      <c r="BR185" s="704"/>
      <c r="BS185" s="704"/>
      <c r="BT185" s="704"/>
      <c r="BU185" s="704"/>
      <c r="BV185" s="705"/>
    </row>
    <row r="186" spans="1:74" ht="45" customHeight="1" x14ac:dyDescent="0.25">
      <c r="A186" s="10">
        <f t="shared" si="2"/>
        <v>172</v>
      </c>
      <c r="B186" s="711" t="s">
        <v>159</v>
      </c>
      <c r="C186" s="711"/>
      <c r="D186" s="712" t="s">
        <v>212</v>
      </c>
      <c r="E186" s="712"/>
      <c r="F186" s="664" t="s">
        <v>162</v>
      </c>
      <c r="G186" s="665"/>
      <c r="H186" s="754" t="s">
        <v>162</v>
      </c>
      <c r="I186" s="714"/>
      <c r="J186" s="715"/>
      <c r="K186" s="716"/>
      <c r="L186" s="715"/>
      <c r="M186" s="716"/>
      <c r="N186" s="215"/>
      <c r="O186" s="216"/>
      <c r="P186" s="670"/>
      <c r="Q186" s="671"/>
      <c r="R186" s="719"/>
      <c r="S186" s="720"/>
      <c r="T186" s="721"/>
      <c r="U186" s="722"/>
      <c r="V186" s="723"/>
      <c r="W186" s="724"/>
      <c r="X186" s="725" t="s">
        <v>159</v>
      </c>
      <c r="Y186" s="725"/>
      <c r="Z186" s="725"/>
      <c r="AA186" s="725"/>
      <c r="AB186" s="726" t="s">
        <v>159</v>
      </c>
      <c r="AC186" s="726"/>
      <c r="AD186" s="726"/>
      <c r="AE186" s="726"/>
      <c r="AF186" s="727"/>
      <c r="AG186" s="728"/>
      <c r="AH186" s="727"/>
      <c r="AI186" s="728"/>
      <c r="AJ186" s="682"/>
      <c r="AK186" s="683"/>
      <c r="AL186" s="664" t="s">
        <v>162</v>
      </c>
      <c r="AM186" s="665"/>
      <c r="AN186" s="713" t="s">
        <v>162</v>
      </c>
      <c r="AO186" s="714"/>
      <c r="AP186" s="729"/>
      <c r="AQ186" s="730"/>
      <c r="AR186" s="731"/>
      <c r="AS186" s="732"/>
      <c r="AT186" s="690"/>
      <c r="AU186" s="691"/>
      <c r="AV186" s="713" t="s">
        <v>162</v>
      </c>
      <c r="AW186" s="714"/>
      <c r="AX186" s="692"/>
      <c r="AY186" s="693"/>
      <c r="AZ186" s="694"/>
      <c r="BA186" s="735"/>
      <c r="BB186" s="736"/>
      <c r="BC186" s="219"/>
      <c r="BD186" s="737" t="s">
        <v>162</v>
      </c>
      <c r="BE186" s="738"/>
      <c r="BF186" s="739"/>
      <c r="BG186" s="740"/>
      <c r="BH186" s="740"/>
      <c r="BI186" s="741"/>
      <c r="BJ186" s="742" t="s">
        <v>159</v>
      </c>
      <c r="BK186" s="743"/>
      <c r="BL186" s="743"/>
      <c r="BM186" s="744"/>
      <c r="BN186" s="703" t="s">
        <v>159</v>
      </c>
      <c r="BO186" s="704"/>
      <c r="BP186" s="704"/>
      <c r="BQ186" s="704"/>
      <c r="BR186" s="704"/>
      <c r="BS186" s="704"/>
      <c r="BT186" s="704"/>
      <c r="BU186" s="704"/>
      <c r="BV186" s="705"/>
    </row>
    <row r="187" spans="1:74" ht="45" customHeight="1" x14ac:dyDescent="0.25">
      <c r="A187" s="10">
        <f t="shared" si="2"/>
        <v>173</v>
      </c>
      <c r="B187" s="662" t="s">
        <v>159</v>
      </c>
      <c r="C187" s="662"/>
      <c r="D187" s="663" t="s">
        <v>212</v>
      </c>
      <c r="E187" s="663"/>
      <c r="F187" s="664" t="s">
        <v>162</v>
      </c>
      <c r="G187" s="665"/>
      <c r="H187" s="755" t="s">
        <v>162</v>
      </c>
      <c r="I187" s="667"/>
      <c r="J187" s="706"/>
      <c r="K187" s="707"/>
      <c r="L187" s="706"/>
      <c r="M187" s="707"/>
      <c r="N187" s="194"/>
      <c r="O187" s="196"/>
      <c r="P187" s="717"/>
      <c r="Q187" s="718"/>
      <c r="R187" s="672"/>
      <c r="S187" s="673"/>
      <c r="T187" s="674"/>
      <c r="U187" s="675"/>
      <c r="V187" s="676"/>
      <c r="W187" s="677"/>
      <c r="X187" s="678" t="s">
        <v>159</v>
      </c>
      <c r="Y187" s="678"/>
      <c r="Z187" s="678"/>
      <c r="AA187" s="678"/>
      <c r="AB187" s="679" t="s">
        <v>159</v>
      </c>
      <c r="AC187" s="679"/>
      <c r="AD187" s="679"/>
      <c r="AE187" s="679"/>
      <c r="AF187" s="680"/>
      <c r="AG187" s="681"/>
      <c r="AH187" s="680"/>
      <c r="AI187" s="681"/>
      <c r="AJ187" s="686"/>
      <c r="AK187" s="687"/>
      <c r="AL187" s="684" t="s">
        <v>162</v>
      </c>
      <c r="AM187" s="685"/>
      <c r="AN187" s="666" t="s">
        <v>162</v>
      </c>
      <c r="AO187" s="667"/>
      <c r="AP187" s="686"/>
      <c r="AQ187" s="687"/>
      <c r="AR187" s="688"/>
      <c r="AS187" s="689"/>
      <c r="AT187" s="690"/>
      <c r="AU187" s="691"/>
      <c r="AV187" s="666" t="s">
        <v>162</v>
      </c>
      <c r="AW187" s="667"/>
      <c r="AX187" s="692"/>
      <c r="AY187" s="693"/>
      <c r="AZ187" s="694"/>
      <c r="BA187" s="682"/>
      <c r="BB187" s="683"/>
      <c r="BC187" s="14"/>
      <c r="BD187" s="695" t="s">
        <v>162</v>
      </c>
      <c r="BE187" s="696"/>
      <c r="BF187" s="697"/>
      <c r="BG187" s="698"/>
      <c r="BH187" s="698"/>
      <c r="BI187" s="699"/>
      <c r="BJ187" s="700" t="s">
        <v>159</v>
      </c>
      <c r="BK187" s="701"/>
      <c r="BL187" s="701"/>
      <c r="BM187" s="702"/>
      <c r="BN187" s="703" t="s">
        <v>159</v>
      </c>
      <c r="BO187" s="704"/>
      <c r="BP187" s="704"/>
      <c r="BQ187" s="704"/>
      <c r="BR187" s="704"/>
      <c r="BS187" s="704"/>
      <c r="BT187" s="704"/>
      <c r="BU187" s="704"/>
      <c r="BV187" s="705"/>
    </row>
    <row r="188" spans="1:74" ht="45" customHeight="1" x14ac:dyDescent="0.25">
      <c r="A188" s="10">
        <f t="shared" si="2"/>
        <v>174</v>
      </c>
      <c r="B188" s="711" t="s">
        <v>159</v>
      </c>
      <c r="C188" s="711"/>
      <c r="D188" s="712" t="s">
        <v>212</v>
      </c>
      <c r="E188" s="712"/>
      <c r="F188" s="664" t="s">
        <v>162</v>
      </c>
      <c r="G188" s="665"/>
      <c r="H188" s="754" t="s">
        <v>162</v>
      </c>
      <c r="I188" s="714"/>
      <c r="J188" s="715"/>
      <c r="K188" s="716"/>
      <c r="L188" s="715"/>
      <c r="M188" s="716"/>
      <c r="N188" s="215"/>
      <c r="O188" s="216"/>
      <c r="P188" s="670"/>
      <c r="Q188" s="671"/>
      <c r="R188" s="719"/>
      <c r="S188" s="720"/>
      <c r="T188" s="721"/>
      <c r="U188" s="722"/>
      <c r="V188" s="723"/>
      <c r="W188" s="724"/>
      <c r="X188" s="725" t="s">
        <v>159</v>
      </c>
      <c r="Y188" s="725"/>
      <c r="Z188" s="725"/>
      <c r="AA188" s="725"/>
      <c r="AB188" s="726" t="s">
        <v>159</v>
      </c>
      <c r="AC188" s="726"/>
      <c r="AD188" s="726"/>
      <c r="AE188" s="726"/>
      <c r="AF188" s="727"/>
      <c r="AG188" s="728"/>
      <c r="AH188" s="727"/>
      <c r="AI188" s="728"/>
      <c r="AJ188" s="682"/>
      <c r="AK188" s="683"/>
      <c r="AL188" s="664" t="s">
        <v>162</v>
      </c>
      <c r="AM188" s="665"/>
      <c r="AN188" s="713" t="s">
        <v>162</v>
      </c>
      <c r="AO188" s="714"/>
      <c r="AP188" s="729"/>
      <c r="AQ188" s="730"/>
      <c r="AR188" s="731"/>
      <c r="AS188" s="732"/>
      <c r="AT188" s="690"/>
      <c r="AU188" s="691"/>
      <c r="AV188" s="713" t="s">
        <v>162</v>
      </c>
      <c r="AW188" s="714"/>
      <c r="AX188" s="692"/>
      <c r="AY188" s="693"/>
      <c r="AZ188" s="694"/>
      <c r="BA188" s="735"/>
      <c r="BB188" s="736"/>
      <c r="BC188" s="219"/>
      <c r="BD188" s="737" t="s">
        <v>162</v>
      </c>
      <c r="BE188" s="738"/>
      <c r="BF188" s="739"/>
      <c r="BG188" s="740"/>
      <c r="BH188" s="740"/>
      <c r="BI188" s="741"/>
      <c r="BJ188" s="742" t="s">
        <v>159</v>
      </c>
      <c r="BK188" s="743"/>
      <c r="BL188" s="743"/>
      <c r="BM188" s="744"/>
      <c r="BN188" s="703" t="s">
        <v>159</v>
      </c>
      <c r="BO188" s="704"/>
      <c r="BP188" s="704"/>
      <c r="BQ188" s="704"/>
      <c r="BR188" s="704"/>
      <c r="BS188" s="704"/>
      <c r="BT188" s="704"/>
      <c r="BU188" s="704"/>
      <c r="BV188" s="705"/>
    </row>
    <row r="189" spans="1:74" ht="45" customHeight="1" x14ac:dyDescent="0.25">
      <c r="A189" s="10">
        <f t="shared" si="2"/>
        <v>175</v>
      </c>
      <c r="B189" s="662" t="s">
        <v>159</v>
      </c>
      <c r="C189" s="662"/>
      <c r="D189" s="663" t="s">
        <v>212</v>
      </c>
      <c r="E189" s="663"/>
      <c r="F189" s="664" t="s">
        <v>162</v>
      </c>
      <c r="G189" s="665"/>
      <c r="H189" s="755" t="s">
        <v>162</v>
      </c>
      <c r="I189" s="667"/>
      <c r="J189" s="706"/>
      <c r="K189" s="707"/>
      <c r="L189" s="706"/>
      <c r="M189" s="707"/>
      <c r="N189" s="194"/>
      <c r="O189" s="196"/>
      <c r="P189" s="717"/>
      <c r="Q189" s="718"/>
      <c r="R189" s="672"/>
      <c r="S189" s="673"/>
      <c r="T189" s="674"/>
      <c r="U189" s="675"/>
      <c r="V189" s="676"/>
      <c r="W189" s="677"/>
      <c r="X189" s="678" t="s">
        <v>159</v>
      </c>
      <c r="Y189" s="678"/>
      <c r="Z189" s="678"/>
      <c r="AA189" s="678"/>
      <c r="AB189" s="679" t="s">
        <v>159</v>
      </c>
      <c r="AC189" s="679"/>
      <c r="AD189" s="679"/>
      <c r="AE189" s="679"/>
      <c r="AF189" s="680"/>
      <c r="AG189" s="681"/>
      <c r="AH189" s="680"/>
      <c r="AI189" s="681"/>
      <c r="AJ189" s="686"/>
      <c r="AK189" s="687"/>
      <c r="AL189" s="684" t="s">
        <v>162</v>
      </c>
      <c r="AM189" s="685"/>
      <c r="AN189" s="666" t="s">
        <v>162</v>
      </c>
      <c r="AO189" s="667"/>
      <c r="AP189" s="686"/>
      <c r="AQ189" s="687"/>
      <c r="AR189" s="688"/>
      <c r="AS189" s="689"/>
      <c r="AT189" s="690"/>
      <c r="AU189" s="691"/>
      <c r="AV189" s="666" t="s">
        <v>162</v>
      </c>
      <c r="AW189" s="667"/>
      <c r="AX189" s="692"/>
      <c r="AY189" s="693"/>
      <c r="AZ189" s="694"/>
      <c r="BA189" s="682"/>
      <c r="BB189" s="683"/>
      <c r="BC189" s="14"/>
      <c r="BD189" s="695" t="s">
        <v>162</v>
      </c>
      <c r="BE189" s="696"/>
      <c r="BF189" s="708"/>
      <c r="BG189" s="709"/>
      <c r="BH189" s="709"/>
      <c r="BI189" s="710"/>
      <c r="BJ189" s="700" t="s">
        <v>159</v>
      </c>
      <c r="BK189" s="701"/>
      <c r="BL189" s="701"/>
      <c r="BM189" s="702"/>
      <c r="BN189" s="703" t="s">
        <v>159</v>
      </c>
      <c r="BO189" s="704"/>
      <c r="BP189" s="704"/>
      <c r="BQ189" s="704"/>
      <c r="BR189" s="704"/>
      <c r="BS189" s="704"/>
      <c r="BT189" s="704"/>
      <c r="BU189" s="704"/>
      <c r="BV189" s="705"/>
    </row>
    <row r="190" spans="1:74" ht="45" customHeight="1" x14ac:dyDescent="0.25">
      <c r="A190" s="10">
        <f t="shared" si="2"/>
        <v>176</v>
      </c>
      <c r="B190" s="711" t="s">
        <v>159</v>
      </c>
      <c r="C190" s="711"/>
      <c r="D190" s="712" t="s">
        <v>212</v>
      </c>
      <c r="E190" s="712"/>
      <c r="F190" s="664" t="s">
        <v>162</v>
      </c>
      <c r="G190" s="665"/>
      <c r="H190" s="754" t="s">
        <v>162</v>
      </c>
      <c r="I190" s="714"/>
      <c r="J190" s="715"/>
      <c r="K190" s="716"/>
      <c r="L190" s="715"/>
      <c r="M190" s="716"/>
      <c r="N190" s="215"/>
      <c r="O190" s="216"/>
      <c r="P190" s="670"/>
      <c r="Q190" s="671"/>
      <c r="R190" s="719"/>
      <c r="S190" s="720"/>
      <c r="T190" s="721"/>
      <c r="U190" s="722"/>
      <c r="V190" s="723"/>
      <c r="W190" s="724"/>
      <c r="X190" s="725" t="s">
        <v>159</v>
      </c>
      <c r="Y190" s="725"/>
      <c r="Z190" s="725"/>
      <c r="AA190" s="725"/>
      <c r="AB190" s="726" t="s">
        <v>159</v>
      </c>
      <c r="AC190" s="726"/>
      <c r="AD190" s="726"/>
      <c r="AE190" s="726"/>
      <c r="AF190" s="727"/>
      <c r="AG190" s="728"/>
      <c r="AH190" s="727"/>
      <c r="AI190" s="728"/>
      <c r="AJ190" s="682"/>
      <c r="AK190" s="683"/>
      <c r="AL190" s="664" t="s">
        <v>162</v>
      </c>
      <c r="AM190" s="665"/>
      <c r="AN190" s="713" t="s">
        <v>162</v>
      </c>
      <c r="AO190" s="714"/>
      <c r="AP190" s="729"/>
      <c r="AQ190" s="730"/>
      <c r="AR190" s="731"/>
      <c r="AS190" s="732"/>
      <c r="AT190" s="690"/>
      <c r="AU190" s="691"/>
      <c r="AV190" s="713" t="s">
        <v>162</v>
      </c>
      <c r="AW190" s="714"/>
      <c r="AX190" s="692"/>
      <c r="AY190" s="693"/>
      <c r="AZ190" s="694"/>
      <c r="BA190" s="735"/>
      <c r="BB190" s="736"/>
      <c r="BC190" s="219"/>
      <c r="BD190" s="737" t="s">
        <v>162</v>
      </c>
      <c r="BE190" s="738"/>
      <c r="BF190" s="739"/>
      <c r="BG190" s="740"/>
      <c r="BH190" s="740"/>
      <c r="BI190" s="741"/>
      <c r="BJ190" s="742" t="s">
        <v>159</v>
      </c>
      <c r="BK190" s="743"/>
      <c r="BL190" s="743"/>
      <c r="BM190" s="744"/>
      <c r="BN190" s="703" t="s">
        <v>159</v>
      </c>
      <c r="BO190" s="704"/>
      <c r="BP190" s="704"/>
      <c r="BQ190" s="704"/>
      <c r="BR190" s="704"/>
      <c r="BS190" s="704"/>
      <c r="BT190" s="704"/>
      <c r="BU190" s="704"/>
      <c r="BV190" s="705"/>
    </row>
    <row r="191" spans="1:74" ht="45" customHeight="1" x14ac:dyDescent="0.25">
      <c r="A191" s="10">
        <f t="shared" si="2"/>
        <v>177</v>
      </c>
      <c r="B191" s="662" t="s">
        <v>159</v>
      </c>
      <c r="C191" s="662"/>
      <c r="D191" s="663" t="s">
        <v>212</v>
      </c>
      <c r="E191" s="663"/>
      <c r="F191" s="664" t="s">
        <v>162</v>
      </c>
      <c r="G191" s="665"/>
      <c r="H191" s="755" t="s">
        <v>162</v>
      </c>
      <c r="I191" s="667"/>
      <c r="J191" s="706"/>
      <c r="K191" s="707"/>
      <c r="L191" s="706"/>
      <c r="M191" s="707"/>
      <c r="N191" s="194"/>
      <c r="O191" s="196"/>
      <c r="P191" s="717"/>
      <c r="Q191" s="718"/>
      <c r="R191" s="672"/>
      <c r="S191" s="673"/>
      <c r="T191" s="674"/>
      <c r="U191" s="675"/>
      <c r="V191" s="676"/>
      <c r="W191" s="677"/>
      <c r="X191" s="678" t="s">
        <v>159</v>
      </c>
      <c r="Y191" s="678"/>
      <c r="Z191" s="678"/>
      <c r="AA191" s="678"/>
      <c r="AB191" s="679" t="s">
        <v>159</v>
      </c>
      <c r="AC191" s="679"/>
      <c r="AD191" s="679"/>
      <c r="AE191" s="679"/>
      <c r="AF191" s="680"/>
      <c r="AG191" s="681"/>
      <c r="AH191" s="680"/>
      <c r="AI191" s="681"/>
      <c r="AJ191" s="686"/>
      <c r="AK191" s="687"/>
      <c r="AL191" s="684" t="s">
        <v>162</v>
      </c>
      <c r="AM191" s="685"/>
      <c r="AN191" s="666" t="s">
        <v>162</v>
      </c>
      <c r="AO191" s="667"/>
      <c r="AP191" s="686"/>
      <c r="AQ191" s="687"/>
      <c r="AR191" s="688"/>
      <c r="AS191" s="689"/>
      <c r="AT191" s="690"/>
      <c r="AU191" s="691"/>
      <c r="AV191" s="666" t="s">
        <v>162</v>
      </c>
      <c r="AW191" s="667"/>
      <c r="AX191" s="692"/>
      <c r="AY191" s="693"/>
      <c r="AZ191" s="694"/>
      <c r="BA191" s="682"/>
      <c r="BB191" s="683"/>
      <c r="BC191" s="14"/>
      <c r="BD191" s="695" t="s">
        <v>162</v>
      </c>
      <c r="BE191" s="696"/>
      <c r="BF191" s="697"/>
      <c r="BG191" s="698"/>
      <c r="BH191" s="698"/>
      <c r="BI191" s="699"/>
      <c r="BJ191" s="700" t="s">
        <v>159</v>
      </c>
      <c r="BK191" s="701"/>
      <c r="BL191" s="701"/>
      <c r="BM191" s="702"/>
      <c r="BN191" s="703" t="s">
        <v>159</v>
      </c>
      <c r="BO191" s="704"/>
      <c r="BP191" s="704"/>
      <c r="BQ191" s="704"/>
      <c r="BR191" s="704"/>
      <c r="BS191" s="704"/>
      <c r="BT191" s="704"/>
      <c r="BU191" s="704"/>
      <c r="BV191" s="705"/>
    </row>
    <row r="192" spans="1:74" ht="45" customHeight="1" x14ac:dyDescent="0.25">
      <c r="A192" s="10">
        <f t="shared" si="2"/>
        <v>178</v>
      </c>
      <c r="B192" s="711" t="s">
        <v>159</v>
      </c>
      <c r="C192" s="711"/>
      <c r="D192" s="712" t="s">
        <v>212</v>
      </c>
      <c r="E192" s="712"/>
      <c r="F192" s="664" t="s">
        <v>162</v>
      </c>
      <c r="G192" s="665"/>
      <c r="H192" s="754" t="s">
        <v>162</v>
      </c>
      <c r="I192" s="714"/>
      <c r="J192" s="715"/>
      <c r="K192" s="716"/>
      <c r="L192" s="715"/>
      <c r="M192" s="716"/>
      <c r="N192" s="215"/>
      <c r="O192" s="216"/>
      <c r="P192" s="670"/>
      <c r="Q192" s="671"/>
      <c r="R192" s="719"/>
      <c r="S192" s="720"/>
      <c r="T192" s="721"/>
      <c r="U192" s="722"/>
      <c r="V192" s="723"/>
      <c r="W192" s="724"/>
      <c r="X192" s="725" t="s">
        <v>159</v>
      </c>
      <c r="Y192" s="725"/>
      <c r="Z192" s="725"/>
      <c r="AA192" s="725"/>
      <c r="AB192" s="726" t="s">
        <v>159</v>
      </c>
      <c r="AC192" s="726"/>
      <c r="AD192" s="726"/>
      <c r="AE192" s="726"/>
      <c r="AF192" s="727"/>
      <c r="AG192" s="728"/>
      <c r="AH192" s="727"/>
      <c r="AI192" s="728"/>
      <c r="AJ192" s="682"/>
      <c r="AK192" s="683"/>
      <c r="AL192" s="664" t="s">
        <v>162</v>
      </c>
      <c r="AM192" s="665"/>
      <c r="AN192" s="713" t="s">
        <v>162</v>
      </c>
      <c r="AO192" s="714"/>
      <c r="AP192" s="729"/>
      <c r="AQ192" s="730"/>
      <c r="AR192" s="731"/>
      <c r="AS192" s="732"/>
      <c r="AT192" s="690"/>
      <c r="AU192" s="691"/>
      <c r="AV192" s="713" t="s">
        <v>162</v>
      </c>
      <c r="AW192" s="714"/>
      <c r="AX192" s="692"/>
      <c r="AY192" s="693"/>
      <c r="AZ192" s="694"/>
      <c r="BA192" s="735"/>
      <c r="BB192" s="736"/>
      <c r="BC192" s="219"/>
      <c r="BD192" s="737" t="s">
        <v>162</v>
      </c>
      <c r="BE192" s="738"/>
      <c r="BF192" s="739"/>
      <c r="BG192" s="740"/>
      <c r="BH192" s="740"/>
      <c r="BI192" s="741"/>
      <c r="BJ192" s="742" t="s">
        <v>159</v>
      </c>
      <c r="BK192" s="743"/>
      <c r="BL192" s="743"/>
      <c r="BM192" s="744"/>
      <c r="BN192" s="703" t="s">
        <v>159</v>
      </c>
      <c r="BO192" s="704"/>
      <c r="BP192" s="704"/>
      <c r="BQ192" s="704"/>
      <c r="BR192" s="704"/>
      <c r="BS192" s="704"/>
      <c r="BT192" s="704"/>
      <c r="BU192" s="704"/>
      <c r="BV192" s="705"/>
    </row>
    <row r="193" spans="1:74" ht="45" customHeight="1" x14ac:dyDescent="0.25">
      <c r="A193" s="10">
        <f t="shared" si="2"/>
        <v>179</v>
      </c>
      <c r="B193" s="662" t="s">
        <v>159</v>
      </c>
      <c r="C193" s="662"/>
      <c r="D193" s="663" t="s">
        <v>212</v>
      </c>
      <c r="E193" s="663"/>
      <c r="F193" s="664" t="s">
        <v>162</v>
      </c>
      <c r="G193" s="665"/>
      <c r="H193" s="755" t="s">
        <v>162</v>
      </c>
      <c r="I193" s="667"/>
      <c r="J193" s="706"/>
      <c r="K193" s="707"/>
      <c r="L193" s="706"/>
      <c r="M193" s="707"/>
      <c r="N193" s="194"/>
      <c r="O193" s="216"/>
      <c r="P193" s="717"/>
      <c r="Q193" s="718"/>
      <c r="R193" s="672"/>
      <c r="S193" s="673"/>
      <c r="T193" s="674"/>
      <c r="U193" s="675"/>
      <c r="V193" s="676"/>
      <c r="W193" s="677"/>
      <c r="X193" s="678" t="s">
        <v>159</v>
      </c>
      <c r="Y193" s="678"/>
      <c r="Z193" s="678"/>
      <c r="AA193" s="678"/>
      <c r="AB193" s="679" t="s">
        <v>159</v>
      </c>
      <c r="AC193" s="679"/>
      <c r="AD193" s="679"/>
      <c r="AE193" s="679"/>
      <c r="AF193" s="680"/>
      <c r="AG193" s="681"/>
      <c r="AH193" s="680"/>
      <c r="AI193" s="681"/>
      <c r="AJ193" s="686"/>
      <c r="AK193" s="687"/>
      <c r="AL193" s="684" t="s">
        <v>162</v>
      </c>
      <c r="AM193" s="685"/>
      <c r="AN193" s="666" t="s">
        <v>162</v>
      </c>
      <c r="AO193" s="667"/>
      <c r="AP193" s="686"/>
      <c r="AQ193" s="687"/>
      <c r="AR193" s="688"/>
      <c r="AS193" s="689"/>
      <c r="AT193" s="690"/>
      <c r="AU193" s="691"/>
      <c r="AV193" s="666" t="s">
        <v>162</v>
      </c>
      <c r="AW193" s="667"/>
      <c r="AX193" s="692"/>
      <c r="AY193" s="693"/>
      <c r="AZ193" s="694"/>
      <c r="BA193" s="682"/>
      <c r="BB193" s="683"/>
      <c r="BC193" s="14"/>
      <c r="BD193" s="695" t="s">
        <v>162</v>
      </c>
      <c r="BE193" s="696"/>
      <c r="BF193" s="708"/>
      <c r="BG193" s="709"/>
      <c r="BH193" s="709"/>
      <c r="BI193" s="710"/>
      <c r="BJ193" s="700" t="s">
        <v>159</v>
      </c>
      <c r="BK193" s="701"/>
      <c r="BL193" s="701"/>
      <c r="BM193" s="702"/>
      <c r="BN193" s="703" t="s">
        <v>159</v>
      </c>
      <c r="BO193" s="704"/>
      <c r="BP193" s="704"/>
      <c r="BQ193" s="704"/>
      <c r="BR193" s="704"/>
      <c r="BS193" s="704"/>
      <c r="BT193" s="704"/>
      <c r="BU193" s="704"/>
      <c r="BV193" s="705"/>
    </row>
    <row r="194" spans="1:74" ht="45" customHeight="1" x14ac:dyDescent="0.25">
      <c r="A194" s="10">
        <f t="shared" si="2"/>
        <v>180</v>
      </c>
      <c r="B194" s="711" t="s">
        <v>159</v>
      </c>
      <c r="C194" s="711"/>
      <c r="D194" s="712" t="s">
        <v>212</v>
      </c>
      <c r="E194" s="712"/>
      <c r="F194" s="664" t="s">
        <v>162</v>
      </c>
      <c r="G194" s="665"/>
      <c r="H194" s="754" t="s">
        <v>162</v>
      </c>
      <c r="I194" s="714"/>
      <c r="J194" s="715"/>
      <c r="K194" s="716"/>
      <c r="L194" s="715"/>
      <c r="M194" s="716"/>
      <c r="N194" s="215"/>
      <c r="O194" s="196"/>
      <c r="P194" s="670"/>
      <c r="Q194" s="671"/>
      <c r="R194" s="719"/>
      <c r="S194" s="720"/>
      <c r="T194" s="721"/>
      <c r="U194" s="722"/>
      <c r="V194" s="723"/>
      <c r="W194" s="724"/>
      <c r="X194" s="725" t="s">
        <v>159</v>
      </c>
      <c r="Y194" s="725"/>
      <c r="Z194" s="725"/>
      <c r="AA194" s="725"/>
      <c r="AB194" s="726" t="s">
        <v>159</v>
      </c>
      <c r="AC194" s="726"/>
      <c r="AD194" s="726"/>
      <c r="AE194" s="726"/>
      <c r="AF194" s="727"/>
      <c r="AG194" s="728"/>
      <c r="AH194" s="727"/>
      <c r="AI194" s="728"/>
      <c r="AJ194" s="682"/>
      <c r="AK194" s="683"/>
      <c r="AL194" s="664" t="s">
        <v>162</v>
      </c>
      <c r="AM194" s="665"/>
      <c r="AN194" s="713" t="s">
        <v>162</v>
      </c>
      <c r="AO194" s="714"/>
      <c r="AP194" s="729"/>
      <c r="AQ194" s="730"/>
      <c r="AR194" s="731"/>
      <c r="AS194" s="732"/>
      <c r="AT194" s="690"/>
      <c r="AU194" s="691"/>
      <c r="AV194" s="713" t="s">
        <v>162</v>
      </c>
      <c r="AW194" s="714"/>
      <c r="AX194" s="692"/>
      <c r="AY194" s="693"/>
      <c r="AZ194" s="694"/>
      <c r="BA194" s="735"/>
      <c r="BB194" s="736"/>
      <c r="BC194" s="219"/>
      <c r="BD194" s="737" t="s">
        <v>162</v>
      </c>
      <c r="BE194" s="738"/>
      <c r="BF194" s="739"/>
      <c r="BG194" s="740"/>
      <c r="BH194" s="740"/>
      <c r="BI194" s="741"/>
      <c r="BJ194" s="742" t="s">
        <v>159</v>
      </c>
      <c r="BK194" s="743"/>
      <c r="BL194" s="743"/>
      <c r="BM194" s="744"/>
      <c r="BN194" s="703" t="s">
        <v>159</v>
      </c>
      <c r="BO194" s="704"/>
      <c r="BP194" s="704"/>
      <c r="BQ194" s="704"/>
      <c r="BR194" s="704"/>
      <c r="BS194" s="704"/>
      <c r="BT194" s="704"/>
      <c r="BU194" s="704"/>
      <c r="BV194" s="705"/>
    </row>
    <row r="195" spans="1:74" ht="45" customHeight="1" x14ac:dyDescent="0.25">
      <c r="A195" s="10">
        <f t="shared" si="2"/>
        <v>181</v>
      </c>
      <c r="B195" s="662" t="s">
        <v>159</v>
      </c>
      <c r="C195" s="662"/>
      <c r="D195" s="663" t="s">
        <v>212</v>
      </c>
      <c r="E195" s="663"/>
      <c r="F195" s="664" t="s">
        <v>162</v>
      </c>
      <c r="G195" s="665"/>
      <c r="H195" s="755" t="s">
        <v>162</v>
      </c>
      <c r="I195" s="667"/>
      <c r="J195" s="706"/>
      <c r="K195" s="707"/>
      <c r="L195" s="706"/>
      <c r="M195" s="707"/>
      <c r="N195" s="194"/>
      <c r="O195" s="216"/>
      <c r="P195" s="717"/>
      <c r="Q195" s="718"/>
      <c r="R195" s="672"/>
      <c r="S195" s="673"/>
      <c r="T195" s="674"/>
      <c r="U195" s="675"/>
      <c r="V195" s="676"/>
      <c r="W195" s="677"/>
      <c r="X195" s="678" t="s">
        <v>159</v>
      </c>
      <c r="Y195" s="678"/>
      <c r="Z195" s="678"/>
      <c r="AA195" s="678"/>
      <c r="AB195" s="679" t="s">
        <v>159</v>
      </c>
      <c r="AC195" s="679"/>
      <c r="AD195" s="679"/>
      <c r="AE195" s="679"/>
      <c r="AF195" s="680"/>
      <c r="AG195" s="681"/>
      <c r="AH195" s="680"/>
      <c r="AI195" s="681"/>
      <c r="AJ195" s="686"/>
      <c r="AK195" s="687"/>
      <c r="AL195" s="684" t="s">
        <v>162</v>
      </c>
      <c r="AM195" s="685"/>
      <c r="AN195" s="666" t="s">
        <v>162</v>
      </c>
      <c r="AO195" s="667"/>
      <c r="AP195" s="686"/>
      <c r="AQ195" s="687"/>
      <c r="AR195" s="688"/>
      <c r="AS195" s="689"/>
      <c r="AT195" s="690"/>
      <c r="AU195" s="691"/>
      <c r="AV195" s="666" t="s">
        <v>162</v>
      </c>
      <c r="AW195" s="667"/>
      <c r="AX195" s="692"/>
      <c r="AY195" s="693"/>
      <c r="AZ195" s="694"/>
      <c r="BA195" s="682"/>
      <c r="BB195" s="683"/>
      <c r="BC195" s="14"/>
      <c r="BD195" s="695" t="s">
        <v>162</v>
      </c>
      <c r="BE195" s="696"/>
      <c r="BF195" s="708"/>
      <c r="BG195" s="709"/>
      <c r="BH195" s="709"/>
      <c r="BI195" s="710"/>
      <c r="BJ195" s="700" t="s">
        <v>159</v>
      </c>
      <c r="BK195" s="701"/>
      <c r="BL195" s="701"/>
      <c r="BM195" s="702"/>
      <c r="BN195" s="703" t="s">
        <v>159</v>
      </c>
      <c r="BO195" s="704"/>
      <c r="BP195" s="704"/>
      <c r="BQ195" s="704"/>
      <c r="BR195" s="704"/>
      <c r="BS195" s="704"/>
      <c r="BT195" s="704"/>
      <c r="BU195" s="704"/>
      <c r="BV195" s="705"/>
    </row>
    <row r="196" spans="1:74" ht="45" customHeight="1" x14ac:dyDescent="0.25">
      <c r="A196" s="10">
        <f t="shared" si="2"/>
        <v>182</v>
      </c>
      <c r="B196" s="711" t="s">
        <v>159</v>
      </c>
      <c r="C196" s="711"/>
      <c r="D196" s="712" t="s">
        <v>212</v>
      </c>
      <c r="E196" s="712"/>
      <c r="F196" s="664" t="s">
        <v>162</v>
      </c>
      <c r="G196" s="665"/>
      <c r="H196" s="754" t="s">
        <v>162</v>
      </c>
      <c r="I196" s="714"/>
      <c r="J196" s="715"/>
      <c r="K196" s="716"/>
      <c r="L196" s="715"/>
      <c r="M196" s="716"/>
      <c r="N196" s="215"/>
      <c r="O196" s="196"/>
      <c r="P196" s="670"/>
      <c r="Q196" s="671"/>
      <c r="R196" s="719"/>
      <c r="S196" s="720"/>
      <c r="T196" s="721"/>
      <c r="U196" s="722"/>
      <c r="V196" s="723"/>
      <c r="W196" s="724"/>
      <c r="X196" s="725" t="s">
        <v>159</v>
      </c>
      <c r="Y196" s="725"/>
      <c r="Z196" s="725"/>
      <c r="AA196" s="725"/>
      <c r="AB196" s="726" t="s">
        <v>159</v>
      </c>
      <c r="AC196" s="726"/>
      <c r="AD196" s="726"/>
      <c r="AE196" s="726"/>
      <c r="AF196" s="727"/>
      <c r="AG196" s="728"/>
      <c r="AH196" s="727"/>
      <c r="AI196" s="728"/>
      <c r="AJ196" s="682"/>
      <c r="AK196" s="683"/>
      <c r="AL196" s="664" t="s">
        <v>162</v>
      </c>
      <c r="AM196" s="665"/>
      <c r="AN196" s="713" t="s">
        <v>162</v>
      </c>
      <c r="AO196" s="714"/>
      <c r="AP196" s="729"/>
      <c r="AQ196" s="730"/>
      <c r="AR196" s="731"/>
      <c r="AS196" s="732"/>
      <c r="AT196" s="690"/>
      <c r="AU196" s="691"/>
      <c r="AV196" s="713" t="s">
        <v>162</v>
      </c>
      <c r="AW196" s="714"/>
      <c r="AX196" s="692"/>
      <c r="AY196" s="693"/>
      <c r="AZ196" s="694"/>
      <c r="BA196" s="735"/>
      <c r="BB196" s="736"/>
      <c r="BC196" s="219"/>
      <c r="BD196" s="737" t="s">
        <v>162</v>
      </c>
      <c r="BE196" s="738"/>
      <c r="BF196" s="739"/>
      <c r="BG196" s="740"/>
      <c r="BH196" s="740"/>
      <c r="BI196" s="741"/>
      <c r="BJ196" s="742" t="s">
        <v>159</v>
      </c>
      <c r="BK196" s="743"/>
      <c r="BL196" s="743"/>
      <c r="BM196" s="744"/>
      <c r="BN196" s="703" t="s">
        <v>159</v>
      </c>
      <c r="BO196" s="704"/>
      <c r="BP196" s="704"/>
      <c r="BQ196" s="704"/>
      <c r="BR196" s="704"/>
      <c r="BS196" s="704"/>
      <c r="BT196" s="704"/>
      <c r="BU196" s="704"/>
      <c r="BV196" s="705"/>
    </row>
    <row r="197" spans="1:74" ht="45" customHeight="1" x14ac:dyDescent="0.25">
      <c r="A197" s="10">
        <f t="shared" si="2"/>
        <v>183</v>
      </c>
      <c r="B197" s="662" t="s">
        <v>159</v>
      </c>
      <c r="C197" s="662"/>
      <c r="D197" s="663" t="s">
        <v>212</v>
      </c>
      <c r="E197" s="663"/>
      <c r="F197" s="664" t="s">
        <v>162</v>
      </c>
      <c r="G197" s="665"/>
      <c r="H197" s="755" t="s">
        <v>162</v>
      </c>
      <c r="I197" s="667"/>
      <c r="J197" s="706"/>
      <c r="K197" s="707"/>
      <c r="L197" s="706"/>
      <c r="M197" s="707"/>
      <c r="N197" s="194"/>
      <c r="O197" s="216"/>
      <c r="P197" s="717"/>
      <c r="Q197" s="718"/>
      <c r="R197" s="672"/>
      <c r="S197" s="673"/>
      <c r="T197" s="674"/>
      <c r="U197" s="675"/>
      <c r="V197" s="676"/>
      <c r="W197" s="677"/>
      <c r="X197" s="678" t="s">
        <v>159</v>
      </c>
      <c r="Y197" s="678"/>
      <c r="Z197" s="678"/>
      <c r="AA197" s="678"/>
      <c r="AB197" s="679" t="s">
        <v>159</v>
      </c>
      <c r="AC197" s="679"/>
      <c r="AD197" s="679"/>
      <c r="AE197" s="679"/>
      <c r="AF197" s="680"/>
      <c r="AG197" s="681"/>
      <c r="AH197" s="680"/>
      <c r="AI197" s="681"/>
      <c r="AJ197" s="686"/>
      <c r="AK197" s="687"/>
      <c r="AL197" s="684" t="s">
        <v>162</v>
      </c>
      <c r="AM197" s="685"/>
      <c r="AN197" s="666" t="s">
        <v>162</v>
      </c>
      <c r="AO197" s="667"/>
      <c r="AP197" s="686"/>
      <c r="AQ197" s="687"/>
      <c r="AR197" s="688"/>
      <c r="AS197" s="689"/>
      <c r="AT197" s="690"/>
      <c r="AU197" s="691"/>
      <c r="AV197" s="666" t="s">
        <v>162</v>
      </c>
      <c r="AW197" s="667"/>
      <c r="AX197" s="692"/>
      <c r="AY197" s="693"/>
      <c r="AZ197" s="694"/>
      <c r="BA197" s="682"/>
      <c r="BB197" s="683"/>
      <c r="BC197" s="14"/>
      <c r="BD197" s="695" t="s">
        <v>162</v>
      </c>
      <c r="BE197" s="696"/>
      <c r="BF197" s="697"/>
      <c r="BG197" s="698"/>
      <c r="BH197" s="698"/>
      <c r="BI197" s="699"/>
      <c r="BJ197" s="700" t="s">
        <v>159</v>
      </c>
      <c r="BK197" s="701"/>
      <c r="BL197" s="701"/>
      <c r="BM197" s="702"/>
      <c r="BN197" s="703" t="s">
        <v>159</v>
      </c>
      <c r="BO197" s="704"/>
      <c r="BP197" s="704"/>
      <c r="BQ197" s="704"/>
      <c r="BR197" s="704"/>
      <c r="BS197" s="704"/>
      <c r="BT197" s="704"/>
      <c r="BU197" s="704"/>
      <c r="BV197" s="705"/>
    </row>
    <row r="198" spans="1:74" ht="45" customHeight="1" x14ac:dyDescent="0.25">
      <c r="A198" s="10">
        <f t="shared" si="2"/>
        <v>184</v>
      </c>
      <c r="B198" s="711" t="s">
        <v>159</v>
      </c>
      <c r="C198" s="711"/>
      <c r="D198" s="712" t="s">
        <v>212</v>
      </c>
      <c r="E198" s="712"/>
      <c r="F198" s="664" t="s">
        <v>162</v>
      </c>
      <c r="G198" s="665"/>
      <c r="H198" s="754" t="s">
        <v>162</v>
      </c>
      <c r="I198" s="714"/>
      <c r="J198" s="715"/>
      <c r="K198" s="716"/>
      <c r="L198" s="715"/>
      <c r="M198" s="716"/>
      <c r="N198" s="215"/>
      <c r="O198" s="196"/>
      <c r="P198" s="670"/>
      <c r="Q198" s="671"/>
      <c r="R198" s="719"/>
      <c r="S198" s="720"/>
      <c r="T198" s="721"/>
      <c r="U198" s="722"/>
      <c r="V198" s="723"/>
      <c r="W198" s="724"/>
      <c r="X198" s="725" t="s">
        <v>159</v>
      </c>
      <c r="Y198" s="725"/>
      <c r="Z198" s="725"/>
      <c r="AA198" s="725"/>
      <c r="AB198" s="726" t="s">
        <v>159</v>
      </c>
      <c r="AC198" s="726"/>
      <c r="AD198" s="726"/>
      <c r="AE198" s="726"/>
      <c r="AF198" s="727"/>
      <c r="AG198" s="728"/>
      <c r="AH198" s="727"/>
      <c r="AI198" s="728"/>
      <c r="AJ198" s="682"/>
      <c r="AK198" s="683"/>
      <c r="AL198" s="664" t="s">
        <v>162</v>
      </c>
      <c r="AM198" s="665"/>
      <c r="AN198" s="713" t="s">
        <v>162</v>
      </c>
      <c r="AO198" s="714"/>
      <c r="AP198" s="729"/>
      <c r="AQ198" s="730"/>
      <c r="AR198" s="731"/>
      <c r="AS198" s="732"/>
      <c r="AT198" s="690"/>
      <c r="AU198" s="691"/>
      <c r="AV198" s="713" t="s">
        <v>162</v>
      </c>
      <c r="AW198" s="714"/>
      <c r="AX198" s="692"/>
      <c r="AY198" s="693"/>
      <c r="AZ198" s="694"/>
      <c r="BA198" s="735"/>
      <c r="BB198" s="736"/>
      <c r="BC198" s="219"/>
      <c r="BD198" s="737" t="s">
        <v>162</v>
      </c>
      <c r="BE198" s="738"/>
      <c r="BF198" s="739"/>
      <c r="BG198" s="740"/>
      <c r="BH198" s="740"/>
      <c r="BI198" s="741"/>
      <c r="BJ198" s="742" t="s">
        <v>159</v>
      </c>
      <c r="BK198" s="743"/>
      <c r="BL198" s="743"/>
      <c r="BM198" s="744"/>
      <c r="BN198" s="703" t="s">
        <v>159</v>
      </c>
      <c r="BO198" s="704"/>
      <c r="BP198" s="704"/>
      <c r="BQ198" s="704"/>
      <c r="BR198" s="704"/>
      <c r="BS198" s="704"/>
      <c r="BT198" s="704"/>
      <c r="BU198" s="704"/>
      <c r="BV198" s="705"/>
    </row>
    <row r="199" spans="1:74" ht="45" customHeight="1" x14ac:dyDescent="0.25">
      <c r="A199" s="10">
        <f t="shared" si="2"/>
        <v>185</v>
      </c>
      <c r="B199" s="662" t="s">
        <v>159</v>
      </c>
      <c r="C199" s="662"/>
      <c r="D199" s="663" t="s">
        <v>212</v>
      </c>
      <c r="E199" s="663"/>
      <c r="F199" s="664" t="s">
        <v>162</v>
      </c>
      <c r="G199" s="665"/>
      <c r="H199" s="755" t="s">
        <v>162</v>
      </c>
      <c r="I199" s="667"/>
      <c r="J199" s="706"/>
      <c r="K199" s="707"/>
      <c r="L199" s="706"/>
      <c r="M199" s="707"/>
      <c r="N199" s="194"/>
      <c r="O199" s="216"/>
      <c r="P199" s="717"/>
      <c r="Q199" s="718"/>
      <c r="R199" s="672"/>
      <c r="S199" s="673"/>
      <c r="T199" s="674"/>
      <c r="U199" s="675"/>
      <c r="V199" s="676"/>
      <c r="W199" s="677"/>
      <c r="X199" s="678" t="s">
        <v>159</v>
      </c>
      <c r="Y199" s="678"/>
      <c r="Z199" s="678"/>
      <c r="AA199" s="678"/>
      <c r="AB199" s="679" t="s">
        <v>159</v>
      </c>
      <c r="AC199" s="679"/>
      <c r="AD199" s="679"/>
      <c r="AE199" s="679"/>
      <c r="AF199" s="680"/>
      <c r="AG199" s="681"/>
      <c r="AH199" s="680"/>
      <c r="AI199" s="681"/>
      <c r="AJ199" s="686"/>
      <c r="AK199" s="687"/>
      <c r="AL199" s="684" t="s">
        <v>162</v>
      </c>
      <c r="AM199" s="685"/>
      <c r="AN199" s="666" t="s">
        <v>162</v>
      </c>
      <c r="AO199" s="667"/>
      <c r="AP199" s="686"/>
      <c r="AQ199" s="687"/>
      <c r="AR199" s="688"/>
      <c r="AS199" s="689"/>
      <c r="AT199" s="690"/>
      <c r="AU199" s="691"/>
      <c r="AV199" s="666" t="s">
        <v>162</v>
      </c>
      <c r="AW199" s="667"/>
      <c r="AX199" s="692"/>
      <c r="AY199" s="693"/>
      <c r="AZ199" s="694"/>
      <c r="BA199" s="682"/>
      <c r="BB199" s="683"/>
      <c r="BC199" s="14"/>
      <c r="BD199" s="695" t="s">
        <v>162</v>
      </c>
      <c r="BE199" s="696"/>
      <c r="BF199" s="708"/>
      <c r="BG199" s="709"/>
      <c r="BH199" s="709"/>
      <c r="BI199" s="710"/>
      <c r="BJ199" s="700" t="s">
        <v>159</v>
      </c>
      <c r="BK199" s="701"/>
      <c r="BL199" s="701"/>
      <c r="BM199" s="702"/>
      <c r="BN199" s="703" t="s">
        <v>159</v>
      </c>
      <c r="BO199" s="704"/>
      <c r="BP199" s="704"/>
      <c r="BQ199" s="704"/>
      <c r="BR199" s="704"/>
      <c r="BS199" s="704"/>
      <c r="BT199" s="704"/>
      <c r="BU199" s="704"/>
      <c r="BV199" s="705"/>
    </row>
    <row r="200" spans="1:74" ht="45" customHeight="1" x14ac:dyDescent="0.25">
      <c r="A200" s="10">
        <f t="shared" si="2"/>
        <v>186</v>
      </c>
      <c r="B200" s="711" t="s">
        <v>159</v>
      </c>
      <c r="C200" s="711"/>
      <c r="D200" s="712" t="s">
        <v>212</v>
      </c>
      <c r="E200" s="712"/>
      <c r="F200" s="664" t="s">
        <v>162</v>
      </c>
      <c r="G200" s="665"/>
      <c r="H200" s="754" t="s">
        <v>162</v>
      </c>
      <c r="I200" s="714"/>
      <c r="J200" s="715"/>
      <c r="K200" s="716"/>
      <c r="L200" s="715"/>
      <c r="M200" s="716"/>
      <c r="N200" s="215"/>
      <c r="O200" s="196"/>
      <c r="P200" s="670"/>
      <c r="Q200" s="671"/>
      <c r="R200" s="719"/>
      <c r="S200" s="720"/>
      <c r="T200" s="721"/>
      <c r="U200" s="722"/>
      <c r="V200" s="723"/>
      <c r="W200" s="724"/>
      <c r="X200" s="725" t="s">
        <v>159</v>
      </c>
      <c r="Y200" s="725"/>
      <c r="Z200" s="725"/>
      <c r="AA200" s="725"/>
      <c r="AB200" s="726" t="s">
        <v>159</v>
      </c>
      <c r="AC200" s="726"/>
      <c r="AD200" s="726"/>
      <c r="AE200" s="726"/>
      <c r="AF200" s="727"/>
      <c r="AG200" s="728"/>
      <c r="AH200" s="727"/>
      <c r="AI200" s="728"/>
      <c r="AJ200" s="682"/>
      <c r="AK200" s="683"/>
      <c r="AL200" s="664" t="s">
        <v>162</v>
      </c>
      <c r="AM200" s="665"/>
      <c r="AN200" s="713" t="s">
        <v>162</v>
      </c>
      <c r="AO200" s="714"/>
      <c r="AP200" s="729"/>
      <c r="AQ200" s="730"/>
      <c r="AR200" s="731"/>
      <c r="AS200" s="732"/>
      <c r="AT200" s="690"/>
      <c r="AU200" s="691"/>
      <c r="AV200" s="713" t="s">
        <v>162</v>
      </c>
      <c r="AW200" s="714"/>
      <c r="AX200" s="692"/>
      <c r="AY200" s="693"/>
      <c r="AZ200" s="694"/>
      <c r="BA200" s="735"/>
      <c r="BB200" s="736"/>
      <c r="BC200" s="219"/>
      <c r="BD200" s="737" t="s">
        <v>162</v>
      </c>
      <c r="BE200" s="738"/>
      <c r="BF200" s="739"/>
      <c r="BG200" s="740"/>
      <c r="BH200" s="740"/>
      <c r="BI200" s="741"/>
      <c r="BJ200" s="742" t="s">
        <v>159</v>
      </c>
      <c r="BK200" s="743"/>
      <c r="BL200" s="743"/>
      <c r="BM200" s="744"/>
      <c r="BN200" s="703" t="s">
        <v>159</v>
      </c>
      <c r="BO200" s="704"/>
      <c r="BP200" s="704"/>
      <c r="BQ200" s="704"/>
      <c r="BR200" s="704"/>
      <c r="BS200" s="704"/>
      <c r="BT200" s="704"/>
      <c r="BU200" s="704"/>
      <c r="BV200" s="705"/>
    </row>
    <row r="201" spans="1:74" ht="45" customHeight="1" x14ac:dyDescent="0.25">
      <c r="A201" s="10">
        <f t="shared" si="2"/>
        <v>187</v>
      </c>
      <c r="B201" s="662" t="s">
        <v>159</v>
      </c>
      <c r="C201" s="662"/>
      <c r="D201" s="663" t="s">
        <v>212</v>
      </c>
      <c r="E201" s="663"/>
      <c r="F201" s="664" t="s">
        <v>162</v>
      </c>
      <c r="G201" s="665"/>
      <c r="H201" s="755" t="s">
        <v>162</v>
      </c>
      <c r="I201" s="667"/>
      <c r="J201" s="706"/>
      <c r="K201" s="707"/>
      <c r="L201" s="706"/>
      <c r="M201" s="707"/>
      <c r="N201" s="194"/>
      <c r="O201" s="216"/>
      <c r="P201" s="717"/>
      <c r="Q201" s="718"/>
      <c r="R201" s="672"/>
      <c r="S201" s="673"/>
      <c r="T201" s="674"/>
      <c r="U201" s="675"/>
      <c r="V201" s="676"/>
      <c r="W201" s="677"/>
      <c r="X201" s="678" t="s">
        <v>159</v>
      </c>
      <c r="Y201" s="678"/>
      <c r="Z201" s="678"/>
      <c r="AA201" s="678"/>
      <c r="AB201" s="679" t="s">
        <v>159</v>
      </c>
      <c r="AC201" s="679"/>
      <c r="AD201" s="679"/>
      <c r="AE201" s="679"/>
      <c r="AF201" s="680"/>
      <c r="AG201" s="681"/>
      <c r="AH201" s="680"/>
      <c r="AI201" s="681"/>
      <c r="AJ201" s="686"/>
      <c r="AK201" s="687"/>
      <c r="AL201" s="684" t="s">
        <v>162</v>
      </c>
      <c r="AM201" s="685"/>
      <c r="AN201" s="666" t="s">
        <v>162</v>
      </c>
      <c r="AO201" s="667"/>
      <c r="AP201" s="686"/>
      <c r="AQ201" s="687"/>
      <c r="AR201" s="688"/>
      <c r="AS201" s="689"/>
      <c r="AT201" s="690"/>
      <c r="AU201" s="691"/>
      <c r="AV201" s="666" t="s">
        <v>162</v>
      </c>
      <c r="AW201" s="667"/>
      <c r="AX201" s="692"/>
      <c r="AY201" s="693"/>
      <c r="AZ201" s="694"/>
      <c r="BA201" s="682"/>
      <c r="BB201" s="683"/>
      <c r="BC201" s="14"/>
      <c r="BD201" s="695" t="s">
        <v>162</v>
      </c>
      <c r="BE201" s="696"/>
      <c r="BF201" s="697"/>
      <c r="BG201" s="698"/>
      <c r="BH201" s="698"/>
      <c r="BI201" s="699"/>
      <c r="BJ201" s="700" t="s">
        <v>159</v>
      </c>
      <c r="BK201" s="701"/>
      <c r="BL201" s="701"/>
      <c r="BM201" s="702"/>
      <c r="BN201" s="703" t="s">
        <v>159</v>
      </c>
      <c r="BO201" s="704"/>
      <c r="BP201" s="704"/>
      <c r="BQ201" s="704"/>
      <c r="BR201" s="704"/>
      <c r="BS201" s="704"/>
      <c r="BT201" s="704"/>
      <c r="BU201" s="704"/>
      <c r="BV201" s="705"/>
    </row>
    <row r="202" spans="1:74" ht="45" customHeight="1" x14ac:dyDescent="0.25">
      <c r="A202" s="10">
        <f t="shared" si="2"/>
        <v>188</v>
      </c>
      <c r="B202" s="711" t="s">
        <v>159</v>
      </c>
      <c r="C202" s="711"/>
      <c r="D202" s="712" t="s">
        <v>212</v>
      </c>
      <c r="E202" s="712"/>
      <c r="F202" s="664" t="s">
        <v>162</v>
      </c>
      <c r="G202" s="665"/>
      <c r="H202" s="754" t="s">
        <v>162</v>
      </c>
      <c r="I202" s="714"/>
      <c r="J202" s="715"/>
      <c r="K202" s="716"/>
      <c r="L202" s="715"/>
      <c r="M202" s="716"/>
      <c r="N202" s="215"/>
      <c r="O202" s="196"/>
      <c r="P202" s="670"/>
      <c r="Q202" s="671"/>
      <c r="R202" s="719"/>
      <c r="S202" s="720"/>
      <c r="T202" s="721"/>
      <c r="U202" s="722"/>
      <c r="V202" s="723"/>
      <c r="W202" s="724"/>
      <c r="X202" s="725" t="s">
        <v>159</v>
      </c>
      <c r="Y202" s="725"/>
      <c r="Z202" s="725"/>
      <c r="AA202" s="725"/>
      <c r="AB202" s="726" t="s">
        <v>159</v>
      </c>
      <c r="AC202" s="726"/>
      <c r="AD202" s="726"/>
      <c r="AE202" s="726"/>
      <c r="AF202" s="727"/>
      <c r="AG202" s="728"/>
      <c r="AH202" s="727"/>
      <c r="AI202" s="728"/>
      <c r="AJ202" s="682"/>
      <c r="AK202" s="683"/>
      <c r="AL202" s="664" t="s">
        <v>162</v>
      </c>
      <c r="AM202" s="665"/>
      <c r="AN202" s="713" t="s">
        <v>162</v>
      </c>
      <c r="AO202" s="714"/>
      <c r="AP202" s="729"/>
      <c r="AQ202" s="730"/>
      <c r="AR202" s="731"/>
      <c r="AS202" s="732"/>
      <c r="AT202" s="690"/>
      <c r="AU202" s="691"/>
      <c r="AV202" s="713" t="s">
        <v>162</v>
      </c>
      <c r="AW202" s="714"/>
      <c r="AX202" s="692"/>
      <c r="AY202" s="693"/>
      <c r="AZ202" s="694"/>
      <c r="BA202" s="735"/>
      <c r="BB202" s="736"/>
      <c r="BC202" s="219"/>
      <c r="BD202" s="737" t="s">
        <v>162</v>
      </c>
      <c r="BE202" s="738"/>
      <c r="BF202" s="739"/>
      <c r="BG202" s="740"/>
      <c r="BH202" s="740"/>
      <c r="BI202" s="741"/>
      <c r="BJ202" s="742" t="s">
        <v>159</v>
      </c>
      <c r="BK202" s="743"/>
      <c r="BL202" s="743"/>
      <c r="BM202" s="744"/>
      <c r="BN202" s="703" t="s">
        <v>159</v>
      </c>
      <c r="BO202" s="704"/>
      <c r="BP202" s="704"/>
      <c r="BQ202" s="704"/>
      <c r="BR202" s="704"/>
      <c r="BS202" s="704"/>
      <c r="BT202" s="704"/>
      <c r="BU202" s="704"/>
      <c r="BV202" s="705"/>
    </row>
    <row r="203" spans="1:74" ht="45" customHeight="1" x14ac:dyDescent="0.25">
      <c r="A203" s="10">
        <f t="shared" si="2"/>
        <v>189</v>
      </c>
      <c r="B203" s="662" t="s">
        <v>159</v>
      </c>
      <c r="C203" s="662"/>
      <c r="D203" s="663" t="s">
        <v>212</v>
      </c>
      <c r="E203" s="663"/>
      <c r="F203" s="664" t="s">
        <v>162</v>
      </c>
      <c r="G203" s="665"/>
      <c r="H203" s="755" t="s">
        <v>162</v>
      </c>
      <c r="I203" s="667"/>
      <c r="J203" s="706"/>
      <c r="K203" s="707"/>
      <c r="L203" s="706"/>
      <c r="M203" s="707"/>
      <c r="N203" s="194"/>
      <c r="O203" s="216"/>
      <c r="P203" s="717"/>
      <c r="Q203" s="718"/>
      <c r="R203" s="672"/>
      <c r="S203" s="673"/>
      <c r="T203" s="674"/>
      <c r="U203" s="675"/>
      <c r="V203" s="676"/>
      <c r="W203" s="677"/>
      <c r="X203" s="678" t="s">
        <v>159</v>
      </c>
      <c r="Y203" s="678"/>
      <c r="Z203" s="678"/>
      <c r="AA203" s="678"/>
      <c r="AB203" s="679" t="s">
        <v>159</v>
      </c>
      <c r="AC203" s="679"/>
      <c r="AD203" s="679"/>
      <c r="AE203" s="679"/>
      <c r="AF203" s="680"/>
      <c r="AG203" s="681"/>
      <c r="AH203" s="680"/>
      <c r="AI203" s="681"/>
      <c r="AJ203" s="686"/>
      <c r="AK203" s="687"/>
      <c r="AL203" s="684" t="s">
        <v>162</v>
      </c>
      <c r="AM203" s="685"/>
      <c r="AN203" s="666" t="s">
        <v>162</v>
      </c>
      <c r="AO203" s="667"/>
      <c r="AP203" s="686"/>
      <c r="AQ203" s="687"/>
      <c r="AR203" s="688"/>
      <c r="AS203" s="689"/>
      <c r="AT203" s="690"/>
      <c r="AU203" s="691"/>
      <c r="AV203" s="666" t="s">
        <v>162</v>
      </c>
      <c r="AW203" s="667"/>
      <c r="AX203" s="692"/>
      <c r="AY203" s="693"/>
      <c r="AZ203" s="694"/>
      <c r="BA203" s="682"/>
      <c r="BB203" s="683"/>
      <c r="BC203" s="14"/>
      <c r="BD203" s="695" t="s">
        <v>162</v>
      </c>
      <c r="BE203" s="696"/>
      <c r="BF203" s="708"/>
      <c r="BG203" s="709"/>
      <c r="BH203" s="709"/>
      <c r="BI203" s="710"/>
      <c r="BJ203" s="700" t="s">
        <v>159</v>
      </c>
      <c r="BK203" s="701"/>
      <c r="BL203" s="701"/>
      <c r="BM203" s="702"/>
      <c r="BN203" s="703" t="s">
        <v>159</v>
      </c>
      <c r="BO203" s="704"/>
      <c r="BP203" s="704"/>
      <c r="BQ203" s="704"/>
      <c r="BR203" s="704"/>
      <c r="BS203" s="704"/>
      <c r="BT203" s="704"/>
      <c r="BU203" s="704"/>
      <c r="BV203" s="705"/>
    </row>
    <row r="204" spans="1:74" ht="45" customHeight="1" x14ac:dyDescent="0.25">
      <c r="A204" s="10">
        <f t="shared" si="2"/>
        <v>190</v>
      </c>
      <c r="B204" s="711" t="s">
        <v>159</v>
      </c>
      <c r="C204" s="711"/>
      <c r="D204" s="712" t="s">
        <v>212</v>
      </c>
      <c r="E204" s="712"/>
      <c r="F204" s="664" t="s">
        <v>162</v>
      </c>
      <c r="G204" s="665"/>
      <c r="H204" s="754" t="s">
        <v>162</v>
      </c>
      <c r="I204" s="714"/>
      <c r="J204" s="715"/>
      <c r="K204" s="716"/>
      <c r="L204" s="715"/>
      <c r="M204" s="716"/>
      <c r="N204" s="215"/>
      <c r="O204" s="196"/>
      <c r="P204" s="670"/>
      <c r="Q204" s="671"/>
      <c r="R204" s="719"/>
      <c r="S204" s="720"/>
      <c r="T204" s="721"/>
      <c r="U204" s="722"/>
      <c r="V204" s="723"/>
      <c r="W204" s="724"/>
      <c r="X204" s="725" t="s">
        <v>159</v>
      </c>
      <c r="Y204" s="725"/>
      <c r="Z204" s="725"/>
      <c r="AA204" s="725"/>
      <c r="AB204" s="726" t="s">
        <v>159</v>
      </c>
      <c r="AC204" s="726"/>
      <c r="AD204" s="726"/>
      <c r="AE204" s="726"/>
      <c r="AF204" s="727"/>
      <c r="AG204" s="728"/>
      <c r="AH204" s="727"/>
      <c r="AI204" s="728"/>
      <c r="AJ204" s="682"/>
      <c r="AK204" s="683"/>
      <c r="AL204" s="664" t="s">
        <v>162</v>
      </c>
      <c r="AM204" s="665"/>
      <c r="AN204" s="713" t="s">
        <v>162</v>
      </c>
      <c r="AO204" s="714"/>
      <c r="AP204" s="729"/>
      <c r="AQ204" s="730"/>
      <c r="AR204" s="731"/>
      <c r="AS204" s="732"/>
      <c r="AT204" s="690"/>
      <c r="AU204" s="691"/>
      <c r="AV204" s="713" t="s">
        <v>162</v>
      </c>
      <c r="AW204" s="714"/>
      <c r="AX204" s="692"/>
      <c r="AY204" s="693"/>
      <c r="AZ204" s="694"/>
      <c r="BA204" s="735"/>
      <c r="BB204" s="736"/>
      <c r="BC204" s="219"/>
      <c r="BD204" s="737" t="s">
        <v>162</v>
      </c>
      <c r="BE204" s="738"/>
      <c r="BF204" s="739"/>
      <c r="BG204" s="740"/>
      <c r="BH204" s="740"/>
      <c r="BI204" s="741"/>
      <c r="BJ204" s="742" t="s">
        <v>159</v>
      </c>
      <c r="BK204" s="743"/>
      <c r="BL204" s="743"/>
      <c r="BM204" s="744"/>
      <c r="BN204" s="703" t="s">
        <v>159</v>
      </c>
      <c r="BO204" s="704"/>
      <c r="BP204" s="704"/>
      <c r="BQ204" s="704"/>
      <c r="BR204" s="704"/>
      <c r="BS204" s="704"/>
      <c r="BT204" s="704"/>
      <c r="BU204" s="704"/>
      <c r="BV204" s="705"/>
    </row>
    <row r="205" spans="1:74" ht="45" customHeight="1" x14ac:dyDescent="0.25">
      <c r="A205" s="10">
        <f t="shared" si="2"/>
        <v>191</v>
      </c>
      <c r="B205" s="662" t="s">
        <v>159</v>
      </c>
      <c r="C205" s="662"/>
      <c r="D205" s="663" t="s">
        <v>212</v>
      </c>
      <c r="E205" s="663"/>
      <c r="F205" s="664" t="s">
        <v>162</v>
      </c>
      <c r="G205" s="665"/>
      <c r="H205" s="755" t="s">
        <v>162</v>
      </c>
      <c r="I205" s="667"/>
      <c r="J205" s="706"/>
      <c r="K205" s="707"/>
      <c r="L205" s="706"/>
      <c r="M205" s="707"/>
      <c r="N205" s="194"/>
      <c r="O205" s="216"/>
      <c r="P205" s="717"/>
      <c r="Q205" s="718"/>
      <c r="R205" s="672"/>
      <c r="S205" s="673"/>
      <c r="T205" s="674"/>
      <c r="U205" s="675"/>
      <c r="V205" s="676"/>
      <c r="W205" s="677"/>
      <c r="X205" s="678" t="s">
        <v>159</v>
      </c>
      <c r="Y205" s="678"/>
      <c r="Z205" s="678"/>
      <c r="AA205" s="678"/>
      <c r="AB205" s="679" t="s">
        <v>159</v>
      </c>
      <c r="AC205" s="679"/>
      <c r="AD205" s="679"/>
      <c r="AE205" s="679"/>
      <c r="AF205" s="680"/>
      <c r="AG205" s="681"/>
      <c r="AH205" s="680"/>
      <c r="AI205" s="681"/>
      <c r="AJ205" s="686"/>
      <c r="AK205" s="687"/>
      <c r="AL205" s="684" t="s">
        <v>162</v>
      </c>
      <c r="AM205" s="685"/>
      <c r="AN205" s="666" t="s">
        <v>162</v>
      </c>
      <c r="AO205" s="667"/>
      <c r="AP205" s="686"/>
      <c r="AQ205" s="687"/>
      <c r="AR205" s="688"/>
      <c r="AS205" s="689"/>
      <c r="AT205" s="690"/>
      <c r="AU205" s="691"/>
      <c r="AV205" s="666" t="s">
        <v>162</v>
      </c>
      <c r="AW205" s="667"/>
      <c r="AX205" s="692"/>
      <c r="AY205" s="693"/>
      <c r="AZ205" s="694"/>
      <c r="BA205" s="682"/>
      <c r="BB205" s="683"/>
      <c r="BC205" s="14"/>
      <c r="BD205" s="695" t="s">
        <v>162</v>
      </c>
      <c r="BE205" s="696"/>
      <c r="BF205" s="708"/>
      <c r="BG205" s="709"/>
      <c r="BH205" s="709"/>
      <c r="BI205" s="710"/>
      <c r="BJ205" s="700" t="s">
        <v>159</v>
      </c>
      <c r="BK205" s="701"/>
      <c r="BL205" s="701"/>
      <c r="BM205" s="702"/>
      <c r="BN205" s="703" t="s">
        <v>159</v>
      </c>
      <c r="BO205" s="704"/>
      <c r="BP205" s="704"/>
      <c r="BQ205" s="704"/>
      <c r="BR205" s="704"/>
      <c r="BS205" s="704"/>
      <c r="BT205" s="704"/>
      <c r="BU205" s="704"/>
      <c r="BV205" s="705"/>
    </row>
    <row r="206" spans="1:74" ht="45" customHeight="1" x14ac:dyDescent="0.25">
      <c r="A206" s="10">
        <f t="shared" si="2"/>
        <v>192</v>
      </c>
      <c r="B206" s="711" t="s">
        <v>159</v>
      </c>
      <c r="C206" s="711"/>
      <c r="D206" s="712" t="s">
        <v>212</v>
      </c>
      <c r="E206" s="712"/>
      <c r="F206" s="664" t="s">
        <v>162</v>
      </c>
      <c r="G206" s="665"/>
      <c r="H206" s="754" t="s">
        <v>162</v>
      </c>
      <c r="I206" s="714"/>
      <c r="J206" s="715"/>
      <c r="K206" s="716"/>
      <c r="L206" s="715"/>
      <c r="M206" s="716"/>
      <c r="N206" s="215"/>
      <c r="O206" s="196"/>
      <c r="P206" s="670"/>
      <c r="Q206" s="671"/>
      <c r="R206" s="719"/>
      <c r="S206" s="720"/>
      <c r="T206" s="721"/>
      <c r="U206" s="722"/>
      <c r="V206" s="723"/>
      <c r="W206" s="724"/>
      <c r="X206" s="725" t="s">
        <v>159</v>
      </c>
      <c r="Y206" s="725"/>
      <c r="Z206" s="725"/>
      <c r="AA206" s="725"/>
      <c r="AB206" s="726" t="s">
        <v>159</v>
      </c>
      <c r="AC206" s="726"/>
      <c r="AD206" s="726"/>
      <c r="AE206" s="726"/>
      <c r="AF206" s="727"/>
      <c r="AG206" s="728"/>
      <c r="AH206" s="727"/>
      <c r="AI206" s="728"/>
      <c r="AJ206" s="682"/>
      <c r="AK206" s="683"/>
      <c r="AL206" s="664" t="s">
        <v>162</v>
      </c>
      <c r="AM206" s="665"/>
      <c r="AN206" s="713" t="s">
        <v>162</v>
      </c>
      <c r="AO206" s="714"/>
      <c r="AP206" s="729"/>
      <c r="AQ206" s="730"/>
      <c r="AR206" s="731"/>
      <c r="AS206" s="732"/>
      <c r="AT206" s="690"/>
      <c r="AU206" s="691"/>
      <c r="AV206" s="713" t="s">
        <v>162</v>
      </c>
      <c r="AW206" s="714"/>
      <c r="AX206" s="692"/>
      <c r="AY206" s="693"/>
      <c r="AZ206" s="694"/>
      <c r="BA206" s="735"/>
      <c r="BB206" s="736"/>
      <c r="BC206" s="219"/>
      <c r="BD206" s="737" t="s">
        <v>162</v>
      </c>
      <c r="BE206" s="738"/>
      <c r="BF206" s="739"/>
      <c r="BG206" s="740"/>
      <c r="BH206" s="740"/>
      <c r="BI206" s="741"/>
      <c r="BJ206" s="742" t="s">
        <v>159</v>
      </c>
      <c r="BK206" s="743"/>
      <c r="BL206" s="743"/>
      <c r="BM206" s="744"/>
      <c r="BN206" s="703" t="s">
        <v>159</v>
      </c>
      <c r="BO206" s="704"/>
      <c r="BP206" s="704"/>
      <c r="BQ206" s="704"/>
      <c r="BR206" s="704"/>
      <c r="BS206" s="704"/>
      <c r="BT206" s="704"/>
      <c r="BU206" s="704"/>
      <c r="BV206" s="705"/>
    </row>
    <row r="207" spans="1:74" ht="45" customHeight="1" x14ac:dyDescent="0.25">
      <c r="A207" s="10">
        <f t="shared" ref="A207:A270" si="3">ROW(A193)</f>
        <v>193</v>
      </c>
      <c r="B207" s="662" t="s">
        <v>159</v>
      </c>
      <c r="C207" s="662"/>
      <c r="D207" s="663" t="s">
        <v>212</v>
      </c>
      <c r="E207" s="663"/>
      <c r="F207" s="664" t="s">
        <v>162</v>
      </c>
      <c r="G207" s="665"/>
      <c r="H207" s="755" t="s">
        <v>162</v>
      </c>
      <c r="I207" s="667"/>
      <c r="J207" s="706"/>
      <c r="K207" s="707"/>
      <c r="L207" s="706"/>
      <c r="M207" s="707"/>
      <c r="N207" s="194"/>
      <c r="O207" s="216"/>
      <c r="P207" s="717"/>
      <c r="Q207" s="718"/>
      <c r="R207" s="672"/>
      <c r="S207" s="673"/>
      <c r="T207" s="674"/>
      <c r="U207" s="675"/>
      <c r="V207" s="676"/>
      <c r="W207" s="677"/>
      <c r="X207" s="678" t="s">
        <v>159</v>
      </c>
      <c r="Y207" s="678"/>
      <c r="Z207" s="678"/>
      <c r="AA207" s="678"/>
      <c r="AB207" s="679" t="s">
        <v>159</v>
      </c>
      <c r="AC207" s="679"/>
      <c r="AD207" s="679"/>
      <c r="AE207" s="679"/>
      <c r="AF207" s="680"/>
      <c r="AG207" s="681"/>
      <c r="AH207" s="680"/>
      <c r="AI207" s="681"/>
      <c r="AJ207" s="686"/>
      <c r="AK207" s="687"/>
      <c r="AL207" s="684" t="s">
        <v>162</v>
      </c>
      <c r="AM207" s="685"/>
      <c r="AN207" s="666" t="s">
        <v>162</v>
      </c>
      <c r="AO207" s="667"/>
      <c r="AP207" s="686"/>
      <c r="AQ207" s="687"/>
      <c r="AR207" s="688"/>
      <c r="AS207" s="689"/>
      <c r="AT207" s="690"/>
      <c r="AU207" s="691"/>
      <c r="AV207" s="666" t="s">
        <v>162</v>
      </c>
      <c r="AW207" s="667"/>
      <c r="AX207" s="692"/>
      <c r="AY207" s="693"/>
      <c r="AZ207" s="694"/>
      <c r="BA207" s="682"/>
      <c r="BB207" s="683"/>
      <c r="BC207" s="14"/>
      <c r="BD207" s="695" t="s">
        <v>162</v>
      </c>
      <c r="BE207" s="696"/>
      <c r="BF207" s="697"/>
      <c r="BG207" s="698"/>
      <c r="BH207" s="698"/>
      <c r="BI207" s="699"/>
      <c r="BJ207" s="700" t="s">
        <v>159</v>
      </c>
      <c r="BK207" s="701"/>
      <c r="BL207" s="701"/>
      <c r="BM207" s="702"/>
      <c r="BN207" s="703" t="s">
        <v>159</v>
      </c>
      <c r="BO207" s="704"/>
      <c r="BP207" s="704"/>
      <c r="BQ207" s="704"/>
      <c r="BR207" s="704"/>
      <c r="BS207" s="704"/>
      <c r="BT207" s="704"/>
      <c r="BU207" s="704"/>
      <c r="BV207" s="705"/>
    </row>
    <row r="208" spans="1:74" ht="45" customHeight="1" x14ac:dyDescent="0.25">
      <c r="A208" s="10">
        <f t="shared" si="3"/>
        <v>194</v>
      </c>
      <c r="B208" s="662" t="s">
        <v>159</v>
      </c>
      <c r="C208" s="662"/>
      <c r="D208" s="663" t="s">
        <v>212</v>
      </c>
      <c r="E208" s="663"/>
      <c r="F208" s="664" t="s">
        <v>162</v>
      </c>
      <c r="G208" s="665"/>
      <c r="H208" s="754" t="s">
        <v>162</v>
      </c>
      <c r="I208" s="714"/>
      <c r="J208" s="715"/>
      <c r="K208" s="716"/>
      <c r="L208" s="715"/>
      <c r="M208" s="716"/>
      <c r="N208" s="215"/>
      <c r="O208" s="196"/>
      <c r="P208" s="670"/>
      <c r="Q208" s="671"/>
      <c r="R208" s="719"/>
      <c r="S208" s="720"/>
      <c r="T208" s="721"/>
      <c r="U208" s="722"/>
      <c r="V208" s="723"/>
      <c r="W208" s="724"/>
      <c r="X208" s="678" t="s">
        <v>159</v>
      </c>
      <c r="Y208" s="678"/>
      <c r="Z208" s="678"/>
      <c r="AA208" s="678"/>
      <c r="AB208" s="679" t="s">
        <v>159</v>
      </c>
      <c r="AC208" s="679"/>
      <c r="AD208" s="679"/>
      <c r="AE208" s="679"/>
      <c r="AF208" s="727"/>
      <c r="AG208" s="728"/>
      <c r="AH208" s="727"/>
      <c r="AI208" s="728"/>
      <c r="AJ208" s="682"/>
      <c r="AK208" s="683"/>
      <c r="AL208" s="684" t="s">
        <v>162</v>
      </c>
      <c r="AM208" s="685"/>
      <c r="AN208" s="666" t="s">
        <v>162</v>
      </c>
      <c r="AO208" s="667"/>
      <c r="AP208" s="729"/>
      <c r="AQ208" s="730"/>
      <c r="AR208" s="731"/>
      <c r="AS208" s="732"/>
      <c r="AT208" s="690"/>
      <c r="AU208" s="691"/>
      <c r="AV208" s="666" t="s">
        <v>162</v>
      </c>
      <c r="AW208" s="667"/>
      <c r="AX208" s="692"/>
      <c r="AY208" s="693"/>
      <c r="AZ208" s="694"/>
      <c r="BA208" s="735"/>
      <c r="BB208" s="736"/>
      <c r="BC208" s="14"/>
      <c r="BD208" s="695" t="s">
        <v>162</v>
      </c>
      <c r="BE208" s="696"/>
      <c r="BF208" s="739"/>
      <c r="BG208" s="740"/>
      <c r="BH208" s="740"/>
      <c r="BI208" s="741"/>
      <c r="BJ208" s="700" t="s">
        <v>159</v>
      </c>
      <c r="BK208" s="701"/>
      <c r="BL208" s="701"/>
      <c r="BM208" s="702"/>
      <c r="BN208" s="703" t="s">
        <v>159</v>
      </c>
      <c r="BO208" s="704"/>
      <c r="BP208" s="704"/>
      <c r="BQ208" s="704"/>
      <c r="BR208" s="704"/>
      <c r="BS208" s="704"/>
      <c r="BT208" s="704"/>
      <c r="BU208" s="704"/>
      <c r="BV208" s="705"/>
    </row>
    <row r="209" spans="1:74" ht="45" customHeight="1" x14ac:dyDescent="0.25">
      <c r="A209" s="10">
        <f t="shared" si="3"/>
        <v>195</v>
      </c>
      <c r="B209" s="711" t="s">
        <v>159</v>
      </c>
      <c r="C209" s="711"/>
      <c r="D209" s="712" t="s">
        <v>212</v>
      </c>
      <c r="E209" s="712"/>
      <c r="F209" s="664" t="s">
        <v>162</v>
      </c>
      <c r="G209" s="665"/>
      <c r="H209" s="755" t="s">
        <v>162</v>
      </c>
      <c r="I209" s="667"/>
      <c r="J209" s="706"/>
      <c r="K209" s="707"/>
      <c r="L209" s="706"/>
      <c r="M209" s="707"/>
      <c r="N209" s="194"/>
      <c r="O209" s="216"/>
      <c r="P209" s="717"/>
      <c r="Q209" s="718"/>
      <c r="R209" s="672"/>
      <c r="S209" s="673"/>
      <c r="T209" s="674"/>
      <c r="U209" s="675"/>
      <c r="V209" s="676"/>
      <c r="W209" s="677"/>
      <c r="X209" s="725" t="s">
        <v>159</v>
      </c>
      <c r="Y209" s="725"/>
      <c r="Z209" s="725"/>
      <c r="AA209" s="725"/>
      <c r="AB209" s="726" t="s">
        <v>159</v>
      </c>
      <c r="AC209" s="726"/>
      <c r="AD209" s="726"/>
      <c r="AE209" s="726"/>
      <c r="AF209" s="680"/>
      <c r="AG209" s="681"/>
      <c r="AH209" s="680"/>
      <c r="AI209" s="681"/>
      <c r="AJ209" s="686"/>
      <c r="AK209" s="687"/>
      <c r="AL209" s="664" t="s">
        <v>162</v>
      </c>
      <c r="AM209" s="665"/>
      <c r="AN209" s="713" t="s">
        <v>162</v>
      </c>
      <c r="AO209" s="714"/>
      <c r="AP209" s="686"/>
      <c r="AQ209" s="687"/>
      <c r="AR209" s="688"/>
      <c r="AS209" s="689"/>
      <c r="AT209" s="690"/>
      <c r="AU209" s="691"/>
      <c r="AV209" s="713" t="s">
        <v>162</v>
      </c>
      <c r="AW209" s="714"/>
      <c r="AX209" s="692"/>
      <c r="AY209" s="693"/>
      <c r="AZ209" s="694"/>
      <c r="BA209" s="682"/>
      <c r="BB209" s="683"/>
      <c r="BC209" s="219"/>
      <c r="BD209" s="737" t="s">
        <v>162</v>
      </c>
      <c r="BE209" s="738"/>
      <c r="BF209" s="708"/>
      <c r="BG209" s="709"/>
      <c r="BH209" s="709"/>
      <c r="BI209" s="710"/>
      <c r="BJ209" s="742" t="s">
        <v>159</v>
      </c>
      <c r="BK209" s="743"/>
      <c r="BL209" s="743"/>
      <c r="BM209" s="744"/>
      <c r="BN209" s="703" t="s">
        <v>159</v>
      </c>
      <c r="BO209" s="704"/>
      <c r="BP209" s="704"/>
      <c r="BQ209" s="704"/>
      <c r="BR209" s="704"/>
      <c r="BS209" s="704"/>
      <c r="BT209" s="704"/>
      <c r="BU209" s="704"/>
      <c r="BV209" s="705"/>
    </row>
    <row r="210" spans="1:74" ht="45" customHeight="1" x14ac:dyDescent="0.25">
      <c r="A210" s="10">
        <f t="shared" si="3"/>
        <v>196</v>
      </c>
      <c r="B210" s="662" t="s">
        <v>159</v>
      </c>
      <c r="C210" s="662"/>
      <c r="D210" s="663" t="s">
        <v>212</v>
      </c>
      <c r="E210" s="663"/>
      <c r="F210" s="664" t="s">
        <v>162</v>
      </c>
      <c r="G210" s="665"/>
      <c r="H210" s="754" t="s">
        <v>162</v>
      </c>
      <c r="I210" s="714"/>
      <c r="J210" s="340"/>
      <c r="K210" s="341"/>
      <c r="L210" s="340"/>
      <c r="M210" s="341"/>
      <c r="N210" s="215"/>
      <c r="O210" s="196"/>
      <c r="P210" s="670"/>
      <c r="Q210" s="671"/>
      <c r="R210" s="719"/>
      <c r="S210" s="720"/>
      <c r="T210" s="721"/>
      <c r="U210" s="722"/>
      <c r="V210" s="723"/>
      <c r="W210" s="724"/>
      <c r="X210" s="678" t="s">
        <v>159</v>
      </c>
      <c r="Y210" s="678"/>
      <c r="Z210" s="678"/>
      <c r="AA210" s="678"/>
      <c r="AB210" s="679" t="s">
        <v>159</v>
      </c>
      <c r="AC210" s="679"/>
      <c r="AD210" s="679"/>
      <c r="AE210" s="679"/>
      <c r="AF210" s="727"/>
      <c r="AG210" s="728"/>
      <c r="AH210" s="727"/>
      <c r="AI210" s="728"/>
      <c r="AJ210" s="682"/>
      <c r="AK210" s="683"/>
      <c r="AL210" s="684" t="s">
        <v>162</v>
      </c>
      <c r="AM210" s="685"/>
      <c r="AN210" s="666" t="s">
        <v>162</v>
      </c>
      <c r="AO210" s="667"/>
      <c r="AP210" s="729"/>
      <c r="AQ210" s="730"/>
      <c r="AR210" s="731"/>
      <c r="AS210" s="732"/>
      <c r="AT210" s="690"/>
      <c r="AU210" s="691"/>
      <c r="AV210" s="666" t="s">
        <v>162</v>
      </c>
      <c r="AW210" s="667"/>
      <c r="AX210" s="692"/>
      <c r="AY210" s="693"/>
      <c r="AZ210" s="694"/>
      <c r="BA210" s="735"/>
      <c r="BB210" s="736"/>
      <c r="BC210" s="14"/>
      <c r="BD210" s="695" t="s">
        <v>162</v>
      </c>
      <c r="BE210" s="696"/>
      <c r="BF210" s="739"/>
      <c r="BG210" s="740"/>
      <c r="BH210" s="740"/>
      <c r="BI210" s="741"/>
      <c r="BJ210" s="700" t="s">
        <v>159</v>
      </c>
      <c r="BK210" s="701"/>
      <c r="BL210" s="701"/>
      <c r="BM210" s="702"/>
      <c r="BN210" s="703" t="s">
        <v>159</v>
      </c>
      <c r="BO210" s="704"/>
      <c r="BP210" s="704"/>
      <c r="BQ210" s="704"/>
      <c r="BR210" s="704"/>
      <c r="BS210" s="704"/>
      <c r="BT210" s="704"/>
      <c r="BU210" s="704"/>
      <c r="BV210" s="705"/>
    </row>
    <row r="211" spans="1:74" ht="45" customHeight="1" x14ac:dyDescent="0.25">
      <c r="A211" s="10">
        <f t="shared" si="3"/>
        <v>197</v>
      </c>
      <c r="B211" s="711" t="s">
        <v>159</v>
      </c>
      <c r="C211" s="711"/>
      <c r="D211" s="712" t="s">
        <v>212</v>
      </c>
      <c r="E211" s="712"/>
      <c r="F211" s="664" t="s">
        <v>162</v>
      </c>
      <c r="G211" s="665"/>
      <c r="H211" s="755" t="s">
        <v>162</v>
      </c>
      <c r="I211" s="667"/>
      <c r="J211" s="706"/>
      <c r="K211" s="707"/>
      <c r="L211" s="706"/>
      <c r="M211" s="707"/>
      <c r="N211" s="194"/>
      <c r="O211" s="216"/>
      <c r="P211" s="717"/>
      <c r="Q211" s="718"/>
      <c r="R211" s="672"/>
      <c r="S211" s="673"/>
      <c r="T211" s="674"/>
      <c r="U211" s="675"/>
      <c r="V211" s="676"/>
      <c r="W211" s="677"/>
      <c r="X211" s="725" t="s">
        <v>159</v>
      </c>
      <c r="Y211" s="725"/>
      <c r="Z211" s="725"/>
      <c r="AA211" s="725"/>
      <c r="AB211" s="726" t="s">
        <v>159</v>
      </c>
      <c r="AC211" s="726"/>
      <c r="AD211" s="726"/>
      <c r="AE211" s="726"/>
      <c r="AF211" s="680"/>
      <c r="AG211" s="681"/>
      <c r="AH211" s="680"/>
      <c r="AI211" s="681"/>
      <c r="AJ211" s="686"/>
      <c r="AK211" s="687"/>
      <c r="AL211" s="664" t="s">
        <v>162</v>
      </c>
      <c r="AM211" s="665"/>
      <c r="AN211" s="713" t="s">
        <v>162</v>
      </c>
      <c r="AO211" s="714"/>
      <c r="AP211" s="686"/>
      <c r="AQ211" s="687"/>
      <c r="AR211" s="688"/>
      <c r="AS211" s="689"/>
      <c r="AT211" s="690"/>
      <c r="AU211" s="691"/>
      <c r="AV211" s="713" t="s">
        <v>162</v>
      </c>
      <c r="AW211" s="714"/>
      <c r="AX211" s="692"/>
      <c r="AY211" s="693"/>
      <c r="AZ211" s="694"/>
      <c r="BA211" s="682"/>
      <c r="BB211" s="683"/>
      <c r="BC211" s="219"/>
      <c r="BD211" s="737" t="s">
        <v>162</v>
      </c>
      <c r="BE211" s="738"/>
      <c r="BF211" s="697"/>
      <c r="BG211" s="698"/>
      <c r="BH211" s="698"/>
      <c r="BI211" s="699"/>
      <c r="BJ211" s="742" t="s">
        <v>159</v>
      </c>
      <c r="BK211" s="743"/>
      <c r="BL211" s="743"/>
      <c r="BM211" s="744"/>
      <c r="BN211" s="703" t="s">
        <v>159</v>
      </c>
      <c r="BO211" s="704"/>
      <c r="BP211" s="704"/>
      <c r="BQ211" s="704"/>
      <c r="BR211" s="704"/>
      <c r="BS211" s="704"/>
      <c r="BT211" s="704"/>
      <c r="BU211" s="704"/>
      <c r="BV211" s="705"/>
    </row>
    <row r="212" spans="1:74" ht="45" customHeight="1" x14ac:dyDescent="0.25">
      <c r="A212" s="10">
        <f t="shared" si="3"/>
        <v>198</v>
      </c>
      <c r="B212" s="662" t="s">
        <v>159</v>
      </c>
      <c r="C212" s="662"/>
      <c r="D212" s="663" t="s">
        <v>212</v>
      </c>
      <c r="E212" s="663"/>
      <c r="F212" s="664" t="s">
        <v>162</v>
      </c>
      <c r="G212" s="665"/>
      <c r="H212" s="754" t="s">
        <v>162</v>
      </c>
      <c r="I212" s="714"/>
      <c r="J212" s="340"/>
      <c r="K212" s="341"/>
      <c r="L212" s="340"/>
      <c r="M212" s="341"/>
      <c r="N212" s="215"/>
      <c r="O212" s="196"/>
      <c r="P212" s="670"/>
      <c r="Q212" s="671"/>
      <c r="R212" s="719"/>
      <c r="S212" s="720"/>
      <c r="T212" s="721"/>
      <c r="U212" s="722"/>
      <c r="V212" s="723"/>
      <c r="W212" s="724"/>
      <c r="X212" s="678" t="s">
        <v>159</v>
      </c>
      <c r="Y212" s="678"/>
      <c r="Z212" s="678"/>
      <c r="AA212" s="678"/>
      <c r="AB212" s="679" t="s">
        <v>159</v>
      </c>
      <c r="AC212" s="679"/>
      <c r="AD212" s="679"/>
      <c r="AE212" s="679"/>
      <c r="AF212" s="727"/>
      <c r="AG212" s="728"/>
      <c r="AH212" s="727"/>
      <c r="AI212" s="728"/>
      <c r="AJ212" s="682"/>
      <c r="AK212" s="683"/>
      <c r="AL212" s="684" t="s">
        <v>162</v>
      </c>
      <c r="AM212" s="685"/>
      <c r="AN212" s="666" t="s">
        <v>162</v>
      </c>
      <c r="AO212" s="667"/>
      <c r="AP212" s="729"/>
      <c r="AQ212" s="730"/>
      <c r="AR212" s="731"/>
      <c r="AS212" s="732"/>
      <c r="AT212" s="690"/>
      <c r="AU212" s="691"/>
      <c r="AV212" s="666" t="s">
        <v>162</v>
      </c>
      <c r="AW212" s="667"/>
      <c r="AX212" s="692"/>
      <c r="AY212" s="693"/>
      <c r="AZ212" s="694"/>
      <c r="BA212" s="735"/>
      <c r="BB212" s="736"/>
      <c r="BC212" s="14"/>
      <c r="BD212" s="695" t="s">
        <v>162</v>
      </c>
      <c r="BE212" s="696"/>
      <c r="BF212" s="739"/>
      <c r="BG212" s="740"/>
      <c r="BH212" s="740"/>
      <c r="BI212" s="741"/>
      <c r="BJ212" s="700" t="s">
        <v>159</v>
      </c>
      <c r="BK212" s="701"/>
      <c r="BL212" s="701"/>
      <c r="BM212" s="702"/>
      <c r="BN212" s="703" t="s">
        <v>159</v>
      </c>
      <c r="BO212" s="704"/>
      <c r="BP212" s="704"/>
      <c r="BQ212" s="704"/>
      <c r="BR212" s="704"/>
      <c r="BS212" s="704"/>
      <c r="BT212" s="704"/>
      <c r="BU212" s="704"/>
      <c r="BV212" s="705"/>
    </row>
    <row r="213" spans="1:74" ht="45" customHeight="1" x14ac:dyDescent="0.25">
      <c r="A213" s="10">
        <f t="shared" si="3"/>
        <v>199</v>
      </c>
      <c r="B213" s="711" t="s">
        <v>159</v>
      </c>
      <c r="C213" s="711"/>
      <c r="D213" s="712" t="s">
        <v>212</v>
      </c>
      <c r="E213" s="712"/>
      <c r="F213" s="664" t="s">
        <v>162</v>
      </c>
      <c r="G213" s="665"/>
      <c r="H213" s="755" t="s">
        <v>162</v>
      </c>
      <c r="I213" s="667"/>
      <c r="J213" s="706"/>
      <c r="K213" s="707"/>
      <c r="L213" s="706"/>
      <c r="M213" s="707"/>
      <c r="N213" s="194"/>
      <c r="O213" s="216"/>
      <c r="P213" s="717"/>
      <c r="Q213" s="718"/>
      <c r="R213" s="672"/>
      <c r="S213" s="673"/>
      <c r="T213" s="674"/>
      <c r="U213" s="675"/>
      <c r="V213" s="676"/>
      <c r="W213" s="677"/>
      <c r="X213" s="725" t="s">
        <v>159</v>
      </c>
      <c r="Y213" s="725"/>
      <c r="Z213" s="725"/>
      <c r="AA213" s="725"/>
      <c r="AB213" s="726" t="s">
        <v>159</v>
      </c>
      <c r="AC213" s="726"/>
      <c r="AD213" s="726"/>
      <c r="AE213" s="726"/>
      <c r="AF213" s="680"/>
      <c r="AG213" s="681"/>
      <c r="AH213" s="680"/>
      <c r="AI213" s="681"/>
      <c r="AJ213" s="686"/>
      <c r="AK213" s="687"/>
      <c r="AL213" s="664" t="s">
        <v>162</v>
      </c>
      <c r="AM213" s="665"/>
      <c r="AN213" s="713" t="s">
        <v>162</v>
      </c>
      <c r="AO213" s="714"/>
      <c r="AP213" s="686"/>
      <c r="AQ213" s="687"/>
      <c r="AR213" s="688"/>
      <c r="AS213" s="689"/>
      <c r="AT213" s="690"/>
      <c r="AU213" s="691"/>
      <c r="AV213" s="713" t="s">
        <v>162</v>
      </c>
      <c r="AW213" s="714"/>
      <c r="AX213" s="692"/>
      <c r="AY213" s="693"/>
      <c r="AZ213" s="694"/>
      <c r="BA213" s="682"/>
      <c r="BB213" s="683"/>
      <c r="BC213" s="219"/>
      <c r="BD213" s="737" t="s">
        <v>162</v>
      </c>
      <c r="BE213" s="738"/>
      <c r="BF213" s="708"/>
      <c r="BG213" s="709"/>
      <c r="BH213" s="709"/>
      <c r="BI213" s="710"/>
      <c r="BJ213" s="742" t="s">
        <v>159</v>
      </c>
      <c r="BK213" s="743"/>
      <c r="BL213" s="743"/>
      <c r="BM213" s="744"/>
      <c r="BN213" s="703" t="s">
        <v>159</v>
      </c>
      <c r="BO213" s="704"/>
      <c r="BP213" s="704"/>
      <c r="BQ213" s="704"/>
      <c r="BR213" s="704"/>
      <c r="BS213" s="704"/>
      <c r="BT213" s="704"/>
      <c r="BU213" s="704"/>
      <c r="BV213" s="705"/>
    </row>
    <row r="214" spans="1:74" ht="45" customHeight="1" x14ac:dyDescent="0.25">
      <c r="A214" s="10">
        <f t="shared" si="3"/>
        <v>200</v>
      </c>
      <c r="B214" s="662" t="s">
        <v>159</v>
      </c>
      <c r="C214" s="662"/>
      <c r="D214" s="663" t="s">
        <v>212</v>
      </c>
      <c r="E214" s="663"/>
      <c r="F214" s="664" t="s">
        <v>162</v>
      </c>
      <c r="G214" s="665"/>
      <c r="H214" s="754" t="s">
        <v>162</v>
      </c>
      <c r="I214" s="714"/>
      <c r="J214" s="340"/>
      <c r="K214" s="341"/>
      <c r="L214" s="340"/>
      <c r="M214" s="341"/>
      <c r="N214" s="215"/>
      <c r="O214" s="196"/>
      <c r="P214" s="670"/>
      <c r="Q214" s="671"/>
      <c r="R214" s="719"/>
      <c r="S214" s="720"/>
      <c r="T214" s="721"/>
      <c r="U214" s="722"/>
      <c r="V214" s="723"/>
      <c r="W214" s="724"/>
      <c r="X214" s="678" t="s">
        <v>159</v>
      </c>
      <c r="Y214" s="678"/>
      <c r="Z214" s="678"/>
      <c r="AA214" s="678"/>
      <c r="AB214" s="679" t="s">
        <v>159</v>
      </c>
      <c r="AC214" s="679"/>
      <c r="AD214" s="679"/>
      <c r="AE214" s="679"/>
      <c r="AF214" s="727"/>
      <c r="AG214" s="728"/>
      <c r="AH214" s="727"/>
      <c r="AI214" s="728"/>
      <c r="AJ214" s="682"/>
      <c r="AK214" s="683"/>
      <c r="AL214" s="684" t="s">
        <v>162</v>
      </c>
      <c r="AM214" s="685"/>
      <c r="AN214" s="666" t="s">
        <v>162</v>
      </c>
      <c r="AO214" s="667"/>
      <c r="AP214" s="729"/>
      <c r="AQ214" s="730"/>
      <c r="AR214" s="731"/>
      <c r="AS214" s="732"/>
      <c r="AT214" s="690"/>
      <c r="AU214" s="691"/>
      <c r="AV214" s="666" t="s">
        <v>162</v>
      </c>
      <c r="AW214" s="667"/>
      <c r="AX214" s="692"/>
      <c r="AY214" s="693"/>
      <c r="AZ214" s="694"/>
      <c r="BA214" s="735"/>
      <c r="BB214" s="736"/>
      <c r="BC214" s="14"/>
      <c r="BD214" s="695" t="s">
        <v>162</v>
      </c>
      <c r="BE214" s="696"/>
      <c r="BF214" s="739"/>
      <c r="BG214" s="740"/>
      <c r="BH214" s="740"/>
      <c r="BI214" s="741"/>
      <c r="BJ214" s="700" t="s">
        <v>159</v>
      </c>
      <c r="BK214" s="701"/>
      <c r="BL214" s="701"/>
      <c r="BM214" s="702"/>
      <c r="BN214" s="703" t="s">
        <v>159</v>
      </c>
      <c r="BO214" s="704"/>
      <c r="BP214" s="704"/>
      <c r="BQ214" s="704"/>
      <c r="BR214" s="704"/>
      <c r="BS214" s="704"/>
      <c r="BT214" s="704"/>
      <c r="BU214" s="704"/>
      <c r="BV214" s="705"/>
    </row>
    <row r="215" spans="1:74" ht="45" customHeight="1" x14ac:dyDescent="0.25">
      <c r="A215" s="10">
        <f t="shared" si="3"/>
        <v>201</v>
      </c>
      <c r="B215" s="711" t="s">
        <v>159</v>
      </c>
      <c r="C215" s="711"/>
      <c r="D215" s="712" t="s">
        <v>212</v>
      </c>
      <c r="E215" s="712"/>
      <c r="F215" s="664" t="s">
        <v>162</v>
      </c>
      <c r="G215" s="665"/>
      <c r="H215" s="755" t="s">
        <v>162</v>
      </c>
      <c r="I215" s="667"/>
      <c r="J215" s="706"/>
      <c r="K215" s="707"/>
      <c r="L215" s="706"/>
      <c r="M215" s="707"/>
      <c r="N215" s="194"/>
      <c r="O215" s="216"/>
      <c r="P215" s="717"/>
      <c r="Q215" s="718"/>
      <c r="R215" s="672"/>
      <c r="S215" s="673"/>
      <c r="T215" s="674"/>
      <c r="U215" s="675"/>
      <c r="V215" s="676"/>
      <c r="W215" s="677"/>
      <c r="X215" s="725" t="s">
        <v>159</v>
      </c>
      <c r="Y215" s="725"/>
      <c r="Z215" s="725"/>
      <c r="AA215" s="725"/>
      <c r="AB215" s="726" t="s">
        <v>159</v>
      </c>
      <c r="AC215" s="726"/>
      <c r="AD215" s="726"/>
      <c r="AE215" s="726"/>
      <c r="AF215" s="680"/>
      <c r="AG215" s="681"/>
      <c r="AH215" s="680"/>
      <c r="AI215" s="681"/>
      <c r="AJ215" s="686"/>
      <c r="AK215" s="687"/>
      <c r="AL215" s="664" t="s">
        <v>162</v>
      </c>
      <c r="AM215" s="665"/>
      <c r="AN215" s="713" t="s">
        <v>162</v>
      </c>
      <c r="AO215" s="714"/>
      <c r="AP215" s="686"/>
      <c r="AQ215" s="687"/>
      <c r="AR215" s="688"/>
      <c r="AS215" s="689"/>
      <c r="AT215" s="690"/>
      <c r="AU215" s="691"/>
      <c r="AV215" s="713" t="s">
        <v>162</v>
      </c>
      <c r="AW215" s="714"/>
      <c r="AX215" s="692"/>
      <c r="AY215" s="693"/>
      <c r="AZ215" s="694"/>
      <c r="BA215" s="682"/>
      <c r="BB215" s="683"/>
      <c r="BC215" s="219"/>
      <c r="BD215" s="737" t="s">
        <v>162</v>
      </c>
      <c r="BE215" s="738"/>
      <c r="BF215" s="708"/>
      <c r="BG215" s="709"/>
      <c r="BH215" s="709"/>
      <c r="BI215" s="710"/>
      <c r="BJ215" s="742" t="s">
        <v>159</v>
      </c>
      <c r="BK215" s="743"/>
      <c r="BL215" s="743"/>
      <c r="BM215" s="744"/>
      <c r="BN215" s="703" t="s">
        <v>159</v>
      </c>
      <c r="BO215" s="704"/>
      <c r="BP215" s="704"/>
      <c r="BQ215" s="704"/>
      <c r="BR215" s="704"/>
      <c r="BS215" s="704"/>
      <c r="BT215" s="704"/>
      <c r="BU215" s="704"/>
      <c r="BV215" s="705"/>
    </row>
    <row r="216" spans="1:74" ht="45" customHeight="1" x14ac:dyDescent="0.25">
      <c r="A216" s="10">
        <f t="shared" si="3"/>
        <v>202</v>
      </c>
      <c r="B216" s="662" t="s">
        <v>159</v>
      </c>
      <c r="C216" s="662"/>
      <c r="D216" s="663" t="s">
        <v>212</v>
      </c>
      <c r="E216" s="663"/>
      <c r="F216" s="664" t="s">
        <v>162</v>
      </c>
      <c r="G216" s="665"/>
      <c r="H216" s="754" t="s">
        <v>162</v>
      </c>
      <c r="I216" s="714"/>
      <c r="J216" s="340"/>
      <c r="K216" s="341"/>
      <c r="L216" s="340"/>
      <c r="M216" s="341"/>
      <c r="N216" s="215"/>
      <c r="O216" s="196"/>
      <c r="P216" s="670"/>
      <c r="Q216" s="671"/>
      <c r="R216" s="719"/>
      <c r="S216" s="720"/>
      <c r="T216" s="721"/>
      <c r="U216" s="722"/>
      <c r="V216" s="723"/>
      <c r="W216" s="724"/>
      <c r="X216" s="678" t="s">
        <v>159</v>
      </c>
      <c r="Y216" s="678"/>
      <c r="Z216" s="678"/>
      <c r="AA216" s="678"/>
      <c r="AB216" s="679" t="s">
        <v>159</v>
      </c>
      <c r="AC216" s="679"/>
      <c r="AD216" s="679"/>
      <c r="AE216" s="679"/>
      <c r="AF216" s="727"/>
      <c r="AG216" s="728"/>
      <c r="AH216" s="727"/>
      <c r="AI216" s="728"/>
      <c r="AJ216" s="682"/>
      <c r="AK216" s="683"/>
      <c r="AL216" s="684" t="s">
        <v>162</v>
      </c>
      <c r="AM216" s="685"/>
      <c r="AN216" s="666" t="s">
        <v>162</v>
      </c>
      <c r="AO216" s="667"/>
      <c r="AP216" s="729"/>
      <c r="AQ216" s="730"/>
      <c r="AR216" s="731"/>
      <c r="AS216" s="732"/>
      <c r="AT216" s="690"/>
      <c r="AU216" s="691"/>
      <c r="AV216" s="666" t="s">
        <v>162</v>
      </c>
      <c r="AW216" s="667"/>
      <c r="AX216" s="692"/>
      <c r="AY216" s="693"/>
      <c r="AZ216" s="694"/>
      <c r="BA216" s="735"/>
      <c r="BB216" s="736"/>
      <c r="BC216" s="14"/>
      <c r="BD216" s="695" t="s">
        <v>162</v>
      </c>
      <c r="BE216" s="696"/>
      <c r="BF216" s="739"/>
      <c r="BG216" s="740"/>
      <c r="BH216" s="740"/>
      <c r="BI216" s="741"/>
      <c r="BJ216" s="700" t="s">
        <v>159</v>
      </c>
      <c r="BK216" s="701"/>
      <c r="BL216" s="701"/>
      <c r="BM216" s="702"/>
      <c r="BN216" s="703" t="s">
        <v>159</v>
      </c>
      <c r="BO216" s="704"/>
      <c r="BP216" s="704"/>
      <c r="BQ216" s="704"/>
      <c r="BR216" s="704"/>
      <c r="BS216" s="704"/>
      <c r="BT216" s="704"/>
      <c r="BU216" s="704"/>
      <c r="BV216" s="705"/>
    </row>
    <row r="217" spans="1:74" ht="45" customHeight="1" x14ac:dyDescent="0.25">
      <c r="A217" s="10">
        <f t="shared" si="3"/>
        <v>203</v>
      </c>
      <c r="B217" s="711" t="s">
        <v>159</v>
      </c>
      <c r="C217" s="711"/>
      <c r="D217" s="712" t="s">
        <v>212</v>
      </c>
      <c r="E217" s="712"/>
      <c r="F217" s="664" t="s">
        <v>162</v>
      </c>
      <c r="G217" s="665"/>
      <c r="H217" s="755" t="s">
        <v>162</v>
      </c>
      <c r="I217" s="667"/>
      <c r="J217" s="706"/>
      <c r="K217" s="707"/>
      <c r="L217" s="706"/>
      <c r="M217" s="707"/>
      <c r="N217" s="194"/>
      <c r="O217" s="216"/>
      <c r="P217" s="717"/>
      <c r="Q217" s="718"/>
      <c r="R217" s="672"/>
      <c r="S217" s="673"/>
      <c r="T217" s="674"/>
      <c r="U217" s="675"/>
      <c r="V217" s="676"/>
      <c r="W217" s="677"/>
      <c r="X217" s="725" t="s">
        <v>159</v>
      </c>
      <c r="Y217" s="725"/>
      <c r="Z217" s="725"/>
      <c r="AA217" s="725"/>
      <c r="AB217" s="726" t="s">
        <v>159</v>
      </c>
      <c r="AC217" s="726"/>
      <c r="AD217" s="726"/>
      <c r="AE217" s="726"/>
      <c r="AF217" s="680"/>
      <c r="AG217" s="681"/>
      <c r="AH217" s="680"/>
      <c r="AI217" s="681"/>
      <c r="AJ217" s="686"/>
      <c r="AK217" s="687"/>
      <c r="AL217" s="664" t="s">
        <v>162</v>
      </c>
      <c r="AM217" s="665"/>
      <c r="AN217" s="713" t="s">
        <v>162</v>
      </c>
      <c r="AO217" s="714"/>
      <c r="AP217" s="686"/>
      <c r="AQ217" s="687"/>
      <c r="AR217" s="688"/>
      <c r="AS217" s="689"/>
      <c r="AT217" s="690"/>
      <c r="AU217" s="691"/>
      <c r="AV217" s="713" t="s">
        <v>162</v>
      </c>
      <c r="AW217" s="714"/>
      <c r="AX217" s="692"/>
      <c r="AY217" s="693"/>
      <c r="AZ217" s="694"/>
      <c r="BA217" s="682"/>
      <c r="BB217" s="683"/>
      <c r="BC217" s="219"/>
      <c r="BD217" s="737" t="s">
        <v>162</v>
      </c>
      <c r="BE217" s="738"/>
      <c r="BF217" s="697"/>
      <c r="BG217" s="698"/>
      <c r="BH217" s="698"/>
      <c r="BI217" s="699"/>
      <c r="BJ217" s="742" t="s">
        <v>159</v>
      </c>
      <c r="BK217" s="743"/>
      <c r="BL217" s="743"/>
      <c r="BM217" s="744"/>
      <c r="BN217" s="703" t="s">
        <v>159</v>
      </c>
      <c r="BO217" s="704"/>
      <c r="BP217" s="704"/>
      <c r="BQ217" s="704"/>
      <c r="BR217" s="704"/>
      <c r="BS217" s="704"/>
      <c r="BT217" s="704"/>
      <c r="BU217" s="704"/>
      <c r="BV217" s="705"/>
    </row>
    <row r="218" spans="1:74" ht="45" customHeight="1" x14ac:dyDescent="0.25">
      <c r="A218" s="10">
        <f t="shared" si="3"/>
        <v>204</v>
      </c>
      <c r="B218" s="662" t="s">
        <v>159</v>
      </c>
      <c r="C218" s="662"/>
      <c r="D218" s="663" t="s">
        <v>212</v>
      </c>
      <c r="E218" s="663"/>
      <c r="F218" s="664" t="s">
        <v>162</v>
      </c>
      <c r="G218" s="665"/>
      <c r="H218" s="754" t="s">
        <v>162</v>
      </c>
      <c r="I218" s="714"/>
      <c r="J218" s="340"/>
      <c r="K218" s="341"/>
      <c r="L218" s="340"/>
      <c r="M218" s="341"/>
      <c r="N218" s="215"/>
      <c r="O218" s="196"/>
      <c r="P218" s="670"/>
      <c r="Q218" s="671"/>
      <c r="R218" s="719"/>
      <c r="S218" s="720"/>
      <c r="T218" s="721"/>
      <c r="U218" s="722"/>
      <c r="V218" s="723"/>
      <c r="W218" s="724"/>
      <c r="X218" s="678" t="s">
        <v>159</v>
      </c>
      <c r="Y218" s="678"/>
      <c r="Z218" s="678"/>
      <c r="AA218" s="678"/>
      <c r="AB218" s="679" t="s">
        <v>159</v>
      </c>
      <c r="AC218" s="679"/>
      <c r="AD218" s="679"/>
      <c r="AE218" s="679"/>
      <c r="AF218" s="727"/>
      <c r="AG218" s="728"/>
      <c r="AH218" s="727"/>
      <c r="AI218" s="728"/>
      <c r="AJ218" s="682"/>
      <c r="AK218" s="683"/>
      <c r="AL218" s="684" t="s">
        <v>162</v>
      </c>
      <c r="AM218" s="685"/>
      <c r="AN218" s="666" t="s">
        <v>162</v>
      </c>
      <c r="AO218" s="667"/>
      <c r="AP218" s="729"/>
      <c r="AQ218" s="730"/>
      <c r="AR218" s="731"/>
      <c r="AS218" s="732"/>
      <c r="AT218" s="690"/>
      <c r="AU218" s="691"/>
      <c r="AV218" s="666" t="s">
        <v>162</v>
      </c>
      <c r="AW218" s="667"/>
      <c r="AX218" s="692"/>
      <c r="AY218" s="693"/>
      <c r="AZ218" s="694"/>
      <c r="BA218" s="735"/>
      <c r="BB218" s="736"/>
      <c r="BC218" s="14"/>
      <c r="BD218" s="695" t="s">
        <v>162</v>
      </c>
      <c r="BE218" s="696"/>
      <c r="BF218" s="739"/>
      <c r="BG218" s="740"/>
      <c r="BH218" s="740"/>
      <c r="BI218" s="741"/>
      <c r="BJ218" s="700" t="s">
        <v>159</v>
      </c>
      <c r="BK218" s="701"/>
      <c r="BL218" s="701"/>
      <c r="BM218" s="702"/>
      <c r="BN218" s="703" t="s">
        <v>159</v>
      </c>
      <c r="BO218" s="704"/>
      <c r="BP218" s="704"/>
      <c r="BQ218" s="704"/>
      <c r="BR218" s="704"/>
      <c r="BS218" s="704"/>
      <c r="BT218" s="704"/>
      <c r="BU218" s="704"/>
      <c r="BV218" s="705"/>
    </row>
    <row r="219" spans="1:74" ht="45" customHeight="1" x14ac:dyDescent="0.25">
      <c r="A219" s="10">
        <f t="shared" si="3"/>
        <v>205</v>
      </c>
      <c r="B219" s="711" t="s">
        <v>159</v>
      </c>
      <c r="C219" s="711"/>
      <c r="D219" s="712" t="s">
        <v>212</v>
      </c>
      <c r="E219" s="712"/>
      <c r="F219" s="664" t="s">
        <v>162</v>
      </c>
      <c r="G219" s="665"/>
      <c r="H219" s="755" t="s">
        <v>162</v>
      </c>
      <c r="I219" s="667"/>
      <c r="J219" s="706"/>
      <c r="K219" s="707"/>
      <c r="L219" s="706"/>
      <c r="M219" s="707"/>
      <c r="N219" s="194"/>
      <c r="O219" s="216"/>
      <c r="P219" s="717"/>
      <c r="Q219" s="718"/>
      <c r="R219" s="672"/>
      <c r="S219" s="673"/>
      <c r="T219" s="674"/>
      <c r="U219" s="675"/>
      <c r="V219" s="676"/>
      <c r="W219" s="677"/>
      <c r="X219" s="725" t="s">
        <v>159</v>
      </c>
      <c r="Y219" s="725"/>
      <c r="Z219" s="725"/>
      <c r="AA219" s="725"/>
      <c r="AB219" s="726" t="s">
        <v>159</v>
      </c>
      <c r="AC219" s="726"/>
      <c r="AD219" s="726"/>
      <c r="AE219" s="726"/>
      <c r="AF219" s="680"/>
      <c r="AG219" s="681"/>
      <c r="AH219" s="680"/>
      <c r="AI219" s="681"/>
      <c r="AJ219" s="686"/>
      <c r="AK219" s="687"/>
      <c r="AL219" s="664" t="s">
        <v>162</v>
      </c>
      <c r="AM219" s="665"/>
      <c r="AN219" s="713" t="s">
        <v>162</v>
      </c>
      <c r="AO219" s="714"/>
      <c r="AP219" s="686"/>
      <c r="AQ219" s="687"/>
      <c r="AR219" s="688"/>
      <c r="AS219" s="689"/>
      <c r="AT219" s="690"/>
      <c r="AU219" s="691"/>
      <c r="AV219" s="713" t="s">
        <v>162</v>
      </c>
      <c r="AW219" s="714"/>
      <c r="AX219" s="692"/>
      <c r="AY219" s="693"/>
      <c r="AZ219" s="694"/>
      <c r="BA219" s="682"/>
      <c r="BB219" s="683"/>
      <c r="BC219" s="219"/>
      <c r="BD219" s="737" t="s">
        <v>162</v>
      </c>
      <c r="BE219" s="738"/>
      <c r="BF219" s="708"/>
      <c r="BG219" s="709"/>
      <c r="BH219" s="709"/>
      <c r="BI219" s="710"/>
      <c r="BJ219" s="742" t="s">
        <v>159</v>
      </c>
      <c r="BK219" s="743"/>
      <c r="BL219" s="743"/>
      <c r="BM219" s="744"/>
      <c r="BN219" s="703" t="s">
        <v>159</v>
      </c>
      <c r="BO219" s="704"/>
      <c r="BP219" s="704"/>
      <c r="BQ219" s="704"/>
      <c r="BR219" s="704"/>
      <c r="BS219" s="704"/>
      <c r="BT219" s="704"/>
      <c r="BU219" s="704"/>
      <c r="BV219" s="705"/>
    </row>
    <row r="220" spans="1:74" ht="45" customHeight="1" x14ac:dyDescent="0.25">
      <c r="A220" s="10">
        <f t="shared" si="3"/>
        <v>206</v>
      </c>
      <c r="B220" s="662" t="s">
        <v>159</v>
      </c>
      <c r="C220" s="662"/>
      <c r="D220" s="663" t="s">
        <v>212</v>
      </c>
      <c r="E220" s="663"/>
      <c r="F220" s="664" t="s">
        <v>162</v>
      </c>
      <c r="G220" s="665"/>
      <c r="H220" s="754" t="s">
        <v>162</v>
      </c>
      <c r="I220" s="714"/>
      <c r="J220" s="340"/>
      <c r="K220" s="341"/>
      <c r="L220" s="340"/>
      <c r="M220" s="341"/>
      <c r="N220" s="215"/>
      <c r="O220" s="196"/>
      <c r="P220" s="670"/>
      <c r="Q220" s="671"/>
      <c r="R220" s="719"/>
      <c r="S220" s="720"/>
      <c r="T220" s="721"/>
      <c r="U220" s="722"/>
      <c r="V220" s="723"/>
      <c r="W220" s="724"/>
      <c r="X220" s="678" t="s">
        <v>159</v>
      </c>
      <c r="Y220" s="678"/>
      <c r="Z220" s="678"/>
      <c r="AA220" s="678"/>
      <c r="AB220" s="679" t="s">
        <v>159</v>
      </c>
      <c r="AC220" s="679"/>
      <c r="AD220" s="679"/>
      <c r="AE220" s="679"/>
      <c r="AF220" s="727"/>
      <c r="AG220" s="728"/>
      <c r="AH220" s="727"/>
      <c r="AI220" s="728"/>
      <c r="AJ220" s="682"/>
      <c r="AK220" s="683"/>
      <c r="AL220" s="684" t="s">
        <v>162</v>
      </c>
      <c r="AM220" s="685"/>
      <c r="AN220" s="666" t="s">
        <v>162</v>
      </c>
      <c r="AO220" s="667"/>
      <c r="AP220" s="729"/>
      <c r="AQ220" s="730"/>
      <c r="AR220" s="731"/>
      <c r="AS220" s="732"/>
      <c r="AT220" s="690"/>
      <c r="AU220" s="691"/>
      <c r="AV220" s="666" t="s">
        <v>162</v>
      </c>
      <c r="AW220" s="667"/>
      <c r="AX220" s="692"/>
      <c r="AY220" s="693"/>
      <c r="AZ220" s="694"/>
      <c r="BA220" s="735"/>
      <c r="BB220" s="736"/>
      <c r="BC220" s="14"/>
      <c r="BD220" s="695" t="s">
        <v>162</v>
      </c>
      <c r="BE220" s="696"/>
      <c r="BF220" s="739"/>
      <c r="BG220" s="740"/>
      <c r="BH220" s="740"/>
      <c r="BI220" s="741"/>
      <c r="BJ220" s="700" t="s">
        <v>159</v>
      </c>
      <c r="BK220" s="701"/>
      <c r="BL220" s="701"/>
      <c r="BM220" s="702"/>
      <c r="BN220" s="703" t="s">
        <v>159</v>
      </c>
      <c r="BO220" s="704"/>
      <c r="BP220" s="704"/>
      <c r="BQ220" s="704"/>
      <c r="BR220" s="704"/>
      <c r="BS220" s="704"/>
      <c r="BT220" s="704"/>
      <c r="BU220" s="704"/>
      <c r="BV220" s="705"/>
    </row>
    <row r="221" spans="1:74" ht="45" customHeight="1" x14ac:dyDescent="0.25">
      <c r="A221" s="10">
        <f t="shared" si="3"/>
        <v>207</v>
      </c>
      <c r="B221" s="711" t="s">
        <v>159</v>
      </c>
      <c r="C221" s="711"/>
      <c r="D221" s="712" t="s">
        <v>212</v>
      </c>
      <c r="E221" s="712"/>
      <c r="F221" s="664" t="s">
        <v>162</v>
      </c>
      <c r="G221" s="665"/>
      <c r="H221" s="755" t="s">
        <v>162</v>
      </c>
      <c r="I221" s="667"/>
      <c r="J221" s="706"/>
      <c r="K221" s="707"/>
      <c r="L221" s="706"/>
      <c r="M221" s="707"/>
      <c r="N221" s="194"/>
      <c r="O221" s="216"/>
      <c r="P221" s="717"/>
      <c r="Q221" s="718"/>
      <c r="R221" s="672"/>
      <c r="S221" s="673"/>
      <c r="T221" s="674"/>
      <c r="U221" s="675"/>
      <c r="V221" s="676"/>
      <c r="W221" s="677"/>
      <c r="X221" s="725" t="s">
        <v>159</v>
      </c>
      <c r="Y221" s="725"/>
      <c r="Z221" s="725"/>
      <c r="AA221" s="725"/>
      <c r="AB221" s="726" t="s">
        <v>159</v>
      </c>
      <c r="AC221" s="726"/>
      <c r="AD221" s="726"/>
      <c r="AE221" s="726"/>
      <c r="AF221" s="680"/>
      <c r="AG221" s="681"/>
      <c r="AH221" s="680"/>
      <c r="AI221" s="681"/>
      <c r="AJ221" s="686"/>
      <c r="AK221" s="687"/>
      <c r="AL221" s="664" t="s">
        <v>162</v>
      </c>
      <c r="AM221" s="665"/>
      <c r="AN221" s="713" t="s">
        <v>162</v>
      </c>
      <c r="AO221" s="714"/>
      <c r="AP221" s="686"/>
      <c r="AQ221" s="687"/>
      <c r="AR221" s="688"/>
      <c r="AS221" s="689"/>
      <c r="AT221" s="690"/>
      <c r="AU221" s="691"/>
      <c r="AV221" s="713" t="s">
        <v>162</v>
      </c>
      <c r="AW221" s="714"/>
      <c r="AX221" s="692"/>
      <c r="AY221" s="693"/>
      <c r="AZ221" s="694"/>
      <c r="BA221" s="682"/>
      <c r="BB221" s="683"/>
      <c r="BC221" s="219"/>
      <c r="BD221" s="737" t="s">
        <v>162</v>
      </c>
      <c r="BE221" s="738"/>
      <c r="BF221" s="697"/>
      <c r="BG221" s="698"/>
      <c r="BH221" s="698"/>
      <c r="BI221" s="699"/>
      <c r="BJ221" s="742" t="s">
        <v>159</v>
      </c>
      <c r="BK221" s="743"/>
      <c r="BL221" s="743"/>
      <c r="BM221" s="744"/>
      <c r="BN221" s="703" t="s">
        <v>159</v>
      </c>
      <c r="BO221" s="704"/>
      <c r="BP221" s="704"/>
      <c r="BQ221" s="704"/>
      <c r="BR221" s="704"/>
      <c r="BS221" s="704"/>
      <c r="BT221" s="704"/>
      <c r="BU221" s="704"/>
      <c r="BV221" s="705"/>
    </row>
    <row r="222" spans="1:74" ht="45" customHeight="1" x14ac:dyDescent="0.25">
      <c r="A222" s="10">
        <f t="shared" si="3"/>
        <v>208</v>
      </c>
      <c r="B222" s="662" t="s">
        <v>159</v>
      </c>
      <c r="C222" s="662"/>
      <c r="D222" s="663" t="s">
        <v>212</v>
      </c>
      <c r="E222" s="663"/>
      <c r="F222" s="664" t="s">
        <v>162</v>
      </c>
      <c r="G222" s="665"/>
      <c r="H222" s="754" t="s">
        <v>162</v>
      </c>
      <c r="I222" s="714"/>
      <c r="J222" s="340"/>
      <c r="K222" s="341"/>
      <c r="L222" s="340"/>
      <c r="M222" s="341"/>
      <c r="N222" s="215"/>
      <c r="O222" s="196"/>
      <c r="P222" s="670"/>
      <c r="Q222" s="671"/>
      <c r="R222" s="719"/>
      <c r="S222" s="720"/>
      <c r="T222" s="721"/>
      <c r="U222" s="722"/>
      <c r="V222" s="723"/>
      <c r="W222" s="724"/>
      <c r="X222" s="678" t="s">
        <v>159</v>
      </c>
      <c r="Y222" s="678"/>
      <c r="Z222" s="678"/>
      <c r="AA222" s="678"/>
      <c r="AB222" s="679" t="s">
        <v>159</v>
      </c>
      <c r="AC222" s="679"/>
      <c r="AD222" s="679"/>
      <c r="AE222" s="679"/>
      <c r="AF222" s="727"/>
      <c r="AG222" s="728"/>
      <c r="AH222" s="727"/>
      <c r="AI222" s="728"/>
      <c r="AJ222" s="682"/>
      <c r="AK222" s="683"/>
      <c r="AL222" s="684" t="s">
        <v>162</v>
      </c>
      <c r="AM222" s="685"/>
      <c r="AN222" s="666" t="s">
        <v>162</v>
      </c>
      <c r="AO222" s="667"/>
      <c r="AP222" s="729"/>
      <c r="AQ222" s="730"/>
      <c r="AR222" s="731"/>
      <c r="AS222" s="732"/>
      <c r="AT222" s="690"/>
      <c r="AU222" s="691"/>
      <c r="AV222" s="666" t="s">
        <v>162</v>
      </c>
      <c r="AW222" s="667"/>
      <c r="AX222" s="692"/>
      <c r="AY222" s="693"/>
      <c r="AZ222" s="694"/>
      <c r="BA222" s="735"/>
      <c r="BB222" s="736"/>
      <c r="BC222" s="14"/>
      <c r="BD222" s="695" t="s">
        <v>162</v>
      </c>
      <c r="BE222" s="696"/>
      <c r="BF222" s="739"/>
      <c r="BG222" s="740"/>
      <c r="BH222" s="740"/>
      <c r="BI222" s="741"/>
      <c r="BJ222" s="700" t="s">
        <v>159</v>
      </c>
      <c r="BK222" s="701"/>
      <c r="BL222" s="701"/>
      <c r="BM222" s="702"/>
      <c r="BN222" s="703" t="s">
        <v>159</v>
      </c>
      <c r="BO222" s="704"/>
      <c r="BP222" s="704"/>
      <c r="BQ222" s="704"/>
      <c r="BR222" s="704"/>
      <c r="BS222" s="704"/>
      <c r="BT222" s="704"/>
      <c r="BU222" s="704"/>
      <c r="BV222" s="705"/>
    </row>
    <row r="223" spans="1:74" ht="45" customHeight="1" x14ac:dyDescent="0.25">
      <c r="A223" s="10">
        <f t="shared" si="3"/>
        <v>209</v>
      </c>
      <c r="B223" s="711" t="s">
        <v>159</v>
      </c>
      <c r="C223" s="711"/>
      <c r="D223" s="712" t="s">
        <v>212</v>
      </c>
      <c r="E223" s="712"/>
      <c r="F223" s="664" t="s">
        <v>162</v>
      </c>
      <c r="G223" s="665"/>
      <c r="H223" s="755" t="s">
        <v>162</v>
      </c>
      <c r="I223" s="667"/>
      <c r="J223" s="706"/>
      <c r="K223" s="707"/>
      <c r="L223" s="706"/>
      <c r="M223" s="707"/>
      <c r="N223" s="194"/>
      <c r="O223" s="216"/>
      <c r="P223" s="717"/>
      <c r="Q223" s="718"/>
      <c r="R223" s="672"/>
      <c r="S223" s="673"/>
      <c r="T223" s="674"/>
      <c r="U223" s="675"/>
      <c r="V223" s="676"/>
      <c r="W223" s="677"/>
      <c r="X223" s="725" t="s">
        <v>159</v>
      </c>
      <c r="Y223" s="725"/>
      <c r="Z223" s="725"/>
      <c r="AA223" s="725"/>
      <c r="AB223" s="726" t="s">
        <v>159</v>
      </c>
      <c r="AC223" s="726"/>
      <c r="AD223" s="726"/>
      <c r="AE223" s="726"/>
      <c r="AF223" s="680"/>
      <c r="AG223" s="681"/>
      <c r="AH223" s="680"/>
      <c r="AI223" s="681"/>
      <c r="AJ223" s="686"/>
      <c r="AK223" s="687"/>
      <c r="AL223" s="664" t="s">
        <v>162</v>
      </c>
      <c r="AM223" s="665"/>
      <c r="AN223" s="713" t="s">
        <v>162</v>
      </c>
      <c r="AO223" s="714"/>
      <c r="AP223" s="686"/>
      <c r="AQ223" s="687"/>
      <c r="AR223" s="688"/>
      <c r="AS223" s="689"/>
      <c r="AT223" s="690"/>
      <c r="AU223" s="691"/>
      <c r="AV223" s="713" t="s">
        <v>162</v>
      </c>
      <c r="AW223" s="714"/>
      <c r="AX223" s="692"/>
      <c r="AY223" s="693"/>
      <c r="AZ223" s="694"/>
      <c r="BA223" s="682"/>
      <c r="BB223" s="683"/>
      <c r="BC223" s="219"/>
      <c r="BD223" s="737" t="s">
        <v>162</v>
      </c>
      <c r="BE223" s="738"/>
      <c r="BF223" s="708"/>
      <c r="BG223" s="709"/>
      <c r="BH223" s="709"/>
      <c r="BI223" s="710"/>
      <c r="BJ223" s="742" t="s">
        <v>159</v>
      </c>
      <c r="BK223" s="743"/>
      <c r="BL223" s="743"/>
      <c r="BM223" s="744"/>
      <c r="BN223" s="703" t="s">
        <v>159</v>
      </c>
      <c r="BO223" s="704"/>
      <c r="BP223" s="704"/>
      <c r="BQ223" s="704"/>
      <c r="BR223" s="704"/>
      <c r="BS223" s="704"/>
      <c r="BT223" s="704"/>
      <c r="BU223" s="704"/>
      <c r="BV223" s="705"/>
    </row>
    <row r="224" spans="1:74" ht="45" customHeight="1" x14ac:dyDescent="0.25">
      <c r="A224" s="10">
        <f t="shared" si="3"/>
        <v>210</v>
      </c>
      <c r="B224" s="662" t="s">
        <v>159</v>
      </c>
      <c r="C224" s="662"/>
      <c r="D224" s="663" t="s">
        <v>212</v>
      </c>
      <c r="E224" s="663"/>
      <c r="F224" s="664" t="s">
        <v>162</v>
      </c>
      <c r="G224" s="665"/>
      <c r="H224" s="754" t="s">
        <v>162</v>
      </c>
      <c r="I224" s="714"/>
      <c r="J224" s="340"/>
      <c r="K224" s="341"/>
      <c r="L224" s="340"/>
      <c r="M224" s="341"/>
      <c r="N224" s="215"/>
      <c r="O224" s="196"/>
      <c r="P224" s="670"/>
      <c r="Q224" s="671"/>
      <c r="R224" s="719"/>
      <c r="S224" s="720"/>
      <c r="T224" s="721"/>
      <c r="U224" s="722"/>
      <c r="V224" s="723"/>
      <c r="W224" s="724"/>
      <c r="X224" s="678" t="s">
        <v>159</v>
      </c>
      <c r="Y224" s="678"/>
      <c r="Z224" s="678"/>
      <c r="AA224" s="678"/>
      <c r="AB224" s="679" t="s">
        <v>159</v>
      </c>
      <c r="AC224" s="679"/>
      <c r="AD224" s="679"/>
      <c r="AE224" s="679"/>
      <c r="AF224" s="727"/>
      <c r="AG224" s="728"/>
      <c r="AH224" s="727"/>
      <c r="AI224" s="728"/>
      <c r="AJ224" s="682"/>
      <c r="AK224" s="683"/>
      <c r="AL224" s="684" t="s">
        <v>162</v>
      </c>
      <c r="AM224" s="685"/>
      <c r="AN224" s="666" t="s">
        <v>162</v>
      </c>
      <c r="AO224" s="667"/>
      <c r="AP224" s="729"/>
      <c r="AQ224" s="730"/>
      <c r="AR224" s="731"/>
      <c r="AS224" s="732"/>
      <c r="AT224" s="690"/>
      <c r="AU224" s="691"/>
      <c r="AV224" s="666" t="s">
        <v>162</v>
      </c>
      <c r="AW224" s="667"/>
      <c r="AX224" s="692"/>
      <c r="AY224" s="693"/>
      <c r="AZ224" s="694"/>
      <c r="BA224" s="735"/>
      <c r="BB224" s="736"/>
      <c r="BC224" s="14"/>
      <c r="BD224" s="695" t="s">
        <v>162</v>
      </c>
      <c r="BE224" s="696"/>
      <c r="BF224" s="739"/>
      <c r="BG224" s="740"/>
      <c r="BH224" s="740"/>
      <c r="BI224" s="741"/>
      <c r="BJ224" s="700" t="s">
        <v>159</v>
      </c>
      <c r="BK224" s="701"/>
      <c r="BL224" s="701"/>
      <c r="BM224" s="702"/>
      <c r="BN224" s="703" t="s">
        <v>159</v>
      </c>
      <c r="BO224" s="704"/>
      <c r="BP224" s="704"/>
      <c r="BQ224" s="704"/>
      <c r="BR224" s="704"/>
      <c r="BS224" s="704"/>
      <c r="BT224" s="704"/>
      <c r="BU224" s="704"/>
      <c r="BV224" s="705"/>
    </row>
    <row r="225" spans="1:74" ht="45" customHeight="1" x14ac:dyDescent="0.25">
      <c r="A225" s="10">
        <f t="shared" si="3"/>
        <v>211</v>
      </c>
      <c r="B225" s="711" t="s">
        <v>159</v>
      </c>
      <c r="C225" s="711"/>
      <c r="D225" s="712" t="s">
        <v>212</v>
      </c>
      <c r="E225" s="712"/>
      <c r="F225" s="664" t="s">
        <v>162</v>
      </c>
      <c r="G225" s="665"/>
      <c r="H225" s="755" t="s">
        <v>162</v>
      </c>
      <c r="I225" s="667"/>
      <c r="J225" s="706"/>
      <c r="K225" s="707"/>
      <c r="L225" s="706"/>
      <c r="M225" s="707"/>
      <c r="N225" s="194"/>
      <c r="O225" s="216"/>
      <c r="P225" s="717"/>
      <c r="Q225" s="718"/>
      <c r="R225" s="672"/>
      <c r="S225" s="673"/>
      <c r="T225" s="674"/>
      <c r="U225" s="675"/>
      <c r="V225" s="676"/>
      <c r="W225" s="677"/>
      <c r="X225" s="725" t="s">
        <v>159</v>
      </c>
      <c r="Y225" s="725"/>
      <c r="Z225" s="725"/>
      <c r="AA225" s="725"/>
      <c r="AB225" s="726" t="s">
        <v>159</v>
      </c>
      <c r="AC225" s="726"/>
      <c r="AD225" s="726"/>
      <c r="AE225" s="726"/>
      <c r="AF225" s="680"/>
      <c r="AG225" s="681"/>
      <c r="AH225" s="680"/>
      <c r="AI225" s="681"/>
      <c r="AJ225" s="686"/>
      <c r="AK225" s="687"/>
      <c r="AL225" s="664" t="s">
        <v>162</v>
      </c>
      <c r="AM225" s="665"/>
      <c r="AN225" s="713" t="s">
        <v>162</v>
      </c>
      <c r="AO225" s="714"/>
      <c r="AP225" s="686"/>
      <c r="AQ225" s="687"/>
      <c r="AR225" s="688"/>
      <c r="AS225" s="689"/>
      <c r="AT225" s="690"/>
      <c r="AU225" s="691"/>
      <c r="AV225" s="713" t="s">
        <v>162</v>
      </c>
      <c r="AW225" s="714"/>
      <c r="AX225" s="692"/>
      <c r="AY225" s="693"/>
      <c r="AZ225" s="694"/>
      <c r="BA225" s="682"/>
      <c r="BB225" s="683"/>
      <c r="BC225" s="219"/>
      <c r="BD225" s="737" t="s">
        <v>162</v>
      </c>
      <c r="BE225" s="738"/>
      <c r="BF225" s="708"/>
      <c r="BG225" s="709"/>
      <c r="BH225" s="709"/>
      <c r="BI225" s="710"/>
      <c r="BJ225" s="742" t="s">
        <v>159</v>
      </c>
      <c r="BK225" s="743"/>
      <c r="BL225" s="743"/>
      <c r="BM225" s="744"/>
      <c r="BN225" s="703" t="s">
        <v>159</v>
      </c>
      <c r="BO225" s="704"/>
      <c r="BP225" s="704"/>
      <c r="BQ225" s="704"/>
      <c r="BR225" s="704"/>
      <c r="BS225" s="704"/>
      <c r="BT225" s="704"/>
      <c r="BU225" s="704"/>
      <c r="BV225" s="705"/>
    </row>
    <row r="226" spans="1:74" ht="45" customHeight="1" x14ac:dyDescent="0.25">
      <c r="A226" s="10">
        <f t="shared" si="3"/>
        <v>212</v>
      </c>
      <c r="B226" s="662" t="s">
        <v>159</v>
      </c>
      <c r="C226" s="662"/>
      <c r="D226" s="663" t="s">
        <v>212</v>
      </c>
      <c r="E226" s="663"/>
      <c r="F226" s="664" t="s">
        <v>162</v>
      </c>
      <c r="G226" s="665"/>
      <c r="H226" s="754" t="s">
        <v>162</v>
      </c>
      <c r="I226" s="714"/>
      <c r="J226" s="340"/>
      <c r="K226" s="341"/>
      <c r="L226" s="340"/>
      <c r="M226" s="341"/>
      <c r="N226" s="215"/>
      <c r="O226" s="196"/>
      <c r="P226" s="670"/>
      <c r="Q226" s="671"/>
      <c r="R226" s="719"/>
      <c r="S226" s="720"/>
      <c r="T226" s="721"/>
      <c r="U226" s="722"/>
      <c r="V226" s="723"/>
      <c r="W226" s="724"/>
      <c r="X226" s="678" t="s">
        <v>159</v>
      </c>
      <c r="Y226" s="678"/>
      <c r="Z226" s="678"/>
      <c r="AA226" s="678"/>
      <c r="AB226" s="679" t="s">
        <v>159</v>
      </c>
      <c r="AC226" s="679"/>
      <c r="AD226" s="679"/>
      <c r="AE226" s="679"/>
      <c r="AF226" s="727"/>
      <c r="AG226" s="728"/>
      <c r="AH226" s="727"/>
      <c r="AI226" s="728"/>
      <c r="AJ226" s="682"/>
      <c r="AK226" s="683"/>
      <c r="AL226" s="684" t="s">
        <v>162</v>
      </c>
      <c r="AM226" s="685"/>
      <c r="AN226" s="666" t="s">
        <v>162</v>
      </c>
      <c r="AO226" s="667"/>
      <c r="AP226" s="729"/>
      <c r="AQ226" s="730"/>
      <c r="AR226" s="731"/>
      <c r="AS226" s="732"/>
      <c r="AT226" s="690"/>
      <c r="AU226" s="691"/>
      <c r="AV226" s="666" t="s">
        <v>162</v>
      </c>
      <c r="AW226" s="667"/>
      <c r="AX226" s="692"/>
      <c r="AY226" s="693"/>
      <c r="AZ226" s="694"/>
      <c r="BA226" s="735"/>
      <c r="BB226" s="736"/>
      <c r="BC226" s="14"/>
      <c r="BD226" s="695" t="s">
        <v>162</v>
      </c>
      <c r="BE226" s="696"/>
      <c r="BF226" s="739"/>
      <c r="BG226" s="740"/>
      <c r="BH226" s="740"/>
      <c r="BI226" s="741"/>
      <c r="BJ226" s="700" t="s">
        <v>159</v>
      </c>
      <c r="BK226" s="701"/>
      <c r="BL226" s="701"/>
      <c r="BM226" s="702"/>
      <c r="BN226" s="703" t="s">
        <v>159</v>
      </c>
      <c r="BO226" s="704"/>
      <c r="BP226" s="704"/>
      <c r="BQ226" s="704"/>
      <c r="BR226" s="704"/>
      <c r="BS226" s="704"/>
      <c r="BT226" s="704"/>
      <c r="BU226" s="704"/>
      <c r="BV226" s="705"/>
    </row>
    <row r="227" spans="1:74" ht="45" customHeight="1" x14ac:dyDescent="0.25">
      <c r="A227" s="10">
        <f t="shared" si="3"/>
        <v>213</v>
      </c>
      <c r="B227" s="711" t="s">
        <v>159</v>
      </c>
      <c r="C227" s="711"/>
      <c r="D227" s="712" t="s">
        <v>212</v>
      </c>
      <c r="E227" s="712"/>
      <c r="F227" s="664" t="s">
        <v>162</v>
      </c>
      <c r="G227" s="665"/>
      <c r="H227" s="755" t="s">
        <v>162</v>
      </c>
      <c r="I227" s="667"/>
      <c r="J227" s="706"/>
      <c r="K227" s="707"/>
      <c r="L227" s="706"/>
      <c r="M227" s="707"/>
      <c r="N227" s="194"/>
      <c r="O227" s="216"/>
      <c r="P227" s="717"/>
      <c r="Q227" s="718"/>
      <c r="R227" s="672"/>
      <c r="S227" s="673"/>
      <c r="T227" s="674"/>
      <c r="U227" s="675"/>
      <c r="V227" s="676"/>
      <c r="W227" s="677"/>
      <c r="X227" s="725" t="s">
        <v>159</v>
      </c>
      <c r="Y227" s="725"/>
      <c r="Z227" s="725"/>
      <c r="AA227" s="725"/>
      <c r="AB227" s="726" t="s">
        <v>159</v>
      </c>
      <c r="AC227" s="726"/>
      <c r="AD227" s="726"/>
      <c r="AE227" s="726"/>
      <c r="AF227" s="680"/>
      <c r="AG227" s="681"/>
      <c r="AH227" s="680"/>
      <c r="AI227" s="681"/>
      <c r="AJ227" s="686"/>
      <c r="AK227" s="687"/>
      <c r="AL227" s="664" t="s">
        <v>162</v>
      </c>
      <c r="AM227" s="665"/>
      <c r="AN227" s="713" t="s">
        <v>162</v>
      </c>
      <c r="AO227" s="714"/>
      <c r="AP227" s="686"/>
      <c r="AQ227" s="687"/>
      <c r="AR227" s="688"/>
      <c r="AS227" s="689"/>
      <c r="AT227" s="690"/>
      <c r="AU227" s="691"/>
      <c r="AV227" s="713" t="s">
        <v>162</v>
      </c>
      <c r="AW227" s="714"/>
      <c r="AX227" s="692"/>
      <c r="AY227" s="693"/>
      <c r="AZ227" s="694"/>
      <c r="BA227" s="682"/>
      <c r="BB227" s="683"/>
      <c r="BC227" s="219"/>
      <c r="BD227" s="737" t="s">
        <v>162</v>
      </c>
      <c r="BE227" s="738"/>
      <c r="BF227" s="697"/>
      <c r="BG227" s="698"/>
      <c r="BH227" s="698"/>
      <c r="BI227" s="699"/>
      <c r="BJ227" s="742" t="s">
        <v>159</v>
      </c>
      <c r="BK227" s="743"/>
      <c r="BL227" s="743"/>
      <c r="BM227" s="744"/>
      <c r="BN227" s="703" t="s">
        <v>159</v>
      </c>
      <c r="BO227" s="704"/>
      <c r="BP227" s="704"/>
      <c r="BQ227" s="704"/>
      <c r="BR227" s="704"/>
      <c r="BS227" s="704"/>
      <c r="BT227" s="704"/>
      <c r="BU227" s="704"/>
      <c r="BV227" s="705"/>
    </row>
    <row r="228" spans="1:74" ht="45" customHeight="1" x14ac:dyDescent="0.25">
      <c r="A228" s="10">
        <f t="shared" si="3"/>
        <v>214</v>
      </c>
      <c r="B228" s="662" t="s">
        <v>159</v>
      </c>
      <c r="C228" s="662"/>
      <c r="D228" s="663" t="s">
        <v>212</v>
      </c>
      <c r="E228" s="663"/>
      <c r="F228" s="664" t="s">
        <v>162</v>
      </c>
      <c r="G228" s="665"/>
      <c r="H228" s="754" t="s">
        <v>162</v>
      </c>
      <c r="I228" s="714"/>
      <c r="J228" s="340"/>
      <c r="K228" s="341"/>
      <c r="L228" s="340"/>
      <c r="M228" s="341"/>
      <c r="N228" s="215"/>
      <c r="O228" s="196"/>
      <c r="P228" s="670"/>
      <c r="Q228" s="671"/>
      <c r="R228" s="719"/>
      <c r="S228" s="720"/>
      <c r="T228" s="721"/>
      <c r="U228" s="722"/>
      <c r="V228" s="723"/>
      <c r="W228" s="724"/>
      <c r="X228" s="678" t="s">
        <v>159</v>
      </c>
      <c r="Y228" s="678"/>
      <c r="Z228" s="678"/>
      <c r="AA228" s="678"/>
      <c r="AB228" s="679" t="s">
        <v>159</v>
      </c>
      <c r="AC228" s="679"/>
      <c r="AD228" s="679"/>
      <c r="AE228" s="679"/>
      <c r="AF228" s="727"/>
      <c r="AG228" s="728"/>
      <c r="AH228" s="727"/>
      <c r="AI228" s="728"/>
      <c r="AJ228" s="682"/>
      <c r="AK228" s="683"/>
      <c r="AL228" s="684" t="s">
        <v>162</v>
      </c>
      <c r="AM228" s="685"/>
      <c r="AN228" s="666" t="s">
        <v>162</v>
      </c>
      <c r="AO228" s="667"/>
      <c r="AP228" s="729"/>
      <c r="AQ228" s="730"/>
      <c r="AR228" s="731"/>
      <c r="AS228" s="732"/>
      <c r="AT228" s="690"/>
      <c r="AU228" s="691"/>
      <c r="AV228" s="666" t="s">
        <v>162</v>
      </c>
      <c r="AW228" s="667"/>
      <c r="AX228" s="692"/>
      <c r="AY228" s="693"/>
      <c r="AZ228" s="694"/>
      <c r="BA228" s="735"/>
      <c r="BB228" s="736"/>
      <c r="BC228" s="14"/>
      <c r="BD228" s="695" t="s">
        <v>162</v>
      </c>
      <c r="BE228" s="696"/>
      <c r="BF228" s="739"/>
      <c r="BG228" s="740"/>
      <c r="BH228" s="740"/>
      <c r="BI228" s="741"/>
      <c r="BJ228" s="700" t="s">
        <v>159</v>
      </c>
      <c r="BK228" s="701"/>
      <c r="BL228" s="701"/>
      <c r="BM228" s="702"/>
      <c r="BN228" s="703" t="s">
        <v>159</v>
      </c>
      <c r="BO228" s="704"/>
      <c r="BP228" s="704"/>
      <c r="BQ228" s="704"/>
      <c r="BR228" s="704"/>
      <c r="BS228" s="704"/>
      <c r="BT228" s="704"/>
      <c r="BU228" s="704"/>
      <c r="BV228" s="705"/>
    </row>
    <row r="229" spans="1:74" ht="45" customHeight="1" x14ac:dyDescent="0.25">
      <c r="A229" s="10">
        <f t="shared" si="3"/>
        <v>215</v>
      </c>
      <c r="B229" s="711" t="s">
        <v>159</v>
      </c>
      <c r="C229" s="711"/>
      <c r="D229" s="712" t="s">
        <v>212</v>
      </c>
      <c r="E229" s="712"/>
      <c r="F229" s="664" t="s">
        <v>162</v>
      </c>
      <c r="G229" s="665"/>
      <c r="H229" s="755" t="s">
        <v>162</v>
      </c>
      <c r="I229" s="667"/>
      <c r="J229" s="706"/>
      <c r="K229" s="707"/>
      <c r="L229" s="706"/>
      <c r="M229" s="707"/>
      <c r="N229" s="194"/>
      <c r="O229" s="216"/>
      <c r="P229" s="717"/>
      <c r="Q229" s="718"/>
      <c r="R229" s="672"/>
      <c r="S229" s="673"/>
      <c r="T229" s="674"/>
      <c r="U229" s="675"/>
      <c r="V229" s="676"/>
      <c r="W229" s="677"/>
      <c r="X229" s="725" t="s">
        <v>159</v>
      </c>
      <c r="Y229" s="725"/>
      <c r="Z229" s="725"/>
      <c r="AA229" s="725"/>
      <c r="AB229" s="726" t="s">
        <v>159</v>
      </c>
      <c r="AC229" s="726"/>
      <c r="AD229" s="726"/>
      <c r="AE229" s="726"/>
      <c r="AF229" s="680"/>
      <c r="AG229" s="681"/>
      <c r="AH229" s="680"/>
      <c r="AI229" s="681"/>
      <c r="AJ229" s="686"/>
      <c r="AK229" s="687"/>
      <c r="AL229" s="664" t="s">
        <v>162</v>
      </c>
      <c r="AM229" s="665"/>
      <c r="AN229" s="713" t="s">
        <v>162</v>
      </c>
      <c r="AO229" s="714"/>
      <c r="AP229" s="686"/>
      <c r="AQ229" s="687"/>
      <c r="AR229" s="688"/>
      <c r="AS229" s="689"/>
      <c r="AT229" s="690"/>
      <c r="AU229" s="691"/>
      <c r="AV229" s="713" t="s">
        <v>162</v>
      </c>
      <c r="AW229" s="714"/>
      <c r="AX229" s="692"/>
      <c r="AY229" s="693"/>
      <c r="AZ229" s="694"/>
      <c r="BA229" s="682"/>
      <c r="BB229" s="683"/>
      <c r="BC229" s="219"/>
      <c r="BD229" s="737" t="s">
        <v>162</v>
      </c>
      <c r="BE229" s="738"/>
      <c r="BF229" s="708"/>
      <c r="BG229" s="709"/>
      <c r="BH229" s="709"/>
      <c r="BI229" s="710"/>
      <c r="BJ229" s="742" t="s">
        <v>159</v>
      </c>
      <c r="BK229" s="743"/>
      <c r="BL229" s="743"/>
      <c r="BM229" s="744"/>
      <c r="BN229" s="703" t="s">
        <v>159</v>
      </c>
      <c r="BO229" s="704"/>
      <c r="BP229" s="704"/>
      <c r="BQ229" s="704"/>
      <c r="BR229" s="704"/>
      <c r="BS229" s="704"/>
      <c r="BT229" s="704"/>
      <c r="BU229" s="704"/>
      <c r="BV229" s="705"/>
    </row>
    <row r="230" spans="1:74" ht="45" customHeight="1" x14ac:dyDescent="0.25">
      <c r="A230" s="10">
        <f t="shared" si="3"/>
        <v>216</v>
      </c>
      <c r="B230" s="662" t="s">
        <v>159</v>
      </c>
      <c r="C230" s="662"/>
      <c r="D230" s="663" t="s">
        <v>212</v>
      </c>
      <c r="E230" s="663"/>
      <c r="F230" s="664" t="s">
        <v>162</v>
      </c>
      <c r="G230" s="665"/>
      <c r="H230" s="754" t="s">
        <v>162</v>
      </c>
      <c r="I230" s="714"/>
      <c r="J230" s="340"/>
      <c r="K230" s="341"/>
      <c r="L230" s="340"/>
      <c r="M230" s="341"/>
      <c r="N230" s="215"/>
      <c r="O230" s="196"/>
      <c r="P230" s="670"/>
      <c r="Q230" s="671"/>
      <c r="R230" s="719"/>
      <c r="S230" s="720"/>
      <c r="T230" s="721"/>
      <c r="U230" s="722"/>
      <c r="V230" s="723"/>
      <c r="W230" s="724"/>
      <c r="X230" s="678" t="s">
        <v>159</v>
      </c>
      <c r="Y230" s="678"/>
      <c r="Z230" s="678"/>
      <c r="AA230" s="678"/>
      <c r="AB230" s="679" t="s">
        <v>159</v>
      </c>
      <c r="AC230" s="679"/>
      <c r="AD230" s="679"/>
      <c r="AE230" s="679"/>
      <c r="AF230" s="727"/>
      <c r="AG230" s="728"/>
      <c r="AH230" s="727"/>
      <c r="AI230" s="728"/>
      <c r="AJ230" s="682"/>
      <c r="AK230" s="683"/>
      <c r="AL230" s="684" t="s">
        <v>162</v>
      </c>
      <c r="AM230" s="685"/>
      <c r="AN230" s="666" t="s">
        <v>162</v>
      </c>
      <c r="AO230" s="667"/>
      <c r="AP230" s="729"/>
      <c r="AQ230" s="730"/>
      <c r="AR230" s="731"/>
      <c r="AS230" s="732"/>
      <c r="AT230" s="690"/>
      <c r="AU230" s="691"/>
      <c r="AV230" s="666" t="s">
        <v>162</v>
      </c>
      <c r="AW230" s="667"/>
      <c r="AX230" s="692"/>
      <c r="AY230" s="693"/>
      <c r="AZ230" s="694"/>
      <c r="BA230" s="735"/>
      <c r="BB230" s="736"/>
      <c r="BC230" s="14"/>
      <c r="BD230" s="695" t="s">
        <v>162</v>
      </c>
      <c r="BE230" s="696"/>
      <c r="BF230" s="739"/>
      <c r="BG230" s="740"/>
      <c r="BH230" s="740"/>
      <c r="BI230" s="741"/>
      <c r="BJ230" s="700" t="s">
        <v>159</v>
      </c>
      <c r="BK230" s="701"/>
      <c r="BL230" s="701"/>
      <c r="BM230" s="702"/>
      <c r="BN230" s="703" t="s">
        <v>159</v>
      </c>
      <c r="BO230" s="704"/>
      <c r="BP230" s="704"/>
      <c r="BQ230" s="704"/>
      <c r="BR230" s="704"/>
      <c r="BS230" s="704"/>
      <c r="BT230" s="704"/>
      <c r="BU230" s="704"/>
      <c r="BV230" s="705"/>
    </row>
    <row r="231" spans="1:74" ht="45" customHeight="1" x14ac:dyDescent="0.25">
      <c r="A231" s="10">
        <f t="shared" si="3"/>
        <v>217</v>
      </c>
      <c r="B231" s="711" t="s">
        <v>159</v>
      </c>
      <c r="C231" s="711"/>
      <c r="D231" s="712" t="s">
        <v>212</v>
      </c>
      <c r="E231" s="712"/>
      <c r="F231" s="664" t="s">
        <v>162</v>
      </c>
      <c r="G231" s="665"/>
      <c r="H231" s="755" t="s">
        <v>162</v>
      </c>
      <c r="I231" s="667"/>
      <c r="J231" s="706"/>
      <c r="K231" s="707"/>
      <c r="L231" s="706"/>
      <c r="M231" s="707"/>
      <c r="N231" s="194"/>
      <c r="O231" s="216"/>
      <c r="P231" s="717"/>
      <c r="Q231" s="718"/>
      <c r="R231" s="672"/>
      <c r="S231" s="673"/>
      <c r="T231" s="674"/>
      <c r="U231" s="675"/>
      <c r="V231" s="676"/>
      <c r="W231" s="677"/>
      <c r="X231" s="725" t="s">
        <v>159</v>
      </c>
      <c r="Y231" s="725"/>
      <c r="Z231" s="725"/>
      <c r="AA231" s="725"/>
      <c r="AB231" s="726" t="s">
        <v>159</v>
      </c>
      <c r="AC231" s="726"/>
      <c r="AD231" s="726"/>
      <c r="AE231" s="726"/>
      <c r="AF231" s="680"/>
      <c r="AG231" s="681"/>
      <c r="AH231" s="680"/>
      <c r="AI231" s="681"/>
      <c r="AJ231" s="686"/>
      <c r="AK231" s="687"/>
      <c r="AL231" s="664" t="s">
        <v>162</v>
      </c>
      <c r="AM231" s="665"/>
      <c r="AN231" s="713" t="s">
        <v>162</v>
      </c>
      <c r="AO231" s="714"/>
      <c r="AP231" s="686"/>
      <c r="AQ231" s="687"/>
      <c r="AR231" s="688"/>
      <c r="AS231" s="689"/>
      <c r="AT231" s="690"/>
      <c r="AU231" s="691"/>
      <c r="AV231" s="713" t="s">
        <v>162</v>
      </c>
      <c r="AW231" s="714"/>
      <c r="AX231" s="692"/>
      <c r="AY231" s="693"/>
      <c r="AZ231" s="694"/>
      <c r="BA231" s="682"/>
      <c r="BB231" s="683"/>
      <c r="BC231" s="219"/>
      <c r="BD231" s="737" t="s">
        <v>162</v>
      </c>
      <c r="BE231" s="738"/>
      <c r="BF231" s="697"/>
      <c r="BG231" s="698"/>
      <c r="BH231" s="698"/>
      <c r="BI231" s="699"/>
      <c r="BJ231" s="742" t="s">
        <v>159</v>
      </c>
      <c r="BK231" s="743"/>
      <c r="BL231" s="743"/>
      <c r="BM231" s="744"/>
      <c r="BN231" s="703" t="s">
        <v>159</v>
      </c>
      <c r="BO231" s="704"/>
      <c r="BP231" s="704"/>
      <c r="BQ231" s="704"/>
      <c r="BR231" s="704"/>
      <c r="BS231" s="704"/>
      <c r="BT231" s="704"/>
      <c r="BU231" s="704"/>
      <c r="BV231" s="705"/>
    </row>
    <row r="232" spans="1:74" ht="45" customHeight="1" x14ac:dyDescent="0.25">
      <c r="A232" s="10">
        <f t="shared" si="3"/>
        <v>218</v>
      </c>
      <c r="B232" s="662" t="s">
        <v>159</v>
      </c>
      <c r="C232" s="662"/>
      <c r="D232" s="663" t="s">
        <v>212</v>
      </c>
      <c r="E232" s="663"/>
      <c r="F232" s="664" t="s">
        <v>162</v>
      </c>
      <c r="G232" s="665"/>
      <c r="H232" s="754" t="s">
        <v>162</v>
      </c>
      <c r="I232" s="714"/>
      <c r="J232" s="340"/>
      <c r="K232" s="341"/>
      <c r="L232" s="340"/>
      <c r="M232" s="341"/>
      <c r="N232" s="215"/>
      <c r="O232" s="196"/>
      <c r="P232" s="670"/>
      <c r="Q232" s="671"/>
      <c r="R232" s="719"/>
      <c r="S232" s="720"/>
      <c r="T232" s="721"/>
      <c r="U232" s="722"/>
      <c r="V232" s="723"/>
      <c r="W232" s="724"/>
      <c r="X232" s="678" t="s">
        <v>159</v>
      </c>
      <c r="Y232" s="678"/>
      <c r="Z232" s="678"/>
      <c r="AA232" s="678"/>
      <c r="AB232" s="679" t="s">
        <v>159</v>
      </c>
      <c r="AC232" s="679"/>
      <c r="AD232" s="679"/>
      <c r="AE232" s="679"/>
      <c r="AF232" s="727"/>
      <c r="AG232" s="728"/>
      <c r="AH232" s="727"/>
      <c r="AI232" s="728"/>
      <c r="AJ232" s="682"/>
      <c r="AK232" s="683"/>
      <c r="AL232" s="684" t="s">
        <v>162</v>
      </c>
      <c r="AM232" s="685"/>
      <c r="AN232" s="666" t="s">
        <v>162</v>
      </c>
      <c r="AO232" s="667"/>
      <c r="AP232" s="729"/>
      <c r="AQ232" s="730"/>
      <c r="AR232" s="731"/>
      <c r="AS232" s="732"/>
      <c r="AT232" s="690"/>
      <c r="AU232" s="691"/>
      <c r="AV232" s="666" t="s">
        <v>162</v>
      </c>
      <c r="AW232" s="667"/>
      <c r="AX232" s="692"/>
      <c r="AY232" s="693"/>
      <c r="AZ232" s="694"/>
      <c r="BA232" s="735"/>
      <c r="BB232" s="736"/>
      <c r="BC232" s="14"/>
      <c r="BD232" s="695" t="s">
        <v>162</v>
      </c>
      <c r="BE232" s="696"/>
      <c r="BF232" s="739"/>
      <c r="BG232" s="740"/>
      <c r="BH232" s="740"/>
      <c r="BI232" s="741"/>
      <c r="BJ232" s="700" t="s">
        <v>159</v>
      </c>
      <c r="BK232" s="701"/>
      <c r="BL232" s="701"/>
      <c r="BM232" s="702"/>
      <c r="BN232" s="703" t="s">
        <v>159</v>
      </c>
      <c r="BO232" s="704"/>
      <c r="BP232" s="704"/>
      <c r="BQ232" s="704"/>
      <c r="BR232" s="704"/>
      <c r="BS232" s="704"/>
      <c r="BT232" s="704"/>
      <c r="BU232" s="704"/>
      <c r="BV232" s="705"/>
    </row>
    <row r="233" spans="1:74" ht="45" customHeight="1" x14ac:dyDescent="0.25">
      <c r="A233" s="10">
        <f t="shared" si="3"/>
        <v>219</v>
      </c>
      <c r="B233" s="711" t="s">
        <v>159</v>
      </c>
      <c r="C233" s="711"/>
      <c r="D233" s="712" t="s">
        <v>212</v>
      </c>
      <c r="E233" s="712"/>
      <c r="F233" s="664" t="s">
        <v>162</v>
      </c>
      <c r="G233" s="665"/>
      <c r="H233" s="755" t="s">
        <v>162</v>
      </c>
      <c r="I233" s="667"/>
      <c r="J233" s="706"/>
      <c r="K233" s="707"/>
      <c r="L233" s="706"/>
      <c r="M233" s="707"/>
      <c r="N233" s="194"/>
      <c r="O233" s="216"/>
      <c r="P233" s="717"/>
      <c r="Q233" s="718"/>
      <c r="R233" s="672"/>
      <c r="S233" s="673"/>
      <c r="T233" s="674"/>
      <c r="U233" s="675"/>
      <c r="V233" s="676"/>
      <c r="W233" s="677"/>
      <c r="X233" s="725" t="s">
        <v>159</v>
      </c>
      <c r="Y233" s="725"/>
      <c r="Z233" s="725"/>
      <c r="AA233" s="725"/>
      <c r="AB233" s="726" t="s">
        <v>159</v>
      </c>
      <c r="AC233" s="726"/>
      <c r="AD233" s="726"/>
      <c r="AE233" s="726"/>
      <c r="AF233" s="680"/>
      <c r="AG233" s="681"/>
      <c r="AH233" s="680"/>
      <c r="AI233" s="681"/>
      <c r="AJ233" s="686"/>
      <c r="AK233" s="687"/>
      <c r="AL233" s="664" t="s">
        <v>162</v>
      </c>
      <c r="AM233" s="665"/>
      <c r="AN233" s="713" t="s">
        <v>162</v>
      </c>
      <c r="AO233" s="714"/>
      <c r="AP233" s="686"/>
      <c r="AQ233" s="687"/>
      <c r="AR233" s="688"/>
      <c r="AS233" s="689"/>
      <c r="AT233" s="690"/>
      <c r="AU233" s="691"/>
      <c r="AV233" s="713" t="s">
        <v>162</v>
      </c>
      <c r="AW233" s="714"/>
      <c r="AX233" s="692"/>
      <c r="AY233" s="693"/>
      <c r="AZ233" s="694"/>
      <c r="BA233" s="682"/>
      <c r="BB233" s="683"/>
      <c r="BC233" s="219"/>
      <c r="BD233" s="737" t="s">
        <v>162</v>
      </c>
      <c r="BE233" s="738"/>
      <c r="BF233" s="708"/>
      <c r="BG233" s="709"/>
      <c r="BH233" s="709"/>
      <c r="BI233" s="710"/>
      <c r="BJ233" s="742" t="s">
        <v>159</v>
      </c>
      <c r="BK233" s="743"/>
      <c r="BL233" s="743"/>
      <c r="BM233" s="744"/>
      <c r="BN233" s="703" t="s">
        <v>159</v>
      </c>
      <c r="BO233" s="704"/>
      <c r="BP233" s="704"/>
      <c r="BQ233" s="704"/>
      <c r="BR233" s="704"/>
      <c r="BS233" s="704"/>
      <c r="BT233" s="704"/>
      <c r="BU233" s="704"/>
      <c r="BV233" s="705"/>
    </row>
    <row r="234" spans="1:74" ht="45" customHeight="1" x14ac:dyDescent="0.25">
      <c r="A234" s="10">
        <f t="shared" si="3"/>
        <v>220</v>
      </c>
      <c r="B234" s="662" t="s">
        <v>159</v>
      </c>
      <c r="C234" s="662"/>
      <c r="D234" s="663" t="s">
        <v>212</v>
      </c>
      <c r="E234" s="663"/>
      <c r="F234" s="664" t="s">
        <v>162</v>
      </c>
      <c r="G234" s="665"/>
      <c r="H234" s="754" t="s">
        <v>162</v>
      </c>
      <c r="I234" s="714"/>
      <c r="J234" s="340"/>
      <c r="K234" s="341"/>
      <c r="L234" s="340"/>
      <c r="M234" s="341"/>
      <c r="N234" s="215"/>
      <c r="O234" s="196"/>
      <c r="P234" s="670"/>
      <c r="Q234" s="671"/>
      <c r="R234" s="719"/>
      <c r="S234" s="720"/>
      <c r="T234" s="721"/>
      <c r="U234" s="722"/>
      <c r="V234" s="723"/>
      <c r="W234" s="724"/>
      <c r="X234" s="678" t="s">
        <v>159</v>
      </c>
      <c r="Y234" s="678"/>
      <c r="Z234" s="678"/>
      <c r="AA234" s="678"/>
      <c r="AB234" s="679" t="s">
        <v>159</v>
      </c>
      <c r="AC234" s="679"/>
      <c r="AD234" s="679"/>
      <c r="AE234" s="679"/>
      <c r="AF234" s="727"/>
      <c r="AG234" s="728"/>
      <c r="AH234" s="727"/>
      <c r="AI234" s="728"/>
      <c r="AJ234" s="682"/>
      <c r="AK234" s="683"/>
      <c r="AL234" s="684" t="s">
        <v>162</v>
      </c>
      <c r="AM234" s="685"/>
      <c r="AN234" s="666" t="s">
        <v>162</v>
      </c>
      <c r="AO234" s="667"/>
      <c r="AP234" s="729"/>
      <c r="AQ234" s="730"/>
      <c r="AR234" s="731"/>
      <c r="AS234" s="732"/>
      <c r="AT234" s="690"/>
      <c r="AU234" s="691"/>
      <c r="AV234" s="666" t="s">
        <v>162</v>
      </c>
      <c r="AW234" s="667"/>
      <c r="AX234" s="692"/>
      <c r="AY234" s="693"/>
      <c r="AZ234" s="694"/>
      <c r="BA234" s="735"/>
      <c r="BB234" s="736"/>
      <c r="BC234" s="14"/>
      <c r="BD234" s="695" t="s">
        <v>162</v>
      </c>
      <c r="BE234" s="696"/>
      <c r="BF234" s="739"/>
      <c r="BG234" s="740"/>
      <c r="BH234" s="740"/>
      <c r="BI234" s="741"/>
      <c r="BJ234" s="700" t="s">
        <v>159</v>
      </c>
      <c r="BK234" s="701"/>
      <c r="BL234" s="701"/>
      <c r="BM234" s="702"/>
      <c r="BN234" s="703" t="s">
        <v>159</v>
      </c>
      <c r="BO234" s="704"/>
      <c r="BP234" s="704"/>
      <c r="BQ234" s="704"/>
      <c r="BR234" s="704"/>
      <c r="BS234" s="704"/>
      <c r="BT234" s="704"/>
      <c r="BU234" s="704"/>
      <c r="BV234" s="705"/>
    </row>
    <row r="235" spans="1:74" ht="45" customHeight="1" x14ac:dyDescent="0.25">
      <c r="A235" s="10">
        <f t="shared" si="3"/>
        <v>221</v>
      </c>
      <c r="B235" s="711" t="s">
        <v>159</v>
      </c>
      <c r="C235" s="711"/>
      <c r="D235" s="712" t="s">
        <v>212</v>
      </c>
      <c r="E235" s="712"/>
      <c r="F235" s="664" t="s">
        <v>162</v>
      </c>
      <c r="G235" s="665"/>
      <c r="H235" s="755" t="s">
        <v>162</v>
      </c>
      <c r="I235" s="667"/>
      <c r="J235" s="706"/>
      <c r="K235" s="707"/>
      <c r="L235" s="706"/>
      <c r="M235" s="707"/>
      <c r="N235" s="194"/>
      <c r="O235" s="216"/>
      <c r="P235" s="717"/>
      <c r="Q235" s="718"/>
      <c r="R235" s="672"/>
      <c r="S235" s="673"/>
      <c r="T235" s="674"/>
      <c r="U235" s="675"/>
      <c r="V235" s="676"/>
      <c r="W235" s="677"/>
      <c r="X235" s="725" t="s">
        <v>159</v>
      </c>
      <c r="Y235" s="725"/>
      <c r="Z235" s="725"/>
      <c r="AA235" s="725"/>
      <c r="AB235" s="726" t="s">
        <v>159</v>
      </c>
      <c r="AC235" s="726"/>
      <c r="AD235" s="726"/>
      <c r="AE235" s="726"/>
      <c r="AF235" s="680"/>
      <c r="AG235" s="681"/>
      <c r="AH235" s="680"/>
      <c r="AI235" s="681"/>
      <c r="AJ235" s="686"/>
      <c r="AK235" s="687"/>
      <c r="AL235" s="664" t="s">
        <v>162</v>
      </c>
      <c r="AM235" s="665"/>
      <c r="AN235" s="713" t="s">
        <v>162</v>
      </c>
      <c r="AO235" s="714"/>
      <c r="AP235" s="686"/>
      <c r="AQ235" s="687"/>
      <c r="AR235" s="688"/>
      <c r="AS235" s="689"/>
      <c r="AT235" s="690"/>
      <c r="AU235" s="691"/>
      <c r="AV235" s="713" t="s">
        <v>162</v>
      </c>
      <c r="AW235" s="714"/>
      <c r="AX235" s="692"/>
      <c r="AY235" s="693"/>
      <c r="AZ235" s="694"/>
      <c r="BA235" s="682"/>
      <c r="BB235" s="683"/>
      <c r="BC235" s="219"/>
      <c r="BD235" s="737" t="s">
        <v>162</v>
      </c>
      <c r="BE235" s="738"/>
      <c r="BF235" s="708"/>
      <c r="BG235" s="709"/>
      <c r="BH235" s="709"/>
      <c r="BI235" s="710"/>
      <c r="BJ235" s="742" t="s">
        <v>159</v>
      </c>
      <c r="BK235" s="743"/>
      <c r="BL235" s="743"/>
      <c r="BM235" s="744"/>
      <c r="BN235" s="703" t="s">
        <v>159</v>
      </c>
      <c r="BO235" s="704"/>
      <c r="BP235" s="704"/>
      <c r="BQ235" s="704"/>
      <c r="BR235" s="704"/>
      <c r="BS235" s="704"/>
      <c r="BT235" s="704"/>
      <c r="BU235" s="704"/>
      <c r="BV235" s="705"/>
    </row>
    <row r="236" spans="1:74" ht="45" customHeight="1" x14ac:dyDescent="0.25">
      <c r="A236" s="10">
        <f t="shared" si="3"/>
        <v>222</v>
      </c>
      <c r="B236" s="662" t="s">
        <v>159</v>
      </c>
      <c r="C236" s="662"/>
      <c r="D236" s="663" t="s">
        <v>212</v>
      </c>
      <c r="E236" s="663"/>
      <c r="F236" s="664" t="s">
        <v>162</v>
      </c>
      <c r="G236" s="665"/>
      <c r="H236" s="754" t="s">
        <v>162</v>
      </c>
      <c r="I236" s="714"/>
      <c r="J236" s="340"/>
      <c r="K236" s="341"/>
      <c r="L236" s="340"/>
      <c r="M236" s="341"/>
      <c r="N236" s="215"/>
      <c r="O236" s="196"/>
      <c r="P236" s="670"/>
      <c r="Q236" s="671"/>
      <c r="R236" s="719"/>
      <c r="S236" s="720"/>
      <c r="T236" s="721"/>
      <c r="U236" s="722"/>
      <c r="V236" s="723"/>
      <c r="W236" s="724"/>
      <c r="X236" s="678" t="s">
        <v>159</v>
      </c>
      <c r="Y236" s="678"/>
      <c r="Z236" s="678"/>
      <c r="AA236" s="678"/>
      <c r="AB236" s="679" t="s">
        <v>159</v>
      </c>
      <c r="AC236" s="679"/>
      <c r="AD236" s="679"/>
      <c r="AE236" s="679"/>
      <c r="AF236" s="727"/>
      <c r="AG236" s="728"/>
      <c r="AH236" s="727"/>
      <c r="AI236" s="728"/>
      <c r="AJ236" s="682"/>
      <c r="AK236" s="683"/>
      <c r="AL236" s="684" t="s">
        <v>162</v>
      </c>
      <c r="AM236" s="685"/>
      <c r="AN236" s="666" t="s">
        <v>162</v>
      </c>
      <c r="AO236" s="667"/>
      <c r="AP236" s="729"/>
      <c r="AQ236" s="730"/>
      <c r="AR236" s="731"/>
      <c r="AS236" s="732"/>
      <c r="AT236" s="690"/>
      <c r="AU236" s="691"/>
      <c r="AV236" s="666" t="s">
        <v>162</v>
      </c>
      <c r="AW236" s="667"/>
      <c r="AX236" s="692"/>
      <c r="AY236" s="693"/>
      <c r="AZ236" s="694"/>
      <c r="BA236" s="735"/>
      <c r="BB236" s="736"/>
      <c r="BC236" s="14"/>
      <c r="BD236" s="695" t="s">
        <v>162</v>
      </c>
      <c r="BE236" s="696"/>
      <c r="BF236" s="739"/>
      <c r="BG236" s="740"/>
      <c r="BH236" s="740"/>
      <c r="BI236" s="741"/>
      <c r="BJ236" s="700" t="s">
        <v>159</v>
      </c>
      <c r="BK236" s="701"/>
      <c r="BL236" s="701"/>
      <c r="BM236" s="702"/>
      <c r="BN236" s="703" t="s">
        <v>159</v>
      </c>
      <c r="BO236" s="704"/>
      <c r="BP236" s="704"/>
      <c r="BQ236" s="704"/>
      <c r="BR236" s="704"/>
      <c r="BS236" s="704"/>
      <c r="BT236" s="704"/>
      <c r="BU236" s="704"/>
      <c r="BV236" s="705"/>
    </row>
    <row r="237" spans="1:74" ht="45" customHeight="1" x14ac:dyDescent="0.25">
      <c r="A237" s="10">
        <f t="shared" si="3"/>
        <v>223</v>
      </c>
      <c r="B237" s="711" t="s">
        <v>159</v>
      </c>
      <c r="C237" s="711"/>
      <c r="D237" s="712" t="s">
        <v>212</v>
      </c>
      <c r="E237" s="712"/>
      <c r="F237" s="664" t="s">
        <v>162</v>
      </c>
      <c r="G237" s="665"/>
      <c r="H237" s="755" t="s">
        <v>162</v>
      </c>
      <c r="I237" s="667"/>
      <c r="J237" s="706"/>
      <c r="K237" s="707"/>
      <c r="L237" s="706"/>
      <c r="M237" s="707"/>
      <c r="N237" s="194"/>
      <c r="O237" s="216"/>
      <c r="P237" s="717"/>
      <c r="Q237" s="718"/>
      <c r="R237" s="672"/>
      <c r="S237" s="673"/>
      <c r="T237" s="674"/>
      <c r="U237" s="675"/>
      <c r="V237" s="676"/>
      <c r="W237" s="677"/>
      <c r="X237" s="725" t="s">
        <v>159</v>
      </c>
      <c r="Y237" s="725"/>
      <c r="Z237" s="725"/>
      <c r="AA237" s="725"/>
      <c r="AB237" s="726" t="s">
        <v>159</v>
      </c>
      <c r="AC237" s="726"/>
      <c r="AD237" s="726"/>
      <c r="AE237" s="726"/>
      <c r="AF237" s="680"/>
      <c r="AG237" s="681"/>
      <c r="AH237" s="680"/>
      <c r="AI237" s="681"/>
      <c r="AJ237" s="686"/>
      <c r="AK237" s="687"/>
      <c r="AL237" s="664" t="s">
        <v>162</v>
      </c>
      <c r="AM237" s="665"/>
      <c r="AN237" s="713" t="s">
        <v>162</v>
      </c>
      <c r="AO237" s="714"/>
      <c r="AP237" s="686"/>
      <c r="AQ237" s="687"/>
      <c r="AR237" s="688"/>
      <c r="AS237" s="689"/>
      <c r="AT237" s="690"/>
      <c r="AU237" s="691"/>
      <c r="AV237" s="713" t="s">
        <v>162</v>
      </c>
      <c r="AW237" s="714"/>
      <c r="AX237" s="692"/>
      <c r="AY237" s="693"/>
      <c r="AZ237" s="694"/>
      <c r="BA237" s="682"/>
      <c r="BB237" s="683"/>
      <c r="BC237" s="219"/>
      <c r="BD237" s="737" t="s">
        <v>162</v>
      </c>
      <c r="BE237" s="738"/>
      <c r="BF237" s="697"/>
      <c r="BG237" s="698"/>
      <c r="BH237" s="698"/>
      <c r="BI237" s="699"/>
      <c r="BJ237" s="742" t="s">
        <v>159</v>
      </c>
      <c r="BK237" s="743"/>
      <c r="BL237" s="743"/>
      <c r="BM237" s="744"/>
      <c r="BN237" s="703" t="s">
        <v>159</v>
      </c>
      <c r="BO237" s="704"/>
      <c r="BP237" s="704"/>
      <c r="BQ237" s="704"/>
      <c r="BR237" s="704"/>
      <c r="BS237" s="704"/>
      <c r="BT237" s="704"/>
      <c r="BU237" s="704"/>
      <c r="BV237" s="705"/>
    </row>
    <row r="238" spans="1:74" ht="45" customHeight="1" x14ac:dyDescent="0.25">
      <c r="A238" s="10">
        <f t="shared" si="3"/>
        <v>224</v>
      </c>
      <c r="B238" s="662" t="s">
        <v>159</v>
      </c>
      <c r="C238" s="662"/>
      <c r="D238" s="663" t="s">
        <v>212</v>
      </c>
      <c r="E238" s="663"/>
      <c r="F238" s="664" t="s">
        <v>162</v>
      </c>
      <c r="G238" s="665"/>
      <c r="H238" s="754" t="s">
        <v>162</v>
      </c>
      <c r="I238" s="714"/>
      <c r="J238" s="340"/>
      <c r="K238" s="341"/>
      <c r="L238" s="340"/>
      <c r="M238" s="341"/>
      <c r="N238" s="215"/>
      <c r="O238" s="196"/>
      <c r="P238" s="670"/>
      <c r="Q238" s="671"/>
      <c r="R238" s="719"/>
      <c r="S238" s="720"/>
      <c r="T238" s="721"/>
      <c r="U238" s="722"/>
      <c r="V238" s="723"/>
      <c r="W238" s="724"/>
      <c r="X238" s="678" t="s">
        <v>159</v>
      </c>
      <c r="Y238" s="678"/>
      <c r="Z238" s="678"/>
      <c r="AA238" s="678"/>
      <c r="AB238" s="679" t="s">
        <v>159</v>
      </c>
      <c r="AC238" s="679"/>
      <c r="AD238" s="679"/>
      <c r="AE238" s="679"/>
      <c r="AF238" s="727"/>
      <c r="AG238" s="728"/>
      <c r="AH238" s="727"/>
      <c r="AI238" s="728"/>
      <c r="AJ238" s="682"/>
      <c r="AK238" s="683"/>
      <c r="AL238" s="684" t="s">
        <v>162</v>
      </c>
      <c r="AM238" s="685"/>
      <c r="AN238" s="666" t="s">
        <v>162</v>
      </c>
      <c r="AO238" s="667"/>
      <c r="AP238" s="729"/>
      <c r="AQ238" s="730"/>
      <c r="AR238" s="731"/>
      <c r="AS238" s="732"/>
      <c r="AT238" s="690"/>
      <c r="AU238" s="691"/>
      <c r="AV238" s="666" t="s">
        <v>162</v>
      </c>
      <c r="AW238" s="667"/>
      <c r="AX238" s="692"/>
      <c r="AY238" s="693"/>
      <c r="AZ238" s="694"/>
      <c r="BA238" s="735"/>
      <c r="BB238" s="736"/>
      <c r="BC238" s="14"/>
      <c r="BD238" s="695" t="s">
        <v>162</v>
      </c>
      <c r="BE238" s="696"/>
      <c r="BF238" s="739"/>
      <c r="BG238" s="740"/>
      <c r="BH238" s="740"/>
      <c r="BI238" s="741"/>
      <c r="BJ238" s="700" t="s">
        <v>159</v>
      </c>
      <c r="BK238" s="701"/>
      <c r="BL238" s="701"/>
      <c r="BM238" s="702"/>
      <c r="BN238" s="703" t="s">
        <v>159</v>
      </c>
      <c r="BO238" s="704"/>
      <c r="BP238" s="704"/>
      <c r="BQ238" s="704"/>
      <c r="BR238" s="704"/>
      <c r="BS238" s="704"/>
      <c r="BT238" s="704"/>
      <c r="BU238" s="704"/>
      <c r="BV238" s="705"/>
    </row>
    <row r="239" spans="1:74" ht="45" customHeight="1" x14ac:dyDescent="0.25">
      <c r="A239" s="10">
        <f t="shared" si="3"/>
        <v>225</v>
      </c>
      <c r="B239" s="711" t="s">
        <v>159</v>
      </c>
      <c r="C239" s="711"/>
      <c r="D239" s="712" t="s">
        <v>212</v>
      </c>
      <c r="E239" s="712"/>
      <c r="F239" s="664" t="s">
        <v>162</v>
      </c>
      <c r="G239" s="665"/>
      <c r="H239" s="755" t="s">
        <v>162</v>
      </c>
      <c r="I239" s="667"/>
      <c r="J239" s="706"/>
      <c r="K239" s="707"/>
      <c r="L239" s="706"/>
      <c r="M239" s="707"/>
      <c r="N239" s="194"/>
      <c r="O239" s="216"/>
      <c r="P239" s="717"/>
      <c r="Q239" s="718"/>
      <c r="R239" s="672"/>
      <c r="S239" s="673"/>
      <c r="T239" s="674"/>
      <c r="U239" s="675"/>
      <c r="V239" s="676"/>
      <c r="W239" s="677"/>
      <c r="X239" s="725" t="s">
        <v>159</v>
      </c>
      <c r="Y239" s="725"/>
      <c r="Z239" s="725"/>
      <c r="AA239" s="725"/>
      <c r="AB239" s="726" t="s">
        <v>159</v>
      </c>
      <c r="AC239" s="726"/>
      <c r="AD239" s="726"/>
      <c r="AE239" s="726"/>
      <c r="AF239" s="680"/>
      <c r="AG239" s="681"/>
      <c r="AH239" s="680"/>
      <c r="AI239" s="681"/>
      <c r="AJ239" s="686"/>
      <c r="AK239" s="687"/>
      <c r="AL239" s="664" t="s">
        <v>162</v>
      </c>
      <c r="AM239" s="665"/>
      <c r="AN239" s="713" t="s">
        <v>162</v>
      </c>
      <c r="AO239" s="714"/>
      <c r="AP239" s="686"/>
      <c r="AQ239" s="687"/>
      <c r="AR239" s="688"/>
      <c r="AS239" s="689"/>
      <c r="AT239" s="690"/>
      <c r="AU239" s="691"/>
      <c r="AV239" s="713" t="s">
        <v>162</v>
      </c>
      <c r="AW239" s="714"/>
      <c r="AX239" s="692"/>
      <c r="AY239" s="693"/>
      <c r="AZ239" s="694"/>
      <c r="BA239" s="682"/>
      <c r="BB239" s="683"/>
      <c r="BC239" s="219"/>
      <c r="BD239" s="737" t="s">
        <v>162</v>
      </c>
      <c r="BE239" s="738"/>
      <c r="BF239" s="708"/>
      <c r="BG239" s="709"/>
      <c r="BH239" s="709"/>
      <c r="BI239" s="710"/>
      <c r="BJ239" s="742" t="s">
        <v>159</v>
      </c>
      <c r="BK239" s="743"/>
      <c r="BL239" s="743"/>
      <c r="BM239" s="744"/>
      <c r="BN239" s="703" t="s">
        <v>159</v>
      </c>
      <c r="BO239" s="704"/>
      <c r="BP239" s="704"/>
      <c r="BQ239" s="704"/>
      <c r="BR239" s="704"/>
      <c r="BS239" s="704"/>
      <c r="BT239" s="704"/>
      <c r="BU239" s="704"/>
      <c r="BV239" s="705"/>
    </row>
    <row r="240" spans="1:74" ht="45" customHeight="1" x14ac:dyDescent="0.25">
      <c r="A240" s="10">
        <f t="shared" si="3"/>
        <v>226</v>
      </c>
      <c r="B240" s="662" t="s">
        <v>159</v>
      </c>
      <c r="C240" s="662"/>
      <c r="D240" s="663" t="s">
        <v>212</v>
      </c>
      <c r="E240" s="663"/>
      <c r="F240" s="664" t="s">
        <v>162</v>
      </c>
      <c r="G240" s="665"/>
      <c r="H240" s="754" t="s">
        <v>162</v>
      </c>
      <c r="I240" s="714"/>
      <c r="J240" s="340"/>
      <c r="K240" s="341"/>
      <c r="L240" s="340"/>
      <c r="M240" s="341"/>
      <c r="N240" s="215"/>
      <c r="O240" s="196"/>
      <c r="P240" s="670"/>
      <c r="Q240" s="671"/>
      <c r="R240" s="719"/>
      <c r="S240" s="720"/>
      <c r="T240" s="721"/>
      <c r="U240" s="722"/>
      <c r="V240" s="723"/>
      <c r="W240" s="724"/>
      <c r="X240" s="678" t="s">
        <v>159</v>
      </c>
      <c r="Y240" s="678"/>
      <c r="Z240" s="678"/>
      <c r="AA240" s="678"/>
      <c r="AB240" s="679" t="s">
        <v>159</v>
      </c>
      <c r="AC240" s="679"/>
      <c r="AD240" s="679"/>
      <c r="AE240" s="679"/>
      <c r="AF240" s="727"/>
      <c r="AG240" s="728"/>
      <c r="AH240" s="727"/>
      <c r="AI240" s="728"/>
      <c r="AJ240" s="682"/>
      <c r="AK240" s="683"/>
      <c r="AL240" s="684" t="s">
        <v>162</v>
      </c>
      <c r="AM240" s="685"/>
      <c r="AN240" s="666" t="s">
        <v>162</v>
      </c>
      <c r="AO240" s="667"/>
      <c r="AP240" s="729"/>
      <c r="AQ240" s="730"/>
      <c r="AR240" s="731"/>
      <c r="AS240" s="732"/>
      <c r="AT240" s="690"/>
      <c r="AU240" s="691"/>
      <c r="AV240" s="666" t="s">
        <v>162</v>
      </c>
      <c r="AW240" s="667"/>
      <c r="AX240" s="692"/>
      <c r="AY240" s="693"/>
      <c r="AZ240" s="694"/>
      <c r="BA240" s="735"/>
      <c r="BB240" s="736"/>
      <c r="BC240" s="14"/>
      <c r="BD240" s="695" t="s">
        <v>162</v>
      </c>
      <c r="BE240" s="696"/>
      <c r="BF240" s="739"/>
      <c r="BG240" s="740"/>
      <c r="BH240" s="740"/>
      <c r="BI240" s="741"/>
      <c r="BJ240" s="700" t="s">
        <v>159</v>
      </c>
      <c r="BK240" s="701"/>
      <c r="BL240" s="701"/>
      <c r="BM240" s="702"/>
      <c r="BN240" s="703" t="s">
        <v>159</v>
      </c>
      <c r="BO240" s="704"/>
      <c r="BP240" s="704"/>
      <c r="BQ240" s="704"/>
      <c r="BR240" s="704"/>
      <c r="BS240" s="704"/>
      <c r="BT240" s="704"/>
      <c r="BU240" s="704"/>
      <c r="BV240" s="705"/>
    </row>
    <row r="241" spans="1:74" ht="45" customHeight="1" x14ac:dyDescent="0.25">
      <c r="A241" s="10">
        <f t="shared" si="3"/>
        <v>227</v>
      </c>
      <c r="B241" s="711" t="s">
        <v>159</v>
      </c>
      <c r="C241" s="711"/>
      <c r="D241" s="712" t="s">
        <v>212</v>
      </c>
      <c r="E241" s="712"/>
      <c r="F241" s="664" t="s">
        <v>162</v>
      </c>
      <c r="G241" s="665"/>
      <c r="H241" s="755" t="s">
        <v>162</v>
      </c>
      <c r="I241" s="667"/>
      <c r="J241" s="706"/>
      <c r="K241" s="707"/>
      <c r="L241" s="706"/>
      <c r="M241" s="707"/>
      <c r="N241" s="194"/>
      <c r="O241" s="216"/>
      <c r="P241" s="717"/>
      <c r="Q241" s="718"/>
      <c r="R241" s="672"/>
      <c r="S241" s="673"/>
      <c r="T241" s="674"/>
      <c r="U241" s="675"/>
      <c r="V241" s="676"/>
      <c r="W241" s="677"/>
      <c r="X241" s="725" t="s">
        <v>159</v>
      </c>
      <c r="Y241" s="725"/>
      <c r="Z241" s="725"/>
      <c r="AA241" s="725"/>
      <c r="AB241" s="726" t="s">
        <v>159</v>
      </c>
      <c r="AC241" s="726"/>
      <c r="AD241" s="726"/>
      <c r="AE241" s="726"/>
      <c r="AF241" s="680"/>
      <c r="AG241" s="681"/>
      <c r="AH241" s="680"/>
      <c r="AI241" s="681"/>
      <c r="AJ241" s="686"/>
      <c r="AK241" s="687"/>
      <c r="AL241" s="664" t="s">
        <v>162</v>
      </c>
      <c r="AM241" s="665"/>
      <c r="AN241" s="713" t="s">
        <v>162</v>
      </c>
      <c r="AO241" s="714"/>
      <c r="AP241" s="686"/>
      <c r="AQ241" s="687"/>
      <c r="AR241" s="688"/>
      <c r="AS241" s="689"/>
      <c r="AT241" s="690"/>
      <c r="AU241" s="691"/>
      <c r="AV241" s="713" t="s">
        <v>162</v>
      </c>
      <c r="AW241" s="714"/>
      <c r="AX241" s="692"/>
      <c r="AY241" s="693"/>
      <c r="AZ241" s="694"/>
      <c r="BA241" s="682"/>
      <c r="BB241" s="683"/>
      <c r="BC241" s="219"/>
      <c r="BD241" s="737" t="s">
        <v>162</v>
      </c>
      <c r="BE241" s="738"/>
      <c r="BF241" s="697"/>
      <c r="BG241" s="698"/>
      <c r="BH241" s="698"/>
      <c r="BI241" s="699"/>
      <c r="BJ241" s="742" t="s">
        <v>159</v>
      </c>
      <c r="BK241" s="743"/>
      <c r="BL241" s="743"/>
      <c r="BM241" s="744"/>
      <c r="BN241" s="703" t="s">
        <v>159</v>
      </c>
      <c r="BO241" s="704"/>
      <c r="BP241" s="704"/>
      <c r="BQ241" s="704"/>
      <c r="BR241" s="704"/>
      <c r="BS241" s="704"/>
      <c r="BT241" s="704"/>
      <c r="BU241" s="704"/>
      <c r="BV241" s="705"/>
    </row>
    <row r="242" spans="1:74" ht="45" customHeight="1" x14ac:dyDescent="0.25">
      <c r="A242" s="10">
        <f t="shared" si="3"/>
        <v>228</v>
      </c>
      <c r="B242" s="662" t="s">
        <v>159</v>
      </c>
      <c r="C242" s="662"/>
      <c r="D242" s="663" t="s">
        <v>212</v>
      </c>
      <c r="E242" s="663"/>
      <c r="F242" s="664" t="s">
        <v>162</v>
      </c>
      <c r="G242" s="665"/>
      <c r="H242" s="754" t="s">
        <v>162</v>
      </c>
      <c r="I242" s="714"/>
      <c r="J242" s="340"/>
      <c r="K242" s="341"/>
      <c r="L242" s="340"/>
      <c r="M242" s="341"/>
      <c r="N242" s="215"/>
      <c r="O242" s="196"/>
      <c r="P242" s="670"/>
      <c r="Q242" s="671"/>
      <c r="R242" s="719"/>
      <c r="S242" s="720"/>
      <c r="T242" s="721"/>
      <c r="U242" s="722"/>
      <c r="V242" s="723"/>
      <c r="W242" s="724"/>
      <c r="X242" s="678" t="s">
        <v>159</v>
      </c>
      <c r="Y242" s="678"/>
      <c r="Z242" s="678"/>
      <c r="AA242" s="678"/>
      <c r="AB242" s="679" t="s">
        <v>159</v>
      </c>
      <c r="AC242" s="679"/>
      <c r="AD242" s="679"/>
      <c r="AE242" s="679"/>
      <c r="AF242" s="727"/>
      <c r="AG242" s="728"/>
      <c r="AH242" s="727"/>
      <c r="AI242" s="728"/>
      <c r="AJ242" s="682"/>
      <c r="AK242" s="683"/>
      <c r="AL242" s="684" t="s">
        <v>162</v>
      </c>
      <c r="AM242" s="685"/>
      <c r="AN242" s="666" t="s">
        <v>162</v>
      </c>
      <c r="AO242" s="667"/>
      <c r="AP242" s="729"/>
      <c r="AQ242" s="730"/>
      <c r="AR242" s="731"/>
      <c r="AS242" s="732"/>
      <c r="AT242" s="690"/>
      <c r="AU242" s="691"/>
      <c r="AV242" s="666" t="s">
        <v>162</v>
      </c>
      <c r="AW242" s="667"/>
      <c r="AX242" s="692"/>
      <c r="AY242" s="693"/>
      <c r="AZ242" s="694"/>
      <c r="BA242" s="735"/>
      <c r="BB242" s="736"/>
      <c r="BC242" s="14"/>
      <c r="BD242" s="695" t="s">
        <v>162</v>
      </c>
      <c r="BE242" s="696"/>
      <c r="BF242" s="739"/>
      <c r="BG242" s="740"/>
      <c r="BH242" s="740"/>
      <c r="BI242" s="741"/>
      <c r="BJ242" s="700" t="s">
        <v>159</v>
      </c>
      <c r="BK242" s="701"/>
      <c r="BL242" s="701"/>
      <c r="BM242" s="702"/>
      <c r="BN242" s="703" t="s">
        <v>159</v>
      </c>
      <c r="BO242" s="704"/>
      <c r="BP242" s="704"/>
      <c r="BQ242" s="704"/>
      <c r="BR242" s="704"/>
      <c r="BS242" s="704"/>
      <c r="BT242" s="704"/>
      <c r="BU242" s="704"/>
      <c r="BV242" s="705"/>
    </row>
    <row r="243" spans="1:74" ht="45" customHeight="1" x14ac:dyDescent="0.25">
      <c r="A243" s="10">
        <f t="shared" si="3"/>
        <v>229</v>
      </c>
      <c r="B243" s="711" t="s">
        <v>159</v>
      </c>
      <c r="C243" s="711"/>
      <c r="D243" s="712" t="s">
        <v>212</v>
      </c>
      <c r="E243" s="712"/>
      <c r="F243" s="664" t="s">
        <v>162</v>
      </c>
      <c r="G243" s="665"/>
      <c r="H243" s="755" t="s">
        <v>162</v>
      </c>
      <c r="I243" s="667"/>
      <c r="J243" s="706"/>
      <c r="K243" s="707"/>
      <c r="L243" s="706"/>
      <c r="M243" s="707"/>
      <c r="N243" s="194"/>
      <c r="O243" s="216"/>
      <c r="P243" s="717"/>
      <c r="Q243" s="718"/>
      <c r="R243" s="672"/>
      <c r="S243" s="673"/>
      <c r="T243" s="674"/>
      <c r="U243" s="675"/>
      <c r="V243" s="676"/>
      <c r="W243" s="677"/>
      <c r="X243" s="725" t="s">
        <v>159</v>
      </c>
      <c r="Y243" s="725"/>
      <c r="Z243" s="725"/>
      <c r="AA243" s="725"/>
      <c r="AB243" s="726" t="s">
        <v>159</v>
      </c>
      <c r="AC243" s="726"/>
      <c r="AD243" s="726"/>
      <c r="AE243" s="726"/>
      <c r="AF243" s="680"/>
      <c r="AG243" s="681"/>
      <c r="AH243" s="680"/>
      <c r="AI243" s="681"/>
      <c r="AJ243" s="686"/>
      <c r="AK243" s="687"/>
      <c r="AL243" s="664" t="s">
        <v>162</v>
      </c>
      <c r="AM243" s="665"/>
      <c r="AN243" s="713" t="s">
        <v>162</v>
      </c>
      <c r="AO243" s="714"/>
      <c r="AP243" s="686"/>
      <c r="AQ243" s="687"/>
      <c r="AR243" s="688"/>
      <c r="AS243" s="689"/>
      <c r="AT243" s="690"/>
      <c r="AU243" s="691"/>
      <c r="AV243" s="713" t="s">
        <v>162</v>
      </c>
      <c r="AW243" s="714"/>
      <c r="AX243" s="692"/>
      <c r="AY243" s="693"/>
      <c r="AZ243" s="694"/>
      <c r="BA243" s="682"/>
      <c r="BB243" s="683"/>
      <c r="BC243" s="219"/>
      <c r="BD243" s="737" t="s">
        <v>162</v>
      </c>
      <c r="BE243" s="738"/>
      <c r="BF243" s="708"/>
      <c r="BG243" s="709"/>
      <c r="BH243" s="709"/>
      <c r="BI243" s="710"/>
      <c r="BJ243" s="742" t="s">
        <v>159</v>
      </c>
      <c r="BK243" s="743"/>
      <c r="BL243" s="743"/>
      <c r="BM243" s="744"/>
      <c r="BN243" s="703" t="s">
        <v>159</v>
      </c>
      <c r="BO243" s="704"/>
      <c r="BP243" s="704"/>
      <c r="BQ243" s="704"/>
      <c r="BR243" s="704"/>
      <c r="BS243" s="704"/>
      <c r="BT243" s="704"/>
      <c r="BU243" s="704"/>
      <c r="BV243" s="705"/>
    </row>
    <row r="244" spans="1:74" ht="45" customHeight="1" x14ac:dyDescent="0.25">
      <c r="A244" s="10">
        <f t="shared" si="3"/>
        <v>230</v>
      </c>
      <c r="B244" s="662" t="s">
        <v>159</v>
      </c>
      <c r="C244" s="662"/>
      <c r="D244" s="663" t="s">
        <v>212</v>
      </c>
      <c r="E244" s="663"/>
      <c r="F244" s="664" t="s">
        <v>162</v>
      </c>
      <c r="G244" s="665"/>
      <c r="H244" s="754" t="s">
        <v>162</v>
      </c>
      <c r="I244" s="714"/>
      <c r="J244" s="340"/>
      <c r="K244" s="341"/>
      <c r="L244" s="340"/>
      <c r="M244" s="341"/>
      <c r="N244" s="215"/>
      <c r="O244" s="196"/>
      <c r="P244" s="670"/>
      <c r="Q244" s="671"/>
      <c r="R244" s="719"/>
      <c r="S244" s="720"/>
      <c r="T244" s="721"/>
      <c r="U244" s="722"/>
      <c r="V244" s="723"/>
      <c r="W244" s="724"/>
      <c r="X244" s="678" t="s">
        <v>159</v>
      </c>
      <c r="Y244" s="678"/>
      <c r="Z244" s="678"/>
      <c r="AA244" s="678"/>
      <c r="AB244" s="679" t="s">
        <v>159</v>
      </c>
      <c r="AC244" s="679"/>
      <c r="AD244" s="679"/>
      <c r="AE244" s="679"/>
      <c r="AF244" s="727"/>
      <c r="AG244" s="728"/>
      <c r="AH244" s="727"/>
      <c r="AI244" s="728"/>
      <c r="AJ244" s="682"/>
      <c r="AK244" s="683"/>
      <c r="AL244" s="684" t="s">
        <v>162</v>
      </c>
      <c r="AM244" s="685"/>
      <c r="AN244" s="666" t="s">
        <v>162</v>
      </c>
      <c r="AO244" s="667"/>
      <c r="AP244" s="729"/>
      <c r="AQ244" s="730"/>
      <c r="AR244" s="731"/>
      <c r="AS244" s="732"/>
      <c r="AT244" s="690"/>
      <c r="AU244" s="691"/>
      <c r="AV244" s="666" t="s">
        <v>162</v>
      </c>
      <c r="AW244" s="667"/>
      <c r="AX244" s="692"/>
      <c r="AY244" s="693"/>
      <c r="AZ244" s="694"/>
      <c r="BA244" s="735"/>
      <c r="BB244" s="736"/>
      <c r="BC244" s="14"/>
      <c r="BD244" s="695" t="s">
        <v>162</v>
      </c>
      <c r="BE244" s="696"/>
      <c r="BF244" s="739"/>
      <c r="BG244" s="740"/>
      <c r="BH244" s="740"/>
      <c r="BI244" s="741"/>
      <c r="BJ244" s="700" t="s">
        <v>159</v>
      </c>
      <c r="BK244" s="701"/>
      <c r="BL244" s="701"/>
      <c r="BM244" s="702"/>
      <c r="BN244" s="703" t="s">
        <v>159</v>
      </c>
      <c r="BO244" s="704"/>
      <c r="BP244" s="704"/>
      <c r="BQ244" s="704"/>
      <c r="BR244" s="704"/>
      <c r="BS244" s="704"/>
      <c r="BT244" s="704"/>
      <c r="BU244" s="704"/>
      <c r="BV244" s="705"/>
    </row>
    <row r="245" spans="1:74" ht="45" customHeight="1" x14ac:dyDescent="0.25">
      <c r="A245" s="10">
        <f t="shared" si="3"/>
        <v>231</v>
      </c>
      <c r="B245" s="711" t="s">
        <v>159</v>
      </c>
      <c r="C245" s="711"/>
      <c r="D245" s="712" t="s">
        <v>212</v>
      </c>
      <c r="E245" s="712"/>
      <c r="F245" s="664" t="s">
        <v>162</v>
      </c>
      <c r="G245" s="665"/>
      <c r="H245" s="755" t="s">
        <v>162</v>
      </c>
      <c r="I245" s="667"/>
      <c r="J245" s="706"/>
      <c r="K245" s="707"/>
      <c r="L245" s="706"/>
      <c r="M245" s="707"/>
      <c r="N245" s="194"/>
      <c r="O245" s="216"/>
      <c r="P245" s="717"/>
      <c r="Q245" s="718"/>
      <c r="R245" s="672"/>
      <c r="S245" s="673"/>
      <c r="T245" s="674"/>
      <c r="U245" s="675"/>
      <c r="V245" s="676"/>
      <c r="W245" s="677"/>
      <c r="X245" s="725" t="s">
        <v>159</v>
      </c>
      <c r="Y245" s="725"/>
      <c r="Z245" s="725"/>
      <c r="AA245" s="725"/>
      <c r="AB245" s="726" t="s">
        <v>159</v>
      </c>
      <c r="AC245" s="726"/>
      <c r="AD245" s="726"/>
      <c r="AE245" s="726"/>
      <c r="AF245" s="680"/>
      <c r="AG245" s="681"/>
      <c r="AH245" s="680"/>
      <c r="AI245" s="681"/>
      <c r="AJ245" s="686"/>
      <c r="AK245" s="687"/>
      <c r="AL245" s="664" t="s">
        <v>162</v>
      </c>
      <c r="AM245" s="665"/>
      <c r="AN245" s="713" t="s">
        <v>162</v>
      </c>
      <c r="AO245" s="714"/>
      <c r="AP245" s="686"/>
      <c r="AQ245" s="687"/>
      <c r="AR245" s="688"/>
      <c r="AS245" s="689"/>
      <c r="AT245" s="690"/>
      <c r="AU245" s="691"/>
      <c r="AV245" s="713" t="s">
        <v>162</v>
      </c>
      <c r="AW245" s="714"/>
      <c r="AX245" s="692"/>
      <c r="AY245" s="693"/>
      <c r="AZ245" s="694"/>
      <c r="BA245" s="682"/>
      <c r="BB245" s="683"/>
      <c r="BC245" s="219"/>
      <c r="BD245" s="737" t="s">
        <v>162</v>
      </c>
      <c r="BE245" s="738"/>
      <c r="BF245" s="708"/>
      <c r="BG245" s="709"/>
      <c r="BH245" s="709"/>
      <c r="BI245" s="710"/>
      <c r="BJ245" s="742" t="s">
        <v>159</v>
      </c>
      <c r="BK245" s="743"/>
      <c r="BL245" s="743"/>
      <c r="BM245" s="744"/>
      <c r="BN245" s="703" t="s">
        <v>159</v>
      </c>
      <c r="BO245" s="704"/>
      <c r="BP245" s="704"/>
      <c r="BQ245" s="704"/>
      <c r="BR245" s="704"/>
      <c r="BS245" s="704"/>
      <c r="BT245" s="704"/>
      <c r="BU245" s="704"/>
      <c r="BV245" s="705"/>
    </row>
    <row r="246" spans="1:74" ht="45" customHeight="1" x14ac:dyDescent="0.25">
      <c r="A246" s="10">
        <f t="shared" si="3"/>
        <v>232</v>
      </c>
      <c r="B246" s="662" t="s">
        <v>159</v>
      </c>
      <c r="C246" s="662"/>
      <c r="D246" s="663" t="s">
        <v>212</v>
      </c>
      <c r="E246" s="663"/>
      <c r="F246" s="664" t="s">
        <v>162</v>
      </c>
      <c r="G246" s="665"/>
      <c r="H246" s="754" t="s">
        <v>162</v>
      </c>
      <c r="I246" s="714"/>
      <c r="J246" s="340"/>
      <c r="K246" s="341"/>
      <c r="L246" s="340"/>
      <c r="M246" s="341"/>
      <c r="N246" s="215"/>
      <c r="O246" s="196"/>
      <c r="P246" s="670"/>
      <c r="Q246" s="671"/>
      <c r="R246" s="719"/>
      <c r="S246" s="720"/>
      <c r="T246" s="721"/>
      <c r="U246" s="722"/>
      <c r="V246" s="723"/>
      <c r="W246" s="724"/>
      <c r="X246" s="678" t="s">
        <v>159</v>
      </c>
      <c r="Y246" s="678"/>
      <c r="Z246" s="678"/>
      <c r="AA246" s="678"/>
      <c r="AB246" s="679" t="s">
        <v>159</v>
      </c>
      <c r="AC246" s="679"/>
      <c r="AD246" s="679"/>
      <c r="AE246" s="679"/>
      <c r="AF246" s="727"/>
      <c r="AG246" s="728"/>
      <c r="AH246" s="727"/>
      <c r="AI246" s="728"/>
      <c r="AJ246" s="682"/>
      <c r="AK246" s="683"/>
      <c r="AL246" s="684" t="s">
        <v>162</v>
      </c>
      <c r="AM246" s="685"/>
      <c r="AN246" s="666" t="s">
        <v>162</v>
      </c>
      <c r="AO246" s="667"/>
      <c r="AP246" s="729"/>
      <c r="AQ246" s="730"/>
      <c r="AR246" s="731"/>
      <c r="AS246" s="732"/>
      <c r="AT246" s="690"/>
      <c r="AU246" s="691"/>
      <c r="AV246" s="666" t="s">
        <v>162</v>
      </c>
      <c r="AW246" s="667"/>
      <c r="AX246" s="692"/>
      <c r="AY246" s="693"/>
      <c r="AZ246" s="694"/>
      <c r="BA246" s="735"/>
      <c r="BB246" s="736"/>
      <c r="BC246" s="14"/>
      <c r="BD246" s="695" t="s">
        <v>162</v>
      </c>
      <c r="BE246" s="696"/>
      <c r="BF246" s="739"/>
      <c r="BG246" s="740"/>
      <c r="BH246" s="740"/>
      <c r="BI246" s="741"/>
      <c r="BJ246" s="700" t="s">
        <v>159</v>
      </c>
      <c r="BK246" s="701"/>
      <c r="BL246" s="701"/>
      <c r="BM246" s="702"/>
      <c r="BN246" s="703" t="s">
        <v>159</v>
      </c>
      <c r="BO246" s="704"/>
      <c r="BP246" s="704"/>
      <c r="BQ246" s="704"/>
      <c r="BR246" s="704"/>
      <c r="BS246" s="704"/>
      <c r="BT246" s="704"/>
      <c r="BU246" s="704"/>
      <c r="BV246" s="705"/>
    </row>
    <row r="247" spans="1:74" ht="45" customHeight="1" x14ac:dyDescent="0.25">
      <c r="A247" s="10">
        <f t="shared" si="3"/>
        <v>233</v>
      </c>
      <c r="B247" s="711" t="s">
        <v>159</v>
      </c>
      <c r="C247" s="711"/>
      <c r="D247" s="712" t="s">
        <v>212</v>
      </c>
      <c r="E247" s="712"/>
      <c r="F247" s="664" t="s">
        <v>162</v>
      </c>
      <c r="G247" s="665"/>
      <c r="H247" s="755" t="s">
        <v>162</v>
      </c>
      <c r="I247" s="667"/>
      <c r="J247" s="706"/>
      <c r="K247" s="707"/>
      <c r="L247" s="706"/>
      <c r="M247" s="707"/>
      <c r="N247" s="194"/>
      <c r="O247" s="216"/>
      <c r="P247" s="717"/>
      <c r="Q247" s="718"/>
      <c r="R247" s="672"/>
      <c r="S247" s="673"/>
      <c r="T247" s="674"/>
      <c r="U247" s="675"/>
      <c r="V247" s="676"/>
      <c r="W247" s="677"/>
      <c r="X247" s="725" t="s">
        <v>159</v>
      </c>
      <c r="Y247" s="725"/>
      <c r="Z247" s="725"/>
      <c r="AA247" s="725"/>
      <c r="AB247" s="726" t="s">
        <v>159</v>
      </c>
      <c r="AC247" s="726"/>
      <c r="AD247" s="726"/>
      <c r="AE247" s="726"/>
      <c r="AF247" s="680"/>
      <c r="AG247" s="681"/>
      <c r="AH247" s="680"/>
      <c r="AI247" s="681"/>
      <c r="AJ247" s="686"/>
      <c r="AK247" s="687"/>
      <c r="AL247" s="664" t="s">
        <v>162</v>
      </c>
      <c r="AM247" s="665"/>
      <c r="AN247" s="713" t="s">
        <v>162</v>
      </c>
      <c r="AO247" s="714"/>
      <c r="AP247" s="686"/>
      <c r="AQ247" s="687"/>
      <c r="AR247" s="688"/>
      <c r="AS247" s="689"/>
      <c r="AT247" s="690"/>
      <c r="AU247" s="691"/>
      <c r="AV247" s="713" t="s">
        <v>162</v>
      </c>
      <c r="AW247" s="714"/>
      <c r="AX247" s="692"/>
      <c r="AY247" s="693"/>
      <c r="AZ247" s="694"/>
      <c r="BA247" s="682"/>
      <c r="BB247" s="683"/>
      <c r="BC247" s="219"/>
      <c r="BD247" s="737" t="s">
        <v>162</v>
      </c>
      <c r="BE247" s="738"/>
      <c r="BF247" s="697"/>
      <c r="BG247" s="698"/>
      <c r="BH247" s="698"/>
      <c r="BI247" s="699"/>
      <c r="BJ247" s="742" t="s">
        <v>159</v>
      </c>
      <c r="BK247" s="743"/>
      <c r="BL247" s="743"/>
      <c r="BM247" s="744"/>
      <c r="BN247" s="703" t="s">
        <v>159</v>
      </c>
      <c r="BO247" s="704"/>
      <c r="BP247" s="704"/>
      <c r="BQ247" s="704"/>
      <c r="BR247" s="704"/>
      <c r="BS247" s="704"/>
      <c r="BT247" s="704"/>
      <c r="BU247" s="704"/>
      <c r="BV247" s="705"/>
    </row>
    <row r="248" spans="1:74" ht="45" customHeight="1" x14ac:dyDescent="0.25">
      <c r="A248" s="10">
        <f t="shared" si="3"/>
        <v>234</v>
      </c>
      <c r="B248" s="662" t="s">
        <v>159</v>
      </c>
      <c r="C248" s="662"/>
      <c r="D248" s="663" t="s">
        <v>212</v>
      </c>
      <c r="E248" s="663"/>
      <c r="F248" s="664" t="s">
        <v>162</v>
      </c>
      <c r="G248" s="665"/>
      <c r="H248" s="754" t="s">
        <v>162</v>
      </c>
      <c r="I248" s="714"/>
      <c r="J248" s="340"/>
      <c r="K248" s="341"/>
      <c r="L248" s="340"/>
      <c r="M248" s="341"/>
      <c r="N248" s="215"/>
      <c r="O248" s="196"/>
      <c r="P248" s="670"/>
      <c r="Q248" s="671"/>
      <c r="R248" s="719"/>
      <c r="S248" s="720"/>
      <c r="T248" s="721"/>
      <c r="U248" s="722"/>
      <c r="V248" s="723"/>
      <c r="W248" s="724"/>
      <c r="X248" s="678" t="s">
        <v>159</v>
      </c>
      <c r="Y248" s="678"/>
      <c r="Z248" s="678"/>
      <c r="AA248" s="678"/>
      <c r="AB248" s="679" t="s">
        <v>159</v>
      </c>
      <c r="AC248" s="679"/>
      <c r="AD248" s="679"/>
      <c r="AE248" s="679"/>
      <c r="AF248" s="727"/>
      <c r="AG248" s="728"/>
      <c r="AH248" s="727"/>
      <c r="AI248" s="728"/>
      <c r="AJ248" s="682"/>
      <c r="AK248" s="683"/>
      <c r="AL248" s="684" t="s">
        <v>162</v>
      </c>
      <c r="AM248" s="685"/>
      <c r="AN248" s="666" t="s">
        <v>162</v>
      </c>
      <c r="AO248" s="667"/>
      <c r="AP248" s="729"/>
      <c r="AQ248" s="730"/>
      <c r="AR248" s="731"/>
      <c r="AS248" s="732"/>
      <c r="AT248" s="690"/>
      <c r="AU248" s="691"/>
      <c r="AV248" s="666" t="s">
        <v>162</v>
      </c>
      <c r="AW248" s="667"/>
      <c r="AX248" s="692"/>
      <c r="AY248" s="693"/>
      <c r="AZ248" s="694"/>
      <c r="BA248" s="735"/>
      <c r="BB248" s="736"/>
      <c r="BC248" s="14"/>
      <c r="BD248" s="695" t="s">
        <v>162</v>
      </c>
      <c r="BE248" s="696"/>
      <c r="BF248" s="739"/>
      <c r="BG248" s="740"/>
      <c r="BH248" s="740"/>
      <c r="BI248" s="741"/>
      <c r="BJ248" s="700" t="s">
        <v>159</v>
      </c>
      <c r="BK248" s="701"/>
      <c r="BL248" s="701"/>
      <c r="BM248" s="702"/>
      <c r="BN248" s="703" t="s">
        <v>159</v>
      </c>
      <c r="BO248" s="704"/>
      <c r="BP248" s="704"/>
      <c r="BQ248" s="704"/>
      <c r="BR248" s="704"/>
      <c r="BS248" s="704"/>
      <c r="BT248" s="704"/>
      <c r="BU248" s="704"/>
      <c r="BV248" s="705"/>
    </row>
    <row r="249" spans="1:74" ht="45" customHeight="1" x14ac:dyDescent="0.25">
      <c r="A249" s="10">
        <f t="shared" si="3"/>
        <v>235</v>
      </c>
      <c r="B249" s="711" t="s">
        <v>159</v>
      </c>
      <c r="C249" s="711"/>
      <c r="D249" s="712" t="s">
        <v>212</v>
      </c>
      <c r="E249" s="712"/>
      <c r="F249" s="664" t="s">
        <v>162</v>
      </c>
      <c r="G249" s="665"/>
      <c r="H249" s="755" t="s">
        <v>162</v>
      </c>
      <c r="I249" s="667"/>
      <c r="J249" s="706"/>
      <c r="K249" s="707"/>
      <c r="L249" s="706"/>
      <c r="M249" s="707"/>
      <c r="N249" s="194"/>
      <c r="O249" s="216"/>
      <c r="P249" s="717"/>
      <c r="Q249" s="718"/>
      <c r="R249" s="672"/>
      <c r="S249" s="673"/>
      <c r="T249" s="674"/>
      <c r="U249" s="675"/>
      <c r="V249" s="676"/>
      <c r="W249" s="677"/>
      <c r="X249" s="725" t="s">
        <v>159</v>
      </c>
      <c r="Y249" s="725"/>
      <c r="Z249" s="725"/>
      <c r="AA249" s="725"/>
      <c r="AB249" s="726" t="s">
        <v>159</v>
      </c>
      <c r="AC249" s="726"/>
      <c r="AD249" s="726"/>
      <c r="AE249" s="726"/>
      <c r="AF249" s="680"/>
      <c r="AG249" s="681"/>
      <c r="AH249" s="680"/>
      <c r="AI249" s="681"/>
      <c r="AJ249" s="686"/>
      <c r="AK249" s="687"/>
      <c r="AL249" s="664" t="s">
        <v>162</v>
      </c>
      <c r="AM249" s="665"/>
      <c r="AN249" s="713" t="s">
        <v>162</v>
      </c>
      <c r="AO249" s="714"/>
      <c r="AP249" s="686"/>
      <c r="AQ249" s="687"/>
      <c r="AR249" s="688"/>
      <c r="AS249" s="689"/>
      <c r="AT249" s="690"/>
      <c r="AU249" s="691"/>
      <c r="AV249" s="713" t="s">
        <v>162</v>
      </c>
      <c r="AW249" s="714"/>
      <c r="AX249" s="692"/>
      <c r="AY249" s="693"/>
      <c r="AZ249" s="694"/>
      <c r="BA249" s="682"/>
      <c r="BB249" s="683"/>
      <c r="BC249" s="219"/>
      <c r="BD249" s="737" t="s">
        <v>162</v>
      </c>
      <c r="BE249" s="738"/>
      <c r="BF249" s="708"/>
      <c r="BG249" s="709"/>
      <c r="BH249" s="709"/>
      <c r="BI249" s="710"/>
      <c r="BJ249" s="742" t="s">
        <v>159</v>
      </c>
      <c r="BK249" s="743"/>
      <c r="BL249" s="743"/>
      <c r="BM249" s="744"/>
      <c r="BN249" s="703" t="s">
        <v>159</v>
      </c>
      <c r="BO249" s="704"/>
      <c r="BP249" s="704"/>
      <c r="BQ249" s="704"/>
      <c r="BR249" s="704"/>
      <c r="BS249" s="704"/>
      <c r="BT249" s="704"/>
      <c r="BU249" s="704"/>
      <c r="BV249" s="705"/>
    </row>
    <row r="250" spans="1:74" ht="45" customHeight="1" x14ac:dyDescent="0.25">
      <c r="A250" s="10">
        <f t="shared" si="3"/>
        <v>236</v>
      </c>
      <c r="B250" s="662" t="s">
        <v>159</v>
      </c>
      <c r="C250" s="662"/>
      <c r="D250" s="663" t="s">
        <v>212</v>
      </c>
      <c r="E250" s="663"/>
      <c r="F250" s="664" t="s">
        <v>162</v>
      </c>
      <c r="G250" s="665"/>
      <c r="H250" s="754" t="s">
        <v>162</v>
      </c>
      <c r="I250" s="714"/>
      <c r="J250" s="340"/>
      <c r="K250" s="341"/>
      <c r="L250" s="340"/>
      <c r="M250" s="341"/>
      <c r="N250" s="215"/>
      <c r="O250" s="196"/>
      <c r="P250" s="670"/>
      <c r="Q250" s="671"/>
      <c r="R250" s="719"/>
      <c r="S250" s="720"/>
      <c r="T250" s="721"/>
      <c r="U250" s="722"/>
      <c r="V250" s="723"/>
      <c r="W250" s="724"/>
      <c r="X250" s="678" t="s">
        <v>159</v>
      </c>
      <c r="Y250" s="678"/>
      <c r="Z250" s="678"/>
      <c r="AA250" s="678"/>
      <c r="AB250" s="679" t="s">
        <v>159</v>
      </c>
      <c r="AC250" s="679"/>
      <c r="AD250" s="679"/>
      <c r="AE250" s="679"/>
      <c r="AF250" s="727"/>
      <c r="AG250" s="728"/>
      <c r="AH250" s="727"/>
      <c r="AI250" s="728"/>
      <c r="AJ250" s="682"/>
      <c r="AK250" s="683"/>
      <c r="AL250" s="684" t="s">
        <v>162</v>
      </c>
      <c r="AM250" s="685"/>
      <c r="AN250" s="666" t="s">
        <v>162</v>
      </c>
      <c r="AO250" s="667"/>
      <c r="AP250" s="729"/>
      <c r="AQ250" s="730"/>
      <c r="AR250" s="731"/>
      <c r="AS250" s="732"/>
      <c r="AT250" s="690"/>
      <c r="AU250" s="691"/>
      <c r="AV250" s="666" t="s">
        <v>162</v>
      </c>
      <c r="AW250" s="667"/>
      <c r="AX250" s="692"/>
      <c r="AY250" s="693"/>
      <c r="AZ250" s="694"/>
      <c r="BA250" s="735"/>
      <c r="BB250" s="736"/>
      <c r="BC250" s="14"/>
      <c r="BD250" s="695" t="s">
        <v>162</v>
      </c>
      <c r="BE250" s="696"/>
      <c r="BF250" s="739"/>
      <c r="BG250" s="740"/>
      <c r="BH250" s="740"/>
      <c r="BI250" s="741"/>
      <c r="BJ250" s="700" t="s">
        <v>159</v>
      </c>
      <c r="BK250" s="701"/>
      <c r="BL250" s="701"/>
      <c r="BM250" s="702"/>
      <c r="BN250" s="703" t="s">
        <v>159</v>
      </c>
      <c r="BO250" s="704"/>
      <c r="BP250" s="704"/>
      <c r="BQ250" s="704"/>
      <c r="BR250" s="704"/>
      <c r="BS250" s="704"/>
      <c r="BT250" s="704"/>
      <c r="BU250" s="704"/>
      <c r="BV250" s="705"/>
    </row>
    <row r="251" spans="1:74" ht="45" customHeight="1" x14ac:dyDescent="0.25">
      <c r="A251" s="10">
        <f t="shared" si="3"/>
        <v>237</v>
      </c>
      <c r="B251" s="711" t="s">
        <v>159</v>
      </c>
      <c r="C251" s="711"/>
      <c r="D251" s="712" t="s">
        <v>212</v>
      </c>
      <c r="E251" s="712"/>
      <c r="F251" s="664" t="s">
        <v>162</v>
      </c>
      <c r="G251" s="665"/>
      <c r="H251" s="755" t="s">
        <v>162</v>
      </c>
      <c r="I251" s="667"/>
      <c r="J251" s="706"/>
      <c r="K251" s="707"/>
      <c r="L251" s="706"/>
      <c r="M251" s="707"/>
      <c r="N251" s="194"/>
      <c r="O251" s="216"/>
      <c r="P251" s="717"/>
      <c r="Q251" s="718"/>
      <c r="R251" s="672"/>
      <c r="S251" s="673"/>
      <c r="T251" s="674"/>
      <c r="U251" s="675"/>
      <c r="V251" s="676"/>
      <c r="W251" s="677"/>
      <c r="X251" s="725" t="s">
        <v>159</v>
      </c>
      <c r="Y251" s="725"/>
      <c r="Z251" s="725"/>
      <c r="AA251" s="725"/>
      <c r="AB251" s="726" t="s">
        <v>159</v>
      </c>
      <c r="AC251" s="726"/>
      <c r="AD251" s="726"/>
      <c r="AE251" s="726"/>
      <c r="AF251" s="680"/>
      <c r="AG251" s="681"/>
      <c r="AH251" s="680"/>
      <c r="AI251" s="681"/>
      <c r="AJ251" s="686"/>
      <c r="AK251" s="687"/>
      <c r="AL251" s="664" t="s">
        <v>162</v>
      </c>
      <c r="AM251" s="665"/>
      <c r="AN251" s="713" t="s">
        <v>162</v>
      </c>
      <c r="AO251" s="714"/>
      <c r="AP251" s="686"/>
      <c r="AQ251" s="687"/>
      <c r="AR251" s="688"/>
      <c r="AS251" s="689"/>
      <c r="AT251" s="690"/>
      <c r="AU251" s="691"/>
      <c r="AV251" s="713" t="s">
        <v>162</v>
      </c>
      <c r="AW251" s="714"/>
      <c r="AX251" s="692"/>
      <c r="AY251" s="693"/>
      <c r="AZ251" s="694"/>
      <c r="BA251" s="682"/>
      <c r="BB251" s="683"/>
      <c r="BC251" s="219"/>
      <c r="BD251" s="737" t="s">
        <v>162</v>
      </c>
      <c r="BE251" s="738"/>
      <c r="BF251" s="697"/>
      <c r="BG251" s="698"/>
      <c r="BH251" s="698"/>
      <c r="BI251" s="699"/>
      <c r="BJ251" s="742" t="s">
        <v>159</v>
      </c>
      <c r="BK251" s="743"/>
      <c r="BL251" s="743"/>
      <c r="BM251" s="744"/>
      <c r="BN251" s="703" t="s">
        <v>159</v>
      </c>
      <c r="BO251" s="704"/>
      <c r="BP251" s="704"/>
      <c r="BQ251" s="704"/>
      <c r="BR251" s="704"/>
      <c r="BS251" s="704"/>
      <c r="BT251" s="704"/>
      <c r="BU251" s="704"/>
      <c r="BV251" s="705"/>
    </row>
    <row r="252" spans="1:74" ht="45" customHeight="1" x14ac:dyDescent="0.25">
      <c r="A252" s="10">
        <f t="shared" si="3"/>
        <v>238</v>
      </c>
      <c r="B252" s="662" t="s">
        <v>159</v>
      </c>
      <c r="C252" s="662"/>
      <c r="D252" s="663" t="s">
        <v>212</v>
      </c>
      <c r="E252" s="663"/>
      <c r="F252" s="664" t="s">
        <v>162</v>
      </c>
      <c r="G252" s="665"/>
      <c r="H252" s="754" t="s">
        <v>162</v>
      </c>
      <c r="I252" s="714"/>
      <c r="J252" s="340"/>
      <c r="K252" s="341"/>
      <c r="L252" s="340"/>
      <c r="M252" s="341"/>
      <c r="N252" s="215"/>
      <c r="O252" s="196"/>
      <c r="P252" s="670"/>
      <c r="Q252" s="671"/>
      <c r="R252" s="719"/>
      <c r="S252" s="720"/>
      <c r="T252" s="721"/>
      <c r="U252" s="722"/>
      <c r="V252" s="723"/>
      <c r="W252" s="724"/>
      <c r="X252" s="678" t="s">
        <v>159</v>
      </c>
      <c r="Y252" s="678"/>
      <c r="Z252" s="678"/>
      <c r="AA252" s="678"/>
      <c r="AB252" s="679" t="s">
        <v>159</v>
      </c>
      <c r="AC252" s="679"/>
      <c r="AD252" s="679"/>
      <c r="AE252" s="679"/>
      <c r="AF252" s="727"/>
      <c r="AG252" s="728"/>
      <c r="AH252" s="727"/>
      <c r="AI252" s="728"/>
      <c r="AJ252" s="682"/>
      <c r="AK252" s="683"/>
      <c r="AL252" s="684" t="s">
        <v>162</v>
      </c>
      <c r="AM252" s="685"/>
      <c r="AN252" s="666" t="s">
        <v>162</v>
      </c>
      <c r="AO252" s="667"/>
      <c r="AP252" s="729"/>
      <c r="AQ252" s="730"/>
      <c r="AR252" s="731"/>
      <c r="AS252" s="732"/>
      <c r="AT252" s="690"/>
      <c r="AU252" s="691"/>
      <c r="AV252" s="666" t="s">
        <v>162</v>
      </c>
      <c r="AW252" s="667"/>
      <c r="AX252" s="692"/>
      <c r="AY252" s="693"/>
      <c r="AZ252" s="694"/>
      <c r="BA252" s="735"/>
      <c r="BB252" s="736"/>
      <c r="BC252" s="14"/>
      <c r="BD252" s="695" t="s">
        <v>162</v>
      </c>
      <c r="BE252" s="696"/>
      <c r="BF252" s="739"/>
      <c r="BG252" s="740"/>
      <c r="BH252" s="740"/>
      <c r="BI252" s="741"/>
      <c r="BJ252" s="700" t="s">
        <v>159</v>
      </c>
      <c r="BK252" s="701"/>
      <c r="BL252" s="701"/>
      <c r="BM252" s="702"/>
      <c r="BN252" s="703" t="s">
        <v>159</v>
      </c>
      <c r="BO252" s="704"/>
      <c r="BP252" s="704"/>
      <c r="BQ252" s="704"/>
      <c r="BR252" s="704"/>
      <c r="BS252" s="704"/>
      <c r="BT252" s="704"/>
      <c r="BU252" s="704"/>
      <c r="BV252" s="705"/>
    </row>
    <row r="253" spans="1:74" ht="45" customHeight="1" x14ac:dyDescent="0.25">
      <c r="A253" s="10">
        <f t="shared" si="3"/>
        <v>239</v>
      </c>
      <c r="B253" s="711" t="s">
        <v>159</v>
      </c>
      <c r="C253" s="711"/>
      <c r="D253" s="712" t="s">
        <v>212</v>
      </c>
      <c r="E253" s="712"/>
      <c r="F253" s="664" t="s">
        <v>162</v>
      </c>
      <c r="G253" s="665"/>
      <c r="H253" s="755" t="s">
        <v>162</v>
      </c>
      <c r="I253" s="667"/>
      <c r="J253" s="706"/>
      <c r="K253" s="707"/>
      <c r="L253" s="706"/>
      <c r="M253" s="707"/>
      <c r="N253" s="194"/>
      <c r="O253" s="216"/>
      <c r="P253" s="717"/>
      <c r="Q253" s="718"/>
      <c r="R253" s="672"/>
      <c r="S253" s="673"/>
      <c r="T253" s="674"/>
      <c r="U253" s="675"/>
      <c r="V253" s="676"/>
      <c r="W253" s="677"/>
      <c r="X253" s="725" t="s">
        <v>159</v>
      </c>
      <c r="Y253" s="725"/>
      <c r="Z253" s="725"/>
      <c r="AA253" s="725"/>
      <c r="AB253" s="726" t="s">
        <v>159</v>
      </c>
      <c r="AC253" s="726"/>
      <c r="AD253" s="726"/>
      <c r="AE253" s="726"/>
      <c r="AF253" s="680"/>
      <c r="AG253" s="681"/>
      <c r="AH253" s="680"/>
      <c r="AI253" s="681"/>
      <c r="AJ253" s="686"/>
      <c r="AK253" s="687"/>
      <c r="AL253" s="664" t="s">
        <v>162</v>
      </c>
      <c r="AM253" s="665"/>
      <c r="AN253" s="713" t="s">
        <v>162</v>
      </c>
      <c r="AO253" s="714"/>
      <c r="AP253" s="686"/>
      <c r="AQ253" s="687"/>
      <c r="AR253" s="688"/>
      <c r="AS253" s="689"/>
      <c r="AT253" s="690"/>
      <c r="AU253" s="691"/>
      <c r="AV253" s="713" t="s">
        <v>162</v>
      </c>
      <c r="AW253" s="714"/>
      <c r="AX253" s="692"/>
      <c r="AY253" s="693"/>
      <c r="AZ253" s="694"/>
      <c r="BA253" s="682"/>
      <c r="BB253" s="683"/>
      <c r="BC253" s="219"/>
      <c r="BD253" s="737" t="s">
        <v>162</v>
      </c>
      <c r="BE253" s="738"/>
      <c r="BF253" s="708"/>
      <c r="BG253" s="709"/>
      <c r="BH253" s="709"/>
      <c r="BI253" s="710"/>
      <c r="BJ253" s="742" t="s">
        <v>159</v>
      </c>
      <c r="BK253" s="743"/>
      <c r="BL253" s="743"/>
      <c r="BM253" s="744"/>
      <c r="BN253" s="703" t="s">
        <v>159</v>
      </c>
      <c r="BO253" s="704"/>
      <c r="BP253" s="704"/>
      <c r="BQ253" s="704"/>
      <c r="BR253" s="704"/>
      <c r="BS253" s="704"/>
      <c r="BT253" s="704"/>
      <c r="BU253" s="704"/>
      <c r="BV253" s="705"/>
    </row>
    <row r="254" spans="1:74" ht="45" customHeight="1" x14ac:dyDescent="0.25">
      <c r="A254" s="10">
        <f t="shared" si="3"/>
        <v>240</v>
      </c>
      <c r="B254" s="662" t="s">
        <v>159</v>
      </c>
      <c r="C254" s="662"/>
      <c r="D254" s="663" t="s">
        <v>212</v>
      </c>
      <c r="E254" s="663"/>
      <c r="F254" s="664" t="s">
        <v>162</v>
      </c>
      <c r="G254" s="665"/>
      <c r="H254" s="754" t="s">
        <v>162</v>
      </c>
      <c r="I254" s="714"/>
      <c r="J254" s="340"/>
      <c r="K254" s="341"/>
      <c r="L254" s="340"/>
      <c r="M254" s="341"/>
      <c r="N254" s="215"/>
      <c r="O254" s="196"/>
      <c r="P254" s="670"/>
      <c r="Q254" s="671"/>
      <c r="R254" s="719"/>
      <c r="S254" s="720"/>
      <c r="T254" s="721"/>
      <c r="U254" s="722"/>
      <c r="V254" s="723"/>
      <c r="W254" s="724"/>
      <c r="X254" s="678" t="s">
        <v>159</v>
      </c>
      <c r="Y254" s="678"/>
      <c r="Z254" s="678"/>
      <c r="AA254" s="678"/>
      <c r="AB254" s="679" t="s">
        <v>159</v>
      </c>
      <c r="AC254" s="679"/>
      <c r="AD254" s="679"/>
      <c r="AE254" s="679"/>
      <c r="AF254" s="727"/>
      <c r="AG254" s="728"/>
      <c r="AH254" s="727"/>
      <c r="AI254" s="728"/>
      <c r="AJ254" s="682"/>
      <c r="AK254" s="683"/>
      <c r="AL254" s="684" t="s">
        <v>162</v>
      </c>
      <c r="AM254" s="685"/>
      <c r="AN254" s="666" t="s">
        <v>162</v>
      </c>
      <c r="AO254" s="667"/>
      <c r="AP254" s="729"/>
      <c r="AQ254" s="730"/>
      <c r="AR254" s="731"/>
      <c r="AS254" s="732"/>
      <c r="AT254" s="690"/>
      <c r="AU254" s="691"/>
      <c r="AV254" s="666" t="s">
        <v>162</v>
      </c>
      <c r="AW254" s="667"/>
      <c r="AX254" s="692"/>
      <c r="AY254" s="693"/>
      <c r="AZ254" s="694"/>
      <c r="BA254" s="735"/>
      <c r="BB254" s="736"/>
      <c r="BC254" s="14"/>
      <c r="BD254" s="695" t="s">
        <v>162</v>
      </c>
      <c r="BE254" s="696"/>
      <c r="BF254" s="739"/>
      <c r="BG254" s="740"/>
      <c r="BH254" s="740"/>
      <c r="BI254" s="741"/>
      <c r="BJ254" s="700" t="s">
        <v>159</v>
      </c>
      <c r="BK254" s="701"/>
      <c r="BL254" s="701"/>
      <c r="BM254" s="702"/>
      <c r="BN254" s="703" t="s">
        <v>159</v>
      </c>
      <c r="BO254" s="704"/>
      <c r="BP254" s="704"/>
      <c r="BQ254" s="704"/>
      <c r="BR254" s="704"/>
      <c r="BS254" s="704"/>
      <c r="BT254" s="704"/>
      <c r="BU254" s="704"/>
      <c r="BV254" s="705"/>
    </row>
    <row r="255" spans="1:74" ht="45" customHeight="1" x14ac:dyDescent="0.25">
      <c r="A255" s="10">
        <f t="shared" si="3"/>
        <v>241</v>
      </c>
      <c r="B255" s="711" t="s">
        <v>159</v>
      </c>
      <c r="C255" s="711"/>
      <c r="D255" s="712" t="s">
        <v>212</v>
      </c>
      <c r="E255" s="712"/>
      <c r="F255" s="664" t="s">
        <v>162</v>
      </c>
      <c r="G255" s="665"/>
      <c r="H255" s="755" t="s">
        <v>162</v>
      </c>
      <c r="I255" s="667"/>
      <c r="J255" s="706"/>
      <c r="K255" s="707"/>
      <c r="L255" s="706"/>
      <c r="M255" s="707"/>
      <c r="N255" s="194"/>
      <c r="O255" s="216"/>
      <c r="P255" s="717"/>
      <c r="Q255" s="718"/>
      <c r="R255" s="672"/>
      <c r="S255" s="673"/>
      <c r="T255" s="674"/>
      <c r="U255" s="675"/>
      <c r="V255" s="676"/>
      <c r="W255" s="677"/>
      <c r="X255" s="725" t="s">
        <v>159</v>
      </c>
      <c r="Y255" s="725"/>
      <c r="Z255" s="725"/>
      <c r="AA255" s="725"/>
      <c r="AB255" s="726" t="s">
        <v>159</v>
      </c>
      <c r="AC255" s="726"/>
      <c r="AD255" s="726"/>
      <c r="AE255" s="726"/>
      <c r="AF255" s="680"/>
      <c r="AG255" s="681"/>
      <c r="AH255" s="680"/>
      <c r="AI255" s="681"/>
      <c r="AJ255" s="686"/>
      <c r="AK255" s="687"/>
      <c r="AL255" s="664" t="s">
        <v>162</v>
      </c>
      <c r="AM255" s="665"/>
      <c r="AN255" s="713" t="s">
        <v>162</v>
      </c>
      <c r="AO255" s="714"/>
      <c r="AP255" s="686"/>
      <c r="AQ255" s="687"/>
      <c r="AR255" s="688"/>
      <c r="AS255" s="689"/>
      <c r="AT255" s="690"/>
      <c r="AU255" s="691"/>
      <c r="AV255" s="713" t="s">
        <v>162</v>
      </c>
      <c r="AW255" s="714"/>
      <c r="AX255" s="692"/>
      <c r="AY255" s="693"/>
      <c r="AZ255" s="694"/>
      <c r="BA255" s="682"/>
      <c r="BB255" s="683"/>
      <c r="BC255" s="219"/>
      <c r="BD255" s="737" t="s">
        <v>162</v>
      </c>
      <c r="BE255" s="738"/>
      <c r="BF255" s="708"/>
      <c r="BG255" s="709"/>
      <c r="BH255" s="709"/>
      <c r="BI255" s="710"/>
      <c r="BJ255" s="742" t="s">
        <v>159</v>
      </c>
      <c r="BK255" s="743"/>
      <c r="BL255" s="743"/>
      <c r="BM255" s="744"/>
      <c r="BN255" s="703" t="s">
        <v>159</v>
      </c>
      <c r="BO255" s="704"/>
      <c r="BP255" s="704"/>
      <c r="BQ255" s="704"/>
      <c r="BR255" s="704"/>
      <c r="BS255" s="704"/>
      <c r="BT255" s="704"/>
      <c r="BU255" s="704"/>
      <c r="BV255" s="705"/>
    </row>
    <row r="256" spans="1:74" ht="45" customHeight="1" x14ac:dyDescent="0.25">
      <c r="A256" s="10">
        <f t="shared" si="3"/>
        <v>242</v>
      </c>
      <c r="B256" s="662" t="s">
        <v>159</v>
      </c>
      <c r="C256" s="662"/>
      <c r="D256" s="663" t="s">
        <v>212</v>
      </c>
      <c r="E256" s="663"/>
      <c r="F256" s="664" t="s">
        <v>162</v>
      </c>
      <c r="G256" s="665"/>
      <c r="H256" s="754" t="s">
        <v>162</v>
      </c>
      <c r="I256" s="714"/>
      <c r="J256" s="340"/>
      <c r="K256" s="341"/>
      <c r="L256" s="340"/>
      <c r="M256" s="341"/>
      <c r="N256" s="215"/>
      <c r="O256" s="216"/>
      <c r="P256" s="670"/>
      <c r="Q256" s="671"/>
      <c r="R256" s="719"/>
      <c r="S256" s="720"/>
      <c r="T256" s="721"/>
      <c r="U256" s="722"/>
      <c r="V256" s="723"/>
      <c r="W256" s="724"/>
      <c r="X256" s="678" t="s">
        <v>159</v>
      </c>
      <c r="Y256" s="678"/>
      <c r="Z256" s="678"/>
      <c r="AA256" s="678"/>
      <c r="AB256" s="679" t="s">
        <v>159</v>
      </c>
      <c r="AC256" s="679"/>
      <c r="AD256" s="679"/>
      <c r="AE256" s="679"/>
      <c r="AF256" s="727"/>
      <c r="AG256" s="728"/>
      <c r="AH256" s="727"/>
      <c r="AI256" s="728"/>
      <c r="AJ256" s="682"/>
      <c r="AK256" s="683"/>
      <c r="AL256" s="684" t="s">
        <v>162</v>
      </c>
      <c r="AM256" s="685"/>
      <c r="AN256" s="666" t="s">
        <v>162</v>
      </c>
      <c r="AO256" s="667"/>
      <c r="AP256" s="729"/>
      <c r="AQ256" s="730"/>
      <c r="AR256" s="731"/>
      <c r="AS256" s="732"/>
      <c r="AT256" s="690"/>
      <c r="AU256" s="691"/>
      <c r="AV256" s="666" t="s">
        <v>162</v>
      </c>
      <c r="AW256" s="667"/>
      <c r="AX256" s="692"/>
      <c r="AY256" s="693"/>
      <c r="AZ256" s="694"/>
      <c r="BA256" s="735"/>
      <c r="BB256" s="736"/>
      <c r="BC256" s="14"/>
      <c r="BD256" s="695" t="s">
        <v>162</v>
      </c>
      <c r="BE256" s="696"/>
      <c r="BF256" s="739"/>
      <c r="BG256" s="740"/>
      <c r="BH256" s="740"/>
      <c r="BI256" s="741"/>
      <c r="BJ256" s="700" t="s">
        <v>159</v>
      </c>
      <c r="BK256" s="701"/>
      <c r="BL256" s="701"/>
      <c r="BM256" s="702"/>
      <c r="BN256" s="703" t="s">
        <v>159</v>
      </c>
      <c r="BO256" s="704"/>
      <c r="BP256" s="704"/>
      <c r="BQ256" s="704"/>
      <c r="BR256" s="704"/>
      <c r="BS256" s="704"/>
      <c r="BT256" s="704"/>
      <c r="BU256" s="704"/>
      <c r="BV256" s="705"/>
    </row>
    <row r="257" spans="1:74" ht="45" customHeight="1" x14ac:dyDescent="0.25">
      <c r="A257" s="10">
        <f t="shared" si="3"/>
        <v>243</v>
      </c>
      <c r="B257" s="711" t="s">
        <v>159</v>
      </c>
      <c r="C257" s="711"/>
      <c r="D257" s="712" t="s">
        <v>212</v>
      </c>
      <c r="E257" s="712"/>
      <c r="F257" s="664" t="s">
        <v>162</v>
      </c>
      <c r="G257" s="665"/>
      <c r="H257" s="755" t="s">
        <v>162</v>
      </c>
      <c r="I257" s="667"/>
      <c r="J257" s="706"/>
      <c r="K257" s="707"/>
      <c r="L257" s="706"/>
      <c r="M257" s="707"/>
      <c r="N257" s="194"/>
      <c r="O257" s="196"/>
      <c r="P257" s="717"/>
      <c r="Q257" s="718"/>
      <c r="R257" s="672"/>
      <c r="S257" s="673"/>
      <c r="T257" s="674"/>
      <c r="U257" s="675"/>
      <c r="V257" s="676"/>
      <c r="W257" s="677"/>
      <c r="X257" s="725" t="s">
        <v>159</v>
      </c>
      <c r="Y257" s="725"/>
      <c r="Z257" s="725"/>
      <c r="AA257" s="725"/>
      <c r="AB257" s="726" t="s">
        <v>159</v>
      </c>
      <c r="AC257" s="726"/>
      <c r="AD257" s="726"/>
      <c r="AE257" s="726"/>
      <c r="AF257" s="680"/>
      <c r="AG257" s="681"/>
      <c r="AH257" s="680"/>
      <c r="AI257" s="681"/>
      <c r="AJ257" s="686"/>
      <c r="AK257" s="687"/>
      <c r="AL257" s="664" t="s">
        <v>162</v>
      </c>
      <c r="AM257" s="665"/>
      <c r="AN257" s="713" t="s">
        <v>162</v>
      </c>
      <c r="AO257" s="714"/>
      <c r="AP257" s="686"/>
      <c r="AQ257" s="687"/>
      <c r="AR257" s="688"/>
      <c r="AS257" s="689"/>
      <c r="AT257" s="690"/>
      <c r="AU257" s="691"/>
      <c r="AV257" s="713" t="s">
        <v>162</v>
      </c>
      <c r="AW257" s="714"/>
      <c r="AX257" s="692"/>
      <c r="AY257" s="693"/>
      <c r="AZ257" s="694"/>
      <c r="BA257" s="682"/>
      <c r="BB257" s="683"/>
      <c r="BC257" s="219"/>
      <c r="BD257" s="737" t="s">
        <v>162</v>
      </c>
      <c r="BE257" s="738"/>
      <c r="BF257" s="697"/>
      <c r="BG257" s="698"/>
      <c r="BH257" s="698"/>
      <c r="BI257" s="699"/>
      <c r="BJ257" s="742" t="s">
        <v>159</v>
      </c>
      <c r="BK257" s="743"/>
      <c r="BL257" s="743"/>
      <c r="BM257" s="744"/>
      <c r="BN257" s="703" t="s">
        <v>159</v>
      </c>
      <c r="BO257" s="704"/>
      <c r="BP257" s="704"/>
      <c r="BQ257" s="704"/>
      <c r="BR257" s="704"/>
      <c r="BS257" s="704"/>
      <c r="BT257" s="704"/>
      <c r="BU257" s="704"/>
      <c r="BV257" s="705"/>
    </row>
    <row r="258" spans="1:74" ht="45" customHeight="1" x14ac:dyDescent="0.25">
      <c r="A258" s="10">
        <f t="shared" si="3"/>
        <v>244</v>
      </c>
      <c r="B258" s="662" t="s">
        <v>159</v>
      </c>
      <c r="C258" s="662"/>
      <c r="D258" s="663" t="s">
        <v>212</v>
      </c>
      <c r="E258" s="663"/>
      <c r="F258" s="664" t="s">
        <v>162</v>
      </c>
      <c r="G258" s="665"/>
      <c r="H258" s="754" t="s">
        <v>162</v>
      </c>
      <c r="I258" s="714"/>
      <c r="J258" s="340"/>
      <c r="K258" s="341"/>
      <c r="L258" s="340"/>
      <c r="M258" s="341"/>
      <c r="N258" s="215"/>
      <c r="O258" s="216"/>
      <c r="P258" s="670"/>
      <c r="Q258" s="671"/>
      <c r="R258" s="719"/>
      <c r="S258" s="720"/>
      <c r="T258" s="721"/>
      <c r="U258" s="722"/>
      <c r="V258" s="723"/>
      <c r="W258" s="724"/>
      <c r="X258" s="678" t="s">
        <v>159</v>
      </c>
      <c r="Y258" s="678"/>
      <c r="Z258" s="678"/>
      <c r="AA258" s="678"/>
      <c r="AB258" s="679" t="s">
        <v>159</v>
      </c>
      <c r="AC258" s="679"/>
      <c r="AD258" s="679"/>
      <c r="AE258" s="679"/>
      <c r="AF258" s="727"/>
      <c r="AG258" s="728"/>
      <c r="AH258" s="727"/>
      <c r="AI258" s="728"/>
      <c r="AJ258" s="682"/>
      <c r="AK258" s="683"/>
      <c r="AL258" s="684" t="s">
        <v>162</v>
      </c>
      <c r="AM258" s="685"/>
      <c r="AN258" s="666" t="s">
        <v>162</v>
      </c>
      <c r="AO258" s="667"/>
      <c r="AP258" s="729"/>
      <c r="AQ258" s="730"/>
      <c r="AR258" s="731"/>
      <c r="AS258" s="732"/>
      <c r="AT258" s="690"/>
      <c r="AU258" s="691"/>
      <c r="AV258" s="666" t="s">
        <v>162</v>
      </c>
      <c r="AW258" s="667"/>
      <c r="AX258" s="692"/>
      <c r="AY258" s="693"/>
      <c r="AZ258" s="694"/>
      <c r="BA258" s="735"/>
      <c r="BB258" s="736"/>
      <c r="BC258" s="14"/>
      <c r="BD258" s="695" t="s">
        <v>162</v>
      </c>
      <c r="BE258" s="696"/>
      <c r="BF258" s="739"/>
      <c r="BG258" s="740"/>
      <c r="BH258" s="740"/>
      <c r="BI258" s="741"/>
      <c r="BJ258" s="700" t="s">
        <v>159</v>
      </c>
      <c r="BK258" s="701"/>
      <c r="BL258" s="701"/>
      <c r="BM258" s="702"/>
      <c r="BN258" s="703" t="s">
        <v>159</v>
      </c>
      <c r="BO258" s="704"/>
      <c r="BP258" s="704"/>
      <c r="BQ258" s="704"/>
      <c r="BR258" s="704"/>
      <c r="BS258" s="704"/>
      <c r="BT258" s="704"/>
      <c r="BU258" s="704"/>
      <c r="BV258" s="705"/>
    </row>
    <row r="259" spans="1:74" ht="45" customHeight="1" x14ac:dyDescent="0.25">
      <c r="A259" s="10">
        <f t="shared" si="3"/>
        <v>245</v>
      </c>
      <c r="B259" s="711" t="s">
        <v>159</v>
      </c>
      <c r="C259" s="711"/>
      <c r="D259" s="712" t="s">
        <v>212</v>
      </c>
      <c r="E259" s="712"/>
      <c r="F259" s="664" t="s">
        <v>162</v>
      </c>
      <c r="G259" s="665"/>
      <c r="H259" s="755" t="s">
        <v>162</v>
      </c>
      <c r="I259" s="667"/>
      <c r="J259" s="706"/>
      <c r="K259" s="707"/>
      <c r="L259" s="706"/>
      <c r="M259" s="707"/>
      <c r="N259" s="194"/>
      <c r="O259" s="196"/>
      <c r="P259" s="717"/>
      <c r="Q259" s="718"/>
      <c r="R259" s="672"/>
      <c r="S259" s="673"/>
      <c r="T259" s="674"/>
      <c r="U259" s="675"/>
      <c r="V259" s="676"/>
      <c r="W259" s="677"/>
      <c r="X259" s="725" t="s">
        <v>159</v>
      </c>
      <c r="Y259" s="725"/>
      <c r="Z259" s="725"/>
      <c r="AA259" s="725"/>
      <c r="AB259" s="726" t="s">
        <v>159</v>
      </c>
      <c r="AC259" s="726"/>
      <c r="AD259" s="726"/>
      <c r="AE259" s="726"/>
      <c r="AF259" s="680"/>
      <c r="AG259" s="681"/>
      <c r="AH259" s="680"/>
      <c r="AI259" s="681"/>
      <c r="AJ259" s="686"/>
      <c r="AK259" s="687"/>
      <c r="AL259" s="664" t="s">
        <v>162</v>
      </c>
      <c r="AM259" s="665"/>
      <c r="AN259" s="713" t="s">
        <v>162</v>
      </c>
      <c r="AO259" s="714"/>
      <c r="AP259" s="686"/>
      <c r="AQ259" s="687"/>
      <c r="AR259" s="688"/>
      <c r="AS259" s="689"/>
      <c r="AT259" s="690"/>
      <c r="AU259" s="691"/>
      <c r="AV259" s="713" t="s">
        <v>162</v>
      </c>
      <c r="AW259" s="714"/>
      <c r="AX259" s="692"/>
      <c r="AY259" s="693"/>
      <c r="AZ259" s="694"/>
      <c r="BA259" s="682"/>
      <c r="BB259" s="683"/>
      <c r="BC259" s="219"/>
      <c r="BD259" s="737" t="s">
        <v>162</v>
      </c>
      <c r="BE259" s="738"/>
      <c r="BF259" s="708"/>
      <c r="BG259" s="709"/>
      <c r="BH259" s="709"/>
      <c r="BI259" s="710"/>
      <c r="BJ259" s="742" t="s">
        <v>159</v>
      </c>
      <c r="BK259" s="743"/>
      <c r="BL259" s="743"/>
      <c r="BM259" s="744"/>
      <c r="BN259" s="703" t="s">
        <v>159</v>
      </c>
      <c r="BO259" s="704"/>
      <c r="BP259" s="704"/>
      <c r="BQ259" s="704"/>
      <c r="BR259" s="704"/>
      <c r="BS259" s="704"/>
      <c r="BT259" s="704"/>
      <c r="BU259" s="704"/>
      <c r="BV259" s="705"/>
    </row>
    <row r="260" spans="1:74" ht="45" customHeight="1" x14ac:dyDescent="0.25">
      <c r="A260" s="10">
        <f t="shared" si="3"/>
        <v>246</v>
      </c>
      <c r="B260" s="662" t="s">
        <v>159</v>
      </c>
      <c r="C260" s="662"/>
      <c r="D260" s="663" t="s">
        <v>212</v>
      </c>
      <c r="E260" s="663"/>
      <c r="F260" s="664" t="s">
        <v>162</v>
      </c>
      <c r="G260" s="665"/>
      <c r="H260" s="754" t="s">
        <v>162</v>
      </c>
      <c r="I260" s="714"/>
      <c r="J260" s="340"/>
      <c r="K260" s="341"/>
      <c r="L260" s="340"/>
      <c r="M260" s="341"/>
      <c r="N260" s="215"/>
      <c r="O260" s="216"/>
      <c r="P260" s="670"/>
      <c r="Q260" s="671"/>
      <c r="R260" s="719"/>
      <c r="S260" s="720"/>
      <c r="T260" s="721"/>
      <c r="U260" s="722"/>
      <c r="V260" s="723"/>
      <c r="W260" s="724"/>
      <c r="X260" s="678" t="s">
        <v>159</v>
      </c>
      <c r="Y260" s="678"/>
      <c r="Z260" s="678"/>
      <c r="AA260" s="678"/>
      <c r="AB260" s="679" t="s">
        <v>159</v>
      </c>
      <c r="AC260" s="679"/>
      <c r="AD260" s="679"/>
      <c r="AE260" s="679"/>
      <c r="AF260" s="727"/>
      <c r="AG260" s="728"/>
      <c r="AH260" s="727"/>
      <c r="AI260" s="728"/>
      <c r="AJ260" s="682"/>
      <c r="AK260" s="683"/>
      <c r="AL260" s="684" t="s">
        <v>162</v>
      </c>
      <c r="AM260" s="685"/>
      <c r="AN260" s="666" t="s">
        <v>162</v>
      </c>
      <c r="AO260" s="667"/>
      <c r="AP260" s="729"/>
      <c r="AQ260" s="730"/>
      <c r="AR260" s="731"/>
      <c r="AS260" s="732"/>
      <c r="AT260" s="690"/>
      <c r="AU260" s="691"/>
      <c r="AV260" s="666" t="s">
        <v>162</v>
      </c>
      <c r="AW260" s="667"/>
      <c r="AX260" s="692"/>
      <c r="AY260" s="693"/>
      <c r="AZ260" s="694"/>
      <c r="BA260" s="735"/>
      <c r="BB260" s="736"/>
      <c r="BC260" s="14"/>
      <c r="BD260" s="695" t="s">
        <v>162</v>
      </c>
      <c r="BE260" s="696"/>
      <c r="BF260" s="739"/>
      <c r="BG260" s="740"/>
      <c r="BH260" s="740"/>
      <c r="BI260" s="741"/>
      <c r="BJ260" s="700" t="s">
        <v>159</v>
      </c>
      <c r="BK260" s="701"/>
      <c r="BL260" s="701"/>
      <c r="BM260" s="702"/>
      <c r="BN260" s="703" t="s">
        <v>159</v>
      </c>
      <c r="BO260" s="704"/>
      <c r="BP260" s="704"/>
      <c r="BQ260" s="704"/>
      <c r="BR260" s="704"/>
      <c r="BS260" s="704"/>
      <c r="BT260" s="704"/>
      <c r="BU260" s="704"/>
      <c r="BV260" s="705"/>
    </row>
    <row r="261" spans="1:74" ht="45" customHeight="1" x14ac:dyDescent="0.25">
      <c r="A261" s="10">
        <f t="shared" si="3"/>
        <v>247</v>
      </c>
      <c r="B261" s="711" t="s">
        <v>159</v>
      </c>
      <c r="C261" s="711"/>
      <c r="D261" s="712" t="s">
        <v>212</v>
      </c>
      <c r="E261" s="712"/>
      <c r="F261" s="664" t="s">
        <v>162</v>
      </c>
      <c r="G261" s="665"/>
      <c r="H261" s="755" t="s">
        <v>162</v>
      </c>
      <c r="I261" s="667"/>
      <c r="J261" s="706"/>
      <c r="K261" s="707"/>
      <c r="L261" s="706"/>
      <c r="M261" s="707"/>
      <c r="N261" s="194"/>
      <c r="O261" s="196"/>
      <c r="P261" s="717"/>
      <c r="Q261" s="718"/>
      <c r="R261" s="672"/>
      <c r="S261" s="673"/>
      <c r="T261" s="674"/>
      <c r="U261" s="675"/>
      <c r="V261" s="676"/>
      <c r="W261" s="677"/>
      <c r="X261" s="725" t="s">
        <v>159</v>
      </c>
      <c r="Y261" s="725"/>
      <c r="Z261" s="725"/>
      <c r="AA261" s="725"/>
      <c r="AB261" s="726" t="s">
        <v>159</v>
      </c>
      <c r="AC261" s="726"/>
      <c r="AD261" s="726"/>
      <c r="AE261" s="726"/>
      <c r="AF261" s="680"/>
      <c r="AG261" s="681"/>
      <c r="AH261" s="680"/>
      <c r="AI261" s="681"/>
      <c r="AJ261" s="686"/>
      <c r="AK261" s="687"/>
      <c r="AL261" s="664" t="s">
        <v>162</v>
      </c>
      <c r="AM261" s="665"/>
      <c r="AN261" s="713" t="s">
        <v>162</v>
      </c>
      <c r="AO261" s="714"/>
      <c r="AP261" s="686"/>
      <c r="AQ261" s="687"/>
      <c r="AR261" s="688"/>
      <c r="AS261" s="689"/>
      <c r="AT261" s="690"/>
      <c r="AU261" s="691"/>
      <c r="AV261" s="713" t="s">
        <v>162</v>
      </c>
      <c r="AW261" s="714"/>
      <c r="AX261" s="692"/>
      <c r="AY261" s="693"/>
      <c r="AZ261" s="694"/>
      <c r="BA261" s="682"/>
      <c r="BB261" s="683"/>
      <c r="BC261" s="219"/>
      <c r="BD261" s="737" t="s">
        <v>162</v>
      </c>
      <c r="BE261" s="738"/>
      <c r="BF261" s="697"/>
      <c r="BG261" s="698"/>
      <c r="BH261" s="698"/>
      <c r="BI261" s="699"/>
      <c r="BJ261" s="742" t="s">
        <v>159</v>
      </c>
      <c r="BK261" s="743"/>
      <c r="BL261" s="743"/>
      <c r="BM261" s="744"/>
      <c r="BN261" s="703" t="s">
        <v>159</v>
      </c>
      <c r="BO261" s="704"/>
      <c r="BP261" s="704"/>
      <c r="BQ261" s="704"/>
      <c r="BR261" s="704"/>
      <c r="BS261" s="704"/>
      <c r="BT261" s="704"/>
      <c r="BU261" s="704"/>
      <c r="BV261" s="705"/>
    </row>
    <row r="262" spans="1:74" ht="45" customHeight="1" x14ac:dyDescent="0.25">
      <c r="A262" s="10">
        <f t="shared" si="3"/>
        <v>248</v>
      </c>
      <c r="B262" s="662" t="s">
        <v>159</v>
      </c>
      <c r="C262" s="662"/>
      <c r="D262" s="663" t="s">
        <v>212</v>
      </c>
      <c r="E262" s="663"/>
      <c r="F262" s="664" t="s">
        <v>162</v>
      </c>
      <c r="G262" s="665"/>
      <c r="H262" s="754" t="s">
        <v>162</v>
      </c>
      <c r="I262" s="714"/>
      <c r="J262" s="340"/>
      <c r="K262" s="341"/>
      <c r="L262" s="340"/>
      <c r="M262" s="341"/>
      <c r="N262" s="215"/>
      <c r="O262" s="216"/>
      <c r="P262" s="670"/>
      <c r="Q262" s="671"/>
      <c r="R262" s="719"/>
      <c r="S262" s="720"/>
      <c r="T262" s="721"/>
      <c r="U262" s="722"/>
      <c r="V262" s="723"/>
      <c r="W262" s="724"/>
      <c r="X262" s="678" t="s">
        <v>159</v>
      </c>
      <c r="Y262" s="678"/>
      <c r="Z262" s="678"/>
      <c r="AA262" s="678"/>
      <c r="AB262" s="679" t="s">
        <v>159</v>
      </c>
      <c r="AC262" s="679"/>
      <c r="AD262" s="679"/>
      <c r="AE262" s="679"/>
      <c r="AF262" s="727"/>
      <c r="AG262" s="728"/>
      <c r="AH262" s="727"/>
      <c r="AI262" s="728"/>
      <c r="AJ262" s="682"/>
      <c r="AK262" s="683"/>
      <c r="AL262" s="684" t="s">
        <v>162</v>
      </c>
      <c r="AM262" s="685"/>
      <c r="AN262" s="666" t="s">
        <v>162</v>
      </c>
      <c r="AO262" s="667"/>
      <c r="AP262" s="729"/>
      <c r="AQ262" s="730"/>
      <c r="AR262" s="731"/>
      <c r="AS262" s="732"/>
      <c r="AT262" s="690"/>
      <c r="AU262" s="691"/>
      <c r="AV262" s="666" t="s">
        <v>162</v>
      </c>
      <c r="AW262" s="667"/>
      <c r="AX262" s="692"/>
      <c r="AY262" s="693"/>
      <c r="AZ262" s="694"/>
      <c r="BA262" s="735"/>
      <c r="BB262" s="736"/>
      <c r="BC262" s="14"/>
      <c r="BD262" s="695" t="s">
        <v>162</v>
      </c>
      <c r="BE262" s="696"/>
      <c r="BF262" s="739"/>
      <c r="BG262" s="740"/>
      <c r="BH262" s="740"/>
      <c r="BI262" s="741"/>
      <c r="BJ262" s="700" t="s">
        <v>159</v>
      </c>
      <c r="BK262" s="701"/>
      <c r="BL262" s="701"/>
      <c r="BM262" s="702"/>
      <c r="BN262" s="703" t="s">
        <v>159</v>
      </c>
      <c r="BO262" s="704"/>
      <c r="BP262" s="704"/>
      <c r="BQ262" s="704"/>
      <c r="BR262" s="704"/>
      <c r="BS262" s="704"/>
      <c r="BT262" s="704"/>
      <c r="BU262" s="704"/>
      <c r="BV262" s="705"/>
    </row>
    <row r="263" spans="1:74" ht="45" customHeight="1" x14ac:dyDescent="0.25">
      <c r="A263" s="10">
        <f t="shared" si="3"/>
        <v>249</v>
      </c>
      <c r="B263" s="711" t="s">
        <v>159</v>
      </c>
      <c r="C263" s="711"/>
      <c r="D263" s="712" t="s">
        <v>212</v>
      </c>
      <c r="E263" s="712"/>
      <c r="F263" s="664" t="s">
        <v>162</v>
      </c>
      <c r="G263" s="665"/>
      <c r="H263" s="755" t="s">
        <v>162</v>
      </c>
      <c r="I263" s="667"/>
      <c r="J263" s="706"/>
      <c r="K263" s="707"/>
      <c r="L263" s="706"/>
      <c r="M263" s="707"/>
      <c r="N263" s="194"/>
      <c r="O263" s="196"/>
      <c r="P263" s="717"/>
      <c r="Q263" s="718"/>
      <c r="R263" s="672"/>
      <c r="S263" s="673"/>
      <c r="T263" s="674"/>
      <c r="U263" s="675"/>
      <c r="V263" s="676"/>
      <c r="W263" s="677"/>
      <c r="X263" s="725" t="s">
        <v>159</v>
      </c>
      <c r="Y263" s="725"/>
      <c r="Z263" s="725"/>
      <c r="AA263" s="725"/>
      <c r="AB263" s="726" t="s">
        <v>159</v>
      </c>
      <c r="AC263" s="726"/>
      <c r="AD263" s="726"/>
      <c r="AE263" s="726"/>
      <c r="AF263" s="680"/>
      <c r="AG263" s="681"/>
      <c r="AH263" s="680"/>
      <c r="AI263" s="681"/>
      <c r="AJ263" s="686"/>
      <c r="AK263" s="687"/>
      <c r="AL263" s="664" t="s">
        <v>162</v>
      </c>
      <c r="AM263" s="665"/>
      <c r="AN263" s="713" t="s">
        <v>162</v>
      </c>
      <c r="AO263" s="714"/>
      <c r="AP263" s="686"/>
      <c r="AQ263" s="687"/>
      <c r="AR263" s="688"/>
      <c r="AS263" s="689"/>
      <c r="AT263" s="690"/>
      <c r="AU263" s="691"/>
      <c r="AV263" s="713" t="s">
        <v>162</v>
      </c>
      <c r="AW263" s="714"/>
      <c r="AX263" s="692"/>
      <c r="AY263" s="693"/>
      <c r="AZ263" s="694"/>
      <c r="BA263" s="682"/>
      <c r="BB263" s="683"/>
      <c r="BC263" s="219"/>
      <c r="BD263" s="737" t="s">
        <v>162</v>
      </c>
      <c r="BE263" s="738"/>
      <c r="BF263" s="708"/>
      <c r="BG263" s="709"/>
      <c r="BH263" s="709"/>
      <c r="BI263" s="710"/>
      <c r="BJ263" s="742" t="s">
        <v>159</v>
      </c>
      <c r="BK263" s="743"/>
      <c r="BL263" s="743"/>
      <c r="BM263" s="744"/>
      <c r="BN263" s="703" t="s">
        <v>159</v>
      </c>
      <c r="BO263" s="704"/>
      <c r="BP263" s="704"/>
      <c r="BQ263" s="704"/>
      <c r="BR263" s="704"/>
      <c r="BS263" s="704"/>
      <c r="BT263" s="704"/>
      <c r="BU263" s="704"/>
      <c r="BV263" s="705"/>
    </row>
    <row r="264" spans="1:74" ht="45" customHeight="1" x14ac:dyDescent="0.25">
      <c r="A264" s="10">
        <f t="shared" si="3"/>
        <v>250</v>
      </c>
      <c r="B264" s="662" t="s">
        <v>159</v>
      </c>
      <c r="C264" s="662"/>
      <c r="D264" s="663" t="s">
        <v>212</v>
      </c>
      <c r="E264" s="663"/>
      <c r="F264" s="664" t="s">
        <v>162</v>
      </c>
      <c r="G264" s="665"/>
      <c r="H264" s="754" t="s">
        <v>162</v>
      </c>
      <c r="I264" s="714"/>
      <c r="J264" s="340"/>
      <c r="K264" s="341"/>
      <c r="L264" s="340"/>
      <c r="M264" s="341"/>
      <c r="N264" s="215"/>
      <c r="O264" s="216"/>
      <c r="P264" s="670"/>
      <c r="Q264" s="671"/>
      <c r="R264" s="719"/>
      <c r="S264" s="720"/>
      <c r="T264" s="721"/>
      <c r="U264" s="722"/>
      <c r="V264" s="723"/>
      <c r="W264" s="724"/>
      <c r="X264" s="678" t="s">
        <v>159</v>
      </c>
      <c r="Y264" s="678"/>
      <c r="Z264" s="678"/>
      <c r="AA264" s="678"/>
      <c r="AB264" s="679" t="s">
        <v>159</v>
      </c>
      <c r="AC264" s="679"/>
      <c r="AD264" s="679"/>
      <c r="AE264" s="679"/>
      <c r="AF264" s="727"/>
      <c r="AG264" s="728"/>
      <c r="AH264" s="727"/>
      <c r="AI264" s="728"/>
      <c r="AJ264" s="682"/>
      <c r="AK264" s="683"/>
      <c r="AL264" s="684" t="s">
        <v>162</v>
      </c>
      <c r="AM264" s="685"/>
      <c r="AN264" s="666" t="s">
        <v>162</v>
      </c>
      <c r="AO264" s="667"/>
      <c r="AP264" s="729"/>
      <c r="AQ264" s="730"/>
      <c r="AR264" s="731"/>
      <c r="AS264" s="732"/>
      <c r="AT264" s="690"/>
      <c r="AU264" s="691"/>
      <c r="AV264" s="666" t="s">
        <v>162</v>
      </c>
      <c r="AW264" s="667"/>
      <c r="AX264" s="692"/>
      <c r="AY264" s="693"/>
      <c r="AZ264" s="694"/>
      <c r="BA264" s="735"/>
      <c r="BB264" s="736"/>
      <c r="BC264" s="14"/>
      <c r="BD264" s="695" t="s">
        <v>162</v>
      </c>
      <c r="BE264" s="696"/>
      <c r="BF264" s="739"/>
      <c r="BG264" s="740"/>
      <c r="BH264" s="740"/>
      <c r="BI264" s="741"/>
      <c r="BJ264" s="700" t="s">
        <v>159</v>
      </c>
      <c r="BK264" s="701"/>
      <c r="BL264" s="701"/>
      <c r="BM264" s="702"/>
      <c r="BN264" s="703" t="s">
        <v>159</v>
      </c>
      <c r="BO264" s="704"/>
      <c r="BP264" s="704"/>
      <c r="BQ264" s="704"/>
      <c r="BR264" s="704"/>
      <c r="BS264" s="704"/>
      <c r="BT264" s="704"/>
      <c r="BU264" s="704"/>
      <c r="BV264" s="705"/>
    </row>
    <row r="265" spans="1:74" ht="45" customHeight="1" x14ac:dyDescent="0.25">
      <c r="A265" s="10">
        <f t="shared" si="3"/>
        <v>251</v>
      </c>
      <c r="B265" s="711" t="s">
        <v>159</v>
      </c>
      <c r="C265" s="711"/>
      <c r="D265" s="712" t="s">
        <v>212</v>
      </c>
      <c r="E265" s="712"/>
      <c r="F265" s="664" t="s">
        <v>162</v>
      </c>
      <c r="G265" s="665"/>
      <c r="H265" s="755" t="s">
        <v>162</v>
      </c>
      <c r="I265" s="667"/>
      <c r="J265" s="706"/>
      <c r="K265" s="707"/>
      <c r="L265" s="706"/>
      <c r="M265" s="707"/>
      <c r="N265" s="194"/>
      <c r="O265" s="196"/>
      <c r="P265" s="717"/>
      <c r="Q265" s="718"/>
      <c r="R265" s="672"/>
      <c r="S265" s="673"/>
      <c r="T265" s="674"/>
      <c r="U265" s="675"/>
      <c r="V265" s="676"/>
      <c r="W265" s="677"/>
      <c r="X265" s="725" t="s">
        <v>159</v>
      </c>
      <c r="Y265" s="725"/>
      <c r="Z265" s="725"/>
      <c r="AA265" s="725"/>
      <c r="AB265" s="726" t="s">
        <v>159</v>
      </c>
      <c r="AC265" s="726"/>
      <c r="AD265" s="726"/>
      <c r="AE265" s="726"/>
      <c r="AF265" s="680"/>
      <c r="AG265" s="681"/>
      <c r="AH265" s="680"/>
      <c r="AI265" s="681"/>
      <c r="AJ265" s="686"/>
      <c r="AK265" s="687"/>
      <c r="AL265" s="664" t="s">
        <v>162</v>
      </c>
      <c r="AM265" s="665"/>
      <c r="AN265" s="713" t="s">
        <v>162</v>
      </c>
      <c r="AO265" s="714"/>
      <c r="AP265" s="686"/>
      <c r="AQ265" s="687"/>
      <c r="AR265" s="688"/>
      <c r="AS265" s="689"/>
      <c r="AT265" s="690"/>
      <c r="AU265" s="691"/>
      <c r="AV265" s="713" t="s">
        <v>162</v>
      </c>
      <c r="AW265" s="714"/>
      <c r="AX265" s="692"/>
      <c r="AY265" s="693"/>
      <c r="AZ265" s="694"/>
      <c r="BA265" s="682"/>
      <c r="BB265" s="683"/>
      <c r="BC265" s="219"/>
      <c r="BD265" s="737" t="s">
        <v>162</v>
      </c>
      <c r="BE265" s="738"/>
      <c r="BF265" s="708"/>
      <c r="BG265" s="709"/>
      <c r="BH265" s="709"/>
      <c r="BI265" s="710"/>
      <c r="BJ265" s="742" t="s">
        <v>159</v>
      </c>
      <c r="BK265" s="743"/>
      <c r="BL265" s="743"/>
      <c r="BM265" s="744"/>
      <c r="BN265" s="703" t="s">
        <v>159</v>
      </c>
      <c r="BO265" s="704"/>
      <c r="BP265" s="704"/>
      <c r="BQ265" s="704"/>
      <c r="BR265" s="704"/>
      <c r="BS265" s="704"/>
      <c r="BT265" s="704"/>
      <c r="BU265" s="704"/>
      <c r="BV265" s="705"/>
    </row>
    <row r="266" spans="1:74" ht="45" customHeight="1" x14ac:dyDescent="0.25">
      <c r="A266" s="10">
        <f t="shared" si="3"/>
        <v>252</v>
      </c>
      <c r="B266" s="662" t="s">
        <v>159</v>
      </c>
      <c r="C266" s="662"/>
      <c r="D266" s="663" t="s">
        <v>212</v>
      </c>
      <c r="E266" s="663"/>
      <c r="F266" s="664" t="s">
        <v>162</v>
      </c>
      <c r="G266" s="665"/>
      <c r="H266" s="754" t="s">
        <v>162</v>
      </c>
      <c r="I266" s="714"/>
      <c r="J266" s="340"/>
      <c r="K266" s="341"/>
      <c r="L266" s="340"/>
      <c r="M266" s="341"/>
      <c r="N266" s="215"/>
      <c r="O266" s="216"/>
      <c r="P266" s="670"/>
      <c r="Q266" s="671"/>
      <c r="R266" s="719"/>
      <c r="S266" s="720"/>
      <c r="T266" s="721"/>
      <c r="U266" s="722"/>
      <c r="V266" s="723"/>
      <c r="W266" s="724"/>
      <c r="X266" s="678" t="s">
        <v>159</v>
      </c>
      <c r="Y266" s="678"/>
      <c r="Z266" s="678"/>
      <c r="AA266" s="678"/>
      <c r="AB266" s="679" t="s">
        <v>159</v>
      </c>
      <c r="AC266" s="679"/>
      <c r="AD266" s="679"/>
      <c r="AE266" s="679"/>
      <c r="AF266" s="727"/>
      <c r="AG266" s="728"/>
      <c r="AH266" s="727"/>
      <c r="AI266" s="728"/>
      <c r="AJ266" s="682"/>
      <c r="AK266" s="683"/>
      <c r="AL266" s="684" t="s">
        <v>162</v>
      </c>
      <c r="AM266" s="685"/>
      <c r="AN266" s="666" t="s">
        <v>162</v>
      </c>
      <c r="AO266" s="667"/>
      <c r="AP266" s="729"/>
      <c r="AQ266" s="730"/>
      <c r="AR266" s="731"/>
      <c r="AS266" s="732"/>
      <c r="AT266" s="690"/>
      <c r="AU266" s="691"/>
      <c r="AV266" s="666" t="s">
        <v>162</v>
      </c>
      <c r="AW266" s="667"/>
      <c r="AX266" s="692"/>
      <c r="AY266" s="693"/>
      <c r="AZ266" s="694"/>
      <c r="BA266" s="735"/>
      <c r="BB266" s="736"/>
      <c r="BC266" s="14"/>
      <c r="BD266" s="695" t="s">
        <v>162</v>
      </c>
      <c r="BE266" s="696"/>
      <c r="BF266" s="739"/>
      <c r="BG266" s="740"/>
      <c r="BH266" s="740"/>
      <c r="BI266" s="741"/>
      <c r="BJ266" s="700" t="s">
        <v>159</v>
      </c>
      <c r="BK266" s="701"/>
      <c r="BL266" s="701"/>
      <c r="BM266" s="702"/>
      <c r="BN266" s="703" t="s">
        <v>159</v>
      </c>
      <c r="BO266" s="704"/>
      <c r="BP266" s="704"/>
      <c r="BQ266" s="704"/>
      <c r="BR266" s="704"/>
      <c r="BS266" s="704"/>
      <c r="BT266" s="704"/>
      <c r="BU266" s="704"/>
      <c r="BV266" s="705"/>
    </row>
    <row r="267" spans="1:74" ht="45" customHeight="1" x14ac:dyDescent="0.25">
      <c r="A267" s="10">
        <f t="shared" si="3"/>
        <v>253</v>
      </c>
      <c r="B267" s="711" t="s">
        <v>159</v>
      </c>
      <c r="C267" s="711"/>
      <c r="D267" s="712" t="s">
        <v>212</v>
      </c>
      <c r="E267" s="712"/>
      <c r="F267" s="664" t="s">
        <v>162</v>
      </c>
      <c r="G267" s="665"/>
      <c r="H267" s="755" t="s">
        <v>162</v>
      </c>
      <c r="I267" s="667"/>
      <c r="J267" s="706"/>
      <c r="K267" s="707"/>
      <c r="L267" s="706"/>
      <c r="M267" s="707"/>
      <c r="N267" s="194"/>
      <c r="O267" s="196"/>
      <c r="P267" s="717"/>
      <c r="Q267" s="718"/>
      <c r="R267" s="672"/>
      <c r="S267" s="673"/>
      <c r="T267" s="674"/>
      <c r="U267" s="675"/>
      <c r="V267" s="676"/>
      <c r="W267" s="677"/>
      <c r="X267" s="725" t="s">
        <v>159</v>
      </c>
      <c r="Y267" s="725"/>
      <c r="Z267" s="725"/>
      <c r="AA267" s="725"/>
      <c r="AB267" s="726" t="s">
        <v>159</v>
      </c>
      <c r="AC267" s="726"/>
      <c r="AD267" s="726"/>
      <c r="AE267" s="726"/>
      <c r="AF267" s="680"/>
      <c r="AG267" s="681"/>
      <c r="AH267" s="680"/>
      <c r="AI267" s="681"/>
      <c r="AJ267" s="686"/>
      <c r="AK267" s="687"/>
      <c r="AL267" s="664" t="s">
        <v>162</v>
      </c>
      <c r="AM267" s="665"/>
      <c r="AN267" s="713" t="s">
        <v>162</v>
      </c>
      <c r="AO267" s="714"/>
      <c r="AP267" s="686"/>
      <c r="AQ267" s="687"/>
      <c r="AR267" s="688"/>
      <c r="AS267" s="689"/>
      <c r="AT267" s="690"/>
      <c r="AU267" s="691"/>
      <c r="AV267" s="713" t="s">
        <v>162</v>
      </c>
      <c r="AW267" s="714"/>
      <c r="AX267" s="692"/>
      <c r="AY267" s="693"/>
      <c r="AZ267" s="694"/>
      <c r="BA267" s="682"/>
      <c r="BB267" s="683"/>
      <c r="BC267" s="219"/>
      <c r="BD267" s="737" t="s">
        <v>162</v>
      </c>
      <c r="BE267" s="738"/>
      <c r="BF267" s="697"/>
      <c r="BG267" s="698"/>
      <c r="BH267" s="698"/>
      <c r="BI267" s="699"/>
      <c r="BJ267" s="742" t="s">
        <v>159</v>
      </c>
      <c r="BK267" s="743"/>
      <c r="BL267" s="743"/>
      <c r="BM267" s="744"/>
      <c r="BN267" s="703" t="s">
        <v>159</v>
      </c>
      <c r="BO267" s="704"/>
      <c r="BP267" s="704"/>
      <c r="BQ267" s="704"/>
      <c r="BR267" s="704"/>
      <c r="BS267" s="704"/>
      <c r="BT267" s="704"/>
      <c r="BU267" s="704"/>
      <c r="BV267" s="705"/>
    </row>
    <row r="268" spans="1:74" ht="45" customHeight="1" x14ac:dyDescent="0.25">
      <c r="A268" s="10">
        <f t="shared" si="3"/>
        <v>254</v>
      </c>
      <c r="B268" s="662" t="s">
        <v>159</v>
      </c>
      <c r="C268" s="662"/>
      <c r="D268" s="663" t="s">
        <v>212</v>
      </c>
      <c r="E268" s="663"/>
      <c r="F268" s="664" t="s">
        <v>162</v>
      </c>
      <c r="G268" s="665"/>
      <c r="H268" s="754" t="s">
        <v>162</v>
      </c>
      <c r="I268" s="714"/>
      <c r="J268" s="340"/>
      <c r="K268" s="341"/>
      <c r="L268" s="340"/>
      <c r="M268" s="341"/>
      <c r="N268" s="215"/>
      <c r="O268" s="216"/>
      <c r="P268" s="670"/>
      <c r="Q268" s="671"/>
      <c r="R268" s="719"/>
      <c r="S268" s="720"/>
      <c r="T268" s="721"/>
      <c r="U268" s="722"/>
      <c r="V268" s="723"/>
      <c r="W268" s="724"/>
      <c r="X268" s="678" t="s">
        <v>159</v>
      </c>
      <c r="Y268" s="678"/>
      <c r="Z268" s="678"/>
      <c r="AA268" s="678"/>
      <c r="AB268" s="679" t="s">
        <v>159</v>
      </c>
      <c r="AC268" s="679"/>
      <c r="AD268" s="679"/>
      <c r="AE268" s="679"/>
      <c r="AF268" s="727"/>
      <c r="AG268" s="728"/>
      <c r="AH268" s="727"/>
      <c r="AI268" s="728"/>
      <c r="AJ268" s="682"/>
      <c r="AK268" s="683"/>
      <c r="AL268" s="684" t="s">
        <v>162</v>
      </c>
      <c r="AM268" s="685"/>
      <c r="AN268" s="666" t="s">
        <v>162</v>
      </c>
      <c r="AO268" s="667"/>
      <c r="AP268" s="729"/>
      <c r="AQ268" s="730"/>
      <c r="AR268" s="731"/>
      <c r="AS268" s="732"/>
      <c r="AT268" s="690"/>
      <c r="AU268" s="691"/>
      <c r="AV268" s="666" t="s">
        <v>162</v>
      </c>
      <c r="AW268" s="667"/>
      <c r="AX268" s="692"/>
      <c r="AY268" s="693"/>
      <c r="AZ268" s="694"/>
      <c r="BA268" s="735"/>
      <c r="BB268" s="736"/>
      <c r="BC268" s="14"/>
      <c r="BD268" s="695" t="s">
        <v>162</v>
      </c>
      <c r="BE268" s="696"/>
      <c r="BF268" s="739"/>
      <c r="BG268" s="740"/>
      <c r="BH268" s="740"/>
      <c r="BI268" s="741"/>
      <c r="BJ268" s="700" t="s">
        <v>159</v>
      </c>
      <c r="BK268" s="701"/>
      <c r="BL268" s="701"/>
      <c r="BM268" s="702"/>
      <c r="BN268" s="703" t="s">
        <v>159</v>
      </c>
      <c r="BO268" s="704"/>
      <c r="BP268" s="704"/>
      <c r="BQ268" s="704"/>
      <c r="BR268" s="704"/>
      <c r="BS268" s="704"/>
      <c r="BT268" s="704"/>
      <c r="BU268" s="704"/>
      <c r="BV268" s="705"/>
    </row>
    <row r="269" spans="1:74" ht="45" customHeight="1" x14ac:dyDescent="0.25">
      <c r="A269" s="10">
        <f t="shared" si="3"/>
        <v>255</v>
      </c>
      <c r="B269" s="711" t="s">
        <v>159</v>
      </c>
      <c r="C269" s="711"/>
      <c r="D269" s="712" t="s">
        <v>212</v>
      </c>
      <c r="E269" s="712"/>
      <c r="F269" s="664" t="s">
        <v>162</v>
      </c>
      <c r="G269" s="665"/>
      <c r="H269" s="755" t="s">
        <v>162</v>
      </c>
      <c r="I269" s="667"/>
      <c r="J269" s="706"/>
      <c r="K269" s="707"/>
      <c r="L269" s="706"/>
      <c r="M269" s="707"/>
      <c r="N269" s="194"/>
      <c r="O269" s="196"/>
      <c r="P269" s="717"/>
      <c r="Q269" s="718"/>
      <c r="R269" s="672"/>
      <c r="S269" s="673"/>
      <c r="T269" s="674"/>
      <c r="U269" s="675"/>
      <c r="V269" s="676"/>
      <c r="W269" s="677"/>
      <c r="X269" s="725" t="s">
        <v>159</v>
      </c>
      <c r="Y269" s="725"/>
      <c r="Z269" s="725"/>
      <c r="AA269" s="725"/>
      <c r="AB269" s="726" t="s">
        <v>159</v>
      </c>
      <c r="AC269" s="726"/>
      <c r="AD269" s="726"/>
      <c r="AE269" s="726"/>
      <c r="AF269" s="680"/>
      <c r="AG269" s="681"/>
      <c r="AH269" s="680"/>
      <c r="AI269" s="681"/>
      <c r="AJ269" s="686"/>
      <c r="AK269" s="687"/>
      <c r="AL269" s="664" t="s">
        <v>162</v>
      </c>
      <c r="AM269" s="665"/>
      <c r="AN269" s="713" t="s">
        <v>162</v>
      </c>
      <c r="AO269" s="714"/>
      <c r="AP269" s="686"/>
      <c r="AQ269" s="687"/>
      <c r="AR269" s="688"/>
      <c r="AS269" s="689"/>
      <c r="AT269" s="690"/>
      <c r="AU269" s="691"/>
      <c r="AV269" s="713" t="s">
        <v>162</v>
      </c>
      <c r="AW269" s="714"/>
      <c r="AX269" s="692"/>
      <c r="AY269" s="693"/>
      <c r="AZ269" s="694"/>
      <c r="BA269" s="682"/>
      <c r="BB269" s="683"/>
      <c r="BC269" s="219"/>
      <c r="BD269" s="737" t="s">
        <v>162</v>
      </c>
      <c r="BE269" s="738"/>
      <c r="BF269" s="708"/>
      <c r="BG269" s="709"/>
      <c r="BH269" s="709"/>
      <c r="BI269" s="710"/>
      <c r="BJ269" s="742" t="s">
        <v>159</v>
      </c>
      <c r="BK269" s="743"/>
      <c r="BL269" s="743"/>
      <c r="BM269" s="744"/>
      <c r="BN269" s="703" t="s">
        <v>159</v>
      </c>
      <c r="BO269" s="704"/>
      <c r="BP269" s="704"/>
      <c r="BQ269" s="704"/>
      <c r="BR269" s="704"/>
      <c r="BS269" s="704"/>
      <c r="BT269" s="704"/>
      <c r="BU269" s="704"/>
      <c r="BV269" s="705"/>
    </row>
    <row r="270" spans="1:74" ht="45" customHeight="1" x14ac:dyDescent="0.25">
      <c r="A270" s="10">
        <f t="shared" si="3"/>
        <v>256</v>
      </c>
      <c r="B270" s="662" t="s">
        <v>159</v>
      </c>
      <c r="C270" s="662"/>
      <c r="D270" s="663" t="s">
        <v>212</v>
      </c>
      <c r="E270" s="663"/>
      <c r="F270" s="664" t="s">
        <v>162</v>
      </c>
      <c r="G270" s="665"/>
      <c r="H270" s="754" t="s">
        <v>162</v>
      </c>
      <c r="I270" s="714"/>
      <c r="J270" s="340"/>
      <c r="K270" s="341"/>
      <c r="L270" s="340"/>
      <c r="M270" s="341"/>
      <c r="N270" s="215"/>
      <c r="O270" s="216"/>
      <c r="P270" s="670"/>
      <c r="Q270" s="671"/>
      <c r="R270" s="719"/>
      <c r="S270" s="720"/>
      <c r="T270" s="721"/>
      <c r="U270" s="722"/>
      <c r="V270" s="723"/>
      <c r="W270" s="724"/>
      <c r="X270" s="678" t="s">
        <v>159</v>
      </c>
      <c r="Y270" s="678"/>
      <c r="Z270" s="678"/>
      <c r="AA270" s="678"/>
      <c r="AB270" s="679" t="s">
        <v>159</v>
      </c>
      <c r="AC270" s="679"/>
      <c r="AD270" s="679"/>
      <c r="AE270" s="679"/>
      <c r="AF270" s="727"/>
      <c r="AG270" s="728"/>
      <c r="AH270" s="727"/>
      <c r="AI270" s="728"/>
      <c r="AJ270" s="682"/>
      <c r="AK270" s="683"/>
      <c r="AL270" s="684" t="s">
        <v>162</v>
      </c>
      <c r="AM270" s="685"/>
      <c r="AN270" s="666" t="s">
        <v>162</v>
      </c>
      <c r="AO270" s="667"/>
      <c r="AP270" s="729"/>
      <c r="AQ270" s="730"/>
      <c r="AR270" s="731"/>
      <c r="AS270" s="732"/>
      <c r="AT270" s="690"/>
      <c r="AU270" s="691"/>
      <c r="AV270" s="666" t="s">
        <v>162</v>
      </c>
      <c r="AW270" s="667"/>
      <c r="AX270" s="692"/>
      <c r="AY270" s="693"/>
      <c r="AZ270" s="694"/>
      <c r="BA270" s="735"/>
      <c r="BB270" s="736"/>
      <c r="BC270" s="14"/>
      <c r="BD270" s="695" t="s">
        <v>162</v>
      </c>
      <c r="BE270" s="696"/>
      <c r="BF270" s="739"/>
      <c r="BG270" s="740"/>
      <c r="BH270" s="740"/>
      <c r="BI270" s="741"/>
      <c r="BJ270" s="700" t="s">
        <v>159</v>
      </c>
      <c r="BK270" s="701"/>
      <c r="BL270" s="701"/>
      <c r="BM270" s="702"/>
      <c r="BN270" s="703" t="s">
        <v>159</v>
      </c>
      <c r="BO270" s="704"/>
      <c r="BP270" s="704"/>
      <c r="BQ270" s="704"/>
      <c r="BR270" s="704"/>
      <c r="BS270" s="704"/>
      <c r="BT270" s="704"/>
      <c r="BU270" s="704"/>
      <c r="BV270" s="705"/>
    </row>
    <row r="271" spans="1:74" ht="45" customHeight="1" x14ac:dyDescent="0.25">
      <c r="A271" s="10">
        <f t="shared" ref="A271:A334" si="4">ROW(A257)</f>
        <v>257</v>
      </c>
      <c r="B271" s="711" t="s">
        <v>159</v>
      </c>
      <c r="C271" s="711"/>
      <c r="D271" s="712" t="s">
        <v>212</v>
      </c>
      <c r="E271" s="712"/>
      <c r="F271" s="664" t="s">
        <v>162</v>
      </c>
      <c r="G271" s="665"/>
      <c r="H271" s="755" t="s">
        <v>162</v>
      </c>
      <c r="I271" s="667"/>
      <c r="J271" s="706"/>
      <c r="K271" s="707"/>
      <c r="L271" s="706"/>
      <c r="M271" s="707"/>
      <c r="N271" s="194"/>
      <c r="O271" s="196"/>
      <c r="P271" s="717"/>
      <c r="Q271" s="718"/>
      <c r="R271" s="672"/>
      <c r="S271" s="673"/>
      <c r="T271" s="674"/>
      <c r="U271" s="675"/>
      <c r="V271" s="676"/>
      <c r="W271" s="677"/>
      <c r="X271" s="725" t="s">
        <v>159</v>
      </c>
      <c r="Y271" s="725"/>
      <c r="Z271" s="725"/>
      <c r="AA271" s="725"/>
      <c r="AB271" s="726" t="s">
        <v>159</v>
      </c>
      <c r="AC271" s="726"/>
      <c r="AD271" s="726"/>
      <c r="AE271" s="726"/>
      <c r="AF271" s="680"/>
      <c r="AG271" s="681"/>
      <c r="AH271" s="680"/>
      <c r="AI271" s="681"/>
      <c r="AJ271" s="686"/>
      <c r="AK271" s="687"/>
      <c r="AL271" s="664" t="s">
        <v>162</v>
      </c>
      <c r="AM271" s="665"/>
      <c r="AN271" s="713" t="s">
        <v>162</v>
      </c>
      <c r="AO271" s="714"/>
      <c r="AP271" s="686"/>
      <c r="AQ271" s="687"/>
      <c r="AR271" s="688"/>
      <c r="AS271" s="689"/>
      <c r="AT271" s="690"/>
      <c r="AU271" s="691"/>
      <c r="AV271" s="713" t="s">
        <v>162</v>
      </c>
      <c r="AW271" s="714"/>
      <c r="AX271" s="692"/>
      <c r="AY271" s="693"/>
      <c r="AZ271" s="694"/>
      <c r="BA271" s="682"/>
      <c r="BB271" s="683"/>
      <c r="BC271" s="219"/>
      <c r="BD271" s="737" t="s">
        <v>162</v>
      </c>
      <c r="BE271" s="738"/>
      <c r="BF271" s="697"/>
      <c r="BG271" s="698"/>
      <c r="BH271" s="698"/>
      <c r="BI271" s="699"/>
      <c r="BJ271" s="742" t="s">
        <v>159</v>
      </c>
      <c r="BK271" s="743"/>
      <c r="BL271" s="743"/>
      <c r="BM271" s="744"/>
      <c r="BN271" s="703" t="s">
        <v>159</v>
      </c>
      <c r="BO271" s="704"/>
      <c r="BP271" s="704"/>
      <c r="BQ271" s="704"/>
      <c r="BR271" s="704"/>
      <c r="BS271" s="704"/>
      <c r="BT271" s="704"/>
      <c r="BU271" s="704"/>
      <c r="BV271" s="705"/>
    </row>
    <row r="272" spans="1:74" ht="45" customHeight="1" x14ac:dyDescent="0.25">
      <c r="A272" s="10">
        <f t="shared" si="4"/>
        <v>258</v>
      </c>
      <c r="B272" s="662" t="s">
        <v>159</v>
      </c>
      <c r="C272" s="662"/>
      <c r="D272" s="663" t="s">
        <v>212</v>
      </c>
      <c r="E272" s="663"/>
      <c r="F272" s="664" t="s">
        <v>162</v>
      </c>
      <c r="G272" s="665"/>
      <c r="H272" s="754" t="s">
        <v>162</v>
      </c>
      <c r="I272" s="714"/>
      <c r="J272" s="340"/>
      <c r="K272" s="341"/>
      <c r="L272" s="340"/>
      <c r="M272" s="341"/>
      <c r="N272" s="215"/>
      <c r="O272" s="216"/>
      <c r="P272" s="670"/>
      <c r="Q272" s="671"/>
      <c r="R272" s="719"/>
      <c r="S272" s="720"/>
      <c r="T272" s="721"/>
      <c r="U272" s="722"/>
      <c r="V272" s="723"/>
      <c r="W272" s="724"/>
      <c r="X272" s="678" t="s">
        <v>159</v>
      </c>
      <c r="Y272" s="678"/>
      <c r="Z272" s="678"/>
      <c r="AA272" s="678"/>
      <c r="AB272" s="679" t="s">
        <v>159</v>
      </c>
      <c r="AC272" s="679"/>
      <c r="AD272" s="679"/>
      <c r="AE272" s="679"/>
      <c r="AF272" s="727"/>
      <c r="AG272" s="728"/>
      <c r="AH272" s="727"/>
      <c r="AI272" s="728"/>
      <c r="AJ272" s="682"/>
      <c r="AK272" s="683"/>
      <c r="AL272" s="684" t="s">
        <v>162</v>
      </c>
      <c r="AM272" s="685"/>
      <c r="AN272" s="666" t="s">
        <v>162</v>
      </c>
      <c r="AO272" s="667"/>
      <c r="AP272" s="729"/>
      <c r="AQ272" s="730"/>
      <c r="AR272" s="731"/>
      <c r="AS272" s="732"/>
      <c r="AT272" s="690"/>
      <c r="AU272" s="691"/>
      <c r="AV272" s="666" t="s">
        <v>162</v>
      </c>
      <c r="AW272" s="667"/>
      <c r="AX272" s="692"/>
      <c r="AY272" s="693"/>
      <c r="AZ272" s="694"/>
      <c r="BA272" s="735"/>
      <c r="BB272" s="736"/>
      <c r="BC272" s="14"/>
      <c r="BD272" s="695" t="s">
        <v>162</v>
      </c>
      <c r="BE272" s="696"/>
      <c r="BF272" s="739"/>
      <c r="BG272" s="740"/>
      <c r="BH272" s="740"/>
      <c r="BI272" s="741"/>
      <c r="BJ272" s="700" t="s">
        <v>159</v>
      </c>
      <c r="BK272" s="701"/>
      <c r="BL272" s="701"/>
      <c r="BM272" s="702"/>
      <c r="BN272" s="703" t="s">
        <v>159</v>
      </c>
      <c r="BO272" s="704"/>
      <c r="BP272" s="704"/>
      <c r="BQ272" s="704"/>
      <c r="BR272" s="704"/>
      <c r="BS272" s="704"/>
      <c r="BT272" s="704"/>
      <c r="BU272" s="704"/>
      <c r="BV272" s="705"/>
    </row>
    <row r="273" spans="1:74" ht="45" customHeight="1" x14ac:dyDescent="0.25">
      <c r="A273" s="10">
        <f t="shared" si="4"/>
        <v>259</v>
      </c>
      <c r="B273" s="711" t="s">
        <v>159</v>
      </c>
      <c r="C273" s="711"/>
      <c r="D273" s="712" t="s">
        <v>212</v>
      </c>
      <c r="E273" s="712"/>
      <c r="F273" s="664" t="s">
        <v>162</v>
      </c>
      <c r="G273" s="665"/>
      <c r="H273" s="755" t="s">
        <v>162</v>
      </c>
      <c r="I273" s="667"/>
      <c r="J273" s="706"/>
      <c r="K273" s="707"/>
      <c r="L273" s="706"/>
      <c r="M273" s="707"/>
      <c r="N273" s="194"/>
      <c r="O273" s="196"/>
      <c r="P273" s="717"/>
      <c r="Q273" s="718"/>
      <c r="R273" s="672"/>
      <c r="S273" s="673"/>
      <c r="T273" s="674"/>
      <c r="U273" s="675"/>
      <c r="V273" s="676"/>
      <c r="W273" s="677"/>
      <c r="X273" s="725" t="s">
        <v>159</v>
      </c>
      <c r="Y273" s="725"/>
      <c r="Z273" s="725"/>
      <c r="AA273" s="725"/>
      <c r="AB273" s="726" t="s">
        <v>159</v>
      </c>
      <c r="AC273" s="726"/>
      <c r="AD273" s="726"/>
      <c r="AE273" s="726"/>
      <c r="AF273" s="680"/>
      <c r="AG273" s="681"/>
      <c r="AH273" s="680"/>
      <c r="AI273" s="681"/>
      <c r="AJ273" s="686"/>
      <c r="AK273" s="687"/>
      <c r="AL273" s="664" t="s">
        <v>162</v>
      </c>
      <c r="AM273" s="665"/>
      <c r="AN273" s="713" t="s">
        <v>162</v>
      </c>
      <c r="AO273" s="714"/>
      <c r="AP273" s="686"/>
      <c r="AQ273" s="687"/>
      <c r="AR273" s="688"/>
      <c r="AS273" s="689"/>
      <c r="AT273" s="690"/>
      <c r="AU273" s="691"/>
      <c r="AV273" s="713" t="s">
        <v>162</v>
      </c>
      <c r="AW273" s="714"/>
      <c r="AX273" s="692"/>
      <c r="AY273" s="693"/>
      <c r="AZ273" s="694"/>
      <c r="BA273" s="682"/>
      <c r="BB273" s="683"/>
      <c r="BC273" s="219"/>
      <c r="BD273" s="737" t="s">
        <v>162</v>
      </c>
      <c r="BE273" s="738"/>
      <c r="BF273" s="708"/>
      <c r="BG273" s="709"/>
      <c r="BH273" s="709"/>
      <c r="BI273" s="710"/>
      <c r="BJ273" s="742" t="s">
        <v>159</v>
      </c>
      <c r="BK273" s="743"/>
      <c r="BL273" s="743"/>
      <c r="BM273" s="744"/>
      <c r="BN273" s="703" t="s">
        <v>159</v>
      </c>
      <c r="BO273" s="704"/>
      <c r="BP273" s="704"/>
      <c r="BQ273" s="704"/>
      <c r="BR273" s="704"/>
      <c r="BS273" s="704"/>
      <c r="BT273" s="704"/>
      <c r="BU273" s="704"/>
      <c r="BV273" s="705"/>
    </row>
    <row r="274" spans="1:74" ht="45" customHeight="1" x14ac:dyDescent="0.25">
      <c r="A274" s="10">
        <f t="shared" si="4"/>
        <v>260</v>
      </c>
      <c r="B274" s="662" t="s">
        <v>159</v>
      </c>
      <c r="C274" s="662"/>
      <c r="D274" s="663" t="s">
        <v>212</v>
      </c>
      <c r="E274" s="663"/>
      <c r="F274" s="664" t="s">
        <v>162</v>
      </c>
      <c r="G274" s="665"/>
      <c r="H274" s="754" t="s">
        <v>162</v>
      </c>
      <c r="I274" s="714"/>
      <c r="J274" s="340"/>
      <c r="K274" s="341"/>
      <c r="L274" s="340"/>
      <c r="M274" s="341"/>
      <c r="N274" s="215"/>
      <c r="O274" s="216"/>
      <c r="P274" s="670"/>
      <c r="Q274" s="671"/>
      <c r="R274" s="719"/>
      <c r="S274" s="720"/>
      <c r="T274" s="721"/>
      <c r="U274" s="722"/>
      <c r="V274" s="723"/>
      <c r="W274" s="724"/>
      <c r="X274" s="678" t="s">
        <v>159</v>
      </c>
      <c r="Y274" s="678"/>
      <c r="Z274" s="678"/>
      <c r="AA274" s="678"/>
      <c r="AB274" s="679" t="s">
        <v>159</v>
      </c>
      <c r="AC274" s="679"/>
      <c r="AD274" s="679"/>
      <c r="AE274" s="679"/>
      <c r="AF274" s="727"/>
      <c r="AG274" s="728"/>
      <c r="AH274" s="727"/>
      <c r="AI274" s="728"/>
      <c r="AJ274" s="682"/>
      <c r="AK274" s="683"/>
      <c r="AL274" s="684" t="s">
        <v>162</v>
      </c>
      <c r="AM274" s="685"/>
      <c r="AN274" s="666" t="s">
        <v>162</v>
      </c>
      <c r="AO274" s="667"/>
      <c r="AP274" s="729"/>
      <c r="AQ274" s="730"/>
      <c r="AR274" s="731"/>
      <c r="AS274" s="732"/>
      <c r="AT274" s="690"/>
      <c r="AU274" s="691"/>
      <c r="AV274" s="666" t="s">
        <v>162</v>
      </c>
      <c r="AW274" s="667"/>
      <c r="AX274" s="692"/>
      <c r="AY274" s="693"/>
      <c r="AZ274" s="694"/>
      <c r="BA274" s="735"/>
      <c r="BB274" s="736"/>
      <c r="BC274" s="14"/>
      <c r="BD274" s="695" t="s">
        <v>162</v>
      </c>
      <c r="BE274" s="696"/>
      <c r="BF274" s="739"/>
      <c r="BG274" s="740"/>
      <c r="BH274" s="740"/>
      <c r="BI274" s="741"/>
      <c r="BJ274" s="700" t="s">
        <v>159</v>
      </c>
      <c r="BK274" s="701"/>
      <c r="BL274" s="701"/>
      <c r="BM274" s="702"/>
      <c r="BN274" s="703" t="s">
        <v>159</v>
      </c>
      <c r="BO274" s="704"/>
      <c r="BP274" s="704"/>
      <c r="BQ274" s="704"/>
      <c r="BR274" s="704"/>
      <c r="BS274" s="704"/>
      <c r="BT274" s="704"/>
      <c r="BU274" s="704"/>
      <c r="BV274" s="705"/>
    </row>
    <row r="275" spans="1:74" ht="45" customHeight="1" x14ac:dyDescent="0.25">
      <c r="A275" s="10">
        <f t="shared" si="4"/>
        <v>261</v>
      </c>
      <c r="B275" s="711" t="s">
        <v>159</v>
      </c>
      <c r="C275" s="711"/>
      <c r="D275" s="712" t="s">
        <v>212</v>
      </c>
      <c r="E275" s="712"/>
      <c r="F275" s="664" t="s">
        <v>162</v>
      </c>
      <c r="G275" s="665"/>
      <c r="H275" s="755" t="s">
        <v>162</v>
      </c>
      <c r="I275" s="667"/>
      <c r="J275" s="706"/>
      <c r="K275" s="707"/>
      <c r="L275" s="706"/>
      <c r="M275" s="707"/>
      <c r="N275" s="194"/>
      <c r="O275" s="196"/>
      <c r="P275" s="717"/>
      <c r="Q275" s="718"/>
      <c r="R275" s="672"/>
      <c r="S275" s="673"/>
      <c r="T275" s="674"/>
      <c r="U275" s="675"/>
      <c r="V275" s="676"/>
      <c r="W275" s="677"/>
      <c r="X275" s="725" t="s">
        <v>159</v>
      </c>
      <c r="Y275" s="725"/>
      <c r="Z275" s="725"/>
      <c r="AA275" s="725"/>
      <c r="AB275" s="726" t="s">
        <v>159</v>
      </c>
      <c r="AC275" s="726"/>
      <c r="AD275" s="726"/>
      <c r="AE275" s="726"/>
      <c r="AF275" s="680"/>
      <c r="AG275" s="681"/>
      <c r="AH275" s="680"/>
      <c r="AI275" s="681"/>
      <c r="AJ275" s="686"/>
      <c r="AK275" s="687"/>
      <c r="AL275" s="664" t="s">
        <v>162</v>
      </c>
      <c r="AM275" s="665"/>
      <c r="AN275" s="713" t="s">
        <v>162</v>
      </c>
      <c r="AO275" s="714"/>
      <c r="AP275" s="686"/>
      <c r="AQ275" s="687"/>
      <c r="AR275" s="688"/>
      <c r="AS275" s="689"/>
      <c r="AT275" s="690"/>
      <c r="AU275" s="691"/>
      <c r="AV275" s="713" t="s">
        <v>162</v>
      </c>
      <c r="AW275" s="714"/>
      <c r="AX275" s="692"/>
      <c r="AY275" s="693"/>
      <c r="AZ275" s="694"/>
      <c r="BA275" s="682"/>
      <c r="BB275" s="683"/>
      <c r="BC275" s="219"/>
      <c r="BD275" s="737" t="s">
        <v>162</v>
      </c>
      <c r="BE275" s="738"/>
      <c r="BF275" s="708"/>
      <c r="BG275" s="709"/>
      <c r="BH275" s="709"/>
      <c r="BI275" s="710"/>
      <c r="BJ275" s="742" t="s">
        <v>159</v>
      </c>
      <c r="BK275" s="743"/>
      <c r="BL275" s="743"/>
      <c r="BM275" s="744"/>
      <c r="BN275" s="703" t="s">
        <v>159</v>
      </c>
      <c r="BO275" s="704"/>
      <c r="BP275" s="704"/>
      <c r="BQ275" s="704"/>
      <c r="BR275" s="704"/>
      <c r="BS275" s="704"/>
      <c r="BT275" s="704"/>
      <c r="BU275" s="704"/>
      <c r="BV275" s="705"/>
    </row>
    <row r="276" spans="1:74" ht="45" customHeight="1" x14ac:dyDescent="0.25">
      <c r="A276" s="10">
        <f t="shared" si="4"/>
        <v>262</v>
      </c>
      <c r="B276" s="662" t="s">
        <v>159</v>
      </c>
      <c r="C276" s="662"/>
      <c r="D276" s="663" t="s">
        <v>212</v>
      </c>
      <c r="E276" s="663"/>
      <c r="F276" s="664" t="s">
        <v>162</v>
      </c>
      <c r="G276" s="665"/>
      <c r="H276" s="754" t="s">
        <v>162</v>
      </c>
      <c r="I276" s="714"/>
      <c r="J276" s="340"/>
      <c r="K276" s="341"/>
      <c r="L276" s="340"/>
      <c r="M276" s="341"/>
      <c r="N276" s="215"/>
      <c r="O276" s="216"/>
      <c r="P276" s="670"/>
      <c r="Q276" s="671"/>
      <c r="R276" s="719"/>
      <c r="S276" s="720"/>
      <c r="T276" s="721"/>
      <c r="U276" s="722"/>
      <c r="V276" s="723"/>
      <c r="W276" s="724"/>
      <c r="X276" s="678" t="s">
        <v>159</v>
      </c>
      <c r="Y276" s="678"/>
      <c r="Z276" s="678"/>
      <c r="AA276" s="678"/>
      <c r="AB276" s="679" t="s">
        <v>159</v>
      </c>
      <c r="AC276" s="679"/>
      <c r="AD276" s="679"/>
      <c r="AE276" s="679"/>
      <c r="AF276" s="727"/>
      <c r="AG276" s="728"/>
      <c r="AH276" s="727"/>
      <c r="AI276" s="728"/>
      <c r="AJ276" s="682"/>
      <c r="AK276" s="683"/>
      <c r="AL276" s="684" t="s">
        <v>162</v>
      </c>
      <c r="AM276" s="685"/>
      <c r="AN276" s="666" t="s">
        <v>162</v>
      </c>
      <c r="AO276" s="667"/>
      <c r="AP276" s="729"/>
      <c r="AQ276" s="730"/>
      <c r="AR276" s="731"/>
      <c r="AS276" s="732"/>
      <c r="AT276" s="690"/>
      <c r="AU276" s="691"/>
      <c r="AV276" s="666" t="s">
        <v>162</v>
      </c>
      <c r="AW276" s="667"/>
      <c r="AX276" s="692"/>
      <c r="AY276" s="693"/>
      <c r="AZ276" s="694"/>
      <c r="BA276" s="735"/>
      <c r="BB276" s="736"/>
      <c r="BC276" s="14"/>
      <c r="BD276" s="695" t="s">
        <v>162</v>
      </c>
      <c r="BE276" s="696"/>
      <c r="BF276" s="739"/>
      <c r="BG276" s="740"/>
      <c r="BH276" s="740"/>
      <c r="BI276" s="741"/>
      <c r="BJ276" s="700" t="s">
        <v>159</v>
      </c>
      <c r="BK276" s="701"/>
      <c r="BL276" s="701"/>
      <c r="BM276" s="702"/>
      <c r="BN276" s="703" t="s">
        <v>159</v>
      </c>
      <c r="BO276" s="704"/>
      <c r="BP276" s="704"/>
      <c r="BQ276" s="704"/>
      <c r="BR276" s="704"/>
      <c r="BS276" s="704"/>
      <c r="BT276" s="704"/>
      <c r="BU276" s="704"/>
      <c r="BV276" s="705"/>
    </row>
    <row r="277" spans="1:74" ht="45" customHeight="1" x14ac:dyDescent="0.25">
      <c r="A277" s="10">
        <f t="shared" si="4"/>
        <v>263</v>
      </c>
      <c r="B277" s="711" t="s">
        <v>159</v>
      </c>
      <c r="C277" s="711"/>
      <c r="D277" s="712" t="s">
        <v>212</v>
      </c>
      <c r="E277" s="712"/>
      <c r="F277" s="664" t="s">
        <v>162</v>
      </c>
      <c r="G277" s="665"/>
      <c r="H277" s="755" t="s">
        <v>162</v>
      </c>
      <c r="I277" s="667"/>
      <c r="J277" s="706"/>
      <c r="K277" s="707"/>
      <c r="L277" s="706"/>
      <c r="M277" s="707"/>
      <c r="N277" s="194"/>
      <c r="O277" s="196"/>
      <c r="P277" s="717"/>
      <c r="Q277" s="718"/>
      <c r="R277" s="672"/>
      <c r="S277" s="673"/>
      <c r="T277" s="674"/>
      <c r="U277" s="675"/>
      <c r="V277" s="676"/>
      <c r="W277" s="677"/>
      <c r="X277" s="725" t="s">
        <v>159</v>
      </c>
      <c r="Y277" s="725"/>
      <c r="Z277" s="725"/>
      <c r="AA277" s="725"/>
      <c r="AB277" s="726" t="s">
        <v>159</v>
      </c>
      <c r="AC277" s="726"/>
      <c r="AD277" s="726"/>
      <c r="AE277" s="726"/>
      <c r="AF277" s="680"/>
      <c r="AG277" s="681"/>
      <c r="AH277" s="680"/>
      <c r="AI277" s="681"/>
      <c r="AJ277" s="686"/>
      <c r="AK277" s="687"/>
      <c r="AL277" s="664" t="s">
        <v>162</v>
      </c>
      <c r="AM277" s="665"/>
      <c r="AN277" s="713" t="s">
        <v>162</v>
      </c>
      <c r="AO277" s="714"/>
      <c r="AP277" s="686"/>
      <c r="AQ277" s="687"/>
      <c r="AR277" s="688"/>
      <c r="AS277" s="689"/>
      <c r="AT277" s="690"/>
      <c r="AU277" s="691"/>
      <c r="AV277" s="713" t="s">
        <v>162</v>
      </c>
      <c r="AW277" s="714"/>
      <c r="AX277" s="692"/>
      <c r="AY277" s="693"/>
      <c r="AZ277" s="694"/>
      <c r="BA277" s="682"/>
      <c r="BB277" s="683"/>
      <c r="BC277" s="219"/>
      <c r="BD277" s="737" t="s">
        <v>162</v>
      </c>
      <c r="BE277" s="738"/>
      <c r="BF277" s="697"/>
      <c r="BG277" s="698"/>
      <c r="BH277" s="698"/>
      <c r="BI277" s="699"/>
      <c r="BJ277" s="742" t="s">
        <v>159</v>
      </c>
      <c r="BK277" s="743"/>
      <c r="BL277" s="743"/>
      <c r="BM277" s="744"/>
      <c r="BN277" s="703" t="s">
        <v>159</v>
      </c>
      <c r="BO277" s="704"/>
      <c r="BP277" s="704"/>
      <c r="BQ277" s="704"/>
      <c r="BR277" s="704"/>
      <c r="BS277" s="704"/>
      <c r="BT277" s="704"/>
      <c r="BU277" s="704"/>
      <c r="BV277" s="705"/>
    </row>
    <row r="278" spans="1:74" ht="45" customHeight="1" x14ac:dyDescent="0.25">
      <c r="A278" s="10">
        <f t="shared" si="4"/>
        <v>264</v>
      </c>
      <c r="B278" s="662" t="s">
        <v>159</v>
      </c>
      <c r="C278" s="662"/>
      <c r="D278" s="663" t="s">
        <v>212</v>
      </c>
      <c r="E278" s="663"/>
      <c r="F278" s="664" t="s">
        <v>162</v>
      </c>
      <c r="G278" s="665"/>
      <c r="H278" s="754" t="s">
        <v>162</v>
      </c>
      <c r="I278" s="714"/>
      <c r="J278" s="340"/>
      <c r="K278" s="341"/>
      <c r="L278" s="340"/>
      <c r="M278" s="341"/>
      <c r="N278" s="215"/>
      <c r="O278" s="216"/>
      <c r="P278" s="670"/>
      <c r="Q278" s="671"/>
      <c r="R278" s="719"/>
      <c r="S278" s="720"/>
      <c r="T278" s="721"/>
      <c r="U278" s="722"/>
      <c r="V278" s="723"/>
      <c r="W278" s="724"/>
      <c r="X278" s="678" t="s">
        <v>159</v>
      </c>
      <c r="Y278" s="678"/>
      <c r="Z278" s="678"/>
      <c r="AA278" s="678"/>
      <c r="AB278" s="679" t="s">
        <v>159</v>
      </c>
      <c r="AC278" s="679"/>
      <c r="AD278" s="679"/>
      <c r="AE278" s="679"/>
      <c r="AF278" s="727"/>
      <c r="AG278" s="728"/>
      <c r="AH278" s="727"/>
      <c r="AI278" s="728"/>
      <c r="AJ278" s="682"/>
      <c r="AK278" s="683"/>
      <c r="AL278" s="684" t="s">
        <v>162</v>
      </c>
      <c r="AM278" s="685"/>
      <c r="AN278" s="666" t="s">
        <v>162</v>
      </c>
      <c r="AO278" s="667"/>
      <c r="AP278" s="729"/>
      <c r="AQ278" s="730"/>
      <c r="AR278" s="731"/>
      <c r="AS278" s="732"/>
      <c r="AT278" s="690"/>
      <c r="AU278" s="691"/>
      <c r="AV278" s="666" t="s">
        <v>162</v>
      </c>
      <c r="AW278" s="667"/>
      <c r="AX278" s="692"/>
      <c r="AY278" s="693"/>
      <c r="AZ278" s="694"/>
      <c r="BA278" s="735"/>
      <c r="BB278" s="736"/>
      <c r="BC278" s="14"/>
      <c r="BD278" s="695" t="s">
        <v>162</v>
      </c>
      <c r="BE278" s="696"/>
      <c r="BF278" s="739"/>
      <c r="BG278" s="740"/>
      <c r="BH278" s="740"/>
      <c r="BI278" s="741"/>
      <c r="BJ278" s="700" t="s">
        <v>159</v>
      </c>
      <c r="BK278" s="701"/>
      <c r="BL278" s="701"/>
      <c r="BM278" s="702"/>
      <c r="BN278" s="703" t="s">
        <v>159</v>
      </c>
      <c r="BO278" s="704"/>
      <c r="BP278" s="704"/>
      <c r="BQ278" s="704"/>
      <c r="BR278" s="704"/>
      <c r="BS278" s="704"/>
      <c r="BT278" s="704"/>
      <c r="BU278" s="704"/>
      <c r="BV278" s="705"/>
    </row>
    <row r="279" spans="1:74" ht="45" customHeight="1" x14ac:dyDescent="0.25">
      <c r="A279" s="10">
        <f t="shared" si="4"/>
        <v>265</v>
      </c>
      <c r="B279" s="711" t="s">
        <v>159</v>
      </c>
      <c r="C279" s="711"/>
      <c r="D279" s="712" t="s">
        <v>212</v>
      </c>
      <c r="E279" s="712"/>
      <c r="F279" s="664" t="s">
        <v>162</v>
      </c>
      <c r="G279" s="665"/>
      <c r="H279" s="755" t="s">
        <v>162</v>
      </c>
      <c r="I279" s="667"/>
      <c r="J279" s="706"/>
      <c r="K279" s="707"/>
      <c r="L279" s="706"/>
      <c r="M279" s="707"/>
      <c r="N279" s="194"/>
      <c r="O279" s="196"/>
      <c r="P279" s="717"/>
      <c r="Q279" s="718"/>
      <c r="R279" s="672"/>
      <c r="S279" s="673"/>
      <c r="T279" s="674"/>
      <c r="U279" s="675"/>
      <c r="V279" s="676"/>
      <c r="W279" s="677"/>
      <c r="X279" s="725" t="s">
        <v>159</v>
      </c>
      <c r="Y279" s="725"/>
      <c r="Z279" s="725"/>
      <c r="AA279" s="725"/>
      <c r="AB279" s="726" t="s">
        <v>159</v>
      </c>
      <c r="AC279" s="726"/>
      <c r="AD279" s="726"/>
      <c r="AE279" s="726"/>
      <c r="AF279" s="680"/>
      <c r="AG279" s="681"/>
      <c r="AH279" s="680"/>
      <c r="AI279" s="681"/>
      <c r="AJ279" s="686"/>
      <c r="AK279" s="687"/>
      <c r="AL279" s="664" t="s">
        <v>162</v>
      </c>
      <c r="AM279" s="665"/>
      <c r="AN279" s="713" t="s">
        <v>162</v>
      </c>
      <c r="AO279" s="714"/>
      <c r="AP279" s="686"/>
      <c r="AQ279" s="687"/>
      <c r="AR279" s="688"/>
      <c r="AS279" s="689"/>
      <c r="AT279" s="690"/>
      <c r="AU279" s="691"/>
      <c r="AV279" s="713" t="s">
        <v>162</v>
      </c>
      <c r="AW279" s="714"/>
      <c r="AX279" s="692"/>
      <c r="AY279" s="693"/>
      <c r="AZ279" s="694"/>
      <c r="BA279" s="682"/>
      <c r="BB279" s="683"/>
      <c r="BC279" s="219"/>
      <c r="BD279" s="737" t="s">
        <v>162</v>
      </c>
      <c r="BE279" s="738"/>
      <c r="BF279" s="708"/>
      <c r="BG279" s="709"/>
      <c r="BH279" s="709"/>
      <c r="BI279" s="710"/>
      <c r="BJ279" s="742" t="s">
        <v>159</v>
      </c>
      <c r="BK279" s="743"/>
      <c r="BL279" s="743"/>
      <c r="BM279" s="744"/>
      <c r="BN279" s="703" t="s">
        <v>159</v>
      </c>
      <c r="BO279" s="704"/>
      <c r="BP279" s="704"/>
      <c r="BQ279" s="704"/>
      <c r="BR279" s="704"/>
      <c r="BS279" s="704"/>
      <c r="BT279" s="704"/>
      <c r="BU279" s="704"/>
      <c r="BV279" s="705"/>
    </row>
    <row r="280" spans="1:74" ht="45" customHeight="1" x14ac:dyDescent="0.25">
      <c r="A280" s="10">
        <f t="shared" si="4"/>
        <v>266</v>
      </c>
      <c r="B280" s="662" t="s">
        <v>159</v>
      </c>
      <c r="C280" s="662"/>
      <c r="D280" s="663" t="s">
        <v>212</v>
      </c>
      <c r="E280" s="663"/>
      <c r="F280" s="664" t="s">
        <v>162</v>
      </c>
      <c r="G280" s="665"/>
      <c r="H280" s="754" t="s">
        <v>162</v>
      </c>
      <c r="I280" s="714"/>
      <c r="J280" s="340"/>
      <c r="K280" s="341"/>
      <c r="L280" s="340"/>
      <c r="M280" s="341"/>
      <c r="N280" s="215"/>
      <c r="O280" s="216"/>
      <c r="P280" s="670"/>
      <c r="Q280" s="671"/>
      <c r="R280" s="719"/>
      <c r="S280" s="720"/>
      <c r="T280" s="721"/>
      <c r="U280" s="722"/>
      <c r="V280" s="723"/>
      <c r="W280" s="724"/>
      <c r="X280" s="678" t="s">
        <v>159</v>
      </c>
      <c r="Y280" s="678"/>
      <c r="Z280" s="678"/>
      <c r="AA280" s="678"/>
      <c r="AB280" s="679" t="s">
        <v>159</v>
      </c>
      <c r="AC280" s="679"/>
      <c r="AD280" s="679"/>
      <c r="AE280" s="679"/>
      <c r="AF280" s="727"/>
      <c r="AG280" s="728"/>
      <c r="AH280" s="727"/>
      <c r="AI280" s="728"/>
      <c r="AJ280" s="682"/>
      <c r="AK280" s="683"/>
      <c r="AL280" s="684" t="s">
        <v>162</v>
      </c>
      <c r="AM280" s="685"/>
      <c r="AN280" s="666" t="s">
        <v>162</v>
      </c>
      <c r="AO280" s="667"/>
      <c r="AP280" s="729"/>
      <c r="AQ280" s="730"/>
      <c r="AR280" s="731"/>
      <c r="AS280" s="732"/>
      <c r="AT280" s="690"/>
      <c r="AU280" s="691"/>
      <c r="AV280" s="666" t="s">
        <v>162</v>
      </c>
      <c r="AW280" s="667"/>
      <c r="AX280" s="692"/>
      <c r="AY280" s="693"/>
      <c r="AZ280" s="694"/>
      <c r="BA280" s="735"/>
      <c r="BB280" s="736"/>
      <c r="BC280" s="14"/>
      <c r="BD280" s="695" t="s">
        <v>162</v>
      </c>
      <c r="BE280" s="696"/>
      <c r="BF280" s="739"/>
      <c r="BG280" s="740"/>
      <c r="BH280" s="740"/>
      <c r="BI280" s="741"/>
      <c r="BJ280" s="700" t="s">
        <v>159</v>
      </c>
      <c r="BK280" s="701"/>
      <c r="BL280" s="701"/>
      <c r="BM280" s="702"/>
      <c r="BN280" s="703" t="s">
        <v>159</v>
      </c>
      <c r="BO280" s="704"/>
      <c r="BP280" s="704"/>
      <c r="BQ280" s="704"/>
      <c r="BR280" s="704"/>
      <c r="BS280" s="704"/>
      <c r="BT280" s="704"/>
      <c r="BU280" s="704"/>
      <c r="BV280" s="705"/>
    </row>
    <row r="281" spans="1:74" ht="45" customHeight="1" x14ac:dyDescent="0.25">
      <c r="A281" s="10">
        <f t="shared" si="4"/>
        <v>267</v>
      </c>
      <c r="B281" s="711" t="s">
        <v>159</v>
      </c>
      <c r="C281" s="711"/>
      <c r="D281" s="712" t="s">
        <v>212</v>
      </c>
      <c r="E281" s="712"/>
      <c r="F281" s="664" t="s">
        <v>162</v>
      </c>
      <c r="G281" s="665"/>
      <c r="H281" s="755" t="s">
        <v>162</v>
      </c>
      <c r="I281" s="667"/>
      <c r="J281" s="706"/>
      <c r="K281" s="707"/>
      <c r="L281" s="706"/>
      <c r="M281" s="707"/>
      <c r="N281" s="194"/>
      <c r="O281" s="196"/>
      <c r="P281" s="717"/>
      <c r="Q281" s="718"/>
      <c r="R281" s="672"/>
      <c r="S281" s="673"/>
      <c r="T281" s="674"/>
      <c r="U281" s="675"/>
      <c r="V281" s="676"/>
      <c r="W281" s="677"/>
      <c r="X281" s="725" t="s">
        <v>159</v>
      </c>
      <c r="Y281" s="725"/>
      <c r="Z281" s="725"/>
      <c r="AA281" s="725"/>
      <c r="AB281" s="726" t="s">
        <v>159</v>
      </c>
      <c r="AC281" s="726"/>
      <c r="AD281" s="726"/>
      <c r="AE281" s="726"/>
      <c r="AF281" s="680"/>
      <c r="AG281" s="681"/>
      <c r="AH281" s="680"/>
      <c r="AI281" s="681"/>
      <c r="AJ281" s="686"/>
      <c r="AK281" s="687"/>
      <c r="AL281" s="664" t="s">
        <v>162</v>
      </c>
      <c r="AM281" s="665"/>
      <c r="AN281" s="713" t="s">
        <v>162</v>
      </c>
      <c r="AO281" s="714"/>
      <c r="AP281" s="686"/>
      <c r="AQ281" s="687"/>
      <c r="AR281" s="688"/>
      <c r="AS281" s="689"/>
      <c r="AT281" s="690"/>
      <c r="AU281" s="691"/>
      <c r="AV281" s="713" t="s">
        <v>162</v>
      </c>
      <c r="AW281" s="714"/>
      <c r="AX281" s="692"/>
      <c r="AY281" s="693"/>
      <c r="AZ281" s="694"/>
      <c r="BA281" s="682"/>
      <c r="BB281" s="683"/>
      <c r="BC281" s="219"/>
      <c r="BD281" s="737" t="s">
        <v>162</v>
      </c>
      <c r="BE281" s="738"/>
      <c r="BF281" s="697"/>
      <c r="BG281" s="698"/>
      <c r="BH281" s="698"/>
      <c r="BI281" s="699"/>
      <c r="BJ281" s="742" t="s">
        <v>159</v>
      </c>
      <c r="BK281" s="743"/>
      <c r="BL281" s="743"/>
      <c r="BM281" s="744"/>
      <c r="BN281" s="703" t="s">
        <v>159</v>
      </c>
      <c r="BO281" s="704"/>
      <c r="BP281" s="704"/>
      <c r="BQ281" s="704"/>
      <c r="BR281" s="704"/>
      <c r="BS281" s="704"/>
      <c r="BT281" s="704"/>
      <c r="BU281" s="704"/>
      <c r="BV281" s="705"/>
    </row>
    <row r="282" spans="1:74" ht="45" customHeight="1" x14ac:dyDescent="0.25">
      <c r="A282" s="10">
        <f t="shared" si="4"/>
        <v>268</v>
      </c>
      <c r="B282" s="662" t="s">
        <v>159</v>
      </c>
      <c r="C282" s="662"/>
      <c r="D282" s="663" t="s">
        <v>212</v>
      </c>
      <c r="E282" s="663"/>
      <c r="F282" s="664" t="s">
        <v>162</v>
      </c>
      <c r="G282" s="665"/>
      <c r="H282" s="754" t="s">
        <v>162</v>
      </c>
      <c r="I282" s="714"/>
      <c r="J282" s="340"/>
      <c r="K282" s="341"/>
      <c r="L282" s="340"/>
      <c r="M282" s="341"/>
      <c r="N282" s="215"/>
      <c r="O282" s="216"/>
      <c r="P282" s="670"/>
      <c r="Q282" s="671"/>
      <c r="R282" s="719"/>
      <c r="S282" s="720"/>
      <c r="T282" s="721"/>
      <c r="U282" s="722"/>
      <c r="V282" s="723"/>
      <c r="W282" s="724"/>
      <c r="X282" s="678" t="s">
        <v>159</v>
      </c>
      <c r="Y282" s="678"/>
      <c r="Z282" s="678"/>
      <c r="AA282" s="678"/>
      <c r="AB282" s="679" t="s">
        <v>159</v>
      </c>
      <c r="AC282" s="679"/>
      <c r="AD282" s="679"/>
      <c r="AE282" s="679"/>
      <c r="AF282" s="727"/>
      <c r="AG282" s="728"/>
      <c r="AH282" s="727"/>
      <c r="AI282" s="728"/>
      <c r="AJ282" s="682"/>
      <c r="AK282" s="683"/>
      <c r="AL282" s="684" t="s">
        <v>162</v>
      </c>
      <c r="AM282" s="685"/>
      <c r="AN282" s="666" t="s">
        <v>162</v>
      </c>
      <c r="AO282" s="667"/>
      <c r="AP282" s="729"/>
      <c r="AQ282" s="730"/>
      <c r="AR282" s="731"/>
      <c r="AS282" s="732"/>
      <c r="AT282" s="690"/>
      <c r="AU282" s="691"/>
      <c r="AV282" s="666" t="s">
        <v>162</v>
      </c>
      <c r="AW282" s="667"/>
      <c r="AX282" s="692"/>
      <c r="AY282" s="693"/>
      <c r="AZ282" s="694"/>
      <c r="BA282" s="735"/>
      <c r="BB282" s="736"/>
      <c r="BC282" s="14"/>
      <c r="BD282" s="695" t="s">
        <v>162</v>
      </c>
      <c r="BE282" s="696"/>
      <c r="BF282" s="739"/>
      <c r="BG282" s="740"/>
      <c r="BH282" s="740"/>
      <c r="BI282" s="741"/>
      <c r="BJ282" s="700" t="s">
        <v>159</v>
      </c>
      <c r="BK282" s="701"/>
      <c r="BL282" s="701"/>
      <c r="BM282" s="702"/>
      <c r="BN282" s="703" t="s">
        <v>159</v>
      </c>
      <c r="BO282" s="704"/>
      <c r="BP282" s="704"/>
      <c r="BQ282" s="704"/>
      <c r="BR282" s="704"/>
      <c r="BS282" s="704"/>
      <c r="BT282" s="704"/>
      <c r="BU282" s="704"/>
      <c r="BV282" s="705"/>
    </row>
    <row r="283" spans="1:74" ht="45" customHeight="1" x14ac:dyDescent="0.25">
      <c r="A283" s="10">
        <f t="shared" si="4"/>
        <v>269</v>
      </c>
      <c r="B283" s="711" t="s">
        <v>159</v>
      </c>
      <c r="C283" s="711"/>
      <c r="D283" s="712" t="s">
        <v>212</v>
      </c>
      <c r="E283" s="712"/>
      <c r="F283" s="664" t="s">
        <v>162</v>
      </c>
      <c r="G283" s="665"/>
      <c r="H283" s="755" t="s">
        <v>162</v>
      </c>
      <c r="I283" s="667"/>
      <c r="J283" s="706"/>
      <c r="K283" s="707"/>
      <c r="L283" s="706"/>
      <c r="M283" s="707"/>
      <c r="N283" s="194"/>
      <c r="O283" s="196"/>
      <c r="P283" s="717"/>
      <c r="Q283" s="718"/>
      <c r="R283" s="672"/>
      <c r="S283" s="673"/>
      <c r="T283" s="674"/>
      <c r="U283" s="675"/>
      <c r="V283" s="676"/>
      <c r="W283" s="677"/>
      <c r="X283" s="725" t="s">
        <v>159</v>
      </c>
      <c r="Y283" s="725"/>
      <c r="Z283" s="725"/>
      <c r="AA283" s="725"/>
      <c r="AB283" s="726" t="s">
        <v>159</v>
      </c>
      <c r="AC283" s="726"/>
      <c r="AD283" s="726"/>
      <c r="AE283" s="726"/>
      <c r="AF283" s="680"/>
      <c r="AG283" s="681"/>
      <c r="AH283" s="680"/>
      <c r="AI283" s="681"/>
      <c r="AJ283" s="686"/>
      <c r="AK283" s="687"/>
      <c r="AL283" s="664" t="s">
        <v>162</v>
      </c>
      <c r="AM283" s="665"/>
      <c r="AN283" s="713" t="s">
        <v>162</v>
      </c>
      <c r="AO283" s="714"/>
      <c r="AP283" s="686"/>
      <c r="AQ283" s="687"/>
      <c r="AR283" s="688"/>
      <c r="AS283" s="689"/>
      <c r="AT283" s="690"/>
      <c r="AU283" s="691"/>
      <c r="AV283" s="713" t="s">
        <v>162</v>
      </c>
      <c r="AW283" s="714"/>
      <c r="AX283" s="692"/>
      <c r="AY283" s="693"/>
      <c r="AZ283" s="694"/>
      <c r="BA283" s="682"/>
      <c r="BB283" s="683"/>
      <c r="BC283" s="219"/>
      <c r="BD283" s="737" t="s">
        <v>162</v>
      </c>
      <c r="BE283" s="738"/>
      <c r="BF283" s="708"/>
      <c r="BG283" s="709"/>
      <c r="BH283" s="709"/>
      <c r="BI283" s="710"/>
      <c r="BJ283" s="742" t="s">
        <v>159</v>
      </c>
      <c r="BK283" s="743"/>
      <c r="BL283" s="743"/>
      <c r="BM283" s="744"/>
      <c r="BN283" s="703" t="s">
        <v>159</v>
      </c>
      <c r="BO283" s="704"/>
      <c r="BP283" s="704"/>
      <c r="BQ283" s="704"/>
      <c r="BR283" s="704"/>
      <c r="BS283" s="704"/>
      <c r="BT283" s="704"/>
      <c r="BU283" s="704"/>
      <c r="BV283" s="705"/>
    </row>
    <row r="284" spans="1:74" ht="45" customHeight="1" x14ac:dyDescent="0.25">
      <c r="A284" s="10">
        <f t="shared" si="4"/>
        <v>270</v>
      </c>
      <c r="B284" s="662" t="s">
        <v>159</v>
      </c>
      <c r="C284" s="662"/>
      <c r="D284" s="663" t="s">
        <v>212</v>
      </c>
      <c r="E284" s="663"/>
      <c r="F284" s="664" t="s">
        <v>162</v>
      </c>
      <c r="G284" s="665"/>
      <c r="H284" s="754" t="s">
        <v>162</v>
      </c>
      <c r="I284" s="714"/>
      <c r="J284" s="340"/>
      <c r="K284" s="341"/>
      <c r="L284" s="340"/>
      <c r="M284" s="341"/>
      <c r="N284" s="215"/>
      <c r="O284" s="216"/>
      <c r="P284" s="670"/>
      <c r="Q284" s="671"/>
      <c r="R284" s="719"/>
      <c r="S284" s="720"/>
      <c r="T284" s="721"/>
      <c r="U284" s="722"/>
      <c r="V284" s="723"/>
      <c r="W284" s="724"/>
      <c r="X284" s="678" t="s">
        <v>159</v>
      </c>
      <c r="Y284" s="678"/>
      <c r="Z284" s="678"/>
      <c r="AA284" s="678"/>
      <c r="AB284" s="679" t="s">
        <v>159</v>
      </c>
      <c r="AC284" s="679"/>
      <c r="AD284" s="679"/>
      <c r="AE284" s="679"/>
      <c r="AF284" s="727"/>
      <c r="AG284" s="728"/>
      <c r="AH284" s="727"/>
      <c r="AI284" s="728"/>
      <c r="AJ284" s="682"/>
      <c r="AK284" s="683"/>
      <c r="AL284" s="684" t="s">
        <v>162</v>
      </c>
      <c r="AM284" s="685"/>
      <c r="AN284" s="666" t="s">
        <v>162</v>
      </c>
      <c r="AO284" s="667"/>
      <c r="AP284" s="729"/>
      <c r="AQ284" s="730"/>
      <c r="AR284" s="731"/>
      <c r="AS284" s="732"/>
      <c r="AT284" s="690"/>
      <c r="AU284" s="691"/>
      <c r="AV284" s="666" t="s">
        <v>162</v>
      </c>
      <c r="AW284" s="667"/>
      <c r="AX284" s="692"/>
      <c r="AY284" s="693"/>
      <c r="AZ284" s="694"/>
      <c r="BA284" s="735"/>
      <c r="BB284" s="736"/>
      <c r="BC284" s="14"/>
      <c r="BD284" s="695" t="s">
        <v>162</v>
      </c>
      <c r="BE284" s="696"/>
      <c r="BF284" s="739"/>
      <c r="BG284" s="740"/>
      <c r="BH284" s="740"/>
      <c r="BI284" s="741"/>
      <c r="BJ284" s="700" t="s">
        <v>159</v>
      </c>
      <c r="BK284" s="701"/>
      <c r="BL284" s="701"/>
      <c r="BM284" s="702"/>
      <c r="BN284" s="703" t="s">
        <v>159</v>
      </c>
      <c r="BO284" s="704"/>
      <c r="BP284" s="704"/>
      <c r="BQ284" s="704"/>
      <c r="BR284" s="704"/>
      <c r="BS284" s="704"/>
      <c r="BT284" s="704"/>
      <c r="BU284" s="704"/>
      <c r="BV284" s="705"/>
    </row>
    <row r="285" spans="1:74" ht="45" customHeight="1" x14ac:dyDescent="0.25">
      <c r="A285" s="10">
        <f t="shared" si="4"/>
        <v>271</v>
      </c>
      <c r="B285" s="711" t="s">
        <v>159</v>
      </c>
      <c r="C285" s="711"/>
      <c r="D285" s="712" t="s">
        <v>212</v>
      </c>
      <c r="E285" s="712"/>
      <c r="F285" s="664" t="s">
        <v>162</v>
      </c>
      <c r="G285" s="665"/>
      <c r="H285" s="755" t="s">
        <v>162</v>
      </c>
      <c r="I285" s="667"/>
      <c r="J285" s="706"/>
      <c r="K285" s="707"/>
      <c r="L285" s="706"/>
      <c r="M285" s="707"/>
      <c r="N285" s="194"/>
      <c r="O285" s="196"/>
      <c r="P285" s="717"/>
      <c r="Q285" s="718"/>
      <c r="R285" s="672"/>
      <c r="S285" s="673"/>
      <c r="T285" s="674"/>
      <c r="U285" s="675"/>
      <c r="V285" s="676"/>
      <c r="W285" s="677"/>
      <c r="X285" s="725" t="s">
        <v>159</v>
      </c>
      <c r="Y285" s="725"/>
      <c r="Z285" s="725"/>
      <c r="AA285" s="725"/>
      <c r="AB285" s="726" t="s">
        <v>159</v>
      </c>
      <c r="AC285" s="726"/>
      <c r="AD285" s="726"/>
      <c r="AE285" s="726"/>
      <c r="AF285" s="680"/>
      <c r="AG285" s="681"/>
      <c r="AH285" s="680"/>
      <c r="AI285" s="681"/>
      <c r="AJ285" s="686"/>
      <c r="AK285" s="687"/>
      <c r="AL285" s="664" t="s">
        <v>162</v>
      </c>
      <c r="AM285" s="665"/>
      <c r="AN285" s="713" t="s">
        <v>162</v>
      </c>
      <c r="AO285" s="714"/>
      <c r="AP285" s="686"/>
      <c r="AQ285" s="687"/>
      <c r="AR285" s="688"/>
      <c r="AS285" s="689"/>
      <c r="AT285" s="690"/>
      <c r="AU285" s="691"/>
      <c r="AV285" s="713" t="s">
        <v>162</v>
      </c>
      <c r="AW285" s="714"/>
      <c r="AX285" s="692"/>
      <c r="AY285" s="693"/>
      <c r="AZ285" s="694"/>
      <c r="BA285" s="682"/>
      <c r="BB285" s="683"/>
      <c r="BC285" s="219"/>
      <c r="BD285" s="737" t="s">
        <v>162</v>
      </c>
      <c r="BE285" s="738"/>
      <c r="BF285" s="708"/>
      <c r="BG285" s="709"/>
      <c r="BH285" s="709"/>
      <c r="BI285" s="710"/>
      <c r="BJ285" s="742" t="s">
        <v>159</v>
      </c>
      <c r="BK285" s="743"/>
      <c r="BL285" s="743"/>
      <c r="BM285" s="744"/>
      <c r="BN285" s="703" t="s">
        <v>159</v>
      </c>
      <c r="BO285" s="704"/>
      <c r="BP285" s="704"/>
      <c r="BQ285" s="704"/>
      <c r="BR285" s="704"/>
      <c r="BS285" s="704"/>
      <c r="BT285" s="704"/>
      <c r="BU285" s="704"/>
      <c r="BV285" s="705"/>
    </row>
    <row r="286" spans="1:74" ht="45" customHeight="1" x14ac:dyDescent="0.25">
      <c r="A286" s="10">
        <f t="shared" si="4"/>
        <v>272</v>
      </c>
      <c r="B286" s="662" t="s">
        <v>159</v>
      </c>
      <c r="C286" s="662"/>
      <c r="D286" s="663" t="s">
        <v>212</v>
      </c>
      <c r="E286" s="663"/>
      <c r="F286" s="664" t="s">
        <v>162</v>
      </c>
      <c r="G286" s="665"/>
      <c r="H286" s="754" t="s">
        <v>162</v>
      </c>
      <c r="I286" s="714"/>
      <c r="J286" s="340"/>
      <c r="K286" s="341"/>
      <c r="L286" s="340"/>
      <c r="M286" s="341"/>
      <c r="N286" s="215"/>
      <c r="O286" s="216"/>
      <c r="P286" s="670"/>
      <c r="Q286" s="671"/>
      <c r="R286" s="719"/>
      <c r="S286" s="720"/>
      <c r="T286" s="721"/>
      <c r="U286" s="722"/>
      <c r="V286" s="723"/>
      <c r="W286" s="724"/>
      <c r="X286" s="678" t="s">
        <v>159</v>
      </c>
      <c r="Y286" s="678"/>
      <c r="Z286" s="678"/>
      <c r="AA286" s="678"/>
      <c r="AB286" s="679" t="s">
        <v>159</v>
      </c>
      <c r="AC286" s="679"/>
      <c r="AD286" s="679"/>
      <c r="AE286" s="679"/>
      <c r="AF286" s="727"/>
      <c r="AG286" s="728"/>
      <c r="AH286" s="727"/>
      <c r="AI286" s="728"/>
      <c r="AJ286" s="682"/>
      <c r="AK286" s="683"/>
      <c r="AL286" s="684" t="s">
        <v>162</v>
      </c>
      <c r="AM286" s="685"/>
      <c r="AN286" s="666" t="s">
        <v>162</v>
      </c>
      <c r="AO286" s="667"/>
      <c r="AP286" s="729"/>
      <c r="AQ286" s="730"/>
      <c r="AR286" s="731"/>
      <c r="AS286" s="732"/>
      <c r="AT286" s="690"/>
      <c r="AU286" s="691"/>
      <c r="AV286" s="666" t="s">
        <v>162</v>
      </c>
      <c r="AW286" s="667"/>
      <c r="AX286" s="692"/>
      <c r="AY286" s="693"/>
      <c r="AZ286" s="694"/>
      <c r="BA286" s="735"/>
      <c r="BB286" s="736"/>
      <c r="BC286" s="14"/>
      <c r="BD286" s="695" t="s">
        <v>162</v>
      </c>
      <c r="BE286" s="696"/>
      <c r="BF286" s="739"/>
      <c r="BG286" s="740"/>
      <c r="BH286" s="740"/>
      <c r="BI286" s="741"/>
      <c r="BJ286" s="700" t="s">
        <v>159</v>
      </c>
      <c r="BK286" s="701"/>
      <c r="BL286" s="701"/>
      <c r="BM286" s="702"/>
      <c r="BN286" s="703" t="s">
        <v>159</v>
      </c>
      <c r="BO286" s="704"/>
      <c r="BP286" s="704"/>
      <c r="BQ286" s="704"/>
      <c r="BR286" s="704"/>
      <c r="BS286" s="704"/>
      <c r="BT286" s="704"/>
      <c r="BU286" s="704"/>
      <c r="BV286" s="705"/>
    </row>
    <row r="287" spans="1:74" ht="45" customHeight="1" x14ac:dyDescent="0.25">
      <c r="A287" s="10">
        <f t="shared" si="4"/>
        <v>273</v>
      </c>
      <c r="B287" s="711" t="s">
        <v>159</v>
      </c>
      <c r="C287" s="711"/>
      <c r="D287" s="712" t="s">
        <v>212</v>
      </c>
      <c r="E287" s="712"/>
      <c r="F287" s="664" t="s">
        <v>162</v>
      </c>
      <c r="G287" s="665"/>
      <c r="H287" s="755" t="s">
        <v>162</v>
      </c>
      <c r="I287" s="667"/>
      <c r="J287" s="706"/>
      <c r="K287" s="707"/>
      <c r="L287" s="706"/>
      <c r="M287" s="707"/>
      <c r="N287" s="194"/>
      <c r="O287" s="196"/>
      <c r="P287" s="717"/>
      <c r="Q287" s="718"/>
      <c r="R287" s="672"/>
      <c r="S287" s="673"/>
      <c r="T287" s="674"/>
      <c r="U287" s="675"/>
      <c r="V287" s="676"/>
      <c r="W287" s="677"/>
      <c r="X287" s="725" t="s">
        <v>159</v>
      </c>
      <c r="Y287" s="725"/>
      <c r="Z287" s="725"/>
      <c r="AA287" s="725"/>
      <c r="AB287" s="726" t="s">
        <v>159</v>
      </c>
      <c r="AC287" s="726"/>
      <c r="AD287" s="726"/>
      <c r="AE287" s="726"/>
      <c r="AF287" s="680"/>
      <c r="AG287" s="681"/>
      <c r="AH287" s="680"/>
      <c r="AI287" s="681"/>
      <c r="AJ287" s="686"/>
      <c r="AK287" s="687"/>
      <c r="AL287" s="664" t="s">
        <v>162</v>
      </c>
      <c r="AM287" s="665"/>
      <c r="AN287" s="713" t="s">
        <v>162</v>
      </c>
      <c r="AO287" s="714"/>
      <c r="AP287" s="686"/>
      <c r="AQ287" s="687"/>
      <c r="AR287" s="688"/>
      <c r="AS287" s="689"/>
      <c r="AT287" s="690"/>
      <c r="AU287" s="691"/>
      <c r="AV287" s="713" t="s">
        <v>162</v>
      </c>
      <c r="AW287" s="714"/>
      <c r="AX287" s="692"/>
      <c r="AY287" s="693"/>
      <c r="AZ287" s="694"/>
      <c r="BA287" s="682"/>
      <c r="BB287" s="683"/>
      <c r="BC287" s="219"/>
      <c r="BD287" s="737" t="s">
        <v>162</v>
      </c>
      <c r="BE287" s="738"/>
      <c r="BF287" s="697"/>
      <c r="BG287" s="698"/>
      <c r="BH287" s="698"/>
      <c r="BI287" s="699"/>
      <c r="BJ287" s="742" t="s">
        <v>159</v>
      </c>
      <c r="BK287" s="743"/>
      <c r="BL287" s="743"/>
      <c r="BM287" s="744"/>
      <c r="BN287" s="703" t="s">
        <v>159</v>
      </c>
      <c r="BO287" s="704"/>
      <c r="BP287" s="704"/>
      <c r="BQ287" s="704"/>
      <c r="BR287" s="704"/>
      <c r="BS287" s="704"/>
      <c r="BT287" s="704"/>
      <c r="BU287" s="704"/>
      <c r="BV287" s="705"/>
    </row>
    <row r="288" spans="1:74" ht="45" customHeight="1" x14ac:dyDescent="0.25">
      <c r="A288" s="10">
        <f t="shared" si="4"/>
        <v>274</v>
      </c>
      <c r="B288" s="662" t="s">
        <v>159</v>
      </c>
      <c r="C288" s="662"/>
      <c r="D288" s="663" t="s">
        <v>212</v>
      </c>
      <c r="E288" s="663"/>
      <c r="F288" s="664" t="s">
        <v>162</v>
      </c>
      <c r="G288" s="665"/>
      <c r="H288" s="754" t="s">
        <v>162</v>
      </c>
      <c r="I288" s="714"/>
      <c r="J288" s="340"/>
      <c r="K288" s="341"/>
      <c r="L288" s="340"/>
      <c r="M288" s="341"/>
      <c r="N288" s="215"/>
      <c r="O288" s="216"/>
      <c r="P288" s="670"/>
      <c r="Q288" s="671"/>
      <c r="R288" s="719"/>
      <c r="S288" s="720"/>
      <c r="T288" s="721"/>
      <c r="U288" s="722"/>
      <c r="V288" s="723"/>
      <c r="W288" s="724"/>
      <c r="X288" s="678" t="s">
        <v>159</v>
      </c>
      <c r="Y288" s="678"/>
      <c r="Z288" s="678"/>
      <c r="AA288" s="678"/>
      <c r="AB288" s="679" t="s">
        <v>159</v>
      </c>
      <c r="AC288" s="679"/>
      <c r="AD288" s="679"/>
      <c r="AE288" s="679"/>
      <c r="AF288" s="727"/>
      <c r="AG288" s="728"/>
      <c r="AH288" s="727"/>
      <c r="AI288" s="728"/>
      <c r="AJ288" s="682"/>
      <c r="AK288" s="683"/>
      <c r="AL288" s="684" t="s">
        <v>162</v>
      </c>
      <c r="AM288" s="685"/>
      <c r="AN288" s="666" t="s">
        <v>162</v>
      </c>
      <c r="AO288" s="667"/>
      <c r="AP288" s="729"/>
      <c r="AQ288" s="730"/>
      <c r="AR288" s="731"/>
      <c r="AS288" s="732"/>
      <c r="AT288" s="690"/>
      <c r="AU288" s="691"/>
      <c r="AV288" s="666" t="s">
        <v>162</v>
      </c>
      <c r="AW288" s="667"/>
      <c r="AX288" s="692"/>
      <c r="AY288" s="693"/>
      <c r="AZ288" s="694"/>
      <c r="BA288" s="735"/>
      <c r="BB288" s="736"/>
      <c r="BC288" s="14"/>
      <c r="BD288" s="695" t="s">
        <v>162</v>
      </c>
      <c r="BE288" s="696"/>
      <c r="BF288" s="739"/>
      <c r="BG288" s="740"/>
      <c r="BH288" s="740"/>
      <c r="BI288" s="741"/>
      <c r="BJ288" s="700" t="s">
        <v>159</v>
      </c>
      <c r="BK288" s="701"/>
      <c r="BL288" s="701"/>
      <c r="BM288" s="702"/>
      <c r="BN288" s="703" t="s">
        <v>159</v>
      </c>
      <c r="BO288" s="704"/>
      <c r="BP288" s="704"/>
      <c r="BQ288" s="704"/>
      <c r="BR288" s="704"/>
      <c r="BS288" s="704"/>
      <c r="BT288" s="704"/>
      <c r="BU288" s="704"/>
      <c r="BV288" s="705"/>
    </row>
    <row r="289" spans="1:74" ht="45" customHeight="1" x14ac:dyDescent="0.25">
      <c r="A289" s="10">
        <f t="shared" si="4"/>
        <v>275</v>
      </c>
      <c r="B289" s="711" t="s">
        <v>159</v>
      </c>
      <c r="C289" s="711"/>
      <c r="D289" s="712" t="s">
        <v>212</v>
      </c>
      <c r="E289" s="712"/>
      <c r="F289" s="664" t="s">
        <v>162</v>
      </c>
      <c r="G289" s="665"/>
      <c r="H289" s="755" t="s">
        <v>162</v>
      </c>
      <c r="I289" s="667"/>
      <c r="J289" s="706"/>
      <c r="K289" s="707"/>
      <c r="L289" s="706"/>
      <c r="M289" s="707"/>
      <c r="N289" s="194"/>
      <c r="O289" s="196"/>
      <c r="P289" s="717"/>
      <c r="Q289" s="718"/>
      <c r="R289" s="672"/>
      <c r="S289" s="673"/>
      <c r="T289" s="674"/>
      <c r="U289" s="675"/>
      <c r="V289" s="676"/>
      <c r="W289" s="677"/>
      <c r="X289" s="725" t="s">
        <v>159</v>
      </c>
      <c r="Y289" s="725"/>
      <c r="Z289" s="725"/>
      <c r="AA289" s="725"/>
      <c r="AB289" s="726" t="s">
        <v>159</v>
      </c>
      <c r="AC289" s="726"/>
      <c r="AD289" s="726"/>
      <c r="AE289" s="726"/>
      <c r="AF289" s="680"/>
      <c r="AG289" s="681"/>
      <c r="AH289" s="680"/>
      <c r="AI289" s="681"/>
      <c r="AJ289" s="686"/>
      <c r="AK289" s="687"/>
      <c r="AL289" s="664" t="s">
        <v>162</v>
      </c>
      <c r="AM289" s="665"/>
      <c r="AN289" s="713" t="s">
        <v>162</v>
      </c>
      <c r="AO289" s="714"/>
      <c r="AP289" s="686"/>
      <c r="AQ289" s="687"/>
      <c r="AR289" s="688"/>
      <c r="AS289" s="689"/>
      <c r="AT289" s="690"/>
      <c r="AU289" s="691"/>
      <c r="AV289" s="713" t="s">
        <v>162</v>
      </c>
      <c r="AW289" s="714"/>
      <c r="AX289" s="692"/>
      <c r="AY289" s="693"/>
      <c r="AZ289" s="694"/>
      <c r="BA289" s="682"/>
      <c r="BB289" s="683"/>
      <c r="BC289" s="219"/>
      <c r="BD289" s="737" t="s">
        <v>162</v>
      </c>
      <c r="BE289" s="738"/>
      <c r="BF289" s="708"/>
      <c r="BG289" s="709"/>
      <c r="BH289" s="709"/>
      <c r="BI289" s="710"/>
      <c r="BJ289" s="742" t="s">
        <v>159</v>
      </c>
      <c r="BK289" s="743"/>
      <c r="BL289" s="743"/>
      <c r="BM289" s="744"/>
      <c r="BN289" s="703" t="s">
        <v>159</v>
      </c>
      <c r="BO289" s="704"/>
      <c r="BP289" s="704"/>
      <c r="BQ289" s="704"/>
      <c r="BR289" s="704"/>
      <c r="BS289" s="704"/>
      <c r="BT289" s="704"/>
      <c r="BU289" s="704"/>
      <c r="BV289" s="705"/>
    </row>
    <row r="290" spans="1:74" ht="45" customHeight="1" x14ac:dyDescent="0.25">
      <c r="A290" s="10">
        <f t="shared" si="4"/>
        <v>276</v>
      </c>
      <c r="B290" s="662" t="s">
        <v>159</v>
      </c>
      <c r="C290" s="662"/>
      <c r="D290" s="663" t="s">
        <v>212</v>
      </c>
      <c r="E290" s="663"/>
      <c r="F290" s="664" t="s">
        <v>162</v>
      </c>
      <c r="G290" s="665"/>
      <c r="H290" s="754" t="s">
        <v>162</v>
      </c>
      <c r="I290" s="714"/>
      <c r="J290" s="340"/>
      <c r="K290" s="341"/>
      <c r="L290" s="340"/>
      <c r="M290" s="341"/>
      <c r="N290" s="215"/>
      <c r="O290" s="216"/>
      <c r="P290" s="670"/>
      <c r="Q290" s="671"/>
      <c r="R290" s="719"/>
      <c r="S290" s="720"/>
      <c r="T290" s="721"/>
      <c r="U290" s="722"/>
      <c r="V290" s="723"/>
      <c r="W290" s="724"/>
      <c r="X290" s="678" t="s">
        <v>159</v>
      </c>
      <c r="Y290" s="678"/>
      <c r="Z290" s="678"/>
      <c r="AA290" s="678"/>
      <c r="AB290" s="679" t="s">
        <v>159</v>
      </c>
      <c r="AC290" s="679"/>
      <c r="AD290" s="679"/>
      <c r="AE290" s="679"/>
      <c r="AF290" s="727"/>
      <c r="AG290" s="728"/>
      <c r="AH290" s="727"/>
      <c r="AI290" s="728"/>
      <c r="AJ290" s="682"/>
      <c r="AK290" s="683"/>
      <c r="AL290" s="684" t="s">
        <v>162</v>
      </c>
      <c r="AM290" s="685"/>
      <c r="AN290" s="666" t="s">
        <v>162</v>
      </c>
      <c r="AO290" s="667"/>
      <c r="AP290" s="729"/>
      <c r="AQ290" s="730"/>
      <c r="AR290" s="731"/>
      <c r="AS290" s="732"/>
      <c r="AT290" s="690"/>
      <c r="AU290" s="691"/>
      <c r="AV290" s="666" t="s">
        <v>162</v>
      </c>
      <c r="AW290" s="667"/>
      <c r="AX290" s="692"/>
      <c r="AY290" s="693"/>
      <c r="AZ290" s="694"/>
      <c r="BA290" s="735"/>
      <c r="BB290" s="736"/>
      <c r="BC290" s="14"/>
      <c r="BD290" s="695" t="s">
        <v>162</v>
      </c>
      <c r="BE290" s="696"/>
      <c r="BF290" s="739"/>
      <c r="BG290" s="740"/>
      <c r="BH290" s="740"/>
      <c r="BI290" s="741"/>
      <c r="BJ290" s="700" t="s">
        <v>159</v>
      </c>
      <c r="BK290" s="701"/>
      <c r="BL290" s="701"/>
      <c r="BM290" s="702"/>
      <c r="BN290" s="703" t="s">
        <v>159</v>
      </c>
      <c r="BO290" s="704"/>
      <c r="BP290" s="704"/>
      <c r="BQ290" s="704"/>
      <c r="BR290" s="704"/>
      <c r="BS290" s="704"/>
      <c r="BT290" s="704"/>
      <c r="BU290" s="704"/>
      <c r="BV290" s="705"/>
    </row>
    <row r="291" spans="1:74" ht="45" customHeight="1" x14ac:dyDescent="0.25">
      <c r="A291" s="10">
        <f t="shared" si="4"/>
        <v>277</v>
      </c>
      <c r="B291" s="711" t="s">
        <v>159</v>
      </c>
      <c r="C291" s="711"/>
      <c r="D291" s="712" t="s">
        <v>212</v>
      </c>
      <c r="E291" s="712"/>
      <c r="F291" s="664" t="s">
        <v>162</v>
      </c>
      <c r="G291" s="665"/>
      <c r="H291" s="755" t="s">
        <v>162</v>
      </c>
      <c r="I291" s="667"/>
      <c r="J291" s="706"/>
      <c r="K291" s="707"/>
      <c r="L291" s="706"/>
      <c r="M291" s="707"/>
      <c r="N291" s="194"/>
      <c r="O291" s="196"/>
      <c r="P291" s="717"/>
      <c r="Q291" s="718"/>
      <c r="R291" s="672"/>
      <c r="S291" s="673"/>
      <c r="T291" s="674"/>
      <c r="U291" s="675"/>
      <c r="V291" s="676"/>
      <c r="W291" s="677"/>
      <c r="X291" s="725" t="s">
        <v>159</v>
      </c>
      <c r="Y291" s="725"/>
      <c r="Z291" s="725"/>
      <c r="AA291" s="725"/>
      <c r="AB291" s="726" t="s">
        <v>159</v>
      </c>
      <c r="AC291" s="726"/>
      <c r="AD291" s="726"/>
      <c r="AE291" s="726"/>
      <c r="AF291" s="680"/>
      <c r="AG291" s="681"/>
      <c r="AH291" s="680"/>
      <c r="AI291" s="681"/>
      <c r="AJ291" s="686"/>
      <c r="AK291" s="687"/>
      <c r="AL291" s="664" t="s">
        <v>162</v>
      </c>
      <c r="AM291" s="665"/>
      <c r="AN291" s="713" t="s">
        <v>162</v>
      </c>
      <c r="AO291" s="714"/>
      <c r="AP291" s="686"/>
      <c r="AQ291" s="687"/>
      <c r="AR291" s="688"/>
      <c r="AS291" s="689"/>
      <c r="AT291" s="690"/>
      <c r="AU291" s="691"/>
      <c r="AV291" s="713" t="s">
        <v>162</v>
      </c>
      <c r="AW291" s="714"/>
      <c r="AX291" s="692"/>
      <c r="AY291" s="693"/>
      <c r="AZ291" s="694"/>
      <c r="BA291" s="682"/>
      <c r="BB291" s="683"/>
      <c r="BC291" s="219"/>
      <c r="BD291" s="737" t="s">
        <v>162</v>
      </c>
      <c r="BE291" s="738"/>
      <c r="BF291" s="697"/>
      <c r="BG291" s="698"/>
      <c r="BH291" s="698"/>
      <c r="BI291" s="699"/>
      <c r="BJ291" s="742" t="s">
        <v>159</v>
      </c>
      <c r="BK291" s="743"/>
      <c r="BL291" s="743"/>
      <c r="BM291" s="744"/>
      <c r="BN291" s="703" t="s">
        <v>159</v>
      </c>
      <c r="BO291" s="704"/>
      <c r="BP291" s="704"/>
      <c r="BQ291" s="704"/>
      <c r="BR291" s="704"/>
      <c r="BS291" s="704"/>
      <c r="BT291" s="704"/>
      <c r="BU291" s="704"/>
      <c r="BV291" s="705"/>
    </row>
    <row r="292" spans="1:74" ht="45" customHeight="1" x14ac:dyDescent="0.25">
      <c r="A292" s="10">
        <f t="shared" si="4"/>
        <v>278</v>
      </c>
      <c r="B292" s="662" t="s">
        <v>159</v>
      </c>
      <c r="C292" s="662"/>
      <c r="D292" s="663" t="s">
        <v>212</v>
      </c>
      <c r="E292" s="663"/>
      <c r="F292" s="664" t="s">
        <v>162</v>
      </c>
      <c r="G292" s="665"/>
      <c r="H292" s="754" t="s">
        <v>162</v>
      </c>
      <c r="I292" s="714"/>
      <c r="J292" s="340"/>
      <c r="K292" s="341"/>
      <c r="L292" s="340"/>
      <c r="M292" s="341"/>
      <c r="N292" s="215"/>
      <c r="O292" s="216"/>
      <c r="P292" s="670"/>
      <c r="Q292" s="671"/>
      <c r="R292" s="719"/>
      <c r="S292" s="720"/>
      <c r="T292" s="721"/>
      <c r="U292" s="722"/>
      <c r="V292" s="723"/>
      <c r="W292" s="724"/>
      <c r="X292" s="678" t="s">
        <v>159</v>
      </c>
      <c r="Y292" s="678"/>
      <c r="Z292" s="678"/>
      <c r="AA292" s="678"/>
      <c r="AB292" s="679" t="s">
        <v>159</v>
      </c>
      <c r="AC292" s="679"/>
      <c r="AD292" s="679"/>
      <c r="AE292" s="679"/>
      <c r="AF292" s="727"/>
      <c r="AG292" s="728"/>
      <c r="AH292" s="727"/>
      <c r="AI292" s="728"/>
      <c r="AJ292" s="682"/>
      <c r="AK292" s="683"/>
      <c r="AL292" s="684" t="s">
        <v>162</v>
      </c>
      <c r="AM292" s="685"/>
      <c r="AN292" s="666" t="s">
        <v>162</v>
      </c>
      <c r="AO292" s="667"/>
      <c r="AP292" s="729"/>
      <c r="AQ292" s="730"/>
      <c r="AR292" s="731"/>
      <c r="AS292" s="732"/>
      <c r="AT292" s="690"/>
      <c r="AU292" s="691"/>
      <c r="AV292" s="666" t="s">
        <v>162</v>
      </c>
      <c r="AW292" s="667"/>
      <c r="AX292" s="692"/>
      <c r="AY292" s="693"/>
      <c r="AZ292" s="694"/>
      <c r="BA292" s="735"/>
      <c r="BB292" s="736"/>
      <c r="BC292" s="14"/>
      <c r="BD292" s="695" t="s">
        <v>162</v>
      </c>
      <c r="BE292" s="696"/>
      <c r="BF292" s="739"/>
      <c r="BG292" s="740"/>
      <c r="BH292" s="740"/>
      <c r="BI292" s="741"/>
      <c r="BJ292" s="700" t="s">
        <v>159</v>
      </c>
      <c r="BK292" s="701"/>
      <c r="BL292" s="701"/>
      <c r="BM292" s="702"/>
      <c r="BN292" s="703" t="s">
        <v>159</v>
      </c>
      <c r="BO292" s="704"/>
      <c r="BP292" s="704"/>
      <c r="BQ292" s="704"/>
      <c r="BR292" s="704"/>
      <c r="BS292" s="704"/>
      <c r="BT292" s="704"/>
      <c r="BU292" s="704"/>
      <c r="BV292" s="705"/>
    </row>
    <row r="293" spans="1:74" ht="45" customHeight="1" x14ac:dyDescent="0.25">
      <c r="A293" s="10">
        <f t="shared" si="4"/>
        <v>279</v>
      </c>
      <c r="B293" s="711" t="s">
        <v>159</v>
      </c>
      <c r="C293" s="711"/>
      <c r="D293" s="712" t="s">
        <v>212</v>
      </c>
      <c r="E293" s="712"/>
      <c r="F293" s="664" t="s">
        <v>162</v>
      </c>
      <c r="G293" s="665"/>
      <c r="H293" s="755" t="s">
        <v>162</v>
      </c>
      <c r="I293" s="667"/>
      <c r="J293" s="706"/>
      <c r="K293" s="707"/>
      <c r="L293" s="706"/>
      <c r="M293" s="707"/>
      <c r="N293" s="194"/>
      <c r="O293" s="196"/>
      <c r="P293" s="717"/>
      <c r="Q293" s="718"/>
      <c r="R293" s="672"/>
      <c r="S293" s="673"/>
      <c r="T293" s="674"/>
      <c r="U293" s="675"/>
      <c r="V293" s="676"/>
      <c r="W293" s="677"/>
      <c r="X293" s="725" t="s">
        <v>159</v>
      </c>
      <c r="Y293" s="725"/>
      <c r="Z293" s="725"/>
      <c r="AA293" s="725"/>
      <c r="AB293" s="726" t="s">
        <v>159</v>
      </c>
      <c r="AC293" s="726"/>
      <c r="AD293" s="726"/>
      <c r="AE293" s="726"/>
      <c r="AF293" s="680"/>
      <c r="AG293" s="681"/>
      <c r="AH293" s="680"/>
      <c r="AI293" s="681"/>
      <c r="AJ293" s="686"/>
      <c r="AK293" s="687"/>
      <c r="AL293" s="664" t="s">
        <v>162</v>
      </c>
      <c r="AM293" s="665"/>
      <c r="AN293" s="713" t="s">
        <v>162</v>
      </c>
      <c r="AO293" s="714"/>
      <c r="AP293" s="686"/>
      <c r="AQ293" s="687"/>
      <c r="AR293" s="688"/>
      <c r="AS293" s="689"/>
      <c r="AT293" s="690"/>
      <c r="AU293" s="691"/>
      <c r="AV293" s="713" t="s">
        <v>162</v>
      </c>
      <c r="AW293" s="714"/>
      <c r="AX293" s="692"/>
      <c r="AY293" s="693"/>
      <c r="AZ293" s="694"/>
      <c r="BA293" s="682"/>
      <c r="BB293" s="683"/>
      <c r="BC293" s="219"/>
      <c r="BD293" s="737" t="s">
        <v>162</v>
      </c>
      <c r="BE293" s="738"/>
      <c r="BF293" s="708"/>
      <c r="BG293" s="709"/>
      <c r="BH293" s="709"/>
      <c r="BI293" s="710"/>
      <c r="BJ293" s="742" t="s">
        <v>159</v>
      </c>
      <c r="BK293" s="743"/>
      <c r="BL293" s="743"/>
      <c r="BM293" s="744"/>
      <c r="BN293" s="703" t="s">
        <v>159</v>
      </c>
      <c r="BO293" s="704"/>
      <c r="BP293" s="704"/>
      <c r="BQ293" s="704"/>
      <c r="BR293" s="704"/>
      <c r="BS293" s="704"/>
      <c r="BT293" s="704"/>
      <c r="BU293" s="704"/>
      <c r="BV293" s="705"/>
    </row>
    <row r="294" spans="1:74" ht="45" customHeight="1" x14ac:dyDescent="0.25">
      <c r="A294" s="10">
        <f t="shared" si="4"/>
        <v>280</v>
      </c>
      <c r="B294" s="662" t="s">
        <v>159</v>
      </c>
      <c r="C294" s="662"/>
      <c r="D294" s="663" t="s">
        <v>212</v>
      </c>
      <c r="E294" s="663"/>
      <c r="F294" s="664" t="s">
        <v>162</v>
      </c>
      <c r="G294" s="665"/>
      <c r="H294" s="754" t="s">
        <v>162</v>
      </c>
      <c r="I294" s="714"/>
      <c r="J294" s="340"/>
      <c r="K294" s="341"/>
      <c r="L294" s="340"/>
      <c r="M294" s="341"/>
      <c r="N294" s="215"/>
      <c r="O294" s="216"/>
      <c r="P294" s="670"/>
      <c r="Q294" s="671"/>
      <c r="R294" s="719"/>
      <c r="S294" s="720"/>
      <c r="T294" s="721"/>
      <c r="U294" s="722"/>
      <c r="V294" s="723"/>
      <c r="W294" s="724"/>
      <c r="X294" s="678" t="s">
        <v>159</v>
      </c>
      <c r="Y294" s="678"/>
      <c r="Z294" s="678"/>
      <c r="AA294" s="678"/>
      <c r="AB294" s="679" t="s">
        <v>159</v>
      </c>
      <c r="AC294" s="679"/>
      <c r="AD294" s="679"/>
      <c r="AE294" s="679"/>
      <c r="AF294" s="727"/>
      <c r="AG294" s="728"/>
      <c r="AH294" s="727"/>
      <c r="AI294" s="728"/>
      <c r="AJ294" s="682"/>
      <c r="AK294" s="683"/>
      <c r="AL294" s="684" t="s">
        <v>162</v>
      </c>
      <c r="AM294" s="685"/>
      <c r="AN294" s="666" t="s">
        <v>162</v>
      </c>
      <c r="AO294" s="667"/>
      <c r="AP294" s="729"/>
      <c r="AQ294" s="730"/>
      <c r="AR294" s="731"/>
      <c r="AS294" s="732"/>
      <c r="AT294" s="690"/>
      <c r="AU294" s="691"/>
      <c r="AV294" s="666" t="s">
        <v>162</v>
      </c>
      <c r="AW294" s="667"/>
      <c r="AX294" s="692"/>
      <c r="AY294" s="693"/>
      <c r="AZ294" s="694"/>
      <c r="BA294" s="735"/>
      <c r="BB294" s="736"/>
      <c r="BC294" s="14"/>
      <c r="BD294" s="695" t="s">
        <v>162</v>
      </c>
      <c r="BE294" s="696"/>
      <c r="BF294" s="739"/>
      <c r="BG294" s="740"/>
      <c r="BH294" s="740"/>
      <c r="BI294" s="741"/>
      <c r="BJ294" s="700" t="s">
        <v>159</v>
      </c>
      <c r="BK294" s="701"/>
      <c r="BL294" s="701"/>
      <c r="BM294" s="702"/>
      <c r="BN294" s="703" t="s">
        <v>159</v>
      </c>
      <c r="BO294" s="704"/>
      <c r="BP294" s="704"/>
      <c r="BQ294" s="704"/>
      <c r="BR294" s="704"/>
      <c r="BS294" s="704"/>
      <c r="BT294" s="704"/>
      <c r="BU294" s="704"/>
      <c r="BV294" s="705"/>
    </row>
    <row r="295" spans="1:74" ht="45" customHeight="1" x14ac:dyDescent="0.25">
      <c r="A295" s="10">
        <f t="shared" si="4"/>
        <v>281</v>
      </c>
      <c r="B295" s="711" t="s">
        <v>159</v>
      </c>
      <c r="C295" s="711"/>
      <c r="D295" s="712" t="s">
        <v>212</v>
      </c>
      <c r="E295" s="712"/>
      <c r="F295" s="664" t="s">
        <v>162</v>
      </c>
      <c r="G295" s="665"/>
      <c r="H295" s="755" t="s">
        <v>162</v>
      </c>
      <c r="I295" s="667"/>
      <c r="J295" s="706"/>
      <c r="K295" s="707"/>
      <c r="L295" s="706"/>
      <c r="M295" s="707"/>
      <c r="N295" s="194"/>
      <c r="O295" s="196"/>
      <c r="P295" s="717"/>
      <c r="Q295" s="718"/>
      <c r="R295" s="672"/>
      <c r="S295" s="673"/>
      <c r="T295" s="674"/>
      <c r="U295" s="675"/>
      <c r="V295" s="676"/>
      <c r="W295" s="677"/>
      <c r="X295" s="725" t="s">
        <v>159</v>
      </c>
      <c r="Y295" s="725"/>
      <c r="Z295" s="725"/>
      <c r="AA295" s="725"/>
      <c r="AB295" s="726" t="s">
        <v>159</v>
      </c>
      <c r="AC295" s="726"/>
      <c r="AD295" s="726"/>
      <c r="AE295" s="726"/>
      <c r="AF295" s="680"/>
      <c r="AG295" s="681"/>
      <c r="AH295" s="680"/>
      <c r="AI295" s="681"/>
      <c r="AJ295" s="686"/>
      <c r="AK295" s="687"/>
      <c r="AL295" s="664" t="s">
        <v>162</v>
      </c>
      <c r="AM295" s="665"/>
      <c r="AN295" s="713" t="s">
        <v>162</v>
      </c>
      <c r="AO295" s="714"/>
      <c r="AP295" s="686"/>
      <c r="AQ295" s="687"/>
      <c r="AR295" s="688"/>
      <c r="AS295" s="689"/>
      <c r="AT295" s="690"/>
      <c r="AU295" s="691"/>
      <c r="AV295" s="713" t="s">
        <v>162</v>
      </c>
      <c r="AW295" s="714"/>
      <c r="AX295" s="692"/>
      <c r="AY295" s="693"/>
      <c r="AZ295" s="694"/>
      <c r="BA295" s="682"/>
      <c r="BB295" s="683"/>
      <c r="BC295" s="219"/>
      <c r="BD295" s="737" t="s">
        <v>162</v>
      </c>
      <c r="BE295" s="738"/>
      <c r="BF295" s="708"/>
      <c r="BG295" s="709"/>
      <c r="BH295" s="709"/>
      <c r="BI295" s="710"/>
      <c r="BJ295" s="742" t="s">
        <v>159</v>
      </c>
      <c r="BK295" s="743"/>
      <c r="BL295" s="743"/>
      <c r="BM295" s="744"/>
      <c r="BN295" s="703" t="s">
        <v>159</v>
      </c>
      <c r="BO295" s="704"/>
      <c r="BP295" s="704"/>
      <c r="BQ295" s="704"/>
      <c r="BR295" s="704"/>
      <c r="BS295" s="704"/>
      <c r="BT295" s="704"/>
      <c r="BU295" s="704"/>
      <c r="BV295" s="705"/>
    </row>
    <row r="296" spans="1:74" ht="45" customHeight="1" x14ac:dyDescent="0.25">
      <c r="A296" s="10">
        <f t="shared" si="4"/>
        <v>282</v>
      </c>
      <c r="B296" s="662" t="s">
        <v>159</v>
      </c>
      <c r="C296" s="662"/>
      <c r="D296" s="663" t="s">
        <v>212</v>
      </c>
      <c r="E296" s="663"/>
      <c r="F296" s="664" t="s">
        <v>162</v>
      </c>
      <c r="G296" s="665"/>
      <c r="H296" s="754" t="s">
        <v>162</v>
      </c>
      <c r="I296" s="714"/>
      <c r="J296" s="340"/>
      <c r="K296" s="341"/>
      <c r="L296" s="340"/>
      <c r="M296" s="341"/>
      <c r="N296" s="215"/>
      <c r="O296" s="216"/>
      <c r="P296" s="670"/>
      <c r="Q296" s="671"/>
      <c r="R296" s="719"/>
      <c r="S296" s="720"/>
      <c r="T296" s="721"/>
      <c r="U296" s="722"/>
      <c r="V296" s="723"/>
      <c r="W296" s="724"/>
      <c r="X296" s="678" t="s">
        <v>159</v>
      </c>
      <c r="Y296" s="678"/>
      <c r="Z296" s="678"/>
      <c r="AA296" s="678"/>
      <c r="AB296" s="679" t="s">
        <v>159</v>
      </c>
      <c r="AC296" s="679"/>
      <c r="AD296" s="679"/>
      <c r="AE296" s="679"/>
      <c r="AF296" s="727"/>
      <c r="AG296" s="728"/>
      <c r="AH296" s="727"/>
      <c r="AI296" s="728"/>
      <c r="AJ296" s="682"/>
      <c r="AK296" s="683"/>
      <c r="AL296" s="684" t="s">
        <v>162</v>
      </c>
      <c r="AM296" s="685"/>
      <c r="AN296" s="666" t="s">
        <v>162</v>
      </c>
      <c r="AO296" s="667"/>
      <c r="AP296" s="729"/>
      <c r="AQ296" s="730"/>
      <c r="AR296" s="731"/>
      <c r="AS296" s="732"/>
      <c r="AT296" s="690"/>
      <c r="AU296" s="691"/>
      <c r="AV296" s="666" t="s">
        <v>162</v>
      </c>
      <c r="AW296" s="667"/>
      <c r="AX296" s="692"/>
      <c r="AY296" s="693"/>
      <c r="AZ296" s="694"/>
      <c r="BA296" s="735"/>
      <c r="BB296" s="736"/>
      <c r="BC296" s="14"/>
      <c r="BD296" s="695" t="s">
        <v>162</v>
      </c>
      <c r="BE296" s="696"/>
      <c r="BF296" s="739"/>
      <c r="BG296" s="740"/>
      <c r="BH296" s="740"/>
      <c r="BI296" s="741"/>
      <c r="BJ296" s="700" t="s">
        <v>159</v>
      </c>
      <c r="BK296" s="701"/>
      <c r="BL296" s="701"/>
      <c r="BM296" s="702"/>
      <c r="BN296" s="703" t="s">
        <v>159</v>
      </c>
      <c r="BO296" s="704"/>
      <c r="BP296" s="704"/>
      <c r="BQ296" s="704"/>
      <c r="BR296" s="704"/>
      <c r="BS296" s="704"/>
      <c r="BT296" s="704"/>
      <c r="BU296" s="704"/>
      <c r="BV296" s="705"/>
    </row>
    <row r="297" spans="1:74" ht="45" customHeight="1" x14ac:dyDescent="0.25">
      <c r="A297" s="10">
        <f t="shared" si="4"/>
        <v>283</v>
      </c>
      <c r="B297" s="711" t="s">
        <v>159</v>
      </c>
      <c r="C297" s="711"/>
      <c r="D297" s="712" t="s">
        <v>212</v>
      </c>
      <c r="E297" s="712"/>
      <c r="F297" s="664" t="s">
        <v>162</v>
      </c>
      <c r="G297" s="665"/>
      <c r="H297" s="755" t="s">
        <v>162</v>
      </c>
      <c r="I297" s="667"/>
      <c r="J297" s="706"/>
      <c r="K297" s="707"/>
      <c r="L297" s="706"/>
      <c r="M297" s="707"/>
      <c r="N297" s="194"/>
      <c r="O297" s="196"/>
      <c r="P297" s="717"/>
      <c r="Q297" s="718"/>
      <c r="R297" s="672"/>
      <c r="S297" s="673"/>
      <c r="T297" s="674"/>
      <c r="U297" s="675"/>
      <c r="V297" s="676"/>
      <c r="W297" s="677"/>
      <c r="X297" s="725" t="s">
        <v>159</v>
      </c>
      <c r="Y297" s="725"/>
      <c r="Z297" s="725"/>
      <c r="AA297" s="725"/>
      <c r="AB297" s="726" t="s">
        <v>159</v>
      </c>
      <c r="AC297" s="726"/>
      <c r="AD297" s="726"/>
      <c r="AE297" s="726"/>
      <c r="AF297" s="680"/>
      <c r="AG297" s="681"/>
      <c r="AH297" s="680"/>
      <c r="AI297" s="681"/>
      <c r="AJ297" s="686"/>
      <c r="AK297" s="687"/>
      <c r="AL297" s="664" t="s">
        <v>162</v>
      </c>
      <c r="AM297" s="665"/>
      <c r="AN297" s="713" t="s">
        <v>162</v>
      </c>
      <c r="AO297" s="714"/>
      <c r="AP297" s="686"/>
      <c r="AQ297" s="687"/>
      <c r="AR297" s="688"/>
      <c r="AS297" s="689"/>
      <c r="AT297" s="690"/>
      <c r="AU297" s="691"/>
      <c r="AV297" s="713" t="s">
        <v>162</v>
      </c>
      <c r="AW297" s="714"/>
      <c r="AX297" s="692"/>
      <c r="AY297" s="693"/>
      <c r="AZ297" s="694"/>
      <c r="BA297" s="682"/>
      <c r="BB297" s="683"/>
      <c r="BC297" s="219"/>
      <c r="BD297" s="737" t="s">
        <v>162</v>
      </c>
      <c r="BE297" s="738"/>
      <c r="BF297" s="697"/>
      <c r="BG297" s="698"/>
      <c r="BH297" s="698"/>
      <c r="BI297" s="699"/>
      <c r="BJ297" s="742" t="s">
        <v>159</v>
      </c>
      <c r="BK297" s="743"/>
      <c r="BL297" s="743"/>
      <c r="BM297" s="744"/>
      <c r="BN297" s="703" t="s">
        <v>159</v>
      </c>
      <c r="BO297" s="704"/>
      <c r="BP297" s="704"/>
      <c r="BQ297" s="704"/>
      <c r="BR297" s="704"/>
      <c r="BS297" s="704"/>
      <c r="BT297" s="704"/>
      <c r="BU297" s="704"/>
      <c r="BV297" s="705"/>
    </row>
    <row r="298" spans="1:74" ht="45" customHeight="1" x14ac:dyDescent="0.25">
      <c r="A298" s="10">
        <f t="shared" si="4"/>
        <v>284</v>
      </c>
      <c r="B298" s="662" t="s">
        <v>159</v>
      </c>
      <c r="C298" s="662"/>
      <c r="D298" s="663" t="s">
        <v>212</v>
      </c>
      <c r="E298" s="663"/>
      <c r="F298" s="664" t="s">
        <v>162</v>
      </c>
      <c r="G298" s="665"/>
      <c r="H298" s="754" t="s">
        <v>162</v>
      </c>
      <c r="I298" s="714"/>
      <c r="J298" s="340"/>
      <c r="K298" s="341"/>
      <c r="L298" s="340"/>
      <c r="M298" s="341"/>
      <c r="N298" s="215"/>
      <c r="O298" s="216"/>
      <c r="P298" s="670"/>
      <c r="Q298" s="671"/>
      <c r="R298" s="719"/>
      <c r="S298" s="720"/>
      <c r="T298" s="721"/>
      <c r="U298" s="722"/>
      <c r="V298" s="723"/>
      <c r="W298" s="724"/>
      <c r="X298" s="678" t="s">
        <v>159</v>
      </c>
      <c r="Y298" s="678"/>
      <c r="Z298" s="678"/>
      <c r="AA298" s="678"/>
      <c r="AB298" s="679" t="s">
        <v>159</v>
      </c>
      <c r="AC298" s="679"/>
      <c r="AD298" s="679"/>
      <c r="AE298" s="679"/>
      <c r="AF298" s="727"/>
      <c r="AG298" s="728"/>
      <c r="AH298" s="727"/>
      <c r="AI298" s="728"/>
      <c r="AJ298" s="682"/>
      <c r="AK298" s="683"/>
      <c r="AL298" s="684" t="s">
        <v>162</v>
      </c>
      <c r="AM298" s="685"/>
      <c r="AN298" s="666" t="s">
        <v>162</v>
      </c>
      <c r="AO298" s="667"/>
      <c r="AP298" s="729"/>
      <c r="AQ298" s="730"/>
      <c r="AR298" s="731"/>
      <c r="AS298" s="732"/>
      <c r="AT298" s="690"/>
      <c r="AU298" s="691"/>
      <c r="AV298" s="666" t="s">
        <v>162</v>
      </c>
      <c r="AW298" s="667"/>
      <c r="AX298" s="692"/>
      <c r="AY298" s="693"/>
      <c r="AZ298" s="694"/>
      <c r="BA298" s="735"/>
      <c r="BB298" s="736"/>
      <c r="BC298" s="14"/>
      <c r="BD298" s="695" t="s">
        <v>162</v>
      </c>
      <c r="BE298" s="696"/>
      <c r="BF298" s="739"/>
      <c r="BG298" s="740"/>
      <c r="BH298" s="740"/>
      <c r="BI298" s="741"/>
      <c r="BJ298" s="700" t="s">
        <v>159</v>
      </c>
      <c r="BK298" s="701"/>
      <c r="BL298" s="701"/>
      <c r="BM298" s="702"/>
      <c r="BN298" s="703" t="s">
        <v>159</v>
      </c>
      <c r="BO298" s="704"/>
      <c r="BP298" s="704"/>
      <c r="BQ298" s="704"/>
      <c r="BR298" s="704"/>
      <c r="BS298" s="704"/>
      <c r="BT298" s="704"/>
      <c r="BU298" s="704"/>
      <c r="BV298" s="705"/>
    </row>
    <row r="299" spans="1:74" ht="45" customHeight="1" x14ac:dyDescent="0.25">
      <c r="A299" s="10">
        <f t="shared" si="4"/>
        <v>285</v>
      </c>
      <c r="B299" s="711" t="s">
        <v>159</v>
      </c>
      <c r="C299" s="711"/>
      <c r="D299" s="712" t="s">
        <v>212</v>
      </c>
      <c r="E299" s="712"/>
      <c r="F299" s="664" t="s">
        <v>162</v>
      </c>
      <c r="G299" s="665"/>
      <c r="H299" s="755" t="s">
        <v>162</v>
      </c>
      <c r="I299" s="667"/>
      <c r="J299" s="706"/>
      <c r="K299" s="707"/>
      <c r="L299" s="706"/>
      <c r="M299" s="707"/>
      <c r="N299" s="194"/>
      <c r="O299" s="196"/>
      <c r="P299" s="717"/>
      <c r="Q299" s="718"/>
      <c r="R299" s="672"/>
      <c r="S299" s="673"/>
      <c r="T299" s="674"/>
      <c r="U299" s="675"/>
      <c r="V299" s="676"/>
      <c r="W299" s="677"/>
      <c r="X299" s="725" t="s">
        <v>159</v>
      </c>
      <c r="Y299" s="725"/>
      <c r="Z299" s="725"/>
      <c r="AA299" s="725"/>
      <c r="AB299" s="726" t="s">
        <v>159</v>
      </c>
      <c r="AC299" s="726"/>
      <c r="AD299" s="726"/>
      <c r="AE299" s="726"/>
      <c r="AF299" s="680"/>
      <c r="AG299" s="681"/>
      <c r="AH299" s="680"/>
      <c r="AI299" s="681"/>
      <c r="AJ299" s="686"/>
      <c r="AK299" s="687"/>
      <c r="AL299" s="664" t="s">
        <v>162</v>
      </c>
      <c r="AM299" s="665"/>
      <c r="AN299" s="713" t="s">
        <v>162</v>
      </c>
      <c r="AO299" s="714"/>
      <c r="AP299" s="686"/>
      <c r="AQ299" s="687"/>
      <c r="AR299" s="688"/>
      <c r="AS299" s="689"/>
      <c r="AT299" s="690"/>
      <c r="AU299" s="691"/>
      <c r="AV299" s="713" t="s">
        <v>162</v>
      </c>
      <c r="AW299" s="714"/>
      <c r="AX299" s="692"/>
      <c r="AY299" s="693"/>
      <c r="AZ299" s="694"/>
      <c r="BA299" s="682"/>
      <c r="BB299" s="683"/>
      <c r="BC299" s="219"/>
      <c r="BD299" s="737" t="s">
        <v>162</v>
      </c>
      <c r="BE299" s="738"/>
      <c r="BF299" s="708"/>
      <c r="BG299" s="709"/>
      <c r="BH299" s="709"/>
      <c r="BI299" s="710"/>
      <c r="BJ299" s="742" t="s">
        <v>159</v>
      </c>
      <c r="BK299" s="743"/>
      <c r="BL299" s="743"/>
      <c r="BM299" s="744"/>
      <c r="BN299" s="703" t="s">
        <v>159</v>
      </c>
      <c r="BO299" s="704"/>
      <c r="BP299" s="704"/>
      <c r="BQ299" s="704"/>
      <c r="BR299" s="704"/>
      <c r="BS299" s="704"/>
      <c r="BT299" s="704"/>
      <c r="BU299" s="704"/>
      <c r="BV299" s="705"/>
    </row>
    <row r="300" spans="1:74" ht="45" customHeight="1" x14ac:dyDescent="0.25">
      <c r="A300" s="10">
        <f t="shared" si="4"/>
        <v>286</v>
      </c>
      <c r="B300" s="662" t="s">
        <v>159</v>
      </c>
      <c r="C300" s="662"/>
      <c r="D300" s="663" t="s">
        <v>212</v>
      </c>
      <c r="E300" s="663"/>
      <c r="F300" s="664" t="s">
        <v>162</v>
      </c>
      <c r="G300" s="665"/>
      <c r="H300" s="754" t="s">
        <v>162</v>
      </c>
      <c r="I300" s="714"/>
      <c r="J300" s="340"/>
      <c r="K300" s="341"/>
      <c r="L300" s="340"/>
      <c r="M300" s="341"/>
      <c r="N300" s="215"/>
      <c r="O300" s="216"/>
      <c r="P300" s="670"/>
      <c r="Q300" s="671"/>
      <c r="R300" s="719"/>
      <c r="S300" s="720"/>
      <c r="T300" s="721"/>
      <c r="U300" s="722"/>
      <c r="V300" s="723"/>
      <c r="W300" s="724"/>
      <c r="X300" s="678" t="s">
        <v>159</v>
      </c>
      <c r="Y300" s="678"/>
      <c r="Z300" s="678"/>
      <c r="AA300" s="678"/>
      <c r="AB300" s="679" t="s">
        <v>159</v>
      </c>
      <c r="AC300" s="679"/>
      <c r="AD300" s="679"/>
      <c r="AE300" s="679"/>
      <c r="AF300" s="727"/>
      <c r="AG300" s="728"/>
      <c r="AH300" s="727"/>
      <c r="AI300" s="728"/>
      <c r="AJ300" s="682"/>
      <c r="AK300" s="683"/>
      <c r="AL300" s="684" t="s">
        <v>162</v>
      </c>
      <c r="AM300" s="685"/>
      <c r="AN300" s="666" t="s">
        <v>162</v>
      </c>
      <c r="AO300" s="667"/>
      <c r="AP300" s="729"/>
      <c r="AQ300" s="730"/>
      <c r="AR300" s="731"/>
      <c r="AS300" s="732"/>
      <c r="AT300" s="690"/>
      <c r="AU300" s="691"/>
      <c r="AV300" s="666" t="s">
        <v>162</v>
      </c>
      <c r="AW300" s="667"/>
      <c r="AX300" s="692"/>
      <c r="AY300" s="693"/>
      <c r="AZ300" s="694"/>
      <c r="BA300" s="735"/>
      <c r="BB300" s="736"/>
      <c r="BC300" s="14"/>
      <c r="BD300" s="695" t="s">
        <v>162</v>
      </c>
      <c r="BE300" s="696"/>
      <c r="BF300" s="739"/>
      <c r="BG300" s="740"/>
      <c r="BH300" s="740"/>
      <c r="BI300" s="741"/>
      <c r="BJ300" s="700" t="s">
        <v>159</v>
      </c>
      <c r="BK300" s="701"/>
      <c r="BL300" s="701"/>
      <c r="BM300" s="702"/>
      <c r="BN300" s="703" t="s">
        <v>159</v>
      </c>
      <c r="BO300" s="704"/>
      <c r="BP300" s="704"/>
      <c r="BQ300" s="704"/>
      <c r="BR300" s="704"/>
      <c r="BS300" s="704"/>
      <c r="BT300" s="704"/>
      <c r="BU300" s="704"/>
      <c r="BV300" s="705"/>
    </row>
    <row r="301" spans="1:74" ht="45" customHeight="1" x14ac:dyDescent="0.25">
      <c r="A301" s="10">
        <f t="shared" si="4"/>
        <v>287</v>
      </c>
      <c r="B301" s="711" t="s">
        <v>159</v>
      </c>
      <c r="C301" s="711"/>
      <c r="D301" s="712" t="s">
        <v>212</v>
      </c>
      <c r="E301" s="712"/>
      <c r="F301" s="664" t="s">
        <v>162</v>
      </c>
      <c r="G301" s="665"/>
      <c r="H301" s="755" t="s">
        <v>162</v>
      </c>
      <c r="I301" s="667"/>
      <c r="J301" s="706"/>
      <c r="K301" s="707"/>
      <c r="L301" s="706"/>
      <c r="M301" s="707"/>
      <c r="N301" s="194"/>
      <c r="O301" s="196"/>
      <c r="P301" s="717"/>
      <c r="Q301" s="718"/>
      <c r="R301" s="672"/>
      <c r="S301" s="673"/>
      <c r="T301" s="674"/>
      <c r="U301" s="675"/>
      <c r="V301" s="676"/>
      <c r="W301" s="677"/>
      <c r="X301" s="725" t="s">
        <v>159</v>
      </c>
      <c r="Y301" s="725"/>
      <c r="Z301" s="725"/>
      <c r="AA301" s="725"/>
      <c r="AB301" s="726" t="s">
        <v>159</v>
      </c>
      <c r="AC301" s="726"/>
      <c r="AD301" s="726"/>
      <c r="AE301" s="726"/>
      <c r="AF301" s="680"/>
      <c r="AG301" s="681"/>
      <c r="AH301" s="680"/>
      <c r="AI301" s="681"/>
      <c r="AJ301" s="686"/>
      <c r="AK301" s="687"/>
      <c r="AL301" s="664" t="s">
        <v>162</v>
      </c>
      <c r="AM301" s="665"/>
      <c r="AN301" s="713" t="s">
        <v>162</v>
      </c>
      <c r="AO301" s="714"/>
      <c r="AP301" s="686"/>
      <c r="AQ301" s="687"/>
      <c r="AR301" s="688"/>
      <c r="AS301" s="689"/>
      <c r="AT301" s="690"/>
      <c r="AU301" s="691"/>
      <c r="AV301" s="713" t="s">
        <v>162</v>
      </c>
      <c r="AW301" s="714"/>
      <c r="AX301" s="692"/>
      <c r="AY301" s="693"/>
      <c r="AZ301" s="694"/>
      <c r="BA301" s="682"/>
      <c r="BB301" s="683"/>
      <c r="BC301" s="219"/>
      <c r="BD301" s="737" t="s">
        <v>162</v>
      </c>
      <c r="BE301" s="738"/>
      <c r="BF301" s="697"/>
      <c r="BG301" s="698"/>
      <c r="BH301" s="698"/>
      <c r="BI301" s="699"/>
      <c r="BJ301" s="742" t="s">
        <v>159</v>
      </c>
      <c r="BK301" s="743"/>
      <c r="BL301" s="743"/>
      <c r="BM301" s="744"/>
      <c r="BN301" s="703" t="s">
        <v>159</v>
      </c>
      <c r="BO301" s="704"/>
      <c r="BP301" s="704"/>
      <c r="BQ301" s="704"/>
      <c r="BR301" s="704"/>
      <c r="BS301" s="704"/>
      <c r="BT301" s="704"/>
      <c r="BU301" s="704"/>
      <c r="BV301" s="705"/>
    </row>
    <row r="302" spans="1:74" ht="45" customHeight="1" x14ac:dyDescent="0.25">
      <c r="A302" s="10">
        <f t="shared" si="4"/>
        <v>288</v>
      </c>
      <c r="B302" s="662" t="s">
        <v>159</v>
      </c>
      <c r="C302" s="662"/>
      <c r="D302" s="663" t="s">
        <v>212</v>
      </c>
      <c r="E302" s="663"/>
      <c r="F302" s="664" t="s">
        <v>162</v>
      </c>
      <c r="G302" s="665"/>
      <c r="H302" s="754" t="s">
        <v>162</v>
      </c>
      <c r="I302" s="714"/>
      <c r="J302" s="340"/>
      <c r="K302" s="341"/>
      <c r="L302" s="340"/>
      <c r="M302" s="341"/>
      <c r="N302" s="215"/>
      <c r="O302" s="216"/>
      <c r="P302" s="670"/>
      <c r="Q302" s="671"/>
      <c r="R302" s="719"/>
      <c r="S302" s="720"/>
      <c r="T302" s="721"/>
      <c r="U302" s="722"/>
      <c r="V302" s="723"/>
      <c r="W302" s="724"/>
      <c r="X302" s="678" t="s">
        <v>159</v>
      </c>
      <c r="Y302" s="678"/>
      <c r="Z302" s="678"/>
      <c r="AA302" s="678"/>
      <c r="AB302" s="679" t="s">
        <v>159</v>
      </c>
      <c r="AC302" s="679"/>
      <c r="AD302" s="679"/>
      <c r="AE302" s="679"/>
      <c r="AF302" s="727"/>
      <c r="AG302" s="728"/>
      <c r="AH302" s="727"/>
      <c r="AI302" s="728"/>
      <c r="AJ302" s="682"/>
      <c r="AK302" s="683"/>
      <c r="AL302" s="684" t="s">
        <v>162</v>
      </c>
      <c r="AM302" s="685"/>
      <c r="AN302" s="666" t="s">
        <v>162</v>
      </c>
      <c r="AO302" s="667"/>
      <c r="AP302" s="729"/>
      <c r="AQ302" s="730"/>
      <c r="AR302" s="731"/>
      <c r="AS302" s="732"/>
      <c r="AT302" s="690"/>
      <c r="AU302" s="691"/>
      <c r="AV302" s="666" t="s">
        <v>162</v>
      </c>
      <c r="AW302" s="667"/>
      <c r="AX302" s="692"/>
      <c r="AY302" s="693"/>
      <c r="AZ302" s="694"/>
      <c r="BA302" s="735"/>
      <c r="BB302" s="736"/>
      <c r="BC302" s="14"/>
      <c r="BD302" s="695" t="s">
        <v>162</v>
      </c>
      <c r="BE302" s="696"/>
      <c r="BF302" s="739"/>
      <c r="BG302" s="740"/>
      <c r="BH302" s="740"/>
      <c r="BI302" s="741"/>
      <c r="BJ302" s="700" t="s">
        <v>159</v>
      </c>
      <c r="BK302" s="701"/>
      <c r="BL302" s="701"/>
      <c r="BM302" s="702"/>
      <c r="BN302" s="703" t="s">
        <v>159</v>
      </c>
      <c r="BO302" s="704"/>
      <c r="BP302" s="704"/>
      <c r="BQ302" s="704"/>
      <c r="BR302" s="704"/>
      <c r="BS302" s="704"/>
      <c r="BT302" s="704"/>
      <c r="BU302" s="704"/>
      <c r="BV302" s="705"/>
    </row>
    <row r="303" spans="1:74" ht="45" customHeight="1" x14ac:dyDescent="0.25">
      <c r="A303" s="10">
        <f t="shared" si="4"/>
        <v>289</v>
      </c>
      <c r="B303" s="711" t="s">
        <v>159</v>
      </c>
      <c r="C303" s="711"/>
      <c r="D303" s="712" t="s">
        <v>212</v>
      </c>
      <c r="E303" s="712"/>
      <c r="F303" s="664" t="s">
        <v>162</v>
      </c>
      <c r="G303" s="665"/>
      <c r="H303" s="755" t="s">
        <v>162</v>
      </c>
      <c r="I303" s="667"/>
      <c r="J303" s="706"/>
      <c r="K303" s="707"/>
      <c r="L303" s="706"/>
      <c r="M303" s="707"/>
      <c r="N303" s="194"/>
      <c r="O303" s="196"/>
      <c r="P303" s="717"/>
      <c r="Q303" s="718"/>
      <c r="R303" s="672"/>
      <c r="S303" s="673"/>
      <c r="T303" s="674"/>
      <c r="U303" s="675"/>
      <c r="V303" s="676"/>
      <c r="W303" s="677"/>
      <c r="X303" s="725" t="s">
        <v>159</v>
      </c>
      <c r="Y303" s="725"/>
      <c r="Z303" s="725"/>
      <c r="AA303" s="725"/>
      <c r="AB303" s="726" t="s">
        <v>159</v>
      </c>
      <c r="AC303" s="726"/>
      <c r="AD303" s="726"/>
      <c r="AE303" s="726"/>
      <c r="AF303" s="680"/>
      <c r="AG303" s="681"/>
      <c r="AH303" s="680"/>
      <c r="AI303" s="681"/>
      <c r="AJ303" s="686"/>
      <c r="AK303" s="687"/>
      <c r="AL303" s="664" t="s">
        <v>162</v>
      </c>
      <c r="AM303" s="665"/>
      <c r="AN303" s="713" t="s">
        <v>162</v>
      </c>
      <c r="AO303" s="714"/>
      <c r="AP303" s="686"/>
      <c r="AQ303" s="687"/>
      <c r="AR303" s="688"/>
      <c r="AS303" s="689"/>
      <c r="AT303" s="690"/>
      <c r="AU303" s="691"/>
      <c r="AV303" s="713" t="s">
        <v>162</v>
      </c>
      <c r="AW303" s="714"/>
      <c r="AX303" s="692"/>
      <c r="AY303" s="693"/>
      <c r="AZ303" s="694"/>
      <c r="BA303" s="682"/>
      <c r="BB303" s="683"/>
      <c r="BC303" s="219"/>
      <c r="BD303" s="737" t="s">
        <v>162</v>
      </c>
      <c r="BE303" s="738"/>
      <c r="BF303" s="708"/>
      <c r="BG303" s="709"/>
      <c r="BH303" s="709"/>
      <c r="BI303" s="710"/>
      <c r="BJ303" s="742" t="s">
        <v>159</v>
      </c>
      <c r="BK303" s="743"/>
      <c r="BL303" s="743"/>
      <c r="BM303" s="744"/>
      <c r="BN303" s="703" t="s">
        <v>159</v>
      </c>
      <c r="BO303" s="704"/>
      <c r="BP303" s="704"/>
      <c r="BQ303" s="704"/>
      <c r="BR303" s="704"/>
      <c r="BS303" s="704"/>
      <c r="BT303" s="704"/>
      <c r="BU303" s="704"/>
      <c r="BV303" s="705"/>
    </row>
    <row r="304" spans="1:74" ht="45" customHeight="1" x14ac:dyDescent="0.25">
      <c r="A304" s="10">
        <f t="shared" si="4"/>
        <v>290</v>
      </c>
      <c r="B304" s="662" t="s">
        <v>159</v>
      </c>
      <c r="C304" s="662"/>
      <c r="D304" s="663" t="s">
        <v>212</v>
      </c>
      <c r="E304" s="663"/>
      <c r="F304" s="664" t="s">
        <v>162</v>
      </c>
      <c r="G304" s="665"/>
      <c r="H304" s="754" t="s">
        <v>162</v>
      </c>
      <c r="I304" s="714"/>
      <c r="J304" s="340"/>
      <c r="K304" s="341"/>
      <c r="L304" s="340"/>
      <c r="M304" s="341"/>
      <c r="N304" s="215"/>
      <c r="O304" s="216"/>
      <c r="P304" s="670"/>
      <c r="Q304" s="671"/>
      <c r="R304" s="719"/>
      <c r="S304" s="720"/>
      <c r="T304" s="721"/>
      <c r="U304" s="722"/>
      <c r="V304" s="723"/>
      <c r="W304" s="724"/>
      <c r="X304" s="678" t="s">
        <v>159</v>
      </c>
      <c r="Y304" s="678"/>
      <c r="Z304" s="678"/>
      <c r="AA304" s="678"/>
      <c r="AB304" s="679" t="s">
        <v>159</v>
      </c>
      <c r="AC304" s="679"/>
      <c r="AD304" s="679"/>
      <c r="AE304" s="679"/>
      <c r="AF304" s="727"/>
      <c r="AG304" s="728"/>
      <c r="AH304" s="727"/>
      <c r="AI304" s="728"/>
      <c r="AJ304" s="682"/>
      <c r="AK304" s="683"/>
      <c r="AL304" s="684" t="s">
        <v>162</v>
      </c>
      <c r="AM304" s="685"/>
      <c r="AN304" s="666" t="s">
        <v>162</v>
      </c>
      <c r="AO304" s="667"/>
      <c r="AP304" s="729"/>
      <c r="AQ304" s="730"/>
      <c r="AR304" s="731"/>
      <c r="AS304" s="732"/>
      <c r="AT304" s="690"/>
      <c r="AU304" s="691"/>
      <c r="AV304" s="666" t="s">
        <v>162</v>
      </c>
      <c r="AW304" s="667"/>
      <c r="AX304" s="692"/>
      <c r="AY304" s="693"/>
      <c r="AZ304" s="694"/>
      <c r="BA304" s="735"/>
      <c r="BB304" s="736"/>
      <c r="BC304" s="14"/>
      <c r="BD304" s="695" t="s">
        <v>162</v>
      </c>
      <c r="BE304" s="696"/>
      <c r="BF304" s="739"/>
      <c r="BG304" s="740"/>
      <c r="BH304" s="740"/>
      <c r="BI304" s="741"/>
      <c r="BJ304" s="700" t="s">
        <v>159</v>
      </c>
      <c r="BK304" s="701"/>
      <c r="BL304" s="701"/>
      <c r="BM304" s="702"/>
      <c r="BN304" s="703" t="s">
        <v>159</v>
      </c>
      <c r="BO304" s="704"/>
      <c r="BP304" s="704"/>
      <c r="BQ304" s="704"/>
      <c r="BR304" s="704"/>
      <c r="BS304" s="704"/>
      <c r="BT304" s="704"/>
      <c r="BU304" s="704"/>
      <c r="BV304" s="705"/>
    </row>
    <row r="305" spans="1:74" ht="45" customHeight="1" x14ac:dyDescent="0.25">
      <c r="A305" s="10">
        <f t="shared" si="4"/>
        <v>291</v>
      </c>
      <c r="B305" s="711" t="s">
        <v>159</v>
      </c>
      <c r="C305" s="711"/>
      <c r="D305" s="712" t="s">
        <v>212</v>
      </c>
      <c r="E305" s="712"/>
      <c r="F305" s="664" t="s">
        <v>162</v>
      </c>
      <c r="G305" s="665"/>
      <c r="H305" s="755" t="s">
        <v>162</v>
      </c>
      <c r="I305" s="667"/>
      <c r="J305" s="706"/>
      <c r="K305" s="707"/>
      <c r="L305" s="706"/>
      <c r="M305" s="707"/>
      <c r="N305" s="194"/>
      <c r="O305" s="196"/>
      <c r="P305" s="717"/>
      <c r="Q305" s="718"/>
      <c r="R305" s="672"/>
      <c r="S305" s="673"/>
      <c r="T305" s="674"/>
      <c r="U305" s="675"/>
      <c r="V305" s="676"/>
      <c r="W305" s="677"/>
      <c r="X305" s="725" t="s">
        <v>159</v>
      </c>
      <c r="Y305" s="725"/>
      <c r="Z305" s="725"/>
      <c r="AA305" s="725"/>
      <c r="AB305" s="726" t="s">
        <v>159</v>
      </c>
      <c r="AC305" s="726"/>
      <c r="AD305" s="726"/>
      <c r="AE305" s="726"/>
      <c r="AF305" s="680"/>
      <c r="AG305" s="681"/>
      <c r="AH305" s="680"/>
      <c r="AI305" s="681"/>
      <c r="AJ305" s="686"/>
      <c r="AK305" s="687"/>
      <c r="AL305" s="664" t="s">
        <v>162</v>
      </c>
      <c r="AM305" s="665"/>
      <c r="AN305" s="713" t="s">
        <v>162</v>
      </c>
      <c r="AO305" s="714"/>
      <c r="AP305" s="686"/>
      <c r="AQ305" s="687"/>
      <c r="AR305" s="688"/>
      <c r="AS305" s="689"/>
      <c r="AT305" s="690"/>
      <c r="AU305" s="691"/>
      <c r="AV305" s="713" t="s">
        <v>162</v>
      </c>
      <c r="AW305" s="714"/>
      <c r="AX305" s="692"/>
      <c r="AY305" s="693"/>
      <c r="AZ305" s="694"/>
      <c r="BA305" s="682"/>
      <c r="BB305" s="683"/>
      <c r="BC305" s="219"/>
      <c r="BD305" s="737" t="s">
        <v>162</v>
      </c>
      <c r="BE305" s="738"/>
      <c r="BF305" s="708"/>
      <c r="BG305" s="709"/>
      <c r="BH305" s="709"/>
      <c r="BI305" s="710"/>
      <c r="BJ305" s="742" t="s">
        <v>159</v>
      </c>
      <c r="BK305" s="743"/>
      <c r="BL305" s="743"/>
      <c r="BM305" s="744"/>
      <c r="BN305" s="703" t="s">
        <v>159</v>
      </c>
      <c r="BO305" s="704"/>
      <c r="BP305" s="704"/>
      <c r="BQ305" s="704"/>
      <c r="BR305" s="704"/>
      <c r="BS305" s="704"/>
      <c r="BT305" s="704"/>
      <c r="BU305" s="704"/>
      <c r="BV305" s="705"/>
    </row>
    <row r="306" spans="1:74" ht="45" customHeight="1" x14ac:dyDescent="0.25">
      <c r="A306" s="10">
        <f t="shared" si="4"/>
        <v>292</v>
      </c>
      <c r="B306" s="662" t="s">
        <v>159</v>
      </c>
      <c r="C306" s="662"/>
      <c r="D306" s="663" t="s">
        <v>212</v>
      </c>
      <c r="E306" s="663"/>
      <c r="F306" s="664" t="s">
        <v>162</v>
      </c>
      <c r="G306" s="665"/>
      <c r="H306" s="754" t="s">
        <v>162</v>
      </c>
      <c r="I306" s="714"/>
      <c r="J306" s="340"/>
      <c r="K306" s="341"/>
      <c r="L306" s="340"/>
      <c r="M306" s="341"/>
      <c r="N306" s="215"/>
      <c r="O306" s="216"/>
      <c r="P306" s="670"/>
      <c r="Q306" s="671"/>
      <c r="R306" s="719"/>
      <c r="S306" s="720"/>
      <c r="T306" s="721"/>
      <c r="U306" s="722"/>
      <c r="V306" s="723"/>
      <c r="W306" s="724"/>
      <c r="X306" s="678" t="s">
        <v>159</v>
      </c>
      <c r="Y306" s="678"/>
      <c r="Z306" s="678"/>
      <c r="AA306" s="678"/>
      <c r="AB306" s="679" t="s">
        <v>159</v>
      </c>
      <c r="AC306" s="679"/>
      <c r="AD306" s="679"/>
      <c r="AE306" s="679"/>
      <c r="AF306" s="727"/>
      <c r="AG306" s="728"/>
      <c r="AH306" s="727"/>
      <c r="AI306" s="728"/>
      <c r="AJ306" s="682"/>
      <c r="AK306" s="683"/>
      <c r="AL306" s="684" t="s">
        <v>162</v>
      </c>
      <c r="AM306" s="685"/>
      <c r="AN306" s="666" t="s">
        <v>162</v>
      </c>
      <c r="AO306" s="667"/>
      <c r="AP306" s="729"/>
      <c r="AQ306" s="730"/>
      <c r="AR306" s="731"/>
      <c r="AS306" s="732"/>
      <c r="AT306" s="690"/>
      <c r="AU306" s="691"/>
      <c r="AV306" s="666" t="s">
        <v>162</v>
      </c>
      <c r="AW306" s="667"/>
      <c r="AX306" s="692"/>
      <c r="AY306" s="693"/>
      <c r="AZ306" s="694"/>
      <c r="BA306" s="735"/>
      <c r="BB306" s="736"/>
      <c r="BC306" s="14"/>
      <c r="BD306" s="695" t="s">
        <v>162</v>
      </c>
      <c r="BE306" s="696"/>
      <c r="BF306" s="739"/>
      <c r="BG306" s="740"/>
      <c r="BH306" s="740"/>
      <c r="BI306" s="741"/>
      <c r="BJ306" s="700" t="s">
        <v>159</v>
      </c>
      <c r="BK306" s="701"/>
      <c r="BL306" s="701"/>
      <c r="BM306" s="702"/>
      <c r="BN306" s="703" t="s">
        <v>159</v>
      </c>
      <c r="BO306" s="704"/>
      <c r="BP306" s="704"/>
      <c r="BQ306" s="704"/>
      <c r="BR306" s="704"/>
      <c r="BS306" s="704"/>
      <c r="BT306" s="704"/>
      <c r="BU306" s="704"/>
      <c r="BV306" s="705"/>
    </row>
    <row r="307" spans="1:74" ht="45" customHeight="1" x14ac:dyDescent="0.25">
      <c r="A307" s="10">
        <f t="shared" si="4"/>
        <v>293</v>
      </c>
      <c r="B307" s="711" t="s">
        <v>159</v>
      </c>
      <c r="C307" s="711"/>
      <c r="D307" s="712" t="s">
        <v>212</v>
      </c>
      <c r="E307" s="712"/>
      <c r="F307" s="664" t="s">
        <v>162</v>
      </c>
      <c r="G307" s="665"/>
      <c r="H307" s="755" t="s">
        <v>162</v>
      </c>
      <c r="I307" s="667"/>
      <c r="J307" s="706"/>
      <c r="K307" s="707"/>
      <c r="L307" s="706"/>
      <c r="M307" s="707"/>
      <c r="N307" s="194"/>
      <c r="O307" s="196"/>
      <c r="P307" s="717"/>
      <c r="Q307" s="718"/>
      <c r="R307" s="672"/>
      <c r="S307" s="673"/>
      <c r="T307" s="674"/>
      <c r="U307" s="675"/>
      <c r="V307" s="676"/>
      <c r="W307" s="677"/>
      <c r="X307" s="725" t="s">
        <v>159</v>
      </c>
      <c r="Y307" s="725"/>
      <c r="Z307" s="725"/>
      <c r="AA307" s="725"/>
      <c r="AB307" s="726" t="s">
        <v>159</v>
      </c>
      <c r="AC307" s="726"/>
      <c r="AD307" s="726"/>
      <c r="AE307" s="726"/>
      <c r="AF307" s="680"/>
      <c r="AG307" s="681"/>
      <c r="AH307" s="680"/>
      <c r="AI307" s="681"/>
      <c r="AJ307" s="686"/>
      <c r="AK307" s="687"/>
      <c r="AL307" s="664" t="s">
        <v>162</v>
      </c>
      <c r="AM307" s="665"/>
      <c r="AN307" s="713" t="s">
        <v>162</v>
      </c>
      <c r="AO307" s="714"/>
      <c r="AP307" s="686"/>
      <c r="AQ307" s="687"/>
      <c r="AR307" s="688"/>
      <c r="AS307" s="689"/>
      <c r="AT307" s="690"/>
      <c r="AU307" s="691"/>
      <c r="AV307" s="713" t="s">
        <v>162</v>
      </c>
      <c r="AW307" s="714"/>
      <c r="AX307" s="692"/>
      <c r="AY307" s="693"/>
      <c r="AZ307" s="694"/>
      <c r="BA307" s="682"/>
      <c r="BB307" s="683"/>
      <c r="BC307" s="219"/>
      <c r="BD307" s="737" t="s">
        <v>162</v>
      </c>
      <c r="BE307" s="738"/>
      <c r="BF307" s="697"/>
      <c r="BG307" s="698"/>
      <c r="BH307" s="698"/>
      <c r="BI307" s="699"/>
      <c r="BJ307" s="742" t="s">
        <v>159</v>
      </c>
      <c r="BK307" s="743"/>
      <c r="BL307" s="743"/>
      <c r="BM307" s="744"/>
      <c r="BN307" s="703" t="s">
        <v>159</v>
      </c>
      <c r="BO307" s="704"/>
      <c r="BP307" s="704"/>
      <c r="BQ307" s="704"/>
      <c r="BR307" s="704"/>
      <c r="BS307" s="704"/>
      <c r="BT307" s="704"/>
      <c r="BU307" s="704"/>
      <c r="BV307" s="705"/>
    </row>
    <row r="308" spans="1:74" ht="45" customHeight="1" x14ac:dyDescent="0.25">
      <c r="A308" s="10">
        <f t="shared" si="4"/>
        <v>294</v>
      </c>
      <c r="B308" s="662" t="s">
        <v>159</v>
      </c>
      <c r="C308" s="662"/>
      <c r="D308" s="663" t="s">
        <v>212</v>
      </c>
      <c r="E308" s="663"/>
      <c r="F308" s="664" t="s">
        <v>162</v>
      </c>
      <c r="G308" s="665"/>
      <c r="H308" s="754" t="s">
        <v>162</v>
      </c>
      <c r="I308" s="714"/>
      <c r="J308" s="340"/>
      <c r="K308" s="341"/>
      <c r="L308" s="340"/>
      <c r="M308" s="341"/>
      <c r="N308" s="215"/>
      <c r="O308" s="216"/>
      <c r="P308" s="670"/>
      <c r="Q308" s="671"/>
      <c r="R308" s="719"/>
      <c r="S308" s="720"/>
      <c r="T308" s="721"/>
      <c r="U308" s="722"/>
      <c r="V308" s="723"/>
      <c r="W308" s="724"/>
      <c r="X308" s="678" t="s">
        <v>159</v>
      </c>
      <c r="Y308" s="678"/>
      <c r="Z308" s="678"/>
      <c r="AA308" s="678"/>
      <c r="AB308" s="679" t="s">
        <v>159</v>
      </c>
      <c r="AC308" s="679"/>
      <c r="AD308" s="679"/>
      <c r="AE308" s="679"/>
      <c r="AF308" s="727"/>
      <c r="AG308" s="728"/>
      <c r="AH308" s="727"/>
      <c r="AI308" s="728"/>
      <c r="AJ308" s="682"/>
      <c r="AK308" s="683"/>
      <c r="AL308" s="684" t="s">
        <v>162</v>
      </c>
      <c r="AM308" s="685"/>
      <c r="AN308" s="666" t="s">
        <v>162</v>
      </c>
      <c r="AO308" s="667"/>
      <c r="AP308" s="729"/>
      <c r="AQ308" s="730"/>
      <c r="AR308" s="731"/>
      <c r="AS308" s="732"/>
      <c r="AT308" s="690"/>
      <c r="AU308" s="691"/>
      <c r="AV308" s="666" t="s">
        <v>162</v>
      </c>
      <c r="AW308" s="667"/>
      <c r="AX308" s="692"/>
      <c r="AY308" s="693"/>
      <c r="AZ308" s="694"/>
      <c r="BA308" s="735"/>
      <c r="BB308" s="736"/>
      <c r="BC308" s="14"/>
      <c r="BD308" s="695" t="s">
        <v>162</v>
      </c>
      <c r="BE308" s="696"/>
      <c r="BF308" s="739"/>
      <c r="BG308" s="740"/>
      <c r="BH308" s="740"/>
      <c r="BI308" s="741"/>
      <c r="BJ308" s="700" t="s">
        <v>159</v>
      </c>
      <c r="BK308" s="701"/>
      <c r="BL308" s="701"/>
      <c r="BM308" s="702"/>
      <c r="BN308" s="703" t="s">
        <v>159</v>
      </c>
      <c r="BO308" s="704"/>
      <c r="BP308" s="704"/>
      <c r="BQ308" s="704"/>
      <c r="BR308" s="704"/>
      <c r="BS308" s="704"/>
      <c r="BT308" s="704"/>
      <c r="BU308" s="704"/>
      <c r="BV308" s="705"/>
    </row>
    <row r="309" spans="1:74" ht="45" customHeight="1" x14ac:dyDescent="0.25">
      <c r="A309" s="10">
        <f t="shared" si="4"/>
        <v>295</v>
      </c>
      <c r="B309" s="711" t="s">
        <v>159</v>
      </c>
      <c r="C309" s="711"/>
      <c r="D309" s="712" t="s">
        <v>212</v>
      </c>
      <c r="E309" s="712"/>
      <c r="F309" s="664" t="s">
        <v>162</v>
      </c>
      <c r="G309" s="665"/>
      <c r="H309" s="755" t="s">
        <v>162</v>
      </c>
      <c r="I309" s="667"/>
      <c r="J309" s="706"/>
      <c r="K309" s="707"/>
      <c r="L309" s="706"/>
      <c r="M309" s="707"/>
      <c r="N309" s="194"/>
      <c r="O309" s="196"/>
      <c r="P309" s="717"/>
      <c r="Q309" s="718"/>
      <c r="R309" s="672"/>
      <c r="S309" s="673"/>
      <c r="T309" s="674"/>
      <c r="U309" s="675"/>
      <c r="V309" s="676"/>
      <c r="W309" s="677"/>
      <c r="X309" s="725" t="s">
        <v>159</v>
      </c>
      <c r="Y309" s="725"/>
      <c r="Z309" s="725"/>
      <c r="AA309" s="725"/>
      <c r="AB309" s="726" t="s">
        <v>159</v>
      </c>
      <c r="AC309" s="726"/>
      <c r="AD309" s="726"/>
      <c r="AE309" s="726"/>
      <c r="AF309" s="680"/>
      <c r="AG309" s="681"/>
      <c r="AH309" s="680"/>
      <c r="AI309" s="681"/>
      <c r="AJ309" s="686"/>
      <c r="AK309" s="687"/>
      <c r="AL309" s="664" t="s">
        <v>162</v>
      </c>
      <c r="AM309" s="665"/>
      <c r="AN309" s="713" t="s">
        <v>162</v>
      </c>
      <c r="AO309" s="714"/>
      <c r="AP309" s="686"/>
      <c r="AQ309" s="687"/>
      <c r="AR309" s="688"/>
      <c r="AS309" s="689"/>
      <c r="AT309" s="690"/>
      <c r="AU309" s="691"/>
      <c r="AV309" s="713" t="s">
        <v>162</v>
      </c>
      <c r="AW309" s="714"/>
      <c r="AX309" s="692"/>
      <c r="AY309" s="693"/>
      <c r="AZ309" s="694"/>
      <c r="BA309" s="682"/>
      <c r="BB309" s="683"/>
      <c r="BC309" s="219"/>
      <c r="BD309" s="737" t="s">
        <v>162</v>
      </c>
      <c r="BE309" s="738"/>
      <c r="BF309" s="708"/>
      <c r="BG309" s="709"/>
      <c r="BH309" s="709"/>
      <c r="BI309" s="710"/>
      <c r="BJ309" s="742" t="s">
        <v>159</v>
      </c>
      <c r="BK309" s="743"/>
      <c r="BL309" s="743"/>
      <c r="BM309" s="744"/>
      <c r="BN309" s="703" t="s">
        <v>159</v>
      </c>
      <c r="BO309" s="704"/>
      <c r="BP309" s="704"/>
      <c r="BQ309" s="704"/>
      <c r="BR309" s="704"/>
      <c r="BS309" s="704"/>
      <c r="BT309" s="704"/>
      <c r="BU309" s="704"/>
      <c r="BV309" s="705"/>
    </row>
    <row r="310" spans="1:74" ht="45" customHeight="1" x14ac:dyDescent="0.25">
      <c r="A310" s="10">
        <f t="shared" si="4"/>
        <v>296</v>
      </c>
      <c r="B310" s="662" t="s">
        <v>159</v>
      </c>
      <c r="C310" s="662"/>
      <c r="D310" s="663" t="s">
        <v>212</v>
      </c>
      <c r="E310" s="663"/>
      <c r="F310" s="664" t="s">
        <v>162</v>
      </c>
      <c r="G310" s="665"/>
      <c r="H310" s="754" t="s">
        <v>162</v>
      </c>
      <c r="I310" s="714"/>
      <c r="J310" s="340"/>
      <c r="K310" s="341"/>
      <c r="L310" s="340"/>
      <c r="M310" s="341"/>
      <c r="N310" s="215"/>
      <c r="O310" s="216"/>
      <c r="P310" s="670"/>
      <c r="Q310" s="671"/>
      <c r="R310" s="719"/>
      <c r="S310" s="720"/>
      <c r="T310" s="721"/>
      <c r="U310" s="722"/>
      <c r="V310" s="723"/>
      <c r="W310" s="724"/>
      <c r="X310" s="678" t="s">
        <v>159</v>
      </c>
      <c r="Y310" s="678"/>
      <c r="Z310" s="678"/>
      <c r="AA310" s="678"/>
      <c r="AB310" s="679" t="s">
        <v>159</v>
      </c>
      <c r="AC310" s="679"/>
      <c r="AD310" s="679"/>
      <c r="AE310" s="679"/>
      <c r="AF310" s="727"/>
      <c r="AG310" s="728"/>
      <c r="AH310" s="727"/>
      <c r="AI310" s="728"/>
      <c r="AJ310" s="682"/>
      <c r="AK310" s="683"/>
      <c r="AL310" s="684" t="s">
        <v>162</v>
      </c>
      <c r="AM310" s="685"/>
      <c r="AN310" s="666" t="s">
        <v>162</v>
      </c>
      <c r="AO310" s="667"/>
      <c r="AP310" s="729"/>
      <c r="AQ310" s="730"/>
      <c r="AR310" s="731"/>
      <c r="AS310" s="732"/>
      <c r="AT310" s="690"/>
      <c r="AU310" s="691"/>
      <c r="AV310" s="666" t="s">
        <v>162</v>
      </c>
      <c r="AW310" s="667"/>
      <c r="AX310" s="692"/>
      <c r="AY310" s="693"/>
      <c r="AZ310" s="694"/>
      <c r="BA310" s="735"/>
      <c r="BB310" s="736"/>
      <c r="BC310" s="14"/>
      <c r="BD310" s="695" t="s">
        <v>162</v>
      </c>
      <c r="BE310" s="696"/>
      <c r="BF310" s="739"/>
      <c r="BG310" s="740"/>
      <c r="BH310" s="740"/>
      <c r="BI310" s="741"/>
      <c r="BJ310" s="700" t="s">
        <v>159</v>
      </c>
      <c r="BK310" s="701"/>
      <c r="BL310" s="701"/>
      <c r="BM310" s="702"/>
      <c r="BN310" s="703" t="s">
        <v>159</v>
      </c>
      <c r="BO310" s="704"/>
      <c r="BP310" s="704"/>
      <c r="BQ310" s="704"/>
      <c r="BR310" s="704"/>
      <c r="BS310" s="704"/>
      <c r="BT310" s="704"/>
      <c r="BU310" s="704"/>
      <c r="BV310" s="705"/>
    </row>
    <row r="311" spans="1:74" ht="45" customHeight="1" x14ac:dyDescent="0.25">
      <c r="A311" s="10">
        <f t="shared" si="4"/>
        <v>297</v>
      </c>
      <c r="B311" s="711" t="s">
        <v>159</v>
      </c>
      <c r="C311" s="711"/>
      <c r="D311" s="712" t="s">
        <v>212</v>
      </c>
      <c r="E311" s="712"/>
      <c r="F311" s="664" t="s">
        <v>162</v>
      </c>
      <c r="G311" s="665"/>
      <c r="H311" s="755" t="s">
        <v>162</v>
      </c>
      <c r="I311" s="667"/>
      <c r="J311" s="706"/>
      <c r="K311" s="707"/>
      <c r="L311" s="706"/>
      <c r="M311" s="707"/>
      <c r="N311" s="194"/>
      <c r="O311" s="196"/>
      <c r="P311" s="717"/>
      <c r="Q311" s="718"/>
      <c r="R311" s="672"/>
      <c r="S311" s="673"/>
      <c r="T311" s="674"/>
      <c r="U311" s="675"/>
      <c r="V311" s="676"/>
      <c r="W311" s="677"/>
      <c r="X311" s="725" t="s">
        <v>159</v>
      </c>
      <c r="Y311" s="725"/>
      <c r="Z311" s="725"/>
      <c r="AA311" s="725"/>
      <c r="AB311" s="726" t="s">
        <v>159</v>
      </c>
      <c r="AC311" s="726"/>
      <c r="AD311" s="726"/>
      <c r="AE311" s="726"/>
      <c r="AF311" s="680"/>
      <c r="AG311" s="681"/>
      <c r="AH311" s="680"/>
      <c r="AI311" s="681"/>
      <c r="AJ311" s="686"/>
      <c r="AK311" s="687"/>
      <c r="AL311" s="664" t="s">
        <v>162</v>
      </c>
      <c r="AM311" s="665"/>
      <c r="AN311" s="713" t="s">
        <v>162</v>
      </c>
      <c r="AO311" s="714"/>
      <c r="AP311" s="686"/>
      <c r="AQ311" s="687"/>
      <c r="AR311" s="688"/>
      <c r="AS311" s="689"/>
      <c r="AT311" s="690"/>
      <c r="AU311" s="691"/>
      <c r="AV311" s="713" t="s">
        <v>162</v>
      </c>
      <c r="AW311" s="714"/>
      <c r="AX311" s="692"/>
      <c r="AY311" s="693"/>
      <c r="AZ311" s="694"/>
      <c r="BA311" s="682"/>
      <c r="BB311" s="683"/>
      <c r="BC311" s="219"/>
      <c r="BD311" s="737" t="s">
        <v>162</v>
      </c>
      <c r="BE311" s="738"/>
      <c r="BF311" s="697"/>
      <c r="BG311" s="698"/>
      <c r="BH311" s="698"/>
      <c r="BI311" s="699"/>
      <c r="BJ311" s="742" t="s">
        <v>159</v>
      </c>
      <c r="BK311" s="743"/>
      <c r="BL311" s="743"/>
      <c r="BM311" s="744"/>
      <c r="BN311" s="703" t="s">
        <v>159</v>
      </c>
      <c r="BO311" s="704"/>
      <c r="BP311" s="704"/>
      <c r="BQ311" s="704"/>
      <c r="BR311" s="704"/>
      <c r="BS311" s="704"/>
      <c r="BT311" s="704"/>
      <c r="BU311" s="704"/>
      <c r="BV311" s="705"/>
    </row>
    <row r="312" spans="1:74" ht="45" customHeight="1" x14ac:dyDescent="0.25">
      <c r="A312" s="10">
        <f t="shared" si="4"/>
        <v>298</v>
      </c>
      <c r="B312" s="662" t="s">
        <v>159</v>
      </c>
      <c r="C312" s="662"/>
      <c r="D312" s="663" t="s">
        <v>212</v>
      </c>
      <c r="E312" s="663"/>
      <c r="F312" s="664" t="s">
        <v>162</v>
      </c>
      <c r="G312" s="665"/>
      <c r="H312" s="754" t="s">
        <v>162</v>
      </c>
      <c r="I312" s="714"/>
      <c r="J312" s="340"/>
      <c r="K312" s="341"/>
      <c r="L312" s="340"/>
      <c r="M312" s="341"/>
      <c r="N312" s="215"/>
      <c r="O312" s="216"/>
      <c r="P312" s="670"/>
      <c r="Q312" s="671"/>
      <c r="R312" s="719"/>
      <c r="S312" s="720"/>
      <c r="T312" s="721"/>
      <c r="U312" s="722"/>
      <c r="V312" s="723"/>
      <c r="W312" s="724"/>
      <c r="X312" s="678" t="s">
        <v>159</v>
      </c>
      <c r="Y312" s="678"/>
      <c r="Z312" s="678"/>
      <c r="AA312" s="678"/>
      <c r="AB312" s="679" t="s">
        <v>159</v>
      </c>
      <c r="AC312" s="679"/>
      <c r="AD312" s="679"/>
      <c r="AE312" s="679"/>
      <c r="AF312" s="727"/>
      <c r="AG312" s="728"/>
      <c r="AH312" s="727"/>
      <c r="AI312" s="728"/>
      <c r="AJ312" s="682"/>
      <c r="AK312" s="683"/>
      <c r="AL312" s="684" t="s">
        <v>162</v>
      </c>
      <c r="AM312" s="685"/>
      <c r="AN312" s="666" t="s">
        <v>162</v>
      </c>
      <c r="AO312" s="667"/>
      <c r="AP312" s="729"/>
      <c r="AQ312" s="730"/>
      <c r="AR312" s="731"/>
      <c r="AS312" s="732"/>
      <c r="AT312" s="690"/>
      <c r="AU312" s="691"/>
      <c r="AV312" s="666" t="s">
        <v>162</v>
      </c>
      <c r="AW312" s="667"/>
      <c r="AX312" s="692"/>
      <c r="AY312" s="693"/>
      <c r="AZ312" s="694"/>
      <c r="BA312" s="735"/>
      <c r="BB312" s="736"/>
      <c r="BC312" s="14"/>
      <c r="BD312" s="695" t="s">
        <v>162</v>
      </c>
      <c r="BE312" s="696"/>
      <c r="BF312" s="739"/>
      <c r="BG312" s="740"/>
      <c r="BH312" s="740"/>
      <c r="BI312" s="741"/>
      <c r="BJ312" s="700" t="s">
        <v>159</v>
      </c>
      <c r="BK312" s="701"/>
      <c r="BL312" s="701"/>
      <c r="BM312" s="702"/>
      <c r="BN312" s="703" t="s">
        <v>159</v>
      </c>
      <c r="BO312" s="704"/>
      <c r="BP312" s="704"/>
      <c r="BQ312" s="704"/>
      <c r="BR312" s="704"/>
      <c r="BS312" s="704"/>
      <c r="BT312" s="704"/>
      <c r="BU312" s="704"/>
      <c r="BV312" s="705"/>
    </row>
    <row r="313" spans="1:74" ht="45" customHeight="1" x14ac:dyDescent="0.25">
      <c r="A313" s="10">
        <f t="shared" si="4"/>
        <v>299</v>
      </c>
      <c r="B313" s="711" t="s">
        <v>159</v>
      </c>
      <c r="C313" s="711"/>
      <c r="D313" s="712" t="s">
        <v>212</v>
      </c>
      <c r="E313" s="712"/>
      <c r="F313" s="664" t="s">
        <v>162</v>
      </c>
      <c r="G313" s="665"/>
      <c r="H313" s="755" t="s">
        <v>162</v>
      </c>
      <c r="I313" s="667"/>
      <c r="J313" s="706"/>
      <c r="K313" s="707"/>
      <c r="L313" s="706"/>
      <c r="M313" s="707"/>
      <c r="N313" s="194"/>
      <c r="O313" s="196"/>
      <c r="P313" s="717"/>
      <c r="Q313" s="718"/>
      <c r="R313" s="672"/>
      <c r="S313" s="673"/>
      <c r="T313" s="674"/>
      <c r="U313" s="675"/>
      <c r="V313" s="676"/>
      <c r="W313" s="677"/>
      <c r="X313" s="725" t="s">
        <v>159</v>
      </c>
      <c r="Y313" s="725"/>
      <c r="Z313" s="725"/>
      <c r="AA313" s="725"/>
      <c r="AB313" s="726" t="s">
        <v>159</v>
      </c>
      <c r="AC313" s="726"/>
      <c r="AD313" s="726"/>
      <c r="AE313" s="726"/>
      <c r="AF313" s="680"/>
      <c r="AG313" s="681"/>
      <c r="AH313" s="680"/>
      <c r="AI313" s="681"/>
      <c r="AJ313" s="686"/>
      <c r="AK313" s="687"/>
      <c r="AL313" s="664" t="s">
        <v>162</v>
      </c>
      <c r="AM313" s="665"/>
      <c r="AN313" s="713" t="s">
        <v>162</v>
      </c>
      <c r="AO313" s="714"/>
      <c r="AP313" s="686"/>
      <c r="AQ313" s="687"/>
      <c r="AR313" s="688"/>
      <c r="AS313" s="689"/>
      <c r="AT313" s="690"/>
      <c r="AU313" s="691"/>
      <c r="AV313" s="713" t="s">
        <v>162</v>
      </c>
      <c r="AW313" s="714"/>
      <c r="AX313" s="692"/>
      <c r="AY313" s="693"/>
      <c r="AZ313" s="694"/>
      <c r="BA313" s="682"/>
      <c r="BB313" s="683"/>
      <c r="BC313" s="219"/>
      <c r="BD313" s="737" t="s">
        <v>162</v>
      </c>
      <c r="BE313" s="738"/>
      <c r="BF313" s="708"/>
      <c r="BG313" s="709"/>
      <c r="BH313" s="709"/>
      <c r="BI313" s="710"/>
      <c r="BJ313" s="742" t="s">
        <v>159</v>
      </c>
      <c r="BK313" s="743"/>
      <c r="BL313" s="743"/>
      <c r="BM313" s="744"/>
      <c r="BN313" s="703" t="s">
        <v>159</v>
      </c>
      <c r="BO313" s="704"/>
      <c r="BP313" s="704"/>
      <c r="BQ313" s="704"/>
      <c r="BR313" s="704"/>
      <c r="BS313" s="704"/>
      <c r="BT313" s="704"/>
      <c r="BU313" s="704"/>
      <c r="BV313" s="705"/>
    </row>
    <row r="314" spans="1:74" ht="45" customHeight="1" x14ac:dyDescent="0.25">
      <c r="A314" s="10">
        <f t="shared" si="4"/>
        <v>300</v>
      </c>
      <c r="B314" s="662" t="s">
        <v>159</v>
      </c>
      <c r="C314" s="662"/>
      <c r="D314" s="663" t="s">
        <v>212</v>
      </c>
      <c r="E314" s="663"/>
      <c r="F314" s="664" t="s">
        <v>162</v>
      </c>
      <c r="G314" s="665"/>
      <c r="H314" s="754" t="s">
        <v>162</v>
      </c>
      <c r="I314" s="714"/>
      <c r="J314" s="715"/>
      <c r="K314" s="716"/>
      <c r="L314" s="715"/>
      <c r="M314" s="716"/>
      <c r="N314" s="215"/>
      <c r="O314" s="216"/>
      <c r="P314" s="670"/>
      <c r="Q314" s="671"/>
      <c r="R314" s="719"/>
      <c r="S314" s="720"/>
      <c r="T314" s="721"/>
      <c r="U314" s="722"/>
      <c r="V314" s="723"/>
      <c r="W314" s="724"/>
      <c r="X314" s="678" t="s">
        <v>159</v>
      </c>
      <c r="Y314" s="678"/>
      <c r="Z314" s="678"/>
      <c r="AA314" s="678"/>
      <c r="AB314" s="679" t="s">
        <v>159</v>
      </c>
      <c r="AC314" s="679"/>
      <c r="AD314" s="679"/>
      <c r="AE314" s="679"/>
      <c r="AF314" s="727"/>
      <c r="AG314" s="728"/>
      <c r="AH314" s="727"/>
      <c r="AI314" s="728"/>
      <c r="AJ314" s="682"/>
      <c r="AK314" s="683"/>
      <c r="AL314" s="684" t="s">
        <v>162</v>
      </c>
      <c r="AM314" s="685"/>
      <c r="AN314" s="666" t="s">
        <v>162</v>
      </c>
      <c r="AO314" s="667"/>
      <c r="AP314" s="729"/>
      <c r="AQ314" s="730"/>
      <c r="AR314" s="731"/>
      <c r="AS314" s="732"/>
      <c r="AT314" s="690"/>
      <c r="AU314" s="691"/>
      <c r="AV314" s="666" t="s">
        <v>162</v>
      </c>
      <c r="AW314" s="667"/>
      <c r="AX314" s="692"/>
      <c r="AY314" s="693"/>
      <c r="AZ314" s="694"/>
      <c r="BA314" s="735"/>
      <c r="BB314" s="736"/>
      <c r="BC314" s="14"/>
      <c r="BD314" s="695" t="s">
        <v>162</v>
      </c>
      <c r="BE314" s="696"/>
      <c r="BF314" s="739"/>
      <c r="BG314" s="740"/>
      <c r="BH314" s="740"/>
      <c r="BI314" s="741"/>
      <c r="BJ314" s="700" t="s">
        <v>159</v>
      </c>
      <c r="BK314" s="701"/>
      <c r="BL314" s="701"/>
      <c r="BM314" s="702"/>
      <c r="BN314" s="703" t="s">
        <v>159</v>
      </c>
      <c r="BO314" s="704"/>
      <c r="BP314" s="704"/>
      <c r="BQ314" s="704"/>
      <c r="BR314" s="704"/>
      <c r="BS314" s="704"/>
      <c r="BT314" s="704"/>
      <c r="BU314" s="704"/>
      <c r="BV314" s="705"/>
    </row>
    <row r="315" spans="1:74" ht="45" customHeight="1" x14ac:dyDescent="0.25">
      <c r="A315" s="10">
        <f t="shared" si="4"/>
        <v>301</v>
      </c>
      <c r="B315" s="711" t="s">
        <v>159</v>
      </c>
      <c r="C315" s="711"/>
      <c r="D315" s="712" t="s">
        <v>212</v>
      </c>
      <c r="E315" s="712"/>
      <c r="F315" s="664" t="s">
        <v>162</v>
      </c>
      <c r="G315" s="665"/>
      <c r="H315" s="755" t="s">
        <v>162</v>
      </c>
      <c r="I315" s="667"/>
      <c r="J315" s="706"/>
      <c r="K315" s="707"/>
      <c r="L315" s="706"/>
      <c r="M315" s="707"/>
      <c r="N315" s="194"/>
      <c r="O315" s="196"/>
      <c r="P315" s="717"/>
      <c r="Q315" s="718"/>
      <c r="R315" s="672"/>
      <c r="S315" s="673"/>
      <c r="T315" s="674"/>
      <c r="U315" s="675"/>
      <c r="V315" s="676"/>
      <c r="W315" s="677"/>
      <c r="X315" s="725" t="s">
        <v>159</v>
      </c>
      <c r="Y315" s="725"/>
      <c r="Z315" s="725"/>
      <c r="AA315" s="725"/>
      <c r="AB315" s="726" t="s">
        <v>159</v>
      </c>
      <c r="AC315" s="726"/>
      <c r="AD315" s="726"/>
      <c r="AE315" s="726"/>
      <c r="AF315" s="680"/>
      <c r="AG315" s="681"/>
      <c r="AH315" s="680"/>
      <c r="AI315" s="681"/>
      <c r="AJ315" s="686"/>
      <c r="AK315" s="687"/>
      <c r="AL315" s="664" t="s">
        <v>162</v>
      </c>
      <c r="AM315" s="665"/>
      <c r="AN315" s="713" t="s">
        <v>162</v>
      </c>
      <c r="AO315" s="714"/>
      <c r="AP315" s="686"/>
      <c r="AQ315" s="687"/>
      <c r="AR315" s="688"/>
      <c r="AS315" s="689"/>
      <c r="AT315" s="690"/>
      <c r="AU315" s="691"/>
      <c r="AV315" s="713" t="s">
        <v>162</v>
      </c>
      <c r="AW315" s="714"/>
      <c r="AX315" s="692"/>
      <c r="AY315" s="693"/>
      <c r="AZ315" s="694"/>
      <c r="BA315" s="682"/>
      <c r="BB315" s="683"/>
      <c r="BC315" s="219"/>
      <c r="BD315" s="737" t="s">
        <v>162</v>
      </c>
      <c r="BE315" s="738"/>
      <c r="BF315" s="708"/>
      <c r="BG315" s="709"/>
      <c r="BH315" s="709"/>
      <c r="BI315" s="710"/>
      <c r="BJ315" s="742" t="s">
        <v>159</v>
      </c>
      <c r="BK315" s="743"/>
      <c r="BL315" s="743"/>
      <c r="BM315" s="744"/>
      <c r="BN315" s="703" t="s">
        <v>159</v>
      </c>
      <c r="BO315" s="704"/>
      <c r="BP315" s="704"/>
      <c r="BQ315" s="704"/>
      <c r="BR315" s="704"/>
      <c r="BS315" s="704"/>
      <c r="BT315" s="704"/>
      <c r="BU315" s="704"/>
      <c r="BV315" s="705"/>
    </row>
    <row r="316" spans="1:74" ht="45" customHeight="1" x14ac:dyDescent="0.25">
      <c r="A316" s="10">
        <f t="shared" si="4"/>
        <v>302</v>
      </c>
      <c r="B316" s="662" t="s">
        <v>159</v>
      </c>
      <c r="C316" s="662"/>
      <c r="D316" s="663" t="s">
        <v>212</v>
      </c>
      <c r="E316" s="663"/>
      <c r="F316" s="664" t="s">
        <v>162</v>
      </c>
      <c r="G316" s="665"/>
      <c r="H316" s="754" t="s">
        <v>162</v>
      </c>
      <c r="I316" s="714"/>
      <c r="J316" s="715"/>
      <c r="K316" s="716"/>
      <c r="L316" s="715"/>
      <c r="M316" s="716"/>
      <c r="N316" s="215"/>
      <c r="O316" s="216"/>
      <c r="P316" s="670"/>
      <c r="Q316" s="671"/>
      <c r="R316" s="719"/>
      <c r="S316" s="720"/>
      <c r="T316" s="721"/>
      <c r="U316" s="722"/>
      <c r="V316" s="723"/>
      <c r="W316" s="724"/>
      <c r="X316" s="678" t="s">
        <v>159</v>
      </c>
      <c r="Y316" s="678"/>
      <c r="Z316" s="678"/>
      <c r="AA316" s="678"/>
      <c r="AB316" s="679" t="s">
        <v>159</v>
      </c>
      <c r="AC316" s="679"/>
      <c r="AD316" s="679"/>
      <c r="AE316" s="679"/>
      <c r="AF316" s="727"/>
      <c r="AG316" s="728"/>
      <c r="AH316" s="727"/>
      <c r="AI316" s="728"/>
      <c r="AJ316" s="682"/>
      <c r="AK316" s="683"/>
      <c r="AL316" s="684" t="s">
        <v>162</v>
      </c>
      <c r="AM316" s="685"/>
      <c r="AN316" s="666" t="s">
        <v>162</v>
      </c>
      <c r="AO316" s="667"/>
      <c r="AP316" s="729"/>
      <c r="AQ316" s="730"/>
      <c r="AR316" s="731"/>
      <c r="AS316" s="732"/>
      <c r="AT316" s="690"/>
      <c r="AU316" s="691"/>
      <c r="AV316" s="666" t="s">
        <v>162</v>
      </c>
      <c r="AW316" s="667"/>
      <c r="AX316" s="692"/>
      <c r="AY316" s="693"/>
      <c r="AZ316" s="694"/>
      <c r="BA316" s="735"/>
      <c r="BB316" s="736"/>
      <c r="BC316" s="14"/>
      <c r="BD316" s="695" t="s">
        <v>162</v>
      </c>
      <c r="BE316" s="696"/>
      <c r="BF316" s="739"/>
      <c r="BG316" s="740"/>
      <c r="BH316" s="740"/>
      <c r="BI316" s="741"/>
      <c r="BJ316" s="700" t="s">
        <v>159</v>
      </c>
      <c r="BK316" s="701"/>
      <c r="BL316" s="701"/>
      <c r="BM316" s="702"/>
      <c r="BN316" s="703" t="s">
        <v>159</v>
      </c>
      <c r="BO316" s="704"/>
      <c r="BP316" s="704"/>
      <c r="BQ316" s="704"/>
      <c r="BR316" s="704"/>
      <c r="BS316" s="704"/>
      <c r="BT316" s="704"/>
      <c r="BU316" s="704"/>
      <c r="BV316" s="705"/>
    </row>
    <row r="317" spans="1:74" ht="45" customHeight="1" x14ac:dyDescent="0.25">
      <c r="A317" s="10">
        <f t="shared" si="4"/>
        <v>303</v>
      </c>
      <c r="B317" s="711" t="s">
        <v>159</v>
      </c>
      <c r="C317" s="711"/>
      <c r="D317" s="712" t="s">
        <v>212</v>
      </c>
      <c r="E317" s="712"/>
      <c r="F317" s="664" t="s">
        <v>162</v>
      </c>
      <c r="G317" s="665"/>
      <c r="H317" s="755" t="s">
        <v>162</v>
      </c>
      <c r="I317" s="667"/>
      <c r="J317" s="706"/>
      <c r="K317" s="707"/>
      <c r="L317" s="706"/>
      <c r="M317" s="707"/>
      <c r="N317" s="194"/>
      <c r="O317" s="196"/>
      <c r="P317" s="717"/>
      <c r="Q317" s="718"/>
      <c r="R317" s="672"/>
      <c r="S317" s="673"/>
      <c r="T317" s="674"/>
      <c r="U317" s="675"/>
      <c r="V317" s="676"/>
      <c r="W317" s="677"/>
      <c r="X317" s="725" t="s">
        <v>159</v>
      </c>
      <c r="Y317" s="725"/>
      <c r="Z317" s="725"/>
      <c r="AA317" s="725"/>
      <c r="AB317" s="726" t="s">
        <v>159</v>
      </c>
      <c r="AC317" s="726"/>
      <c r="AD317" s="726"/>
      <c r="AE317" s="726"/>
      <c r="AF317" s="680"/>
      <c r="AG317" s="681"/>
      <c r="AH317" s="680"/>
      <c r="AI317" s="681"/>
      <c r="AJ317" s="686"/>
      <c r="AK317" s="687"/>
      <c r="AL317" s="664" t="s">
        <v>162</v>
      </c>
      <c r="AM317" s="665"/>
      <c r="AN317" s="713" t="s">
        <v>162</v>
      </c>
      <c r="AO317" s="714"/>
      <c r="AP317" s="686"/>
      <c r="AQ317" s="687"/>
      <c r="AR317" s="688"/>
      <c r="AS317" s="689"/>
      <c r="AT317" s="690"/>
      <c r="AU317" s="691"/>
      <c r="AV317" s="713" t="s">
        <v>162</v>
      </c>
      <c r="AW317" s="714"/>
      <c r="AX317" s="692"/>
      <c r="AY317" s="693"/>
      <c r="AZ317" s="694"/>
      <c r="BA317" s="682"/>
      <c r="BB317" s="683"/>
      <c r="BC317" s="219"/>
      <c r="BD317" s="737" t="s">
        <v>162</v>
      </c>
      <c r="BE317" s="738"/>
      <c r="BF317" s="697"/>
      <c r="BG317" s="698"/>
      <c r="BH317" s="698"/>
      <c r="BI317" s="699"/>
      <c r="BJ317" s="742" t="s">
        <v>159</v>
      </c>
      <c r="BK317" s="743"/>
      <c r="BL317" s="743"/>
      <c r="BM317" s="744"/>
      <c r="BN317" s="703" t="s">
        <v>159</v>
      </c>
      <c r="BO317" s="704"/>
      <c r="BP317" s="704"/>
      <c r="BQ317" s="704"/>
      <c r="BR317" s="704"/>
      <c r="BS317" s="704"/>
      <c r="BT317" s="704"/>
      <c r="BU317" s="704"/>
      <c r="BV317" s="705"/>
    </row>
    <row r="318" spans="1:74" ht="45" customHeight="1" x14ac:dyDescent="0.25">
      <c r="A318" s="10">
        <f t="shared" si="4"/>
        <v>304</v>
      </c>
      <c r="B318" s="662" t="s">
        <v>159</v>
      </c>
      <c r="C318" s="662"/>
      <c r="D318" s="663" t="s">
        <v>212</v>
      </c>
      <c r="E318" s="663"/>
      <c r="F318" s="664" t="s">
        <v>162</v>
      </c>
      <c r="G318" s="665"/>
      <c r="H318" s="754" t="s">
        <v>162</v>
      </c>
      <c r="I318" s="714"/>
      <c r="J318" s="715"/>
      <c r="K318" s="716"/>
      <c r="L318" s="715"/>
      <c r="M318" s="716"/>
      <c r="N318" s="215"/>
      <c r="O318" s="216"/>
      <c r="P318" s="670"/>
      <c r="Q318" s="671"/>
      <c r="R318" s="719"/>
      <c r="S318" s="720"/>
      <c r="T318" s="721"/>
      <c r="U318" s="722"/>
      <c r="V318" s="723"/>
      <c r="W318" s="724"/>
      <c r="X318" s="678" t="s">
        <v>159</v>
      </c>
      <c r="Y318" s="678"/>
      <c r="Z318" s="678"/>
      <c r="AA318" s="678"/>
      <c r="AB318" s="679" t="s">
        <v>159</v>
      </c>
      <c r="AC318" s="679"/>
      <c r="AD318" s="679"/>
      <c r="AE318" s="679"/>
      <c r="AF318" s="727"/>
      <c r="AG318" s="728"/>
      <c r="AH318" s="727"/>
      <c r="AI318" s="728"/>
      <c r="AJ318" s="682"/>
      <c r="AK318" s="683"/>
      <c r="AL318" s="684" t="s">
        <v>162</v>
      </c>
      <c r="AM318" s="685"/>
      <c r="AN318" s="666" t="s">
        <v>162</v>
      </c>
      <c r="AO318" s="667"/>
      <c r="AP318" s="729"/>
      <c r="AQ318" s="730"/>
      <c r="AR318" s="731"/>
      <c r="AS318" s="732"/>
      <c r="AT318" s="690"/>
      <c r="AU318" s="691"/>
      <c r="AV318" s="666" t="s">
        <v>162</v>
      </c>
      <c r="AW318" s="667"/>
      <c r="AX318" s="692"/>
      <c r="AY318" s="693"/>
      <c r="AZ318" s="694"/>
      <c r="BA318" s="735"/>
      <c r="BB318" s="736"/>
      <c r="BC318" s="14"/>
      <c r="BD318" s="695" t="s">
        <v>162</v>
      </c>
      <c r="BE318" s="696"/>
      <c r="BF318" s="739"/>
      <c r="BG318" s="740"/>
      <c r="BH318" s="740"/>
      <c r="BI318" s="741"/>
      <c r="BJ318" s="700" t="s">
        <v>159</v>
      </c>
      <c r="BK318" s="701"/>
      <c r="BL318" s="701"/>
      <c r="BM318" s="702"/>
      <c r="BN318" s="703" t="s">
        <v>159</v>
      </c>
      <c r="BO318" s="704"/>
      <c r="BP318" s="704"/>
      <c r="BQ318" s="704"/>
      <c r="BR318" s="704"/>
      <c r="BS318" s="704"/>
      <c r="BT318" s="704"/>
      <c r="BU318" s="704"/>
      <c r="BV318" s="705"/>
    </row>
    <row r="319" spans="1:74" ht="45" customHeight="1" x14ac:dyDescent="0.25">
      <c r="A319" s="10">
        <f t="shared" si="4"/>
        <v>305</v>
      </c>
      <c r="B319" s="711" t="s">
        <v>159</v>
      </c>
      <c r="C319" s="711"/>
      <c r="D319" s="712" t="s">
        <v>212</v>
      </c>
      <c r="E319" s="712"/>
      <c r="F319" s="664" t="s">
        <v>162</v>
      </c>
      <c r="G319" s="665"/>
      <c r="H319" s="755" t="s">
        <v>162</v>
      </c>
      <c r="I319" s="667"/>
      <c r="J319" s="706"/>
      <c r="K319" s="707"/>
      <c r="L319" s="706"/>
      <c r="M319" s="707"/>
      <c r="N319" s="194"/>
      <c r="O319" s="216"/>
      <c r="P319" s="717"/>
      <c r="Q319" s="718"/>
      <c r="R319" s="672"/>
      <c r="S319" s="673"/>
      <c r="T319" s="674"/>
      <c r="U319" s="675"/>
      <c r="V319" s="676"/>
      <c r="W319" s="677"/>
      <c r="X319" s="725" t="s">
        <v>159</v>
      </c>
      <c r="Y319" s="725"/>
      <c r="Z319" s="725"/>
      <c r="AA319" s="725"/>
      <c r="AB319" s="726" t="s">
        <v>159</v>
      </c>
      <c r="AC319" s="726"/>
      <c r="AD319" s="726"/>
      <c r="AE319" s="726"/>
      <c r="AF319" s="680"/>
      <c r="AG319" s="681"/>
      <c r="AH319" s="680"/>
      <c r="AI319" s="681"/>
      <c r="AJ319" s="686"/>
      <c r="AK319" s="687"/>
      <c r="AL319" s="664" t="s">
        <v>162</v>
      </c>
      <c r="AM319" s="665"/>
      <c r="AN319" s="713" t="s">
        <v>162</v>
      </c>
      <c r="AO319" s="714"/>
      <c r="AP319" s="686"/>
      <c r="AQ319" s="687"/>
      <c r="AR319" s="688"/>
      <c r="AS319" s="689"/>
      <c r="AT319" s="690"/>
      <c r="AU319" s="691"/>
      <c r="AV319" s="713" t="s">
        <v>162</v>
      </c>
      <c r="AW319" s="714"/>
      <c r="AX319" s="692"/>
      <c r="AY319" s="693"/>
      <c r="AZ319" s="694"/>
      <c r="BA319" s="682"/>
      <c r="BB319" s="683"/>
      <c r="BC319" s="219"/>
      <c r="BD319" s="737" t="s">
        <v>162</v>
      </c>
      <c r="BE319" s="738"/>
      <c r="BF319" s="708"/>
      <c r="BG319" s="709"/>
      <c r="BH319" s="709"/>
      <c r="BI319" s="710"/>
      <c r="BJ319" s="742" t="s">
        <v>159</v>
      </c>
      <c r="BK319" s="743"/>
      <c r="BL319" s="743"/>
      <c r="BM319" s="744"/>
      <c r="BN319" s="703" t="s">
        <v>159</v>
      </c>
      <c r="BO319" s="704"/>
      <c r="BP319" s="704"/>
      <c r="BQ319" s="704"/>
      <c r="BR319" s="704"/>
      <c r="BS319" s="704"/>
      <c r="BT319" s="704"/>
      <c r="BU319" s="704"/>
      <c r="BV319" s="705"/>
    </row>
    <row r="320" spans="1:74" ht="45" customHeight="1" x14ac:dyDescent="0.25">
      <c r="A320" s="10">
        <f t="shared" si="4"/>
        <v>306</v>
      </c>
      <c r="B320" s="662" t="s">
        <v>159</v>
      </c>
      <c r="C320" s="662"/>
      <c r="D320" s="663" t="s">
        <v>212</v>
      </c>
      <c r="E320" s="663"/>
      <c r="F320" s="664" t="s">
        <v>162</v>
      </c>
      <c r="G320" s="665"/>
      <c r="H320" s="754" t="s">
        <v>162</v>
      </c>
      <c r="I320" s="714"/>
      <c r="J320" s="715"/>
      <c r="K320" s="716"/>
      <c r="L320" s="715"/>
      <c r="M320" s="716"/>
      <c r="N320" s="215"/>
      <c r="O320" s="196"/>
      <c r="P320" s="670"/>
      <c r="Q320" s="671"/>
      <c r="R320" s="719"/>
      <c r="S320" s="720"/>
      <c r="T320" s="721"/>
      <c r="U320" s="722"/>
      <c r="V320" s="723"/>
      <c r="W320" s="724"/>
      <c r="X320" s="678" t="s">
        <v>159</v>
      </c>
      <c r="Y320" s="678"/>
      <c r="Z320" s="678"/>
      <c r="AA320" s="678"/>
      <c r="AB320" s="679" t="s">
        <v>159</v>
      </c>
      <c r="AC320" s="679"/>
      <c r="AD320" s="679"/>
      <c r="AE320" s="679"/>
      <c r="AF320" s="727"/>
      <c r="AG320" s="728"/>
      <c r="AH320" s="727"/>
      <c r="AI320" s="728"/>
      <c r="AJ320" s="682"/>
      <c r="AK320" s="683"/>
      <c r="AL320" s="684" t="s">
        <v>162</v>
      </c>
      <c r="AM320" s="685"/>
      <c r="AN320" s="666" t="s">
        <v>162</v>
      </c>
      <c r="AO320" s="667"/>
      <c r="AP320" s="729"/>
      <c r="AQ320" s="730"/>
      <c r="AR320" s="731"/>
      <c r="AS320" s="732"/>
      <c r="AT320" s="690"/>
      <c r="AU320" s="691"/>
      <c r="AV320" s="666" t="s">
        <v>162</v>
      </c>
      <c r="AW320" s="667"/>
      <c r="AX320" s="692"/>
      <c r="AY320" s="693"/>
      <c r="AZ320" s="694"/>
      <c r="BA320" s="735"/>
      <c r="BB320" s="736"/>
      <c r="BC320" s="14"/>
      <c r="BD320" s="695" t="s">
        <v>162</v>
      </c>
      <c r="BE320" s="696"/>
      <c r="BF320" s="739"/>
      <c r="BG320" s="740"/>
      <c r="BH320" s="740"/>
      <c r="BI320" s="741"/>
      <c r="BJ320" s="700" t="s">
        <v>159</v>
      </c>
      <c r="BK320" s="701"/>
      <c r="BL320" s="701"/>
      <c r="BM320" s="702"/>
      <c r="BN320" s="703" t="s">
        <v>159</v>
      </c>
      <c r="BO320" s="704"/>
      <c r="BP320" s="704"/>
      <c r="BQ320" s="704"/>
      <c r="BR320" s="704"/>
      <c r="BS320" s="704"/>
      <c r="BT320" s="704"/>
      <c r="BU320" s="704"/>
      <c r="BV320" s="705"/>
    </row>
    <row r="321" spans="1:74" ht="45" customHeight="1" x14ac:dyDescent="0.25">
      <c r="A321" s="10">
        <f t="shared" si="4"/>
        <v>307</v>
      </c>
      <c r="B321" s="711" t="s">
        <v>159</v>
      </c>
      <c r="C321" s="711"/>
      <c r="D321" s="712" t="s">
        <v>212</v>
      </c>
      <c r="E321" s="712"/>
      <c r="F321" s="664" t="s">
        <v>162</v>
      </c>
      <c r="G321" s="665"/>
      <c r="H321" s="755" t="s">
        <v>162</v>
      </c>
      <c r="I321" s="667"/>
      <c r="J321" s="706"/>
      <c r="K321" s="707"/>
      <c r="L321" s="706"/>
      <c r="M321" s="707"/>
      <c r="N321" s="194"/>
      <c r="O321" s="216"/>
      <c r="P321" s="717"/>
      <c r="Q321" s="718"/>
      <c r="R321" s="672"/>
      <c r="S321" s="673"/>
      <c r="T321" s="674"/>
      <c r="U321" s="675"/>
      <c r="V321" s="676"/>
      <c r="W321" s="677"/>
      <c r="X321" s="725" t="s">
        <v>159</v>
      </c>
      <c r="Y321" s="725"/>
      <c r="Z321" s="725"/>
      <c r="AA321" s="725"/>
      <c r="AB321" s="726" t="s">
        <v>159</v>
      </c>
      <c r="AC321" s="726"/>
      <c r="AD321" s="726"/>
      <c r="AE321" s="726"/>
      <c r="AF321" s="680"/>
      <c r="AG321" s="681"/>
      <c r="AH321" s="680"/>
      <c r="AI321" s="681"/>
      <c r="AJ321" s="686"/>
      <c r="AK321" s="687"/>
      <c r="AL321" s="664" t="s">
        <v>162</v>
      </c>
      <c r="AM321" s="665"/>
      <c r="AN321" s="713" t="s">
        <v>162</v>
      </c>
      <c r="AO321" s="714"/>
      <c r="AP321" s="686"/>
      <c r="AQ321" s="687"/>
      <c r="AR321" s="688"/>
      <c r="AS321" s="689"/>
      <c r="AT321" s="690"/>
      <c r="AU321" s="691"/>
      <c r="AV321" s="713" t="s">
        <v>162</v>
      </c>
      <c r="AW321" s="714"/>
      <c r="AX321" s="692"/>
      <c r="AY321" s="693"/>
      <c r="AZ321" s="694"/>
      <c r="BA321" s="682"/>
      <c r="BB321" s="683"/>
      <c r="BC321" s="219"/>
      <c r="BD321" s="737" t="s">
        <v>162</v>
      </c>
      <c r="BE321" s="738"/>
      <c r="BF321" s="697"/>
      <c r="BG321" s="698"/>
      <c r="BH321" s="698"/>
      <c r="BI321" s="699"/>
      <c r="BJ321" s="742" t="s">
        <v>159</v>
      </c>
      <c r="BK321" s="743"/>
      <c r="BL321" s="743"/>
      <c r="BM321" s="744"/>
      <c r="BN321" s="703" t="s">
        <v>159</v>
      </c>
      <c r="BO321" s="704"/>
      <c r="BP321" s="704"/>
      <c r="BQ321" s="704"/>
      <c r="BR321" s="704"/>
      <c r="BS321" s="704"/>
      <c r="BT321" s="704"/>
      <c r="BU321" s="704"/>
      <c r="BV321" s="705"/>
    </row>
    <row r="322" spans="1:74" ht="45" customHeight="1" x14ac:dyDescent="0.25">
      <c r="A322" s="10">
        <f t="shared" si="4"/>
        <v>308</v>
      </c>
      <c r="B322" s="662" t="s">
        <v>159</v>
      </c>
      <c r="C322" s="662"/>
      <c r="D322" s="663" t="s">
        <v>212</v>
      </c>
      <c r="E322" s="663"/>
      <c r="F322" s="664" t="s">
        <v>162</v>
      </c>
      <c r="G322" s="665"/>
      <c r="H322" s="754" t="s">
        <v>162</v>
      </c>
      <c r="I322" s="714"/>
      <c r="J322" s="715"/>
      <c r="K322" s="716"/>
      <c r="L322" s="715"/>
      <c r="M322" s="716"/>
      <c r="N322" s="215"/>
      <c r="O322" s="196"/>
      <c r="P322" s="670"/>
      <c r="Q322" s="671"/>
      <c r="R322" s="719"/>
      <c r="S322" s="720"/>
      <c r="T322" s="721"/>
      <c r="U322" s="722"/>
      <c r="V322" s="723"/>
      <c r="W322" s="724"/>
      <c r="X322" s="678" t="s">
        <v>159</v>
      </c>
      <c r="Y322" s="678"/>
      <c r="Z322" s="678"/>
      <c r="AA322" s="678"/>
      <c r="AB322" s="679" t="s">
        <v>159</v>
      </c>
      <c r="AC322" s="679"/>
      <c r="AD322" s="679"/>
      <c r="AE322" s="679"/>
      <c r="AF322" s="727"/>
      <c r="AG322" s="728"/>
      <c r="AH322" s="727"/>
      <c r="AI322" s="728"/>
      <c r="AJ322" s="682"/>
      <c r="AK322" s="683"/>
      <c r="AL322" s="684" t="s">
        <v>162</v>
      </c>
      <c r="AM322" s="685"/>
      <c r="AN322" s="666" t="s">
        <v>162</v>
      </c>
      <c r="AO322" s="667"/>
      <c r="AP322" s="729"/>
      <c r="AQ322" s="730"/>
      <c r="AR322" s="731"/>
      <c r="AS322" s="732"/>
      <c r="AT322" s="690"/>
      <c r="AU322" s="691"/>
      <c r="AV322" s="666" t="s">
        <v>162</v>
      </c>
      <c r="AW322" s="667"/>
      <c r="AX322" s="692"/>
      <c r="AY322" s="693"/>
      <c r="AZ322" s="694"/>
      <c r="BA322" s="735"/>
      <c r="BB322" s="736"/>
      <c r="BC322" s="14"/>
      <c r="BD322" s="695" t="s">
        <v>162</v>
      </c>
      <c r="BE322" s="696"/>
      <c r="BF322" s="739"/>
      <c r="BG322" s="740"/>
      <c r="BH322" s="740"/>
      <c r="BI322" s="741"/>
      <c r="BJ322" s="700" t="s">
        <v>159</v>
      </c>
      <c r="BK322" s="701"/>
      <c r="BL322" s="701"/>
      <c r="BM322" s="702"/>
      <c r="BN322" s="703" t="s">
        <v>159</v>
      </c>
      <c r="BO322" s="704"/>
      <c r="BP322" s="704"/>
      <c r="BQ322" s="704"/>
      <c r="BR322" s="704"/>
      <c r="BS322" s="704"/>
      <c r="BT322" s="704"/>
      <c r="BU322" s="704"/>
      <c r="BV322" s="705"/>
    </row>
    <row r="323" spans="1:74" ht="45" customHeight="1" x14ac:dyDescent="0.25">
      <c r="A323" s="10">
        <f t="shared" si="4"/>
        <v>309</v>
      </c>
      <c r="B323" s="711" t="s">
        <v>159</v>
      </c>
      <c r="C323" s="711"/>
      <c r="D323" s="712" t="s">
        <v>212</v>
      </c>
      <c r="E323" s="712"/>
      <c r="F323" s="664" t="s">
        <v>162</v>
      </c>
      <c r="G323" s="665"/>
      <c r="H323" s="755" t="s">
        <v>162</v>
      </c>
      <c r="I323" s="667"/>
      <c r="J323" s="706"/>
      <c r="K323" s="707"/>
      <c r="L323" s="706"/>
      <c r="M323" s="707"/>
      <c r="N323" s="194"/>
      <c r="O323" s="216"/>
      <c r="P323" s="717"/>
      <c r="Q323" s="718"/>
      <c r="R323" s="672"/>
      <c r="S323" s="673"/>
      <c r="T323" s="674"/>
      <c r="U323" s="675"/>
      <c r="V323" s="676"/>
      <c r="W323" s="677"/>
      <c r="X323" s="725" t="s">
        <v>159</v>
      </c>
      <c r="Y323" s="725"/>
      <c r="Z323" s="725"/>
      <c r="AA323" s="725"/>
      <c r="AB323" s="726" t="s">
        <v>159</v>
      </c>
      <c r="AC323" s="726"/>
      <c r="AD323" s="726"/>
      <c r="AE323" s="726"/>
      <c r="AF323" s="680"/>
      <c r="AG323" s="681"/>
      <c r="AH323" s="680"/>
      <c r="AI323" s="681"/>
      <c r="AJ323" s="686"/>
      <c r="AK323" s="687"/>
      <c r="AL323" s="664" t="s">
        <v>162</v>
      </c>
      <c r="AM323" s="665"/>
      <c r="AN323" s="713" t="s">
        <v>162</v>
      </c>
      <c r="AO323" s="714"/>
      <c r="AP323" s="686"/>
      <c r="AQ323" s="687"/>
      <c r="AR323" s="688"/>
      <c r="AS323" s="689"/>
      <c r="AT323" s="690"/>
      <c r="AU323" s="691"/>
      <c r="AV323" s="713" t="s">
        <v>162</v>
      </c>
      <c r="AW323" s="714"/>
      <c r="AX323" s="692"/>
      <c r="AY323" s="693"/>
      <c r="AZ323" s="694"/>
      <c r="BA323" s="682"/>
      <c r="BB323" s="683"/>
      <c r="BC323" s="219"/>
      <c r="BD323" s="737" t="s">
        <v>162</v>
      </c>
      <c r="BE323" s="738"/>
      <c r="BF323" s="708"/>
      <c r="BG323" s="709"/>
      <c r="BH323" s="709"/>
      <c r="BI323" s="710"/>
      <c r="BJ323" s="742" t="s">
        <v>159</v>
      </c>
      <c r="BK323" s="743"/>
      <c r="BL323" s="743"/>
      <c r="BM323" s="744"/>
      <c r="BN323" s="703" t="s">
        <v>159</v>
      </c>
      <c r="BO323" s="704"/>
      <c r="BP323" s="704"/>
      <c r="BQ323" s="704"/>
      <c r="BR323" s="704"/>
      <c r="BS323" s="704"/>
      <c r="BT323" s="704"/>
      <c r="BU323" s="704"/>
      <c r="BV323" s="705"/>
    </row>
    <row r="324" spans="1:74" ht="45" customHeight="1" x14ac:dyDescent="0.25">
      <c r="A324" s="10">
        <f t="shared" si="4"/>
        <v>310</v>
      </c>
      <c r="B324" s="662" t="s">
        <v>159</v>
      </c>
      <c r="C324" s="662"/>
      <c r="D324" s="663" t="s">
        <v>212</v>
      </c>
      <c r="E324" s="663"/>
      <c r="F324" s="664" t="s">
        <v>162</v>
      </c>
      <c r="G324" s="665"/>
      <c r="H324" s="754" t="s">
        <v>162</v>
      </c>
      <c r="I324" s="714"/>
      <c r="J324" s="715"/>
      <c r="K324" s="716"/>
      <c r="L324" s="715"/>
      <c r="M324" s="716"/>
      <c r="N324" s="215"/>
      <c r="O324" s="196"/>
      <c r="P324" s="670"/>
      <c r="Q324" s="671"/>
      <c r="R324" s="719"/>
      <c r="S324" s="720"/>
      <c r="T324" s="721"/>
      <c r="U324" s="722"/>
      <c r="V324" s="723"/>
      <c r="W324" s="724"/>
      <c r="X324" s="678" t="s">
        <v>159</v>
      </c>
      <c r="Y324" s="678"/>
      <c r="Z324" s="678"/>
      <c r="AA324" s="678"/>
      <c r="AB324" s="679" t="s">
        <v>159</v>
      </c>
      <c r="AC324" s="679"/>
      <c r="AD324" s="679"/>
      <c r="AE324" s="679"/>
      <c r="AF324" s="727"/>
      <c r="AG324" s="728"/>
      <c r="AH324" s="727"/>
      <c r="AI324" s="728"/>
      <c r="AJ324" s="682"/>
      <c r="AK324" s="683"/>
      <c r="AL324" s="684" t="s">
        <v>162</v>
      </c>
      <c r="AM324" s="685"/>
      <c r="AN324" s="666" t="s">
        <v>162</v>
      </c>
      <c r="AO324" s="667"/>
      <c r="AP324" s="729"/>
      <c r="AQ324" s="730"/>
      <c r="AR324" s="731"/>
      <c r="AS324" s="732"/>
      <c r="AT324" s="690"/>
      <c r="AU324" s="691"/>
      <c r="AV324" s="666" t="s">
        <v>162</v>
      </c>
      <c r="AW324" s="667"/>
      <c r="AX324" s="692"/>
      <c r="AY324" s="693"/>
      <c r="AZ324" s="694"/>
      <c r="BA324" s="735"/>
      <c r="BB324" s="736"/>
      <c r="BC324" s="14"/>
      <c r="BD324" s="695" t="s">
        <v>162</v>
      </c>
      <c r="BE324" s="696"/>
      <c r="BF324" s="739"/>
      <c r="BG324" s="740"/>
      <c r="BH324" s="740"/>
      <c r="BI324" s="741"/>
      <c r="BJ324" s="700" t="s">
        <v>159</v>
      </c>
      <c r="BK324" s="701"/>
      <c r="BL324" s="701"/>
      <c r="BM324" s="702"/>
      <c r="BN324" s="703" t="s">
        <v>159</v>
      </c>
      <c r="BO324" s="704"/>
      <c r="BP324" s="704"/>
      <c r="BQ324" s="704"/>
      <c r="BR324" s="704"/>
      <c r="BS324" s="704"/>
      <c r="BT324" s="704"/>
      <c r="BU324" s="704"/>
      <c r="BV324" s="705"/>
    </row>
    <row r="325" spans="1:74" ht="45" customHeight="1" x14ac:dyDescent="0.25">
      <c r="A325" s="10">
        <f t="shared" si="4"/>
        <v>311</v>
      </c>
      <c r="B325" s="711" t="s">
        <v>159</v>
      </c>
      <c r="C325" s="711"/>
      <c r="D325" s="712" t="s">
        <v>212</v>
      </c>
      <c r="E325" s="712"/>
      <c r="F325" s="664" t="s">
        <v>162</v>
      </c>
      <c r="G325" s="665"/>
      <c r="H325" s="755" t="s">
        <v>162</v>
      </c>
      <c r="I325" s="667"/>
      <c r="J325" s="706"/>
      <c r="K325" s="707"/>
      <c r="L325" s="706"/>
      <c r="M325" s="707"/>
      <c r="N325" s="194"/>
      <c r="O325" s="216"/>
      <c r="P325" s="717"/>
      <c r="Q325" s="718"/>
      <c r="R325" s="672"/>
      <c r="S325" s="673"/>
      <c r="T325" s="674"/>
      <c r="U325" s="675"/>
      <c r="V325" s="676"/>
      <c r="W325" s="677"/>
      <c r="X325" s="725" t="s">
        <v>159</v>
      </c>
      <c r="Y325" s="725"/>
      <c r="Z325" s="725"/>
      <c r="AA325" s="725"/>
      <c r="AB325" s="726" t="s">
        <v>159</v>
      </c>
      <c r="AC325" s="726"/>
      <c r="AD325" s="726"/>
      <c r="AE325" s="726"/>
      <c r="AF325" s="680"/>
      <c r="AG325" s="681"/>
      <c r="AH325" s="680"/>
      <c r="AI325" s="681"/>
      <c r="AJ325" s="686"/>
      <c r="AK325" s="687"/>
      <c r="AL325" s="664" t="s">
        <v>162</v>
      </c>
      <c r="AM325" s="665"/>
      <c r="AN325" s="713" t="s">
        <v>162</v>
      </c>
      <c r="AO325" s="714"/>
      <c r="AP325" s="686"/>
      <c r="AQ325" s="687"/>
      <c r="AR325" s="688"/>
      <c r="AS325" s="689"/>
      <c r="AT325" s="690"/>
      <c r="AU325" s="691"/>
      <c r="AV325" s="713" t="s">
        <v>162</v>
      </c>
      <c r="AW325" s="714"/>
      <c r="AX325" s="692"/>
      <c r="AY325" s="693"/>
      <c r="AZ325" s="694"/>
      <c r="BA325" s="682"/>
      <c r="BB325" s="683"/>
      <c r="BC325" s="219"/>
      <c r="BD325" s="737" t="s">
        <v>162</v>
      </c>
      <c r="BE325" s="738"/>
      <c r="BF325" s="708"/>
      <c r="BG325" s="709"/>
      <c r="BH325" s="709"/>
      <c r="BI325" s="710"/>
      <c r="BJ325" s="742" t="s">
        <v>159</v>
      </c>
      <c r="BK325" s="743"/>
      <c r="BL325" s="743"/>
      <c r="BM325" s="744"/>
      <c r="BN325" s="703" t="s">
        <v>159</v>
      </c>
      <c r="BO325" s="704"/>
      <c r="BP325" s="704"/>
      <c r="BQ325" s="704"/>
      <c r="BR325" s="704"/>
      <c r="BS325" s="704"/>
      <c r="BT325" s="704"/>
      <c r="BU325" s="704"/>
      <c r="BV325" s="705"/>
    </row>
    <row r="326" spans="1:74" ht="45" customHeight="1" x14ac:dyDescent="0.25">
      <c r="A326" s="10">
        <f t="shared" si="4"/>
        <v>312</v>
      </c>
      <c r="B326" s="662" t="s">
        <v>159</v>
      </c>
      <c r="C326" s="662"/>
      <c r="D326" s="663" t="s">
        <v>212</v>
      </c>
      <c r="E326" s="663"/>
      <c r="F326" s="664" t="s">
        <v>162</v>
      </c>
      <c r="G326" s="665"/>
      <c r="H326" s="754" t="s">
        <v>162</v>
      </c>
      <c r="I326" s="714"/>
      <c r="J326" s="715"/>
      <c r="K326" s="716"/>
      <c r="L326" s="715"/>
      <c r="M326" s="716"/>
      <c r="N326" s="215"/>
      <c r="O326" s="196"/>
      <c r="P326" s="670"/>
      <c r="Q326" s="671"/>
      <c r="R326" s="719"/>
      <c r="S326" s="720"/>
      <c r="T326" s="721"/>
      <c r="U326" s="722"/>
      <c r="V326" s="723"/>
      <c r="W326" s="724"/>
      <c r="X326" s="678" t="s">
        <v>159</v>
      </c>
      <c r="Y326" s="678"/>
      <c r="Z326" s="678"/>
      <c r="AA326" s="678"/>
      <c r="AB326" s="679" t="s">
        <v>159</v>
      </c>
      <c r="AC326" s="679"/>
      <c r="AD326" s="679"/>
      <c r="AE326" s="679"/>
      <c r="AF326" s="727"/>
      <c r="AG326" s="728"/>
      <c r="AH326" s="727"/>
      <c r="AI326" s="728"/>
      <c r="AJ326" s="682"/>
      <c r="AK326" s="683"/>
      <c r="AL326" s="684" t="s">
        <v>162</v>
      </c>
      <c r="AM326" s="685"/>
      <c r="AN326" s="666" t="s">
        <v>162</v>
      </c>
      <c r="AO326" s="667"/>
      <c r="AP326" s="729"/>
      <c r="AQ326" s="730"/>
      <c r="AR326" s="731"/>
      <c r="AS326" s="732"/>
      <c r="AT326" s="690"/>
      <c r="AU326" s="691"/>
      <c r="AV326" s="666" t="s">
        <v>162</v>
      </c>
      <c r="AW326" s="667"/>
      <c r="AX326" s="692"/>
      <c r="AY326" s="693"/>
      <c r="AZ326" s="694"/>
      <c r="BA326" s="735"/>
      <c r="BB326" s="736"/>
      <c r="BC326" s="14"/>
      <c r="BD326" s="695" t="s">
        <v>162</v>
      </c>
      <c r="BE326" s="696"/>
      <c r="BF326" s="739"/>
      <c r="BG326" s="740"/>
      <c r="BH326" s="740"/>
      <c r="BI326" s="741"/>
      <c r="BJ326" s="700" t="s">
        <v>159</v>
      </c>
      <c r="BK326" s="701"/>
      <c r="BL326" s="701"/>
      <c r="BM326" s="702"/>
      <c r="BN326" s="703" t="s">
        <v>159</v>
      </c>
      <c r="BO326" s="704"/>
      <c r="BP326" s="704"/>
      <c r="BQ326" s="704"/>
      <c r="BR326" s="704"/>
      <c r="BS326" s="704"/>
      <c r="BT326" s="704"/>
      <c r="BU326" s="704"/>
      <c r="BV326" s="705"/>
    </row>
    <row r="327" spans="1:74" ht="45" customHeight="1" x14ac:dyDescent="0.25">
      <c r="A327" s="10">
        <f t="shared" si="4"/>
        <v>313</v>
      </c>
      <c r="B327" s="711" t="s">
        <v>159</v>
      </c>
      <c r="C327" s="711"/>
      <c r="D327" s="712" t="s">
        <v>212</v>
      </c>
      <c r="E327" s="712"/>
      <c r="F327" s="664" t="s">
        <v>162</v>
      </c>
      <c r="G327" s="665"/>
      <c r="H327" s="755" t="s">
        <v>162</v>
      </c>
      <c r="I327" s="667"/>
      <c r="J327" s="706"/>
      <c r="K327" s="707"/>
      <c r="L327" s="706"/>
      <c r="M327" s="707"/>
      <c r="N327" s="194"/>
      <c r="O327" s="216"/>
      <c r="P327" s="717"/>
      <c r="Q327" s="718"/>
      <c r="R327" s="672"/>
      <c r="S327" s="673"/>
      <c r="T327" s="674"/>
      <c r="U327" s="675"/>
      <c r="V327" s="676"/>
      <c r="W327" s="677"/>
      <c r="X327" s="725" t="s">
        <v>159</v>
      </c>
      <c r="Y327" s="725"/>
      <c r="Z327" s="725"/>
      <c r="AA327" s="725"/>
      <c r="AB327" s="726" t="s">
        <v>159</v>
      </c>
      <c r="AC327" s="726"/>
      <c r="AD327" s="726"/>
      <c r="AE327" s="726"/>
      <c r="AF327" s="680"/>
      <c r="AG327" s="681"/>
      <c r="AH327" s="680"/>
      <c r="AI327" s="681"/>
      <c r="AJ327" s="686"/>
      <c r="AK327" s="687"/>
      <c r="AL327" s="664" t="s">
        <v>162</v>
      </c>
      <c r="AM327" s="665"/>
      <c r="AN327" s="713" t="s">
        <v>162</v>
      </c>
      <c r="AO327" s="714"/>
      <c r="AP327" s="686"/>
      <c r="AQ327" s="687"/>
      <c r="AR327" s="688"/>
      <c r="AS327" s="689"/>
      <c r="AT327" s="690"/>
      <c r="AU327" s="691"/>
      <c r="AV327" s="713" t="s">
        <v>162</v>
      </c>
      <c r="AW327" s="714"/>
      <c r="AX327" s="692"/>
      <c r="AY327" s="693"/>
      <c r="AZ327" s="694"/>
      <c r="BA327" s="682"/>
      <c r="BB327" s="683"/>
      <c r="BC327" s="219"/>
      <c r="BD327" s="737" t="s">
        <v>162</v>
      </c>
      <c r="BE327" s="738"/>
      <c r="BF327" s="697"/>
      <c r="BG327" s="698"/>
      <c r="BH327" s="698"/>
      <c r="BI327" s="699"/>
      <c r="BJ327" s="742" t="s">
        <v>159</v>
      </c>
      <c r="BK327" s="743"/>
      <c r="BL327" s="743"/>
      <c r="BM327" s="744"/>
      <c r="BN327" s="703" t="s">
        <v>159</v>
      </c>
      <c r="BO327" s="704"/>
      <c r="BP327" s="704"/>
      <c r="BQ327" s="704"/>
      <c r="BR327" s="704"/>
      <c r="BS327" s="704"/>
      <c r="BT327" s="704"/>
      <c r="BU327" s="704"/>
      <c r="BV327" s="705"/>
    </row>
    <row r="328" spans="1:74" ht="45" customHeight="1" x14ac:dyDescent="0.25">
      <c r="A328" s="10">
        <f t="shared" si="4"/>
        <v>314</v>
      </c>
      <c r="B328" s="662" t="s">
        <v>159</v>
      </c>
      <c r="C328" s="662"/>
      <c r="D328" s="663" t="s">
        <v>212</v>
      </c>
      <c r="E328" s="663"/>
      <c r="F328" s="664" t="s">
        <v>162</v>
      </c>
      <c r="G328" s="665"/>
      <c r="H328" s="754" t="s">
        <v>162</v>
      </c>
      <c r="I328" s="714"/>
      <c r="J328" s="715"/>
      <c r="K328" s="716"/>
      <c r="L328" s="715"/>
      <c r="M328" s="716"/>
      <c r="N328" s="215"/>
      <c r="O328" s="196"/>
      <c r="P328" s="670"/>
      <c r="Q328" s="671"/>
      <c r="R328" s="719"/>
      <c r="S328" s="720"/>
      <c r="T328" s="721"/>
      <c r="U328" s="722"/>
      <c r="V328" s="723"/>
      <c r="W328" s="724"/>
      <c r="X328" s="678" t="s">
        <v>159</v>
      </c>
      <c r="Y328" s="678"/>
      <c r="Z328" s="678"/>
      <c r="AA328" s="678"/>
      <c r="AB328" s="679" t="s">
        <v>159</v>
      </c>
      <c r="AC328" s="679"/>
      <c r="AD328" s="679"/>
      <c r="AE328" s="679"/>
      <c r="AF328" s="727"/>
      <c r="AG328" s="728"/>
      <c r="AH328" s="727"/>
      <c r="AI328" s="728"/>
      <c r="AJ328" s="682"/>
      <c r="AK328" s="683"/>
      <c r="AL328" s="684" t="s">
        <v>162</v>
      </c>
      <c r="AM328" s="685"/>
      <c r="AN328" s="666" t="s">
        <v>162</v>
      </c>
      <c r="AO328" s="667"/>
      <c r="AP328" s="729"/>
      <c r="AQ328" s="730"/>
      <c r="AR328" s="731"/>
      <c r="AS328" s="732"/>
      <c r="AT328" s="690"/>
      <c r="AU328" s="691"/>
      <c r="AV328" s="666" t="s">
        <v>162</v>
      </c>
      <c r="AW328" s="667"/>
      <c r="AX328" s="692"/>
      <c r="AY328" s="693"/>
      <c r="AZ328" s="694"/>
      <c r="BA328" s="735"/>
      <c r="BB328" s="736"/>
      <c r="BC328" s="14"/>
      <c r="BD328" s="695" t="s">
        <v>162</v>
      </c>
      <c r="BE328" s="696"/>
      <c r="BF328" s="739"/>
      <c r="BG328" s="740"/>
      <c r="BH328" s="740"/>
      <c r="BI328" s="741"/>
      <c r="BJ328" s="700" t="s">
        <v>159</v>
      </c>
      <c r="BK328" s="701"/>
      <c r="BL328" s="701"/>
      <c r="BM328" s="702"/>
      <c r="BN328" s="703" t="s">
        <v>159</v>
      </c>
      <c r="BO328" s="704"/>
      <c r="BP328" s="704"/>
      <c r="BQ328" s="704"/>
      <c r="BR328" s="704"/>
      <c r="BS328" s="704"/>
      <c r="BT328" s="704"/>
      <c r="BU328" s="704"/>
      <c r="BV328" s="705"/>
    </row>
    <row r="329" spans="1:74" ht="45" customHeight="1" x14ac:dyDescent="0.25">
      <c r="A329" s="10">
        <f t="shared" si="4"/>
        <v>315</v>
      </c>
      <c r="B329" s="711" t="s">
        <v>159</v>
      </c>
      <c r="C329" s="711"/>
      <c r="D329" s="712" t="s">
        <v>212</v>
      </c>
      <c r="E329" s="712"/>
      <c r="F329" s="664" t="s">
        <v>162</v>
      </c>
      <c r="G329" s="665"/>
      <c r="H329" s="755" t="s">
        <v>162</v>
      </c>
      <c r="I329" s="667"/>
      <c r="J329" s="706"/>
      <c r="K329" s="707"/>
      <c r="L329" s="706"/>
      <c r="M329" s="707"/>
      <c r="N329" s="194"/>
      <c r="O329" s="216"/>
      <c r="P329" s="717"/>
      <c r="Q329" s="718"/>
      <c r="R329" s="672"/>
      <c r="S329" s="673"/>
      <c r="T329" s="674"/>
      <c r="U329" s="675"/>
      <c r="V329" s="676"/>
      <c r="W329" s="677"/>
      <c r="X329" s="725" t="s">
        <v>159</v>
      </c>
      <c r="Y329" s="725"/>
      <c r="Z329" s="725"/>
      <c r="AA329" s="725"/>
      <c r="AB329" s="726" t="s">
        <v>159</v>
      </c>
      <c r="AC329" s="726"/>
      <c r="AD329" s="726"/>
      <c r="AE329" s="726"/>
      <c r="AF329" s="680"/>
      <c r="AG329" s="681"/>
      <c r="AH329" s="680"/>
      <c r="AI329" s="681"/>
      <c r="AJ329" s="686"/>
      <c r="AK329" s="687"/>
      <c r="AL329" s="664" t="s">
        <v>162</v>
      </c>
      <c r="AM329" s="665"/>
      <c r="AN329" s="713" t="s">
        <v>162</v>
      </c>
      <c r="AO329" s="714"/>
      <c r="AP329" s="686"/>
      <c r="AQ329" s="687"/>
      <c r="AR329" s="688"/>
      <c r="AS329" s="689"/>
      <c r="AT329" s="690"/>
      <c r="AU329" s="691"/>
      <c r="AV329" s="713" t="s">
        <v>162</v>
      </c>
      <c r="AW329" s="714"/>
      <c r="AX329" s="692"/>
      <c r="AY329" s="693"/>
      <c r="AZ329" s="694"/>
      <c r="BA329" s="682"/>
      <c r="BB329" s="683"/>
      <c r="BC329" s="219"/>
      <c r="BD329" s="737" t="s">
        <v>162</v>
      </c>
      <c r="BE329" s="738"/>
      <c r="BF329" s="708"/>
      <c r="BG329" s="709"/>
      <c r="BH329" s="709"/>
      <c r="BI329" s="710"/>
      <c r="BJ329" s="742" t="s">
        <v>159</v>
      </c>
      <c r="BK329" s="743"/>
      <c r="BL329" s="743"/>
      <c r="BM329" s="744"/>
      <c r="BN329" s="703" t="s">
        <v>159</v>
      </c>
      <c r="BO329" s="704"/>
      <c r="BP329" s="704"/>
      <c r="BQ329" s="704"/>
      <c r="BR329" s="704"/>
      <c r="BS329" s="704"/>
      <c r="BT329" s="704"/>
      <c r="BU329" s="704"/>
      <c r="BV329" s="705"/>
    </row>
    <row r="330" spans="1:74" ht="45" customHeight="1" x14ac:dyDescent="0.25">
      <c r="A330" s="10">
        <f t="shared" si="4"/>
        <v>316</v>
      </c>
      <c r="B330" s="662" t="s">
        <v>159</v>
      </c>
      <c r="C330" s="662"/>
      <c r="D330" s="663" t="s">
        <v>212</v>
      </c>
      <c r="E330" s="663"/>
      <c r="F330" s="664" t="s">
        <v>162</v>
      </c>
      <c r="G330" s="665"/>
      <c r="H330" s="754" t="s">
        <v>162</v>
      </c>
      <c r="I330" s="714"/>
      <c r="J330" s="715"/>
      <c r="K330" s="716"/>
      <c r="L330" s="715"/>
      <c r="M330" s="716"/>
      <c r="N330" s="215"/>
      <c r="O330" s="196"/>
      <c r="P330" s="670"/>
      <c r="Q330" s="671"/>
      <c r="R330" s="719"/>
      <c r="S330" s="720"/>
      <c r="T330" s="721"/>
      <c r="U330" s="722"/>
      <c r="V330" s="723"/>
      <c r="W330" s="724"/>
      <c r="X330" s="678" t="s">
        <v>159</v>
      </c>
      <c r="Y330" s="678"/>
      <c r="Z330" s="678"/>
      <c r="AA330" s="678"/>
      <c r="AB330" s="679" t="s">
        <v>159</v>
      </c>
      <c r="AC330" s="679"/>
      <c r="AD330" s="679"/>
      <c r="AE330" s="679"/>
      <c r="AF330" s="727"/>
      <c r="AG330" s="728"/>
      <c r="AH330" s="727"/>
      <c r="AI330" s="728"/>
      <c r="AJ330" s="682"/>
      <c r="AK330" s="683"/>
      <c r="AL330" s="684" t="s">
        <v>162</v>
      </c>
      <c r="AM330" s="685"/>
      <c r="AN330" s="666" t="s">
        <v>162</v>
      </c>
      <c r="AO330" s="667"/>
      <c r="AP330" s="729"/>
      <c r="AQ330" s="730"/>
      <c r="AR330" s="731"/>
      <c r="AS330" s="732"/>
      <c r="AT330" s="690"/>
      <c r="AU330" s="691"/>
      <c r="AV330" s="666" t="s">
        <v>162</v>
      </c>
      <c r="AW330" s="667"/>
      <c r="AX330" s="692"/>
      <c r="AY330" s="693"/>
      <c r="AZ330" s="694"/>
      <c r="BA330" s="735"/>
      <c r="BB330" s="736"/>
      <c r="BC330" s="14"/>
      <c r="BD330" s="695" t="s">
        <v>162</v>
      </c>
      <c r="BE330" s="696"/>
      <c r="BF330" s="739"/>
      <c r="BG330" s="740"/>
      <c r="BH330" s="740"/>
      <c r="BI330" s="741"/>
      <c r="BJ330" s="700" t="s">
        <v>159</v>
      </c>
      <c r="BK330" s="701"/>
      <c r="BL330" s="701"/>
      <c r="BM330" s="702"/>
      <c r="BN330" s="703" t="s">
        <v>159</v>
      </c>
      <c r="BO330" s="704"/>
      <c r="BP330" s="704"/>
      <c r="BQ330" s="704"/>
      <c r="BR330" s="704"/>
      <c r="BS330" s="704"/>
      <c r="BT330" s="704"/>
      <c r="BU330" s="704"/>
      <c r="BV330" s="705"/>
    </row>
    <row r="331" spans="1:74" ht="45" customHeight="1" x14ac:dyDescent="0.25">
      <c r="A331" s="10">
        <f t="shared" si="4"/>
        <v>317</v>
      </c>
      <c r="B331" s="711" t="s">
        <v>159</v>
      </c>
      <c r="C331" s="711"/>
      <c r="D331" s="712" t="s">
        <v>212</v>
      </c>
      <c r="E331" s="712"/>
      <c r="F331" s="664" t="s">
        <v>162</v>
      </c>
      <c r="G331" s="665"/>
      <c r="H331" s="755" t="s">
        <v>162</v>
      </c>
      <c r="I331" s="667"/>
      <c r="J331" s="706"/>
      <c r="K331" s="707"/>
      <c r="L331" s="706"/>
      <c r="M331" s="707"/>
      <c r="N331" s="194"/>
      <c r="O331" s="216"/>
      <c r="P331" s="717"/>
      <c r="Q331" s="718"/>
      <c r="R331" s="672"/>
      <c r="S331" s="673"/>
      <c r="T331" s="674"/>
      <c r="U331" s="675"/>
      <c r="V331" s="676"/>
      <c r="W331" s="677"/>
      <c r="X331" s="725" t="s">
        <v>159</v>
      </c>
      <c r="Y331" s="725"/>
      <c r="Z331" s="725"/>
      <c r="AA331" s="725"/>
      <c r="AB331" s="726" t="s">
        <v>159</v>
      </c>
      <c r="AC331" s="726"/>
      <c r="AD331" s="726"/>
      <c r="AE331" s="726"/>
      <c r="AF331" s="680"/>
      <c r="AG331" s="681"/>
      <c r="AH331" s="680"/>
      <c r="AI331" s="681"/>
      <c r="AJ331" s="686"/>
      <c r="AK331" s="687"/>
      <c r="AL331" s="664" t="s">
        <v>162</v>
      </c>
      <c r="AM331" s="665"/>
      <c r="AN331" s="713" t="s">
        <v>162</v>
      </c>
      <c r="AO331" s="714"/>
      <c r="AP331" s="686"/>
      <c r="AQ331" s="687"/>
      <c r="AR331" s="688"/>
      <c r="AS331" s="689"/>
      <c r="AT331" s="690"/>
      <c r="AU331" s="691"/>
      <c r="AV331" s="713" t="s">
        <v>162</v>
      </c>
      <c r="AW331" s="714"/>
      <c r="AX331" s="692"/>
      <c r="AY331" s="693"/>
      <c r="AZ331" s="694"/>
      <c r="BA331" s="682"/>
      <c r="BB331" s="683"/>
      <c r="BC331" s="219"/>
      <c r="BD331" s="737" t="s">
        <v>162</v>
      </c>
      <c r="BE331" s="738"/>
      <c r="BF331" s="697"/>
      <c r="BG331" s="698"/>
      <c r="BH331" s="698"/>
      <c r="BI331" s="699"/>
      <c r="BJ331" s="742" t="s">
        <v>159</v>
      </c>
      <c r="BK331" s="743"/>
      <c r="BL331" s="743"/>
      <c r="BM331" s="744"/>
      <c r="BN331" s="703" t="s">
        <v>159</v>
      </c>
      <c r="BO331" s="704"/>
      <c r="BP331" s="704"/>
      <c r="BQ331" s="704"/>
      <c r="BR331" s="704"/>
      <c r="BS331" s="704"/>
      <c r="BT331" s="704"/>
      <c r="BU331" s="704"/>
      <c r="BV331" s="705"/>
    </row>
    <row r="332" spans="1:74" ht="45" customHeight="1" x14ac:dyDescent="0.25">
      <c r="A332" s="10">
        <f t="shared" si="4"/>
        <v>318</v>
      </c>
      <c r="B332" s="662" t="s">
        <v>159</v>
      </c>
      <c r="C332" s="662"/>
      <c r="D332" s="663" t="s">
        <v>212</v>
      </c>
      <c r="E332" s="663"/>
      <c r="F332" s="664" t="s">
        <v>162</v>
      </c>
      <c r="G332" s="665"/>
      <c r="H332" s="754" t="s">
        <v>162</v>
      </c>
      <c r="I332" s="714"/>
      <c r="J332" s="715"/>
      <c r="K332" s="716"/>
      <c r="L332" s="715"/>
      <c r="M332" s="716"/>
      <c r="N332" s="215"/>
      <c r="O332" s="196"/>
      <c r="P332" s="670"/>
      <c r="Q332" s="671"/>
      <c r="R332" s="719"/>
      <c r="S332" s="720"/>
      <c r="T332" s="721"/>
      <c r="U332" s="722"/>
      <c r="V332" s="723"/>
      <c r="W332" s="724"/>
      <c r="X332" s="678" t="s">
        <v>159</v>
      </c>
      <c r="Y332" s="678"/>
      <c r="Z332" s="678"/>
      <c r="AA332" s="678"/>
      <c r="AB332" s="679" t="s">
        <v>159</v>
      </c>
      <c r="AC332" s="679"/>
      <c r="AD332" s="679"/>
      <c r="AE332" s="679"/>
      <c r="AF332" s="727"/>
      <c r="AG332" s="728"/>
      <c r="AH332" s="727"/>
      <c r="AI332" s="728"/>
      <c r="AJ332" s="682"/>
      <c r="AK332" s="683"/>
      <c r="AL332" s="684" t="s">
        <v>162</v>
      </c>
      <c r="AM332" s="685"/>
      <c r="AN332" s="666" t="s">
        <v>162</v>
      </c>
      <c r="AO332" s="667"/>
      <c r="AP332" s="729"/>
      <c r="AQ332" s="730"/>
      <c r="AR332" s="731"/>
      <c r="AS332" s="732"/>
      <c r="AT332" s="690"/>
      <c r="AU332" s="691"/>
      <c r="AV332" s="666" t="s">
        <v>162</v>
      </c>
      <c r="AW332" s="667"/>
      <c r="AX332" s="692"/>
      <c r="AY332" s="693"/>
      <c r="AZ332" s="694"/>
      <c r="BA332" s="735"/>
      <c r="BB332" s="736"/>
      <c r="BC332" s="14"/>
      <c r="BD332" s="695" t="s">
        <v>162</v>
      </c>
      <c r="BE332" s="696"/>
      <c r="BF332" s="739"/>
      <c r="BG332" s="740"/>
      <c r="BH332" s="740"/>
      <c r="BI332" s="741"/>
      <c r="BJ332" s="700" t="s">
        <v>159</v>
      </c>
      <c r="BK332" s="701"/>
      <c r="BL332" s="701"/>
      <c r="BM332" s="702"/>
      <c r="BN332" s="703" t="s">
        <v>159</v>
      </c>
      <c r="BO332" s="704"/>
      <c r="BP332" s="704"/>
      <c r="BQ332" s="704"/>
      <c r="BR332" s="704"/>
      <c r="BS332" s="704"/>
      <c r="BT332" s="704"/>
      <c r="BU332" s="704"/>
      <c r="BV332" s="705"/>
    </row>
    <row r="333" spans="1:74" ht="45" customHeight="1" x14ac:dyDescent="0.25">
      <c r="A333" s="10">
        <f t="shared" si="4"/>
        <v>319</v>
      </c>
      <c r="B333" s="711" t="s">
        <v>159</v>
      </c>
      <c r="C333" s="711"/>
      <c r="D333" s="712" t="s">
        <v>212</v>
      </c>
      <c r="E333" s="712"/>
      <c r="F333" s="664" t="s">
        <v>162</v>
      </c>
      <c r="G333" s="665"/>
      <c r="H333" s="755" t="s">
        <v>162</v>
      </c>
      <c r="I333" s="667"/>
      <c r="J333" s="706"/>
      <c r="K333" s="707"/>
      <c r="L333" s="706"/>
      <c r="M333" s="707"/>
      <c r="N333" s="194"/>
      <c r="O333" s="216"/>
      <c r="P333" s="717"/>
      <c r="Q333" s="718"/>
      <c r="R333" s="672"/>
      <c r="S333" s="673"/>
      <c r="T333" s="674"/>
      <c r="U333" s="675"/>
      <c r="V333" s="676"/>
      <c r="W333" s="677"/>
      <c r="X333" s="725" t="s">
        <v>159</v>
      </c>
      <c r="Y333" s="725"/>
      <c r="Z333" s="725"/>
      <c r="AA333" s="725"/>
      <c r="AB333" s="726" t="s">
        <v>159</v>
      </c>
      <c r="AC333" s="726"/>
      <c r="AD333" s="726"/>
      <c r="AE333" s="726"/>
      <c r="AF333" s="680"/>
      <c r="AG333" s="681"/>
      <c r="AH333" s="680"/>
      <c r="AI333" s="681"/>
      <c r="AJ333" s="686"/>
      <c r="AK333" s="687"/>
      <c r="AL333" s="664" t="s">
        <v>162</v>
      </c>
      <c r="AM333" s="665"/>
      <c r="AN333" s="713" t="s">
        <v>162</v>
      </c>
      <c r="AO333" s="714"/>
      <c r="AP333" s="686"/>
      <c r="AQ333" s="687"/>
      <c r="AR333" s="688"/>
      <c r="AS333" s="689"/>
      <c r="AT333" s="690"/>
      <c r="AU333" s="691"/>
      <c r="AV333" s="713" t="s">
        <v>162</v>
      </c>
      <c r="AW333" s="714"/>
      <c r="AX333" s="692"/>
      <c r="AY333" s="693"/>
      <c r="AZ333" s="694"/>
      <c r="BA333" s="682"/>
      <c r="BB333" s="683"/>
      <c r="BC333" s="219"/>
      <c r="BD333" s="737" t="s">
        <v>162</v>
      </c>
      <c r="BE333" s="738"/>
      <c r="BF333" s="708"/>
      <c r="BG333" s="709"/>
      <c r="BH333" s="709"/>
      <c r="BI333" s="710"/>
      <c r="BJ333" s="742" t="s">
        <v>159</v>
      </c>
      <c r="BK333" s="743"/>
      <c r="BL333" s="743"/>
      <c r="BM333" s="744"/>
      <c r="BN333" s="703" t="s">
        <v>159</v>
      </c>
      <c r="BO333" s="704"/>
      <c r="BP333" s="704"/>
      <c r="BQ333" s="704"/>
      <c r="BR333" s="704"/>
      <c r="BS333" s="704"/>
      <c r="BT333" s="704"/>
      <c r="BU333" s="704"/>
      <c r="BV333" s="705"/>
    </row>
    <row r="334" spans="1:74" ht="45" customHeight="1" x14ac:dyDescent="0.25">
      <c r="A334" s="10">
        <f t="shared" si="4"/>
        <v>320</v>
      </c>
      <c r="B334" s="662" t="s">
        <v>159</v>
      </c>
      <c r="C334" s="662"/>
      <c r="D334" s="663" t="s">
        <v>212</v>
      </c>
      <c r="E334" s="663"/>
      <c r="F334" s="664" t="s">
        <v>162</v>
      </c>
      <c r="G334" s="665"/>
      <c r="H334" s="754" t="s">
        <v>162</v>
      </c>
      <c r="I334" s="714"/>
      <c r="J334" s="715"/>
      <c r="K334" s="716"/>
      <c r="L334" s="715"/>
      <c r="M334" s="716"/>
      <c r="N334" s="215"/>
      <c r="O334" s="196"/>
      <c r="P334" s="670"/>
      <c r="Q334" s="671"/>
      <c r="R334" s="719"/>
      <c r="S334" s="720"/>
      <c r="T334" s="721"/>
      <c r="U334" s="722"/>
      <c r="V334" s="723"/>
      <c r="W334" s="724"/>
      <c r="X334" s="678" t="s">
        <v>159</v>
      </c>
      <c r="Y334" s="678"/>
      <c r="Z334" s="678"/>
      <c r="AA334" s="678"/>
      <c r="AB334" s="679" t="s">
        <v>159</v>
      </c>
      <c r="AC334" s="679"/>
      <c r="AD334" s="679"/>
      <c r="AE334" s="679"/>
      <c r="AF334" s="727"/>
      <c r="AG334" s="728"/>
      <c r="AH334" s="727"/>
      <c r="AI334" s="728"/>
      <c r="AJ334" s="682"/>
      <c r="AK334" s="683"/>
      <c r="AL334" s="684" t="s">
        <v>162</v>
      </c>
      <c r="AM334" s="685"/>
      <c r="AN334" s="666" t="s">
        <v>162</v>
      </c>
      <c r="AO334" s="667"/>
      <c r="AP334" s="729"/>
      <c r="AQ334" s="730"/>
      <c r="AR334" s="731"/>
      <c r="AS334" s="732"/>
      <c r="AT334" s="690"/>
      <c r="AU334" s="691"/>
      <c r="AV334" s="666" t="s">
        <v>162</v>
      </c>
      <c r="AW334" s="667"/>
      <c r="AX334" s="692"/>
      <c r="AY334" s="693"/>
      <c r="AZ334" s="694"/>
      <c r="BA334" s="735"/>
      <c r="BB334" s="736"/>
      <c r="BC334" s="14"/>
      <c r="BD334" s="695" t="s">
        <v>162</v>
      </c>
      <c r="BE334" s="696"/>
      <c r="BF334" s="739"/>
      <c r="BG334" s="740"/>
      <c r="BH334" s="740"/>
      <c r="BI334" s="741"/>
      <c r="BJ334" s="700" t="s">
        <v>159</v>
      </c>
      <c r="BK334" s="701"/>
      <c r="BL334" s="701"/>
      <c r="BM334" s="702"/>
      <c r="BN334" s="703" t="s">
        <v>159</v>
      </c>
      <c r="BO334" s="704"/>
      <c r="BP334" s="704"/>
      <c r="BQ334" s="704"/>
      <c r="BR334" s="704"/>
      <c r="BS334" s="704"/>
      <c r="BT334" s="704"/>
      <c r="BU334" s="704"/>
      <c r="BV334" s="705"/>
    </row>
    <row r="335" spans="1:74" ht="45" customHeight="1" x14ac:dyDescent="0.25">
      <c r="A335" s="10">
        <f t="shared" ref="A335:A398" si="5">ROW(A321)</f>
        <v>321</v>
      </c>
      <c r="B335" s="711" t="s">
        <v>159</v>
      </c>
      <c r="C335" s="711"/>
      <c r="D335" s="712" t="s">
        <v>212</v>
      </c>
      <c r="E335" s="712"/>
      <c r="F335" s="664" t="s">
        <v>162</v>
      </c>
      <c r="G335" s="665"/>
      <c r="H335" s="755" t="s">
        <v>162</v>
      </c>
      <c r="I335" s="667"/>
      <c r="J335" s="706"/>
      <c r="K335" s="707"/>
      <c r="L335" s="706"/>
      <c r="M335" s="707"/>
      <c r="N335" s="194"/>
      <c r="O335" s="216"/>
      <c r="P335" s="717"/>
      <c r="Q335" s="718"/>
      <c r="R335" s="672"/>
      <c r="S335" s="673"/>
      <c r="T335" s="674"/>
      <c r="U335" s="675"/>
      <c r="V335" s="676"/>
      <c r="W335" s="677"/>
      <c r="X335" s="725" t="s">
        <v>159</v>
      </c>
      <c r="Y335" s="725"/>
      <c r="Z335" s="725"/>
      <c r="AA335" s="725"/>
      <c r="AB335" s="726" t="s">
        <v>159</v>
      </c>
      <c r="AC335" s="726"/>
      <c r="AD335" s="726"/>
      <c r="AE335" s="726"/>
      <c r="AF335" s="680"/>
      <c r="AG335" s="681"/>
      <c r="AH335" s="680"/>
      <c r="AI335" s="681"/>
      <c r="AJ335" s="686"/>
      <c r="AK335" s="687"/>
      <c r="AL335" s="664" t="s">
        <v>162</v>
      </c>
      <c r="AM335" s="665"/>
      <c r="AN335" s="713" t="s">
        <v>162</v>
      </c>
      <c r="AO335" s="714"/>
      <c r="AP335" s="686"/>
      <c r="AQ335" s="687"/>
      <c r="AR335" s="688"/>
      <c r="AS335" s="689"/>
      <c r="AT335" s="690"/>
      <c r="AU335" s="691"/>
      <c r="AV335" s="713" t="s">
        <v>162</v>
      </c>
      <c r="AW335" s="714"/>
      <c r="AX335" s="692"/>
      <c r="AY335" s="693"/>
      <c r="AZ335" s="694"/>
      <c r="BA335" s="682"/>
      <c r="BB335" s="683"/>
      <c r="BC335" s="219"/>
      <c r="BD335" s="737" t="s">
        <v>162</v>
      </c>
      <c r="BE335" s="738"/>
      <c r="BF335" s="708"/>
      <c r="BG335" s="709"/>
      <c r="BH335" s="709"/>
      <c r="BI335" s="710"/>
      <c r="BJ335" s="742" t="s">
        <v>159</v>
      </c>
      <c r="BK335" s="743"/>
      <c r="BL335" s="743"/>
      <c r="BM335" s="744"/>
      <c r="BN335" s="703" t="s">
        <v>159</v>
      </c>
      <c r="BO335" s="704"/>
      <c r="BP335" s="704"/>
      <c r="BQ335" s="704"/>
      <c r="BR335" s="704"/>
      <c r="BS335" s="704"/>
      <c r="BT335" s="704"/>
      <c r="BU335" s="704"/>
      <c r="BV335" s="705"/>
    </row>
    <row r="336" spans="1:74" ht="45" customHeight="1" x14ac:dyDescent="0.25">
      <c r="A336" s="10">
        <f t="shared" si="5"/>
        <v>322</v>
      </c>
      <c r="B336" s="662" t="s">
        <v>159</v>
      </c>
      <c r="C336" s="662"/>
      <c r="D336" s="663" t="s">
        <v>212</v>
      </c>
      <c r="E336" s="663"/>
      <c r="F336" s="664" t="s">
        <v>162</v>
      </c>
      <c r="G336" s="665"/>
      <c r="H336" s="754" t="s">
        <v>162</v>
      </c>
      <c r="I336" s="714"/>
      <c r="J336" s="715"/>
      <c r="K336" s="716"/>
      <c r="L336" s="715"/>
      <c r="M336" s="716"/>
      <c r="N336" s="215"/>
      <c r="O336" s="196"/>
      <c r="P336" s="670"/>
      <c r="Q336" s="671"/>
      <c r="R336" s="719"/>
      <c r="S336" s="720"/>
      <c r="T336" s="721"/>
      <c r="U336" s="722"/>
      <c r="V336" s="723"/>
      <c r="W336" s="724"/>
      <c r="X336" s="678" t="s">
        <v>159</v>
      </c>
      <c r="Y336" s="678"/>
      <c r="Z336" s="678"/>
      <c r="AA336" s="678"/>
      <c r="AB336" s="679" t="s">
        <v>159</v>
      </c>
      <c r="AC336" s="679"/>
      <c r="AD336" s="679"/>
      <c r="AE336" s="679"/>
      <c r="AF336" s="727"/>
      <c r="AG336" s="728"/>
      <c r="AH336" s="727"/>
      <c r="AI336" s="728"/>
      <c r="AJ336" s="682"/>
      <c r="AK336" s="683"/>
      <c r="AL336" s="684" t="s">
        <v>162</v>
      </c>
      <c r="AM336" s="685"/>
      <c r="AN336" s="666" t="s">
        <v>162</v>
      </c>
      <c r="AO336" s="667"/>
      <c r="AP336" s="729"/>
      <c r="AQ336" s="730"/>
      <c r="AR336" s="731"/>
      <c r="AS336" s="732"/>
      <c r="AT336" s="690"/>
      <c r="AU336" s="691"/>
      <c r="AV336" s="666" t="s">
        <v>162</v>
      </c>
      <c r="AW336" s="667"/>
      <c r="AX336" s="692"/>
      <c r="AY336" s="693"/>
      <c r="AZ336" s="694"/>
      <c r="BA336" s="735"/>
      <c r="BB336" s="736"/>
      <c r="BC336" s="14"/>
      <c r="BD336" s="695" t="s">
        <v>162</v>
      </c>
      <c r="BE336" s="696"/>
      <c r="BF336" s="739"/>
      <c r="BG336" s="740"/>
      <c r="BH336" s="740"/>
      <c r="BI336" s="741"/>
      <c r="BJ336" s="700" t="s">
        <v>159</v>
      </c>
      <c r="BK336" s="701"/>
      <c r="BL336" s="701"/>
      <c r="BM336" s="702"/>
      <c r="BN336" s="703" t="s">
        <v>159</v>
      </c>
      <c r="BO336" s="704"/>
      <c r="BP336" s="704"/>
      <c r="BQ336" s="704"/>
      <c r="BR336" s="704"/>
      <c r="BS336" s="704"/>
      <c r="BT336" s="704"/>
      <c r="BU336" s="704"/>
      <c r="BV336" s="705"/>
    </row>
    <row r="337" spans="1:74" ht="45" customHeight="1" x14ac:dyDescent="0.25">
      <c r="A337" s="10">
        <f t="shared" si="5"/>
        <v>323</v>
      </c>
      <c r="B337" s="711" t="s">
        <v>159</v>
      </c>
      <c r="C337" s="711"/>
      <c r="D337" s="712" t="s">
        <v>212</v>
      </c>
      <c r="E337" s="712"/>
      <c r="F337" s="664" t="s">
        <v>162</v>
      </c>
      <c r="G337" s="665"/>
      <c r="H337" s="755" t="s">
        <v>162</v>
      </c>
      <c r="I337" s="667"/>
      <c r="J337" s="706"/>
      <c r="K337" s="707"/>
      <c r="L337" s="706"/>
      <c r="M337" s="707"/>
      <c r="N337" s="194"/>
      <c r="O337" s="216"/>
      <c r="P337" s="717"/>
      <c r="Q337" s="718"/>
      <c r="R337" s="672"/>
      <c r="S337" s="673"/>
      <c r="T337" s="674"/>
      <c r="U337" s="675"/>
      <c r="V337" s="676"/>
      <c r="W337" s="677"/>
      <c r="X337" s="725" t="s">
        <v>159</v>
      </c>
      <c r="Y337" s="725"/>
      <c r="Z337" s="725"/>
      <c r="AA337" s="725"/>
      <c r="AB337" s="726" t="s">
        <v>159</v>
      </c>
      <c r="AC337" s="726"/>
      <c r="AD337" s="726"/>
      <c r="AE337" s="726"/>
      <c r="AF337" s="680"/>
      <c r="AG337" s="681"/>
      <c r="AH337" s="680"/>
      <c r="AI337" s="681"/>
      <c r="AJ337" s="686"/>
      <c r="AK337" s="687"/>
      <c r="AL337" s="664" t="s">
        <v>162</v>
      </c>
      <c r="AM337" s="665"/>
      <c r="AN337" s="713" t="s">
        <v>162</v>
      </c>
      <c r="AO337" s="714"/>
      <c r="AP337" s="686"/>
      <c r="AQ337" s="687"/>
      <c r="AR337" s="688"/>
      <c r="AS337" s="689"/>
      <c r="AT337" s="690"/>
      <c r="AU337" s="691"/>
      <c r="AV337" s="713" t="s">
        <v>162</v>
      </c>
      <c r="AW337" s="714"/>
      <c r="AX337" s="692"/>
      <c r="AY337" s="693"/>
      <c r="AZ337" s="694"/>
      <c r="BA337" s="682"/>
      <c r="BB337" s="683"/>
      <c r="BC337" s="219"/>
      <c r="BD337" s="737" t="s">
        <v>162</v>
      </c>
      <c r="BE337" s="738"/>
      <c r="BF337" s="697"/>
      <c r="BG337" s="698"/>
      <c r="BH337" s="698"/>
      <c r="BI337" s="699"/>
      <c r="BJ337" s="742" t="s">
        <v>159</v>
      </c>
      <c r="BK337" s="743"/>
      <c r="BL337" s="743"/>
      <c r="BM337" s="744"/>
      <c r="BN337" s="703" t="s">
        <v>159</v>
      </c>
      <c r="BO337" s="704"/>
      <c r="BP337" s="704"/>
      <c r="BQ337" s="704"/>
      <c r="BR337" s="704"/>
      <c r="BS337" s="704"/>
      <c r="BT337" s="704"/>
      <c r="BU337" s="704"/>
      <c r="BV337" s="705"/>
    </row>
    <row r="338" spans="1:74" ht="45" customHeight="1" x14ac:dyDescent="0.25">
      <c r="A338" s="10">
        <f t="shared" si="5"/>
        <v>324</v>
      </c>
      <c r="B338" s="662" t="s">
        <v>159</v>
      </c>
      <c r="C338" s="662"/>
      <c r="D338" s="663" t="s">
        <v>212</v>
      </c>
      <c r="E338" s="663"/>
      <c r="F338" s="664" t="s">
        <v>162</v>
      </c>
      <c r="G338" s="665"/>
      <c r="H338" s="754" t="s">
        <v>162</v>
      </c>
      <c r="I338" s="714"/>
      <c r="J338" s="715"/>
      <c r="K338" s="716"/>
      <c r="L338" s="715"/>
      <c r="M338" s="716"/>
      <c r="N338" s="215"/>
      <c r="O338" s="196"/>
      <c r="P338" s="670"/>
      <c r="Q338" s="671"/>
      <c r="R338" s="719"/>
      <c r="S338" s="720"/>
      <c r="T338" s="721"/>
      <c r="U338" s="722"/>
      <c r="V338" s="723"/>
      <c r="W338" s="724"/>
      <c r="X338" s="678" t="s">
        <v>159</v>
      </c>
      <c r="Y338" s="678"/>
      <c r="Z338" s="678"/>
      <c r="AA338" s="678"/>
      <c r="AB338" s="679" t="s">
        <v>159</v>
      </c>
      <c r="AC338" s="679"/>
      <c r="AD338" s="679"/>
      <c r="AE338" s="679"/>
      <c r="AF338" s="727"/>
      <c r="AG338" s="728"/>
      <c r="AH338" s="727"/>
      <c r="AI338" s="728"/>
      <c r="AJ338" s="682"/>
      <c r="AK338" s="683"/>
      <c r="AL338" s="684" t="s">
        <v>162</v>
      </c>
      <c r="AM338" s="685"/>
      <c r="AN338" s="666" t="s">
        <v>162</v>
      </c>
      <c r="AO338" s="667"/>
      <c r="AP338" s="729"/>
      <c r="AQ338" s="730"/>
      <c r="AR338" s="731"/>
      <c r="AS338" s="732"/>
      <c r="AT338" s="690"/>
      <c r="AU338" s="691"/>
      <c r="AV338" s="666" t="s">
        <v>162</v>
      </c>
      <c r="AW338" s="667"/>
      <c r="AX338" s="692"/>
      <c r="AY338" s="693"/>
      <c r="AZ338" s="694"/>
      <c r="BA338" s="735"/>
      <c r="BB338" s="736"/>
      <c r="BC338" s="14"/>
      <c r="BD338" s="695" t="s">
        <v>162</v>
      </c>
      <c r="BE338" s="696"/>
      <c r="BF338" s="739"/>
      <c r="BG338" s="740"/>
      <c r="BH338" s="740"/>
      <c r="BI338" s="741"/>
      <c r="BJ338" s="700" t="s">
        <v>159</v>
      </c>
      <c r="BK338" s="701"/>
      <c r="BL338" s="701"/>
      <c r="BM338" s="702"/>
      <c r="BN338" s="703" t="s">
        <v>159</v>
      </c>
      <c r="BO338" s="704"/>
      <c r="BP338" s="704"/>
      <c r="BQ338" s="704"/>
      <c r="BR338" s="704"/>
      <c r="BS338" s="704"/>
      <c r="BT338" s="704"/>
      <c r="BU338" s="704"/>
      <c r="BV338" s="705"/>
    </row>
    <row r="339" spans="1:74" ht="45" customHeight="1" x14ac:dyDescent="0.25">
      <c r="A339" s="10">
        <f t="shared" si="5"/>
        <v>325</v>
      </c>
      <c r="B339" s="711" t="s">
        <v>159</v>
      </c>
      <c r="C339" s="711"/>
      <c r="D339" s="712" t="s">
        <v>212</v>
      </c>
      <c r="E339" s="712"/>
      <c r="F339" s="664" t="s">
        <v>162</v>
      </c>
      <c r="G339" s="665"/>
      <c r="H339" s="755" t="s">
        <v>162</v>
      </c>
      <c r="I339" s="667"/>
      <c r="J339" s="706"/>
      <c r="K339" s="707"/>
      <c r="L339" s="706"/>
      <c r="M339" s="707"/>
      <c r="N339" s="194"/>
      <c r="O339" s="216"/>
      <c r="P339" s="717"/>
      <c r="Q339" s="718"/>
      <c r="R339" s="672"/>
      <c r="S339" s="673"/>
      <c r="T339" s="674"/>
      <c r="U339" s="675"/>
      <c r="V339" s="676"/>
      <c r="W339" s="677"/>
      <c r="X339" s="725" t="s">
        <v>159</v>
      </c>
      <c r="Y339" s="725"/>
      <c r="Z339" s="725"/>
      <c r="AA339" s="725"/>
      <c r="AB339" s="726" t="s">
        <v>159</v>
      </c>
      <c r="AC339" s="726"/>
      <c r="AD339" s="726"/>
      <c r="AE339" s="726"/>
      <c r="AF339" s="680"/>
      <c r="AG339" s="681"/>
      <c r="AH339" s="680"/>
      <c r="AI339" s="681"/>
      <c r="AJ339" s="686"/>
      <c r="AK339" s="687"/>
      <c r="AL339" s="664" t="s">
        <v>162</v>
      </c>
      <c r="AM339" s="665"/>
      <c r="AN339" s="713" t="s">
        <v>162</v>
      </c>
      <c r="AO339" s="714"/>
      <c r="AP339" s="686"/>
      <c r="AQ339" s="687"/>
      <c r="AR339" s="688"/>
      <c r="AS339" s="689"/>
      <c r="AT339" s="690"/>
      <c r="AU339" s="691"/>
      <c r="AV339" s="713" t="s">
        <v>162</v>
      </c>
      <c r="AW339" s="714"/>
      <c r="AX339" s="692"/>
      <c r="AY339" s="693"/>
      <c r="AZ339" s="694"/>
      <c r="BA339" s="682"/>
      <c r="BB339" s="683"/>
      <c r="BC339" s="219"/>
      <c r="BD339" s="737" t="s">
        <v>162</v>
      </c>
      <c r="BE339" s="738"/>
      <c r="BF339" s="708"/>
      <c r="BG339" s="709"/>
      <c r="BH339" s="709"/>
      <c r="BI339" s="710"/>
      <c r="BJ339" s="742" t="s">
        <v>159</v>
      </c>
      <c r="BK339" s="743"/>
      <c r="BL339" s="743"/>
      <c r="BM339" s="744"/>
      <c r="BN339" s="703" t="s">
        <v>159</v>
      </c>
      <c r="BO339" s="704"/>
      <c r="BP339" s="704"/>
      <c r="BQ339" s="704"/>
      <c r="BR339" s="704"/>
      <c r="BS339" s="704"/>
      <c r="BT339" s="704"/>
      <c r="BU339" s="704"/>
      <c r="BV339" s="705"/>
    </row>
    <row r="340" spans="1:74" ht="45" customHeight="1" x14ac:dyDescent="0.25">
      <c r="A340" s="10">
        <f t="shared" si="5"/>
        <v>326</v>
      </c>
      <c r="B340" s="662" t="s">
        <v>159</v>
      </c>
      <c r="C340" s="662"/>
      <c r="D340" s="663" t="s">
        <v>212</v>
      </c>
      <c r="E340" s="663"/>
      <c r="F340" s="664" t="s">
        <v>162</v>
      </c>
      <c r="G340" s="665"/>
      <c r="H340" s="754" t="s">
        <v>162</v>
      </c>
      <c r="I340" s="714"/>
      <c r="J340" s="715"/>
      <c r="K340" s="716"/>
      <c r="L340" s="715"/>
      <c r="M340" s="716"/>
      <c r="N340" s="215"/>
      <c r="O340" s="196"/>
      <c r="P340" s="670"/>
      <c r="Q340" s="671"/>
      <c r="R340" s="719"/>
      <c r="S340" s="720"/>
      <c r="T340" s="721"/>
      <c r="U340" s="722"/>
      <c r="V340" s="723"/>
      <c r="W340" s="724"/>
      <c r="X340" s="678" t="s">
        <v>159</v>
      </c>
      <c r="Y340" s="678"/>
      <c r="Z340" s="678"/>
      <c r="AA340" s="678"/>
      <c r="AB340" s="679" t="s">
        <v>159</v>
      </c>
      <c r="AC340" s="679"/>
      <c r="AD340" s="679"/>
      <c r="AE340" s="679"/>
      <c r="AF340" s="727"/>
      <c r="AG340" s="728"/>
      <c r="AH340" s="727"/>
      <c r="AI340" s="728"/>
      <c r="AJ340" s="682"/>
      <c r="AK340" s="683"/>
      <c r="AL340" s="684" t="s">
        <v>162</v>
      </c>
      <c r="AM340" s="685"/>
      <c r="AN340" s="666" t="s">
        <v>162</v>
      </c>
      <c r="AO340" s="667"/>
      <c r="AP340" s="729"/>
      <c r="AQ340" s="730"/>
      <c r="AR340" s="731"/>
      <c r="AS340" s="732"/>
      <c r="AT340" s="690"/>
      <c r="AU340" s="691"/>
      <c r="AV340" s="666" t="s">
        <v>162</v>
      </c>
      <c r="AW340" s="667"/>
      <c r="AX340" s="692"/>
      <c r="AY340" s="693"/>
      <c r="AZ340" s="694"/>
      <c r="BA340" s="735"/>
      <c r="BB340" s="736"/>
      <c r="BC340" s="14"/>
      <c r="BD340" s="695" t="s">
        <v>162</v>
      </c>
      <c r="BE340" s="696"/>
      <c r="BF340" s="739"/>
      <c r="BG340" s="740"/>
      <c r="BH340" s="740"/>
      <c r="BI340" s="741"/>
      <c r="BJ340" s="700" t="s">
        <v>159</v>
      </c>
      <c r="BK340" s="701"/>
      <c r="BL340" s="701"/>
      <c r="BM340" s="702"/>
      <c r="BN340" s="703" t="s">
        <v>159</v>
      </c>
      <c r="BO340" s="704"/>
      <c r="BP340" s="704"/>
      <c r="BQ340" s="704"/>
      <c r="BR340" s="704"/>
      <c r="BS340" s="704"/>
      <c r="BT340" s="704"/>
      <c r="BU340" s="704"/>
      <c r="BV340" s="705"/>
    </row>
    <row r="341" spans="1:74" ht="45" customHeight="1" x14ac:dyDescent="0.25">
      <c r="A341" s="10">
        <f t="shared" si="5"/>
        <v>327</v>
      </c>
      <c r="B341" s="711" t="s">
        <v>159</v>
      </c>
      <c r="C341" s="711"/>
      <c r="D341" s="712" t="s">
        <v>212</v>
      </c>
      <c r="E341" s="712"/>
      <c r="F341" s="664" t="s">
        <v>162</v>
      </c>
      <c r="G341" s="665"/>
      <c r="H341" s="755" t="s">
        <v>162</v>
      </c>
      <c r="I341" s="667"/>
      <c r="J341" s="706"/>
      <c r="K341" s="707"/>
      <c r="L341" s="706"/>
      <c r="M341" s="707"/>
      <c r="N341" s="194"/>
      <c r="O341" s="216"/>
      <c r="P341" s="717"/>
      <c r="Q341" s="718"/>
      <c r="R341" s="672"/>
      <c r="S341" s="673"/>
      <c r="T341" s="674"/>
      <c r="U341" s="675"/>
      <c r="V341" s="676"/>
      <c r="W341" s="677"/>
      <c r="X341" s="725" t="s">
        <v>159</v>
      </c>
      <c r="Y341" s="725"/>
      <c r="Z341" s="725"/>
      <c r="AA341" s="725"/>
      <c r="AB341" s="726" t="s">
        <v>159</v>
      </c>
      <c r="AC341" s="726"/>
      <c r="AD341" s="726"/>
      <c r="AE341" s="726"/>
      <c r="AF341" s="680"/>
      <c r="AG341" s="681"/>
      <c r="AH341" s="680"/>
      <c r="AI341" s="681"/>
      <c r="AJ341" s="686"/>
      <c r="AK341" s="687"/>
      <c r="AL341" s="664" t="s">
        <v>162</v>
      </c>
      <c r="AM341" s="665"/>
      <c r="AN341" s="713" t="s">
        <v>162</v>
      </c>
      <c r="AO341" s="714"/>
      <c r="AP341" s="686"/>
      <c r="AQ341" s="687"/>
      <c r="AR341" s="688"/>
      <c r="AS341" s="689"/>
      <c r="AT341" s="690"/>
      <c r="AU341" s="691"/>
      <c r="AV341" s="713" t="s">
        <v>162</v>
      </c>
      <c r="AW341" s="714"/>
      <c r="AX341" s="692"/>
      <c r="AY341" s="693"/>
      <c r="AZ341" s="694"/>
      <c r="BA341" s="682"/>
      <c r="BB341" s="683"/>
      <c r="BC341" s="219"/>
      <c r="BD341" s="737" t="s">
        <v>162</v>
      </c>
      <c r="BE341" s="738"/>
      <c r="BF341" s="697"/>
      <c r="BG341" s="698"/>
      <c r="BH341" s="698"/>
      <c r="BI341" s="699"/>
      <c r="BJ341" s="742" t="s">
        <v>159</v>
      </c>
      <c r="BK341" s="743"/>
      <c r="BL341" s="743"/>
      <c r="BM341" s="744"/>
      <c r="BN341" s="703" t="s">
        <v>159</v>
      </c>
      <c r="BO341" s="704"/>
      <c r="BP341" s="704"/>
      <c r="BQ341" s="704"/>
      <c r="BR341" s="704"/>
      <c r="BS341" s="704"/>
      <c r="BT341" s="704"/>
      <c r="BU341" s="704"/>
      <c r="BV341" s="705"/>
    </row>
    <row r="342" spans="1:74" ht="45" customHeight="1" x14ac:dyDescent="0.25">
      <c r="A342" s="10">
        <f t="shared" si="5"/>
        <v>328</v>
      </c>
      <c r="B342" s="662" t="s">
        <v>159</v>
      </c>
      <c r="C342" s="662"/>
      <c r="D342" s="663" t="s">
        <v>212</v>
      </c>
      <c r="E342" s="663"/>
      <c r="F342" s="664" t="s">
        <v>162</v>
      </c>
      <c r="G342" s="665"/>
      <c r="H342" s="754" t="s">
        <v>162</v>
      </c>
      <c r="I342" s="714"/>
      <c r="J342" s="715"/>
      <c r="K342" s="716"/>
      <c r="L342" s="715"/>
      <c r="M342" s="716"/>
      <c r="N342" s="215"/>
      <c r="O342" s="196"/>
      <c r="P342" s="670"/>
      <c r="Q342" s="671"/>
      <c r="R342" s="719"/>
      <c r="S342" s="720"/>
      <c r="T342" s="721"/>
      <c r="U342" s="722"/>
      <c r="V342" s="723"/>
      <c r="W342" s="724"/>
      <c r="X342" s="678" t="s">
        <v>159</v>
      </c>
      <c r="Y342" s="678"/>
      <c r="Z342" s="678"/>
      <c r="AA342" s="678"/>
      <c r="AB342" s="679" t="s">
        <v>159</v>
      </c>
      <c r="AC342" s="679"/>
      <c r="AD342" s="679"/>
      <c r="AE342" s="679"/>
      <c r="AF342" s="727"/>
      <c r="AG342" s="728"/>
      <c r="AH342" s="727"/>
      <c r="AI342" s="728"/>
      <c r="AJ342" s="682"/>
      <c r="AK342" s="683"/>
      <c r="AL342" s="684" t="s">
        <v>162</v>
      </c>
      <c r="AM342" s="685"/>
      <c r="AN342" s="666" t="s">
        <v>162</v>
      </c>
      <c r="AO342" s="667"/>
      <c r="AP342" s="729"/>
      <c r="AQ342" s="730"/>
      <c r="AR342" s="731"/>
      <c r="AS342" s="732"/>
      <c r="AT342" s="690"/>
      <c r="AU342" s="691"/>
      <c r="AV342" s="666" t="s">
        <v>162</v>
      </c>
      <c r="AW342" s="667"/>
      <c r="AX342" s="692"/>
      <c r="AY342" s="693"/>
      <c r="AZ342" s="694"/>
      <c r="BA342" s="735"/>
      <c r="BB342" s="736"/>
      <c r="BC342" s="14"/>
      <c r="BD342" s="695" t="s">
        <v>162</v>
      </c>
      <c r="BE342" s="696"/>
      <c r="BF342" s="739"/>
      <c r="BG342" s="740"/>
      <c r="BH342" s="740"/>
      <c r="BI342" s="741"/>
      <c r="BJ342" s="700" t="s">
        <v>159</v>
      </c>
      <c r="BK342" s="701"/>
      <c r="BL342" s="701"/>
      <c r="BM342" s="702"/>
      <c r="BN342" s="703" t="s">
        <v>159</v>
      </c>
      <c r="BO342" s="704"/>
      <c r="BP342" s="704"/>
      <c r="BQ342" s="704"/>
      <c r="BR342" s="704"/>
      <c r="BS342" s="704"/>
      <c r="BT342" s="704"/>
      <c r="BU342" s="704"/>
      <c r="BV342" s="705"/>
    </row>
    <row r="343" spans="1:74" ht="45" customHeight="1" x14ac:dyDescent="0.25">
      <c r="A343" s="10">
        <f t="shared" si="5"/>
        <v>329</v>
      </c>
      <c r="B343" s="711" t="s">
        <v>159</v>
      </c>
      <c r="C343" s="711"/>
      <c r="D343" s="712" t="s">
        <v>212</v>
      </c>
      <c r="E343" s="712"/>
      <c r="F343" s="664" t="s">
        <v>162</v>
      </c>
      <c r="G343" s="665"/>
      <c r="H343" s="755" t="s">
        <v>162</v>
      </c>
      <c r="I343" s="667"/>
      <c r="J343" s="706"/>
      <c r="K343" s="707"/>
      <c r="L343" s="706"/>
      <c r="M343" s="707"/>
      <c r="N343" s="194"/>
      <c r="O343" s="216"/>
      <c r="P343" s="717"/>
      <c r="Q343" s="718"/>
      <c r="R343" s="672"/>
      <c r="S343" s="673"/>
      <c r="T343" s="674"/>
      <c r="U343" s="675"/>
      <c r="V343" s="676"/>
      <c r="W343" s="677"/>
      <c r="X343" s="725" t="s">
        <v>159</v>
      </c>
      <c r="Y343" s="725"/>
      <c r="Z343" s="725"/>
      <c r="AA343" s="725"/>
      <c r="AB343" s="726" t="s">
        <v>159</v>
      </c>
      <c r="AC343" s="726"/>
      <c r="AD343" s="726"/>
      <c r="AE343" s="726"/>
      <c r="AF343" s="680"/>
      <c r="AG343" s="681"/>
      <c r="AH343" s="680"/>
      <c r="AI343" s="681"/>
      <c r="AJ343" s="686"/>
      <c r="AK343" s="687"/>
      <c r="AL343" s="664" t="s">
        <v>162</v>
      </c>
      <c r="AM343" s="665"/>
      <c r="AN343" s="713" t="s">
        <v>162</v>
      </c>
      <c r="AO343" s="714"/>
      <c r="AP343" s="686"/>
      <c r="AQ343" s="687"/>
      <c r="AR343" s="688"/>
      <c r="AS343" s="689"/>
      <c r="AT343" s="690"/>
      <c r="AU343" s="691"/>
      <c r="AV343" s="713" t="s">
        <v>162</v>
      </c>
      <c r="AW343" s="714"/>
      <c r="AX343" s="692"/>
      <c r="AY343" s="693"/>
      <c r="AZ343" s="694"/>
      <c r="BA343" s="682"/>
      <c r="BB343" s="683"/>
      <c r="BC343" s="219"/>
      <c r="BD343" s="737" t="s">
        <v>162</v>
      </c>
      <c r="BE343" s="738"/>
      <c r="BF343" s="708"/>
      <c r="BG343" s="709"/>
      <c r="BH343" s="709"/>
      <c r="BI343" s="710"/>
      <c r="BJ343" s="742" t="s">
        <v>159</v>
      </c>
      <c r="BK343" s="743"/>
      <c r="BL343" s="743"/>
      <c r="BM343" s="744"/>
      <c r="BN343" s="703" t="s">
        <v>159</v>
      </c>
      <c r="BO343" s="704"/>
      <c r="BP343" s="704"/>
      <c r="BQ343" s="704"/>
      <c r="BR343" s="704"/>
      <c r="BS343" s="704"/>
      <c r="BT343" s="704"/>
      <c r="BU343" s="704"/>
      <c r="BV343" s="705"/>
    </row>
    <row r="344" spans="1:74" ht="45" customHeight="1" x14ac:dyDescent="0.25">
      <c r="A344" s="10">
        <f t="shared" si="5"/>
        <v>330</v>
      </c>
      <c r="B344" s="662" t="s">
        <v>159</v>
      </c>
      <c r="C344" s="662"/>
      <c r="D344" s="663" t="s">
        <v>212</v>
      </c>
      <c r="E344" s="663"/>
      <c r="F344" s="664" t="s">
        <v>162</v>
      </c>
      <c r="G344" s="665"/>
      <c r="H344" s="754" t="s">
        <v>162</v>
      </c>
      <c r="I344" s="714"/>
      <c r="J344" s="715"/>
      <c r="K344" s="716"/>
      <c r="L344" s="715"/>
      <c r="M344" s="716"/>
      <c r="N344" s="215"/>
      <c r="O344" s="196"/>
      <c r="P344" s="670"/>
      <c r="Q344" s="671"/>
      <c r="R344" s="719"/>
      <c r="S344" s="720"/>
      <c r="T344" s="721"/>
      <c r="U344" s="722"/>
      <c r="V344" s="723"/>
      <c r="W344" s="724"/>
      <c r="X344" s="678" t="s">
        <v>159</v>
      </c>
      <c r="Y344" s="678"/>
      <c r="Z344" s="678"/>
      <c r="AA344" s="678"/>
      <c r="AB344" s="679" t="s">
        <v>159</v>
      </c>
      <c r="AC344" s="679"/>
      <c r="AD344" s="679"/>
      <c r="AE344" s="679"/>
      <c r="AF344" s="727"/>
      <c r="AG344" s="728"/>
      <c r="AH344" s="727"/>
      <c r="AI344" s="728"/>
      <c r="AJ344" s="682"/>
      <c r="AK344" s="683"/>
      <c r="AL344" s="684" t="s">
        <v>162</v>
      </c>
      <c r="AM344" s="685"/>
      <c r="AN344" s="666" t="s">
        <v>162</v>
      </c>
      <c r="AO344" s="667"/>
      <c r="AP344" s="729"/>
      <c r="AQ344" s="730"/>
      <c r="AR344" s="731"/>
      <c r="AS344" s="732"/>
      <c r="AT344" s="690"/>
      <c r="AU344" s="691"/>
      <c r="AV344" s="666" t="s">
        <v>162</v>
      </c>
      <c r="AW344" s="667"/>
      <c r="AX344" s="692"/>
      <c r="AY344" s="693"/>
      <c r="AZ344" s="694"/>
      <c r="BA344" s="735"/>
      <c r="BB344" s="736"/>
      <c r="BC344" s="14"/>
      <c r="BD344" s="695" t="s">
        <v>162</v>
      </c>
      <c r="BE344" s="696"/>
      <c r="BF344" s="739"/>
      <c r="BG344" s="740"/>
      <c r="BH344" s="740"/>
      <c r="BI344" s="741"/>
      <c r="BJ344" s="700" t="s">
        <v>159</v>
      </c>
      <c r="BK344" s="701"/>
      <c r="BL344" s="701"/>
      <c r="BM344" s="702"/>
      <c r="BN344" s="703" t="s">
        <v>159</v>
      </c>
      <c r="BO344" s="704"/>
      <c r="BP344" s="704"/>
      <c r="BQ344" s="704"/>
      <c r="BR344" s="704"/>
      <c r="BS344" s="704"/>
      <c r="BT344" s="704"/>
      <c r="BU344" s="704"/>
      <c r="BV344" s="705"/>
    </row>
    <row r="345" spans="1:74" ht="45" customHeight="1" x14ac:dyDescent="0.25">
      <c r="A345" s="10">
        <f t="shared" si="5"/>
        <v>331</v>
      </c>
      <c r="B345" s="711" t="s">
        <v>159</v>
      </c>
      <c r="C345" s="711"/>
      <c r="D345" s="712" t="s">
        <v>212</v>
      </c>
      <c r="E345" s="712"/>
      <c r="F345" s="664" t="s">
        <v>162</v>
      </c>
      <c r="G345" s="665"/>
      <c r="H345" s="755" t="s">
        <v>162</v>
      </c>
      <c r="I345" s="667"/>
      <c r="J345" s="706"/>
      <c r="K345" s="707"/>
      <c r="L345" s="706"/>
      <c r="M345" s="707"/>
      <c r="N345" s="194"/>
      <c r="O345" s="216"/>
      <c r="P345" s="717"/>
      <c r="Q345" s="718"/>
      <c r="R345" s="672"/>
      <c r="S345" s="673"/>
      <c r="T345" s="674"/>
      <c r="U345" s="675"/>
      <c r="V345" s="676"/>
      <c r="W345" s="677"/>
      <c r="X345" s="725" t="s">
        <v>159</v>
      </c>
      <c r="Y345" s="725"/>
      <c r="Z345" s="725"/>
      <c r="AA345" s="725"/>
      <c r="AB345" s="726" t="s">
        <v>159</v>
      </c>
      <c r="AC345" s="726"/>
      <c r="AD345" s="726"/>
      <c r="AE345" s="726"/>
      <c r="AF345" s="680"/>
      <c r="AG345" s="681"/>
      <c r="AH345" s="680"/>
      <c r="AI345" s="681"/>
      <c r="AJ345" s="686"/>
      <c r="AK345" s="687"/>
      <c r="AL345" s="664" t="s">
        <v>162</v>
      </c>
      <c r="AM345" s="665"/>
      <c r="AN345" s="713" t="s">
        <v>162</v>
      </c>
      <c r="AO345" s="714"/>
      <c r="AP345" s="686"/>
      <c r="AQ345" s="687"/>
      <c r="AR345" s="688"/>
      <c r="AS345" s="689"/>
      <c r="AT345" s="690"/>
      <c r="AU345" s="691"/>
      <c r="AV345" s="713" t="s">
        <v>162</v>
      </c>
      <c r="AW345" s="714"/>
      <c r="AX345" s="692"/>
      <c r="AY345" s="693"/>
      <c r="AZ345" s="694"/>
      <c r="BA345" s="682"/>
      <c r="BB345" s="683"/>
      <c r="BC345" s="219"/>
      <c r="BD345" s="737" t="s">
        <v>162</v>
      </c>
      <c r="BE345" s="738"/>
      <c r="BF345" s="708"/>
      <c r="BG345" s="709"/>
      <c r="BH345" s="709"/>
      <c r="BI345" s="710"/>
      <c r="BJ345" s="742" t="s">
        <v>159</v>
      </c>
      <c r="BK345" s="743"/>
      <c r="BL345" s="743"/>
      <c r="BM345" s="744"/>
      <c r="BN345" s="703" t="s">
        <v>159</v>
      </c>
      <c r="BO345" s="704"/>
      <c r="BP345" s="704"/>
      <c r="BQ345" s="704"/>
      <c r="BR345" s="704"/>
      <c r="BS345" s="704"/>
      <c r="BT345" s="704"/>
      <c r="BU345" s="704"/>
      <c r="BV345" s="705"/>
    </row>
    <row r="346" spans="1:74" ht="45" customHeight="1" x14ac:dyDescent="0.25">
      <c r="A346" s="10">
        <f t="shared" si="5"/>
        <v>332</v>
      </c>
      <c r="B346" s="662" t="s">
        <v>159</v>
      </c>
      <c r="C346" s="662"/>
      <c r="D346" s="663" t="s">
        <v>212</v>
      </c>
      <c r="E346" s="663"/>
      <c r="F346" s="664" t="s">
        <v>162</v>
      </c>
      <c r="G346" s="665"/>
      <c r="H346" s="754" t="s">
        <v>162</v>
      </c>
      <c r="I346" s="714"/>
      <c r="J346" s="715"/>
      <c r="K346" s="716"/>
      <c r="L346" s="715"/>
      <c r="M346" s="716"/>
      <c r="N346" s="215"/>
      <c r="O346" s="196"/>
      <c r="P346" s="670"/>
      <c r="Q346" s="671"/>
      <c r="R346" s="719"/>
      <c r="S346" s="720"/>
      <c r="T346" s="721"/>
      <c r="U346" s="722"/>
      <c r="V346" s="723"/>
      <c r="W346" s="724"/>
      <c r="X346" s="678" t="s">
        <v>159</v>
      </c>
      <c r="Y346" s="678"/>
      <c r="Z346" s="678"/>
      <c r="AA346" s="678"/>
      <c r="AB346" s="679" t="s">
        <v>159</v>
      </c>
      <c r="AC346" s="679"/>
      <c r="AD346" s="679"/>
      <c r="AE346" s="679"/>
      <c r="AF346" s="727"/>
      <c r="AG346" s="728"/>
      <c r="AH346" s="727"/>
      <c r="AI346" s="728"/>
      <c r="AJ346" s="682"/>
      <c r="AK346" s="683"/>
      <c r="AL346" s="684" t="s">
        <v>162</v>
      </c>
      <c r="AM346" s="685"/>
      <c r="AN346" s="666" t="s">
        <v>162</v>
      </c>
      <c r="AO346" s="667"/>
      <c r="AP346" s="729"/>
      <c r="AQ346" s="730"/>
      <c r="AR346" s="731"/>
      <c r="AS346" s="732"/>
      <c r="AT346" s="690"/>
      <c r="AU346" s="691"/>
      <c r="AV346" s="666" t="s">
        <v>162</v>
      </c>
      <c r="AW346" s="667"/>
      <c r="AX346" s="692"/>
      <c r="AY346" s="693"/>
      <c r="AZ346" s="694"/>
      <c r="BA346" s="735"/>
      <c r="BB346" s="736"/>
      <c r="BC346" s="14"/>
      <c r="BD346" s="695" t="s">
        <v>162</v>
      </c>
      <c r="BE346" s="696"/>
      <c r="BF346" s="739"/>
      <c r="BG346" s="740"/>
      <c r="BH346" s="740"/>
      <c r="BI346" s="741"/>
      <c r="BJ346" s="700" t="s">
        <v>159</v>
      </c>
      <c r="BK346" s="701"/>
      <c r="BL346" s="701"/>
      <c r="BM346" s="702"/>
      <c r="BN346" s="703" t="s">
        <v>159</v>
      </c>
      <c r="BO346" s="704"/>
      <c r="BP346" s="704"/>
      <c r="BQ346" s="704"/>
      <c r="BR346" s="704"/>
      <c r="BS346" s="704"/>
      <c r="BT346" s="704"/>
      <c r="BU346" s="704"/>
      <c r="BV346" s="705"/>
    </row>
    <row r="347" spans="1:74" ht="45" customHeight="1" x14ac:dyDescent="0.25">
      <c r="A347" s="10">
        <f t="shared" si="5"/>
        <v>333</v>
      </c>
      <c r="B347" s="711" t="s">
        <v>159</v>
      </c>
      <c r="C347" s="711"/>
      <c r="D347" s="712" t="s">
        <v>212</v>
      </c>
      <c r="E347" s="712"/>
      <c r="F347" s="664" t="s">
        <v>162</v>
      </c>
      <c r="G347" s="665"/>
      <c r="H347" s="755" t="s">
        <v>162</v>
      </c>
      <c r="I347" s="667"/>
      <c r="J347" s="706"/>
      <c r="K347" s="707"/>
      <c r="L347" s="706"/>
      <c r="M347" s="707"/>
      <c r="N347" s="194"/>
      <c r="O347" s="216"/>
      <c r="P347" s="717"/>
      <c r="Q347" s="718"/>
      <c r="R347" s="672"/>
      <c r="S347" s="673"/>
      <c r="T347" s="674"/>
      <c r="U347" s="675"/>
      <c r="V347" s="676"/>
      <c r="W347" s="677"/>
      <c r="X347" s="725" t="s">
        <v>159</v>
      </c>
      <c r="Y347" s="725"/>
      <c r="Z347" s="725"/>
      <c r="AA347" s="725"/>
      <c r="AB347" s="726" t="s">
        <v>159</v>
      </c>
      <c r="AC347" s="726"/>
      <c r="AD347" s="726"/>
      <c r="AE347" s="726"/>
      <c r="AF347" s="680"/>
      <c r="AG347" s="681"/>
      <c r="AH347" s="680"/>
      <c r="AI347" s="681"/>
      <c r="AJ347" s="686"/>
      <c r="AK347" s="687"/>
      <c r="AL347" s="664" t="s">
        <v>162</v>
      </c>
      <c r="AM347" s="665"/>
      <c r="AN347" s="713" t="s">
        <v>162</v>
      </c>
      <c r="AO347" s="714"/>
      <c r="AP347" s="686"/>
      <c r="AQ347" s="687"/>
      <c r="AR347" s="688"/>
      <c r="AS347" s="689"/>
      <c r="AT347" s="690"/>
      <c r="AU347" s="691"/>
      <c r="AV347" s="713" t="s">
        <v>162</v>
      </c>
      <c r="AW347" s="714"/>
      <c r="AX347" s="692"/>
      <c r="AY347" s="693"/>
      <c r="AZ347" s="694"/>
      <c r="BA347" s="682"/>
      <c r="BB347" s="683"/>
      <c r="BC347" s="219"/>
      <c r="BD347" s="737" t="s">
        <v>162</v>
      </c>
      <c r="BE347" s="738"/>
      <c r="BF347" s="697"/>
      <c r="BG347" s="698"/>
      <c r="BH347" s="698"/>
      <c r="BI347" s="699"/>
      <c r="BJ347" s="742" t="s">
        <v>159</v>
      </c>
      <c r="BK347" s="743"/>
      <c r="BL347" s="743"/>
      <c r="BM347" s="744"/>
      <c r="BN347" s="703" t="s">
        <v>159</v>
      </c>
      <c r="BO347" s="704"/>
      <c r="BP347" s="704"/>
      <c r="BQ347" s="704"/>
      <c r="BR347" s="704"/>
      <c r="BS347" s="704"/>
      <c r="BT347" s="704"/>
      <c r="BU347" s="704"/>
      <c r="BV347" s="705"/>
    </row>
    <row r="348" spans="1:74" ht="45" customHeight="1" x14ac:dyDescent="0.25">
      <c r="A348" s="10">
        <f t="shared" si="5"/>
        <v>334</v>
      </c>
      <c r="B348" s="662" t="s">
        <v>159</v>
      </c>
      <c r="C348" s="662"/>
      <c r="D348" s="663" t="s">
        <v>212</v>
      </c>
      <c r="E348" s="663"/>
      <c r="F348" s="664" t="s">
        <v>162</v>
      </c>
      <c r="G348" s="665"/>
      <c r="H348" s="754" t="s">
        <v>162</v>
      </c>
      <c r="I348" s="714"/>
      <c r="J348" s="715"/>
      <c r="K348" s="716"/>
      <c r="L348" s="715"/>
      <c r="M348" s="716"/>
      <c r="N348" s="215"/>
      <c r="O348" s="196"/>
      <c r="P348" s="670"/>
      <c r="Q348" s="671"/>
      <c r="R348" s="719"/>
      <c r="S348" s="720"/>
      <c r="T348" s="721"/>
      <c r="U348" s="722"/>
      <c r="V348" s="723"/>
      <c r="W348" s="724"/>
      <c r="X348" s="678" t="s">
        <v>159</v>
      </c>
      <c r="Y348" s="678"/>
      <c r="Z348" s="678"/>
      <c r="AA348" s="678"/>
      <c r="AB348" s="679" t="s">
        <v>159</v>
      </c>
      <c r="AC348" s="679"/>
      <c r="AD348" s="679"/>
      <c r="AE348" s="679"/>
      <c r="AF348" s="727"/>
      <c r="AG348" s="728"/>
      <c r="AH348" s="727"/>
      <c r="AI348" s="728"/>
      <c r="AJ348" s="682"/>
      <c r="AK348" s="683"/>
      <c r="AL348" s="684" t="s">
        <v>162</v>
      </c>
      <c r="AM348" s="685"/>
      <c r="AN348" s="666" t="s">
        <v>162</v>
      </c>
      <c r="AO348" s="667"/>
      <c r="AP348" s="729"/>
      <c r="AQ348" s="730"/>
      <c r="AR348" s="731"/>
      <c r="AS348" s="732"/>
      <c r="AT348" s="690"/>
      <c r="AU348" s="691"/>
      <c r="AV348" s="666" t="s">
        <v>162</v>
      </c>
      <c r="AW348" s="667"/>
      <c r="AX348" s="692"/>
      <c r="AY348" s="693"/>
      <c r="AZ348" s="694"/>
      <c r="BA348" s="735"/>
      <c r="BB348" s="736"/>
      <c r="BC348" s="14"/>
      <c r="BD348" s="695" t="s">
        <v>162</v>
      </c>
      <c r="BE348" s="696"/>
      <c r="BF348" s="739"/>
      <c r="BG348" s="740"/>
      <c r="BH348" s="740"/>
      <c r="BI348" s="741"/>
      <c r="BJ348" s="700" t="s">
        <v>159</v>
      </c>
      <c r="BK348" s="701"/>
      <c r="BL348" s="701"/>
      <c r="BM348" s="702"/>
      <c r="BN348" s="703" t="s">
        <v>159</v>
      </c>
      <c r="BO348" s="704"/>
      <c r="BP348" s="704"/>
      <c r="BQ348" s="704"/>
      <c r="BR348" s="704"/>
      <c r="BS348" s="704"/>
      <c r="BT348" s="704"/>
      <c r="BU348" s="704"/>
      <c r="BV348" s="705"/>
    </row>
    <row r="349" spans="1:74" ht="45" customHeight="1" x14ac:dyDescent="0.25">
      <c r="A349" s="10">
        <f t="shared" si="5"/>
        <v>335</v>
      </c>
      <c r="B349" s="711" t="s">
        <v>159</v>
      </c>
      <c r="C349" s="711"/>
      <c r="D349" s="712" t="s">
        <v>212</v>
      </c>
      <c r="E349" s="712"/>
      <c r="F349" s="664" t="s">
        <v>162</v>
      </c>
      <c r="G349" s="665"/>
      <c r="H349" s="755" t="s">
        <v>162</v>
      </c>
      <c r="I349" s="667"/>
      <c r="J349" s="706"/>
      <c r="K349" s="707"/>
      <c r="L349" s="706"/>
      <c r="M349" s="707"/>
      <c r="N349" s="194"/>
      <c r="O349" s="216"/>
      <c r="P349" s="717"/>
      <c r="Q349" s="718"/>
      <c r="R349" s="672"/>
      <c r="S349" s="673"/>
      <c r="T349" s="674"/>
      <c r="U349" s="675"/>
      <c r="V349" s="676"/>
      <c r="W349" s="677"/>
      <c r="X349" s="725" t="s">
        <v>159</v>
      </c>
      <c r="Y349" s="725"/>
      <c r="Z349" s="725"/>
      <c r="AA349" s="725"/>
      <c r="AB349" s="726" t="s">
        <v>159</v>
      </c>
      <c r="AC349" s="726"/>
      <c r="AD349" s="726"/>
      <c r="AE349" s="726"/>
      <c r="AF349" s="680"/>
      <c r="AG349" s="681"/>
      <c r="AH349" s="680"/>
      <c r="AI349" s="681"/>
      <c r="AJ349" s="686"/>
      <c r="AK349" s="687"/>
      <c r="AL349" s="664" t="s">
        <v>162</v>
      </c>
      <c r="AM349" s="665"/>
      <c r="AN349" s="713" t="s">
        <v>162</v>
      </c>
      <c r="AO349" s="714"/>
      <c r="AP349" s="686"/>
      <c r="AQ349" s="687"/>
      <c r="AR349" s="688"/>
      <c r="AS349" s="689"/>
      <c r="AT349" s="690"/>
      <c r="AU349" s="691"/>
      <c r="AV349" s="713" t="s">
        <v>162</v>
      </c>
      <c r="AW349" s="714"/>
      <c r="AX349" s="692"/>
      <c r="AY349" s="693"/>
      <c r="AZ349" s="694"/>
      <c r="BA349" s="682"/>
      <c r="BB349" s="683"/>
      <c r="BC349" s="219"/>
      <c r="BD349" s="737" t="s">
        <v>162</v>
      </c>
      <c r="BE349" s="738"/>
      <c r="BF349" s="708"/>
      <c r="BG349" s="709"/>
      <c r="BH349" s="709"/>
      <c r="BI349" s="710"/>
      <c r="BJ349" s="742" t="s">
        <v>159</v>
      </c>
      <c r="BK349" s="743"/>
      <c r="BL349" s="743"/>
      <c r="BM349" s="744"/>
      <c r="BN349" s="703" t="s">
        <v>159</v>
      </c>
      <c r="BO349" s="704"/>
      <c r="BP349" s="704"/>
      <c r="BQ349" s="704"/>
      <c r="BR349" s="704"/>
      <c r="BS349" s="704"/>
      <c r="BT349" s="704"/>
      <c r="BU349" s="704"/>
      <c r="BV349" s="705"/>
    </row>
    <row r="350" spans="1:74" ht="45" customHeight="1" x14ac:dyDescent="0.25">
      <c r="A350" s="10">
        <f t="shared" si="5"/>
        <v>336</v>
      </c>
      <c r="B350" s="662" t="s">
        <v>159</v>
      </c>
      <c r="C350" s="662"/>
      <c r="D350" s="663" t="s">
        <v>212</v>
      </c>
      <c r="E350" s="663"/>
      <c r="F350" s="664" t="s">
        <v>162</v>
      </c>
      <c r="G350" s="665"/>
      <c r="H350" s="754" t="s">
        <v>162</v>
      </c>
      <c r="I350" s="714"/>
      <c r="J350" s="715"/>
      <c r="K350" s="716"/>
      <c r="L350" s="715"/>
      <c r="M350" s="716"/>
      <c r="N350" s="215"/>
      <c r="O350" s="196"/>
      <c r="P350" s="670"/>
      <c r="Q350" s="671"/>
      <c r="R350" s="719"/>
      <c r="S350" s="720"/>
      <c r="T350" s="721"/>
      <c r="U350" s="722"/>
      <c r="V350" s="723"/>
      <c r="W350" s="724"/>
      <c r="X350" s="678" t="s">
        <v>159</v>
      </c>
      <c r="Y350" s="678"/>
      <c r="Z350" s="678"/>
      <c r="AA350" s="678"/>
      <c r="AB350" s="679" t="s">
        <v>159</v>
      </c>
      <c r="AC350" s="679"/>
      <c r="AD350" s="679"/>
      <c r="AE350" s="679"/>
      <c r="AF350" s="727"/>
      <c r="AG350" s="728"/>
      <c r="AH350" s="727"/>
      <c r="AI350" s="728"/>
      <c r="AJ350" s="682"/>
      <c r="AK350" s="683"/>
      <c r="AL350" s="684" t="s">
        <v>162</v>
      </c>
      <c r="AM350" s="685"/>
      <c r="AN350" s="666" t="s">
        <v>162</v>
      </c>
      <c r="AO350" s="667"/>
      <c r="AP350" s="729"/>
      <c r="AQ350" s="730"/>
      <c r="AR350" s="731"/>
      <c r="AS350" s="732"/>
      <c r="AT350" s="690"/>
      <c r="AU350" s="691"/>
      <c r="AV350" s="666" t="s">
        <v>162</v>
      </c>
      <c r="AW350" s="667"/>
      <c r="AX350" s="692"/>
      <c r="AY350" s="693"/>
      <c r="AZ350" s="694"/>
      <c r="BA350" s="735"/>
      <c r="BB350" s="736"/>
      <c r="BC350" s="14"/>
      <c r="BD350" s="695" t="s">
        <v>162</v>
      </c>
      <c r="BE350" s="696"/>
      <c r="BF350" s="739"/>
      <c r="BG350" s="740"/>
      <c r="BH350" s="740"/>
      <c r="BI350" s="741"/>
      <c r="BJ350" s="700" t="s">
        <v>159</v>
      </c>
      <c r="BK350" s="701"/>
      <c r="BL350" s="701"/>
      <c r="BM350" s="702"/>
      <c r="BN350" s="703" t="s">
        <v>159</v>
      </c>
      <c r="BO350" s="704"/>
      <c r="BP350" s="704"/>
      <c r="BQ350" s="704"/>
      <c r="BR350" s="704"/>
      <c r="BS350" s="704"/>
      <c r="BT350" s="704"/>
      <c r="BU350" s="704"/>
      <c r="BV350" s="705"/>
    </row>
    <row r="351" spans="1:74" ht="45" customHeight="1" x14ac:dyDescent="0.25">
      <c r="A351" s="10">
        <f t="shared" si="5"/>
        <v>337</v>
      </c>
      <c r="B351" s="711" t="s">
        <v>159</v>
      </c>
      <c r="C351" s="711"/>
      <c r="D351" s="712" t="s">
        <v>212</v>
      </c>
      <c r="E351" s="712"/>
      <c r="F351" s="664" t="s">
        <v>162</v>
      </c>
      <c r="G351" s="665"/>
      <c r="H351" s="755" t="s">
        <v>162</v>
      </c>
      <c r="I351" s="667"/>
      <c r="J351" s="706"/>
      <c r="K351" s="707"/>
      <c r="L351" s="706"/>
      <c r="M351" s="707"/>
      <c r="N351" s="194"/>
      <c r="O351" s="216"/>
      <c r="P351" s="717"/>
      <c r="Q351" s="718"/>
      <c r="R351" s="672"/>
      <c r="S351" s="673"/>
      <c r="T351" s="674"/>
      <c r="U351" s="675"/>
      <c r="V351" s="676"/>
      <c r="W351" s="677"/>
      <c r="X351" s="725" t="s">
        <v>159</v>
      </c>
      <c r="Y351" s="725"/>
      <c r="Z351" s="725"/>
      <c r="AA351" s="725"/>
      <c r="AB351" s="726" t="s">
        <v>159</v>
      </c>
      <c r="AC351" s="726"/>
      <c r="AD351" s="726"/>
      <c r="AE351" s="726"/>
      <c r="AF351" s="680"/>
      <c r="AG351" s="681"/>
      <c r="AH351" s="680"/>
      <c r="AI351" s="681"/>
      <c r="AJ351" s="686"/>
      <c r="AK351" s="687"/>
      <c r="AL351" s="664" t="s">
        <v>162</v>
      </c>
      <c r="AM351" s="665"/>
      <c r="AN351" s="713" t="s">
        <v>162</v>
      </c>
      <c r="AO351" s="714"/>
      <c r="AP351" s="686"/>
      <c r="AQ351" s="687"/>
      <c r="AR351" s="688"/>
      <c r="AS351" s="689"/>
      <c r="AT351" s="690"/>
      <c r="AU351" s="691"/>
      <c r="AV351" s="713" t="s">
        <v>162</v>
      </c>
      <c r="AW351" s="714"/>
      <c r="AX351" s="692"/>
      <c r="AY351" s="693"/>
      <c r="AZ351" s="694"/>
      <c r="BA351" s="682"/>
      <c r="BB351" s="683"/>
      <c r="BC351" s="219"/>
      <c r="BD351" s="695" t="s">
        <v>162</v>
      </c>
      <c r="BE351" s="696"/>
      <c r="BF351" s="697"/>
      <c r="BG351" s="698"/>
      <c r="BH351" s="698"/>
      <c r="BI351" s="699"/>
      <c r="BJ351" s="742" t="s">
        <v>159</v>
      </c>
      <c r="BK351" s="743"/>
      <c r="BL351" s="743"/>
      <c r="BM351" s="744"/>
      <c r="BN351" s="703" t="s">
        <v>159</v>
      </c>
      <c r="BO351" s="704"/>
      <c r="BP351" s="704"/>
      <c r="BQ351" s="704"/>
      <c r="BR351" s="704"/>
      <c r="BS351" s="704"/>
      <c r="BT351" s="704"/>
      <c r="BU351" s="704"/>
      <c r="BV351" s="705"/>
    </row>
    <row r="352" spans="1:74" ht="45" customHeight="1" x14ac:dyDescent="0.25">
      <c r="A352" s="10">
        <f t="shared" si="5"/>
        <v>338</v>
      </c>
      <c r="B352" s="662" t="s">
        <v>159</v>
      </c>
      <c r="C352" s="662"/>
      <c r="D352" s="663" t="s">
        <v>212</v>
      </c>
      <c r="E352" s="663"/>
      <c r="F352" s="664" t="s">
        <v>162</v>
      </c>
      <c r="G352" s="665"/>
      <c r="H352" s="754" t="s">
        <v>162</v>
      </c>
      <c r="I352" s="714"/>
      <c r="J352" s="715"/>
      <c r="K352" s="716"/>
      <c r="L352" s="715"/>
      <c r="M352" s="716"/>
      <c r="N352" s="215"/>
      <c r="O352" s="196"/>
      <c r="P352" s="670"/>
      <c r="Q352" s="671"/>
      <c r="R352" s="719"/>
      <c r="S352" s="720"/>
      <c r="T352" s="721"/>
      <c r="U352" s="722"/>
      <c r="V352" s="723"/>
      <c r="W352" s="724"/>
      <c r="X352" s="678" t="s">
        <v>159</v>
      </c>
      <c r="Y352" s="678"/>
      <c r="Z352" s="678"/>
      <c r="AA352" s="678"/>
      <c r="AB352" s="679" t="s">
        <v>159</v>
      </c>
      <c r="AC352" s="679"/>
      <c r="AD352" s="679"/>
      <c r="AE352" s="679"/>
      <c r="AF352" s="727"/>
      <c r="AG352" s="728"/>
      <c r="AH352" s="727"/>
      <c r="AI352" s="728"/>
      <c r="AJ352" s="682"/>
      <c r="AK352" s="683"/>
      <c r="AL352" s="684" t="s">
        <v>162</v>
      </c>
      <c r="AM352" s="685"/>
      <c r="AN352" s="666" t="s">
        <v>162</v>
      </c>
      <c r="AO352" s="667"/>
      <c r="AP352" s="729"/>
      <c r="AQ352" s="730"/>
      <c r="AR352" s="731"/>
      <c r="AS352" s="732"/>
      <c r="AT352" s="690"/>
      <c r="AU352" s="691"/>
      <c r="AV352" s="666" t="s">
        <v>162</v>
      </c>
      <c r="AW352" s="667"/>
      <c r="AX352" s="692"/>
      <c r="AY352" s="693"/>
      <c r="AZ352" s="694"/>
      <c r="BA352" s="735"/>
      <c r="BB352" s="736"/>
      <c r="BC352" s="14"/>
      <c r="BD352" s="737" t="s">
        <v>162</v>
      </c>
      <c r="BE352" s="738"/>
      <c r="BF352" s="739"/>
      <c r="BG352" s="740"/>
      <c r="BH352" s="740"/>
      <c r="BI352" s="741"/>
      <c r="BJ352" s="700" t="s">
        <v>159</v>
      </c>
      <c r="BK352" s="701"/>
      <c r="BL352" s="701"/>
      <c r="BM352" s="702"/>
      <c r="BN352" s="703" t="s">
        <v>159</v>
      </c>
      <c r="BO352" s="704"/>
      <c r="BP352" s="704"/>
      <c r="BQ352" s="704"/>
      <c r="BR352" s="704"/>
      <c r="BS352" s="704"/>
      <c r="BT352" s="704"/>
      <c r="BU352" s="704"/>
      <c r="BV352" s="705"/>
    </row>
    <row r="353" spans="1:74" ht="45" customHeight="1" x14ac:dyDescent="0.25">
      <c r="A353" s="10">
        <f t="shared" si="5"/>
        <v>339</v>
      </c>
      <c r="B353" s="711" t="s">
        <v>159</v>
      </c>
      <c r="C353" s="711"/>
      <c r="D353" s="712" t="s">
        <v>212</v>
      </c>
      <c r="E353" s="712"/>
      <c r="F353" s="664" t="s">
        <v>162</v>
      </c>
      <c r="G353" s="665"/>
      <c r="H353" s="755" t="s">
        <v>162</v>
      </c>
      <c r="I353" s="667"/>
      <c r="J353" s="706"/>
      <c r="K353" s="707"/>
      <c r="L353" s="706"/>
      <c r="M353" s="707"/>
      <c r="N353" s="194"/>
      <c r="O353" s="216"/>
      <c r="P353" s="717"/>
      <c r="Q353" s="718"/>
      <c r="R353" s="672"/>
      <c r="S353" s="673"/>
      <c r="T353" s="674"/>
      <c r="U353" s="675"/>
      <c r="V353" s="676"/>
      <c r="W353" s="677"/>
      <c r="X353" s="725" t="s">
        <v>159</v>
      </c>
      <c r="Y353" s="725"/>
      <c r="Z353" s="725"/>
      <c r="AA353" s="725"/>
      <c r="AB353" s="726" t="s">
        <v>159</v>
      </c>
      <c r="AC353" s="726"/>
      <c r="AD353" s="726"/>
      <c r="AE353" s="726"/>
      <c r="AF353" s="680"/>
      <c r="AG353" s="681"/>
      <c r="AH353" s="680"/>
      <c r="AI353" s="681"/>
      <c r="AJ353" s="686"/>
      <c r="AK353" s="687"/>
      <c r="AL353" s="664" t="s">
        <v>162</v>
      </c>
      <c r="AM353" s="665"/>
      <c r="AN353" s="713" t="s">
        <v>162</v>
      </c>
      <c r="AO353" s="714"/>
      <c r="AP353" s="686"/>
      <c r="AQ353" s="687"/>
      <c r="AR353" s="688"/>
      <c r="AS353" s="689"/>
      <c r="AT353" s="690"/>
      <c r="AU353" s="691"/>
      <c r="AV353" s="713" t="s">
        <v>162</v>
      </c>
      <c r="AW353" s="714"/>
      <c r="AX353" s="692"/>
      <c r="AY353" s="693"/>
      <c r="AZ353" s="694"/>
      <c r="BA353" s="682"/>
      <c r="BB353" s="683"/>
      <c r="BC353" s="219"/>
      <c r="BD353" s="695" t="s">
        <v>162</v>
      </c>
      <c r="BE353" s="696"/>
      <c r="BF353" s="708"/>
      <c r="BG353" s="709"/>
      <c r="BH353" s="709"/>
      <c r="BI353" s="710"/>
      <c r="BJ353" s="742" t="s">
        <v>159</v>
      </c>
      <c r="BK353" s="743"/>
      <c r="BL353" s="743"/>
      <c r="BM353" s="744"/>
      <c r="BN353" s="703" t="s">
        <v>159</v>
      </c>
      <c r="BO353" s="704"/>
      <c r="BP353" s="704"/>
      <c r="BQ353" s="704"/>
      <c r="BR353" s="704"/>
      <c r="BS353" s="704"/>
      <c r="BT353" s="704"/>
      <c r="BU353" s="704"/>
      <c r="BV353" s="705"/>
    </row>
    <row r="354" spans="1:74" ht="45" customHeight="1" x14ac:dyDescent="0.25">
      <c r="A354" s="10">
        <f t="shared" si="5"/>
        <v>340</v>
      </c>
      <c r="B354" s="662" t="s">
        <v>159</v>
      </c>
      <c r="C354" s="662"/>
      <c r="D354" s="663" t="s">
        <v>212</v>
      </c>
      <c r="E354" s="663"/>
      <c r="F354" s="664" t="s">
        <v>162</v>
      </c>
      <c r="G354" s="665"/>
      <c r="H354" s="754" t="s">
        <v>162</v>
      </c>
      <c r="I354" s="714"/>
      <c r="J354" s="715"/>
      <c r="K354" s="716"/>
      <c r="L354" s="715"/>
      <c r="M354" s="716"/>
      <c r="N354" s="215"/>
      <c r="O354" s="196"/>
      <c r="P354" s="670"/>
      <c r="Q354" s="671"/>
      <c r="R354" s="719"/>
      <c r="S354" s="720"/>
      <c r="T354" s="721"/>
      <c r="U354" s="722"/>
      <c r="V354" s="723"/>
      <c r="W354" s="724"/>
      <c r="X354" s="678" t="s">
        <v>159</v>
      </c>
      <c r="Y354" s="678"/>
      <c r="Z354" s="678"/>
      <c r="AA354" s="678"/>
      <c r="AB354" s="679" t="s">
        <v>159</v>
      </c>
      <c r="AC354" s="679"/>
      <c r="AD354" s="679"/>
      <c r="AE354" s="679"/>
      <c r="AF354" s="727"/>
      <c r="AG354" s="728"/>
      <c r="AH354" s="727"/>
      <c r="AI354" s="728"/>
      <c r="AJ354" s="682"/>
      <c r="AK354" s="683"/>
      <c r="AL354" s="684" t="s">
        <v>162</v>
      </c>
      <c r="AM354" s="685"/>
      <c r="AN354" s="666" t="s">
        <v>162</v>
      </c>
      <c r="AO354" s="667"/>
      <c r="AP354" s="729"/>
      <c r="AQ354" s="730"/>
      <c r="AR354" s="731"/>
      <c r="AS354" s="732"/>
      <c r="AT354" s="690"/>
      <c r="AU354" s="691"/>
      <c r="AV354" s="666" t="s">
        <v>162</v>
      </c>
      <c r="AW354" s="667"/>
      <c r="AX354" s="692"/>
      <c r="AY354" s="693"/>
      <c r="AZ354" s="694"/>
      <c r="BA354" s="735"/>
      <c r="BB354" s="736"/>
      <c r="BC354" s="14"/>
      <c r="BD354" s="695" t="s">
        <v>162</v>
      </c>
      <c r="BE354" s="696"/>
      <c r="BF354" s="739"/>
      <c r="BG354" s="740"/>
      <c r="BH354" s="740"/>
      <c r="BI354" s="741"/>
      <c r="BJ354" s="700" t="s">
        <v>159</v>
      </c>
      <c r="BK354" s="701"/>
      <c r="BL354" s="701"/>
      <c r="BM354" s="702"/>
      <c r="BN354" s="703" t="s">
        <v>159</v>
      </c>
      <c r="BO354" s="704"/>
      <c r="BP354" s="704"/>
      <c r="BQ354" s="704"/>
      <c r="BR354" s="704"/>
      <c r="BS354" s="704"/>
      <c r="BT354" s="704"/>
      <c r="BU354" s="704"/>
      <c r="BV354" s="705"/>
    </row>
    <row r="355" spans="1:74" ht="45" customHeight="1" x14ac:dyDescent="0.25">
      <c r="A355" s="10">
        <f t="shared" si="5"/>
        <v>341</v>
      </c>
      <c r="B355" s="711" t="s">
        <v>159</v>
      </c>
      <c r="C355" s="711"/>
      <c r="D355" s="712" t="s">
        <v>212</v>
      </c>
      <c r="E355" s="712"/>
      <c r="F355" s="664" t="s">
        <v>162</v>
      </c>
      <c r="G355" s="665"/>
      <c r="H355" s="755" t="s">
        <v>162</v>
      </c>
      <c r="I355" s="667"/>
      <c r="J355" s="706"/>
      <c r="K355" s="707"/>
      <c r="L355" s="706"/>
      <c r="M355" s="707"/>
      <c r="N355" s="194"/>
      <c r="O355" s="216"/>
      <c r="P355" s="717"/>
      <c r="Q355" s="718"/>
      <c r="R355" s="672"/>
      <c r="S355" s="673"/>
      <c r="T355" s="674"/>
      <c r="U355" s="675"/>
      <c r="V355" s="676"/>
      <c r="W355" s="677"/>
      <c r="X355" s="725" t="s">
        <v>159</v>
      </c>
      <c r="Y355" s="725"/>
      <c r="Z355" s="725"/>
      <c r="AA355" s="725"/>
      <c r="AB355" s="726" t="s">
        <v>159</v>
      </c>
      <c r="AC355" s="726"/>
      <c r="AD355" s="726"/>
      <c r="AE355" s="726"/>
      <c r="AF355" s="680"/>
      <c r="AG355" s="681"/>
      <c r="AH355" s="680"/>
      <c r="AI355" s="681"/>
      <c r="AJ355" s="686"/>
      <c r="AK355" s="687"/>
      <c r="AL355" s="664" t="s">
        <v>162</v>
      </c>
      <c r="AM355" s="665"/>
      <c r="AN355" s="713" t="s">
        <v>162</v>
      </c>
      <c r="AO355" s="714"/>
      <c r="AP355" s="686"/>
      <c r="AQ355" s="687"/>
      <c r="AR355" s="688"/>
      <c r="AS355" s="689"/>
      <c r="AT355" s="690"/>
      <c r="AU355" s="691"/>
      <c r="AV355" s="713" t="s">
        <v>162</v>
      </c>
      <c r="AW355" s="714"/>
      <c r="AX355" s="692"/>
      <c r="AY355" s="693"/>
      <c r="AZ355" s="694"/>
      <c r="BA355" s="682"/>
      <c r="BB355" s="683"/>
      <c r="BC355" s="219"/>
      <c r="BD355" s="737" t="s">
        <v>162</v>
      </c>
      <c r="BE355" s="738"/>
      <c r="BF355" s="708"/>
      <c r="BG355" s="709"/>
      <c r="BH355" s="709"/>
      <c r="BI355" s="710"/>
      <c r="BJ355" s="742" t="s">
        <v>159</v>
      </c>
      <c r="BK355" s="743"/>
      <c r="BL355" s="743"/>
      <c r="BM355" s="744"/>
      <c r="BN355" s="703" t="s">
        <v>159</v>
      </c>
      <c r="BO355" s="704"/>
      <c r="BP355" s="704"/>
      <c r="BQ355" s="704"/>
      <c r="BR355" s="704"/>
      <c r="BS355" s="704"/>
      <c r="BT355" s="704"/>
      <c r="BU355" s="704"/>
      <c r="BV355" s="705"/>
    </row>
    <row r="356" spans="1:74" ht="45" customHeight="1" x14ac:dyDescent="0.25">
      <c r="A356" s="10">
        <f t="shared" si="5"/>
        <v>342</v>
      </c>
      <c r="B356" s="662" t="s">
        <v>159</v>
      </c>
      <c r="C356" s="662"/>
      <c r="D356" s="663" t="s">
        <v>212</v>
      </c>
      <c r="E356" s="663"/>
      <c r="F356" s="664" t="s">
        <v>162</v>
      </c>
      <c r="G356" s="665"/>
      <c r="H356" s="754" t="s">
        <v>162</v>
      </c>
      <c r="I356" s="714"/>
      <c r="J356" s="715"/>
      <c r="K356" s="716"/>
      <c r="L356" s="715"/>
      <c r="M356" s="716"/>
      <c r="N356" s="215"/>
      <c r="O356" s="196"/>
      <c r="P356" s="670"/>
      <c r="Q356" s="671"/>
      <c r="R356" s="719"/>
      <c r="S356" s="720"/>
      <c r="T356" s="721"/>
      <c r="U356" s="722"/>
      <c r="V356" s="723"/>
      <c r="W356" s="724"/>
      <c r="X356" s="678" t="s">
        <v>159</v>
      </c>
      <c r="Y356" s="678"/>
      <c r="Z356" s="678"/>
      <c r="AA356" s="678"/>
      <c r="AB356" s="679" t="s">
        <v>159</v>
      </c>
      <c r="AC356" s="679"/>
      <c r="AD356" s="679"/>
      <c r="AE356" s="679"/>
      <c r="AF356" s="727"/>
      <c r="AG356" s="728"/>
      <c r="AH356" s="727"/>
      <c r="AI356" s="728"/>
      <c r="AJ356" s="682"/>
      <c r="AK356" s="683"/>
      <c r="AL356" s="684" t="s">
        <v>162</v>
      </c>
      <c r="AM356" s="685"/>
      <c r="AN356" s="666" t="s">
        <v>162</v>
      </c>
      <c r="AO356" s="667"/>
      <c r="AP356" s="729"/>
      <c r="AQ356" s="730"/>
      <c r="AR356" s="731"/>
      <c r="AS356" s="732"/>
      <c r="AT356" s="690"/>
      <c r="AU356" s="691"/>
      <c r="AV356" s="666" t="s">
        <v>162</v>
      </c>
      <c r="AW356" s="667"/>
      <c r="AX356" s="692"/>
      <c r="AY356" s="693"/>
      <c r="AZ356" s="694"/>
      <c r="BA356" s="735"/>
      <c r="BB356" s="736"/>
      <c r="BC356" s="14"/>
      <c r="BD356" s="695" t="s">
        <v>162</v>
      </c>
      <c r="BE356" s="696"/>
      <c r="BF356" s="739"/>
      <c r="BG356" s="740"/>
      <c r="BH356" s="740"/>
      <c r="BI356" s="741"/>
      <c r="BJ356" s="700" t="s">
        <v>159</v>
      </c>
      <c r="BK356" s="701"/>
      <c r="BL356" s="701"/>
      <c r="BM356" s="702"/>
      <c r="BN356" s="703" t="s">
        <v>159</v>
      </c>
      <c r="BO356" s="704"/>
      <c r="BP356" s="704"/>
      <c r="BQ356" s="704"/>
      <c r="BR356" s="704"/>
      <c r="BS356" s="704"/>
      <c r="BT356" s="704"/>
      <c r="BU356" s="704"/>
      <c r="BV356" s="705"/>
    </row>
    <row r="357" spans="1:74" ht="45" customHeight="1" x14ac:dyDescent="0.25">
      <c r="A357" s="10">
        <f t="shared" si="5"/>
        <v>343</v>
      </c>
      <c r="B357" s="711" t="s">
        <v>159</v>
      </c>
      <c r="C357" s="711"/>
      <c r="D357" s="712" t="s">
        <v>212</v>
      </c>
      <c r="E357" s="712"/>
      <c r="F357" s="664" t="s">
        <v>162</v>
      </c>
      <c r="G357" s="665"/>
      <c r="H357" s="755" t="s">
        <v>162</v>
      </c>
      <c r="I357" s="667"/>
      <c r="J357" s="706"/>
      <c r="K357" s="707"/>
      <c r="L357" s="706"/>
      <c r="M357" s="707"/>
      <c r="N357" s="194"/>
      <c r="O357" s="216"/>
      <c r="P357" s="717"/>
      <c r="Q357" s="718"/>
      <c r="R357" s="672"/>
      <c r="S357" s="673"/>
      <c r="T357" s="674"/>
      <c r="U357" s="675"/>
      <c r="V357" s="676"/>
      <c r="W357" s="677"/>
      <c r="X357" s="725" t="s">
        <v>159</v>
      </c>
      <c r="Y357" s="725"/>
      <c r="Z357" s="725"/>
      <c r="AA357" s="725"/>
      <c r="AB357" s="726" t="s">
        <v>159</v>
      </c>
      <c r="AC357" s="726"/>
      <c r="AD357" s="726"/>
      <c r="AE357" s="726"/>
      <c r="AF357" s="680"/>
      <c r="AG357" s="681"/>
      <c r="AH357" s="680"/>
      <c r="AI357" s="681"/>
      <c r="AJ357" s="686"/>
      <c r="AK357" s="687"/>
      <c r="AL357" s="664" t="s">
        <v>162</v>
      </c>
      <c r="AM357" s="665"/>
      <c r="AN357" s="713" t="s">
        <v>162</v>
      </c>
      <c r="AO357" s="714"/>
      <c r="AP357" s="686"/>
      <c r="AQ357" s="687"/>
      <c r="AR357" s="688"/>
      <c r="AS357" s="689"/>
      <c r="AT357" s="690"/>
      <c r="AU357" s="691"/>
      <c r="AV357" s="713" t="s">
        <v>162</v>
      </c>
      <c r="AW357" s="714"/>
      <c r="AX357" s="692"/>
      <c r="AY357" s="693"/>
      <c r="AZ357" s="694"/>
      <c r="BA357" s="682"/>
      <c r="BB357" s="683"/>
      <c r="BC357" s="219"/>
      <c r="BD357" s="737" t="s">
        <v>162</v>
      </c>
      <c r="BE357" s="738"/>
      <c r="BF357" s="697"/>
      <c r="BG357" s="698"/>
      <c r="BH357" s="698"/>
      <c r="BI357" s="699"/>
      <c r="BJ357" s="742" t="s">
        <v>159</v>
      </c>
      <c r="BK357" s="743"/>
      <c r="BL357" s="743"/>
      <c r="BM357" s="744"/>
      <c r="BN357" s="703" t="s">
        <v>159</v>
      </c>
      <c r="BO357" s="704"/>
      <c r="BP357" s="704"/>
      <c r="BQ357" s="704"/>
      <c r="BR357" s="704"/>
      <c r="BS357" s="704"/>
      <c r="BT357" s="704"/>
      <c r="BU357" s="704"/>
      <c r="BV357" s="705"/>
    </row>
    <row r="358" spans="1:74" ht="45" customHeight="1" x14ac:dyDescent="0.25">
      <c r="A358" s="10">
        <f t="shared" si="5"/>
        <v>344</v>
      </c>
      <c r="B358" s="662" t="s">
        <v>159</v>
      </c>
      <c r="C358" s="662"/>
      <c r="D358" s="663" t="s">
        <v>212</v>
      </c>
      <c r="E358" s="663"/>
      <c r="F358" s="664" t="s">
        <v>162</v>
      </c>
      <c r="G358" s="665"/>
      <c r="H358" s="754" t="s">
        <v>162</v>
      </c>
      <c r="I358" s="714"/>
      <c r="J358" s="715"/>
      <c r="K358" s="716"/>
      <c r="L358" s="715"/>
      <c r="M358" s="716"/>
      <c r="N358" s="215"/>
      <c r="O358" s="196"/>
      <c r="P358" s="670"/>
      <c r="Q358" s="671"/>
      <c r="R358" s="719"/>
      <c r="S358" s="720"/>
      <c r="T358" s="721"/>
      <c r="U358" s="722"/>
      <c r="V358" s="723"/>
      <c r="W358" s="724"/>
      <c r="X358" s="678" t="s">
        <v>159</v>
      </c>
      <c r="Y358" s="678"/>
      <c r="Z358" s="678"/>
      <c r="AA358" s="678"/>
      <c r="AB358" s="679" t="s">
        <v>159</v>
      </c>
      <c r="AC358" s="679"/>
      <c r="AD358" s="679"/>
      <c r="AE358" s="679"/>
      <c r="AF358" s="727"/>
      <c r="AG358" s="728"/>
      <c r="AH358" s="727"/>
      <c r="AI358" s="728"/>
      <c r="AJ358" s="682"/>
      <c r="AK358" s="683"/>
      <c r="AL358" s="684" t="s">
        <v>162</v>
      </c>
      <c r="AM358" s="685"/>
      <c r="AN358" s="666" t="s">
        <v>162</v>
      </c>
      <c r="AO358" s="667"/>
      <c r="AP358" s="729"/>
      <c r="AQ358" s="730"/>
      <c r="AR358" s="731"/>
      <c r="AS358" s="732"/>
      <c r="AT358" s="690"/>
      <c r="AU358" s="691"/>
      <c r="AV358" s="666" t="s">
        <v>162</v>
      </c>
      <c r="AW358" s="667"/>
      <c r="AX358" s="692"/>
      <c r="AY358" s="693"/>
      <c r="AZ358" s="694"/>
      <c r="BA358" s="735"/>
      <c r="BB358" s="736"/>
      <c r="BC358" s="14"/>
      <c r="BD358" s="695" t="s">
        <v>162</v>
      </c>
      <c r="BE358" s="696"/>
      <c r="BF358" s="739"/>
      <c r="BG358" s="740"/>
      <c r="BH358" s="740"/>
      <c r="BI358" s="741"/>
      <c r="BJ358" s="700" t="s">
        <v>159</v>
      </c>
      <c r="BK358" s="701"/>
      <c r="BL358" s="701"/>
      <c r="BM358" s="702"/>
      <c r="BN358" s="703" t="s">
        <v>159</v>
      </c>
      <c r="BO358" s="704"/>
      <c r="BP358" s="704"/>
      <c r="BQ358" s="704"/>
      <c r="BR358" s="704"/>
      <c r="BS358" s="704"/>
      <c r="BT358" s="704"/>
      <c r="BU358" s="704"/>
      <c r="BV358" s="705"/>
    </row>
    <row r="359" spans="1:74" ht="45" customHeight="1" x14ac:dyDescent="0.25">
      <c r="A359" s="10">
        <f t="shared" si="5"/>
        <v>345</v>
      </c>
      <c r="B359" s="711" t="s">
        <v>159</v>
      </c>
      <c r="C359" s="711"/>
      <c r="D359" s="712" t="s">
        <v>212</v>
      </c>
      <c r="E359" s="712"/>
      <c r="F359" s="664" t="s">
        <v>162</v>
      </c>
      <c r="G359" s="665"/>
      <c r="H359" s="755" t="s">
        <v>162</v>
      </c>
      <c r="I359" s="667"/>
      <c r="J359" s="706"/>
      <c r="K359" s="707"/>
      <c r="L359" s="706"/>
      <c r="M359" s="707"/>
      <c r="N359" s="194"/>
      <c r="O359" s="216"/>
      <c r="P359" s="717"/>
      <c r="Q359" s="718"/>
      <c r="R359" s="672"/>
      <c r="S359" s="673"/>
      <c r="T359" s="674"/>
      <c r="U359" s="675"/>
      <c r="V359" s="676"/>
      <c r="W359" s="677"/>
      <c r="X359" s="725" t="s">
        <v>159</v>
      </c>
      <c r="Y359" s="725"/>
      <c r="Z359" s="725"/>
      <c r="AA359" s="725"/>
      <c r="AB359" s="726" t="s">
        <v>159</v>
      </c>
      <c r="AC359" s="726"/>
      <c r="AD359" s="726"/>
      <c r="AE359" s="726"/>
      <c r="AF359" s="680"/>
      <c r="AG359" s="681"/>
      <c r="AH359" s="680"/>
      <c r="AI359" s="681"/>
      <c r="AJ359" s="686"/>
      <c r="AK359" s="687"/>
      <c r="AL359" s="664" t="s">
        <v>162</v>
      </c>
      <c r="AM359" s="665"/>
      <c r="AN359" s="713" t="s">
        <v>162</v>
      </c>
      <c r="AO359" s="714"/>
      <c r="AP359" s="686"/>
      <c r="AQ359" s="687"/>
      <c r="AR359" s="688"/>
      <c r="AS359" s="689"/>
      <c r="AT359" s="690"/>
      <c r="AU359" s="691"/>
      <c r="AV359" s="713" t="s">
        <v>162</v>
      </c>
      <c r="AW359" s="714"/>
      <c r="AX359" s="692"/>
      <c r="AY359" s="693"/>
      <c r="AZ359" s="694"/>
      <c r="BA359" s="682"/>
      <c r="BB359" s="683"/>
      <c r="BC359" s="219"/>
      <c r="BD359" s="737" t="s">
        <v>162</v>
      </c>
      <c r="BE359" s="738"/>
      <c r="BF359" s="708"/>
      <c r="BG359" s="709"/>
      <c r="BH359" s="709"/>
      <c r="BI359" s="710"/>
      <c r="BJ359" s="742" t="s">
        <v>159</v>
      </c>
      <c r="BK359" s="743"/>
      <c r="BL359" s="743"/>
      <c r="BM359" s="744"/>
      <c r="BN359" s="703" t="s">
        <v>159</v>
      </c>
      <c r="BO359" s="704"/>
      <c r="BP359" s="704"/>
      <c r="BQ359" s="704"/>
      <c r="BR359" s="704"/>
      <c r="BS359" s="704"/>
      <c r="BT359" s="704"/>
      <c r="BU359" s="704"/>
      <c r="BV359" s="705"/>
    </row>
    <row r="360" spans="1:74" ht="45" customHeight="1" x14ac:dyDescent="0.25">
      <c r="A360" s="10">
        <f t="shared" si="5"/>
        <v>346</v>
      </c>
      <c r="B360" s="662" t="s">
        <v>159</v>
      </c>
      <c r="C360" s="662"/>
      <c r="D360" s="663" t="s">
        <v>212</v>
      </c>
      <c r="E360" s="663"/>
      <c r="F360" s="664" t="s">
        <v>162</v>
      </c>
      <c r="G360" s="665"/>
      <c r="H360" s="754" t="s">
        <v>162</v>
      </c>
      <c r="I360" s="714"/>
      <c r="J360" s="715"/>
      <c r="K360" s="716"/>
      <c r="L360" s="715"/>
      <c r="M360" s="716"/>
      <c r="N360" s="215"/>
      <c r="O360" s="196"/>
      <c r="P360" s="670"/>
      <c r="Q360" s="671"/>
      <c r="R360" s="719"/>
      <c r="S360" s="720"/>
      <c r="T360" s="721"/>
      <c r="U360" s="722"/>
      <c r="V360" s="723"/>
      <c r="W360" s="724"/>
      <c r="X360" s="678" t="s">
        <v>159</v>
      </c>
      <c r="Y360" s="678"/>
      <c r="Z360" s="678"/>
      <c r="AA360" s="678"/>
      <c r="AB360" s="679" t="s">
        <v>159</v>
      </c>
      <c r="AC360" s="679"/>
      <c r="AD360" s="679"/>
      <c r="AE360" s="679"/>
      <c r="AF360" s="727"/>
      <c r="AG360" s="728"/>
      <c r="AH360" s="727"/>
      <c r="AI360" s="728"/>
      <c r="AJ360" s="682"/>
      <c r="AK360" s="683"/>
      <c r="AL360" s="684" t="s">
        <v>162</v>
      </c>
      <c r="AM360" s="685"/>
      <c r="AN360" s="666" t="s">
        <v>162</v>
      </c>
      <c r="AO360" s="667"/>
      <c r="AP360" s="729"/>
      <c r="AQ360" s="730"/>
      <c r="AR360" s="731"/>
      <c r="AS360" s="732"/>
      <c r="AT360" s="690"/>
      <c r="AU360" s="691"/>
      <c r="AV360" s="666" t="s">
        <v>162</v>
      </c>
      <c r="AW360" s="667"/>
      <c r="AX360" s="692"/>
      <c r="AY360" s="693"/>
      <c r="AZ360" s="694"/>
      <c r="BA360" s="735"/>
      <c r="BB360" s="736"/>
      <c r="BC360" s="14"/>
      <c r="BD360" s="695" t="s">
        <v>162</v>
      </c>
      <c r="BE360" s="696"/>
      <c r="BF360" s="739"/>
      <c r="BG360" s="740"/>
      <c r="BH360" s="740"/>
      <c r="BI360" s="741"/>
      <c r="BJ360" s="700" t="s">
        <v>159</v>
      </c>
      <c r="BK360" s="701"/>
      <c r="BL360" s="701"/>
      <c r="BM360" s="702"/>
      <c r="BN360" s="703" t="s">
        <v>159</v>
      </c>
      <c r="BO360" s="704"/>
      <c r="BP360" s="704"/>
      <c r="BQ360" s="704"/>
      <c r="BR360" s="704"/>
      <c r="BS360" s="704"/>
      <c r="BT360" s="704"/>
      <c r="BU360" s="704"/>
      <c r="BV360" s="705"/>
    </row>
    <row r="361" spans="1:74" ht="45" customHeight="1" x14ac:dyDescent="0.25">
      <c r="A361" s="10">
        <f t="shared" si="5"/>
        <v>347</v>
      </c>
      <c r="B361" s="711" t="s">
        <v>159</v>
      </c>
      <c r="C361" s="711"/>
      <c r="D361" s="712" t="s">
        <v>212</v>
      </c>
      <c r="E361" s="712"/>
      <c r="F361" s="664" t="s">
        <v>162</v>
      </c>
      <c r="G361" s="665"/>
      <c r="H361" s="755" t="s">
        <v>162</v>
      </c>
      <c r="I361" s="667"/>
      <c r="J361" s="706"/>
      <c r="K361" s="707"/>
      <c r="L361" s="706"/>
      <c r="M361" s="707"/>
      <c r="N361" s="194"/>
      <c r="O361" s="216"/>
      <c r="P361" s="717"/>
      <c r="Q361" s="718"/>
      <c r="R361" s="672"/>
      <c r="S361" s="673"/>
      <c r="T361" s="674"/>
      <c r="U361" s="675"/>
      <c r="V361" s="676"/>
      <c r="W361" s="677"/>
      <c r="X361" s="725" t="s">
        <v>159</v>
      </c>
      <c r="Y361" s="725"/>
      <c r="Z361" s="725"/>
      <c r="AA361" s="725"/>
      <c r="AB361" s="726" t="s">
        <v>159</v>
      </c>
      <c r="AC361" s="726"/>
      <c r="AD361" s="726"/>
      <c r="AE361" s="726"/>
      <c r="AF361" s="680"/>
      <c r="AG361" s="681"/>
      <c r="AH361" s="680"/>
      <c r="AI361" s="681"/>
      <c r="AJ361" s="686"/>
      <c r="AK361" s="687"/>
      <c r="AL361" s="664" t="s">
        <v>162</v>
      </c>
      <c r="AM361" s="665"/>
      <c r="AN361" s="713" t="s">
        <v>162</v>
      </c>
      <c r="AO361" s="714"/>
      <c r="AP361" s="686"/>
      <c r="AQ361" s="687"/>
      <c r="AR361" s="688"/>
      <c r="AS361" s="689"/>
      <c r="AT361" s="690"/>
      <c r="AU361" s="691"/>
      <c r="AV361" s="713" t="s">
        <v>162</v>
      </c>
      <c r="AW361" s="714"/>
      <c r="AX361" s="692"/>
      <c r="AY361" s="693"/>
      <c r="AZ361" s="694"/>
      <c r="BA361" s="682"/>
      <c r="BB361" s="683"/>
      <c r="BC361" s="219"/>
      <c r="BD361" s="737" t="s">
        <v>162</v>
      </c>
      <c r="BE361" s="738"/>
      <c r="BF361" s="697"/>
      <c r="BG361" s="698"/>
      <c r="BH361" s="698"/>
      <c r="BI361" s="699"/>
      <c r="BJ361" s="742" t="s">
        <v>159</v>
      </c>
      <c r="BK361" s="743"/>
      <c r="BL361" s="743"/>
      <c r="BM361" s="744"/>
      <c r="BN361" s="703" t="s">
        <v>159</v>
      </c>
      <c r="BO361" s="704"/>
      <c r="BP361" s="704"/>
      <c r="BQ361" s="704"/>
      <c r="BR361" s="704"/>
      <c r="BS361" s="704"/>
      <c r="BT361" s="704"/>
      <c r="BU361" s="704"/>
      <c r="BV361" s="705"/>
    </row>
    <row r="362" spans="1:74" ht="45" customHeight="1" x14ac:dyDescent="0.25">
      <c r="A362" s="10">
        <f t="shared" si="5"/>
        <v>348</v>
      </c>
      <c r="B362" s="662" t="s">
        <v>159</v>
      </c>
      <c r="C362" s="662"/>
      <c r="D362" s="663" t="s">
        <v>212</v>
      </c>
      <c r="E362" s="663"/>
      <c r="F362" s="664" t="s">
        <v>162</v>
      </c>
      <c r="G362" s="665"/>
      <c r="H362" s="754" t="s">
        <v>162</v>
      </c>
      <c r="I362" s="714"/>
      <c r="J362" s="715"/>
      <c r="K362" s="716"/>
      <c r="L362" s="715"/>
      <c r="M362" s="716"/>
      <c r="N362" s="215"/>
      <c r="O362" s="196"/>
      <c r="P362" s="670"/>
      <c r="Q362" s="671"/>
      <c r="R362" s="719"/>
      <c r="S362" s="720"/>
      <c r="T362" s="721"/>
      <c r="U362" s="722"/>
      <c r="V362" s="723"/>
      <c r="W362" s="724"/>
      <c r="X362" s="678" t="s">
        <v>159</v>
      </c>
      <c r="Y362" s="678"/>
      <c r="Z362" s="678"/>
      <c r="AA362" s="678"/>
      <c r="AB362" s="679" t="s">
        <v>159</v>
      </c>
      <c r="AC362" s="679"/>
      <c r="AD362" s="679"/>
      <c r="AE362" s="679"/>
      <c r="AF362" s="727"/>
      <c r="AG362" s="728"/>
      <c r="AH362" s="727"/>
      <c r="AI362" s="728"/>
      <c r="AJ362" s="682"/>
      <c r="AK362" s="683"/>
      <c r="AL362" s="684" t="s">
        <v>162</v>
      </c>
      <c r="AM362" s="685"/>
      <c r="AN362" s="666" t="s">
        <v>162</v>
      </c>
      <c r="AO362" s="667"/>
      <c r="AP362" s="729"/>
      <c r="AQ362" s="730"/>
      <c r="AR362" s="731"/>
      <c r="AS362" s="732"/>
      <c r="AT362" s="690"/>
      <c r="AU362" s="691"/>
      <c r="AV362" s="666" t="s">
        <v>162</v>
      </c>
      <c r="AW362" s="667"/>
      <c r="AX362" s="692"/>
      <c r="AY362" s="693"/>
      <c r="AZ362" s="694"/>
      <c r="BA362" s="735"/>
      <c r="BB362" s="736"/>
      <c r="BC362" s="14"/>
      <c r="BD362" s="695" t="s">
        <v>162</v>
      </c>
      <c r="BE362" s="696"/>
      <c r="BF362" s="739"/>
      <c r="BG362" s="740"/>
      <c r="BH362" s="740"/>
      <c r="BI362" s="741"/>
      <c r="BJ362" s="700" t="s">
        <v>159</v>
      </c>
      <c r="BK362" s="701"/>
      <c r="BL362" s="701"/>
      <c r="BM362" s="702"/>
      <c r="BN362" s="703" t="s">
        <v>159</v>
      </c>
      <c r="BO362" s="704"/>
      <c r="BP362" s="704"/>
      <c r="BQ362" s="704"/>
      <c r="BR362" s="704"/>
      <c r="BS362" s="704"/>
      <c r="BT362" s="704"/>
      <c r="BU362" s="704"/>
      <c r="BV362" s="705"/>
    </row>
    <row r="363" spans="1:74" ht="45" customHeight="1" x14ac:dyDescent="0.25">
      <c r="A363" s="10">
        <f t="shared" si="5"/>
        <v>349</v>
      </c>
      <c r="B363" s="711" t="s">
        <v>159</v>
      </c>
      <c r="C363" s="711"/>
      <c r="D363" s="712" t="s">
        <v>212</v>
      </c>
      <c r="E363" s="712"/>
      <c r="F363" s="664" t="s">
        <v>162</v>
      </c>
      <c r="G363" s="665"/>
      <c r="H363" s="755" t="s">
        <v>162</v>
      </c>
      <c r="I363" s="667"/>
      <c r="J363" s="706"/>
      <c r="K363" s="707"/>
      <c r="L363" s="706"/>
      <c r="M363" s="707"/>
      <c r="N363" s="194"/>
      <c r="O363" s="216"/>
      <c r="P363" s="717"/>
      <c r="Q363" s="718"/>
      <c r="R363" s="672"/>
      <c r="S363" s="673"/>
      <c r="T363" s="674"/>
      <c r="U363" s="675"/>
      <c r="V363" s="676"/>
      <c r="W363" s="677"/>
      <c r="X363" s="725" t="s">
        <v>159</v>
      </c>
      <c r="Y363" s="725"/>
      <c r="Z363" s="725"/>
      <c r="AA363" s="725"/>
      <c r="AB363" s="726" t="s">
        <v>159</v>
      </c>
      <c r="AC363" s="726"/>
      <c r="AD363" s="726"/>
      <c r="AE363" s="726"/>
      <c r="AF363" s="680"/>
      <c r="AG363" s="681"/>
      <c r="AH363" s="680"/>
      <c r="AI363" s="681"/>
      <c r="AJ363" s="686"/>
      <c r="AK363" s="687"/>
      <c r="AL363" s="664" t="s">
        <v>162</v>
      </c>
      <c r="AM363" s="665"/>
      <c r="AN363" s="713" t="s">
        <v>162</v>
      </c>
      <c r="AO363" s="714"/>
      <c r="AP363" s="686"/>
      <c r="AQ363" s="687"/>
      <c r="AR363" s="688"/>
      <c r="AS363" s="689"/>
      <c r="AT363" s="690"/>
      <c r="AU363" s="691"/>
      <c r="AV363" s="713" t="s">
        <v>162</v>
      </c>
      <c r="AW363" s="714"/>
      <c r="AX363" s="692"/>
      <c r="AY363" s="693"/>
      <c r="AZ363" s="694"/>
      <c r="BA363" s="682"/>
      <c r="BB363" s="683"/>
      <c r="BC363" s="219"/>
      <c r="BD363" s="737" t="s">
        <v>162</v>
      </c>
      <c r="BE363" s="738"/>
      <c r="BF363" s="708"/>
      <c r="BG363" s="709"/>
      <c r="BH363" s="709"/>
      <c r="BI363" s="710"/>
      <c r="BJ363" s="742" t="s">
        <v>159</v>
      </c>
      <c r="BK363" s="743"/>
      <c r="BL363" s="743"/>
      <c r="BM363" s="744"/>
      <c r="BN363" s="703" t="s">
        <v>159</v>
      </c>
      <c r="BO363" s="704"/>
      <c r="BP363" s="704"/>
      <c r="BQ363" s="704"/>
      <c r="BR363" s="704"/>
      <c r="BS363" s="704"/>
      <c r="BT363" s="704"/>
      <c r="BU363" s="704"/>
      <c r="BV363" s="705"/>
    </row>
    <row r="364" spans="1:74" ht="45" customHeight="1" x14ac:dyDescent="0.25">
      <c r="A364" s="10">
        <f t="shared" si="5"/>
        <v>350</v>
      </c>
      <c r="B364" s="662" t="s">
        <v>159</v>
      </c>
      <c r="C364" s="662"/>
      <c r="D364" s="663" t="s">
        <v>212</v>
      </c>
      <c r="E364" s="663"/>
      <c r="F364" s="664" t="s">
        <v>162</v>
      </c>
      <c r="G364" s="665"/>
      <c r="H364" s="754" t="s">
        <v>162</v>
      </c>
      <c r="I364" s="714"/>
      <c r="J364" s="715"/>
      <c r="K364" s="716"/>
      <c r="L364" s="715"/>
      <c r="M364" s="716"/>
      <c r="N364" s="215"/>
      <c r="O364" s="196"/>
      <c r="P364" s="670"/>
      <c r="Q364" s="671"/>
      <c r="R364" s="719"/>
      <c r="S364" s="720"/>
      <c r="T364" s="721"/>
      <c r="U364" s="722"/>
      <c r="V364" s="723"/>
      <c r="W364" s="724"/>
      <c r="X364" s="678" t="s">
        <v>159</v>
      </c>
      <c r="Y364" s="678"/>
      <c r="Z364" s="678"/>
      <c r="AA364" s="678"/>
      <c r="AB364" s="679" t="s">
        <v>159</v>
      </c>
      <c r="AC364" s="679"/>
      <c r="AD364" s="679"/>
      <c r="AE364" s="679"/>
      <c r="AF364" s="727"/>
      <c r="AG364" s="728"/>
      <c r="AH364" s="727"/>
      <c r="AI364" s="728"/>
      <c r="AJ364" s="682"/>
      <c r="AK364" s="683"/>
      <c r="AL364" s="684" t="s">
        <v>162</v>
      </c>
      <c r="AM364" s="685"/>
      <c r="AN364" s="666" t="s">
        <v>162</v>
      </c>
      <c r="AO364" s="667"/>
      <c r="AP364" s="729"/>
      <c r="AQ364" s="730"/>
      <c r="AR364" s="731"/>
      <c r="AS364" s="732"/>
      <c r="AT364" s="690"/>
      <c r="AU364" s="691"/>
      <c r="AV364" s="666" t="s">
        <v>162</v>
      </c>
      <c r="AW364" s="667"/>
      <c r="AX364" s="692"/>
      <c r="AY364" s="693"/>
      <c r="AZ364" s="694"/>
      <c r="BA364" s="735"/>
      <c r="BB364" s="736"/>
      <c r="BC364" s="14"/>
      <c r="BD364" s="695" t="s">
        <v>162</v>
      </c>
      <c r="BE364" s="696"/>
      <c r="BF364" s="739"/>
      <c r="BG364" s="740"/>
      <c r="BH364" s="740"/>
      <c r="BI364" s="741"/>
      <c r="BJ364" s="700" t="s">
        <v>159</v>
      </c>
      <c r="BK364" s="701"/>
      <c r="BL364" s="701"/>
      <c r="BM364" s="702"/>
      <c r="BN364" s="703" t="s">
        <v>159</v>
      </c>
      <c r="BO364" s="704"/>
      <c r="BP364" s="704"/>
      <c r="BQ364" s="704"/>
      <c r="BR364" s="704"/>
      <c r="BS364" s="704"/>
      <c r="BT364" s="704"/>
      <c r="BU364" s="704"/>
      <c r="BV364" s="705"/>
    </row>
    <row r="365" spans="1:74" ht="45" customHeight="1" x14ac:dyDescent="0.25">
      <c r="A365" s="10">
        <f t="shared" si="5"/>
        <v>351</v>
      </c>
      <c r="B365" s="711" t="s">
        <v>159</v>
      </c>
      <c r="C365" s="711"/>
      <c r="D365" s="712" t="s">
        <v>212</v>
      </c>
      <c r="E365" s="712"/>
      <c r="F365" s="664" t="s">
        <v>162</v>
      </c>
      <c r="G365" s="665"/>
      <c r="H365" s="755" t="s">
        <v>162</v>
      </c>
      <c r="I365" s="667"/>
      <c r="J365" s="706"/>
      <c r="K365" s="707"/>
      <c r="L365" s="706"/>
      <c r="M365" s="707"/>
      <c r="N365" s="194"/>
      <c r="O365" s="216"/>
      <c r="P365" s="717"/>
      <c r="Q365" s="718"/>
      <c r="R365" s="672"/>
      <c r="S365" s="673"/>
      <c r="T365" s="674"/>
      <c r="U365" s="675"/>
      <c r="V365" s="676"/>
      <c r="W365" s="677"/>
      <c r="X365" s="725" t="s">
        <v>159</v>
      </c>
      <c r="Y365" s="725"/>
      <c r="Z365" s="725"/>
      <c r="AA365" s="725"/>
      <c r="AB365" s="726" t="s">
        <v>159</v>
      </c>
      <c r="AC365" s="726"/>
      <c r="AD365" s="726"/>
      <c r="AE365" s="726"/>
      <c r="AF365" s="680"/>
      <c r="AG365" s="681"/>
      <c r="AH365" s="680"/>
      <c r="AI365" s="681"/>
      <c r="AJ365" s="686"/>
      <c r="AK365" s="687"/>
      <c r="AL365" s="664" t="s">
        <v>162</v>
      </c>
      <c r="AM365" s="665"/>
      <c r="AN365" s="713" t="s">
        <v>162</v>
      </c>
      <c r="AO365" s="714"/>
      <c r="AP365" s="686"/>
      <c r="AQ365" s="687"/>
      <c r="AR365" s="688"/>
      <c r="AS365" s="689"/>
      <c r="AT365" s="690"/>
      <c r="AU365" s="691"/>
      <c r="AV365" s="713" t="s">
        <v>162</v>
      </c>
      <c r="AW365" s="714"/>
      <c r="AX365" s="692"/>
      <c r="AY365" s="693"/>
      <c r="AZ365" s="694"/>
      <c r="BA365" s="682"/>
      <c r="BB365" s="683"/>
      <c r="BC365" s="219"/>
      <c r="BD365" s="737" t="s">
        <v>162</v>
      </c>
      <c r="BE365" s="738"/>
      <c r="BF365" s="708"/>
      <c r="BG365" s="709"/>
      <c r="BH365" s="709"/>
      <c r="BI365" s="710"/>
      <c r="BJ365" s="742" t="s">
        <v>159</v>
      </c>
      <c r="BK365" s="743"/>
      <c r="BL365" s="743"/>
      <c r="BM365" s="744"/>
      <c r="BN365" s="703" t="s">
        <v>159</v>
      </c>
      <c r="BO365" s="704"/>
      <c r="BP365" s="704"/>
      <c r="BQ365" s="704"/>
      <c r="BR365" s="704"/>
      <c r="BS365" s="704"/>
      <c r="BT365" s="704"/>
      <c r="BU365" s="704"/>
      <c r="BV365" s="705"/>
    </row>
    <row r="366" spans="1:74" ht="45" customHeight="1" x14ac:dyDescent="0.25">
      <c r="A366" s="10">
        <f t="shared" si="5"/>
        <v>352</v>
      </c>
      <c r="B366" s="662" t="s">
        <v>159</v>
      </c>
      <c r="C366" s="662"/>
      <c r="D366" s="663" t="s">
        <v>212</v>
      </c>
      <c r="E366" s="663"/>
      <c r="F366" s="664" t="s">
        <v>162</v>
      </c>
      <c r="G366" s="665"/>
      <c r="H366" s="754" t="s">
        <v>162</v>
      </c>
      <c r="I366" s="714"/>
      <c r="J366" s="715"/>
      <c r="K366" s="716"/>
      <c r="L366" s="715"/>
      <c r="M366" s="716"/>
      <c r="N366" s="215"/>
      <c r="O366" s="196"/>
      <c r="P366" s="670"/>
      <c r="Q366" s="671"/>
      <c r="R366" s="719"/>
      <c r="S366" s="720"/>
      <c r="T366" s="721"/>
      <c r="U366" s="722"/>
      <c r="V366" s="723"/>
      <c r="W366" s="724"/>
      <c r="X366" s="678" t="s">
        <v>159</v>
      </c>
      <c r="Y366" s="678"/>
      <c r="Z366" s="678"/>
      <c r="AA366" s="678"/>
      <c r="AB366" s="679" t="s">
        <v>159</v>
      </c>
      <c r="AC366" s="679"/>
      <c r="AD366" s="679"/>
      <c r="AE366" s="679"/>
      <c r="AF366" s="727"/>
      <c r="AG366" s="728"/>
      <c r="AH366" s="727"/>
      <c r="AI366" s="728"/>
      <c r="AJ366" s="682"/>
      <c r="AK366" s="683"/>
      <c r="AL366" s="684" t="s">
        <v>162</v>
      </c>
      <c r="AM366" s="685"/>
      <c r="AN366" s="666" t="s">
        <v>162</v>
      </c>
      <c r="AO366" s="667"/>
      <c r="AP366" s="729"/>
      <c r="AQ366" s="730"/>
      <c r="AR366" s="731"/>
      <c r="AS366" s="732"/>
      <c r="AT366" s="690"/>
      <c r="AU366" s="691"/>
      <c r="AV366" s="666" t="s">
        <v>162</v>
      </c>
      <c r="AW366" s="667"/>
      <c r="AX366" s="692"/>
      <c r="AY366" s="693"/>
      <c r="AZ366" s="694"/>
      <c r="BA366" s="735"/>
      <c r="BB366" s="736"/>
      <c r="BC366" s="14"/>
      <c r="BD366" s="695" t="s">
        <v>162</v>
      </c>
      <c r="BE366" s="696"/>
      <c r="BF366" s="739"/>
      <c r="BG366" s="740"/>
      <c r="BH366" s="740"/>
      <c r="BI366" s="741"/>
      <c r="BJ366" s="700" t="s">
        <v>159</v>
      </c>
      <c r="BK366" s="701"/>
      <c r="BL366" s="701"/>
      <c r="BM366" s="702"/>
      <c r="BN366" s="703" t="s">
        <v>159</v>
      </c>
      <c r="BO366" s="704"/>
      <c r="BP366" s="704"/>
      <c r="BQ366" s="704"/>
      <c r="BR366" s="704"/>
      <c r="BS366" s="704"/>
      <c r="BT366" s="704"/>
      <c r="BU366" s="704"/>
      <c r="BV366" s="705"/>
    </row>
    <row r="367" spans="1:74" ht="45" customHeight="1" x14ac:dyDescent="0.25">
      <c r="A367" s="10">
        <f t="shared" si="5"/>
        <v>353</v>
      </c>
      <c r="B367" s="711" t="s">
        <v>159</v>
      </c>
      <c r="C367" s="711"/>
      <c r="D367" s="712" t="s">
        <v>212</v>
      </c>
      <c r="E367" s="712"/>
      <c r="F367" s="664" t="s">
        <v>162</v>
      </c>
      <c r="G367" s="665"/>
      <c r="H367" s="755" t="s">
        <v>162</v>
      </c>
      <c r="I367" s="667"/>
      <c r="J367" s="706"/>
      <c r="K367" s="707"/>
      <c r="L367" s="706"/>
      <c r="M367" s="707"/>
      <c r="N367" s="194"/>
      <c r="O367" s="216"/>
      <c r="P367" s="717"/>
      <c r="Q367" s="718"/>
      <c r="R367" s="672"/>
      <c r="S367" s="673"/>
      <c r="T367" s="674"/>
      <c r="U367" s="675"/>
      <c r="V367" s="676"/>
      <c r="W367" s="677"/>
      <c r="X367" s="725" t="s">
        <v>159</v>
      </c>
      <c r="Y367" s="725"/>
      <c r="Z367" s="725"/>
      <c r="AA367" s="725"/>
      <c r="AB367" s="726" t="s">
        <v>159</v>
      </c>
      <c r="AC367" s="726"/>
      <c r="AD367" s="726"/>
      <c r="AE367" s="726"/>
      <c r="AF367" s="680"/>
      <c r="AG367" s="681"/>
      <c r="AH367" s="680"/>
      <c r="AI367" s="681"/>
      <c r="AJ367" s="686"/>
      <c r="AK367" s="687"/>
      <c r="AL367" s="664" t="s">
        <v>162</v>
      </c>
      <c r="AM367" s="665"/>
      <c r="AN367" s="713" t="s">
        <v>162</v>
      </c>
      <c r="AO367" s="714"/>
      <c r="AP367" s="686"/>
      <c r="AQ367" s="687"/>
      <c r="AR367" s="688"/>
      <c r="AS367" s="689"/>
      <c r="AT367" s="690"/>
      <c r="AU367" s="691"/>
      <c r="AV367" s="713" t="s">
        <v>162</v>
      </c>
      <c r="AW367" s="714"/>
      <c r="AX367" s="692"/>
      <c r="AY367" s="693"/>
      <c r="AZ367" s="694"/>
      <c r="BA367" s="682"/>
      <c r="BB367" s="683"/>
      <c r="BC367" s="219"/>
      <c r="BD367" s="737" t="s">
        <v>162</v>
      </c>
      <c r="BE367" s="738"/>
      <c r="BF367" s="697"/>
      <c r="BG367" s="698"/>
      <c r="BH367" s="698"/>
      <c r="BI367" s="699"/>
      <c r="BJ367" s="742" t="s">
        <v>159</v>
      </c>
      <c r="BK367" s="743"/>
      <c r="BL367" s="743"/>
      <c r="BM367" s="744"/>
      <c r="BN367" s="703" t="s">
        <v>159</v>
      </c>
      <c r="BO367" s="704"/>
      <c r="BP367" s="704"/>
      <c r="BQ367" s="704"/>
      <c r="BR367" s="704"/>
      <c r="BS367" s="704"/>
      <c r="BT367" s="704"/>
      <c r="BU367" s="704"/>
      <c r="BV367" s="705"/>
    </row>
    <row r="368" spans="1:74" ht="45" customHeight="1" x14ac:dyDescent="0.25">
      <c r="A368" s="10">
        <f t="shared" si="5"/>
        <v>354</v>
      </c>
      <c r="B368" s="662" t="s">
        <v>159</v>
      </c>
      <c r="C368" s="662"/>
      <c r="D368" s="663" t="s">
        <v>212</v>
      </c>
      <c r="E368" s="663"/>
      <c r="F368" s="664" t="s">
        <v>162</v>
      </c>
      <c r="G368" s="665"/>
      <c r="H368" s="754" t="s">
        <v>162</v>
      </c>
      <c r="I368" s="714"/>
      <c r="J368" s="715"/>
      <c r="K368" s="716"/>
      <c r="L368" s="715"/>
      <c r="M368" s="716"/>
      <c r="N368" s="215"/>
      <c r="O368" s="196"/>
      <c r="P368" s="670"/>
      <c r="Q368" s="671"/>
      <c r="R368" s="719"/>
      <c r="S368" s="720"/>
      <c r="T368" s="721"/>
      <c r="U368" s="722"/>
      <c r="V368" s="723"/>
      <c r="W368" s="724"/>
      <c r="X368" s="678" t="s">
        <v>159</v>
      </c>
      <c r="Y368" s="678"/>
      <c r="Z368" s="678"/>
      <c r="AA368" s="678"/>
      <c r="AB368" s="679" t="s">
        <v>159</v>
      </c>
      <c r="AC368" s="679"/>
      <c r="AD368" s="679"/>
      <c r="AE368" s="679"/>
      <c r="AF368" s="727"/>
      <c r="AG368" s="728"/>
      <c r="AH368" s="727"/>
      <c r="AI368" s="728"/>
      <c r="AJ368" s="682"/>
      <c r="AK368" s="683"/>
      <c r="AL368" s="684" t="s">
        <v>162</v>
      </c>
      <c r="AM368" s="685"/>
      <c r="AN368" s="666" t="s">
        <v>162</v>
      </c>
      <c r="AO368" s="667"/>
      <c r="AP368" s="729"/>
      <c r="AQ368" s="730"/>
      <c r="AR368" s="731"/>
      <c r="AS368" s="732"/>
      <c r="AT368" s="690"/>
      <c r="AU368" s="691"/>
      <c r="AV368" s="666" t="s">
        <v>162</v>
      </c>
      <c r="AW368" s="667"/>
      <c r="AX368" s="692"/>
      <c r="AY368" s="693"/>
      <c r="AZ368" s="694"/>
      <c r="BA368" s="735"/>
      <c r="BB368" s="736"/>
      <c r="BC368" s="14"/>
      <c r="BD368" s="695" t="s">
        <v>162</v>
      </c>
      <c r="BE368" s="696"/>
      <c r="BF368" s="739"/>
      <c r="BG368" s="740"/>
      <c r="BH368" s="740"/>
      <c r="BI368" s="741"/>
      <c r="BJ368" s="700" t="s">
        <v>159</v>
      </c>
      <c r="BK368" s="701"/>
      <c r="BL368" s="701"/>
      <c r="BM368" s="702"/>
      <c r="BN368" s="703" t="s">
        <v>159</v>
      </c>
      <c r="BO368" s="704"/>
      <c r="BP368" s="704"/>
      <c r="BQ368" s="704"/>
      <c r="BR368" s="704"/>
      <c r="BS368" s="704"/>
      <c r="BT368" s="704"/>
      <c r="BU368" s="704"/>
      <c r="BV368" s="705"/>
    </row>
    <row r="369" spans="1:74" ht="45" customHeight="1" x14ac:dyDescent="0.25">
      <c r="A369" s="10">
        <f t="shared" si="5"/>
        <v>355</v>
      </c>
      <c r="B369" s="711" t="s">
        <v>159</v>
      </c>
      <c r="C369" s="711"/>
      <c r="D369" s="712" t="s">
        <v>212</v>
      </c>
      <c r="E369" s="712"/>
      <c r="F369" s="664" t="s">
        <v>162</v>
      </c>
      <c r="G369" s="665"/>
      <c r="H369" s="755" t="s">
        <v>162</v>
      </c>
      <c r="I369" s="667"/>
      <c r="J369" s="706"/>
      <c r="K369" s="707"/>
      <c r="L369" s="706"/>
      <c r="M369" s="707"/>
      <c r="N369" s="194"/>
      <c r="O369" s="216"/>
      <c r="P369" s="717"/>
      <c r="Q369" s="718"/>
      <c r="R369" s="672"/>
      <c r="S369" s="673"/>
      <c r="T369" s="674"/>
      <c r="U369" s="675"/>
      <c r="V369" s="676"/>
      <c r="W369" s="677"/>
      <c r="X369" s="725" t="s">
        <v>159</v>
      </c>
      <c r="Y369" s="725"/>
      <c r="Z369" s="725"/>
      <c r="AA369" s="725"/>
      <c r="AB369" s="726" t="s">
        <v>159</v>
      </c>
      <c r="AC369" s="726"/>
      <c r="AD369" s="726"/>
      <c r="AE369" s="726"/>
      <c r="AF369" s="680"/>
      <c r="AG369" s="681"/>
      <c r="AH369" s="680"/>
      <c r="AI369" s="681"/>
      <c r="AJ369" s="686"/>
      <c r="AK369" s="687"/>
      <c r="AL369" s="664" t="s">
        <v>162</v>
      </c>
      <c r="AM369" s="665"/>
      <c r="AN369" s="713" t="s">
        <v>162</v>
      </c>
      <c r="AO369" s="714"/>
      <c r="AP369" s="686"/>
      <c r="AQ369" s="687"/>
      <c r="AR369" s="688"/>
      <c r="AS369" s="689"/>
      <c r="AT369" s="690"/>
      <c r="AU369" s="691"/>
      <c r="AV369" s="713" t="s">
        <v>162</v>
      </c>
      <c r="AW369" s="714"/>
      <c r="AX369" s="692"/>
      <c r="AY369" s="693"/>
      <c r="AZ369" s="694"/>
      <c r="BA369" s="682"/>
      <c r="BB369" s="683"/>
      <c r="BC369" s="219"/>
      <c r="BD369" s="737" t="s">
        <v>162</v>
      </c>
      <c r="BE369" s="738"/>
      <c r="BF369" s="708"/>
      <c r="BG369" s="709"/>
      <c r="BH369" s="709"/>
      <c r="BI369" s="710"/>
      <c r="BJ369" s="742" t="s">
        <v>159</v>
      </c>
      <c r="BK369" s="743"/>
      <c r="BL369" s="743"/>
      <c r="BM369" s="744"/>
      <c r="BN369" s="703" t="s">
        <v>159</v>
      </c>
      <c r="BO369" s="704"/>
      <c r="BP369" s="704"/>
      <c r="BQ369" s="704"/>
      <c r="BR369" s="704"/>
      <c r="BS369" s="704"/>
      <c r="BT369" s="704"/>
      <c r="BU369" s="704"/>
      <c r="BV369" s="705"/>
    </row>
    <row r="370" spans="1:74" ht="45" customHeight="1" x14ac:dyDescent="0.25">
      <c r="A370" s="10">
        <f t="shared" si="5"/>
        <v>356</v>
      </c>
      <c r="B370" s="662" t="s">
        <v>159</v>
      </c>
      <c r="C370" s="662"/>
      <c r="D370" s="663" t="s">
        <v>212</v>
      </c>
      <c r="E370" s="663"/>
      <c r="F370" s="664" t="s">
        <v>162</v>
      </c>
      <c r="G370" s="665"/>
      <c r="H370" s="754" t="s">
        <v>162</v>
      </c>
      <c r="I370" s="714"/>
      <c r="J370" s="715"/>
      <c r="K370" s="716"/>
      <c r="L370" s="715"/>
      <c r="M370" s="716"/>
      <c r="N370" s="215"/>
      <c r="O370" s="196"/>
      <c r="P370" s="670"/>
      <c r="Q370" s="671"/>
      <c r="R370" s="719"/>
      <c r="S370" s="720"/>
      <c r="T370" s="721"/>
      <c r="U370" s="722"/>
      <c r="V370" s="723"/>
      <c r="W370" s="724"/>
      <c r="X370" s="678" t="s">
        <v>159</v>
      </c>
      <c r="Y370" s="678"/>
      <c r="Z370" s="678"/>
      <c r="AA370" s="678"/>
      <c r="AB370" s="679" t="s">
        <v>159</v>
      </c>
      <c r="AC370" s="679"/>
      <c r="AD370" s="679"/>
      <c r="AE370" s="679"/>
      <c r="AF370" s="727"/>
      <c r="AG370" s="728"/>
      <c r="AH370" s="727"/>
      <c r="AI370" s="728"/>
      <c r="AJ370" s="682"/>
      <c r="AK370" s="683"/>
      <c r="AL370" s="684" t="s">
        <v>162</v>
      </c>
      <c r="AM370" s="685"/>
      <c r="AN370" s="666" t="s">
        <v>162</v>
      </c>
      <c r="AO370" s="667"/>
      <c r="AP370" s="729"/>
      <c r="AQ370" s="730"/>
      <c r="AR370" s="731"/>
      <c r="AS370" s="732"/>
      <c r="AT370" s="690"/>
      <c r="AU370" s="691"/>
      <c r="AV370" s="666" t="s">
        <v>162</v>
      </c>
      <c r="AW370" s="667"/>
      <c r="AX370" s="692"/>
      <c r="AY370" s="693"/>
      <c r="AZ370" s="694"/>
      <c r="BA370" s="735"/>
      <c r="BB370" s="736"/>
      <c r="BC370" s="14"/>
      <c r="BD370" s="695" t="s">
        <v>162</v>
      </c>
      <c r="BE370" s="696"/>
      <c r="BF370" s="739"/>
      <c r="BG370" s="740"/>
      <c r="BH370" s="740"/>
      <c r="BI370" s="741"/>
      <c r="BJ370" s="700" t="s">
        <v>159</v>
      </c>
      <c r="BK370" s="701"/>
      <c r="BL370" s="701"/>
      <c r="BM370" s="702"/>
      <c r="BN370" s="703" t="s">
        <v>159</v>
      </c>
      <c r="BO370" s="704"/>
      <c r="BP370" s="704"/>
      <c r="BQ370" s="704"/>
      <c r="BR370" s="704"/>
      <c r="BS370" s="704"/>
      <c r="BT370" s="704"/>
      <c r="BU370" s="704"/>
      <c r="BV370" s="705"/>
    </row>
    <row r="371" spans="1:74" ht="45" customHeight="1" x14ac:dyDescent="0.25">
      <c r="A371" s="10">
        <f t="shared" si="5"/>
        <v>357</v>
      </c>
      <c r="B371" s="711" t="s">
        <v>159</v>
      </c>
      <c r="C371" s="711"/>
      <c r="D371" s="712" t="s">
        <v>212</v>
      </c>
      <c r="E371" s="712"/>
      <c r="F371" s="664" t="s">
        <v>162</v>
      </c>
      <c r="G371" s="665"/>
      <c r="H371" s="755" t="s">
        <v>162</v>
      </c>
      <c r="I371" s="667"/>
      <c r="J371" s="706"/>
      <c r="K371" s="707"/>
      <c r="L371" s="706"/>
      <c r="M371" s="707"/>
      <c r="N371" s="194"/>
      <c r="O371" s="216"/>
      <c r="P371" s="717"/>
      <c r="Q371" s="718"/>
      <c r="R371" s="672"/>
      <c r="S371" s="673"/>
      <c r="T371" s="674"/>
      <c r="U371" s="675"/>
      <c r="V371" s="676"/>
      <c r="W371" s="677"/>
      <c r="X371" s="725" t="s">
        <v>159</v>
      </c>
      <c r="Y371" s="725"/>
      <c r="Z371" s="725"/>
      <c r="AA371" s="725"/>
      <c r="AB371" s="726" t="s">
        <v>159</v>
      </c>
      <c r="AC371" s="726"/>
      <c r="AD371" s="726"/>
      <c r="AE371" s="726"/>
      <c r="AF371" s="680"/>
      <c r="AG371" s="681"/>
      <c r="AH371" s="680"/>
      <c r="AI371" s="681"/>
      <c r="AJ371" s="686"/>
      <c r="AK371" s="687"/>
      <c r="AL371" s="664" t="s">
        <v>162</v>
      </c>
      <c r="AM371" s="665"/>
      <c r="AN371" s="713" t="s">
        <v>162</v>
      </c>
      <c r="AO371" s="714"/>
      <c r="AP371" s="686"/>
      <c r="AQ371" s="687"/>
      <c r="AR371" s="688"/>
      <c r="AS371" s="689"/>
      <c r="AT371" s="690"/>
      <c r="AU371" s="691"/>
      <c r="AV371" s="713" t="s">
        <v>162</v>
      </c>
      <c r="AW371" s="714"/>
      <c r="AX371" s="692"/>
      <c r="AY371" s="693"/>
      <c r="AZ371" s="694"/>
      <c r="BA371" s="682"/>
      <c r="BB371" s="683"/>
      <c r="BC371" s="219"/>
      <c r="BD371" s="737" t="s">
        <v>162</v>
      </c>
      <c r="BE371" s="738"/>
      <c r="BF371" s="697"/>
      <c r="BG371" s="698"/>
      <c r="BH371" s="698"/>
      <c r="BI371" s="699"/>
      <c r="BJ371" s="742" t="s">
        <v>159</v>
      </c>
      <c r="BK371" s="743"/>
      <c r="BL371" s="743"/>
      <c r="BM371" s="744"/>
      <c r="BN371" s="703" t="s">
        <v>159</v>
      </c>
      <c r="BO371" s="704"/>
      <c r="BP371" s="704"/>
      <c r="BQ371" s="704"/>
      <c r="BR371" s="704"/>
      <c r="BS371" s="704"/>
      <c r="BT371" s="704"/>
      <c r="BU371" s="704"/>
      <c r="BV371" s="705"/>
    </row>
    <row r="372" spans="1:74" ht="45" customHeight="1" x14ac:dyDescent="0.25">
      <c r="A372" s="10">
        <f t="shared" si="5"/>
        <v>358</v>
      </c>
      <c r="B372" s="662" t="s">
        <v>159</v>
      </c>
      <c r="C372" s="662"/>
      <c r="D372" s="663" t="s">
        <v>212</v>
      </c>
      <c r="E372" s="663"/>
      <c r="F372" s="664" t="s">
        <v>162</v>
      </c>
      <c r="G372" s="665"/>
      <c r="H372" s="754" t="s">
        <v>162</v>
      </c>
      <c r="I372" s="714"/>
      <c r="J372" s="715"/>
      <c r="K372" s="716"/>
      <c r="L372" s="715"/>
      <c r="M372" s="716"/>
      <c r="N372" s="215"/>
      <c r="O372" s="196"/>
      <c r="P372" s="670"/>
      <c r="Q372" s="671"/>
      <c r="R372" s="719"/>
      <c r="S372" s="720"/>
      <c r="T372" s="721"/>
      <c r="U372" s="722"/>
      <c r="V372" s="723"/>
      <c r="W372" s="724"/>
      <c r="X372" s="678" t="s">
        <v>159</v>
      </c>
      <c r="Y372" s="678"/>
      <c r="Z372" s="678"/>
      <c r="AA372" s="678"/>
      <c r="AB372" s="679" t="s">
        <v>159</v>
      </c>
      <c r="AC372" s="679"/>
      <c r="AD372" s="679"/>
      <c r="AE372" s="679"/>
      <c r="AF372" s="727"/>
      <c r="AG372" s="728"/>
      <c r="AH372" s="727"/>
      <c r="AI372" s="728"/>
      <c r="AJ372" s="682"/>
      <c r="AK372" s="683"/>
      <c r="AL372" s="684" t="s">
        <v>162</v>
      </c>
      <c r="AM372" s="685"/>
      <c r="AN372" s="666" t="s">
        <v>162</v>
      </c>
      <c r="AO372" s="667"/>
      <c r="AP372" s="729"/>
      <c r="AQ372" s="730"/>
      <c r="AR372" s="731"/>
      <c r="AS372" s="732"/>
      <c r="AT372" s="690"/>
      <c r="AU372" s="691"/>
      <c r="AV372" s="666" t="s">
        <v>162</v>
      </c>
      <c r="AW372" s="667"/>
      <c r="AX372" s="692"/>
      <c r="AY372" s="693"/>
      <c r="AZ372" s="694"/>
      <c r="BA372" s="735"/>
      <c r="BB372" s="736"/>
      <c r="BC372" s="14"/>
      <c r="BD372" s="695" t="s">
        <v>162</v>
      </c>
      <c r="BE372" s="696"/>
      <c r="BF372" s="739"/>
      <c r="BG372" s="740"/>
      <c r="BH372" s="740"/>
      <c r="BI372" s="741"/>
      <c r="BJ372" s="700" t="s">
        <v>159</v>
      </c>
      <c r="BK372" s="701"/>
      <c r="BL372" s="701"/>
      <c r="BM372" s="702"/>
      <c r="BN372" s="703" t="s">
        <v>159</v>
      </c>
      <c r="BO372" s="704"/>
      <c r="BP372" s="704"/>
      <c r="BQ372" s="704"/>
      <c r="BR372" s="704"/>
      <c r="BS372" s="704"/>
      <c r="BT372" s="704"/>
      <c r="BU372" s="704"/>
      <c r="BV372" s="705"/>
    </row>
    <row r="373" spans="1:74" ht="45" customHeight="1" x14ac:dyDescent="0.25">
      <c r="A373" s="10">
        <f t="shared" si="5"/>
        <v>359</v>
      </c>
      <c r="B373" s="711" t="s">
        <v>159</v>
      </c>
      <c r="C373" s="711"/>
      <c r="D373" s="712" t="s">
        <v>212</v>
      </c>
      <c r="E373" s="712"/>
      <c r="F373" s="664" t="s">
        <v>162</v>
      </c>
      <c r="G373" s="665"/>
      <c r="H373" s="755" t="s">
        <v>162</v>
      </c>
      <c r="I373" s="667"/>
      <c r="J373" s="706"/>
      <c r="K373" s="707"/>
      <c r="L373" s="706"/>
      <c r="M373" s="707"/>
      <c r="N373" s="194"/>
      <c r="O373" s="216"/>
      <c r="P373" s="717"/>
      <c r="Q373" s="718"/>
      <c r="R373" s="672"/>
      <c r="S373" s="673"/>
      <c r="T373" s="674"/>
      <c r="U373" s="675"/>
      <c r="V373" s="676"/>
      <c r="W373" s="677"/>
      <c r="X373" s="725" t="s">
        <v>159</v>
      </c>
      <c r="Y373" s="725"/>
      <c r="Z373" s="725"/>
      <c r="AA373" s="725"/>
      <c r="AB373" s="726" t="s">
        <v>159</v>
      </c>
      <c r="AC373" s="726"/>
      <c r="AD373" s="726"/>
      <c r="AE373" s="726"/>
      <c r="AF373" s="680"/>
      <c r="AG373" s="681"/>
      <c r="AH373" s="680"/>
      <c r="AI373" s="681"/>
      <c r="AJ373" s="686"/>
      <c r="AK373" s="687"/>
      <c r="AL373" s="664" t="s">
        <v>162</v>
      </c>
      <c r="AM373" s="665"/>
      <c r="AN373" s="713" t="s">
        <v>162</v>
      </c>
      <c r="AO373" s="714"/>
      <c r="AP373" s="686"/>
      <c r="AQ373" s="687"/>
      <c r="AR373" s="688"/>
      <c r="AS373" s="689"/>
      <c r="AT373" s="690"/>
      <c r="AU373" s="691"/>
      <c r="AV373" s="713" t="s">
        <v>162</v>
      </c>
      <c r="AW373" s="714"/>
      <c r="AX373" s="692"/>
      <c r="AY373" s="693"/>
      <c r="AZ373" s="694"/>
      <c r="BA373" s="682"/>
      <c r="BB373" s="683"/>
      <c r="BC373" s="219"/>
      <c r="BD373" s="737" t="s">
        <v>162</v>
      </c>
      <c r="BE373" s="738"/>
      <c r="BF373" s="708"/>
      <c r="BG373" s="709"/>
      <c r="BH373" s="709"/>
      <c r="BI373" s="710"/>
      <c r="BJ373" s="742" t="s">
        <v>159</v>
      </c>
      <c r="BK373" s="743"/>
      <c r="BL373" s="743"/>
      <c r="BM373" s="744"/>
      <c r="BN373" s="703" t="s">
        <v>159</v>
      </c>
      <c r="BO373" s="704"/>
      <c r="BP373" s="704"/>
      <c r="BQ373" s="704"/>
      <c r="BR373" s="704"/>
      <c r="BS373" s="704"/>
      <c r="BT373" s="704"/>
      <c r="BU373" s="704"/>
      <c r="BV373" s="705"/>
    </row>
    <row r="374" spans="1:74" ht="45" customHeight="1" x14ac:dyDescent="0.25">
      <c r="A374" s="10">
        <f t="shared" si="5"/>
        <v>360</v>
      </c>
      <c r="B374" s="662" t="s">
        <v>159</v>
      </c>
      <c r="C374" s="662"/>
      <c r="D374" s="663" t="s">
        <v>212</v>
      </c>
      <c r="E374" s="663"/>
      <c r="F374" s="664" t="s">
        <v>162</v>
      </c>
      <c r="G374" s="665"/>
      <c r="H374" s="754" t="s">
        <v>162</v>
      </c>
      <c r="I374" s="714"/>
      <c r="J374" s="715"/>
      <c r="K374" s="716"/>
      <c r="L374" s="715"/>
      <c r="M374" s="716"/>
      <c r="N374" s="215"/>
      <c r="O374" s="196"/>
      <c r="P374" s="670"/>
      <c r="Q374" s="671"/>
      <c r="R374" s="719"/>
      <c r="S374" s="720"/>
      <c r="T374" s="721"/>
      <c r="U374" s="722"/>
      <c r="V374" s="723"/>
      <c r="W374" s="724"/>
      <c r="X374" s="678" t="s">
        <v>159</v>
      </c>
      <c r="Y374" s="678"/>
      <c r="Z374" s="678"/>
      <c r="AA374" s="678"/>
      <c r="AB374" s="679" t="s">
        <v>159</v>
      </c>
      <c r="AC374" s="679"/>
      <c r="AD374" s="679"/>
      <c r="AE374" s="679"/>
      <c r="AF374" s="727"/>
      <c r="AG374" s="728"/>
      <c r="AH374" s="727"/>
      <c r="AI374" s="728"/>
      <c r="AJ374" s="682"/>
      <c r="AK374" s="683"/>
      <c r="AL374" s="684" t="s">
        <v>162</v>
      </c>
      <c r="AM374" s="685"/>
      <c r="AN374" s="666" t="s">
        <v>162</v>
      </c>
      <c r="AO374" s="667"/>
      <c r="AP374" s="729"/>
      <c r="AQ374" s="730"/>
      <c r="AR374" s="731"/>
      <c r="AS374" s="732"/>
      <c r="AT374" s="690"/>
      <c r="AU374" s="691"/>
      <c r="AV374" s="666" t="s">
        <v>162</v>
      </c>
      <c r="AW374" s="667"/>
      <c r="AX374" s="692"/>
      <c r="AY374" s="693"/>
      <c r="AZ374" s="694"/>
      <c r="BA374" s="735"/>
      <c r="BB374" s="736"/>
      <c r="BC374" s="14"/>
      <c r="BD374" s="695" t="s">
        <v>162</v>
      </c>
      <c r="BE374" s="696"/>
      <c r="BF374" s="739"/>
      <c r="BG374" s="740"/>
      <c r="BH374" s="740"/>
      <c r="BI374" s="741"/>
      <c r="BJ374" s="700" t="s">
        <v>159</v>
      </c>
      <c r="BK374" s="701"/>
      <c r="BL374" s="701"/>
      <c r="BM374" s="702"/>
      <c r="BN374" s="703" t="s">
        <v>159</v>
      </c>
      <c r="BO374" s="704"/>
      <c r="BP374" s="704"/>
      <c r="BQ374" s="704"/>
      <c r="BR374" s="704"/>
      <c r="BS374" s="704"/>
      <c r="BT374" s="704"/>
      <c r="BU374" s="704"/>
      <c r="BV374" s="705"/>
    </row>
    <row r="375" spans="1:74" ht="45" customHeight="1" x14ac:dyDescent="0.25">
      <c r="A375" s="10">
        <f t="shared" si="5"/>
        <v>361</v>
      </c>
      <c r="B375" s="711" t="s">
        <v>159</v>
      </c>
      <c r="C375" s="711"/>
      <c r="D375" s="712" t="s">
        <v>212</v>
      </c>
      <c r="E375" s="712"/>
      <c r="F375" s="664" t="s">
        <v>162</v>
      </c>
      <c r="G375" s="665"/>
      <c r="H375" s="755" t="s">
        <v>162</v>
      </c>
      <c r="I375" s="667"/>
      <c r="J375" s="706"/>
      <c r="K375" s="707"/>
      <c r="L375" s="706"/>
      <c r="M375" s="707"/>
      <c r="N375" s="194"/>
      <c r="O375" s="216"/>
      <c r="P375" s="717"/>
      <c r="Q375" s="718"/>
      <c r="R375" s="672"/>
      <c r="S375" s="673"/>
      <c r="T375" s="674"/>
      <c r="U375" s="675"/>
      <c r="V375" s="676"/>
      <c r="W375" s="677"/>
      <c r="X375" s="725" t="s">
        <v>159</v>
      </c>
      <c r="Y375" s="725"/>
      <c r="Z375" s="725"/>
      <c r="AA375" s="725"/>
      <c r="AB375" s="726" t="s">
        <v>159</v>
      </c>
      <c r="AC375" s="726"/>
      <c r="AD375" s="726"/>
      <c r="AE375" s="726"/>
      <c r="AF375" s="680"/>
      <c r="AG375" s="681"/>
      <c r="AH375" s="680"/>
      <c r="AI375" s="681"/>
      <c r="AJ375" s="686"/>
      <c r="AK375" s="687"/>
      <c r="AL375" s="664" t="s">
        <v>162</v>
      </c>
      <c r="AM375" s="665"/>
      <c r="AN375" s="713" t="s">
        <v>162</v>
      </c>
      <c r="AO375" s="714"/>
      <c r="AP375" s="686"/>
      <c r="AQ375" s="687"/>
      <c r="AR375" s="688"/>
      <c r="AS375" s="689"/>
      <c r="AT375" s="690"/>
      <c r="AU375" s="691"/>
      <c r="AV375" s="713" t="s">
        <v>162</v>
      </c>
      <c r="AW375" s="714"/>
      <c r="AX375" s="692"/>
      <c r="AY375" s="693"/>
      <c r="AZ375" s="694"/>
      <c r="BA375" s="682"/>
      <c r="BB375" s="683"/>
      <c r="BC375" s="219"/>
      <c r="BD375" s="737" t="s">
        <v>162</v>
      </c>
      <c r="BE375" s="738"/>
      <c r="BF375" s="708"/>
      <c r="BG375" s="709"/>
      <c r="BH375" s="709"/>
      <c r="BI375" s="710"/>
      <c r="BJ375" s="742" t="s">
        <v>159</v>
      </c>
      <c r="BK375" s="743"/>
      <c r="BL375" s="743"/>
      <c r="BM375" s="744"/>
      <c r="BN375" s="703" t="s">
        <v>159</v>
      </c>
      <c r="BO375" s="704"/>
      <c r="BP375" s="704"/>
      <c r="BQ375" s="704"/>
      <c r="BR375" s="704"/>
      <c r="BS375" s="704"/>
      <c r="BT375" s="704"/>
      <c r="BU375" s="704"/>
      <c r="BV375" s="705"/>
    </row>
    <row r="376" spans="1:74" ht="45" customHeight="1" x14ac:dyDescent="0.25">
      <c r="A376" s="10">
        <f t="shared" si="5"/>
        <v>362</v>
      </c>
      <c r="B376" s="662" t="s">
        <v>159</v>
      </c>
      <c r="C376" s="662"/>
      <c r="D376" s="663" t="s">
        <v>212</v>
      </c>
      <c r="E376" s="663"/>
      <c r="F376" s="664" t="s">
        <v>162</v>
      </c>
      <c r="G376" s="665"/>
      <c r="H376" s="754" t="s">
        <v>162</v>
      </c>
      <c r="I376" s="714"/>
      <c r="J376" s="715"/>
      <c r="K376" s="716"/>
      <c r="L376" s="715"/>
      <c r="M376" s="716"/>
      <c r="N376" s="215"/>
      <c r="O376" s="196"/>
      <c r="P376" s="670"/>
      <c r="Q376" s="671"/>
      <c r="R376" s="719"/>
      <c r="S376" s="720"/>
      <c r="T376" s="721"/>
      <c r="U376" s="722"/>
      <c r="V376" s="723"/>
      <c r="W376" s="724"/>
      <c r="X376" s="678" t="s">
        <v>159</v>
      </c>
      <c r="Y376" s="678"/>
      <c r="Z376" s="678"/>
      <c r="AA376" s="678"/>
      <c r="AB376" s="679" t="s">
        <v>159</v>
      </c>
      <c r="AC376" s="679"/>
      <c r="AD376" s="679"/>
      <c r="AE376" s="679"/>
      <c r="AF376" s="727"/>
      <c r="AG376" s="728"/>
      <c r="AH376" s="727"/>
      <c r="AI376" s="728"/>
      <c r="AJ376" s="682"/>
      <c r="AK376" s="683"/>
      <c r="AL376" s="684" t="s">
        <v>162</v>
      </c>
      <c r="AM376" s="685"/>
      <c r="AN376" s="666" t="s">
        <v>162</v>
      </c>
      <c r="AO376" s="667"/>
      <c r="AP376" s="729"/>
      <c r="AQ376" s="730"/>
      <c r="AR376" s="731"/>
      <c r="AS376" s="732"/>
      <c r="AT376" s="690"/>
      <c r="AU376" s="691"/>
      <c r="AV376" s="666" t="s">
        <v>162</v>
      </c>
      <c r="AW376" s="667"/>
      <c r="AX376" s="692"/>
      <c r="AY376" s="693"/>
      <c r="AZ376" s="694"/>
      <c r="BA376" s="735"/>
      <c r="BB376" s="736"/>
      <c r="BC376" s="14"/>
      <c r="BD376" s="695" t="s">
        <v>162</v>
      </c>
      <c r="BE376" s="696"/>
      <c r="BF376" s="739"/>
      <c r="BG376" s="740"/>
      <c r="BH376" s="740"/>
      <c r="BI376" s="741"/>
      <c r="BJ376" s="700" t="s">
        <v>159</v>
      </c>
      <c r="BK376" s="701"/>
      <c r="BL376" s="701"/>
      <c r="BM376" s="702"/>
      <c r="BN376" s="703" t="s">
        <v>159</v>
      </c>
      <c r="BO376" s="704"/>
      <c r="BP376" s="704"/>
      <c r="BQ376" s="704"/>
      <c r="BR376" s="704"/>
      <c r="BS376" s="704"/>
      <c r="BT376" s="704"/>
      <c r="BU376" s="704"/>
      <c r="BV376" s="705"/>
    </row>
    <row r="377" spans="1:74" ht="45" customHeight="1" x14ac:dyDescent="0.25">
      <c r="A377" s="10">
        <f t="shared" si="5"/>
        <v>363</v>
      </c>
      <c r="B377" s="711" t="s">
        <v>159</v>
      </c>
      <c r="C377" s="711"/>
      <c r="D377" s="712" t="s">
        <v>212</v>
      </c>
      <c r="E377" s="712"/>
      <c r="F377" s="664" t="s">
        <v>162</v>
      </c>
      <c r="G377" s="665"/>
      <c r="H377" s="755" t="s">
        <v>162</v>
      </c>
      <c r="I377" s="667"/>
      <c r="J377" s="706"/>
      <c r="K377" s="707"/>
      <c r="L377" s="706"/>
      <c r="M377" s="707"/>
      <c r="N377" s="194"/>
      <c r="O377" s="216"/>
      <c r="P377" s="717"/>
      <c r="Q377" s="718"/>
      <c r="R377" s="672"/>
      <c r="S377" s="673"/>
      <c r="T377" s="674"/>
      <c r="U377" s="675"/>
      <c r="V377" s="676"/>
      <c r="W377" s="677"/>
      <c r="X377" s="725" t="s">
        <v>159</v>
      </c>
      <c r="Y377" s="725"/>
      <c r="Z377" s="725"/>
      <c r="AA377" s="725"/>
      <c r="AB377" s="726" t="s">
        <v>159</v>
      </c>
      <c r="AC377" s="726"/>
      <c r="AD377" s="726"/>
      <c r="AE377" s="726"/>
      <c r="AF377" s="680"/>
      <c r="AG377" s="681"/>
      <c r="AH377" s="680"/>
      <c r="AI377" s="681"/>
      <c r="AJ377" s="686"/>
      <c r="AK377" s="687"/>
      <c r="AL377" s="664" t="s">
        <v>162</v>
      </c>
      <c r="AM377" s="665"/>
      <c r="AN377" s="713" t="s">
        <v>162</v>
      </c>
      <c r="AO377" s="714"/>
      <c r="AP377" s="686"/>
      <c r="AQ377" s="687"/>
      <c r="AR377" s="688"/>
      <c r="AS377" s="689"/>
      <c r="AT377" s="690"/>
      <c r="AU377" s="691"/>
      <c r="AV377" s="713" t="s">
        <v>162</v>
      </c>
      <c r="AW377" s="714"/>
      <c r="AX377" s="692"/>
      <c r="AY377" s="693"/>
      <c r="AZ377" s="694"/>
      <c r="BA377" s="682"/>
      <c r="BB377" s="683"/>
      <c r="BC377" s="219"/>
      <c r="BD377" s="737" t="s">
        <v>162</v>
      </c>
      <c r="BE377" s="738"/>
      <c r="BF377" s="697"/>
      <c r="BG377" s="698"/>
      <c r="BH377" s="698"/>
      <c r="BI377" s="699"/>
      <c r="BJ377" s="742" t="s">
        <v>159</v>
      </c>
      <c r="BK377" s="743"/>
      <c r="BL377" s="743"/>
      <c r="BM377" s="744"/>
      <c r="BN377" s="703" t="s">
        <v>159</v>
      </c>
      <c r="BO377" s="704"/>
      <c r="BP377" s="704"/>
      <c r="BQ377" s="704"/>
      <c r="BR377" s="704"/>
      <c r="BS377" s="704"/>
      <c r="BT377" s="704"/>
      <c r="BU377" s="704"/>
      <c r="BV377" s="705"/>
    </row>
    <row r="378" spans="1:74" ht="45" customHeight="1" x14ac:dyDescent="0.25">
      <c r="A378" s="10">
        <f t="shared" si="5"/>
        <v>364</v>
      </c>
      <c r="B378" s="662" t="s">
        <v>159</v>
      </c>
      <c r="C378" s="662"/>
      <c r="D378" s="663" t="s">
        <v>212</v>
      </c>
      <c r="E378" s="663"/>
      <c r="F378" s="664" t="s">
        <v>162</v>
      </c>
      <c r="G378" s="665"/>
      <c r="H378" s="754" t="s">
        <v>162</v>
      </c>
      <c r="I378" s="714"/>
      <c r="J378" s="715"/>
      <c r="K378" s="716"/>
      <c r="L378" s="715"/>
      <c r="M378" s="716"/>
      <c r="N378" s="215"/>
      <c r="O378" s="196"/>
      <c r="P378" s="670"/>
      <c r="Q378" s="671"/>
      <c r="R378" s="719"/>
      <c r="S378" s="720"/>
      <c r="T378" s="721"/>
      <c r="U378" s="722"/>
      <c r="V378" s="723"/>
      <c r="W378" s="724"/>
      <c r="X378" s="678" t="s">
        <v>159</v>
      </c>
      <c r="Y378" s="678"/>
      <c r="Z378" s="678"/>
      <c r="AA378" s="678"/>
      <c r="AB378" s="679" t="s">
        <v>159</v>
      </c>
      <c r="AC378" s="679"/>
      <c r="AD378" s="679"/>
      <c r="AE378" s="679"/>
      <c r="AF378" s="727"/>
      <c r="AG378" s="728"/>
      <c r="AH378" s="727"/>
      <c r="AI378" s="728"/>
      <c r="AJ378" s="682"/>
      <c r="AK378" s="683"/>
      <c r="AL378" s="684" t="s">
        <v>162</v>
      </c>
      <c r="AM378" s="685"/>
      <c r="AN378" s="666" t="s">
        <v>162</v>
      </c>
      <c r="AO378" s="667"/>
      <c r="AP378" s="729"/>
      <c r="AQ378" s="730"/>
      <c r="AR378" s="731"/>
      <c r="AS378" s="732"/>
      <c r="AT378" s="690"/>
      <c r="AU378" s="691"/>
      <c r="AV378" s="666" t="s">
        <v>162</v>
      </c>
      <c r="AW378" s="667"/>
      <c r="AX378" s="692"/>
      <c r="AY378" s="693"/>
      <c r="AZ378" s="694"/>
      <c r="BA378" s="735"/>
      <c r="BB378" s="736"/>
      <c r="BC378" s="14"/>
      <c r="BD378" s="695" t="s">
        <v>162</v>
      </c>
      <c r="BE378" s="696"/>
      <c r="BF378" s="739"/>
      <c r="BG378" s="740"/>
      <c r="BH378" s="740"/>
      <c r="BI378" s="741"/>
      <c r="BJ378" s="700" t="s">
        <v>159</v>
      </c>
      <c r="BK378" s="701"/>
      <c r="BL378" s="701"/>
      <c r="BM378" s="702"/>
      <c r="BN378" s="703" t="s">
        <v>159</v>
      </c>
      <c r="BO378" s="704"/>
      <c r="BP378" s="704"/>
      <c r="BQ378" s="704"/>
      <c r="BR378" s="704"/>
      <c r="BS378" s="704"/>
      <c r="BT378" s="704"/>
      <c r="BU378" s="704"/>
      <c r="BV378" s="705"/>
    </row>
    <row r="379" spans="1:74" ht="45" customHeight="1" x14ac:dyDescent="0.25">
      <c r="A379" s="10">
        <f t="shared" si="5"/>
        <v>365</v>
      </c>
      <c r="B379" s="711" t="s">
        <v>159</v>
      </c>
      <c r="C379" s="711"/>
      <c r="D379" s="712" t="s">
        <v>212</v>
      </c>
      <c r="E379" s="712"/>
      <c r="F379" s="664" t="s">
        <v>162</v>
      </c>
      <c r="G379" s="665"/>
      <c r="H379" s="755" t="s">
        <v>162</v>
      </c>
      <c r="I379" s="667"/>
      <c r="J379" s="706"/>
      <c r="K379" s="707"/>
      <c r="L379" s="706"/>
      <c r="M379" s="707"/>
      <c r="N379" s="194"/>
      <c r="O379" s="216"/>
      <c r="P379" s="717"/>
      <c r="Q379" s="718"/>
      <c r="R379" s="672"/>
      <c r="S379" s="673"/>
      <c r="T379" s="674"/>
      <c r="U379" s="675"/>
      <c r="V379" s="676"/>
      <c r="W379" s="677"/>
      <c r="X379" s="725" t="s">
        <v>159</v>
      </c>
      <c r="Y379" s="725"/>
      <c r="Z379" s="725"/>
      <c r="AA379" s="725"/>
      <c r="AB379" s="726" t="s">
        <v>159</v>
      </c>
      <c r="AC379" s="726"/>
      <c r="AD379" s="726"/>
      <c r="AE379" s="726"/>
      <c r="AF379" s="680"/>
      <c r="AG379" s="681"/>
      <c r="AH379" s="680"/>
      <c r="AI379" s="681"/>
      <c r="AJ379" s="686"/>
      <c r="AK379" s="687"/>
      <c r="AL379" s="664" t="s">
        <v>162</v>
      </c>
      <c r="AM379" s="665"/>
      <c r="AN379" s="713" t="s">
        <v>162</v>
      </c>
      <c r="AO379" s="714"/>
      <c r="AP379" s="686"/>
      <c r="AQ379" s="687"/>
      <c r="AR379" s="688"/>
      <c r="AS379" s="689"/>
      <c r="AT379" s="690"/>
      <c r="AU379" s="691"/>
      <c r="AV379" s="713" t="s">
        <v>162</v>
      </c>
      <c r="AW379" s="714"/>
      <c r="AX379" s="692"/>
      <c r="AY379" s="693"/>
      <c r="AZ379" s="694"/>
      <c r="BA379" s="682"/>
      <c r="BB379" s="683"/>
      <c r="BC379" s="219"/>
      <c r="BD379" s="737" t="s">
        <v>162</v>
      </c>
      <c r="BE379" s="738"/>
      <c r="BF379" s="708"/>
      <c r="BG379" s="709"/>
      <c r="BH379" s="709"/>
      <c r="BI379" s="710"/>
      <c r="BJ379" s="742" t="s">
        <v>159</v>
      </c>
      <c r="BK379" s="743"/>
      <c r="BL379" s="743"/>
      <c r="BM379" s="744"/>
      <c r="BN379" s="703" t="s">
        <v>159</v>
      </c>
      <c r="BO379" s="704"/>
      <c r="BP379" s="704"/>
      <c r="BQ379" s="704"/>
      <c r="BR379" s="704"/>
      <c r="BS379" s="704"/>
      <c r="BT379" s="704"/>
      <c r="BU379" s="704"/>
      <c r="BV379" s="705"/>
    </row>
    <row r="380" spans="1:74" ht="45" customHeight="1" x14ac:dyDescent="0.25">
      <c r="A380" s="10">
        <f t="shared" si="5"/>
        <v>366</v>
      </c>
      <c r="B380" s="662" t="s">
        <v>159</v>
      </c>
      <c r="C380" s="662"/>
      <c r="D380" s="663" t="s">
        <v>212</v>
      </c>
      <c r="E380" s="663"/>
      <c r="F380" s="664" t="s">
        <v>162</v>
      </c>
      <c r="G380" s="665"/>
      <c r="H380" s="754" t="s">
        <v>162</v>
      </c>
      <c r="I380" s="714"/>
      <c r="J380" s="715"/>
      <c r="K380" s="716"/>
      <c r="L380" s="715"/>
      <c r="M380" s="716"/>
      <c r="N380" s="215"/>
      <c r="O380" s="196"/>
      <c r="P380" s="670"/>
      <c r="Q380" s="671"/>
      <c r="R380" s="719"/>
      <c r="S380" s="720"/>
      <c r="T380" s="721"/>
      <c r="U380" s="722"/>
      <c r="V380" s="723"/>
      <c r="W380" s="724"/>
      <c r="X380" s="678" t="s">
        <v>159</v>
      </c>
      <c r="Y380" s="678"/>
      <c r="Z380" s="678"/>
      <c r="AA380" s="678"/>
      <c r="AB380" s="679" t="s">
        <v>159</v>
      </c>
      <c r="AC380" s="679"/>
      <c r="AD380" s="679"/>
      <c r="AE380" s="679"/>
      <c r="AF380" s="727"/>
      <c r="AG380" s="728"/>
      <c r="AH380" s="727"/>
      <c r="AI380" s="728"/>
      <c r="AJ380" s="682"/>
      <c r="AK380" s="683"/>
      <c r="AL380" s="684" t="s">
        <v>162</v>
      </c>
      <c r="AM380" s="685"/>
      <c r="AN380" s="666" t="s">
        <v>162</v>
      </c>
      <c r="AO380" s="667"/>
      <c r="AP380" s="729"/>
      <c r="AQ380" s="730"/>
      <c r="AR380" s="731"/>
      <c r="AS380" s="732"/>
      <c r="AT380" s="690"/>
      <c r="AU380" s="691"/>
      <c r="AV380" s="666" t="s">
        <v>162</v>
      </c>
      <c r="AW380" s="667"/>
      <c r="AX380" s="692"/>
      <c r="AY380" s="693"/>
      <c r="AZ380" s="694"/>
      <c r="BA380" s="735"/>
      <c r="BB380" s="736"/>
      <c r="BC380" s="14"/>
      <c r="BD380" s="695" t="s">
        <v>162</v>
      </c>
      <c r="BE380" s="696"/>
      <c r="BF380" s="739"/>
      <c r="BG380" s="740"/>
      <c r="BH380" s="740"/>
      <c r="BI380" s="741"/>
      <c r="BJ380" s="700" t="s">
        <v>159</v>
      </c>
      <c r="BK380" s="701"/>
      <c r="BL380" s="701"/>
      <c r="BM380" s="702"/>
      <c r="BN380" s="703" t="s">
        <v>159</v>
      </c>
      <c r="BO380" s="704"/>
      <c r="BP380" s="704"/>
      <c r="BQ380" s="704"/>
      <c r="BR380" s="704"/>
      <c r="BS380" s="704"/>
      <c r="BT380" s="704"/>
      <c r="BU380" s="704"/>
      <c r="BV380" s="705"/>
    </row>
    <row r="381" spans="1:74" ht="45" customHeight="1" x14ac:dyDescent="0.25">
      <c r="A381" s="10">
        <f t="shared" si="5"/>
        <v>367</v>
      </c>
      <c r="B381" s="711" t="s">
        <v>159</v>
      </c>
      <c r="C381" s="711"/>
      <c r="D381" s="712" t="s">
        <v>212</v>
      </c>
      <c r="E381" s="712"/>
      <c r="F381" s="664" t="s">
        <v>162</v>
      </c>
      <c r="G381" s="665"/>
      <c r="H381" s="755" t="s">
        <v>162</v>
      </c>
      <c r="I381" s="667"/>
      <c r="J381" s="706"/>
      <c r="K381" s="707"/>
      <c r="L381" s="706"/>
      <c r="M381" s="707"/>
      <c r="N381" s="194"/>
      <c r="O381" s="216"/>
      <c r="P381" s="717"/>
      <c r="Q381" s="718"/>
      <c r="R381" s="672"/>
      <c r="S381" s="673"/>
      <c r="T381" s="674"/>
      <c r="U381" s="675"/>
      <c r="V381" s="676"/>
      <c r="W381" s="677"/>
      <c r="X381" s="725" t="s">
        <v>159</v>
      </c>
      <c r="Y381" s="725"/>
      <c r="Z381" s="725"/>
      <c r="AA381" s="725"/>
      <c r="AB381" s="726" t="s">
        <v>159</v>
      </c>
      <c r="AC381" s="726"/>
      <c r="AD381" s="726"/>
      <c r="AE381" s="726"/>
      <c r="AF381" s="680"/>
      <c r="AG381" s="681"/>
      <c r="AH381" s="680"/>
      <c r="AI381" s="681"/>
      <c r="AJ381" s="686"/>
      <c r="AK381" s="687"/>
      <c r="AL381" s="664" t="s">
        <v>162</v>
      </c>
      <c r="AM381" s="665"/>
      <c r="AN381" s="713" t="s">
        <v>162</v>
      </c>
      <c r="AO381" s="714"/>
      <c r="AP381" s="686"/>
      <c r="AQ381" s="687"/>
      <c r="AR381" s="688"/>
      <c r="AS381" s="689"/>
      <c r="AT381" s="690"/>
      <c r="AU381" s="691"/>
      <c r="AV381" s="713" t="s">
        <v>162</v>
      </c>
      <c r="AW381" s="714"/>
      <c r="AX381" s="692"/>
      <c r="AY381" s="693"/>
      <c r="AZ381" s="694"/>
      <c r="BA381" s="682"/>
      <c r="BB381" s="683"/>
      <c r="BC381" s="219"/>
      <c r="BD381" s="737" t="s">
        <v>162</v>
      </c>
      <c r="BE381" s="738"/>
      <c r="BF381" s="697"/>
      <c r="BG381" s="698"/>
      <c r="BH381" s="698"/>
      <c r="BI381" s="699"/>
      <c r="BJ381" s="742" t="s">
        <v>159</v>
      </c>
      <c r="BK381" s="743"/>
      <c r="BL381" s="743"/>
      <c r="BM381" s="744"/>
      <c r="BN381" s="703" t="s">
        <v>159</v>
      </c>
      <c r="BO381" s="704"/>
      <c r="BP381" s="704"/>
      <c r="BQ381" s="704"/>
      <c r="BR381" s="704"/>
      <c r="BS381" s="704"/>
      <c r="BT381" s="704"/>
      <c r="BU381" s="704"/>
      <c r="BV381" s="705"/>
    </row>
    <row r="382" spans="1:74" ht="45" customHeight="1" x14ac:dyDescent="0.25">
      <c r="A382" s="10">
        <f t="shared" si="5"/>
        <v>368</v>
      </c>
      <c r="B382" s="662" t="s">
        <v>159</v>
      </c>
      <c r="C382" s="662"/>
      <c r="D382" s="663" t="s">
        <v>212</v>
      </c>
      <c r="E382" s="663"/>
      <c r="F382" s="664" t="s">
        <v>162</v>
      </c>
      <c r="G382" s="665"/>
      <c r="H382" s="754" t="s">
        <v>162</v>
      </c>
      <c r="I382" s="714"/>
      <c r="J382" s="715"/>
      <c r="K382" s="716"/>
      <c r="L382" s="715"/>
      <c r="M382" s="716"/>
      <c r="N382" s="215"/>
      <c r="O382" s="216"/>
      <c r="P382" s="670"/>
      <c r="Q382" s="671"/>
      <c r="R382" s="719"/>
      <c r="S382" s="720"/>
      <c r="T382" s="721"/>
      <c r="U382" s="722"/>
      <c r="V382" s="723"/>
      <c r="W382" s="724"/>
      <c r="X382" s="678" t="s">
        <v>159</v>
      </c>
      <c r="Y382" s="678"/>
      <c r="Z382" s="678"/>
      <c r="AA382" s="678"/>
      <c r="AB382" s="679" t="s">
        <v>159</v>
      </c>
      <c r="AC382" s="679"/>
      <c r="AD382" s="679"/>
      <c r="AE382" s="679"/>
      <c r="AF382" s="727"/>
      <c r="AG382" s="728"/>
      <c r="AH382" s="727"/>
      <c r="AI382" s="728"/>
      <c r="AJ382" s="682"/>
      <c r="AK382" s="683"/>
      <c r="AL382" s="684" t="s">
        <v>162</v>
      </c>
      <c r="AM382" s="685"/>
      <c r="AN382" s="666" t="s">
        <v>162</v>
      </c>
      <c r="AO382" s="667"/>
      <c r="AP382" s="729"/>
      <c r="AQ382" s="730"/>
      <c r="AR382" s="731"/>
      <c r="AS382" s="732"/>
      <c r="AT382" s="690"/>
      <c r="AU382" s="691"/>
      <c r="AV382" s="666" t="s">
        <v>162</v>
      </c>
      <c r="AW382" s="667"/>
      <c r="AX382" s="692"/>
      <c r="AY382" s="693"/>
      <c r="AZ382" s="694"/>
      <c r="BA382" s="735"/>
      <c r="BB382" s="736"/>
      <c r="BC382" s="14"/>
      <c r="BD382" s="695" t="s">
        <v>162</v>
      </c>
      <c r="BE382" s="696"/>
      <c r="BF382" s="739"/>
      <c r="BG382" s="740"/>
      <c r="BH382" s="740"/>
      <c r="BI382" s="741"/>
      <c r="BJ382" s="700" t="s">
        <v>159</v>
      </c>
      <c r="BK382" s="701"/>
      <c r="BL382" s="701"/>
      <c r="BM382" s="702"/>
      <c r="BN382" s="703" t="s">
        <v>159</v>
      </c>
      <c r="BO382" s="704"/>
      <c r="BP382" s="704"/>
      <c r="BQ382" s="704"/>
      <c r="BR382" s="704"/>
      <c r="BS382" s="704"/>
      <c r="BT382" s="704"/>
      <c r="BU382" s="704"/>
      <c r="BV382" s="705"/>
    </row>
    <row r="383" spans="1:74" ht="45" customHeight="1" x14ac:dyDescent="0.25">
      <c r="A383" s="10">
        <f t="shared" si="5"/>
        <v>369</v>
      </c>
      <c r="B383" s="711" t="s">
        <v>159</v>
      </c>
      <c r="C383" s="711"/>
      <c r="D383" s="712" t="s">
        <v>212</v>
      </c>
      <c r="E383" s="712"/>
      <c r="F383" s="664" t="s">
        <v>162</v>
      </c>
      <c r="G383" s="665"/>
      <c r="H383" s="755" t="s">
        <v>162</v>
      </c>
      <c r="I383" s="667"/>
      <c r="J383" s="706"/>
      <c r="K383" s="707"/>
      <c r="L383" s="706"/>
      <c r="M383" s="707"/>
      <c r="N383" s="194"/>
      <c r="O383" s="196"/>
      <c r="P383" s="717"/>
      <c r="Q383" s="718"/>
      <c r="R383" s="672"/>
      <c r="S383" s="673"/>
      <c r="T383" s="674"/>
      <c r="U383" s="675"/>
      <c r="V383" s="676"/>
      <c r="W383" s="677"/>
      <c r="X383" s="725" t="s">
        <v>159</v>
      </c>
      <c r="Y383" s="725"/>
      <c r="Z383" s="725"/>
      <c r="AA383" s="725"/>
      <c r="AB383" s="726" t="s">
        <v>159</v>
      </c>
      <c r="AC383" s="726"/>
      <c r="AD383" s="726"/>
      <c r="AE383" s="726"/>
      <c r="AF383" s="680"/>
      <c r="AG383" s="681"/>
      <c r="AH383" s="680"/>
      <c r="AI383" s="681"/>
      <c r="AJ383" s="686"/>
      <c r="AK383" s="687"/>
      <c r="AL383" s="664" t="s">
        <v>162</v>
      </c>
      <c r="AM383" s="665"/>
      <c r="AN383" s="713" t="s">
        <v>162</v>
      </c>
      <c r="AO383" s="714"/>
      <c r="AP383" s="686"/>
      <c r="AQ383" s="687"/>
      <c r="AR383" s="688"/>
      <c r="AS383" s="689"/>
      <c r="AT383" s="690"/>
      <c r="AU383" s="691"/>
      <c r="AV383" s="713" t="s">
        <v>162</v>
      </c>
      <c r="AW383" s="714"/>
      <c r="AX383" s="692"/>
      <c r="AY383" s="693"/>
      <c r="AZ383" s="694"/>
      <c r="BA383" s="682"/>
      <c r="BB383" s="683"/>
      <c r="BC383" s="219"/>
      <c r="BD383" s="737" t="s">
        <v>162</v>
      </c>
      <c r="BE383" s="738"/>
      <c r="BF383" s="708"/>
      <c r="BG383" s="709"/>
      <c r="BH383" s="709"/>
      <c r="BI383" s="710"/>
      <c r="BJ383" s="742" t="s">
        <v>159</v>
      </c>
      <c r="BK383" s="743"/>
      <c r="BL383" s="743"/>
      <c r="BM383" s="744"/>
      <c r="BN383" s="703" t="s">
        <v>159</v>
      </c>
      <c r="BO383" s="704"/>
      <c r="BP383" s="704"/>
      <c r="BQ383" s="704"/>
      <c r="BR383" s="704"/>
      <c r="BS383" s="704"/>
      <c r="BT383" s="704"/>
      <c r="BU383" s="704"/>
      <c r="BV383" s="705"/>
    </row>
    <row r="384" spans="1:74" ht="45" customHeight="1" x14ac:dyDescent="0.25">
      <c r="A384" s="10">
        <f t="shared" si="5"/>
        <v>370</v>
      </c>
      <c r="B384" s="662" t="s">
        <v>159</v>
      </c>
      <c r="C384" s="662"/>
      <c r="D384" s="663" t="s">
        <v>212</v>
      </c>
      <c r="E384" s="663"/>
      <c r="F384" s="664" t="s">
        <v>162</v>
      </c>
      <c r="G384" s="665"/>
      <c r="H384" s="754" t="s">
        <v>162</v>
      </c>
      <c r="I384" s="714"/>
      <c r="J384" s="715"/>
      <c r="K384" s="716"/>
      <c r="L384" s="715"/>
      <c r="M384" s="716"/>
      <c r="N384" s="215"/>
      <c r="O384" s="216"/>
      <c r="P384" s="670"/>
      <c r="Q384" s="671"/>
      <c r="R384" s="719"/>
      <c r="S384" s="720"/>
      <c r="T384" s="721"/>
      <c r="U384" s="722"/>
      <c r="V384" s="723"/>
      <c r="W384" s="724"/>
      <c r="X384" s="678" t="s">
        <v>159</v>
      </c>
      <c r="Y384" s="678"/>
      <c r="Z384" s="678"/>
      <c r="AA384" s="678"/>
      <c r="AB384" s="679" t="s">
        <v>159</v>
      </c>
      <c r="AC384" s="679"/>
      <c r="AD384" s="679"/>
      <c r="AE384" s="679"/>
      <c r="AF384" s="727"/>
      <c r="AG384" s="728"/>
      <c r="AH384" s="727"/>
      <c r="AI384" s="728"/>
      <c r="AJ384" s="682"/>
      <c r="AK384" s="683"/>
      <c r="AL384" s="684" t="s">
        <v>162</v>
      </c>
      <c r="AM384" s="685"/>
      <c r="AN384" s="666" t="s">
        <v>162</v>
      </c>
      <c r="AO384" s="667"/>
      <c r="AP384" s="729"/>
      <c r="AQ384" s="730"/>
      <c r="AR384" s="731"/>
      <c r="AS384" s="732"/>
      <c r="AT384" s="690"/>
      <c r="AU384" s="691"/>
      <c r="AV384" s="666" t="s">
        <v>162</v>
      </c>
      <c r="AW384" s="667"/>
      <c r="AX384" s="692"/>
      <c r="AY384" s="693"/>
      <c r="AZ384" s="694"/>
      <c r="BA384" s="735"/>
      <c r="BB384" s="736"/>
      <c r="BC384" s="14"/>
      <c r="BD384" s="695" t="s">
        <v>162</v>
      </c>
      <c r="BE384" s="696"/>
      <c r="BF384" s="739"/>
      <c r="BG384" s="740"/>
      <c r="BH384" s="740"/>
      <c r="BI384" s="741"/>
      <c r="BJ384" s="700" t="s">
        <v>159</v>
      </c>
      <c r="BK384" s="701"/>
      <c r="BL384" s="701"/>
      <c r="BM384" s="702"/>
      <c r="BN384" s="703" t="s">
        <v>159</v>
      </c>
      <c r="BO384" s="704"/>
      <c r="BP384" s="704"/>
      <c r="BQ384" s="704"/>
      <c r="BR384" s="704"/>
      <c r="BS384" s="704"/>
      <c r="BT384" s="704"/>
      <c r="BU384" s="704"/>
      <c r="BV384" s="705"/>
    </row>
    <row r="385" spans="1:74" ht="45" customHeight="1" x14ac:dyDescent="0.25">
      <c r="A385" s="10">
        <f t="shared" si="5"/>
        <v>371</v>
      </c>
      <c r="B385" s="711" t="s">
        <v>159</v>
      </c>
      <c r="C385" s="711"/>
      <c r="D385" s="712" t="s">
        <v>212</v>
      </c>
      <c r="E385" s="712"/>
      <c r="F385" s="664" t="s">
        <v>162</v>
      </c>
      <c r="G385" s="665"/>
      <c r="H385" s="755" t="s">
        <v>162</v>
      </c>
      <c r="I385" s="667"/>
      <c r="J385" s="706"/>
      <c r="K385" s="707"/>
      <c r="L385" s="706"/>
      <c r="M385" s="707"/>
      <c r="N385" s="194"/>
      <c r="O385" s="196"/>
      <c r="P385" s="717"/>
      <c r="Q385" s="718"/>
      <c r="R385" s="672"/>
      <c r="S385" s="673"/>
      <c r="T385" s="674"/>
      <c r="U385" s="675"/>
      <c r="V385" s="676"/>
      <c r="W385" s="677"/>
      <c r="X385" s="725" t="s">
        <v>159</v>
      </c>
      <c r="Y385" s="725"/>
      <c r="Z385" s="725"/>
      <c r="AA385" s="725"/>
      <c r="AB385" s="726" t="s">
        <v>159</v>
      </c>
      <c r="AC385" s="726"/>
      <c r="AD385" s="726"/>
      <c r="AE385" s="726"/>
      <c r="AF385" s="680"/>
      <c r="AG385" s="681"/>
      <c r="AH385" s="680"/>
      <c r="AI385" s="681"/>
      <c r="AJ385" s="686"/>
      <c r="AK385" s="687"/>
      <c r="AL385" s="664" t="s">
        <v>162</v>
      </c>
      <c r="AM385" s="665"/>
      <c r="AN385" s="713" t="s">
        <v>162</v>
      </c>
      <c r="AO385" s="714"/>
      <c r="AP385" s="686"/>
      <c r="AQ385" s="687"/>
      <c r="AR385" s="688"/>
      <c r="AS385" s="689"/>
      <c r="AT385" s="690"/>
      <c r="AU385" s="691"/>
      <c r="AV385" s="713" t="s">
        <v>162</v>
      </c>
      <c r="AW385" s="714"/>
      <c r="AX385" s="692"/>
      <c r="AY385" s="693"/>
      <c r="AZ385" s="694"/>
      <c r="BA385" s="682"/>
      <c r="BB385" s="683"/>
      <c r="BC385" s="219"/>
      <c r="BD385" s="737" t="s">
        <v>162</v>
      </c>
      <c r="BE385" s="738"/>
      <c r="BF385" s="708"/>
      <c r="BG385" s="709"/>
      <c r="BH385" s="709"/>
      <c r="BI385" s="710"/>
      <c r="BJ385" s="742" t="s">
        <v>159</v>
      </c>
      <c r="BK385" s="743"/>
      <c r="BL385" s="743"/>
      <c r="BM385" s="744"/>
      <c r="BN385" s="703" t="s">
        <v>159</v>
      </c>
      <c r="BO385" s="704"/>
      <c r="BP385" s="704"/>
      <c r="BQ385" s="704"/>
      <c r="BR385" s="704"/>
      <c r="BS385" s="704"/>
      <c r="BT385" s="704"/>
      <c r="BU385" s="704"/>
      <c r="BV385" s="705"/>
    </row>
    <row r="386" spans="1:74" ht="45" customHeight="1" x14ac:dyDescent="0.25">
      <c r="A386" s="10">
        <f t="shared" si="5"/>
        <v>372</v>
      </c>
      <c r="B386" s="662" t="s">
        <v>159</v>
      </c>
      <c r="C386" s="662"/>
      <c r="D386" s="663" t="s">
        <v>212</v>
      </c>
      <c r="E386" s="663"/>
      <c r="F386" s="664" t="s">
        <v>162</v>
      </c>
      <c r="G386" s="665"/>
      <c r="H386" s="754" t="s">
        <v>162</v>
      </c>
      <c r="I386" s="714"/>
      <c r="J386" s="715"/>
      <c r="K386" s="716"/>
      <c r="L386" s="715"/>
      <c r="M386" s="716"/>
      <c r="N386" s="215"/>
      <c r="O386" s="216"/>
      <c r="P386" s="670"/>
      <c r="Q386" s="671"/>
      <c r="R386" s="719"/>
      <c r="S386" s="720"/>
      <c r="T386" s="721"/>
      <c r="U386" s="722"/>
      <c r="V386" s="723"/>
      <c r="W386" s="724"/>
      <c r="X386" s="678" t="s">
        <v>159</v>
      </c>
      <c r="Y386" s="678"/>
      <c r="Z386" s="678"/>
      <c r="AA386" s="678"/>
      <c r="AB386" s="679" t="s">
        <v>159</v>
      </c>
      <c r="AC386" s="679"/>
      <c r="AD386" s="679"/>
      <c r="AE386" s="679"/>
      <c r="AF386" s="727"/>
      <c r="AG386" s="728"/>
      <c r="AH386" s="727"/>
      <c r="AI386" s="728"/>
      <c r="AJ386" s="682"/>
      <c r="AK386" s="683"/>
      <c r="AL386" s="684" t="s">
        <v>162</v>
      </c>
      <c r="AM386" s="685"/>
      <c r="AN386" s="666" t="s">
        <v>162</v>
      </c>
      <c r="AO386" s="667"/>
      <c r="AP386" s="729"/>
      <c r="AQ386" s="730"/>
      <c r="AR386" s="731"/>
      <c r="AS386" s="732"/>
      <c r="AT386" s="690"/>
      <c r="AU386" s="691"/>
      <c r="AV386" s="666" t="s">
        <v>162</v>
      </c>
      <c r="AW386" s="667"/>
      <c r="AX386" s="692"/>
      <c r="AY386" s="693"/>
      <c r="AZ386" s="694"/>
      <c r="BA386" s="735"/>
      <c r="BB386" s="736"/>
      <c r="BC386" s="14"/>
      <c r="BD386" s="695" t="s">
        <v>162</v>
      </c>
      <c r="BE386" s="696"/>
      <c r="BF386" s="739"/>
      <c r="BG386" s="740"/>
      <c r="BH386" s="740"/>
      <c r="BI386" s="741"/>
      <c r="BJ386" s="700" t="s">
        <v>159</v>
      </c>
      <c r="BK386" s="701"/>
      <c r="BL386" s="701"/>
      <c r="BM386" s="702"/>
      <c r="BN386" s="703" t="s">
        <v>159</v>
      </c>
      <c r="BO386" s="704"/>
      <c r="BP386" s="704"/>
      <c r="BQ386" s="704"/>
      <c r="BR386" s="704"/>
      <c r="BS386" s="704"/>
      <c r="BT386" s="704"/>
      <c r="BU386" s="704"/>
      <c r="BV386" s="705"/>
    </row>
    <row r="387" spans="1:74" ht="45" customHeight="1" x14ac:dyDescent="0.25">
      <c r="A387" s="10">
        <f t="shared" si="5"/>
        <v>373</v>
      </c>
      <c r="B387" s="711" t="s">
        <v>159</v>
      </c>
      <c r="C387" s="711"/>
      <c r="D387" s="712" t="s">
        <v>212</v>
      </c>
      <c r="E387" s="712"/>
      <c r="F387" s="664" t="s">
        <v>162</v>
      </c>
      <c r="G387" s="665"/>
      <c r="H387" s="755" t="s">
        <v>162</v>
      </c>
      <c r="I387" s="667"/>
      <c r="J387" s="706"/>
      <c r="K387" s="707"/>
      <c r="L387" s="706"/>
      <c r="M387" s="707"/>
      <c r="N387" s="194"/>
      <c r="O387" s="196"/>
      <c r="P387" s="717"/>
      <c r="Q387" s="718"/>
      <c r="R387" s="672"/>
      <c r="S387" s="673"/>
      <c r="T387" s="674"/>
      <c r="U387" s="675"/>
      <c r="V387" s="676"/>
      <c r="W387" s="677"/>
      <c r="X387" s="725" t="s">
        <v>159</v>
      </c>
      <c r="Y387" s="725"/>
      <c r="Z387" s="725"/>
      <c r="AA387" s="725"/>
      <c r="AB387" s="726" t="s">
        <v>159</v>
      </c>
      <c r="AC387" s="726"/>
      <c r="AD387" s="726"/>
      <c r="AE387" s="726"/>
      <c r="AF387" s="680"/>
      <c r="AG387" s="681"/>
      <c r="AH387" s="680"/>
      <c r="AI387" s="681"/>
      <c r="AJ387" s="686"/>
      <c r="AK387" s="687"/>
      <c r="AL387" s="664" t="s">
        <v>162</v>
      </c>
      <c r="AM387" s="665"/>
      <c r="AN387" s="713" t="s">
        <v>162</v>
      </c>
      <c r="AO387" s="714"/>
      <c r="AP387" s="686"/>
      <c r="AQ387" s="687"/>
      <c r="AR387" s="688"/>
      <c r="AS387" s="689"/>
      <c r="AT387" s="690"/>
      <c r="AU387" s="691"/>
      <c r="AV387" s="713" t="s">
        <v>162</v>
      </c>
      <c r="AW387" s="714"/>
      <c r="AX387" s="692"/>
      <c r="AY387" s="693"/>
      <c r="AZ387" s="694"/>
      <c r="BA387" s="682"/>
      <c r="BB387" s="683"/>
      <c r="BC387" s="219"/>
      <c r="BD387" s="737" t="s">
        <v>162</v>
      </c>
      <c r="BE387" s="738"/>
      <c r="BF387" s="697"/>
      <c r="BG387" s="698"/>
      <c r="BH387" s="698"/>
      <c r="BI387" s="699"/>
      <c r="BJ387" s="742" t="s">
        <v>159</v>
      </c>
      <c r="BK387" s="743"/>
      <c r="BL387" s="743"/>
      <c r="BM387" s="744"/>
      <c r="BN387" s="703" t="s">
        <v>159</v>
      </c>
      <c r="BO387" s="704"/>
      <c r="BP387" s="704"/>
      <c r="BQ387" s="704"/>
      <c r="BR387" s="704"/>
      <c r="BS387" s="704"/>
      <c r="BT387" s="704"/>
      <c r="BU387" s="704"/>
      <c r="BV387" s="705"/>
    </row>
    <row r="388" spans="1:74" ht="45" customHeight="1" x14ac:dyDescent="0.25">
      <c r="A388" s="10">
        <f t="shared" si="5"/>
        <v>374</v>
      </c>
      <c r="B388" s="662" t="s">
        <v>159</v>
      </c>
      <c r="C388" s="662"/>
      <c r="D388" s="663" t="s">
        <v>212</v>
      </c>
      <c r="E388" s="663"/>
      <c r="F388" s="664" t="s">
        <v>162</v>
      </c>
      <c r="G388" s="665"/>
      <c r="H388" s="754" t="s">
        <v>162</v>
      </c>
      <c r="I388" s="714"/>
      <c r="J388" s="715"/>
      <c r="K388" s="716"/>
      <c r="L388" s="715"/>
      <c r="M388" s="716"/>
      <c r="N388" s="215"/>
      <c r="O388" s="216"/>
      <c r="P388" s="670"/>
      <c r="Q388" s="671"/>
      <c r="R388" s="719"/>
      <c r="S388" s="720"/>
      <c r="T388" s="721"/>
      <c r="U388" s="722"/>
      <c r="V388" s="723"/>
      <c r="W388" s="724"/>
      <c r="X388" s="678" t="s">
        <v>159</v>
      </c>
      <c r="Y388" s="678"/>
      <c r="Z388" s="678"/>
      <c r="AA388" s="678"/>
      <c r="AB388" s="679" t="s">
        <v>159</v>
      </c>
      <c r="AC388" s="679"/>
      <c r="AD388" s="679"/>
      <c r="AE388" s="679"/>
      <c r="AF388" s="727"/>
      <c r="AG388" s="728"/>
      <c r="AH388" s="727"/>
      <c r="AI388" s="728"/>
      <c r="AJ388" s="682"/>
      <c r="AK388" s="683"/>
      <c r="AL388" s="684" t="s">
        <v>162</v>
      </c>
      <c r="AM388" s="685"/>
      <c r="AN388" s="666" t="s">
        <v>162</v>
      </c>
      <c r="AO388" s="667"/>
      <c r="AP388" s="729"/>
      <c r="AQ388" s="730"/>
      <c r="AR388" s="731"/>
      <c r="AS388" s="732"/>
      <c r="AT388" s="690"/>
      <c r="AU388" s="691"/>
      <c r="AV388" s="666" t="s">
        <v>162</v>
      </c>
      <c r="AW388" s="667"/>
      <c r="AX388" s="692"/>
      <c r="AY388" s="693"/>
      <c r="AZ388" s="694"/>
      <c r="BA388" s="735"/>
      <c r="BB388" s="736"/>
      <c r="BC388" s="14"/>
      <c r="BD388" s="695" t="s">
        <v>162</v>
      </c>
      <c r="BE388" s="696"/>
      <c r="BF388" s="739"/>
      <c r="BG388" s="740"/>
      <c r="BH388" s="740"/>
      <c r="BI388" s="741"/>
      <c r="BJ388" s="700" t="s">
        <v>159</v>
      </c>
      <c r="BK388" s="701"/>
      <c r="BL388" s="701"/>
      <c r="BM388" s="702"/>
      <c r="BN388" s="703" t="s">
        <v>159</v>
      </c>
      <c r="BO388" s="704"/>
      <c r="BP388" s="704"/>
      <c r="BQ388" s="704"/>
      <c r="BR388" s="704"/>
      <c r="BS388" s="704"/>
      <c r="BT388" s="704"/>
      <c r="BU388" s="704"/>
      <c r="BV388" s="705"/>
    </row>
    <row r="389" spans="1:74" ht="45" customHeight="1" x14ac:dyDescent="0.25">
      <c r="A389" s="10">
        <f t="shared" si="5"/>
        <v>375</v>
      </c>
      <c r="B389" s="711" t="s">
        <v>159</v>
      </c>
      <c r="C389" s="711"/>
      <c r="D389" s="712" t="s">
        <v>212</v>
      </c>
      <c r="E389" s="712"/>
      <c r="F389" s="664" t="s">
        <v>162</v>
      </c>
      <c r="G389" s="665"/>
      <c r="H389" s="755" t="s">
        <v>162</v>
      </c>
      <c r="I389" s="667"/>
      <c r="J389" s="706"/>
      <c r="K389" s="707"/>
      <c r="L389" s="706"/>
      <c r="M389" s="707"/>
      <c r="N389" s="194"/>
      <c r="O389" s="196"/>
      <c r="P389" s="717"/>
      <c r="Q389" s="718"/>
      <c r="R389" s="672"/>
      <c r="S389" s="673"/>
      <c r="T389" s="674"/>
      <c r="U389" s="675"/>
      <c r="V389" s="676"/>
      <c r="W389" s="677"/>
      <c r="X389" s="725" t="s">
        <v>159</v>
      </c>
      <c r="Y389" s="725"/>
      <c r="Z389" s="725"/>
      <c r="AA389" s="725"/>
      <c r="AB389" s="726" t="s">
        <v>159</v>
      </c>
      <c r="AC389" s="726"/>
      <c r="AD389" s="726"/>
      <c r="AE389" s="726"/>
      <c r="AF389" s="680"/>
      <c r="AG389" s="681"/>
      <c r="AH389" s="680"/>
      <c r="AI389" s="681"/>
      <c r="AJ389" s="686"/>
      <c r="AK389" s="687"/>
      <c r="AL389" s="664" t="s">
        <v>162</v>
      </c>
      <c r="AM389" s="665"/>
      <c r="AN389" s="713" t="s">
        <v>162</v>
      </c>
      <c r="AO389" s="714"/>
      <c r="AP389" s="686"/>
      <c r="AQ389" s="687"/>
      <c r="AR389" s="688"/>
      <c r="AS389" s="689"/>
      <c r="AT389" s="690"/>
      <c r="AU389" s="691"/>
      <c r="AV389" s="713" t="s">
        <v>162</v>
      </c>
      <c r="AW389" s="714"/>
      <c r="AX389" s="692"/>
      <c r="AY389" s="693"/>
      <c r="AZ389" s="694"/>
      <c r="BA389" s="682"/>
      <c r="BB389" s="683"/>
      <c r="BC389" s="219"/>
      <c r="BD389" s="737" t="s">
        <v>162</v>
      </c>
      <c r="BE389" s="738"/>
      <c r="BF389" s="708"/>
      <c r="BG389" s="709"/>
      <c r="BH389" s="709"/>
      <c r="BI389" s="710"/>
      <c r="BJ389" s="742" t="s">
        <v>159</v>
      </c>
      <c r="BK389" s="743"/>
      <c r="BL389" s="743"/>
      <c r="BM389" s="744"/>
      <c r="BN389" s="703" t="s">
        <v>159</v>
      </c>
      <c r="BO389" s="704"/>
      <c r="BP389" s="704"/>
      <c r="BQ389" s="704"/>
      <c r="BR389" s="704"/>
      <c r="BS389" s="704"/>
      <c r="BT389" s="704"/>
      <c r="BU389" s="704"/>
      <c r="BV389" s="705"/>
    </row>
    <row r="390" spans="1:74" ht="45" customHeight="1" x14ac:dyDescent="0.25">
      <c r="A390" s="10">
        <f t="shared" si="5"/>
        <v>376</v>
      </c>
      <c r="B390" s="662" t="s">
        <v>159</v>
      </c>
      <c r="C390" s="662"/>
      <c r="D390" s="663" t="s">
        <v>212</v>
      </c>
      <c r="E390" s="663"/>
      <c r="F390" s="664" t="s">
        <v>162</v>
      </c>
      <c r="G390" s="665"/>
      <c r="H390" s="754" t="s">
        <v>162</v>
      </c>
      <c r="I390" s="714"/>
      <c r="J390" s="715"/>
      <c r="K390" s="716"/>
      <c r="L390" s="715"/>
      <c r="M390" s="716"/>
      <c r="N390" s="215"/>
      <c r="O390" s="216"/>
      <c r="P390" s="670"/>
      <c r="Q390" s="671"/>
      <c r="R390" s="719"/>
      <c r="S390" s="720"/>
      <c r="T390" s="721"/>
      <c r="U390" s="722"/>
      <c r="V390" s="723"/>
      <c r="W390" s="724"/>
      <c r="X390" s="678" t="s">
        <v>159</v>
      </c>
      <c r="Y390" s="678"/>
      <c r="Z390" s="678"/>
      <c r="AA390" s="678"/>
      <c r="AB390" s="679" t="s">
        <v>159</v>
      </c>
      <c r="AC390" s="679"/>
      <c r="AD390" s="679"/>
      <c r="AE390" s="679"/>
      <c r="AF390" s="727"/>
      <c r="AG390" s="728"/>
      <c r="AH390" s="727"/>
      <c r="AI390" s="728"/>
      <c r="AJ390" s="682"/>
      <c r="AK390" s="683"/>
      <c r="AL390" s="684" t="s">
        <v>162</v>
      </c>
      <c r="AM390" s="685"/>
      <c r="AN390" s="666" t="s">
        <v>162</v>
      </c>
      <c r="AO390" s="667"/>
      <c r="AP390" s="729"/>
      <c r="AQ390" s="730"/>
      <c r="AR390" s="731"/>
      <c r="AS390" s="732"/>
      <c r="AT390" s="690"/>
      <c r="AU390" s="691"/>
      <c r="AV390" s="666" t="s">
        <v>162</v>
      </c>
      <c r="AW390" s="667"/>
      <c r="AX390" s="692"/>
      <c r="AY390" s="693"/>
      <c r="AZ390" s="694"/>
      <c r="BA390" s="735"/>
      <c r="BB390" s="736"/>
      <c r="BC390" s="14"/>
      <c r="BD390" s="695" t="s">
        <v>162</v>
      </c>
      <c r="BE390" s="696"/>
      <c r="BF390" s="739"/>
      <c r="BG390" s="740"/>
      <c r="BH390" s="740"/>
      <c r="BI390" s="741"/>
      <c r="BJ390" s="700" t="s">
        <v>159</v>
      </c>
      <c r="BK390" s="701"/>
      <c r="BL390" s="701"/>
      <c r="BM390" s="702"/>
      <c r="BN390" s="703" t="s">
        <v>159</v>
      </c>
      <c r="BO390" s="704"/>
      <c r="BP390" s="704"/>
      <c r="BQ390" s="704"/>
      <c r="BR390" s="704"/>
      <c r="BS390" s="704"/>
      <c r="BT390" s="704"/>
      <c r="BU390" s="704"/>
      <c r="BV390" s="705"/>
    </row>
    <row r="391" spans="1:74" ht="45" customHeight="1" x14ac:dyDescent="0.25">
      <c r="A391" s="10">
        <f t="shared" si="5"/>
        <v>377</v>
      </c>
      <c r="B391" s="711" t="s">
        <v>159</v>
      </c>
      <c r="C391" s="711"/>
      <c r="D391" s="712" t="s">
        <v>212</v>
      </c>
      <c r="E391" s="712"/>
      <c r="F391" s="664" t="s">
        <v>162</v>
      </c>
      <c r="G391" s="665"/>
      <c r="H391" s="755" t="s">
        <v>162</v>
      </c>
      <c r="I391" s="667"/>
      <c r="J391" s="706"/>
      <c r="K391" s="707"/>
      <c r="L391" s="706"/>
      <c r="M391" s="707"/>
      <c r="N391" s="194"/>
      <c r="O391" s="196"/>
      <c r="P391" s="717"/>
      <c r="Q391" s="718"/>
      <c r="R391" s="672"/>
      <c r="S391" s="673"/>
      <c r="T391" s="674"/>
      <c r="U391" s="675"/>
      <c r="V391" s="676"/>
      <c r="W391" s="677"/>
      <c r="X391" s="725" t="s">
        <v>159</v>
      </c>
      <c r="Y391" s="725"/>
      <c r="Z391" s="725"/>
      <c r="AA391" s="725"/>
      <c r="AB391" s="726" t="s">
        <v>159</v>
      </c>
      <c r="AC391" s="726"/>
      <c r="AD391" s="726"/>
      <c r="AE391" s="726"/>
      <c r="AF391" s="680"/>
      <c r="AG391" s="681"/>
      <c r="AH391" s="680"/>
      <c r="AI391" s="681"/>
      <c r="AJ391" s="686"/>
      <c r="AK391" s="687"/>
      <c r="AL391" s="664" t="s">
        <v>162</v>
      </c>
      <c r="AM391" s="665"/>
      <c r="AN391" s="713" t="s">
        <v>162</v>
      </c>
      <c r="AO391" s="714"/>
      <c r="AP391" s="686"/>
      <c r="AQ391" s="687"/>
      <c r="AR391" s="688"/>
      <c r="AS391" s="689"/>
      <c r="AT391" s="690"/>
      <c r="AU391" s="691"/>
      <c r="AV391" s="713" t="s">
        <v>162</v>
      </c>
      <c r="AW391" s="714"/>
      <c r="AX391" s="692"/>
      <c r="AY391" s="693"/>
      <c r="AZ391" s="694"/>
      <c r="BA391" s="682"/>
      <c r="BB391" s="683"/>
      <c r="BC391" s="219"/>
      <c r="BD391" s="737" t="s">
        <v>162</v>
      </c>
      <c r="BE391" s="738"/>
      <c r="BF391" s="697"/>
      <c r="BG391" s="698"/>
      <c r="BH391" s="698"/>
      <c r="BI391" s="699"/>
      <c r="BJ391" s="742" t="s">
        <v>159</v>
      </c>
      <c r="BK391" s="743"/>
      <c r="BL391" s="743"/>
      <c r="BM391" s="744"/>
      <c r="BN391" s="703" t="s">
        <v>159</v>
      </c>
      <c r="BO391" s="704"/>
      <c r="BP391" s="704"/>
      <c r="BQ391" s="704"/>
      <c r="BR391" s="704"/>
      <c r="BS391" s="704"/>
      <c r="BT391" s="704"/>
      <c r="BU391" s="704"/>
      <c r="BV391" s="705"/>
    </row>
    <row r="392" spans="1:74" ht="45" customHeight="1" x14ac:dyDescent="0.25">
      <c r="A392" s="10">
        <f t="shared" si="5"/>
        <v>378</v>
      </c>
      <c r="B392" s="662" t="s">
        <v>159</v>
      </c>
      <c r="C392" s="662"/>
      <c r="D392" s="663" t="s">
        <v>212</v>
      </c>
      <c r="E392" s="663"/>
      <c r="F392" s="664" t="s">
        <v>162</v>
      </c>
      <c r="G392" s="665"/>
      <c r="H392" s="754" t="s">
        <v>162</v>
      </c>
      <c r="I392" s="714"/>
      <c r="J392" s="715"/>
      <c r="K392" s="716"/>
      <c r="L392" s="715"/>
      <c r="M392" s="716"/>
      <c r="N392" s="215"/>
      <c r="O392" s="216"/>
      <c r="P392" s="670"/>
      <c r="Q392" s="671"/>
      <c r="R392" s="719"/>
      <c r="S392" s="720"/>
      <c r="T392" s="721"/>
      <c r="U392" s="722"/>
      <c r="V392" s="723"/>
      <c r="W392" s="724"/>
      <c r="X392" s="678" t="s">
        <v>159</v>
      </c>
      <c r="Y392" s="678"/>
      <c r="Z392" s="678"/>
      <c r="AA392" s="678"/>
      <c r="AB392" s="679" t="s">
        <v>159</v>
      </c>
      <c r="AC392" s="679"/>
      <c r="AD392" s="679"/>
      <c r="AE392" s="679"/>
      <c r="AF392" s="727"/>
      <c r="AG392" s="728"/>
      <c r="AH392" s="727"/>
      <c r="AI392" s="728"/>
      <c r="AJ392" s="682"/>
      <c r="AK392" s="683"/>
      <c r="AL392" s="684" t="s">
        <v>162</v>
      </c>
      <c r="AM392" s="685"/>
      <c r="AN392" s="666" t="s">
        <v>162</v>
      </c>
      <c r="AO392" s="667"/>
      <c r="AP392" s="729"/>
      <c r="AQ392" s="730"/>
      <c r="AR392" s="731"/>
      <c r="AS392" s="732"/>
      <c r="AT392" s="690"/>
      <c r="AU392" s="691"/>
      <c r="AV392" s="666" t="s">
        <v>162</v>
      </c>
      <c r="AW392" s="667"/>
      <c r="AX392" s="692"/>
      <c r="AY392" s="693"/>
      <c r="AZ392" s="694"/>
      <c r="BA392" s="735"/>
      <c r="BB392" s="736"/>
      <c r="BC392" s="14"/>
      <c r="BD392" s="695" t="s">
        <v>162</v>
      </c>
      <c r="BE392" s="696"/>
      <c r="BF392" s="739"/>
      <c r="BG392" s="740"/>
      <c r="BH392" s="740"/>
      <c r="BI392" s="741"/>
      <c r="BJ392" s="700" t="s">
        <v>159</v>
      </c>
      <c r="BK392" s="701"/>
      <c r="BL392" s="701"/>
      <c r="BM392" s="702"/>
      <c r="BN392" s="703" t="s">
        <v>159</v>
      </c>
      <c r="BO392" s="704"/>
      <c r="BP392" s="704"/>
      <c r="BQ392" s="704"/>
      <c r="BR392" s="704"/>
      <c r="BS392" s="704"/>
      <c r="BT392" s="704"/>
      <c r="BU392" s="704"/>
      <c r="BV392" s="705"/>
    </row>
    <row r="393" spans="1:74" ht="45" customHeight="1" x14ac:dyDescent="0.25">
      <c r="A393" s="10">
        <f t="shared" si="5"/>
        <v>379</v>
      </c>
      <c r="B393" s="711" t="s">
        <v>159</v>
      </c>
      <c r="C393" s="711"/>
      <c r="D393" s="712" t="s">
        <v>212</v>
      </c>
      <c r="E393" s="712"/>
      <c r="F393" s="664" t="s">
        <v>162</v>
      </c>
      <c r="G393" s="665"/>
      <c r="H393" s="755" t="s">
        <v>162</v>
      </c>
      <c r="I393" s="667"/>
      <c r="J393" s="706"/>
      <c r="K393" s="707"/>
      <c r="L393" s="706"/>
      <c r="M393" s="707"/>
      <c r="N393" s="194"/>
      <c r="O393" s="196"/>
      <c r="P393" s="717"/>
      <c r="Q393" s="718"/>
      <c r="R393" s="672"/>
      <c r="S393" s="673"/>
      <c r="T393" s="674"/>
      <c r="U393" s="675"/>
      <c r="V393" s="676"/>
      <c r="W393" s="677"/>
      <c r="X393" s="725" t="s">
        <v>159</v>
      </c>
      <c r="Y393" s="725"/>
      <c r="Z393" s="725"/>
      <c r="AA393" s="725"/>
      <c r="AB393" s="726" t="s">
        <v>159</v>
      </c>
      <c r="AC393" s="726"/>
      <c r="AD393" s="726"/>
      <c r="AE393" s="726"/>
      <c r="AF393" s="680"/>
      <c r="AG393" s="681"/>
      <c r="AH393" s="680"/>
      <c r="AI393" s="681"/>
      <c r="AJ393" s="686"/>
      <c r="AK393" s="687"/>
      <c r="AL393" s="664" t="s">
        <v>162</v>
      </c>
      <c r="AM393" s="665"/>
      <c r="AN393" s="713" t="s">
        <v>162</v>
      </c>
      <c r="AO393" s="714"/>
      <c r="AP393" s="686"/>
      <c r="AQ393" s="687"/>
      <c r="AR393" s="688"/>
      <c r="AS393" s="689"/>
      <c r="AT393" s="690"/>
      <c r="AU393" s="691"/>
      <c r="AV393" s="713" t="s">
        <v>162</v>
      </c>
      <c r="AW393" s="714"/>
      <c r="AX393" s="692"/>
      <c r="AY393" s="693"/>
      <c r="AZ393" s="694"/>
      <c r="BA393" s="682"/>
      <c r="BB393" s="683"/>
      <c r="BC393" s="219"/>
      <c r="BD393" s="737" t="s">
        <v>162</v>
      </c>
      <c r="BE393" s="738"/>
      <c r="BF393" s="708"/>
      <c r="BG393" s="709"/>
      <c r="BH393" s="709"/>
      <c r="BI393" s="710"/>
      <c r="BJ393" s="742" t="s">
        <v>159</v>
      </c>
      <c r="BK393" s="743"/>
      <c r="BL393" s="743"/>
      <c r="BM393" s="744"/>
      <c r="BN393" s="703" t="s">
        <v>159</v>
      </c>
      <c r="BO393" s="704"/>
      <c r="BP393" s="704"/>
      <c r="BQ393" s="704"/>
      <c r="BR393" s="704"/>
      <c r="BS393" s="704"/>
      <c r="BT393" s="704"/>
      <c r="BU393" s="704"/>
      <c r="BV393" s="705"/>
    </row>
    <row r="394" spans="1:74" ht="45" customHeight="1" x14ac:dyDescent="0.25">
      <c r="A394" s="10">
        <f t="shared" si="5"/>
        <v>380</v>
      </c>
      <c r="B394" s="662" t="s">
        <v>159</v>
      </c>
      <c r="C394" s="662"/>
      <c r="D394" s="663" t="s">
        <v>212</v>
      </c>
      <c r="E394" s="663"/>
      <c r="F394" s="664" t="s">
        <v>162</v>
      </c>
      <c r="G394" s="665"/>
      <c r="H394" s="754" t="s">
        <v>162</v>
      </c>
      <c r="I394" s="714"/>
      <c r="J394" s="715"/>
      <c r="K394" s="716"/>
      <c r="L394" s="715"/>
      <c r="M394" s="716"/>
      <c r="N394" s="215"/>
      <c r="O394" s="216"/>
      <c r="P394" s="670"/>
      <c r="Q394" s="671"/>
      <c r="R394" s="719"/>
      <c r="S394" s="720"/>
      <c r="T394" s="721"/>
      <c r="U394" s="722"/>
      <c r="V394" s="723"/>
      <c r="W394" s="724"/>
      <c r="X394" s="678" t="s">
        <v>159</v>
      </c>
      <c r="Y394" s="678"/>
      <c r="Z394" s="678"/>
      <c r="AA394" s="678"/>
      <c r="AB394" s="679" t="s">
        <v>159</v>
      </c>
      <c r="AC394" s="679"/>
      <c r="AD394" s="679"/>
      <c r="AE394" s="679"/>
      <c r="AF394" s="727"/>
      <c r="AG394" s="728"/>
      <c r="AH394" s="727"/>
      <c r="AI394" s="728"/>
      <c r="AJ394" s="682"/>
      <c r="AK394" s="683"/>
      <c r="AL394" s="684" t="s">
        <v>162</v>
      </c>
      <c r="AM394" s="685"/>
      <c r="AN394" s="666" t="s">
        <v>162</v>
      </c>
      <c r="AO394" s="667"/>
      <c r="AP394" s="729"/>
      <c r="AQ394" s="730"/>
      <c r="AR394" s="731"/>
      <c r="AS394" s="732"/>
      <c r="AT394" s="690"/>
      <c r="AU394" s="691"/>
      <c r="AV394" s="666" t="s">
        <v>162</v>
      </c>
      <c r="AW394" s="667"/>
      <c r="AX394" s="692"/>
      <c r="AY394" s="693"/>
      <c r="AZ394" s="694"/>
      <c r="BA394" s="735"/>
      <c r="BB394" s="736"/>
      <c r="BC394" s="14"/>
      <c r="BD394" s="695" t="s">
        <v>162</v>
      </c>
      <c r="BE394" s="696"/>
      <c r="BF394" s="739"/>
      <c r="BG394" s="740"/>
      <c r="BH394" s="740"/>
      <c r="BI394" s="741"/>
      <c r="BJ394" s="700" t="s">
        <v>159</v>
      </c>
      <c r="BK394" s="701"/>
      <c r="BL394" s="701"/>
      <c r="BM394" s="702"/>
      <c r="BN394" s="703" t="s">
        <v>159</v>
      </c>
      <c r="BO394" s="704"/>
      <c r="BP394" s="704"/>
      <c r="BQ394" s="704"/>
      <c r="BR394" s="704"/>
      <c r="BS394" s="704"/>
      <c r="BT394" s="704"/>
      <c r="BU394" s="704"/>
      <c r="BV394" s="705"/>
    </row>
    <row r="395" spans="1:74" ht="45" customHeight="1" x14ac:dyDescent="0.25">
      <c r="A395" s="10">
        <f t="shared" si="5"/>
        <v>381</v>
      </c>
      <c r="B395" s="711" t="s">
        <v>159</v>
      </c>
      <c r="C395" s="711"/>
      <c r="D395" s="712" t="s">
        <v>212</v>
      </c>
      <c r="E395" s="712"/>
      <c r="F395" s="664" t="s">
        <v>162</v>
      </c>
      <c r="G395" s="665"/>
      <c r="H395" s="755" t="s">
        <v>162</v>
      </c>
      <c r="I395" s="667"/>
      <c r="J395" s="706"/>
      <c r="K395" s="707"/>
      <c r="L395" s="706"/>
      <c r="M395" s="707"/>
      <c r="N395" s="194"/>
      <c r="O395" s="196"/>
      <c r="P395" s="717"/>
      <c r="Q395" s="718"/>
      <c r="R395" s="672"/>
      <c r="S395" s="673"/>
      <c r="T395" s="674"/>
      <c r="U395" s="675"/>
      <c r="V395" s="676"/>
      <c r="W395" s="677"/>
      <c r="X395" s="725" t="s">
        <v>159</v>
      </c>
      <c r="Y395" s="725"/>
      <c r="Z395" s="725"/>
      <c r="AA395" s="725"/>
      <c r="AB395" s="726" t="s">
        <v>159</v>
      </c>
      <c r="AC395" s="726"/>
      <c r="AD395" s="726"/>
      <c r="AE395" s="726"/>
      <c r="AF395" s="680"/>
      <c r="AG395" s="681"/>
      <c r="AH395" s="680"/>
      <c r="AI395" s="681"/>
      <c r="AJ395" s="686"/>
      <c r="AK395" s="687"/>
      <c r="AL395" s="664" t="s">
        <v>162</v>
      </c>
      <c r="AM395" s="665"/>
      <c r="AN395" s="713" t="s">
        <v>162</v>
      </c>
      <c r="AO395" s="714"/>
      <c r="AP395" s="686"/>
      <c r="AQ395" s="687"/>
      <c r="AR395" s="688"/>
      <c r="AS395" s="689"/>
      <c r="AT395" s="690"/>
      <c r="AU395" s="691"/>
      <c r="AV395" s="713" t="s">
        <v>162</v>
      </c>
      <c r="AW395" s="714"/>
      <c r="AX395" s="692"/>
      <c r="AY395" s="693"/>
      <c r="AZ395" s="694"/>
      <c r="BA395" s="682"/>
      <c r="BB395" s="683"/>
      <c r="BC395" s="219"/>
      <c r="BD395" s="737" t="s">
        <v>162</v>
      </c>
      <c r="BE395" s="738"/>
      <c r="BF395" s="708"/>
      <c r="BG395" s="709"/>
      <c r="BH395" s="709"/>
      <c r="BI395" s="710"/>
      <c r="BJ395" s="742" t="s">
        <v>159</v>
      </c>
      <c r="BK395" s="743"/>
      <c r="BL395" s="743"/>
      <c r="BM395" s="744"/>
      <c r="BN395" s="703" t="s">
        <v>159</v>
      </c>
      <c r="BO395" s="704"/>
      <c r="BP395" s="704"/>
      <c r="BQ395" s="704"/>
      <c r="BR395" s="704"/>
      <c r="BS395" s="704"/>
      <c r="BT395" s="704"/>
      <c r="BU395" s="704"/>
      <c r="BV395" s="705"/>
    </row>
    <row r="396" spans="1:74" ht="45" customHeight="1" x14ac:dyDescent="0.25">
      <c r="A396" s="10">
        <f t="shared" si="5"/>
        <v>382</v>
      </c>
      <c r="B396" s="662" t="s">
        <v>159</v>
      </c>
      <c r="C396" s="662"/>
      <c r="D396" s="663" t="s">
        <v>212</v>
      </c>
      <c r="E396" s="663"/>
      <c r="F396" s="664" t="s">
        <v>162</v>
      </c>
      <c r="G396" s="665"/>
      <c r="H396" s="754" t="s">
        <v>162</v>
      </c>
      <c r="I396" s="714"/>
      <c r="J396" s="715"/>
      <c r="K396" s="716"/>
      <c r="L396" s="715"/>
      <c r="M396" s="716"/>
      <c r="N396" s="215"/>
      <c r="O396" s="216"/>
      <c r="P396" s="670"/>
      <c r="Q396" s="671"/>
      <c r="R396" s="719"/>
      <c r="S396" s="720"/>
      <c r="T396" s="721"/>
      <c r="U396" s="722"/>
      <c r="V396" s="723"/>
      <c r="W396" s="724"/>
      <c r="X396" s="678" t="s">
        <v>159</v>
      </c>
      <c r="Y396" s="678"/>
      <c r="Z396" s="678"/>
      <c r="AA396" s="678"/>
      <c r="AB396" s="679" t="s">
        <v>159</v>
      </c>
      <c r="AC396" s="679"/>
      <c r="AD396" s="679"/>
      <c r="AE396" s="679"/>
      <c r="AF396" s="727"/>
      <c r="AG396" s="728"/>
      <c r="AH396" s="727"/>
      <c r="AI396" s="728"/>
      <c r="AJ396" s="682"/>
      <c r="AK396" s="683"/>
      <c r="AL396" s="684" t="s">
        <v>162</v>
      </c>
      <c r="AM396" s="685"/>
      <c r="AN396" s="666" t="s">
        <v>162</v>
      </c>
      <c r="AO396" s="667"/>
      <c r="AP396" s="729"/>
      <c r="AQ396" s="730"/>
      <c r="AR396" s="731"/>
      <c r="AS396" s="732"/>
      <c r="AT396" s="690"/>
      <c r="AU396" s="691"/>
      <c r="AV396" s="666" t="s">
        <v>162</v>
      </c>
      <c r="AW396" s="667"/>
      <c r="AX396" s="692"/>
      <c r="AY396" s="693"/>
      <c r="AZ396" s="694"/>
      <c r="BA396" s="735"/>
      <c r="BB396" s="736"/>
      <c r="BC396" s="14"/>
      <c r="BD396" s="695" t="s">
        <v>162</v>
      </c>
      <c r="BE396" s="696"/>
      <c r="BF396" s="739"/>
      <c r="BG396" s="740"/>
      <c r="BH396" s="740"/>
      <c r="BI396" s="741"/>
      <c r="BJ396" s="700" t="s">
        <v>159</v>
      </c>
      <c r="BK396" s="701"/>
      <c r="BL396" s="701"/>
      <c r="BM396" s="702"/>
      <c r="BN396" s="703" t="s">
        <v>159</v>
      </c>
      <c r="BO396" s="704"/>
      <c r="BP396" s="704"/>
      <c r="BQ396" s="704"/>
      <c r="BR396" s="704"/>
      <c r="BS396" s="704"/>
      <c r="BT396" s="704"/>
      <c r="BU396" s="704"/>
      <c r="BV396" s="705"/>
    </row>
    <row r="397" spans="1:74" ht="45" customHeight="1" x14ac:dyDescent="0.25">
      <c r="A397" s="10">
        <f t="shared" si="5"/>
        <v>383</v>
      </c>
      <c r="B397" s="711" t="s">
        <v>159</v>
      </c>
      <c r="C397" s="711"/>
      <c r="D397" s="712" t="s">
        <v>212</v>
      </c>
      <c r="E397" s="712"/>
      <c r="F397" s="664" t="s">
        <v>162</v>
      </c>
      <c r="G397" s="665"/>
      <c r="H397" s="755" t="s">
        <v>162</v>
      </c>
      <c r="I397" s="667"/>
      <c r="J397" s="706"/>
      <c r="K397" s="707"/>
      <c r="L397" s="706"/>
      <c r="M397" s="707"/>
      <c r="N397" s="194"/>
      <c r="O397" s="196"/>
      <c r="P397" s="717"/>
      <c r="Q397" s="718"/>
      <c r="R397" s="672"/>
      <c r="S397" s="673"/>
      <c r="T397" s="674"/>
      <c r="U397" s="675"/>
      <c r="V397" s="676"/>
      <c r="W397" s="677"/>
      <c r="X397" s="725" t="s">
        <v>159</v>
      </c>
      <c r="Y397" s="725"/>
      <c r="Z397" s="725"/>
      <c r="AA397" s="725"/>
      <c r="AB397" s="726" t="s">
        <v>159</v>
      </c>
      <c r="AC397" s="726"/>
      <c r="AD397" s="726"/>
      <c r="AE397" s="726"/>
      <c r="AF397" s="680"/>
      <c r="AG397" s="681"/>
      <c r="AH397" s="680"/>
      <c r="AI397" s="681"/>
      <c r="AJ397" s="686"/>
      <c r="AK397" s="687"/>
      <c r="AL397" s="664" t="s">
        <v>162</v>
      </c>
      <c r="AM397" s="665"/>
      <c r="AN397" s="713" t="s">
        <v>162</v>
      </c>
      <c r="AO397" s="714"/>
      <c r="AP397" s="686"/>
      <c r="AQ397" s="687"/>
      <c r="AR397" s="688"/>
      <c r="AS397" s="689"/>
      <c r="AT397" s="690"/>
      <c r="AU397" s="691"/>
      <c r="AV397" s="713" t="s">
        <v>162</v>
      </c>
      <c r="AW397" s="714"/>
      <c r="AX397" s="692"/>
      <c r="AY397" s="693"/>
      <c r="AZ397" s="694"/>
      <c r="BA397" s="682"/>
      <c r="BB397" s="683"/>
      <c r="BC397" s="219"/>
      <c r="BD397" s="737" t="s">
        <v>162</v>
      </c>
      <c r="BE397" s="738"/>
      <c r="BF397" s="697"/>
      <c r="BG397" s="698"/>
      <c r="BH397" s="698"/>
      <c r="BI397" s="699"/>
      <c r="BJ397" s="742" t="s">
        <v>159</v>
      </c>
      <c r="BK397" s="743"/>
      <c r="BL397" s="743"/>
      <c r="BM397" s="744"/>
      <c r="BN397" s="703" t="s">
        <v>159</v>
      </c>
      <c r="BO397" s="704"/>
      <c r="BP397" s="704"/>
      <c r="BQ397" s="704"/>
      <c r="BR397" s="704"/>
      <c r="BS397" s="704"/>
      <c r="BT397" s="704"/>
      <c r="BU397" s="704"/>
      <c r="BV397" s="705"/>
    </row>
    <row r="398" spans="1:74" ht="45" customHeight="1" x14ac:dyDescent="0.25">
      <c r="A398" s="10">
        <f t="shared" si="5"/>
        <v>384</v>
      </c>
      <c r="B398" s="662" t="s">
        <v>159</v>
      </c>
      <c r="C398" s="662"/>
      <c r="D398" s="663" t="s">
        <v>212</v>
      </c>
      <c r="E398" s="663"/>
      <c r="F398" s="664" t="s">
        <v>162</v>
      </c>
      <c r="G398" s="665"/>
      <c r="H398" s="754" t="s">
        <v>162</v>
      </c>
      <c r="I398" s="714"/>
      <c r="J398" s="715"/>
      <c r="K398" s="716"/>
      <c r="L398" s="715"/>
      <c r="M398" s="716"/>
      <c r="N398" s="215"/>
      <c r="O398" s="216"/>
      <c r="P398" s="670"/>
      <c r="Q398" s="671"/>
      <c r="R398" s="719"/>
      <c r="S398" s="720"/>
      <c r="T398" s="721"/>
      <c r="U398" s="722"/>
      <c r="V398" s="723"/>
      <c r="W398" s="724"/>
      <c r="X398" s="678" t="s">
        <v>159</v>
      </c>
      <c r="Y398" s="678"/>
      <c r="Z398" s="678"/>
      <c r="AA398" s="678"/>
      <c r="AB398" s="679" t="s">
        <v>159</v>
      </c>
      <c r="AC398" s="679"/>
      <c r="AD398" s="679"/>
      <c r="AE398" s="679"/>
      <c r="AF398" s="727"/>
      <c r="AG398" s="728"/>
      <c r="AH398" s="727"/>
      <c r="AI398" s="728"/>
      <c r="AJ398" s="682"/>
      <c r="AK398" s="683"/>
      <c r="AL398" s="684" t="s">
        <v>162</v>
      </c>
      <c r="AM398" s="685"/>
      <c r="AN398" s="666" t="s">
        <v>162</v>
      </c>
      <c r="AO398" s="667"/>
      <c r="AP398" s="729"/>
      <c r="AQ398" s="730"/>
      <c r="AR398" s="731"/>
      <c r="AS398" s="732"/>
      <c r="AT398" s="690"/>
      <c r="AU398" s="691"/>
      <c r="AV398" s="666" t="s">
        <v>162</v>
      </c>
      <c r="AW398" s="667"/>
      <c r="AX398" s="692"/>
      <c r="AY398" s="693"/>
      <c r="AZ398" s="694"/>
      <c r="BA398" s="735"/>
      <c r="BB398" s="736"/>
      <c r="BC398" s="14"/>
      <c r="BD398" s="695" t="s">
        <v>162</v>
      </c>
      <c r="BE398" s="696"/>
      <c r="BF398" s="739"/>
      <c r="BG398" s="740"/>
      <c r="BH398" s="740"/>
      <c r="BI398" s="741"/>
      <c r="BJ398" s="700" t="s">
        <v>159</v>
      </c>
      <c r="BK398" s="701"/>
      <c r="BL398" s="701"/>
      <c r="BM398" s="702"/>
      <c r="BN398" s="703" t="s">
        <v>159</v>
      </c>
      <c r="BO398" s="704"/>
      <c r="BP398" s="704"/>
      <c r="BQ398" s="704"/>
      <c r="BR398" s="704"/>
      <c r="BS398" s="704"/>
      <c r="BT398" s="704"/>
      <c r="BU398" s="704"/>
      <c r="BV398" s="705"/>
    </row>
    <row r="399" spans="1:74" ht="45" customHeight="1" x14ac:dyDescent="0.25">
      <c r="A399" s="10">
        <f t="shared" ref="A399:A462" si="6">ROW(A385)</f>
        <v>385</v>
      </c>
      <c r="B399" s="711" t="s">
        <v>159</v>
      </c>
      <c r="C399" s="711"/>
      <c r="D399" s="712" t="s">
        <v>212</v>
      </c>
      <c r="E399" s="712"/>
      <c r="F399" s="664" t="s">
        <v>162</v>
      </c>
      <c r="G399" s="665"/>
      <c r="H399" s="755" t="s">
        <v>162</v>
      </c>
      <c r="I399" s="667"/>
      <c r="J399" s="706"/>
      <c r="K399" s="707"/>
      <c r="L399" s="706"/>
      <c r="M399" s="707"/>
      <c r="N399" s="194"/>
      <c r="O399" s="196"/>
      <c r="P399" s="717"/>
      <c r="Q399" s="718"/>
      <c r="R399" s="672"/>
      <c r="S399" s="673"/>
      <c r="T399" s="674"/>
      <c r="U399" s="675"/>
      <c r="V399" s="676"/>
      <c r="W399" s="677"/>
      <c r="X399" s="725" t="s">
        <v>159</v>
      </c>
      <c r="Y399" s="725"/>
      <c r="Z399" s="725"/>
      <c r="AA399" s="725"/>
      <c r="AB399" s="726" t="s">
        <v>159</v>
      </c>
      <c r="AC399" s="726"/>
      <c r="AD399" s="726"/>
      <c r="AE399" s="726"/>
      <c r="AF399" s="680"/>
      <c r="AG399" s="681"/>
      <c r="AH399" s="680"/>
      <c r="AI399" s="681"/>
      <c r="AJ399" s="686"/>
      <c r="AK399" s="687"/>
      <c r="AL399" s="664" t="s">
        <v>162</v>
      </c>
      <c r="AM399" s="665"/>
      <c r="AN399" s="713" t="s">
        <v>162</v>
      </c>
      <c r="AO399" s="714"/>
      <c r="AP399" s="686"/>
      <c r="AQ399" s="687"/>
      <c r="AR399" s="688"/>
      <c r="AS399" s="689"/>
      <c r="AT399" s="690"/>
      <c r="AU399" s="691"/>
      <c r="AV399" s="713" t="s">
        <v>162</v>
      </c>
      <c r="AW399" s="714"/>
      <c r="AX399" s="692"/>
      <c r="AY399" s="693"/>
      <c r="AZ399" s="694"/>
      <c r="BA399" s="682"/>
      <c r="BB399" s="683"/>
      <c r="BC399" s="219"/>
      <c r="BD399" s="737" t="s">
        <v>162</v>
      </c>
      <c r="BE399" s="738"/>
      <c r="BF399" s="708"/>
      <c r="BG399" s="709"/>
      <c r="BH399" s="709"/>
      <c r="BI399" s="710"/>
      <c r="BJ399" s="742" t="s">
        <v>159</v>
      </c>
      <c r="BK399" s="743"/>
      <c r="BL399" s="743"/>
      <c r="BM399" s="744"/>
      <c r="BN399" s="703" t="s">
        <v>159</v>
      </c>
      <c r="BO399" s="704"/>
      <c r="BP399" s="704"/>
      <c r="BQ399" s="704"/>
      <c r="BR399" s="704"/>
      <c r="BS399" s="704"/>
      <c r="BT399" s="704"/>
      <c r="BU399" s="704"/>
      <c r="BV399" s="705"/>
    </row>
    <row r="400" spans="1:74" ht="45" customHeight="1" x14ac:dyDescent="0.25">
      <c r="A400" s="10">
        <f t="shared" si="6"/>
        <v>386</v>
      </c>
      <c r="B400" s="662" t="s">
        <v>159</v>
      </c>
      <c r="C400" s="662"/>
      <c r="D400" s="663" t="s">
        <v>212</v>
      </c>
      <c r="E400" s="663"/>
      <c r="F400" s="664" t="s">
        <v>162</v>
      </c>
      <c r="G400" s="665"/>
      <c r="H400" s="754" t="s">
        <v>162</v>
      </c>
      <c r="I400" s="714"/>
      <c r="J400" s="715"/>
      <c r="K400" s="716"/>
      <c r="L400" s="715"/>
      <c r="M400" s="716"/>
      <c r="N400" s="215"/>
      <c r="O400" s="216"/>
      <c r="P400" s="670"/>
      <c r="Q400" s="671"/>
      <c r="R400" s="719"/>
      <c r="S400" s="720"/>
      <c r="T400" s="721"/>
      <c r="U400" s="722"/>
      <c r="V400" s="723"/>
      <c r="W400" s="724"/>
      <c r="X400" s="678" t="s">
        <v>159</v>
      </c>
      <c r="Y400" s="678"/>
      <c r="Z400" s="678"/>
      <c r="AA400" s="678"/>
      <c r="AB400" s="679" t="s">
        <v>159</v>
      </c>
      <c r="AC400" s="679"/>
      <c r="AD400" s="679"/>
      <c r="AE400" s="679"/>
      <c r="AF400" s="727"/>
      <c r="AG400" s="728"/>
      <c r="AH400" s="727"/>
      <c r="AI400" s="728"/>
      <c r="AJ400" s="682"/>
      <c r="AK400" s="683"/>
      <c r="AL400" s="684" t="s">
        <v>162</v>
      </c>
      <c r="AM400" s="685"/>
      <c r="AN400" s="666" t="s">
        <v>162</v>
      </c>
      <c r="AO400" s="667"/>
      <c r="AP400" s="729"/>
      <c r="AQ400" s="730"/>
      <c r="AR400" s="731"/>
      <c r="AS400" s="732"/>
      <c r="AT400" s="690"/>
      <c r="AU400" s="691"/>
      <c r="AV400" s="666" t="s">
        <v>162</v>
      </c>
      <c r="AW400" s="667"/>
      <c r="AX400" s="692"/>
      <c r="AY400" s="693"/>
      <c r="AZ400" s="694"/>
      <c r="BA400" s="735"/>
      <c r="BB400" s="736"/>
      <c r="BC400" s="14"/>
      <c r="BD400" s="695" t="s">
        <v>162</v>
      </c>
      <c r="BE400" s="696"/>
      <c r="BF400" s="739"/>
      <c r="BG400" s="740"/>
      <c r="BH400" s="740"/>
      <c r="BI400" s="741"/>
      <c r="BJ400" s="700" t="s">
        <v>159</v>
      </c>
      <c r="BK400" s="701"/>
      <c r="BL400" s="701"/>
      <c r="BM400" s="702"/>
      <c r="BN400" s="703" t="s">
        <v>159</v>
      </c>
      <c r="BO400" s="704"/>
      <c r="BP400" s="704"/>
      <c r="BQ400" s="704"/>
      <c r="BR400" s="704"/>
      <c r="BS400" s="704"/>
      <c r="BT400" s="704"/>
      <c r="BU400" s="704"/>
      <c r="BV400" s="705"/>
    </row>
    <row r="401" spans="1:74" ht="45" customHeight="1" x14ac:dyDescent="0.25">
      <c r="A401" s="10">
        <f t="shared" si="6"/>
        <v>387</v>
      </c>
      <c r="B401" s="711" t="s">
        <v>159</v>
      </c>
      <c r="C401" s="711"/>
      <c r="D401" s="712" t="s">
        <v>212</v>
      </c>
      <c r="E401" s="712"/>
      <c r="F401" s="664" t="s">
        <v>162</v>
      </c>
      <c r="G401" s="665"/>
      <c r="H401" s="755" t="s">
        <v>162</v>
      </c>
      <c r="I401" s="667"/>
      <c r="J401" s="706"/>
      <c r="K401" s="707"/>
      <c r="L401" s="706"/>
      <c r="M401" s="707"/>
      <c r="N401" s="194"/>
      <c r="O401" s="196"/>
      <c r="P401" s="717"/>
      <c r="Q401" s="718"/>
      <c r="R401" s="672"/>
      <c r="S401" s="673"/>
      <c r="T401" s="674"/>
      <c r="U401" s="675"/>
      <c r="V401" s="676"/>
      <c r="W401" s="677"/>
      <c r="X401" s="725" t="s">
        <v>159</v>
      </c>
      <c r="Y401" s="725"/>
      <c r="Z401" s="725"/>
      <c r="AA401" s="725"/>
      <c r="AB401" s="726" t="s">
        <v>159</v>
      </c>
      <c r="AC401" s="726"/>
      <c r="AD401" s="726"/>
      <c r="AE401" s="726"/>
      <c r="AF401" s="680"/>
      <c r="AG401" s="681"/>
      <c r="AH401" s="680"/>
      <c r="AI401" s="681"/>
      <c r="AJ401" s="686"/>
      <c r="AK401" s="687"/>
      <c r="AL401" s="664" t="s">
        <v>162</v>
      </c>
      <c r="AM401" s="665"/>
      <c r="AN401" s="713" t="s">
        <v>162</v>
      </c>
      <c r="AO401" s="714"/>
      <c r="AP401" s="686"/>
      <c r="AQ401" s="687"/>
      <c r="AR401" s="688"/>
      <c r="AS401" s="689"/>
      <c r="AT401" s="690"/>
      <c r="AU401" s="691"/>
      <c r="AV401" s="713" t="s">
        <v>162</v>
      </c>
      <c r="AW401" s="714"/>
      <c r="AX401" s="692"/>
      <c r="AY401" s="693"/>
      <c r="AZ401" s="694"/>
      <c r="BA401" s="682"/>
      <c r="BB401" s="683"/>
      <c r="BC401" s="219"/>
      <c r="BD401" s="737" t="s">
        <v>162</v>
      </c>
      <c r="BE401" s="738"/>
      <c r="BF401" s="697"/>
      <c r="BG401" s="698"/>
      <c r="BH401" s="698"/>
      <c r="BI401" s="699"/>
      <c r="BJ401" s="742" t="s">
        <v>159</v>
      </c>
      <c r="BK401" s="743"/>
      <c r="BL401" s="743"/>
      <c r="BM401" s="744"/>
      <c r="BN401" s="703" t="s">
        <v>159</v>
      </c>
      <c r="BO401" s="704"/>
      <c r="BP401" s="704"/>
      <c r="BQ401" s="704"/>
      <c r="BR401" s="704"/>
      <c r="BS401" s="704"/>
      <c r="BT401" s="704"/>
      <c r="BU401" s="704"/>
      <c r="BV401" s="705"/>
    </row>
    <row r="402" spans="1:74" ht="45" customHeight="1" x14ac:dyDescent="0.25">
      <c r="A402" s="10">
        <f t="shared" si="6"/>
        <v>388</v>
      </c>
      <c r="B402" s="662" t="s">
        <v>159</v>
      </c>
      <c r="C402" s="662"/>
      <c r="D402" s="663" t="s">
        <v>212</v>
      </c>
      <c r="E402" s="663"/>
      <c r="F402" s="664" t="s">
        <v>162</v>
      </c>
      <c r="G402" s="665"/>
      <c r="H402" s="754" t="s">
        <v>162</v>
      </c>
      <c r="I402" s="714"/>
      <c r="J402" s="715"/>
      <c r="K402" s="716"/>
      <c r="L402" s="715"/>
      <c r="M402" s="716"/>
      <c r="N402" s="215"/>
      <c r="O402" s="216"/>
      <c r="P402" s="670"/>
      <c r="Q402" s="671"/>
      <c r="R402" s="719"/>
      <c r="S402" s="720"/>
      <c r="T402" s="721"/>
      <c r="U402" s="722"/>
      <c r="V402" s="723"/>
      <c r="W402" s="724"/>
      <c r="X402" s="678" t="s">
        <v>159</v>
      </c>
      <c r="Y402" s="678"/>
      <c r="Z402" s="678"/>
      <c r="AA402" s="678"/>
      <c r="AB402" s="679" t="s">
        <v>159</v>
      </c>
      <c r="AC402" s="679"/>
      <c r="AD402" s="679"/>
      <c r="AE402" s="679"/>
      <c r="AF402" s="727"/>
      <c r="AG402" s="728"/>
      <c r="AH402" s="727"/>
      <c r="AI402" s="728"/>
      <c r="AJ402" s="682"/>
      <c r="AK402" s="683"/>
      <c r="AL402" s="684" t="s">
        <v>162</v>
      </c>
      <c r="AM402" s="685"/>
      <c r="AN402" s="666" t="s">
        <v>162</v>
      </c>
      <c r="AO402" s="667"/>
      <c r="AP402" s="729"/>
      <c r="AQ402" s="730"/>
      <c r="AR402" s="731"/>
      <c r="AS402" s="732"/>
      <c r="AT402" s="690"/>
      <c r="AU402" s="691"/>
      <c r="AV402" s="666" t="s">
        <v>162</v>
      </c>
      <c r="AW402" s="667"/>
      <c r="AX402" s="692"/>
      <c r="AY402" s="693"/>
      <c r="AZ402" s="694"/>
      <c r="BA402" s="735"/>
      <c r="BB402" s="736"/>
      <c r="BC402" s="14"/>
      <c r="BD402" s="695" t="s">
        <v>162</v>
      </c>
      <c r="BE402" s="696"/>
      <c r="BF402" s="739"/>
      <c r="BG402" s="740"/>
      <c r="BH402" s="740"/>
      <c r="BI402" s="741"/>
      <c r="BJ402" s="700" t="s">
        <v>159</v>
      </c>
      <c r="BK402" s="701"/>
      <c r="BL402" s="701"/>
      <c r="BM402" s="702"/>
      <c r="BN402" s="703" t="s">
        <v>159</v>
      </c>
      <c r="BO402" s="704"/>
      <c r="BP402" s="704"/>
      <c r="BQ402" s="704"/>
      <c r="BR402" s="704"/>
      <c r="BS402" s="704"/>
      <c r="BT402" s="704"/>
      <c r="BU402" s="704"/>
      <c r="BV402" s="705"/>
    </row>
    <row r="403" spans="1:74" ht="45" customHeight="1" x14ac:dyDescent="0.25">
      <c r="A403" s="10">
        <f t="shared" si="6"/>
        <v>389</v>
      </c>
      <c r="B403" s="711" t="s">
        <v>159</v>
      </c>
      <c r="C403" s="711"/>
      <c r="D403" s="712" t="s">
        <v>212</v>
      </c>
      <c r="E403" s="712"/>
      <c r="F403" s="664" t="s">
        <v>162</v>
      </c>
      <c r="G403" s="665"/>
      <c r="H403" s="755" t="s">
        <v>162</v>
      </c>
      <c r="I403" s="667"/>
      <c r="J403" s="706"/>
      <c r="K403" s="707"/>
      <c r="L403" s="706"/>
      <c r="M403" s="707"/>
      <c r="N403" s="194"/>
      <c r="O403" s="196"/>
      <c r="P403" s="717"/>
      <c r="Q403" s="718"/>
      <c r="R403" s="672"/>
      <c r="S403" s="673"/>
      <c r="T403" s="674"/>
      <c r="U403" s="675"/>
      <c r="V403" s="676"/>
      <c r="W403" s="677"/>
      <c r="X403" s="725" t="s">
        <v>159</v>
      </c>
      <c r="Y403" s="725"/>
      <c r="Z403" s="725"/>
      <c r="AA403" s="725"/>
      <c r="AB403" s="726" t="s">
        <v>159</v>
      </c>
      <c r="AC403" s="726"/>
      <c r="AD403" s="726"/>
      <c r="AE403" s="726"/>
      <c r="AF403" s="680"/>
      <c r="AG403" s="681"/>
      <c r="AH403" s="680"/>
      <c r="AI403" s="681"/>
      <c r="AJ403" s="686"/>
      <c r="AK403" s="687"/>
      <c r="AL403" s="664" t="s">
        <v>162</v>
      </c>
      <c r="AM403" s="665"/>
      <c r="AN403" s="713" t="s">
        <v>162</v>
      </c>
      <c r="AO403" s="714"/>
      <c r="AP403" s="686"/>
      <c r="AQ403" s="687"/>
      <c r="AR403" s="688"/>
      <c r="AS403" s="689"/>
      <c r="AT403" s="690"/>
      <c r="AU403" s="691"/>
      <c r="AV403" s="713" t="s">
        <v>162</v>
      </c>
      <c r="AW403" s="714"/>
      <c r="AX403" s="692"/>
      <c r="AY403" s="693"/>
      <c r="AZ403" s="694"/>
      <c r="BA403" s="682"/>
      <c r="BB403" s="683"/>
      <c r="BC403" s="219"/>
      <c r="BD403" s="737" t="s">
        <v>162</v>
      </c>
      <c r="BE403" s="738"/>
      <c r="BF403" s="708"/>
      <c r="BG403" s="709"/>
      <c r="BH403" s="709"/>
      <c r="BI403" s="710"/>
      <c r="BJ403" s="742" t="s">
        <v>159</v>
      </c>
      <c r="BK403" s="743"/>
      <c r="BL403" s="743"/>
      <c r="BM403" s="744"/>
      <c r="BN403" s="703" t="s">
        <v>159</v>
      </c>
      <c r="BO403" s="704"/>
      <c r="BP403" s="704"/>
      <c r="BQ403" s="704"/>
      <c r="BR403" s="704"/>
      <c r="BS403" s="704"/>
      <c r="BT403" s="704"/>
      <c r="BU403" s="704"/>
      <c r="BV403" s="705"/>
    </row>
    <row r="404" spans="1:74" ht="45" customHeight="1" x14ac:dyDescent="0.25">
      <c r="A404" s="10">
        <f t="shared" si="6"/>
        <v>390</v>
      </c>
      <c r="B404" s="662" t="s">
        <v>159</v>
      </c>
      <c r="C404" s="662"/>
      <c r="D404" s="663" t="s">
        <v>212</v>
      </c>
      <c r="E404" s="663"/>
      <c r="F404" s="664" t="s">
        <v>162</v>
      </c>
      <c r="G404" s="665"/>
      <c r="H404" s="754" t="s">
        <v>162</v>
      </c>
      <c r="I404" s="714"/>
      <c r="J404" s="715"/>
      <c r="K404" s="716"/>
      <c r="L404" s="715"/>
      <c r="M404" s="716"/>
      <c r="N404" s="215"/>
      <c r="O404" s="216"/>
      <c r="P404" s="670"/>
      <c r="Q404" s="671"/>
      <c r="R404" s="719"/>
      <c r="S404" s="720"/>
      <c r="T404" s="721"/>
      <c r="U404" s="722"/>
      <c r="V404" s="723"/>
      <c r="W404" s="724"/>
      <c r="X404" s="678" t="s">
        <v>159</v>
      </c>
      <c r="Y404" s="678"/>
      <c r="Z404" s="678"/>
      <c r="AA404" s="678"/>
      <c r="AB404" s="679" t="s">
        <v>159</v>
      </c>
      <c r="AC404" s="679"/>
      <c r="AD404" s="679"/>
      <c r="AE404" s="679"/>
      <c r="AF404" s="727"/>
      <c r="AG404" s="728"/>
      <c r="AH404" s="727"/>
      <c r="AI404" s="728"/>
      <c r="AJ404" s="682"/>
      <c r="AK404" s="683"/>
      <c r="AL404" s="684" t="s">
        <v>162</v>
      </c>
      <c r="AM404" s="685"/>
      <c r="AN404" s="666" t="s">
        <v>162</v>
      </c>
      <c r="AO404" s="667"/>
      <c r="AP404" s="729"/>
      <c r="AQ404" s="730"/>
      <c r="AR404" s="731"/>
      <c r="AS404" s="732"/>
      <c r="AT404" s="690"/>
      <c r="AU404" s="691"/>
      <c r="AV404" s="666" t="s">
        <v>162</v>
      </c>
      <c r="AW404" s="667"/>
      <c r="AX404" s="692"/>
      <c r="AY404" s="693"/>
      <c r="AZ404" s="694"/>
      <c r="BA404" s="735"/>
      <c r="BB404" s="736"/>
      <c r="BC404" s="14"/>
      <c r="BD404" s="695" t="s">
        <v>162</v>
      </c>
      <c r="BE404" s="696"/>
      <c r="BF404" s="739"/>
      <c r="BG404" s="740"/>
      <c r="BH404" s="740"/>
      <c r="BI404" s="741"/>
      <c r="BJ404" s="700" t="s">
        <v>159</v>
      </c>
      <c r="BK404" s="701"/>
      <c r="BL404" s="701"/>
      <c r="BM404" s="702"/>
      <c r="BN404" s="703" t="s">
        <v>159</v>
      </c>
      <c r="BO404" s="704"/>
      <c r="BP404" s="704"/>
      <c r="BQ404" s="704"/>
      <c r="BR404" s="704"/>
      <c r="BS404" s="704"/>
      <c r="BT404" s="704"/>
      <c r="BU404" s="704"/>
      <c r="BV404" s="705"/>
    </row>
    <row r="405" spans="1:74" ht="45" customHeight="1" x14ac:dyDescent="0.25">
      <c r="A405" s="10">
        <f t="shared" si="6"/>
        <v>391</v>
      </c>
      <c r="B405" s="711" t="s">
        <v>159</v>
      </c>
      <c r="C405" s="711"/>
      <c r="D405" s="712" t="s">
        <v>212</v>
      </c>
      <c r="E405" s="712"/>
      <c r="F405" s="664" t="s">
        <v>162</v>
      </c>
      <c r="G405" s="665"/>
      <c r="H405" s="755" t="s">
        <v>162</v>
      </c>
      <c r="I405" s="667"/>
      <c r="J405" s="706"/>
      <c r="K405" s="707"/>
      <c r="L405" s="706"/>
      <c r="M405" s="707"/>
      <c r="N405" s="194"/>
      <c r="O405" s="196"/>
      <c r="P405" s="717"/>
      <c r="Q405" s="718"/>
      <c r="R405" s="672"/>
      <c r="S405" s="673"/>
      <c r="T405" s="674"/>
      <c r="U405" s="675"/>
      <c r="V405" s="676"/>
      <c r="W405" s="677"/>
      <c r="X405" s="725" t="s">
        <v>159</v>
      </c>
      <c r="Y405" s="725"/>
      <c r="Z405" s="725"/>
      <c r="AA405" s="725"/>
      <c r="AB405" s="726" t="s">
        <v>159</v>
      </c>
      <c r="AC405" s="726"/>
      <c r="AD405" s="726"/>
      <c r="AE405" s="726"/>
      <c r="AF405" s="680"/>
      <c r="AG405" s="681"/>
      <c r="AH405" s="680"/>
      <c r="AI405" s="681"/>
      <c r="AJ405" s="686"/>
      <c r="AK405" s="687"/>
      <c r="AL405" s="664" t="s">
        <v>162</v>
      </c>
      <c r="AM405" s="665"/>
      <c r="AN405" s="713" t="s">
        <v>162</v>
      </c>
      <c r="AO405" s="714"/>
      <c r="AP405" s="686"/>
      <c r="AQ405" s="687"/>
      <c r="AR405" s="688"/>
      <c r="AS405" s="689"/>
      <c r="AT405" s="690"/>
      <c r="AU405" s="691"/>
      <c r="AV405" s="713" t="s">
        <v>162</v>
      </c>
      <c r="AW405" s="714"/>
      <c r="AX405" s="692"/>
      <c r="AY405" s="693"/>
      <c r="AZ405" s="694"/>
      <c r="BA405" s="682"/>
      <c r="BB405" s="683"/>
      <c r="BC405" s="219"/>
      <c r="BD405" s="737" t="s">
        <v>162</v>
      </c>
      <c r="BE405" s="738"/>
      <c r="BF405" s="708"/>
      <c r="BG405" s="709"/>
      <c r="BH405" s="709"/>
      <c r="BI405" s="710"/>
      <c r="BJ405" s="742" t="s">
        <v>159</v>
      </c>
      <c r="BK405" s="743"/>
      <c r="BL405" s="743"/>
      <c r="BM405" s="744"/>
      <c r="BN405" s="703" t="s">
        <v>159</v>
      </c>
      <c r="BO405" s="704"/>
      <c r="BP405" s="704"/>
      <c r="BQ405" s="704"/>
      <c r="BR405" s="704"/>
      <c r="BS405" s="704"/>
      <c r="BT405" s="704"/>
      <c r="BU405" s="704"/>
      <c r="BV405" s="705"/>
    </row>
    <row r="406" spans="1:74" ht="45" customHeight="1" x14ac:dyDescent="0.25">
      <c r="A406" s="10">
        <f t="shared" si="6"/>
        <v>392</v>
      </c>
      <c r="B406" s="662" t="s">
        <v>159</v>
      </c>
      <c r="C406" s="662"/>
      <c r="D406" s="663" t="s">
        <v>212</v>
      </c>
      <c r="E406" s="663"/>
      <c r="F406" s="664" t="s">
        <v>162</v>
      </c>
      <c r="G406" s="665"/>
      <c r="H406" s="754" t="s">
        <v>162</v>
      </c>
      <c r="I406" s="714"/>
      <c r="J406" s="715"/>
      <c r="K406" s="716"/>
      <c r="L406" s="715"/>
      <c r="M406" s="716"/>
      <c r="N406" s="215"/>
      <c r="O406" s="216"/>
      <c r="P406" s="670"/>
      <c r="Q406" s="671"/>
      <c r="R406" s="719"/>
      <c r="S406" s="720"/>
      <c r="T406" s="721"/>
      <c r="U406" s="722"/>
      <c r="V406" s="723"/>
      <c r="W406" s="724"/>
      <c r="X406" s="678" t="s">
        <v>159</v>
      </c>
      <c r="Y406" s="678"/>
      <c r="Z406" s="678"/>
      <c r="AA406" s="678"/>
      <c r="AB406" s="679" t="s">
        <v>159</v>
      </c>
      <c r="AC406" s="679"/>
      <c r="AD406" s="679"/>
      <c r="AE406" s="679"/>
      <c r="AF406" s="727"/>
      <c r="AG406" s="728"/>
      <c r="AH406" s="727"/>
      <c r="AI406" s="728"/>
      <c r="AJ406" s="682"/>
      <c r="AK406" s="683"/>
      <c r="AL406" s="684" t="s">
        <v>162</v>
      </c>
      <c r="AM406" s="685"/>
      <c r="AN406" s="666" t="s">
        <v>162</v>
      </c>
      <c r="AO406" s="667"/>
      <c r="AP406" s="729"/>
      <c r="AQ406" s="730"/>
      <c r="AR406" s="731"/>
      <c r="AS406" s="732"/>
      <c r="AT406" s="690"/>
      <c r="AU406" s="691"/>
      <c r="AV406" s="666" t="s">
        <v>162</v>
      </c>
      <c r="AW406" s="667"/>
      <c r="AX406" s="692"/>
      <c r="AY406" s="693"/>
      <c r="AZ406" s="694"/>
      <c r="BA406" s="735"/>
      <c r="BB406" s="736"/>
      <c r="BC406" s="14"/>
      <c r="BD406" s="695" t="s">
        <v>162</v>
      </c>
      <c r="BE406" s="696"/>
      <c r="BF406" s="739"/>
      <c r="BG406" s="740"/>
      <c r="BH406" s="740"/>
      <c r="BI406" s="741"/>
      <c r="BJ406" s="700" t="s">
        <v>159</v>
      </c>
      <c r="BK406" s="701"/>
      <c r="BL406" s="701"/>
      <c r="BM406" s="702"/>
      <c r="BN406" s="703" t="s">
        <v>159</v>
      </c>
      <c r="BO406" s="704"/>
      <c r="BP406" s="704"/>
      <c r="BQ406" s="704"/>
      <c r="BR406" s="704"/>
      <c r="BS406" s="704"/>
      <c r="BT406" s="704"/>
      <c r="BU406" s="704"/>
      <c r="BV406" s="705"/>
    </row>
    <row r="407" spans="1:74" ht="45" customHeight="1" x14ac:dyDescent="0.25">
      <c r="A407" s="10">
        <f t="shared" si="6"/>
        <v>393</v>
      </c>
      <c r="B407" s="662" t="s">
        <v>159</v>
      </c>
      <c r="C407" s="662"/>
      <c r="D407" s="663" t="s">
        <v>212</v>
      </c>
      <c r="E407" s="663"/>
      <c r="F407" s="664" t="s">
        <v>162</v>
      </c>
      <c r="G407" s="665"/>
      <c r="H407" s="755" t="s">
        <v>162</v>
      </c>
      <c r="I407" s="667"/>
      <c r="J407" s="706"/>
      <c r="K407" s="707"/>
      <c r="L407" s="706"/>
      <c r="M407" s="707"/>
      <c r="N407" s="194"/>
      <c r="O407" s="196"/>
      <c r="P407" s="717"/>
      <c r="Q407" s="718"/>
      <c r="R407" s="672"/>
      <c r="S407" s="673"/>
      <c r="T407" s="674"/>
      <c r="U407" s="675"/>
      <c r="V407" s="676"/>
      <c r="W407" s="677"/>
      <c r="X407" s="678" t="s">
        <v>159</v>
      </c>
      <c r="Y407" s="678"/>
      <c r="Z407" s="678"/>
      <c r="AA407" s="678"/>
      <c r="AB407" s="679" t="s">
        <v>159</v>
      </c>
      <c r="AC407" s="679"/>
      <c r="AD407" s="679"/>
      <c r="AE407" s="679"/>
      <c r="AF407" s="680"/>
      <c r="AG407" s="681"/>
      <c r="AH407" s="680"/>
      <c r="AI407" s="681"/>
      <c r="AJ407" s="686"/>
      <c r="AK407" s="687"/>
      <c r="AL407" s="684" t="s">
        <v>162</v>
      </c>
      <c r="AM407" s="685"/>
      <c r="AN407" s="666" t="s">
        <v>162</v>
      </c>
      <c r="AO407" s="667"/>
      <c r="AP407" s="686"/>
      <c r="AQ407" s="687"/>
      <c r="AR407" s="688"/>
      <c r="AS407" s="689"/>
      <c r="AT407" s="690"/>
      <c r="AU407" s="691"/>
      <c r="AV407" s="666" t="s">
        <v>162</v>
      </c>
      <c r="AW407" s="667"/>
      <c r="AX407" s="692"/>
      <c r="AY407" s="693"/>
      <c r="AZ407" s="694"/>
      <c r="BA407" s="682"/>
      <c r="BB407" s="683"/>
      <c r="BC407" s="14"/>
      <c r="BD407" s="695" t="s">
        <v>162</v>
      </c>
      <c r="BE407" s="696"/>
      <c r="BF407" s="697"/>
      <c r="BG407" s="698"/>
      <c r="BH407" s="698"/>
      <c r="BI407" s="699"/>
      <c r="BJ407" s="700" t="s">
        <v>159</v>
      </c>
      <c r="BK407" s="701"/>
      <c r="BL407" s="701"/>
      <c r="BM407" s="702"/>
      <c r="BN407" s="703" t="s">
        <v>159</v>
      </c>
      <c r="BO407" s="704"/>
      <c r="BP407" s="704"/>
      <c r="BQ407" s="704"/>
      <c r="BR407" s="704"/>
      <c r="BS407" s="704"/>
      <c r="BT407" s="704"/>
      <c r="BU407" s="704"/>
      <c r="BV407" s="705"/>
    </row>
    <row r="408" spans="1:74" ht="45" customHeight="1" x14ac:dyDescent="0.25">
      <c r="A408" s="10">
        <f t="shared" si="6"/>
        <v>394</v>
      </c>
      <c r="B408" s="711" t="s">
        <v>159</v>
      </c>
      <c r="C408" s="711"/>
      <c r="D408" s="712" t="s">
        <v>212</v>
      </c>
      <c r="E408" s="712"/>
      <c r="F408" s="664" t="s">
        <v>162</v>
      </c>
      <c r="G408" s="665"/>
      <c r="H408" s="754" t="s">
        <v>162</v>
      </c>
      <c r="I408" s="714"/>
      <c r="J408" s="715"/>
      <c r="K408" s="716"/>
      <c r="L408" s="715"/>
      <c r="M408" s="716"/>
      <c r="N408" s="215"/>
      <c r="O408" s="216"/>
      <c r="P408" s="670"/>
      <c r="Q408" s="671"/>
      <c r="R408" s="719"/>
      <c r="S408" s="720"/>
      <c r="T408" s="721"/>
      <c r="U408" s="722"/>
      <c r="V408" s="723"/>
      <c r="W408" s="724"/>
      <c r="X408" s="725" t="s">
        <v>159</v>
      </c>
      <c r="Y408" s="725"/>
      <c r="Z408" s="725"/>
      <c r="AA408" s="725"/>
      <c r="AB408" s="726" t="s">
        <v>159</v>
      </c>
      <c r="AC408" s="726"/>
      <c r="AD408" s="726"/>
      <c r="AE408" s="726"/>
      <c r="AF408" s="727"/>
      <c r="AG408" s="728"/>
      <c r="AH408" s="727"/>
      <c r="AI408" s="728"/>
      <c r="AJ408" s="682"/>
      <c r="AK408" s="683"/>
      <c r="AL408" s="664" t="s">
        <v>162</v>
      </c>
      <c r="AM408" s="665"/>
      <c r="AN408" s="713" t="s">
        <v>162</v>
      </c>
      <c r="AO408" s="714"/>
      <c r="AP408" s="729"/>
      <c r="AQ408" s="730"/>
      <c r="AR408" s="731"/>
      <c r="AS408" s="732"/>
      <c r="AT408" s="690"/>
      <c r="AU408" s="691"/>
      <c r="AV408" s="713" t="s">
        <v>162</v>
      </c>
      <c r="AW408" s="714"/>
      <c r="AX408" s="692"/>
      <c r="AY408" s="693"/>
      <c r="AZ408" s="694"/>
      <c r="BA408" s="735"/>
      <c r="BB408" s="736"/>
      <c r="BC408" s="219"/>
      <c r="BD408" s="737" t="s">
        <v>162</v>
      </c>
      <c r="BE408" s="738"/>
      <c r="BF408" s="739"/>
      <c r="BG408" s="740"/>
      <c r="BH408" s="740"/>
      <c r="BI408" s="741"/>
      <c r="BJ408" s="742" t="s">
        <v>159</v>
      </c>
      <c r="BK408" s="743"/>
      <c r="BL408" s="743"/>
      <c r="BM408" s="744"/>
      <c r="BN408" s="703" t="s">
        <v>159</v>
      </c>
      <c r="BO408" s="704"/>
      <c r="BP408" s="704"/>
      <c r="BQ408" s="704"/>
      <c r="BR408" s="704"/>
      <c r="BS408" s="704"/>
      <c r="BT408" s="704"/>
      <c r="BU408" s="704"/>
      <c r="BV408" s="705"/>
    </row>
    <row r="409" spans="1:74" ht="45" customHeight="1" x14ac:dyDescent="0.25">
      <c r="A409" s="10">
        <f t="shared" si="6"/>
        <v>395</v>
      </c>
      <c r="B409" s="662" t="s">
        <v>159</v>
      </c>
      <c r="C409" s="662"/>
      <c r="D409" s="663" t="s">
        <v>212</v>
      </c>
      <c r="E409" s="663"/>
      <c r="F409" s="664" t="s">
        <v>162</v>
      </c>
      <c r="G409" s="665"/>
      <c r="H409" s="755" t="s">
        <v>162</v>
      </c>
      <c r="I409" s="667"/>
      <c r="J409" s="706"/>
      <c r="K409" s="707"/>
      <c r="L409" s="706"/>
      <c r="M409" s="707"/>
      <c r="N409" s="194"/>
      <c r="O409" s="196"/>
      <c r="P409" s="717"/>
      <c r="Q409" s="718"/>
      <c r="R409" s="672"/>
      <c r="S409" s="673"/>
      <c r="T409" s="674"/>
      <c r="U409" s="675"/>
      <c r="V409" s="676"/>
      <c r="W409" s="677"/>
      <c r="X409" s="678" t="s">
        <v>159</v>
      </c>
      <c r="Y409" s="678"/>
      <c r="Z409" s="678"/>
      <c r="AA409" s="678"/>
      <c r="AB409" s="679" t="s">
        <v>159</v>
      </c>
      <c r="AC409" s="679"/>
      <c r="AD409" s="679"/>
      <c r="AE409" s="679"/>
      <c r="AF409" s="680"/>
      <c r="AG409" s="681"/>
      <c r="AH409" s="680"/>
      <c r="AI409" s="681"/>
      <c r="AJ409" s="686"/>
      <c r="AK409" s="687"/>
      <c r="AL409" s="684" t="s">
        <v>162</v>
      </c>
      <c r="AM409" s="685"/>
      <c r="AN409" s="666" t="s">
        <v>162</v>
      </c>
      <c r="AO409" s="667"/>
      <c r="AP409" s="686"/>
      <c r="AQ409" s="687"/>
      <c r="AR409" s="688"/>
      <c r="AS409" s="689"/>
      <c r="AT409" s="690"/>
      <c r="AU409" s="691"/>
      <c r="AV409" s="666" t="s">
        <v>162</v>
      </c>
      <c r="AW409" s="667"/>
      <c r="AX409" s="692"/>
      <c r="AY409" s="693"/>
      <c r="AZ409" s="694"/>
      <c r="BA409" s="682"/>
      <c r="BB409" s="683"/>
      <c r="BC409" s="14"/>
      <c r="BD409" s="695" t="s">
        <v>162</v>
      </c>
      <c r="BE409" s="696"/>
      <c r="BF409" s="708"/>
      <c r="BG409" s="709"/>
      <c r="BH409" s="709"/>
      <c r="BI409" s="710"/>
      <c r="BJ409" s="700" t="s">
        <v>159</v>
      </c>
      <c r="BK409" s="701"/>
      <c r="BL409" s="701"/>
      <c r="BM409" s="702"/>
      <c r="BN409" s="703" t="s">
        <v>159</v>
      </c>
      <c r="BO409" s="704"/>
      <c r="BP409" s="704"/>
      <c r="BQ409" s="704"/>
      <c r="BR409" s="704"/>
      <c r="BS409" s="704"/>
      <c r="BT409" s="704"/>
      <c r="BU409" s="704"/>
      <c r="BV409" s="705"/>
    </row>
    <row r="410" spans="1:74" ht="45" customHeight="1" x14ac:dyDescent="0.25">
      <c r="A410" s="10">
        <f t="shared" si="6"/>
        <v>396</v>
      </c>
      <c r="B410" s="662" t="s">
        <v>159</v>
      </c>
      <c r="C410" s="662"/>
      <c r="D410" s="663" t="s">
        <v>212</v>
      </c>
      <c r="E410" s="663"/>
      <c r="F410" s="664" t="s">
        <v>162</v>
      </c>
      <c r="G410" s="665"/>
      <c r="H410" s="754" t="s">
        <v>162</v>
      </c>
      <c r="I410" s="714"/>
      <c r="J410" s="715"/>
      <c r="K410" s="716"/>
      <c r="L410" s="715"/>
      <c r="M410" s="716"/>
      <c r="N410" s="215"/>
      <c r="O410" s="216"/>
      <c r="P410" s="670"/>
      <c r="Q410" s="671"/>
      <c r="R410" s="719"/>
      <c r="S410" s="720"/>
      <c r="T410" s="721"/>
      <c r="U410" s="722"/>
      <c r="V410" s="723"/>
      <c r="W410" s="724"/>
      <c r="X410" s="678" t="s">
        <v>159</v>
      </c>
      <c r="Y410" s="678"/>
      <c r="Z410" s="678"/>
      <c r="AA410" s="678"/>
      <c r="AB410" s="679" t="s">
        <v>159</v>
      </c>
      <c r="AC410" s="679"/>
      <c r="AD410" s="679"/>
      <c r="AE410" s="679"/>
      <c r="AF410" s="727"/>
      <c r="AG410" s="728"/>
      <c r="AH410" s="727"/>
      <c r="AI410" s="728"/>
      <c r="AJ410" s="682"/>
      <c r="AK410" s="683"/>
      <c r="AL410" s="684" t="s">
        <v>162</v>
      </c>
      <c r="AM410" s="685"/>
      <c r="AN410" s="666" t="s">
        <v>162</v>
      </c>
      <c r="AO410" s="667"/>
      <c r="AP410" s="729"/>
      <c r="AQ410" s="730"/>
      <c r="AR410" s="731"/>
      <c r="AS410" s="732"/>
      <c r="AT410" s="690"/>
      <c r="AU410" s="691"/>
      <c r="AV410" s="666" t="s">
        <v>162</v>
      </c>
      <c r="AW410" s="667"/>
      <c r="AX410" s="692"/>
      <c r="AY410" s="693"/>
      <c r="AZ410" s="694"/>
      <c r="BA410" s="735"/>
      <c r="BB410" s="736"/>
      <c r="BC410" s="14"/>
      <c r="BD410" s="695" t="s">
        <v>162</v>
      </c>
      <c r="BE410" s="696"/>
      <c r="BF410" s="739"/>
      <c r="BG410" s="740"/>
      <c r="BH410" s="740"/>
      <c r="BI410" s="741"/>
      <c r="BJ410" s="700" t="s">
        <v>159</v>
      </c>
      <c r="BK410" s="701"/>
      <c r="BL410" s="701"/>
      <c r="BM410" s="702"/>
      <c r="BN410" s="703" t="s">
        <v>159</v>
      </c>
      <c r="BO410" s="704"/>
      <c r="BP410" s="704"/>
      <c r="BQ410" s="704"/>
      <c r="BR410" s="704"/>
      <c r="BS410" s="704"/>
      <c r="BT410" s="704"/>
      <c r="BU410" s="704"/>
      <c r="BV410" s="705"/>
    </row>
    <row r="411" spans="1:74" ht="45" customHeight="1" x14ac:dyDescent="0.25">
      <c r="A411" s="10">
        <f t="shared" si="6"/>
        <v>397</v>
      </c>
      <c r="B411" s="711" t="s">
        <v>159</v>
      </c>
      <c r="C411" s="711"/>
      <c r="D411" s="712" t="s">
        <v>212</v>
      </c>
      <c r="E411" s="712"/>
      <c r="F411" s="664" t="s">
        <v>162</v>
      </c>
      <c r="G411" s="665"/>
      <c r="H411" s="755" t="s">
        <v>162</v>
      </c>
      <c r="I411" s="667"/>
      <c r="J411" s="706"/>
      <c r="K411" s="707"/>
      <c r="L411" s="706"/>
      <c r="M411" s="707"/>
      <c r="N411" s="194"/>
      <c r="O411" s="196"/>
      <c r="P411" s="717"/>
      <c r="Q411" s="718"/>
      <c r="R411" s="672"/>
      <c r="S411" s="673"/>
      <c r="T411" s="674"/>
      <c r="U411" s="675"/>
      <c r="V411" s="676"/>
      <c r="W411" s="677"/>
      <c r="X411" s="725" t="s">
        <v>159</v>
      </c>
      <c r="Y411" s="725"/>
      <c r="Z411" s="725"/>
      <c r="AA411" s="725"/>
      <c r="AB411" s="726" t="s">
        <v>159</v>
      </c>
      <c r="AC411" s="726"/>
      <c r="AD411" s="726"/>
      <c r="AE411" s="726"/>
      <c r="AF411" s="680"/>
      <c r="AG411" s="681"/>
      <c r="AH411" s="680"/>
      <c r="AI411" s="681"/>
      <c r="AJ411" s="686"/>
      <c r="AK411" s="687"/>
      <c r="AL411" s="664" t="s">
        <v>162</v>
      </c>
      <c r="AM411" s="665"/>
      <c r="AN411" s="713" t="s">
        <v>162</v>
      </c>
      <c r="AO411" s="714"/>
      <c r="AP411" s="686"/>
      <c r="AQ411" s="687"/>
      <c r="AR411" s="688"/>
      <c r="AS411" s="689"/>
      <c r="AT411" s="690"/>
      <c r="AU411" s="691"/>
      <c r="AV411" s="713" t="s">
        <v>162</v>
      </c>
      <c r="AW411" s="714"/>
      <c r="AX411" s="692"/>
      <c r="AY411" s="693"/>
      <c r="AZ411" s="694"/>
      <c r="BA411" s="682"/>
      <c r="BB411" s="683"/>
      <c r="BC411" s="219"/>
      <c r="BD411" s="737" t="s">
        <v>162</v>
      </c>
      <c r="BE411" s="738"/>
      <c r="BF411" s="697"/>
      <c r="BG411" s="698"/>
      <c r="BH411" s="698"/>
      <c r="BI411" s="699"/>
      <c r="BJ411" s="742" t="s">
        <v>159</v>
      </c>
      <c r="BK411" s="743"/>
      <c r="BL411" s="743"/>
      <c r="BM411" s="744"/>
      <c r="BN411" s="703" t="s">
        <v>159</v>
      </c>
      <c r="BO411" s="704"/>
      <c r="BP411" s="704"/>
      <c r="BQ411" s="704"/>
      <c r="BR411" s="704"/>
      <c r="BS411" s="704"/>
      <c r="BT411" s="704"/>
      <c r="BU411" s="704"/>
      <c r="BV411" s="705"/>
    </row>
    <row r="412" spans="1:74" ht="45" customHeight="1" x14ac:dyDescent="0.25">
      <c r="A412" s="10">
        <f t="shared" si="6"/>
        <v>398</v>
      </c>
      <c r="B412" s="662" t="s">
        <v>159</v>
      </c>
      <c r="C412" s="662"/>
      <c r="D412" s="663" t="s">
        <v>212</v>
      </c>
      <c r="E412" s="663"/>
      <c r="F412" s="664" t="s">
        <v>162</v>
      </c>
      <c r="G412" s="665"/>
      <c r="H412" s="754" t="s">
        <v>162</v>
      </c>
      <c r="I412" s="714"/>
      <c r="J412" s="715"/>
      <c r="K412" s="716"/>
      <c r="L412" s="715"/>
      <c r="M412" s="716"/>
      <c r="N412" s="215"/>
      <c r="O412" s="216"/>
      <c r="P412" s="670"/>
      <c r="Q412" s="671"/>
      <c r="R412" s="719"/>
      <c r="S412" s="720"/>
      <c r="T412" s="721"/>
      <c r="U412" s="722"/>
      <c r="V412" s="723"/>
      <c r="W412" s="724"/>
      <c r="X412" s="678" t="s">
        <v>159</v>
      </c>
      <c r="Y412" s="678"/>
      <c r="Z412" s="678"/>
      <c r="AA412" s="678"/>
      <c r="AB412" s="679" t="s">
        <v>159</v>
      </c>
      <c r="AC412" s="679"/>
      <c r="AD412" s="679"/>
      <c r="AE412" s="679"/>
      <c r="AF412" s="727"/>
      <c r="AG412" s="728"/>
      <c r="AH412" s="727"/>
      <c r="AI412" s="728"/>
      <c r="AJ412" s="682"/>
      <c r="AK412" s="683"/>
      <c r="AL412" s="684" t="s">
        <v>162</v>
      </c>
      <c r="AM412" s="685"/>
      <c r="AN412" s="666" t="s">
        <v>162</v>
      </c>
      <c r="AO412" s="667"/>
      <c r="AP412" s="729"/>
      <c r="AQ412" s="730"/>
      <c r="AR412" s="731"/>
      <c r="AS412" s="732"/>
      <c r="AT412" s="690"/>
      <c r="AU412" s="691"/>
      <c r="AV412" s="666" t="s">
        <v>162</v>
      </c>
      <c r="AW412" s="667"/>
      <c r="AX412" s="692"/>
      <c r="AY412" s="693"/>
      <c r="AZ412" s="694"/>
      <c r="BA412" s="735"/>
      <c r="BB412" s="736"/>
      <c r="BC412" s="14"/>
      <c r="BD412" s="695" t="s">
        <v>162</v>
      </c>
      <c r="BE412" s="696"/>
      <c r="BF412" s="739"/>
      <c r="BG412" s="740"/>
      <c r="BH412" s="740"/>
      <c r="BI412" s="741"/>
      <c r="BJ412" s="700" t="s">
        <v>159</v>
      </c>
      <c r="BK412" s="701"/>
      <c r="BL412" s="701"/>
      <c r="BM412" s="702"/>
      <c r="BN412" s="703" t="s">
        <v>159</v>
      </c>
      <c r="BO412" s="704"/>
      <c r="BP412" s="704"/>
      <c r="BQ412" s="704"/>
      <c r="BR412" s="704"/>
      <c r="BS412" s="704"/>
      <c r="BT412" s="704"/>
      <c r="BU412" s="704"/>
      <c r="BV412" s="705"/>
    </row>
    <row r="413" spans="1:74" ht="45" customHeight="1" x14ac:dyDescent="0.25">
      <c r="A413" s="10">
        <f t="shared" si="6"/>
        <v>399</v>
      </c>
      <c r="B413" s="711" t="s">
        <v>159</v>
      </c>
      <c r="C413" s="711"/>
      <c r="D413" s="712" t="s">
        <v>212</v>
      </c>
      <c r="E413" s="712"/>
      <c r="F413" s="664" t="s">
        <v>162</v>
      </c>
      <c r="G413" s="665"/>
      <c r="H413" s="755" t="s">
        <v>162</v>
      </c>
      <c r="I413" s="667"/>
      <c r="J413" s="706"/>
      <c r="K413" s="707"/>
      <c r="L413" s="706"/>
      <c r="M413" s="707"/>
      <c r="N413" s="194"/>
      <c r="O413" s="196"/>
      <c r="P413" s="717"/>
      <c r="Q413" s="718"/>
      <c r="R413" s="672"/>
      <c r="S413" s="673"/>
      <c r="T413" s="674"/>
      <c r="U413" s="675"/>
      <c r="V413" s="676"/>
      <c r="W413" s="677"/>
      <c r="X413" s="725" t="s">
        <v>159</v>
      </c>
      <c r="Y413" s="725"/>
      <c r="Z413" s="725"/>
      <c r="AA413" s="725"/>
      <c r="AB413" s="726" t="s">
        <v>159</v>
      </c>
      <c r="AC413" s="726"/>
      <c r="AD413" s="726"/>
      <c r="AE413" s="726"/>
      <c r="AF413" s="680"/>
      <c r="AG413" s="681"/>
      <c r="AH413" s="680"/>
      <c r="AI413" s="681"/>
      <c r="AJ413" s="686"/>
      <c r="AK413" s="687"/>
      <c r="AL413" s="664" t="s">
        <v>162</v>
      </c>
      <c r="AM413" s="665"/>
      <c r="AN413" s="713" t="s">
        <v>162</v>
      </c>
      <c r="AO413" s="714"/>
      <c r="AP413" s="686"/>
      <c r="AQ413" s="687"/>
      <c r="AR413" s="688"/>
      <c r="AS413" s="689"/>
      <c r="AT413" s="690"/>
      <c r="AU413" s="691"/>
      <c r="AV413" s="713" t="s">
        <v>162</v>
      </c>
      <c r="AW413" s="714"/>
      <c r="AX413" s="692"/>
      <c r="AY413" s="693"/>
      <c r="AZ413" s="694"/>
      <c r="BA413" s="682"/>
      <c r="BB413" s="683"/>
      <c r="BC413" s="219"/>
      <c r="BD413" s="737" t="s">
        <v>162</v>
      </c>
      <c r="BE413" s="738"/>
      <c r="BF413" s="708"/>
      <c r="BG413" s="709"/>
      <c r="BH413" s="709"/>
      <c r="BI413" s="710"/>
      <c r="BJ413" s="742" t="s">
        <v>159</v>
      </c>
      <c r="BK413" s="743"/>
      <c r="BL413" s="743"/>
      <c r="BM413" s="744"/>
      <c r="BN413" s="703" t="s">
        <v>159</v>
      </c>
      <c r="BO413" s="704"/>
      <c r="BP413" s="704"/>
      <c r="BQ413" s="704"/>
      <c r="BR413" s="704"/>
      <c r="BS413" s="704"/>
      <c r="BT413" s="704"/>
      <c r="BU413" s="704"/>
      <c r="BV413" s="705"/>
    </row>
    <row r="414" spans="1:74" ht="45" customHeight="1" x14ac:dyDescent="0.25">
      <c r="A414" s="10">
        <f t="shared" si="6"/>
        <v>400</v>
      </c>
      <c r="B414" s="662" t="s">
        <v>159</v>
      </c>
      <c r="C414" s="662"/>
      <c r="D414" s="663" t="s">
        <v>212</v>
      </c>
      <c r="E414" s="663"/>
      <c r="F414" s="664" t="s">
        <v>162</v>
      </c>
      <c r="G414" s="665"/>
      <c r="H414" s="754" t="s">
        <v>162</v>
      </c>
      <c r="I414" s="714"/>
      <c r="J414" s="715"/>
      <c r="K414" s="716"/>
      <c r="L414" s="715"/>
      <c r="M414" s="716"/>
      <c r="N414" s="215"/>
      <c r="O414" s="216"/>
      <c r="P414" s="670"/>
      <c r="Q414" s="671"/>
      <c r="R414" s="719"/>
      <c r="S414" s="720"/>
      <c r="T414" s="721"/>
      <c r="U414" s="722"/>
      <c r="V414" s="723"/>
      <c r="W414" s="724"/>
      <c r="X414" s="678" t="s">
        <v>159</v>
      </c>
      <c r="Y414" s="678"/>
      <c r="Z414" s="678"/>
      <c r="AA414" s="678"/>
      <c r="AB414" s="679" t="s">
        <v>159</v>
      </c>
      <c r="AC414" s="679"/>
      <c r="AD414" s="679"/>
      <c r="AE414" s="679"/>
      <c r="AF414" s="727"/>
      <c r="AG414" s="728"/>
      <c r="AH414" s="727"/>
      <c r="AI414" s="728"/>
      <c r="AJ414" s="682"/>
      <c r="AK414" s="683"/>
      <c r="AL414" s="684" t="s">
        <v>162</v>
      </c>
      <c r="AM414" s="685"/>
      <c r="AN414" s="666" t="s">
        <v>162</v>
      </c>
      <c r="AO414" s="667"/>
      <c r="AP414" s="729"/>
      <c r="AQ414" s="730"/>
      <c r="AR414" s="731"/>
      <c r="AS414" s="732"/>
      <c r="AT414" s="690"/>
      <c r="AU414" s="691"/>
      <c r="AV414" s="666" t="s">
        <v>162</v>
      </c>
      <c r="AW414" s="667"/>
      <c r="AX414" s="692"/>
      <c r="AY414" s="693"/>
      <c r="AZ414" s="694"/>
      <c r="BA414" s="735"/>
      <c r="BB414" s="736"/>
      <c r="BC414" s="14"/>
      <c r="BD414" s="695" t="s">
        <v>162</v>
      </c>
      <c r="BE414" s="696"/>
      <c r="BF414" s="739"/>
      <c r="BG414" s="740"/>
      <c r="BH414" s="740"/>
      <c r="BI414" s="741"/>
      <c r="BJ414" s="700" t="s">
        <v>159</v>
      </c>
      <c r="BK414" s="701"/>
      <c r="BL414" s="701"/>
      <c r="BM414" s="702"/>
      <c r="BN414" s="703" t="s">
        <v>159</v>
      </c>
      <c r="BO414" s="704"/>
      <c r="BP414" s="704"/>
      <c r="BQ414" s="704"/>
      <c r="BR414" s="704"/>
      <c r="BS414" s="704"/>
      <c r="BT414" s="704"/>
      <c r="BU414" s="704"/>
      <c r="BV414" s="705"/>
    </row>
    <row r="415" spans="1:74" ht="45" customHeight="1" x14ac:dyDescent="0.25">
      <c r="A415" s="10">
        <f t="shared" si="6"/>
        <v>401</v>
      </c>
      <c r="B415" s="711" t="s">
        <v>159</v>
      </c>
      <c r="C415" s="711"/>
      <c r="D415" s="712" t="s">
        <v>212</v>
      </c>
      <c r="E415" s="712"/>
      <c r="F415" s="664" t="s">
        <v>162</v>
      </c>
      <c r="G415" s="665"/>
      <c r="H415" s="755" t="s">
        <v>162</v>
      </c>
      <c r="I415" s="667"/>
      <c r="J415" s="706"/>
      <c r="K415" s="707"/>
      <c r="L415" s="706"/>
      <c r="M415" s="707"/>
      <c r="N415" s="194"/>
      <c r="O415" s="196"/>
      <c r="P415" s="717"/>
      <c r="Q415" s="718"/>
      <c r="R415" s="672"/>
      <c r="S415" s="673"/>
      <c r="T415" s="674"/>
      <c r="U415" s="675"/>
      <c r="V415" s="676"/>
      <c r="W415" s="677"/>
      <c r="X415" s="725" t="s">
        <v>159</v>
      </c>
      <c r="Y415" s="725"/>
      <c r="Z415" s="725"/>
      <c r="AA415" s="725"/>
      <c r="AB415" s="726" t="s">
        <v>159</v>
      </c>
      <c r="AC415" s="726"/>
      <c r="AD415" s="726"/>
      <c r="AE415" s="726"/>
      <c r="AF415" s="680"/>
      <c r="AG415" s="681"/>
      <c r="AH415" s="680"/>
      <c r="AI415" s="681"/>
      <c r="AJ415" s="686"/>
      <c r="AK415" s="687"/>
      <c r="AL415" s="664" t="s">
        <v>162</v>
      </c>
      <c r="AM415" s="665"/>
      <c r="AN415" s="713" t="s">
        <v>162</v>
      </c>
      <c r="AO415" s="714"/>
      <c r="AP415" s="686"/>
      <c r="AQ415" s="687"/>
      <c r="AR415" s="688"/>
      <c r="AS415" s="689"/>
      <c r="AT415" s="690"/>
      <c r="AU415" s="691"/>
      <c r="AV415" s="713" t="s">
        <v>162</v>
      </c>
      <c r="AW415" s="714"/>
      <c r="AX415" s="692"/>
      <c r="AY415" s="693"/>
      <c r="AZ415" s="694"/>
      <c r="BA415" s="682"/>
      <c r="BB415" s="683"/>
      <c r="BC415" s="219"/>
      <c r="BD415" s="737" t="s">
        <v>162</v>
      </c>
      <c r="BE415" s="738"/>
      <c r="BF415" s="708"/>
      <c r="BG415" s="709"/>
      <c r="BH415" s="709"/>
      <c r="BI415" s="710"/>
      <c r="BJ415" s="742" t="s">
        <v>159</v>
      </c>
      <c r="BK415" s="743"/>
      <c r="BL415" s="743"/>
      <c r="BM415" s="744"/>
      <c r="BN415" s="703" t="s">
        <v>159</v>
      </c>
      <c r="BO415" s="704"/>
      <c r="BP415" s="704"/>
      <c r="BQ415" s="704"/>
      <c r="BR415" s="704"/>
      <c r="BS415" s="704"/>
      <c r="BT415" s="704"/>
      <c r="BU415" s="704"/>
      <c r="BV415" s="705"/>
    </row>
    <row r="416" spans="1:74" ht="45" customHeight="1" x14ac:dyDescent="0.25">
      <c r="A416" s="10">
        <f t="shared" si="6"/>
        <v>402</v>
      </c>
      <c r="B416" s="662" t="s">
        <v>159</v>
      </c>
      <c r="C416" s="662"/>
      <c r="D416" s="663" t="s">
        <v>212</v>
      </c>
      <c r="E416" s="663"/>
      <c r="F416" s="664" t="s">
        <v>162</v>
      </c>
      <c r="G416" s="665"/>
      <c r="H416" s="754" t="s">
        <v>162</v>
      </c>
      <c r="I416" s="714"/>
      <c r="J416" s="715"/>
      <c r="K416" s="716"/>
      <c r="L416" s="715"/>
      <c r="M416" s="716"/>
      <c r="N416" s="215"/>
      <c r="O416" s="216"/>
      <c r="P416" s="670"/>
      <c r="Q416" s="671"/>
      <c r="R416" s="719"/>
      <c r="S416" s="720"/>
      <c r="T416" s="721"/>
      <c r="U416" s="722"/>
      <c r="V416" s="723"/>
      <c r="W416" s="724"/>
      <c r="X416" s="678" t="s">
        <v>159</v>
      </c>
      <c r="Y416" s="678"/>
      <c r="Z416" s="678"/>
      <c r="AA416" s="678"/>
      <c r="AB416" s="679" t="s">
        <v>159</v>
      </c>
      <c r="AC416" s="679"/>
      <c r="AD416" s="679"/>
      <c r="AE416" s="679"/>
      <c r="AF416" s="727"/>
      <c r="AG416" s="728"/>
      <c r="AH416" s="727"/>
      <c r="AI416" s="728"/>
      <c r="AJ416" s="682"/>
      <c r="AK416" s="683"/>
      <c r="AL416" s="684" t="s">
        <v>162</v>
      </c>
      <c r="AM416" s="685"/>
      <c r="AN416" s="666" t="s">
        <v>162</v>
      </c>
      <c r="AO416" s="667"/>
      <c r="AP416" s="729"/>
      <c r="AQ416" s="730"/>
      <c r="AR416" s="731"/>
      <c r="AS416" s="732"/>
      <c r="AT416" s="690"/>
      <c r="AU416" s="691"/>
      <c r="AV416" s="666" t="s">
        <v>162</v>
      </c>
      <c r="AW416" s="667"/>
      <c r="AX416" s="692"/>
      <c r="AY416" s="693"/>
      <c r="AZ416" s="694"/>
      <c r="BA416" s="735"/>
      <c r="BB416" s="736"/>
      <c r="BC416" s="14"/>
      <c r="BD416" s="695" t="s">
        <v>162</v>
      </c>
      <c r="BE416" s="696"/>
      <c r="BF416" s="739"/>
      <c r="BG416" s="740"/>
      <c r="BH416" s="740"/>
      <c r="BI416" s="741"/>
      <c r="BJ416" s="700" t="s">
        <v>159</v>
      </c>
      <c r="BK416" s="701"/>
      <c r="BL416" s="701"/>
      <c r="BM416" s="702"/>
      <c r="BN416" s="703" t="s">
        <v>159</v>
      </c>
      <c r="BO416" s="704"/>
      <c r="BP416" s="704"/>
      <c r="BQ416" s="704"/>
      <c r="BR416" s="704"/>
      <c r="BS416" s="704"/>
      <c r="BT416" s="704"/>
      <c r="BU416" s="704"/>
      <c r="BV416" s="705"/>
    </row>
    <row r="417" spans="1:74" ht="45" customHeight="1" x14ac:dyDescent="0.25">
      <c r="A417" s="10">
        <f t="shared" si="6"/>
        <v>403</v>
      </c>
      <c r="B417" s="711" t="s">
        <v>159</v>
      </c>
      <c r="C417" s="711"/>
      <c r="D417" s="712" t="s">
        <v>212</v>
      </c>
      <c r="E417" s="712"/>
      <c r="F417" s="664" t="s">
        <v>162</v>
      </c>
      <c r="G417" s="665"/>
      <c r="H417" s="755" t="s">
        <v>162</v>
      </c>
      <c r="I417" s="667"/>
      <c r="J417" s="706"/>
      <c r="K417" s="707"/>
      <c r="L417" s="706"/>
      <c r="M417" s="707"/>
      <c r="N417" s="194"/>
      <c r="O417" s="196"/>
      <c r="P417" s="717"/>
      <c r="Q417" s="718"/>
      <c r="R417" s="672"/>
      <c r="S417" s="673"/>
      <c r="T417" s="674"/>
      <c r="U417" s="675"/>
      <c r="V417" s="676"/>
      <c r="W417" s="677"/>
      <c r="X417" s="725" t="s">
        <v>159</v>
      </c>
      <c r="Y417" s="725"/>
      <c r="Z417" s="725"/>
      <c r="AA417" s="725"/>
      <c r="AB417" s="726" t="s">
        <v>159</v>
      </c>
      <c r="AC417" s="726"/>
      <c r="AD417" s="726"/>
      <c r="AE417" s="726"/>
      <c r="AF417" s="680"/>
      <c r="AG417" s="681"/>
      <c r="AH417" s="680"/>
      <c r="AI417" s="681"/>
      <c r="AJ417" s="686"/>
      <c r="AK417" s="687"/>
      <c r="AL417" s="664" t="s">
        <v>162</v>
      </c>
      <c r="AM417" s="665"/>
      <c r="AN417" s="713" t="s">
        <v>162</v>
      </c>
      <c r="AO417" s="714"/>
      <c r="AP417" s="686"/>
      <c r="AQ417" s="687"/>
      <c r="AR417" s="688"/>
      <c r="AS417" s="689"/>
      <c r="AT417" s="690"/>
      <c r="AU417" s="691"/>
      <c r="AV417" s="713" t="s">
        <v>162</v>
      </c>
      <c r="AW417" s="714"/>
      <c r="AX417" s="692"/>
      <c r="AY417" s="693"/>
      <c r="AZ417" s="694"/>
      <c r="BA417" s="682"/>
      <c r="BB417" s="683"/>
      <c r="BC417" s="219"/>
      <c r="BD417" s="737" t="s">
        <v>162</v>
      </c>
      <c r="BE417" s="738"/>
      <c r="BF417" s="697"/>
      <c r="BG417" s="698"/>
      <c r="BH417" s="698"/>
      <c r="BI417" s="699"/>
      <c r="BJ417" s="742" t="s">
        <v>159</v>
      </c>
      <c r="BK417" s="743"/>
      <c r="BL417" s="743"/>
      <c r="BM417" s="744"/>
      <c r="BN417" s="703" t="s">
        <v>159</v>
      </c>
      <c r="BO417" s="704"/>
      <c r="BP417" s="704"/>
      <c r="BQ417" s="704"/>
      <c r="BR417" s="704"/>
      <c r="BS417" s="704"/>
      <c r="BT417" s="704"/>
      <c r="BU417" s="704"/>
      <c r="BV417" s="705"/>
    </row>
    <row r="418" spans="1:74" ht="45" customHeight="1" x14ac:dyDescent="0.25">
      <c r="A418" s="10">
        <f t="shared" si="6"/>
        <v>404</v>
      </c>
      <c r="B418" s="662" t="s">
        <v>159</v>
      </c>
      <c r="C418" s="662"/>
      <c r="D418" s="663" t="s">
        <v>212</v>
      </c>
      <c r="E418" s="663"/>
      <c r="F418" s="664" t="s">
        <v>162</v>
      </c>
      <c r="G418" s="665"/>
      <c r="H418" s="754" t="s">
        <v>162</v>
      </c>
      <c r="I418" s="714"/>
      <c r="J418" s="715"/>
      <c r="K418" s="716"/>
      <c r="L418" s="715"/>
      <c r="M418" s="716"/>
      <c r="N418" s="215"/>
      <c r="O418" s="216"/>
      <c r="P418" s="670"/>
      <c r="Q418" s="671"/>
      <c r="R418" s="719"/>
      <c r="S418" s="720"/>
      <c r="T418" s="721"/>
      <c r="U418" s="722"/>
      <c r="V418" s="723"/>
      <c r="W418" s="724"/>
      <c r="X418" s="678" t="s">
        <v>159</v>
      </c>
      <c r="Y418" s="678"/>
      <c r="Z418" s="678"/>
      <c r="AA418" s="678"/>
      <c r="AB418" s="679" t="s">
        <v>159</v>
      </c>
      <c r="AC418" s="679"/>
      <c r="AD418" s="679"/>
      <c r="AE418" s="679"/>
      <c r="AF418" s="727"/>
      <c r="AG418" s="728"/>
      <c r="AH418" s="727"/>
      <c r="AI418" s="728"/>
      <c r="AJ418" s="682"/>
      <c r="AK418" s="683"/>
      <c r="AL418" s="684" t="s">
        <v>162</v>
      </c>
      <c r="AM418" s="685"/>
      <c r="AN418" s="666" t="s">
        <v>162</v>
      </c>
      <c r="AO418" s="667"/>
      <c r="AP418" s="729"/>
      <c r="AQ418" s="730"/>
      <c r="AR418" s="731"/>
      <c r="AS418" s="732"/>
      <c r="AT418" s="690"/>
      <c r="AU418" s="691"/>
      <c r="AV418" s="666" t="s">
        <v>162</v>
      </c>
      <c r="AW418" s="667"/>
      <c r="AX418" s="692"/>
      <c r="AY418" s="693"/>
      <c r="AZ418" s="694"/>
      <c r="BA418" s="735"/>
      <c r="BB418" s="736"/>
      <c r="BC418" s="14"/>
      <c r="BD418" s="695" t="s">
        <v>162</v>
      </c>
      <c r="BE418" s="696"/>
      <c r="BF418" s="739"/>
      <c r="BG418" s="740"/>
      <c r="BH418" s="740"/>
      <c r="BI418" s="741"/>
      <c r="BJ418" s="700" t="s">
        <v>159</v>
      </c>
      <c r="BK418" s="701"/>
      <c r="BL418" s="701"/>
      <c r="BM418" s="702"/>
      <c r="BN418" s="703" t="s">
        <v>159</v>
      </c>
      <c r="BO418" s="704"/>
      <c r="BP418" s="704"/>
      <c r="BQ418" s="704"/>
      <c r="BR418" s="704"/>
      <c r="BS418" s="704"/>
      <c r="BT418" s="704"/>
      <c r="BU418" s="704"/>
      <c r="BV418" s="705"/>
    </row>
    <row r="419" spans="1:74" ht="45" customHeight="1" x14ac:dyDescent="0.25">
      <c r="A419" s="10">
        <f t="shared" si="6"/>
        <v>405</v>
      </c>
      <c r="B419" s="711" t="s">
        <v>159</v>
      </c>
      <c r="C419" s="711"/>
      <c r="D419" s="712" t="s">
        <v>212</v>
      </c>
      <c r="E419" s="712"/>
      <c r="F419" s="664" t="s">
        <v>162</v>
      </c>
      <c r="G419" s="665"/>
      <c r="H419" s="755" t="s">
        <v>162</v>
      </c>
      <c r="I419" s="667"/>
      <c r="J419" s="706"/>
      <c r="K419" s="707"/>
      <c r="L419" s="706"/>
      <c r="M419" s="707"/>
      <c r="N419" s="194"/>
      <c r="O419" s="196"/>
      <c r="P419" s="717"/>
      <c r="Q419" s="718"/>
      <c r="R419" s="672"/>
      <c r="S419" s="673"/>
      <c r="T419" s="674"/>
      <c r="U419" s="675"/>
      <c r="V419" s="676"/>
      <c r="W419" s="677"/>
      <c r="X419" s="725" t="s">
        <v>159</v>
      </c>
      <c r="Y419" s="725"/>
      <c r="Z419" s="725"/>
      <c r="AA419" s="725"/>
      <c r="AB419" s="726" t="s">
        <v>159</v>
      </c>
      <c r="AC419" s="726"/>
      <c r="AD419" s="726"/>
      <c r="AE419" s="726"/>
      <c r="AF419" s="680"/>
      <c r="AG419" s="681"/>
      <c r="AH419" s="680"/>
      <c r="AI419" s="681"/>
      <c r="AJ419" s="686"/>
      <c r="AK419" s="687"/>
      <c r="AL419" s="664" t="s">
        <v>162</v>
      </c>
      <c r="AM419" s="665"/>
      <c r="AN419" s="713" t="s">
        <v>162</v>
      </c>
      <c r="AO419" s="714"/>
      <c r="AP419" s="686"/>
      <c r="AQ419" s="687"/>
      <c r="AR419" s="688"/>
      <c r="AS419" s="689"/>
      <c r="AT419" s="690"/>
      <c r="AU419" s="691"/>
      <c r="AV419" s="713" t="s">
        <v>162</v>
      </c>
      <c r="AW419" s="714"/>
      <c r="AX419" s="692"/>
      <c r="AY419" s="693"/>
      <c r="AZ419" s="694"/>
      <c r="BA419" s="682"/>
      <c r="BB419" s="683"/>
      <c r="BC419" s="219"/>
      <c r="BD419" s="737" t="s">
        <v>162</v>
      </c>
      <c r="BE419" s="738"/>
      <c r="BF419" s="708"/>
      <c r="BG419" s="709"/>
      <c r="BH419" s="709"/>
      <c r="BI419" s="710"/>
      <c r="BJ419" s="742" t="s">
        <v>159</v>
      </c>
      <c r="BK419" s="743"/>
      <c r="BL419" s="743"/>
      <c r="BM419" s="744"/>
      <c r="BN419" s="703" t="s">
        <v>159</v>
      </c>
      <c r="BO419" s="704"/>
      <c r="BP419" s="704"/>
      <c r="BQ419" s="704"/>
      <c r="BR419" s="704"/>
      <c r="BS419" s="704"/>
      <c r="BT419" s="704"/>
      <c r="BU419" s="704"/>
      <c r="BV419" s="705"/>
    </row>
    <row r="420" spans="1:74" ht="45" customHeight="1" x14ac:dyDescent="0.25">
      <c r="A420" s="10">
        <f t="shared" si="6"/>
        <v>406</v>
      </c>
      <c r="B420" s="662" t="s">
        <v>159</v>
      </c>
      <c r="C420" s="662"/>
      <c r="D420" s="663" t="s">
        <v>212</v>
      </c>
      <c r="E420" s="663"/>
      <c r="F420" s="664" t="s">
        <v>162</v>
      </c>
      <c r="G420" s="665"/>
      <c r="H420" s="754" t="s">
        <v>162</v>
      </c>
      <c r="I420" s="714"/>
      <c r="J420" s="715"/>
      <c r="K420" s="716"/>
      <c r="L420" s="715"/>
      <c r="M420" s="716"/>
      <c r="N420" s="215"/>
      <c r="O420" s="216"/>
      <c r="P420" s="670"/>
      <c r="Q420" s="671"/>
      <c r="R420" s="719"/>
      <c r="S420" s="720"/>
      <c r="T420" s="721"/>
      <c r="U420" s="722"/>
      <c r="V420" s="723"/>
      <c r="W420" s="724"/>
      <c r="X420" s="678" t="s">
        <v>159</v>
      </c>
      <c r="Y420" s="678"/>
      <c r="Z420" s="678"/>
      <c r="AA420" s="678"/>
      <c r="AB420" s="679" t="s">
        <v>159</v>
      </c>
      <c r="AC420" s="679"/>
      <c r="AD420" s="679"/>
      <c r="AE420" s="679"/>
      <c r="AF420" s="727"/>
      <c r="AG420" s="728"/>
      <c r="AH420" s="727"/>
      <c r="AI420" s="728"/>
      <c r="AJ420" s="682"/>
      <c r="AK420" s="683"/>
      <c r="AL420" s="684" t="s">
        <v>162</v>
      </c>
      <c r="AM420" s="685"/>
      <c r="AN420" s="666" t="s">
        <v>162</v>
      </c>
      <c r="AO420" s="667"/>
      <c r="AP420" s="729"/>
      <c r="AQ420" s="730"/>
      <c r="AR420" s="731"/>
      <c r="AS420" s="732"/>
      <c r="AT420" s="690"/>
      <c r="AU420" s="691"/>
      <c r="AV420" s="666" t="s">
        <v>162</v>
      </c>
      <c r="AW420" s="667"/>
      <c r="AX420" s="692"/>
      <c r="AY420" s="693"/>
      <c r="AZ420" s="694"/>
      <c r="BA420" s="735"/>
      <c r="BB420" s="736"/>
      <c r="BC420" s="14"/>
      <c r="BD420" s="695" t="s">
        <v>162</v>
      </c>
      <c r="BE420" s="696"/>
      <c r="BF420" s="739"/>
      <c r="BG420" s="740"/>
      <c r="BH420" s="740"/>
      <c r="BI420" s="741"/>
      <c r="BJ420" s="700" t="s">
        <v>159</v>
      </c>
      <c r="BK420" s="701"/>
      <c r="BL420" s="701"/>
      <c r="BM420" s="702"/>
      <c r="BN420" s="703" t="s">
        <v>159</v>
      </c>
      <c r="BO420" s="704"/>
      <c r="BP420" s="704"/>
      <c r="BQ420" s="704"/>
      <c r="BR420" s="704"/>
      <c r="BS420" s="704"/>
      <c r="BT420" s="704"/>
      <c r="BU420" s="704"/>
      <c r="BV420" s="705"/>
    </row>
    <row r="421" spans="1:74" ht="45" customHeight="1" x14ac:dyDescent="0.25">
      <c r="A421" s="10">
        <f t="shared" si="6"/>
        <v>407</v>
      </c>
      <c r="B421" s="711" t="s">
        <v>159</v>
      </c>
      <c r="C421" s="711"/>
      <c r="D421" s="712" t="s">
        <v>212</v>
      </c>
      <c r="E421" s="712"/>
      <c r="F421" s="664" t="s">
        <v>162</v>
      </c>
      <c r="G421" s="665"/>
      <c r="H421" s="755" t="s">
        <v>162</v>
      </c>
      <c r="I421" s="667"/>
      <c r="J421" s="706"/>
      <c r="K421" s="707"/>
      <c r="L421" s="706"/>
      <c r="M421" s="707"/>
      <c r="N421" s="194"/>
      <c r="O421" s="196"/>
      <c r="P421" s="717"/>
      <c r="Q421" s="718"/>
      <c r="R421" s="672"/>
      <c r="S421" s="673"/>
      <c r="T421" s="674"/>
      <c r="U421" s="675"/>
      <c r="V421" s="676"/>
      <c r="W421" s="677"/>
      <c r="X421" s="725" t="s">
        <v>159</v>
      </c>
      <c r="Y421" s="725"/>
      <c r="Z421" s="725"/>
      <c r="AA421" s="725"/>
      <c r="AB421" s="726" t="s">
        <v>159</v>
      </c>
      <c r="AC421" s="726"/>
      <c r="AD421" s="726"/>
      <c r="AE421" s="726"/>
      <c r="AF421" s="680"/>
      <c r="AG421" s="681"/>
      <c r="AH421" s="680"/>
      <c r="AI421" s="681"/>
      <c r="AJ421" s="686"/>
      <c r="AK421" s="687"/>
      <c r="AL421" s="664" t="s">
        <v>162</v>
      </c>
      <c r="AM421" s="665"/>
      <c r="AN421" s="713" t="s">
        <v>162</v>
      </c>
      <c r="AO421" s="714"/>
      <c r="AP421" s="686"/>
      <c r="AQ421" s="687"/>
      <c r="AR421" s="688"/>
      <c r="AS421" s="689"/>
      <c r="AT421" s="690"/>
      <c r="AU421" s="691"/>
      <c r="AV421" s="713" t="s">
        <v>162</v>
      </c>
      <c r="AW421" s="714"/>
      <c r="AX421" s="692"/>
      <c r="AY421" s="693"/>
      <c r="AZ421" s="694"/>
      <c r="BA421" s="682"/>
      <c r="BB421" s="683"/>
      <c r="BC421" s="219"/>
      <c r="BD421" s="737" t="s">
        <v>162</v>
      </c>
      <c r="BE421" s="738"/>
      <c r="BF421" s="697"/>
      <c r="BG421" s="698"/>
      <c r="BH421" s="698"/>
      <c r="BI421" s="699"/>
      <c r="BJ421" s="742" t="s">
        <v>159</v>
      </c>
      <c r="BK421" s="743"/>
      <c r="BL421" s="743"/>
      <c r="BM421" s="744"/>
      <c r="BN421" s="703" t="s">
        <v>159</v>
      </c>
      <c r="BO421" s="704"/>
      <c r="BP421" s="704"/>
      <c r="BQ421" s="704"/>
      <c r="BR421" s="704"/>
      <c r="BS421" s="704"/>
      <c r="BT421" s="704"/>
      <c r="BU421" s="704"/>
      <c r="BV421" s="705"/>
    </row>
    <row r="422" spans="1:74" ht="45" customHeight="1" x14ac:dyDescent="0.25">
      <c r="A422" s="10">
        <f t="shared" si="6"/>
        <v>408</v>
      </c>
      <c r="B422" s="662" t="s">
        <v>159</v>
      </c>
      <c r="C422" s="662"/>
      <c r="D422" s="663" t="s">
        <v>212</v>
      </c>
      <c r="E422" s="663"/>
      <c r="F422" s="664" t="s">
        <v>162</v>
      </c>
      <c r="G422" s="665"/>
      <c r="H422" s="754" t="s">
        <v>162</v>
      </c>
      <c r="I422" s="714"/>
      <c r="J422" s="715"/>
      <c r="K422" s="716"/>
      <c r="L422" s="715"/>
      <c r="M422" s="716"/>
      <c r="N422" s="215"/>
      <c r="O422" s="216"/>
      <c r="P422" s="670"/>
      <c r="Q422" s="671"/>
      <c r="R422" s="719"/>
      <c r="S422" s="720"/>
      <c r="T422" s="721"/>
      <c r="U422" s="722"/>
      <c r="V422" s="723"/>
      <c r="W422" s="724"/>
      <c r="X422" s="678" t="s">
        <v>159</v>
      </c>
      <c r="Y422" s="678"/>
      <c r="Z422" s="678"/>
      <c r="AA422" s="678"/>
      <c r="AB422" s="679" t="s">
        <v>159</v>
      </c>
      <c r="AC422" s="679"/>
      <c r="AD422" s="679"/>
      <c r="AE422" s="679"/>
      <c r="AF422" s="727"/>
      <c r="AG422" s="728"/>
      <c r="AH422" s="727"/>
      <c r="AI422" s="728"/>
      <c r="AJ422" s="682"/>
      <c r="AK422" s="683"/>
      <c r="AL422" s="684" t="s">
        <v>162</v>
      </c>
      <c r="AM422" s="685"/>
      <c r="AN422" s="666" t="s">
        <v>162</v>
      </c>
      <c r="AO422" s="667"/>
      <c r="AP422" s="729"/>
      <c r="AQ422" s="730"/>
      <c r="AR422" s="731"/>
      <c r="AS422" s="732"/>
      <c r="AT422" s="690"/>
      <c r="AU422" s="691"/>
      <c r="AV422" s="666" t="s">
        <v>162</v>
      </c>
      <c r="AW422" s="667"/>
      <c r="AX422" s="692"/>
      <c r="AY422" s="693"/>
      <c r="AZ422" s="694"/>
      <c r="BA422" s="735"/>
      <c r="BB422" s="736"/>
      <c r="BC422" s="14"/>
      <c r="BD422" s="695" t="s">
        <v>162</v>
      </c>
      <c r="BE422" s="696"/>
      <c r="BF422" s="739"/>
      <c r="BG422" s="740"/>
      <c r="BH422" s="740"/>
      <c r="BI422" s="741"/>
      <c r="BJ422" s="700" t="s">
        <v>159</v>
      </c>
      <c r="BK422" s="701"/>
      <c r="BL422" s="701"/>
      <c r="BM422" s="702"/>
      <c r="BN422" s="703" t="s">
        <v>159</v>
      </c>
      <c r="BO422" s="704"/>
      <c r="BP422" s="704"/>
      <c r="BQ422" s="704"/>
      <c r="BR422" s="704"/>
      <c r="BS422" s="704"/>
      <c r="BT422" s="704"/>
      <c r="BU422" s="704"/>
      <c r="BV422" s="705"/>
    </row>
    <row r="423" spans="1:74" ht="45" customHeight="1" x14ac:dyDescent="0.25">
      <c r="A423" s="10">
        <f t="shared" si="6"/>
        <v>409</v>
      </c>
      <c r="B423" s="711" t="s">
        <v>159</v>
      </c>
      <c r="C423" s="711"/>
      <c r="D423" s="712" t="s">
        <v>212</v>
      </c>
      <c r="E423" s="712"/>
      <c r="F423" s="664" t="s">
        <v>162</v>
      </c>
      <c r="G423" s="665"/>
      <c r="H423" s="755" t="s">
        <v>162</v>
      </c>
      <c r="I423" s="667"/>
      <c r="J423" s="706"/>
      <c r="K423" s="707"/>
      <c r="L423" s="706"/>
      <c r="M423" s="707"/>
      <c r="N423" s="194"/>
      <c r="O423" s="196"/>
      <c r="P423" s="717"/>
      <c r="Q423" s="718"/>
      <c r="R423" s="672"/>
      <c r="S423" s="673"/>
      <c r="T423" s="674"/>
      <c r="U423" s="675"/>
      <c r="V423" s="676"/>
      <c r="W423" s="677"/>
      <c r="X423" s="725" t="s">
        <v>159</v>
      </c>
      <c r="Y423" s="725"/>
      <c r="Z423" s="725"/>
      <c r="AA423" s="725"/>
      <c r="AB423" s="726" t="s">
        <v>159</v>
      </c>
      <c r="AC423" s="726"/>
      <c r="AD423" s="726"/>
      <c r="AE423" s="726"/>
      <c r="AF423" s="680"/>
      <c r="AG423" s="681"/>
      <c r="AH423" s="680"/>
      <c r="AI423" s="681"/>
      <c r="AJ423" s="686"/>
      <c r="AK423" s="687"/>
      <c r="AL423" s="664" t="s">
        <v>162</v>
      </c>
      <c r="AM423" s="665"/>
      <c r="AN423" s="713" t="s">
        <v>162</v>
      </c>
      <c r="AO423" s="714"/>
      <c r="AP423" s="686"/>
      <c r="AQ423" s="687"/>
      <c r="AR423" s="688"/>
      <c r="AS423" s="689"/>
      <c r="AT423" s="690"/>
      <c r="AU423" s="691"/>
      <c r="AV423" s="713" t="s">
        <v>162</v>
      </c>
      <c r="AW423" s="714"/>
      <c r="AX423" s="692"/>
      <c r="AY423" s="693"/>
      <c r="AZ423" s="694"/>
      <c r="BA423" s="682"/>
      <c r="BB423" s="683"/>
      <c r="BC423" s="219"/>
      <c r="BD423" s="737" t="s">
        <v>162</v>
      </c>
      <c r="BE423" s="738"/>
      <c r="BF423" s="708"/>
      <c r="BG423" s="709"/>
      <c r="BH423" s="709"/>
      <c r="BI423" s="710"/>
      <c r="BJ423" s="742" t="s">
        <v>159</v>
      </c>
      <c r="BK423" s="743"/>
      <c r="BL423" s="743"/>
      <c r="BM423" s="744"/>
      <c r="BN423" s="703" t="s">
        <v>159</v>
      </c>
      <c r="BO423" s="704"/>
      <c r="BP423" s="704"/>
      <c r="BQ423" s="704"/>
      <c r="BR423" s="704"/>
      <c r="BS423" s="704"/>
      <c r="BT423" s="704"/>
      <c r="BU423" s="704"/>
      <c r="BV423" s="705"/>
    </row>
    <row r="424" spans="1:74" ht="45" customHeight="1" x14ac:dyDescent="0.25">
      <c r="A424" s="10">
        <f t="shared" si="6"/>
        <v>410</v>
      </c>
      <c r="B424" s="662" t="s">
        <v>159</v>
      </c>
      <c r="C424" s="662"/>
      <c r="D424" s="663" t="s">
        <v>212</v>
      </c>
      <c r="E424" s="663"/>
      <c r="F424" s="664" t="s">
        <v>162</v>
      </c>
      <c r="G424" s="665"/>
      <c r="H424" s="754" t="s">
        <v>162</v>
      </c>
      <c r="I424" s="714"/>
      <c r="J424" s="715"/>
      <c r="K424" s="716"/>
      <c r="L424" s="715"/>
      <c r="M424" s="716"/>
      <c r="N424" s="215"/>
      <c r="O424" s="216"/>
      <c r="P424" s="670"/>
      <c r="Q424" s="671"/>
      <c r="R424" s="719"/>
      <c r="S424" s="720"/>
      <c r="T424" s="721"/>
      <c r="U424" s="722"/>
      <c r="V424" s="723"/>
      <c r="W424" s="724"/>
      <c r="X424" s="678" t="s">
        <v>159</v>
      </c>
      <c r="Y424" s="678"/>
      <c r="Z424" s="678"/>
      <c r="AA424" s="678"/>
      <c r="AB424" s="679" t="s">
        <v>159</v>
      </c>
      <c r="AC424" s="679"/>
      <c r="AD424" s="679"/>
      <c r="AE424" s="679"/>
      <c r="AF424" s="727"/>
      <c r="AG424" s="728"/>
      <c r="AH424" s="727"/>
      <c r="AI424" s="728"/>
      <c r="AJ424" s="682"/>
      <c r="AK424" s="683"/>
      <c r="AL424" s="684" t="s">
        <v>162</v>
      </c>
      <c r="AM424" s="685"/>
      <c r="AN424" s="666" t="s">
        <v>162</v>
      </c>
      <c r="AO424" s="667"/>
      <c r="AP424" s="729"/>
      <c r="AQ424" s="730"/>
      <c r="AR424" s="731"/>
      <c r="AS424" s="732"/>
      <c r="AT424" s="690"/>
      <c r="AU424" s="691"/>
      <c r="AV424" s="666" t="s">
        <v>162</v>
      </c>
      <c r="AW424" s="667"/>
      <c r="AX424" s="692"/>
      <c r="AY424" s="693"/>
      <c r="AZ424" s="694"/>
      <c r="BA424" s="735"/>
      <c r="BB424" s="736"/>
      <c r="BC424" s="14"/>
      <c r="BD424" s="695" t="s">
        <v>162</v>
      </c>
      <c r="BE424" s="696"/>
      <c r="BF424" s="739"/>
      <c r="BG424" s="740"/>
      <c r="BH424" s="740"/>
      <c r="BI424" s="741"/>
      <c r="BJ424" s="700" t="s">
        <v>159</v>
      </c>
      <c r="BK424" s="701"/>
      <c r="BL424" s="701"/>
      <c r="BM424" s="702"/>
      <c r="BN424" s="703" t="s">
        <v>159</v>
      </c>
      <c r="BO424" s="704"/>
      <c r="BP424" s="704"/>
      <c r="BQ424" s="704"/>
      <c r="BR424" s="704"/>
      <c r="BS424" s="704"/>
      <c r="BT424" s="704"/>
      <c r="BU424" s="704"/>
      <c r="BV424" s="705"/>
    </row>
    <row r="425" spans="1:74" ht="45" customHeight="1" x14ac:dyDescent="0.25">
      <c r="A425" s="10">
        <f t="shared" si="6"/>
        <v>411</v>
      </c>
      <c r="B425" s="711" t="s">
        <v>159</v>
      </c>
      <c r="C425" s="711"/>
      <c r="D425" s="712" t="s">
        <v>212</v>
      </c>
      <c r="E425" s="712"/>
      <c r="F425" s="664" t="s">
        <v>162</v>
      </c>
      <c r="G425" s="665"/>
      <c r="H425" s="755" t="s">
        <v>162</v>
      </c>
      <c r="I425" s="667"/>
      <c r="J425" s="706"/>
      <c r="K425" s="707"/>
      <c r="L425" s="706"/>
      <c r="M425" s="707"/>
      <c r="N425" s="194"/>
      <c r="O425" s="196"/>
      <c r="P425" s="717"/>
      <c r="Q425" s="718"/>
      <c r="R425" s="672"/>
      <c r="S425" s="673"/>
      <c r="T425" s="674"/>
      <c r="U425" s="675"/>
      <c r="V425" s="676"/>
      <c r="W425" s="677"/>
      <c r="X425" s="725" t="s">
        <v>159</v>
      </c>
      <c r="Y425" s="725"/>
      <c r="Z425" s="725"/>
      <c r="AA425" s="725"/>
      <c r="AB425" s="726" t="s">
        <v>159</v>
      </c>
      <c r="AC425" s="726"/>
      <c r="AD425" s="726"/>
      <c r="AE425" s="726"/>
      <c r="AF425" s="680"/>
      <c r="AG425" s="681"/>
      <c r="AH425" s="680"/>
      <c r="AI425" s="681"/>
      <c r="AJ425" s="686"/>
      <c r="AK425" s="687"/>
      <c r="AL425" s="664" t="s">
        <v>162</v>
      </c>
      <c r="AM425" s="665"/>
      <c r="AN425" s="713" t="s">
        <v>162</v>
      </c>
      <c r="AO425" s="714"/>
      <c r="AP425" s="686"/>
      <c r="AQ425" s="687"/>
      <c r="AR425" s="688"/>
      <c r="AS425" s="689"/>
      <c r="AT425" s="690"/>
      <c r="AU425" s="691"/>
      <c r="AV425" s="713" t="s">
        <v>162</v>
      </c>
      <c r="AW425" s="714"/>
      <c r="AX425" s="692"/>
      <c r="AY425" s="693"/>
      <c r="AZ425" s="694"/>
      <c r="BA425" s="682"/>
      <c r="BB425" s="683"/>
      <c r="BC425" s="219"/>
      <c r="BD425" s="737" t="s">
        <v>162</v>
      </c>
      <c r="BE425" s="738"/>
      <c r="BF425" s="708"/>
      <c r="BG425" s="709"/>
      <c r="BH425" s="709"/>
      <c r="BI425" s="710"/>
      <c r="BJ425" s="742" t="s">
        <v>159</v>
      </c>
      <c r="BK425" s="743"/>
      <c r="BL425" s="743"/>
      <c r="BM425" s="744"/>
      <c r="BN425" s="703" t="s">
        <v>159</v>
      </c>
      <c r="BO425" s="704"/>
      <c r="BP425" s="704"/>
      <c r="BQ425" s="704"/>
      <c r="BR425" s="704"/>
      <c r="BS425" s="704"/>
      <c r="BT425" s="704"/>
      <c r="BU425" s="704"/>
      <c r="BV425" s="705"/>
    </row>
    <row r="426" spans="1:74" ht="45" customHeight="1" x14ac:dyDescent="0.25">
      <c r="A426" s="10">
        <f t="shared" si="6"/>
        <v>412</v>
      </c>
      <c r="B426" s="662" t="s">
        <v>159</v>
      </c>
      <c r="C426" s="662"/>
      <c r="D426" s="663" t="s">
        <v>212</v>
      </c>
      <c r="E426" s="663"/>
      <c r="F426" s="664" t="s">
        <v>162</v>
      </c>
      <c r="G426" s="665"/>
      <c r="H426" s="754" t="s">
        <v>162</v>
      </c>
      <c r="I426" s="714"/>
      <c r="J426" s="715"/>
      <c r="K426" s="716"/>
      <c r="L426" s="715"/>
      <c r="M426" s="716"/>
      <c r="N426" s="215"/>
      <c r="O426" s="216"/>
      <c r="P426" s="670"/>
      <c r="Q426" s="671"/>
      <c r="R426" s="719"/>
      <c r="S426" s="720"/>
      <c r="T426" s="721"/>
      <c r="U426" s="722"/>
      <c r="V426" s="723"/>
      <c r="W426" s="724"/>
      <c r="X426" s="678" t="s">
        <v>159</v>
      </c>
      <c r="Y426" s="678"/>
      <c r="Z426" s="678"/>
      <c r="AA426" s="678"/>
      <c r="AB426" s="679" t="s">
        <v>159</v>
      </c>
      <c r="AC426" s="679"/>
      <c r="AD426" s="679"/>
      <c r="AE426" s="679"/>
      <c r="AF426" s="727"/>
      <c r="AG426" s="728"/>
      <c r="AH426" s="727"/>
      <c r="AI426" s="728"/>
      <c r="AJ426" s="682"/>
      <c r="AK426" s="683"/>
      <c r="AL426" s="684" t="s">
        <v>162</v>
      </c>
      <c r="AM426" s="685"/>
      <c r="AN426" s="666" t="s">
        <v>162</v>
      </c>
      <c r="AO426" s="667"/>
      <c r="AP426" s="729"/>
      <c r="AQ426" s="730"/>
      <c r="AR426" s="731"/>
      <c r="AS426" s="732"/>
      <c r="AT426" s="690"/>
      <c r="AU426" s="691"/>
      <c r="AV426" s="666" t="s">
        <v>162</v>
      </c>
      <c r="AW426" s="667"/>
      <c r="AX426" s="692"/>
      <c r="AY426" s="693"/>
      <c r="AZ426" s="694"/>
      <c r="BA426" s="735"/>
      <c r="BB426" s="736"/>
      <c r="BC426" s="14"/>
      <c r="BD426" s="695" t="s">
        <v>162</v>
      </c>
      <c r="BE426" s="696"/>
      <c r="BF426" s="739"/>
      <c r="BG426" s="740"/>
      <c r="BH426" s="740"/>
      <c r="BI426" s="741"/>
      <c r="BJ426" s="700" t="s">
        <v>159</v>
      </c>
      <c r="BK426" s="701"/>
      <c r="BL426" s="701"/>
      <c r="BM426" s="702"/>
      <c r="BN426" s="703" t="s">
        <v>159</v>
      </c>
      <c r="BO426" s="704"/>
      <c r="BP426" s="704"/>
      <c r="BQ426" s="704"/>
      <c r="BR426" s="704"/>
      <c r="BS426" s="704"/>
      <c r="BT426" s="704"/>
      <c r="BU426" s="704"/>
      <c r="BV426" s="705"/>
    </row>
    <row r="427" spans="1:74" ht="45" customHeight="1" x14ac:dyDescent="0.25">
      <c r="A427" s="10">
        <f t="shared" si="6"/>
        <v>413</v>
      </c>
      <c r="B427" s="711" t="s">
        <v>159</v>
      </c>
      <c r="C427" s="711"/>
      <c r="D427" s="712" t="s">
        <v>212</v>
      </c>
      <c r="E427" s="712"/>
      <c r="F427" s="664" t="s">
        <v>162</v>
      </c>
      <c r="G427" s="665"/>
      <c r="H427" s="755" t="s">
        <v>162</v>
      </c>
      <c r="I427" s="667"/>
      <c r="J427" s="706"/>
      <c r="K427" s="707"/>
      <c r="L427" s="706"/>
      <c r="M427" s="707"/>
      <c r="N427" s="194"/>
      <c r="O427" s="196"/>
      <c r="P427" s="717"/>
      <c r="Q427" s="718"/>
      <c r="R427" s="672"/>
      <c r="S427" s="673"/>
      <c r="T427" s="674"/>
      <c r="U427" s="675"/>
      <c r="V427" s="676"/>
      <c r="W427" s="677"/>
      <c r="X427" s="725" t="s">
        <v>159</v>
      </c>
      <c r="Y427" s="725"/>
      <c r="Z427" s="725"/>
      <c r="AA427" s="725"/>
      <c r="AB427" s="726" t="s">
        <v>159</v>
      </c>
      <c r="AC427" s="726"/>
      <c r="AD427" s="726"/>
      <c r="AE427" s="726"/>
      <c r="AF427" s="680"/>
      <c r="AG427" s="681"/>
      <c r="AH427" s="680"/>
      <c r="AI427" s="681"/>
      <c r="AJ427" s="686"/>
      <c r="AK427" s="687"/>
      <c r="AL427" s="664" t="s">
        <v>162</v>
      </c>
      <c r="AM427" s="665"/>
      <c r="AN427" s="713" t="s">
        <v>162</v>
      </c>
      <c r="AO427" s="714"/>
      <c r="AP427" s="686"/>
      <c r="AQ427" s="687"/>
      <c r="AR427" s="688"/>
      <c r="AS427" s="689"/>
      <c r="AT427" s="690"/>
      <c r="AU427" s="691"/>
      <c r="AV427" s="713" t="s">
        <v>162</v>
      </c>
      <c r="AW427" s="714"/>
      <c r="AX427" s="692"/>
      <c r="AY427" s="693"/>
      <c r="AZ427" s="694"/>
      <c r="BA427" s="682"/>
      <c r="BB427" s="683"/>
      <c r="BC427" s="219"/>
      <c r="BD427" s="737" t="s">
        <v>162</v>
      </c>
      <c r="BE427" s="738"/>
      <c r="BF427" s="697"/>
      <c r="BG427" s="698"/>
      <c r="BH427" s="698"/>
      <c r="BI427" s="699"/>
      <c r="BJ427" s="742" t="s">
        <v>159</v>
      </c>
      <c r="BK427" s="743"/>
      <c r="BL427" s="743"/>
      <c r="BM427" s="744"/>
      <c r="BN427" s="703" t="s">
        <v>159</v>
      </c>
      <c r="BO427" s="704"/>
      <c r="BP427" s="704"/>
      <c r="BQ427" s="704"/>
      <c r="BR427" s="704"/>
      <c r="BS427" s="704"/>
      <c r="BT427" s="704"/>
      <c r="BU427" s="704"/>
      <c r="BV427" s="705"/>
    </row>
    <row r="428" spans="1:74" ht="45" customHeight="1" x14ac:dyDescent="0.25">
      <c r="A428" s="10">
        <f t="shared" si="6"/>
        <v>414</v>
      </c>
      <c r="B428" s="662" t="s">
        <v>159</v>
      </c>
      <c r="C428" s="662"/>
      <c r="D428" s="663" t="s">
        <v>212</v>
      </c>
      <c r="E428" s="663"/>
      <c r="F428" s="664" t="s">
        <v>162</v>
      </c>
      <c r="G428" s="665"/>
      <c r="H428" s="754" t="s">
        <v>162</v>
      </c>
      <c r="I428" s="714"/>
      <c r="J428" s="715"/>
      <c r="K428" s="716"/>
      <c r="L428" s="715"/>
      <c r="M428" s="716"/>
      <c r="N428" s="215"/>
      <c r="O428" s="216"/>
      <c r="P428" s="670"/>
      <c r="Q428" s="671"/>
      <c r="R428" s="719"/>
      <c r="S428" s="720"/>
      <c r="T428" s="721"/>
      <c r="U428" s="722"/>
      <c r="V428" s="723"/>
      <c r="W428" s="724"/>
      <c r="X428" s="678" t="s">
        <v>159</v>
      </c>
      <c r="Y428" s="678"/>
      <c r="Z428" s="678"/>
      <c r="AA428" s="678"/>
      <c r="AB428" s="679" t="s">
        <v>159</v>
      </c>
      <c r="AC428" s="679"/>
      <c r="AD428" s="679"/>
      <c r="AE428" s="679"/>
      <c r="AF428" s="727"/>
      <c r="AG428" s="728"/>
      <c r="AH428" s="727"/>
      <c r="AI428" s="728"/>
      <c r="AJ428" s="682"/>
      <c r="AK428" s="683"/>
      <c r="AL428" s="684" t="s">
        <v>162</v>
      </c>
      <c r="AM428" s="685"/>
      <c r="AN428" s="666" t="s">
        <v>162</v>
      </c>
      <c r="AO428" s="667"/>
      <c r="AP428" s="729"/>
      <c r="AQ428" s="730"/>
      <c r="AR428" s="731"/>
      <c r="AS428" s="732"/>
      <c r="AT428" s="690"/>
      <c r="AU428" s="691"/>
      <c r="AV428" s="666" t="s">
        <v>162</v>
      </c>
      <c r="AW428" s="667"/>
      <c r="AX428" s="692"/>
      <c r="AY428" s="693"/>
      <c r="AZ428" s="694"/>
      <c r="BA428" s="735"/>
      <c r="BB428" s="736"/>
      <c r="BC428" s="14"/>
      <c r="BD428" s="695" t="s">
        <v>162</v>
      </c>
      <c r="BE428" s="696"/>
      <c r="BF428" s="739"/>
      <c r="BG428" s="740"/>
      <c r="BH428" s="740"/>
      <c r="BI428" s="741"/>
      <c r="BJ428" s="700" t="s">
        <v>159</v>
      </c>
      <c r="BK428" s="701"/>
      <c r="BL428" s="701"/>
      <c r="BM428" s="702"/>
      <c r="BN428" s="703" t="s">
        <v>159</v>
      </c>
      <c r="BO428" s="704"/>
      <c r="BP428" s="704"/>
      <c r="BQ428" s="704"/>
      <c r="BR428" s="704"/>
      <c r="BS428" s="704"/>
      <c r="BT428" s="704"/>
      <c r="BU428" s="704"/>
      <c r="BV428" s="705"/>
    </row>
    <row r="429" spans="1:74" ht="45" customHeight="1" x14ac:dyDescent="0.25">
      <c r="A429" s="10">
        <f t="shared" si="6"/>
        <v>415</v>
      </c>
      <c r="B429" s="711" t="s">
        <v>159</v>
      </c>
      <c r="C429" s="711"/>
      <c r="D429" s="712" t="s">
        <v>212</v>
      </c>
      <c r="E429" s="712"/>
      <c r="F429" s="664" t="s">
        <v>162</v>
      </c>
      <c r="G429" s="665"/>
      <c r="H429" s="755" t="s">
        <v>162</v>
      </c>
      <c r="I429" s="667"/>
      <c r="J429" s="706"/>
      <c r="K429" s="707"/>
      <c r="L429" s="706"/>
      <c r="M429" s="707"/>
      <c r="N429" s="194"/>
      <c r="O429" s="196"/>
      <c r="P429" s="717"/>
      <c r="Q429" s="718"/>
      <c r="R429" s="672"/>
      <c r="S429" s="673"/>
      <c r="T429" s="674"/>
      <c r="U429" s="675"/>
      <c r="V429" s="676"/>
      <c r="W429" s="677"/>
      <c r="X429" s="725" t="s">
        <v>159</v>
      </c>
      <c r="Y429" s="725"/>
      <c r="Z429" s="725"/>
      <c r="AA429" s="725"/>
      <c r="AB429" s="726" t="s">
        <v>159</v>
      </c>
      <c r="AC429" s="726"/>
      <c r="AD429" s="726"/>
      <c r="AE429" s="726"/>
      <c r="AF429" s="680"/>
      <c r="AG429" s="681"/>
      <c r="AH429" s="680"/>
      <c r="AI429" s="681"/>
      <c r="AJ429" s="686"/>
      <c r="AK429" s="687"/>
      <c r="AL429" s="664" t="s">
        <v>162</v>
      </c>
      <c r="AM429" s="665"/>
      <c r="AN429" s="713" t="s">
        <v>162</v>
      </c>
      <c r="AO429" s="714"/>
      <c r="AP429" s="686"/>
      <c r="AQ429" s="687"/>
      <c r="AR429" s="688"/>
      <c r="AS429" s="689"/>
      <c r="AT429" s="690"/>
      <c r="AU429" s="691"/>
      <c r="AV429" s="713" t="s">
        <v>162</v>
      </c>
      <c r="AW429" s="714"/>
      <c r="AX429" s="692"/>
      <c r="AY429" s="693"/>
      <c r="AZ429" s="694"/>
      <c r="BA429" s="682"/>
      <c r="BB429" s="683"/>
      <c r="BC429" s="219"/>
      <c r="BD429" s="737" t="s">
        <v>162</v>
      </c>
      <c r="BE429" s="738"/>
      <c r="BF429" s="708"/>
      <c r="BG429" s="709"/>
      <c r="BH429" s="709"/>
      <c r="BI429" s="710"/>
      <c r="BJ429" s="742" t="s">
        <v>159</v>
      </c>
      <c r="BK429" s="743"/>
      <c r="BL429" s="743"/>
      <c r="BM429" s="744"/>
      <c r="BN429" s="703" t="s">
        <v>159</v>
      </c>
      <c r="BO429" s="704"/>
      <c r="BP429" s="704"/>
      <c r="BQ429" s="704"/>
      <c r="BR429" s="704"/>
      <c r="BS429" s="704"/>
      <c r="BT429" s="704"/>
      <c r="BU429" s="704"/>
      <c r="BV429" s="705"/>
    </row>
    <row r="430" spans="1:74" ht="45" customHeight="1" x14ac:dyDescent="0.25">
      <c r="A430" s="10">
        <f t="shared" si="6"/>
        <v>416</v>
      </c>
      <c r="B430" s="662" t="s">
        <v>159</v>
      </c>
      <c r="C430" s="662"/>
      <c r="D430" s="663" t="s">
        <v>212</v>
      </c>
      <c r="E430" s="663"/>
      <c r="F430" s="664" t="s">
        <v>162</v>
      </c>
      <c r="G430" s="665"/>
      <c r="H430" s="754" t="s">
        <v>162</v>
      </c>
      <c r="I430" s="714"/>
      <c r="J430" s="715"/>
      <c r="K430" s="716"/>
      <c r="L430" s="715"/>
      <c r="M430" s="716"/>
      <c r="N430" s="215"/>
      <c r="O430" s="216"/>
      <c r="P430" s="670"/>
      <c r="Q430" s="671"/>
      <c r="R430" s="719"/>
      <c r="S430" s="720"/>
      <c r="T430" s="721"/>
      <c r="U430" s="722"/>
      <c r="V430" s="723"/>
      <c r="W430" s="724"/>
      <c r="X430" s="678" t="s">
        <v>159</v>
      </c>
      <c r="Y430" s="678"/>
      <c r="Z430" s="678"/>
      <c r="AA430" s="678"/>
      <c r="AB430" s="679" t="s">
        <v>159</v>
      </c>
      <c r="AC430" s="679"/>
      <c r="AD430" s="679"/>
      <c r="AE430" s="679"/>
      <c r="AF430" s="727"/>
      <c r="AG430" s="728"/>
      <c r="AH430" s="727"/>
      <c r="AI430" s="728"/>
      <c r="AJ430" s="682"/>
      <c r="AK430" s="683"/>
      <c r="AL430" s="684" t="s">
        <v>162</v>
      </c>
      <c r="AM430" s="685"/>
      <c r="AN430" s="666" t="s">
        <v>162</v>
      </c>
      <c r="AO430" s="667"/>
      <c r="AP430" s="729"/>
      <c r="AQ430" s="730"/>
      <c r="AR430" s="731"/>
      <c r="AS430" s="732"/>
      <c r="AT430" s="690"/>
      <c r="AU430" s="691"/>
      <c r="AV430" s="666" t="s">
        <v>162</v>
      </c>
      <c r="AW430" s="667"/>
      <c r="AX430" s="692"/>
      <c r="AY430" s="693"/>
      <c r="AZ430" s="694"/>
      <c r="BA430" s="735"/>
      <c r="BB430" s="736"/>
      <c r="BC430" s="14"/>
      <c r="BD430" s="695" t="s">
        <v>162</v>
      </c>
      <c r="BE430" s="696"/>
      <c r="BF430" s="739"/>
      <c r="BG430" s="740"/>
      <c r="BH430" s="740"/>
      <c r="BI430" s="741"/>
      <c r="BJ430" s="700" t="s">
        <v>159</v>
      </c>
      <c r="BK430" s="701"/>
      <c r="BL430" s="701"/>
      <c r="BM430" s="702"/>
      <c r="BN430" s="703" t="s">
        <v>159</v>
      </c>
      <c r="BO430" s="704"/>
      <c r="BP430" s="704"/>
      <c r="BQ430" s="704"/>
      <c r="BR430" s="704"/>
      <c r="BS430" s="704"/>
      <c r="BT430" s="704"/>
      <c r="BU430" s="704"/>
      <c r="BV430" s="705"/>
    </row>
    <row r="431" spans="1:74" ht="45" customHeight="1" x14ac:dyDescent="0.25">
      <c r="A431" s="10">
        <f t="shared" si="6"/>
        <v>417</v>
      </c>
      <c r="B431" s="711" t="s">
        <v>159</v>
      </c>
      <c r="C431" s="711"/>
      <c r="D431" s="712" t="s">
        <v>212</v>
      </c>
      <c r="E431" s="712"/>
      <c r="F431" s="664" t="s">
        <v>162</v>
      </c>
      <c r="G431" s="665"/>
      <c r="H431" s="755" t="s">
        <v>162</v>
      </c>
      <c r="I431" s="667"/>
      <c r="J431" s="706"/>
      <c r="K431" s="707"/>
      <c r="L431" s="706"/>
      <c r="M431" s="707"/>
      <c r="N431" s="194"/>
      <c r="O431" s="196"/>
      <c r="P431" s="717"/>
      <c r="Q431" s="718"/>
      <c r="R431" s="672"/>
      <c r="S431" s="673"/>
      <c r="T431" s="674"/>
      <c r="U431" s="675"/>
      <c r="V431" s="676"/>
      <c r="W431" s="677"/>
      <c r="X431" s="725" t="s">
        <v>159</v>
      </c>
      <c r="Y431" s="725"/>
      <c r="Z431" s="725"/>
      <c r="AA431" s="725"/>
      <c r="AB431" s="726" t="s">
        <v>159</v>
      </c>
      <c r="AC431" s="726"/>
      <c r="AD431" s="726"/>
      <c r="AE431" s="726"/>
      <c r="AF431" s="680"/>
      <c r="AG431" s="681"/>
      <c r="AH431" s="680"/>
      <c r="AI431" s="681"/>
      <c r="AJ431" s="686"/>
      <c r="AK431" s="687"/>
      <c r="AL431" s="664" t="s">
        <v>162</v>
      </c>
      <c r="AM431" s="665"/>
      <c r="AN431" s="713" t="s">
        <v>162</v>
      </c>
      <c r="AO431" s="714"/>
      <c r="AP431" s="686"/>
      <c r="AQ431" s="687"/>
      <c r="AR431" s="688"/>
      <c r="AS431" s="689"/>
      <c r="AT431" s="690"/>
      <c r="AU431" s="691"/>
      <c r="AV431" s="713" t="s">
        <v>162</v>
      </c>
      <c r="AW431" s="714"/>
      <c r="AX431" s="692"/>
      <c r="AY431" s="693"/>
      <c r="AZ431" s="694"/>
      <c r="BA431" s="682"/>
      <c r="BB431" s="683"/>
      <c r="BC431" s="219"/>
      <c r="BD431" s="737" t="s">
        <v>162</v>
      </c>
      <c r="BE431" s="738"/>
      <c r="BF431" s="697"/>
      <c r="BG431" s="698"/>
      <c r="BH431" s="698"/>
      <c r="BI431" s="699"/>
      <c r="BJ431" s="742" t="s">
        <v>159</v>
      </c>
      <c r="BK431" s="743"/>
      <c r="BL431" s="743"/>
      <c r="BM431" s="744"/>
      <c r="BN431" s="703" t="s">
        <v>159</v>
      </c>
      <c r="BO431" s="704"/>
      <c r="BP431" s="704"/>
      <c r="BQ431" s="704"/>
      <c r="BR431" s="704"/>
      <c r="BS431" s="704"/>
      <c r="BT431" s="704"/>
      <c r="BU431" s="704"/>
      <c r="BV431" s="705"/>
    </row>
    <row r="432" spans="1:74" ht="45" customHeight="1" x14ac:dyDescent="0.25">
      <c r="A432" s="10">
        <f t="shared" si="6"/>
        <v>418</v>
      </c>
      <c r="B432" s="662" t="s">
        <v>159</v>
      </c>
      <c r="C432" s="662"/>
      <c r="D432" s="663" t="s">
        <v>212</v>
      </c>
      <c r="E432" s="663"/>
      <c r="F432" s="664" t="s">
        <v>162</v>
      </c>
      <c r="G432" s="665"/>
      <c r="H432" s="754" t="s">
        <v>162</v>
      </c>
      <c r="I432" s="714"/>
      <c r="J432" s="715"/>
      <c r="K432" s="716"/>
      <c r="L432" s="715"/>
      <c r="M432" s="716"/>
      <c r="N432" s="215"/>
      <c r="O432" s="216"/>
      <c r="P432" s="670"/>
      <c r="Q432" s="671"/>
      <c r="R432" s="719"/>
      <c r="S432" s="720"/>
      <c r="T432" s="721"/>
      <c r="U432" s="722"/>
      <c r="V432" s="723"/>
      <c r="W432" s="724"/>
      <c r="X432" s="678" t="s">
        <v>159</v>
      </c>
      <c r="Y432" s="678"/>
      <c r="Z432" s="678"/>
      <c r="AA432" s="678"/>
      <c r="AB432" s="679" t="s">
        <v>159</v>
      </c>
      <c r="AC432" s="679"/>
      <c r="AD432" s="679"/>
      <c r="AE432" s="679"/>
      <c r="AF432" s="727"/>
      <c r="AG432" s="728"/>
      <c r="AH432" s="727"/>
      <c r="AI432" s="728"/>
      <c r="AJ432" s="682"/>
      <c r="AK432" s="683"/>
      <c r="AL432" s="684" t="s">
        <v>162</v>
      </c>
      <c r="AM432" s="685"/>
      <c r="AN432" s="666" t="s">
        <v>162</v>
      </c>
      <c r="AO432" s="667"/>
      <c r="AP432" s="729"/>
      <c r="AQ432" s="730"/>
      <c r="AR432" s="731"/>
      <c r="AS432" s="732"/>
      <c r="AT432" s="690"/>
      <c r="AU432" s="691"/>
      <c r="AV432" s="666" t="s">
        <v>162</v>
      </c>
      <c r="AW432" s="667"/>
      <c r="AX432" s="692"/>
      <c r="AY432" s="693"/>
      <c r="AZ432" s="694"/>
      <c r="BA432" s="735"/>
      <c r="BB432" s="736"/>
      <c r="BC432" s="14"/>
      <c r="BD432" s="695" t="s">
        <v>162</v>
      </c>
      <c r="BE432" s="696"/>
      <c r="BF432" s="739"/>
      <c r="BG432" s="740"/>
      <c r="BH432" s="740"/>
      <c r="BI432" s="741"/>
      <c r="BJ432" s="700" t="s">
        <v>159</v>
      </c>
      <c r="BK432" s="701"/>
      <c r="BL432" s="701"/>
      <c r="BM432" s="702"/>
      <c r="BN432" s="703" t="s">
        <v>159</v>
      </c>
      <c r="BO432" s="704"/>
      <c r="BP432" s="704"/>
      <c r="BQ432" s="704"/>
      <c r="BR432" s="704"/>
      <c r="BS432" s="704"/>
      <c r="BT432" s="704"/>
      <c r="BU432" s="704"/>
      <c r="BV432" s="705"/>
    </row>
    <row r="433" spans="1:74" ht="45" customHeight="1" x14ac:dyDescent="0.25">
      <c r="A433" s="10">
        <f t="shared" si="6"/>
        <v>419</v>
      </c>
      <c r="B433" s="711" t="s">
        <v>159</v>
      </c>
      <c r="C433" s="711"/>
      <c r="D433" s="712" t="s">
        <v>212</v>
      </c>
      <c r="E433" s="712"/>
      <c r="F433" s="664" t="s">
        <v>162</v>
      </c>
      <c r="G433" s="665"/>
      <c r="H433" s="755" t="s">
        <v>162</v>
      </c>
      <c r="I433" s="667"/>
      <c r="J433" s="706"/>
      <c r="K433" s="707"/>
      <c r="L433" s="706"/>
      <c r="M433" s="707"/>
      <c r="N433" s="194"/>
      <c r="O433" s="196"/>
      <c r="P433" s="717"/>
      <c r="Q433" s="718"/>
      <c r="R433" s="672"/>
      <c r="S433" s="673"/>
      <c r="T433" s="674"/>
      <c r="U433" s="675"/>
      <c r="V433" s="676"/>
      <c r="W433" s="677"/>
      <c r="X433" s="725" t="s">
        <v>159</v>
      </c>
      <c r="Y433" s="725"/>
      <c r="Z433" s="725"/>
      <c r="AA433" s="725"/>
      <c r="AB433" s="726" t="s">
        <v>159</v>
      </c>
      <c r="AC433" s="726"/>
      <c r="AD433" s="726"/>
      <c r="AE433" s="726"/>
      <c r="AF433" s="680"/>
      <c r="AG433" s="681"/>
      <c r="AH433" s="680"/>
      <c r="AI433" s="681"/>
      <c r="AJ433" s="686"/>
      <c r="AK433" s="687"/>
      <c r="AL433" s="664" t="s">
        <v>162</v>
      </c>
      <c r="AM433" s="665"/>
      <c r="AN433" s="713" t="s">
        <v>162</v>
      </c>
      <c r="AO433" s="714"/>
      <c r="AP433" s="686"/>
      <c r="AQ433" s="687"/>
      <c r="AR433" s="688"/>
      <c r="AS433" s="689"/>
      <c r="AT433" s="690"/>
      <c r="AU433" s="691"/>
      <c r="AV433" s="713" t="s">
        <v>162</v>
      </c>
      <c r="AW433" s="714"/>
      <c r="AX433" s="692"/>
      <c r="AY433" s="693"/>
      <c r="AZ433" s="694"/>
      <c r="BA433" s="682"/>
      <c r="BB433" s="683"/>
      <c r="BC433" s="219"/>
      <c r="BD433" s="737" t="s">
        <v>162</v>
      </c>
      <c r="BE433" s="738"/>
      <c r="BF433" s="708"/>
      <c r="BG433" s="709"/>
      <c r="BH433" s="709"/>
      <c r="BI433" s="710"/>
      <c r="BJ433" s="742" t="s">
        <v>159</v>
      </c>
      <c r="BK433" s="743"/>
      <c r="BL433" s="743"/>
      <c r="BM433" s="744"/>
      <c r="BN433" s="703" t="s">
        <v>159</v>
      </c>
      <c r="BO433" s="704"/>
      <c r="BP433" s="704"/>
      <c r="BQ433" s="704"/>
      <c r="BR433" s="704"/>
      <c r="BS433" s="704"/>
      <c r="BT433" s="704"/>
      <c r="BU433" s="704"/>
      <c r="BV433" s="705"/>
    </row>
    <row r="434" spans="1:74" ht="45" customHeight="1" x14ac:dyDescent="0.25">
      <c r="A434" s="10">
        <f t="shared" si="6"/>
        <v>420</v>
      </c>
      <c r="B434" s="662" t="s">
        <v>159</v>
      </c>
      <c r="C434" s="662"/>
      <c r="D434" s="663" t="s">
        <v>212</v>
      </c>
      <c r="E434" s="663"/>
      <c r="F434" s="664" t="s">
        <v>162</v>
      </c>
      <c r="G434" s="665"/>
      <c r="H434" s="754" t="s">
        <v>162</v>
      </c>
      <c r="I434" s="714"/>
      <c r="J434" s="715"/>
      <c r="K434" s="716"/>
      <c r="L434" s="715"/>
      <c r="M434" s="716"/>
      <c r="N434" s="215"/>
      <c r="O434" s="216"/>
      <c r="P434" s="670"/>
      <c r="Q434" s="671"/>
      <c r="R434" s="719"/>
      <c r="S434" s="720"/>
      <c r="T434" s="721"/>
      <c r="U434" s="722"/>
      <c r="V434" s="723"/>
      <c r="W434" s="724"/>
      <c r="X434" s="678" t="s">
        <v>159</v>
      </c>
      <c r="Y434" s="678"/>
      <c r="Z434" s="678"/>
      <c r="AA434" s="678"/>
      <c r="AB434" s="679" t="s">
        <v>159</v>
      </c>
      <c r="AC434" s="679"/>
      <c r="AD434" s="679"/>
      <c r="AE434" s="679"/>
      <c r="AF434" s="727"/>
      <c r="AG434" s="728"/>
      <c r="AH434" s="727"/>
      <c r="AI434" s="728"/>
      <c r="AJ434" s="682"/>
      <c r="AK434" s="683"/>
      <c r="AL434" s="684" t="s">
        <v>162</v>
      </c>
      <c r="AM434" s="685"/>
      <c r="AN434" s="666" t="s">
        <v>162</v>
      </c>
      <c r="AO434" s="667"/>
      <c r="AP434" s="729"/>
      <c r="AQ434" s="730"/>
      <c r="AR434" s="731"/>
      <c r="AS434" s="732"/>
      <c r="AT434" s="690"/>
      <c r="AU434" s="691"/>
      <c r="AV434" s="666" t="s">
        <v>162</v>
      </c>
      <c r="AW434" s="667"/>
      <c r="AX434" s="692"/>
      <c r="AY434" s="693"/>
      <c r="AZ434" s="694"/>
      <c r="BA434" s="735"/>
      <c r="BB434" s="736"/>
      <c r="BC434" s="14"/>
      <c r="BD434" s="695" t="s">
        <v>162</v>
      </c>
      <c r="BE434" s="696"/>
      <c r="BF434" s="739"/>
      <c r="BG434" s="740"/>
      <c r="BH434" s="740"/>
      <c r="BI434" s="741"/>
      <c r="BJ434" s="700" t="s">
        <v>159</v>
      </c>
      <c r="BK434" s="701"/>
      <c r="BL434" s="701"/>
      <c r="BM434" s="702"/>
      <c r="BN434" s="703" t="s">
        <v>159</v>
      </c>
      <c r="BO434" s="704"/>
      <c r="BP434" s="704"/>
      <c r="BQ434" s="704"/>
      <c r="BR434" s="704"/>
      <c r="BS434" s="704"/>
      <c r="BT434" s="704"/>
      <c r="BU434" s="704"/>
      <c r="BV434" s="705"/>
    </row>
    <row r="435" spans="1:74" ht="45" customHeight="1" x14ac:dyDescent="0.25">
      <c r="A435" s="10">
        <f t="shared" si="6"/>
        <v>421</v>
      </c>
      <c r="B435" s="711" t="s">
        <v>159</v>
      </c>
      <c r="C435" s="711"/>
      <c r="D435" s="712" t="s">
        <v>212</v>
      </c>
      <c r="E435" s="712"/>
      <c r="F435" s="664" t="s">
        <v>162</v>
      </c>
      <c r="G435" s="665"/>
      <c r="H435" s="755" t="s">
        <v>162</v>
      </c>
      <c r="I435" s="667"/>
      <c r="J435" s="706"/>
      <c r="K435" s="707"/>
      <c r="L435" s="706"/>
      <c r="M435" s="707"/>
      <c r="N435" s="194"/>
      <c r="O435" s="196"/>
      <c r="P435" s="717"/>
      <c r="Q435" s="718"/>
      <c r="R435" s="672"/>
      <c r="S435" s="673"/>
      <c r="T435" s="674"/>
      <c r="U435" s="675"/>
      <c r="V435" s="676"/>
      <c r="W435" s="677"/>
      <c r="X435" s="725" t="s">
        <v>159</v>
      </c>
      <c r="Y435" s="725"/>
      <c r="Z435" s="725"/>
      <c r="AA435" s="725"/>
      <c r="AB435" s="726" t="s">
        <v>159</v>
      </c>
      <c r="AC435" s="726"/>
      <c r="AD435" s="726"/>
      <c r="AE435" s="726"/>
      <c r="AF435" s="680"/>
      <c r="AG435" s="681"/>
      <c r="AH435" s="680"/>
      <c r="AI435" s="681"/>
      <c r="AJ435" s="686"/>
      <c r="AK435" s="687"/>
      <c r="AL435" s="664" t="s">
        <v>162</v>
      </c>
      <c r="AM435" s="665"/>
      <c r="AN435" s="713" t="s">
        <v>162</v>
      </c>
      <c r="AO435" s="714"/>
      <c r="AP435" s="686"/>
      <c r="AQ435" s="687"/>
      <c r="AR435" s="688"/>
      <c r="AS435" s="689"/>
      <c r="AT435" s="690"/>
      <c r="AU435" s="691"/>
      <c r="AV435" s="713" t="s">
        <v>162</v>
      </c>
      <c r="AW435" s="714"/>
      <c r="AX435" s="692"/>
      <c r="AY435" s="693"/>
      <c r="AZ435" s="694"/>
      <c r="BA435" s="682"/>
      <c r="BB435" s="683"/>
      <c r="BC435" s="219"/>
      <c r="BD435" s="737" t="s">
        <v>162</v>
      </c>
      <c r="BE435" s="738"/>
      <c r="BF435" s="708"/>
      <c r="BG435" s="709"/>
      <c r="BH435" s="709"/>
      <c r="BI435" s="710"/>
      <c r="BJ435" s="742" t="s">
        <v>159</v>
      </c>
      <c r="BK435" s="743"/>
      <c r="BL435" s="743"/>
      <c r="BM435" s="744"/>
      <c r="BN435" s="703" t="s">
        <v>159</v>
      </c>
      <c r="BO435" s="704"/>
      <c r="BP435" s="704"/>
      <c r="BQ435" s="704"/>
      <c r="BR435" s="704"/>
      <c r="BS435" s="704"/>
      <c r="BT435" s="704"/>
      <c r="BU435" s="704"/>
      <c r="BV435" s="705"/>
    </row>
    <row r="436" spans="1:74" ht="45" customHeight="1" x14ac:dyDescent="0.25">
      <c r="A436" s="10">
        <f t="shared" si="6"/>
        <v>422</v>
      </c>
      <c r="B436" s="662" t="s">
        <v>159</v>
      </c>
      <c r="C436" s="662"/>
      <c r="D436" s="663" t="s">
        <v>212</v>
      </c>
      <c r="E436" s="663"/>
      <c r="F436" s="664" t="s">
        <v>162</v>
      </c>
      <c r="G436" s="665"/>
      <c r="H436" s="754" t="s">
        <v>162</v>
      </c>
      <c r="I436" s="714"/>
      <c r="J436" s="715"/>
      <c r="K436" s="716"/>
      <c r="L436" s="715"/>
      <c r="M436" s="716"/>
      <c r="N436" s="215"/>
      <c r="O436" s="216"/>
      <c r="P436" s="670"/>
      <c r="Q436" s="671"/>
      <c r="R436" s="719"/>
      <c r="S436" s="720"/>
      <c r="T436" s="721"/>
      <c r="U436" s="722"/>
      <c r="V436" s="723"/>
      <c r="W436" s="724"/>
      <c r="X436" s="678" t="s">
        <v>159</v>
      </c>
      <c r="Y436" s="678"/>
      <c r="Z436" s="678"/>
      <c r="AA436" s="678"/>
      <c r="AB436" s="679" t="s">
        <v>159</v>
      </c>
      <c r="AC436" s="679"/>
      <c r="AD436" s="679"/>
      <c r="AE436" s="679"/>
      <c r="AF436" s="727"/>
      <c r="AG436" s="728"/>
      <c r="AH436" s="727"/>
      <c r="AI436" s="728"/>
      <c r="AJ436" s="682"/>
      <c r="AK436" s="683"/>
      <c r="AL436" s="684" t="s">
        <v>162</v>
      </c>
      <c r="AM436" s="685"/>
      <c r="AN436" s="666" t="s">
        <v>162</v>
      </c>
      <c r="AO436" s="667"/>
      <c r="AP436" s="729"/>
      <c r="AQ436" s="730"/>
      <c r="AR436" s="731"/>
      <c r="AS436" s="732"/>
      <c r="AT436" s="690"/>
      <c r="AU436" s="691"/>
      <c r="AV436" s="666" t="s">
        <v>162</v>
      </c>
      <c r="AW436" s="667"/>
      <c r="AX436" s="692"/>
      <c r="AY436" s="693"/>
      <c r="AZ436" s="694"/>
      <c r="BA436" s="735"/>
      <c r="BB436" s="736"/>
      <c r="BC436" s="14"/>
      <c r="BD436" s="695" t="s">
        <v>162</v>
      </c>
      <c r="BE436" s="696"/>
      <c r="BF436" s="739"/>
      <c r="BG436" s="740"/>
      <c r="BH436" s="740"/>
      <c r="BI436" s="741"/>
      <c r="BJ436" s="700" t="s">
        <v>159</v>
      </c>
      <c r="BK436" s="701"/>
      <c r="BL436" s="701"/>
      <c r="BM436" s="702"/>
      <c r="BN436" s="703" t="s">
        <v>159</v>
      </c>
      <c r="BO436" s="704"/>
      <c r="BP436" s="704"/>
      <c r="BQ436" s="704"/>
      <c r="BR436" s="704"/>
      <c r="BS436" s="704"/>
      <c r="BT436" s="704"/>
      <c r="BU436" s="704"/>
      <c r="BV436" s="705"/>
    </row>
    <row r="437" spans="1:74" ht="45" customHeight="1" x14ac:dyDescent="0.25">
      <c r="A437" s="10">
        <f t="shared" si="6"/>
        <v>423</v>
      </c>
      <c r="B437" s="711" t="s">
        <v>159</v>
      </c>
      <c r="C437" s="711"/>
      <c r="D437" s="712" t="s">
        <v>212</v>
      </c>
      <c r="E437" s="712"/>
      <c r="F437" s="664" t="s">
        <v>162</v>
      </c>
      <c r="G437" s="665"/>
      <c r="H437" s="755" t="s">
        <v>162</v>
      </c>
      <c r="I437" s="667"/>
      <c r="J437" s="706"/>
      <c r="K437" s="707"/>
      <c r="L437" s="706"/>
      <c r="M437" s="707"/>
      <c r="N437" s="194"/>
      <c r="O437" s="196"/>
      <c r="P437" s="717"/>
      <c r="Q437" s="718"/>
      <c r="R437" s="672"/>
      <c r="S437" s="673"/>
      <c r="T437" s="674"/>
      <c r="U437" s="675"/>
      <c r="V437" s="676"/>
      <c r="W437" s="677"/>
      <c r="X437" s="725" t="s">
        <v>159</v>
      </c>
      <c r="Y437" s="725"/>
      <c r="Z437" s="725"/>
      <c r="AA437" s="725"/>
      <c r="AB437" s="726" t="s">
        <v>159</v>
      </c>
      <c r="AC437" s="726"/>
      <c r="AD437" s="726"/>
      <c r="AE437" s="726"/>
      <c r="AF437" s="680"/>
      <c r="AG437" s="681"/>
      <c r="AH437" s="680"/>
      <c r="AI437" s="681"/>
      <c r="AJ437" s="686"/>
      <c r="AK437" s="687"/>
      <c r="AL437" s="664" t="s">
        <v>162</v>
      </c>
      <c r="AM437" s="665"/>
      <c r="AN437" s="713" t="s">
        <v>162</v>
      </c>
      <c r="AO437" s="714"/>
      <c r="AP437" s="686"/>
      <c r="AQ437" s="687"/>
      <c r="AR437" s="688"/>
      <c r="AS437" s="689"/>
      <c r="AT437" s="690"/>
      <c r="AU437" s="691"/>
      <c r="AV437" s="713" t="s">
        <v>162</v>
      </c>
      <c r="AW437" s="714"/>
      <c r="AX437" s="692"/>
      <c r="AY437" s="693"/>
      <c r="AZ437" s="694"/>
      <c r="BA437" s="682"/>
      <c r="BB437" s="683"/>
      <c r="BC437" s="219"/>
      <c r="BD437" s="737" t="s">
        <v>162</v>
      </c>
      <c r="BE437" s="738"/>
      <c r="BF437" s="697"/>
      <c r="BG437" s="698"/>
      <c r="BH437" s="698"/>
      <c r="BI437" s="699"/>
      <c r="BJ437" s="742" t="s">
        <v>159</v>
      </c>
      <c r="BK437" s="743"/>
      <c r="BL437" s="743"/>
      <c r="BM437" s="744"/>
      <c r="BN437" s="703" t="s">
        <v>159</v>
      </c>
      <c r="BO437" s="704"/>
      <c r="BP437" s="704"/>
      <c r="BQ437" s="704"/>
      <c r="BR437" s="704"/>
      <c r="BS437" s="704"/>
      <c r="BT437" s="704"/>
      <c r="BU437" s="704"/>
      <c r="BV437" s="705"/>
    </row>
    <row r="438" spans="1:74" ht="45" customHeight="1" x14ac:dyDescent="0.25">
      <c r="A438" s="10">
        <f t="shared" si="6"/>
        <v>424</v>
      </c>
      <c r="B438" s="662" t="s">
        <v>159</v>
      </c>
      <c r="C438" s="662"/>
      <c r="D438" s="663" t="s">
        <v>212</v>
      </c>
      <c r="E438" s="663"/>
      <c r="F438" s="664" t="s">
        <v>162</v>
      </c>
      <c r="G438" s="665"/>
      <c r="H438" s="754" t="s">
        <v>162</v>
      </c>
      <c r="I438" s="714"/>
      <c r="J438" s="715"/>
      <c r="K438" s="716"/>
      <c r="L438" s="715"/>
      <c r="M438" s="716"/>
      <c r="N438" s="215"/>
      <c r="O438" s="216"/>
      <c r="P438" s="670"/>
      <c r="Q438" s="671"/>
      <c r="R438" s="719"/>
      <c r="S438" s="720"/>
      <c r="T438" s="721"/>
      <c r="U438" s="722"/>
      <c r="V438" s="723"/>
      <c r="W438" s="724"/>
      <c r="X438" s="678" t="s">
        <v>159</v>
      </c>
      <c r="Y438" s="678"/>
      <c r="Z438" s="678"/>
      <c r="AA438" s="678"/>
      <c r="AB438" s="679" t="s">
        <v>159</v>
      </c>
      <c r="AC438" s="679"/>
      <c r="AD438" s="679"/>
      <c r="AE438" s="679"/>
      <c r="AF438" s="727"/>
      <c r="AG438" s="728"/>
      <c r="AH438" s="727"/>
      <c r="AI438" s="728"/>
      <c r="AJ438" s="682"/>
      <c r="AK438" s="683"/>
      <c r="AL438" s="684" t="s">
        <v>162</v>
      </c>
      <c r="AM438" s="685"/>
      <c r="AN438" s="666" t="s">
        <v>162</v>
      </c>
      <c r="AO438" s="667"/>
      <c r="AP438" s="729"/>
      <c r="AQ438" s="730"/>
      <c r="AR438" s="731"/>
      <c r="AS438" s="732"/>
      <c r="AT438" s="690"/>
      <c r="AU438" s="691"/>
      <c r="AV438" s="666" t="s">
        <v>162</v>
      </c>
      <c r="AW438" s="667"/>
      <c r="AX438" s="692"/>
      <c r="AY438" s="693"/>
      <c r="AZ438" s="694"/>
      <c r="BA438" s="735"/>
      <c r="BB438" s="736"/>
      <c r="BC438" s="14"/>
      <c r="BD438" s="695" t="s">
        <v>162</v>
      </c>
      <c r="BE438" s="696"/>
      <c r="BF438" s="739"/>
      <c r="BG438" s="740"/>
      <c r="BH438" s="740"/>
      <c r="BI438" s="741"/>
      <c r="BJ438" s="700" t="s">
        <v>159</v>
      </c>
      <c r="BK438" s="701"/>
      <c r="BL438" s="701"/>
      <c r="BM438" s="702"/>
      <c r="BN438" s="703" t="s">
        <v>159</v>
      </c>
      <c r="BO438" s="704"/>
      <c r="BP438" s="704"/>
      <c r="BQ438" s="704"/>
      <c r="BR438" s="704"/>
      <c r="BS438" s="704"/>
      <c r="BT438" s="704"/>
      <c r="BU438" s="704"/>
      <c r="BV438" s="705"/>
    </row>
    <row r="439" spans="1:74" ht="45" customHeight="1" x14ac:dyDescent="0.25">
      <c r="A439" s="10">
        <f t="shared" si="6"/>
        <v>425</v>
      </c>
      <c r="B439" s="711" t="s">
        <v>159</v>
      </c>
      <c r="C439" s="711"/>
      <c r="D439" s="712" t="s">
        <v>212</v>
      </c>
      <c r="E439" s="712"/>
      <c r="F439" s="664" t="s">
        <v>162</v>
      </c>
      <c r="G439" s="665"/>
      <c r="H439" s="755" t="s">
        <v>162</v>
      </c>
      <c r="I439" s="667"/>
      <c r="J439" s="706"/>
      <c r="K439" s="707"/>
      <c r="L439" s="706"/>
      <c r="M439" s="707"/>
      <c r="N439" s="194"/>
      <c r="O439" s="196"/>
      <c r="P439" s="717"/>
      <c r="Q439" s="718"/>
      <c r="R439" s="672"/>
      <c r="S439" s="673"/>
      <c r="T439" s="674"/>
      <c r="U439" s="675"/>
      <c r="V439" s="676"/>
      <c r="W439" s="677"/>
      <c r="X439" s="725" t="s">
        <v>159</v>
      </c>
      <c r="Y439" s="725"/>
      <c r="Z439" s="725"/>
      <c r="AA439" s="725"/>
      <c r="AB439" s="726" t="s">
        <v>159</v>
      </c>
      <c r="AC439" s="726"/>
      <c r="AD439" s="726"/>
      <c r="AE439" s="726"/>
      <c r="AF439" s="680"/>
      <c r="AG439" s="681"/>
      <c r="AH439" s="680"/>
      <c r="AI439" s="681"/>
      <c r="AJ439" s="686"/>
      <c r="AK439" s="687"/>
      <c r="AL439" s="664" t="s">
        <v>162</v>
      </c>
      <c r="AM439" s="665"/>
      <c r="AN439" s="713" t="s">
        <v>162</v>
      </c>
      <c r="AO439" s="714"/>
      <c r="AP439" s="686"/>
      <c r="AQ439" s="687"/>
      <c r="AR439" s="688"/>
      <c r="AS439" s="689"/>
      <c r="AT439" s="690"/>
      <c r="AU439" s="691"/>
      <c r="AV439" s="713" t="s">
        <v>162</v>
      </c>
      <c r="AW439" s="714"/>
      <c r="AX439" s="692"/>
      <c r="AY439" s="693"/>
      <c r="AZ439" s="694"/>
      <c r="BA439" s="682"/>
      <c r="BB439" s="683"/>
      <c r="BC439" s="219"/>
      <c r="BD439" s="737" t="s">
        <v>162</v>
      </c>
      <c r="BE439" s="738"/>
      <c r="BF439" s="708"/>
      <c r="BG439" s="709"/>
      <c r="BH439" s="709"/>
      <c r="BI439" s="710"/>
      <c r="BJ439" s="742" t="s">
        <v>159</v>
      </c>
      <c r="BK439" s="743"/>
      <c r="BL439" s="743"/>
      <c r="BM439" s="744"/>
      <c r="BN439" s="703" t="s">
        <v>159</v>
      </c>
      <c r="BO439" s="704"/>
      <c r="BP439" s="704"/>
      <c r="BQ439" s="704"/>
      <c r="BR439" s="704"/>
      <c r="BS439" s="704"/>
      <c r="BT439" s="704"/>
      <c r="BU439" s="704"/>
      <c r="BV439" s="705"/>
    </row>
    <row r="440" spans="1:74" ht="45" customHeight="1" x14ac:dyDescent="0.25">
      <c r="A440" s="10">
        <f t="shared" si="6"/>
        <v>426</v>
      </c>
      <c r="B440" s="662" t="s">
        <v>159</v>
      </c>
      <c r="C440" s="662"/>
      <c r="D440" s="663" t="s">
        <v>212</v>
      </c>
      <c r="E440" s="663"/>
      <c r="F440" s="664" t="s">
        <v>162</v>
      </c>
      <c r="G440" s="665"/>
      <c r="H440" s="754" t="s">
        <v>162</v>
      </c>
      <c r="I440" s="714"/>
      <c r="J440" s="715"/>
      <c r="K440" s="716"/>
      <c r="L440" s="715"/>
      <c r="M440" s="716"/>
      <c r="N440" s="215"/>
      <c r="O440" s="216"/>
      <c r="P440" s="670"/>
      <c r="Q440" s="671"/>
      <c r="R440" s="719"/>
      <c r="S440" s="720"/>
      <c r="T440" s="721"/>
      <c r="U440" s="722"/>
      <c r="V440" s="723"/>
      <c r="W440" s="724"/>
      <c r="X440" s="678" t="s">
        <v>159</v>
      </c>
      <c r="Y440" s="678"/>
      <c r="Z440" s="678"/>
      <c r="AA440" s="678"/>
      <c r="AB440" s="679" t="s">
        <v>159</v>
      </c>
      <c r="AC440" s="679"/>
      <c r="AD440" s="679"/>
      <c r="AE440" s="679"/>
      <c r="AF440" s="727"/>
      <c r="AG440" s="728"/>
      <c r="AH440" s="727"/>
      <c r="AI440" s="728"/>
      <c r="AJ440" s="682"/>
      <c r="AK440" s="683"/>
      <c r="AL440" s="684" t="s">
        <v>162</v>
      </c>
      <c r="AM440" s="685"/>
      <c r="AN440" s="666" t="s">
        <v>162</v>
      </c>
      <c r="AO440" s="667"/>
      <c r="AP440" s="729"/>
      <c r="AQ440" s="730"/>
      <c r="AR440" s="731"/>
      <c r="AS440" s="732"/>
      <c r="AT440" s="690"/>
      <c r="AU440" s="691"/>
      <c r="AV440" s="666" t="s">
        <v>162</v>
      </c>
      <c r="AW440" s="667"/>
      <c r="AX440" s="692"/>
      <c r="AY440" s="693"/>
      <c r="AZ440" s="694"/>
      <c r="BA440" s="735"/>
      <c r="BB440" s="736"/>
      <c r="BC440" s="14"/>
      <c r="BD440" s="695" t="s">
        <v>162</v>
      </c>
      <c r="BE440" s="696"/>
      <c r="BF440" s="739"/>
      <c r="BG440" s="740"/>
      <c r="BH440" s="740"/>
      <c r="BI440" s="741"/>
      <c r="BJ440" s="700" t="s">
        <v>159</v>
      </c>
      <c r="BK440" s="701"/>
      <c r="BL440" s="701"/>
      <c r="BM440" s="702"/>
      <c r="BN440" s="703" t="s">
        <v>159</v>
      </c>
      <c r="BO440" s="704"/>
      <c r="BP440" s="704"/>
      <c r="BQ440" s="704"/>
      <c r="BR440" s="704"/>
      <c r="BS440" s="704"/>
      <c r="BT440" s="704"/>
      <c r="BU440" s="704"/>
      <c r="BV440" s="705"/>
    </row>
    <row r="441" spans="1:74" ht="45" customHeight="1" x14ac:dyDescent="0.25">
      <c r="A441" s="10">
        <f t="shared" si="6"/>
        <v>427</v>
      </c>
      <c r="B441" s="711" t="s">
        <v>159</v>
      </c>
      <c r="C441" s="711"/>
      <c r="D441" s="712" t="s">
        <v>212</v>
      </c>
      <c r="E441" s="712"/>
      <c r="F441" s="664" t="s">
        <v>162</v>
      </c>
      <c r="G441" s="665"/>
      <c r="H441" s="755" t="s">
        <v>162</v>
      </c>
      <c r="I441" s="667"/>
      <c r="J441" s="706"/>
      <c r="K441" s="707"/>
      <c r="L441" s="706"/>
      <c r="M441" s="707"/>
      <c r="N441" s="194"/>
      <c r="O441" s="196"/>
      <c r="P441" s="717"/>
      <c r="Q441" s="718"/>
      <c r="R441" s="672"/>
      <c r="S441" s="673"/>
      <c r="T441" s="674"/>
      <c r="U441" s="675"/>
      <c r="V441" s="676"/>
      <c r="W441" s="677"/>
      <c r="X441" s="725" t="s">
        <v>159</v>
      </c>
      <c r="Y441" s="725"/>
      <c r="Z441" s="725"/>
      <c r="AA441" s="725"/>
      <c r="AB441" s="726" t="s">
        <v>159</v>
      </c>
      <c r="AC441" s="726"/>
      <c r="AD441" s="726"/>
      <c r="AE441" s="726"/>
      <c r="AF441" s="680"/>
      <c r="AG441" s="681"/>
      <c r="AH441" s="680"/>
      <c r="AI441" s="681"/>
      <c r="AJ441" s="686"/>
      <c r="AK441" s="687"/>
      <c r="AL441" s="664" t="s">
        <v>162</v>
      </c>
      <c r="AM441" s="665"/>
      <c r="AN441" s="713" t="s">
        <v>162</v>
      </c>
      <c r="AO441" s="714"/>
      <c r="AP441" s="686"/>
      <c r="AQ441" s="687"/>
      <c r="AR441" s="688"/>
      <c r="AS441" s="689"/>
      <c r="AT441" s="690"/>
      <c r="AU441" s="691"/>
      <c r="AV441" s="713" t="s">
        <v>162</v>
      </c>
      <c r="AW441" s="714"/>
      <c r="AX441" s="692"/>
      <c r="AY441" s="693"/>
      <c r="AZ441" s="694"/>
      <c r="BA441" s="682"/>
      <c r="BB441" s="683"/>
      <c r="BC441" s="219"/>
      <c r="BD441" s="737" t="s">
        <v>162</v>
      </c>
      <c r="BE441" s="738"/>
      <c r="BF441" s="697"/>
      <c r="BG441" s="698"/>
      <c r="BH441" s="698"/>
      <c r="BI441" s="699"/>
      <c r="BJ441" s="742" t="s">
        <v>159</v>
      </c>
      <c r="BK441" s="743"/>
      <c r="BL441" s="743"/>
      <c r="BM441" s="744"/>
      <c r="BN441" s="703" t="s">
        <v>159</v>
      </c>
      <c r="BO441" s="704"/>
      <c r="BP441" s="704"/>
      <c r="BQ441" s="704"/>
      <c r="BR441" s="704"/>
      <c r="BS441" s="704"/>
      <c r="BT441" s="704"/>
      <c r="BU441" s="704"/>
      <c r="BV441" s="705"/>
    </row>
    <row r="442" spans="1:74" ht="45" customHeight="1" x14ac:dyDescent="0.25">
      <c r="A442" s="10">
        <f t="shared" si="6"/>
        <v>428</v>
      </c>
      <c r="B442" s="662" t="s">
        <v>159</v>
      </c>
      <c r="C442" s="662"/>
      <c r="D442" s="663" t="s">
        <v>212</v>
      </c>
      <c r="E442" s="663"/>
      <c r="F442" s="664" t="s">
        <v>162</v>
      </c>
      <c r="G442" s="665"/>
      <c r="H442" s="754" t="s">
        <v>162</v>
      </c>
      <c r="I442" s="714"/>
      <c r="J442" s="715"/>
      <c r="K442" s="716"/>
      <c r="L442" s="715"/>
      <c r="M442" s="716"/>
      <c r="N442" s="215"/>
      <c r="O442" s="216"/>
      <c r="P442" s="670"/>
      <c r="Q442" s="671"/>
      <c r="R442" s="719"/>
      <c r="S442" s="720"/>
      <c r="T442" s="721"/>
      <c r="U442" s="722"/>
      <c r="V442" s="723"/>
      <c r="W442" s="724"/>
      <c r="X442" s="678" t="s">
        <v>159</v>
      </c>
      <c r="Y442" s="678"/>
      <c r="Z442" s="678"/>
      <c r="AA442" s="678"/>
      <c r="AB442" s="679" t="s">
        <v>159</v>
      </c>
      <c r="AC442" s="679"/>
      <c r="AD442" s="679"/>
      <c r="AE442" s="679"/>
      <c r="AF442" s="727"/>
      <c r="AG442" s="728"/>
      <c r="AH442" s="727"/>
      <c r="AI442" s="728"/>
      <c r="AJ442" s="682"/>
      <c r="AK442" s="683"/>
      <c r="AL442" s="684" t="s">
        <v>162</v>
      </c>
      <c r="AM442" s="685"/>
      <c r="AN442" s="666" t="s">
        <v>162</v>
      </c>
      <c r="AO442" s="667"/>
      <c r="AP442" s="729"/>
      <c r="AQ442" s="730"/>
      <c r="AR442" s="731"/>
      <c r="AS442" s="732"/>
      <c r="AT442" s="690"/>
      <c r="AU442" s="691"/>
      <c r="AV442" s="666" t="s">
        <v>162</v>
      </c>
      <c r="AW442" s="667"/>
      <c r="AX442" s="692"/>
      <c r="AY442" s="693"/>
      <c r="AZ442" s="694"/>
      <c r="BA442" s="735"/>
      <c r="BB442" s="736"/>
      <c r="BC442" s="14"/>
      <c r="BD442" s="695" t="s">
        <v>162</v>
      </c>
      <c r="BE442" s="696"/>
      <c r="BF442" s="739"/>
      <c r="BG442" s="740"/>
      <c r="BH442" s="740"/>
      <c r="BI442" s="741"/>
      <c r="BJ442" s="700" t="s">
        <v>159</v>
      </c>
      <c r="BK442" s="701"/>
      <c r="BL442" s="701"/>
      <c r="BM442" s="702"/>
      <c r="BN442" s="703" t="s">
        <v>159</v>
      </c>
      <c r="BO442" s="704"/>
      <c r="BP442" s="704"/>
      <c r="BQ442" s="704"/>
      <c r="BR442" s="704"/>
      <c r="BS442" s="704"/>
      <c r="BT442" s="704"/>
      <c r="BU442" s="704"/>
      <c r="BV442" s="705"/>
    </row>
    <row r="443" spans="1:74" ht="45" customHeight="1" x14ac:dyDescent="0.25">
      <c r="A443" s="10">
        <f t="shared" si="6"/>
        <v>429</v>
      </c>
      <c r="B443" s="711" t="s">
        <v>159</v>
      </c>
      <c r="C443" s="711"/>
      <c r="D443" s="712" t="s">
        <v>212</v>
      </c>
      <c r="E443" s="712"/>
      <c r="F443" s="664" t="s">
        <v>162</v>
      </c>
      <c r="G443" s="665"/>
      <c r="H443" s="755" t="s">
        <v>162</v>
      </c>
      <c r="I443" s="667"/>
      <c r="J443" s="706"/>
      <c r="K443" s="707"/>
      <c r="L443" s="706"/>
      <c r="M443" s="707"/>
      <c r="N443" s="194"/>
      <c r="O443" s="196"/>
      <c r="P443" s="717"/>
      <c r="Q443" s="718"/>
      <c r="R443" s="672"/>
      <c r="S443" s="673"/>
      <c r="T443" s="674"/>
      <c r="U443" s="675"/>
      <c r="V443" s="676"/>
      <c r="W443" s="677"/>
      <c r="X443" s="725" t="s">
        <v>159</v>
      </c>
      <c r="Y443" s="725"/>
      <c r="Z443" s="725"/>
      <c r="AA443" s="725"/>
      <c r="AB443" s="726" t="s">
        <v>159</v>
      </c>
      <c r="AC443" s="726"/>
      <c r="AD443" s="726"/>
      <c r="AE443" s="726"/>
      <c r="AF443" s="680"/>
      <c r="AG443" s="681"/>
      <c r="AH443" s="680"/>
      <c r="AI443" s="681"/>
      <c r="AJ443" s="686"/>
      <c r="AK443" s="687"/>
      <c r="AL443" s="664" t="s">
        <v>162</v>
      </c>
      <c r="AM443" s="665"/>
      <c r="AN443" s="713" t="s">
        <v>162</v>
      </c>
      <c r="AO443" s="714"/>
      <c r="AP443" s="686"/>
      <c r="AQ443" s="687"/>
      <c r="AR443" s="688"/>
      <c r="AS443" s="689"/>
      <c r="AT443" s="690"/>
      <c r="AU443" s="691"/>
      <c r="AV443" s="713" t="s">
        <v>162</v>
      </c>
      <c r="AW443" s="714"/>
      <c r="AX443" s="692"/>
      <c r="AY443" s="693"/>
      <c r="AZ443" s="694"/>
      <c r="BA443" s="682"/>
      <c r="BB443" s="683"/>
      <c r="BC443" s="219"/>
      <c r="BD443" s="737" t="s">
        <v>162</v>
      </c>
      <c r="BE443" s="738"/>
      <c r="BF443" s="708"/>
      <c r="BG443" s="709"/>
      <c r="BH443" s="709"/>
      <c r="BI443" s="710"/>
      <c r="BJ443" s="742" t="s">
        <v>159</v>
      </c>
      <c r="BK443" s="743"/>
      <c r="BL443" s="743"/>
      <c r="BM443" s="744"/>
      <c r="BN443" s="703" t="s">
        <v>159</v>
      </c>
      <c r="BO443" s="704"/>
      <c r="BP443" s="704"/>
      <c r="BQ443" s="704"/>
      <c r="BR443" s="704"/>
      <c r="BS443" s="704"/>
      <c r="BT443" s="704"/>
      <c r="BU443" s="704"/>
      <c r="BV443" s="705"/>
    </row>
    <row r="444" spans="1:74" ht="45" customHeight="1" x14ac:dyDescent="0.25">
      <c r="A444" s="10">
        <f t="shared" si="6"/>
        <v>430</v>
      </c>
      <c r="B444" s="662" t="s">
        <v>159</v>
      </c>
      <c r="C444" s="662"/>
      <c r="D444" s="663" t="s">
        <v>212</v>
      </c>
      <c r="E444" s="663"/>
      <c r="F444" s="664" t="s">
        <v>162</v>
      </c>
      <c r="G444" s="665"/>
      <c r="H444" s="754" t="s">
        <v>162</v>
      </c>
      <c r="I444" s="714"/>
      <c r="J444" s="715"/>
      <c r="K444" s="716"/>
      <c r="L444" s="715"/>
      <c r="M444" s="716"/>
      <c r="N444" s="215"/>
      <c r="O444" s="216"/>
      <c r="P444" s="670"/>
      <c r="Q444" s="671"/>
      <c r="R444" s="719"/>
      <c r="S444" s="720"/>
      <c r="T444" s="721"/>
      <c r="U444" s="722"/>
      <c r="V444" s="723"/>
      <c r="W444" s="724"/>
      <c r="X444" s="678" t="s">
        <v>159</v>
      </c>
      <c r="Y444" s="678"/>
      <c r="Z444" s="678"/>
      <c r="AA444" s="678"/>
      <c r="AB444" s="679" t="s">
        <v>159</v>
      </c>
      <c r="AC444" s="679"/>
      <c r="AD444" s="679"/>
      <c r="AE444" s="679"/>
      <c r="AF444" s="727"/>
      <c r="AG444" s="728"/>
      <c r="AH444" s="727"/>
      <c r="AI444" s="728"/>
      <c r="AJ444" s="682"/>
      <c r="AK444" s="683"/>
      <c r="AL444" s="684" t="s">
        <v>162</v>
      </c>
      <c r="AM444" s="685"/>
      <c r="AN444" s="666" t="s">
        <v>162</v>
      </c>
      <c r="AO444" s="667"/>
      <c r="AP444" s="729"/>
      <c r="AQ444" s="730"/>
      <c r="AR444" s="731"/>
      <c r="AS444" s="732"/>
      <c r="AT444" s="690"/>
      <c r="AU444" s="691"/>
      <c r="AV444" s="666" t="s">
        <v>162</v>
      </c>
      <c r="AW444" s="667"/>
      <c r="AX444" s="692"/>
      <c r="AY444" s="693"/>
      <c r="AZ444" s="694"/>
      <c r="BA444" s="735"/>
      <c r="BB444" s="736"/>
      <c r="BC444" s="14"/>
      <c r="BD444" s="695" t="s">
        <v>162</v>
      </c>
      <c r="BE444" s="696"/>
      <c r="BF444" s="739"/>
      <c r="BG444" s="740"/>
      <c r="BH444" s="740"/>
      <c r="BI444" s="741"/>
      <c r="BJ444" s="700" t="s">
        <v>159</v>
      </c>
      <c r="BK444" s="701"/>
      <c r="BL444" s="701"/>
      <c r="BM444" s="702"/>
      <c r="BN444" s="703" t="s">
        <v>159</v>
      </c>
      <c r="BO444" s="704"/>
      <c r="BP444" s="704"/>
      <c r="BQ444" s="704"/>
      <c r="BR444" s="704"/>
      <c r="BS444" s="704"/>
      <c r="BT444" s="704"/>
      <c r="BU444" s="704"/>
      <c r="BV444" s="705"/>
    </row>
    <row r="445" spans="1:74" ht="45" customHeight="1" x14ac:dyDescent="0.25">
      <c r="A445" s="10">
        <f t="shared" si="6"/>
        <v>431</v>
      </c>
      <c r="B445" s="711" t="s">
        <v>159</v>
      </c>
      <c r="C445" s="711"/>
      <c r="D445" s="712" t="s">
        <v>212</v>
      </c>
      <c r="E445" s="712"/>
      <c r="F445" s="664" t="s">
        <v>162</v>
      </c>
      <c r="G445" s="665"/>
      <c r="H445" s="755" t="s">
        <v>162</v>
      </c>
      <c r="I445" s="667"/>
      <c r="J445" s="706"/>
      <c r="K445" s="707"/>
      <c r="L445" s="706"/>
      <c r="M445" s="707"/>
      <c r="N445" s="194"/>
      <c r="O445" s="216"/>
      <c r="P445" s="717"/>
      <c r="Q445" s="718"/>
      <c r="R445" s="672"/>
      <c r="S445" s="673"/>
      <c r="T445" s="674"/>
      <c r="U445" s="675"/>
      <c r="V445" s="676"/>
      <c r="W445" s="677"/>
      <c r="X445" s="725" t="s">
        <v>159</v>
      </c>
      <c r="Y445" s="725"/>
      <c r="Z445" s="725"/>
      <c r="AA445" s="725"/>
      <c r="AB445" s="726" t="s">
        <v>159</v>
      </c>
      <c r="AC445" s="726"/>
      <c r="AD445" s="726"/>
      <c r="AE445" s="726"/>
      <c r="AF445" s="680"/>
      <c r="AG445" s="681"/>
      <c r="AH445" s="680"/>
      <c r="AI445" s="681"/>
      <c r="AJ445" s="686"/>
      <c r="AK445" s="687"/>
      <c r="AL445" s="664" t="s">
        <v>162</v>
      </c>
      <c r="AM445" s="665"/>
      <c r="AN445" s="713" t="s">
        <v>162</v>
      </c>
      <c r="AO445" s="714"/>
      <c r="AP445" s="686"/>
      <c r="AQ445" s="687"/>
      <c r="AR445" s="688"/>
      <c r="AS445" s="689"/>
      <c r="AT445" s="690"/>
      <c r="AU445" s="691"/>
      <c r="AV445" s="713" t="s">
        <v>162</v>
      </c>
      <c r="AW445" s="714"/>
      <c r="AX445" s="692"/>
      <c r="AY445" s="693"/>
      <c r="AZ445" s="694"/>
      <c r="BA445" s="682"/>
      <c r="BB445" s="683"/>
      <c r="BC445" s="219"/>
      <c r="BD445" s="737" t="s">
        <v>162</v>
      </c>
      <c r="BE445" s="738"/>
      <c r="BF445" s="708"/>
      <c r="BG445" s="709"/>
      <c r="BH445" s="709"/>
      <c r="BI445" s="710"/>
      <c r="BJ445" s="742" t="s">
        <v>159</v>
      </c>
      <c r="BK445" s="743"/>
      <c r="BL445" s="743"/>
      <c r="BM445" s="744"/>
      <c r="BN445" s="703" t="s">
        <v>159</v>
      </c>
      <c r="BO445" s="704"/>
      <c r="BP445" s="704"/>
      <c r="BQ445" s="704"/>
      <c r="BR445" s="704"/>
      <c r="BS445" s="704"/>
      <c r="BT445" s="704"/>
      <c r="BU445" s="704"/>
      <c r="BV445" s="705"/>
    </row>
    <row r="446" spans="1:74" ht="45" customHeight="1" x14ac:dyDescent="0.25">
      <c r="A446" s="10">
        <f t="shared" si="6"/>
        <v>432</v>
      </c>
      <c r="B446" s="662" t="s">
        <v>159</v>
      </c>
      <c r="C446" s="662"/>
      <c r="D446" s="663" t="s">
        <v>212</v>
      </c>
      <c r="E446" s="663"/>
      <c r="F446" s="664" t="s">
        <v>162</v>
      </c>
      <c r="G446" s="665"/>
      <c r="H446" s="754" t="s">
        <v>162</v>
      </c>
      <c r="I446" s="714"/>
      <c r="J446" s="715"/>
      <c r="K446" s="716"/>
      <c r="L446" s="715"/>
      <c r="M446" s="716"/>
      <c r="N446" s="215"/>
      <c r="O446" s="196"/>
      <c r="P446" s="670"/>
      <c r="Q446" s="671"/>
      <c r="R446" s="719"/>
      <c r="S446" s="720"/>
      <c r="T446" s="721"/>
      <c r="U446" s="722"/>
      <c r="V446" s="723"/>
      <c r="W446" s="724"/>
      <c r="X446" s="678" t="s">
        <v>159</v>
      </c>
      <c r="Y446" s="678"/>
      <c r="Z446" s="678"/>
      <c r="AA446" s="678"/>
      <c r="AB446" s="679" t="s">
        <v>159</v>
      </c>
      <c r="AC446" s="679"/>
      <c r="AD446" s="679"/>
      <c r="AE446" s="679"/>
      <c r="AF446" s="727"/>
      <c r="AG446" s="728"/>
      <c r="AH446" s="727"/>
      <c r="AI446" s="728"/>
      <c r="AJ446" s="682"/>
      <c r="AK446" s="683"/>
      <c r="AL446" s="684" t="s">
        <v>162</v>
      </c>
      <c r="AM446" s="685"/>
      <c r="AN446" s="666" t="s">
        <v>162</v>
      </c>
      <c r="AO446" s="667"/>
      <c r="AP446" s="729"/>
      <c r="AQ446" s="730"/>
      <c r="AR446" s="731"/>
      <c r="AS446" s="732"/>
      <c r="AT446" s="690"/>
      <c r="AU446" s="691"/>
      <c r="AV446" s="666" t="s">
        <v>162</v>
      </c>
      <c r="AW446" s="667"/>
      <c r="AX446" s="692"/>
      <c r="AY446" s="693"/>
      <c r="AZ446" s="694"/>
      <c r="BA446" s="735"/>
      <c r="BB446" s="736"/>
      <c r="BC446" s="14"/>
      <c r="BD446" s="695" t="s">
        <v>162</v>
      </c>
      <c r="BE446" s="696"/>
      <c r="BF446" s="739"/>
      <c r="BG446" s="740"/>
      <c r="BH446" s="740"/>
      <c r="BI446" s="741"/>
      <c r="BJ446" s="700" t="s">
        <v>159</v>
      </c>
      <c r="BK446" s="701"/>
      <c r="BL446" s="701"/>
      <c r="BM446" s="702"/>
      <c r="BN446" s="703" t="s">
        <v>159</v>
      </c>
      <c r="BO446" s="704"/>
      <c r="BP446" s="704"/>
      <c r="BQ446" s="704"/>
      <c r="BR446" s="704"/>
      <c r="BS446" s="704"/>
      <c r="BT446" s="704"/>
      <c r="BU446" s="704"/>
      <c r="BV446" s="705"/>
    </row>
    <row r="447" spans="1:74" ht="45" customHeight="1" x14ac:dyDescent="0.25">
      <c r="A447" s="10">
        <f t="shared" si="6"/>
        <v>433</v>
      </c>
      <c r="B447" s="711" t="s">
        <v>159</v>
      </c>
      <c r="C447" s="711"/>
      <c r="D447" s="712" t="s">
        <v>212</v>
      </c>
      <c r="E447" s="712"/>
      <c r="F447" s="664" t="s">
        <v>162</v>
      </c>
      <c r="G447" s="665"/>
      <c r="H447" s="755" t="s">
        <v>162</v>
      </c>
      <c r="I447" s="667"/>
      <c r="J447" s="706"/>
      <c r="K447" s="707"/>
      <c r="L447" s="706"/>
      <c r="M447" s="707"/>
      <c r="N447" s="194"/>
      <c r="O447" s="216"/>
      <c r="P447" s="717"/>
      <c r="Q447" s="718"/>
      <c r="R447" s="672"/>
      <c r="S447" s="673"/>
      <c r="T447" s="674"/>
      <c r="U447" s="675"/>
      <c r="V447" s="676"/>
      <c r="W447" s="677"/>
      <c r="X447" s="725" t="s">
        <v>159</v>
      </c>
      <c r="Y447" s="725"/>
      <c r="Z447" s="725"/>
      <c r="AA447" s="725"/>
      <c r="AB447" s="726" t="s">
        <v>159</v>
      </c>
      <c r="AC447" s="726"/>
      <c r="AD447" s="726"/>
      <c r="AE447" s="726"/>
      <c r="AF447" s="680"/>
      <c r="AG447" s="681"/>
      <c r="AH447" s="680"/>
      <c r="AI447" s="681"/>
      <c r="AJ447" s="686"/>
      <c r="AK447" s="687"/>
      <c r="AL447" s="664" t="s">
        <v>162</v>
      </c>
      <c r="AM447" s="665"/>
      <c r="AN447" s="713" t="s">
        <v>162</v>
      </c>
      <c r="AO447" s="714"/>
      <c r="AP447" s="686"/>
      <c r="AQ447" s="687"/>
      <c r="AR447" s="688"/>
      <c r="AS447" s="689"/>
      <c r="AT447" s="690"/>
      <c r="AU447" s="691"/>
      <c r="AV447" s="713" t="s">
        <v>162</v>
      </c>
      <c r="AW447" s="714"/>
      <c r="AX447" s="692"/>
      <c r="AY447" s="693"/>
      <c r="AZ447" s="694"/>
      <c r="BA447" s="682"/>
      <c r="BB447" s="683"/>
      <c r="BC447" s="219"/>
      <c r="BD447" s="737" t="s">
        <v>162</v>
      </c>
      <c r="BE447" s="738"/>
      <c r="BF447" s="697"/>
      <c r="BG447" s="698"/>
      <c r="BH447" s="698"/>
      <c r="BI447" s="699"/>
      <c r="BJ447" s="742" t="s">
        <v>159</v>
      </c>
      <c r="BK447" s="743"/>
      <c r="BL447" s="743"/>
      <c r="BM447" s="744"/>
      <c r="BN447" s="703" t="s">
        <v>159</v>
      </c>
      <c r="BO447" s="704"/>
      <c r="BP447" s="704"/>
      <c r="BQ447" s="704"/>
      <c r="BR447" s="704"/>
      <c r="BS447" s="704"/>
      <c r="BT447" s="704"/>
      <c r="BU447" s="704"/>
      <c r="BV447" s="705"/>
    </row>
    <row r="448" spans="1:74" ht="45" customHeight="1" x14ac:dyDescent="0.25">
      <c r="A448" s="10">
        <f t="shared" si="6"/>
        <v>434</v>
      </c>
      <c r="B448" s="662" t="s">
        <v>159</v>
      </c>
      <c r="C448" s="662"/>
      <c r="D448" s="663" t="s">
        <v>212</v>
      </c>
      <c r="E448" s="663"/>
      <c r="F448" s="664" t="s">
        <v>162</v>
      </c>
      <c r="G448" s="665"/>
      <c r="H448" s="754" t="s">
        <v>162</v>
      </c>
      <c r="I448" s="714"/>
      <c r="J448" s="715"/>
      <c r="K448" s="716"/>
      <c r="L448" s="715"/>
      <c r="M448" s="716"/>
      <c r="N448" s="215"/>
      <c r="O448" s="196"/>
      <c r="P448" s="670"/>
      <c r="Q448" s="671"/>
      <c r="R448" s="719"/>
      <c r="S448" s="720"/>
      <c r="T448" s="721"/>
      <c r="U448" s="722"/>
      <c r="V448" s="723"/>
      <c r="W448" s="724"/>
      <c r="X448" s="678" t="s">
        <v>159</v>
      </c>
      <c r="Y448" s="678"/>
      <c r="Z448" s="678"/>
      <c r="AA448" s="678"/>
      <c r="AB448" s="679" t="s">
        <v>159</v>
      </c>
      <c r="AC448" s="679"/>
      <c r="AD448" s="679"/>
      <c r="AE448" s="679"/>
      <c r="AF448" s="727"/>
      <c r="AG448" s="728"/>
      <c r="AH448" s="727"/>
      <c r="AI448" s="728"/>
      <c r="AJ448" s="682"/>
      <c r="AK448" s="683"/>
      <c r="AL448" s="684" t="s">
        <v>162</v>
      </c>
      <c r="AM448" s="685"/>
      <c r="AN448" s="666" t="s">
        <v>162</v>
      </c>
      <c r="AO448" s="667"/>
      <c r="AP448" s="729"/>
      <c r="AQ448" s="730"/>
      <c r="AR448" s="731"/>
      <c r="AS448" s="732"/>
      <c r="AT448" s="690"/>
      <c r="AU448" s="691"/>
      <c r="AV448" s="666" t="s">
        <v>162</v>
      </c>
      <c r="AW448" s="667"/>
      <c r="AX448" s="692"/>
      <c r="AY448" s="693"/>
      <c r="AZ448" s="694"/>
      <c r="BA448" s="735"/>
      <c r="BB448" s="736"/>
      <c r="BC448" s="14"/>
      <c r="BD448" s="695" t="s">
        <v>162</v>
      </c>
      <c r="BE448" s="696"/>
      <c r="BF448" s="739"/>
      <c r="BG448" s="740"/>
      <c r="BH448" s="740"/>
      <c r="BI448" s="741"/>
      <c r="BJ448" s="700" t="s">
        <v>159</v>
      </c>
      <c r="BK448" s="701"/>
      <c r="BL448" s="701"/>
      <c r="BM448" s="702"/>
      <c r="BN448" s="703" t="s">
        <v>159</v>
      </c>
      <c r="BO448" s="704"/>
      <c r="BP448" s="704"/>
      <c r="BQ448" s="704"/>
      <c r="BR448" s="704"/>
      <c r="BS448" s="704"/>
      <c r="BT448" s="704"/>
      <c r="BU448" s="704"/>
      <c r="BV448" s="705"/>
    </row>
    <row r="449" spans="1:74" ht="45" customHeight="1" x14ac:dyDescent="0.25">
      <c r="A449" s="10">
        <f t="shared" si="6"/>
        <v>435</v>
      </c>
      <c r="B449" s="711" t="s">
        <v>159</v>
      </c>
      <c r="C449" s="711"/>
      <c r="D449" s="712" t="s">
        <v>212</v>
      </c>
      <c r="E449" s="712"/>
      <c r="F449" s="664" t="s">
        <v>162</v>
      </c>
      <c r="G449" s="665"/>
      <c r="H449" s="755" t="s">
        <v>162</v>
      </c>
      <c r="I449" s="667"/>
      <c r="J449" s="706"/>
      <c r="K449" s="707"/>
      <c r="L449" s="706"/>
      <c r="M449" s="707"/>
      <c r="N449" s="194"/>
      <c r="O449" s="216"/>
      <c r="P449" s="717"/>
      <c r="Q449" s="718"/>
      <c r="R449" s="672"/>
      <c r="S449" s="673"/>
      <c r="T449" s="674"/>
      <c r="U449" s="675"/>
      <c r="V449" s="676"/>
      <c r="W449" s="677"/>
      <c r="X449" s="725" t="s">
        <v>159</v>
      </c>
      <c r="Y449" s="725"/>
      <c r="Z449" s="725"/>
      <c r="AA449" s="725"/>
      <c r="AB449" s="726" t="s">
        <v>159</v>
      </c>
      <c r="AC449" s="726"/>
      <c r="AD449" s="726"/>
      <c r="AE449" s="726"/>
      <c r="AF449" s="680"/>
      <c r="AG449" s="681"/>
      <c r="AH449" s="680"/>
      <c r="AI449" s="681"/>
      <c r="AJ449" s="686"/>
      <c r="AK449" s="687"/>
      <c r="AL449" s="664" t="s">
        <v>162</v>
      </c>
      <c r="AM449" s="665"/>
      <c r="AN449" s="713" t="s">
        <v>162</v>
      </c>
      <c r="AO449" s="714"/>
      <c r="AP449" s="686"/>
      <c r="AQ449" s="687"/>
      <c r="AR449" s="688"/>
      <c r="AS449" s="689"/>
      <c r="AT449" s="690"/>
      <c r="AU449" s="691"/>
      <c r="AV449" s="713" t="s">
        <v>162</v>
      </c>
      <c r="AW449" s="714"/>
      <c r="AX449" s="692"/>
      <c r="AY449" s="693"/>
      <c r="AZ449" s="694"/>
      <c r="BA449" s="682"/>
      <c r="BB449" s="683"/>
      <c r="BC449" s="219"/>
      <c r="BD449" s="737" t="s">
        <v>162</v>
      </c>
      <c r="BE449" s="738"/>
      <c r="BF449" s="708"/>
      <c r="BG449" s="709"/>
      <c r="BH449" s="709"/>
      <c r="BI449" s="710"/>
      <c r="BJ449" s="742" t="s">
        <v>159</v>
      </c>
      <c r="BK449" s="743"/>
      <c r="BL449" s="743"/>
      <c r="BM449" s="744"/>
      <c r="BN449" s="703" t="s">
        <v>159</v>
      </c>
      <c r="BO449" s="704"/>
      <c r="BP449" s="704"/>
      <c r="BQ449" s="704"/>
      <c r="BR449" s="704"/>
      <c r="BS449" s="704"/>
      <c r="BT449" s="704"/>
      <c r="BU449" s="704"/>
      <c r="BV449" s="705"/>
    </row>
    <row r="450" spans="1:74" ht="45" customHeight="1" x14ac:dyDescent="0.25">
      <c r="A450" s="10">
        <f t="shared" si="6"/>
        <v>436</v>
      </c>
      <c r="B450" s="662" t="s">
        <v>159</v>
      </c>
      <c r="C450" s="662"/>
      <c r="D450" s="663" t="s">
        <v>212</v>
      </c>
      <c r="E450" s="663"/>
      <c r="F450" s="664" t="s">
        <v>162</v>
      </c>
      <c r="G450" s="665"/>
      <c r="H450" s="754" t="s">
        <v>162</v>
      </c>
      <c r="I450" s="714"/>
      <c r="J450" s="715"/>
      <c r="K450" s="716"/>
      <c r="L450" s="715"/>
      <c r="M450" s="716"/>
      <c r="N450" s="215"/>
      <c r="O450" s="196"/>
      <c r="P450" s="670"/>
      <c r="Q450" s="671"/>
      <c r="R450" s="719"/>
      <c r="S450" s="720"/>
      <c r="T450" s="721"/>
      <c r="U450" s="722"/>
      <c r="V450" s="723"/>
      <c r="W450" s="724"/>
      <c r="X450" s="678" t="s">
        <v>159</v>
      </c>
      <c r="Y450" s="678"/>
      <c r="Z450" s="678"/>
      <c r="AA450" s="678"/>
      <c r="AB450" s="679" t="s">
        <v>159</v>
      </c>
      <c r="AC450" s="679"/>
      <c r="AD450" s="679"/>
      <c r="AE450" s="679"/>
      <c r="AF450" s="727"/>
      <c r="AG450" s="728"/>
      <c r="AH450" s="727"/>
      <c r="AI450" s="728"/>
      <c r="AJ450" s="682"/>
      <c r="AK450" s="683"/>
      <c r="AL450" s="684" t="s">
        <v>162</v>
      </c>
      <c r="AM450" s="685"/>
      <c r="AN450" s="666" t="s">
        <v>162</v>
      </c>
      <c r="AO450" s="667"/>
      <c r="AP450" s="729"/>
      <c r="AQ450" s="730"/>
      <c r="AR450" s="731"/>
      <c r="AS450" s="732"/>
      <c r="AT450" s="690"/>
      <c r="AU450" s="691"/>
      <c r="AV450" s="666" t="s">
        <v>162</v>
      </c>
      <c r="AW450" s="667"/>
      <c r="AX450" s="692"/>
      <c r="AY450" s="693"/>
      <c r="AZ450" s="694"/>
      <c r="BA450" s="735"/>
      <c r="BB450" s="736"/>
      <c r="BC450" s="14"/>
      <c r="BD450" s="695" t="s">
        <v>162</v>
      </c>
      <c r="BE450" s="696"/>
      <c r="BF450" s="739"/>
      <c r="BG450" s="740"/>
      <c r="BH450" s="740"/>
      <c r="BI450" s="741"/>
      <c r="BJ450" s="700" t="s">
        <v>159</v>
      </c>
      <c r="BK450" s="701"/>
      <c r="BL450" s="701"/>
      <c r="BM450" s="702"/>
      <c r="BN450" s="703" t="s">
        <v>159</v>
      </c>
      <c r="BO450" s="704"/>
      <c r="BP450" s="704"/>
      <c r="BQ450" s="704"/>
      <c r="BR450" s="704"/>
      <c r="BS450" s="704"/>
      <c r="BT450" s="704"/>
      <c r="BU450" s="704"/>
      <c r="BV450" s="705"/>
    </row>
    <row r="451" spans="1:74" ht="45" customHeight="1" x14ac:dyDescent="0.25">
      <c r="A451" s="10">
        <f t="shared" si="6"/>
        <v>437</v>
      </c>
      <c r="B451" s="711" t="s">
        <v>159</v>
      </c>
      <c r="C451" s="711"/>
      <c r="D451" s="712" t="s">
        <v>212</v>
      </c>
      <c r="E451" s="712"/>
      <c r="F451" s="664" t="s">
        <v>162</v>
      </c>
      <c r="G451" s="665"/>
      <c r="H451" s="755" t="s">
        <v>162</v>
      </c>
      <c r="I451" s="667"/>
      <c r="J451" s="706"/>
      <c r="K451" s="707"/>
      <c r="L451" s="706"/>
      <c r="M451" s="707"/>
      <c r="N451" s="194"/>
      <c r="O451" s="216"/>
      <c r="P451" s="717"/>
      <c r="Q451" s="718"/>
      <c r="R451" s="672"/>
      <c r="S451" s="673"/>
      <c r="T451" s="674"/>
      <c r="U451" s="675"/>
      <c r="V451" s="676"/>
      <c r="W451" s="677"/>
      <c r="X451" s="725" t="s">
        <v>159</v>
      </c>
      <c r="Y451" s="725"/>
      <c r="Z451" s="725"/>
      <c r="AA451" s="725"/>
      <c r="AB451" s="726" t="s">
        <v>159</v>
      </c>
      <c r="AC451" s="726"/>
      <c r="AD451" s="726"/>
      <c r="AE451" s="726"/>
      <c r="AF451" s="680"/>
      <c r="AG451" s="681"/>
      <c r="AH451" s="680"/>
      <c r="AI451" s="681"/>
      <c r="AJ451" s="686"/>
      <c r="AK451" s="687"/>
      <c r="AL451" s="664" t="s">
        <v>162</v>
      </c>
      <c r="AM451" s="665"/>
      <c r="AN451" s="713" t="s">
        <v>162</v>
      </c>
      <c r="AO451" s="714"/>
      <c r="AP451" s="686"/>
      <c r="AQ451" s="687"/>
      <c r="AR451" s="688"/>
      <c r="AS451" s="689"/>
      <c r="AT451" s="690"/>
      <c r="AU451" s="691"/>
      <c r="AV451" s="713" t="s">
        <v>162</v>
      </c>
      <c r="AW451" s="714"/>
      <c r="AX451" s="692"/>
      <c r="AY451" s="693"/>
      <c r="AZ451" s="694"/>
      <c r="BA451" s="682"/>
      <c r="BB451" s="683"/>
      <c r="BC451" s="219"/>
      <c r="BD451" s="737" t="s">
        <v>162</v>
      </c>
      <c r="BE451" s="738"/>
      <c r="BF451" s="697"/>
      <c r="BG451" s="698"/>
      <c r="BH451" s="698"/>
      <c r="BI451" s="699"/>
      <c r="BJ451" s="742" t="s">
        <v>159</v>
      </c>
      <c r="BK451" s="743"/>
      <c r="BL451" s="743"/>
      <c r="BM451" s="744"/>
      <c r="BN451" s="703" t="s">
        <v>159</v>
      </c>
      <c r="BO451" s="704"/>
      <c r="BP451" s="704"/>
      <c r="BQ451" s="704"/>
      <c r="BR451" s="704"/>
      <c r="BS451" s="704"/>
      <c r="BT451" s="704"/>
      <c r="BU451" s="704"/>
      <c r="BV451" s="705"/>
    </row>
    <row r="452" spans="1:74" ht="45" customHeight="1" x14ac:dyDescent="0.25">
      <c r="A452" s="10">
        <f t="shared" si="6"/>
        <v>438</v>
      </c>
      <c r="B452" s="662" t="s">
        <v>159</v>
      </c>
      <c r="C452" s="662"/>
      <c r="D452" s="663" t="s">
        <v>212</v>
      </c>
      <c r="E452" s="663"/>
      <c r="F452" s="664" t="s">
        <v>162</v>
      </c>
      <c r="G452" s="665"/>
      <c r="H452" s="754" t="s">
        <v>162</v>
      </c>
      <c r="I452" s="714"/>
      <c r="J452" s="715"/>
      <c r="K452" s="716"/>
      <c r="L452" s="715"/>
      <c r="M452" s="716"/>
      <c r="N452" s="215"/>
      <c r="O452" s="196"/>
      <c r="P452" s="670"/>
      <c r="Q452" s="671"/>
      <c r="R452" s="719"/>
      <c r="S452" s="720"/>
      <c r="T452" s="721"/>
      <c r="U452" s="722"/>
      <c r="V452" s="723"/>
      <c r="W452" s="724"/>
      <c r="X452" s="678" t="s">
        <v>159</v>
      </c>
      <c r="Y452" s="678"/>
      <c r="Z452" s="678"/>
      <c r="AA452" s="678"/>
      <c r="AB452" s="679" t="s">
        <v>159</v>
      </c>
      <c r="AC452" s="679"/>
      <c r="AD452" s="679"/>
      <c r="AE452" s="679"/>
      <c r="AF452" s="727"/>
      <c r="AG452" s="728"/>
      <c r="AH452" s="727"/>
      <c r="AI452" s="728"/>
      <c r="AJ452" s="682"/>
      <c r="AK452" s="683"/>
      <c r="AL452" s="684" t="s">
        <v>162</v>
      </c>
      <c r="AM452" s="685"/>
      <c r="AN452" s="666" t="s">
        <v>162</v>
      </c>
      <c r="AO452" s="667"/>
      <c r="AP452" s="729"/>
      <c r="AQ452" s="730"/>
      <c r="AR452" s="731"/>
      <c r="AS452" s="732"/>
      <c r="AT452" s="690"/>
      <c r="AU452" s="691"/>
      <c r="AV452" s="666" t="s">
        <v>162</v>
      </c>
      <c r="AW452" s="667"/>
      <c r="AX452" s="692"/>
      <c r="AY452" s="693"/>
      <c r="AZ452" s="694"/>
      <c r="BA452" s="735"/>
      <c r="BB452" s="736"/>
      <c r="BC452" s="14"/>
      <c r="BD452" s="695" t="s">
        <v>162</v>
      </c>
      <c r="BE452" s="696"/>
      <c r="BF452" s="739"/>
      <c r="BG452" s="740"/>
      <c r="BH452" s="740"/>
      <c r="BI452" s="741"/>
      <c r="BJ452" s="700" t="s">
        <v>159</v>
      </c>
      <c r="BK452" s="701"/>
      <c r="BL452" s="701"/>
      <c r="BM452" s="702"/>
      <c r="BN452" s="703" t="s">
        <v>159</v>
      </c>
      <c r="BO452" s="704"/>
      <c r="BP452" s="704"/>
      <c r="BQ452" s="704"/>
      <c r="BR452" s="704"/>
      <c r="BS452" s="704"/>
      <c r="BT452" s="704"/>
      <c r="BU452" s="704"/>
      <c r="BV452" s="705"/>
    </row>
    <row r="453" spans="1:74" ht="45" customHeight="1" x14ac:dyDescent="0.25">
      <c r="A453" s="10">
        <f t="shared" si="6"/>
        <v>439</v>
      </c>
      <c r="B453" s="711" t="s">
        <v>159</v>
      </c>
      <c r="C453" s="711"/>
      <c r="D453" s="712" t="s">
        <v>212</v>
      </c>
      <c r="E453" s="712"/>
      <c r="F453" s="664" t="s">
        <v>162</v>
      </c>
      <c r="G453" s="665"/>
      <c r="H453" s="755" t="s">
        <v>162</v>
      </c>
      <c r="I453" s="667"/>
      <c r="J453" s="706"/>
      <c r="K453" s="707"/>
      <c r="L453" s="706"/>
      <c r="M453" s="707"/>
      <c r="N453" s="194"/>
      <c r="O453" s="216"/>
      <c r="P453" s="717"/>
      <c r="Q453" s="718"/>
      <c r="R453" s="672"/>
      <c r="S453" s="673"/>
      <c r="T453" s="674"/>
      <c r="U453" s="675"/>
      <c r="V453" s="676"/>
      <c r="W453" s="677"/>
      <c r="X453" s="725" t="s">
        <v>159</v>
      </c>
      <c r="Y453" s="725"/>
      <c r="Z453" s="725"/>
      <c r="AA453" s="725"/>
      <c r="AB453" s="726" t="s">
        <v>159</v>
      </c>
      <c r="AC453" s="726"/>
      <c r="AD453" s="726"/>
      <c r="AE453" s="726"/>
      <c r="AF453" s="680"/>
      <c r="AG453" s="681"/>
      <c r="AH453" s="680"/>
      <c r="AI453" s="681"/>
      <c r="AJ453" s="686"/>
      <c r="AK453" s="687"/>
      <c r="AL453" s="664" t="s">
        <v>162</v>
      </c>
      <c r="AM453" s="665"/>
      <c r="AN453" s="713" t="s">
        <v>162</v>
      </c>
      <c r="AO453" s="714"/>
      <c r="AP453" s="686"/>
      <c r="AQ453" s="687"/>
      <c r="AR453" s="688"/>
      <c r="AS453" s="689"/>
      <c r="AT453" s="690"/>
      <c r="AU453" s="691"/>
      <c r="AV453" s="713" t="s">
        <v>162</v>
      </c>
      <c r="AW453" s="714"/>
      <c r="AX453" s="692"/>
      <c r="AY453" s="693"/>
      <c r="AZ453" s="694"/>
      <c r="BA453" s="682"/>
      <c r="BB453" s="683"/>
      <c r="BC453" s="219"/>
      <c r="BD453" s="737" t="s">
        <v>162</v>
      </c>
      <c r="BE453" s="738"/>
      <c r="BF453" s="708"/>
      <c r="BG453" s="709"/>
      <c r="BH453" s="709"/>
      <c r="BI453" s="710"/>
      <c r="BJ453" s="742" t="s">
        <v>159</v>
      </c>
      <c r="BK453" s="743"/>
      <c r="BL453" s="743"/>
      <c r="BM453" s="744"/>
      <c r="BN453" s="703" t="s">
        <v>159</v>
      </c>
      <c r="BO453" s="704"/>
      <c r="BP453" s="704"/>
      <c r="BQ453" s="704"/>
      <c r="BR453" s="704"/>
      <c r="BS453" s="704"/>
      <c r="BT453" s="704"/>
      <c r="BU453" s="704"/>
      <c r="BV453" s="705"/>
    </row>
    <row r="454" spans="1:74" ht="45" customHeight="1" x14ac:dyDescent="0.25">
      <c r="A454" s="10">
        <f t="shared" si="6"/>
        <v>440</v>
      </c>
      <c r="B454" s="662" t="s">
        <v>159</v>
      </c>
      <c r="C454" s="662"/>
      <c r="D454" s="663" t="s">
        <v>212</v>
      </c>
      <c r="E454" s="663"/>
      <c r="F454" s="664" t="s">
        <v>162</v>
      </c>
      <c r="G454" s="665"/>
      <c r="H454" s="754" t="s">
        <v>162</v>
      </c>
      <c r="I454" s="714"/>
      <c r="J454" s="715"/>
      <c r="K454" s="716"/>
      <c r="L454" s="715"/>
      <c r="M454" s="716"/>
      <c r="N454" s="215"/>
      <c r="O454" s="196"/>
      <c r="P454" s="670"/>
      <c r="Q454" s="671"/>
      <c r="R454" s="719"/>
      <c r="S454" s="720"/>
      <c r="T454" s="721"/>
      <c r="U454" s="722"/>
      <c r="V454" s="723"/>
      <c r="W454" s="724"/>
      <c r="X454" s="678" t="s">
        <v>159</v>
      </c>
      <c r="Y454" s="678"/>
      <c r="Z454" s="678"/>
      <c r="AA454" s="678"/>
      <c r="AB454" s="679" t="s">
        <v>159</v>
      </c>
      <c r="AC454" s="679"/>
      <c r="AD454" s="679"/>
      <c r="AE454" s="679"/>
      <c r="AF454" s="727"/>
      <c r="AG454" s="728"/>
      <c r="AH454" s="727"/>
      <c r="AI454" s="728"/>
      <c r="AJ454" s="682"/>
      <c r="AK454" s="683"/>
      <c r="AL454" s="684" t="s">
        <v>162</v>
      </c>
      <c r="AM454" s="685"/>
      <c r="AN454" s="666" t="s">
        <v>162</v>
      </c>
      <c r="AO454" s="667"/>
      <c r="AP454" s="729"/>
      <c r="AQ454" s="730"/>
      <c r="AR454" s="731"/>
      <c r="AS454" s="732"/>
      <c r="AT454" s="690"/>
      <c r="AU454" s="691"/>
      <c r="AV454" s="666" t="s">
        <v>162</v>
      </c>
      <c r="AW454" s="667"/>
      <c r="AX454" s="692"/>
      <c r="AY454" s="693"/>
      <c r="AZ454" s="694"/>
      <c r="BA454" s="735"/>
      <c r="BB454" s="736"/>
      <c r="BC454" s="14"/>
      <c r="BD454" s="695" t="s">
        <v>162</v>
      </c>
      <c r="BE454" s="696"/>
      <c r="BF454" s="739"/>
      <c r="BG454" s="740"/>
      <c r="BH454" s="740"/>
      <c r="BI454" s="741"/>
      <c r="BJ454" s="700" t="s">
        <v>159</v>
      </c>
      <c r="BK454" s="701"/>
      <c r="BL454" s="701"/>
      <c r="BM454" s="702"/>
      <c r="BN454" s="703" t="s">
        <v>159</v>
      </c>
      <c r="BO454" s="704"/>
      <c r="BP454" s="704"/>
      <c r="BQ454" s="704"/>
      <c r="BR454" s="704"/>
      <c r="BS454" s="704"/>
      <c r="BT454" s="704"/>
      <c r="BU454" s="704"/>
      <c r="BV454" s="705"/>
    </row>
    <row r="455" spans="1:74" ht="45" customHeight="1" x14ac:dyDescent="0.25">
      <c r="A455" s="10">
        <f t="shared" si="6"/>
        <v>441</v>
      </c>
      <c r="B455" s="711" t="s">
        <v>159</v>
      </c>
      <c r="C455" s="711"/>
      <c r="D455" s="712" t="s">
        <v>212</v>
      </c>
      <c r="E455" s="712"/>
      <c r="F455" s="664" t="s">
        <v>162</v>
      </c>
      <c r="G455" s="665"/>
      <c r="H455" s="755" t="s">
        <v>162</v>
      </c>
      <c r="I455" s="667"/>
      <c r="J455" s="706"/>
      <c r="K455" s="707"/>
      <c r="L455" s="706"/>
      <c r="M455" s="707"/>
      <c r="N455" s="194"/>
      <c r="O455" s="216"/>
      <c r="P455" s="717"/>
      <c r="Q455" s="718"/>
      <c r="R455" s="672"/>
      <c r="S455" s="673"/>
      <c r="T455" s="674"/>
      <c r="U455" s="675"/>
      <c r="V455" s="676"/>
      <c r="W455" s="677"/>
      <c r="X455" s="725" t="s">
        <v>159</v>
      </c>
      <c r="Y455" s="725"/>
      <c r="Z455" s="725"/>
      <c r="AA455" s="725"/>
      <c r="AB455" s="726" t="s">
        <v>159</v>
      </c>
      <c r="AC455" s="726"/>
      <c r="AD455" s="726"/>
      <c r="AE455" s="726"/>
      <c r="AF455" s="680"/>
      <c r="AG455" s="681"/>
      <c r="AH455" s="680"/>
      <c r="AI455" s="681"/>
      <c r="AJ455" s="686"/>
      <c r="AK455" s="687"/>
      <c r="AL455" s="664" t="s">
        <v>162</v>
      </c>
      <c r="AM455" s="665"/>
      <c r="AN455" s="713" t="s">
        <v>162</v>
      </c>
      <c r="AO455" s="714"/>
      <c r="AP455" s="686"/>
      <c r="AQ455" s="687"/>
      <c r="AR455" s="688"/>
      <c r="AS455" s="689"/>
      <c r="AT455" s="690"/>
      <c r="AU455" s="691"/>
      <c r="AV455" s="713" t="s">
        <v>162</v>
      </c>
      <c r="AW455" s="714"/>
      <c r="AX455" s="692"/>
      <c r="AY455" s="693"/>
      <c r="AZ455" s="694"/>
      <c r="BA455" s="682"/>
      <c r="BB455" s="683"/>
      <c r="BC455" s="219"/>
      <c r="BD455" s="737" t="s">
        <v>162</v>
      </c>
      <c r="BE455" s="738"/>
      <c r="BF455" s="708"/>
      <c r="BG455" s="709"/>
      <c r="BH455" s="709"/>
      <c r="BI455" s="710"/>
      <c r="BJ455" s="742" t="s">
        <v>159</v>
      </c>
      <c r="BK455" s="743"/>
      <c r="BL455" s="743"/>
      <c r="BM455" s="744"/>
      <c r="BN455" s="703" t="s">
        <v>159</v>
      </c>
      <c r="BO455" s="704"/>
      <c r="BP455" s="704"/>
      <c r="BQ455" s="704"/>
      <c r="BR455" s="704"/>
      <c r="BS455" s="704"/>
      <c r="BT455" s="704"/>
      <c r="BU455" s="704"/>
      <c r="BV455" s="705"/>
    </row>
    <row r="456" spans="1:74" ht="45" customHeight="1" x14ac:dyDescent="0.25">
      <c r="A456" s="10">
        <f t="shared" si="6"/>
        <v>442</v>
      </c>
      <c r="B456" s="662" t="s">
        <v>159</v>
      </c>
      <c r="C456" s="662"/>
      <c r="D456" s="663" t="s">
        <v>212</v>
      </c>
      <c r="E456" s="663"/>
      <c r="F456" s="664" t="s">
        <v>162</v>
      </c>
      <c r="G456" s="665"/>
      <c r="H456" s="754" t="s">
        <v>162</v>
      </c>
      <c r="I456" s="714"/>
      <c r="J456" s="715"/>
      <c r="K456" s="716"/>
      <c r="L456" s="715"/>
      <c r="M456" s="716"/>
      <c r="N456" s="215"/>
      <c r="O456" s="196"/>
      <c r="P456" s="670"/>
      <c r="Q456" s="671"/>
      <c r="R456" s="719"/>
      <c r="S456" s="720"/>
      <c r="T456" s="721"/>
      <c r="U456" s="722"/>
      <c r="V456" s="723"/>
      <c r="W456" s="724"/>
      <c r="X456" s="678" t="s">
        <v>159</v>
      </c>
      <c r="Y456" s="678"/>
      <c r="Z456" s="678"/>
      <c r="AA456" s="678"/>
      <c r="AB456" s="679" t="s">
        <v>159</v>
      </c>
      <c r="AC456" s="679"/>
      <c r="AD456" s="679"/>
      <c r="AE456" s="679"/>
      <c r="AF456" s="727"/>
      <c r="AG456" s="728"/>
      <c r="AH456" s="727"/>
      <c r="AI456" s="728"/>
      <c r="AJ456" s="682"/>
      <c r="AK456" s="683"/>
      <c r="AL456" s="684" t="s">
        <v>162</v>
      </c>
      <c r="AM456" s="685"/>
      <c r="AN456" s="666" t="s">
        <v>162</v>
      </c>
      <c r="AO456" s="667"/>
      <c r="AP456" s="729"/>
      <c r="AQ456" s="730"/>
      <c r="AR456" s="731"/>
      <c r="AS456" s="732"/>
      <c r="AT456" s="690"/>
      <c r="AU456" s="691"/>
      <c r="AV456" s="666" t="s">
        <v>162</v>
      </c>
      <c r="AW456" s="667"/>
      <c r="AX456" s="692"/>
      <c r="AY456" s="693"/>
      <c r="AZ456" s="694"/>
      <c r="BA456" s="735"/>
      <c r="BB456" s="736"/>
      <c r="BC456" s="14"/>
      <c r="BD456" s="695" t="s">
        <v>162</v>
      </c>
      <c r="BE456" s="696"/>
      <c r="BF456" s="739"/>
      <c r="BG456" s="740"/>
      <c r="BH456" s="740"/>
      <c r="BI456" s="741"/>
      <c r="BJ456" s="700" t="s">
        <v>159</v>
      </c>
      <c r="BK456" s="701"/>
      <c r="BL456" s="701"/>
      <c r="BM456" s="702"/>
      <c r="BN456" s="703" t="s">
        <v>159</v>
      </c>
      <c r="BO456" s="704"/>
      <c r="BP456" s="704"/>
      <c r="BQ456" s="704"/>
      <c r="BR456" s="704"/>
      <c r="BS456" s="704"/>
      <c r="BT456" s="704"/>
      <c r="BU456" s="704"/>
      <c r="BV456" s="705"/>
    </row>
    <row r="457" spans="1:74" ht="45" customHeight="1" x14ac:dyDescent="0.25">
      <c r="A457" s="10">
        <f t="shared" si="6"/>
        <v>443</v>
      </c>
      <c r="B457" s="711" t="s">
        <v>159</v>
      </c>
      <c r="C457" s="711"/>
      <c r="D457" s="712" t="s">
        <v>212</v>
      </c>
      <c r="E457" s="712"/>
      <c r="F457" s="664" t="s">
        <v>162</v>
      </c>
      <c r="G457" s="665"/>
      <c r="H457" s="755" t="s">
        <v>162</v>
      </c>
      <c r="I457" s="667"/>
      <c r="J457" s="706"/>
      <c r="K457" s="707"/>
      <c r="L457" s="706"/>
      <c r="M457" s="707"/>
      <c r="N457" s="194"/>
      <c r="O457" s="216"/>
      <c r="P457" s="717"/>
      <c r="Q457" s="718"/>
      <c r="R457" s="672"/>
      <c r="S457" s="673"/>
      <c r="T457" s="674"/>
      <c r="U457" s="675"/>
      <c r="V457" s="676"/>
      <c r="W457" s="677"/>
      <c r="X457" s="725" t="s">
        <v>159</v>
      </c>
      <c r="Y457" s="725"/>
      <c r="Z457" s="725"/>
      <c r="AA457" s="725"/>
      <c r="AB457" s="726" t="s">
        <v>159</v>
      </c>
      <c r="AC457" s="726"/>
      <c r="AD457" s="726"/>
      <c r="AE457" s="726"/>
      <c r="AF457" s="680"/>
      <c r="AG457" s="681"/>
      <c r="AH457" s="680"/>
      <c r="AI457" s="681"/>
      <c r="AJ457" s="686"/>
      <c r="AK457" s="687"/>
      <c r="AL457" s="664" t="s">
        <v>162</v>
      </c>
      <c r="AM457" s="665"/>
      <c r="AN457" s="713" t="s">
        <v>162</v>
      </c>
      <c r="AO457" s="714"/>
      <c r="AP457" s="686"/>
      <c r="AQ457" s="687"/>
      <c r="AR457" s="688"/>
      <c r="AS457" s="689"/>
      <c r="AT457" s="690"/>
      <c r="AU457" s="691"/>
      <c r="AV457" s="713" t="s">
        <v>162</v>
      </c>
      <c r="AW457" s="714"/>
      <c r="AX457" s="692"/>
      <c r="AY457" s="693"/>
      <c r="AZ457" s="694"/>
      <c r="BA457" s="682"/>
      <c r="BB457" s="683"/>
      <c r="BC457" s="219"/>
      <c r="BD457" s="737" t="s">
        <v>162</v>
      </c>
      <c r="BE457" s="738"/>
      <c r="BF457" s="697"/>
      <c r="BG457" s="698"/>
      <c r="BH457" s="698"/>
      <c r="BI457" s="699"/>
      <c r="BJ457" s="742" t="s">
        <v>159</v>
      </c>
      <c r="BK457" s="743"/>
      <c r="BL457" s="743"/>
      <c r="BM457" s="744"/>
      <c r="BN457" s="703" t="s">
        <v>159</v>
      </c>
      <c r="BO457" s="704"/>
      <c r="BP457" s="704"/>
      <c r="BQ457" s="704"/>
      <c r="BR457" s="704"/>
      <c r="BS457" s="704"/>
      <c r="BT457" s="704"/>
      <c r="BU457" s="704"/>
      <c r="BV457" s="705"/>
    </row>
    <row r="458" spans="1:74" ht="45" customHeight="1" x14ac:dyDescent="0.25">
      <c r="A458" s="10">
        <f t="shared" si="6"/>
        <v>444</v>
      </c>
      <c r="B458" s="662" t="s">
        <v>159</v>
      </c>
      <c r="C458" s="662"/>
      <c r="D458" s="663" t="s">
        <v>212</v>
      </c>
      <c r="E458" s="663"/>
      <c r="F458" s="664" t="s">
        <v>162</v>
      </c>
      <c r="G458" s="665"/>
      <c r="H458" s="754" t="s">
        <v>162</v>
      </c>
      <c r="I458" s="714"/>
      <c r="J458" s="715"/>
      <c r="K458" s="716"/>
      <c r="L458" s="715"/>
      <c r="M458" s="716"/>
      <c r="N458" s="215"/>
      <c r="O458" s="196"/>
      <c r="P458" s="670"/>
      <c r="Q458" s="671"/>
      <c r="R458" s="719"/>
      <c r="S458" s="720"/>
      <c r="T458" s="721"/>
      <c r="U458" s="722"/>
      <c r="V458" s="723"/>
      <c r="W458" s="724"/>
      <c r="X458" s="678" t="s">
        <v>159</v>
      </c>
      <c r="Y458" s="678"/>
      <c r="Z458" s="678"/>
      <c r="AA458" s="678"/>
      <c r="AB458" s="679" t="s">
        <v>159</v>
      </c>
      <c r="AC458" s="679"/>
      <c r="AD458" s="679"/>
      <c r="AE458" s="679"/>
      <c r="AF458" s="727"/>
      <c r="AG458" s="728"/>
      <c r="AH458" s="727"/>
      <c r="AI458" s="728"/>
      <c r="AJ458" s="682"/>
      <c r="AK458" s="683"/>
      <c r="AL458" s="684" t="s">
        <v>162</v>
      </c>
      <c r="AM458" s="685"/>
      <c r="AN458" s="666" t="s">
        <v>162</v>
      </c>
      <c r="AO458" s="667"/>
      <c r="AP458" s="729"/>
      <c r="AQ458" s="730"/>
      <c r="AR458" s="731"/>
      <c r="AS458" s="732"/>
      <c r="AT458" s="690"/>
      <c r="AU458" s="691"/>
      <c r="AV458" s="666" t="s">
        <v>162</v>
      </c>
      <c r="AW458" s="667"/>
      <c r="AX458" s="692"/>
      <c r="AY458" s="693"/>
      <c r="AZ458" s="694"/>
      <c r="BA458" s="735"/>
      <c r="BB458" s="736"/>
      <c r="BC458" s="14"/>
      <c r="BD458" s="695" t="s">
        <v>162</v>
      </c>
      <c r="BE458" s="696"/>
      <c r="BF458" s="739"/>
      <c r="BG458" s="740"/>
      <c r="BH458" s="740"/>
      <c r="BI458" s="741"/>
      <c r="BJ458" s="700" t="s">
        <v>159</v>
      </c>
      <c r="BK458" s="701"/>
      <c r="BL458" s="701"/>
      <c r="BM458" s="702"/>
      <c r="BN458" s="703" t="s">
        <v>159</v>
      </c>
      <c r="BO458" s="704"/>
      <c r="BP458" s="704"/>
      <c r="BQ458" s="704"/>
      <c r="BR458" s="704"/>
      <c r="BS458" s="704"/>
      <c r="BT458" s="704"/>
      <c r="BU458" s="704"/>
      <c r="BV458" s="705"/>
    </row>
    <row r="459" spans="1:74" ht="45" customHeight="1" x14ac:dyDescent="0.25">
      <c r="A459" s="10">
        <f t="shared" si="6"/>
        <v>445</v>
      </c>
      <c r="B459" s="711" t="s">
        <v>159</v>
      </c>
      <c r="C459" s="711"/>
      <c r="D459" s="712" t="s">
        <v>212</v>
      </c>
      <c r="E459" s="712"/>
      <c r="F459" s="664" t="s">
        <v>162</v>
      </c>
      <c r="G459" s="665"/>
      <c r="H459" s="755" t="s">
        <v>162</v>
      </c>
      <c r="I459" s="667"/>
      <c r="J459" s="706"/>
      <c r="K459" s="707"/>
      <c r="L459" s="706"/>
      <c r="M459" s="707"/>
      <c r="N459" s="194"/>
      <c r="O459" s="216"/>
      <c r="P459" s="717"/>
      <c r="Q459" s="718"/>
      <c r="R459" s="672"/>
      <c r="S459" s="673"/>
      <c r="T459" s="674"/>
      <c r="U459" s="675"/>
      <c r="V459" s="676"/>
      <c r="W459" s="677"/>
      <c r="X459" s="725" t="s">
        <v>159</v>
      </c>
      <c r="Y459" s="725"/>
      <c r="Z459" s="725"/>
      <c r="AA459" s="725"/>
      <c r="AB459" s="726" t="s">
        <v>159</v>
      </c>
      <c r="AC459" s="726"/>
      <c r="AD459" s="726"/>
      <c r="AE459" s="726"/>
      <c r="AF459" s="680"/>
      <c r="AG459" s="681"/>
      <c r="AH459" s="680"/>
      <c r="AI459" s="681"/>
      <c r="AJ459" s="686"/>
      <c r="AK459" s="687"/>
      <c r="AL459" s="664" t="s">
        <v>162</v>
      </c>
      <c r="AM459" s="665"/>
      <c r="AN459" s="713" t="s">
        <v>162</v>
      </c>
      <c r="AO459" s="714"/>
      <c r="AP459" s="686"/>
      <c r="AQ459" s="687"/>
      <c r="AR459" s="688"/>
      <c r="AS459" s="689"/>
      <c r="AT459" s="690"/>
      <c r="AU459" s="691"/>
      <c r="AV459" s="713" t="s">
        <v>162</v>
      </c>
      <c r="AW459" s="714"/>
      <c r="AX459" s="692"/>
      <c r="AY459" s="693"/>
      <c r="AZ459" s="694"/>
      <c r="BA459" s="682"/>
      <c r="BB459" s="683"/>
      <c r="BC459" s="219"/>
      <c r="BD459" s="737" t="s">
        <v>162</v>
      </c>
      <c r="BE459" s="738"/>
      <c r="BF459" s="708"/>
      <c r="BG459" s="709"/>
      <c r="BH459" s="709"/>
      <c r="BI459" s="710"/>
      <c r="BJ459" s="742" t="s">
        <v>159</v>
      </c>
      <c r="BK459" s="743"/>
      <c r="BL459" s="743"/>
      <c r="BM459" s="744"/>
      <c r="BN459" s="703" t="s">
        <v>159</v>
      </c>
      <c r="BO459" s="704"/>
      <c r="BP459" s="704"/>
      <c r="BQ459" s="704"/>
      <c r="BR459" s="704"/>
      <c r="BS459" s="704"/>
      <c r="BT459" s="704"/>
      <c r="BU459" s="704"/>
      <c r="BV459" s="705"/>
    </row>
    <row r="460" spans="1:74" ht="45" customHeight="1" x14ac:dyDescent="0.25">
      <c r="A460" s="10">
        <f t="shared" si="6"/>
        <v>446</v>
      </c>
      <c r="B460" s="662" t="s">
        <v>159</v>
      </c>
      <c r="C460" s="662"/>
      <c r="D460" s="663" t="s">
        <v>212</v>
      </c>
      <c r="E460" s="663"/>
      <c r="F460" s="664" t="s">
        <v>162</v>
      </c>
      <c r="G460" s="665"/>
      <c r="H460" s="754" t="s">
        <v>162</v>
      </c>
      <c r="I460" s="714"/>
      <c r="J460" s="715"/>
      <c r="K460" s="716"/>
      <c r="L460" s="715"/>
      <c r="M460" s="716"/>
      <c r="N460" s="215"/>
      <c r="O460" s="196"/>
      <c r="P460" s="670"/>
      <c r="Q460" s="671"/>
      <c r="R460" s="719"/>
      <c r="S460" s="720"/>
      <c r="T460" s="721"/>
      <c r="U460" s="722"/>
      <c r="V460" s="723"/>
      <c r="W460" s="724"/>
      <c r="X460" s="678" t="s">
        <v>159</v>
      </c>
      <c r="Y460" s="678"/>
      <c r="Z460" s="678"/>
      <c r="AA460" s="678"/>
      <c r="AB460" s="679" t="s">
        <v>159</v>
      </c>
      <c r="AC460" s="679"/>
      <c r="AD460" s="679"/>
      <c r="AE460" s="679"/>
      <c r="AF460" s="727"/>
      <c r="AG460" s="728"/>
      <c r="AH460" s="727"/>
      <c r="AI460" s="728"/>
      <c r="AJ460" s="682"/>
      <c r="AK460" s="683"/>
      <c r="AL460" s="684" t="s">
        <v>162</v>
      </c>
      <c r="AM460" s="685"/>
      <c r="AN460" s="666" t="s">
        <v>162</v>
      </c>
      <c r="AO460" s="667"/>
      <c r="AP460" s="729"/>
      <c r="AQ460" s="730"/>
      <c r="AR460" s="731"/>
      <c r="AS460" s="732"/>
      <c r="AT460" s="690"/>
      <c r="AU460" s="691"/>
      <c r="AV460" s="666" t="s">
        <v>162</v>
      </c>
      <c r="AW460" s="667"/>
      <c r="AX460" s="692"/>
      <c r="AY460" s="693"/>
      <c r="AZ460" s="694"/>
      <c r="BA460" s="735"/>
      <c r="BB460" s="736"/>
      <c r="BC460" s="14"/>
      <c r="BD460" s="695" t="s">
        <v>162</v>
      </c>
      <c r="BE460" s="696"/>
      <c r="BF460" s="739"/>
      <c r="BG460" s="740"/>
      <c r="BH460" s="740"/>
      <c r="BI460" s="741"/>
      <c r="BJ460" s="700" t="s">
        <v>159</v>
      </c>
      <c r="BK460" s="701"/>
      <c r="BL460" s="701"/>
      <c r="BM460" s="702"/>
      <c r="BN460" s="703" t="s">
        <v>159</v>
      </c>
      <c r="BO460" s="704"/>
      <c r="BP460" s="704"/>
      <c r="BQ460" s="704"/>
      <c r="BR460" s="704"/>
      <c r="BS460" s="704"/>
      <c r="BT460" s="704"/>
      <c r="BU460" s="704"/>
      <c r="BV460" s="705"/>
    </row>
    <row r="461" spans="1:74" ht="45" customHeight="1" x14ac:dyDescent="0.25">
      <c r="A461" s="10">
        <f t="shared" si="6"/>
        <v>447</v>
      </c>
      <c r="B461" s="711" t="s">
        <v>159</v>
      </c>
      <c r="C461" s="711"/>
      <c r="D461" s="712" t="s">
        <v>212</v>
      </c>
      <c r="E461" s="712"/>
      <c r="F461" s="664" t="s">
        <v>162</v>
      </c>
      <c r="G461" s="665"/>
      <c r="H461" s="755" t="s">
        <v>162</v>
      </c>
      <c r="I461" s="667"/>
      <c r="J461" s="706"/>
      <c r="K461" s="707"/>
      <c r="L461" s="706"/>
      <c r="M461" s="707"/>
      <c r="N461" s="194"/>
      <c r="O461" s="216"/>
      <c r="P461" s="717"/>
      <c r="Q461" s="718"/>
      <c r="R461" s="672"/>
      <c r="S461" s="673"/>
      <c r="T461" s="674"/>
      <c r="U461" s="675"/>
      <c r="V461" s="676"/>
      <c r="W461" s="677"/>
      <c r="X461" s="725" t="s">
        <v>159</v>
      </c>
      <c r="Y461" s="725"/>
      <c r="Z461" s="725"/>
      <c r="AA461" s="725"/>
      <c r="AB461" s="726" t="s">
        <v>159</v>
      </c>
      <c r="AC461" s="726"/>
      <c r="AD461" s="726"/>
      <c r="AE461" s="726"/>
      <c r="AF461" s="680"/>
      <c r="AG461" s="681"/>
      <c r="AH461" s="680"/>
      <c r="AI461" s="681"/>
      <c r="AJ461" s="686"/>
      <c r="AK461" s="687"/>
      <c r="AL461" s="664" t="s">
        <v>162</v>
      </c>
      <c r="AM461" s="665"/>
      <c r="AN461" s="713" t="s">
        <v>162</v>
      </c>
      <c r="AO461" s="714"/>
      <c r="AP461" s="686"/>
      <c r="AQ461" s="687"/>
      <c r="AR461" s="688"/>
      <c r="AS461" s="689"/>
      <c r="AT461" s="690"/>
      <c r="AU461" s="691"/>
      <c r="AV461" s="713" t="s">
        <v>162</v>
      </c>
      <c r="AW461" s="714"/>
      <c r="AX461" s="692"/>
      <c r="AY461" s="693"/>
      <c r="AZ461" s="694"/>
      <c r="BA461" s="682"/>
      <c r="BB461" s="683"/>
      <c r="BC461" s="219"/>
      <c r="BD461" s="737" t="s">
        <v>162</v>
      </c>
      <c r="BE461" s="738"/>
      <c r="BF461" s="697"/>
      <c r="BG461" s="698"/>
      <c r="BH461" s="698"/>
      <c r="BI461" s="699"/>
      <c r="BJ461" s="742" t="s">
        <v>159</v>
      </c>
      <c r="BK461" s="743"/>
      <c r="BL461" s="743"/>
      <c r="BM461" s="744"/>
      <c r="BN461" s="703" t="s">
        <v>159</v>
      </c>
      <c r="BO461" s="704"/>
      <c r="BP461" s="704"/>
      <c r="BQ461" s="704"/>
      <c r="BR461" s="704"/>
      <c r="BS461" s="704"/>
      <c r="BT461" s="704"/>
      <c r="BU461" s="704"/>
      <c r="BV461" s="705"/>
    </row>
    <row r="462" spans="1:74" ht="45" customHeight="1" x14ac:dyDescent="0.25">
      <c r="A462" s="10">
        <f t="shared" si="6"/>
        <v>448</v>
      </c>
      <c r="B462" s="662" t="s">
        <v>159</v>
      </c>
      <c r="C462" s="662"/>
      <c r="D462" s="663" t="s">
        <v>212</v>
      </c>
      <c r="E462" s="663"/>
      <c r="F462" s="664" t="s">
        <v>162</v>
      </c>
      <c r="G462" s="665"/>
      <c r="H462" s="754" t="s">
        <v>162</v>
      </c>
      <c r="I462" s="714"/>
      <c r="J462" s="715"/>
      <c r="K462" s="716"/>
      <c r="L462" s="715"/>
      <c r="M462" s="716"/>
      <c r="N462" s="215"/>
      <c r="O462" s="196"/>
      <c r="P462" s="670"/>
      <c r="Q462" s="671"/>
      <c r="R462" s="719"/>
      <c r="S462" s="720"/>
      <c r="T462" s="721"/>
      <c r="U462" s="722"/>
      <c r="V462" s="723"/>
      <c r="W462" s="724"/>
      <c r="X462" s="678" t="s">
        <v>159</v>
      </c>
      <c r="Y462" s="678"/>
      <c r="Z462" s="678"/>
      <c r="AA462" s="678"/>
      <c r="AB462" s="679" t="s">
        <v>159</v>
      </c>
      <c r="AC462" s="679"/>
      <c r="AD462" s="679"/>
      <c r="AE462" s="679"/>
      <c r="AF462" s="727"/>
      <c r="AG462" s="728"/>
      <c r="AH462" s="727"/>
      <c r="AI462" s="728"/>
      <c r="AJ462" s="682"/>
      <c r="AK462" s="683"/>
      <c r="AL462" s="684" t="s">
        <v>162</v>
      </c>
      <c r="AM462" s="685"/>
      <c r="AN462" s="666" t="s">
        <v>162</v>
      </c>
      <c r="AO462" s="667"/>
      <c r="AP462" s="729"/>
      <c r="AQ462" s="730"/>
      <c r="AR462" s="731"/>
      <c r="AS462" s="732"/>
      <c r="AT462" s="690"/>
      <c r="AU462" s="691"/>
      <c r="AV462" s="666" t="s">
        <v>162</v>
      </c>
      <c r="AW462" s="667"/>
      <c r="AX462" s="692"/>
      <c r="AY462" s="693"/>
      <c r="AZ462" s="694"/>
      <c r="BA462" s="735"/>
      <c r="BB462" s="736"/>
      <c r="BC462" s="14"/>
      <c r="BD462" s="695" t="s">
        <v>162</v>
      </c>
      <c r="BE462" s="696"/>
      <c r="BF462" s="739"/>
      <c r="BG462" s="740"/>
      <c r="BH462" s="740"/>
      <c r="BI462" s="741"/>
      <c r="BJ462" s="700" t="s">
        <v>159</v>
      </c>
      <c r="BK462" s="701"/>
      <c r="BL462" s="701"/>
      <c r="BM462" s="702"/>
      <c r="BN462" s="703" t="s">
        <v>159</v>
      </c>
      <c r="BO462" s="704"/>
      <c r="BP462" s="704"/>
      <c r="BQ462" s="704"/>
      <c r="BR462" s="704"/>
      <c r="BS462" s="704"/>
      <c r="BT462" s="704"/>
      <c r="BU462" s="704"/>
      <c r="BV462" s="705"/>
    </row>
    <row r="463" spans="1:74" ht="45" customHeight="1" x14ac:dyDescent="0.25">
      <c r="A463" s="10">
        <f t="shared" ref="A463:A526" si="7">ROW(A449)</f>
        <v>449</v>
      </c>
      <c r="B463" s="711" t="s">
        <v>159</v>
      </c>
      <c r="C463" s="711"/>
      <c r="D463" s="712" t="s">
        <v>212</v>
      </c>
      <c r="E463" s="712"/>
      <c r="F463" s="664" t="s">
        <v>162</v>
      </c>
      <c r="G463" s="665"/>
      <c r="H463" s="755" t="s">
        <v>162</v>
      </c>
      <c r="I463" s="667"/>
      <c r="J463" s="706"/>
      <c r="K463" s="707"/>
      <c r="L463" s="706"/>
      <c r="M463" s="707"/>
      <c r="N463" s="194"/>
      <c r="O463" s="216"/>
      <c r="P463" s="717"/>
      <c r="Q463" s="718"/>
      <c r="R463" s="672"/>
      <c r="S463" s="673"/>
      <c r="T463" s="674"/>
      <c r="U463" s="675"/>
      <c r="V463" s="676"/>
      <c r="W463" s="677"/>
      <c r="X463" s="725" t="s">
        <v>159</v>
      </c>
      <c r="Y463" s="725"/>
      <c r="Z463" s="725"/>
      <c r="AA463" s="725"/>
      <c r="AB463" s="726" t="s">
        <v>159</v>
      </c>
      <c r="AC463" s="726"/>
      <c r="AD463" s="726"/>
      <c r="AE463" s="726"/>
      <c r="AF463" s="680"/>
      <c r="AG463" s="681"/>
      <c r="AH463" s="680"/>
      <c r="AI463" s="681"/>
      <c r="AJ463" s="686"/>
      <c r="AK463" s="687"/>
      <c r="AL463" s="664" t="s">
        <v>162</v>
      </c>
      <c r="AM463" s="665"/>
      <c r="AN463" s="713" t="s">
        <v>162</v>
      </c>
      <c r="AO463" s="714"/>
      <c r="AP463" s="686"/>
      <c r="AQ463" s="687"/>
      <c r="AR463" s="688"/>
      <c r="AS463" s="689"/>
      <c r="AT463" s="690"/>
      <c r="AU463" s="691"/>
      <c r="AV463" s="713" t="s">
        <v>162</v>
      </c>
      <c r="AW463" s="714"/>
      <c r="AX463" s="692"/>
      <c r="AY463" s="693"/>
      <c r="AZ463" s="694"/>
      <c r="BA463" s="682"/>
      <c r="BB463" s="683"/>
      <c r="BC463" s="219"/>
      <c r="BD463" s="737" t="s">
        <v>162</v>
      </c>
      <c r="BE463" s="738"/>
      <c r="BF463" s="708"/>
      <c r="BG463" s="709"/>
      <c r="BH463" s="709"/>
      <c r="BI463" s="710"/>
      <c r="BJ463" s="742" t="s">
        <v>159</v>
      </c>
      <c r="BK463" s="743"/>
      <c r="BL463" s="743"/>
      <c r="BM463" s="744"/>
      <c r="BN463" s="703" t="s">
        <v>159</v>
      </c>
      <c r="BO463" s="704"/>
      <c r="BP463" s="704"/>
      <c r="BQ463" s="704"/>
      <c r="BR463" s="704"/>
      <c r="BS463" s="704"/>
      <c r="BT463" s="704"/>
      <c r="BU463" s="704"/>
      <c r="BV463" s="705"/>
    </row>
    <row r="464" spans="1:74" ht="45" customHeight="1" x14ac:dyDescent="0.25">
      <c r="A464" s="10">
        <f t="shared" si="7"/>
        <v>450</v>
      </c>
      <c r="B464" s="662" t="s">
        <v>159</v>
      </c>
      <c r="C464" s="662"/>
      <c r="D464" s="663" t="s">
        <v>212</v>
      </c>
      <c r="E464" s="663"/>
      <c r="F464" s="664" t="s">
        <v>162</v>
      </c>
      <c r="G464" s="665"/>
      <c r="H464" s="754" t="s">
        <v>162</v>
      </c>
      <c r="I464" s="714"/>
      <c r="J464" s="715"/>
      <c r="K464" s="716"/>
      <c r="L464" s="715"/>
      <c r="M464" s="716"/>
      <c r="N464" s="215"/>
      <c r="O464" s="196"/>
      <c r="P464" s="670"/>
      <c r="Q464" s="671"/>
      <c r="R464" s="719"/>
      <c r="S464" s="720"/>
      <c r="T464" s="721"/>
      <c r="U464" s="722"/>
      <c r="V464" s="723"/>
      <c r="W464" s="724"/>
      <c r="X464" s="678" t="s">
        <v>159</v>
      </c>
      <c r="Y464" s="678"/>
      <c r="Z464" s="678"/>
      <c r="AA464" s="678"/>
      <c r="AB464" s="679" t="s">
        <v>159</v>
      </c>
      <c r="AC464" s="679"/>
      <c r="AD464" s="679"/>
      <c r="AE464" s="679"/>
      <c r="AF464" s="727"/>
      <c r="AG464" s="728"/>
      <c r="AH464" s="727"/>
      <c r="AI464" s="728"/>
      <c r="AJ464" s="682"/>
      <c r="AK464" s="683"/>
      <c r="AL464" s="684" t="s">
        <v>162</v>
      </c>
      <c r="AM464" s="685"/>
      <c r="AN464" s="666" t="s">
        <v>162</v>
      </c>
      <c r="AO464" s="667"/>
      <c r="AP464" s="729"/>
      <c r="AQ464" s="730"/>
      <c r="AR464" s="731"/>
      <c r="AS464" s="732"/>
      <c r="AT464" s="690"/>
      <c r="AU464" s="691"/>
      <c r="AV464" s="666" t="s">
        <v>162</v>
      </c>
      <c r="AW464" s="667"/>
      <c r="AX464" s="692"/>
      <c r="AY464" s="693"/>
      <c r="AZ464" s="694"/>
      <c r="BA464" s="735"/>
      <c r="BB464" s="736"/>
      <c r="BC464" s="14"/>
      <c r="BD464" s="695" t="s">
        <v>162</v>
      </c>
      <c r="BE464" s="696"/>
      <c r="BF464" s="739"/>
      <c r="BG464" s="740"/>
      <c r="BH464" s="740"/>
      <c r="BI464" s="741"/>
      <c r="BJ464" s="700" t="s">
        <v>159</v>
      </c>
      <c r="BK464" s="701"/>
      <c r="BL464" s="701"/>
      <c r="BM464" s="702"/>
      <c r="BN464" s="703" t="s">
        <v>159</v>
      </c>
      <c r="BO464" s="704"/>
      <c r="BP464" s="704"/>
      <c r="BQ464" s="704"/>
      <c r="BR464" s="704"/>
      <c r="BS464" s="704"/>
      <c r="BT464" s="704"/>
      <c r="BU464" s="704"/>
      <c r="BV464" s="705"/>
    </row>
    <row r="465" spans="1:74" ht="45" customHeight="1" x14ac:dyDescent="0.25">
      <c r="A465" s="10">
        <f t="shared" si="7"/>
        <v>451</v>
      </c>
      <c r="B465" s="711" t="s">
        <v>159</v>
      </c>
      <c r="C465" s="711"/>
      <c r="D465" s="712" t="s">
        <v>212</v>
      </c>
      <c r="E465" s="712"/>
      <c r="F465" s="664" t="s">
        <v>162</v>
      </c>
      <c r="G465" s="665"/>
      <c r="H465" s="755" t="s">
        <v>162</v>
      </c>
      <c r="I465" s="667"/>
      <c r="J465" s="706"/>
      <c r="K465" s="707"/>
      <c r="L465" s="706"/>
      <c r="M465" s="707"/>
      <c r="N465" s="194"/>
      <c r="O465" s="216"/>
      <c r="P465" s="717"/>
      <c r="Q465" s="718"/>
      <c r="R465" s="672"/>
      <c r="S465" s="673"/>
      <c r="T465" s="674"/>
      <c r="U465" s="675"/>
      <c r="V465" s="676"/>
      <c r="W465" s="677"/>
      <c r="X465" s="725" t="s">
        <v>159</v>
      </c>
      <c r="Y465" s="725"/>
      <c r="Z465" s="725"/>
      <c r="AA465" s="725"/>
      <c r="AB465" s="726" t="s">
        <v>159</v>
      </c>
      <c r="AC465" s="726"/>
      <c r="AD465" s="726"/>
      <c r="AE465" s="726"/>
      <c r="AF465" s="680"/>
      <c r="AG465" s="681"/>
      <c r="AH465" s="680"/>
      <c r="AI465" s="681"/>
      <c r="AJ465" s="686"/>
      <c r="AK465" s="687"/>
      <c r="AL465" s="664" t="s">
        <v>162</v>
      </c>
      <c r="AM465" s="665"/>
      <c r="AN465" s="713" t="s">
        <v>162</v>
      </c>
      <c r="AO465" s="714"/>
      <c r="AP465" s="686"/>
      <c r="AQ465" s="687"/>
      <c r="AR465" s="688"/>
      <c r="AS465" s="689"/>
      <c r="AT465" s="690"/>
      <c r="AU465" s="691"/>
      <c r="AV465" s="713" t="s">
        <v>162</v>
      </c>
      <c r="AW465" s="714"/>
      <c r="AX465" s="692"/>
      <c r="AY465" s="693"/>
      <c r="AZ465" s="694"/>
      <c r="BA465" s="682"/>
      <c r="BB465" s="683"/>
      <c r="BC465" s="219"/>
      <c r="BD465" s="737" t="s">
        <v>162</v>
      </c>
      <c r="BE465" s="738"/>
      <c r="BF465" s="708"/>
      <c r="BG465" s="709"/>
      <c r="BH465" s="709"/>
      <c r="BI465" s="710"/>
      <c r="BJ465" s="742" t="s">
        <v>159</v>
      </c>
      <c r="BK465" s="743"/>
      <c r="BL465" s="743"/>
      <c r="BM465" s="744"/>
      <c r="BN465" s="703" t="s">
        <v>159</v>
      </c>
      <c r="BO465" s="704"/>
      <c r="BP465" s="704"/>
      <c r="BQ465" s="704"/>
      <c r="BR465" s="704"/>
      <c r="BS465" s="704"/>
      <c r="BT465" s="704"/>
      <c r="BU465" s="704"/>
      <c r="BV465" s="705"/>
    </row>
    <row r="466" spans="1:74" ht="45" customHeight="1" x14ac:dyDescent="0.25">
      <c r="A466" s="10">
        <f t="shared" si="7"/>
        <v>452</v>
      </c>
      <c r="B466" s="662" t="s">
        <v>159</v>
      </c>
      <c r="C466" s="662"/>
      <c r="D466" s="663" t="s">
        <v>212</v>
      </c>
      <c r="E466" s="663"/>
      <c r="F466" s="664" t="s">
        <v>162</v>
      </c>
      <c r="G466" s="665"/>
      <c r="H466" s="754" t="s">
        <v>162</v>
      </c>
      <c r="I466" s="714"/>
      <c r="J466" s="715"/>
      <c r="K466" s="716"/>
      <c r="L466" s="715"/>
      <c r="M466" s="716"/>
      <c r="N466" s="215"/>
      <c r="O466" s="196"/>
      <c r="P466" s="670"/>
      <c r="Q466" s="671"/>
      <c r="R466" s="719"/>
      <c r="S466" s="720"/>
      <c r="T466" s="721"/>
      <c r="U466" s="722"/>
      <c r="V466" s="723"/>
      <c r="W466" s="724"/>
      <c r="X466" s="678" t="s">
        <v>159</v>
      </c>
      <c r="Y466" s="678"/>
      <c r="Z466" s="678"/>
      <c r="AA466" s="678"/>
      <c r="AB466" s="679" t="s">
        <v>159</v>
      </c>
      <c r="AC466" s="679"/>
      <c r="AD466" s="679"/>
      <c r="AE466" s="679"/>
      <c r="AF466" s="727"/>
      <c r="AG466" s="728"/>
      <c r="AH466" s="727"/>
      <c r="AI466" s="728"/>
      <c r="AJ466" s="682"/>
      <c r="AK466" s="683"/>
      <c r="AL466" s="684" t="s">
        <v>162</v>
      </c>
      <c r="AM466" s="685"/>
      <c r="AN466" s="666" t="s">
        <v>162</v>
      </c>
      <c r="AO466" s="667"/>
      <c r="AP466" s="729"/>
      <c r="AQ466" s="730"/>
      <c r="AR466" s="731"/>
      <c r="AS466" s="732"/>
      <c r="AT466" s="690"/>
      <c r="AU466" s="691"/>
      <c r="AV466" s="666" t="s">
        <v>162</v>
      </c>
      <c r="AW466" s="667"/>
      <c r="AX466" s="692"/>
      <c r="AY466" s="693"/>
      <c r="AZ466" s="694"/>
      <c r="BA466" s="735"/>
      <c r="BB466" s="736"/>
      <c r="BC466" s="14"/>
      <c r="BD466" s="695" t="s">
        <v>162</v>
      </c>
      <c r="BE466" s="696"/>
      <c r="BF466" s="739"/>
      <c r="BG466" s="740"/>
      <c r="BH466" s="740"/>
      <c r="BI466" s="741"/>
      <c r="BJ466" s="700" t="s">
        <v>159</v>
      </c>
      <c r="BK466" s="701"/>
      <c r="BL466" s="701"/>
      <c r="BM466" s="702"/>
      <c r="BN466" s="703" t="s">
        <v>159</v>
      </c>
      <c r="BO466" s="704"/>
      <c r="BP466" s="704"/>
      <c r="BQ466" s="704"/>
      <c r="BR466" s="704"/>
      <c r="BS466" s="704"/>
      <c r="BT466" s="704"/>
      <c r="BU466" s="704"/>
      <c r="BV466" s="705"/>
    </row>
    <row r="467" spans="1:74" ht="45" customHeight="1" x14ac:dyDescent="0.25">
      <c r="A467" s="10">
        <f t="shared" si="7"/>
        <v>453</v>
      </c>
      <c r="B467" s="711" t="s">
        <v>159</v>
      </c>
      <c r="C467" s="711"/>
      <c r="D467" s="712" t="s">
        <v>212</v>
      </c>
      <c r="E467" s="712"/>
      <c r="F467" s="664" t="s">
        <v>162</v>
      </c>
      <c r="G467" s="665"/>
      <c r="H467" s="755" t="s">
        <v>162</v>
      </c>
      <c r="I467" s="667"/>
      <c r="J467" s="706"/>
      <c r="K467" s="707"/>
      <c r="L467" s="706"/>
      <c r="M467" s="707"/>
      <c r="N467" s="194"/>
      <c r="O467" s="216"/>
      <c r="P467" s="717"/>
      <c r="Q467" s="718"/>
      <c r="R467" s="672"/>
      <c r="S467" s="673"/>
      <c r="T467" s="674"/>
      <c r="U467" s="675"/>
      <c r="V467" s="676"/>
      <c r="W467" s="677"/>
      <c r="X467" s="725" t="s">
        <v>159</v>
      </c>
      <c r="Y467" s="725"/>
      <c r="Z467" s="725"/>
      <c r="AA467" s="725"/>
      <c r="AB467" s="726" t="s">
        <v>159</v>
      </c>
      <c r="AC467" s="726"/>
      <c r="AD467" s="726"/>
      <c r="AE467" s="726"/>
      <c r="AF467" s="680"/>
      <c r="AG467" s="681"/>
      <c r="AH467" s="680"/>
      <c r="AI467" s="681"/>
      <c r="AJ467" s="686"/>
      <c r="AK467" s="687"/>
      <c r="AL467" s="664" t="s">
        <v>162</v>
      </c>
      <c r="AM467" s="665"/>
      <c r="AN467" s="713" t="s">
        <v>162</v>
      </c>
      <c r="AO467" s="714"/>
      <c r="AP467" s="686"/>
      <c r="AQ467" s="687"/>
      <c r="AR467" s="688"/>
      <c r="AS467" s="689"/>
      <c r="AT467" s="690"/>
      <c r="AU467" s="691"/>
      <c r="AV467" s="713" t="s">
        <v>162</v>
      </c>
      <c r="AW467" s="714"/>
      <c r="AX467" s="692"/>
      <c r="AY467" s="693"/>
      <c r="AZ467" s="694"/>
      <c r="BA467" s="682"/>
      <c r="BB467" s="683"/>
      <c r="BC467" s="219"/>
      <c r="BD467" s="737" t="s">
        <v>162</v>
      </c>
      <c r="BE467" s="738"/>
      <c r="BF467" s="697"/>
      <c r="BG467" s="698"/>
      <c r="BH467" s="698"/>
      <c r="BI467" s="699"/>
      <c r="BJ467" s="742" t="s">
        <v>159</v>
      </c>
      <c r="BK467" s="743"/>
      <c r="BL467" s="743"/>
      <c r="BM467" s="744"/>
      <c r="BN467" s="703" t="s">
        <v>159</v>
      </c>
      <c r="BO467" s="704"/>
      <c r="BP467" s="704"/>
      <c r="BQ467" s="704"/>
      <c r="BR467" s="704"/>
      <c r="BS467" s="704"/>
      <c r="BT467" s="704"/>
      <c r="BU467" s="704"/>
      <c r="BV467" s="705"/>
    </row>
    <row r="468" spans="1:74" ht="45" customHeight="1" x14ac:dyDescent="0.25">
      <c r="A468" s="10">
        <f t="shared" si="7"/>
        <v>454</v>
      </c>
      <c r="B468" s="662" t="s">
        <v>159</v>
      </c>
      <c r="C468" s="662"/>
      <c r="D468" s="663" t="s">
        <v>212</v>
      </c>
      <c r="E468" s="663"/>
      <c r="F468" s="664" t="s">
        <v>162</v>
      </c>
      <c r="G468" s="665"/>
      <c r="H468" s="754" t="s">
        <v>162</v>
      </c>
      <c r="I468" s="714"/>
      <c r="J468" s="715"/>
      <c r="K468" s="716"/>
      <c r="L468" s="715"/>
      <c r="M468" s="716"/>
      <c r="N468" s="215"/>
      <c r="O468" s="196"/>
      <c r="P468" s="670"/>
      <c r="Q468" s="671"/>
      <c r="R468" s="719"/>
      <c r="S468" s="720"/>
      <c r="T468" s="721"/>
      <c r="U468" s="722"/>
      <c r="V468" s="723"/>
      <c r="W468" s="724"/>
      <c r="X468" s="678" t="s">
        <v>159</v>
      </c>
      <c r="Y468" s="678"/>
      <c r="Z468" s="678"/>
      <c r="AA468" s="678"/>
      <c r="AB468" s="679" t="s">
        <v>159</v>
      </c>
      <c r="AC468" s="679"/>
      <c r="AD468" s="679"/>
      <c r="AE468" s="679"/>
      <c r="AF468" s="727"/>
      <c r="AG468" s="728"/>
      <c r="AH468" s="727"/>
      <c r="AI468" s="728"/>
      <c r="AJ468" s="682"/>
      <c r="AK468" s="683"/>
      <c r="AL468" s="684" t="s">
        <v>162</v>
      </c>
      <c r="AM468" s="685"/>
      <c r="AN468" s="666" t="s">
        <v>162</v>
      </c>
      <c r="AO468" s="667"/>
      <c r="AP468" s="729"/>
      <c r="AQ468" s="730"/>
      <c r="AR468" s="731"/>
      <c r="AS468" s="732"/>
      <c r="AT468" s="690"/>
      <c r="AU468" s="691"/>
      <c r="AV468" s="666" t="s">
        <v>162</v>
      </c>
      <c r="AW468" s="667"/>
      <c r="AX468" s="692"/>
      <c r="AY468" s="693"/>
      <c r="AZ468" s="694"/>
      <c r="BA468" s="735"/>
      <c r="BB468" s="736"/>
      <c r="BC468" s="14"/>
      <c r="BD468" s="695" t="s">
        <v>162</v>
      </c>
      <c r="BE468" s="696"/>
      <c r="BF468" s="739"/>
      <c r="BG468" s="740"/>
      <c r="BH468" s="740"/>
      <c r="BI468" s="741"/>
      <c r="BJ468" s="700" t="s">
        <v>159</v>
      </c>
      <c r="BK468" s="701"/>
      <c r="BL468" s="701"/>
      <c r="BM468" s="702"/>
      <c r="BN468" s="703" t="s">
        <v>159</v>
      </c>
      <c r="BO468" s="704"/>
      <c r="BP468" s="704"/>
      <c r="BQ468" s="704"/>
      <c r="BR468" s="704"/>
      <c r="BS468" s="704"/>
      <c r="BT468" s="704"/>
      <c r="BU468" s="704"/>
      <c r="BV468" s="705"/>
    </row>
    <row r="469" spans="1:74" ht="45" customHeight="1" x14ac:dyDescent="0.25">
      <c r="A469" s="10">
        <f t="shared" si="7"/>
        <v>455</v>
      </c>
      <c r="B469" s="711" t="s">
        <v>159</v>
      </c>
      <c r="C469" s="711"/>
      <c r="D469" s="712" t="s">
        <v>212</v>
      </c>
      <c r="E469" s="712"/>
      <c r="F469" s="664" t="s">
        <v>162</v>
      </c>
      <c r="G469" s="665"/>
      <c r="H469" s="755" t="s">
        <v>162</v>
      </c>
      <c r="I469" s="667"/>
      <c r="J469" s="706"/>
      <c r="K469" s="707"/>
      <c r="L469" s="706"/>
      <c r="M469" s="707"/>
      <c r="N469" s="194"/>
      <c r="O469" s="216"/>
      <c r="P469" s="717"/>
      <c r="Q469" s="718"/>
      <c r="R469" s="672"/>
      <c r="S469" s="673"/>
      <c r="T469" s="674"/>
      <c r="U469" s="675"/>
      <c r="V469" s="676"/>
      <c r="W469" s="677"/>
      <c r="X469" s="725" t="s">
        <v>159</v>
      </c>
      <c r="Y469" s="725"/>
      <c r="Z469" s="725"/>
      <c r="AA469" s="725"/>
      <c r="AB469" s="726" t="s">
        <v>159</v>
      </c>
      <c r="AC469" s="726"/>
      <c r="AD469" s="726"/>
      <c r="AE469" s="726"/>
      <c r="AF469" s="680"/>
      <c r="AG469" s="681"/>
      <c r="AH469" s="680"/>
      <c r="AI469" s="681"/>
      <c r="AJ469" s="686"/>
      <c r="AK469" s="687"/>
      <c r="AL469" s="664" t="s">
        <v>162</v>
      </c>
      <c r="AM469" s="665"/>
      <c r="AN469" s="713" t="s">
        <v>162</v>
      </c>
      <c r="AO469" s="714"/>
      <c r="AP469" s="686"/>
      <c r="AQ469" s="687"/>
      <c r="AR469" s="688"/>
      <c r="AS469" s="689"/>
      <c r="AT469" s="690"/>
      <c r="AU469" s="691"/>
      <c r="AV469" s="713" t="s">
        <v>162</v>
      </c>
      <c r="AW469" s="714"/>
      <c r="AX469" s="692"/>
      <c r="AY469" s="693"/>
      <c r="AZ469" s="694"/>
      <c r="BA469" s="682"/>
      <c r="BB469" s="683"/>
      <c r="BC469" s="219"/>
      <c r="BD469" s="737" t="s">
        <v>162</v>
      </c>
      <c r="BE469" s="738"/>
      <c r="BF469" s="708"/>
      <c r="BG469" s="709"/>
      <c r="BH469" s="709"/>
      <c r="BI469" s="710"/>
      <c r="BJ469" s="742" t="s">
        <v>159</v>
      </c>
      <c r="BK469" s="743"/>
      <c r="BL469" s="743"/>
      <c r="BM469" s="744"/>
      <c r="BN469" s="703" t="s">
        <v>159</v>
      </c>
      <c r="BO469" s="704"/>
      <c r="BP469" s="704"/>
      <c r="BQ469" s="704"/>
      <c r="BR469" s="704"/>
      <c r="BS469" s="704"/>
      <c r="BT469" s="704"/>
      <c r="BU469" s="704"/>
      <c r="BV469" s="705"/>
    </row>
    <row r="470" spans="1:74" ht="45" customHeight="1" x14ac:dyDescent="0.25">
      <c r="A470" s="10">
        <f t="shared" si="7"/>
        <v>456</v>
      </c>
      <c r="B470" s="662" t="s">
        <v>159</v>
      </c>
      <c r="C470" s="662"/>
      <c r="D470" s="663" t="s">
        <v>212</v>
      </c>
      <c r="E470" s="663"/>
      <c r="F470" s="664" t="s">
        <v>162</v>
      </c>
      <c r="G470" s="665"/>
      <c r="H470" s="754" t="s">
        <v>162</v>
      </c>
      <c r="I470" s="714"/>
      <c r="J470" s="715"/>
      <c r="K470" s="716"/>
      <c r="L470" s="715"/>
      <c r="M470" s="716"/>
      <c r="N470" s="215"/>
      <c r="O470" s="196"/>
      <c r="P470" s="670"/>
      <c r="Q470" s="671"/>
      <c r="R470" s="719"/>
      <c r="S470" s="720"/>
      <c r="T470" s="721"/>
      <c r="U470" s="722"/>
      <c r="V470" s="723"/>
      <c r="W470" s="724"/>
      <c r="X470" s="678" t="s">
        <v>159</v>
      </c>
      <c r="Y470" s="678"/>
      <c r="Z470" s="678"/>
      <c r="AA470" s="678"/>
      <c r="AB470" s="679" t="s">
        <v>159</v>
      </c>
      <c r="AC470" s="679"/>
      <c r="AD470" s="679"/>
      <c r="AE470" s="679"/>
      <c r="AF470" s="727"/>
      <c r="AG470" s="728"/>
      <c r="AH470" s="727"/>
      <c r="AI470" s="728"/>
      <c r="AJ470" s="682"/>
      <c r="AK470" s="683"/>
      <c r="AL470" s="684" t="s">
        <v>162</v>
      </c>
      <c r="AM470" s="685"/>
      <c r="AN470" s="666" t="s">
        <v>162</v>
      </c>
      <c r="AO470" s="667"/>
      <c r="AP470" s="729"/>
      <c r="AQ470" s="730"/>
      <c r="AR470" s="731"/>
      <c r="AS470" s="732"/>
      <c r="AT470" s="690"/>
      <c r="AU470" s="691"/>
      <c r="AV470" s="666" t="s">
        <v>162</v>
      </c>
      <c r="AW470" s="667"/>
      <c r="AX470" s="692"/>
      <c r="AY470" s="693"/>
      <c r="AZ470" s="694"/>
      <c r="BA470" s="735"/>
      <c r="BB470" s="736"/>
      <c r="BC470" s="14"/>
      <c r="BD470" s="695" t="s">
        <v>162</v>
      </c>
      <c r="BE470" s="696"/>
      <c r="BF470" s="739"/>
      <c r="BG470" s="740"/>
      <c r="BH470" s="740"/>
      <c r="BI470" s="741"/>
      <c r="BJ470" s="700" t="s">
        <v>159</v>
      </c>
      <c r="BK470" s="701"/>
      <c r="BL470" s="701"/>
      <c r="BM470" s="702"/>
      <c r="BN470" s="703" t="s">
        <v>159</v>
      </c>
      <c r="BO470" s="704"/>
      <c r="BP470" s="704"/>
      <c r="BQ470" s="704"/>
      <c r="BR470" s="704"/>
      <c r="BS470" s="704"/>
      <c r="BT470" s="704"/>
      <c r="BU470" s="704"/>
      <c r="BV470" s="705"/>
    </row>
    <row r="471" spans="1:74" ht="45" customHeight="1" x14ac:dyDescent="0.25">
      <c r="A471" s="10">
        <f t="shared" si="7"/>
        <v>457</v>
      </c>
      <c r="B471" s="711" t="s">
        <v>159</v>
      </c>
      <c r="C471" s="711"/>
      <c r="D471" s="712" t="s">
        <v>212</v>
      </c>
      <c r="E471" s="712"/>
      <c r="F471" s="664" t="s">
        <v>162</v>
      </c>
      <c r="G471" s="665"/>
      <c r="H471" s="755" t="s">
        <v>162</v>
      </c>
      <c r="I471" s="667"/>
      <c r="J471" s="706"/>
      <c r="K471" s="707"/>
      <c r="L471" s="706"/>
      <c r="M471" s="707"/>
      <c r="N471" s="194"/>
      <c r="O471" s="216"/>
      <c r="P471" s="717"/>
      <c r="Q471" s="718"/>
      <c r="R471" s="672"/>
      <c r="S471" s="673"/>
      <c r="T471" s="674"/>
      <c r="U471" s="675"/>
      <c r="V471" s="676"/>
      <c r="W471" s="677"/>
      <c r="X471" s="725" t="s">
        <v>159</v>
      </c>
      <c r="Y471" s="725"/>
      <c r="Z471" s="725"/>
      <c r="AA471" s="725"/>
      <c r="AB471" s="726" t="s">
        <v>159</v>
      </c>
      <c r="AC471" s="726"/>
      <c r="AD471" s="726"/>
      <c r="AE471" s="726"/>
      <c r="AF471" s="680"/>
      <c r="AG471" s="681"/>
      <c r="AH471" s="680"/>
      <c r="AI471" s="681"/>
      <c r="AJ471" s="686"/>
      <c r="AK471" s="687"/>
      <c r="AL471" s="664" t="s">
        <v>162</v>
      </c>
      <c r="AM471" s="665"/>
      <c r="AN471" s="713" t="s">
        <v>162</v>
      </c>
      <c r="AO471" s="714"/>
      <c r="AP471" s="686"/>
      <c r="AQ471" s="687"/>
      <c r="AR471" s="688"/>
      <c r="AS471" s="689"/>
      <c r="AT471" s="690"/>
      <c r="AU471" s="691"/>
      <c r="AV471" s="713" t="s">
        <v>162</v>
      </c>
      <c r="AW471" s="714"/>
      <c r="AX471" s="692"/>
      <c r="AY471" s="693"/>
      <c r="AZ471" s="694"/>
      <c r="BA471" s="682"/>
      <c r="BB471" s="683"/>
      <c r="BC471" s="219"/>
      <c r="BD471" s="737" t="s">
        <v>162</v>
      </c>
      <c r="BE471" s="738"/>
      <c r="BF471" s="697"/>
      <c r="BG471" s="698"/>
      <c r="BH471" s="698"/>
      <c r="BI471" s="699"/>
      <c r="BJ471" s="742" t="s">
        <v>159</v>
      </c>
      <c r="BK471" s="743"/>
      <c r="BL471" s="743"/>
      <c r="BM471" s="744"/>
      <c r="BN471" s="703" t="s">
        <v>159</v>
      </c>
      <c r="BO471" s="704"/>
      <c r="BP471" s="704"/>
      <c r="BQ471" s="704"/>
      <c r="BR471" s="704"/>
      <c r="BS471" s="704"/>
      <c r="BT471" s="704"/>
      <c r="BU471" s="704"/>
      <c r="BV471" s="705"/>
    </row>
    <row r="472" spans="1:74" ht="45" customHeight="1" x14ac:dyDescent="0.25">
      <c r="A472" s="10">
        <f t="shared" si="7"/>
        <v>458</v>
      </c>
      <c r="B472" s="662" t="s">
        <v>159</v>
      </c>
      <c r="C472" s="662"/>
      <c r="D472" s="663" t="s">
        <v>212</v>
      </c>
      <c r="E472" s="663"/>
      <c r="F472" s="664" t="s">
        <v>162</v>
      </c>
      <c r="G472" s="665"/>
      <c r="H472" s="754" t="s">
        <v>162</v>
      </c>
      <c r="I472" s="714"/>
      <c r="J472" s="715"/>
      <c r="K472" s="716"/>
      <c r="L472" s="715"/>
      <c r="M472" s="716"/>
      <c r="N472" s="215"/>
      <c r="O472" s="196"/>
      <c r="P472" s="670"/>
      <c r="Q472" s="671"/>
      <c r="R472" s="719"/>
      <c r="S472" s="720"/>
      <c r="T472" s="721"/>
      <c r="U472" s="722"/>
      <c r="V472" s="723"/>
      <c r="W472" s="724"/>
      <c r="X472" s="678" t="s">
        <v>159</v>
      </c>
      <c r="Y472" s="678"/>
      <c r="Z472" s="678"/>
      <c r="AA472" s="678"/>
      <c r="AB472" s="679" t="s">
        <v>159</v>
      </c>
      <c r="AC472" s="679"/>
      <c r="AD472" s="679"/>
      <c r="AE472" s="679"/>
      <c r="AF472" s="727"/>
      <c r="AG472" s="728"/>
      <c r="AH472" s="727"/>
      <c r="AI472" s="728"/>
      <c r="AJ472" s="682"/>
      <c r="AK472" s="683"/>
      <c r="AL472" s="684" t="s">
        <v>162</v>
      </c>
      <c r="AM472" s="685"/>
      <c r="AN472" s="666" t="s">
        <v>162</v>
      </c>
      <c r="AO472" s="667"/>
      <c r="AP472" s="729"/>
      <c r="AQ472" s="730"/>
      <c r="AR472" s="731"/>
      <c r="AS472" s="732"/>
      <c r="AT472" s="690"/>
      <c r="AU472" s="691"/>
      <c r="AV472" s="666" t="s">
        <v>162</v>
      </c>
      <c r="AW472" s="667"/>
      <c r="AX472" s="692"/>
      <c r="AY472" s="693"/>
      <c r="AZ472" s="694"/>
      <c r="BA472" s="735"/>
      <c r="BB472" s="736"/>
      <c r="BC472" s="14"/>
      <c r="BD472" s="695" t="s">
        <v>162</v>
      </c>
      <c r="BE472" s="696"/>
      <c r="BF472" s="739"/>
      <c r="BG472" s="740"/>
      <c r="BH472" s="740"/>
      <c r="BI472" s="741"/>
      <c r="BJ472" s="700" t="s">
        <v>159</v>
      </c>
      <c r="BK472" s="701"/>
      <c r="BL472" s="701"/>
      <c r="BM472" s="702"/>
      <c r="BN472" s="703" t="s">
        <v>159</v>
      </c>
      <c r="BO472" s="704"/>
      <c r="BP472" s="704"/>
      <c r="BQ472" s="704"/>
      <c r="BR472" s="704"/>
      <c r="BS472" s="704"/>
      <c r="BT472" s="704"/>
      <c r="BU472" s="704"/>
      <c r="BV472" s="705"/>
    </row>
    <row r="473" spans="1:74" ht="45" customHeight="1" x14ac:dyDescent="0.25">
      <c r="A473" s="10">
        <f t="shared" si="7"/>
        <v>459</v>
      </c>
      <c r="B473" s="711" t="s">
        <v>159</v>
      </c>
      <c r="C473" s="711"/>
      <c r="D473" s="712" t="s">
        <v>212</v>
      </c>
      <c r="E473" s="712"/>
      <c r="F473" s="664" t="s">
        <v>162</v>
      </c>
      <c r="G473" s="665"/>
      <c r="H473" s="755" t="s">
        <v>162</v>
      </c>
      <c r="I473" s="667"/>
      <c r="J473" s="706"/>
      <c r="K473" s="707"/>
      <c r="L473" s="706"/>
      <c r="M473" s="707"/>
      <c r="N473" s="194"/>
      <c r="O473" s="216"/>
      <c r="P473" s="717"/>
      <c r="Q473" s="718"/>
      <c r="R473" s="672"/>
      <c r="S473" s="673"/>
      <c r="T473" s="674"/>
      <c r="U473" s="675"/>
      <c r="V473" s="676"/>
      <c r="W473" s="677"/>
      <c r="X473" s="725" t="s">
        <v>159</v>
      </c>
      <c r="Y473" s="725"/>
      <c r="Z473" s="725"/>
      <c r="AA473" s="725"/>
      <c r="AB473" s="726" t="s">
        <v>159</v>
      </c>
      <c r="AC473" s="726"/>
      <c r="AD473" s="726"/>
      <c r="AE473" s="726"/>
      <c r="AF473" s="680"/>
      <c r="AG473" s="681"/>
      <c r="AH473" s="680"/>
      <c r="AI473" s="681"/>
      <c r="AJ473" s="686"/>
      <c r="AK473" s="687"/>
      <c r="AL473" s="664" t="s">
        <v>162</v>
      </c>
      <c r="AM473" s="665"/>
      <c r="AN473" s="713" t="s">
        <v>162</v>
      </c>
      <c r="AO473" s="714"/>
      <c r="AP473" s="686"/>
      <c r="AQ473" s="687"/>
      <c r="AR473" s="688"/>
      <c r="AS473" s="689"/>
      <c r="AT473" s="690"/>
      <c r="AU473" s="691"/>
      <c r="AV473" s="713" t="s">
        <v>162</v>
      </c>
      <c r="AW473" s="714"/>
      <c r="AX473" s="692"/>
      <c r="AY473" s="693"/>
      <c r="AZ473" s="694"/>
      <c r="BA473" s="682"/>
      <c r="BB473" s="683"/>
      <c r="BC473" s="219"/>
      <c r="BD473" s="737" t="s">
        <v>162</v>
      </c>
      <c r="BE473" s="738"/>
      <c r="BF473" s="708"/>
      <c r="BG473" s="709"/>
      <c r="BH473" s="709"/>
      <c r="BI473" s="710"/>
      <c r="BJ473" s="742" t="s">
        <v>159</v>
      </c>
      <c r="BK473" s="743"/>
      <c r="BL473" s="743"/>
      <c r="BM473" s="744"/>
      <c r="BN473" s="703" t="s">
        <v>159</v>
      </c>
      <c r="BO473" s="704"/>
      <c r="BP473" s="704"/>
      <c r="BQ473" s="704"/>
      <c r="BR473" s="704"/>
      <c r="BS473" s="704"/>
      <c r="BT473" s="704"/>
      <c r="BU473" s="704"/>
      <c r="BV473" s="705"/>
    </row>
    <row r="474" spans="1:74" ht="45" customHeight="1" x14ac:dyDescent="0.25">
      <c r="A474" s="10">
        <f t="shared" si="7"/>
        <v>460</v>
      </c>
      <c r="B474" s="662" t="s">
        <v>159</v>
      </c>
      <c r="C474" s="662"/>
      <c r="D474" s="663" t="s">
        <v>212</v>
      </c>
      <c r="E474" s="663"/>
      <c r="F474" s="664" t="s">
        <v>162</v>
      </c>
      <c r="G474" s="665"/>
      <c r="H474" s="754" t="s">
        <v>162</v>
      </c>
      <c r="I474" s="714"/>
      <c r="J474" s="715"/>
      <c r="K474" s="716"/>
      <c r="L474" s="715"/>
      <c r="M474" s="716"/>
      <c r="N474" s="215"/>
      <c r="O474" s="196"/>
      <c r="P474" s="670"/>
      <c r="Q474" s="671"/>
      <c r="R474" s="719"/>
      <c r="S474" s="720"/>
      <c r="T474" s="721"/>
      <c r="U474" s="722"/>
      <c r="V474" s="723"/>
      <c r="W474" s="724"/>
      <c r="X474" s="678" t="s">
        <v>159</v>
      </c>
      <c r="Y474" s="678"/>
      <c r="Z474" s="678"/>
      <c r="AA474" s="678"/>
      <c r="AB474" s="679" t="s">
        <v>159</v>
      </c>
      <c r="AC474" s="679"/>
      <c r="AD474" s="679"/>
      <c r="AE474" s="679"/>
      <c r="AF474" s="727"/>
      <c r="AG474" s="728"/>
      <c r="AH474" s="727"/>
      <c r="AI474" s="728"/>
      <c r="AJ474" s="682"/>
      <c r="AK474" s="683"/>
      <c r="AL474" s="684" t="s">
        <v>162</v>
      </c>
      <c r="AM474" s="685"/>
      <c r="AN474" s="666" t="s">
        <v>162</v>
      </c>
      <c r="AO474" s="667"/>
      <c r="AP474" s="729"/>
      <c r="AQ474" s="730"/>
      <c r="AR474" s="731"/>
      <c r="AS474" s="732"/>
      <c r="AT474" s="690"/>
      <c r="AU474" s="691"/>
      <c r="AV474" s="666" t="s">
        <v>162</v>
      </c>
      <c r="AW474" s="667"/>
      <c r="AX474" s="692"/>
      <c r="AY474" s="693"/>
      <c r="AZ474" s="694"/>
      <c r="BA474" s="735"/>
      <c r="BB474" s="736"/>
      <c r="BC474" s="14"/>
      <c r="BD474" s="695" t="s">
        <v>162</v>
      </c>
      <c r="BE474" s="696"/>
      <c r="BF474" s="739"/>
      <c r="BG474" s="740"/>
      <c r="BH474" s="740"/>
      <c r="BI474" s="741"/>
      <c r="BJ474" s="700" t="s">
        <v>159</v>
      </c>
      <c r="BK474" s="701"/>
      <c r="BL474" s="701"/>
      <c r="BM474" s="702"/>
      <c r="BN474" s="703" t="s">
        <v>159</v>
      </c>
      <c r="BO474" s="704"/>
      <c r="BP474" s="704"/>
      <c r="BQ474" s="704"/>
      <c r="BR474" s="704"/>
      <c r="BS474" s="704"/>
      <c r="BT474" s="704"/>
      <c r="BU474" s="704"/>
      <c r="BV474" s="705"/>
    </row>
    <row r="475" spans="1:74" ht="45" customHeight="1" x14ac:dyDescent="0.25">
      <c r="A475" s="10">
        <f t="shared" si="7"/>
        <v>461</v>
      </c>
      <c r="B475" s="711" t="s">
        <v>159</v>
      </c>
      <c r="C475" s="711"/>
      <c r="D475" s="712" t="s">
        <v>212</v>
      </c>
      <c r="E475" s="712"/>
      <c r="F475" s="664" t="s">
        <v>162</v>
      </c>
      <c r="G475" s="665"/>
      <c r="H475" s="755" t="s">
        <v>162</v>
      </c>
      <c r="I475" s="667"/>
      <c r="J475" s="706"/>
      <c r="K475" s="707"/>
      <c r="L475" s="706"/>
      <c r="M475" s="707"/>
      <c r="N475" s="194"/>
      <c r="O475" s="216"/>
      <c r="P475" s="717"/>
      <c r="Q475" s="718"/>
      <c r="R475" s="672"/>
      <c r="S475" s="673"/>
      <c r="T475" s="674"/>
      <c r="U475" s="675"/>
      <c r="V475" s="676"/>
      <c r="W475" s="677"/>
      <c r="X475" s="725" t="s">
        <v>159</v>
      </c>
      <c r="Y475" s="725"/>
      <c r="Z475" s="725"/>
      <c r="AA475" s="725"/>
      <c r="AB475" s="726" t="s">
        <v>159</v>
      </c>
      <c r="AC475" s="726"/>
      <c r="AD475" s="726"/>
      <c r="AE475" s="726"/>
      <c r="AF475" s="680"/>
      <c r="AG475" s="681"/>
      <c r="AH475" s="680"/>
      <c r="AI475" s="681"/>
      <c r="AJ475" s="686"/>
      <c r="AK475" s="687"/>
      <c r="AL475" s="664" t="s">
        <v>162</v>
      </c>
      <c r="AM475" s="665"/>
      <c r="AN475" s="713" t="s">
        <v>162</v>
      </c>
      <c r="AO475" s="714"/>
      <c r="AP475" s="686"/>
      <c r="AQ475" s="687"/>
      <c r="AR475" s="688"/>
      <c r="AS475" s="689"/>
      <c r="AT475" s="690"/>
      <c r="AU475" s="691"/>
      <c r="AV475" s="713" t="s">
        <v>162</v>
      </c>
      <c r="AW475" s="714"/>
      <c r="AX475" s="692"/>
      <c r="AY475" s="693"/>
      <c r="AZ475" s="694"/>
      <c r="BA475" s="682"/>
      <c r="BB475" s="683"/>
      <c r="BC475" s="219"/>
      <c r="BD475" s="737" t="s">
        <v>162</v>
      </c>
      <c r="BE475" s="738"/>
      <c r="BF475" s="708"/>
      <c r="BG475" s="709"/>
      <c r="BH475" s="709"/>
      <c r="BI475" s="710"/>
      <c r="BJ475" s="742" t="s">
        <v>159</v>
      </c>
      <c r="BK475" s="743"/>
      <c r="BL475" s="743"/>
      <c r="BM475" s="744"/>
      <c r="BN475" s="703" t="s">
        <v>159</v>
      </c>
      <c r="BO475" s="704"/>
      <c r="BP475" s="704"/>
      <c r="BQ475" s="704"/>
      <c r="BR475" s="704"/>
      <c r="BS475" s="704"/>
      <c r="BT475" s="704"/>
      <c r="BU475" s="704"/>
      <c r="BV475" s="705"/>
    </row>
    <row r="476" spans="1:74" ht="45" customHeight="1" x14ac:dyDescent="0.25">
      <c r="A476" s="10">
        <f t="shared" si="7"/>
        <v>462</v>
      </c>
      <c r="B476" s="662" t="s">
        <v>159</v>
      </c>
      <c r="C476" s="662"/>
      <c r="D476" s="663" t="s">
        <v>212</v>
      </c>
      <c r="E476" s="663"/>
      <c r="F476" s="664" t="s">
        <v>162</v>
      </c>
      <c r="G476" s="665"/>
      <c r="H476" s="754" t="s">
        <v>162</v>
      </c>
      <c r="I476" s="714"/>
      <c r="J476" s="715"/>
      <c r="K476" s="716"/>
      <c r="L476" s="715"/>
      <c r="M476" s="716"/>
      <c r="N476" s="215"/>
      <c r="O476" s="196"/>
      <c r="P476" s="670"/>
      <c r="Q476" s="671"/>
      <c r="R476" s="719"/>
      <c r="S476" s="720"/>
      <c r="T476" s="721"/>
      <c r="U476" s="722"/>
      <c r="V476" s="723"/>
      <c r="W476" s="724"/>
      <c r="X476" s="678" t="s">
        <v>159</v>
      </c>
      <c r="Y476" s="678"/>
      <c r="Z476" s="678"/>
      <c r="AA476" s="678"/>
      <c r="AB476" s="679" t="s">
        <v>159</v>
      </c>
      <c r="AC476" s="679"/>
      <c r="AD476" s="679"/>
      <c r="AE476" s="679"/>
      <c r="AF476" s="727"/>
      <c r="AG476" s="728"/>
      <c r="AH476" s="727"/>
      <c r="AI476" s="728"/>
      <c r="AJ476" s="682"/>
      <c r="AK476" s="683"/>
      <c r="AL476" s="684" t="s">
        <v>162</v>
      </c>
      <c r="AM476" s="685"/>
      <c r="AN476" s="666" t="s">
        <v>162</v>
      </c>
      <c r="AO476" s="667"/>
      <c r="AP476" s="729"/>
      <c r="AQ476" s="730"/>
      <c r="AR476" s="731"/>
      <c r="AS476" s="732"/>
      <c r="AT476" s="690"/>
      <c r="AU476" s="691"/>
      <c r="AV476" s="666" t="s">
        <v>162</v>
      </c>
      <c r="AW476" s="667"/>
      <c r="AX476" s="692"/>
      <c r="AY476" s="693"/>
      <c r="AZ476" s="694"/>
      <c r="BA476" s="735"/>
      <c r="BB476" s="736"/>
      <c r="BC476" s="14"/>
      <c r="BD476" s="695" t="s">
        <v>162</v>
      </c>
      <c r="BE476" s="696"/>
      <c r="BF476" s="739"/>
      <c r="BG476" s="740"/>
      <c r="BH476" s="740"/>
      <c r="BI476" s="741"/>
      <c r="BJ476" s="700" t="s">
        <v>159</v>
      </c>
      <c r="BK476" s="701"/>
      <c r="BL476" s="701"/>
      <c r="BM476" s="702"/>
      <c r="BN476" s="703" t="s">
        <v>159</v>
      </c>
      <c r="BO476" s="704"/>
      <c r="BP476" s="704"/>
      <c r="BQ476" s="704"/>
      <c r="BR476" s="704"/>
      <c r="BS476" s="704"/>
      <c r="BT476" s="704"/>
      <c r="BU476" s="704"/>
      <c r="BV476" s="705"/>
    </row>
    <row r="477" spans="1:74" ht="45" customHeight="1" x14ac:dyDescent="0.25">
      <c r="A477" s="10">
        <f t="shared" si="7"/>
        <v>463</v>
      </c>
      <c r="B477" s="711" t="s">
        <v>159</v>
      </c>
      <c r="C477" s="711"/>
      <c r="D477" s="712" t="s">
        <v>212</v>
      </c>
      <c r="E477" s="712"/>
      <c r="F477" s="664" t="s">
        <v>162</v>
      </c>
      <c r="G477" s="665"/>
      <c r="H477" s="755" t="s">
        <v>162</v>
      </c>
      <c r="I477" s="667"/>
      <c r="J477" s="706"/>
      <c r="K477" s="707"/>
      <c r="L477" s="706"/>
      <c r="M477" s="707"/>
      <c r="N477" s="194"/>
      <c r="O477" s="216"/>
      <c r="P477" s="717"/>
      <c r="Q477" s="718"/>
      <c r="R477" s="672"/>
      <c r="S477" s="673"/>
      <c r="T477" s="674"/>
      <c r="U477" s="675"/>
      <c r="V477" s="676"/>
      <c r="W477" s="677"/>
      <c r="X477" s="725" t="s">
        <v>159</v>
      </c>
      <c r="Y477" s="725"/>
      <c r="Z477" s="725"/>
      <c r="AA477" s="725"/>
      <c r="AB477" s="726" t="s">
        <v>159</v>
      </c>
      <c r="AC477" s="726"/>
      <c r="AD477" s="726"/>
      <c r="AE477" s="726"/>
      <c r="AF477" s="680"/>
      <c r="AG477" s="681"/>
      <c r="AH477" s="680"/>
      <c r="AI477" s="681"/>
      <c r="AJ477" s="686"/>
      <c r="AK477" s="687"/>
      <c r="AL477" s="664" t="s">
        <v>162</v>
      </c>
      <c r="AM477" s="665"/>
      <c r="AN477" s="713" t="s">
        <v>162</v>
      </c>
      <c r="AO477" s="714"/>
      <c r="AP477" s="686"/>
      <c r="AQ477" s="687"/>
      <c r="AR477" s="688"/>
      <c r="AS477" s="689"/>
      <c r="AT477" s="690"/>
      <c r="AU477" s="691"/>
      <c r="AV477" s="713" t="s">
        <v>162</v>
      </c>
      <c r="AW477" s="714"/>
      <c r="AX477" s="692"/>
      <c r="AY477" s="693"/>
      <c r="AZ477" s="694"/>
      <c r="BA477" s="682"/>
      <c r="BB477" s="683"/>
      <c r="BC477" s="219"/>
      <c r="BD477" s="737" t="s">
        <v>162</v>
      </c>
      <c r="BE477" s="738"/>
      <c r="BF477" s="697"/>
      <c r="BG477" s="698"/>
      <c r="BH477" s="698"/>
      <c r="BI477" s="699"/>
      <c r="BJ477" s="742" t="s">
        <v>159</v>
      </c>
      <c r="BK477" s="743"/>
      <c r="BL477" s="743"/>
      <c r="BM477" s="744"/>
      <c r="BN477" s="703" t="s">
        <v>159</v>
      </c>
      <c r="BO477" s="704"/>
      <c r="BP477" s="704"/>
      <c r="BQ477" s="704"/>
      <c r="BR477" s="704"/>
      <c r="BS477" s="704"/>
      <c r="BT477" s="704"/>
      <c r="BU477" s="704"/>
      <c r="BV477" s="705"/>
    </row>
    <row r="478" spans="1:74" ht="45" customHeight="1" x14ac:dyDescent="0.25">
      <c r="A478" s="10">
        <f t="shared" si="7"/>
        <v>464</v>
      </c>
      <c r="B478" s="662" t="s">
        <v>159</v>
      </c>
      <c r="C478" s="662"/>
      <c r="D478" s="663" t="s">
        <v>212</v>
      </c>
      <c r="E478" s="663"/>
      <c r="F478" s="664" t="s">
        <v>162</v>
      </c>
      <c r="G478" s="665"/>
      <c r="H478" s="754" t="s">
        <v>162</v>
      </c>
      <c r="I478" s="714"/>
      <c r="J478" s="715"/>
      <c r="K478" s="716"/>
      <c r="L478" s="715"/>
      <c r="M478" s="716"/>
      <c r="N478" s="215"/>
      <c r="O478" s="196"/>
      <c r="P478" s="670"/>
      <c r="Q478" s="671"/>
      <c r="R478" s="719"/>
      <c r="S478" s="720"/>
      <c r="T478" s="721"/>
      <c r="U478" s="722"/>
      <c r="V478" s="723"/>
      <c r="W478" s="724"/>
      <c r="X478" s="678" t="s">
        <v>159</v>
      </c>
      <c r="Y478" s="678"/>
      <c r="Z478" s="678"/>
      <c r="AA478" s="678"/>
      <c r="AB478" s="679" t="s">
        <v>159</v>
      </c>
      <c r="AC478" s="679"/>
      <c r="AD478" s="679"/>
      <c r="AE478" s="679"/>
      <c r="AF478" s="727"/>
      <c r="AG478" s="728"/>
      <c r="AH478" s="727"/>
      <c r="AI478" s="728"/>
      <c r="AJ478" s="682"/>
      <c r="AK478" s="683"/>
      <c r="AL478" s="684" t="s">
        <v>162</v>
      </c>
      <c r="AM478" s="685"/>
      <c r="AN478" s="666" t="s">
        <v>162</v>
      </c>
      <c r="AO478" s="667"/>
      <c r="AP478" s="729"/>
      <c r="AQ478" s="730"/>
      <c r="AR478" s="731"/>
      <c r="AS478" s="732"/>
      <c r="AT478" s="690"/>
      <c r="AU478" s="691"/>
      <c r="AV478" s="666" t="s">
        <v>162</v>
      </c>
      <c r="AW478" s="667"/>
      <c r="AX478" s="692"/>
      <c r="AY478" s="693"/>
      <c r="AZ478" s="694"/>
      <c r="BA478" s="735"/>
      <c r="BB478" s="736"/>
      <c r="BC478" s="14"/>
      <c r="BD478" s="695" t="s">
        <v>162</v>
      </c>
      <c r="BE478" s="696"/>
      <c r="BF478" s="739"/>
      <c r="BG478" s="740"/>
      <c r="BH478" s="740"/>
      <c r="BI478" s="741"/>
      <c r="BJ478" s="700" t="s">
        <v>159</v>
      </c>
      <c r="BK478" s="701"/>
      <c r="BL478" s="701"/>
      <c r="BM478" s="702"/>
      <c r="BN478" s="703" t="s">
        <v>159</v>
      </c>
      <c r="BO478" s="704"/>
      <c r="BP478" s="704"/>
      <c r="BQ478" s="704"/>
      <c r="BR478" s="704"/>
      <c r="BS478" s="704"/>
      <c r="BT478" s="704"/>
      <c r="BU478" s="704"/>
      <c r="BV478" s="705"/>
    </row>
    <row r="479" spans="1:74" ht="45" customHeight="1" x14ac:dyDescent="0.25">
      <c r="A479" s="10">
        <f t="shared" si="7"/>
        <v>465</v>
      </c>
      <c r="B479" s="711" t="s">
        <v>159</v>
      </c>
      <c r="C479" s="711"/>
      <c r="D479" s="712" t="s">
        <v>212</v>
      </c>
      <c r="E479" s="712"/>
      <c r="F479" s="664" t="s">
        <v>162</v>
      </c>
      <c r="G479" s="665"/>
      <c r="H479" s="755" t="s">
        <v>162</v>
      </c>
      <c r="I479" s="667"/>
      <c r="J479" s="706"/>
      <c r="K479" s="707"/>
      <c r="L479" s="706"/>
      <c r="M479" s="707"/>
      <c r="N479" s="194"/>
      <c r="O479" s="216"/>
      <c r="P479" s="717"/>
      <c r="Q479" s="718"/>
      <c r="R479" s="672"/>
      <c r="S479" s="673"/>
      <c r="T479" s="674"/>
      <c r="U479" s="675"/>
      <c r="V479" s="676"/>
      <c r="W479" s="677"/>
      <c r="X479" s="725" t="s">
        <v>159</v>
      </c>
      <c r="Y479" s="725"/>
      <c r="Z479" s="725"/>
      <c r="AA479" s="725"/>
      <c r="AB479" s="726" t="s">
        <v>159</v>
      </c>
      <c r="AC479" s="726"/>
      <c r="AD479" s="726"/>
      <c r="AE479" s="726"/>
      <c r="AF479" s="680"/>
      <c r="AG479" s="681"/>
      <c r="AH479" s="680"/>
      <c r="AI479" s="681"/>
      <c r="AJ479" s="686"/>
      <c r="AK479" s="687"/>
      <c r="AL479" s="664" t="s">
        <v>162</v>
      </c>
      <c r="AM479" s="665"/>
      <c r="AN479" s="713" t="s">
        <v>162</v>
      </c>
      <c r="AO479" s="714"/>
      <c r="AP479" s="686"/>
      <c r="AQ479" s="687"/>
      <c r="AR479" s="688"/>
      <c r="AS479" s="689"/>
      <c r="AT479" s="690"/>
      <c r="AU479" s="691"/>
      <c r="AV479" s="713" t="s">
        <v>162</v>
      </c>
      <c r="AW479" s="714"/>
      <c r="AX479" s="692"/>
      <c r="AY479" s="693"/>
      <c r="AZ479" s="694"/>
      <c r="BA479" s="682"/>
      <c r="BB479" s="683"/>
      <c r="BC479" s="219"/>
      <c r="BD479" s="737" t="s">
        <v>162</v>
      </c>
      <c r="BE479" s="738"/>
      <c r="BF479" s="708"/>
      <c r="BG479" s="709"/>
      <c r="BH479" s="709"/>
      <c r="BI479" s="710"/>
      <c r="BJ479" s="742" t="s">
        <v>159</v>
      </c>
      <c r="BK479" s="743"/>
      <c r="BL479" s="743"/>
      <c r="BM479" s="744"/>
      <c r="BN479" s="703" t="s">
        <v>159</v>
      </c>
      <c r="BO479" s="704"/>
      <c r="BP479" s="704"/>
      <c r="BQ479" s="704"/>
      <c r="BR479" s="704"/>
      <c r="BS479" s="704"/>
      <c r="BT479" s="704"/>
      <c r="BU479" s="704"/>
      <c r="BV479" s="705"/>
    </row>
    <row r="480" spans="1:74" ht="45" customHeight="1" x14ac:dyDescent="0.25">
      <c r="A480" s="10">
        <f t="shared" si="7"/>
        <v>466</v>
      </c>
      <c r="B480" s="662" t="s">
        <v>159</v>
      </c>
      <c r="C480" s="662"/>
      <c r="D480" s="663" t="s">
        <v>212</v>
      </c>
      <c r="E480" s="663"/>
      <c r="F480" s="664" t="s">
        <v>162</v>
      </c>
      <c r="G480" s="665"/>
      <c r="H480" s="754" t="s">
        <v>162</v>
      </c>
      <c r="I480" s="714"/>
      <c r="J480" s="715"/>
      <c r="K480" s="716"/>
      <c r="L480" s="715"/>
      <c r="M480" s="716"/>
      <c r="N480" s="215"/>
      <c r="O480" s="196"/>
      <c r="P480" s="670"/>
      <c r="Q480" s="671"/>
      <c r="R480" s="719"/>
      <c r="S480" s="720"/>
      <c r="T480" s="721"/>
      <c r="U480" s="722"/>
      <c r="V480" s="723"/>
      <c r="W480" s="724"/>
      <c r="X480" s="678" t="s">
        <v>159</v>
      </c>
      <c r="Y480" s="678"/>
      <c r="Z480" s="678"/>
      <c r="AA480" s="678"/>
      <c r="AB480" s="679" t="s">
        <v>159</v>
      </c>
      <c r="AC480" s="679"/>
      <c r="AD480" s="679"/>
      <c r="AE480" s="679"/>
      <c r="AF480" s="727"/>
      <c r="AG480" s="728"/>
      <c r="AH480" s="727"/>
      <c r="AI480" s="728"/>
      <c r="AJ480" s="682"/>
      <c r="AK480" s="683"/>
      <c r="AL480" s="684" t="s">
        <v>162</v>
      </c>
      <c r="AM480" s="685"/>
      <c r="AN480" s="666" t="s">
        <v>162</v>
      </c>
      <c r="AO480" s="667"/>
      <c r="AP480" s="729"/>
      <c r="AQ480" s="730"/>
      <c r="AR480" s="731"/>
      <c r="AS480" s="732"/>
      <c r="AT480" s="690"/>
      <c r="AU480" s="691"/>
      <c r="AV480" s="666" t="s">
        <v>162</v>
      </c>
      <c r="AW480" s="667"/>
      <c r="AX480" s="692"/>
      <c r="AY480" s="693"/>
      <c r="AZ480" s="694"/>
      <c r="BA480" s="735"/>
      <c r="BB480" s="736"/>
      <c r="BC480" s="14"/>
      <c r="BD480" s="695" t="s">
        <v>162</v>
      </c>
      <c r="BE480" s="696"/>
      <c r="BF480" s="739"/>
      <c r="BG480" s="740"/>
      <c r="BH480" s="740"/>
      <c r="BI480" s="741"/>
      <c r="BJ480" s="700" t="s">
        <v>159</v>
      </c>
      <c r="BK480" s="701"/>
      <c r="BL480" s="701"/>
      <c r="BM480" s="702"/>
      <c r="BN480" s="703" t="s">
        <v>159</v>
      </c>
      <c r="BO480" s="704"/>
      <c r="BP480" s="704"/>
      <c r="BQ480" s="704"/>
      <c r="BR480" s="704"/>
      <c r="BS480" s="704"/>
      <c r="BT480" s="704"/>
      <c r="BU480" s="704"/>
      <c r="BV480" s="705"/>
    </row>
    <row r="481" spans="1:74" ht="45" customHeight="1" x14ac:dyDescent="0.25">
      <c r="A481" s="10">
        <f t="shared" si="7"/>
        <v>467</v>
      </c>
      <c r="B481" s="711" t="s">
        <v>159</v>
      </c>
      <c r="C481" s="711"/>
      <c r="D481" s="712" t="s">
        <v>212</v>
      </c>
      <c r="E481" s="712"/>
      <c r="F481" s="664" t="s">
        <v>162</v>
      </c>
      <c r="G481" s="665"/>
      <c r="H481" s="755" t="s">
        <v>162</v>
      </c>
      <c r="I481" s="667"/>
      <c r="J481" s="706"/>
      <c r="K481" s="707"/>
      <c r="L481" s="706"/>
      <c r="M481" s="707"/>
      <c r="N481" s="194"/>
      <c r="O481" s="216"/>
      <c r="P481" s="717"/>
      <c r="Q481" s="718"/>
      <c r="R481" s="672"/>
      <c r="S481" s="673"/>
      <c r="T481" s="674"/>
      <c r="U481" s="675"/>
      <c r="V481" s="676"/>
      <c r="W481" s="677"/>
      <c r="X481" s="725" t="s">
        <v>159</v>
      </c>
      <c r="Y481" s="725"/>
      <c r="Z481" s="725"/>
      <c r="AA481" s="725"/>
      <c r="AB481" s="726" t="s">
        <v>159</v>
      </c>
      <c r="AC481" s="726"/>
      <c r="AD481" s="726"/>
      <c r="AE481" s="726"/>
      <c r="AF481" s="680"/>
      <c r="AG481" s="681"/>
      <c r="AH481" s="680"/>
      <c r="AI481" s="681"/>
      <c r="AJ481" s="686"/>
      <c r="AK481" s="687"/>
      <c r="AL481" s="664" t="s">
        <v>162</v>
      </c>
      <c r="AM481" s="665"/>
      <c r="AN481" s="713" t="s">
        <v>162</v>
      </c>
      <c r="AO481" s="714"/>
      <c r="AP481" s="686"/>
      <c r="AQ481" s="687"/>
      <c r="AR481" s="688"/>
      <c r="AS481" s="689"/>
      <c r="AT481" s="690"/>
      <c r="AU481" s="691"/>
      <c r="AV481" s="713" t="s">
        <v>162</v>
      </c>
      <c r="AW481" s="714"/>
      <c r="AX481" s="692"/>
      <c r="AY481" s="693"/>
      <c r="AZ481" s="694"/>
      <c r="BA481" s="682"/>
      <c r="BB481" s="683"/>
      <c r="BC481" s="219"/>
      <c r="BD481" s="737" t="s">
        <v>162</v>
      </c>
      <c r="BE481" s="738"/>
      <c r="BF481" s="697"/>
      <c r="BG481" s="698"/>
      <c r="BH481" s="698"/>
      <c r="BI481" s="699"/>
      <c r="BJ481" s="742" t="s">
        <v>159</v>
      </c>
      <c r="BK481" s="743"/>
      <c r="BL481" s="743"/>
      <c r="BM481" s="744"/>
      <c r="BN481" s="703" t="s">
        <v>159</v>
      </c>
      <c r="BO481" s="704"/>
      <c r="BP481" s="704"/>
      <c r="BQ481" s="704"/>
      <c r="BR481" s="704"/>
      <c r="BS481" s="704"/>
      <c r="BT481" s="704"/>
      <c r="BU481" s="704"/>
      <c r="BV481" s="705"/>
    </row>
    <row r="482" spans="1:74" ht="45" customHeight="1" x14ac:dyDescent="0.25">
      <c r="A482" s="10">
        <f t="shared" si="7"/>
        <v>468</v>
      </c>
      <c r="B482" s="662" t="s">
        <v>159</v>
      </c>
      <c r="C482" s="662"/>
      <c r="D482" s="663" t="s">
        <v>212</v>
      </c>
      <c r="E482" s="663"/>
      <c r="F482" s="664" t="s">
        <v>162</v>
      </c>
      <c r="G482" s="665"/>
      <c r="H482" s="754" t="s">
        <v>162</v>
      </c>
      <c r="I482" s="714"/>
      <c r="J482" s="715"/>
      <c r="K482" s="716"/>
      <c r="L482" s="715"/>
      <c r="M482" s="716"/>
      <c r="N482" s="215"/>
      <c r="O482" s="196"/>
      <c r="P482" s="670"/>
      <c r="Q482" s="671"/>
      <c r="R482" s="719"/>
      <c r="S482" s="720"/>
      <c r="T482" s="721"/>
      <c r="U482" s="722"/>
      <c r="V482" s="723"/>
      <c r="W482" s="724"/>
      <c r="X482" s="678" t="s">
        <v>159</v>
      </c>
      <c r="Y482" s="678"/>
      <c r="Z482" s="678"/>
      <c r="AA482" s="678"/>
      <c r="AB482" s="679" t="s">
        <v>159</v>
      </c>
      <c r="AC482" s="679"/>
      <c r="AD482" s="679"/>
      <c r="AE482" s="679"/>
      <c r="AF482" s="727"/>
      <c r="AG482" s="728"/>
      <c r="AH482" s="727"/>
      <c r="AI482" s="728"/>
      <c r="AJ482" s="682"/>
      <c r="AK482" s="683"/>
      <c r="AL482" s="684" t="s">
        <v>162</v>
      </c>
      <c r="AM482" s="685"/>
      <c r="AN482" s="666" t="s">
        <v>162</v>
      </c>
      <c r="AO482" s="667"/>
      <c r="AP482" s="729"/>
      <c r="AQ482" s="730"/>
      <c r="AR482" s="731"/>
      <c r="AS482" s="732"/>
      <c r="AT482" s="690"/>
      <c r="AU482" s="691"/>
      <c r="AV482" s="666" t="s">
        <v>162</v>
      </c>
      <c r="AW482" s="667"/>
      <c r="AX482" s="692"/>
      <c r="AY482" s="693"/>
      <c r="AZ482" s="694"/>
      <c r="BA482" s="735"/>
      <c r="BB482" s="736"/>
      <c r="BC482" s="14"/>
      <c r="BD482" s="695" t="s">
        <v>162</v>
      </c>
      <c r="BE482" s="696"/>
      <c r="BF482" s="739"/>
      <c r="BG482" s="740"/>
      <c r="BH482" s="740"/>
      <c r="BI482" s="741"/>
      <c r="BJ482" s="700" t="s">
        <v>159</v>
      </c>
      <c r="BK482" s="701"/>
      <c r="BL482" s="701"/>
      <c r="BM482" s="702"/>
      <c r="BN482" s="703" t="s">
        <v>159</v>
      </c>
      <c r="BO482" s="704"/>
      <c r="BP482" s="704"/>
      <c r="BQ482" s="704"/>
      <c r="BR482" s="704"/>
      <c r="BS482" s="704"/>
      <c r="BT482" s="704"/>
      <c r="BU482" s="704"/>
      <c r="BV482" s="705"/>
    </row>
    <row r="483" spans="1:74" ht="45" customHeight="1" x14ac:dyDescent="0.25">
      <c r="A483" s="10">
        <f t="shared" si="7"/>
        <v>469</v>
      </c>
      <c r="B483" s="711" t="s">
        <v>159</v>
      </c>
      <c r="C483" s="711"/>
      <c r="D483" s="712" t="s">
        <v>212</v>
      </c>
      <c r="E483" s="712"/>
      <c r="F483" s="664" t="s">
        <v>162</v>
      </c>
      <c r="G483" s="665"/>
      <c r="H483" s="755" t="s">
        <v>162</v>
      </c>
      <c r="I483" s="667"/>
      <c r="J483" s="706"/>
      <c r="K483" s="707"/>
      <c r="L483" s="706"/>
      <c r="M483" s="707"/>
      <c r="N483" s="194"/>
      <c r="O483" s="216"/>
      <c r="P483" s="717"/>
      <c r="Q483" s="718"/>
      <c r="R483" s="672"/>
      <c r="S483" s="673"/>
      <c r="T483" s="674"/>
      <c r="U483" s="675"/>
      <c r="V483" s="676"/>
      <c r="W483" s="677"/>
      <c r="X483" s="725" t="s">
        <v>159</v>
      </c>
      <c r="Y483" s="725"/>
      <c r="Z483" s="725"/>
      <c r="AA483" s="725"/>
      <c r="AB483" s="726" t="s">
        <v>159</v>
      </c>
      <c r="AC483" s="726"/>
      <c r="AD483" s="726"/>
      <c r="AE483" s="726"/>
      <c r="AF483" s="680"/>
      <c r="AG483" s="681"/>
      <c r="AH483" s="680"/>
      <c r="AI483" s="681"/>
      <c r="AJ483" s="686"/>
      <c r="AK483" s="687"/>
      <c r="AL483" s="664" t="s">
        <v>162</v>
      </c>
      <c r="AM483" s="665"/>
      <c r="AN483" s="713" t="s">
        <v>162</v>
      </c>
      <c r="AO483" s="714"/>
      <c r="AP483" s="686"/>
      <c r="AQ483" s="687"/>
      <c r="AR483" s="688"/>
      <c r="AS483" s="689"/>
      <c r="AT483" s="690"/>
      <c r="AU483" s="691"/>
      <c r="AV483" s="713" t="s">
        <v>162</v>
      </c>
      <c r="AW483" s="714"/>
      <c r="AX483" s="692"/>
      <c r="AY483" s="693"/>
      <c r="AZ483" s="694"/>
      <c r="BA483" s="682"/>
      <c r="BB483" s="683"/>
      <c r="BC483" s="219"/>
      <c r="BD483" s="737" t="s">
        <v>162</v>
      </c>
      <c r="BE483" s="738"/>
      <c r="BF483" s="708"/>
      <c r="BG483" s="709"/>
      <c r="BH483" s="709"/>
      <c r="BI483" s="710"/>
      <c r="BJ483" s="742" t="s">
        <v>159</v>
      </c>
      <c r="BK483" s="743"/>
      <c r="BL483" s="743"/>
      <c r="BM483" s="744"/>
      <c r="BN483" s="703" t="s">
        <v>159</v>
      </c>
      <c r="BO483" s="704"/>
      <c r="BP483" s="704"/>
      <c r="BQ483" s="704"/>
      <c r="BR483" s="704"/>
      <c r="BS483" s="704"/>
      <c r="BT483" s="704"/>
      <c r="BU483" s="704"/>
      <c r="BV483" s="705"/>
    </row>
    <row r="484" spans="1:74" ht="45" customHeight="1" x14ac:dyDescent="0.25">
      <c r="A484" s="10">
        <f t="shared" si="7"/>
        <v>470</v>
      </c>
      <c r="B484" s="662" t="s">
        <v>159</v>
      </c>
      <c r="C484" s="662"/>
      <c r="D484" s="663" t="s">
        <v>212</v>
      </c>
      <c r="E484" s="663"/>
      <c r="F484" s="664" t="s">
        <v>162</v>
      </c>
      <c r="G484" s="665"/>
      <c r="H484" s="754" t="s">
        <v>162</v>
      </c>
      <c r="I484" s="714"/>
      <c r="J484" s="715"/>
      <c r="K484" s="716"/>
      <c r="L484" s="715"/>
      <c r="M484" s="716"/>
      <c r="N484" s="215"/>
      <c r="O484" s="196"/>
      <c r="P484" s="670"/>
      <c r="Q484" s="671"/>
      <c r="R484" s="719"/>
      <c r="S484" s="720"/>
      <c r="T484" s="721"/>
      <c r="U484" s="722"/>
      <c r="V484" s="723"/>
      <c r="W484" s="724"/>
      <c r="X484" s="678" t="s">
        <v>159</v>
      </c>
      <c r="Y484" s="678"/>
      <c r="Z484" s="678"/>
      <c r="AA484" s="678"/>
      <c r="AB484" s="679" t="s">
        <v>159</v>
      </c>
      <c r="AC484" s="679"/>
      <c r="AD484" s="679"/>
      <c r="AE484" s="679"/>
      <c r="AF484" s="727"/>
      <c r="AG484" s="728"/>
      <c r="AH484" s="727"/>
      <c r="AI484" s="728"/>
      <c r="AJ484" s="682"/>
      <c r="AK484" s="683"/>
      <c r="AL484" s="684" t="s">
        <v>162</v>
      </c>
      <c r="AM484" s="685"/>
      <c r="AN484" s="666" t="s">
        <v>162</v>
      </c>
      <c r="AO484" s="667"/>
      <c r="AP484" s="729"/>
      <c r="AQ484" s="730"/>
      <c r="AR484" s="731"/>
      <c r="AS484" s="732"/>
      <c r="AT484" s="690"/>
      <c r="AU484" s="691"/>
      <c r="AV484" s="666" t="s">
        <v>162</v>
      </c>
      <c r="AW484" s="667"/>
      <c r="AX484" s="692"/>
      <c r="AY484" s="693"/>
      <c r="AZ484" s="694"/>
      <c r="BA484" s="735"/>
      <c r="BB484" s="736"/>
      <c r="BC484" s="14"/>
      <c r="BD484" s="695" t="s">
        <v>162</v>
      </c>
      <c r="BE484" s="696"/>
      <c r="BF484" s="739"/>
      <c r="BG484" s="740"/>
      <c r="BH484" s="740"/>
      <c r="BI484" s="741"/>
      <c r="BJ484" s="700" t="s">
        <v>159</v>
      </c>
      <c r="BK484" s="701"/>
      <c r="BL484" s="701"/>
      <c r="BM484" s="702"/>
      <c r="BN484" s="703" t="s">
        <v>159</v>
      </c>
      <c r="BO484" s="704"/>
      <c r="BP484" s="704"/>
      <c r="BQ484" s="704"/>
      <c r="BR484" s="704"/>
      <c r="BS484" s="704"/>
      <c r="BT484" s="704"/>
      <c r="BU484" s="704"/>
      <c r="BV484" s="705"/>
    </row>
    <row r="485" spans="1:74" ht="45" customHeight="1" x14ac:dyDescent="0.25">
      <c r="A485" s="10">
        <f t="shared" si="7"/>
        <v>471</v>
      </c>
      <c r="B485" s="711" t="s">
        <v>159</v>
      </c>
      <c r="C485" s="711"/>
      <c r="D485" s="712" t="s">
        <v>212</v>
      </c>
      <c r="E485" s="712"/>
      <c r="F485" s="664" t="s">
        <v>162</v>
      </c>
      <c r="G485" s="665"/>
      <c r="H485" s="755" t="s">
        <v>162</v>
      </c>
      <c r="I485" s="667"/>
      <c r="J485" s="706"/>
      <c r="K485" s="707"/>
      <c r="L485" s="706"/>
      <c r="M485" s="707"/>
      <c r="N485" s="194"/>
      <c r="O485" s="216"/>
      <c r="P485" s="717"/>
      <c r="Q485" s="718"/>
      <c r="R485" s="672"/>
      <c r="S485" s="673"/>
      <c r="T485" s="674"/>
      <c r="U485" s="675"/>
      <c r="V485" s="676"/>
      <c r="W485" s="677"/>
      <c r="X485" s="725" t="s">
        <v>159</v>
      </c>
      <c r="Y485" s="725"/>
      <c r="Z485" s="725"/>
      <c r="AA485" s="725"/>
      <c r="AB485" s="726" t="s">
        <v>159</v>
      </c>
      <c r="AC485" s="726"/>
      <c r="AD485" s="726"/>
      <c r="AE485" s="726"/>
      <c r="AF485" s="680"/>
      <c r="AG485" s="681"/>
      <c r="AH485" s="680"/>
      <c r="AI485" s="681"/>
      <c r="AJ485" s="686"/>
      <c r="AK485" s="687"/>
      <c r="AL485" s="664" t="s">
        <v>162</v>
      </c>
      <c r="AM485" s="665"/>
      <c r="AN485" s="713" t="s">
        <v>162</v>
      </c>
      <c r="AO485" s="714"/>
      <c r="AP485" s="686"/>
      <c r="AQ485" s="687"/>
      <c r="AR485" s="688"/>
      <c r="AS485" s="689"/>
      <c r="AT485" s="690"/>
      <c r="AU485" s="691"/>
      <c r="AV485" s="713" t="s">
        <v>162</v>
      </c>
      <c r="AW485" s="714"/>
      <c r="AX485" s="692"/>
      <c r="AY485" s="693"/>
      <c r="AZ485" s="694"/>
      <c r="BA485" s="682"/>
      <c r="BB485" s="683"/>
      <c r="BC485" s="219"/>
      <c r="BD485" s="737" t="s">
        <v>162</v>
      </c>
      <c r="BE485" s="738"/>
      <c r="BF485" s="708"/>
      <c r="BG485" s="709"/>
      <c r="BH485" s="709"/>
      <c r="BI485" s="710"/>
      <c r="BJ485" s="742" t="s">
        <v>159</v>
      </c>
      <c r="BK485" s="743"/>
      <c r="BL485" s="743"/>
      <c r="BM485" s="744"/>
      <c r="BN485" s="703" t="s">
        <v>159</v>
      </c>
      <c r="BO485" s="704"/>
      <c r="BP485" s="704"/>
      <c r="BQ485" s="704"/>
      <c r="BR485" s="704"/>
      <c r="BS485" s="704"/>
      <c r="BT485" s="704"/>
      <c r="BU485" s="704"/>
      <c r="BV485" s="705"/>
    </row>
    <row r="486" spans="1:74" ht="45" customHeight="1" x14ac:dyDescent="0.25">
      <c r="A486" s="10">
        <f t="shared" si="7"/>
        <v>472</v>
      </c>
      <c r="B486" s="662" t="s">
        <v>159</v>
      </c>
      <c r="C486" s="662"/>
      <c r="D486" s="663" t="s">
        <v>212</v>
      </c>
      <c r="E486" s="663"/>
      <c r="F486" s="664" t="s">
        <v>162</v>
      </c>
      <c r="G486" s="665"/>
      <c r="H486" s="754" t="s">
        <v>162</v>
      </c>
      <c r="I486" s="714"/>
      <c r="J486" s="715"/>
      <c r="K486" s="716"/>
      <c r="L486" s="715"/>
      <c r="M486" s="716"/>
      <c r="N486" s="215"/>
      <c r="O486" s="196"/>
      <c r="P486" s="670"/>
      <c r="Q486" s="671"/>
      <c r="R486" s="719"/>
      <c r="S486" s="720"/>
      <c r="T486" s="721"/>
      <c r="U486" s="722"/>
      <c r="V486" s="723"/>
      <c r="W486" s="724"/>
      <c r="X486" s="678" t="s">
        <v>159</v>
      </c>
      <c r="Y486" s="678"/>
      <c r="Z486" s="678"/>
      <c r="AA486" s="678"/>
      <c r="AB486" s="679" t="s">
        <v>159</v>
      </c>
      <c r="AC486" s="679"/>
      <c r="AD486" s="679"/>
      <c r="AE486" s="679"/>
      <c r="AF486" s="727"/>
      <c r="AG486" s="728"/>
      <c r="AH486" s="727"/>
      <c r="AI486" s="728"/>
      <c r="AJ486" s="682"/>
      <c r="AK486" s="683"/>
      <c r="AL486" s="684" t="s">
        <v>162</v>
      </c>
      <c r="AM486" s="685"/>
      <c r="AN486" s="666" t="s">
        <v>162</v>
      </c>
      <c r="AO486" s="667"/>
      <c r="AP486" s="729"/>
      <c r="AQ486" s="730"/>
      <c r="AR486" s="731"/>
      <c r="AS486" s="732"/>
      <c r="AT486" s="690"/>
      <c r="AU486" s="691"/>
      <c r="AV486" s="666" t="s">
        <v>162</v>
      </c>
      <c r="AW486" s="667"/>
      <c r="AX486" s="692"/>
      <c r="AY486" s="693"/>
      <c r="AZ486" s="694"/>
      <c r="BA486" s="735"/>
      <c r="BB486" s="736"/>
      <c r="BC486" s="14"/>
      <c r="BD486" s="695" t="s">
        <v>162</v>
      </c>
      <c r="BE486" s="696"/>
      <c r="BF486" s="739"/>
      <c r="BG486" s="740"/>
      <c r="BH486" s="740"/>
      <c r="BI486" s="741"/>
      <c r="BJ486" s="700" t="s">
        <v>159</v>
      </c>
      <c r="BK486" s="701"/>
      <c r="BL486" s="701"/>
      <c r="BM486" s="702"/>
      <c r="BN486" s="703" t="s">
        <v>159</v>
      </c>
      <c r="BO486" s="704"/>
      <c r="BP486" s="704"/>
      <c r="BQ486" s="704"/>
      <c r="BR486" s="704"/>
      <c r="BS486" s="704"/>
      <c r="BT486" s="704"/>
      <c r="BU486" s="704"/>
      <c r="BV486" s="705"/>
    </row>
    <row r="487" spans="1:74" ht="45" customHeight="1" x14ac:dyDescent="0.25">
      <c r="A487" s="10">
        <f t="shared" si="7"/>
        <v>473</v>
      </c>
      <c r="B487" s="711" t="s">
        <v>159</v>
      </c>
      <c r="C487" s="711"/>
      <c r="D487" s="712" t="s">
        <v>212</v>
      </c>
      <c r="E487" s="712"/>
      <c r="F487" s="664" t="s">
        <v>162</v>
      </c>
      <c r="G487" s="665"/>
      <c r="H487" s="755" t="s">
        <v>162</v>
      </c>
      <c r="I487" s="667"/>
      <c r="J487" s="706"/>
      <c r="K487" s="707"/>
      <c r="L487" s="706"/>
      <c r="M487" s="707"/>
      <c r="N487" s="194"/>
      <c r="O487" s="216"/>
      <c r="P487" s="717"/>
      <c r="Q487" s="718"/>
      <c r="R487" s="672"/>
      <c r="S487" s="673"/>
      <c r="T487" s="674"/>
      <c r="U487" s="675"/>
      <c r="V487" s="676"/>
      <c r="W487" s="677"/>
      <c r="X487" s="725" t="s">
        <v>159</v>
      </c>
      <c r="Y487" s="725"/>
      <c r="Z487" s="725"/>
      <c r="AA487" s="725"/>
      <c r="AB487" s="726" t="s">
        <v>159</v>
      </c>
      <c r="AC487" s="726"/>
      <c r="AD487" s="726"/>
      <c r="AE487" s="726"/>
      <c r="AF487" s="680"/>
      <c r="AG487" s="681"/>
      <c r="AH487" s="680"/>
      <c r="AI487" s="681"/>
      <c r="AJ487" s="686"/>
      <c r="AK487" s="687"/>
      <c r="AL487" s="664" t="s">
        <v>162</v>
      </c>
      <c r="AM487" s="665"/>
      <c r="AN487" s="713" t="s">
        <v>162</v>
      </c>
      <c r="AO487" s="714"/>
      <c r="AP487" s="686"/>
      <c r="AQ487" s="687"/>
      <c r="AR487" s="688"/>
      <c r="AS487" s="689"/>
      <c r="AT487" s="690"/>
      <c r="AU487" s="691"/>
      <c r="AV487" s="713" t="s">
        <v>162</v>
      </c>
      <c r="AW487" s="714"/>
      <c r="AX487" s="692"/>
      <c r="AY487" s="693"/>
      <c r="AZ487" s="694"/>
      <c r="BA487" s="682"/>
      <c r="BB487" s="683"/>
      <c r="BC487" s="219"/>
      <c r="BD487" s="737" t="s">
        <v>162</v>
      </c>
      <c r="BE487" s="738"/>
      <c r="BF487" s="697"/>
      <c r="BG487" s="698"/>
      <c r="BH487" s="698"/>
      <c r="BI487" s="699"/>
      <c r="BJ487" s="742" t="s">
        <v>159</v>
      </c>
      <c r="BK487" s="743"/>
      <c r="BL487" s="743"/>
      <c r="BM487" s="744"/>
      <c r="BN487" s="703" t="s">
        <v>159</v>
      </c>
      <c r="BO487" s="704"/>
      <c r="BP487" s="704"/>
      <c r="BQ487" s="704"/>
      <c r="BR487" s="704"/>
      <c r="BS487" s="704"/>
      <c r="BT487" s="704"/>
      <c r="BU487" s="704"/>
      <c r="BV487" s="705"/>
    </row>
    <row r="488" spans="1:74" ht="45" customHeight="1" x14ac:dyDescent="0.25">
      <c r="A488" s="10">
        <f t="shared" si="7"/>
        <v>474</v>
      </c>
      <c r="B488" s="662" t="s">
        <v>159</v>
      </c>
      <c r="C488" s="662"/>
      <c r="D488" s="663" t="s">
        <v>212</v>
      </c>
      <c r="E488" s="663"/>
      <c r="F488" s="664" t="s">
        <v>162</v>
      </c>
      <c r="G488" s="665"/>
      <c r="H488" s="754" t="s">
        <v>162</v>
      </c>
      <c r="I488" s="714"/>
      <c r="J488" s="715"/>
      <c r="K488" s="716"/>
      <c r="L488" s="715"/>
      <c r="M488" s="716"/>
      <c r="N488" s="215"/>
      <c r="O488" s="196"/>
      <c r="P488" s="670"/>
      <c r="Q488" s="671"/>
      <c r="R488" s="719"/>
      <c r="S488" s="720"/>
      <c r="T488" s="721"/>
      <c r="U488" s="722"/>
      <c r="V488" s="723"/>
      <c r="W488" s="724"/>
      <c r="X488" s="678" t="s">
        <v>159</v>
      </c>
      <c r="Y488" s="678"/>
      <c r="Z488" s="678"/>
      <c r="AA488" s="678"/>
      <c r="AB488" s="679" t="s">
        <v>159</v>
      </c>
      <c r="AC488" s="679"/>
      <c r="AD488" s="679"/>
      <c r="AE488" s="679"/>
      <c r="AF488" s="727"/>
      <c r="AG488" s="728"/>
      <c r="AH488" s="727"/>
      <c r="AI488" s="728"/>
      <c r="AJ488" s="682"/>
      <c r="AK488" s="683"/>
      <c r="AL488" s="684" t="s">
        <v>162</v>
      </c>
      <c r="AM488" s="685"/>
      <c r="AN488" s="666" t="s">
        <v>162</v>
      </c>
      <c r="AO488" s="667"/>
      <c r="AP488" s="729"/>
      <c r="AQ488" s="730"/>
      <c r="AR488" s="731"/>
      <c r="AS488" s="732"/>
      <c r="AT488" s="690"/>
      <c r="AU488" s="691"/>
      <c r="AV488" s="666" t="s">
        <v>162</v>
      </c>
      <c r="AW488" s="667"/>
      <c r="AX488" s="692"/>
      <c r="AY488" s="693"/>
      <c r="AZ488" s="694"/>
      <c r="BA488" s="735"/>
      <c r="BB488" s="736"/>
      <c r="BC488" s="14"/>
      <c r="BD488" s="695" t="s">
        <v>162</v>
      </c>
      <c r="BE488" s="696"/>
      <c r="BF488" s="739"/>
      <c r="BG488" s="740"/>
      <c r="BH488" s="740"/>
      <c r="BI488" s="741"/>
      <c r="BJ488" s="700" t="s">
        <v>159</v>
      </c>
      <c r="BK488" s="701"/>
      <c r="BL488" s="701"/>
      <c r="BM488" s="702"/>
      <c r="BN488" s="703" t="s">
        <v>159</v>
      </c>
      <c r="BO488" s="704"/>
      <c r="BP488" s="704"/>
      <c r="BQ488" s="704"/>
      <c r="BR488" s="704"/>
      <c r="BS488" s="704"/>
      <c r="BT488" s="704"/>
      <c r="BU488" s="704"/>
      <c r="BV488" s="705"/>
    </row>
    <row r="489" spans="1:74" ht="45" customHeight="1" x14ac:dyDescent="0.25">
      <c r="A489" s="10">
        <f t="shared" si="7"/>
        <v>475</v>
      </c>
      <c r="B489" s="711" t="s">
        <v>159</v>
      </c>
      <c r="C489" s="711"/>
      <c r="D489" s="712" t="s">
        <v>212</v>
      </c>
      <c r="E489" s="712"/>
      <c r="F489" s="664" t="s">
        <v>162</v>
      </c>
      <c r="G489" s="665"/>
      <c r="H489" s="755" t="s">
        <v>162</v>
      </c>
      <c r="I489" s="667"/>
      <c r="J489" s="706"/>
      <c r="K489" s="707"/>
      <c r="L489" s="706"/>
      <c r="M489" s="707"/>
      <c r="N489" s="194"/>
      <c r="O489" s="216"/>
      <c r="P489" s="717"/>
      <c r="Q489" s="718"/>
      <c r="R489" s="672"/>
      <c r="S489" s="673"/>
      <c r="T489" s="674"/>
      <c r="U489" s="675"/>
      <c r="V489" s="676"/>
      <c r="W489" s="677"/>
      <c r="X489" s="725" t="s">
        <v>159</v>
      </c>
      <c r="Y489" s="725"/>
      <c r="Z489" s="725"/>
      <c r="AA489" s="725"/>
      <c r="AB489" s="726" t="s">
        <v>159</v>
      </c>
      <c r="AC489" s="726"/>
      <c r="AD489" s="726"/>
      <c r="AE489" s="726"/>
      <c r="AF489" s="680"/>
      <c r="AG489" s="681"/>
      <c r="AH489" s="680"/>
      <c r="AI489" s="681"/>
      <c r="AJ489" s="686"/>
      <c r="AK489" s="687"/>
      <c r="AL489" s="664" t="s">
        <v>162</v>
      </c>
      <c r="AM489" s="665"/>
      <c r="AN489" s="713" t="s">
        <v>162</v>
      </c>
      <c r="AO489" s="714"/>
      <c r="AP489" s="686"/>
      <c r="AQ489" s="687"/>
      <c r="AR489" s="688"/>
      <c r="AS489" s="689"/>
      <c r="AT489" s="690"/>
      <c r="AU489" s="691"/>
      <c r="AV489" s="713" t="s">
        <v>162</v>
      </c>
      <c r="AW489" s="714"/>
      <c r="AX489" s="692"/>
      <c r="AY489" s="693"/>
      <c r="AZ489" s="694"/>
      <c r="BA489" s="682"/>
      <c r="BB489" s="683"/>
      <c r="BC489" s="219"/>
      <c r="BD489" s="737" t="s">
        <v>162</v>
      </c>
      <c r="BE489" s="738"/>
      <c r="BF489" s="708"/>
      <c r="BG489" s="709"/>
      <c r="BH489" s="709"/>
      <c r="BI489" s="710"/>
      <c r="BJ489" s="742" t="s">
        <v>159</v>
      </c>
      <c r="BK489" s="743"/>
      <c r="BL489" s="743"/>
      <c r="BM489" s="744"/>
      <c r="BN489" s="703" t="s">
        <v>159</v>
      </c>
      <c r="BO489" s="704"/>
      <c r="BP489" s="704"/>
      <c r="BQ489" s="704"/>
      <c r="BR489" s="704"/>
      <c r="BS489" s="704"/>
      <c r="BT489" s="704"/>
      <c r="BU489" s="704"/>
      <c r="BV489" s="705"/>
    </row>
    <row r="490" spans="1:74" ht="45" customHeight="1" x14ac:dyDescent="0.25">
      <c r="A490" s="10">
        <f t="shared" si="7"/>
        <v>476</v>
      </c>
      <c r="B490" s="662" t="s">
        <v>159</v>
      </c>
      <c r="C490" s="662"/>
      <c r="D490" s="663" t="s">
        <v>212</v>
      </c>
      <c r="E490" s="663"/>
      <c r="F490" s="664" t="s">
        <v>162</v>
      </c>
      <c r="G490" s="665"/>
      <c r="H490" s="754" t="s">
        <v>162</v>
      </c>
      <c r="I490" s="714"/>
      <c r="J490" s="715"/>
      <c r="K490" s="716"/>
      <c r="L490" s="715"/>
      <c r="M490" s="716"/>
      <c r="N490" s="215"/>
      <c r="O490" s="196"/>
      <c r="P490" s="670"/>
      <c r="Q490" s="671"/>
      <c r="R490" s="719"/>
      <c r="S490" s="720"/>
      <c r="T490" s="721"/>
      <c r="U490" s="722"/>
      <c r="V490" s="723"/>
      <c r="W490" s="724"/>
      <c r="X490" s="678" t="s">
        <v>159</v>
      </c>
      <c r="Y490" s="678"/>
      <c r="Z490" s="678"/>
      <c r="AA490" s="678"/>
      <c r="AB490" s="679" t="s">
        <v>159</v>
      </c>
      <c r="AC490" s="679"/>
      <c r="AD490" s="679"/>
      <c r="AE490" s="679"/>
      <c r="AF490" s="727"/>
      <c r="AG490" s="728"/>
      <c r="AH490" s="727"/>
      <c r="AI490" s="728"/>
      <c r="AJ490" s="682"/>
      <c r="AK490" s="683"/>
      <c r="AL490" s="684" t="s">
        <v>162</v>
      </c>
      <c r="AM490" s="685"/>
      <c r="AN490" s="666" t="s">
        <v>162</v>
      </c>
      <c r="AO490" s="667"/>
      <c r="AP490" s="729"/>
      <c r="AQ490" s="730"/>
      <c r="AR490" s="731"/>
      <c r="AS490" s="732"/>
      <c r="AT490" s="690"/>
      <c r="AU490" s="691"/>
      <c r="AV490" s="666" t="s">
        <v>162</v>
      </c>
      <c r="AW490" s="667"/>
      <c r="AX490" s="692"/>
      <c r="AY490" s="693"/>
      <c r="AZ490" s="694"/>
      <c r="BA490" s="735"/>
      <c r="BB490" s="736"/>
      <c r="BC490" s="14"/>
      <c r="BD490" s="695" t="s">
        <v>162</v>
      </c>
      <c r="BE490" s="696"/>
      <c r="BF490" s="739"/>
      <c r="BG490" s="740"/>
      <c r="BH490" s="740"/>
      <c r="BI490" s="741"/>
      <c r="BJ490" s="700" t="s">
        <v>159</v>
      </c>
      <c r="BK490" s="701"/>
      <c r="BL490" s="701"/>
      <c r="BM490" s="702"/>
      <c r="BN490" s="703" t="s">
        <v>159</v>
      </c>
      <c r="BO490" s="704"/>
      <c r="BP490" s="704"/>
      <c r="BQ490" s="704"/>
      <c r="BR490" s="704"/>
      <c r="BS490" s="704"/>
      <c r="BT490" s="704"/>
      <c r="BU490" s="704"/>
      <c r="BV490" s="705"/>
    </row>
    <row r="491" spans="1:74" ht="45" customHeight="1" x14ac:dyDescent="0.25">
      <c r="A491" s="10">
        <f t="shared" si="7"/>
        <v>477</v>
      </c>
      <c r="B491" s="711" t="s">
        <v>159</v>
      </c>
      <c r="C491" s="711"/>
      <c r="D491" s="712" t="s">
        <v>212</v>
      </c>
      <c r="E491" s="712"/>
      <c r="F491" s="664" t="s">
        <v>162</v>
      </c>
      <c r="G491" s="665"/>
      <c r="H491" s="755" t="s">
        <v>162</v>
      </c>
      <c r="I491" s="667"/>
      <c r="J491" s="706"/>
      <c r="K491" s="707"/>
      <c r="L491" s="706"/>
      <c r="M491" s="707"/>
      <c r="N491" s="194"/>
      <c r="O491" s="216"/>
      <c r="P491" s="717"/>
      <c r="Q491" s="718"/>
      <c r="R491" s="672"/>
      <c r="S491" s="673"/>
      <c r="T491" s="674"/>
      <c r="U491" s="675"/>
      <c r="V491" s="676"/>
      <c r="W491" s="677"/>
      <c r="X491" s="725" t="s">
        <v>159</v>
      </c>
      <c r="Y491" s="725"/>
      <c r="Z491" s="725"/>
      <c r="AA491" s="725"/>
      <c r="AB491" s="726" t="s">
        <v>159</v>
      </c>
      <c r="AC491" s="726"/>
      <c r="AD491" s="726"/>
      <c r="AE491" s="726"/>
      <c r="AF491" s="680"/>
      <c r="AG491" s="681"/>
      <c r="AH491" s="680"/>
      <c r="AI491" s="681"/>
      <c r="AJ491" s="686"/>
      <c r="AK491" s="687"/>
      <c r="AL491" s="664" t="s">
        <v>162</v>
      </c>
      <c r="AM491" s="665"/>
      <c r="AN491" s="713" t="s">
        <v>162</v>
      </c>
      <c r="AO491" s="714"/>
      <c r="AP491" s="686"/>
      <c r="AQ491" s="687"/>
      <c r="AR491" s="688"/>
      <c r="AS491" s="689"/>
      <c r="AT491" s="690"/>
      <c r="AU491" s="691"/>
      <c r="AV491" s="713" t="s">
        <v>162</v>
      </c>
      <c r="AW491" s="714"/>
      <c r="AX491" s="692"/>
      <c r="AY491" s="693"/>
      <c r="AZ491" s="694"/>
      <c r="BA491" s="682"/>
      <c r="BB491" s="683"/>
      <c r="BC491" s="219"/>
      <c r="BD491" s="737" t="s">
        <v>162</v>
      </c>
      <c r="BE491" s="738"/>
      <c r="BF491" s="697"/>
      <c r="BG491" s="698"/>
      <c r="BH491" s="698"/>
      <c r="BI491" s="699"/>
      <c r="BJ491" s="742" t="s">
        <v>159</v>
      </c>
      <c r="BK491" s="743"/>
      <c r="BL491" s="743"/>
      <c r="BM491" s="744"/>
      <c r="BN491" s="703" t="s">
        <v>159</v>
      </c>
      <c r="BO491" s="704"/>
      <c r="BP491" s="704"/>
      <c r="BQ491" s="704"/>
      <c r="BR491" s="704"/>
      <c r="BS491" s="704"/>
      <c r="BT491" s="704"/>
      <c r="BU491" s="704"/>
      <c r="BV491" s="705"/>
    </row>
    <row r="492" spans="1:74" ht="45" customHeight="1" x14ac:dyDescent="0.25">
      <c r="A492" s="10">
        <f t="shared" si="7"/>
        <v>478</v>
      </c>
      <c r="B492" s="662" t="s">
        <v>159</v>
      </c>
      <c r="C492" s="662"/>
      <c r="D492" s="663" t="s">
        <v>212</v>
      </c>
      <c r="E492" s="663"/>
      <c r="F492" s="664" t="s">
        <v>162</v>
      </c>
      <c r="G492" s="665"/>
      <c r="H492" s="754" t="s">
        <v>162</v>
      </c>
      <c r="I492" s="714"/>
      <c r="J492" s="715"/>
      <c r="K492" s="716"/>
      <c r="L492" s="715"/>
      <c r="M492" s="716"/>
      <c r="N492" s="215"/>
      <c r="O492" s="196"/>
      <c r="P492" s="670"/>
      <c r="Q492" s="671"/>
      <c r="R492" s="719"/>
      <c r="S492" s="720"/>
      <c r="T492" s="721"/>
      <c r="U492" s="722"/>
      <c r="V492" s="723"/>
      <c r="W492" s="724"/>
      <c r="X492" s="678" t="s">
        <v>159</v>
      </c>
      <c r="Y492" s="678"/>
      <c r="Z492" s="678"/>
      <c r="AA492" s="678"/>
      <c r="AB492" s="679" t="s">
        <v>159</v>
      </c>
      <c r="AC492" s="679"/>
      <c r="AD492" s="679"/>
      <c r="AE492" s="679"/>
      <c r="AF492" s="727"/>
      <c r="AG492" s="728"/>
      <c r="AH492" s="727"/>
      <c r="AI492" s="728"/>
      <c r="AJ492" s="682"/>
      <c r="AK492" s="683"/>
      <c r="AL492" s="684" t="s">
        <v>162</v>
      </c>
      <c r="AM492" s="685"/>
      <c r="AN492" s="666" t="s">
        <v>162</v>
      </c>
      <c r="AO492" s="667"/>
      <c r="AP492" s="729"/>
      <c r="AQ492" s="730"/>
      <c r="AR492" s="731"/>
      <c r="AS492" s="732"/>
      <c r="AT492" s="690"/>
      <c r="AU492" s="691"/>
      <c r="AV492" s="666" t="s">
        <v>162</v>
      </c>
      <c r="AW492" s="667"/>
      <c r="AX492" s="692"/>
      <c r="AY492" s="693"/>
      <c r="AZ492" s="694"/>
      <c r="BA492" s="735"/>
      <c r="BB492" s="736"/>
      <c r="BC492" s="14"/>
      <c r="BD492" s="695" t="s">
        <v>162</v>
      </c>
      <c r="BE492" s="696"/>
      <c r="BF492" s="739"/>
      <c r="BG492" s="740"/>
      <c r="BH492" s="740"/>
      <c r="BI492" s="741"/>
      <c r="BJ492" s="700" t="s">
        <v>159</v>
      </c>
      <c r="BK492" s="701"/>
      <c r="BL492" s="701"/>
      <c r="BM492" s="702"/>
      <c r="BN492" s="703" t="s">
        <v>159</v>
      </c>
      <c r="BO492" s="704"/>
      <c r="BP492" s="704"/>
      <c r="BQ492" s="704"/>
      <c r="BR492" s="704"/>
      <c r="BS492" s="704"/>
      <c r="BT492" s="704"/>
      <c r="BU492" s="704"/>
      <c r="BV492" s="705"/>
    </row>
    <row r="493" spans="1:74" ht="45" customHeight="1" x14ac:dyDescent="0.25">
      <c r="A493" s="10">
        <f t="shared" si="7"/>
        <v>479</v>
      </c>
      <c r="B493" s="711" t="s">
        <v>159</v>
      </c>
      <c r="C493" s="711"/>
      <c r="D493" s="712" t="s">
        <v>212</v>
      </c>
      <c r="E493" s="712"/>
      <c r="F493" s="664" t="s">
        <v>162</v>
      </c>
      <c r="G493" s="665"/>
      <c r="H493" s="755" t="s">
        <v>162</v>
      </c>
      <c r="I493" s="667"/>
      <c r="J493" s="706"/>
      <c r="K493" s="707"/>
      <c r="L493" s="706"/>
      <c r="M493" s="707"/>
      <c r="N493" s="194"/>
      <c r="O493" s="216"/>
      <c r="P493" s="717"/>
      <c r="Q493" s="718"/>
      <c r="R493" s="672"/>
      <c r="S493" s="673"/>
      <c r="T493" s="674"/>
      <c r="U493" s="675"/>
      <c r="V493" s="676"/>
      <c r="W493" s="677"/>
      <c r="X493" s="725" t="s">
        <v>159</v>
      </c>
      <c r="Y493" s="725"/>
      <c r="Z493" s="725"/>
      <c r="AA493" s="725"/>
      <c r="AB493" s="726" t="s">
        <v>159</v>
      </c>
      <c r="AC493" s="726"/>
      <c r="AD493" s="726"/>
      <c r="AE493" s="726"/>
      <c r="AF493" s="680"/>
      <c r="AG493" s="681"/>
      <c r="AH493" s="680"/>
      <c r="AI493" s="681"/>
      <c r="AJ493" s="686"/>
      <c r="AK493" s="687"/>
      <c r="AL493" s="664" t="s">
        <v>162</v>
      </c>
      <c r="AM493" s="665"/>
      <c r="AN493" s="713" t="s">
        <v>162</v>
      </c>
      <c r="AO493" s="714"/>
      <c r="AP493" s="686"/>
      <c r="AQ493" s="687"/>
      <c r="AR493" s="688"/>
      <c r="AS493" s="689"/>
      <c r="AT493" s="690"/>
      <c r="AU493" s="691"/>
      <c r="AV493" s="713" t="s">
        <v>162</v>
      </c>
      <c r="AW493" s="714"/>
      <c r="AX493" s="692"/>
      <c r="AY493" s="693"/>
      <c r="AZ493" s="694"/>
      <c r="BA493" s="682"/>
      <c r="BB493" s="683"/>
      <c r="BC493" s="219"/>
      <c r="BD493" s="737" t="s">
        <v>162</v>
      </c>
      <c r="BE493" s="738"/>
      <c r="BF493" s="708"/>
      <c r="BG493" s="709"/>
      <c r="BH493" s="709"/>
      <c r="BI493" s="710"/>
      <c r="BJ493" s="742" t="s">
        <v>159</v>
      </c>
      <c r="BK493" s="743"/>
      <c r="BL493" s="743"/>
      <c r="BM493" s="744"/>
      <c r="BN493" s="703" t="s">
        <v>159</v>
      </c>
      <c r="BO493" s="704"/>
      <c r="BP493" s="704"/>
      <c r="BQ493" s="704"/>
      <c r="BR493" s="704"/>
      <c r="BS493" s="704"/>
      <c r="BT493" s="704"/>
      <c r="BU493" s="704"/>
      <c r="BV493" s="705"/>
    </row>
    <row r="494" spans="1:74" ht="45" customHeight="1" x14ac:dyDescent="0.25">
      <c r="A494" s="10">
        <f t="shared" si="7"/>
        <v>480</v>
      </c>
      <c r="B494" s="662" t="s">
        <v>159</v>
      </c>
      <c r="C494" s="662"/>
      <c r="D494" s="663" t="s">
        <v>212</v>
      </c>
      <c r="E494" s="663"/>
      <c r="F494" s="664" t="s">
        <v>162</v>
      </c>
      <c r="G494" s="665"/>
      <c r="H494" s="754" t="s">
        <v>162</v>
      </c>
      <c r="I494" s="714"/>
      <c r="J494" s="715"/>
      <c r="K494" s="716"/>
      <c r="L494" s="715"/>
      <c r="M494" s="716"/>
      <c r="N494" s="215"/>
      <c r="O494" s="196"/>
      <c r="P494" s="670"/>
      <c r="Q494" s="671"/>
      <c r="R494" s="719"/>
      <c r="S494" s="720"/>
      <c r="T494" s="721"/>
      <c r="U494" s="722"/>
      <c r="V494" s="723"/>
      <c r="W494" s="724"/>
      <c r="X494" s="678" t="s">
        <v>159</v>
      </c>
      <c r="Y494" s="678"/>
      <c r="Z494" s="678"/>
      <c r="AA494" s="678"/>
      <c r="AB494" s="679" t="s">
        <v>159</v>
      </c>
      <c r="AC494" s="679"/>
      <c r="AD494" s="679"/>
      <c r="AE494" s="679"/>
      <c r="AF494" s="727"/>
      <c r="AG494" s="728"/>
      <c r="AH494" s="727"/>
      <c r="AI494" s="728"/>
      <c r="AJ494" s="682"/>
      <c r="AK494" s="683"/>
      <c r="AL494" s="684" t="s">
        <v>162</v>
      </c>
      <c r="AM494" s="685"/>
      <c r="AN494" s="666" t="s">
        <v>162</v>
      </c>
      <c r="AO494" s="667"/>
      <c r="AP494" s="729"/>
      <c r="AQ494" s="730"/>
      <c r="AR494" s="731"/>
      <c r="AS494" s="732"/>
      <c r="AT494" s="690"/>
      <c r="AU494" s="691"/>
      <c r="AV494" s="666" t="s">
        <v>162</v>
      </c>
      <c r="AW494" s="667"/>
      <c r="AX494" s="692"/>
      <c r="AY494" s="693"/>
      <c r="AZ494" s="694"/>
      <c r="BA494" s="735"/>
      <c r="BB494" s="736"/>
      <c r="BC494" s="14"/>
      <c r="BD494" s="695" t="s">
        <v>162</v>
      </c>
      <c r="BE494" s="696"/>
      <c r="BF494" s="739"/>
      <c r="BG494" s="740"/>
      <c r="BH494" s="740"/>
      <c r="BI494" s="741"/>
      <c r="BJ494" s="700" t="s">
        <v>159</v>
      </c>
      <c r="BK494" s="701"/>
      <c r="BL494" s="701"/>
      <c r="BM494" s="702"/>
      <c r="BN494" s="703" t="s">
        <v>159</v>
      </c>
      <c r="BO494" s="704"/>
      <c r="BP494" s="704"/>
      <c r="BQ494" s="704"/>
      <c r="BR494" s="704"/>
      <c r="BS494" s="704"/>
      <c r="BT494" s="704"/>
      <c r="BU494" s="704"/>
      <c r="BV494" s="705"/>
    </row>
    <row r="495" spans="1:74" ht="45" customHeight="1" x14ac:dyDescent="0.25">
      <c r="A495" s="10">
        <f t="shared" si="7"/>
        <v>481</v>
      </c>
      <c r="B495" s="711" t="s">
        <v>159</v>
      </c>
      <c r="C495" s="711"/>
      <c r="D495" s="712" t="s">
        <v>212</v>
      </c>
      <c r="E495" s="712"/>
      <c r="F495" s="664" t="s">
        <v>162</v>
      </c>
      <c r="G495" s="665"/>
      <c r="H495" s="755" t="s">
        <v>162</v>
      </c>
      <c r="I495" s="667"/>
      <c r="J495" s="706"/>
      <c r="K495" s="707"/>
      <c r="L495" s="706"/>
      <c r="M495" s="707"/>
      <c r="N495" s="194"/>
      <c r="O495" s="216"/>
      <c r="P495" s="717"/>
      <c r="Q495" s="718"/>
      <c r="R495" s="672"/>
      <c r="S495" s="673"/>
      <c r="T495" s="674"/>
      <c r="U495" s="675"/>
      <c r="V495" s="676"/>
      <c r="W495" s="677"/>
      <c r="X495" s="725" t="s">
        <v>159</v>
      </c>
      <c r="Y495" s="725"/>
      <c r="Z495" s="725"/>
      <c r="AA495" s="725"/>
      <c r="AB495" s="726" t="s">
        <v>159</v>
      </c>
      <c r="AC495" s="726"/>
      <c r="AD495" s="726"/>
      <c r="AE495" s="726"/>
      <c r="AF495" s="680"/>
      <c r="AG495" s="681"/>
      <c r="AH495" s="680"/>
      <c r="AI495" s="681"/>
      <c r="AJ495" s="686"/>
      <c r="AK495" s="687"/>
      <c r="AL495" s="664" t="s">
        <v>162</v>
      </c>
      <c r="AM495" s="665"/>
      <c r="AN495" s="713" t="s">
        <v>162</v>
      </c>
      <c r="AO495" s="714"/>
      <c r="AP495" s="686"/>
      <c r="AQ495" s="687"/>
      <c r="AR495" s="688"/>
      <c r="AS495" s="689"/>
      <c r="AT495" s="690"/>
      <c r="AU495" s="691"/>
      <c r="AV495" s="713" t="s">
        <v>162</v>
      </c>
      <c r="AW495" s="714"/>
      <c r="AX495" s="692"/>
      <c r="AY495" s="693"/>
      <c r="AZ495" s="694"/>
      <c r="BA495" s="682"/>
      <c r="BB495" s="683"/>
      <c r="BC495" s="219"/>
      <c r="BD495" s="737" t="s">
        <v>162</v>
      </c>
      <c r="BE495" s="738"/>
      <c r="BF495" s="708"/>
      <c r="BG495" s="709"/>
      <c r="BH495" s="709"/>
      <c r="BI495" s="710"/>
      <c r="BJ495" s="742" t="s">
        <v>159</v>
      </c>
      <c r="BK495" s="743"/>
      <c r="BL495" s="743"/>
      <c r="BM495" s="744"/>
      <c r="BN495" s="703" t="s">
        <v>159</v>
      </c>
      <c r="BO495" s="704"/>
      <c r="BP495" s="704"/>
      <c r="BQ495" s="704"/>
      <c r="BR495" s="704"/>
      <c r="BS495" s="704"/>
      <c r="BT495" s="704"/>
      <c r="BU495" s="704"/>
      <c r="BV495" s="705"/>
    </row>
    <row r="496" spans="1:74" ht="45" customHeight="1" x14ac:dyDescent="0.25">
      <c r="A496" s="10">
        <f t="shared" si="7"/>
        <v>482</v>
      </c>
      <c r="B496" s="662" t="s">
        <v>159</v>
      </c>
      <c r="C496" s="662"/>
      <c r="D496" s="663" t="s">
        <v>212</v>
      </c>
      <c r="E496" s="663"/>
      <c r="F496" s="664" t="s">
        <v>162</v>
      </c>
      <c r="G496" s="665"/>
      <c r="H496" s="754" t="s">
        <v>162</v>
      </c>
      <c r="I496" s="714"/>
      <c r="J496" s="715"/>
      <c r="K496" s="716"/>
      <c r="L496" s="715"/>
      <c r="M496" s="716"/>
      <c r="N496" s="215"/>
      <c r="O496" s="196"/>
      <c r="P496" s="670"/>
      <c r="Q496" s="671"/>
      <c r="R496" s="719"/>
      <c r="S496" s="720"/>
      <c r="T496" s="721"/>
      <c r="U496" s="722"/>
      <c r="V496" s="723"/>
      <c r="W496" s="724"/>
      <c r="X496" s="678" t="s">
        <v>159</v>
      </c>
      <c r="Y496" s="678"/>
      <c r="Z496" s="678"/>
      <c r="AA496" s="678"/>
      <c r="AB496" s="679" t="s">
        <v>159</v>
      </c>
      <c r="AC496" s="679"/>
      <c r="AD496" s="679"/>
      <c r="AE496" s="679"/>
      <c r="AF496" s="727"/>
      <c r="AG496" s="728"/>
      <c r="AH496" s="727"/>
      <c r="AI496" s="728"/>
      <c r="AJ496" s="682"/>
      <c r="AK496" s="683"/>
      <c r="AL496" s="684" t="s">
        <v>162</v>
      </c>
      <c r="AM496" s="685"/>
      <c r="AN496" s="666" t="s">
        <v>162</v>
      </c>
      <c r="AO496" s="667"/>
      <c r="AP496" s="729"/>
      <c r="AQ496" s="730"/>
      <c r="AR496" s="731"/>
      <c r="AS496" s="732"/>
      <c r="AT496" s="690"/>
      <c r="AU496" s="691"/>
      <c r="AV496" s="666" t="s">
        <v>162</v>
      </c>
      <c r="AW496" s="667"/>
      <c r="AX496" s="692"/>
      <c r="AY496" s="693"/>
      <c r="AZ496" s="694"/>
      <c r="BA496" s="735"/>
      <c r="BB496" s="736"/>
      <c r="BC496" s="14"/>
      <c r="BD496" s="695" t="s">
        <v>162</v>
      </c>
      <c r="BE496" s="696"/>
      <c r="BF496" s="739"/>
      <c r="BG496" s="740"/>
      <c r="BH496" s="740"/>
      <c r="BI496" s="741"/>
      <c r="BJ496" s="700" t="s">
        <v>159</v>
      </c>
      <c r="BK496" s="701"/>
      <c r="BL496" s="701"/>
      <c r="BM496" s="702"/>
      <c r="BN496" s="703" t="s">
        <v>159</v>
      </c>
      <c r="BO496" s="704"/>
      <c r="BP496" s="704"/>
      <c r="BQ496" s="704"/>
      <c r="BR496" s="704"/>
      <c r="BS496" s="704"/>
      <c r="BT496" s="704"/>
      <c r="BU496" s="704"/>
      <c r="BV496" s="705"/>
    </row>
    <row r="497" spans="1:74" ht="45" customHeight="1" x14ac:dyDescent="0.25">
      <c r="A497" s="10">
        <f t="shared" si="7"/>
        <v>483</v>
      </c>
      <c r="B497" s="711" t="s">
        <v>159</v>
      </c>
      <c r="C497" s="711"/>
      <c r="D497" s="712" t="s">
        <v>212</v>
      </c>
      <c r="E497" s="712"/>
      <c r="F497" s="664" t="s">
        <v>162</v>
      </c>
      <c r="G497" s="665"/>
      <c r="H497" s="755" t="s">
        <v>162</v>
      </c>
      <c r="I497" s="667"/>
      <c r="J497" s="706"/>
      <c r="K497" s="707"/>
      <c r="L497" s="706"/>
      <c r="M497" s="707"/>
      <c r="N497" s="194"/>
      <c r="O497" s="216"/>
      <c r="P497" s="717"/>
      <c r="Q497" s="718"/>
      <c r="R497" s="672"/>
      <c r="S497" s="673"/>
      <c r="T497" s="674"/>
      <c r="U497" s="675"/>
      <c r="V497" s="676"/>
      <c r="W497" s="677"/>
      <c r="X497" s="725" t="s">
        <v>159</v>
      </c>
      <c r="Y497" s="725"/>
      <c r="Z497" s="725"/>
      <c r="AA497" s="725"/>
      <c r="AB497" s="726" t="s">
        <v>159</v>
      </c>
      <c r="AC497" s="726"/>
      <c r="AD497" s="726"/>
      <c r="AE497" s="726"/>
      <c r="AF497" s="680"/>
      <c r="AG497" s="681"/>
      <c r="AH497" s="680"/>
      <c r="AI497" s="681"/>
      <c r="AJ497" s="686"/>
      <c r="AK497" s="687"/>
      <c r="AL497" s="664" t="s">
        <v>162</v>
      </c>
      <c r="AM497" s="665"/>
      <c r="AN497" s="713" t="s">
        <v>162</v>
      </c>
      <c r="AO497" s="714"/>
      <c r="AP497" s="686"/>
      <c r="AQ497" s="687"/>
      <c r="AR497" s="688"/>
      <c r="AS497" s="689"/>
      <c r="AT497" s="690"/>
      <c r="AU497" s="691"/>
      <c r="AV497" s="713" t="s">
        <v>162</v>
      </c>
      <c r="AW497" s="714"/>
      <c r="AX497" s="692"/>
      <c r="AY497" s="693"/>
      <c r="AZ497" s="694"/>
      <c r="BA497" s="682"/>
      <c r="BB497" s="683"/>
      <c r="BC497" s="219"/>
      <c r="BD497" s="737" t="s">
        <v>162</v>
      </c>
      <c r="BE497" s="738"/>
      <c r="BF497" s="697"/>
      <c r="BG497" s="698"/>
      <c r="BH497" s="698"/>
      <c r="BI497" s="699"/>
      <c r="BJ497" s="742" t="s">
        <v>159</v>
      </c>
      <c r="BK497" s="743"/>
      <c r="BL497" s="743"/>
      <c r="BM497" s="744"/>
      <c r="BN497" s="703" t="s">
        <v>159</v>
      </c>
      <c r="BO497" s="704"/>
      <c r="BP497" s="704"/>
      <c r="BQ497" s="704"/>
      <c r="BR497" s="704"/>
      <c r="BS497" s="704"/>
      <c r="BT497" s="704"/>
      <c r="BU497" s="704"/>
      <c r="BV497" s="705"/>
    </row>
    <row r="498" spans="1:74" ht="45" customHeight="1" x14ac:dyDescent="0.25">
      <c r="A498" s="10">
        <f t="shared" si="7"/>
        <v>484</v>
      </c>
      <c r="B498" s="662" t="s">
        <v>159</v>
      </c>
      <c r="C498" s="662"/>
      <c r="D498" s="663" t="s">
        <v>212</v>
      </c>
      <c r="E498" s="663"/>
      <c r="F498" s="664" t="s">
        <v>162</v>
      </c>
      <c r="G498" s="665"/>
      <c r="H498" s="754" t="s">
        <v>162</v>
      </c>
      <c r="I498" s="714"/>
      <c r="J498" s="715"/>
      <c r="K498" s="716"/>
      <c r="L498" s="715"/>
      <c r="M498" s="716"/>
      <c r="N498" s="215"/>
      <c r="O498" s="196"/>
      <c r="P498" s="670"/>
      <c r="Q498" s="671"/>
      <c r="R498" s="719"/>
      <c r="S498" s="720"/>
      <c r="T498" s="721"/>
      <c r="U498" s="722"/>
      <c r="V498" s="723"/>
      <c r="W498" s="724"/>
      <c r="X498" s="678" t="s">
        <v>159</v>
      </c>
      <c r="Y498" s="678"/>
      <c r="Z498" s="678"/>
      <c r="AA498" s="678"/>
      <c r="AB498" s="679" t="s">
        <v>159</v>
      </c>
      <c r="AC498" s="679"/>
      <c r="AD498" s="679"/>
      <c r="AE498" s="679"/>
      <c r="AF498" s="727"/>
      <c r="AG498" s="728"/>
      <c r="AH498" s="727"/>
      <c r="AI498" s="728"/>
      <c r="AJ498" s="682"/>
      <c r="AK498" s="683"/>
      <c r="AL498" s="684" t="s">
        <v>162</v>
      </c>
      <c r="AM498" s="685"/>
      <c r="AN498" s="666" t="s">
        <v>162</v>
      </c>
      <c r="AO498" s="667"/>
      <c r="AP498" s="729"/>
      <c r="AQ498" s="730"/>
      <c r="AR498" s="731"/>
      <c r="AS498" s="732"/>
      <c r="AT498" s="690"/>
      <c r="AU498" s="691"/>
      <c r="AV498" s="666" t="s">
        <v>162</v>
      </c>
      <c r="AW498" s="667"/>
      <c r="AX498" s="692"/>
      <c r="AY498" s="693"/>
      <c r="AZ498" s="694"/>
      <c r="BA498" s="735"/>
      <c r="BB498" s="736"/>
      <c r="BC498" s="14"/>
      <c r="BD498" s="695" t="s">
        <v>162</v>
      </c>
      <c r="BE498" s="696"/>
      <c r="BF498" s="739"/>
      <c r="BG498" s="740"/>
      <c r="BH498" s="740"/>
      <c r="BI498" s="741"/>
      <c r="BJ498" s="700" t="s">
        <v>159</v>
      </c>
      <c r="BK498" s="701"/>
      <c r="BL498" s="701"/>
      <c r="BM498" s="702"/>
      <c r="BN498" s="703" t="s">
        <v>159</v>
      </c>
      <c r="BO498" s="704"/>
      <c r="BP498" s="704"/>
      <c r="BQ498" s="704"/>
      <c r="BR498" s="704"/>
      <c r="BS498" s="704"/>
      <c r="BT498" s="704"/>
      <c r="BU498" s="704"/>
      <c r="BV498" s="705"/>
    </row>
    <row r="499" spans="1:74" ht="45" customHeight="1" x14ac:dyDescent="0.25">
      <c r="A499" s="10">
        <f t="shared" si="7"/>
        <v>485</v>
      </c>
      <c r="B499" s="711" t="s">
        <v>159</v>
      </c>
      <c r="C499" s="711"/>
      <c r="D499" s="712" t="s">
        <v>212</v>
      </c>
      <c r="E499" s="712"/>
      <c r="F499" s="664" t="s">
        <v>162</v>
      </c>
      <c r="G499" s="665"/>
      <c r="H499" s="755" t="s">
        <v>162</v>
      </c>
      <c r="I499" s="667"/>
      <c r="J499" s="706"/>
      <c r="K499" s="707"/>
      <c r="L499" s="706"/>
      <c r="M499" s="707"/>
      <c r="N499" s="194"/>
      <c r="O499" s="216"/>
      <c r="P499" s="717"/>
      <c r="Q499" s="718"/>
      <c r="R499" s="672"/>
      <c r="S499" s="673"/>
      <c r="T499" s="674"/>
      <c r="U499" s="675"/>
      <c r="V499" s="676"/>
      <c r="W499" s="677"/>
      <c r="X499" s="725" t="s">
        <v>159</v>
      </c>
      <c r="Y499" s="725"/>
      <c r="Z499" s="725"/>
      <c r="AA499" s="725"/>
      <c r="AB499" s="726" t="s">
        <v>159</v>
      </c>
      <c r="AC499" s="726"/>
      <c r="AD499" s="726"/>
      <c r="AE499" s="726"/>
      <c r="AF499" s="680"/>
      <c r="AG499" s="681"/>
      <c r="AH499" s="680"/>
      <c r="AI499" s="681"/>
      <c r="AJ499" s="686"/>
      <c r="AK499" s="687"/>
      <c r="AL499" s="664" t="s">
        <v>162</v>
      </c>
      <c r="AM499" s="665"/>
      <c r="AN499" s="713" t="s">
        <v>162</v>
      </c>
      <c r="AO499" s="714"/>
      <c r="AP499" s="686"/>
      <c r="AQ499" s="687"/>
      <c r="AR499" s="688"/>
      <c r="AS499" s="689"/>
      <c r="AT499" s="690"/>
      <c r="AU499" s="691"/>
      <c r="AV499" s="713" t="s">
        <v>162</v>
      </c>
      <c r="AW499" s="714"/>
      <c r="AX499" s="692"/>
      <c r="AY499" s="693"/>
      <c r="AZ499" s="694"/>
      <c r="BA499" s="682"/>
      <c r="BB499" s="683"/>
      <c r="BC499" s="219"/>
      <c r="BD499" s="737" t="s">
        <v>162</v>
      </c>
      <c r="BE499" s="738"/>
      <c r="BF499" s="708"/>
      <c r="BG499" s="709"/>
      <c r="BH499" s="709"/>
      <c r="BI499" s="710"/>
      <c r="BJ499" s="742" t="s">
        <v>159</v>
      </c>
      <c r="BK499" s="743"/>
      <c r="BL499" s="743"/>
      <c r="BM499" s="744"/>
      <c r="BN499" s="703" t="s">
        <v>159</v>
      </c>
      <c r="BO499" s="704"/>
      <c r="BP499" s="704"/>
      <c r="BQ499" s="704"/>
      <c r="BR499" s="704"/>
      <c r="BS499" s="704"/>
      <c r="BT499" s="704"/>
      <c r="BU499" s="704"/>
      <c r="BV499" s="705"/>
    </row>
    <row r="500" spans="1:74" ht="45" customHeight="1" x14ac:dyDescent="0.25">
      <c r="A500" s="10">
        <f t="shared" si="7"/>
        <v>486</v>
      </c>
      <c r="B500" s="662" t="s">
        <v>159</v>
      </c>
      <c r="C500" s="662"/>
      <c r="D500" s="663" t="s">
        <v>212</v>
      </c>
      <c r="E500" s="663"/>
      <c r="F500" s="664" t="s">
        <v>162</v>
      </c>
      <c r="G500" s="665"/>
      <c r="H500" s="754" t="s">
        <v>162</v>
      </c>
      <c r="I500" s="714"/>
      <c r="J500" s="715"/>
      <c r="K500" s="716"/>
      <c r="L500" s="715"/>
      <c r="M500" s="716"/>
      <c r="N500" s="215"/>
      <c r="O500" s="196"/>
      <c r="P500" s="670"/>
      <c r="Q500" s="671"/>
      <c r="R500" s="719"/>
      <c r="S500" s="720"/>
      <c r="T500" s="721"/>
      <c r="U500" s="722"/>
      <c r="V500" s="723"/>
      <c r="W500" s="724"/>
      <c r="X500" s="678" t="s">
        <v>159</v>
      </c>
      <c r="Y500" s="678"/>
      <c r="Z500" s="678"/>
      <c r="AA500" s="678"/>
      <c r="AB500" s="679" t="s">
        <v>159</v>
      </c>
      <c r="AC500" s="679"/>
      <c r="AD500" s="679"/>
      <c r="AE500" s="679"/>
      <c r="AF500" s="727"/>
      <c r="AG500" s="728"/>
      <c r="AH500" s="727"/>
      <c r="AI500" s="728"/>
      <c r="AJ500" s="682"/>
      <c r="AK500" s="683"/>
      <c r="AL500" s="684" t="s">
        <v>162</v>
      </c>
      <c r="AM500" s="685"/>
      <c r="AN500" s="666" t="s">
        <v>162</v>
      </c>
      <c r="AO500" s="667"/>
      <c r="AP500" s="729"/>
      <c r="AQ500" s="730"/>
      <c r="AR500" s="731"/>
      <c r="AS500" s="732"/>
      <c r="AT500" s="690"/>
      <c r="AU500" s="691"/>
      <c r="AV500" s="666" t="s">
        <v>162</v>
      </c>
      <c r="AW500" s="667"/>
      <c r="AX500" s="692"/>
      <c r="AY500" s="693"/>
      <c r="AZ500" s="694"/>
      <c r="BA500" s="735"/>
      <c r="BB500" s="736"/>
      <c r="BC500" s="14"/>
      <c r="BD500" s="695" t="s">
        <v>162</v>
      </c>
      <c r="BE500" s="696"/>
      <c r="BF500" s="739"/>
      <c r="BG500" s="740"/>
      <c r="BH500" s="740"/>
      <c r="BI500" s="741"/>
      <c r="BJ500" s="700" t="s">
        <v>159</v>
      </c>
      <c r="BK500" s="701"/>
      <c r="BL500" s="701"/>
      <c r="BM500" s="702"/>
      <c r="BN500" s="703" t="s">
        <v>159</v>
      </c>
      <c r="BO500" s="704"/>
      <c r="BP500" s="704"/>
      <c r="BQ500" s="704"/>
      <c r="BR500" s="704"/>
      <c r="BS500" s="704"/>
      <c r="BT500" s="704"/>
      <c r="BU500" s="704"/>
      <c r="BV500" s="705"/>
    </row>
    <row r="501" spans="1:74" ht="45" customHeight="1" x14ac:dyDescent="0.25">
      <c r="A501" s="10">
        <f t="shared" si="7"/>
        <v>487</v>
      </c>
      <c r="B501" s="711" t="s">
        <v>159</v>
      </c>
      <c r="C501" s="711"/>
      <c r="D501" s="712" t="s">
        <v>212</v>
      </c>
      <c r="E501" s="712"/>
      <c r="F501" s="664" t="s">
        <v>162</v>
      </c>
      <c r="G501" s="665"/>
      <c r="H501" s="755" t="s">
        <v>162</v>
      </c>
      <c r="I501" s="667"/>
      <c r="J501" s="706"/>
      <c r="K501" s="707"/>
      <c r="L501" s="706"/>
      <c r="M501" s="707"/>
      <c r="N501" s="194"/>
      <c r="O501" s="216"/>
      <c r="P501" s="717"/>
      <c r="Q501" s="718"/>
      <c r="R501" s="672"/>
      <c r="S501" s="673"/>
      <c r="T501" s="674"/>
      <c r="U501" s="675"/>
      <c r="V501" s="676"/>
      <c r="W501" s="677"/>
      <c r="X501" s="725" t="s">
        <v>159</v>
      </c>
      <c r="Y501" s="725"/>
      <c r="Z501" s="725"/>
      <c r="AA501" s="725"/>
      <c r="AB501" s="726" t="s">
        <v>159</v>
      </c>
      <c r="AC501" s="726"/>
      <c r="AD501" s="726"/>
      <c r="AE501" s="726"/>
      <c r="AF501" s="680"/>
      <c r="AG501" s="681"/>
      <c r="AH501" s="680"/>
      <c r="AI501" s="681"/>
      <c r="AJ501" s="686"/>
      <c r="AK501" s="687"/>
      <c r="AL501" s="664" t="s">
        <v>162</v>
      </c>
      <c r="AM501" s="665"/>
      <c r="AN501" s="713" t="s">
        <v>162</v>
      </c>
      <c r="AO501" s="714"/>
      <c r="AP501" s="686"/>
      <c r="AQ501" s="687"/>
      <c r="AR501" s="688"/>
      <c r="AS501" s="689"/>
      <c r="AT501" s="690"/>
      <c r="AU501" s="691"/>
      <c r="AV501" s="713" t="s">
        <v>162</v>
      </c>
      <c r="AW501" s="714"/>
      <c r="AX501" s="692"/>
      <c r="AY501" s="693"/>
      <c r="AZ501" s="694"/>
      <c r="BA501" s="682"/>
      <c r="BB501" s="683"/>
      <c r="BC501" s="219"/>
      <c r="BD501" s="737" t="s">
        <v>162</v>
      </c>
      <c r="BE501" s="738"/>
      <c r="BF501" s="697"/>
      <c r="BG501" s="698"/>
      <c r="BH501" s="698"/>
      <c r="BI501" s="699"/>
      <c r="BJ501" s="742" t="s">
        <v>159</v>
      </c>
      <c r="BK501" s="743"/>
      <c r="BL501" s="743"/>
      <c r="BM501" s="744"/>
      <c r="BN501" s="703" t="s">
        <v>159</v>
      </c>
      <c r="BO501" s="704"/>
      <c r="BP501" s="704"/>
      <c r="BQ501" s="704"/>
      <c r="BR501" s="704"/>
      <c r="BS501" s="704"/>
      <c r="BT501" s="704"/>
      <c r="BU501" s="704"/>
      <c r="BV501" s="705"/>
    </row>
    <row r="502" spans="1:74" ht="45" customHeight="1" x14ac:dyDescent="0.25">
      <c r="A502" s="10">
        <f t="shared" si="7"/>
        <v>488</v>
      </c>
      <c r="B502" s="662" t="s">
        <v>159</v>
      </c>
      <c r="C502" s="662"/>
      <c r="D502" s="663" t="s">
        <v>212</v>
      </c>
      <c r="E502" s="663"/>
      <c r="F502" s="664" t="s">
        <v>162</v>
      </c>
      <c r="G502" s="665"/>
      <c r="H502" s="754" t="s">
        <v>162</v>
      </c>
      <c r="I502" s="714"/>
      <c r="J502" s="715"/>
      <c r="K502" s="716"/>
      <c r="L502" s="715"/>
      <c r="M502" s="716"/>
      <c r="N502" s="215"/>
      <c r="O502" s="196"/>
      <c r="P502" s="670"/>
      <c r="Q502" s="671"/>
      <c r="R502" s="719"/>
      <c r="S502" s="720"/>
      <c r="T502" s="721"/>
      <c r="U502" s="722"/>
      <c r="V502" s="723"/>
      <c r="W502" s="724"/>
      <c r="X502" s="678" t="s">
        <v>159</v>
      </c>
      <c r="Y502" s="678"/>
      <c r="Z502" s="678"/>
      <c r="AA502" s="678"/>
      <c r="AB502" s="679" t="s">
        <v>159</v>
      </c>
      <c r="AC502" s="679"/>
      <c r="AD502" s="679"/>
      <c r="AE502" s="679"/>
      <c r="AF502" s="727"/>
      <c r="AG502" s="728"/>
      <c r="AH502" s="727"/>
      <c r="AI502" s="728"/>
      <c r="AJ502" s="682"/>
      <c r="AK502" s="683"/>
      <c r="AL502" s="684" t="s">
        <v>162</v>
      </c>
      <c r="AM502" s="685"/>
      <c r="AN502" s="666" t="s">
        <v>162</v>
      </c>
      <c r="AO502" s="667"/>
      <c r="AP502" s="729"/>
      <c r="AQ502" s="730"/>
      <c r="AR502" s="731"/>
      <c r="AS502" s="732"/>
      <c r="AT502" s="690"/>
      <c r="AU502" s="691"/>
      <c r="AV502" s="666" t="s">
        <v>162</v>
      </c>
      <c r="AW502" s="667"/>
      <c r="AX502" s="692"/>
      <c r="AY502" s="693"/>
      <c r="AZ502" s="694"/>
      <c r="BA502" s="735"/>
      <c r="BB502" s="736"/>
      <c r="BC502" s="14"/>
      <c r="BD502" s="695" t="s">
        <v>162</v>
      </c>
      <c r="BE502" s="696"/>
      <c r="BF502" s="739"/>
      <c r="BG502" s="740"/>
      <c r="BH502" s="740"/>
      <c r="BI502" s="741"/>
      <c r="BJ502" s="700" t="s">
        <v>159</v>
      </c>
      <c r="BK502" s="701"/>
      <c r="BL502" s="701"/>
      <c r="BM502" s="702"/>
      <c r="BN502" s="703" t="s">
        <v>159</v>
      </c>
      <c r="BO502" s="704"/>
      <c r="BP502" s="704"/>
      <c r="BQ502" s="704"/>
      <c r="BR502" s="704"/>
      <c r="BS502" s="704"/>
      <c r="BT502" s="704"/>
      <c r="BU502" s="704"/>
      <c r="BV502" s="705"/>
    </row>
    <row r="503" spans="1:74" ht="45" customHeight="1" x14ac:dyDescent="0.25">
      <c r="A503" s="10">
        <f t="shared" si="7"/>
        <v>489</v>
      </c>
      <c r="B503" s="711" t="s">
        <v>159</v>
      </c>
      <c r="C503" s="711"/>
      <c r="D503" s="712" t="s">
        <v>212</v>
      </c>
      <c r="E503" s="712"/>
      <c r="F503" s="664" t="s">
        <v>162</v>
      </c>
      <c r="G503" s="665"/>
      <c r="H503" s="755" t="s">
        <v>162</v>
      </c>
      <c r="I503" s="667"/>
      <c r="J503" s="706"/>
      <c r="K503" s="707"/>
      <c r="L503" s="706"/>
      <c r="M503" s="707"/>
      <c r="N503" s="194"/>
      <c r="O503" s="216"/>
      <c r="P503" s="717"/>
      <c r="Q503" s="718"/>
      <c r="R503" s="672"/>
      <c r="S503" s="673"/>
      <c r="T503" s="674"/>
      <c r="U503" s="675"/>
      <c r="V503" s="676"/>
      <c r="W503" s="677"/>
      <c r="X503" s="725" t="s">
        <v>159</v>
      </c>
      <c r="Y503" s="725"/>
      <c r="Z503" s="725"/>
      <c r="AA503" s="725"/>
      <c r="AB503" s="726" t="s">
        <v>159</v>
      </c>
      <c r="AC503" s="726"/>
      <c r="AD503" s="726"/>
      <c r="AE503" s="726"/>
      <c r="AF503" s="680"/>
      <c r="AG503" s="681"/>
      <c r="AH503" s="680"/>
      <c r="AI503" s="681"/>
      <c r="AJ503" s="686"/>
      <c r="AK503" s="687"/>
      <c r="AL503" s="664" t="s">
        <v>162</v>
      </c>
      <c r="AM503" s="665"/>
      <c r="AN503" s="713" t="s">
        <v>162</v>
      </c>
      <c r="AO503" s="714"/>
      <c r="AP503" s="686"/>
      <c r="AQ503" s="687"/>
      <c r="AR503" s="688"/>
      <c r="AS503" s="689"/>
      <c r="AT503" s="690"/>
      <c r="AU503" s="691"/>
      <c r="AV503" s="713" t="s">
        <v>162</v>
      </c>
      <c r="AW503" s="714"/>
      <c r="AX503" s="692"/>
      <c r="AY503" s="693"/>
      <c r="AZ503" s="694"/>
      <c r="BA503" s="682"/>
      <c r="BB503" s="683"/>
      <c r="BC503" s="219"/>
      <c r="BD503" s="737" t="s">
        <v>162</v>
      </c>
      <c r="BE503" s="738"/>
      <c r="BF503" s="708"/>
      <c r="BG503" s="709"/>
      <c r="BH503" s="709"/>
      <c r="BI503" s="710"/>
      <c r="BJ503" s="742" t="s">
        <v>159</v>
      </c>
      <c r="BK503" s="743"/>
      <c r="BL503" s="743"/>
      <c r="BM503" s="744"/>
      <c r="BN503" s="703" t="s">
        <v>159</v>
      </c>
      <c r="BO503" s="704"/>
      <c r="BP503" s="704"/>
      <c r="BQ503" s="704"/>
      <c r="BR503" s="704"/>
      <c r="BS503" s="704"/>
      <c r="BT503" s="704"/>
      <c r="BU503" s="704"/>
      <c r="BV503" s="705"/>
    </row>
    <row r="504" spans="1:74" ht="45" customHeight="1" x14ac:dyDescent="0.25">
      <c r="A504" s="10">
        <f t="shared" si="7"/>
        <v>490</v>
      </c>
      <c r="B504" s="662" t="s">
        <v>159</v>
      </c>
      <c r="C504" s="662"/>
      <c r="D504" s="663" t="s">
        <v>212</v>
      </c>
      <c r="E504" s="663"/>
      <c r="F504" s="664" t="s">
        <v>162</v>
      </c>
      <c r="G504" s="665"/>
      <c r="H504" s="754" t="s">
        <v>162</v>
      </c>
      <c r="I504" s="714"/>
      <c r="J504" s="715"/>
      <c r="K504" s="716"/>
      <c r="L504" s="715"/>
      <c r="M504" s="716"/>
      <c r="N504" s="215"/>
      <c r="O504" s="196"/>
      <c r="P504" s="670"/>
      <c r="Q504" s="671"/>
      <c r="R504" s="719"/>
      <c r="S504" s="720"/>
      <c r="T504" s="721"/>
      <c r="U504" s="722"/>
      <c r="V504" s="723"/>
      <c r="W504" s="724"/>
      <c r="X504" s="678" t="s">
        <v>159</v>
      </c>
      <c r="Y504" s="678"/>
      <c r="Z504" s="678"/>
      <c r="AA504" s="678"/>
      <c r="AB504" s="679" t="s">
        <v>159</v>
      </c>
      <c r="AC504" s="679"/>
      <c r="AD504" s="679"/>
      <c r="AE504" s="679"/>
      <c r="AF504" s="727"/>
      <c r="AG504" s="728"/>
      <c r="AH504" s="727"/>
      <c r="AI504" s="728"/>
      <c r="AJ504" s="682"/>
      <c r="AK504" s="683"/>
      <c r="AL504" s="684" t="s">
        <v>162</v>
      </c>
      <c r="AM504" s="685"/>
      <c r="AN504" s="666" t="s">
        <v>162</v>
      </c>
      <c r="AO504" s="667"/>
      <c r="AP504" s="729"/>
      <c r="AQ504" s="730"/>
      <c r="AR504" s="731"/>
      <c r="AS504" s="732"/>
      <c r="AT504" s="690"/>
      <c r="AU504" s="691"/>
      <c r="AV504" s="666" t="s">
        <v>162</v>
      </c>
      <c r="AW504" s="667"/>
      <c r="AX504" s="692"/>
      <c r="AY504" s="693"/>
      <c r="AZ504" s="694"/>
      <c r="BA504" s="735"/>
      <c r="BB504" s="736"/>
      <c r="BC504" s="14"/>
      <c r="BD504" s="695" t="s">
        <v>162</v>
      </c>
      <c r="BE504" s="696"/>
      <c r="BF504" s="739"/>
      <c r="BG504" s="740"/>
      <c r="BH504" s="740"/>
      <c r="BI504" s="741"/>
      <c r="BJ504" s="700" t="s">
        <v>159</v>
      </c>
      <c r="BK504" s="701"/>
      <c r="BL504" s="701"/>
      <c r="BM504" s="702"/>
      <c r="BN504" s="703" t="s">
        <v>159</v>
      </c>
      <c r="BO504" s="704"/>
      <c r="BP504" s="704"/>
      <c r="BQ504" s="704"/>
      <c r="BR504" s="704"/>
      <c r="BS504" s="704"/>
      <c r="BT504" s="704"/>
      <c r="BU504" s="704"/>
      <c r="BV504" s="705"/>
    </row>
    <row r="505" spans="1:74" ht="45" customHeight="1" x14ac:dyDescent="0.25">
      <c r="A505" s="10">
        <f t="shared" si="7"/>
        <v>491</v>
      </c>
      <c r="B505" s="711" t="s">
        <v>159</v>
      </c>
      <c r="C505" s="711"/>
      <c r="D505" s="712" t="s">
        <v>212</v>
      </c>
      <c r="E505" s="712"/>
      <c r="F505" s="664" t="s">
        <v>162</v>
      </c>
      <c r="G505" s="665"/>
      <c r="H505" s="755" t="s">
        <v>162</v>
      </c>
      <c r="I505" s="667"/>
      <c r="J505" s="706"/>
      <c r="K505" s="707"/>
      <c r="L505" s="706"/>
      <c r="M505" s="707"/>
      <c r="N505" s="194"/>
      <c r="O505" s="216"/>
      <c r="P505" s="717"/>
      <c r="Q505" s="718"/>
      <c r="R505" s="672"/>
      <c r="S505" s="673"/>
      <c r="T505" s="674"/>
      <c r="U505" s="675"/>
      <c r="V505" s="676"/>
      <c r="W505" s="677"/>
      <c r="X505" s="725" t="s">
        <v>159</v>
      </c>
      <c r="Y505" s="725"/>
      <c r="Z505" s="725"/>
      <c r="AA505" s="725"/>
      <c r="AB505" s="726" t="s">
        <v>159</v>
      </c>
      <c r="AC505" s="726"/>
      <c r="AD505" s="726"/>
      <c r="AE505" s="726"/>
      <c r="AF505" s="680"/>
      <c r="AG505" s="681"/>
      <c r="AH505" s="680"/>
      <c r="AI505" s="681"/>
      <c r="AJ505" s="686"/>
      <c r="AK505" s="687"/>
      <c r="AL505" s="664" t="s">
        <v>162</v>
      </c>
      <c r="AM505" s="665"/>
      <c r="AN505" s="713" t="s">
        <v>162</v>
      </c>
      <c r="AO505" s="714"/>
      <c r="AP505" s="686"/>
      <c r="AQ505" s="687"/>
      <c r="AR505" s="688"/>
      <c r="AS505" s="689"/>
      <c r="AT505" s="690"/>
      <c r="AU505" s="691"/>
      <c r="AV505" s="713" t="s">
        <v>162</v>
      </c>
      <c r="AW505" s="714"/>
      <c r="AX505" s="692"/>
      <c r="AY505" s="693"/>
      <c r="AZ505" s="694"/>
      <c r="BA505" s="682"/>
      <c r="BB505" s="683"/>
      <c r="BC505" s="219"/>
      <c r="BD505" s="737" t="s">
        <v>162</v>
      </c>
      <c r="BE505" s="738"/>
      <c r="BF505" s="708"/>
      <c r="BG505" s="709"/>
      <c r="BH505" s="709"/>
      <c r="BI505" s="710"/>
      <c r="BJ505" s="742" t="s">
        <v>159</v>
      </c>
      <c r="BK505" s="743"/>
      <c r="BL505" s="743"/>
      <c r="BM505" s="744"/>
      <c r="BN505" s="703" t="s">
        <v>159</v>
      </c>
      <c r="BO505" s="704"/>
      <c r="BP505" s="704"/>
      <c r="BQ505" s="704"/>
      <c r="BR505" s="704"/>
      <c r="BS505" s="704"/>
      <c r="BT505" s="704"/>
      <c r="BU505" s="704"/>
      <c r="BV505" s="705"/>
    </row>
    <row r="506" spans="1:74" ht="45" customHeight="1" x14ac:dyDescent="0.25">
      <c r="A506" s="10">
        <f t="shared" si="7"/>
        <v>492</v>
      </c>
      <c r="B506" s="662" t="s">
        <v>159</v>
      </c>
      <c r="C506" s="662"/>
      <c r="D506" s="663" t="s">
        <v>212</v>
      </c>
      <c r="E506" s="663"/>
      <c r="F506" s="664" t="s">
        <v>162</v>
      </c>
      <c r="G506" s="665"/>
      <c r="H506" s="754" t="s">
        <v>162</v>
      </c>
      <c r="I506" s="714"/>
      <c r="J506" s="715"/>
      <c r="K506" s="716"/>
      <c r="L506" s="715"/>
      <c r="M506" s="716"/>
      <c r="N506" s="215"/>
      <c r="O506" s="196"/>
      <c r="P506" s="670"/>
      <c r="Q506" s="671"/>
      <c r="R506" s="719"/>
      <c r="S506" s="720"/>
      <c r="T506" s="721"/>
      <c r="U506" s="722"/>
      <c r="V506" s="723"/>
      <c r="W506" s="724"/>
      <c r="X506" s="678" t="s">
        <v>159</v>
      </c>
      <c r="Y506" s="678"/>
      <c r="Z506" s="678"/>
      <c r="AA506" s="678"/>
      <c r="AB506" s="679" t="s">
        <v>159</v>
      </c>
      <c r="AC506" s="679"/>
      <c r="AD506" s="679"/>
      <c r="AE506" s="679"/>
      <c r="AF506" s="727"/>
      <c r="AG506" s="728"/>
      <c r="AH506" s="727"/>
      <c r="AI506" s="728"/>
      <c r="AJ506" s="682"/>
      <c r="AK506" s="683"/>
      <c r="AL506" s="684" t="s">
        <v>162</v>
      </c>
      <c r="AM506" s="685"/>
      <c r="AN506" s="666" t="s">
        <v>162</v>
      </c>
      <c r="AO506" s="667"/>
      <c r="AP506" s="729"/>
      <c r="AQ506" s="730"/>
      <c r="AR506" s="731"/>
      <c r="AS506" s="732"/>
      <c r="AT506" s="690"/>
      <c r="AU506" s="691"/>
      <c r="AV506" s="666" t="s">
        <v>162</v>
      </c>
      <c r="AW506" s="667"/>
      <c r="AX506" s="692"/>
      <c r="AY506" s="693"/>
      <c r="AZ506" s="694"/>
      <c r="BA506" s="735"/>
      <c r="BB506" s="736"/>
      <c r="BC506" s="14"/>
      <c r="BD506" s="695" t="s">
        <v>162</v>
      </c>
      <c r="BE506" s="696"/>
      <c r="BF506" s="739"/>
      <c r="BG506" s="740"/>
      <c r="BH506" s="740"/>
      <c r="BI506" s="741"/>
      <c r="BJ506" s="700" t="s">
        <v>159</v>
      </c>
      <c r="BK506" s="701"/>
      <c r="BL506" s="701"/>
      <c r="BM506" s="702"/>
      <c r="BN506" s="703" t="s">
        <v>159</v>
      </c>
      <c r="BO506" s="704"/>
      <c r="BP506" s="704"/>
      <c r="BQ506" s="704"/>
      <c r="BR506" s="704"/>
      <c r="BS506" s="704"/>
      <c r="BT506" s="704"/>
      <c r="BU506" s="704"/>
      <c r="BV506" s="705"/>
    </row>
    <row r="507" spans="1:74" ht="45" customHeight="1" x14ac:dyDescent="0.25">
      <c r="A507" s="10">
        <f t="shared" si="7"/>
        <v>493</v>
      </c>
      <c r="B507" s="711" t="s">
        <v>159</v>
      </c>
      <c r="C507" s="711"/>
      <c r="D507" s="712" t="s">
        <v>212</v>
      </c>
      <c r="E507" s="712"/>
      <c r="F507" s="664" t="s">
        <v>162</v>
      </c>
      <c r="G507" s="665"/>
      <c r="H507" s="755" t="s">
        <v>162</v>
      </c>
      <c r="I507" s="667"/>
      <c r="J507" s="706"/>
      <c r="K507" s="707"/>
      <c r="L507" s="706"/>
      <c r="M507" s="707"/>
      <c r="N507" s="194"/>
      <c r="O507" s="216"/>
      <c r="P507" s="717"/>
      <c r="Q507" s="718"/>
      <c r="R507" s="672"/>
      <c r="S507" s="673"/>
      <c r="T507" s="674"/>
      <c r="U507" s="675"/>
      <c r="V507" s="676"/>
      <c r="W507" s="677"/>
      <c r="X507" s="725" t="s">
        <v>159</v>
      </c>
      <c r="Y507" s="725"/>
      <c r="Z507" s="725"/>
      <c r="AA507" s="725"/>
      <c r="AB507" s="726" t="s">
        <v>159</v>
      </c>
      <c r="AC507" s="726"/>
      <c r="AD507" s="726"/>
      <c r="AE507" s="726"/>
      <c r="AF507" s="680"/>
      <c r="AG507" s="681"/>
      <c r="AH507" s="680"/>
      <c r="AI507" s="681"/>
      <c r="AJ507" s="686"/>
      <c r="AK507" s="687"/>
      <c r="AL507" s="664" t="s">
        <v>162</v>
      </c>
      <c r="AM507" s="665"/>
      <c r="AN507" s="713" t="s">
        <v>162</v>
      </c>
      <c r="AO507" s="714"/>
      <c r="AP507" s="686"/>
      <c r="AQ507" s="687"/>
      <c r="AR507" s="688"/>
      <c r="AS507" s="689"/>
      <c r="AT507" s="690"/>
      <c r="AU507" s="691"/>
      <c r="AV507" s="713" t="s">
        <v>162</v>
      </c>
      <c r="AW507" s="714"/>
      <c r="AX507" s="692"/>
      <c r="AY507" s="693"/>
      <c r="AZ507" s="694"/>
      <c r="BA507" s="682"/>
      <c r="BB507" s="683"/>
      <c r="BC507" s="219"/>
      <c r="BD507" s="737" t="s">
        <v>162</v>
      </c>
      <c r="BE507" s="738"/>
      <c r="BF507" s="697"/>
      <c r="BG507" s="698"/>
      <c r="BH507" s="698"/>
      <c r="BI507" s="699"/>
      <c r="BJ507" s="742" t="s">
        <v>159</v>
      </c>
      <c r="BK507" s="743"/>
      <c r="BL507" s="743"/>
      <c r="BM507" s="744"/>
      <c r="BN507" s="703" t="s">
        <v>159</v>
      </c>
      <c r="BO507" s="704"/>
      <c r="BP507" s="704"/>
      <c r="BQ507" s="704"/>
      <c r="BR507" s="704"/>
      <c r="BS507" s="704"/>
      <c r="BT507" s="704"/>
      <c r="BU507" s="704"/>
      <c r="BV507" s="705"/>
    </row>
    <row r="508" spans="1:74" ht="45" customHeight="1" x14ac:dyDescent="0.25">
      <c r="A508" s="10">
        <f t="shared" si="7"/>
        <v>494</v>
      </c>
      <c r="B508" s="662" t="s">
        <v>159</v>
      </c>
      <c r="C508" s="662"/>
      <c r="D508" s="663" t="s">
        <v>212</v>
      </c>
      <c r="E508" s="663"/>
      <c r="F508" s="664" t="s">
        <v>162</v>
      </c>
      <c r="G508" s="665"/>
      <c r="H508" s="754" t="s">
        <v>162</v>
      </c>
      <c r="I508" s="714"/>
      <c r="J508" s="340"/>
      <c r="K508" s="341"/>
      <c r="L508" s="340"/>
      <c r="M508" s="341"/>
      <c r="N508" s="215"/>
      <c r="O508" s="216"/>
      <c r="P508" s="670"/>
      <c r="Q508" s="671"/>
      <c r="R508" s="719"/>
      <c r="S508" s="720"/>
      <c r="T508" s="721"/>
      <c r="U508" s="722"/>
      <c r="V508" s="723"/>
      <c r="W508" s="724"/>
      <c r="X508" s="678" t="s">
        <v>159</v>
      </c>
      <c r="Y508" s="678"/>
      <c r="Z508" s="678"/>
      <c r="AA508" s="678"/>
      <c r="AB508" s="679" t="s">
        <v>159</v>
      </c>
      <c r="AC508" s="679"/>
      <c r="AD508" s="679"/>
      <c r="AE508" s="679"/>
      <c r="AF508" s="727"/>
      <c r="AG508" s="728"/>
      <c r="AH508" s="727"/>
      <c r="AI508" s="728"/>
      <c r="AJ508" s="682"/>
      <c r="AK508" s="683"/>
      <c r="AL508" s="684" t="s">
        <v>162</v>
      </c>
      <c r="AM508" s="685"/>
      <c r="AN508" s="666" t="s">
        <v>162</v>
      </c>
      <c r="AO508" s="667"/>
      <c r="AP508" s="729"/>
      <c r="AQ508" s="730"/>
      <c r="AR508" s="731"/>
      <c r="AS508" s="732"/>
      <c r="AT508" s="690"/>
      <c r="AU508" s="691"/>
      <c r="AV508" s="666" t="s">
        <v>162</v>
      </c>
      <c r="AW508" s="667"/>
      <c r="AX508" s="692"/>
      <c r="AY508" s="693"/>
      <c r="AZ508" s="694"/>
      <c r="BA508" s="735"/>
      <c r="BB508" s="736"/>
      <c r="BC508" s="14"/>
      <c r="BD508" s="695" t="s">
        <v>162</v>
      </c>
      <c r="BE508" s="696"/>
      <c r="BF508" s="739"/>
      <c r="BG508" s="740"/>
      <c r="BH508" s="740"/>
      <c r="BI508" s="741"/>
      <c r="BJ508" s="700" t="s">
        <v>159</v>
      </c>
      <c r="BK508" s="701"/>
      <c r="BL508" s="701"/>
      <c r="BM508" s="702"/>
      <c r="BN508" s="703" t="s">
        <v>159</v>
      </c>
      <c r="BO508" s="704"/>
      <c r="BP508" s="704"/>
      <c r="BQ508" s="704"/>
      <c r="BR508" s="704"/>
      <c r="BS508" s="704"/>
      <c r="BT508" s="704"/>
      <c r="BU508" s="704"/>
      <c r="BV508" s="705"/>
    </row>
    <row r="509" spans="1:74" ht="45" customHeight="1" x14ac:dyDescent="0.25">
      <c r="A509" s="10">
        <f t="shared" si="7"/>
        <v>495</v>
      </c>
      <c r="B509" s="711" t="s">
        <v>159</v>
      </c>
      <c r="C509" s="711"/>
      <c r="D509" s="712" t="s">
        <v>212</v>
      </c>
      <c r="E509" s="712"/>
      <c r="F509" s="664" t="s">
        <v>162</v>
      </c>
      <c r="G509" s="665"/>
      <c r="H509" s="755" t="s">
        <v>162</v>
      </c>
      <c r="I509" s="667"/>
      <c r="J509" s="706"/>
      <c r="K509" s="707"/>
      <c r="L509" s="706"/>
      <c r="M509" s="707"/>
      <c r="N509" s="194"/>
      <c r="O509" s="196"/>
      <c r="P509" s="717"/>
      <c r="Q509" s="718"/>
      <c r="R509" s="672"/>
      <c r="S509" s="673"/>
      <c r="T509" s="674"/>
      <c r="U509" s="675"/>
      <c r="V509" s="676"/>
      <c r="W509" s="677"/>
      <c r="X509" s="725" t="s">
        <v>159</v>
      </c>
      <c r="Y509" s="725"/>
      <c r="Z509" s="725"/>
      <c r="AA509" s="725"/>
      <c r="AB509" s="726" t="s">
        <v>159</v>
      </c>
      <c r="AC509" s="726"/>
      <c r="AD509" s="726"/>
      <c r="AE509" s="726"/>
      <c r="AF509" s="680"/>
      <c r="AG509" s="681"/>
      <c r="AH509" s="680"/>
      <c r="AI509" s="681"/>
      <c r="AJ509" s="686"/>
      <c r="AK509" s="687"/>
      <c r="AL509" s="664" t="s">
        <v>162</v>
      </c>
      <c r="AM509" s="665"/>
      <c r="AN509" s="713" t="s">
        <v>162</v>
      </c>
      <c r="AO509" s="714"/>
      <c r="AP509" s="686"/>
      <c r="AQ509" s="687"/>
      <c r="AR509" s="688"/>
      <c r="AS509" s="689"/>
      <c r="AT509" s="690"/>
      <c r="AU509" s="691"/>
      <c r="AV509" s="713" t="s">
        <v>162</v>
      </c>
      <c r="AW509" s="714"/>
      <c r="AX509" s="692"/>
      <c r="AY509" s="693"/>
      <c r="AZ509" s="694"/>
      <c r="BA509" s="682"/>
      <c r="BB509" s="683"/>
      <c r="BC509" s="219"/>
      <c r="BD509" s="737" t="s">
        <v>162</v>
      </c>
      <c r="BE509" s="738"/>
      <c r="BF509" s="708"/>
      <c r="BG509" s="709"/>
      <c r="BH509" s="709"/>
      <c r="BI509" s="710"/>
      <c r="BJ509" s="742" t="s">
        <v>159</v>
      </c>
      <c r="BK509" s="743"/>
      <c r="BL509" s="743"/>
      <c r="BM509" s="744"/>
      <c r="BN509" s="703" t="s">
        <v>159</v>
      </c>
      <c r="BO509" s="704"/>
      <c r="BP509" s="704"/>
      <c r="BQ509" s="704"/>
      <c r="BR509" s="704"/>
      <c r="BS509" s="704"/>
      <c r="BT509" s="704"/>
      <c r="BU509" s="704"/>
      <c r="BV509" s="705"/>
    </row>
    <row r="510" spans="1:74" ht="45" customHeight="1" x14ac:dyDescent="0.25">
      <c r="A510" s="10">
        <f t="shared" si="7"/>
        <v>496</v>
      </c>
      <c r="B510" s="662" t="s">
        <v>159</v>
      </c>
      <c r="C510" s="662"/>
      <c r="D510" s="663" t="s">
        <v>212</v>
      </c>
      <c r="E510" s="663"/>
      <c r="F510" s="664" t="s">
        <v>162</v>
      </c>
      <c r="G510" s="665"/>
      <c r="H510" s="754" t="s">
        <v>162</v>
      </c>
      <c r="I510" s="714"/>
      <c r="J510" s="340"/>
      <c r="K510" s="341"/>
      <c r="L510" s="340"/>
      <c r="M510" s="341"/>
      <c r="N510" s="215"/>
      <c r="O510" s="216"/>
      <c r="P510" s="670"/>
      <c r="Q510" s="671"/>
      <c r="R510" s="719"/>
      <c r="S510" s="720"/>
      <c r="T510" s="721"/>
      <c r="U510" s="722"/>
      <c r="V510" s="723"/>
      <c r="W510" s="724"/>
      <c r="X510" s="678" t="s">
        <v>159</v>
      </c>
      <c r="Y510" s="678"/>
      <c r="Z510" s="678"/>
      <c r="AA510" s="678"/>
      <c r="AB510" s="679" t="s">
        <v>159</v>
      </c>
      <c r="AC510" s="679"/>
      <c r="AD510" s="679"/>
      <c r="AE510" s="679"/>
      <c r="AF510" s="727"/>
      <c r="AG510" s="728"/>
      <c r="AH510" s="727"/>
      <c r="AI510" s="728"/>
      <c r="AJ510" s="682"/>
      <c r="AK510" s="683"/>
      <c r="AL510" s="684" t="s">
        <v>162</v>
      </c>
      <c r="AM510" s="685"/>
      <c r="AN510" s="666" t="s">
        <v>162</v>
      </c>
      <c r="AO510" s="667"/>
      <c r="AP510" s="729"/>
      <c r="AQ510" s="730"/>
      <c r="AR510" s="731"/>
      <c r="AS510" s="732"/>
      <c r="AT510" s="690"/>
      <c r="AU510" s="691"/>
      <c r="AV510" s="666" t="s">
        <v>162</v>
      </c>
      <c r="AW510" s="667"/>
      <c r="AX510" s="692"/>
      <c r="AY510" s="693"/>
      <c r="AZ510" s="694"/>
      <c r="BA510" s="735"/>
      <c r="BB510" s="736"/>
      <c r="BC510" s="14"/>
      <c r="BD510" s="695" t="s">
        <v>162</v>
      </c>
      <c r="BE510" s="696"/>
      <c r="BF510" s="739"/>
      <c r="BG510" s="740"/>
      <c r="BH510" s="740"/>
      <c r="BI510" s="741"/>
      <c r="BJ510" s="700" t="s">
        <v>159</v>
      </c>
      <c r="BK510" s="701"/>
      <c r="BL510" s="701"/>
      <c r="BM510" s="702"/>
      <c r="BN510" s="703" t="s">
        <v>159</v>
      </c>
      <c r="BO510" s="704"/>
      <c r="BP510" s="704"/>
      <c r="BQ510" s="704"/>
      <c r="BR510" s="704"/>
      <c r="BS510" s="704"/>
      <c r="BT510" s="704"/>
      <c r="BU510" s="704"/>
      <c r="BV510" s="705"/>
    </row>
    <row r="511" spans="1:74" ht="45" customHeight="1" x14ac:dyDescent="0.25">
      <c r="A511" s="10">
        <f t="shared" si="7"/>
        <v>497</v>
      </c>
      <c r="B511" s="711" t="s">
        <v>159</v>
      </c>
      <c r="C511" s="711"/>
      <c r="D511" s="712" t="s">
        <v>212</v>
      </c>
      <c r="E511" s="712"/>
      <c r="F511" s="664" t="s">
        <v>162</v>
      </c>
      <c r="G511" s="665"/>
      <c r="H511" s="755" t="s">
        <v>162</v>
      </c>
      <c r="I511" s="667"/>
      <c r="J511" s="706"/>
      <c r="K511" s="707"/>
      <c r="L511" s="706"/>
      <c r="M511" s="707"/>
      <c r="N511" s="194"/>
      <c r="O511" s="196"/>
      <c r="P511" s="717"/>
      <c r="Q511" s="718"/>
      <c r="R511" s="672"/>
      <c r="S511" s="673"/>
      <c r="T511" s="674"/>
      <c r="U511" s="675"/>
      <c r="V511" s="676"/>
      <c r="W511" s="677"/>
      <c r="X511" s="725" t="s">
        <v>159</v>
      </c>
      <c r="Y511" s="725"/>
      <c r="Z511" s="725"/>
      <c r="AA511" s="725"/>
      <c r="AB511" s="726" t="s">
        <v>159</v>
      </c>
      <c r="AC511" s="726"/>
      <c r="AD511" s="726"/>
      <c r="AE511" s="726"/>
      <c r="AF511" s="680"/>
      <c r="AG511" s="681"/>
      <c r="AH511" s="680"/>
      <c r="AI511" s="681"/>
      <c r="AJ511" s="686"/>
      <c r="AK511" s="687"/>
      <c r="AL511" s="664" t="s">
        <v>162</v>
      </c>
      <c r="AM511" s="665"/>
      <c r="AN511" s="713" t="s">
        <v>162</v>
      </c>
      <c r="AO511" s="714"/>
      <c r="AP511" s="686"/>
      <c r="AQ511" s="687"/>
      <c r="AR511" s="688"/>
      <c r="AS511" s="689"/>
      <c r="AT511" s="690"/>
      <c r="AU511" s="691"/>
      <c r="AV511" s="713" t="s">
        <v>162</v>
      </c>
      <c r="AW511" s="714"/>
      <c r="AX511" s="692"/>
      <c r="AY511" s="693"/>
      <c r="AZ511" s="694"/>
      <c r="BA511" s="682"/>
      <c r="BB511" s="683"/>
      <c r="BC511" s="219"/>
      <c r="BD511" s="737" t="s">
        <v>162</v>
      </c>
      <c r="BE511" s="738"/>
      <c r="BF511" s="697"/>
      <c r="BG511" s="698"/>
      <c r="BH511" s="698"/>
      <c r="BI511" s="699"/>
      <c r="BJ511" s="742" t="s">
        <v>159</v>
      </c>
      <c r="BK511" s="743"/>
      <c r="BL511" s="743"/>
      <c r="BM511" s="744"/>
      <c r="BN511" s="703" t="s">
        <v>159</v>
      </c>
      <c r="BO511" s="704"/>
      <c r="BP511" s="704"/>
      <c r="BQ511" s="704"/>
      <c r="BR511" s="704"/>
      <c r="BS511" s="704"/>
      <c r="BT511" s="704"/>
      <c r="BU511" s="704"/>
      <c r="BV511" s="705"/>
    </row>
    <row r="512" spans="1:74" ht="45" customHeight="1" x14ac:dyDescent="0.25">
      <c r="A512" s="10">
        <f t="shared" si="7"/>
        <v>498</v>
      </c>
      <c r="B512" s="662" t="s">
        <v>159</v>
      </c>
      <c r="C512" s="662"/>
      <c r="D512" s="663" t="s">
        <v>212</v>
      </c>
      <c r="E512" s="663"/>
      <c r="F512" s="664" t="s">
        <v>162</v>
      </c>
      <c r="G512" s="665"/>
      <c r="H512" s="754" t="s">
        <v>162</v>
      </c>
      <c r="I512" s="714"/>
      <c r="J512" s="340"/>
      <c r="K512" s="341"/>
      <c r="L512" s="340"/>
      <c r="M512" s="341"/>
      <c r="N512" s="215"/>
      <c r="O512" s="216"/>
      <c r="P512" s="670"/>
      <c r="Q512" s="671"/>
      <c r="R512" s="719"/>
      <c r="S512" s="720"/>
      <c r="T512" s="721"/>
      <c r="U512" s="722"/>
      <c r="V512" s="723"/>
      <c r="W512" s="724"/>
      <c r="X512" s="678" t="s">
        <v>159</v>
      </c>
      <c r="Y512" s="678"/>
      <c r="Z512" s="678"/>
      <c r="AA512" s="678"/>
      <c r="AB512" s="679" t="s">
        <v>159</v>
      </c>
      <c r="AC512" s="679"/>
      <c r="AD512" s="679"/>
      <c r="AE512" s="679"/>
      <c r="AF512" s="727"/>
      <c r="AG512" s="728"/>
      <c r="AH512" s="727"/>
      <c r="AI512" s="728"/>
      <c r="AJ512" s="682"/>
      <c r="AK512" s="683"/>
      <c r="AL512" s="684" t="s">
        <v>162</v>
      </c>
      <c r="AM512" s="685"/>
      <c r="AN512" s="666" t="s">
        <v>162</v>
      </c>
      <c r="AO512" s="667"/>
      <c r="AP512" s="729"/>
      <c r="AQ512" s="730"/>
      <c r="AR512" s="731"/>
      <c r="AS512" s="732"/>
      <c r="AT512" s="690"/>
      <c r="AU512" s="691"/>
      <c r="AV512" s="666" t="s">
        <v>162</v>
      </c>
      <c r="AW512" s="667"/>
      <c r="AX512" s="692"/>
      <c r="AY512" s="693"/>
      <c r="AZ512" s="694"/>
      <c r="BA512" s="735"/>
      <c r="BB512" s="736"/>
      <c r="BC512" s="14"/>
      <c r="BD512" s="695" t="s">
        <v>162</v>
      </c>
      <c r="BE512" s="696"/>
      <c r="BF512" s="739"/>
      <c r="BG512" s="740"/>
      <c r="BH512" s="740"/>
      <c r="BI512" s="741"/>
      <c r="BJ512" s="700" t="s">
        <v>159</v>
      </c>
      <c r="BK512" s="701"/>
      <c r="BL512" s="701"/>
      <c r="BM512" s="702"/>
      <c r="BN512" s="703" t="s">
        <v>159</v>
      </c>
      <c r="BO512" s="704"/>
      <c r="BP512" s="704"/>
      <c r="BQ512" s="704"/>
      <c r="BR512" s="704"/>
      <c r="BS512" s="704"/>
      <c r="BT512" s="704"/>
      <c r="BU512" s="704"/>
      <c r="BV512" s="705"/>
    </row>
    <row r="513" spans="1:74" ht="45" customHeight="1" x14ac:dyDescent="0.25">
      <c r="A513" s="10">
        <f t="shared" si="7"/>
        <v>499</v>
      </c>
      <c r="B513" s="711" t="s">
        <v>159</v>
      </c>
      <c r="C513" s="711"/>
      <c r="D513" s="712" t="s">
        <v>212</v>
      </c>
      <c r="E513" s="712"/>
      <c r="F513" s="664" t="s">
        <v>162</v>
      </c>
      <c r="G513" s="665"/>
      <c r="H513" s="755" t="s">
        <v>162</v>
      </c>
      <c r="I513" s="667"/>
      <c r="J513" s="706"/>
      <c r="K513" s="707"/>
      <c r="L513" s="706"/>
      <c r="M513" s="707"/>
      <c r="N513" s="194"/>
      <c r="O513" s="196"/>
      <c r="P513" s="717"/>
      <c r="Q513" s="718"/>
      <c r="R513" s="672"/>
      <c r="S513" s="673"/>
      <c r="T513" s="674"/>
      <c r="U513" s="675"/>
      <c r="V513" s="676"/>
      <c r="W513" s="677"/>
      <c r="X513" s="725" t="s">
        <v>159</v>
      </c>
      <c r="Y513" s="725"/>
      <c r="Z513" s="725"/>
      <c r="AA513" s="725"/>
      <c r="AB513" s="726" t="s">
        <v>159</v>
      </c>
      <c r="AC513" s="726"/>
      <c r="AD513" s="726"/>
      <c r="AE513" s="726"/>
      <c r="AF513" s="680"/>
      <c r="AG513" s="681"/>
      <c r="AH513" s="680"/>
      <c r="AI513" s="681"/>
      <c r="AJ513" s="686"/>
      <c r="AK513" s="687"/>
      <c r="AL513" s="664" t="s">
        <v>162</v>
      </c>
      <c r="AM513" s="665"/>
      <c r="AN513" s="713" t="s">
        <v>162</v>
      </c>
      <c r="AO513" s="714"/>
      <c r="AP513" s="686"/>
      <c r="AQ513" s="687"/>
      <c r="AR513" s="688"/>
      <c r="AS513" s="689"/>
      <c r="AT513" s="690"/>
      <c r="AU513" s="691"/>
      <c r="AV513" s="713" t="s">
        <v>162</v>
      </c>
      <c r="AW513" s="714"/>
      <c r="AX513" s="692"/>
      <c r="AY513" s="693"/>
      <c r="AZ513" s="694"/>
      <c r="BA513" s="682"/>
      <c r="BB513" s="683"/>
      <c r="BC513" s="219"/>
      <c r="BD513" s="737" t="s">
        <v>162</v>
      </c>
      <c r="BE513" s="738"/>
      <c r="BF513" s="708"/>
      <c r="BG513" s="709"/>
      <c r="BH513" s="709"/>
      <c r="BI513" s="710"/>
      <c r="BJ513" s="742" t="s">
        <v>159</v>
      </c>
      <c r="BK513" s="743"/>
      <c r="BL513" s="743"/>
      <c r="BM513" s="744"/>
      <c r="BN513" s="703" t="s">
        <v>159</v>
      </c>
      <c r="BO513" s="704"/>
      <c r="BP513" s="704"/>
      <c r="BQ513" s="704"/>
      <c r="BR513" s="704"/>
      <c r="BS513" s="704"/>
      <c r="BT513" s="704"/>
      <c r="BU513" s="704"/>
      <c r="BV513" s="705"/>
    </row>
    <row r="514" spans="1:74" ht="45" customHeight="1" x14ac:dyDescent="0.25">
      <c r="A514" s="10">
        <f t="shared" si="7"/>
        <v>500</v>
      </c>
      <c r="B514" s="662" t="s">
        <v>159</v>
      </c>
      <c r="C514" s="662"/>
      <c r="D514" s="663" t="s">
        <v>212</v>
      </c>
      <c r="E514" s="663"/>
      <c r="F514" s="664" t="s">
        <v>162</v>
      </c>
      <c r="G514" s="665"/>
      <c r="H514" s="754" t="s">
        <v>162</v>
      </c>
      <c r="I514" s="714"/>
      <c r="J514" s="340"/>
      <c r="K514" s="341"/>
      <c r="L514" s="340"/>
      <c r="M514" s="341"/>
      <c r="N514" s="215"/>
      <c r="O514" s="216"/>
      <c r="P514" s="670"/>
      <c r="Q514" s="671"/>
      <c r="R514" s="719"/>
      <c r="S514" s="720"/>
      <c r="T514" s="721"/>
      <c r="U514" s="722"/>
      <c r="V514" s="723"/>
      <c r="W514" s="724"/>
      <c r="X514" s="678" t="s">
        <v>159</v>
      </c>
      <c r="Y514" s="678"/>
      <c r="Z514" s="678"/>
      <c r="AA514" s="678"/>
      <c r="AB514" s="679" t="s">
        <v>159</v>
      </c>
      <c r="AC514" s="679"/>
      <c r="AD514" s="679"/>
      <c r="AE514" s="679"/>
      <c r="AF514" s="727"/>
      <c r="AG514" s="728"/>
      <c r="AH514" s="727"/>
      <c r="AI514" s="728"/>
      <c r="AJ514" s="682"/>
      <c r="AK514" s="683"/>
      <c r="AL514" s="684" t="s">
        <v>162</v>
      </c>
      <c r="AM514" s="685"/>
      <c r="AN514" s="666" t="s">
        <v>162</v>
      </c>
      <c r="AO514" s="667"/>
      <c r="AP514" s="729"/>
      <c r="AQ514" s="730"/>
      <c r="AR514" s="731"/>
      <c r="AS514" s="732"/>
      <c r="AT514" s="690"/>
      <c r="AU514" s="691"/>
      <c r="AV514" s="666" t="s">
        <v>162</v>
      </c>
      <c r="AW514" s="667"/>
      <c r="AX514" s="692"/>
      <c r="AY514" s="693"/>
      <c r="AZ514" s="694"/>
      <c r="BA514" s="735"/>
      <c r="BB514" s="736"/>
      <c r="BC514" s="14"/>
      <c r="BD514" s="695" t="s">
        <v>162</v>
      </c>
      <c r="BE514" s="696"/>
      <c r="BF514" s="739"/>
      <c r="BG514" s="740"/>
      <c r="BH514" s="740"/>
      <c r="BI514" s="741"/>
      <c r="BJ514" s="700" t="s">
        <v>159</v>
      </c>
      <c r="BK514" s="701"/>
      <c r="BL514" s="701"/>
      <c r="BM514" s="702"/>
      <c r="BN514" s="703" t="s">
        <v>159</v>
      </c>
      <c r="BO514" s="704"/>
      <c r="BP514" s="704"/>
      <c r="BQ514" s="704"/>
      <c r="BR514" s="704"/>
      <c r="BS514" s="704"/>
      <c r="BT514" s="704"/>
      <c r="BU514" s="704"/>
      <c r="BV514" s="705"/>
    </row>
    <row r="515" spans="1:74" ht="45" customHeight="1" x14ac:dyDescent="0.25">
      <c r="A515" s="10">
        <f t="shared" si="7"/>
        <v>501</v>
      </c>
      <c r="B515" s="711" t="s">
        <v>159</v>
      </c>
      <c r="C515" s="711"/>
      <c r="D515" s="712" t="s">
        <v>212</v>
      </c>
      <c r="E515" s="712"/>
      <c r="F515" s="664" t="s">
        <v>162</v>
      </c>
      <c r="G515" s="665"/>
      <c r="H515" s="755" t="s">
        <v>162</v>
      </c>
      <c r="I515" s="667"/>
      <c r="J515" s="706"/>
      <c r="K515" s="707"/>
      <c r="L515" s="706"/>
      <c r="M515" s="707"/>
      <c r="N515" s="194"/>
      <c r="O515" s="196"/>
      <c r="P515" s="717"/>
      <c r="Q515" s="718"/>
      <c r="R515" s="672"/>
      <c r="S515" s="673"/>
      <c r="T515" s="674"/>
      <c r="U515" s="675"/>
      <c r="V515" s="676"/>
      <c r="W515" s="677"/>
      <c r="X515" s="725" t="s">
        <v>159</v>
      </c>
      <c r="Y515" s="725"/>
      <c r="Z515" s="725"/>
      <c r="AA515" s="725"/>
      <c r="AB515" s="726" t="s">
        <v>159</v>
      </c>
      <c r="AC515" s="726"/>
      <c r="AD515" s="726"/>
      <c r="AE515" s="726"/>
      <c r="AF515" s="680"/>
      <c r="AG515" s="681"/>
      <c r="AH515" s="680"/>
      <c r="AI515" s="681"/>
      <c r="AJ515" s="686"/>
      <c r="AK515" s="687"/>
      <c r="AL515" s="664" t="s">
        <v>162</v>
      </c>
      <c r="AM515" s="665"/>
      <c r="AN515" s="713" t="s">
        <v>162</v>
      </c>
      <c r="AO515" s="714"/>
      <c r="AP515" s="686"/>
      <c r="AQ515" s="687"/>
      <c r="AR515" s="688"/>
      <c r="AS515" s="689"/>
      <c r="AT515" s="690"/>
      <c r="AU515" s="691"/>
      <c r="AV515" s="713" t="s">
        <v>162</v>
      </c>
      <c r="AW515" s="714"/>
      <c r="AX515" s="692"/>
      <c r="AY515" s="693"/>
      <c r="AZ515" s="694"/>
      <c r="BA515" s="682"/>
      <c r="BB515" s="683"/>
      <c r="BC515" s="219"/>
      <c r="BD515" s="737" t="s">
        <v>162</v>
      </c>
      <c r="BE515" s="738"/>
      <c r="BF515" s="708"/>
      <c r="BG515" s="709"/>
      <c r="BH515" s="709"/>
      <c r="BI515" s="710"/>
      <c r="BJ515" s="742" t="s">
        <v>159</v>
      </c>
      <c r="BK515" s="743"/>
      <c r="BL515" s="743"/>
      <c r="BM515" s="744"/>
      <c r="BN515" s="703" t="s">
        <v>159</v>
      </c>
      <c r="BO515" s="704"/>
      <c r="BP515" s="704"/>
      <c r="BQ515" s="704"/>
      <c r="BR515" s="704"/>
      <c r="BS515" s="704"/>
      <c r="BT515" s="704"/>
      <c r="BU515" s="704"/>
      <c r="BV515" s="705"/>
    </row>
    <row r="516" spans="1:74" ht="45" customHeight="1" x14ac:dyDescent="0.25">
      <c r="A516" s="10">
        <f t="shared" si="7"/>
        <v>502</v>
      </c>
      <c r="B516" s="662" t="s">
        <v>159</v>
      </c>
      <c r="C516" s="662"/>
      <c r="D516" s="663" t="s">
        <v>212</v>
      </c>
      <c r="E516" s="663"/>
      <c r="F516" s="664" t="s">
        <v>162</v>
      </c>
      <c r="G516" s="665"/>
      <c r="H516" s="754" t="s">
        <v>162</v>
      </c>
      <c r="I516" s="714"/>
      <c r="J516" s="340"/>
      <c r="K516" s="341"/>
      <c r="L516" s="340"/>
      <c r="M516" s="341"/>
      <c r="N516" s="215"/>
      <c r="O516" s="216"/>
      <c r="P516" s="670"/>
      <c r="Q516" s="671"/>
      <c r="R516" s="719"/>
      <c r="S516" s="720"/>
      <c r="T516" s="721"/>
      <c r="U516" s="722"/>
      <c r="V516" s="723"/>
      <c r="W516" s="724"/>
      <c r="X516" s="678" t="s">
        <v>159</v>
      </c>
      <c r="Y516" s="678"/>
      <c r="Z516" s="678"/>
      <c r="AA516" s="678"/>
      <c r="AB516" s="679" t="s">
        <v>159</v>
      </c>
      <c r="AC516" s="679"/>
      <c r="AD516" s="679"/>
      <c r="AE516" s="679"/>
      <c r="AF516" s="727"/>
      <c r="AG516" s="728"/>
      <c r="AH516" s="727"/>
      <c r="AI516" s="728"/>
      <c r="AJ516" s="682"/>
      <c r="AK516" s="683"/>
      <c r="AL516" s="684" t="s">
        <v>162</v>
      </c>
      <c r="AM516" s="685"/>
      <c r="AN516" s="666" t="s">
        <v>162</v>
      </c>
      <c r="AO516" s="667"/>
      <c r="AP516" s="729"/>
      <c r="AQ516" s="730"/>
      <c r="AR516" s="731"/>
      <c r="AS516" s="732"/>
      <c r="AT516" s="690"/>
      <c r="AU516" s="691"/>
      <c r="AV516" s="666" t="s">
        <v>162</v>
      </c>
      <c r="AW516" s="667"/>
      <c r="AX516" s="692"/>
      <c r="AY516" s="693"/>
      <c r="AZ516" s="694"/>
      <c r="BA516" s="735"/>
      <c r="BB516" s="736"/>
      <c r="BC516" s="14"/>
      <c r="BD516" s="695" t="s">
        <v>162</v>
      </c>
      <c r="BE516" s="696"/>
      <c r="BF516" s="739"/>
      <c r="BG516" s="740"/>
      <c r="BH516" s="740"/>
      <c r="BI516" s="741"/>
      <c r="BJ516" s="700" t="s">
        <v>159</v>
      </c>
      <c r="BK516" s="701"/>
      <c r="BL516" s="701"/>
      <c r="BM516" s="702"/>
      <c r="BN516" s="703" t="s">
        <v>159</v>
      </c>
      <c r="BO516" s="704"/>
      <c r="BP516" s="704"/>
      <c r="BQ516" s="704"/>
      <c r="BR516" s="704"/>
      <c r="BS516" s="704"/>
      <c r="BT516" s="704"/>
      <c r="BU516" s="704"/>
      <c r="BV516" s="705"/>
    </row>
    <row r="517" spans="1:74" ht="45" customHeight="1" x14ac:dyDescent="0.25">
      <c r="A517" s="10">
        <f t="shared" si="7"/>
        <v>503</v>
      </c>
      <c r="B517" s="711" t="s">
        <v>159</v>
      </c>
      <c r="C517" s="711"/>
      <c r="D517" s="712" t="s">
        <v>212</v>
      </c>
      <c r="E517" s="712"/>
      <c r="F517" s="664" t="s">
        <v>162</v>
      </c>
      <c r="G517" s="665"/>
      <c r="H517" s="755" t="s">
        <v>162</v>
      </c>
      <c r="I517" s="667"/>
      <c r="J517" s="706"/>
      <c r="K517" s="707"/>
      <c r="L517" s="706"/>
      <c r="M517" s="707"/>
      <c r="N517" s="194"/>
      <c r="O517" s="196"/>
      <c r="P517" s="717"/>
      <c r="Q517" s="718"/>
      <c r="R517" s="672"/>
      <c r="S517" s="673"/>
      <c r="T517" s="674"/>
      <c r="U517" s="675"/>
      <c r="V517" s="676"/>
      <c r="W517" s="677"/>
      <c r="X517" s="725" t="s">
        <v>159</v>
      </c>
      <c r="Y517" s="725"/>
      <c r="Z517" s="725"/>
      <c r="AA517" s="725"/>
      <c r="AB517" s="726" t="s">
        <v>159</v>
      </c>
      <c r="AC517" s="726"/>
      <c r="AD517" s="726"/>
      <c r="AE517" s="726"/>
      <c r="AF517" s="680"/>
      <c r="AG517" s="681"/>
      <c r="AH517" s="680"/>
      <c r="AI517" s="681"/>
      <c r="AJ517" s="686"/>
      <c r="AK517" s="687"/>
      <c r="AL517" s="664" t="s">
        <v>162</v>
      </c>
      <c r="AM517" s="665"/>
      <c r="AN517" s="713" t="s">
        <v>162</v>
      </c>
      <c r="AO517" s="714"/>
      <c r="AP517" s="686"/>
      <c r="AQ517" s="687"/>
      <c r="AR517" s="688"/>
      <c r="AS517" s="689"/>
      <c r="AT517" s="690"/>
      <c r="AU517" s="691"/>
      <c r="AV517" s="713" t="s">
        <v>162</v>
      </c>
      <c r="AW517" s="714"/>
      <c r="AX517" s="692"/>
      <c r="AY517" s="693"/>
      <c r="AZ517" s="694"/>
      <c r="BA517" s="682"/>
      <c r="BB517" s="683"/>
      <c r="BC517" s="219"/>
      <c r="BD517" s="737" t="s">
        <v>162</v>
      </c>
      <c r="BE517" s="738"/>
      <c r="BF517" s="697"/>
      <c r="BG517" s="698"/>
      <c r="BH517" s="698"/>
      <c r="BI517" s="699"/>
      <c r="BJ517" s="742" t="s">
        <v>159</v>
      </c>
      <c r="BK517" s="743"/>
      <c r="BL517" s="743"/>
      <c r="BM517" s="744"/>
      <c r="BN517" s="703" t="s">
        <v>159</v>
      </c>
      <c r="BO517" s="704"/>
      <c r="BP517" s="704"/>
      <c r="BQ517" s="704"/>
      <c r="BR517" s="704"/>
      <c r="BS517" s="704"/>
      <c r="BT517" s="704"/>
      <c r="BU517" s="704"/>
      <c r="BV517" s="705"/>
    </row>
    <row r="518" spans="1:74" ht="45" customHeight="1" x14ac:dyDescent="0.25">
      <c r="A518" s="10">
        <f t="shared" si="7"/>
        <v>504</v>
      </c>
      <c r="B518" s="662" t="s">
        <v>159</v>
      </c>
      <c r="C518" s="662"/>
      <c r="D518" s="663" t="s">
        <v>212</v>
      </c>
      <c r="E518" s="663"/>
      <c r="F518" s="664" t="s">
        <v>162</v>
      </c>
      <c r="G518" s="665"/>
      <c r="H518" s="754" t="s">
        <v>162</v>
      </c>
      <c r="I518" s="714"/>
      <c r="J518" s="340"/>
      <c r="K518" s="341"/>
      <c r="L518" s="340"/>
      <c r="M518" s="341"/>
      <c r="N518" s="215"/>
      <c r="O518" s="216"/>
      <c r="P518" s="670"/>
      <c r="Q518" s="671"/>
      <c r="R518" s="719"/>
      <c r="S518" s="720"/>
      <c r="T518" s="721"/>
      <c r="U518" s="722"/>
      <c r="V518" s="723"/>
      <c r="W518" s="724"/>
      <c r="X518" s="678" t="s">
        <v>159</v>
      </c>
      <c r="Y518" s="678"/>
      <c r="Z518" s="678"/>
      <c r="AA518" s="678"/>
      <c r="AB518" s="679" t="s">
        <v>159</v>
      </c>
      <c r="AC518" s="679"/>
      <c r="AD518" s="679"/>
      <c r="AE518" s="679"/>
      <c r="AF518" s="727"/>
      <c r="AG518" s="728"/>
      <c r="AH518" s="727"/>
      <c r="AI518" s="728"/>
      <c r="AJ518" s="682"/>
      <c r="AK518" s="683"/>
      <c r="AL518" s="684" t="s">
        <v>162</v>
      </c>
      <c r="AM518" s="685"/>
      <c r="AN518" s="666" t="s">
        <v>162</v>
      </c>
      <c r="AO518" s="667"/>
      <c r="AP518" s="729"/>
      <c r="AQ518" s="730"/>
      <c r="AR518" s="731"/>
      <c r="AS518" s="732"/>
      <c r="AT518" s="690"/>
      <c r="AU518" s="691"/>
      <c r="AV518" s="666" t="s">
        <v>162</v>
      </c>
      <c r="AW518" s="667"/>
      <c r="AX518" s="692"/>
      <c r="AY518" s="693"/>
      <c r="AZ518" s="694"/>
      <c r="BA518" s="735"/>
      <c r="BB518" s="736"/>
      <c r="BC518" s="14"/>
      <c r="BD518" s="695" t="s">
        <v>162</v>
      </c>
      <c r="BE518" s="696"/>
      <c r="BF518" s="739"/>
      <c r="BG518" s="740"/>
      <c r="BH518" s="740"/>
      <c r="BI518" s="741"/>
      <c r="BJ518" s="700" t="s">
        <v>159</v>
      </c>
      <c r="BK518" s="701"/>
      <c r="BL518" s="701"/>
      <c r="BM518" s="702"/>
      <c r="BN518" s="703" t="s">
        <v>159</v>
      </c>
      <c r="BO518" s="704"/>
      <c r="BP518" s="704"/>
      <c r="BQ518" s="704"/>
      <c r="BR518" s="704"/>
      <c r="BS518" s="704"/>
      <c r="BT518" s="704"/>
      <c r="BU518" s="704"/>
      <c r="BV518" s="705"/>
    </row>
    <row r="519" spans="1:74" ht="45" customHeight="1" x14ac:dyDescent="0.25">
      <c r="A519" s="10">
        <f t="shared" si="7"/>
        <v>505</v>
      </c>
      <c r="B519" s="711" t="s">
        <v>159</v>
      </c>
      <c r="C519" s="711"/>
      <c r="D519" s="712" t="s">
        <v>212</v>
      </c>
      <c r="E519" s="712"/>
      <c r="F519" s="664" t="s">
        <v>162</v>
      </c>
      <c r="G519" s="665"/>
      <c r="H519" s="755" t="s">
        <v>162</v>
      </c>
      <c r="I519" s="667"/>
      <c r="J519" s="706"/>
      <c r="K519" s="707"/>
      <c r="L519" s="706"/>
      <c r="M519" s="707"/>
      <c r="N519" s="194"/>
      <c r="O519" s="216"/>
      <c r="P519" s="717"/>
      <c r="Q519" s="718"/>
      <c r="R519" s="672"/>
      <c r="S519" s="673"/>
      <c r="T519" s="674"/>
      <c r="U519" s="675"/>
      <c r="V519" s="676"/>
      <c r="W519" s="677"/>
      <c r="X519" s="725" t="s">
        <v>159</v>
      </c>
      <c r="Y519" s="725"/>
      <c r="Z519" s="725"/>
      <c r="AA519" s="725"/>
      <c r="AB519" s="726" t="s">
        <v>159</v>
      </c>
      <c r="AC519" s="726"/>
      <c r="AD519" s="726"/>
      <c r="AE519" s="726"/>
      <c r="AF519" s="680"/>
      <c r="AG519" s="681"/>
      <c r="AH519" s="727"/>
      <c r="AI519" s="728"/>
      <c r="AJ519" s="686"/>
      <c r="AK519" s="687"/>
      <c r="AL519" s="664" t="s">
        <v>162</v>
      </c>
      <c r="AM519" s="665"/>
      <c r="AN519" s="713" t="s">
        <v>162</v>
      </c>
      <c r="AO519" s="714"/>
      <c r="AP519" s="686"/>
      <c r="AQ519" s="687"/>
      <c r="AR519" s="688"/>
      <c r="AS519" s="689"/>
      <c r="AT519" s="690"/>
      <c r="AU519" s="691"/>
      <c r="AV519" s="713" t="s">
        <v>162</v>
      </c>
      <c r="AW519" s="714"/>
      <c r="AX519" s="692"/>
      <c r="AY519" s="693"/>
      <c r="AZ519" s="694"/>
      <c r="BA519" s="682"/>
      <c r="BB519" s="683"/>
      <c r="BC519" s="219"/>
      <c r="BD519" s="737" t="s">
        <v>162</v>
      </c>
      <c r="BE519" s="738"/>
      <c r="BF519" s="708"/>
      <c r="BG519" s="709"/>
      <c r="BH519" s="709"/>
      <c r="BI519" s="710"/>
      <c r="BJ519" s="742" t="s">
        <v>159</v>
      </c>
      <c r="BK519" s="743"/>
      <c r="BL519" s="743"/>
      <c r="BM519" s="744"/>
      <c r="BN519" s="703" t="s">
        <v>159</v>
      </c>
      <c r="BO519" s="704"/>
      <c r="BP519" s="704"/>
      <c r="BQ519" s="704"/>
      <c r="BR519" s="704"/>
      <c r="BS519" s="704"/>
      <c r="BT519" s="704"/>
      <c r="BU519" s="704"/>
      <c r="BV519" s="705"/>
    </row>
    <row r="520" spans="1:74" ht="45" customHeight="1" x14ac:dyDescent="0.25">
      <c r="A520" s="10">
        <f t="shared" si="7"/>
        <v>506</v>
      </c>
      <c r="B520" s="662" t="s">
        <v>159</v>
      </c>
      <c r="C520" s="662"/>
      <c r="D520" s="663" t="s">
        <v>212</v>
      </c>
      <c r="E520" s="663"/>
      <c r="F520" s="664" t="s">
        <v>162</v>
      </c>
      <c r="G520" s="665"/>
      <c r="H520" s="754" t="s">
        <v>162</v>
      </c>
      <c r="I520" s="714"/>
      <c r="J520" s="340"/>
      <c r="K520" s="341"/>
      <c r="L520" s="340"/>
      <c r="M520" s="341"/>
      <c r="N520" s="215"/>
      <c r="O520" s="196"/>
      <c r="P520" s="670"/>
      <c r="Q520" s="671"/>
      <c r="R520" s="719"/>
      <c r="S520" s="720"/>
      <c r="T520" s="721"/>
      <c r="U520" s="722"/>
      <c r="V520" s="723"/>
      <c r="W520" s="724"/>
      <c r="X520" s="678" t="s">
        <v>159</v>
      </c>
      <c r="Y520" s="678"/>
      <c r="Z520" s="678"/>
      <c r="AA520" s="678"/>
      <c r="AB520" s="679" t="s">
        <v>159</v>
      </c>
      <c r="AC520" s="679"/>
      <c r="AD520" s="679"/>
      <c r="AE520" s="679"/>
      <c r="AF520" s="727"/>
      <c r="AG520" s="728"/>
      <c r="AH520" s="680"/>
      <c r="AI520" s="681"/>
      <c r="AJ520" s="682"/>
      <c r="AK520" s="683"/>
      <c r="AL520" s="684" t="s">
        <v>162</v>
      </c>
      <c r="AM520" s="685"/>
      <c r="AN520" s="666" t="s">
        <v>162</v>
      </c>
      <c r="AO520" s="667"/>
      <c r="AP520" s="729"/>
      <c r="AQ520" s="730"/>
      <c r="AR520" s="731"/>
      <c r="AS520" s="732"/>
      <c r="AT520" s="690"/>
      <c r="AU520" s="691"/>
      <c r="AV520" s="666" t="s">
        <v>162</v>
      </c>
      <c r="AW520" s="667"/>
      <c r="AX520" s="692"/>
      <c r="AY520" s="693"/>
      <c r="AZ520" s="694"/>
      <c r="BA520" s="735"/>
      <c r="BB520" s="736"/>
      <c r="BC520" s="14"/>
      <c r="BD520" s="695" t="s">
        <v>162</v>
      </c>
      <c r="BE520" s="696"/>
      <c r="BF520" s="739"/>
      <c r="BG520" s="740"/>
      <c r="BH520" s="740"/>
      <c r="BI520" s="741"/>
      <c r="BJ520" s="700" t="s">
        <v>159</v>
      </c>
      <c r="BK520" s="701"/>
      <c r="BL520" s="701"/>
      <c r="BM520" s="702"/>
      <c r="BN520" s="703" t="s">
        <v>159</v>
      </c>
      <c r="BO520" s="704"/>
      <c r="BP520" s="704"/>
      <c r="BQ520" s="704"/>
      <c r="BR520" s="704"/>
      <c r="BS520" s="704"/>
      <c r="BT520" s="704"/>
      <c r="BU520" s="704"/>
      <c r="BV520" s="705"/>
    </row>
    <row r="521" spans="1:74" ht="45" customHeight="1" x14ac:dyDescent="0.25">
      <c r="A521" s="10">
        <f t="shared" si="7"/>
        <v>507</v>
      </c>
      <c r="B521" s="711" t="s">
        <v>159</v>
      </c>
      <c r="C521" s="711"/>
      <c r="D521" s="712" t="s">
        <v>212</v>
      </c>
      <c r="E521" s="712"/>
      <c r="F521" s="664" t="s">
        <v>162</v>
      </c>
      <c r="G521" s="665"/>
      <c r="H521" s="755" t="s">
        <v>162</v>
      </c>
      <c r="I521" s="667"/>
      <c r="J521" s="706"/>
      <c r="K521" s="707"/>
      <c r="L521" s="706"/>
      <c r="M521" s="707"/>
      <c r="N521" s="194"/>
      <c r="O521" s="216"/>
      <c r="P521" s="717"/>
      <c r="Q521" s="718"/>
      <c r="R521" s="672"/>
      <c r="S521" s="673"/>
      <c r="T521" s="674"/>
      <c r="U521" s="675"/>
      <c r="V521" s="676"/>
      <c r="W521" s="677"/>
      <c r="X521" s="725" t="s">
        <v>159</v>
      </c>
      <c r="Y521" s="725"/>
      <c r="Z521" s="725"/>
      <c r="AA521" s="725"/>
      <c r="AB521" s="726" t="s">
        <v>159</v>
      </c>
      <c r="AC521" s="726"/>
      <c r="AD521" s="726"/>
      <c r="AE521" s="726"/>
      <c r="AF521" s="680"/>
      <c r="AG521" s="681"/>
      <c r="AH521" s="727"/>
      <c r="AI521" s="728"/>
      <c r="AJ521" s="686"/>
      <c r="AK521" s="687"/>
      <c r="AL521" s="664" t="s">
        <v>162</v>
      </c>
      <c r="AM521" s="665"/>
      <c r="AN521" s="713" t="s">
        <v>162</v>
      </c>
      <c r="AO521" s="714"/>
      <c r="AP521" s="686"/>
      <c r="AQ521" s="687"/>
      <c r="AR521" s="688"/>
      <c r="AS521" s="689"/>
      <c r="AT521" s="690"/>
      <c r="AU521" s="691"/>
      <c r="AV521" s="713" t="s">
        <v>162</v>
      </c>
      <c r="AW521" s="714"/>
      <c r="AX521" s="692"/>
      <c r="AY521" s="693"/>
      <c r="AZ521" s="694"/>
      <c r="BA521" s="682"/>
      <c r="BB521" s="683"/>
      <c r="BC521" s="219"/>
      <c r="BD521" s="737" t="s">
        <v>162</v>
      </c>
      <c r="BE521" s="738"/>
      <c r="BF521" s="697"/>
      <c r="BG521" s="698"/>
      <c r="BH521" s="698"/>
      <c r="BI521" s="699"/>
      <c r="BJ521" s="742" t="s">
        <v>159</v>
      </c>
      <c r="BK521" s="743"/>
      <c r="BL521" s="743"/>
      <c r="BM521" s="744"/>
      <c r="BN521" s="703" t="s">
        <v>159</v>
      </c>
      <c r="BO521" s="704"/>
      <c r="BP521" s="704"/>
      <c r="BQ521" s="704"/>
      <c r="BR521" s="704"/>
      <c r="BS521" s="704"/>
      <c r="BT521" s="704"/>
      <c r="BU521" s="704"/>
      <c r="BV521" s="705"/>
    </row>
    <row r="522" spans="1:74" ht="45" customHeight="1" x14ac:dyDescent="0.25">
      <c r="A522" s="10">
        <f t="shared" si="7"/>
        <v>508</v>
      </c>
      <c r="B522" s="662" t="s">
        <v>159</v>
      </c>
      <c r="C522" s="662"/>
      <c r="D522" s="663" t="s">
        <v>212</v>
      </c>
      <c r="E522" s="663"/>
      <c r="F522" s="664" t="s">
        <v>162</v>
      </c>
      <c r="G522" s="665"/>
      <c r="H522" s="754" t="s">
        <v>162</v>
      </c>
      <c r="I522" s="714"/>
      <c r="J522" s="340"/>
      <c r="K522" s="341"/>
      <c r="L522" s="340"/>
      <c r="M522" s="341"/>
      <c r="N522" s="215"/>
      <c r="O522" s="196"/>
      <c r="P522" s="670"/>
      <c r="Q522" s="671"/>
      <c r="R522" s="719"/>
      <c r="S522" s="720"/>
      <c r="T522" s="721"/>
      <c r="U522" s="722"/>
      <c r="V522" s="723"/>
      <c r="W522" s="724"/>
      <c r="X522" s="678" t="s">
        <v>159</v>
      </c>
      <c r="Y522" s="678"/>
      <c r="Z522" s="678"/>
      <c r="AA522" s="678"/>
      <c r="AB522" s="679" t="s">
        <v>159</v>
      </c>
      <c r="AC522" s="679"/>
      <c r="AD522" s="679"/>
      <c r="AE522" s="679"/>
      <c r="AF522" s="727"/>
      <c r="AG522" s="728"/>
      <c r="AH522" s="680"/>
      <c r="AI522" s="681"/>
      <c r="AJ522" s="682"/>
      <c r="AK522" s="683"/>
      <c r="AL522" s="684" t="s">
        <v>162</v>
      </c>
      <c r="AM522" s="685"/>
      <c r="AN522" s="666" t="s">
        <v>162</v>
      </c>
      <c r="AO522" s="667"/>
      <c r="AP522" s="729"/>
      <c r="AQ522" s="730"/>
      <c r="AR522" s="731"/>
      <c r="AS522" s="732"/>
      <c r="AT522" s="690"/>
      <c r="AU522" s="691"/>
      <c r="AV522" s="666" t="s">
        <v>162</v>
      </c>
      <c r="AW522" s="667"/>
      <c r="AX522" s="692"/>
      <c r="AY522" s="693"/>
      <c r="AZ522" s="694"/>
      <c r="BA522" s="735"/>
      <c r="BB522" s="736"/>
      <c r="BC522" s="14"/>
      <c r="BD522" s="695" t="s">
        <v>162</v>
      </c>
      <c r="BE522" s="696"/>
      <c r="BF522" s="739"/>
      <c r="BG522" s="740"/>
      <c r="BH522" s="740"/>
      <c r="BI522" s="741"/>
      <c r="BJ522" s="700" t="s">
        <v>159</v>
      </c>
      <c r="BK522" s="701"/>
      <c r="BL522" s="701"/>
      <c r="BM522" s="702"/>
      <c r="BN522" s="703" t="s">
        <v>159</v>
      </c>
      <c r="BO522" s="704"/>
      <c r="BP522" s="704"/>
      <c r="BQ522" s="704"/>
      <c r="BR522" s="704"/>
      <c r="BS522" s="704"/>
      <c r="BT522" s="704"/>
      <c r="BU522" s="704"/>
      <c r="BV522" s="705"/>
    </row>
    <row r="523" spans="1:74" ht="45" customHeight="1" x14ac:dyDescent="0.25">
      <c r="A523" s="10">
        <f t="shared" si="7"/>
        <v>509</v>
      </c>
      <c r="B523" s="711" t="s">
        <v>159</v>
      </c>
      <c r="C523" s="711"/>
      <c r="D523" s="712" t="s">
        <v>212</v>
      </c>
      <c r="E523" s="712"/>
      <c r="F523" s="664" t="s">
        <v>162</v>
      </c>
      <c r="G523" s="665"/>
      <c r="H523" s="755" t="s">
        <v>162</v>
      </c>
      <c r="I523" s="667"/>
      <c r="J523" s="706"/>
      <c r="K523" s="707"/>
      <c r="L523" s="706"/>
      <c r="M523" s="707"/>
      <c r="N523" s="194"/>
      <c r="O523" s="216"/>
      <c r="P523" s="717"/>
      <c r="Q523" s="718"/>
      <c r="R523" s="672"/>
      <c r="S523" s="673"/>
      <c r="T523" s="674"/>
      <c r="U523" s="675"/>
      <c r="V523" s="676"/>
      <c r="W523" s="677"/>
      <c r="X523" s="725" t="s">
        <v>159</v>
      </c>
      <c r="Y523" s="725"/>
      <c r="Z523" s="725"/>
      <c r="AA523" s="725"/>
      <c r="AB523" s="726" t="s">
        <v>159</v>
      </c>
      <c r="AC523" s="726"/>
      <c r="AD523" s="726"/>
      <c r="AE523" s="726"/>
      <c r="AF523" s="680"/>
      <c r="AG523" s="681"/>
      <c r="AH523" s="727"/>
      <c r="AI523" s="728"/>
      <c r="AJ523" s="686"/>
      <c r="AK523" s="687"/>
      <c r="AL523" s="664" t="s">
        <v>162</v>
      </c>
      <c r="AM523" s="665"/>
      <c r="AN523" s="713" t="s">
        <v>162</v>
      </c>
      <c r="AO523" s="714"/>
      <c r="AP523" s="686"/>
      <c r="AQ523" s="687"/>
      <c r="AR523" s="688"/>
      <c r="AS523" s="689"/>
      <c r="AT523" s="690"/>
      <c r="AU523" s="691"/>
      <c r="AV523" s="713" t="s">
        <v>162</v>
      </c>
      <c r="AW523" s="714"/>
      <c r="AX523" s="692"/>
      <c r="AY523" s="693"/>
      <c r="AZ523" s="694"/>
      <c r="BA523" s="682"/>
      <c r="BB523" s="683"/>
      <c r="BC523" s="219"/>
      <c r="BD523" s="737" t="s">
        <v>162</v>
      </c>
      <c r="BE523" s="738"/>
      <c r="BF523" s="708"/>
      <c r="BG523" s="709"/>
      <c r="BH523" s="709"/>
      <c r="BI523" s="710"/>
      <c r="BJ523" s="742" t="s">
        <v>159</v>
      </c>
      <c r="BK523" s="743"/>
      <c r="BL523" s="743"/>
      <c r="BM523" s="744"/>
      <c r="BN523" s="703" t="s">
        <v>159</v>
      </c>
      <c r="BO523" s="704"/>
      <c r="BP523" s="704"/>
      <c r="BQ523" s="704"/>
      <c r="BR523" s="704"/>
      <c r="BS523" s="704"/>
      <c r="BT523" s="704"/>
      <c r="BU523" s="704"/>
      <c r="BV523" s="705"/>
    </row>
    <row r="524" spans="1:74" ht="45" customHeight="1" x14ac:dyDescent="0.25">
      <c r="A524" s="10">
        <f t="shared" si="7"/>
        <v>510</v>
      </c>
      <c r="B524" s="662" t="s">
        <v>159</v>
      </c>
      <c r="C524" s="662"/>
      <c r="D524" s="663" t="s">
        <v>212</v>
      </c>
      <c r="E524" s="663"/>
      <c r="F524" s="664" t="s">
        <v>162</v>
      </c>
      <c r="G524" s="665"/>
      <c r="H524" s="754" t="s">
        <v>162</v>
      </c>
      <c r="I524" s="714"/>
      <c r="J524" s="340"/>
      <c r="K524" s="341"/>
      <c r="L524" s="340"/>
      <c r="M524" s="341"/>
      <c r="N524" s="215"/>
      <c r="O524" s="196"/>
      <c r="P524" s="670"/>
      <c r="Q524" s="671"/>
      <c r="R524" s="719"/>
      <c r="S524" s="720"/>
      <c r="T524" s="721"/>
      <c r="U524" s="722"/>
      <c r="V524" s="723"/>
      <c r="W524" s="724"/>
      <c r="X524" s="678" t="s">
        <v>159</v>
      </c>
      <c r="Y524" s="678"/>
      <c r="Z524" s="678"/>
      <c r="AA524" s="678"/>
      <c r="AB524" s="679" t="s">
        <v>159</v>
      </c>
      <c r="AC524" s="679"/>
      <c r="AD524" s="679"/>
      <c r="AE524" s="679"/>
      <c r="AF524" s="727"/>
      <c r="AG524" s="728"/>
      <c r="AH524" s="680"/>
      <c r="AI524" s="681"/>
      <c r="AJ524" s="682"/>
      <c r="AK524" s="683"/>
      <c r="AL524" s="684" t="s">
        <v>162</v>
      </c>
      <c r="AM524" s="685"/>
      <c r="AN524" s="666" t="s">
        <v>162</v>
      </c>
      <c r="AO524" s="667"/>
      <c r="AP524" s="729"/>
      <c r="AQ524" s="730"/>
      <c r="AR524" s="731"/>
      <c r="AS524" s="732"/>
      <c r="AT524" s="690"/>
      <c r="AU524" s="691"/>
      <c r="AV524" s="666" t="s">
        <v>162</v>
      </c>
      <c r="AW524" s="667"/>
      <c r="AX524" s="692"/>
      <c r="AY524" s="693"/>
      <c r="AZ524" s="694"/>
      <c r="BA524" s="735"/>
      <c r="BB524" s="736"/>
      <c r="BC524" s="14"/>
      <c r="BD524" s="695" t="s">
        <v>162</v>
      </c>
      <c r="BE524" s="696"/>
      <c r="BF524" s="739"/>
      <c r="BG524" s="740"/>
      <c r="BH524" s="740"/>
      <c r="BI524" s="741"/>
      <c r="BJ524" s="700" t="s">
        <v>159</v>
      </c>
      <c r="BK524" s="701"/>
      <c r="BL524" s="701"/>
      <c r="BM524" s="702"/>
      <c r="BN524" s="703" t="s">
        <v>159</v>
      </c>
      <c r="BO524" s="704"/>
      <c r="BP524" s="704"/>
      <c r="BQ524" s="704"/>
      <c r="BR524" s="704"/>
      <c r="BS524" s="704"/>
      <c r="BT524" s="704"/>
      <c r="BU524" s="704"/>
      <c r="BV524" s="705"/>
    </row>
    <row r="525" spans="1:74" ht="45" customHeight="1" x14ac:dyDescent="0.25">
      <c r="A525" s="10">
        <f t="shared" si="7"/>
        <v>511</v>
      </c>
      <c r="B525" s="711" t="s">
        <v>159</v>
      </c>
      <c r="C525" s="711"/>
      <c r="D525" s="712" t="s">
        <v>212</v>
      </c>
      <c r="E525" s="712"/>
      <c r="F525" s="664" t="s">
        <v>162</v>
      </c>
      <c r="G525" s="665"/>
      <c r="H525" s="755" t="s">
        <v>162</v>
      </c>
      <c r="I525" s="667"/>
      <c r="J525" s="706"/>
      <c r="K525" s="707"/>
      <c r="L525" s="706"/>
      <c r="M525" s="707"/>
      <c r="N525" s="194"/>
      <c r="O525" s="216"/>
      <c r="P525" s="670"/>
      <c r="Q525" s="671"/>
      <c r="R525" s="672"/>
      <c r="S525" s="673"/>
      <c r="T525" s="674"/>
      <c r="U525" s="675"/>
      <c r="V525" s="676"/>
      <c r="W525" s="677"/>
      <c r="X525" s="725" t="s">
        <v>159</v>
      </c>
      <c r="Y525" s="725"/>
      <c r="Z525" s="725"/>
      <c r="AA525" s="725"/>
      <c r="AB525" s="726" t="s">
        <v>159</v>
      </c>
      <c r="AC525" s="726"/>
      <c r="AD525" s="726"/>
      <c r="AE525" s="726"/>
      <c r="AF525" s="680"/>
      <c r="AG525" s="681"/>
      <c r="AH525" s="727"/>
      <c r="AI525" s="728"/>
      <c r="AJ525" s="686"/>
      <c r="AK525" s="687"/>
      <c r="AL525" s="664" t="s">
        <v>162</v>
      </c>
      <c r="AM525" s="665"/>
      <c r="AN525" s="713" t="s">
        <v>162</v>
      </c>
      <c r="AO525" s="714"/>
      <c r="AP525" s="686"/>
      <c r="AQ525" s="687"/>
      <c r="AR525" s="688"/>
      <c r="AS525" s="689"/>
      <c r="AT525" s="690"/>
      <c r="AU525" s="691"/>
      <c r="AV525" s="713" t="s">
        <v>162</v>
      </c>
      <c r="AW525" s="714"/>
      <c r="AX525" s="692"/>
      <c r="AY525" s="693"/>
      <c r="AZ525" s="694"/>
      <c r="BA525" s="682"/>
      <c r="BB525" s="683"/>
      <c r="BC525" s="219"/>
      <c r="BD525" s="737" t="s">
        <v>162</v>
      </c>
      <c r="BE525" s="738"/>
      <c r="BF525" s="708"/>
      <c r="BG525" s="709"/>
      <c r="BH525" s="709"/>
      <c r="BI525" s="710"/>
      <c r="BJ525" s="742" t="s">
        <v>159</v>
      </c>
      <c r="BK525" s="743"/>
      <c r="BL525" s="743"/>
      <c r="BM525" s="744"/>
      <c r="BN525" s="703" t="s">
        <v>159</v>
      </c>
      <c r="BO525" s="704"/>
      <c r="BP525" s="704"/>
      <c r="BQ525" s="704"/>
      <c r="BR525" s="704"/>
      <c r="BS525" s="704"/>
      <c r="BT525" s="704"/>
      <c r="BU525" s="704"/>
      <c r="BV525" s="705"/>
    </row>
    <row r="526" spans="1:74" ht="45" customHeight="1" x14ac:dyDescent="0.25">
      <c r="A526" s="10">
        <f t="shared" si="7"/>
        <v>512</v>
      </c>
      <c r="B526" s="662" t="s">
        <v>159</v>
      </c>
      <c r="C526" s="662"/>
      <c r="D526" s="663" t="s">
        <v>212</v>
      </c>
      <c r="E526" s="663"/>
      <c r="F526" s="664" t="s">
        <v>162</v>
      </c>
      <c r="G526" s="665"/>
      <c r="H526" s="754" t="s">
        <v>162</v>
      </c>
      <c r="I526" s="714"/>
      <c r="J526" s="340"/>
      <c r="K526" s="341"/>
      <c r="L526" s="340"/>
      <c r="M526" s="341"/>
      <c r="N526" s="215"/>
      <c r="O526" s="196"/>
      <c r="P526" s="717"/>
      <c r="Q526" s="718"/>
      <c r="R526" s="719"/>
      <c r="S526" s="720"/>
      <c r="T526" s="721"/>
      <c r="U526" s="722"/>
      <c r="V526" s="723"/>
      <c r="W526" s="724"/>
      <c r="X526" s="678" t="s">
        <v>159</v>
      </c>
      <c r="Y526" s="678"/>
      <c r="Z526" s="678"/>
      <c r="AA526" s="678"/>
      <c r="AB526" s="679" t="s">
        <v>159</v>
      </c>
      <c r="AC526" s="679"/>
      <c r="AD526" s="679"/>
      <c r="AE526" s="679"/>
      <c r="AF526" s="727"/>
      <c r="AG526" s="728"/>
      <c r="AH526" s="680"/>
      <c r="AI526" s="681"/>
      <c r="AJ526" s="682"/>
      <c r="AK526" s="683"/>
      <c r="AL526" s="684" t="s">
        <v>162</v>
      </c>
      <c r="AM526" s="685"/>
      <c r="AN526" s="666" t="s">
        <v>162</v>
      </c>
      <c r="AO526" s="667"/>
      <c r="AP526" s="729"/>
      <c r="AQ526" s="730"/>
      <c r="AR526" s="731"/>
      <c r="AS526" s="732"/>
      <c r="AT526" s="690"/>
      <c r="AU526" s="691"/>
      <c r="AV526" s="666" t="s">
        <v>162</v>
      </c>
      <c r="AW526" s="667"/>
      <c r="AX526" s="692"/>
      <c r="AY526" s="693"/>
      <c r="AZ526" s="694"/>
      <c r="BA526" s="735"/>
      <c r="BB526" s="736"/>
      <c r="BC526" s="14"/>
      <c r="BD526" s="695" t="s">
        <v>162</v>
      </c>
      <c r="BE526" s="696"/>
      <c r="BF526" s="739"/>
      <c r="BG526" s="740"/>
      <c r="BH526" s="740"/>
      <c r="BI526" s="741"/>
      <c r="BJ526" s="700" t="s">
        <v>159</v>
      </c>
      <c r="BK526" s="701"/>
      <c r="BL526" s="701"/>
      <c r="BM526" s="702"/>
      <c r="BN526" s="703" t="s">
        <v>159</v>
      </c>
      <c r="BO526" s="704"/>
      <c r="BP526" s="704"/>
      <c r="BQ526" s="704"/>
      <c r="BR526" s="704"/>
      <c r="BS526" s="704"/>
      <c r="BT526" s="704"/>
      <c r="BU526" s="704"/>
      <c r="BV526" s="705"/>
    </row>
    <row r="527" spans="1:74" ht="45" customHeight="1" x14ac:dyDescent="0.25">
      <c r="A527" s="10">
        <f t="shared" ref="A527:A590" si="8">ROW(A513)</f>
        <v>513</v>
      </c>
      <c r="B527" s="711" t="s">
        <v>159</v>
      </c>
      <c r="C527" s="711"/>
      <c r="D527" s="712" t="s">
        <v>212</v>
      </c>
      <c r="E527" s="712"/>
      <c r="F527" s="664" t="s">
        <v>162</v>
      </c>
      <c r="G527" s="665"/>
      <c r="H527" s="755" t="s">
        <v>162</v>
      </c>
      <c r="I527" s="667"/>
      <c r="J527" s="706"/>
      <c r="K527" s="707"/>
      <c r="L527" s="706"/>
      <c r="M527" s="707"/>
      <c r="N527" s="194"/>
      <c r="O527" s="216"/>
      <c r="P527" s="670"/>
      <c r="Q527" s="671"/>
      <c r="R527" s="672"/>
      <c r="S527" s="673"/>
      <c r="T527" s="674"/>
      <c r="U527" s="675"/>
      <c r="V527" s="676"/>
      <c r="W527" s="677"/>
      <c r="X527" s="725" t="s">
        <v>159</v>
      </c>
      <c r="Y527" s="725"/>
      <c r="Z527" s="725"/>
      <c r="AA527" s="725"/>
      <c r="AB527" s="726" t="s">
        <v>159</v>
      </c>
      <c r="AC527" s="726"/>
      <c r="AD527" s="726"/>
      <c r="AE527" s="726"/>
      <c r="AF527" s="680"/>
      <c r="AG527" s="681"/>
      <c r="AH527" s="727"/>
      <c r="AI527" s="728"/>
      <c r="AJ527" s="686"/>
      <c r="AK527" s="687"/>
      <c r="AL527" s="664" t="s">
        <v>162</v>
      </c>
      <c r="AM527" s="665"/>
      <c r="AN527" s="713" t="s">
        <v>162</v>
      </c>
      <c r="AO527" s="714"/>
      <c r="AP527" s="686"/>
      <c r="AQ527" s="687"/>
      <c r="AR527" s="688"/>
      <c r="AS527" s="689"/>
      <c r="AT527" s="690"/>
      <c r="AU527" s="691"/>
      <c r="AV527" s="713" t="s">
        <v>162</v>
      </c>
      <c r="AW527" s="714"/>
      <c r="AX527" s="692"/>
      <c r="AY527" s="693"/>
      <c r="AZ527" s="694"/>
      <c r="BA527" s="682"/>
      <c r="BB527" s="683"/>
      <c r="BC527" s="219"/>
      <c r="BD527" s="737" t="s">
        <v>162</v>
      </c>
      <c r="BE527" s="738"/>
      <c r="BF527" s="697"/>
      <c r="BG527" s="698"/>
      <c r="BH527" s="698"/>
      <c r="BI527" s="699"/>
      <c r="BJ527" s="742" t="s">
        <v>159</v>
      </c>
      <c r="BK527" s="743"/>
      <c r="BL527" s="743"/>
      <c r="BM527" s="744"/>
      <c r="BN527" s="703" t="s">
        <v>159</v>
      </c>
      <c r="BO527" s="704"/>
      <c r="BP527" s="704"/>
      <c r="BQ527" s="704"/>
      <c r="BR527" s="704"/>
      <c r="BS527" s="704"/>
      <c r="BT527" s="704"/>
      <c r="BU527" s="704"/>
      <c r="BV527" s="705"/>
    </row>
    <row r="528" spans="1:74" ht="45" customHeight="1" x14ac:dyDescent="0.25">
      <c r="A528" s="10">
        <f t="shared" si="8"/>
        <v>514</v>
      </c>
      <c r="B528" s="662" t="s">
        <v>159</v>
      </c>
      <c r="C528" s="662"/>
      <c r="D528" s="663" t="s">
        <v>212</v>
      </c>
      <c r="E528" s="663"/>
      <c r="F528" s="664" t="s">
        <v>162</v>
      </c>
      <c r="G528" s="665"/>
      <c r="H528" s="754" t="s">
        <v>162</v>
      </c>
      <c r="I528" s="714"/>
      <c r="J528" s="340"/>
      <c r="K528" s="341"/>
      <c r="L528" s="340"/>
      <c r="M528" s="341"/>
      <c r="N528" s="215"/>
      <c r="O528" s="196"/>
      <c r="P528" s="717"/>
      <c r="Q528" s="718"/>
      <c r="R528" s="719"/>
      <c r="S528" s="720"/>
      <c r="T528" s="721"/>
      <c r="U528" s="722"/>
      <c r="V528" s="723"/>
      <c r="W528" s="724"/>
      <c r="X528" s="678" t="s">
        <v>159</v>
      </c>
      <c r="Y528" s="678"/>
      <c r="Z528" s="678"/>
      <c r="AA528" s="678"/>
      <c r="AB528" s="679" t="s">
        <v>159</v>
      </c>
      <c r="AC528" s="679"/>
      <c r="AD528" s="679"/>
      <c r="AE528" s="679"/>
      <c r="AF528" s="727"/>
      <c r="AG528" s="728"/>
      <c r="AH528" s="680"/>
      <c r="AI528" s="681"/>
      <c r="AJ528" s="682"/>
      <c r="AK528" s="683"/>
      <c r="AL528" s="684" t="s">
        <v>162</v>
      </c>
      <c r="AM528" s="685"/>
      <c r="AN528" s="666" t="s">
        <v>162</v>
      </c>
      <c r="AO528" s="667"/>
      <c r="AP528" s="729"/>
      <c r="AQ528" s="730"/>
      <c r="AR528" s="731"/>
      <c r="AS528" s="732"/>
      <c r="AT528" s="690"/>
      <c r="AU528" s="691"/>
      <c r="AV528" s="666" t="s">
        <v>162</v>
      </c>
      <c r="AW528" s="667"/>
      <c r="AX528" s="692"/>
      <c r="AY528" s="693"/>
      <c r="AZ528" s="694"/>
      <c r="BA528" s="735"/>
      <c r="BB528" s="736"/>
      <c r="BC528" s="14"/>
      <c r="BD528" s="695" t="s">
        <v>162</v>
      </c>
      <c r="BE528" s="696"/>
      <c r="BF528" s="739"/>
      <c r="BG528" s="740"/>
      <c r="BH528" s="740"/>
      <c r="BI528" s="741"/>
      <c r="BJ528" s="700" t="s">
        <v>159</v>
      </c>
      <c r="BK528" s="701"/>
      <c r="BL528" s="701"/>
      <c r="BM528" s="702"/>
      <c r="BN528" s="703" t="s">
        <v>159</v>
      </c>
      <c r="BO528" s="704"/>
      <c r="BP528" s="704"/>
      <c r="BQ528" s="704"/>
      <c r="BR528" s="704"/>
      <c r="BS528" s="704"/>
      <c r="BT528" s="704"/>
      <c r="BU528" s="704"/>
      <c r="BV528" s="705"/>
    </row>
    <row r="529" spans="1:74" ht="45" customHeight="1" x14ac:dyDescent="0.25">
      <c r="A529" s="10">
        <f t="shared" si="8"/>
        <v>515</v>
      </c>
      <c r="B529" s="711" t="s">
        <v>159</v>
      </c>
      <c r="C529" s="711"/>
      <c r="D529" s="712" t="s">
        <v>212</v>
      </c>
      <c r="E529" s="712"/>
      <c r="F529" s="664" t="s">
        <v>162</v>
      </c>
      <c r="G529" s="665"/>
      <c r="H529" s="755" t="s">
        <v>162</v>
      </c>
      <c r="I529" s="667"/>
      <c r="J529" s="706"/>
      <c r="K529" s="707"/>
      <c r="L529" s="706"/>
      <c r="M529" s="707"/>
      <c r="N529" s="194"/>
      <c r="O529" s="216"/>
      <c r="P529" s="670"/>
      <c r="Q529" s="671"/>
      <c r="R529" s="672"/>
      <c r="S529" s="673"/>
      <c r="T529" s="674"/>
      <c r="U529" s="675"/>
      <c r="V529" s="676"/>
      <c r="W529" s="677"/>
      <c r="X529" s="725" t="s">
        <v>159</v>
      </c>
      <c r="Y529" s="725"/>
      <c r="Z529" s="725"/>
      <c r="AA529" s="725"/>
      <c r="AB529" s="726" t="s">
        <v>159</v>
      </c>
      <c r="AC529" s="726"/>
      <c r="AD529" s="726"/>
      <c r="AE529" s="726"/>
      <c r="AF529" s="680"/>
      <c r="AG529" s="681"/>
      <c r="AH529" s="727"/>
      <c r="AI529" s="728"/>
      <c r="AJ529" s="686"/>
      <c r="AK529" s="687"/>
      <c r="AL529" s="664" t="s">
        <v>162</v>
      </c>
      <c r="AM529" s="665"/>
      <c r="AN529" s="713" t="s">
        <v>162</v>
      </c>
      <c r="AO529" s="714"/>
      <c r="AP529" s="686"/>
      <c r="AQ529" s="687"/>
      <c r="AR529" s="688"/>
      <c r="AS529" s="689"/>
      <c r="AT529" s="690"/>
      <c r="AU529" s="691"/>
      <c r="AV529" s="713" t="s">
        <v>162</v>
      </c>
      <c r="AW529" s="714"/>
      <c r="AX529" s="692"/>
      <c r="AY529" s="693"/>
      <c r="AZ529" s="694"/>
      <c r="BA529" s="682"/>
      <c r="BB529" s="683"/>
      <c r="BC529" s="219"/>
      <c r="BD529" s="737" t="s">
        <v>162</v>
      </c>
      <c r="BE529" s="738"/>
      <c r="BF529" s="708"/>
      <c r="BG529" s="709"/>
      <c r="BH529" s="709"/>
      <c r="BI529" s="710"/>
      <c r="BJ529" s="742" t="s">
        <v>159</v>
      </c>
      <c r="BK529" s="743"/>
      <c r="BL529" s="743"/>
      <c r="BM529" s="744"/>
      <c r="BN529" s="703" t="s">
        <v>159</v>
      </c>
      <c r="BO529" s="704"/>
      <c r="BP529" s="704"/>
      <c r="BQ529" s="704"/>
      <c r="BR529" s="704"/>
      <c r="BS529" s="704"/>
      <c r="BT529" s="704"/>
      <c r="BU529" s="704"/>
      <c r="BV529" s="705"/>
    </row>
    <row r="530" spans="1:74" ht="45" customHeight="1" x14ac:dyDescent="0.25">
      <c r="A530" s="10">
        <f t="shared" si="8"/>
        <v>516</v>
      </c>
      <c r="B530" s="662" t="s">
        <v>159</v>
      </c>
      <c r="C530" s="662"/>
      <c r="D530" s="663" t="s">
        <v>212</v>
      </c>
      <c r="E530" s="663"/>
      <c r="F530" s="664" t="s">
        <v>162</v>
      </c>
      <c r="G530" s="665"/>
      <c r="H530" s="754" t="s">
        <v>162</v>
      </c>
      <c r="I530" s="714"/>
      <c r="J530" s="340"/>
      <c r="K530" s="341"/>
      <c r="L530" s="340"/>
      <c r="M530" s="341"/>
      <c r="N530" s="215"/>
      <c r="O530" s="196"/>
      <c r="P530" s="717"/>
      <c r="Q530" s="718"/>
      <c r="R530" s="719"/>
      <c r="S530" s="720"/>
      <c r="T530" s="721"/>
      <c r="U530" s="722"/>
      <c r="V530" s="723"/>
      <c r="W530" s="724"/>
      <c r="X530" s="678" t="s">
        <v>159</v>
      </c>
      <c r="Y530" s="678"/>
      <c r="Z530" s="678"/>
      <c r="AA530" s="678"/>
      <c r="AB530" s="679" t="s">
        <v>159</v>
      </c>
      <c r="AC530" s="679"/>
      <c r="AD530" s="679"/>
      <c r="AE530" s="679"/>
      <c r="AF530" s="727"/>
      <c r="AG530" s="728"/>
      <c r="AH530" s="680"/>
      <c r="AI530" s="681"/>
      <c r="AJ530" s="682"/>
      <c r="AK530" s="683"/>
      <c r="AL530" s="684" t="s">
        <v>162</v>
      </c>
      <c r="AM530" s="685"/>
      <c r="AN530" s="666" t="s">
        <v>162</v>
      </c>
      <c r="AO530" s="667"/>
      <c r="AP530" s="729"/>
      <c r="AQ530" s="730"/>
      <c r="AR530" s="731"/>
      <c r="AS530" s="732"/>
      <c r="AT530" s="690"/>
      <c r="AU530" s="691"/>
      <c r="AV530" s="666" t="s">
        <v>162</v>
      </c>
      <c r="AW530" s="667"/>
      <c r="AX530" s="692"/>
      <c r="AY530" s="693"/>
      <c r="AZ530" s="694"/>
      <c r="BA530" s="735"/>
      <c r="BB530" s="736"/>
      <c r="BC530" s="14"/>
      <c r="BD530" s="695" t="s">
        <v>162</v>
      </c>
      <c r="BE530" s="696"/>
      <c r="BF530" s="739"/>
      <c r="BG530" s="740"/>
      <c r="BH530" s="740"/>
      <c r="BI530" s="741"/>
      <c r="BJ530" s="700" t="s">
        <v>159</v>
      </c>
      <c r="BK530" s="701"/>
      <c r="BL530" s="701"/>
      <c r="BM530" s="702"/>
      <c r="BN530" s="703" t="s">
        <v>159</v>
      </c>
      <c r="BO530" s="704"/>
      <c r="BP530" s="704"/>
      <c r="BQ530" s="704"/>
      <c r="BR530" s="704"/>
      <c r="BS530" s="704"/>
      <c r="BT530" s="704"/>
      <c r="BU530" s="704"/>
      <c r="BV530" s="705"/>
    </row>
    <row r="531" spans="1:74" ht="45" customHeight="1" x14ac:dyDescent="0.25">
      <c r="A531" s="10">
        <f t="shared" si="8"/>
        <v>517</v>
      </c>
      <c r="B531" s="711" t="s">
        <v>159</v>
      </c>
      <c r="C531" s="711"/>
      <c r="D531" s="712" t="s">
        <v>212</v>
      </c>
      <c r="E531" s="712"/>
      <c r="F531" s="664" t="s">
        <v>162</v>
      </c>
      <c r="G531" s="665"/>
      <c r="H531" s="755" t="s">
        <v>162</v>
      </c>
      <c r="I531" s="667"/>
      <c r="J531" s="706"/>
      <c r="K531" s="707"/>
      <c r="L531" s="706"/>
      <c r="M531" s="707"/>
      <c r="N531" s="194"/>
      <c r="O531" s="216"/>
      <c r="P531" s="670"/>
      <c r="Q531" s="671"/>
      <c r="R531" s="672"/>
      <c r="S531" s="673"/>
      <c r="T531" s="674"/>
      <c r="U531" s="675"/>
      <c r="V531" s="676"/>
      <c r="W531" s="677"/>
      <c r="X531" s="725" t="s">
        <v>159</v>
      </c>
      <c r="Y531" s="725"/>
      <c r="Z531" s="725"/>
      <c r="AA531" s="725"/>
      <c r="AB531" s="726" t="s">
        <v>159</v>
      </c>
      <c r="AC531" s="726"/>
      <c r="AD531" s="726"/>
      <c r="AE531" s="726"/>
      <c r="AF531" s="680"/>
      <c r="AG531" s="681"/>
      <c r="AH531" s="727"/>
      <c r="AI531" s="728"/>
      <c r="AJ531" s="686"/>
      <c r="AK531" s="687"/>
      <c r="AL531" s="664" t="s">
        <v>162</v>
      </c>
      <c r="AM531" s="665"/>
      <c r="AN531" s="713" t="s">
        <v>162</v>
      </c>
      <c r="AO531" s="714"/>
      <c r="AP531" s="686"/>
      <c r="AQ531" s="687"/>
      <c r="AR531" s="688"/>
      <c r="AS531" s="689"/>
      <c r="AT531" s="690"/>
      <c r="AU531" s="691"/>
      <c r="AV531" s="713" t="s">
        <v>162</v>
      </c>
      <c r="AW531" s="714"/>
      <c r="AX531" s="692"/>
      <c r="AY531" s="693"/>
      <c r="AZ531" s="694"/>
      <c r="BA531" s="682"/>
      <c r="BB531" s="683"/>
      <c r="BC531" s="219"/>
      <c r="BD531" s="737" t="s">
        <v>162</v>
      </c>
      <c r="BE531" s="738"/>
      <c r="BF531" s="697"/>
      <c r="BG531" s="698"/>
      <c r="BH531" s="698"/>
      <c r="BI531" s="699"/>
      <c r="BJ531" s="742" t="s">
        <v>159</v>
      </c>
      <c r="BK531" s="743"/>
      <c r="BL531" s="743"/>
      <c r="BM531" s="744"/>
      <c r="BN531" s="703" t="s">
        <v>159</v>
      </c>
      <c r="BO531" s="704"/>
      <c r="BP531" s="704"/>
      <c r="BQ531" s="704"/>
      <c r="BR531" s="704"/>
      <c r="BS531" s="704"/>
      <c r="BT531" s="704"/>
      <c r="BU531" s="704"/>
      <c r="BV531" s="705"/>
    </row>
    <row r="532" spans="1:74" ht="45" customHeight="1" x14ac:dyDescent="0.25">
      <c r="A532" s="10">
        <f t="shared" si="8"/>
        <v>518</v>
      </c>
      <c r="B532" s="662" t="s">
        <v>159</v>
      </c>
      <c r="C532" s="662"/>
      <c r="D532" s="663" t="s">
        <v>212</v>
      </c>
      <c r="E532" s="663"/>
      <c r="F532" s="664" t="s">
        <v>162</v>
      </c>
      <c r="G532" s="665"/>
      <c r="H532" s="754" t="s">
        <v>162</v>
      </c>
      <c r="I532" s="714"/>
      <c r="J532" s="340"/>
      <c r="K532" s="341"/>
      <c r="L532" s="340"/>
      <c r="M532" s="341"/>
      <c r="N532" s="215"/>
      <c r="O532" s="196"/>
      <c r="P532" s="717"/>
      <c r="Q532" s="718"/>
      <c r="R532" s="719"/>
      <c r="S532" s="720"/>
      <c r="T532" s="721"/>
      <c r="U532" s="722"/>
      <c r="V532" s="723"/>
      <c r="W532" s="724"/>
      <c r="X532" s="678" t="s">
        <v>159</v>
      </c>
      <c r="Y532" s="678"/>
      <c r="Z532" s="678"/>
      <c r="AA532" s="678"/>
      <c r="AB532" s="679" t="s">
        <v>159</v>
      </c>
      <c r="AC532" s="679"/>
      <c r="AD532" s="679"/>
      <c r="AE532" s="679"/>
      <c r="AF532" s="727"/>
      <c r="AG532" s="728"/>
      <c r="AH532" s="680"/>
      <c r="AI532" s="681"/>
      <c r="AJ532" s="682"/>
      <c r="AK532" s="683"/>
      <c r="AL532" s="684" t="s">
        <v>162</v>
      </c>
      <c r="AM532" s="685"/>
      <c r="AN532" s="666" t="s">
        <v>162</v>
      </c>
      <c r="AO532" s="667"/>
      <c r="AP532" s="729"/>
      <c r="AQ532" s="730"/>
      <c r="AR532" s="731"/>
      <c r="AS532" s="732"/>
      <c r="AT532" s="690"/>
      <c r="AU532" s="691"/>
      <c r="AV532" s="666" t="s">
        <v>162</v>
      </c>
      <c r="AW532" s="667"/>
      <c r="AX532" s="692"/>
      <c r="AY532" s="693"/>
      <c r="AZ532" s="694"/>
      <c r="BA532" s="735"/>
      <c r="BB532" s="736"/>
      <c r="BC532" s="14"/>
      <c r="BD532" s="695" t="s">
        <v>162</v>
      </c>
      <c r="BE532" s="696"/>
      <c r="BF532" s="739"/>
      <c r="BG532" s="740"/>
      <c r="BH532" s="740"/>
      <c r="BI532" s="741"/>
      <c r="BJ532" s="700" t="s">
        <v>159</v>
      </c>
      <c r="BK532" s="701"/>
      <c r="BL532" s="701"/>
      <c r="BM532" s="702"/>
      <c r="BN532" s="703" t="s">
        <v>159</v>
      </c>
      <c r="BO532" s="704"/>
      <c r="BP532" s="704"/>
      <c r="BQ532" s="704"/>
      <c r="BR532" s="704"/>
      <c r="BS532" s="704"/>
      <c r="BT532" s="704"/>
      <c r="BU532" s="704"/>
      <c r="BV532" s="705"/>
    </row>
    <row r="533" spans="1:74" ht="45" customHeight="1" x14ac:dyDescent="0.25">
      <c r="A533" s="10">
        <f t="shared" si="8"/>
        <v>519</v>
      </c>
      <c r="B533" s="711" t="s">
        <v>159</v>
      </c>
      <c r="C533" s="711"/>
      <c r="D533" s="712" t="s">
        <v>212</v>
      </c>
      <c r="E533" s="712"/>
      <c r="F533" s="664" t="s">
        <v>162</v>
      </c>
      <c r="G533" s="665"/>
      <c r="H533" s="755" t="s">
        <v>162</v>
      </c>
      <c r="I533" s="667"/>
      <c r="J533" s="706"/>
      <c r="K533" s="707"/>
      <c r="L533" s="706"/>
      <c r="M533" s="707"/>
      <c r="N533" s="194"/>
      <c r="O533" s="216"/>
      <c r="P533" s="670"/>
      <c r="Q533" s="671"/>
      <c r="R533" s="672"/>
      <c r="S533" s="673"/>
      <c r="T533" s="674"/>
      <c r="U533" s="675"/>
      <c r="V533" s="676"/>
      <c r="W533" s="677"/>
      <c r="X533" s="725" t="s">
        <v>159</v>
      </c>
      <c r="Y533" s="725"/>
      <c r="Z533" s="725"/>
      <c r="AA533" s="725"/>
      <c r="AB533" s="726" t="s">
        <v>159</v>
      </c>
      <c r="AC533" s="726"/>
      <c r="AD533" s="726"/>
      <c r="AE533" s="726"/>
      <c r="AF533" s="680"/>
      <c r="AG533" s="681"/>
      <c r="AH533" s="727"/>
      <c r="AI533" s="728"/>
      <c r="AJ533" s="686"/>
      <c r="AK533" s="687"/>
      <c r="AL533" s="664" t="s">
        <v>162</v>
      </c>
      <c r="AM533" s="665"/>
      <c r="AN533" s="713" t="s">
        <v>162</v>
      </c>
      <c r="AO533" s="714"/>
      <c r="AP533" s="686"/>
      <c r="AQ533" s="687"/>
      <c r="AR533" s="688"/>
      <c r="AS533" s="689"/>
      <c r="AT533" s="690"/>
      <c r="AU533" s="691"/>
      <c r="AV533" s="713" t="s">
        <v>162</v>
      </c>
      <c r="AW533" s="714"/>
      <c r="AX533" s="692"/>
      <c r="AY533" s="693"/>
      <c r="AZ533" s="694"/>
      <c r="BA533" s="682"/>
      <c r="BB533" s="683"/>
      <c r="BC533" s="219"/>
      <c r="BD533" s="737" t="s">
        <v>162</v>
      </c>
      <c r="BE533" s="738"/>
      <c r="BF533" s="708"/>
      <c r="BG533" s="709"/>
      <c r="BH533" s="709"/>
      <c r="BI533" s="710"/>
      <c r="BJ533" s="742" t="s">
        <v>159</v>
      </c>
      <c r="BK533" s="743"/>
      <c r="BL533" s="743"/>
      <c r="BM533" s="744"/>
      <c r="BN533" s="703" t="s">
        <v>159</v>
      </c>
      <c r="BO533" s="704"/>
      <c r="BP533" s="704"/>
      <c r="BQ533" s="704"/>
      <c r="BR533" s="704"/>
      <c r="BS533" s="704"/>
      <c r="BT533" s="704"/>
      <c r="BU533" s="704"/>
      <c r="BV533" s="705"/>
    </row>
    <row r="534" spans="1:74" ht="45" customHeight="1" x14ac:dyDescent="0.25">
      <c r="A534" s="10">
        <f t="shared" si="8"/>
        <v>520</v>
      </c>
      <c r="B534" s="662" t="s">
        <v>159</v>
      </c>
      <c r="C534" s="662"/>
      <c r="D534" s="663" t="s">
        <v>212</v>
      </c>
      <c r="E534" s="663"/>
      <c r="F534" s="664" t="s">
        <v>162</v>
      </c>
      <c r="G534" s="665"/>
      <c r="H534" s="754" t="s">
        <v>162</v>
      </c>
      <c r="I534" s="714"/>
      <c r="J534" s="340"/>
      <c r="K534" s="341"/>
      <c r="L534" s="340"/>
      <c r="M534" s="341"/>
      <c r="N534" s="215"/>
      <c r="O534" s="196"/>
      <c r="P534" s="717"/>
      <c r="Q534" s="718"/>
      <c r="R534" s="719"/>
      <c r="S534" s="720"/>
      <c r="T534" s="721"/>
      <c r="U534" s="722"/>
      <c r="V534" s="723"/>
      <c r="W534" s="724"/>
      <c r="X534" s="678" t="s">
        <v>159</v>
      </c>
      <c r="Y534" s="678"/>
      <c r="Z534" s="678"/>
      <c r="AA534" s="678"/>
      <c r="AB534" s="679" t="s">
        <v>159</v>
      </c>
      <c r="AC534" s="679"/>
      <c r="AD534" s="679"/>
      <c r="AE534" s="679"/>
      <c r="AF534" s="727"/>
      <c r="AG534" s="728"/>
      <c r="AH534" s="680"/>
      <c r="AI534" s="681"/>
      <c r="AJ534" s="682"/>
      <c r="AK534" s="683"/>
      <c r="AL534" s="684" t="s">
        <v>162</v>
      </c>
      <c r="AM534" s="685"/>
      <c r="AN534" s="666" t="s">
        <v>162</v>
      </c>
      <c r="AO534" s="667"/>
      <c r="AP534" s="729"/>
      <c r="AQ534" s="730"/>
      <c r="AR534" s="731"/>
      <c r="AS534" s="732"/>
      <c r="AT534" s="690"/>
      <c r="AU534" s="691"/>
      <c r="AV534" s="666" t="s">
        <v>162</v>
      </c>
      <c r="AW534" s="667"/>
      <c r="AX534" s="692"/>
      <c r="AY534" s="693"/>
      <c r="AZ534" s="694"/>
      <c r="BA534" s="735"/>
      <c r="BB534" s="736"/>
      <c r="BC534" s="14"/>
      <c r="BD534" s="695" t="s">
        <v>162</v>
      </c>
      <c r="BE534" s="696"/>
      <c r="BF534" s="739"/>
      <c r="BG534" s="740"/>
      <c r="BH534" s="740"/>
      <c r="BI534" s="741"/>
      <c r="BJ534" s="700" t="s">
        <v>159</v>
      </c>
      <c r="BK534" s="701"/>
      <c r="BL534" s="701"/>
      <c r="BM534" s="702"/>
      <c r="BN534" s="703" t="s">
        <v>159</v>
      </c>
      <c r="BO534" s="704"/>
      <c r="BP534" s="704"/>
      <c r="BQ534" s="704"/>
      <c r="BR534" s="704"/>
      <c r="BS534" s="704"/>
      <c r="BT534" s="704"/>
      <c r="BU534" s="704"/>
      <c r="BV534" s="705"/>
    </row>
    <row r="535" spans="1:74" ht="45" customHeight="1" x14ac:dyDescent="0.25">
      <c r="A535" s="10">
        <f t="shared" si="8"/>
        <v>521</v>
      </c>
      <c r="B535" s="711" t="s">
        <v>159</v>
      </c>
      <c r="C535" s="711"/>
      <c r="D535" s="712" t="s">
        <v>212</v>
      </c>
      <c r="E535" s="712"/>
      <c r="F535" s="664" t="s">
        <v>162</v>
      </c>
      <c r="G535" s="665"/>
      <c r="H535" s="755" t="s">
        <v>162</v>
      </c>
      <c r="I535" s="667"/>
      <c r="J535" s="706"/>
      <c r="K535" s="707"/>
      <c r="L535" s="706"/>
      <c r="M535" s="707"/>
      <c r="N535" s="194"/>
      <c r="O535" s="216"/>
      <c r="P535" s="670"/>
      <c r="Q535" s="671"/>
      <c r="R535" s="719"/>
      <c r="S535" s="720"/>
      <c r="T535" s="721"/>
      <c r="U535" s="722"/>
      <c r="V535" s="676"/>
      <c r="W535" s="677"/>
      <c r="X535" s="725" t="s">
        <v>159</v>
      </c>
      <c r="Y535" s="725"/>
      <c r="Z535" s="725"/>
      <c r="AA535" s="725"/>
      <c r="AB535" s="726" t="s">
        <v>159</v>
      </c>
      <c r="AC535" s="726"/>
      <c r="AD535" s="726"/>
      <c r="AE535" s="726"/>
      <c r="AF535" s="680"/>
      <c r="AG535" s="681"/>
      <c r="AH535" s="727"/>
      <c r="AI535" s="728"/>
      <c r="AJ535" s="686"/>
      <c r="AK535" s="687"/>
      <c r="AL535" s="664" t="s">
        <v>162</v>
      </c>
      <c r="AM535" s="665"/>
      <c r="AN535" s="713" t="s">
        <v>162</v>
      </c>
      <c r="AO535" s="714"/>
      <c r="AP535" s="686"/>
      <c r="AQ535" s="687"/>
      <c r="AR535" s="688"/>
      <c r="AS535" s="689"/>
      <c r="AT535" s="690"/>
      <c r="AU535" s="691"/>
      <c r="AV535" s="713" t="s">
        <v>162</v>
      </c>
      <c r="AW535" s="714"/>
      <c r="AX535" s="692"/>
      <c r="AY535" s="693"/>
      <c r="AZ535" s="694"/>
      <c r="BA535" s="682"/>
      <c r="BB535" s="683"/>
      <c r="BC535" s="219"/>
      <c r="BD535" s="737" t="s">
        <v>162</v>
      </c>
      <c r="BE535" s="738"/>
      <c r="BF535" s="708"/>
      <c r="BG535" s="709"/>
      <c r="BH535" s="709"/>
      <c r="BI535" s="710"/>
      <c r="BJ535" s="742" t="s">
        <v>159</v>
      </c>
      <c r="BK535" s="743"/>
      <c r="BL535" s="743"/>
      <c r="BM535" s="744"/>
      <c r="BN535" s="703" t="s">
        <v>159</v>
      </c>
      <c r="BO535" s="704"/>
      <c r="BP535" s="704"/>
      <c r="BQ535" s="704"/>
      <c r="BR535" s="704"/>
      <c r="BS535" s="704"/>
      <c r="BT535" s="704"/>
      <c r="BU535" s="704"/>
      <c r="BV535" s="705"/>
    </row>
    <row r="536" spans="1:74" ht="45" customHeight="1" x14ac:dyDescent="0.25">
      <c r="A536" s="10">
        <f t="shared" si="8"/>
        <v>522</v>
      </c>
      <c r="B536" s="662" t="s">
        <v>159</v>
      </c>
      <c r="C536" s="662"/>
      <c r="D536" s="663" t="s">
        <v>212</v>
      </c>
      <c r="E536" s="663"/>
      <c r="F536" s="664" t="s">
        <v>162</v>
      </c>
      <c r="G536" s="665"/>
      <c r="H536" s="754" t="s">
        <v>162</v>
      </c>
      <c r="I536" s="714"/>
      <c r="J536" s="340"/>
      <c r="K536" s="341"/>
      <c r="L536" s="340"/>
      <c r="M536" s="341"/>
      <c r="N536" s="215"/>
      <c r="O536" s="196"/>
      <c r="P536" s="717"/>
      <c r="Q536" s="718"/>
      <c r="R536" s="672"/>
      <c r="S536" s="673"/>
      <c r="T536" s="674"/>
      <c r="U536" s="675"/>
      <c r="V536" s="723"/>
      <c r="W536" s="724"/>
      <c r="X536" s="678" t="s">
        <v>159</v>
      </c>
      <c r="Y536" s="678"/>
      <c r="Z536" s="678"/>
      <c r="AA536" s="678"/>
      <c r="AB536" s="679" t="s">
        <v>159</v>
      </c>
      <c r="AC536" s="679"/>
      <c r="AD536" s="679"/>
      <c r="AE536" s="679"/>
      <c r="AF536" s="727"/>
      <c r="AG536" s="728"/>
      <c r="AH536" s="680"/>
      <c r="AI536" s="681"/>
      <c r="AJ536" s="682"/>
      <c r="AK536" s="683"/>
      <c r="AL536" s="684" t="s">
        <v>162</v>
      </c>
      <c r="AM536" s="685"/>
      <c r="AN536" s="666" t="s">
        <v>162</v>
      </c>
      <c r="AO536" s="667"/>
      <c r="AP536" s="729"/>
      <c r="AQ536" s="730"/>
      <c r="AR536" s="731"/>
      <c r="AS536" s="732"/>
      <c r="AT536" s="690"/>
      <c r="AU536" s="691"/>
      <c r="AV536" s="666" t="s">
        <v>162</v>
      </c>
      <c r="AW536" s="667"/>
      <c r="AX536" s="692"/>
      <c r="AY536" s="693"/>
      <c r="AZ536" s="694"/>
      <c r="BA536" s="735"/>
      <c r="BB536" s="736"/>
      <c r="BC536" s="14"/>
      <c r="BD536" s="695" t="s">
        <v>162</v>
      </c>
      <c r="BE536" s="696"/>
      <c r="BF536" s="739"/>
      <c r="BG536" s="740"/>
      <c r="BH536" s="740"/>
      <c r="BI536" s="741"/>
      <c r="BJ536" s="700" t="s">
        <v>159</v>
      </c>
      <c r="BK536" s="701"/>
      <c r="BL536" s="701"/>
      <c r="BM536" s="702"/>
      <c r="BN536" s="703" t="s">
        <v>159</v>
      </c>
      <c r="BO536" s="704"/>
      <c r="BP536" s="704"/>
      <c r="BQ536" s="704"/>
      <c r="BR536" s="704"/>
      <c r="BS536" s="704"/>
      <c r="BT536" s="704"/>
      <c r="BU536" s="704"/>
      <c r="BV536" s="705"/>
    </row>
    <row r="537" spans="1:74" ht="45" customHeight="1" x14ac:dyDescent="0.25">
      <c r="A537" s="10">
        <f t="shared" si="8"/>
        <v>523</v>
      </c>
      <c r="B537" s="711" t="s">
        <v>159</v>
      </c>
      <c r="C537" s="711"/>
      <c r="D537" s="712" t="s">
        <v>212</v>
      </c>
      <c r="E537" s="712"/>
      <c r="F537" s="664" t="s">
        <v>162</v>
      </c>
      <c r="G537" s="665"/>
      <c r="H537" s="755" t="s">
        <v>162</v>
      </c>
      <c r="I537" s="667"/>
      <c r="J537" s="706"/>
      <c r="K537" s="707"/>
      <c r="L537" s="706"/>
      <c r="M537" s="707"/>
      <c r="N537" s="194"/>
      <c r="O537" s="196"/>
      <c r="P537" s="717"/>
      <c r="Q537" s="718"/>
      <c r="R537" s="719"/>
      <c r="S537" s="720"/>
      <c r="T537" s="721"/>
      <c r="U537" s="722"/>
      <c r="V537" s="676"/>
      <c r="W537" s="677"/>
      <c r="X537" s="725" t="s">
        <v>159</v>
      </c>
      <c r="Y537" s="725"/>
      <c r="Z537" s="725"/>
      <c r="AA537" s="725"/>
      <c r="AB537" s="726" t="s">
        <v>159</v>
      </c>
      <c r="AC537" s="726"/>
      <c r="AD537" s="726"/>
      <c r="AE537" s="726"/>
      <c r="AF537" s="680"/>
      <c r="AG537" s="681"/>
      <c r="AH537" s="727"/>
      <c r="AI537" s="728"/>
      <c r="AJ537" s="686"/>
      <c r="AK537" s="687"/>
      <c r="AL537" s="664" t="s">
        <v>162</v>
      </c>
      <c r="AM537" s="665"/>
      <c r="AN537" s="713" t="s">
        <v>162</v>
      </c>
      <c r="AO537" s="714"/>
      <c r="AP537" s="686"/>
      <c r="AQ537" s="687"/>
      <c r="AR537" s="688"/>
      <c r="AS537" s="689"/>
      <c r="AT537" s="690"/>
      <c r="AU537" s="691"/>
      <c r="AV537" s="713" t="s">
        <v>162</v>
      </c>
      <c r="AW537" s="714"/>
      <c r="AX537" s="692"/>
      <c r="AY537" s="693"/>
      <c r="AZ537" s="694"/>
      <c r="BA537" s="682"/>
      <c r="BB537" s="683"/>
      <c r="BC537" s="219"/>
      <c r="BD537" s="737" t="s">
        <v>162</v>
      </c>
      <c r="BE537" s="738"/>
      <c r="BF537" s="697"/>
      <c r="BG537" s="698"/>
      <c r="BH537" s="698"/>
      <c r="BI537" s="699"/>
      <c r="BJ537" s="742" t="s">
        <v>159</v>
      </c>
      <c r="BK537" s="743"/>
      <c r="BL537" s="743"/>
      <c r="BM537" s="744"/>
      <c r="BN537" s="703" t="s">
        <v>159</v>
      </c>
      <c r="BO537" s="704"/>
      <c r="BP537" s="704"/>
      <c r="BQ537" s="704"/>
      <c r="BR537" s="704"/>
      <c r="BS537" s="704"/>
      <c r="BT537" s="704"/>
      <c r="BU537" s="704"/>
      <c r="BV537" s="705"/>
    </row>
    <row r="538" spans="1:74" ht="45" customHeight="1" x14ac:dyDescent="0.25">
      <c r="A538" s="10">
        <f t="shared" si="8"/>
        <v>524</v>
      </c>
      <c r="B538" s="662" t="s">
        <v>159</v>
      </c>
      <c r="C538" s="662"/>
      <c r="D538" s="663" t="s">
        <v>212</v>
      </c>
      <c r="E538" s="663"/>
      <c r="F538" s="664" t="s">
        <v>162</v>
      </c>
      <c r="G538" s="665"/>
      <c r="H538" s="754" t="s">
        <v>162</v>
      </c>
      <c r="I538" s="714"/>
      <c r="J538" s="340"/>
      <c r="K538" s="341"/>
      <c r="L538" s="340"/>
      <c r="M538" s="341"/>
      <c r="N538" s="215"/>
      <c r="O538" s="216"/>
      <c r="P538" s="670"/>
      <c r="Q538" s="671"/>
      <c r="R538" s="672"/>
      <c r="S538" s="673"/>
      <c r="T538" s="674"/>
      <c r="U538" s="675"/>
      <c r="V538" s="723"/>
      <c r="W538" s="724"/>
      <c r="X538" s="678" t="s">
        <v>159</v>
      </c>
      <c r="Y538" s="678"/>
      <c r="Z538" s="678"/>
      <c r="AA538" s="678"/>
      <c r="AB538" s="679" t="s">
        <v>159</v>
      </c>
      <c r="AC538" s="679"/>
      <c r="AD538" s="679"/>
      <c r="AE538" s="679"/>
      <c r="AF538" s="727"/>
      <c r="AG538" s="728"/>
      <c r="AH538" s="680"/>
      <c r="AI538" s="681"/>
      <c r="AJ538" s="682"/>
      <c r="AK538" s="683"/>
      <c r="AL538" s="684" t="s">
        <v>162</v>
      </c>
      <c r="AM538" s="685"/>
      <c r="AN538" s="666" t="s">
        <v>162</v>
      </c>
      <c r="AO538" s="667"/>
      <c r="AP538" s="729"/>
      <c r="AQ538" s="730"/>
      <c r="AR538" s="731"/>
      <c r="AS538" s="732"/>
      <c r="AT538" s="690"/>
      <c r="AU538" s="691"/>
      <c r="AV538" s="666" t="s">
        <v>162</v>
      </c>
      <c r="AW538" s="667"/>
      <c r="AX538" s="692"/>
      <c r="AY538" s="693"/>
      <c r="AZ538" s="694"/>
      <c r="BA538" s="735"/>
      <c r="BB538" s="736"/>
      <c r="BC538" s="14"/>
      <c r="BD538" s="695" t="s">
        <v>162</v>
      </c>
      <c r="BE538" s="696"/>
      <c r="BF538" s="739"/>
      <c r="BG538" s="740"/>
      <c r="BH538" s="740"/>
      <c r="BI538" s="741"/>
      <c r="BJ538" s="700" t="s">
        <v>159</v>
      </c>
      <c r="BK538" s="701"/>
      <c r="BL538" s="701"/>
      <c r="BM538" s="702"/>
      <c r="BN538" s="703" t="s">
        <v>159</v>
      </c>
      <c r="BO538" s="704"/>
      <c r="BP538" s="704"/>
      <c r="BQ538" s="704"/>
      <c r="BR538" s="704"/>
      <c r="BS538" s="704"/>
      <c r="BT538" s="704"/>
      <c r="BU538" s="704"/>
      <c r="BV538" s="705"/>
    </row>
    <row r="539" spans="1:74" ht="45" customHeight="1" x14ac:dyDescent="0.25">
      <c r="A539" s="10">
        <f t="shared" si="8"/>
        <v>525</v>
      </c>
      <c r="B539" s="711" t="s">
        <v>159</v>
      </c>
      <c r="C539" s="711"/>
      <c r="D539" s="712" t="s">
        <v>212</v>
      </c>
      <c r="E539" s="712"/>
      <c r="F539" s="664" t="s">
        <v>162</v>
      </c>
      <c r="G539" s="665"/>
      <c r="H539" s="755" t="s">
        <v>162</v>
      </c>
      <c r="I539" s="667"/>
      <c r="J539" s="706"/>
      <c r="K539" s="707"/>
      <c r="L539" s="706"/>
      <c r="M539" s="707"/>
      <c r="N539" s="194"/>
      <c r="O539" s="196"/>
      <c r="P539" s="717"/>
      <c r="Q539" s="718"/>
      <c r="R539" s="719"/>
      <c r="S539" s="720"/>
      <c r="T539" s="721"/>
      <c r="U539" s="722"/>
      <c r="V539" s="676"/>
      <c r="W539" s="677"/>
      <c r="X539" s="725" t="s">
        <v>159</v>
      </c>
      <c r="Y539" s="725"/>
      <c r="Z539" s="725"/>
      <c r="AA539" s="725"/>
      <c r="AB539" s="726" t="s">
        <v>159</v>
      </c>
      <c r="AC539" s="726"/>
      <c r="AD539" s="726"/>
      <c r="AE539" s="726"/>
      <c r="AF539" s="680"/>
      <c r="AG539" s="681"/>
      <c r="AH539" s="727"/>
      <c r="AI539" s="728"/>
      <c r="AJ539" s="686"/>
      <c r="AK539" s="687"/>
      <c r="AL539" s="664" t="s">
        <v>162</v>
      </c>
      <c r="AM539" s="665"/>
      <c r="AN539" s="713" t="s">
        <v>162</v>
      </c>
      <c r="AO539" s="714"/>
      <c r="AP539" s="686"/>
      <c r="AQ539" s="687"/>
      <c r="AR539" s="688"/>
      <c r="AS539" s="689"/>
      <c r="AT539" s="690"/>
      <c r="AU539" s="691"/>
      <c r="AV539" s="713" t="s">
        <v>162</v>
      </c>
      <c r="AW539" s="714"/>
      <c r="AX539" s="692"/>
      <c r="AY539" s="693"/>
      <c r="AZ539" s="694"/>
      <c r="BA539" s="682"/>
      <c r="BB539" s="683"/>
      <c r="BC539" s="219"/>
      <c r="BD539" s="737" t="s">
        <v>162</v>
      </c>
      <c r="BE539" s="738"/>
      <c r="BF539" s="708"/>
      <c r="BG539" s="709"/>
      <c r="BH539" s="709"/>
      <c r="BI539" s="710"/>
      <c r="BJ539" s="742" t="s">
        <v>159</v>
      </c>
      <c r="BK539" s="743"/>
      <c r="BL539" s="743"/>
      <c r="BM539" s="744"/>
      <c r="BN539" s="703" t="s">
        <v>159</v>
      </c>
      <c r="BO539" s="704"/>
      <c r="BP539" s="704"/>
      <c r="BQ539" s="704"/>
      <c r="BR539" s="704"/>
      <c r="BS539" s="704"/>
      <c r="BT539" s="704"/>
      <c r="BU539" s="704"/>
      <c r="BV539" s="705"/>
    </row>
    <row r="540" spans="1:74" ht="45" customHeight="1" x14ac:dyDescent="0.25">
      <c r="A540" s="10">
        <f t="shared" si="8"/>
        <v>526</v>
      </c>
      <c r="B540" s="662" t="s">
        <v>159</v>
      </c>
      <c r="C540" s="662"/>
      <c r="D540" s="663" t="s">
        <v>212</v>
      </c>
      <c r="E540" s="663"/>
      <c r="F540" s="664" t="s">
        <v>162</v>
      </c>
      <c r="G540" s="665"/>
      <c r="H540" s="754" t="s">
        <v>162</v>
      </c>
      <c r="I540" s="714"/>
      <c r="J540" s="340"/>
      <c r="K540" s="341"/>
      <c r="L540" s="340"/>
      <c r="M540" s="341"/>
      <c r="N540" s="215"/>
      <c r="O540" s="216"/>
      <c r="P540" s="670"/>
      <c r="Q540" s="671"/>
      <c r="R540" s="672"/>
      <c r="S540" s="673"/>
      <c r="T540" s="674"/>
      <c r="U540" s="675"/>
      <c r="V540" s="723"/>
      <c r="W540" s="724"/>
      <c r="X540" s="678" t="s">
        <v>159</v>
      </c>
      <c r="Y540" s="678"/>
      <c r="Z540" s="678"/>
      <c r="AA540" s="678"/>
      <c r="AB540" s="679" t="s">
        <v>159</v>
      </c>
      <c r="AC540" s="679"/>
      <c r="AD540" s="679"/>
      <c r="AE540" s="679"/>
      <c r="AF540" s="727"/>
      <c r="AG540" s="728"/>
      <c r="AH540" s="680"/>
      <c r="AI540" s="681"/>
      <c r="AJ540" s="682"/>
      <c r="AK540" s="683"/>
      <c r="AL540" s="684" t="s">
        <v>162</v>
      </c>
      <c r="AM540" s="685"/>
      <c r="AN540" s="666" t="s">
        <v>162</v>
      </c>
      <c r="AO540" s="667"/>
      <c r="AP540" s="729"/>
      <c r="AQ540" s="730"/>
      <c r="AR540" s="731"/>
      <c r="AS540" s="732"/>
      <c r="AT540" s="690"/>
      <c r="AU540" s="691"/>
      <c r="AV540" s="666" t="s">
        <v>162</v>
      </c>
      <c r="AW540" s="667"/>
      <c r="AX540" s="692"/>
      <c r="AY540" s="693"/>
      <c r="AZ540" s="694"/>
      <c r="BA540" s="735"/>
      <c r="BB540" s="736"/>
      <c r="BC540" s="14"/>
      <c r="BD540" s="695" t="s">
        <v>162</v>
      </c>
      <c r="BE540" s="696"/>
      <c r="BF540" s="739"/>
      <c r="BG540" s="740"/>
      <c r="BH540" s="740"/>
      <c r="BI540" s="741"/>
      <c r="BJ540" s="700" t="s">
        <v>159</v>
      </c>
      <c r="BK540" s="701"/>
      <c r="BL540" s="701"/>
      <c r="BM540" s="702"/>
      <c r="BN540" s="703" t="s">
        <v>159</v>
      </c>
      <c r="BO540" s="704"/>
      <c r="BP540" s="704"/>
      <c r="BQ540" s="704"/>
      <c r="BR540" s="704"/>
      <c r="BS540" s="704"/>
      <c r="BT540" s="704"/>
      <c r="BU540" s="704"/>
      <c r="BV540" s="705"/>
    </row>
    <row r="541" spans="1:74" ht="45" customHeight="1" x14ac:dyDescent="0.25">
      <c r="A541" s="10">
        <f t="shared" si="8"/>
        <v>527</v>
      </c>
      <c r="B541" s="711" t="s">
        <v>159</v>
      </c>
      <c r="C541" s="711"/>
      <c r="D541" s="712" t="s">
        <v>212</v>
      </c>
      <c r="E541" s="712"/>
      <c r="F541" s="664" t="s">
        <v>162</v>
      </c>
      <c r="G541" s="665"/>
      <c r="H541" s="755" t="s">
        <v>162</v>
      </c>
      <c r="I541" s="667"/>
      <c r="J541" s="706"/>
      <c r="K541" s="707"/>
      <c r="L541" s="706"/>
      <c r="M541" s="707"/>
      <c r="N541" s="194"/>
      <c r="O541" s="216"/>
      <c r="P541" s="717"/>
      <c r="Q541" s="718"/>
      <c r="R541" s="719"/>
      <c r="S541" s="720"/>
      <c r="T541" s="721"/>
      <c r="U541" s="722"/>
      <c r="V541" s="676"/>
      <c r="W541" s="677"/>
      <c r="X541" s="725" t="s">
        <v>159</v>
      </c>
      <c r="Y541" s="725"/>
      <c r="Z541" s="725"/>
      <c r="AA541" s="725"/>
      <c r="AB541" s="726" t="s">
        <v>159</v>
      </c>
      <c r="AC541" s="726"/>
      <c r="AD541" s="726"/>
      <c r="AE541" s="726"/>
      <c r="AF541" s="680"/>
      <c r="AG541" s="681"/>
      <c r="AH541" s="727"/>
      <c r="AI541" s="728"/>
      <c r="AJ541" s="686"/>
      <c r="AK541" s="687"/>
      <c r="AL541" s="664" t="s">
        <v>162</v>
      </c>
      <c r="AM541" s="665"/>
      <c r="AN541" s="713" t="s">
        <v>162</v>
      </c>
      <c r="AO541" s="714"/>
      <c r="AP541" s="686"/>
      <c r="AQ541" s="687"/>
      <c r="AR541" s="688"/>
      <c r="AS541" s="689"/>
      <c r="AT541" s="690"/>
      <c r="AU541" s="691"/>
      <c r="AV541" s="713" t="s">
        <v>162</v>
      </c>
      <c r="AW541" s="714"/>
      <c r="AX541" s="692"/>
      <c r="AY541" s="693"/>
      <c r="AZ541" s="694"/>
      <c r="BA541" s="682"/>
      <c r="BB541" s="683"/>
      <c r="BC541" s="219"/>
      <c r="BD541" s="737" t="s">
        <v>162</v>
      </c>
      <c r="BE541" s="738"/>
      <c r="BF541" s="697"/>
      <c r="BG541" s="698"/>
      <c r="BH541" s="698"/>
      <c r="BI541" s="699"/>
      <c r="BJ541" s="742" t="s">
        <v>159</v>
      </c>
      <c r="BK541" s="743"/>
      <c r="BL541" s="743"/>
      <c r="BM541" s="744"/>
      <c r="BN541" s="703" t="s">
        <v>159</v>
      </c>
      <c r="BO541" s="704"/>
      <c r="BP541" s="704"/>
      <c r="BQ541" s="704"/>
      <c r="BR541" s="704"/>
      <c r="BS541" s="704"/>
      <c r="BT541" s="704"/>
      <c r="BU541" s="704"/>
      <c r="BV541" s="705"/>
    </row>
    <row r="542" spans="1:74" ht="45" customHeight="1" x14ac:dyDescent="0.25">
      <c r="A542" s="10">
        <f t="shared" si="8"/>
        <v>528</v>
      </c>
      <c r="B542" s="662" t="s">
        <v>159</v>
      </c>
      <c r="C542" s="662"/>
      <c r="D542" s="663" t="s">
        <v>212</v>
      </c>
      <c r="E542" s="663"/>
      <c r="F542" s="664" t="s">
        <v>162</v>
      </c>
      <c r="G542" s="665"/>
      <c r="H542" s="754" t="s">
        <v>162</v>
      </c>
      <c r="I542" s="714"/>
      <c r="J542" s="340"/>
      <c r="K542" s="341"/>
      <c r="L542" s="340"/>
      <c r="M542" s="341"/>
      <c r="N542" s="215"/>
      <c r="O542" s="196"/>
      <c r="P542" s="670"/>
      <c r="Q542" s="671"/>
      <c r="R542" s="672"/>
      <c r="S542" s="673"/>
      <c r="T542" s="674"/>
      <c r="U542" s="675"/>
      <c r="V542" s="723"/>
      <c r="W542" s="724"/>
      <c r="X542" s="678" t="s">
        <v>159</v>
      </c>
      <c r="Y542" s="678"/>
      <c r="Z542" s="678"/>
      <c r="AA542" s="678"/>
      <c r="AB542" s="679" t="s">
        <v>159</v>
      </c>
      <c r="AC542" s="679"/>
      <c r="AD542" s="679"/>
      <c r="AE542" s="679"/>
      <c r="AF542" s="727"/>
      <c r="AG542" s="728"/>
      <c r="AH542" s="680"/>
      <c r="AI542" s="681"/>
      <c r="AJ542" s="682"/>
      <c r="AK542" s="683"/>
      <c r="AL542" s="684" t="s">
        <v>162</v>
      </c>
      <c r="AM542" s="685"/>
      <c r="AN542" s="666" t="s">
        <v>162</v>
      </c>
      <c r="AO542" s="667"/>
      <c r="AP542" s="729"/>
      <c r="AQ542" s="730"/>
      <c r="AR542" s="731"/>
      <c r="AS542" s="732"/>
      <c r="AT542" s="690"/>
      <c r="AU542" s="691"/>
      <c r="AV542" s="666" t="s">
        <v>162</v>
      </c>
      <c r="AW542" s="667"/>
      <c r="AX542" s="692"/>
      <c r="AY542" s="693"/>
      <c r="AZ542" s="694"/>
      <c r="BA542" s="735"/>
      <c r="BB542" s="736"/>
      <c r="BC542" s="14"/>
      <c r="BD542" s="695" t="s">
        <v>162</v>
      </c>
      <c r="BE542" s="696"/>
      <c r="BF542" s="739"/>
      <c r="BG542" s="740"/>
      <c r="BH542" s="740"/>
      <c r="BI542" s="741"/>
      <c r="BJ542" s="700" t="s">
        <v>159</v>
      </c>
      <c r="BK542" s="701"/>
      <c r="BL542" s="701"/>
      <c r="BM542" s="702"/>
      <c r="BN542" s="703" t="s">
        <v>159</v>
      </c>
      <c r="BO542" s="704"/>
      <c r="BP542" s="704"/>
      <c r="BQ542" s="704"/>
      <c r="BR542" s="704"/>
      <c r="BS542" s="704"/>
      <c r="BT542" s="704"/>
      <c r="BU542" s="704"/>
      <c r="BV542" s="705"/>
    </row>
    <row r="543" spans="1:74" ht="45" customHeight="1" x14ac:dyDescent="0.25">
      <c r="A543" s="10">
        <f t="shared" si="8"/>
        <v>529</v>
      </c>
      <c r="B543" s="711" t="s">
        <v>159</v>
      </c>
      <c r="C543" s="711"/>
      <c r="D543" s="712" t="s">
        <v>212</v>
      </c>
      <c r="E543" s="712"/>
      <c r="F543" s="664" t="s">
        <v>162</v>
      </c>
      <c r="G543" s="665"/>
      <c r="H543" s="755" t="s">
        <v>162</v>
      </c>
      <c r="I543" s="667"/>
      <c r="J543" s="706"/>
      <c r="K543" s="707"/>
      <c r="L543" s="706"/>
      <c r="M543" s="707"/>
      <c r="N543" s="194"/>
      <c r="O543" s="216"/>
      <c r="P543" s="717"/>
      <c r="Q543" s="718"/>
      <c r="R543" s="719"/>
      <c r="S543" s="720"/>
      <c r="T543" s="721"/>
      <c r="U543" s="722"/>
      <c r="V543" s="676"/>
      <c r="W543" s="677"/>
      <c r="X543" s="725" t="s">
        <v>159</v>
      </c>
      <c r="Y543" s="725"/>
      <c r="Z543" s="725"/>
      <c r="AA543" s="725"/>
      <c r="AB543" s="726" t="s">
        <v>159</v>
      </c>
      <c r="AC543" s="726"/>
      <c r="AD543" s="726"/>
      <c r="AE543" s="726"/>
      <c r="AF543" s="680"/>
      <c r="AG543" s="681"/>
      <c r="AH543" s="727"/>
      <c r="AI543" s="728"/>
      <c r="AJ543" s="686"/>
      <c r="AK543" s="687"/>
      <c r="AL543" s="664" t="s">
        <v>162</v>
      </c>
      <c r="AM543" s="665"/>
      <c r="AN543" s="713" t="s">
        <v>162</v>
      </c>
      <c r="AO543" s="714"/>
      <c r="AP543" s="686"/>
      <c r="AQ543" s="687"/>
      <c r="AR543" s="688"/>
      <c r="AS543" s="689"/>
      <c r="AT543" s="690"/>
      <c r="AU543" s="691"/>
      <c r="AV543" s="713" t="s">
        <v>162</v>
      </c>
      <c r="AW543" s="714"/>
      <c r="AX543" s="692"/>
      <c r="AY543" s="693"/>
      <c r="AZ543" s="694"/>
      <c r="BA543" s="682"/>
      <c r="BB543" s="683"/>
      <c r="BC543" s="219"/>
      <c r="BD543" s="737" t="s">
        <v>162</v>
      </c>
      <c r="BE543" s="738"/>
      <c r="BF543" s="708"/>
      <c r="BG543" s="709"/>
      <c r="BH543" s="709"/>
      <c r="BI543" s="710"/>
      <c r="BJ543" s="742" t="s">
        <v>159</v>
      </c>
      <c r="BK543" s="743"/>
      <c r="BL543" s="743"/>
      <c r="BM543" s="744"/>
      <c r="BN543" s="703" t="s">
        <v>159</v>
      </c>
      <c r="BO543" s="704"/>
      <c r="BP543" s="704"/>
      <c r="BQ543" s="704"/>
      <c r="BR543" s="704"/>
      <c r="BS543" s="704"/>
      <c r="BT543" s="704"/>
      <c r="BU543" s="704"/>
      <c r="BV543" s="705"/>
    </row>
    <row r="544" spans="1:74" ht="45" customHeight="1" x14ac:dyDescent="0.25">
      <c r="A544" s="10">
        <f t="shared" si="8"/>
        <v>530</v>
      </c>
      <c r="B544" s="662" t="s">
        <v>159</v>
      </c>
      <c r="C544" s="662"/>
      <c r="D544" s="663" t="s">
        <v>212</v>
      </c>
      <c r="E544" s="663"/>
      <c r="F544" s="664" t="s">
        <v>162</v>
      </c>
      <c r="G544" s="665"/>
      <c r="H544" s="754" t="s">
        <v>162</v>
      </c>
      <c r="I544" s="714"/>
      <c r="J544" s="340"/>
      <c r="K544" s="341"/>
      <c r="L544" s="340"/>
      <c r="M544" s="341"/>
      <c r="N544" s="215"/>
      <c r="O544" s="196"/>
      <c r="P544" s="670"/>
      <c r="Q544" s="671"/>
      <c r="R544" s="672"/>
      <c r="S544" s="673"/>
      <c r="T544" s="674"/>
      <c r="U544" s="675"/>
      <c r="V544" s="723"/>
      <c r="W544" s="724"/>
      <c r="X544" s="678" t="s">
        <v>159</v>
      </c>
      <c r="Y544" s="678"/>
      <c r="Z544" s="678"/>
      <c r="AA544" s="678"/>
      <c r="AB544" s="679" t="s">
        <v>159</v>
      </c>
      <c r="AC544" s="679"/>
      <c r="AD544" s="679"/>
      <c r="AE544" s="679"/>
      <c r="AF544" s="727"/>
      <c r="AG544" s="728"/>
      <c r="AH544" s="680"/>
      <c r="AI544" s="681"/>
      <c r="AJ544" s="682"/>
      <c r="AK544" s="683"/>
      <c r="AL544" s="684" t="s">
        <v>162</v>
      </c>
      <c r="AM544" s="685"/>
      <c r="AN544" s="666" t="s">
        <v>162</v>
      </c>
      <c r="AO544" s="667"/>
      <c r="AP544" s="729"/>
      <c r="AQ544" s="730"/>
      <c r="AR544" s="731"/>
      <c r="AS544" s="732"/>
      <c r="AT544" s="690"/>
      <c r="AU544" s="691"/>
      <c r="AV544" s="666" t="s">
        <v>162</v>
      </c>
      <c r="AW544" s="667"/>
      <c r="AX544" s="692"/>
      <c r="AY544" s="693"/>
      <c r="AZ544" s="694"/>
      <c r="BA544" s="735"/>
      <c r="BB544" s="736"/>
      <c r="BC544" s="14"/>
      <c r="BD544" s="695" t="s">
        <v>162</v>
      </c>
      <c r="BE544" s="696"/>
      <c r="BF544" s="739"/>
      <c r="BG544" s="740"/>
      <c r="BH544" s="740"/>
      <c r="BI544" s="741"/>
      <c r="BJ544" s="700" t="s">
        <v>159</v>
      </c>
      <c r="BK544" s="701"/>
      <c r="BL544" s="701"/>
      <c r="BM544" s="702"/>
      <c r="BN544" s="703" t="s">
        <v>159</v>
      </c>
      <c r="BO544" s="704"/>
      <c r="BP544" s="704"/>
      <c r="BQ544" s="704"/>
      <c r="BR544" s="704"/>
      <c r="BS544" s="704"/>
      <c r="BT544" s="704"/>
      <c r="BU544" s="704"/>
      <c r="BV544" s="705"/>
    </row>
    <row r="545" spans="1:74" ht="45" customHeight="1" x14ac:dyDescent="0.25">
      <c r="A545" s="10">
        <f t="shared" si="8"/>
        <v>531</v>
      </c>
      <c r="B545" s="711" t="s">
        <v>159</v>
      </c>
      <c r="C545" s="711"/>
      <c r="D545" s="712" t="s">
        <v>212</v>
      </c>
      <c r="E545" s="712"/>
      <c r="F545" s="664" t="s">
        <v>162</v>
      </c>
      <c r="G545" s="665"/>
      <c r="H545" s="755" t="s">
        <v>162</v>
      </c>
      <c r="I545" s="667"/>
      <c r="J545" s="706"/>
      <c r="K545" s="707"/>
      <c r="L545" s="706"/>
      <c r="M545" s="707"/>
      <c r="N545" s="194"/>
      <c r="O545" s="216"/>
      <c r="P545" s="717"/>
      <c r="Q545" s="718"/>
      <c r="R545" s="719"/>
      <c r="S545" s="720"/>
      <c r="T545" s="721"/>
      <c r="U545" s="722"/>
      <c r="V545" s="676"/>
      <c r="W545" s="677"/>
      <c r="X545" s="725" t="s">
        <v>159</v>
      </c>
      <c r="Y545" s="725"/>
      <c r="Z545" s="725"/>
      <c r="AA545" s="725"/>
      <c r="AB545" s="726" t="s">
        <v>159</v>
      </c>
      <c r="AC545" s="726"/>
      <c r="AD545" s="726"/>
      <c r="AE545" s="726"/>
      <c r="AF545" s="680"/>
      <c r="AG545" s="681"/>
      <c r="AH545" s="727"/>
      <c r="AI545" s="728"/>
      <c r="AJ545" s="686"/>
      <c r="AK545" s="687"/>
      <c r="AL545" s="664" t="s">
        <v>162</v>
      </c>
      <c r="AM545" s="665"/>
      <c r="AN545" s="713" t="s">
        <v>162</v>
      </c>
      <c r="AO545" s="714"/>
      <c r="AP545" s="686"/>
      <c r="AQ545" s="687"/>
      <c r="AR545" s="688"/>
      <c r="AS545" s="689"/>
      <c r="AT545" s="690"/>
      <c r="AU545" s="691"/>
      <c r="AV545" s="713" t="s">
        <v>162</v>
      </c>
      <c r="AW545" s="714"/>
      <c r="AX545" s="692"/>
      <c r="AY545" s="693"/>
      <c r="AZ545" s="694"/>
      <c r="BA545" s="682"/>
      <c r="BB545" s="683"/>
      <c r="BC545" s="219"/>
      <c r="BD545" s="737" t="s">
        <v>162</v>
      </c>
      <c r="BE545" s="738"/>
      <c r="BF545" s="708"/>
      <c r="BG545" s="709"/>
      <c r="BH545" s="709"/>
      <c r="BI545" s="710"/>
      <c r="BJ545" s="742" t="s">
        <v>159</v>
      </c>
      <c r="BK545" s="743"/>
      <c r="BL545" s="743"/>
      <c r="BM545" s="744"/>
      <c r="BN545" s="703" t="s">
        <v>159</v>
      </c>
      <c r="BO545" s="704"/>
      <c r="BP545" s="704"/>
      <c r="BQ545" s="704"/>
      <c r="BR545" s="704"/>
      <c r="BS545" s="704"/>
      <c r="BT545" s="704"/>
      <c r="BU545" s="704"/>
      <c r="BV545" s="705"/>
    </row>
    <row r="546" spans="1:74" ht="45" customHeight="1" x14ac:dyDescent="0.25">
      <c r="A546" s="10">
        <f t="shared" si="8"/>
        <v>532</v>
      </c>
      <c r="B546" s="662" t="s">
        <v>159</v>
      </c>
      <c r="C546" s="662"/>
      <c r="D546" s="663" t="s">
        <v>212</v>
      </c>
      <c r="E546" s="663"/>
      <c r="F546" s="664" t="s">
        <v>162</v>
      </c>
      <c r="G546" s="665"/>
      <c r="H546" s="754" t="s">
        <v>162</v>
      </c>
      <c r="I546" s="714"/>
      <c r="J546" s="340"/>
      <c r="K546" s="341"/>
      <c r="L546" s="340"/>
      <c r="M546" s="341"/>
      <c r="N546" s="215"/>
      <c r="O546" s="196"/>
      <c r="P546" s="670"/>
      <c r="Q546" s="671"/>
      <c r="R546" s="672"/>
      <c r="S546" s="673"/>
      <c r="T546" s="674"/>
      <c r="U546" s="675"/>
      <c r="V546" s="723"/>
      <c r="W546" s="724"/>
      <c r="X546" s="678" t="s">
        <v>159</v>
      </c>
      <c r="Y546" s="678"/>
      <c r="Z546" s="678"/>
      <c r="AA546" s="678"/>
      <c r="AB546" s="679" t="s">
        <v>159</v>
      </c>
      <c r="AC546" s="679"/>
      <c r="AD546" s="679"/>
      <c r="AE546" s="679"/>
      <c r="AF546" s="727"/>
      <c r="AG546" s="728"/>
      <c r="AH546" s="680"/>
      <c r="AI546" s="681"/>
      <c r="AJ546" s="682"/>
      <c r="AK546" s="683"/>
      <c r="AL546" s="684" t="s">
        <v>162</v>
      </c>
      <c r="AM546" s="685"/>
      <c r="AN546" s="666" t="s">
        <v>162</v>
      </c>
      <c r="AO546" s="667"/>
      <c r="AP546" s="729"/>
      <c r="AQ546" s="730"/>
      <c r="AR546" s="731"/>
      <c r="AS546" s="732"/>
      <c r="AT546" s="690"/>
      <c r="AU546" s="691"/>
      <c r="AV546" s="666" t="s">
        <v>162</v>
      </c>
      <c r="AW546" s="667"/>
      <c r="AX546" s="692"/>
      <c r="AY546" s="693"/>
      <c r="AZ546" s="694"/>
      <c r="BA546" s="735"/>
      <c r="BB546" s="736"/>
      <c r="BC546" s="14"/>
      <c r="BD546" s="695" t="s">
        <v>162</v>
      </c>
      <c r="BE546" s="696"/>
      <c r="BF546" s="739"/>
      <c r="BG546" s="740"/>
      <c r="BH546" s="740"/>
      <c r="BI546" s="741"/>
      <c r="BJ546" s="700" t="s">
        <v>159</v>
      </c>
      <c r="BK546" s="701"/>
      <c r="BL546" s="701"/>
      <c r="BM546" s="702"/>
      <c r="BN546" s="703" t="s">
        <v>159</v>
      </c>
      <c r="BO546" s="704"/>
      <c r="BP546" s="704"/>
      <c r="BQ546" s="704"/>
      <c r="BR546" s="704"/>
      <c r="BS546" s="704"/>
      <c r="BT546" s="704"/>
      <c r="BU546" s="704"/>
      <c r="BV546" s="705"/>
    </row>
    <row r="547" spans="1:74" ht="45" customHeight="1" x14ac:dyDescent="0.25">
      <c r="A547" s="10">
        <f t="shared" si="8"/>
        <v>533</v>
      </c>
      <c r="B547" s="711" t="s">
        <v>159</v>
      </c>
      <c r="C547" s="711"/>
      <c r="D547" s="712" t="s">
        <v>212</v>
      </c>
      <c r="E547" s="712"/>
      <c r="F547" s="664" t="s">
        <v>162</v>
      </c>
      <c r="G547" s="665"/>
      <c r="H547" s="755" t="s">
        <v>162</v>
      </c>
      <c r="I547" s="667"/>
      <c r="J547" s="706"/>
      <c r="K547" s="707"/>
      <c r="L547" s="706"/>
      <c r="M547" s="707"/>
      <c r="N547" s="194"/>
      <c r="O547" s="216"/>
      <c r="P547" s="717"/>
      <c r="Q547" s="718"/>
      <c r="R547" s="719"/>
      <c r="S547" s="720"/>
      <c r="T547" s="721"/>
      <c r="U547" s="722"/>
      <c r="V547" s="676"/>
      <c r="W547" s="677"/>
      <c r="X547" s="725" t="s">
        <v>159</v>
      </c>
      <c r="Y547" s="725"/>
      <c r="Z547" s="725"/>
      <c r="AA547" s="725"/>
      <c r="AB547" s="726" t="s">
        <v>159</v>
      </c>
      <c r="AC547" s="726"/>
      <c r="AD547" s="726"/>
      <c r="AE547" s="726"/>
      <c r="AF547" s="680"/>
      <c r="AG547" s="681"/>
      <c r="AH547" s="727"/>
      <c r="AI547" s="728"/>
      <c r="AJ547" s="686"/>
      <c r="AK547" s="687"/>
      <c r="AL547" s="664" t="s">
        <v>162</v>
      </c>
      <c r="AM547" s="665"/>
      <c r="AN547" s="713" t="s">
        <v>162</v>
      </c>
      <c r="AO547" s="714"/>
      <c r="AP547" s="686"/>
      <c r="AQ547" s="687"/>
      <c r="AR547" s="688"/>
      <c r="AS547" s="689"/>
      <c r="AT547" s="690"/>
      <c r="AU547" s="691"/>
      <c r="AV547" s="713" t="s">
        <v>162</v>
      </c>
      <c r="AW547" s="714"/>
      <c r="AX547" s="692"/>
      <c r="AY547" s="693"/>
      <c r="AZ547" s="694"/>
      <c r="BA547" s="682"/>
      <c r="BB547" s="683"/>
      <c r="BC547" s="219"/>
      <c r="BD547" s="737" t="s">
        <v>162</v>
      </c>
      <c r="BE547" s="738"/>
      <c r="BF547" s="697"/>
      <c r="BG547" s="698"/>
      <c r="BH547" s="698"/>
      <c r="BI547" s="699"/>
      <c r="BJ547" s="742" t="s">
        <v>159</v>
      </c>
      <c r="BK547" s="743"/>
      <c r="BL547" s="743"/>
      <c r="BM547" s="744"/>
      <c r="BN547" s="703" t="s">
        <v>159</v>
      </c>
      <c r="BO547" s="704"/>
      <c r="BP547" s="704"/>
      <c r="BQ547" s="704"/>
      <c r="BR547" s="704"/>
      <c r="BS547" s="704"/>
      <c r="BT547" s="704"/>
      <c r="BU547" s="704"/>
      <c r="BV547" s="705"/>
    </row>
    <row r="548" spans="1:74" ht="45" customHeight="1" x14ac:dyDescent="0.25">
      <c r="A548" s="10">
        <f t="shared" si="8"/>
        <v>534</v>
      </c>
      <c r="B548" s="662" t="s">
        <v>159</v>
      </c>
      <c r="C548" s="662"/>
      <c r="D548" s="663" t="s">
        <v>212</v>
      </c>
      <c r="E548" s="663"/>
      <c r="F548" s="664" t="s">
        <v>162</v>
      </c>
      <c r="G548" s="665"/>
      <c r="H548" s="754" t="s">
        <v>162</v>
      </c>
      <c r="I548" s="714"/>
      <c r="J548" s="340"/>
      <c r="K548" s="341"/>
      <c r="L548" s="340"/>
      <c r="M548" s="341"/>
      <c r="N548" s="215"/>
      <c r="O548" s="196"/>
      <c r="P548" s="670"/>
      <c r="Q548" s="671"/>
      <c r="R548" s="672"/>
      <c r="S548" s="673"/>
      <c r="T548" s="674"/>
      <c r="U548" s="675"/>
      <c r="V548" s="723"/>
      <c r="W548" s="724"/>
      <c r="X548" s="678" t="s">
        <v>159</v>
      </c>
      <c r="Y548" s="678"/>
      <c r="Z548" s="678"/>
      <c r="AA548" s="678"/>
      <c r="AB548" s="679" t="s">
        <v>159</v>
      </c>
      <c r="AC548" s="679"/>
      <c r="AD548" s="679"/>
      <c r="AE548" s="679"/>
      <c r="AF548" s="727"/>
      <c r="AG548" s="728"/>
      <c r="AH548" s="680"/>
      <c r="AI548" s="681"/>
      <c r="AJ548" s="682"/>
      <c r="AK548" s="683"/>
      <c r="AL548" s="684" t="s">
        <v>162</v>
      </c>
      <c r="AM548" s="685"/>
      <c r="AN548" s="666" t="s">
        <v>162</v>
      </c>
      <c r="AO548" s="667"/>
      <c r="AP548" s="729"/>
      <c r="AQ548" s="730"/>
      <c r="AR548" s="731"/>
      <c r="AS548" s="732"/>
      <c r="AT548" s="690"/>
      <c r="AU548" s="691"/>
      <c r="AV548" s="666" t="s">
        <v>162</v>
      </c>
      <c r="AW548" s="667"/>
      <c r="AX548" s="692"/>
      <c r="AY548" s="693"/>
      <c r="AZ548" s="694"/>
      <c r="BA548" s="735"/>
      <c r="BB548" s="736"/>
      <c r="BC548" s="14"/>
      <c r="BD548" s="695" t="s">
        <v>162</v>
      </c>
      <c r="BE548" s="696"/>
      <c r="BF548" s="739"/>
      <c r="BG548" s="740"/>
      <c r="BH548" s="740"/>
      <c r="BI548" s="741"/>
      <c r="BJ548" s="700" t="s">
        <v>159</v>
      </c>
      <c r="BK548" s="701"/>
      <c r="BL548" s="701"/>
      <c r="BM548" s="702"/>
      <c r="BN548" s="703" t="s">
        <v>159</v>
      </c>
      <c r="BO548" s="704"/>
      <c r="BP548" s="704"/>
      <c r="BQ548" s="704"/>
      <c r="BR548" s="704"/>
      <c r="BS548" s="704"/>
      <c r="BT548" s="704"/>
      <c r="BU548" s="704"/>
      <c r="BV548" s="705"/>
    </row>
    <row r="549" spans="1:74" ht="45" customHeight="1" x14ac:dyDescent="0.25">
      <c r="A549" s="10">
        <f t="shared" si="8"/>
        <v>535</v>
      </c>
      <c r="B549" s="711" t="s">
        <v>159</v>
      </c>
      <c r="C549" s="711"/>
      <c r="D549" s="712" t="s">
        <v>212</v>
      </c>
      <c r="E549" s="712"/>
      <c r="F549" s="664" t="s">
        <v>162</v>
      </c>
      <c r="G549" s="665"/>
      <c r="H549" s="755" t="s">
        <v>162</v>
      </c>
      <c r="I549" s="667"/>
      <c r="J549" s="706"/>
      <c r="K549" s="707"/>
      <c r="L549" s="706"/>
      <c r="M549" s="707"/>
      <c r="N549" s="194"/>
      <c r="O549" s="216"/>
      <c r="P549" s="717"/>
      <c r="Q549" s="718"/>
      <c r="R549" s="719"/>
      <c r="S549" s="720"/>
      <c r="T549" s="721"/>
      <c r="U549" s="722"/>
      <c r="V549" s="676"/>
      <c r="W549" s="677"/>
      <c r="X549" s="725" t="s">
        <v>159</v>
      </c>
      <c r="Y549" s="725"/>
      <c r="Z549" s="725"/>
      <c r="AA549" s="725"/>
      <c r="AB549" s="726" t="s">
        <v>159</v>
      </c>
      <c r="AC549" s="726"/>
      <c r="AD549" s="726"/>
      <c r="AE549" s="726"/>
      <c r="AF549" s="680"/>
      <c r="AG549" s="681"/>
      <c r="AH549" s="727"/>
      <c r="AI549" s="728"/>
      <c r="AJ549" s="686"/>
      <c r="AK549" s="687"/>
      <c r="AL549" s="664" t="s">
        <v>162</v>
      </c>
      <c r="AM549" s="665"/>
      <c r="AN549" s="713" t="s">
        <v>162</v>
      </c>
      <c r="AO549" s="714"/>
      <c r="AP549" s="686"/>
      <c r="AQ549" s="687"/>
      <c r="AR549" s="688"/>
      <c r="AS549" s="689"/>
      <c r="AT549" s="690"/>
      <c r="AU549" s="691"/>
      <c r="AV549" s="713" t="s">
        <v>162</v>
      </c>
      <c r="AW549" s="714"/>
      <c r="AX549" s="692"/>
      <c r="AY549" s="693"/>
      <c r="AZ549" s="694"/>
      <c r="BA549" s="682"/>
      <c r="BB549" s="683"/>
      <c r="BC549" s="219"/>
      <c r="BD549" s="737" t="s">
        <v>162</v>
      </c>
      <c r="BE549" s="738"/>
      <c r="BF549" s="708"/>
      <c r="BG549" s="709"/>
      <c r="BH549" s="709"/>
      <c r="BI549" s="710"/>
      <c r="BJ549" s="742" t="s">
        <v>159</v>
      </c>
      <c r="BK549" s="743"/>
      <c r="BL549" s="743"/>
      <c r="BM549" s="744"/>
      <c r="BN549" s="703" t="s">
        <v>159</v>
      </c>
      <c r="BO549" s="704"/>
      <c r="BP549" s="704"/>
      <c r="BQ549" s="704"/>
      <c r="BR549" s="704"/>
      <c r="BS549" s="704"/>
      <c r="BT549" s="704"/>
      <c r="BU549" s="704"/>
      <c r="BV549" s="705"/>
    </row>
    <row r="550" spans="1:74" ht="45" customHeight="1" x14ac:dyDescent="0.25">
      <c r="A550" s="10">
        <f t="shared" si="8"/>
        <v>536</v>
      </c>
      <c r="B550" s="662" t="s">
        <v>159</v>
      </c>
      <c r="C550" s="662"/>
      <c r="D550" s="663" t="s">
        <v>212</v>
      </c>
      <c r="E550" s="663"/>
      <c r="F550" s="664" t="s">
        <v>162</v>
      </c>
      <c r="G550" s="665"/>
      <c r="H550" s="754" t="s">
        <v>162</v>
      </c>
      <c r="I550" s="714"/>
      <c r="J550" s="340"/>
      <c r="K550" s="341"/>
      <c r="L550" s="340"/>
      <c r="M550" s="341"/>
      <c r="N550" s="215"/>
      <c r="O550" s="196"/>
      <c r="P550" s="670"/>
      <c r="Q550" s="671"/>
      <c r="R550" s="672"/>
      <c r="S550" s="673"/>
      <c r="T550" s="674"/>
      <c r="U550" s="675"/>
      <c r="V550" s="723"/>
      <c r="W550" s="724"/>
      <c r="X550" s="678" t="s">
        <v>159</v>
      </c>
      <c r="Y550" s="678"/>
      <c r="Z550" s="678"/>
      <c r="AA550" s="678"/>
      <c r="AB550" s="679" t="s">
        <v>159</v>
      </c>
      <c r="AC550" s="679"/>
      <c r="AD550" s="679"/>
      <c r="AE550" s="679"/>
      <c r="AF550" s="727"/>
      <c r="AG550" s="728"/>
      <c r="AH550" s="680"/>
      <c r="AI550" s="681"/>
      <c r="AJ550" s="682"/>
      <c r="AK550" s="683"/>
      <c r="AL550" s="684" t="s">
        <v>162</v>
      </c>
      <c r="AM550" s="685"/>
      <c r="AN550" s="666" t="s">
        <v>162</v>
      </c>
      <c r="AO550" s="667"/>
      <c r="AP550" s="729"/>
      <c r="AQ550" s="730"/>
      <c r="AR550" s="731"/>
      <c r="AS550" s="732"/>
      <c r="AT550" s="690"/>
      <c r="AU550" s="691"/>
      <c r="AV550" s="666" t="s">
        <v>162</v>
      </c>
      <c r="AW550" s="667"/>
      <c r="AX550" s="692"/>
      <c r="AY550" s="693"/>
      <c r="AZ550" s="694"/>
      <c r="BA550" s="735"/>
      <c r="BB550" s="736"/>
      <c r="BC550" s="14"/>
      <c r="BD550" s="695" t="s">
        <v>162</v>
      </c>
      <c r="BE550" s="696"/>
      <c r="BF550" s="739"/>
      <c r="BG550" s="740"/>
      <c r="BH550" s="740"/>
      <c r="BI550" s="741"/>
      <c r="BJ550" s="700" t="s">
        <v>159</v>
      </c>
      <c r="BK550" s="701"/>
      <c r="BL550" s="701"/>
      <c r="BM550" s="702"/>
      <c r="BN550" s="703" t="s">
        <v>159</v>
      </c>
      <c r="BO550" s="704"/>
      <c r="BP550" s="704"/>
      <c r="BQ550" s="704"/>
      <c r="BR550" s="704"/>
      <c r="BS550" s="704"/>
      <c r="BT550" s="704"/>
      <c r="BU550" s="704"/>
      <c r="BV550" s="705"/>
    </row>
    <row r="551" spans="1:74" ht="45" customHeight="1" x14ac:dyDescent="0.25">
      <c r="A551" s="10">
        <f t="shared" si="8"/>
        <v>537</v>
      </c>
      <c r="B551" s="711" t="s">
        <v>159</v>
      </c>
      <c r="C551" s="711"/>
      <c r="D551" s="712" t="s">
        <v>212</v>
      </c>
      <c r="E551" s="712"/>
      <c r="F551" s="664" t="s">
        <v>162</v>
      </c>
      <c r="G551" s="665"/>
      <c r="H551" s="755" t="s">
        <v>162</v>
      </c>
      <c r="I551" s="667"/>
      <c r="J551" s="706"/>
      <c r="K551" s="707"/>
      <c r="L551" s="706"/>
      <c r="M551" s="707"/>
      <c r="N551" s="194"/>
      <c r="O551" s="216"/>
      <c r="P551" s="670"/>
      <c r="Q551" s="671"/>
      <c r="R551" s="719"/>
      <c r="S551" s="720"/>
      <c r="T551" s="721"/>
      <c r="U551" s="722"/>
      <c r="V551" s="676"/>
      <c r="W551" s="677"/>
      <c r="X551" s="725" t="s">
        <v>159</v>
      </c>
      <c r="Y551" s="725"/>
      <c r="Z551" s="725"/>
      <c r="AA551" s="725"/>
      <c r="AB551" s="726" t="s">
        <v>159</v>
      </c>
      <c r="AC551" s="726"/>
      <c r="AD551" s="726"/>
      <c r="AE551" s="726"/>
      <c r="AF551" s="680"/>
      <c r="AG551" s="681"/>
      <c r="AH551" s="727"/>
      <c r="AI551" s="728"/>
      <c r="AJ551" s="686"/>
      <c r="AK551" s="687"/>
      <c r="AL551" s="664" t="s">
        <v>162</v>
      </c>
      <c r="AM551" s="665"/>
      <c r="AN551" s="713" t="s">
        <v>162</v>
      </c>
      <c r="AO551" s="714"/>
      <c r="AP551" s="686"/>
      <c r="AQ551" s="687"/>
      <c r="AR551" s="688"/>
      <c r="AS551" s="689"/>
      <c r="AT551" s="690"/>
      <c r="AU551" s="691"/>
      <c r="AV551" s="713" t="s">
        <v>162</v>
      </c>
      <c r="AW551" s="714"/>
      <c r="AX551" s="692"/>
      <c r="AY551" s="693"/>
      <c r="AZ551" s="694"/>
      <c r="BA551" s="682"/>
      <c r="BB551" s="683"/>
      <c r="BC551" s="219"/>
      <c r="BD551" s="695" t="s">
        <v>162</v>
      </c>
      <c r="BE551" s="696"/>
      <c r="BF551" s="697"/>
      <c r="BG551" s="698"/>
      <c r="BH551" s="698"/>
      <c r="BI551" s="699"/>
      <c r="BJ551" s="742" t="s">
        <v>159</v>
      </c>
      <c r="BK551" s="743"/>
      <c r="BL551" s="743"/>
      <c r="BM551" s="744"/>
      <c r="BN551" s="703" t="s">
        <v>159</v>
      </c>
      <c r="BO551" s="704"/>
      <c r="BP551" s="704"/>
      <c r="BQ551" s="704"/>
      <c r="BR551" s="704"/>
      <c r="BS551" s="704"/>
      <c r="BT551" s="704"/>
      <c r="BU551" s="704"/>
      <c r="BV551" s="705"/>
    </row>
    <row r="552" spans="1:74" ht="45" customHeight="1" x14ac:dyDescent="0.25">
      <c r="A552" s="10">
        <f t="shared" si="8"/>
        <v>538</v>
      </c>
      <c r="B552" s="662" t="s">
        <v>159</v>
      </c>
      <c r="C552" s="662"/>
      <c r="D552" s="663" t="s">
        <v>212</v>
      </c>
      <c r="E552" s="663"/>
      <c r="F552" s="664" t="s">
        <v>162</v>
      </c>
      <c r="G552" s="665"/>
      <c r="H552" s="754" t="s">
        <v>162</v>
      </c>
      <c r="I552" s="714"/>
      <c r="J552" s="340"/>
      <c r="K552" s="341"/>
      <c r="L552" s="340"/>
      <c r="M552" s="341"/>
      <c r="N552" s="215"/>
      <c r="O552" s="196"/>
      <c r="P552" s="717"/>
      <c r="Q552" s="718"/>
      <c r="R552" s="672"/>
      <c r="S552" s="673"/>
      <c r="T552" s="674"/>
      <c r="U552" s="675"/>
      <c r="V552" s="723"/>
      <c r="W552" s="724"/>
      <c r="X552" s="678" t="s">
        <v>159</v>
      </c>
      <c r="Y552" s="678"/>
      <c r="Z552" s="678"/>
      <c r="AA552" s="678"/>
      <c r="AB552" s="679" t="s">
        <v>159</v>
      </c>
      <c r="AC552" s="679"/>
      <c r="AD552" s="679"/>
      <c r="AE552" s="679"/>
      <c r="AF552" s="727"/>
      <c r="AG552" s="728"/>
      <c r="AH552" s="680"/>
      <c r="AI552" s="681"/>
      <c r="AJ552" s="682"/>
      <c r="AK552" s="683"/>
      <c r="AL552" s="684" t="s">
        <v>162</v>
      </c>
      <c r="AM552" s="685"/>
      <c r="AN552" s="666" t="s">
        <v>162</v>
      </c>
      <c r="AO552" s="667"/>
      <c r="AP552" s="729"/>
      <c r="AQ552" s="730"/>
      <c r="AR552" s="731"/>
      <c r="AS552" s="732"/>
      <c r="AT552" s="690"/>
      <c r="AU552" s="691"/>
      <c r="AV552" s="666" t="s">
        <v>162</v>
      </c>
      <c r="AW552" s="667"/>
      <c r="AX552" s="692"/>
      <c r="AY552" s="693"/>
      <c r="AZ552" s="694"/>
      <c r="BA552" s="735"/>
      <c r="BB552" s="736"/>
      <c r="BC552" s="14"/>
      <c r="BD552" s="737" t="s">
        <v>162</v>
      </c>
      <c r="BE552" s="738"/>
      <c r="BF552" s="739"/>
      <c r="BG552" s="740"/>
      <c r="BH552" s="740"/>
      <c r="BI552" s="741"/>
      <c r="BJ552" s="700" t="s">
        <v>159</v>
      </c>
      <c r="BK552" s="701"/>
      <c r="BL552" s="701"/>
      <c r="BM552" s="702"/>
      <c r="BN552" s="703" t="s">
        <v>159</v>
      </c>
      <c r="BO552" s="704"/>
      <c r="BP552" s="704"/>
      <c r="BQ552" s="704"/>
      <c r="BR552" s="704"/>
      <c r="BS552" s="704"/>
      <c r="BT552" s="704"/>
      <c r="BU552" s="704"/>
      <c r="BV552" s="705"/>
    </row>
    <row r="553" spans="1:74" ht="45" customHeight="1" x14ac:dyDescent="0.25">
      <c r="A553" s="10">
        <f t="shared" si="8"/>
        <v>539</v>
      </c>
      <c r="B553" s="711" t="s">
        <v>159</v>
      </c>
      <c r="C553" s="711"/>
      <c r="D553" s="712" t="s">
        <v>212</v>
      </c>
      <c r="E553" s="712"/>
      <c r="F553" s="664" t="s">
        <v>162</v>
      </c>
      <c r="G553" s="665"/>
      <c r="H553" s="755" t="s">
        <v>162</v>
      </c>
      <c r="I553" s="667"/>
      <c r="J553" s="706"/>
      <c r="K553" s="707"/>
      <c r="L553" s="706"/>
      <c r="M553" s="707"/>
      <c r="N553" s="194"/>
      <c r="O553" s="216"/>
      <c r="P553" s="670"/>
      <c r="Q553" s="671"/>
      <c r="R553" s="719"/>
      <c r="S553" s="720"/>
      <c r="T553" s="721"/>
      <c r="U553" s="722"/>
      <c r="V553" s="676"/>
      <c r="W553" s="677"/>
      <c r="X553" s="725" t="s">
        <v>159</v>
      </c>
      <c r="Y553" s="725"/>
      <c r="Z553" s="725"/>
      <c r="AA553" s="725"/>
      <c r="AB553" s="726" t="s">
        <v>159</v>
      </c>
      <c r="AC553" s="726"/>
      <c r="AD553" s="726"/>
      <c r="AE553" s="726"/>
      <c r="AF553" s="680"/>
      <c r="AG553" s="681"/>
      <c r="AH553" s="727"/>
      <c r="AI553" s="728"/>
      <c r="AJ553" s="686"/>
      <c r="AK553" s="687"/>
      <c r="AL553" s="664" t="s">
        <v>162</v>
      </c>
      <c r="AM553" s="665"/>
      <c r="AN553" s="713" t="s">
        <v>162</v>
      </c>
      <c r="AO553" s="714"/>
      <c r="AP553" s="686"/>
      <c r="AQ553" s="687"/>
      <c r="AR553" s="688"/>
      <c r="AS553" s="689"/>
      <c r="AT553" s="690"/>
      <c r="AU553" s="691"/>
      <c r="AV553" s="713" t="s">
        <v>162</v>
      </c>
      <c r="AW553" s="714"/>
      <c r="AX553" s="692"/>
      <c r="AY553" s="693"/>
      <c r="AZ553" s="694"/>
      <c r="BA553" s="682"/>
      <c r="BB553" s="683"/>
      <c r="BC553" s="219"/>
      <c r="BD553" s="695" t="s">
        <v>162</v>
      </c>
      <c r="BE553" s="696"/>
      <c r="BF553" s="708"/>
      <c r="BG553" s="709"/>
      <c r="BH553" s="709"/>
      <c r="BI553" s="710"/>
      <c r="BJ553" s="742" t="s">
        <v>159</v>
      </c>
      <c r="BK553" s="743"/>
      <c r="BL553" s="743"/>
      <c r="BM553" s="744"/>
      <c r="BN553" s="703" t="s">
        <v>159</v>
      </c>
      <c r="BO553" s="704"/>
      <c r="BP553" s="704"/>
      <c r="BQ553" s="704"/>
      <c r="BR553" s="704"/>
      <c r="BS553" s="704"/>
      <c r="BT553" s="704"/>
      <c r="BU553" s="704"/>
      <c r="BV553" s="705"/>
    </row>
    <row r="554" spans="1:74" ht="45" customHeight="1" x14ac:dyDescent="0.25">
      <c r="A554" s="10">
        <f t="shared" si="8"/>
        <v>540</v>
      </c>
      <c r="B554" s="662" t="s">
        <v>159</v>
      </c>
      <c r="C554" s="662"/>
      <c r="D554" s="663" t="s">
        <v>212</v>
      </c>
      <c r="E554" s="663"/>
      <c r="F554" s="664" t="s">
        <v>162</v>
      </c>
      <c r="G554" s="665"/>
      <c r="H554" s="754" t="s">
        <v>162</v>
      </c>
      <c r="I554" s="714"/>
      <c r="J554" s="340"/>
      <c r="K554" s="341"/>
      <c r="L554" s="340"/>
      <c r="M554" s="341"/>
      <c r="N554" s="215"/>
      <c r="O554" s="196"/>
      <c r="P554" s="717"/>
      <c r="Q554" s="718"/>
      <c r="R554" s="672"/>
      <c r="S554" s="673"/>
      <c r="T554" s="674"/>
      <c r="U554" s="675"/>
      <c r="V554" s="723"/>
      <c r="W554" s="724"/>
      <c r="X554" s="678" t="s">
        <v>159</v>
      </c>
      <c r="Y554" s="678"/>
      <c r="Z554" s="678"/>
      <c r="AA554" s="678"/>
      <c r="AB554" s="679" t="s">
        <v>159</v>
      </c>
      <c r="AC554" s="679"/>
      <c r="AD554" s="679"/>
      <c r="AE554" s="679"/>
      <c r="AF554" s="727"/>
      <c r="AG554" s="728"/>
      <c r="AH554" s="680"/>
      <c r="AI554" s="681"/>
      <c r="AJ554" s="682"/>
      <c r="AK554" s="683"/>
      <c r="AL554" s="684" t="s">
        <v>162</v>
      </c>
      <c r="AM554" s="685"/>
      <c r="AN554" s="666" t="s">
        <v>162</v>
      </c>
      <c r="AO554" s="667"/>
      <c r="AP554" s="729"/>
      <c r="AQ554" s="730"/>
      <c r="AR554" s="731"/>
      <c r="AS554" s="732"/>
      <c r="AT554" s="690"/>
      <c r="AU554" s="691"/>
      <c r="AV554" s="666" t="s">
        <v>162</v>
      </c>
      <c r="AW554" s="667"/>
      <c r="AX554" s="692"/>
      <c r="AY554" s="693"/>
      <c r="AZ554" s="694"/>
      <c r="BA554" s="735"/>
      <c r="BB554" s="736"/>
      <c r="BC554" s="14"/>
      <c r="BD554" s="695" t="s">
        <v>162</v>
      </c>
      <c r="BE554" s="696"/>
      <c r="BF554" s="739"/>
      <c r="BG554" s="740"/>
      <c r="BH554" s="740"/>
      <c r="BI554" s="741"/>
      <c r="BJ554" s="700" t="s">
        <v>159</v>
      </c>
      <c r="BK554" s="701"/>
      <c r="BL554" s="701"/>
      <c r="BM554" s="702"/>
      <c r="BN554" s="703" t="s">
        <v>159</v>
      </c>
      <c r="BO554" s="704"/>
      <c r="BP554" s="704"/>
      <c r="BQ554" s="704"/>
      <c r="BR554" s="704"/>
      <c r="BS554" s="704"/>
      <c r="BT554" s="704"/>
      <c r="BU554" s="704"/>
      <c r="BV554" s="705"/>
    </row>
    <row r="555" spans="1:74" ht="45" customHeight="1" x14ac:dyDescent="0.25">
      <c r="A555" s="10">
        <f t="shared" si="8"/>
        <v>541</v>
      </c>
      <c r="B555" s="711" t="s">
        <v>159</v>
      </c>
      <c r="C555" s="711"/>
      <c r="D555" s="712" t="s">
        <v>212</v>
      </c>
      <c r="E555" s="712"/>
      <c r="F555" s="664" t="s">
        <v>162</v>
      </c>
      <c r="G555" s="665"/>
      <c r="H555" s="755" t="s">
        <v>162</v>
      </c>
      <c r="I555" s="667"/>
      <c r="J555" s="706"/>
      <c r="K555" s="707"/>
      <c r="L555" s="706"/>
      <c r="M555" s="707"/>
      <c r="N555" s="194"/>
      <c r="O555" s="216"/>
      <c r="P555" s="670"/>
      <c r="Q555" s="671"/>
      <c r="R555" s="719"/>
      <c r="S555" s="720"/>
      <c r="T555" s="721"/>
      <c r="U555" s="722"/>
      <c r="V555" s="676"/>
      <c r="W555" s="677"/>
      <c r="X555" s="725" t="s">
        <v>159</v>
      </c>
      <c r="Y555" s="725"/>
      <c r="Z555" s="725"/>
      <c r="AA555" s="725"/>
      <c r="AB555" s="726" t="s">
        <v>159</v>
      </c>
      <c r="AC555" s="726"/>
      <c r="AD555" s="726"/>
      <c r="AE555" s="726"/>
      <c r="AF555" s="680"/>
      <c r="AG555" s="681"/>
      <c r="AH555" s="727"/>
      <c r="AI555" s="728"/>
      <c r="AJ555" s="686"/>
      <c r="AK555" s="687"/>
      <c r="AL555" s="664" t="s">
        <v>162</v>
      </c>
      <c r="AM555" s="665"/>
      <c r="AN555" s="713" t="s">
        <v>162</v>
      </c>
      <c r="AO555" s="714"/>
      <c r="AP555" s="686"/>
      <c r="AQ555" s="687"/>
      <c r="AR555" s="688"/>
      <c r="AS555" s="689"/>
      <c r="AT555" s="690"/>
      <c r="AU555" s="691"/>
      <c r="AV555" s="713" t="s">
        <v>162</v>
      </c>
      <c r="AW555" s="714"/>
      <c r="AX555" s="692"/>
      <c r="AY555" s="693"/>
      <c r="AZ555" s="694"/>
      <c r="BA555" s="682"/>
      <c r="BB555" s="683"/>
      <c r="BC555" s="219"/>
      <c r="BD555" s="737" t="s">
        <v>162</v>
      </c>
      <c r="BE555" s="738"/>
      <c r="BF555" s="708"/>
      <c r="BG555" s="709"/>
      <c r="BH555" s="709"/>
      <c r="BI555" s="710"/>
      <c r="BJ555" s="742" t="s">
        <v>159</v>
      </c>
      <c r="BK555" s="743"/>
      <c r="BL555" s="743"/>
      <c r="BM555" s="744"/>
      <c r="BN555" s="703" t="s">
        <v>159</v>
      </c>
      <c r="BO555" s="704"/>
      <c r="BP555" s="704"/>
      <c r="BQ555" s="704"/>
      <c r="BR555" s="704"/>
      <c r="BS555" s="704"/>
      <c r="BT555" s="704"/>
      <c r="BU555" s="704"/>
      <c r="BV555" s="705"/>
    </row>
    <row r="556" spans="1:74" ht="45" customHeight="1" x14ac:dyDescent="0.25">
      <c r="A556" s="10">
        <f t="shared" si="8"/>
        <v>542</v>
      </c>
      <c r="B556" s="662" t="s">
        <v>159</v>
      </c>
      <c r="C556" s="662"/>
      <c r="D556" s="663" t="s">
        <v>212</v>
      </c>
      <c r="E556" s="663"/>
      <c r="F556" s="664" t="s">
        <v>162</v>
      </c>
      <c r="G556" s="665"/>
      <c r="H556" s="754" t="s">
        <v>162</v>
      </c>
      <c r="I556" s="714"/>
      <c r="J556" s="340"/>
      <c r="K556" s="341"/>
      <c r="L556" s="340"/>
      <c r="M556" s="341"/>
      <c r="N556" s="215"/>
      <c r="O556" s="196"/>
      <c r="P556" s="717"/>
      <c r="Q556" s="718"/>
      <c r="R556" s="672"/>
      <c r="S556" s="673"/>
      <c r="T556" s="674"/>
      <c r="U556" s="675"/>
      <c r="V556" s="723"/>
      <c r="W556" s="724"/>
      <c r="X556" s="678" t="s">
        <v>159</v>
      </c>
      <c r="Y556" s="678"/>
      <c r="Z556" s="678"/>
      <c r="AA556" s="678"/>
      <c r="AB556" s="679" t="s">
        <v>159</v>
      </c>
      <c r="AC556" s="679"/>
      <c r="AD556" s="679"/>
      <c r="AE556" s="679"/>
      <c r="AF556" s="727"/>
      <c r="AG556" s="728"/>
      <c r="AH556" s="680"/>
      <c r="AI556" s="681"/>
      <c r="AJ556" s="682"/>
      <c r="AK556" s="683"/>
      <c r="AL556" s="684" t="s">
        <v>162</v>
      </c>
      <c r="AM556" s="685"/>
      <c r="AN556" s="666" t="s">
        <v>162</v>
      </c>
      <c r="AO556" s="667"/>
      <c r="AP556" s="729"/>
      <c r="AQ556" s="730"/>
      <c r="AR556" s="731"/>
      <c r="AS556" s="732"/>
      <c r="AT556" s="690"/>
      <c r="AU556" s="691"/>
      <c r="AV556" s="666" t="s">
        <v>162</v>
      </c>
      <c r="AW556" s="667"/>
      <c r="AX556" s="692"/>
      <c r="AY556" s="693"/>
      <c r="AZ556" s="694"/>
      <c r="BA556" s="735"/>
      <c r="BB556" s="736"/>
      <c r="BC556" s="14"/>
      <c r="BD556" s="695" t="s">
        <v>162</v>
      </c>
      <c r="BE556" s="696"/>
      <c r="BF556" s="739"/>
      <c r="BG556" s="740"/>
      <c r="BH556" s="740"/>
      <c r="BI556" s="741"/>
      <c r="BJ556" s="700" t="s">
        <v>159</v>
      </c>
      <c r="BK556" s="701"/>
      <c r="BL556" s="701"/>
      <c r="BM556" s="702"/>
      <c r="BN556" s="703" t="s">
        <v>159</v>
      </c>
      <c r="BO556" s="704"/>
      <c r="BP556" s="704"/>
      <c r="BQ556" s="704"/>
      <c r="BR556" s="704"/>
      <c r="BS556" s="704"/>
      <c r="BT556" s="704"/>
      <c r="BU556" s="704"/>
      <c r="BV556" s="705"/>
    </row>
    <row r="557" spans="1:74" ht="45" customHeight="1" x14ac:dyDescent="0.25">
      <c r="A557" s="10">
        <f t="shared" si="8"/>
        <v>543</v>
      </c>
      <c r="B557" s="711" t="s">
        <v>159</v>
      </c>
      <c r="C557" s="711"/>
      <c r="D557" s="712" t="s">
        <v>212</v>
      </c>
      <c r="E557" s="712"/>
      <c r="F557" s="664" t="s">
        <v>162</v>
      </c>
      <c r="G557" s="665"/>
      <c r="H557" s="755" t="s">
        <v>162</v>
      </c>
      <c r="I557" s="667"/>
      <c r="J557" s="706"/>
      <c r="K557" s="707"/>
      <c r="L557" s="706"/>
      <c r="M557" s="707"/>
      <c r="N557" s="194"/>
      <c r="O557" s="216"/>
      <c r="P557" s="670"/>
      <c r="Q557" s="671"/>
      <c r="R557" s="719"/>
      <c r="S557" s="720"/>
      <c r="T557" s="721"/>
      <c r="U557" s="722"/>
      <c r="V557" s="676"/>
      <c r="W557" s="677"/>
      <c r="X557" s="725" t="s">
        <v>159</v>
      </c>
      <c r="Y557" s="725"/>
      <c r="Z557" s="725"/>
      <c r="AA557" s="725"/>
      <c r="AB557" s="726" t="s">
        <v>159</v>
      </c>
      <c r="AC557" s="726"/>
      <c r="AD557" s="726"/>
      <c r="AE557" s="726"/>
      <c r="AF557" s="680"/>
      <c r="AG557" s="681"/>
      <c r="AH557" s="727"/>
      <c r="AI557" s="728"/>
      <c r="AJ557" s="686"/>
      <c r="AK557" s="687"/>
      <c r="AL557" s="664" t="s">
        <v>162</v>
      </c>
      <c r="AM557" s="665"/>
      <c r="AN557" s="713" t="s">
        <v>162</v>
      </c>
      <c r="AO557" s="714"/>
      <c r="AP557" s="686"/>
      <c r="AQ557" s="687"/>
      <c r="AR557" s="688"/>
      <c r="AS557" s="689"/>
      <c r="AT557" s="690"/>
      <c r="AU557" s="691"/>
      <c r="AV557" s="713" t="s">
        <v>162</v>
      </c>
      <c r="AW557" s="714"/>
      <c r="AX557" s="692"/>
      <c r="AY557" s="693"/>
      <c r="AZ557" s="694"/>
      <c r="BA557" s="682"/>
      <c r="BB557" s="683"/>
      <c r="BC557" s="219"/>
      <c r="BD557" s="737" t="s">
        <v>162</v>
      </c>
      <c r="BE557" s="738"/>
      <c r="BF557" s="697"/>
      <c r="BG557" s="698"/>
      <c r="BH557" s="698"/>
      <c r="BI557" s="699"/>
      <c r="BJ557" s="742" t="s">
        <v>159</v>
      </c>
      <c r="BK557" s="743"/>
      <c r="BL557" s="743"/>
      <c r="BM557" s="744"/>
      <c r="BN557" s="703" t="s">
        <v>159</v>
      </c>
      <c r="BO557" s="704"/>
      <c r="BP557" s="704"/>
      <c r="BQ557" s="704"/>
      <c r="BR557" s="704"/>
      <c r="BS557" s="704"/>
      <c r="BT557" s="704"/>
      <c r="BU557" s="704"/>
      <c r="BV557" s="705"/>
    </row>
    <row r="558" spans="1:74" ht="45" customHeight="1" x14ac:dyDescent="0.25">
      <c r="A558" s="10">
        <f t="shared" si="8"/>
        <v>544</v>
      </c>
      <c r="B558" s="662" t="s">
        <v>159</v>
      </c>
      <c r="C558" s="662"/>
      <c r="D558" s="663" t="s">
        <v>212</v>
      </c>
      <c r="E558" s="663"/>
      <c r="F558" s="664" t="s">
        <v>162</v>
      </c>
      <c r="G558" s="665"/>
      <c r="H558" s="754" t="s">
        <v>162</v>
      </c>
      <c r="I558" s="714"/>
      <c r="J558" s="340"/>
      <c r="K558" s="341"/>
      <c r="L558" s="340"/>
      <c r="M558" s="341"/>
      <c r="N558" s="215"/>
      <c r="O558" s="196"/>
      <c r="P558" s="717"/>
      <c r="Q558" s="718"/>
      <c r="R558" s="672"/>
      <c r="S558" s="673"/>
      <c r="T558" s="674"/>
      <c r="U558" s="675"/>
      <c r="V558" s="723"/>
      <c r="W558" s="724"/>
      <c r="X558" s="678" t="s">
        <v>159</v>
      </c>
      <c r="Y558" s="678"/>
      <c r="Z558" s="678"/>
      <c r="AA558" s="678"/>
      <c r="AB558" s="679" t="s">
        <v>159</v>
      </c>
      <c r="AC558" s="679"/>
      <c r="AD558" s="679"/>
      <c r="AE558" s="679"/>
      <c r="AF558" s="727"/>
      <c r="AG558" s="728"/>
      <c r="AH558" s="680"/>
      <c r="AI558" s="681"/>
      <c r="AJ558" s="682"/>
      <c r="AK558" s="683"/>
      <c r="AL558" s="684" t="s">
        <v>162</v>
      </c>
      <c r="AM558" s="685"/>
      <c r="AN558" s="666" t="s">
        <v>162</v>
      </c>
      <c r="AO558" s="667"/>
      <c r="AP558" s="729"/>
      <c r="AQ558" s="730"/>
      <c r="AR558" s="731"/>
      <c r="AS558" s="732"/>
      <c r="AT558" s="690"/>
      <c r="AU558" s="691"/>
      <c r="AV558" s="666" t="s">
        <v>162</v>
      </c>
      <c r="AW558" s="667"/>
      <c r="AX558" s="692"/>
      <c r="AY558" s="693"/>
      <c r="AZ558" s="694"/>
      <c r="BA558" s="735"/>
      <c r="BB558" s="736"/>
      <c r="BC558" s="14"/>
      <c r="BD558" s="695" t="s">
        <v>162</v>
      </c>
      <c r="BE558" s="696"/>
      <c r="BF558" s="739"/>
      <c r="BG558" s="740"/>
      <c r="BH558" s="740"/>
      <c r="BI558" s="741"/>
      <c r="BJ558" s="700" t="s">
        <v>159</v>
      </c>
      <c r="BK558" s="701"/>
      <c r="BL558" s="701"/>
      <c r="BM558" s="702"/>
      <c r="BN558" s="703" t="s">
        <v>159</v>
      </c>
      <c r="BO558" s="704"/>
      <c r="BP558" s="704"/>
      <c r="BQ558" s="704"/>
      <c r="BR558" s="704"/>
      <c r="BS558" s="704"/>
      <c r="BT558" s="704"/>
      <c r="BU558" s="704"/>
      <c r="BV558" s="705"/>
    </row>
    <row r="559" spans="1:74" ht="45" customHeight="1" x14ac:dyDescent="0.25">
      <c r="A559" s="10">
        <f t="shared" si="8"/>
        <v>545</v>
      </c>
      <c r="B559" s="711" t="s">
        <v>159</v>
      </c>
      <c r="C559" s="711"/>
      <c r="D559" s="712" t="s">
        <v>212</v>
      </c>
      <c r="E559" s="712"/>
      <c r="F559" s="664" t="s">
        <v>162</v>
      </c>
      <c r="G559" s="665"/>
      <c r="H559" s="755" t="s">
        <v>162</v>
      </c>
      <c r="I559" s="667"/>
      <c r="J559" s="706"/>
      <c r="K559" s="707"/>
      <c r="L559" s="706"/>
      <c r="M559" s="707"/>
      <c r="N559" s="194"/>
      <c r="O559" s="216"/>
      <c r="P559" s="670"/>
      <c r="Q559" s="671"/>
      <c r="R559" s="719"/>
      <c r="S559" s="720"/>
      <c r="T559" s="721"/>
      <c r="U559" s="722"/>
      <c r="V559" s="676"/>
      <c r="W559" s="677"/>
      <c r="X559" s="725" t="s">
        <v>159</v>
      </c>
      <c r="Y559" s="725"/>
      <c r="Z559" s="725"/>
      <c r="AA559" s="725"/>
      <c r="AB559" s="726" t="s">
        <v>159</v>
      </c>
      <c r="AC559" s="726"/>
      <c r="AD559" s="726"/>
      <c r="AE559" s="726"/>
      <c r="AF559" s="680"/>
      <c r="AG559" s="681"/>
      <c r="AH559" s="727"/>
      <c r="AI559" s="728"/>
      <c r="AJ559" s="686"/>
      <c r="AK559" s="687"/>
      <c r="AL559" s="664" t="s">
        <v>162</v>
      </c>
      <c r="AM559" s="665"/>
      <c r="AN559" s="713" t="s">
        <v>162</v>
      </c>
      <c r="AO559" s="714"/>
      <c r="AP559" s="686"/>
      <c r="AQ559" s="687"/>
      <c r="AR559" s="688"/>
      <c r="AS559" s="689"/>
      <c r="AT559" s="690"/>
      <c r="AU559" s="691"/>
      <c r="AV559" s="713" t="s">
        <v>162</v>
      </c>
      <c r="AW559" s="714"/>
      <c r="AX559" s="692"/>
      <c r="AY559" s="693"/>
      <c r="AZ559" s="694"/>
      <c r="BA559" s="682"/>
      <c r="BB559" s="683"/>
      <c r="BC559" s="219"/>
      <c r="BD559" s="737" t="s">
        <v>162</v>
      </c>
      <c r="BE559" s="738"/>
      <c r="BF559" s="708"/>
      <c r="BG559" s="709"/>
      <c r="BH559" s="709"/>
      <c r="BI559" s="710"/>
      <c r="BJ559" s="742" t="s">
        <v>159</v>
      </c>
      <c r="BK559" s="743"/>
      <c r="BL559" s="743"/>
      <c r="BM559" s="744"/>
      <c r="BN559" s="703" t="s">
        <v>159</v>
      </c>
      <c r="BO559" s="704"/>
      <c r="BP559" s="704"/>
      <c r="BQ559" s="704"/>
      <c r="BR559" s="704"/>
      <c r="BS559" s="704"/>
      <c r="BT559" s="704"/>
      <c r="BU559" s="704"/>
      <c r="BV559" s="705"/>
    </row>
    <row r="560" spans="1:74" ht="45" customHeight="1" x14ac:dyDescent="0.25">
      <c r="A560" s="10">
        <f t="shared" si="8"/>
        <v>546</v>
      </c>
      <c r="B560" s="662" t="s">
        <v>159</v>
      </c>
      <c r="C560" s="662"/>
      <c r="D560" s="663" t="s">
        <v>212</v>
      </c>
      <c r="E560" s="663"/>
      <c r="F560" s="664" t="s">
        <v>162</v>
      </c>
      <c r="G560" s="665"/>
      <c r="H560" s="754" t="s">
        <v>162</v>
      </c>
      <c r="I560" s="714"/>
      <c r="J560" s="340"/>
      <c r="K560" s="341"/>
      <c r="L560" s="340"/>
      <c r="M560" s="341"/>
      <c r="N560" s="215"/>
      <c r="O560" s="196"/>
      <c r="P560" s="717"/>
      <c r="Q560" s="718"/>
      <c r="R560" s="672"/>
      <c r="S560" s="673"/>
      <c r="T560" s="674"/>
      <c r="U560" s="675"/>
      <c r="V560" s="723"/>
      <c r="W560" s="724"/>
      <c r="X560" s="678" t="s">
        <v>159</v>
      </c>
      <c r="Y560" s="678"/>
      <c r="Z560" s="678"/>
      <c r="AA560" s="678"/>
      <c r="AB560" s="679" t="s">
        <v>159</v>
      </c>
      <c r="AC560" s="679"/>
      <c r="AD560" s="679"/>
      <c r="AE560" s="679"/>
      <c r="AF560" s="727"/>
      <c r="AG560" s="728"/>
      <c r="AH560" s="680"/>
      <c r="AI560" s="681"/>
      <c r="AJ560" s="682"/>
      <c r="AK560" s="683"/>
      <c r="AL560" s="684" t="s">
        <v>162</v>
      </c>
      <c r="AM560" s="685"/>
      <c r="AN560" s="666" t="s">
        <v>162</v>
      </c>
      <c r="AO560" s="667"/>
      <c r="AP560" s="729"/>
      <c r="AQ560" s="730"/>
      <c r="AR560" s="731"/>
      <c r="AS560" s="732"/>
      <c r="AT560" s="690"/>
      <c r="AU560" s="691"/>
      <c r="AV560" s="666" t="s">
        <v>162</v>
      </c>
      <c r="AW560" s="667"/>
      <c r="AX560" s="692"/>
      <c r="AY560" s="693"/>
      <c r="AZ560" s="694"/>
      <c r="BA560" s="735"/>
      <c r="BB560" s="736"/>
      <c r="BC560" s="14"/>
      <c r="BD560" s="695" t="s">
        <v>162</v>
      </c>
      <c r="BE560" s="696"/>
      <c r="BF560" s="739"/>
      <c r="BG560" s="740"/>
      <c r="BH560" s="740"/>
      <c r="BI560" s="741"/>
      <c r="BJ560" s="700" t="s">
        <v>159</v>
      </c>
      <c r="BK560" s="701"/>
      <c r="BL560" s="701"/>
      <c r="BM560" s="702"/>
      <c r="BN560" s="703" t="s">
        <v>159</v>
      </c>
      <c r="BO560" s="704"/>
      <c r="BP560" s="704"/>
      <c r="BQ560" s="704"/>
      <c r="BR560" s="704"/>
      <c r="BS560" s="704"/>
      <c r="BT560" s="704"/>
      <c r="BU560" s="704"/>
      <c r="BV560" s="705"/>
    </row>
    <row r="561" spans="1:74" ht="45" customHeight="1" x14ac:dyDescent="0.25">
      <c r="A561" s="10">
        <f t="shared" si="8"/>
        <v>547</v>
      </c>
      <c r="B561" s="711" t="s">
        <v>159</v>
      </c>
      <c r="C561" s="711"/>
      <c r="D561" s="712" t="s">
        <v>212</v>
      </c>
      <c r="E561" s="712"/>
      <c r="F561" s="664" t="s">
        <v>162</v>
      </c>
      <c r="G561" s="665"/>
      <c r="H561" s="755" t="s">
        <v>162</v>
      </c>
      <c r="I561" s="667"/>
      <c r="J561" s="706"/>
      <c r="K561" s="707"/>
      <c r="L561" s="706"/>
      <c r="M561" s="707"/>
      <c r="N561" s="194"/>
      <c r="O561" s="216"/>
      <c r="P561" s="670"/>
      <c r="Q561" s="671"/>
      <c r="R561" s="719"/>
      <c r="S561" s="720"/>
      <c r="T561" s="721"/>
      <c r="U561" s="722"/>
      <c r="V561" s="676"/>
      <c r="W561" s="677"/>
      <c r="X561" s="725" t="s">
        <v>159</v>
      </c>
      <c r="Y561" s="725"/>
      <c r="Z561" s="725"/>
      <c r="AA561" s="725"/>
      <c r="AB561" s="726" t="s">
        <v>159</v>
      </c>
      <c r="AC561" s="726"/>
      <c r="AD561" s="726"/>
      <c r="AE561" s="726"/>
      <c r="AF561" s="680"/>
      <c r="AG561" s="681"/>
      <c r="AH561" s="727"/>
      <c r="AI561" s="728"/>
      <c r="AJ561" s="686"/>
      <c r="AK561" s="687"/>
      <c r="AL561" s="664" t="s">
        <v>162</v>
      </c>
      <c r="AM561" s="665"/>
      <c r="AN561" s="713" t="s">
        <v>162</v>
      </c>
      <c r="AO561" s="714"/>
      <c r="AP561" s="686"/>
      <c r="AQ561" s="687"/>
      <c r="AR561" s="688"/>
      <c r="AS561" s="689"/>
      <c r="AT561" s="690"/>
      <c r="AU561" s="691"/>
      <c r="AV561" s="713" t="s">
        <v>162</v>
      </c>
      <c r="AW561" s="714"/>
      <c r="AX561" s="692"/>
      <c r="AY561" s="693"/>
      <c r="AZ561" s="694"/>
      <c r="BA561" s="682"/>
      <c r="BB561" s="683"/>
      <c r="BC561" s="219"/>
      <c r="BD561" s="737" t="s">
        <v>162</v>
      </c>
      <c r="BE561" s="738"/>
      <c r="BF561" s="697"/>
      <c r="BG561" s="698"/>
      <c r="BH561" s="698"/>
      <c r="BI561" s="699"/>
      <c r="BJ561" s="742" t="s">
        <v>159</v>
      </c>
      <c r="BK561" s="743"/>
      <c r="BL561" s="743"/>
      <c r="BM561" s="744"/>
      <c r="BN561" s="703" t="s">
        <v>159</v>
      </c>
      <c r="BO561" s="704"/>
      <c r="BP561" s="704"/>
      <c r="BQ561" s="704"/>
      <c r="BR561" s="704"/>
      <c r="BS561" s="704"/>
      <c r="BT561" s="704"/>
      <c r="BU561" s="704"/>
      <c r="BV561" s="705"/>
    </row>
    <row r="562" spans="1:74" ht="45" customHeight="1" x14ac:dyDescent="0.25">
      <c r="A562" s="10">
        <f t="shared" si="8"/>
        <v>548</v>
      </c>
      <c r="B562" s="662" t="s">
        <v>159</v>
      </c>
      <c r="C562" s="662"/>
      <c r="D562" s="663" t="s">
        <v>212</v>
      </c>
      <c r="E562" s="663"/>
      <c r="F562" s="664" t="s">
        <v>162</v>
      </c>
      <c r="G562" s="665"/>
      <c r="H562" s="754" t="s">
        <v>162</v>
      </c>
      <c r="I562" s="714"/>
      <c r="J562" s="340"/>
      <c r="K562" s="341"/>
      <c r="L562" s="340"/>
      <c r="M562" s="341"/>
      <c r="N562" s="215"/>
      <c r="O562" s="196"/>
      <c r="P562" s="717"/>
      <c r="Q562" s="718"/>
      <c r="R562" s="672"/>
      <c r="S562" s="673"/>
      <c r="T562" s="674"/>
      <c r="U562" s="675"/>
      <c r="V562" s="723"/>
      <c r="W562" s="724"/>
      <c r="X562" s="678" t="s">
        <v>159</v>
      </c>
      <c r="Y562" s="678"/>
      <c r="Z562" s="678"/>
      <c r="AA562" s="678"/>
      <c r="AB562" s="679" t="s">
        <v>159</v>
      </c>
      <c r="AC562" s="679"/>
      <c r="AD562" s="679"/>
      <c r="AE562" s="679"/>
      <c r="AF562" s="727"/>
      <c r="AG562" s="728"/>
      <c r="AH562" s="680"/>
      <c r="AI562" s="681"/>
      <c r="AJ562" s="682"/>
      <c r="AK562" s="683"/>
      <c r="AL562" s="684" t="s">
        <v>162</v>
      </c>
      <c r="AM562" s="685"/>
      <c r="AN562" s="666" t="s">
        <v>162</v>
      </c>
      <c r="AO562" s="667"/>
      <c r="AP562" s="729"/>
      <c r="AQ562" s="730"/>
      <c r="AR562" s="731"/>
      <c r="AS562" s="732"/>
      <c r="AT562" s="690"/>
      <c r="AU562" s="691"/>
      <c r="AV562" s="666" t="s">
        <v>162</v>
      </c>
      <c r="AW562" s="667"/>
      <c r="AX562" s="692"/>
      <c r="AY562" s="693"/>
      <c r="AZ562" s="694"/>
      <c r="BA562" s="735"/>
      <c r="BB562" s="736"/>
      <c r="BC562" s="14"/>
      <c r="BD562" s="695" t="s">
        <v>162</v>
      </c>
      <c r="BE562" s="696"/>
      <c r="BF562" s="739"/>
      <c r="BG562" s="740"/>
      <c r="BH562" s="740"/>
      <c r="BI562" s="741"/>
      <c r="BJ562" s="700" t="s">
        <v>159</v>
      </c>
      <c r="BK562" s="701"/>
      <c r="BL562" s="701"/>
      <c r="BM562" s="702"/>
      <c r="BN562" s="703" t="s">
        <v>159</v>
      </c>
      <c r="BO562" s="704"/>
      <c r="BP562" s="704"/>
      <c r="BQ562" s="704"/>
      <c r="BR562" s="704"/>
      <c r="BS562" s="704"/>
      <c r="BT562" s="704"/>
      <c r="BU562" s="704"/>
      <c r="BV562" s="705"/>
    </row>
    <row r="563" spans="1:74" ht="45" customHeight="1" x14ac:dyDescent="0.25">
      <c r="A563" s="10">
        <f t="shared" si="8"/>
        <v>549</v>
      </c>
      <c r="B563" s="711" t="s">
        <v>159</v>
      </c>
      <c r="C563" s="711"/>
      <c r="D563" s="712" t="s">
        <v>212</v>
      </c>
      <c r="E563" s="712"/>
      <c r="F563" s="664" t="s">
        <v>162</v>
      </c>
      <c r="G563" s="665"/>
      <c r="H563" s="755" t="s">
        <v>162</v>
      </c>
      <c r="I563" s="667"/>
      <c r="J563" s="706"/>
      <c r="K563" s="707"/>
      <c r="L563" s="706"/>
      <c r="M563" s="707"/>
      <c r="N563" s="194"/>
      <c r="O563" s="216"/>
      <c r="P563" s="670"/>
      <c r="Q563" s="671"/>
      <c r="R563" s="719"/>
      <c r="S563" s="720"/>
      <c r="T563" s="721"/>
      <c r="U563" s="722"/>
      <c r="V563" s="676"/>
      <c r="W563" s="677"/>
      <c r="X563" s="725" t="s">
        <v>159</v>
      </c>
      <c r="Y563" s="725"/>
      <c r="Z563" s="725"/>
      <c r="AA563" s="725"/>
      <c r="AB563" s="726" t="s">
        <v>159</v>
      </c>
      <c r="AC563" s="726"/>
      <c r="AD563" s="726"/>
      <c r="AE563" s="726"/>
      <c r="AF563" s="680"/>
      <c r="AG563" s="681"/>
      <c r="AH563" s="727"/>
      <c r="AI563" s="728"/>
      <c r="AJ563" s="686"/>
      <c r="AK563" s="687"/>
      <c r="AL563" s="664" t="s">
        <v>162</v>
      </c>
      <c r="AM563" s="665"/>
      <c r="AN563" s="713" t="s">
        <v>162</v>
      </c>
      <c r="AO563" s="714"/>
      <c r="AP563" s="686"/>
      <c r="AQ563" s="687"/>
      <c r="AR563" s="688"/>
      <c r="AS563" s="689"/>
      <c r="AT563" s="690"/>
      <c r="AU563" s="691"/>
      <c r="AV563" s="713" t="s">
        <v>162</v>
      </c>
      <c r="AW563" s="714"/>
      <c r="AX563" s="692"/>
      <c r="AY563" s="693"/>
      <c r="AZ563" s="694"/>
      <c r="BA563" s="682"/>
      <c r="BB563" s="683"/>
      <c r="BC563" s="219"/>
      <c r="BD563" s="737" t="s">
        <v>162</v>
      </c>
      <c r="BE563" s="738"/>
      <c r="BF563" s="708"/>
      <c r="BG563" s="709"/>
      <c r="BH563" s="709"/>
      <c r="BI563" s="710"/>
      <c r="BJ563" s="742" t="s">
        <v>159</v>
      </c>
      <c r="BK563" s="743"/>
      <c r="BL563" s="743"/>
      <c r="BM563" s="744"/>
      <c r="BN563" s="703" t="s">
        <v>159</v>
      </c>
      <c r="BO563" s="704"/>
      <c r="BP563" s="704"/>
      <c r="BQ563" s="704"/>
      <c r="BR563" s="704"/>
      <c r="BS563" s="704"/>
      <c r="BT563" s="704"/>
      <c r="BU563" s="704"/>
      <c r="BV563" s="705"/>
    </row>
    <row r="564" spans="1:74" ht="45" customHeight="1" x14ac:dyDescent="0.25">
      <c r="A564" s="10">
        <f t="shared" si="8"/>
        <v>550</v>
      </c>
      <c r="B564" s="662" t="s">
        <v>159</v>
      </c>
      <c r="C564" s="662"/>
      <c r="D564" s="663" t="s">
        <v>212</v>
      </c>
      <c r="E564" s="663"/>
      <c r="F564" s="664" t="s">
        <v>162</v>
      </c>
      <c r="G564" s="665"/>
      <c r="H564" s="754" t="s">
        <v>162</v>
      </c>
      <c r="I564" s="714"/>
      <c r="J564" s="340"/>
      <c r="K564" s="341"/>
      <c r="L564" s="340"/>
      <c r="M564" s="341"/>
      <c r="N564" s="215"/>
      <c r="O564" s="196"/>
      <c r="P564" s="717"/>
      <c r="Q564" s="718"/>
      <c r="R564" s="672"/>
      <c r="S564" s="673"/>
      <c r="T564" s="674"/>
      <c r="U564" s="675"/>
      <c r="V564" s="723"/>
      <c r="W564" s="724"/>
      <c r="X564" s="678" t="s">
        <v>159</v>
      </c>
      <c r="Y564" s="678"/>
      <c r="Z564" s="678"/>
      <c r="AA564" s="678"/>
      <c r="AB564" s="679" t="s">
        <v>159</v>
      </c>
      <c r="AC564" s="679"/>
      <c r="AD564" s="679"/>
      <c r="AE564" s="679"/>
      <c r="AF564" s="727"/>
      <c r="AG564" s="728"/>
      <c r="AH564" s="680"/>
      <c r="AI564" s="681"/>
      <c r="AJ564" s="682"/>
      <c r="AK564" s="683"/>
      <c r="AL564" s="684" t="s">
        <v>162</v>
      </c>
      <c r="AM564" s="685"/>
      <c r="AN564" s="666" t="s">
        <v>162</v>
      </c>
      <c r="AO564" s="667"/>
      <c r="AP564" s="729"/>
      <c r="AQ564" s="730"/>
      <c r="AR564" s="731"/>
      <c r="AS564" s="732"/>
      <c r="AT564" s="690"/>
      <c r="AU564" s="691"/>
      <c r="AV564" s="666" t="s">
        <v>162</v>
      </c>
      <c r="AW564" s="667"/>
      <c r="AX564" s="692"/>
      <c r="AY564" s="693"/>
      <c r="AZ564" s="694"/>
      <c r="BA564" s="735"/>
      <c r="BB564" s="736"/>
      <c r="BC564" s="14"/>
      <c r="BD564" s="695" t="s">
        <v>162</v>
      </c>
      <c r="BE564" s="696"/>
      <c r="BF564" s="739"/>
      <c r="BG564" s="740"/>
      <c r="BH564" s="740"/>
      <c r="BI564" s="741"/>
      <c r="BJ564" s="700" t="s">
        <v>159</v>
      </c>
      <c r="BK564" s="701"/>
      <c r="BL564" s="701"/>
      <c r="BM564" s="702"/>
      <c r="BN564" s="703" t="s">
        <v>159</v>
      </c>
      <c r="BO564" s="704"/>
      <c r="BP564" s="704"/>
      <c r="BQ564" s="704"/>
      <c r="BR564" s="704"/>
      <c r="BS564" s="704"/>
      <c r="BT564" s="704"/>
      <c r="BU564" s="704"/>
      <c r="BV564" s="705"/>
    </row>
    <row r="565" spans="1:74" ht="45" customHeight="1" x14ac:dyDescent="0.25">
      <c r="A565" s="10">
        <f t="shared" si="8"/>
        <v>551</v>
      </c>
      <c r="B565" s="711" t="s">
        <v>159</v>
      </c>
      <c r="C565" s="711"/>
      <c r="D565" s="712" t="s">
        <v>212</v>
      </c>
      <c r="E565" s="712"/>
      <c r="F565" s="664" t="s">
        <v>162</v>
      </c>
      <c r="G565" s="665"/>
      <c r="H565" s="755" t="s">
        <v>162</v>
      </c>
      <c r="I565" s="667"/>
      <c r="J565" s="706"/>
      <c r="K565" s="707"/>
      <c r="L565" s="706"/>
      <c r="M565" s="707"/>
      <c r="N565" s="194"/>
      <c r="O565" s="196"/>
      <c r="P565" s="717"/>
      <c r="Q565" s="718"/>
      <c r="R565" s="719"/>
      <c r="S565" s="720"/>
      <c r="T565" s="721"/>
      <c r="U565" s="722"/>
      <c r="V565" s="723"/>
      <c r="W565" s="724"/>
      <c r="X565" s="725" t="s">
        <v>159</v>
      </c>
      <c r="Y565" s="725"/>
      <c r="Z565" s="725"/>
      <c r="AA565" s="725"/>
      <c r="AB565" s="726" t="s">
        <v>159</v>
      </c>
      <c r="AC565" s="726"/>
      <c r="AD565" s="726"/>
      <c r="AE565" s="726"/>
      <c r="AF565" s="727"/>
      <c r="AG565" s="728"/>
      <c r="AH565" s="727"/>
      <c r="AI565" s="728"/>
      <c r="AJ565" s="686"/>
      <c r="AK565" s="687"/>
      <c r="AL565" s="664" t="s">
        <v>162</v>
      </c>
      <c r="AM565" s="665"/>
      <c r="AN565" s="713" t="s">
        <v>162</v>
      </c>
      <c r="AO565" s="714"/>
      <c r="AP565" s="686"/>
      <c r="AQ565" s="687"/>
      <c r="AR565" s="688"/>
      <c r="AS565" s="689"/>
      <c r="AT565" s="690"/>
      <c r="AU565" s="691"/>
      <c r="AV565" s="713" t="s">
        <v>162</v>
      </c>
      <c r="AW565" s="714"/>
      <c r="AX565" s="692"/>
      <c r="AY565" s="693"/>
      <c r="AZ565" s="694"/>
      <c r="BA565" s="682"/>
      <c r="BB565" s="683"/>
      <c r="BC565" s="219"/>
      <c r="BD565" s="737" t="s">
        <v>162</v>
      </c>
      <c r="BE565" s="738"/>
      <c r="BF565" s="708"/>
      <c r="BG565" s="709"/>
      <c r="BH565" s="709"/>
      <c r="BI565" s="710"/>
      <c r="BJ565" s="742" t="s">
        <v>159</v>
      </c>
      <c r="BK565" s="743"/>
      <c r="BL565" s="743"/>
      <c r="BM565" s="744"/>
      <c r="BN565" s="703" t="s">
        <v>159</v>
      </c>
      <c r="BO565" s="704"/>
      <c r="BP565" s="704"/>
      <c r="BQ565" s="704"/>
      <c r="BR565" s="704"/>
      <c r="BS565" s="704"/>
      <c r="BT565" s="704"/>
      <c r="BU565" s="704"/>
      <c r="BV565" s="705"/>
    </row>
    <row r="566" spans="1:74" ht="45" customHeight="1" x14ac:dyDescent="0.25">
      <c r="A566" s="10">
        <f t="shared" si="8"/>
        <v>552</v>
      </c>
      <c r="B566" s="662" t="s">
        <v>159</v>
      </c>
      <c r="C566" s="662"/>
      <c r="D566" s="663" t="s">
        <v>212</v>
      </c>
      <c r="E566" s="663"/>
      <c r="F566" s="664" t="s">
        <v>162</v>
      </c>
      <c r="G566" s="665"/>
      <c r="H566" s="754" t="s">
        <v>162</v>
      </c>
      <c r="I566" s="714"/>
      <c r="J566" s="340"/>
      <c r="K566" s="341"/>
      <c r="L566" s="340"/>
      <c r="M566" s="341"/>
      <c r="N566" s="215"/>
      <c r="O566" s="216"/>
      <c r="P566" s="670"/>
      <c r="Q566" s="671"/>
      <c r="R566" s="672"/>
      <c r="S566" s="673"/>
      <c r="T566" s="674"/>
      <c r="U566" s="675"/>
      <c r="V566" s="676"/>
      <c r="W566" s="677"/>
      <c r="X566" s="678" t="s">
        <v>159</v>
      </c>
      <c r="Y566" s="678"/>
      <c r="Z566" s="678"/>
      <c r="AA566" s="678"/>
      <c r="AB566" s="679" t="s">
        <v>159</v>
      </c>
      <c r="AC566" s="679"/>
      <c r="AD566" s="679"/>
      <c r="AE566" s="679"/>
      <c r="AF566" s="680"/>
      <c r="AG566" s="681"/>
      <c r="AH566" s="680"/>
      <c r="AI566" s="681"/>
      <c r="AJ566" s="682"/>
      <c r="AK566" s="683"/>
      <c r="AL566" s="684" t="s">
        <v>162</v>
      </c>
      <c r="AM566" s="685"/>
      <c r="AN566" s="666" t="s">
        <v>162</v>
      </c>
      <c r="AO566" s="667"/>
      <c r="AP566" s="729"/>
      <c r="AQ566" s="730"/>
      <c r="AR566" s="731"/>
      <c r="AS566" s="732"/>
      <c r="AT566" s="690"/>
      <c r="AU566" s="691"/>
      <c r="AV566" s="666" t="s">
        <v>162</v>
      </c>
      <c r="AW566" s="667"/>
      <c r="AX566" s="692"/>
      <c r="AY566" s="693"/>
      <c r="AZ566" s="694"/>
      <c r="BA566" s="735"/>
      <c r="BB566" s="736"/>
      <c r="BC566" s="14"/>
      <c r="BD566" s="695" t="s">
        <v>162</v>
      </c>
      <c r="BE566" s="696"/>
      <c r="BF566" s="739"/>
      <c r="BG566" s="740"/>
      <c r="BH566" s="740"/>
      <c r="BI566" s="741"/>
      <c r="BJ566" s="700" t="s">
        <v>159</v>
      </c>
      <c r="BK566" s="701"/>
      <c r="BL566" s="701"/>
      <c r="BM566" s="702"/>
      <c r="BN566" s="703" t="s">
        <v>159</v>
      </c>
      <c r="BO566" s="704"/>
      <c r="BP566" s="704"/>
      <c r="BQ566" s="704"/>
      <c r="BR566" s="704"/>
      <c r="BS566" s="704"/>
      <c r="BT566" s="704"/>
      <c r="BU566" s="704"/>
      <c r="BV566" s="705"/>
    </row>
    <row r="567" spans="1:74" ht="45" customHeight="1" x14ac:dyDescent="0.25">
      <c r="A567" s="10">
        <f t="shared" si="8"/>
        <v>553</v>
      </c>
      <c r="B567" s="711" t="s">
        <v>159</v>
      </c>
      <c r="C567" s="711"/>
      <c r="D567" s="712" t="s">
        <v>212</v>
      </c>
      <c r="E567" s="712"/>
      <c r="F567" s="664" t="s">
        <v>162</v>
      </c>
      <c r="G567" s="665"/>
      <c r="H567" s="755" t="s">
        <v>162</v>
      </c>
      <c r="I567" s="667"/>
      <c r="J567" s="706"/>
      <c r="K567" s="707"/>
      <c r="L567" s="706"/>
      <c r="M567" s="707"/>
      <c r="N567" s="194"/>
      <c r="O567" s="196"/>
      <c r="P567" s="717"/>
      <c r="Q567" s="718"/>
      <c r="R567" s="719"/>
      <c r="S567" s="720"/>
      <c r="T567" s="721"/>
      <c r="U567" s="722"/>
      <c r="V567" s="723"/>
      <c r="W567" s="724"/>
      <c r="X567" s="725" t="s">
        <v>159</v>
      </c>
      <c r="Y567" s="725"/>
      <c r="Z567" s="725"/>
      <c r="AA567" s="725"/>
      <c r="AB567" s="726" t="s">
        <v>159</v>
      </c>
      <c r="AC567" s="726"/>
      <c r="AD567" s="726"/>
      <c r="AE567" s="726"/>
      <c r="AF567" s="727"/>
      <c r="AG567" s="728"/>
      <c r="AH567" s="727"/>
      <c r="AI567" s="728"/>
      <c r="AJ567" s="686"/>
      <c r="AK567" s="687"/>
      <c r="AL567" s="664" t="s">
        <v>162</v>
      </c>
      <c r="AM567" s="665"/>
      <c r="AN567" s="713" t="s">
        <v>162</v>
      </c>
      <c r="AO567" s="714"/>
      <c r="AP567" s="686"/>
      <c r="AQ567" s="687"/>
      <c r="AR567" s="688"/>
      <c r="AS567" s="689"/>
      <c r="AT567" s="690"/>
      <c r="AU567" s="691"/>
      <c r="AV567" s="713" t="s">
        <v>162</v>
      </c>
      <c r="AW567" s="714"/>
      <c r="AX567" s="692"/>
      <c r="AY567" s="693"/>
      <c r="AZ567" s="694"/>
      <c r="BA567" s="682"/>
      <c r="BB567" s="683"/>
      <c r="BC567" s="219"/>
      <c r="BD567" s="737" t="s">
        <v>162</v>
      </c>
      <c r="BE567" s="738"/>
      <c r="BF567" s="697"/>
      <c r="BG567" s="698"/>
      <c r="BH567" s="698"/>
      <c r="BI567" s="699"/>
      <c r="BJ567" s="742" t="s">
        <v>159</v>
      </c>
      <c r="BK567" s="743"/>
      <c r="BL567" s="743"/>
      <c r="BM567" s="744"/>
      <c r="BN567" s="703" t="s">
        <v>159</v>
      </c>
      <c r="BO567" s="704"/>
      <c r="BP567" s="704"/>
      <c r="BQ567" s="704"/>
      <c r="BR567" s="704"/>
      <c r="BS567" s="704"/>
      <c r="BT567" s="704"/>
      <c r="BU567" s="704"/>
      <c r="BV567" s="705"/>
    </row>
    <row r="568" spans="1:74" ht="45" customHeight="1" x14ac:dyDescent="0.25">
      <c r="A568" s="10">
        <f t="shared" si="8"/>
        <v>554</v>
      </c>
      <c r="B568" s="662" t="s">
        <v>159</v>
      </c>
      <c r="C568" s="662"/>
      <c r="D568" s="663" t="s">
        <v>212</v>
      </c>
      <c r="E568" s="663"/>
      <c r="F568" s="664" t="s">
        <v>162</v>
      </c>
      <c r="G568" s="665"/>
      <c r="H568" s="754" t="s">
        <v>162</v>
      </c>
      <c r="I568" s="714"/>
      <c r="J568" s="340"/>
      <c r="K568" s="341"/>
      <c r="L568" s="340"/>
      <c r="M568" s="341"/>
      <c r="N568" s="215"/>
      <c r="O568" s="216"/>
      <c r="P568" s="670"/>
      <c r="Q568" s="671"/>
      <c r="R568" s="672"/>
      <c r="S568" s="673"/>
      <c r="T568" s="674"/>
      <c r="U568" s="675"/>
      <c r="V568" s="676"/>
      <c r="W568" s="677"/>
      <c r="X568" s="678" t="s">
        <v>159</v>
      </c>
      <c r="Y568" s="678"/>
      <c r="Z568" s="678"/>
      <c r="AA568" s="678"/>
      <c r="AB568" s="679" t="s">
        <v>159</v>
      </c>
      <c r="AC568" s="679"/>
      <c r="AD568" s="679"/>
      <c r="AE568" s="679"/>
      <c r="AF568" s="680"/>
      <c r="AG568" s="681"/>
      <c r="AH568" s="680"/>
      <c r="AI568" s="681"/>
      <c r="AJ568" s="682"/>
      <c r="AK568" s="683"/>
      <c r="AL568" s="684" t="s">
        <v>162</v>
      </c>
      <c r="AM568" s="685"/>
      <c r="AN568" s="666" t="s">
        <v>162</v>
      </c>
      <c r="AO568" s="667"/>
      <c r="AP568" s="729"/>
      <c r="AQ568" s="730"/>
      <c r="AR568" s="731"/>
      <c r="AS568" s="732"/>
      <c r="AT568" s="690"/>
      <c r="AU568" s="691"/>
      <c r="AV568" s="666" t="s">
        <v>162</v>
      </c>
      <c r="AW568" s="667"/>
      <c r="AX568" s="692"/>
      <c r="AY568" s="693"/>
      <c r="AZ568" s="694"/>
      <c r="BA568" s="735"/>
      <c r="BB568" s="736"/>
      <c r="BC568" s="14"/>
      <c r="BD568" s="695" t="s">
        <v>162</v>
      </c>
      <c r="BE568" s="696"/>
      <c r="BF568" s="739"/>
      <c r="BG568" s="740"/>
      <c r="BH568" s="740"/>
      <c r="BI568" s="741"/>
      <c r="BJ568" s="700" t="s">
        <v>159</v>
      </c>
      <c r="BK568" s="701"/>
      <c r="BL568" s="701"/>
      <c r="BM568" s="702"/>
      <c r="BN568" s="703" t="s">
        <v>159</v>
      </c>
      <c r="BO568" s="704"/>
      <c r="BP568" s="704"/>
      <c r="BQ568" s="704"/>
      <c r="BR568" s="704"/>
      <c r="BS568" s="704"/>
      <c r="BT568" s="704"/>
      <c r="BU568" s="704"/>
      <c r="BV568" s="705"/>
    </row>
    <row r="569" spans="1:74" ht="45" customHeight="1" x14ac:dyDescent="0.25">
      <c r="A569" s="10">
        <f t="shared" si="8"/>
        <v>555</v>
      </c>
      <c r="B569" s="711" t="s">
        <v>159</v>
      </c>
      <c r="C569" s="711"/>
      <c r="D569" s="712" t="s">
        <v>212</v>
      </c>
      <c r="E569" s="712"/>
      <c r="F569" s="664" t="s">
        <v>162</v>
      </c>
      <c r="G569" s="665"/>
      <c r="H569" s="755" t="s">
        <v>162</v>
      </c>
      <c r="I569" s="667"/>
      <c r="J569" s="706"/>
      <c r="K569" s="707"/>
      <c r="L569" s="706"/>
      <c r="M569" s="707"/>
      <c r="N569" s="194"/>
      <c r="O569" s="216"/>
      <c r="P569" s="717"/>
      <c r="Q569" s="718"/>
      <c r="R569" s="719"/>
      <c r="S569" s="720"/>
      <c r="T569" s="721"/>
      <c r="U569" s="722"/>
      <c r="V569" s="723"/>
      <c r="W569" s="724"/>
      <c r="X569" s="725" t="s">
        <v>159</v>
      </c>
      <c r="Y569" s="725"/>
      <c r="Z569" s="725"/>
      <c r="AA569" s="725"/>
      <c r="AB569" s="726" t="s">
        <v>159</v>
      </c>
      <c r="AC569" s="726"/>
      <c r="AD569" s="726"/>
      <c r="AE569" s="726"/>
      <c r="AF569" s="727"/>
      <c r="AG569" s="728"/>
      <c r="AH569" s="727"/>
      <c r="AI569" s="728"/>
      <c r="AJ569" s="686"/>
      <c r="AK569" s="687"/>
      <c r="AL569" s="664" t="s">
        <v>162</v>
      </c>
      <c r="AM569" s="665"/>
      <c r="AN569" s="713" t="s">
        <v>162</v>
      </c>
      <c r="AO569" s="714"/>
      <c r="AP569" s="686"/>
      <c r="AQ569" s="687"/>
      <c r="AR569" s="688"/>
      <c r="AS569" s="689"/>
      <c r="AT569" s="690"/>
      <c r="AU569" s="691"/>
      <c r="AV569" s="713" t="s">
        <v>162</v>
      </c>
      <c r="AW569" s="714"/>
      <c r="AX569" s="692"/>
      <c r="AY569" s="693"/>
      <c r="AZ569" s="694"/>
      <c r="BA569" s="682"/>
      <c r="BB569" s="683"/>
      <c r="BC569" s="219"/>
      <c r="BD569" s="737" t="s">
        <v>162</v>
      </c>
      <c r="BE569" s="738"/>
      <c r="BF569" s="708"/>
      <c r="BG569" s="709"/>
      <c r="BH569" s="709"/>
      <c r="BI569" s="710"/>
      <c r="BJ569" s="742" t="s">
        <v>159</v>
      </c>
      <c r="BK569" s="743"/>
      <c r="BL569" s="743"/>
      <c r="BM569" s="744"/>
      <c r="BN569" s="703" t="s">
        <v>159</v>
      </c>
      <c r="BO569" s="704"/>
      <c r="BP569" s="704"/>
      <c r="BQ569" s="704"/>
      <c r="BR569" s="704"/>
      <c r="BS569" s="704"/>
      <c r="BT569" s="704"/>
      <c r="BU569" s="704"/>
      <c r="BV569" s="705"/>
    </row>
    <row r="570" spans="1:74" ht="45" customHeight="1" x14ac:dyDescent="0.25">
      <c r="A570" s="10">
        <f t="shared" si="8"/>
        <v>556</v>
      </c>
      <c r="B570" s="662" t="s">
        <v>159</v>
      </c>
      <c r="C570" s="662"/>
      <c r="D570" s="663" t="s">
        <v>212</v>
      </c>
      <c r="E570" s="663"/>
      <c r="F570" s="664" t="s">
        <v>162</v>
      </c>
      <c r="G570" s="665"/>
      <c r="H570" s="754" t="s">
        <v>162</v>
      </c>
      <c r="I570" s="714"/>
      <c r="J570" s="340"/>
      <c r="K570" s="341"/>
      <c r="L570" s="340"/>
      <c r="M570" s="341"/>
      <c r="N570" s="215"/>
      <c r="O570" s="196"/>
      <c r="P570" s="670"/>
      <c r="Q570" s="671"/>
      <c r="R570" s="672"/>
      <c r="S570" s="673"/>
      <c r="T570" s="674"/>
      <c r="U570" s="675"/>
      <c r="V570" s="676"/>
      <c r="W570" s="677"/>
      <c r="X570" s="678" t="s">
        <v>159</v>
      </c>
      <c r="Y570" s="678"/>
      <c r="Z570" s="678"/>
      <c r="AA570" s="678"/>
      <c r="AB570" s="679" t="s">
        <v>159</v>
      </c>
      <c r="AC570" s="679"/>
      <c r="AD570" s="679"/>
      <c r="AE570" s="679"/>
      <c r="AF570" s="680"/>
      <c r="AG570" s="681"/>
      <c r="AH570" s="680"/>
      <c r="AI570" s="681"/>
      <c r="AJ570" s="682"/>
      <c r="AK570" s="683"/>
      <c r="AL570" s="684" t="s">
        <v>162</v>
      </c>
      <c r="AM570" s="685"/>
      <c r="AN570" s="666" t="s">
        <v>162</v>
      </c>
      <c r="AO570" s="667"/>
      <c r="AP570" s="729"/>
      <c r="AQ570" s="730"/>
      <c r="AR570" s="731"/>
      <c r="AS570" s="732"/>
      <c r="AT570" s="690"/>
      <c r="AU570" s="691"/>
      <c r="AV570" s="666" t="s">
        <v>162</v>
      </c>
      <c r="AW570" s="667"/>
      <c r="AX570" s="692"/>
      <c r="AY570" s="693"/>
      <c r="AZ570" s="694"/>
      <c r="BA570" s="735"/>
      <c r="BB570" s="736"/>
      <c r="BC570" s="14"/>
      <c r="BD570" s="695" t="s">
        <v>162</v>
      </c>
      <c r="BE570" s="696"/>
      <c r="BF570" s="739"/>
      <c r="BG570" s="740"/>
      <c r="BH570" s="740"/>
      <c r="BI570" s="741"/>
      <c r="BJ570" s="700" t="s">
        <v>159</v>
      </c>
      <c r="BK570" s="701"/>
      <c r="BL570" s="701"/>
      <c r="BM570" s="702"/>
      <c r="BN570" s="703" t="s">
        <v>159</v>
      </c>
      <c r="BO570" s="704"/>
      <c r="BP570" s="704"/>
      <c r="BQ570" s="704"/>
      <c r="BR570" s="704"/>
      <c r="BS570" s="704"/>
      <c r="BT570" s="704"/>
      <c r="BU570" s="704"/>
      <c r="BV570" s="705"/>
    </row>
    <row r="571" spans="1:74" ht="45" customHeight="1" x14ac:dyDescent="0.25">
      <c r="A571" s="10">
        <f t="shared" si="8"/>
        <v>557</v>
      </c>
      <c r="B571" s="711" t="s">
        <v>159</v>
      </c>
      <c r="C571" s="711"/>
      <c r="D571" s="712" t="s">
        <v>212</v>
      </c>
      <c r="E571" s="712"/>
      <c r="F571" s="664" t="s">
        <v>162</v>
      </c>
      <c r="G571" s="665"/>
      <c r="H571" s="755" t="s">
        <v>162</v>
      </c>
      <c r="I571" s="667"/>
      <c r="J571" s="706"/>
      <c r="K571" s="707"/>
      <c r="L571" s="706"/>
      <c r="M571" s="707"/>
      <c r="N571" s="194"/>
      <c r="O571" s="216"/>
      <c r="P571" s="717"/>
      <c r="Q571" s="718"/>
      <c r="R571" s="719"/>
      <c r="S571" s="720"/>
      <c r="T571" s="721"/>
      <c r="U571" s="722"/>
      <c r="V571" s="723"/>
      <c r="W571" s="724"/>
      <c r="X571" s="725" t="s">
        <v>159</v>
      </c>
      <c r="Y571" s="725"/>
      <c r="Z571" s="725"/>
      <c r="AA571" s="725"/>
      <c r="AB571" s="726" t="s">
        <v>159</v>
      </c>
      <c r="AC571" s="726"/>
      <c r="AD571" s="726"/>
      <c r="AE571" s="726"/>
      <c r="AF571" s="727"/>
      <c r="AG571" s="728"/>
      <c r="AH571" s="727"/>
      <c r="AI571" s="728"/>
      <c r="AJ571" s="686"/>
      <c r="AK571" s="687"/>
      <c r="AL571" s="664" t="s">
        <v>162</v>
      </c>
      <c r="AM571" s="665"/>
      <c r="AN571" s="713" t="s">
        <v>162</v>
      </c>
      <c r="AO571" s="714"/>
      <c r="AP571" s="686"/>
      <c r="AQ571" s="687"/>
      <c r="AR571" s="688"/>
      <c r="AS571" s="689"/>
      <c r="AT571" s="690"/>
      <c r="AU571" s="691"/>
      <c r="AV571" s="713" t="s">
        <v>162</v>
      </c>
      <c r="AW571" s="714"/>
      <c r="AX571" s="692"/>
      <c r="AY571" s="693"/>
      <c r="AZ571" s="694"/>
      <c r="BA571" s="682"/>
      <c r="BB571" s="683"/>
      <c r="BC571" s="219"/>
      <c r="BD571" s="737" t="s">
        <v>162</v>
      </c>
      <c r="BE571" s="738"/>
      <c r="BF571" s="697"/>
      <c r="BG571" s="698"/>
      <c r="BH571" s="698"/>
      <c r="BI571" s="699"/>
      <c r="BJ571" s="742" t="s">
        <v>159</v>
      </c>
      <c r="BK571" s="743"/>
      <c r="BL571" s="743"/>
      <c r="BM571" s="744"/>
      <c r="BN571" s="703" t="s">
        <v>159</v>
      </c>
      <c r="BO571" s="704"/>
      <c r="BP571" s="704"/>
      <c r="BQ571" s="704"/>
      <c r="BR571" s="704"/>
      <c r="BS571" s="704"/>
      <c r="BT571" s="704"/>
      <c r="BU571" s="704"/>
      <c r="BV571" s="705"/>
    </row>
    <row r="572" spans="1:74" ht="45" customHeight="1" x14ac:dyDescent="0.25">
      <c r="A572" s="10">
        <f t="shared" si="8"/>
        <v>558</v>
      </c>
      <c r="B572" s="662" t="s">
        <v>159</v>
      </c>
      <c r="C572" s="662"/>
      <c r="D572" s="663" t="s">
        <v>212</v>
      </c>
      <c r="E572" s="663"/>
      <c r="F572" s="664" t="s">
        <v>162</v>
      </c>
      <c r="G572" s="665"/>
      <c r="H572" s="754" t="s">
        <v>162</v>
      </c>
      <c r="I572" s="714"/>
      <c r="J572" s="340"/>
      <c r="K572" s="341"/>
      <c r="L572" s="340"/>
      <c r="M572" s="341"/>
      <c r="N572" s="215"/>
      <c r="O572" s="196"/>
      <c r="P572" s="670"/>
      <c r="Q572" s="671"/>
      <c r="R572" s="672"/>
      <c r="S572" s="673"/>
      <c r="T572" s="674"/>
      <c r="U572" s="675"/>
      <c r="V572" s="676"/>
      <c r="W572" s="677"/>
      <c r="X572" s="678" t="s">
        <v>159</v>
      </c>
      <c r="Y572" s="678"/>
      <c r="Z572" s="678"/>
      <c r="AA572" s="678"/>
      <c r="AB572" s="679" t="s">
        <v>159</v>
      </c>
      <c r="AC572" s="679"/>
      <c r="AD572" s="679"/>
      <c r="AE572" s="679"/>
      <c r="AF572" s="680"/>
      <c r="AG572" s="681"/>
      <c r="AH572" s="680"/>
      <c r="AI572" s="681"/>
      <c r="AJ572" s="682"/>
      <c r="AK572" s="683"/>
      <c r="AL572" s="684" t="s">
        <v>162</v>
      </c>
      <c r="AM572" s="685"/>
      <c r="AN572" s="666" t="s">
        <v>162</v>
      </c>
      <c r="AO572" s="667"/>
      <c r="AP572" s="729"/>
      <c r="AQ572" s="730"/>
      <c r="AR572" s="731"/>
      <c r="AS572" s="732"/>
      <c r="AT572" s="690"/>
      <c r="AU572" s="691"/>
      <c r="AV572" s="666" t="s">
        <v>162</v>
      </c>
      <c r="AW572" s="667"/>
      <c r="AX572" s="692"/>
      <c r="AY572" s="693"/>
      <c r="AZ572" s="694"/>
      <c r="BA572" s="735"/>
      <c r="BB572" s="736"/>
      <c r="BC572" s="14"/>
      <c r="BD572" s="695" t="s">
        <v>162</v>
      </c>
      <c r="BE572" s="696"/>
      <c r="BF572" s="739"/>
      <c r="BG572" s="740"/>
      <c r="BH572" s="740"/>
      <c r="BI572" s="741"/>
      <c r="BJ572" s="700" t="s">
        <v>159</v>
      </c>
      <c r="BK572" s="701"/>
      <c r="BL572" s="701"/>
      <c r="BM572" s="702"/>
      <c r="BN572" s="703" t="s">
        <v>159</v>
      </c>
      <c r="BO572" s="704"/>
      <c r="BP572" s="704"/>
      <c r="BQ572" s="704"/>
      <c r="BR572" s="704"/>
      <c r="BS572" s="704"/>
      <c r="BT572" s="704"/>
      <c r="BU572" s="704"/>
      <c r="BV572" s="705"/>
    </row>
    <row r="573" spans="1:74" ht="45" customHeight="1" x14ac:dyDescent="0.25">
      <c r="A573" s="10">
        <f t="shared" si="8"/>
        <v>559</v>
      </c>
      <c r="B573" s="711" t="s">
        <v>159</v>
      </c>
      <c r="C573" s="711"/>
      <c r="D573" s="712" t="s">
        <v>212</v>
      </c>
      <c r="E573" s="712"/>
      <c r="F573" s="664" t="s">
        <v>162</v>
      </c>
      <c r="G573" s="665"/>
      <c r="H573" s="755" t="s">
        <v>162</v>
      </c>
      <c r="I573" s="667"/>
      <c r="J573" s="706"/>
      <c r="K573" s="707"/>
      <c r="L573" s="706"/>
      <c r="M573" s="707"/>
      <c r="N573" s="194"/>
      <c r="O573" s="216"/>
      <c r="P573" s="717"/>
      <c r="Q573" s="718"/>
      <c r="R573" s="719"/>
      <c r="S573" s="720"/>
      <c r="T573" s="721"/>
      <c r="U573" s="722"/>
      <c r="V573" s="723"/>
      <c r="W573" s="724"/>
      <c r="X573" s="725" t="s">
        <v>159</v>
      </c>
      <c r="Y573" s="725"/>
      <c r="Z573" s="725"/>
      <c r="AA573" s="725"/>
      <c r="AB573" s="726" t="s">
        <v>159</v>
      </c>
      <c r="AC573" s="726"/>
      <c r="AD573" s="726"/>
      <c r="AE573" s="726"/>
      <c r="AF573" s="727"/>
      <c r="AG573" s="728"/>
      <c r="AH573" s="727"/>
      <c r="AI573" s="728"/>
      <c r="AJ573" s="686"/>
      <c r="AK573" s="687"/>
      <c r="AL573" s="664" t="s">
        <v>162</v>
      </c>
      <c r="AM573" s="665"/>
      <c r="AN573" s="713" t="s">
        <v>162</v>
      </c>
      <c r="AO573" s="714"/>
      <c r="AP573" s="686"/>
      <c r="AQ573" s="687"/>
      <c r="AR573" s="688"/>
      <c r="AS573" s="689"/>
      <c r="AT573" s="690"/>
      <c r="AU573" s="691"/>
      <c r="AV573" s="713" t="s">
        <v>162</v>
      </c>
      <c r="AW573" s="714"/>
      <c r="AX573" s="692"/>
      <c r="AY573" s="693"/>
      <c r="AZ573" s="694"/>
      <c r="BA573" s="682"/>
      <c r="BB573" s="683"/>
      <c r="BC573" s="219"/>
      <c r="BD573" s="737" t="s">
        <v>162</v>
      </c>
      <c r="BE573" s="738"/>
      <c r="BF573" s="708"/>
      <c r="BG573" s="709"/>
      <c r="BH573" s="709"/>
      <c r="BI573" s="710"/>
      <c r="BJ573" s="742" t="s">
        <v>159</v>
      </c>
      <c r="BK573" s="743"/>
      <c r="BL573" s="743"/>
      <c r="BM573" s="744"/>
      <c r="BN573" s="703" t="s">
        <v>159</v>
      </c>
      <c r="BO573" s="704"/>
      <c r="BP573" s="704"/>
      <c r="BQ573" s="704"/>
      <c r="BR573" s="704"/>
      <c r="BS573" s="704"/>
      <c r="BT573" s="704"/>
      <c r="BU573" s="704"/>
      <c r="BV573" s="705"/>
    </row>
    <row r="574" spans="1:74" ht="45" customHeight="1" x14ac:dyDescent="0.25">
      <c r="A574" s="10">
        <f t="shared" si="8"/>
        <v>560</v>
      </c>
      <c r="B574" s="662" t="s">
        <v>159</v>
      </c>
      <c r="C574" s="662"/>
      <c r="D574" s="663" t="s">
        <v>212</v>
      </c>
      <c r="E574" s="663"/>
      <c r="F574" s="664" t="s">
        <v>162</v>
      </c>
      <c r="G574" s="665"/>
      <c r="H574" s="754" t="s">
        <v>162</v>
      </c>
      <c r="I574" s="714"/>
      <c r="J574" s="340"/>
      <c r="K574" s="341"/>
      <c r="L574" s="340"/>
      <c r="M574" s="341"/>
      <c r="N574" s="215"/>
      <c r="O574" s="196"/>
      <c r="P574" s="670"/>
      <c r="Q574" s="671"/>
      <c r="R574" s="672"/>
      <c r="S574" s="673"/>
      <c r="T574" s="674"/>
      <c r="U574" s="675"/>
      <c r="V574" s="676"/>
      <c r="W574" s="677"/>
      <c r="X574" s="678" t="s">
        <v>159</v>
      </c>
      <c r="Y574" s="678"/>
      <c r="Z574" s="678"/>
      <c r="AA574" s="678"/>
      <c r="AB574" s="679" t="s">
        <v>159</v>
      </c>
      <c r="AC574" s="679"/>
      <c r="AD574" s="679"/>
      <c r="AE574" s="679"/>
      <c r="AF574" s="680"/>
      <c r="AG574" s="681"/>
      <c r="AH574" s="680"/>
      <c r="AI574" s="681"/>
      <c r="AJ574" s="682"/>
      <c r="AK574" s="683"/>
      <c r="AL574" s="684" t="s">
        <v>162</v>
      </c>
      <c r="AM574" s="685"/>
      <c r="AN574" s="666" t="s">
        <v>162</v>
      </c>
      <c r="AO574" s="667"/>
      <c r="AP574" s="729"/>
      <c r="AQ574" s="730"/>
      <c r="AR574" s="731"/>
      <c r="AS574" s="732"/>
      <c r="AT574" s="690"/>
      <c r="AU574" s="691"/>
      <c r="AV574" s="666" t="s">
        <v>162</v>
      </c>
      <c r="AW574" s="667"/>
      <c r="AX574" s="692"/>
      <c r="AY574" s="693"/>
      <c r="AZ574" s="694"/>
      <c r="BA574" s="735"/>
      <c r="BB574" s="736"/>
      <c r="BC574" s="14"/>
      <c r="BD574" s="695" t="s">
        <v>162</v>
      </c>
      <c r="BE574" s="696"/>
      <c r="BF574" s="739"/>
      <c r="BG574" s="740"/>
      <c r="BH574" s="740"/>
      <c r="BI574" s="741"/>
      <c r="BJ574" s="700" t="s">
        <v>159</v>
      </c>
      <c r="BK574" s="701"/>
      <c r="BL574" s="701"/>
      <c r="BM574" s="702"/>
      <c r="BN574" s="703" t="s">
        <v>159</v>
      </c>
      <c r="BO574" s="704"/>
      <c r="BP574" s="704"/>
      <c r="BQ574" s="704"/>
      <c r="BR574" s="704"/>
      <c r="BS574" s="704"/>
      <c r="BT574" s="704"/>
      <c r="BU574" s="704"/>
      <c r="BV574" s="705"/>
    </row>
    <row r="575" spans="1:74" ht="45" customHeight="1" x14ac:dyDescent="0.25">
      <c r="A575" s="10">
        <f t="shared" si="8"/>
        <v>561</v>
      </c>
      <c r="B575" s="711" t="s">
        <v>159</v>
      </c>
      <c r="C575" s="711"/>
      <c r="D575" s="712" t="s">
        <v>212</v>
      </c>
      <c r="E575" s="712"/>
      <c r="F575" s="664" t="s">
        <v>162</v>
      </c>
      <c r="G575" s="665"/>
      <c r="H575" s="755" t="s">
        <v>162</v>
      </c>
      <c r="I575" s="667"/>
      <c r="J575" s="706"/>
      <c r="K575" s="707"/>
      <c r="L575" s="706"/>
      <c r="M575" s="707"/>
      <c r="N575" s="194"/>
      <c r="O575" s="216"/>
      <c r="P575" s="717"/>
      <c r="Q575" s="718"/>
      <c r="R575" s="719"/>
      <c r="S575" s="720"/>
      <c r="T575" s="721"/>
      <c r="U575" s="722"/>
      <c r="V575" s="723"/>
      <c r="W575" s="724"/>
      <c r="X575" s="725" t="s">
        <v>159</v>
      </c>
      <c r="Y575" s="725"/>
      <c r="Z575" s="725"/>
      <c r="AA575" s="725"/>
      <c r="AB575" s="726" t="s">
        <v>159</v>
      </c>
      <c r="AC575" s="726"/>
      <c r="AD575" s="726"/>
      <c r="AE575" s="726"/>
      <c r="AF575" s="727"/>
      <c r="AG575" s="728"/>
      <c r="AH575" s="727"/>
      <c r="AI575" s="728"/>
      <c r="AJ575" s="686"/>
      <c r="AK575" s="687"/>
      <c r="AL575" s="664" t="s">
        <v>162</v>
      </c>
      <c r="AM575" s="665"/>
      <c r="AN575" s="713" t="s">
        <v>162</v>
      </c>
      <c r="AO575" s="714"/>
      <c r="AP575" s="686"/>
      <c r="AQ575" s="687"/>
      <c r="AR575" s="688"/>
      <c r="AS575" s="689"/>
      <c r="AT575" s="690"/>
      <c r="AU575" s="691"/>
      <c r="AV575" s="713" t="s">
        <v>162</v>
      </c>
      <c r="AW575" s="714"/>
      <c r="AX575" s="692"/>
      <c r="AY575" s="693"/>
      <c r="AZ575" s="694"/>
      <c r="BA575" s="682"/>
      <c r="BB575" s="683"/>
      <c r="BC575" s="219"/>
      <c r="BD575" s="737" t="s">
        <v>162</v>
      </c>
      <c r="BE575" s="738"/>
      <c r="BF575" s="708"/>
      <c r="BG575" s="709"/>
      <c r="BH575" s="709"/>
      <c r="BI575" s="710"/>
      <c r="BJ575" s="742" t="s">
        <v>159</v>
      </c>
      <c r="BK575" s="743"/>
      <c r="BL575" s="743"/>
      <c r="BM575" s="744"/>
      <c r="BN575" s="703" t="s">
        <v>159</v>
      </c>
      <c r="BO575" s="704"/>
      <c r="BP575" s="704"/>
      <c r="BQ575" s="704"/>
      <c r="BR575" s="704"/>
      <c r="BS575" s="704"/>
      <c r="BT575" s="704"/>
      <c r="BU575" s="704"/>
      <c r="BV575" s="705"/>
    </row>
    <row r="576" spans="1:74" ht="45" customHeight="1" x14ac:dyDescent="0.25">
      <c r="A576" s="10">
        <f t="shared" si="8"/>
        <v>562</v>
      </c>
      <c r="B576" s="662" t="s">
        <v>159</v>
      </c>
      <c r="C576" s="662"/>
      <c r="D576" s="663" t="s">
        <v>212</v>
      </c>
      <c r="E576" s="663"/>
      <c r="F576" s="664" t="s">
        <v>162</v>
      </c>
      <c r="G576" s="665"/>
      <c r="H576" s="754" t="s">
        <v>162</v>
      </c>
      <c r="I576" s="714"/>
      <c r="J576" s="340"/>
      <c r="K576" s="341"/>
      <c r="L576" s="340"/>
      <c r="M576" s="341"/>
      <c r="N576" s="215"/>
      <c r="O576" s="196"/>
      <c r="P576" s="670"/>
      <c r="Q576" s="671"/>
      <c r="R576" s="672"/>
      <c r="S576" s="673"/>
      <c r="T576" s="674"/>
      <c r="U576" s="675"/>
      <c r="V576" s="676"/>
      <c r="W576" s="677"/>
      <c r="X576" s="678" t="s">
        <v>159</v>
      </c>
      <c r="Y576" s="678"/>
      <c r="Z576" s="678"/>
      <c r="AA576" s="678"/>
      <c r="AB576" s="679" t="s">
        <v>159</v>
      </c>
      <c r="AC576" s="679"/>
      <c r="AD576" s="679"/>
      <c r="AE576" s="679"/>
      <c r="AF576" s="680"/>
      <c r="AG576" s="681"/>
      <c r="AH576" s="680"/>
      <c r="AI576" s="681"/>
      <c r="AJ576" s="682"/>
      <c r="AK576" s="683"/>
      <c r="AL576" s="684" t="s">
        <v>162</v>
      </c>
      <c r="AM576" s="685"/>
      <c r="AN576" s="666" t="s">
        <v>162</v>
      </c>
      <c r="AO576" s="667"/>
      <c r="AP576" s="729"/>
      <c r="AQ576" s="730"/>
      <c r="AR576" s="731"/>
      <c r="AS576" s="732"/>
      <c r="AT576" s="690"/>
      <c r="AU576" s="691"/>
      <c r="AV576" s="666" t="s">
        <v>162</v>
      </c>
      <c r="AW576" s="667"/>
      <c r="AX576" s="692"/>
      <c r="AY576" s="693"/>
      <c r="AZ576" s="694"/>
      <c r="BA576" s="735"/>
      <c r="BB576" s="736"/>
      <c r="BC576" s="14"/>
      <c r="BD576" s="695" t="s">
        <v>162</v>
      </c>
      <c r="BE576" s="696"/>
      <c r="BF576" s="739"/>
      <c r="BG576" s="740"/>
      <c r="BH576" s="740"/>
      <c r="BI576" s="741"/>
      <c r="BJ576" s="700" t="s">
        <v>159</v>
      </c>
      <c r="BK576" s="701"/>
      <c r="BL576" s="701"/>
      <c r="BM576" s="702"/>
      <c r="BN576" s="703" t="s">
        <v>159</v>
      </c>
      <c r="BO576" s="704"/>
      <c r="BP576" s="704"/>
      <c r="BQ576" s="704"/>
      <c r="BR576" s="704"/>
      <c r="BS576" s="704"/>
      <c r="BT576" s="704"/>
      <c r="BU576" s="704"/>
      <c r="BV576" s="705"/>
    </row>
    <row r="577" spans="1:74" ht="45" customHeight="1" x14ac:dyDescent="0.25">
      <c r="A577" s="10">
        <f t="shared" si="8"/>
        <v>563</v>
      </c>
      <c r="B577" s="711" t="s">
        <v>159</v>
      </c>
      <c r="C577" s="711"/>
      <c r="D577" s="712" t="s">
        <v>212</v>
      </c>
      <c r="E577" s="712"/>
      <c r="F577" s="664" t="s">
        <v>162</v>
      </c>
      <c r="G577" s="665"/>
      <c r="H577" s="755" t="s">
        <v>162</v>
      </c>
      <c r="I577" s="667"/>
      <c r="J577" s="706"/>
      <c r="K577" s="707"/>
      <c r="L577" s="706"/>
      <c r="M577" s="707"/>
      <c r="N577" s="194"/>
      <c r="O577" s="216"/>
      <c r="P577" s="717"/>
      <c r="Q577" s="718"/>
      <c r="R577" s="719"/>
      <c r="S577" s="720"/>
      <c r="T577" s="721"/>
      <c r="U577" s="722"/>
      <c r="V577" s="723"/>
      <c r="W577" s="724"/>
      <c r="X577" s="725" t="s">
        <v>159</v>
      </c>
      <c r="Y577" s="725"/>
      <c r="Z577" s="725"/>
      <c r="AA577" s="725"/>
      <c r="AB577" s="726" t="s">
        <v>159</v>
      </c>
      <c r="AC577" s="726"/>
      <c r="AD577" s="726"/>
      <c r="AE577" s="726"/>
      <c r="AF577" s="727"/>
      <c r="AG577" s="728"/>
      <c r="AH577" s="727"/>
      <c r="AI577" s="728"/>
      <c r="AJ577" s="686"/>
      <c r="AK577" s="687"/>
      <c r="AL577" s="664" t="s">
        <v>162</v>
      </c>
      <c r="AM577" s="665"/>
      <c r="AN577" s="713" t="s">
        <v>162</v>
      </c>
      <c r="AO577" s="714"/>
      <c r="AP577" s="686"/>
      <c r="AQ577" s="687"/>
      <c r="AR577" s="688"/>
      <c r="AS577" s="689"/>
      <c r="AT577" s="690"/>
      <c r="AU577" s="691"/>
      <c r="AV577" s="713" t="s">
        <v>162</v>
      </c>
      <c r="AW577" s="714"/>
      <c r="AX577" s="692"/>
      <c r="AY577" s="693"/>
      <c r="AZ577" s="694"/>
      <c r="BA577" s="682"/>
      <c r="BB577" s="683"/>
      <c r="BC577" s="219"/>
      <c r="BD577" s="737" t="s">
        <v>162</v>
      </c>
      <c r="BE577" s="738"/>
      <c r="BF577" s="697"/>
      <c r="BG577" s="698"/>
      <c r="BH577" s="698"/>
      <c r="BI577" s="699"/>
      <c r="BJ577" s="742" t="s">
        <v>159</v>
      </c>
      <c r="BK577" s="743"/>
      <c r="BL577" s="743"/>
      <c r="BM577" s="744"/>
      <c r="BN577" s="703" t="s">
        <v>159</v>
      </c>
      <c r="BO577" s="704"/>
      <c r="BP577" s="704"/>
      <c r="BQ577" s="704"/>
      <c r="BR577" s="704"/>
      <c r="BS577" s="704"/>
      <c r="BT577" s="704"/>
      <c r="BU577" s="704"/>
      <c r="BV577" s="705"/>
    </row>
    <row r="578" spans="1:74" ht="45" customHeight="1" x14ac:dyDescent="0.25">
      <c r="A578" s="10">
        <f t="shared" si="8"/>
        <v>564</v>
      </c>
      <c r="B578" s="662" t="s">
        <v>159</v>
      </c>
      <c r="C578" s="662"/>
      <c r="D578" s="663" t="s">
        <v>212</v>
      </c>
      <c r="E578" s="663"/>
      <c r="F578" s="664" t="s">
        <v>162</v>
      </c>
      <c r="G578" s="665"/>
      <c r="H578" s="754" t="s">
        <v>162</v>
      </c>
      <c r="I578" s="714"/>
      <c r="J578" s="340"/>
      <c r="K578" s="341"/>
      <c r="L578" s="340"/>
      <c r="M578" s="341"/>
      <c r="N578" s="215"/>
      <c r="O578" s="196"/>
      <c r="P578" s="670"/>
      <c r="Q578" s="671"/>
      <c r="R578" s="672"/>
      <c r="S578" s="673"/>
      <c r="T578" s="674"/>
      <c r="U578" s="675"/>
      <c r="V578" s="676"/>
      <c r="W578" s="677"/>
      <c r="X578" s="678" t="s">
        <v>159</v>
      </c>
      <c r="Y578" s="678"/>
      <c r="Z578" s="678"/>
      <c r="AA578" s="678"/>
      <c r="AB578" s="679" t="s">
        <v>159</v>
      </c>
      <c r="AC578" s="679"/>
      <c r="AD578" s="679"/>
      <c r="AE578" s="679"/>
      <c r="AF578" s="680"/>
      <c r="AG578" s="681"/>
      <c r="AH578" s="680"/>
      <c r="AI578" s="681"/>
      <c r="AJ578" s="682"/>
      <c r="AK578" s="683"/>
      <c r="AL578" s="684" t="s">
        <v>162</v>
      </c>
      <c r="AM578" s="685"/>
      <c r="AN578" s="666" t="s">
        <v>162</v>
      </c>
      <c r="AO578" s="667"/>
      <c r="AP578" s="729"/>
      <c r="AQ578" s="730"/>
      <c r="AR578" s="731"/>
      <c r="AS578" s="732"/>
      <c r="AT578" s="690"/>
      <c r="AU578" s="691"/>
      <c r="AV578" s="666" t="s">
        <v>162</v>
      </c>
      <c r="AW578" s="667"/>
      <c r="AX578" s="692"/>
      <c r="AY578" s="693"/>
      <c r="AZ578" s="694"/>
      <c r="BA578" s="735"/>
      <c r="BB578" s="736"/>
      <c r="BC578" s="14"/>
      <c r="BD578" s="695" t="s">
        <v>162</v>
      </c>
      <c r="BE578" s="696"/>
      <c r="BF578" s="739"/>
      <c r="BG578" s="740"/>
      <c r="BH578" s="740"/>
      <c r="BI578" s="741"/>
      <c r="BJ578" s="700" t="s">
        <v>159</v>
      </c>
      <c r="BK578" s="701"/>
      <c r="BL578" s="701"/>
      <c r="BM578" s="702"/>
      <c r="BN578" s="703" t="s">
        <v>159</v>
      </c>
      <c r="BO578" s="704"/>
      <c r="BP578" s="704"/>
      <c r="BQ578" s="704"/>
      <c r="BR578" s="704"/>
      <c r="BS578" s="704"/>
      <c r="BT578" s="704"/>
      <c r="BU578" s="704"/>
      <c r="BV578" s="705"/>
    </row>
    <row r="579" spans="1:74" ht="45" customHeight="1" x14ac:dyDescent="0.25">
      <c r="A579" s="10">
        <f t="shared" si="8"/>
        <v>565</v>
      </c>
      <c r="B579" s="711" t="s">
        <v>159</v>
      </c>
      <c r="C579" s="711"/>
      <c r="D579" s="712" t="s">
        <v>212</v>
      </c>
      <c r="E579" s="712"/>
      <c r="F579" s="664" t="s">
        <v>162</v>
      </c>
      <c r="G579" s="665"/>
      <c r="H579" s="755" t="s">
        <v>162</v>
      </c>
      <c r="I579" s="667"/>
      <c r="J579" s="706"/>
      <c r="K579" s="707"/>
      <c r="L579" s="706"/>
      <c r="M579" s="707"/>
      <c r="N579" s="194"/>
      <c r="O579" s="216"/>
      <c r="P579" s="670"/>
      <c r="Q579" s="671"/>
      <c r="R579" s="719"/>
      <c r="S579" s="720"/>
      <c r="T579" s="721"/>
      <c r="U579" s="722"/>
      <c r="V579" s="723"/>
      <c r="W579" s="724"/>
      <c r="X579" s="725" t="s">
        <v>159</v>
      </c>
      <c r="Y579" s="725"/>
      <c r="Z579" s="725"/>
      <c r="AA579" s="725"/>
      <c r="AB579" s="726" t="s">
        <v>159</v>
      </c>
      <c r="AC579" s="726"/>
      <c r="AD579" s="726"/>
      <c r="AE579" s="726"/>
      <c r="AF579" s="727"/>
      <c r="AG579" s="728"/>
      <c r="AH579" s="727"/>
      <c r="AI579" s="728"/>
      <c r="AJ579" s="686"/>
      <c r="AK579" s="687"/>
      <c r="AL579" s="664" t="s">
        <v>162</v>
      </c>
      <c r="AM579" s="665"/>
      <c r="AN579" s="713" t="s">
        <v>162</v>
      </c>
      <c r="AO579" s="714"/>
      <c r="AP579" s="686"/>
      <c r="AQ579" s="687"/>
      <c r="AR579" s="688"/>
      <c r="AS579" s="689"/>
      <c r="AT579" s="690"/>
      <c r="AU579" s="691"/>
      <c r="AV579" s="713" t="s">
        <v>162</v>
      </c>
      <c r="AW579" s="714"/>
      <c r="AX579" s="692"/>
      <c r="AY579" s="693"/>
      <c r="AZ579" s="694"/>
      <c r="BA579" s="682"/>
      <c r="BB579" s="683"/>
      <c r="BC579" s="219"/>
      <c r="BD579" s="737" t="s">
        <v>162</v>
      </c>
      <c r="BE579" s="738"/>
      <c r="BF579" s="708"/>
      <c r="BG579" s="709"/>
      <c r="BH579" s="709"/>
      <c r="BI579" s="710"/>
      <c r="BJ579" s="742" t="s">
        <v>159</v>
      </c>
      <c r="BK579" s="743"/>
      <c r="BL579" s="743"/>
      <c r="BM579" s="744"/>
      <c r="BN579" s="703" t="s">
        <v>159</v>
      </c>
      <c r="BO579" s="704"/>
      <c r="BP579" s="704"/>
      <c r="BQ579" s="704"/>
      <c r="BR579" s="704"/>
      <c r="BS579" s="704"/>
      <c r="BT579" s="704"/>
      <c r="BU579" s="704"/>
      <c r="BV579" s="705"/>
    </row>
    <row r="580" spans="1:74" ht="45" customHeight="1" x14ac:dyDescent="0.25">
      <c r="A580" s="10">
        <f t="shared" si="8"/>
        <v>566</v>
      </c>
      <c r="B580" s="662" t="s">
        <v>159</v>
      </c>
      <c r="C580" s="662"/>
      <c r="D580" s="663" t="s">
        <v>212</v>
      </c>
      <c r="E580" s="663"/>
      <c r="F580" s="664" t="s">
        <v>162</v>
      </c>
      <c r="G580" s="665"/>
      <c r="H580" s="754" t="s">
        <v>162</v>
      </c>
      <c r="I580" s="714"/>
      <c r="J580" s="340"/>
      <c r="K580" s="341"/>
      <c r="L580" s="340"/>
      <c r="M580" s="341"/>
      <c r="N580" s="215"/>
      <c r="O580" s="196"/>
      <c r="P580" s="717"/>
      <c r="Q580" s="718"/>
      <c r="R580" s="672"/>
      <c r="S580" s="673"/>
      <c r="T580" s="674"/>
      <c r="U580" s="675"/>
      <c r="V580" s="676"/>
      <c r="W580" s="677"/>
      <c r="X580" s="678" t="s">
        <v>159</v>
      </c>
      <c r="Y580" s="678"/>
      <c r="Z580" s="678"/>
      <c r="AA580" s="678"/>
      <c r="AB580" s="679" t="s">
        <v>159</v>
      </c>
      <c r="AC580" s="679"/>
      <c r="AD580" s="679"/>
      <c r="AE580" s="679"/>
      <c r="AF580" s="680"/>
      <c r="AG580" s="681"/>
      <c r="AH580" s="680"/>
      <c r="AI580" s="681"/>
      <c r="AJ580" s="682"/>
      <c r="AK580" s="683"/>
      <c r="AL580" s="684" t="s">
        <v>162</v>
      </c>
      <c r="AM580" s="685"/>
      <c r="AN580" s="666" t="s">
        <v>162</v>
      </c>
      <c r="AO580" s="667"/>
      <c r="AP580" s="729"/>
      <c r="AQ580" s="730"/>
      <c r="AR580" s="731"/>
      <c r="AS580" s="732"/>
      <c r="AT580" s="690"/>
      <c r="AU580" s="691"/>
      <c r="AV580" s="666" t="s">
        <v>162</v>
      </c>
      <c r="AW580" s="667"/>
      <c r="AX580" s="692"/>
      <c r="AY580" s="693"/>
      <c r="AZ580" s="694"/>
      <c r="BA580" s="735"/>
      <c r="BB580" s="736"/>
      <c r="BC580" s="14"/>
      <c r="BD580" s="695" t="s">
        <v>162</v>
      </c>
      <c r="BE580" s="696"/>
      <c r="BF580" s="739"/>
      <c r="BG580" s="740"/>
      <c r="BH580" s="740"/>
      <c r="BI580" s="741"/>
      <c r="BJ580" s="700" t="s">
        <v>159</v>
      </c>
      <c r="BK580" s="701"/>
      <c r="BL580" s="701"/>
      <c r="BM580" s="702"/>
      <c r="BN580" s="703" t="s">
        <v>159</v>
      </c>
      <c r="BO580" s="704"/>
      <c r="BP580" s="704"/>
      <c r="BQ580" s="704"/>
      <c r="BR580" s="704"/>
      <c r="BS580" s="704"/>
      <c r="BT580" s="704"/>
      <c r="BU580" s="704"/>
      <c r="BV580" s="705"/>
    </row>
    <row r="581" spans="1:74" ht="45" customHeight="1" x14ac:dyDescent="0.25">
      <c r="A581" s="10">
        <f t="shared" si="8"/>
        <v>567</v>
      </c>
      <c r="B581" s="711" t="s">
        <v>159</v>
      </c>
      <c r="C581" s="711"/>
      <c r="D581" s="712" t="s">
        <v>212</v>
      </c>
      <c r="E581" s="712"/>
      <c r="F581" s="664" t="s">
        <v>162</v>
      </c>
      <c r="G581" s="665"/>
      <c r="H581" s="755" t="s">
        <v>162</v>
      </c>
      <c r="I581" s="667"/>
      <c r="J581" s="706"/>
      <c r="K581" s="707"/>
      <c r="L581" s="706"/>
      <c r="M581" s="707"/>
      <c r="N581" s="194"/>
      <c r="O581" s="216"/>
      <c r="P581" s="670"/>
      <c r="Q581" s="671"/>
      <c r="R581" s="719"/>
      <c r="S581" s="720"/>
      <c r="T581" s="721"/>
      <c r="U581" s="722"/>
      <c r="V581" s="723"/>
      <c r="W581" s="724"/>
      <c r="X581" s="725" t="s">
        <v>159</v>
      </c>
      <c r="Y581" s="725"/>
      <c r="Z581" s="725"/>
      <c r="AA581" s="725"/>
      <c r="AB581" s="726" t="s">
        <v>159</v>
      </c>
      <c r="AC581" s="726"/>
      <c r="AD581" s="726"/>
      <c r="AE581" s="726"/>
      <c r="AF581" s="727"/>
      <c r="AG581" s="728"/>
      <c r="AH581" s="727"/>
      <c r="AI581" s="728"/>
      <c r="AJ581" s="686"/>
      <c r="AK581" s="687"/>
      <c r="AL581" s="664" t="s">
        <v>162</v>
      </c>
      <c r="AM581" s="665"/>
      <c r="AN581" s="713" t="s">
        <v>162</v>
      </c>
      <c r="AO581" s="714"/>
      <c r="AP581" s="686"/>
      <c r="AQ581" s="687"/>
      <c r="AR581" s="688"/>
      <c r="AS581" s="689"/>
      <c r="AT581" s="690"/>
      <c r="AU581" s="691"/>
      <c r="AV581" s="713" t="s">
        <v>162</v>
      </c>
      <c r="AW581" s="714"/>
      <c r="AX581" s="692"/>
      <c r="AY581" s="693"/>
      <c r="AZ581" s="694"/>
      <c r="BA581" s="682"/>
      <c r="BB581" s="683"/>
      <c r="BC581" s="219"/>
      <c r="BD581" s="737" t="s">
        <v>162</v>
      </c>
      <c r="BE581" s="738"/>
      <c r="BF581" s="697"/>
      <c r="BG581" s="698"/>
      <c r="BH581" s="698"/>
      <c r="BI581" s="699"/>
      <c r="BJ581" s="742" t="s">
        <v>159</v>
      </c>
      <c r="BK581" s="743"/>
      <c r="BL581" s="743"/>
      <c r="BM581" s="744"/>
      <c r="BN581" s="703" t="s">
        <v>159</v>
      </c>
      <c r="BO581" s="704"/>
      <c r="BP581" s="704"/>
      <c r="BQ581" s="704"/>
      <c r="BR581" s="704"/>
      <c r="BS581" s="704"/>
      <c r="BT581" s="704"/>
      <c r="BU581" s="704"/>
      <c r="BV581" s="705"/>
    </row>
    <row r="582" spans="1:74" ht="45" customHeight="1" x14ac:dyDescent="0.25">
      <c r="A582" s="10">
        <f t="shared" si="8"/>
        <v>568</v>
      </c>
      <c r="B582" s="662" t="s">
        <v>159</v>
      </c>
      <c r="C582" s="662"/>
      <c r="D582" s="663" t="s">
        <v>212</v>
      </c>
      <c r="E582" s="663"/>
      <c r="F582" s="664" t="s">
        <v>162</v>
      </c>
      <c r="G582" s="665"/>
      <c r="H582" s="754" t="s">
        <v>162</v>
      </c>
      <c r="I582" s="714"/>
      <c r="J582" s="340"/>
      <c r="K582" s="341"/>
      <c r="L582" s="340"/>
      <c r="M582" s="341"/>
      <c r="N582" s="215"/>
      <c r="O582" s="196"/>
      <c r="P582" s="717"/>
      <c r="Q582" s="718"/>
      <c r="R582" s="672"/>
      <c r="S582" s="673"/>
      <c r="T582" s="674"/>
      <c r="U582" s="675"/>
      <c r="V582" s="676"/>
      <c r="W582" s="677"/>
      <c r="X582" s="678" t="s">
        <v>159</v>
      </c>
      <c r="Y582" s="678"/>
      <c r="Z582" s="678"/>
      <c r="AA582" s="678"/>
      <c r="AB582" s="679" t="s">
        <v>159</v>
      </c>
      <c r="AC582" s="679"/>
      <c r="AD582" s="679"/>
      <c r="AE582" s="679"/>
      <c r="AF582" s="680"/>
      <c r="AG582" s="681"/>
      <c r="AH582" s="680"/>
      <c r="AI582" s="681"/>
      <c r="AJ582" s="682"/>
      <c r="AK582" s="683"/>
      <c r="AL582" s="684" t="s">
        <v>162</v>
      </c>
      <c r="AM582" s="685"/>
      <c r="AN582" s="666" t="s">
        <v>162</v>
      </c>
      <c r="AO582" s="667"/>
      <c r="AP582" s="729"/>
      <c r="AQ582" s="730"/>
      <c r="AR582" s="731"/>
      <c r="AS582" s="732"/>
      <c r="AT582" s="690"/>
      <c r="AU582" s="691"/>
      <c r="AV582" s="666" t="s">
        <v>162</v>
      </c>
      <c r="AW582" s="667"/>
      <c r="AX582" s="692"/>
      <c r="AY582" s="693"/>
      <c r="AZ582" s="694"/>
      <c r="BA582" s="735"/>
      <c r="BB582" s="736"/>
      <c r="BC582" s="14"/>
      <c r="BD582" s="695" t="s">
        <v>162</v>
      </c>
      <c r="BE582" s="696"/>
      <c r="BF582" s="739"/>
      <c r="BG582" s="740"/>
      <c r="BH582" s="740"/>
      <c r="BI582" s="741"/>
      <c r="BJ582" s="700" t="s">
        <v>159</v>
      </c>
      <c r="BK582" s="701"/>
      <c r="BL582" s="701"/>
      <c r="BM582" s="702"/>
      <c r="BN582" s="703" t="s">
        <v>159</v>
      </c>
      <c r="BO582" s="704"/>
      <c r="BP582" s="704"/>
      <c r="BQ582" s="704"/>
      <c r="BR582" s="704"/>
      <c r="BS582" s="704"/>
      <c r="BT582" s="704"/>
      <c r="BU582" s="704"/>
      <c r="BV582" s="705"/>
    </row>
    <row r="583" spans="1:74" ht="45" customHeight="1" x14ac:dyDescent="0.25">
      <c r="A583" s="10">
        <f t="shared" si="8"/>
        <v>569</v>
      </c>
      <c r="B583" s="711" t="s">
        <v>159</v>
      </c>
      <c r="C583" s="711"/>
      <c r="D583" s="712" t="s">
        <v>212</v>
      </c>
      <c r="E583" s="712"/>
      <c r="F583" s="664" t="s">
        <v>162</v>
      </c>
      <c r="G583" s="665"/>
      <c r="H583" s="755" t="s">
        <v>162</v>
      </c>
      <c r="I583" s="667"/>
      <c r="J583" s="706"/>
      <c r="K583" s="707"/>
      <c r="L583" s="706"/>
      <c r="M583" s="707"/>
      <c r="N583" s="194"/>
      <c r="O583" s="216"/>
      <c r="P583" s="670"/>
      <c r="Q583" s="671"/>
      <c r="R583" s="719"/>
      <c r="S583" s="720"/>
      <c r="T583" s="721"/>
      <c r="U583" s="722"/>
      <c r="V583" s="723"/>
      <c r="W583" s="724"/>
      <c r="X583" s="725" t="s">
        <v>159</v>
      </c>
      <c r="Y583" s="725"/>
      <c r="Z583" s="725"/>
      <c r="AA583" s="725"/>
      <c r="AB583" s="726" t="s">
        <v>159</v>
      </c>
      <c r="AC583" s="726"/>
      <c r="AD583" s="726"/>
      <c r="AE583" s="726"/>
      <c r="AF583" s="727"/>
      <c r="AG583" s="728"/>
      <c r="AH583" s="727"/>
      <c r="AI583" s="728"/>
      <c r="AJ583" s="686"/>
      <c r="AK583" s="687"/>
      <c r="AL583" s="664" t="s">
        <v>162</v>
      </c>
      <c r="AM583" s="665"/>
      <c r="AN583" s="713" t="s">
        <v>162</v>
      </c>
      <c r="AO583" s="714"/>
      <c r="AP583" s="686"/>
      <c r="AQ583" s="687"/>
      <c r="AR583" s="688"/>
      <c r="AS583" s="689"/>
      <c r="AT583" s="690"/>
      <c r="AU583" s="691"/>
      <c r="AV583" s="713" t="s">
        <v>162</v>
      </c>
      <c r="AW583" s="714"/>
      <c r="AX583" s="692"/>
      <c r="AY583" s="693"/>
      <c r="AZ583" s="694"/>
      <c r="BA583" s="682"/>
      <c r="BB583" s="683"/>
      <c r="BC583" s="219"/>
      <c r="BD583" s="737" t="s">
        <v>162</v>
      </c>
      <c r="BE583" s="738"/>
      <c r="BF583" s="708"/>
      <c r="BG583" s="709"/>
      <c r="BH583" s="709"/>
      <c r="BI583" s="710"/>
      <c r="BJ583" s="742" t="s">
        <v>159</v>
      </c>
      <c r="BK583" s="743"/>
      <c r="BL583" s="743"/>
      <c r="BM583" s="744"/>
      <c r="BN583" s="703" t="s">
        <v>159</v>
      </c>
      <c r="BO583" s="704"/>
      <c r="BP583" s="704"/>
      <c r="BQ583" s="704"/>
      <c r="BR583" s="704"/>
      <c r="BS583" s="704"/>
      <c r="BT583" s="704"/>
      <c r="BU583" s="704"/>
      <c r="BV583" s="705"/>
    </row>
    <row r="584" spans="1:74" ht="45" customHeight="1" x14ac:dyDescent="0.25">
      <c r="A584" s="10">
        <f t="shared" si="8"/>
        <v>570</v>
      </c>
      <c r="B584" s="662" t="s">
        <v>159</v>
      </c>
      <c r="C584" s="662"/>
      <c r="D584" s="663" t="s">
        <v>212</v>
      </c>
      <c r="E584" s="663"/>
      <c r="F584" s="664" t="s">
        <v>162</v>
      </c>
      <c r="G584" s="665"/>
      <c r="H584" s="754" t="s">
        <v>162</v>
      </c>
      <c r="I584" s="714"/>
      <c r="J584" s="340"/>
      <c r="K584" s="341"/>
      <c r="L584" s="340"/>
      <c r="M584" s="341"/>
      <c r="N584" s="215"/>
      <c r="O584" s="196"/>
      <c r="P584" s="717"/>
      <c r="Q584" s="718"/>
      <c r="R584" s="672"/>
      <c r="S584" s="673"/>
      <c r="T584" s="674"/>
      <c r="U584" s="675"/>
      <c r="V584" s="676"/>
      <c r="W584" s="677"/>
      <c r="X584" s="678" t="s">
        <v>159</v>
      </c>
      <c r="Y584" s="678"/>
      <c r="Z584" s="678"/>
      <c r="AA584" s="678"/>
      <c r="AB584" s="679" t="s">
        <v>159</v>
      </c>
      <c r="AC584" s="679"/>
      <c r="AD584" s="679"/>
      <c r="AE584" s="679"/>
      <c r="AF584" s="680"/>
      <c r="AG584" s="681"/>
      <c r="AH584" s="680"/>
      <c r="AI584" s="681"/>
      <c r="AJ584" s="682"/>
      <c r="AK584" s="683"/>
      <c r="AL584" s="684" t="s">
        <v>162</v>
      </c>
      <c r="AM584" s="685"/>
      <c r="AN584" s="666" t="s">
        <v>162</v>
      </c>
      <c r="AO584" s="667"/>
      <c r="AP584" s="729"/>
      <c r="AQ584" s="730"/>
      <c r="AR584" s="731"/>
      <c r="AS584" s="732"/>
      <c r="AT584" s="690"/>
      <c r="AU584" s="691"/>
      <c r="AV584" s="666" t="s">
        <v>162</v>
      </c>
      <c r="AW584" s="667"/>
      <c r="AX584" s="692"/>
      <c r="AY584" s="693"/>
      <c r="AZ584" s="694"/>
      <c r="BA584" s="735"/>
      <c r="BB584" s="736"/>
      <c r="BC584" s="14"/>
      <c r="BD584" s="695" t="s">
        <v>162</v>
      </c>
      <c r="BE584" s="696"/>
      <c r="BF584" s="739"/>
      <c r="BG584" s="740"/>
      <c r="BH584" s="740"/>
      <c r="BI584" s="741"/>
      <c r="BJ584" s="700" t="s">
        <v>159</v>
      </c>
      <c r="BK584" s="701"/>
      <c r="BL584" s="701"/>
      <c r="BM584" s="702"/>
      <c r="BN584" s="703" t="s">
        <v>159</v>
      </c>
      <c r="BO584" s="704"/>
      <c r="BP584" s="704"/>
      <c r="BQ584" s="704"/>
      <c r="BR584" s="704"/>
      <c r="BS584" s="704"/>
      <c r="BT584" s="704"/>
      <c r="BU584" s="704"/>
      <c r="BV584" s="705"/>
    </row>
    <row r="585" spans="1:74" ht="45" customHeight="1" x14ac:dyDescent="0.25">
      <c r="A585" s="10">
        <f t="shared" si="8"/>
        <v>571</v>
      </c>
      <c r="B585" s="711" t="s">
        <v>159</v>
      </c>
      <c r="C585" s="711"/>
      <c r="D585" s="712" t="s">
        <v>212</v>
      </c>
      <c r="E585" s="712"/>
      <c r="F585" s="664" t="s">
        <v>162</v>
      </c>
      <c r="G585" s="665"/>
      <c r="H585" s="755" t="s">
        <v>162</v>
      </c>
      <c r="I585" s="667"/>
      <c r="J585" s="706"/>
      <c r="K585" s="707"/>
      <c r="L585" s="706"/>
      <c r="M585" s="707"/>
      <c r="N585" s="194"/>
      <c r="O585" s="216"/>
      <c r="P585" s="670"/>
      <c r="Q585" s="671"/>
      <c r="R585" s="719"/>
      <c r="S585" s="720"/>
      <c r="T585" s="721"/>
      <c r="U585" s="722"/>
      <c r="V585" s="723"/>
      <c r="W585" s="724"/>
      <c r="X585" s="725" t="s">
        <v>159</v>
      </c>
      <c r="Y585" s="725"/>
      <c r="Z585" s="725"/>
      <c r="AA585" s="725"/>
      <c r="AB585" s="726" t="s">
        <v>159</v>
      </c>
      <c r="AC585" s="726"/>
      <c r="AD585" s="726"/>
      <c r="AE585" s="726"/>
      <c r="AF585" s="727"/>
      <c r="AG585" s="728"/>
      <c r="AH585" s="727"/>
      <c r="AI585" s="728"/>
      <c r="AJ585" s="686"/>
      <c r="AK585" s="687"/>
      <c r="AL585" s="664" t="s">
        <v>162</v>
      </c>
      <c r="AM585" s="665"/>
      <c r="AN585" s="713" t="s">
        <v>162</v>
      </c>
      <c r="AO585" s="714"/>
      <c r="AP585" s="686"/>
      <c r="AQ585" s="687"/>
      <c r="AR585" s="688"/>
      <c r="AS585" s="689"/>
      <c r="AT585" s="690"/>
      <c r="AU585" s="691"/>
      <c r="AV585" s="713" t="s">
        <v>162</v>
      </c>
      <c r="AW585" s="714"/>
      <c r="AX585" s="692"/>
      <c r="AY585" s="693"/>
      <c r="AZ585" s="694"/>
      <c r="BA585" s="682"/>
      <c r="BB585" s="683"/>
      <c r="BC585" s="219"/>
      <c r="BD585" s="737" t="s">
        <v>162</v>
      </c>
      <c r="BE585" s="738"/>
      <c r="BF585" s="708"/>
      <c r="BG585" s="709"/>
      <c r="BH585" s="709"/>
      <c r="BI585" s="710"/>
      <c r="BJ585" s="742" t="s">
        <v>159</v>
      </c>
      <c r="BK585" s="743"/>
      <c r="BL585" s="743"/>
      <c r="BM585" s="744"/>
      <c r="BN585" s="703" t="s">
        <v>159</v>
      </c>
      <c r="BO585" s="704"/>
      <c r="BP585" s="704"/>
      <c r="BQ585" s="704"/>
      <c r="BR585" s="704"/>
      <c r="BS585" s="704"/>
      <c r="BT585" s="704"/>
      <c r="BU585" s="704"/>
      <c r="BV585" s="705"/>
    </row>
    <row r="586" spans="1:74" ht="45" customHeight="1" x14ac:dyDescent="0.25">
      <c r="A586" s="10">
        <f t="shared" si="8"/>
        <v>572</v>
      </c>
      <c r="B586" s="662" t="s">
        <v>159</v>
      </c>
      <c r="C586" s="662"/>
      <c r="D586" s="663" t="s">
        <v>212</v>
      </c>
      <c r="E586" s="663"/>
      <c r="F586" s="664" t="s">
        <v>162</v>
      </c>
      <c r="G586" s="665"/>
      <c r="H586" s="754" t="s">
        <v>162</v>
      </c>
      <c r="I586" s="714"/>
      <c r="J586" s="340"/>
      <c r="K586" s="341"/>
      <c r="L586" s="340"/>
      <c r="M586" s="341"/>
      <c r="N586" s="215"/>
      <c r="O586" s="196"/>
      <c r="P586" s="717"/>
      <c r="Q586" s="718"/>
      <c r="R586" s="672"/>
      <c r="S586" s="673"/>
      <c r="T586" s="674"/>
      <c r="U586" s="675"/>
      <c r="V586" s="676"/>
      <c r="W586" s="677"/>
      <c r="X586" s="678" t="s">
        <v>159</v>
      </c>
      <c r="Y586" s="678"/>
      <c r="Z586" s="678"/>
      <c r="AA586" s="678"/>
      <c r="AB586" s="679" t="s">
        <v>159</v>
      </c>
      <c r="AC586" s="679"/>
      <c r="AD586" s="679"/>
      <c r="AE586" s="679"/>
      <c r="AF586" s="680"/>
      <c r="AG586" s="681"/>
      <c r="AH586" s="680"/>
      <c r="AI586" s="681"/>
      <c r="AJ586" s="682"/>
      <c r="AK586" s="683"/>
      <c r="AL586" s="684" t="s">
        <v>162</v>
      </c>
      <c r="AM586" s="685"/>
      <c r="AN586" s="666" t="s">
        <v>162</v>
      </c>
      <c r="AO586" s="667"/>
      <c r="AP586" s="729"/>
      <c r="AQ586" s="730"/>
      <c r="AR586" s="731"/>
      <c r="AS586" s="732"/>
      <c r="AT586" s="690"/>
      <c r="AU586" s="691"/>
      <c r="AV586" s="666" t="s">
        <v>162</v>
      </c>
      <c r="AW586" s="667"/>
      <c r="AX586" s="692"/>
      <c r="AY586" s="693"/>
      <c r="AZ586" s="694"/>
      <c r="BA586" s="735"/>
      <c r="BB586" s="736"/>
      <c r="BC586" s="14"/>
      <c r="BD586" s="695" t="s">
        <v>162</v>
      </c>
      <c r="BE586" s="696"/>
      <c r="BF586" s="739"/>
      <c r="BG586" s="740"/>
      <c r="BH586" s="740"/>
      <c r="BI586" s="741"/>
      <c r="BJ586" s="700" t="s">
        <v>159</v>
      </c>
      <c r="BK586" s="701"/>
      <c r="BL586" s="701"/>
      <c r="BM586" s="702"/>
      <c r="BN586" s="703" t="s">
        <v>159</v>
      </c>
      <c r="BO586" s="704"/>
      <c r="BP586" s="704"/>
      <c r="BQ586" s="704"/>
      <c r="BR586" s="704"/>
      <c r="BS586" s="704"/>
      <c r="BT586" s="704"/>
      <c r="BU586" s="704"/>
      <c r="BV586" s="705"/>
    </row>
    <row r="587" spans="1:74" ht="45" customHeight="1" x14ac:dyDescent="0.25">
      <c r="A587" s="10">
        <f t="shared" si="8"/>
        <v>573</v>
      </c>
      <c r="B587" s="711" t="s">
        <v>159</v>
      </c>
      <c r="C587" s="711"/>
      <c r="D587" s="712" t="s">
        <v>212</v>
      </c>
      <c r="E587" s="712"/>
      <c r="F587" s="664" t="s">
        <v>162</v>
      </c>
      <c r="G587" s="665"/>
      <c r="H587" s="755" t="s">
        <v>162</v>
      </c>
      <c r="I587" s="667"/>
      <c r="J587" s="706"/>
      <c r="K587" s="707"/>
      <c r="L587" s="706"/>
      <c r="M587" s="707"/>
      <c r="N587" s="194"/>
      <c r="O587" s="216"/>
      <c r="P587" s="670"/>
      <c r="Q587" s="671"/>
      <c r="R587" s="719"/>
      <c r="S587" s="720"/>
      <c r="T587" s="721"/>
      <c r="U587" s="722"/>
      <c r="V587" s="723"/>
      <c r="W587" s="724"/>
      <c r="X587" s="725" t="s">
        <v>159</v>
      </c>
      <c r="Y587" s="725"/>
      <c r="Z587" s="725"/>
      <c r="AA587" s="725"/>
      <c r="AB587" s="726" t="s">
        <v>159</v>
      </c>
      <c r="AC587" s="726"/>
      <c r="AD587" s="726"/>
      <c r="AE587" s="726"/>
      <c r="AF587" s="727"/>
      <c r="AG587" s="728"/>
      <c r="AH587" s="727"/>
      <c r="AI587" s="728"/>
      <c r="AJ587" s="686"/>
      <c r="AK587" s="687"/>
      <c r="AL587" s="664" t="s">
        <v>162</v>
      </c>
      <c r="AM587" s="665"/>
      <c r="AN587" s="713" t="s">
        <v>162</v>
      </c>
      <c r="AO587" s="714"/>
      <c r="AP587" s="686"/>
      <c r="AQ587" s="687"/>
      <c r="AR587" s="688"/>
      <c r="AS587" s="689"/>
      <c r="AT587" s="690"/>
      <c r="AU587" s="691"/>
      <c r="AV587" s="713" t="s">
        <v>162</v>
      </c>
      <c r="AW587" s="714"/>
      <c r="AX587" s="692"/>
      <c r="AY587" s="693"/>
      <c r="AZ587" s="694"/>
      <c r="BA587" s="682"/>
      <c r="BB587" s="683"/>
      <c r="BC587" s="219"/>
      <c r="BD587" s="737" t="s">
        <v>162</v>
      </c>
      <c r="BE587" s="738"/>
      <c r="BF587" s="697"/>
      <c r="BG587" s="698"/>
      <c r="BH587" s="698"/>
      <c r="BI587" s="699"/>
      <c r="BJ587" s="742" t="s">
        <v>159</v>
      </c>
      <c r="BK587" s="743"/>
      <c r="BL587" s="743"/>
      <c r="BM587" s="744"/>
      <c r="BN587" s="703" t="s">
        <v>159</v>
      </c>
      <c r="BO587" s="704"/>
      <c r="BP587" s="704"/>
      <c r="BQ587" s="704"/>
      <c r="BR587" s="704"/>
      <c r="BS587" s="704"/>
      <c r="BT587" s="704"/>
      <c r="BU587" s="704"/>
      <c r="BV587" s="705"/>
    </row>
    <row r="588" spans="1:74" ht="45" customHeight="1" x14ac:dyDescent="0.25">
      <c r="A588" s="10">
        <f t="shared" si="8"/>
        <v>574</v>
      </c>
      <c r="B588" s="662" t="s">
        <v>159</v>
      </c>
      <c r="C588" s="662"/>
      <c r="D588" s="663" t="s">
        <v>212</v>
      </c>
      <c r="E588" s="663"/>
      <c r="F588" s="664" t="s">
        <v>162</v>
      </c>
      <c r="G588" s="665"/>
      <c r="H588" s="754" t="s">
        <v>162</v>
      </c>
      <c r="I588" s="714"/>
      <c r="J588" s="340"/>
      <c r="K588" s="341"/>
      <c r="L588" s="340"/>
      <c r="M588" s="341"/>
      <c r="N588" s="215"/>
      <c r="O588" s="196"/>
      <c r="P588" s="717"/>
      <c r="Q588" s="718"/>
      <c r="R588" s="672"/>
      <c r="S588" s="673"/>
      <c r="T588" s="674"/>
      <c r="U588" s="675"/>
      <c r="V588" s="676"/>
      <c r="W588" s="677"/>
      <c r="X588" s="678" t="s">
        <v>159</v>
      </c>
      <c r="Y588" s="678"/>
      <c r="Z588" s="678"/>
      <c r="AA588" s="678"/>
      <c r="AB588" s="679" t="s">
        <v>159</v>
      </c>
      <c r="AC588" s="679"/>
      <c r="AD588" s="679"/>
      <c r="AE588" s="679"/>
      <c r="AF588" s="680"/>
      <c r="AG588" s="681"/>
      <c r="AH588" s="680"/>
      <c r="AI588" s="681"/>
      <c r="AJ588" s="682"/>
      <c r="AK588" s="683"/>
      <c r="AL588" s="684" t="s">
        <v>162</v>
      </c>
      <c r="AM588" s="685"/>
      <c r="AN588" s="666" t="s">
        <v>162</v>
      </c>
      <c r="AO588" s="667"/>
      <c r="AP588" s="729"/>
      <c r="AQ588" s="730"/>
      <c r="AR588" s="731"/>
      <c r="AS588" s="732"/>
      <c r="AT588" s="690"/>
      <c r="AU588" s="691"/>
      <c r="AV588" s="666" t="s">
        <v>162</v>
      </c>
      <c r="AW588" s="667"/>
      <c r="AX588" s="692"/>
      <c r="AY588" s="693"/>
      <c r="AZ588" s="694"/>
      <c r="BA588" s="735"/>
      <c r="BB588" s="736"/>
      <c r="BC588" s="14"/>
      <c r="BD588" s="695" t="s">
        <v>162</v>
      </c>
      <c r="BE588" s="696"/>
      <c r="BF588" s="739"/>
      <c r="BG588" s="740"/>
      <c r="BH588" s="740"/>
      <c r="BI588" s="741"/>
      <c r="BJ588" s="700" t="s">
        <v>159</v>
      </c>
      <c r="BK588" s="701"/>
      <c r="BL588" s="701"/>
      <c r="BM588" s="702"/>
      <c r="BN588" s="703" t="s">
        <v>159</v>
      </c>
      <c r="BO588" s="704"/>
      <c r="BP588" s="704"/>
      <c r="BQ588" s="704"/>
      <c r="BR588" s="704"/>
      <c r="BS588" s="704"/>
      <c r="BT588" s="704"/>
      <c r="BU588" s="704"/>
      <c r="BV588" s="705"/>
    </row>
    <row r="589" spans="1:74" ht="45" customHeight="1" x14ac:dyDescent="0.25">
      <c r="A589" s="10">
        <f t="shared" si="8"/>
        <v>575</v>
      </c>
      <c r="B589" s="711" t="s">
        <v>159</v>
      </c>
      <c r="C589" s="711"/>
      <c r="D589" s="712" t="s">
        <v>212</v>
      </c>
      <c r="E589" s="712"/>
      <c r="F589" s="664" t="s">
        <v>162</v>
      </c>
      <c r="G589" s="665"/>
      <c r="H589" s="755" t="s">
        <v>162</v>
      </c>
      <c r="I589" s="667"/>
      <c r="J589" s="706"/>
      <c r="K589" s="707"/>
      <c r="L589" s="706"/>
      <c r="M589" s="707"/>
      <c r="N589" s="194"/>
      <c r="O589" s="216"/>
      <c r="P589" s="670"/>
      <c r="Q589" s="671"/>
      <c r="R589" s="719"/>
      <c r="S589" s="720"/>
      <c r="T589" s="721"/>
      <c r="U589" s="722"/>
      <c r="V589" s="723"/>
      <c r="W589" s="724"/>
      <c r="X589" s="725" t="s">
        <v>159</v>
      </c>
      <c r="Y589" s="725"/>
      <c r="Z589" s="725"/>
      <c r="AA589" s="725"/>
      <c r="AB589" s="726" t="s">
        <v>159</v>
      </c>
      <c r="AC589" s="726"/>
      <c r="AD589" s="726"/>
      <c r="AE589" s="726"/>
      <c r="AF589" s="727"/>
      <c r="AG589" s="728"/>
      <c r="AH589" s="727"/>
      <c r="AI589" s="728"/>
      <c r="AJ589" s="686"/>
      <c r="AK589" s="687"/>
      <c r="AL589" s="664" t="s">
        <v>162</v>
      </c>
      <c r="AM589" s="665"/>
      <c r="AN589" s="713" t="s">
        <v>162</v>
      </c>
      <c r="AO589" s="714"/>
      <c r="AP589" s="686"/>
      <c r="AQ589" s="687"/>
      <c r="AR589" s="688"/>
      <c r="AS589" s="689"/>
      <c r="AT589" s="690"/>
      <c r="AU589" s="691"/>
      <c r="AV589" s="713" t="s">
        <v>162</v>
      </c>
      <c r="AW589" s="714"/>
      <c r="AX589" s="692"/>
      <c r="AY589" s="693"/>
      <c r="AZ589" s="694"/>
      <c r="BA589" s="682"/>
      <c r="BB589" s="683"/>
      <c r="BC589" s="219"/>
      <c r="BD589" s="737" t="s">
        <v>162</v>
      </c>
      <c r="BE589" s="738"/>
      <c r="BF589" s="708"/>
      <c r="BG589" s="709"/>
      <c r="BH589" s="709"/>
      <c r="BI589" s="710"/>
      <c r="BJ589" s="742" t="s">
        <v>159</v>
      </c>
      <c r="BK589" s="743"/>
      <c r="BL589" s="743"/>
      <c r="BM589" s="744"/>
      <c r="BN589" s="703" t="s">
        <v>159</v>
      </c>
      <c r="BO589" s="704"/>
      <c r="BP589" s="704"/>
      <c r="BQ589" s="704"/>
      <c r="BR589" s="704"/>
      <c r="BS589" s="704"/>
      <c r="BT589" s="704"/>
      <c r="BU589" s="704"/>
      <c r="BV589" s="705"/>
    </row>
    <row r="590" spans="1:74" ht="45" customHeight="1" x14ac:dyDescent="0.25">
      <c r="A590" s="10">
        <f t="shared" si="8"/>
        <v>576</v>
      </c>
      <c r="B590" s="662" t="s">
        <v>159</v>
      </c>
      <c r="C590" s="662"/>
      <c r="D590" s="663" t="s">
        <v>212</v>
      </c>
      <c r="E590" s="663"/>
      <c r="F590" s="664" t="s">
        <v>162</v>
      </c>
      <c r="G590" s="665"/>
      <c r="H590" s="754" t="s">
        <v>162</v>
      </c>
      <c r="I590" s="714"/>
      <c r="J590" s="340"/>
      <c r="K590" s="341"/>
      <c r="L590" s="340"/>
      <c r="M590" s="341"/>
      <c r="N590" s="215"/>
      <c r="O590" s="196"/>
      <c r="P590" s="717"/>
      <c r="Q590" s="718"/>
      <c r="R590" s="672"/>
      <c r="S590" s="673"/>
      <c r="T590" s="674"/>
      <c r="U590" s="675"/>
      <c r="V590" s="676"/>
      <c r="W590" s="677"/>
      <c r="X590" s="678" t="s">
        <v>159</v>
      </c>
      <c r="Y590" s="678"/>
      <c r="Z590" s="678"/>
      <c r="AA590" s="678"/>
      <c r="AB590" s="679" t="s">
        <v>159</v>
      </c>
      <c r="AC590" s="679"/>
      <c r="AD590" s="679"/>
      <c r="AE590" s="679"/>
      <c r="AF590" s="680"/>
      <c r="AG590" s="681"/>
      <c r="AH590" s="680"/>
      <c r="AI590" s="681"/>
      <c r="AJ590" s="682"/>
      <c r="AK590" s="683"/>
      <c r="AL590" s="684" t="s">
        <v>162</v>
      </c>
      <c r="AM590" s="685"/>
      <c r="AN590" s="666" t="s">
        <v>162</v>
      </c>
      <c r="AO590" s="667"/>
      <c r="AP590" s="729"/>
      <c r="AQ590" s="730"/>
      <c r="AR590" s="731"/>
      <c r="AS590" s="732"/>
      <c r="AT590" s="690"/>
      <c r="AU590" s="691"/>
      <c r="AV590" s="666" t="s">
        <v>162</v>
      </c>
      <c r="AW590" s="667"/>
      <c r="AX590" s="692"/>
      <c r="AY590" s="693"/>
      <c r="AZ590" s="694"/>
      <c r="BA590" s="735"/>
      <c r="BB590" s="736"/>
      <c r="BC590" s="14"/>
      <c r="BD590" s="695" t="s">
        <v>162</v>
      </c>
      <c r="BE590" s="696"/>
      <c r="BF590" s="739"/>
      <c r="BG590" s="740"/>
      <c r="BH590" s="740"/>
      <c r="BI590" s="741"/>
      <c r="BJ590" s="700" t="s">
        <v>159</v>
      </c>
      <c r="BK590" s="701"/>
      <c r="BL590" s="701"/>
      <c r="BM590" s="702"/>
      <c r="BN590" s="703" t="s">
        <v>159</v>
      </c>
      <c r="BO590" s="704"/>
      <c r="BP590" s="704"/>
      <c r="BQ590" s="704"/>
      <c r="BR590" s="704"/>
      <c r="BS590" s="704"/>
      <c r="BT590" s="704"/>
      <c r="BU590" s="704"/>
      <c r="BV590" s="705"/>
    </row>
    <row r="591" spans="1:74" ht="45" customHeight="1" x14ac:dyDescent="0.25">
      <c r="A591" s="10">
        <f t="shared" ref="A591:A654" si="9">ROW(A577)</f>
        <v>577</v>
      </c>
      <c r="B591" s="711" t="s">
        <v>159</v>
      </c>
      <c r="C591" s="711"/>
      <c r="D591" s="712" t="s">
        <v>212</v>
      </c>
      <c r="E591" s="712"/>
      <c r="F591" s="664" t="s">
        <v>162</v>
      </c>
      <c r="G591" s="665"/>
      <c r="H591" s="755" t="s">
        <v>162</v>
      </c>
      <c r="I591" s="667"/>
      <c r="J591" s="706"/>
      <c r="K591" s="707"/>
      <c r="L591" s="706"/>
      <c r="M591" s="707"/>
      <c r="N591" s="194"/>
      <c r="O591" s="216"/>
      <c r="P591" s="670"/>
      <c r="Q591" s="671"/>
      <c r="R591" s="719"/>
      <c r="S591" s="720"/>
      <c r="T591" s="721"/>
      <c r="U591" s="722"/>
      <c r="V591" s="723"/>
      <c r="W591" s="724"/>
      <c r="X591" s="725" t="s">
        <v>159</v>
      </c>
      <c r="Y591" s="725"/>
      <c r="Z591" s="725"/>
      <c r="AA591" s="725"/>
      <c r="AB591" s="726" t="s">
        <v>159</v>
      </c>
      <c r="AC591" s="726"/>
      <c r="AD591" s="726"/>
      <c r="AE591" s="726"/>
      <c r="AF591" s="727"/>
      <c r="AG591" s="728"/>
      <c r="AH591" s="727"/>
      <c r="AI591" s="728"/>
      <c r="AJ591" s="686"/>
      <c r="AK591" s="687"/>
      <c r="AL591" s="664" t="s">
        <v>162</v>
      </c>
      <c r="AM591" s="665"/>
      <c r="AN591" s="713" t="s">
        <v>162</v>
      </c>
      <c r="AO591" s="714"/>
      <c r="AP591" s="686"/>
      <c r="AQ591" s="687"/>
      <c r="AR591" s="688"/>
      <c r="AS591" s="689"/>
      <c r="AT591" s="690"/>
      <c r="AU591" s="691"/>
      <c r="AV591" s="713" t="s">
        <v>162</v>
      </c>
      <c r="AW591" s="714"/>
      <c r="AX591" s="692"/>
      <c r="AY591" s="693"/>
      <c r="AZ591" s="694"/>
      <c r="BA591" s="682"/>
      <c r="BB591" s="683"/>
      <c r="BC591" s="219"/>
      <c r="BD591" s="737" t="s">
        <v>162</v>
      </c>
      <c r="BE591" s="738"/>
      <c r="BF591" s="697"/>
      <c r="BG591" s="698"/>
      <c r="BH591" s="698"/>
      <c r="BI591" s="699"/>
      <c r="BJ591" s="742" t="s">
        <v>159</v>
      </c>
      <c r="BK591" s="743"/>
      <c r="BL591" s="743"/>
      <c r="BM591" s="744"/>
      <c r="BN591" s="703" t="s">
        <v>159</v>
      </c>
      <c r="BO591" s="704"/>
      <c r="BP591" s="704"/>
      <c r="BQ591" s="704"/>
      <c r="BR591" s="704"/>
      <c r="BS591" s="704"/>
      <c r="BT591" s="704"/>
      <c r="BU591" s="704"/>
      <c r="BV591" s="705"/>
    </row>
    <row r="592" spans="1:74" ht="45" customHeight="1" x14ac:dyDescent="0.25">
      <c r="A592" s="10">
        <f t="shared" si="9"/>
        <v>578</v>
      </c>
      <c r="B592" s="662" t="s">
        <v>159</v>
      </c>
      <c r="C592" s="662"/>
      <c r="D592" s="663" t="s">
        <v>212</v>
      </c>
      <c r="E592" s="663"/>
      <c r="F592" s="664" t="s">
        <v>162</v>
      </c>
      <c r="G592" s="665"/>
      <c r="H592" s="754" t="s">
        <v>162</v>
      </c>
      <c r="I592" s="714"/>
      <c r="J592" s="340"/>
      <c r="K592" s="341"/>
      <c r="L592" s="340"/>
      <c r="M592" s="341"/>
      <c r="N592" s="215"/>
      <c r="O592" s="196"/>
      <c r="P592" s="717"/>
      <c r="Q592" s="718"/>
      <c r="R592" s="672"/>
      <c r="S592" s="673"/>
      <c r="T592" s="674"/>
      <c r="U592" s="675"/>
      <c r="V592" s="676"/>
      <c r="W592" s="677"/>
      <c r="X592" s="678" t="s">
        <v>159</v>
      </c>
      <c r="Y592" s="678"/>
      <c r="Z592" s="678"/>
      <c r="AA592" s="678"/>
      <c r="AB592" s="679" t="s">
        <v>159</v>
      </c>
      <c r="AC592" s="679"/>
      <c r="AD592" s="679"/>
      <c r="AE592" s="679"/>
      <c r="AF592" s="680"/>
      <c r="AG592" s="681"/>
      <c r="AH592" s="680"/>
      <c r="AI592" s="681"/>
      <c r="AJ592" s="682"/>
      <c r="AK592" s="683"/>
      <c r="AL592" s="684" t="s">
        <v>162</v>
      </c>
      <c r="AM592" s="685"/>
      <c r="AN592" s="666" t="s">
        <v>162</v>
      </c>
      <c r="AO592" s="667"/>
      <c r="AP592" s="729"/>
      <c r="AQ592" s="730"/>
      <c r="AR592" s="731"/>
      <c r="AS592" s="732"/>
      <c r="AT592" s="690"/>
      <c r="AU592" s="691"/>
      <c r="AV592" s="666" t="s">
        <v>162</v>
      </c>
      <c r="AW592" s="667"/>
      <c r="AX592" s="692"/>
      <c r="AY592" s="693"/>
      <c r="AZ592" s="694"/>
      <c r="BA592" s="735"/>
      <c r="BB592" s="736"/>
      <c r="BC592" s="14"/>
      <c r="BD592" s="695" t="s">
        <v>162</v>
      </c>
      <c r="BE592" s="696"/>
      <c r="BF592" s="739"/>
      <c r="BG592" s="740"/>
      <c r="BH592" s="740"/>
      <c r="BI592" s="741"/>
      <c r="BJ592" s="700" t="s">
        <v>159</v>
      </c>
      <c r="BK592" s="701"/>
      <c r="BL592" s="701"/>
      <c r="BM592" s="702"/>
      <c r="BN592" s="703" t="s">
        <v>159</v>
      </c>
      <c r="BO592" s="704"/>
      <c r="BP592" s="704"/>
      <c r="BQ592" s="704"/>
      <c r="BR592" s="704"/>
      <c r="BS592" s="704"/>
      <c r="BT592" s="704"/>
      <c r="BU592" s="704"/>
      <c r="BV592" s="705"/>
    </row>
    <row r="593" spans="1:74" ht="45" customHeight="1" x14ac:dyDescent="0.25">
      <c r="A593" s="10">
        <f t="shared" si="9"/>
        <v>579</v>
      </c>
      <c r="B593" s="711" t="s">
        <v>159</v>
      </c>
      <c r="C593" s="711"/>
      <c r="D593" s="712" t="s">
        <v>212</v>
      </c>
      <c r="E593" s="712"/>
      <c r="F593" s="664" t="s">
        <v>162</v>
      </c>
      <c r="G593" s="665"/>
      <c r="H593" s="755" t="s">
        <v>162</v>
      </c>
      <c r="I593" s="667"/>
      <c r="J593" s="706"/>
      <c r="K593" s="707"/>
      <c r="L593" s="706"/>
      <c r="M593" s="707"/>
      <c r="N593" s="194"/>
      <c r="O593" s="196"/>
      <c r="P593" s="717"/>
      <c r="Q593" s="718"/>
      <c r="R593" s="719"/>
      <c r="S593" s="720"/>
      <c r="T593" s="721"/>
      <c r="U593" s="722"/>
      <c r="V593" s="723"/>
      <c r="W593" s="724"/>
      <c r="X593" s="725" t="s">
        <v>159</v>
      </c>
      <c r="Y593" s="725"/>
      <c r="Z593" s="725"/>
      <c r="AA593" s="725"/>
      <c r="AB593" s="726" t="s">
        <v>159</v>
      </c>
      <c r="AC593" s="726"/>
      <c r="AD593" s="726"/>
      <c r="AE593" s="726"/>
      <c r="AF593" s="727"/>
      <c r="AG593" s="728"/>
      <c r="AH593" s="727"/>
      <c r="AI593" s="728"/>
      <c r="AJ593" s="686"/>
      <c r="AK593" s="687"/>
      <c r="AL593" s="664" t="s">
        <v>162</v>
      </c>
      <c r="AM593" s="665"/>
      <c r="AN593" s="713" t="s">
        <v>162</v>
      </c>
      <c r="AO593" s="714"/>
      <c r="AP593" s="686"/>
      <c r="AQ593" s="687"/>
      <c r="AR593" s="688"/>
      <c r="AS593" s="689"/>
      <c r="AT593" s="690"/>
      <c r="AU593" s="691"/>
      <c r="AV593" s="713" t="s">
        <v>162</v>
      </c>
      <c r="AW593" s="714"/>
      <c r="AX593" s="692"/>
      <c r="AY593" s="693"/>
      <c r="AZ593" s="694"/>
      <c r="BA593" s="682"/>
      <c r="BB593" s="683"/>
      <c r="BC593" s="219"/>
      <c r="BD593" s="737" t="s">
        <v>162</v>
      </c>
      <c r="BE593" s="738"/>
      <c r="BF593" s="708"/>
      <c r="BG593" s="709"/>
      <c r="BH593" s="709"/>
      <c r="BI593" s="710"/>
      <c r="BJ593" s="742" t="s">
        <v>159</v>
      </c>
      <c r="BK593" s="743"/>
      <c r="BL593" s="743"/>
      <c r="BM593" s="744"/>
      <c r="BN593" s="703" t="s">
        <v>159</v>
      </c>
      <c r="BO593" s="704"/>
      <c r="BP593" s="704"/>
      <c r="BQ593" s="704"/>
      <c r="BR593" s="704"/>
      <c r="BS593" s="704"/>
      <c r="BT593" s="704"/>
      <c r="BU593" s="704"/>
      <c r="BV593" s="705"/>
    </row>
    <row r="594" spans="1:74" ht="45" customHeight="1" x14ac:dyDescent="0.25">
      <c r="A594" s="10">
        <f t="shared" si="9"/>
        <v>580</v>
      </c>
      <c r="B594" s="662" t="s">
        <v>159</v>
      </c>
      <c r="C594" s="662"/>
      <c r="D594" s="663" t="s">
        <v>212</v>
      </c>
      <c r="E594" s="663"/>
      <c r="F594" s="664" t="s">
        <v>162</v>
      </c>
      <c r="G594" s="665"/>
      <c r="H594" s="754" t="s">
        <v>162</v>
      </c>
      <c r="I594" s="714"/>
      <c r="J594" s="340"/>
      <c r="K594" s="341"/>
      <c r="L594" s="340"/>
      <c r="M594" s="341"/>
      <c r="N594" s="215"/>
      <c r="O594" s="216"/>
      <c r="P594" s="670"/>
      <c r="Q594" s="671"/>
      <c r="R594" s="672"/>
      <c r="S594" s="673"/>
      <c r="T594" s="674"/>
      <c r="U594" s="675"/>
      <c r="V594" s="676"/>
      <c r="W594" s="677"/>
      <c r="X594" s="678" t="s">
        <v>159</v>
      </c>
      <c r="Y594" s="678"/>
      <c r="Z594" s="678"/>
      <c r="AA594" s="678"/>
      <c r="AB594" s="679" t="s">
        <v>159</v>
      </c>
      <c r="AC594" s="679"/>
      <c r="AD594" s="679"/>
      <c r="AE594" s="679"/>
      <c r="AF594" s="680"/>
      <c r="AG594" s="681"/>
      <c r="AH594" s="680"/>
      <c r="AI594" s="681"/>
      <c r="AJ594" s="682"/>
      <c r="AK594" s="683"/>
      <c r="AL594" s="684" t="s">
        <v>162</v>
      </c>
      <c r="AM594" s="685"/>
      <c r="AN594" s="666" t="s">
        <v>162</v>
      </c>
      <c r="AO594" s="667"/>
      <c r="AP594" s="729"/>
      <c r="AQ594" s="730"/>
      <c r="AR594" s="731"/>
      <c r="AS594" s="732"/>
      <c r="AT594" s="690"/>
      <c r="AU594" s="691"/>
      <c r="AV594" s="666" t="s">
        <v>162</v>
      </c>
      <c r="AW594" s="667"/>
      <c r="AX594" s="692"/>
      <c r="AY594" s="693"/>
      <c r="AZ594" s="694"/>
      <c r="BA594" s="735"/>
      <c r="BB594" s="736"/>
      <c r="BC594" s="14"/>
      <c r="BD594" s="695" t="s">
        <v>162</v>
      </c>
      <c r="BE594" s="696"/>
      <c r="BF594" s="739"/>
      <c r="BG594" s="740"/>
      <c r="BH594" s="740"/>
      <c r="BI594" s="741"/>
      <c r="BJ594" s="700" t="s">
        <v>159</v>
      </c>
      <c r="BK594" s="701"/>
      <c r="BL594" s="701"/>
      <c r="BM594" s="702"/>
      <c r="BN594" s="703" t="s">
        <v>159</v>
      </c>
      <c r="BO594" s="704"/>
      <c r="BP594" s="704"/>
      <c r="BQ594" s="704"/>
      <c r="BR594" s="704"/>
      <c r="BS594" s="704"/>
      <c r="BT594" s="704"/>
      <c r="BU594" s="704"/>
      <c r="BV594" s="705"/>
    </row>
    <row r="595" spans="1:74" ht="45" customHeight="1" x14ac:dyDescent="0.25">
      <c r="A595" s="10">
        <f t="shared" si="9"/>
        <v>581</v>
      </c>
      <c r="B595" s="711" t="s">
        <v>159</v>
      </c>
      <c r="C595" s="711"/>
      <c r="D595" s="712" t="s">
        <v>212</v>
      </c>
      <c r="E595" s="712"/>
      <c r="F595" s="664" t="s">
        <v>162</v>
      </c>
      <c r="G595" s="665"/>
      <c r="H595" s="755" t="s">
        <v>162</v>
      </c>
      <c r="I595" s="667"/>
      <c r="J595" s="706"/>
      <c r="K595" s="707"/>
      <c r="L595" s="706"/>
      <c r="M595" s="707"/>
      <c r="N595" s="194"/>
      <c r="O595" s="196"/>
      <c r="P595" s="717"/>
      <c r="Q595" s="718"/>
      <c r="R595" s="719"/>
      <c r="S595" s="720"/>
      <c r="T595" s="721"/>
      <c r="U595" s="722"/>
      <c r="V595" s="723"/>
      <c r="W595" s="724"/>
      <c r="X595" s="725" t="s">
        <v>159</v>
      </c>
      <c r="Y595" s="725"/>
      <c r="Z595" s="725"/>
      <c r="AA595" s="725"/>
      <c r="AB595" s="726" t="s">
        <v>159</v>
      </c>
      <c r="AC595" s="726"/>
      <c r="AD595" s="726"/>
      <c r="AE595" s="726"/>
      <c r="AF595" s="727"/>
      <c r="AG595" s="728"/>
      <c r="AH595" s="727"/>
      <c r="AI595" s="728"/>
      <c r="AJ595" s="686"/>
      <c r="AK595" s="687"/>
      <c r="AL595" s="664" t="s">
        <v>162</v>
      </c>
      <c r="AM595" s="665"/>
      <c r="AN595" s="713" t="s">
        <v>162</v>
      </c>
      <c r="AO595" s="714"/>
      <c r="AP595" s="686"/>
      <c r="AQ595" s="687"/>
      <c r="AR595" s="688"/>
      <c r="AS595" s="689"/>
      <c r="AT595" s="690"/>
      <c r="AU595" s="691"/>
      <c r="AV595" s="713" t="s">
        <v>162</v>
      </c>
      <c r="AW595" s="714"/>
      <c r="AX595" s="692"/>
      <c r="AY595" s="693"/>
      <c r="AZ595" s="694"/>
      <c r="BA595" s="682"/>
      <c r="BB595" s="683"/>
      <c r="BC595" s="219"/>
      <c r="BD595" s="737" t="s">
        <v>162</v>
      </c>
      <c r="BE595" s="738"/>
      <c r="BF595" s="708"/>
      <c r="BG595" s="709"/>
      <c r="BH595" s="709"/>
      <c r="BI595" s="710"/>
      <c r="BJ595" s="742" t="s">
        <v>159</v>
      </c>
      <c r="BK595" s="743"/>
      <c r="BL595" s="743"/>
      <c r="BM595" s="744"/>
      <c r="BN595" s="703" t="s">
        <v>159</v>
      </c>
      <c r="BO595" s="704"/>
      <c r="BP595" s="704"/>
      <c r="BQ595" s="704"/>
      <c r="BR595" s="704"/>
      <c r="BS595" s="704"/>
      <c r="BT595" s="704"/>
      <c r="BU595" s="704"/>
      <c r="BV595" s="705"/>
    </row>
    <row r="596" spans="1:74" ht="45" customHeight="1" x14ac:dyDescent="0.25">
      <c r="A596" s="10">
        <f t="shared" si="9"/>
        <v>582</v>
      </c>
      <c r="B596" s="662" t="s">
        <v>159</v>
      </c>
      <c r="C596" s="662"/>
      <c r="D596" s="663" t="s">
        <v>212</v>
      </c>
      <c r="E596" s="663"/>
      <c r="F596" s="664" t="s">
        <v>162</v>
      </c>
      <c r="G596" s="665"/>
      <c r="H596" s="754" t="s">
        <v>162</v>
      </c>
      <c r="I596" s="714"/>
      <c r="J596" s="340"/>
      <c r="K596" s="341"/>
      <c r="L596" s="340"/>
      <c r="M596" s="341"/>
      <c r="N596" s="215"/>
      <c r="O596" s="216"/>
      <c r="P596" s="670"/>
      <c r="Q596" s="671"/>
      <c r="R596" s="672"/>
      <c r="S596" s="673"/>
      <c r="T596" s="674"/>
      <c r="U596" s="675"/>
      <c r="V596" s="676"/>
      <c r="W596" s="677"/>
      <c r="X596" s="678" t="s">
        <v>159</v>
      </c>
      <c r="Y596" s="678"/>
      <c r="Z596" s="678"/>
      <c r="AA596" s="678"/>
      <c r="AB596" s="679" t="s">
        <v>159</v>
      </c>
      <c r="AC596" s="679"/>
      <c r="AD596" s="679"/>
      <c r="AE596" s="679"/>
      <c r="AF596" s="680"/>
      <c r="AG596" s="681"/>
      <c r="AH596" s="680"/>
      <c r="AI596" s="681"/>
      <c r="AJ596" s="682"/>
      <c r="AK596" s="683"/>
      <c r="AL596" s="684" t="s">
        <v>162</v>
      </c>
      <c r="AM596" s="685"/>
      <c r="AN596" s="666" t="s">
        <v>162</v>
      </c>
      <c r="AO596" s="667"/>
      <c r="AP596" s="729"/>
      <c r="AQ596" s="730"/>
      <c r="AR596" s="731"/>
      <c r="AS596" s="732"/>
      <c r="AT596" s="690"/>
      <c r="AU596" s="691"/>
      <c r="AV596" s="666" t="s">
        <v>162</v>
      </c>
      <c r="AW596" s="667"/>
      <c r="AX596" s="692"/>
      <c r="AY596" s="693"/>
      <c r="AZ596" s="694"/>
      <c r="BA596" s="735"/>
      <c r="BB596" s="736"/>
      <c r="BC596" s="14"/>
      <c r="BD596" s="695" t="s">
        <v>162</v>
      </c>
      <c r="BE596" s="696"/>
      <c r="BF596" s="739"/>
      <c r="BG596" s="740"/>
      <c r="BH596" s="740"/>
      <c r="BI596" s="741"/>
      <c r="BJ596" s="700" t="s">
        <v>159</v>
      </c>
      <c r="BK596" s="701"/>
      <c r="BL596" s="701"/>
      <c r="BM596" s="702"/>
      <c r="BN596" s="703" t="s">
        <v>159</v>
      </c>
      <c r="BO596" s="704"/>
      <c r="BP596" s="704"/>
      <c r="BQ596" s="704"/>
      <c r="BR596" s="704"/>
      <c r="BS596" s="704"/>
      <c r="BT596" s="704"/>
      <c r="BU596" s="704"/>
      <c r="BV596" s="705"/>
    </row>
    <row r="597" spans="1:74" ht="45" customHeight="1" x14ac:dyDescent="0.25">
      <c r="A597" s="10">
        <f t="shared" si="9"/>
        <v>583</v>
      </c>
      <c r="B597" s="711" t="s">
        <v>159</v>
      </c>
      <c r="C597" s="711"/>
      <c r="D597" s="712" t="s">
        <v>212</v>
      </c>
      <c r="E597" s="712"/>
      <c r="F597" s="664" t="s">
        <v>162</v>
      </c>
      <c r="G597" s="665"/>
      <c r="H597" s="755" t="s">
        <v>162</v>
      </c>
      <c r="I597" s="667"/>
      <c r="J597" s="706"/>
      <c r="K597" s="707"/>
      <c r="L597" s="706"/>
      <c r="M597" s="707"/>
      <c r="N597" s="194"/>
      <c r="O597" s="216"/>
      <c r="P597" s="717"/>
      <c r="Q597" s="718"/>
      <c r="R597" s="719"/>
      <c r="S597" s="720"/>
      <c r="T597" s="721"/>
      <c r="U597" s="722"/>
      <c r="V597" s="723"/>
      <c r="W597" s="724"/>
      <c r="X597" s="725" t="s">
        <v>159</v>
      </c>
      <c r="Y597" s="725"/>
      <c r="Z597" s="725"/>
      <c r="AA597" s="725"/>
      <c r="AB597" s="726" t="s">
        <v>159</v>
      </c>
      <c r="AC597" s="726"/>
      <c r="AD597" s="726"/>
      <c r="AE597" s="726"/>
      <c r="AF597" s="727"/>
      <c r="AG597" s="728"/>
      <c r="AH597" s="727"/>
      <c r="AI597" s="728"/>
      <c r="AJ597" s="686"/>
      <c r="AK597" s="687"/>
      <c r="AL597" s="664" t="s">
        <v>162</v>
      </c>
      <c r="AM597" s="665"/>
      <c r="AN597" s="713" t="s">
        <v>162</v>
      </c>
      <c r="AO597" s="714"/>
      <c r="AP597" s="686"/>
      <c r="AQ597" s="687"/>
      <c r="AR597" s="688"/>
      <c r="AS597" s="689"/>
      <c r="AT597" s="690"/>
      <c r="AU597" s="691"/>
      <c r="AV597" s="713" t="s">
        <v>162</v>
      </c>
      <c r="AW597" s="714"/>
      <c r="AX597" s="692"/>
      <c r="AY597" s="693"/>
      <c r="AZ597" s="694"/>
      <c r="BA597" s="682"/>
      <c r="BB597" s="683"/>
      <c r="BC597" s="219"/>
      <c r="BD597" s="737" t="s">
        <v>162</v>
      </c>
      <c r="BE597" s="738"/>
      <c r="BF597" s="697"/>
      <c r="BG597" s="698"/>
      <c r="BH597" s="698"/>
      <c r="BI597" s="699"/>
      <c r="BJ597" s="742" t="s">
        <v>159</v>
      </c>
      <c r="BK597" s="743"/>
      <c r="BL597" s="743"/>
      <c r="BM597" s="744"/>
      <c r="BN597" s="703" t="s">
        <v>159</v>
      </c>
      <c r="BO597" s="704"/>
      <c r="BP597" s="704"/>
      <c r="BQ597" s="704"/>
      <c r="BR597" s="704"/>
      <c r="BS597" s="704"/>
      <c r="BT597" s="704"/>
      <c r="BU597" s="704"/>
      <c r="BV597" s="705"/>
    </row>
    <row r="598" spans="1:74" ht="45" customHeight="1" x14ac:dyDescent="0.25">
      <c r="A598" s="10">
        <f t="shared" si="9"/>
        <v>584</v>
      </c>
      <c r="B598" s="662" t="s">
        <v>159</v>
      </c>
      <c r="C598" s="662"/>
      <c r="D598" s="663" t="s">
        <v>212</v>
      </c>
      <c r="E598" s="663"/>
      <c r="F598" s="664" t="s">
        <v>162</v>
      </c>
      <c r="G598" s="665"/>
      <c r="H598" s="754" t="s">
        <v>162</v>
      </c>
      <c r="I598" s="714"/>
      <c r="J598" s="340"/>
      <c r="K598" s="341"/>
      <c r="L598" s="340"/>
      <c r="M598" s="341"/>
      <c r="N598" s="215"/>
      <c r="O598" s="196"/>
      <c r="P598" s="670"/>
      <c r="Q598" s="671"/>
      <c r="R598" s="672"/>
      <c r="S598" s="673"/>
      <c r="T598" s="674"/>
      <c r="U598" s="675"/>
      <c r="V598" s="676"/>
      <c r="W598" s="677"/>
      <c r="X598" s="678" t="s">
        <v>159</v>
      </c>
      <c r="Y598" s="678"/>
      <c r="Z598" s="678"/>
      <c r="AA598" s="678"/>
      <c r="AB598" s="679" t="s">
        <v>159</v>
      </c>
      <c r="AC598" s="679"/>
      <c r="AD598" s="679"/>
      <c r="AE598" s="679"/>
      <c r="AF598" s="680"/>
      <c r="AG598" s="681"/>
      <c r="AH598" s="680"/>
      <c r="AI598" s="681"/>
      <c r="AJ598" s="682"/>
      <c r="AK598" s="683"/>
      <c r="AL598" s="684" t="s">
        <v>162</v>
      </c>
      <c r="AM598" s="685"/>
      <c r="AN598" s="666" t="s">
        <v>162</v>
      </c>
      <c r="AO598" s="667"/>
      <c r="AP598" s="729"/>
      <c r="AQ598" s="730"/>
      <c r="AR598" s="731"/>
      <c r="AS598" s="732"/>
      <c r="AT598" s="690"/>
      <c r="AU598" s="691"/>
      <c r="AV598" s="666" t="s">
        <v>162</v>
      </c>
      <c r="AW598" s="667"/>
      <c r="AX598" s="692"/>
      <c r="AY598" s="693"/>
      <c r="AZ598" s="694"/>
      <c r="BA598" s="735"/>
      <c r="BB598" s="736"/>
      <c r="BC598" s="14"/>
      <c r="BD598" s="695" t="s">
        <v>162</v>
      </c>
      <c r="BE598" s="696"/>
      <c r="BF598" s="739"/>
      <c r="BG598" s="740"/>
      <c r="BH598" s="740"/>
      <c r="BI598" s="741"/>
      <c r="BJ598" s="700" t="s">
        <v>159</v>
      </c>
      <c r="BK598" s="701"/>
      <c r="BL598" s="701"/>
      <c r="BM598" s="702"/>
      <c r="BN598" s="703" t="s">
        <v>159</v>
      </c>
      <c r="BO598" s="704"/>
      <c r="BP598" s="704"/>
      <c r="BQ598" s="704"/>
      <c r="BR598" s="704"/>
      <c r="BS598" s="704"/>
      <c r="BT598" s="704"/>
      <c r="BU598" s="704"/>
      <c r="BV598" s="705"/>
    </row>
    <row r="599" spans="1:74" ht="45" customHeight="1" x14ac:dyDescent="0.25">
      <c r="A599" s="10">
        <f t="shared" si="9"/>
        <v>585</v>
      </c>
      <c r="B599" s="711" t="s">
        <v>159</v>
      </c>
      <c r="C599" s="711"/>
      <c r="D599" s="712" t="s">
        <v>212</v>
      </c>
      <c r="E599" s="712"/>
      <c r="F599" s="664" t="s">
        <v>162</v>
      </c>
      <c r="G599" s="665"/>
      <c r="H599" s="755" t="s">
        <v>162</v>
      </c>
      <c r="I599" s="667"/>
      <c r="J599" s="706"/>
      <c r="K599" s="707"/>
      <c r="L599" s="706"/>
      <c r="M599" s="707"/>
      <c r="N599" s="194"/>
      <c r="O599" s="216"/>
      <c r="P599" s="717"/>
      <c r="Q599" s="718"/>
      <c r="R599" s="719"/>
      <c r="S599" s="720"/>
      <c r="T599" s="721"/>
      <c r="U599" s="722"/>
      <c r="V599" s="723"/>
      <c r="W599" s="724"/>
      <c r="X599" s="725" t="s">
        <v>159</v>
      </c>
      <c r="Y599" s="725"/>
      <c r="Z599" s="725"/>
      <c r="AA599" s="725"/>
      <c r="AB599" s="726" t="s">
        <v>159</v>
      </c>
      <c r="AC599" s="726"/>
      <c r="AD599" s="726"/>
      <c r="AE599" s="726"/>
      <c r="AF599" s="727"/>
      <c r="AG599" s="728"/>
      <c r="AH599" s="727"/>
      <c r="AI599" s="728"/>
      <c r="AJ599" s="686"/>
      <c r="AK599" s="687"/>
      <c r="AL599" s="664" t="s">
        <v>162</v>
      </c>
      <c r="AM599" s="665"/>
      <c r="AN599" s="713" t="s">
        <v>162</v>
      </c>
      <c r="AO599" s="714"/>
      <c r="AP599" s="686"/>
      <c r="AQ599" s="687"/>
      <c r="AR599" s="688"/>
      <c r="AS599" s="689"/>
      <c r="AT599" s="690"/>
      <c r="AU599" s="691"/>
      <c r="AV599" s="713" t="s">
        <v>162</v>
      </c>
      <c r="AW599" s="714"/>
      <c r="AX599" s="692"/>
      <c r="AY599" s="693"/>
      <c r="AZ599" s="694"/>
      <c r="BA599" s="682"/>
      <c r="BB599" s="683"/>
      <c r="BC599" s="219"/>
      <c r="BD599" s="737" t="s">
        <v>162</v>
      </c>
      <c r="BE599" s="738"/>
      <c r="BF599" s="708"/>
      <c r="BG599" s="709"/>
      <c r="BH599" s="709"/>
      <c r="BI599" s="710"/>
      <c r="BJ599" s="742" t="s">
        <v>159</v>
      </c>
      <c r="BK599" s="743"/>
      <c r="BL599" s="743"/>
      <c r="BM599" s="744"/>
      <c r="BN599" s="703" t="s">
        <v>159</v>
      </c>
      <c r="BO599" s="704"/>
      <c r="BP599" s="704"/>
      <c r="BQ599" s="704"/>
      <c r="BR599" s="704"/>
      <c r="BS599" s="704"/>
      <c r="BT599" s="704"/>
      <c r="BU599" s="704"/>
      <c r="BV599" s="705"/>
    </row>
    <row r="600" spans="1:74" ht="45" customHeight="1" x14ac:dyDescent="0.25">
      <c r="A600" s="10">
        <f t="shared" si="9"/>
        <v>586</v>
      </c>
      <c r="B600" s="662" t="s">
        <v>159</v>
      </c>
      <c r="C600" s="662"/>
      <c r="D600" s="663" t="s">
        <v>212</v>
      </c>
      <c r="E600" s="663"/>
      <c r="F600" s="664" t="s">
        <v>162</v>
      </c>
      <c r="G600" s="665"/>
      <c r="H600" s="754" t="s">
        <v>162</v>
      </c>
      <c r="I600" s="714"/>
      <c r="J600" s="340"/>
      <c r="K600" s="341"/>
      <c r="L600" s="340"/>
      <c r="M600" s="341"/>
      <c r="N600" s="215"/>
      <c r="O600" s="196"/>
      <c r="P600" s="670"/>
      <c r="Q600" s="671"/>
      <c r="R600" s="672"/>
      <c r="S600" s="673"/>
      <c r="T600" s="674"/>
      <c r="U600" s="675"/>
      <c r="V600" s="676"/>
      <c r="W600" s="677"/>
      <c r="X600" s="678" t="s">
        <v>159</v>
      </c>
      <c r="Y600" s="678"/>
      <c r="Z600" s="678"/>
      <c r="AA600" s="678"/>
      <c r="AB600" s="679" t="s">
        <v>159</v>
      </c>
      <c r="AC600" s="679"/>
      <c r="AD600" s="679"/>
      <c r="AE600" s="679"/>
      <c r="AF600" s="680"/>
      <c r="AG600" s="681"/>
      <c r="AH600" s="680"/>
      <c r="AI600" s="681"/>
      <c r="AJ600" s="682"/>
      <c r="AK600" s="683"/>
      <c r="AL600" s="684" t="s">
        <v>162</v>
      </c>
      <c r="AM600" s="685"/>
      <c r="AN600" s="666" t="s">
        <v>162</v>
      </c>
      <c r="AO600" s="667"/>
      <c r="AP600" s="729"/>
      <c r="AQ600" s="730"/>
      <c r="AR600" s="731"/>
      <c r="AS600" s="732"/>
      <c r="AT600" s="690"/>
      <c r="AU600" s="691"/>
      <c r="AV600" s="666" t="s">
        <v>162</v>
      </c>
      <c r="AW600" s="667"/>
      <c r="AX600" s="692"/>
      <c r="AY600" s="693"/>
      <c r="AZ600" s="694"/>
      <c r="BA600" s="735"/>
      <c r="BB600" s="736"/>
      <c r="BC600" s="14"/>
      <c r="BD600" s="695" t="s">
        <v>162</v>
      </c>
      <c r="BE600" s="696"/>
      <c r="BF600" s="739"/>
      <c r="BG600" s="740"/>
      <c r="BH600" s="740"/>
      <c r="BI600" s="741"/>
      <c r="BJ600" s="700" t="s">
        <v>159</v>
      </c>
      <c r="BK600" s="701"/>
      <c r="BL600" s="701"/>
      <c r="BM600" s="702"/>
      <c r="BN600" s="703" t="s">
        <v>159</v>
      </c>
      <c r="BO600" s="704"/>
      <c r="BP600" s="704"/>
      <c r="BQ600" s="704"/>
      <c r="BR600" s="704"/>
      <c r="BS600" s="704"/>
      <c r="BT600" s="704"/>
      <c r="BU600" s="704"/>
      <c r="BV600" s="705"/>
    </row>
    <row r="601" spans="1:74" ht="45" customHeight="1" x14ac:dyDescent="0.25">
      <c r="A601" s="10">
        <f t="shared" si="9"/>
        <v>587</v>
      </c>
      <c r="B601" s="711" t="s">
        <v>159</v>
      </c>
      <c r="C601" s="711"/>
      <c r="D601" s="712" t="s">
        <v>212</v>
      </c>
      <c r="E601" s="712"/>
      <c r="F601" s="664" t="s">
        <v>162</v>
      </c>
      <c r="G601" s="665"/>
      <c r="H601" s="755" t="s">
        <v>162</v>
      </c>
      <c r="I601" s="667"/>
      <c r="J601" s="706"/>
      <c r="K601" s="707"/>
      <c r="L601" s="706"/>
      <c r="M601" s="707"/>
      <c r="N601" s="194"/>
      <c r="O601" s="216"/>
      <c r="P601" s="717"/>
      <c r="Q601" s="718"/>
      <c r="R601" s="719"/>
      <c r="S601" s="720"/>
      <c r="T601" s="721"/>
      <c r="U601" s="722"/>
      <c r="V601" s="723"/>
      <c r="W601" s="724"/>
      <c r="X601" s="725" t="s">
        <v>159</v>
      </c>
      <c r="Y601" s="725"/>
      <c r="Z601" s="725"/>
      <c r="AA601" s="725"/>
      <c r="AB601" s="726" t="s">
        <v>159</v>
      </c>
      <c r="AC601" s="726"/>
      <c r="AD601" s="726"/>
      <c r="AE601" s="726"/>
      <c r="AF601" s="727"/>
      <c r="AG601" s="728"/>
      <c r="AH601" s="727"/>
      <c r="AI601" s="728"/>
      <c r="AJ601" s="686"/>
      <c r="AK601" s="687"/>
      <c r="AL601" s="664" t="s">
        <v>162</v>
      </c>
      <c r="AM601" s="665"/>
      <c r="AN601" s="713" t="s">
        <v>162</v>
      </c>
      <c r="AO601" s="714"/>
      <c r="AP601" s="686"/>
      <c r="AQ601" s="687"/>
      <c r="AR601" s="688"/>
      <c r="AS601" s="689"/>
      <c r="AT601" s="690"/>
      <c r="AU601" s="691"/>
      <c r="AV601" s="713" t="s">
        <v>162</v>
      </c>
      <c r="AW601" s="714"/>
      <c r="AX601" s="692"/>
      <c r="AY601" s="693"/>
      <c r="AZ601" s="694"/>
      <c r="BA601" s="682"/>
      <c r="BB601" s="683"/>
      <c r="BC601" s="219"/>
      <c r="BD601" s="737" t="s">
        <v>162</v>
      </c>
      <c r="BE601" s="738"/>
      <c r="BF601" s="697"/>
      <c r="BG601" s="698"/>
      <c r="BH601" s="698"/>
      <c r="BI601" s="699"/>
      <c r="BJ601" s="742" t="s">
        <v>159</v>
      </c>
      <c r="BK601" s="743"/>
      <c r="BL601" s="743"/>
      <c r="BM601" s="744"/>
      <c r="BN601" s="703" t="s">
        <v>159</v>
      </c>
      <c r="BO601" s="704"/>
      <c r="BP601" s="704"/>
      <c r="BQ601" s="704"/>
      <c r="BR601" s="704"/>
      <c r="BS601" s="704"/>
      <c r="BT601" s="704"/>
      <c r="BU601" s="704"/>
      <c r="BV601" s="705"/>
    </row>
    <row r="602" spans="1:74" ht="45" customHeight="1" x14ac:dyDescent="0.25">
      <c r="A602" s="10">
        <f t="shared" si="9"/>
        <v>588</v>
      </c>
      <c r="B602" s="662" t="s">
        <v>159</v>
      </c>
      <c r="C602" s="662"/>
      <c r="D602" s="663" t="s">
        <v>212</v>
      </c>
      <c r="E602" s="663"/>
      <c r="F602" s="664" t="s">
        <v>162</v>
      </c>
      <c r="G602" s="665"/>
      <c r="H602" s="754" t="s">
        <v>162</v>
      </c>
      <c r="I602" s="714"/>
      <c r="J602" s="340"/>
      <c r="K602" s="341"/>
      <c r="L602" s="340"/>
      <c r="M602" s="341"/>
      <c r="N602" s="215"/>
      <c r="O602" s="196"/>
      <c r="P602" s="670"/>
      <c r="Q602" s="671"/>
      <c r="R602" s="672"/>
      <c r="S602" s="673"/>
      <c r="T602" s="674"/>
      <c r="U602" s="675"/>
      <c r="V602" s="676"/>
      <c r="W602" s="677"/>
      <c r="X602" s="678" t="s">
        <v>159</v>
      </c>
      <c r="Y602" s="678"/>
      <c r="Z602" s="678"/>
      <c r="AA602" s="678"/>
      <c r="AB602" s="679" t="s">
        <v>159</v>
      </c>
      <c r="AC602" s="679"/>
      <c r="AD602" s="679"/>
      <c r="AE602" s="679"/>
      <c r="AF602" s="680"/>
      <c r="AG602" s="681"/>
      <c r="AH602" s="680"/>
      <c r="AI602" s="681"/>
      <c r="AJ602" s="682"/>
      <c r="AK602" s="683"/>
      <c r="AL602" s="684" t="s">
        <v>162</v>
      </c>
      <c r="AM602" s="685"/>
      <c r="AN602" s="666" t="s">
        <v>162</v>
      </c>
      <c r="AO602" s="667"/>
      <c r="AP602" s="729"/>
      <c r="AQ602" s="730"/>
      <c r="AR602" s="731"/>
      <c r="AS602" s="732"/>
      <c r="AT602" s="690"/>
      <c r="AU602" s="691"/>
      <c r="AV602" s="666" t="s">
        <v>162</v>
      </c>
      <c r="AW602" s="667"/>
      <c r="AX602" s="692"/>
      <c r="AY602" s="693"/>
      <c r="AZ602" s="694"/>
      <c r="BA602" s="735"/>
      <c r="BB602" s="736"/>
      <c r="BC602" s="14"/>
      <c r="BD602" s="695" t="s">
        <v>162</v>
      </c>
      <c r="BE602" s="696"/>
      <c r="BF602" s="739"/>
      <c r="BG602" s="740"/>
      <c r="BH602" s="740"/>
      <c r="BI602" s="741"/>
      <c r="BJ602" s="700" t="s">
        <v>159</v>
      </c>
      <c r="BK602" s="701"/>
      <c r="BL602" s="701"/>
      <c r="BM602" s="702"/>
      <c r="BN602" s="703" t="s">
        <v>159</v>
      </c>
      <c r="BO602" s="704"/>
      <c r="BP602" s="704"/>
      <c r="BQ602" s="704"/>
      <c r="BR602" s="704"/>
      <c r="BS602" s="704"/>
      <c r="BT602" s="704"/>
      <c r="BU602" s="704"/>
      <c r="BV602" s="705"/>
    </row>
    <row r="603" spans="1:74" ht="45" customHeight="1" x14ac:dyDescent="0.25">
      <c r="A603" s="10">
        <f t="shared" si="9"/>
        <v>589</v>
      </c>
      <c r="B603" s="711" t="s">
        <v>159</v>
      </c>
      <c r="C603" s="711"/>
      <c r="D603" s="712" t="s">
        <v>212</v>
      </c>
      <c r="E603" s="712"/>
      <c r="F603" s="664" t="s">
        <v>162</v>
      </c>
      <c r="G603" s="665"/>
      <c r="H603" s="755" t="s">
        <v>162</v>
      </c>
      <c r="I603" s="667"/>
      <c r="J603" s="706"/>
      <c r="K603" s="707"/>
      <c r="L603" s="706"/>
      <c r="M603" s="707"/>
      <c r="N603" s="194"/>
      <c r="O603" s="216"/>
      <c r="P603" s="717"/>
      <c r="Q603" s="718"/>
      <c r="R603" s="719"/>
      <c r="S603" s="720"/>
      <c r="T603" s="721"/>
      <c r="U603" s="722"/>
      <c r="V603" s="723"/>
      <c r="W603" s="724"/>
      <c r="X603" s="725" t="s">
        <v>159</v>
      </c>
      <c r="Y603" s="725"/>
      <c r="Z603" s="725"/>
      <c r="AA603" s="725"/>
      <c r="AB603" s="726" t="s">
        <v>159</v>
      </c>
      <c r="AC603" s="726"/>
      <c r="AD603" s="726"/>
      <c r="AE603" s="726"/>
      <c r="AF603" s="727"/>
      <c r="AG603" s="728"/>
      <c r="AH603" s="727"/>
      <c r="AI603" s="728"/>
      <c r="AJ603" s="686"/>
      <c r="AK603" s="687"/>
      <c r="AL603" s="664" t="s">
        <v>162</v>
      </c>
      <c r="AM603" s="665"/>
      <c r="AN603" s="713" t="s">
        <v>162</v>
      </c>
      <c r="AO603" s="714"/>
      <c r="AP603" s="686"/>
      <c r="AQ603" s="687"/>
      <c r="AR603" s="688"/>
      <c r="AS603" s="689"/>
      <c r="AT603" s="690"/>
      <c r="AU603" s="691"/>
      <c r="AV603" s="713" t="s">
        <v>162</v>
      </c>
      <c r="AW603" s="714"/>
      <c r="AX603" s="692"/>
      <c r="AY603" s="693"/>
      <c r="AZ603" s="694"/>
      <c r="BA603" s="682"/>
      <c r="BB603" s="683"/>
      <c r="BC603" s="219"/>
      <c r="BD603" s="737" t="s">
        <v>162</v>
      </c>
      <c r="BE603" s="738"/>
      <c r="BF603" s="708"/>
      <c r="BG603" s="709"/>
      <c r="BH603" s="709"/>
      <c r="BI603" s="710"/>
      <c r="BJ603" s="742" t="s">
        <v>159</v>
      </c>
      <c r="BK603" s="743"/>
      <c r="BL603" s="743"/>
      <c r="BM603" s="744"/>
      <c r="BN603" s="703" t="s">
        <v>159</v>
      </c>
      <c r="BO603" s="704"/>
      <c r="BP603" s="704"/>
      <c r="BQ603" s="704"/>
      <c r="BR603" s="704"/>
      <c r="BS603" s="704"/>
      <c r="BT603" s="704"/>
      <c r="BU603" s="704"/>
      <c r="BV603" s="705"/>
    </row>
    <row r="604" spans="1:74" ht="45" customHeight="1" x14ac:dyDescent="0.25">
      <c r="A604" s="10">
        <f t="shared" si="9"/>
        <v>590</v>
      </c>
      <c r="B604" s="662" t="s">
        <v>159</v>
      </c>
      <c r="C604" s="662"/>
      <c r="D604" s="663" t="s">
        <v>212</v>
      </c>
      <c r="E604" s="663"/>
      <c r="F604" s="664" t="s">
        <v>162</v>
      </c>
      <c r="G604" s="665"/>
      <c r="H604" s="754" t="s">
        <v>162</v>
      </c>
      <c r="I604" s="714"/>
      <c r="J604" s="340"/>
      <c r="K604" s="341"/>
      <c r="L604" s="340"/>
      <c r="M604" s="341"/>
      <c r="N604" s="215"/>
      <c r="O604" s="196"/>
      <c r="P604" s="670"/>
      <c r="Q604" s="671"/>
      <c r="R604" s="672"/>
      <c r="S604" s="673"/>
      <c r="T604" s="674"/>
      <c r="U604" s="675"/>
      <c r="V604" s="676"/>
      <c r="W604" s="677"/>
      <c r="X604" s="678" t="s">
        <v>159</v>
      </c>
      <c r="Y604" s="678"/>
      <c r="Z604" s="678"/>
      <c r="AA604" s="678"/>
      <c r="AB604" s="679" t="s">
        <v>159</v>
      </c>
      <c r="AC604" s="679"/>
      <c r="AD604" s="679"/>
      <c r="AE604" s="679"/>
      <c r="AF604" s="680"/>
      <c r="AG604" s="681"/>
      <c r="AH604" s="680"/>
      <c r="AI604" s="681"/>
      <c r="AJ604" s="682"/>
      <c r="AK604" s="683"/>
      <c r="AL604" s="684" t="s">
        <v>162</v>
      </c>
      <c r="AM604" s="685"/>
      <c r="AN604" s="666" t="s">
        <v>162</v>
      </c>
      <c r="AO604" s="667"/>
      <c r="AP604" s="729"/>
      <c r="AQ604" s="730"/>
      <c r="AR604" s="731"/>
      <c r="AS604" s="732"/>
      <c r="AT604" s="690"/>
      <c r="AU604" s="691"/>
      <c r="AV604" s="666" t="s">
        <v>162</v>
      </c>
      <c r="AW604" s="667"/>
      <c r="AX604" s="692"/>
      <c r="AY604" s="693"/>
      <c r="AZ604" s="694"/>
      <c r="BA604" s="735"/>
      <c r="BB604" s="736"/>
      <c r="BC604" s="14"/>
      <c r="BD604" s="695" t="s">
        <v>162</v>
      </c>
      <c r="BE604" s="696"/>
      <c r="BF604" s="739"/>
      <c r="BG604" s="740"/>
      <c r="BH604" s="740"/>
      <c r="BI604" s="741"/>
      <c r="BJ604" s="700" t="s">
        <v>159</v>
      </c>
      <c r="BK604" s="701"/>
      <c r="BL604" s="701"/>
      <c r="BM604" s="702"/>
      <c r="BN604" s="703" t="s">
        <v>159</v>
      </c>
      <c r="BO604" s="704"/>
      <c r="BP604" s="704"/>
      <c r="BQ604" s="704"/>
      <c r="BR604" s="704"/>
      <c r="BS604" s="704"/>
      <c r="BT604" s="704"/>
      <c r="BU604" s="704"/>
      <c r="BV604" s="705"/>
    </row>
    <row r="605" spans="1:74" ht="45" customHeight="1" x14ac:dyDescent="0.25">
      <c r="A605" s="10">
        <f t="shared" si="9"/>
        <v>591</v>
      </c>
      <c r="B605" s="711" t="s">
        <v>159</v>
      </c>
      <c r="C605" s="711"/>
      <c r="D605" s="712" t="s">
        <v>212</v>
      </c>
      <c r="E605" s="712"/>
      <c r="F605" s="664" t="s">
        <v>162</v>
      </c>
      <c r="G605" s="665"/>
      <c r="H605" s="755" t="s">
        <v>162</v>
      </c>
      <c r="I605" s="667"/>
      <c r="J605" s="706"/>
      <c r="K605" s="707"/>
      <c r="L605" s="706"/>
      <c r="M605" s="707"/>
      <c r="N605" s="194"/>
      <c r="O605" s="216"/>
      <c r="P605" s="717"/>
      <c r="Q605" s="718"/>
      <c r="R605" s="719"/>
      <c r="S605" s="720"/>
      <c r="T605" s="721"/>
      <c r="U605" s="722"/>
      <c r="V605" s="723"/>
      <c r="W605" s="724"/>
      <c r="X605" s="725" t="s">
        <v>159</v>
      </c>
      <c r="Y605" s="725"/>
      <c r="Z605" s="725"/>
      <c r="AA605" s="725"/>
      <c r="AB605" s="726" t="s">
        <v>159</v>
      </c>
      <c r="AC605" s="726"/>
      <c r="AD605" s="726"/>
      <c r="AE605" s="726"/>
      <c r="AF605" s="727"/>
      <c r="AG605" s="728"/>
      <c r="AH605" s="727"/>
      <c r="AI605" s="728"/>
      <c r="AJ605" s="686"/>
      <c r="AK605" s="687"/>
      <c r="AL605" s="664" t="s">
        <v>162</v>
      </c>
      <c r="AM605" s="665"/>
      <c r="AN605" s="713" t="s">
        <v>162</v>
      </c>
      <c r="AO605" s="714"/>
      <c r="AP605" s="686"/>
      <c r="AQ605" s="687"/>
      <c r="AR605" s="688"/>
      <c r="AS605" s="689"/>
      <c r="AT605" s="690"/>
      <c r="AU605" s="691"/>
      <c r="AV605" s="713" t="s">
        <v>162</v>
      </c>
      <c r="AW605" s="714"/>
      <c r="AX605" s="692"/>
      <c r="AY605" s="693"/>
      <c r="AZ605" s="694"/>
      <c r="BA605" s="682"/>
      <c r="BB605" s="683"/>
      <c r="BC605" s="219"/>
      <c r="BD605" s="737" t="s">
        <v>162</v>
      </c>
      <c r="BE605" s="738"/>
      <c r="BF605" s="708"/>
      <c r="BG605" s="709"/>
      <c r="BH605" s="709"/>
      <c r="BI605" s="710"/>
      <c r="BJ605" s="742" t="s">
        <v>159</v>
      </c>
      <c r="BK605" s="743"/>
      <c r="BL605" s="743"/>
      <c r="BM605" s="744"/>
      <c r="BN605" s="703" t="s">
        <v>159</v>
      </c>
      <c r="BO605" s="704"/>
      <c r="BP605" s="704"/>
      <c r="BQ605" s="704"/>
      <c r="BR605" s="704"/>
      <c r="BS605" s="704"/>
      <c r="BT605" s="704"/>
      <c r="BU605" s="704"/>
      <c r="BV605" s="705"/>
    </row>
    <row r="606" spans="1:74" ht="45" customHeight="1" x14ac:dyDescent="0.25">
      <c r="A606" s="10">
        <f t="shared" si="9"/>
        <v>592</v>
      </c>
      <c r="B606" s="662" t="s">
        <v>159</v>
      </c>
      <c r="C606" s="662"/>
      <c r="D606" s="663" t="s">
        <v>212</v>
      </c>
      <c r="E606" s="663"/>
      <c r="F606" s="664" t="s">
        <v>162</v>
      </c>
      <c r="G606" s="665"/>
      <c r="H606" s="754" t="s">
        <v>162</v>
      </c>
      <c r="I606" s="714"/>
      <c r="J606" s="340"/>
      <c r="K606" s="341"/>
      <c r="L606" s="340"/>
      <c r="M606" s="341"/>
      <c r="N606" s="215"/>
      <c r="O606" s="196"/>
      <c r="P606" s="670"/>
      <c r="Q606" s="671"/>
      <c r="R606" s="672"/>
      <c r="S606" s="673"/>
      <c r="T606" s="674"/>
      <c r="U606" s="675"/>
      <c r="V606" s="676"/>
      <c r="W606" s="677"/>
      <c r="X606" s="678" t="s">
        <v>159</v>
      </c>
      <c r="Y606" s="678"/>
      <c r="Z606" s="678"/>
      <c r="AA606" s="678"/>
      <c r="AB606" s="679" t="s">
        <v>159</v>
      </c>
      <c r="AC606" s="679"/>
      <c r="AD606" s="679"/>
      <c r="AE606" s="679"/>
      <c r="AF606" s="680"/>
      <c r="AG606" s="681"/>
      <c r="AH606" s="680"/>
      <c r="AI606" s="681"/>
      <c r="AJ606" s="682"/>
      <c r="AK606" s="683"/>
      <c r="AL606" s="684" t="s">
        <v>162</v>
      </c>
      <c r="AM606" s="685"/>
      <c r="AN606" s="666" t="s">
        <v>162</v>
      </c>
      <c r="AO606" s="667"/>
      <c r="AP606" s="729"/>
      <c r="AQ606" s="730"/>
      <c r="AR606" s="731"/>
      <c r="AS606" s="732"/>
      <c r="AT606" s="690"/>
      <c r="AU606" s="691"/>
      <c r="AV606" s="666" t="s">
        <v>162</v>
      </c>
      <c r="AW606" s="667"/>
      <c r="AX606" s="692"/>
      <c r="AY606" s="693"/>
      <c r="AZ606" s="694"/>
      <c r="BA606" s="735"/>
      <c r="BB606" s="736"/>
      <c r="BC606" s="14"/>
      <c r="BD606" s="695" t="s">
        <v>162</v>
      </c>
      <c r="BE606" s="696"/>
      <c r="BF606" s="739"/>
      <c r="BG606" s="740"/>
      <c r="BH606" s="740"/>
      <c r="BI606" s="741"/>
      <c r="BJ606" s="700" t="s">
        <v>159</v>
      </c>
      <c r="BK606" s="701"/>
      <c r="BL606" s="701"/>
      <c r="BM606" s="702"/>
      <c r="BN606" s="703" t="s">
        <v>159</v>
      </c>
      <c r="BO606" s="704"/>
      <c r="BP606" s="704"/>
      <c r="BQ606" s="704"/>
      <c r="BR606" s="704"/>
      <c r="BS606" s="704"/>
      <c r="BT606" s="704"/>
      <c r="BU606" s="704"/>
      <c r="BV606" s="705"/>
    </row>
    <row r="607" spans="1:74" ht="45" customHeight="1" x14ac:dyDescent="0.25">
      <c r="A607" s="10">
        <f t="shared" si="9"/>
        <v>593</v>
      </c>
      <c r="B607" s="662" t="s">
        <v>159</v>
      </c>
      <c r="C607" s="662"/>
      <c r="D607" s="663" t="s">
        <v>212</v>
      </c>
      <c r="E607" s="663"/>
      <c r="F607" s="664" t="s">
        <v>162</v>
      </c>
      <c r="G607" s="665"/>
      <c r="H607" s="755" t="s">
        <v>162</v>
      </c>
      <c r="I607" s="667"/>
      <c r="J607" s="706"/>
      <c r="K607" s="707"/>
      <c r="L607" s="706"/>
      <c r="M607" s="707"/>
      <c r="N607" s="194"/>
      <c r="O607" s="196"/>
      <c r="P607" s="670"/>
      <c r="Q607" s="671"/>
      <c r="R607" s="672"/>
      <c r="S607" s="673"/>
      <c r="T607" s="674"/>
      <c r="U607" s="675"/>
      <c r="V607" s="676"/>
      <c r="W607" s="677"/>
      <c r="X607" s="678" t="s">
        <v>159</v>
      </c>
      <c r="Y607" s="678"/>
      <c r="Z607" s="678"/>
      <c r="AA607" s="678"/>
      <c r="AB607" s="679" t="s">
        <v>159</v>
      </c>
      <c r="AC607" s="679"/>
      <c r="AD607" s="679"/>
      <c r="AE607" s="679"/>
      <c r="AF607" s="680"/>
      <c r="AG607" s="681"/>
      <c r="AH607" s="680"/>
      <c r="AI607" s="681"/>
      <c r="AJ607" s="686"/>
      <c r="AK607" s="687"/>
      <c r="AL607" s="684" t="s">
        <v>162</v>
      </c>
      <c r="AM607" s="685"/>
      <c r="AN607" s="666" t="s">
        <v>162</v>
      </c>
      <c r="AO607" s="667"/>
      <c r="AP607" s="686"/>
      <c r="AQ607" s="687"/>
      <c r="AR607" s="688"/>
      <c r="AS607" s="689"/>
      <c r="AT607" s="690"/>
      <c r="AU607" s="691"/>
      <c r="AV607" s="666" t="s">
        <v>162</v>
      </c>
      <c r="AW607" s="667"/>
      <c r="AX607" s="692"/>
      <c r="AY607" s="693"/>
      <c r="AZ607" s="694"/>
      <c r="BA607" s="682"/>
      <c r="BB607" s="683"/>
      <c r="BC607" s="14"/>
      <c r="BD607" s="695" t="s">
        <v>162</v>
      </c>
      <c r="BE607" s="696"/>
      <c r="BF607" s="697"/>
      <c r="BG607" s="698"/>
      <c r="BH607" s="698"/>
      <c r="BI607" s="699"/>
      <c r="BJ607" s="700" t="s">
        <v>159</v>
      </c>
      <c r="BK607" s="701"/>
      <c r="BL607" s="701"/>
      <c r="BM607" s="702"/>
      <c r="BN607" s="703" t="s">
        <v>159</v>
      </c>
      <c r="BO607" s="704"/>
      <c r="BP607" s="704"/>
      <c r="BQ607" s="704"/>
      <c r="BR607" s="704"/>
      <c r="BS607" s="704"/>
      <c r="BT607" s="704"/>
      <c r="BU607" s="704"/>
      <c r="BV607" s="705"/>
    </row>
    <row r="608" spans="1:74" ht="45" customHeight="1" x14ac:dyDescent="0.25">
      <c r="A608" s="10">
        <f t="shared" si="9"/>
        <v>594</v>
      </c>
      <c r="B608" s="711" t="s">
        <v>159</v>
      </c>
      <c r="C608" s="711"/>
      <c r="D608" s="712" t="s">
        <v>212</v>
      </c>
      <c r="E608" s="712"/>
      <c r="F608" s="664" t="s">
        <v>162</v>
      </c>
      <c r="G608" s="665"/>
      <c r="H608" s="754" t="s">
        <v>162</v>
      </c>
      <c r="I608" s="714"/>
      <c r="J608" s="340"/>
      <c r="K608" s="341"/>
      <c r="L608" s="340"/>
      <c r="M608" s="341"/>
      <c r="N608" s="215"/>
      <c r="O608" s="216"/>
      <c r="P608" s="717"/>
      <c r="Q608" s="718"/>
      <c r="R608" s="719"/>
      <c r="S608" s="720"/>
      <c r="T608" s="721"/>
      <c r="U608" s="722"/>
      <c r="V608" s="723"/>
      <c r="W608" s="724"/>
      <c r="X608" s="725" t="s">
        <v>159</v>
      </c>
      <c r="Y608" s="725"/>
      <c r="Z608" s="725"/>
      <c r="AA608" s="725"/>
      <c r="AB608" s="726" t="s">
        <v>159</v>
      </c>
      <c r="AC608" s="726"/>
      <c r="AD608" s="726"/>
      <c r="AE608" s="726"/>
      <c r="AF608" s="727"/>
      <c r="AG608" s="728"/>
      <c r="AH608" s="727"/>
      <c r="AI608" s="728"/>
      <c r="AJ608" s="682"/>
      <c r="AK608" s="683"/>
      <c r="AL608" s="664" t="s">
        <v>162</v>
      </c>
      <c r="AM608" s="665"/>
      <c r="AN608" s="713" t="s">
        <v>162</v>
      </c>
      <c r="AO608" s="714"/>
      <c r="AP608" s="729"/>
      <c r="AQ608" s="730"/>
      <c r="AR608" s="731"/>
      <c r="AS608" s="732"/>
      <c r="AT608" s="690"/>
      <c r="AU608" s="691"/>
      <c r="AV608" s="713" t="s">
        <v>162</v>
      </c>
      <c r="AW608" s="714"/>
      <c r="AX608" s="692"/>
      <c r="AY608" s="693"/>
      <c r="AZ608" s="694"/>
      <c r="BA608" s="735"/>
      <c r="BB608" s="736"/>
      <c r="BC608" s="219"/>
      <c r="BD608" s="737" t="s">
        <v>162</v>
      </c>
      <c r="BE608" s="738"/>
      <c r="BF608" s="739"/>
      <c r="BG608" s="740"/>
      <c r="BH608" s="740"/>
      <c r="BI608" s="741"/>
      <c r="BJ608" s="742" t="s">
        <v>159</v>
      </c>
      <c r="BK608" s="743"/>
      <c r="BL608" s="743"/>
      <c r="BM608" s="744"/>
      <c r="BN608" s="703" t="s">
        <v>159</v>
      </c>
      <c r="BO608" s="704"/>
      <c r="BP608" s="704"/>
      <c r="BQ608" s="704"/>
      <c r="BR608" s="704"/>
      <c r="BS608" s="704"/>
      <c r="BT608" s="704"/>
      <c r="BU608" s="704"/>
      <c r="BV608" s="705"/>
    </row>
    <row r="609" spans="1:74" ht="45" customHeight="1" x14ac:dyDescent="0.25">
      <c r="A609" s="10">
        <f t="shared" si="9"/>
        <v>595</v>
      </c>
      <c r="B609" s="662" t="s">
        <v>159</v>
      </c>
      <c r="C609" s="662"/>
      <c r="D609" s="663" t="s">
        <v>212</v>
      </c>
      <c r="E609" s="663"/>
      <c r="F609" s="664" t="s">
        <v>162</v>
      </c>
      <c r="G609" s="665"/>
      <c r="H609" s="755" t="s">
        <v>162</v>
      </c>
      <c r="I609" s="667"/>
      <c r="J609" s="706"/>
      <c r="K609" s="707"/>
      <c r="L609" s="706"/>
      <c r="M609" s="707"/>
      <c r="N609" s="194"/>
      <c r="O609" s="196"/>
      <c r="P609" s="670"/>
      <c r="Q609" s="671"/>
      <c r="R609" s="672"/>
      <c r="S609" s="673"/>
      <c r="T609" s="674"/>
      <c r="U609" s="675"/>
      <c r="V609" s="676"/>
      <c r="W609" s="677"/>
      <c r="X609" s="678" t="s">
        <v>159</v>
      </c>
      <c r="Y609" s="678"/>
      <c r="Z609" s="678"/>
      <c r="AA609" s="678"/>
      <c r="AB609" s="679" t="s">
        <v>159</v>
      </c>
      <c r="AC609" s="679"/>
      <c r="AD609" s="679"/>
      <c r="AE609" s="679"/>
      <c r="AF609" s="680"/>
      <c r="AG609" s="681"/>
      <c r="AH609" s="680"/>
      <c r="AI609" s="681"/>
      <c r="AJ609" s="686"/>
      <c r="AK609" s="687"/>
      <c r="AL609" s="684" t="s">
        <v>162</v>
      </c>
      <c r="AM609" s="685"/>
      <c r="AN609" s="666" t="s">
        <v>162</v>
      </c>
      <c r="AO609" s="667"/>
      <c r="AP609" s="686"/>
      <c r="AQ609" s="687"/>
      <c r="AR609" s="688"/>
      <c r="AS609" s="689"/>
      <c r="AT609" s="690"/>
      <c r="AU609" s="691"/>
      <c r="AV609" s="666" t="s">
        <v>162</v>
      </c>
      <c r="AW609" s="667"/>
      <c r="AX609" s="692"/>
      <c r="AY609" s="693"/>
      <c r="AZ609" s="694"/>
      <c r="BA609" s="682"/>
      <c r="BB609" s="683"/>
      <c r="BC609" s="14"/>
      <c r="BD609" s="695" t="s">
        <v>162</v>
      </c>
      <c r="BE609" s="696"/>
      <c r="BF609" s="708"/>
      <c r="BG609" s="709"/>
      <c r="BH609" s="709"/>
      <c r="BI609" s="710"/>
      <c r="BJ609" s="700" t="s">
        <v>159</v>
      </c>
      <c r="BK609" s="701"/>
      <c r="BL609" s="701"/>
      <c r="BM609" s="702"/>
      <c r="BN609" s="703" t="s">
        <v>159</v>
      </c>
      <c r="BO609" s="704"/>
      <c r="BP609" s="704"/>
      <c r="BQ609" s="704"/>
      <c r="BR609" s="704"/>
      <c r="BS609" s="704"/>
      <c r="BT609" s="704"/>
      <c r="BU609" s="704"/>
      <c r="BV609" s="705"/>
    </row>
    <row r="610" spans="1:74" ht="45" customHeight="1" x14ac:dyDescent="0.25">
      <c r="A610" s="10">
        <f t="shared" si="9"/>
        <v>596</v>
      </c>
      <c r="B610" s="662" t="s">
        <v>159</v>
      </c>
      <c r="C610" s="662"/>
      <c r="D610" s="663" t="s">
        <v>212</v>
      </c>
      <c r="E610" s="663"/>
      <c r="F610" s="664" t="s">
        <v>162</v>
      </c>
      <c r="G610" s="665"/>
      <c r="H610" s="754" t="s">
        <v>162</v>
      </c>
      <c r="I610" s="714"/>
      <c r="J610" s="340"/>
      <c r="K610" s="341"/>
      <c r="L610" s="340"/>
      <c r="M610" s="341"/>
      <c r="N610" s="215"/>
      <c r="O610" s="196"/>
      <c r="P610" s="717"/>
      <c r="Q610" s="718"/>
      <c r="R610" s="672"/>
      <c r="S610" s="673"/>
      <c r="T610" s="674"/>
      <c r="U610" s="675"/>
      <c r="V610" s="676"/>
      <c r="W610" s="677"/>
      <c r="X610" s="678" t="s">
        <v>159</v>
      </c>
      <c r="Y610" s="678"/>
      <c r="Z610" s="678"/>
      <c r="AA610" s="678"/>
      <c r="AB610" s="679" t="s">
        <v>159</v>
      </c>
      <c r="AC610" s="679"/>
      <c r="AD610" s="679"/>
      <c r="AE610" s="679"/>
      <c r="AF610" s="680"/>
      <c r="AG610" s="681"/>
      <c r="AH610" s="680"/>
      <c r="AI610" s="681"/>
      <c r="AJ610" s="682"/>
      <c r="AK610" s="683"/>
      <c r="AL610" s="684" t="s">
        <v>162</v>
      </c>
      <c r="AM610" s="685"/>
      <c r="AN610" s="666" t="s">
        <v>162</v>
      </c>
      <c r="AO610" s="667"/>
      <c r="AP610" s="729"/>
      <c r="AQ610" s="730"/>
      <c r="AR610" s="731"/>
      <c r="AS610" s="732"/>
      <c r="AT610" s="690"/>
      <c r="AU610" s="691"/>
      <c r="AV610" s="666" t="s">
        <v>162</v>
      </c>
      <c r="AW610" s="667"/>
      <c r="AX610" s="692"/>
      <c r="AY610" s="693"/>
      <c r="AZ610" s="694"/>
      <c r="BA610" s="735"/>
      <c r="BB610" s="736"/>
      <c r="BC610" s="14"/>
      <c r="BD610" s="695" t="s">
        <v>162</v>
      </c>
      <c r="BE610" s="696"/>
      <c r="BF610" s="739"/>
      <c r="BG610" s="740"/>
      <c r="BH610" s="740"/>
      <c r="BI610" s="741"/>
      <c r="BJ610" s="700" t="s">
        <v>159</v>
      </c>
      <c r="BK610" s="701"/>
      <c r="BL610" s="701"/>
      <c r="BM610" s="702"/>
      <c r="BN610" s="703" t="s">
        <v>159</v>
      </c>
      <c r="BO610" s="704"/>
      <c r="BP610" s="704"/>
      <c r="BQ610" s="704"/>
      <c r="BR610" s="704"/>
      <c r="BS610" s="704"/>
      <c r="BT610" s="704"/>
      <c r="BU610" s="704"/>
      <c r="BV610" s="705"/>
    </row>
    <row r="611" spans="1:74" ht="45" customHeight="1" x14ac:dyDescent="0.25">
      <c r="A611" s="10">
        <f t="shared" si="9"/>
        <v>597</v>
      </c>
      <c r="B611" s="711" t="s">
        <v>159</v>
      </c>
      <c r="C611" s="711"/>
      <c r="D611" s="712" t="s">
        <v>212</v>
      </c>
      <c r="E611" s="712"/>
      <c r="F611" s="664" t="s">
        <v>162</v>
      </c>
      <c r="G611" s="665"/>
      <c r="H611" s="755" t="s">
        <v>162</v>
      </c>
      <c r="I611" s="667"/>
      <c r="J611" s="706"/>
      <c r="K611" s="707"/>
      <c r="L611" s="706"/>
      <c r="M611" s="707"/>
      <c r="N611" s="194"/>
      <c r="O611" s="216"/>
      <c r="P611" s="670"/>
      <c r="Q611" s="671"/>
      <c r="R611" s="719"/>
      <c r="S611" s="720"/>
      <c r="T611" s="721"/>
      <c r="U611" s="722"/>
      <c r="V611" s="723"/>
      <c r="W611" s="724"/>
      <c r="X611" s="725" t="s">
        <v>159</v>
      </c>
      <c r="Y611" s="725"/>
      <c r="Z611" s="725"/>
      <c r="AA611" s="725"/>
      <c r="AB611" s="726" t="s">
        <v>159</v>
      </c>
      <c r="AC611" s="726"/>
      <c r="AD611" s="726"/>
      <c r="AE611" s="726"/>
      <c r="AF611" s="727"/>
      <c r="AG611" s="728"/>
      <c r="AH611" s="727"/>
      <c r="AI611" s="728"/>
      <c r="AJ611" s="686"/>
      <c r="AK611" s="687"/>
      <c r="AL611" s="664" t="s">
        <v>162</v>
      </c>
      <c r="AM611" s="665"/>
      <c r="AN611" s="713" t="s">
        <v>162</v>
      </c>
      <c r="AO611" s="714"/>
      <c r="AP611" s="686"/>
      <c r="AQ611" s="687"/>
      <c r="AR611" s="688"/>
      <c r="AS611" s="689"/>
      <c r="AT611" s="690"/>
      <c r="AU611" s="691"/>
      <c r="AV611" s="713" t="s">
        <v>162</v>
      </c>
      <c r="AW611" s="714"/>
      <c r="AX611" s="692"/>
      <c r="AY611" s="693"/>
      <c r="AZ611" s="694"/>
      <c r="BA611" s="682"/>
      <c r="BB611" s="683"/>
      <c r="BC611" s="219"/>
      <c r="BD611" s="737" t="s">
        <v>162</v>
      </c>
      <c r="BE611" s="738"/>
      <c r="BF611" s="697"/>
      <c r="BG611" s="698"/>
      <c r="BH611" s="698"/>
      <c r="BI611" s="699"/>
      <c r="BJ611" s="742" t="s">
        <v>159</v>
      </c>
      <c r="BK611" s="743"/>
      <c r="BL611" s="743"/>
      <c r="BM611" s="744"/>
      <c r="BN611" s="703" t="s">
        <v>159</v>
      </c>
      <c r="BO611" s="704"/>
      <c r="BP611" s="704"/>
      <c r="BQ611" s="704"/>
      <c r="BR611" s="704"/>
      <c r="BS611" s="704"/>
      <c r="BT611" s="704"/>
      <c r="BU611" s="704"/>
      <c r="BV611" s="705"/>
    </row>
    <row r="612" spans="1:74" ht="45" customHeight="1" x14ac:dyDescent="0.25">
      <c r="A612" s="10">
        <f t="shared" si="9"/>
        <v>598</v>
      </c>
      <c r="B612" s="662" t="s">
        <v>159</v>
      </c>
      <c r="C612" s="662"/>
      <c r="D612" s="663" t="s">
        <v>212</v>
      </c>
      <c r="E612" s="663"/>
      <c r="F612" s="664" t="s">
        <v>162</v>
      </c>
      <c r="G612" s="665"/>
      <c r="H612" s="754" t="s">
        <v>162</v>
      </c>
      <c r="I612" s="714"/>
      <c r="J612" s="715"/>
      <c r="K612" s="716"/>
      <c r="L612" s="715"/>
      <c r="M612" s="716"/>
      <c r="N612" s="215"/>
      <c r="O612" s="196"/>
      <c r="P612" s="717"/>
      <c r="Q612" s="718"/>
      <c r="R612" s="672"/>
      <c r="S612" s="673"/>
      <c r="T612" s="674"/>
      <c r="U612" s="675"/>
      <c r="V612" s="676"/>
      <c r="W612" s="677"/>
      <c r="X612" s="678" t="s">
        <v>159</v>
      </c>
      <c r="Y612" s="678"/>
      <c r="Z612" s="678"/>
      <c r="AA612" s="678"/>
      <c r="AB612" s="679" t="s">
        <v>159</v>
      </c>
      <c r="AC612" s="679"/>
      <c r="AD612" s="679"/>
      <c r="AE612" s="679"/>
      <c r="AF612" s="680"/>
      <c r="AG612" s="681"/>
      <c r="AH612" s="680"/>
      <c r="AI612" s="681"/>
      <c r="AJ612" s="682"/>
      <c r="AK612" s="683"/>
      <c r="AL612" s="684" t="s">
        <v>162</v>
      </c>
      <c r="AM612" s="685"/>
      <c r="AN612" s="666" t="s">
        <v>162</v>
      </c>
      <c r="AO612" s="667"/>
      <c r="AP612" s="729"/>
      <c r="AQ612" s="730"/>
      <c r="AR612" s="731"/>
      <c r="AS612" s="732"/>
      <c r="AT612" s="690"/>
      <c r="AU612" s="691"/>
      <c r="AV612" s="666" t="s">
        <v>162</v>
      </c>
      <c r="AW612" s="667"/>
      <c r="AX612" s="692"/>
      <c r="AY612" s="693"/>
      <c r="AZ612" s="694"/>
      <c r="BA612" s="735"/>
      <c r="BB612" s="736"/>
      <c r="BC612" s="14"/>
      <c r="BD612" s="695" t="s">
        <v>162</v>
      </c>
      <c r="BE612" s="696"/>
      <c r="BF612" s="739"/>
      <c r="BG612" s="740"/>
      <c r="BH612" s="740"/>
      <c r="BI612" s="741"/>
      <c r="BJ612" s="700" t="s">
        <v>159</v>
      </c>
      <c r="BK612" s="701"/>
      <c r="BL612" s="701"/>
      <c r="BM612" s="702"/>
      <c r="BN612" s="703" t="s">
        <v>159</v>
      </c>
      <c r="BO612" s="704"/>
      <c r="BP612" s="704"/>
      <c r="BQ612" s="704"/>
      <c r="BR612" s="704"/>
      <c r="BS612" s="704"/>
      <c r="BT612" s="704"/>
      <c r="BU612" s="704"/>
      <c r="BV612" s="705"/>
    </row>
    <row r="613" spans="1:74" ht="45" customHeight="1" x14ac:dyDescent="0.25">
      <c r="A613" s="10">
        <f t="shared" si="9"/>
        <v>599</v>
      </c>
      <c r="B613" s="711" t="s">
        <v>159</v>
      </c>
      <c r="C613" s="711"/>
      <c r="D613" s="712" t="s">
        <v>212</v>
      </c>
      <c r="E613" s="712"/>
      <c r="F613" s="664" t="s">
        <v>162</v>
      </c>
      <c r="G613" s="665"/>
      <c r="H613" s="755" t="s">
        <v>162</v>
      </c>
      <c r="I613" s="667"/>
      <c r="J613" s="706"/>
      <c r="K613" s="707"/>
      <c r="L613" s="706"/>
      <c r="M613" s="707"/>
      <c r="N613" s="194"/>
      <c r="O613" s="216"/>
      <c r="P613" s="670"/>
      <c r="Q613" s="671"/>
      <c r="R613" s="719"/>
      <c r="S613" s="720"/>
      <c r="T613" s="721"/>
      <c r="U613" s="722"/>
      <c r="V613" s="723"/>
      <c r="W613" s="724"/>
      <c r="X613" s="725" t="s">
        <v>159</v>
      </c>
      <c r="Y613" s="725"/>
      <c r="Z613" s="725"/>
      <c r="AA613" s="725"/>
      <c r="AB613" s="726" t="s">
        <v>159</v>
      </c>
      <c r="AC613" s="726"/>
      <c r="AD613" s="726"/>
      <c r="AE613" s="726"/>
      <c r="AF613" s="727"/>
      <c r="AG613" s="728"/>
      <c r="AH613" s="727"/>
      <c r="AI613" s="728"/>
      <c r="AJ613" s="686"/>
      <c r="AK613" s="687"/>
      <c r="AL613" s="664" t="s">
        <v>162</v>
      </c>
      <c r="AM613" s="665"/>
      <c r="AN613" s="713" t="s">
        <v>162</v>
      </c>
      <c r="AO613" s="714"/>
      <c r="AP613" s="686"/>
      <c r="AQ613" s="687"/>
      <c r="AR613" s="688"/>
      <c r="AS613" s="689"/>
      <c r="AT613" s="690"/>
      <c r="AU613" s="691"/>
      <c r="AV613" s="713" t="s">
        <v>162</v>
      </c>
      <c r="AW613" s="714"/>
      <c r="AX613" s="692"/>
      <c r="AY613" s="693"/>
      <c r="AZ613" s="694"/>
      <c r="BA613" s="682"/>
      <c r="BB613" s="683"/>
      <c r="BC613" s="219"/>
      <c r="BD613" s="737" t="s">
        <v>162</v>
      </c>
      <c r="BE613" s="738"/>
      <c r="BF613" s="708"/>
      <c r="BG613" s="709"/>
      <c r="BH613" s="709"/>
      <c r="BI613" s="710"/>
      <c r="BJ613" s="742" t="s">
        <v>159</v>
      </c>
      <c r="BK613" s="743"/>
      <c r="BL613" s="743"/>
      <c r="BM613" s="744"/>
      <c r="BN613" s="703" t="s">
        <v>159</v>
      </c>
      <c r="BO613" s="704"/>
      <c r="BP613" s="704"/>
      <c r="BQ613" s="704"/>
      <c r="BR613" s="704"/>
      <c r="BS613" s="704"/>
      <c r="BT613" s="704"/>
      <c r="BU613" s="704"/>
      <c r="BV613" s="705"/>
    </row>
    <row r="614" spans="1:74" ht="45" customHeight="1" x14ac:dyDescent="0.25">
      <c r="A614" s="10">
        <f t="shared" si="9"/>
        <v>600</v>
      </c>
      <c r="B614" s="662" t="s">
        <v>159</v>
      </c>
      <c r="C614" s="662"/>
      <c r="D614" s="663" t="s">
        <v>212</v>
      </c>
      <c r="E614" s="663"/>
      <c r="F614" s="664" t="s">
        <v>162</v>
      </c>
      <c r="G614" s="665"/>
      <c r="H614" s="754" t="s">
        <v>162</v>
      </c>
      <c r="I614" s="714"/>
      <c r="J614" s="715"/>
      <c r="K614" s="716"/>
      <c r="L614" s="715"/>
      <c r="M614" s="716"/>
      <c r="N614" s="215"/>
      <c r="O614" s="196"/>
      <c r="P614" s="717"/>
      <c r="Q614" s="718"/>
      <c r="R614" s="672"/>
      <c r="S614" s="673"/>
      <c r="T614" s="674"/>
      <c r="U614" s="675"/>
      <c r="V614" s="676"/>
      <c r="W614" s="677"/>
      <c r="X614" s="678" t="s">
        <v>159</v>
      </c>
      <c r="Y614" s="678"/>
      <c r="Z614" s="678"/>
      <c r="AA614" s="678"/>
      <c r="AB614" s="679" t="s">
        <v>159</v>
      </c>
      <c r="AC614" s="679"/>
      <c r="AD614" s="679"/>
      <c r="AE614" s="679"/>
      <c r="AF614" s="680"/>
      <c r="AG614" s="681"/>
      <c r="AH614" s="680"/>
      <c r="AI614" s="681"/>
      <c r="AJ614" s="682"/>
      <c r="AK614" s="683"/>
      <c r="AL614" s="684" t="s">
        <v>162</v>
      </c>
      <c r="AM614" s="685"/>
      <c r="AN614" s="666" t="s">
        <v>162</v>
      </c>
      <c r="AO614" s="667"/>
      <c r="AP614" s="729"/>
      <c r="AQ614" s="730"/>
      <c r="AR614" s="731"/>
      <c r="AS614" s="732"/>
      <c r="AT614" s="690"/>
      <c r="AU614" s="691"/>
      <c r="AV614" s="666" t="s">
        <v>162</v>
      </c>
      <c r="AW614" s="667"/>
      <c r="AX614" s="692"/>
      <c r="AY614" s="693"/>
      <c r="AZ614" s="694"/>
      <c r="BA614" s="735"/>
      <c r="BB614" s="736"/>
      <c r="BC614" s="14"/>
      <c r="BD614" s="695" t="s">
        <v>162</v>
      </c>
      <c r="BE614" s="696"/>
      <c r="BF614" s="739"/>
      <c r="BG614" s="740"/>
      <c r="BH614" s="740"/>
      <c r="BI614" s="741"/>
      <c r="BJ614" s="700" t="s">
        <v>159</v>
      </c>
      <c r="BK614" s="701"/>
      <c r="BL614" s="701"/>
      <c r="BM614" s="702"/>
      <c r="BN614" s="703" t="s">
        <v>159</v>
      </c>
      <c r="BO614" s="704"/>
      <c r="BP614" s="704"/>
      <c r="BQ614" s="704"/>
      <c r="BR614" s="704"/>
      <c r="BS614" s="704"/>
      <c r="BT614" s="704"/>
      <c r="BU614" s="704"/>
      <c r="BV614" s="705"/>
    </row>
    <row r="615" spans="1:74" ht="45" customHeight="1" x14ac:dyDescent="0.25">
      <c r="A615" s="10">
        <f t="shared" si="9"/>
        <v>601</v>
      </c>
      <c r="B615" s="711" t="s">
        <v>159</v>
      </c>
      <c r="C615" s="711"/>
      <c r="D615" s="712" t="s">
        <v>212</v>
      </c>
      <c r="E615" s="712"/>
      <c r="F615" s="664" t="s">
        <v>162</v>
      </c>
      <c r="G615" s="665"/>
      <c r="H615" s="755" t="s">
        <v>162</v>
      </c>
      <c r="I615" s="667"/>
      <c r="J615" s="706"/>
      <c r="K615" s="707"/>
      <c r="L615" s="706"/>
      <c r="M615" s="707"/>
      <c r="N615" s="215"/>
      <c r="O615" s="216"/>
      <c r="P615" s="670"/>
      <c r="Q615" s="671"/>
      <c r="R615" s="719"/>
      <c r="S615" s="720"/>
      <c r="T615" s="721"/>
      <c r="U615" s="722"/>
      <c r="V615" s="723"/>
      <c r="W615" s="724"/>
      <c r="X615" s="725" t="s">
        <v>159</v>
      </c>
      <c r="Y615" s="725"/>
      <c r="Z615" s="725"/>
      <c r="AA615" s="725"/>
      <c r="AB615" s="726" t="s">
        <v>159</v>
      </c>
      <c r="AC615" s="726"/>
      <c r="AD615" s="726"/>
      <c r="AE615" s="726"/>
      <c r="AF615" s="727"/>
      <c r="AG615" s="728"/>
      <c r="AH615" s="727"/>
      <c r="AI615" s="728"/>
      <c r="AJ615" s="682"/>
      <c r="AK615" s="683"/>
      <c r="AL615" s="664" t="s">
        <v>162</v>
      </c>
      <c r="AM615" s="665"/>
      <c r="AN615" s="713" t="s">
        <v>162</v>
      </c>
      <c r="AO615" s="714"/>
      <c r="AP615" s="729"/>
      <c r="AQ615" s="730"/>
      <c r="AR615" s="731"/>
      <c r="AS615" s="732"/>
      <c r="AT615" s="733"/>
      <c r="AU615" s="734"/>
      <c r="AV615" s="713" t="s">
        <v>162</v>
      </c>
      <c r="AW615" s="714"/>
      <c r="AX615" s="692"/>
      <c r="AY615" s="693"/>
      <c r="AZ615" s="694"/>
      <c r="BA615" s="735"/>
      <c r="BB615" s="736"/>
      <c r="BC615" s="219"/>
      <c r="BD615" s="737" t="s">
        <v>162</v>
      </c>
      <c r="BE615" s="738"/>
      <c r="BF615" s="739"/>
      <c r="BG615" s="740"/>
      <c r="BH615" s="740"/>
      <c r="BI615" s="741"/>
      <c r="BJ615" s="742" t="s">
        <v>159</v>
      </c>
      <c r="BK615" s="743"/>
      <c r="BL615" s="743"/>
      <c r="BM615" s="744"/>
      <c r="BN615" s="703" t="s">
        <v>159</v>
      </c>
      <c r="BO615" s="704"/>
      <c r="BP615" s="704"/>
      <c r="BQ615" s="704"/>
      <c r="BR615" s="704"/>
      <c r="BS615" s="704"/>
      <c r="BT615" s="704"/>
      <c r="BU615" s="704"/>
      <c r="BV615" s="705"/>
    </row>
    <row r="616" spans="1:74" ht="45" customHeight="1" x14ac:dyDescent="0.25">
      <c r="A616" s="10">
        <f t="shared" si="9"/>
        <v>602</v>
      </c>
      <c r="B616" s="662" t="s">
        <v>159</v>
      </c>
      <c r="C616" s="662"/>
      <c r="D616" s="663" t="s">
        <v>212</v>
      </c>
      <c r="E616" s="663"/>
      <c r="F616" s="664" t="s">
        <v>162</v>
      </c>
      <c r="G616" s="665"/>
      <c r="H616" s="754" t="s">
        <v>162</v>
      </c>
      <c r="I616" s="714"/>
      <c r="J616" s="715"/>
      <c r="K616" s="716"/>
      <c r="L616" s="715"/>
      <c r="M616" s="716"/>
      <c r="N616" s="194"/>
      <c r="O616" s="196"/>
      <c r="P616" s="717"/>
      <c r="Q616" s="718"/>
      <c r="R616" s="672"/>
      <c r="S616" s="673"/>
      <c r="T616" s="674"/>
      <c r="U616" s="675"/>
      <c r="V616" s="676"/>
      <c r="W616" s="677"/>
      <c r="X616" s="678" t="s">
        <v>159</v>
      </c>
      <c r="Y616" s="678"/>
      <c r="Z616" s="678"/>
      <c r="AA616" s="678"/>
      <c r="AB616" s="679" t="s">
        <v>159</v>
      </c>
      <c r="AC616" s="679"/>
      <c r="AD616" s="679"/>
      <c r="AE616" s="679"/>
      <c r="AF616" s="680"/>
      <c r="AG616" s="681"/>
      <c r="AH616" s="680"/>
      <c r="AI616" s="681"/>
      <c r="AJ616" s="682"/>
      <c r="AK616" s="683"/>
      <c r="AL616" s="684" t="s">
        <v>162</v>
      </c>
      <c r="AM616" s="685"/>
      <c r="AN616" s="666" t="s">
        <v>162</v>
      </c>
      <c r="AO616" s="667"/>
      <c r="AP616" s="686"/>
      <c r="AQ616" s="687"/>
      <c r="AR616" s="688"/>
      <c r="AS616" s="689"/>
      <c r="AT616" s="690"/>
      <c r="AU616" s="691"/>
      <c r="AV616" s="666" t="s">
        <v>162</v>
      </c>
      <c r="AW616" s="667"/>
      <c r="AX616" s="692"/>
      <c r="AY616" s="693"/>
      <c r="AZ616" s="694"/>
      <c r="BA616" s="682"/>
      <c r="BB616" s="683"/>
      <c r="BC616" s="14"/>
      <c r="BD616" s="695" t="s">
        <v>162</v>
      </c>
      <c r="BE616" s="696"/>
      <c r="BF616" s="708"/>
      <c r="BG616" s="709"/>
      <c r="BH616" s="709"/>
      <c r="BI616" s="710"/>
      <c r="BJ616" s="700" t="s">
        <v>159</v>
      </c>
      <c r="BK616" s="701"/>
      <c r="BL616" s="701"/>
      <c r="BM616" s="702"/>
      <c r="BN616" s="703" t="s">
        <v>159</v>
      </c>
      <c r="BO616" s="704"/>
      <c r="BP616" s="704"/>
      <c r="BQ616" s="704"/>
      <c r="BR616" s="704"/>
      <c r="BS616" s="704"/>
      <c r="BT616" s="704"/>
      <c r="BU616" s="704"/>
      <c r="BV616" s="705"/>
    </row>
    <row r="617" spans="1:74" ht="45" customHeight="1" x14ac:dyDescent="0.25">
      <c r="A617" s="10">
        <f t="shared" si="9"/>
        <v>603</v>
      </c>
      <c r="B617" s="711" t="s">
        <v>159</v>
      </c>
      <c r="C617" s="711"/>
      <c r="D617" s="712" t="s">
        <v>212</v>
      </c>
      <c r="E617" s="712"/>
      <c r="F617" s="664" t="s">
        <v>162</v>
      </c>
      <c r="G617" s="665"/>
      <c r="H617" s="755" t="s">
        <v>162</v>
      </c>
      <c r="I617" s="667"/>
      <c r="J617" s="706"/>
      <c r="K617" s="707"/>
      <c r="L617" s="706"/>
      <c r="M617" s="707"/>
      <c r="N617" s="215"/>
      <c r="O617" s="216"/>
      <c r="P617" s="670"/>
      <c r="Q617" s="671"/>
      <c r="R617" s="719"/>
      <c r="S617" s="720"/>
      <c r="T617" s="721"/>
      <c r="U617" s="722"/>
      <c r="V617" s="723"/>
      <c r="W617" s="724"/>
      <c r="X617" s="725" t="s">
        <v>159</v>
      </c>
      <c r="Y617" s="725"/>
      <c r="Z617" s="725"/>
      <c r="AA617" s="725"/>
      <c r="AB617" s="726" t="s">
        <v>159</v>
      </c>
      <c r="AC617" s="726"/>
      <c r="AD617" s="726"/>
      <c r="AE617" s="726"/>
      <c r="AF617" s="727"/>
      <c r="AG617" s="728"/>
      <c r="AH617" s="727"/>
      <c r="AI617" s="728"/>
      <c r="AJ617" s="682"/>
      <c r="AK617" s="683"/>
      <c r="AL617" s="664" t="s">
        <v>162</v>
      </c>
      <c r="AM617" s="665"/>
      <c r="AN617" s="713" t="s">
        <v>162</v>
      </c>
      <c r="AO617" s="714"/>
      <c r="AP617" s="729"/>
      <c r="AQ617" s="730"/>
      <c r="AR617" s="731"/>
      <c r="AS617" s="732"/>
      <c r="AT617" s="733"/>
      <c r="AU617" s="734"/>
      <c r="AV617" s="713" t="s">
        <v>162</v>
      </c>
      <c r="AW617" s="714"/>
      <c r="AX617" s="692"/>
      <c r="AY617" s="693"/>
      <c r="AZ617" s="694"/>
      <c r="BA617" s="735"/>
      <c r="BB617" s="736"/>
      <c r="BC617" s="219"/>
      <c r="BD617" s="737" t="s">
        <v>162</v>
      </c>
      <c r="BE617" s="738"/>
      <c r="BF617" s="739"/>
      <c r="BG617" s="740"/>
      <c r="BH617" s="740"/>
      <c r="BI617" s="741"/>
      <c r="BJ617" s="742" t="s">
        <v>159</v>
      </c>
      <c r="BK617" s="743"/>
      <c r="BL617" s="743"/>
      <c r="BM617" s="744"/>
      <c r="BN617" s="703" t="s">
        <v>159</v>
      </c>
      <c r="BO617" s="704"/>
      <c r="BP617" s="704"/>
      <c r="BQ617" s="704"/>
      <c r="BR617" s="704"/>
      <c r="BS617" s="704"/>
      <c r="BT617" s="704"/>
      <c r="BU617" s="704"/>
      <c r="BV617" s="705"/>
    </row>
    <row r="618" spans="1:74" ht="45" customHeight="1" x14ac:dyDescent="0.25">
      <c r="A618" s="10">
        <f t="shared" si="9"/>
        <v>604</v>
      </c>
      <c r="B618" s="662" t="s">
        <v>159</v>
      </c>
      <c r="C618" s="662"/>
      <c r="D618" s="663" t="s">
        <v>212</v>
      </c>
      <c r="E618" s="663"/>
      <c r="F618" s="664" t="s">
        <v>162</v>
      </c>
      <c r="G618" s="665"/>
      <c r="H618" s="754" t="s">
        <v>162</v>
      </c>
      <c r="I618" s="714"/>
      <c r="J618" s="715"/>
      <c r="K618" s="716"/>
      <c r="L618" s="715"/>
      <c r="M618" s="716"/>
      <c r="N618" s="194"/>
      <c r="O618" s="196"/>
      <c r="P618" s="717"/>
      <c r="Q618" s="718"/>
      <c r="R618" s="672"/>
      <c r="S618" s="673"/>
      <c r="T618" s="674"/>
      <c r="U618" s="675"/>
      <c r="V618" s="676"/>
      <c r="W618" s="677"/>
      <c r="X618" s="678" t="s">
        <v>159</v>
      </c>
      <c r="Y618" s="678"/>
      <c r="Z618" s="678"/>
      <c r="AA618" s="678"/>
      <c r="AB618" s="679" t="s">
        <v>159</v>
      </c>
      <c r="AC618" s="679"/>
      <c r="AD618" s="679"/>
      <c r="AE618" s="679"/>
      <c r="AF618" s="680"/>
      <c r="AG618" s="681"/>
      <c r="AH618" s="680"/>
      <c r="AI618" s="681"/>
      <c r="AJ618" s="682"/>
      <c r="AK618" s="683"/>
      <c r="AL618" s="684" t="s">
        <v>162</v>
      </c>
      <c r="AM618" s="685"/>
      <c r="AN618" s="666" t="s">
        <v>162</v>
      </c>
      <c r="AO618" s="667"/>
      <c r="AP618" s="686"/>
      <c r="AQ618" s="687"/>
      <c r="AR618" s="688"/>
      <c r="AS618" s="689"/>
      <c r="AT618" s="690"/>
      <c r="AU618" s="691"/>
      <c r="AV618" s="666" t="s">
        <v>162</v>
      </c>
      <c r="AW618" s="667"/>
      <c r="AX618" s="692"/>
      <c r="AY618" s="693"/>
      <c r="AZ618" s="694"/>
      <c r="BA618" s="682"/>
      <c r="BB618" s="683"/>
      <c r="BC618" s="14"/>
      <c r="BD618" s="695" t="s">
        <v>162</v>
      </c>
      <c r="BE618" s="696"/>
      <c r="BF618" s="697"/>
      <c r="BG618" s="698"/>
      <c r="BH618" s="698"/>
      <c r="BI618" s="699"/>
      <c r="BJ618" s="700" t="s">
        <v>159</v>
      </c>
      <c r="BK618" s="701"/>
      <c r="BL618" s="701"/>
      <c r="BM618" s="702"/>
      <c r="BN618" s="703" t="s">
        <v>159</v>
      </c>
      <c r="BO618" s="704"/>
      <c r="BP618" s="704"/>
      <c r="BQ618" s="704"/>
      <c r="BR618" s="704"/>
      <c r="BS618" s="704"/>
      <c r="BT618" s="704"/>
      <c r="BU618" s="704"/>
      <c r="BV618" s="705"/>
    </row>
    <row r="619" spans="1:74" ht="45" customHeight="1" x14ac:dyDescent="0.25">
      <c r="A619" s="10">
        <f t="shared" si="9"/>
        <v>605</v>
      </c>
      <c r="B619" s="711" t="s">
        <v>159</v>
      </c>
      <c r="C619" s="711"/>
      <c r="D619" s="712" t="s">
        <v>212</v>
      </c>
      <c r="E619" s="712"/>
      <c r="F619" s="664" t="s">
        <v>162</v>
      </c>
      <c r="G619" s="665"/>
      <c r="H619" s="755" t="s">
        <v>162</v>
      </c>
      <c r="I619" s="667"/>
      <c r="J619" s="706"/>
      <c r="K619" s="707"/>
      <c r="L619" s="706"/>
      <c r="M619" s="707"/>
      <c r="N619" s="215"/>
      <c r="O619" s="216"/>
      <c r="P619" s="670"/>
      <c r="Q619" s="671"/>
      <c r="R619" s="719"/>
      <c r="S619" s="720"/>
      <c r="T619" s="721"/>
      <c r="U619" s="722"/>
      <c r="V619" s="723"/>
      <c r="W619" s="724"/>
      <c r="X619" s="725" t="s">
        <v>159</v>
      </c>
      <c r="Y619" s="725"/>
      <c r="Z619" s="725"/>
      <c r="AA619" s="725"/>
      <c r="AB619" s="726" t="s">
        <v>159</v>
      </c>
      <c r="AC619" s="726"/>
      <c r="AD619" s="726"/>
      <c r="AE619" s="726"/>
      <c r="AF619" s="727"/>
      <c r="AG619" s="728"/>
      <c r="AH619" s="727"/>
      <c r="AI619" s="728"/>
      <c r="AJ619" s="682"/>
      <c r="AK619" s="683"/>
      <c r="AL619" s="664" t="s">
        <v>162</v>
      </c>
      <c r="AM619" s="665"/>
      <c r="AN619" s="713" t="s">
        <v>162</v>
      </c>
      <c r="AO619" s="714"/>
      <c r="AP619" s="729"/>
      <c r="AQ619" s="730"/>
      <c r="AR619" s="731"/>
      <c r="AS619" s="732"/>
      <c r="AT619" s="733"/>
      <c r="AU619" s="734"/>
      <c r="AV619" s="713" t="s">
        <v>162</v>
      </c>
      <c r="AW619" s="714"/>
      <c r="AX619" s="692"/>
      <c r="AY619" s="693"/>
      <c r="AZ619" s="694"/>
      <c r="BA619" s="735"/>
      <c r="BB619" s="736"/>
      <c r="BC619" s="219"/>
      <c r="BD619" s="737" t="s">
        <v>162</v>
      </c>
      <c r="BE619" s="738"/>
      <c r="BF619" s="739"/>
      <c r="BG619" s="740"/>
      <c r="BH619" s="740"/>
      <c r="BI619" s="741"/>
      <c r="BJ619" s="742" t="s">
        <v>159</v>
      </c>
      <c r="BK619" s="743"/>
      <c r="BL619" s="743"/>
      <c r="BM619" s="744"/>
      <c r="BN619" s="703" t="s">
        <v>159</v>
      </c>
      <c r="BO619" s="704"/>
      <c r="BP619" s="704"/>
      <c r="BQ619" s="704"/>
      <c r="BR619" s="704"/>
      <c r="BS619" s="704"/>
      <c r="BT619" s="704"/>
      <c r="BU619" s="704"/>
      <c r="BV619" s="705"/>
    </row>
    <row r="620" spans="1:74" ht="45" customHeight="1" x14ac:dyDescent="0.25">
      <c r="A620" s="10">
        <f t="shared" si="9"/>
        <v>606</v>
      </c>
      <c r="B620" s="662" t="s">
        <v>159</v>
      </c>
      <c r="C620" s="662"/>
      <c r="D620" s="663" t="s">
        <v>212</v>
      </c>
      <c r="E620" s="663"/>
      <c r="F620" s="664" t="s">
        <v>162</v>
      </c>
      <c r="G620" s="665"/>
      <c r="H620" s="754" t="s">
        <v>162</v>
      </c>
      <c r="I620" s="714"/>
      <c r="J620" s="715"/>
      <c r="K620" s="716"/>
      <c r="L620" s="715"/>
      <c r="M620" s="716"/>
      <c r="N620" s="194"/>
      <c r="O620" s="196"/>
      <c r="P620" s="717"/>
      <c r="Q620" s="718"/>
      <c r="R620" s="672"/>
      <c r="S620" s="673"/>
      <c r="T620" s="674"/>
      <c r="U620" s="675"/>
      <c r="V620" s="676"/>
      <c r="W620" s="677"/>
      <c r="X620" s="678" t="s">
        <v>159</v>
      </c>
      <c r="Y620" s="678"/>
      <c r="Z620" s="678"/>
      <c r="AA620" s="678"/>
      <c r="AB620" s="679" t="s">
        <v>159</v>
      </c>
      <c r="AC620" s="679"/>
      <c r="AD620" s="679"/>
      <c r="AE620" s="679"/>
      <c r="AF620" s="680"/>
      <c r="AG620" s="681"/>
      <c r="AH620" s="680"/>
      <c r="AI620" s="681"/>
      <c r="AJ620" s="682"/>
      <c r="AK620" s="683"/>
      <c r="AL620" s="684" t="s">
        <v>162</v>
      </c>
      <c r="AM620" s="685"/>
      <c r="AN620" s="666" t="s">
        <v>162</v>
      </c>
      <c r="AO620" s="667"/>
      <c r="AP620" s="686"/>
      <c r="AQ620" s="687"/>
      <c r="AR620" s="688"/>
      <c r="AS620" s="689"/>
      <c r="AT620" s="690"/>
      <c r="AU620" s="691"/>
      <c r="AV620" s="666" t="s">
        <v>162</v>
      </c>
      <c r="AW620" s="667"/>
      <c r="AX620" s="692"/>
      <c r="AY620" s="693"/>
      <c r="AZ620" s="694"/>
      <c r="BA620" s="682"/>
      <c r="BB620" s="683"/>
      <c r="BC620" s="14"/>
      <c r="BD620" s="695" t="s">
        <v>162</v>
      </c>
      <c r="BE620" s="696"/>
      <c r="BF620" s="697"/>
      <c r="BG620" s="698"/>
      <c r="BH620" s="698"/>
      <c r="BI620" s="699"/>
      <c r="BJ620" s="700" t="s">
        <v>159</v>
      </c>
      <c r="BK620" s="701"/>
      <c r="BL620" s="701"/>
      <c r="BM620" s="702"/>
      <c r="BN620" s="703" t="s">
        <v>159</v>
      </c>
      <c r="BO620" s="704"/>
      <c r="BP620" s="704"/>
      <c r="BQ620" s="704"/>
      <c r="BR620" s="704"/>
      <c r="BS620" s="704"/>
      <c r="BT620" s="704"/>
      <c r="BU620" s="704"/>
      <c r="BV620" s="705"/>
    </row>
    <row r="621" spans="1:74" ht="45" customHeight="1" x14ac:dyDescent="0.25">
      <c r="A621" s="10">
        <f t="shared" si="9"/>
        <v>607</v>
      </c>
      <c r="B621" s="711" t="s">
        <v>159</v>
      </c>
      <c r="C621" s="711"/>
      <c r="D621" s="712" t="s">
        <v>212</v>
      </c>
      <c r="E621" s="712"/>
      <c r="F621" s="664" t="s">
        <v>162</v>
      </c>
      <c r="G621" s="665"/>
      <c r="H621" s="755" t="s">
        <v>162</v>
      </c>
      <c r="I621" s="667"/>
      <c r="J621" s="706"/>
      <c r="K621" s="707"/>
      <c r="L621" s="706"/>
      <c r="M621" s="707"/>
      <c r="N621" s="215"/>
      <c r="O621" s="216"/>
      <c r="P621" s="670"/>
      <c r="Q621" s="671"/>
      <c r="R621" s="719"/>
      <c r="S621" s="720"/>
      <c r="T621" s="721"/>
      <c r="U621" s="722"/>
      <c r="V621" s="723"/>
      <c r="W621" s="724"/>
      <c r="X621" s="725" t="s">
        <v>159</v>
      </c>
      <c r="Y621" s="725"/>
      <c r="Z621" s="725"/>
      <c r="AA621" s="725"/>
      <c r="AB621" s="726" t="s">
        <v>159</v>
      </c>
      <c r="AC621" s="726"/>
      <c r="AD621" s="726"/>
      <c r="AE621" s="726"/>
      <c r="AF621" s="727"/>
      <c r="AG621" s="728"/>
      <c r="AH621" s="727"/>
      <c r="AI621" s="728"/>
      <c r="AJ621" s="682"/>
      <c r="AK621" s="683"/>
      <c r="AL621" s="664" t="s">
        <v>162</v>
      </c>
      <c r="AM621" s="665"/>
      <c r="AN621" s="713" t="s">
        <v>162</v>
      </c>
      <c r="AO621" s="714"/>
      <c r="AP621" s="729"/>
      <c r="AQ621" s="730"/>
      <c r="AR621" s="731"/>
      <c r="AS621" s="732"/>
      <c r="AT621" s="733"/>
      <c r="AU621" s="734"/>
      <c r="AV621" s="713" t="s">
        <v>162</v>
      </c>
      <c r="AW621" s="714"/>
      <c r="AX621" s="692"/>
      <c r="AY621" s="693"/>
      <c r="AZ621" s="694"/>
      <c r="BA621" s="735"/>
      <c r="BB621" s="736"/>
      <c r="BC621" s="219"/>
      <c r="BD621" s="737" t="s">
        <v>162</v>
      </c>
      <c r="BE621" s="738"/>
      <c r="BF621" s="739"/>
      <c r="BG621" s="740"/>
      <c r="BH621" s="740"/>
      <c r="BI621" s="741"/>
      <c r="BJ621" s="742" t="s">
        <v>159</v>
      </c>
      <c r="BK621" s="743"/>
      <c r="BL621" s="743"/>
      <c r="BM621" s="744"/>
      <c r="BN621" s="703" t="s">
        <v>159</v>
      </c>
      <c r="BO621" s="704"/>
      <c r="BP621" s="704"/>
      <c r="BQ621" s="704"/>
      <c r="BR621" s="704"/>
      <c r="BS621" s="704"/>
      <c r="BT621" s="704"/>
      <c r="BU621" s="704"/>
      <c r="BV621" s="705"/>
    </row>
    <row r="622" spans="1:74" ht="45" customHeight="1" x14ac:dyDescent="0.25">
      <c r="A622" s="10">
        <f t="shared" si="9"/>
        <v>608</v>
      </c>
      <c r="B622" s="662" t="s">
        <v>159</v>
      </c>
      <c r="C622" s="662"/>
      <c r="D622" s="663" t="s">
        <v>212</v>
      </c>
      <c r="E622" s="663"/>
      <c r="F622" s="664" t="s">
        <v>162</v>
      </c>
      <c r="G622" s="665"/>
      <c r="H622" s="754" t="s">
        <v>162</v>
      </c>
      <c r="I622" s="714"/>
      <c r="J622" s="715"/>
      <c r="K622" s="716"/>
      <c r="L622" s="715"/>
      <c r="M622" s="716"/>
      <c r="N622" s="194"/>
      <c r="O622" s="196"/>
      <c r="P622" s="717"/>
      <c r="Q622" s="718"/>
      <c r="R622" s="672"/>
      <c r="S622" s="673"/>
      <c r="T622" s="674"/>
      <c r="U622" s="675"/>
      <c r="V622" s="676"/>
      <c r="W622" s="677"/>
      <c r="X622" s="678" t="s">
        <v>159</v>
      </c>
      <c r="Y622" s="678"/>
      <c r="Z622" s="678"/>
      <c r="AA622" s="678"/>
      <c r="AB622" s="679" t="s">
        <v>159</v>
      </c>
      <c r="AC622" s="679"/>
      <c r="AD622" s="679"/>
      <c r="AE622" s="679"/>
      <c r="AF622" s="680"/>
      <c r="AG622" s="681"/>
      <c r="AH622" s="680"/>
      <c r="AI622" s="681"/>
      <c r="AJ622" s="682"/>
      <c r="AK622" s="683"/>
      <c r="AL622" s="684" t="s">
        <v>162</v>
      </c>
      <c r="AM622" s="685"/>
      <c r="AN622" s="666" t="s">
        <v>162</v>
      </c>
      <c r="AO622" s="667"/>
      <c r="AP622" s="686"/>
      <c r="AQ622" s="687"/>
      <c r="AR622" s="688"/>
      <c r="AS622" s="689"/>
      <c r="AT622" s="690"/>
      <c r="AU622" s="691"/>
      <c r="AV622" s="666" t="s">
        <v>162</v>
      </c>
      <c r="AW622" s="667"/>
      <c r="AX622" s="692"/>
      <c r="AY622" s="693"/>
      <c r="AZ622" s="694"/>
      <c r="BA622" s="682"/>
      <c r="BB622" s="683"/>
      <c r="BC622" s="14"/>
      <c r="BD622" s="695" t="s">
        <v>162</v>
      </c>
      <c r="BE622" s="696"/>
      <c r="BF622" s="708"/>
      <c r="BG622" s="709"/>
      <c r="BH622" s="709"/>
      <c r="BI622" s="710"/>
      <c r="BJ622" s="700" t="s">
        <v>159</v>
      </c>
      <c r="BK622" s="701"/>
      <c r="BL622" s="701"/>
      <c r="BM622" s="702"/>
      <c r="BN622" s="703" t="s">
        <v>159</v>
      </c>
      <c r="BO622" s="704"/>
      <c r="BP622" s="704"/>
      <c r="BQ622" s="704"/>
      <c r="BR622" s="704"/>
      <c r="BS622" s="704"/>
      <c r="BT622" s="704"/>
      <c r="BU622" s="704"/>
      <c r="BV622" s="705"/>
    </row>
    <row r="623" spans="1:74" ht="45" customHeight="1" x14ac:dyDescent="0.25">
      <c r="A623" s="10">
        <f t="shared" si="9"/>
        <v>609</v>
      </c>
      <c r="B623" s="711" t="s">
        <v>159</v>
      </c>
      <c r="C623" s="711"/>
      <c r="D623" s="712" t="s">
        <v>212</v>
      </c>
      <c r="E623" s="712"/>
      <c r="F623" s="664" t="s">
        <v>162</v>
      </c>
      <c r="G623" s="665"/>
      <c r="H623" s="755" t="s">
        <v>162</v>
      </c>
      <c r="I623" s="667"/>
      <c r="J623" s="706"/>
      <c r="K623" s="707"/>
      <c r="L623" s="706"/>
      <c r="M623" s="707"/>
      <c r="N623" s="215"/>
      <c r="O623" s="216"/>
      <c r="P623" s="670"/>
      <c r="Q623" s="671"/>
      <c r="R623" s="719"/>
      <c r="S623" s="720"/>
      <c r="T623" s="721"/>
      <c r="U623" s="722"/>
      <c r="V623" s="723"/>
      <c r="W623" s="724"/>
      <c r="X623" s="725" t="s">
        <v>159</v>
      </c>
      <c r="Y623" s="725"/>
      <c r="Z623" s="725"/>
      <c r="AA623" s="725"/>
      <c r="AB623" s="726" t="s">
        <v>159</v>
      </c>
      <c r="AC623" s="726"/>
      <c r="AD623" s="726"/>
      <c r="AE623" s="726"/>
      <c r="AF623" s="727"/>
      <c r="AG623" s="728"/>
      <c r="AH623" s="727"/>
      <c r="AI623" s="728"/>
      <c r="AJ623" s="682"/>
      <c r="AK623" s="683"/>
      <c r="AL623" s="664" t="s">
        <v>162</v>
      </c>
      <c r="AM623" s="665"/>
      <c r="AN623" s="713" t="s">
        <v>162</v>
      </c>
      <c r="AO623" s="714"/>
      <c r="AP623" s="729"/>
      <c r="AQ623" s="730"/>
      <c r="AR623" s="731"/>
      <c r="AS623" s="732"/>
      <c r="AT623" s="733"/>
      <c r="AU623" s="734"/>
      <c r="AV623" s="713" t="s">
        <v>162</v>
      </c>
      <c r="AW623" s="714"/>
      <c r="AX623" s="692"/>
      <c r="AY623" s="693"/>
      <c r="AZ623" s="694"/>
      <c r="BA623" s="735"/>
      <c r="BB623" s="736"/>
      <c r="BC623" s="219"/>
      <c r="BD623" s="737" t="s">
        <v>162</v>
      </c>
      <c r="BE623" s="738"/>
      <c r="BF623" s="739"/>
      <c r="BG623" s="740"/>
      <c r="BH623" s="740"/>
      <c r="BI623" s="741"/>
      <c r="BJ623" s="742" t="s">
        <v>159</v>
      </c>
      <c r="BK623" s="743"/>
      <c r="BL623" s="743"/>
      <c r="BM623" s="744"/>
      <c r="BN623" s="703" t="s">
        <v>159</v>
      </c>
      <c r="BO623" s="704"/>
      <c r="BP623" s="704"/>
      <c r="BQ623" s="704"/>
      <c r="BR623" s="704"/>
      <c r="BS623" s="704"/>
      <c r="BT623" s="704"/>
      <c r="BU623" s="704"/>
      <c r="BV623" s="705"/>
    </row>
    <row r="624" spans="1:74" ht="45" customHeight="1" x14ac:dyDescent="0.25">
      <c r="A624" s="10">
        <f t="shared" si="9"/>
        <v>610</v>
      </c>
      <c r="B624" s="662" t="s">
        <v>159</v>
      </c>
      <c r="C624" s="662"/>
      <c r="D624" s="663" t="s">
        <v>212</v>
      </c>
      <c r="E624" s="663"/>
      <c r="F624" s="664" t="s">
        <v>162</v>
      </c>
      <c r="G624" s="665"/>
      <c r="H624" s="754" t="s">
        <v>162</v>
      </c>
      <c r="I624" s="714"/>
      <c r="J624" s="715"/>
      <c r="K624" s="716"/>
      <c r="L624" s="715"/>
      <c r="M624" s="716"/>
      <c r="N624" s="194"/>
      <c r="O624" s="196"/>
      <c r="P624" s="717"/>
      <c r="Q624" s="718"/>
      <c r="R624" s="672"/>
      <c r="S624" s="673"/>
      <c r="T624" s="674"/>
      <c r="U624" s="675"/>
      <c r="V624" s="676"/>
      <c r="W624" s="677"/>
      <c r="X624" s="678" t="s">
        <v>159</v>
      </c>
      <c r="Y624" s="678"/>
      <c r="Z624" s="678"/>
      <c r="AA624" s="678"/>
      <c r="AB624" s="679" t="s">
        <v>159</v>
      </c>
      <c r="AC624" s="679"/>
      <c r="AD624" s="679"/>
      <c r="AE624" s="679"/>
      <c r="AF624" s="680"/>
      <c r="AG624" s="681"/>
      <c r="AH624" s="680"/>
      <c r="AI624" s="681"/>
      <c r="AJ624" s="682"/>
      <c r="AK624" s="683"/>
      <c r="AL624" s="684" t="s">
        <v>162</v>
      </c>
      <c r="AM624" s="685"/>
      <c r="AN624" s="666" t="s">
        <v>162</v>
      </c>
      <c r="AO624" s="667"/>
      <c r="AP624" s="686"/>
      <c r="AQ624" s="687"/>
      <c r="AR624" s="688"/>
      <c r="AS624" s="689"/>
      <c r="AT624" s="690"/>
      <c r="AU624" s="691"/>
      <c r="AV624" s="666" t="s">
        <v>162</v>
      </c>
      <c r="AW624" s="667"/>
      <c r="AX624" s="692"/>
      <c r="AY624" s="693"/>
      <c r="AZ624" s="694"/>
      <c r="BA624" s="682"/>
      <c r="BB624" s="683"/>
      <c r="BC624" s="14"/>
      <c r="BD624" s="695" t="s">
        <v>162</v>
      </c>
      <c r="BE624" s="696"/>
      <c r="BF624" s="697"/>
      <c r="BG624" s="698"/>
      <c r="BH624" s="698"/>
      <c r="BI624" s="699"/>
      <c r="BJ624" s="700" t="s">
        <v>159</v>
      </c>
      <c r="BK624" s="701"/>
      <c r="BL624" s="701"/>
      <c r="BM624" s="702"/>
      <c r="BN624" s="703" t="s">
        <v>159</v>
      </c>
      <c r="BO624" s="704"/>
      <c r="BP624" s="704"/>
      <c r="BQ624" s="704"/>
      <c r="BR624" s="704"/>
      <c r="BS624" s="704"/>
      <c r="BT624" s="704"/>
      <c r="BU624" s="704"/>
      <c r="BV624" s="705"/>
    </row>
    <row r="625" spans="1:74" ht="45" customHeight="1" x14ac:dyDescent="0.25">
      <c r="A625" s="10">
        <f t="shared" si="9"/>
        <v>611</v>
      </c>
      <c r="B625" s="711" t="s">
        <v>159</v>
      </c>
      <c r="C625" s="711"/>
      <c r="D625" s="712" t="s">
        <v>212</v>
      </c>
      <c r="E625" s="712"/>
      <c r="F625" s="664" t="s">
        <v>162</v>
      </c>
      <c r="G625" s="665"/>
      <c r="H625" s="755" t="s">
        <v>162</v>
      </c>
      <c r="I625" s="667"/>
      <c r="J625" s="706"/>
      <c r="K625" s="707"/>
      <c r="L625" s="706"/>
      <c r="M625" s="707"/>
      <c r="N625" s="215"/>
      <c r="O625" s="216"/>
      <c r="P625" s="670"/>
      <c r="Q625" s="671"/>
      <c r="R625" s="719"/>
      <c r="S625" s="720"/>
      <c r="T625" s="721"/>
      <c r="U625" s="722"/>
      <c r="V625" s="723"/>
      <c r="W625" s="724"/>
      <c r="X625" s="725" t="s">
        <v>159</v>
      </c>
      <c r="Y625" s="725"/>
      <c r="Z625" s="725"/>
      <c r="AA625" s="725"/>
      <c r="AB625" s="726" t="s">
        <v>159</v>
      </c>
      <c r="AC625" s="726"/>
      <c r="AD625" s="726"/>
      <c r="AE625" s="726"/>
      <c r="AF625" s="727"/>
      <c r="AG625" s="728"/>
      <c r="AH625" s="727"/>
      <c r="AI625" s="728"/>
      <c r="AJ625" s="682"/>
      <c r="AK625" s="683"/>
      <c r="AL625" s="664" t="s">
        <v>162</v>
      </c>
      <c r="AM625" s="665"/>
      <c r="AN625" s="713" t="s">
        <v>162</v>
      </c>
      <c r="AO625" s="714"/>
      <c r="AP625" s="729"/>
      <c r="AQ625" s="730"/>
      <c r="AR625" s="731"/>
      <c r="AS625" s="732"/>
      <c r="AT625" s="690"/>
      <c r="AU625" s="691"/>
      <c r="AV625" s="713" t="s">
        <v>162</v>
      </c>
      <c r="AW625" s="714"/>
      <c r="AX625" s="692"/>
      <c r="AY625" s="693"/>
      <c r="AZ625" s="694"/>
      <c r="BA625" s="735"/>
      <c r="BB625" s="736"/>
      <c r="BC625" s="219"/>
      <c r="BD625" s="737" t="s">
        <v>162</v>
      </c>
      <c r="BE625" s="738"/>
      <c r="BF625" s="739"/>
      <c r="BG625" s="740"/>
      <c r="BH625" s="740"/>
      <c r="BI625" s="741"/>
      <c r="BJ625" s="742" t="s">
        <v>159</v>
      </c>
      <c r="BK625" s="743"/>
      <c r="BL625" s="743"/>
      <c r="BM625" s="744"/>
      <c r="BN625" s="703" t="s">
        <v>159</v>
      </c>
      <c r="BO625" s="704"/>
      <c r="BP625" s="704"/>
      <c r="BQ625" s="704"/>
      <c r="BR625" s="704"/>
      <c r="BS625" s="704"/>
      <c r="BT625" s="704"/>
      <c r="BU625" s="704"/>
      <c r="BV625" s="705"/>
    </row>
    <row r="626" spans="1:74" ht="45" customHeight="1" x14ac:dyDescent="0.25">
      <c r="A626" s="10">
        <f t="shared" si="9"/>
        <v>612</v>
      </c>
      <c r="B626" s="662" t="s">
        <v>159</v>
      </c>
      <c r="C626" s="662"/>
      <c r="D626" s="663" t="s">
        <v>212</v>
      </c>
      <c r="E626" s="663"/>
      <c r="F626" s="664" t="s">
        <v>162</v>
      </c>
      <c r="G626" s="665"/>
      <c r="H626" s="754" t="s">
        <v>162</v>
      </c>
      <c r="I626" s="714"/>
      <c r="J626" s="715"/>
      <c r="K626" s="716"/>
      <c r="L626" s="715"/>
      <c r="M626" s="716"/>
      <c r="N626" s="194"/>
      <c r="O626" s="196"/>
      <c r="P626" s="717"/>
      <c r="Q626" s="718"/>
      <c r="R626" s="672"/>
      <c r="S626" s="673"/>
      <c r="T626" s="674"/>
      <c r="U626" s="675"/>
      <c r="V626" s="676"/>
      <c r="W626" s="677"/>
      <c r="X626" s="678" t="s">
        <v>159</v>
      </c>
      <c r="Y626" s="678"/>
      <c r="Z626" s="678"/>
      <c r="AA626" s="678"/>
      <c r="AB626" s="679" t="s">
        <v>159</v>
      </c>
      <c r="AC626" s="679"/>
      <c r="AD626" s="679"/>
      <c r="AE626" s="679"/>
      <c r="AF626" s="680"/>
      <c r="AG626" s="681"/>
      <c r="AH626" s="680"/>
      <c r="AI626" s="681"/>
      <c r="AJ626" s="682"/>
      <c r="AK626" s="683"/>
      <c r="AL626" s="684" t="s">
        <v>162</v>
      </c>
      <c r="AM626" s="685"/>
      <c r="AN626" s="666" t="s">
        <v>162</v>
      </c>
      <c r="AO626" s="667"/>
      <c r="AP626" s="686"/>
      <c r="AQ626" s="687"/>
      <c r="AR626" s="688"/>
      <c r="AS626" s="689"/>
      <c r="AT626" s="690"/>
      <c r="AU626" s="691"/>
      <c r="AV626" s="666" t="s">
        <v>162</v>
      </c>
      <c r="AW626" s="667"/>
      <c r="AX626" s="692"/>
      <c r="AY626" s="693"/>
      <c r="AZ626" s="694"/>
      <c r="BA626" s="682"/>
      <c r="BB626" s="683"/>
      <c r="BC626" s="14"/>
      <c r="BD626" s="695" t="s">
        <v>162</v>
      </c>
      <c r="BE626" s="696"/>
      <c r="BF626" s="697"/>
      <c r="BG626" s="698"/>
      <c r="BH626" s="698"/>
      <c r="BI626" s="699"/>
      <c r="BJ626" s="700" t="s">
        <v>159</v>
      </c>
      <c r="BK626" s="701"/>
      <c r="BL626" s="701"/>
      <c r="BM626" s="702"/>
      <c r="BN626" s="703" t="s">
        <v>159</v>
      </c>
      <c r="BO626" s="704"/>
      <c r="BP626" s="704"/>
      <c r="BQ626" s="704"/>
      <c r="BR626" s="704"/>
      <c r="BS626" s="704"/>
      <c r="BT626" s="704"/>
      <c r="BU626" s="704"/>
      <c r="BV626" s="705"/>
    </row>
    <row r="627" spans="1:74" ht="45" customHeight="1" x14ac:dyDescent="0.25">
      <c r="A627" s="10">
        <f t="shared" si="9"/>
        <v>613</v>
      </c>
      <c r="B627" s="711" t="s">
        <v>159</v>
      </c>
      <c r="C627" s="711"/>
      <c r="D627" s="712" t="s">
        <v>212</v>
      </c>
      <c r="E627" s="712"/>
      <c r="F627" s="664" t="s">
        <v>162</v>
      </c>
      <c r="G627" s="665"/>
      <c r="H627" s="755" t="s">
        <v>162</v>
      </c>
      <c r="I627" s="667"/>
      <c r="J627" s="706"/>
      <c r="K627" s="707"/>
      <c r="L627" s="706"/>
      <c r="M627" s="707"/>
      <c r="N627" s="215"/>
      <c r="O627" s="216"/>
      <c r="P627" s="670"/>
      <c r="Q627" s="671"/>
      <c r="R627" s="719"/>
      <c r="S627" s="720"/>
      <c r="T627" s="721"/>
      <c r="U627" s="722"/>
      <c r="V627" s="723"/>
      <c r="W627" s="724"/>
      <c r="X627" s="725" t="s">
        <v>159</v>
      </c>
      <c r="Y627" s="725"/>
      <c r="Z627" s="725"/>
      <c r="AA627" s="725"/>
      <c r="AB627" s="726" t="s">
        <v>159</v>
      </c>
      <c r="AC627" s="726"/>
      <c r="AD627" s="726"/>
      <c r="AE627" s="726"/>
      <c r="AF627" s="727"/>
      <c r="AG627" s="728"/>
      <c r="AH627" s="727"/>
      <c r="AI627" s="728"/>
      <c r="AJ627" s="682"/>
      <c r="AK627" s="683"/>
      <c r="AL627" s="664" t="s">
        <v>162</v>
      </c>
      <c r="AM627" s="665"/>
      <c r="AN627" s="713" t="s">
        <v>162</v>
      </c>
      <c r="AO627" s="714"/>
      <c r="AP627" s="729"/>
      <c r="AQ627" s="730"/>
      <c r="AR627" s="731"/>
      <c r="AS627" s="732"/>
      <c r="AT627" s="690"/>
      <c r="AU627" s="691"/>
      <c r="AV627" s="713" t="s">
        <v>162</v>
      </c>
      <c r="AW627" s="714"/>
      <c r="AX627" s="692"/>
      <c r="AY627" s="693"/>
      <c r="AZ627" s="694"/>
      <c r="BA627" s="735"/>
      <c r="BB627" s="736"/>
      <c r="BC627" s="219"/>
      <c r="BD627" s="737" t="s">
        <v>162</v>
      </c>
      <c r="BE627" s="738"/>
      <c r="BF627" s="739"/>
      <c r="BG627" s="740"/>
      <c r="BH627" s="740"/>
      <c r="BI627" s="741"/>
      <c r="BJ627" s="742" t="s">
        <v>159</v>
      </c>
      <c r="BK627" s="743"/>
      <c r="BL627" s="743"/>
      <c r="BM627" s="744"/>
      <c r="BN627" s="703" t="s">
        <v>159</v>
      </c>
      <c r="BO627" s="704"/>
      <c r="BP627" s="704"/>
      <c r="BQ627" s="704"/>
      <c r="BR627" s="704"/>
      <c r="BS627" s="704"/>
      <c r="BT627" s="704"/>
      <c r="BU627" s="704"/>
      <c r="BV627" s="705"/>
    </row>
    <row r="628" spans="1:74" ht="45" customHeight="1" x14ac:dyDescent="0.25">
      <c r="A628" s="10">
        <f t="shared" si="9"/>
        <v>614</v>
      </c>
      <c r="B628" s="662" t="s">
        <v>159</v>
      </c>
      <c r="C628" s="662"/>
      <c r="D628" s="663" t="s">
        <v>212</v>
      </c>
      <c r="E628" s="663"/>
      <c r="F628" s="664" t="s">
        <v>162</v>
      </c>
      <c r="G628" s="665"/>
      <c r="H628" s="754" t="s">
        <v>162</v>
      </c>
      <c r="I628" s="714"/>
      <c r="J628" s="715"/>
      <c r="K628" s="716"/>
      <c r="L628" s="715"/>
      <c r="M628" s="716"/>
      <c r="N628" s="194"/>
      <c r="O628" s="196"/>
      <c r="P628" s="717"/>
      <c r="Q628" s="718"/>
      <c r="R628" s="672"/>
      <c r="S628" s="673"/>
      <c r="T628" s="674"/>
      <c r="U628" s="675"/>
      <c r="V628" s="676"/>
      <c r="W628" s="677"/>
      <c r="X628" s="678" t="s">
        <v>159</v>
      </c>
      <c r="Y628" s="678"/>
      <c r="Z628" s="678"/>
      <c r="AA628" s="678"/>
      <c r="AB628" s="679" t="s">
        <v>159</v>
      </c>
      <c r="AC628" s="679"/>
      <c r="AD628" s="679"/>
      <c r="AE628" s="679"/>
      <c r="AF628" s="680"/>
      <c r="AG628" s="681"/>
      <c r="AH628" s="680"/>
      <c r="AI628" s="681"/>
      <c r="AJ628" s="682"/>
      <c r="AK628" s="683"/>
      <c r="AL628" s="684" t="s">
        <v>162</v>
      </c>
      <c r="AM628" s="685"/>
      <c r="AN628" s="666" t="s">
        <v>162</v>
      </c>
      <c r="AO628" s="667"/>
      <c r="AP628" s="686"/>
      <c r="AQ628" s="687"/>
      <c r="AR628" s="688"/>
      <c r="AS628" s="689"/>
      <c r="AT628" s="690"/>
      <c r="AU628" s="691"/>
      <c r="AV628" s="666" t="s">
        <v>162</v>
      </c>
      <c r="AW628" s="667"/>
      <c r="AX628" s="692"/>
      <c r="AY628" s="693"/>
      <c r="AZ628" s="694"/>
      <c r="BA628" s="682"/>
      <c r="BB628" s="683"/>
      <c r="BC628" s="14"/>
      <c r="BD628" s="695" t="s">
        <v>162</v>
      </c>
      <c r="BE628" s="696"/>
      <c r="BF628" s="697"/>
      <c r="BG628" s="698"/>
      <c r="BH628" s="698"/>
      <c r="BI628" s="699"/>
      <c r="BJ628" s="700" t="s">
        <v>159</v>
      </c>
      <c r="BK628" s="701"/>
      <c r="BL628" s="701"/>
      <c r="BM628" s="702"/>
      <c r="BN628" s="703" t="s">
        <v>159</v>
      </c>
      <c r="BO628" s="704"/>
      <c r="BP628" s="704"/>
      <c r="BQ628" s="704"/>
      <c r="BR628" s="704"/>
      <c r="BS628" s="704"/>
      <c r="BT628" s="704"/>
      <c r="BU628" s="704"/>
      <c r="BV628" s="705"/>
    </row>
    <row r="629" spans="1:74" ht="45" customHeight="1" x14ac:dyDescent="0.25">
      <c r="A629" s="10">
        <f t="shared" si="9"/>
        <v>615</v>
      </c>
      <c r="B629" s="711" t="s">
        <v>159</v>
      </c>
      <c r="C629" s="711"/>
      <c r="D629" s="712" t="s">
        <v>212</v>
      </c>
      <c r="E629" s="712"/>
      <c r="F629" s="664" t="s">
        <v>162</v>
      </c>
      <c r="G629" s="665"/>
      <c r="H629" s="755" t="s">
        <v>162</v>
      </c>
      <c r="I629" s="667"/>
      <c r="J629" s="706"/>
      <c r="K629" s="707"/>
      <c r="L629" s="706"/>
      <c r="M629" s="707"/>
      <c r="N629" s="215"/>
      <c r="O629" s="216"/>
      <c r="P629" s="670"/>
      <c r="Q629" s="671"/>
      <c r="R629" s="719"/>
      <c r="S629" s="720"/>
      <c r="T629" s="721"/>
      <c r="U629" s="722"/>
      <c r="V629" s="723"/>
      <c r="W629" s="724"/>
      <c r="X629" s="725" t="s">
        <v>159</v>
      </c>
      <c r="Y629" s="725"/>
      <c r="Z629" s="725"/>
      <c r="AA629" s="725"/>
      <c r="AB629" s="726" t="s">
        <v>159</v>
      </c>
      <c r="AC629" s="726"/>
      <c r="AD629" s="726"/>
      <c r="AE629" s="726"/>
      <c r="AF629" s="727"/>
      <c r="AG629" s="728"/>
      <c r="AH629" s="727"/>
      <c r="AI629" s="728"/>
      <c r="AJ629" s="682"/>
      <c r="AK629" s="683"/>
      <c r="AL629" s="664" t="s">
        <v>162</v>
      </c>
      <c r="AM629" s="665"/>
      <c r="AN629" s="713" t="s">
        <v>162</v>
      </c>
      <c r="AO629" s="714"/>
      <c r="AP629" s="729"/>
      <c r="AQ629" s="730"/>
      <c r="AR629" s="731"/>
      <c r="AS629" s="732"/>
      <c r="AT629" s="733"/>
      <c r="AU629" s="734"/>
      <c r="AV629" s="713" t="s">
        <v>162</v>
      </c>
      <c r="AW629" s="714"/>
      <c r="AX629" s="692"/>
      <c r="AY629" s="693"/>
      <c r="AZ629" s="694"/>
      <c r="BA629" s="735"/>
      <c r="BB629" s="736"/>
      <c r="BC629" s="219"/>
      <c r="BD629" s="737" t="s">
        <v>162</v>
      </c>
      <c r="BE629" s="738"/>
      <c r="BF629" s="739"/>
      <c r="BG629" s="740"/>
      <c r="BH629" s="740"/>
      <c r="BI629" s="741"/>
      <c r="BJ629" s="742" t="s">
        <v>159</v>
      </c>
      <c r="BK629" s="743"/>
      <c r="BL629" s="743"/>
      <c r="BM629" s="744"/>
      <c r="BN629" s="703" t="s">
        <v>159</v>
      </c>
      <c r="BO629" s="704"/>
      <c r="BP629" s="704"/>
      <c r="BQ629" s="704"/>
      <c r="BR629" s="704"/>
      <c r="BS629" s="704"/>
      <c r="BT629" s="704"/>
      <c r="BU629" s="704"/>
      <c r="BV629" s="705"/>
    </row>
    <row r="630" spans="1:74" ht="45" customHeight="1" x14ac:dyDescent="0.25">
      <c r="A630" s="10">
        <f t="shared" si="9"/>
        <v>616</v>
      </c>
      <c r="B630" s="662" t="s">
        <v>159</v>
      </c>
      <c r="C630" s="662"/>
      <c r="D630" s="663" t="s">
        <v>212</v>
      </c>
      <c r="E630" s="663"/>
      <c r="F630" s="664" t="s">
        <v>162</v>
      </c>
      <c r="G630" s="665"/>
      <c r="H630" s="754" t="s">
        <v>162</v>
      </c>
      <c r="I630" s="714"/>
      <c r="J630" s="715"/>
      <c r="K630" s="716"/>
      <c r="L630" s="715"/>
      <c r="M630" s="716"/>
      <c r="N630" s="194"/>
      <c r="O630" s="196"/>
      <c r="P630" s="717"/>
      <c r="Q630" s="718"/>
      <c r="R630" s="672"/>
      <c r="S630" s="673"/>
      <c r="T630" s="674"/>
      <c r="U630" s="675"/>
      <c r="V630" s="676"/>
      <c r="W630" s="677"/>
      <c r="X630" s="678" t="s">
        <v>159</v>
      </c>
      <c r="Y630" s="678"/>
      <c r="Z630" s="678"/>
      <c r="AA630" s="678"/>
      <c r="AB630" s="679" t="s">
        <v>159</v>
      </c>
      <c r="AC630" s="679"/>
      <c r="AD630" s="679"/>
      <c r="AE630" s="679"/>
      <c r="AF630" s="680"/>
      <c r="AG630" s="681"/>
      <c r="AH630" s="680"/>
      <c r="AI630" s="681"/>
      <c r="AJ630" s="682"/>
      <c r="AK630" s="683"/>
      <c r="AL630" s="684" t="s">
        <v>162</v>
      </c>
      <c r="AM630" s="685"/>
      <c r="AN630" s="666" t="s">
        <v>162</v>
      </c>
      <c r="AO630" s="667"/>
      <c r="AP630" s="686"/>
      <c r="AQ630" s="687"/>
      <c r="AR630" s="688"/>
      <c r="AS630" s="689"/>
      <c r="AT630" s="690"/>
      <c r="AU630" s="691"/>
      <c r="AV630" s="666" t="s">
        <v>162</v>
      </c>
      <c r="AW630" s="667"/>
      <c r="AX630" s="692"/>
      <c r="AY630" s="693"/>
      <c r="AZ630" s="694"/>
      <c r="BA630" s="682"/>
      <c r="BB630" s="683"/>
      <c r="BC630" s="14"/>
      <c r="BD630" s="695" t="s">
        <v>162</v>
      </c>
      <c r="BE630" s="696"/>
      <c r="BF630" s="708"/>
      <c r="BG630" s="709"/>
      <c r="BH630" s="709"/>
      <c r="BI630" s="710"/>
      <c r="BJ630" s="700" t="s">
        <v>159</v>
      </c>
      <c r="BK630" s="701"/>
      <c r="BL630" s="701"/>
      <c r="BM630" s="702"/>
      <c r="BN630" s="703" t="s">
        <v>159</v>
      </c>
      <c r="BO630" s="704"/>
      <c r="BP630" s="704"/>
      <c r="BQ630" s="704"/>
      <c r="BR630" s="704"/>
      <c r="BS630" s="704"/>
      <c r="BT630" s="704"/>
      <c r="BU630" s="704"/>
      <c r="BV630" s="705"/>
    </row>
    <row r="631" spans="1:74" ht="45" customHeight="1" x14ac:dyDescent="0.25">
      <c r="A631" s="10">
        <f t="shared" si="9"/>
        <v>617</v>
      </c>
      <c r="B631" s="711" t="s">
        <v>159</v>
      </c>
      <c r="C631" s="711"/>
      <c r="D631" s="712" t="s">
        <v>212</v>
      </c>
      <c r="E631" s="712"/>
      <c r="F631" s="664" t="s">
        <v>162</v>
      </c>
      <c r="G631" s="665"/>
      <c r="H631" s="755" t="s">
        <v>162</v>
      </c>
      <c r="I631" s="667"/>
      <c r="J631" s="706"/>
      <c r="K631" s="707"/>
      <c r="L631" s="706"/>
      <c r="M631" s="707"/>
      <c r="N631" s="215"/>
      <c r="O631" s="216"/>
      <c r="P631" s="670"/>
      <c r="Q631" s="671"/>
      <c r="R631" s="719"/>
      <c r="S631" s="720"/>
      <c r="T631" s="721"/>
      <c r="U631" s="722"/>
      <c r="V631" s="723"/>
      <c r="W631" s="724"/>
      <c r="X631" s="725" t="s">
        <v>159</v>
      </c>
      <c r="Y631" s="725"/>
      <c r="Z631" s="725"/>
      <c r="AA631" s="725"/>
      <c r="AB631" s="726" t="s">
        <v>159</v>
      </c>
      <c r="AC631" s="726"/>
      <c r="AD631" s="726"/>
      <c r="AE631" s="726"/>
      <c r="AF631" s="727"/>
      <c r="AG631" s="728"/>
      <c r="AH631" s="727"/>
      <c r="AI631" s="728"/>
      <c r="AJ631" s="682"/>
      <c r="AK631" s="683"/>
      <c r="AL631" s="664" t="s">
        <v>162</v>
      </c>
      <c r="AM631" s="665"/>
      <c r="AN631" s="713" t="s">
        <v>162</v>
      </c>
      <c r="AO631" s="714"/>
      <c r="AP631" s="729"/>
      <c r="AQ631" s="730"/>
      <c r="AR631" s="731"/>
      <c r="AS631" s="732"/>
      <c r="AT631" s="733"/>
      <c r="AU631" s="734"/>
      <c r="AV631" s="713" t="s">
        <v>162</v>
      </c>
      <c r="AW631" s="714"/>
      <c r="AX631" s="692"/>
      <c r="AY631" s="693"/>
      <c r="AZ631" s="694"/>
      <c r="BA631" s="735"/>
      <c r="BB631" s="736"/>
      <c r="BC631" s="219"/>
      <c r="BD631" s="737" t="s">
        <v>162</v>
      </c>
      <c r="BE631" s="738"/>
      <c r="BF631" s="739"/>
      <c r="BG631" s="740"/>
      <c r="BH631" s="740"/>
      <c r="BI631" s="741"/>
      <c r="BJ631" s="742" t="s">
        <v>159</v>
      </c>
      <c r="BK631" s="743"/>
      <c r="BL631" s="743"/>
      <c r="BM631" s="744"/>
      <c r="BN631" s="703" t="s">
        <v>159</v>
      </c>
      <c r="BO631" s="704"/>
      <c r="BP631" s="704"/>
      <c r="BQ631" s="704"/>
      <c r="BR631" s="704"/>
      <c r="BS631" s="704"/>
      <c r="BT631" s="704"/>
      <c r="BU631" s="704"/>
      <c r="BV631" s="705"/>
    </row>
    <row r="632" spans="1:74" ht="45" customHeight="1" x14ac:dyDescent="0.25">
      <c r="A632" s="10">
        <f t="shared" si="9"/>
        <v>618</v>
      </c>
      <c r="B632" s="662" t="s">
        <v>159</v>
      </c>
      <c r="C632" s="662"/>
      <c r="D632" s="663" t="s">
        <v>212</v>
      </c>
      <c r="E632" s="663"/>
      <c r="F632" s="664" t="s">
        <v>162</v>
      </c>
      <c r="G632" s="665"/>
      <c r="H632" s="754" t="s">
        <v>162</v>
      </c>
      <c r="I632" s="714"/>
      <c r="J632" s="715"/>
      <c r="K632" s="716"/>
      <c r="L632" s="715"/>
      <c r="M632" s="716"/>
      <c r="N632" s="194"/>
      <c r="O632" s="196"/>
      <c r="P632" s="717"/>
      <c r="Q632" s="718"/>
      <c r="R632" s="672"/>
      <c r="S632" s="673"/>
      <c r="T632" s="674"/>
      <c r="U632" s="675"/>
      <c r="V632" s="676"/>
      <c r="W632" s="677"/>
      <c r="X632" s="678" t="s">
        <v>159</v>
      </c>
      <c r="Y632" s="678"/>
      <c r="Z632" s="678"/>
      <c r="AA632" s="678"/>
      <c r="AB632" s="679" t="s">
        <v>159</v>
      </c>
      <c r="AC632" s="679"/>
      <c r="AD632" s="679"/>
      <c r="AE632" s="679"/>
      <c r="AF632" s="680"/>
      <c r="AG632" s="681"/>
      <c r="AH632" s="680"/>
      <c r="AI632" s="681"/>
      <c r="AJ632" s="682"/>
      <c r="AK632" s="683"/>
      <c r="AL632" s="684" t="s">
        <v>162</v>
      </c>
      <c r="AM632" s="685"/>
      <c r="AN632" s="666" t="s">
        <v>162</v>
      </c>
      <c r="AO632" s="667"/>
      <c r="AP632" s="686"/>
      <c r="AQ632" s="687"/>
      <c r="AR632" s="688"/>
      <c r="AS632" s="689"/>
      <c r="AT632" s="690"/>
      <c r="AU632" s="691"/>
      <c r="AV632" s="666" t="s">
        <v>162</v>
      </c>
      <c r="AW632" s="667"/>
      <c r="AX632" s="692"/>
      <c r="AY632" s="693"/>
      <c r="AZ632" s="694"/>
      <c r="BA632" s="682"/>
      <c r="BB632" s="683"/>
      <c r="BC632" s="14"/>
      <c r="BD632" s="695" t="s">
        <v>162</v>
      </c>
      <c r="BE632" s="696"/>
      <c r="BF632" s="697"/>
      <c r="BG632" s="698"/>
      <c r="BH632" s="698"/>
      <c r="BI632" s="699"/>
      <c r="BJ632" s="700" t="s">
        <v>159</v>
      </c>
      <c r="BK632" s="701"/>
      <c r="BL632" s="701"/>
      <c r="BM632" s="702"/>
      <c r="BN632" s="703" t="s">
        <v>159</v>
      </c>
      <c r="BO632" s="704"/>
      <c r="BP632" s="704"/>
      <c r="BQ632" s="704"/>
      <c r="BR632" s="704"/>
      <c r="BS632" s="704"/>
      <c r="BT632" s="704"/>
      <c r="BU632" s="704"/>
      <c r="BV632" s="705"/>
    </row>
    <row r="633" spans="1:74" ht="45" customHeight="1" x14ac:dyDescent="0.25">
      <c r="A633" s="10">
        <f t="shared" si="9"/>
        <v>619</v>
      </c>
      <c r="B633" s="711" t="s">
        <v>159</v>
      </c>
      <c r="C633" s="711"/>
      <c r="D633" s="712" t="s">
        <v>212</v>
      </c>
      <c r="E633" s="712"/>
      <c r="F633" s="664" t="s">
        <v>162</v>
      </c>
      <c r="G633" s="665"/>
      <c r="H633" s="755" t="s">
        <v>162</v>
      </c>
      <c r="I633" s="667"/>
      <c r="J633" s="706"/>
      <c r="K633" s="707"/>
      <c r="L633" s="706"/>
      <c r="M633" s="707"/>
      <c r="N633" s="215"/>
      <c r="O633" s="216"/>
      <c r="P633" s="670"/>
      <c r="Q633" s="671"/>
      <c r="R633" s="719"/>
      <c r="S633" s="720"/>
      <c r="T633" s="721"/>
      <c r="U633" s="722"/>
      <c r="V633" s="723"/>
      <c r="W633" s="724"/>
      <c r="X633" s="725" t="s">
        <v>159</v>
      </c>
      <c r="Y633" s="725"/>
      <c r="Z633" s="725"/>
      <c r="AA633" s="725"/>
      <c r="AB633" s="726" t="s">
        <v>159</v>
      </c>
      <c r="AC633" s="726"/>
      <c r="AD633" s="726"/>
      <c r="AE633" s="726"/>
      <c r="AF633" s="727"/>
      <c r="AG633" s="728"/>
      <c r="AH633" s="727"/>
      <c r="AI633" s="728"/>
      <c r="AJ633" s="682"/>
      <c r="AK633" s="683"/>
      <c r="AL633" s="664" t="s">
        <v>162</v>
      </c>
      <c r="AM633" s="665"/>
      <c r="AN633" s="713" t="s">
        <v>162</v>
      </c>
      <c r="AO633" s="714"/>
      <c r="AP633" s="729"/>
      <c r="AQ633" s="730"/>
      <c r="AR633" s="731"/>
      <c r="AS633" s="732"/>
      <c r="AT633" s="733"/>
      <c r="AU633" s="734"/>
      <c r="AV633" s="713" t="s">
        <v>162</v>
      </c>
      <c r="AW633" s="714"/>
      <c r="AX633" s="692"/>
      <c r="AY633" s="693"/>
      <c r="AZ633" s="694"/>
      <c r="BA633" s="735"/>
      <c r="BB633" s="736"/>
      <c r="BC633" s="219"/>
      <c r="BD633" s="737" t="s">
        <v>162</v>
      </c>
      <c r="BE633" s="738"/>
      <c r="BF633" s="739"/>
      <c r="BG633" s="740"/>
      <c r="BH633" s="740"/>
      <c r="BI633" s="741"/>
      <c r="BJ633" s="742" t="s">
        <v>159</v>
      </c>
      <c r="BK633" s="743"/>
      <c r="BL633" s="743"/>
      <c r="BM633" s="744"/>
      <c r="BN633" s="703" t="s">
        <v>159</v>
      </c>
      <c r="BO633" s="704"/>
      <c r="BP633" s="704"/>
      <c r="BQ633" s="704"/>
      <c r="BR633" s="704"/>
      <c r="BS633" s="704"/>
      <c r="BT633" s="704"/>
      <c r="BU633" s="704"/>
      <c r="BV633" s="705"/>
    </row>
    <row r="634" spans="1:74" ht="45" customHeight="1" x14ac:dyDescent="0.25">
      <c r="A634" s="10">
        <f t="shared" si="9"/>
        <v>620</v>
      </c>
      <c r="B634" s="662" t="s">
        <v>159</v>
      </c>
      <c r="C634" s="662"/>
      <c r="D634" s="663" t="s">
        <v>212</v>
      </c>
      <c r="E634" s="663"/>
      <c r="F634" s="664" t="s">
        <v>162</v>
      </c>
      <c r="G634" s="665"/>
      <c r="H634" s="754" t="s">
        <v>162</v>
      </c>
      <c r="I634" s="714"/>
      <c r="J634" s="715"/>
      <c r="K634" s="716"/>
      <c r="L634" s="715"/>
      <c r="M634" s="716"/>
      <c r="N634" s="194"/>
      <c r="O634" s="196"/>
      <c r="P634" s="717"/>
      <c r="Q634" s="718"/>
      <c r="R634" s="672"/>
      <c r="S634" s="673"/>
      <c r="T634" s="674"/>
      <c r="U634" s="675"/>
      <c r="V634" s="676"/>
      <c r="W634" s="677"/>
      <c r="X634" s="678" t="s">
        <v>159</v>
      </c>
      <c r="Y634" s="678"/>
      <c r="Z634" s="678"/>
      <c r="AA634" s="678"/>
      <c r="AB634" s="679" t="s">
        <v>159</v>
      </c>
      <c r="AC634" s="679"/>
      <c r="AD634" s="679"/>
      <c r="AE634" s="679"/>
      <c r="AF634" s="680"/>
      <c r="AG634" s="681"/>
      <c r="AH634" s="680"/>
      <c r="AI634" s="681"/>
      <c r="AJ634" s="682"/>
      <c r="AK634" s="683"/>
      <c r="AL634" s="684" t="s">
        <v>162</v>
      </c>
      <c r="AM634" s="685"/>
      <c r="AN634" s="666" t="s">
        <v>162</v>
      </c>
      <c r="AO634" s="667"/>
      <c r="AP634" s="686"/>
      <c r="AQ634" s="687"/>
      <c r="AR634" s="688"/>
      <c r="AS634" s="689"/>
      <c r="AT634" s="690"/>
      <c r="AU634" s="691"/>
      <c r="AV634" s="666" t="s">
        <v>162</v>
      </c>
      <c r="AW634" s="667"/>
      <c r="AX634" s="692"/>
      <c r="AY634" s="693"/>
      <c r="AZ634" s="694"/>
      <c r="BA634" s="682"/>
      <c r="BB634" s="683"/>
      <c r="BC634" s="14"/>
      <c r="BD634" s="695" t="s">
        <v>162</v>
      </c>
      <c r="BE634" s="696"/>
      <c r="BF634" s="697"/>
      <c r="BG634" s="698"/>
      <c r="BH634" s="698"/>
      <c r="BI634" s="699"/>
      <c r="BJ634" s="700" t="s">
        <v>159</v>
      </c>
      <c r="BK634" s="701"/>
      <c r="BL634" s="701"/>
      <c r="BM634" s="702"/>
      <c r="BN634" s="703" t="s">
        <v>159</v>
      </c>
      <c r="BO634" s="704"/>
      <c r="BP634" s="704"/>
      <c r="BQ634" s="704"/>
      <c r="BR634" s="704"/>
      <c r="BS634" s="704"/>
      <c r="BT634" s="704"/>
      <c r="BU634" s="704"/>
      <c r="BV634" s="705"/>
    </row>
    <row r="635" spans="1:74" ht="45" customHeight="1" x14ac:dyDescent="0.25">
      <c r="A635" s="10">
        <f t="shared" si="9"/>
        <v>621</v>
      </c>
      <c r="B635" s="711" t="s">
        <v>159</v>
      </c>
      <c r="C635" s="711"/>
      <c r="D635" s="712" t="s">
        <v>212</v>
      </c>
      <c r="E635" s="712"/>
      <c r="F635" s="664" t="s">
        <v>162</v>
      </c>
      <c r="G635" s="665"/>
      <c r="H635" s="755" t="s">
        <v>162</v>
      </c>
      <c r="I635" s="667"/>
      <c r="J635" s="706"/>
      <c r="K635" s="707"/>
      <c r="L635" s="706"/>
      <c r="M635" s="707"/>
      <c r="N635" s="215"/>
      <c r="O635" s="216"/>
      <c r="P635" s="670"/>
      <c r="Q635" s="671"/>
      <c r="R635" s="719"/>
      <c r="S635" s="720"/>
      <c r="T635" s="721"/>
      <c r="U635" s="722"/>
      <c r="V635" s="723"/>
      <c r="W635" s="724"/>
      <c r="X635" s="725" t="s">
        <v>159</v>
      </c>
      <c r="Y635" s="725"/>
      <c r="Z635" s="725"/>
      <c r="AA635" s="725"/>
      <c r="AB635" s="726" t="s">
        <v>159</v>
      </c>
      <c r="AC635" s="726"/>
      <c r="AD635" s="726"/>
      <c r="AE635" s="726"/>
      <c r="AF635" s="727"/>
      <c r="AG635" s="728"/>
      <c r="AH635" s="727"/>
      <c r="AI635" s="728"/>
      <c r="AJ635" s="682"/>
      <c r="AK635" s="683"/>
      <c r="AL635" s="664" t="s">
        <v>162</v>
      </c>
      <c r="AM635" s="665"/>
      <c r="AN635" s="713" t="s">
        <v>162</v>
      </c>
      <c r="AO635" s="714"/>
      <c r="AP635" s="729"/>
      <c r="AQ635" s="730"/>
      <c r="AR635" s="731"/>
      <c r="AS635" s="732"/>
      <c r="AT635" s="733"/>
      <c r="AU635" s="734"/>
      <c r="AV635" s="713" t="s">
        <v>162</v>
      </c>
      <c r="AW635" s="714"/>
      <c r="AX635" s="692"/>
      <c r="AY635" s="693"/>
      <c r="AZ635" s="694"/>
      <c r="BA635" s="735"/>
      <c r="BB635" s="736"/>
      <c r="BC635" s="219"/>
      <c r="BD635" s="737" t="s">
        <v>162</v>
      </c>
      <c r="BE635" s="738"/>
      <c r="BF635" s="739"/>
      <c r="BG635" s="740"/>
      <c r="BH635" s="740"/>
      <c r="BI635" s="741"/>
      <c r="BJ635" s="742" t="s">
        <v>159</v>
      </c>
      <c r="BK635" s="743"/>
      <c r="BL635" s="743"/>
      <c r="BM635" s="744"/>
      <c r="BN635" s="703" t="s">
        <v>159</v>
      </c>
      <c r="BO635" s="704"/>
      <c r="BP635" s="704"/>
      <c r="BQ635" s="704"/>
      <c r="BR635" s="704"/>
      <c r="BS635" s="704"/>
      <c r="BT635" s="704"/>
      <c r="BU635" s="704"/>
      <c r="BV635" s="705"/>
    </row>
    <row r="636" spans="1:74" ht="45" customHeight="1" x14ac:dyDescent="0.25">
      <c r="A636" s="10">
        <f t="shared" si="9"/>
        <v>622</v>
      </c>
      <c r="B636" s="662" t="s">
        <v>159</v>
      </c>
      <c r="C636" s="662"/>
      <c r="D636" s="663" t="s">
        <v>212</v>
      </c>
      <c r="E636" s="663"/>
      <c r="F636" s="664" t="s">
        <v>162</v>
      </c>
      <c r="G636" s="665"/>
      <c r="H636" s="754" t="s">
        <v>162</v>
      </c>
      <c r="I636" s="714"/>
      <c r="J636" s="715"/>
      <c r="K636" s="716"/>
      <c r="L636" s="715"/>
      <c r="M636" s="716"/>
      <c r="N636" s="194"/>
      <c r="O636" s="196"/>
      <c r="P636" s="717"/>
      <c r="Q636" s="718"/>
      <c r="R636" s="672"/>
      <c r="S636" s="673"/>
      <c r="T636" s="674"/>
      <c r="U636" s="675"/>
      <c r="V636" s="676"/>
      <c r="W636" s="677"/>
      <c r="X636" s="678" t="s">
        <v>159</v>
      </c>
      <c r="Y636" s="678"/>
      <c r="Z636" s="678"/>
      <c r="AA636" s="678"/>
      <c r="AB636" s="679" t="s">
        <v>159</v>
      </c>
      <c r="AC636" s="679"/>
      <c r="AD636" s="679"/>
      <c r="AE636" s="679"/>
      <c r="AF636" s="680"/>
      <c r="AG636" s="681"/>
      <c r="AH636" s="680"/>
      <c r="AI636" s="681"/>
      <c r="AJ636" s="682"/>
      <c r="AK636" s="683"/>
      <c r="AL636" s="684" t="s">
        <v>162</v>
      </c>
      <c r="AM636" s="685"/>
      <c r="AN636" s="666" t="s">
        <v>162</v>
      </c>
      <c r="AO636" s="667"/>
      <c r="AP636" s="686"/>
      <c r="AQ636" s="687"/>
      <c r="AR636" s="688"/>
      <c r="AS636" s="689"/>
      <c r="AT636" s="690"/>
      <c r="AU636" s="691"/>
      <c r="AV636" s="666" t="s">
        <v>162</v>
      </c>
      <c r="AW636" s="667"/>
      <c r="AX636" s="692"/>
      <c r="AY636" s="693"/>
      <c r="AZ636" s="694"/>
      <c r="BA636" s="682"/>
      <c r="BB636" s="683"/>
      <c r="BC636" s="14"/>
      <c r="BD636" s="695" t="s">
        <v>162</v>
      </c>
      <c r="BE636" s="696"/>
      <c r="BF636" s="708"/>
      <c r="BG636" s="709"/>
      <c r="BH636" s="709"/>
      <c r="BI636" s="710"/>
      <c r="BJ636" s="700" t="s">
        <v>159</v>
      </c>
      <c r="BK636" s="701"/>
      <c r="BL636" s="701"/>
      <c r="BM636" s="702"/>
      <c r="BN636" s="703" t="s">
        <v>159</v>
      </c>
      <c r="BO636" s="704"/>
      <c r="BP636" s="704"/>
      <c r="BQ636" s="704"/>
      <c r="BR636" s="704"/>
      <c r="BS636" s="704"/>
      <c r="BT636" s="704"/>
      <c r="BU636" s="704"/>
      <c r="BV636" s="705"/>
    </row>
    <row r="637" spans="1:74" ht="45" customHeight="1" x14ac:dyDescent="0.25">
      <c r="A637" s="10">
        <f t="shared" si="9"/>
        <v>623</v>
      </c>
      <c r="B637" s="711" t="s">
        <v>159</v>
      </c>
      <c r="C637" s="711"/>
      <c r="D637" s="712" t="s">
        <v>212</v>
      </c>
      <c r="E637" s="712"/>
      <c r="F637" s="664" t="s">
        <v>162</v>
      </c>
      <c r="G637" s="665"/>
      <c r="H637" s="755" t="s">
        <v>162</v>
      </c>
      <c r="I637" s="667"/>
      <c r="J637" s="706"/>
      <c r="K637" s="707"/>
      <c r="L637" s="706"/>
      <c r="M637" s="707"/>
      <c r="N637" s="215"/>
      <c r="O637" s="216"/>
      <c r="P637" s="670"/>
      <c r="Q637" s="671"/>
      <c r="R637" s="719"/>
      <c r="S637" s="720"/>
      <c r="T637" s="721"/>
      <c r="U637" s="722"/>
      <c r="V637" s="723"/>
      <c r="W637" s="724"/>
      <c r="X637" s="725" t="s">
        <v>159</v>
      </c>
      <c r="Y637" s="725"/>
      <c r="Z637" s="725"/>
      <c r="AA637" s="725"/>
      <c r="AB637" s="726" t="s">
        <v>159</v>
      </c>
      <c r="AC637" s="726"/>
      <c r="AD637" s="726"/>
      <c r="AE637" s="726"/>
      <c r="AF637" s="727"/>
      <c r="AG637" s="728"/>
      <c r="AH637" s="727"/>
      <c r="AI637" s="728"/>
      <c r="AJ637" s="682"/>
      <c r="AK637" s="683"/>
      <c r="AL637" s="664" t="s">
        <v>162</v>
      </c>
      <c r="AM637" s="665"/>
      <c r="AN637" s="713" t="s">
        <v>162</v>
      </c>
      <c r="AO637" s="714"/>
      <c r="AP637" s="729"/>
      <c r="AQ637" s="730"/>
      <c r="AR637" s="731"/>
      <c r="AS637" s="732"/>
      <c r="AT637" s="733"/>
      <c r="AU637" s="734"/>
      <c r="AV637" s="713" t="s">
        <v>162</v>
      </c>
      <c r="AW637" s="714"/>
      <c r="AX637" s="692"/>
      <c r="AY637" s="693"/>
      <c r="AZ637" s="694"/>
      <c r="BA637" s="735"/>
      <c r="BB637" s="736"/>
      <c r="BC637" s="219"/>
      <c r="BD637" s="737" t="s">
        <v>162</v>
      </c>
      <c r="BE637" s="738"/>
      <c r="BF637" s="739"/>
      <c r="BG637" s="740"/>
      <c r="BH637" s="740"/>
      <c r="BI637" s="741"/>
      <c r="BJ637" s="742" t="s">
        <v>159</v>
      </c>
      <c r="BK637" s="743"/>
      <c r="BL637" s="743"/>
      <c r="BM637" s="744"/>
      <c r="BN637" s="703" t="s">
        <v>159</v>
      </c>
      <c r="BO637" s="704"/>
      <c r="BP637" s="704"/>
      <c r="BQ637" s="704"/>
      <c r="BR637" s="704"/>
      <c r="BS637" s="704"/>
      <c r="BT637" s="704"/>
      <c r="BU637" s="704"/>
      <c r="BV637" s="705"/>
    </row>
    <row r="638" spans="1:74" ht="45" customHeight="1" x14ac:dyDescent="0.25">
      <c r="A638" s="10">
        <f t="shared" si="9"/>
        <v>624</v>
      </c>
      <c r="B638" s="662" t="s">
        <v>159</v>
      </c>
      <c r="C638" s="662"/>
      <c r="D638" s="663" t="s">
        <v>212</v>
      </c>
      <c r="E638" s="663"/>
      <c r="F638" s="664" t="s">
        <v>162</v>
      </c>
      <c r="G638" s="665"/>
      <c r="H638" s="754" t="s">
        <v>162</v>
      </c>
      <c r="I638" s="714"/>
      <c r="J638" s="715"/>
      <c r="K638" s="716"/>
      <c r="L638" s="715"/>
      <c r="M638" s="716"/>
      <c r="N638" s="194"/>
      <c r="O638" s="196"/>
      <c r="P638" s="717"/>
      <c r="Q638" s="718"/>
      <c r="R638" s="672"/>
      <c r="S638" s="673"/>
      <c r="T638" s="674"/>
      <c r="U638" s="675"/>
      <c r="V638" s="676"/>
      <c r="W638" s="677"/>
      <c r="X638" s="678" t="s">
        <v>159</v>
      </c>
      <c r="Y638" s="678"/>
      <c r="Z638" s="678"/>
      <c r="AA638" s="678"/>
      <c r="AB638" s="679" t="s">
        <v>159</v>
      </c>
      <c r="AC638" s="679"/>
      <c r="AD638" s="679"/>
      <c r="AE638" s="679"/>
      <c r="AF638" s="680"/>
      <c r="AG638" s="681"/>
      <c r="AH638" s="680"/>
      <c r="AI638" s="681"/>
      <c r="AJ638" s="682"/>
      <c r="AK638" s="683"/>
      <c r="AL638" s="684" t="s">
        <v>162</v>
      </c>
      <c r="AM638" s="685"/>
      <c r="AN638" s="666" t="s">
        <v>162</v>
      </c>
      <c r="AO638" s="667"/>
      <c r="AP638" s="686"/>
      <c r="AQ638" s="687"/>
      <c r="AR638" s="688"/>
      <c r="AS638" s="689"/>
      <c r="AT638" s="690"/>
      <c r="AU638" s="691"/>
      <c r="AV638" s="666" t="s">
        <v>162</v>
      </c>
      <c r="AW638" s="667"/>
      <c r="AX638" s="692"/>
      <c r="AY638" s="693"/>
      <c r="AZ638" s="694"/>
      <c r="BA638" s="682"/>
      <c r="BB638" s="683"/>
      <c r="BC638" s="14"/>
      <c r="BD638" s="695" t="s">
        <v>162</v>
      </c>
      <c r="BE638" s="696"/>
      <c r="BF638" s="697"/>
      <c r="BG638" s="698"/>
      <c r="BH638" s="698"/>
      <c r="BI638" s="699"/>
      <c r="BJ638" s="700" t="s">
        <v>159</v>
      </c>
      <c r="BK638" s="701"/>
      <c r="BL638" s="701"/>
      <c r="BM638" s="702"/>
      <c r="BN638" s="703" t="s">
        <v>159</v>
      </c>
      <c r="BO638" s="704"/>
      <c r="BP638" s="704"/>
      <c r="BQ638" s="704"/>
      <c r="BR638" s="704"/>
      <c r="BS638" s="704"/>
      <c r="BT638" s="704"/>
      <c r="BU638" s="704"/>
      <c r="BV638" s="705"/>
    </row>
    <row r="639" spans="1:74" ht="45" customHeight="1" x14ac:dyDescent="0.25">
      <c r="A639" s="10">
        <f t="shared" si="9"/>
        <v>625</v>
      </c>
      <c r="B639" s="711" t="s">
        <v>159</v>
      </c>
      <c r="C639" s="711"/>
      <c r="D639" s="712" t="s">
        <v>212</v>
      </c>
      <c r="E639" s="712"/>
      <c r="F639" s="664" t="s">
        <v>162</v>
      </c>
      <c r="G639" s="665"/>
      <c r="H639" s="755" t="s">
        <v>162</v>
      </c>
      <c r="I639" s="667"/>
      <c r="J639" s="706"/>
      <c r="K639" s="707"/>
      <c r="L639" s="706"/>
      <c r="M639" s="707"/>
      <c r="N639" s="215"/>
      <c r="O639" s="216"/>
      <c r="P639" s="670"/>
      <c r="Q639" s="671"/>
      <c r="R639" s="719"/>
      <c r="S639" s="720"/>
      <c r="T639" s="721"/>
      <c r="U639" s="722"/>
      <c r="V639" s="723"/>
      <c r="W639" s="724"/>
      <c r="X639" s="725" t="s">
        <v>159</v>
      </c>
      <c r="Y639" s="725"/>
      <c r="Z639" s="725"/>
      <c r="AA639" s="725"/>
      <c r="AB639" s="726" t="s">
        <v>159</v>
      </c>
      <c r="AC639" s="726"/>
      <c r="AD639" s="726"/>
      <c r="AE639" s="726"/>
      <c r="AF639" s="727"/>
      <c r="AG639" s="728"/>
      <c r="AH639" s="727"/>
      <c r="AI639" s="728"/>
      <c r="AJ639" s="682"/>
      <c r="AK639" s="683"/>
      <c r="AL639" s="664" t="s">
        <v>162</v>
      </c>
      <c r="AM639" s="665"/>
      <c r="AN639" s="713" t="s">
        <v>162</v>
      </c>
      <c r="AO639" s="714"/>
      <c r="AP639" s="729"/>
      <c r="AQ639" s="730"/>
      <c r="AR639" s="731"/>
      <c r="AS639" s="732"/>
      <c r="AT639" s="690"/>
      <c r="AU639" s="691"/>
      <c r="AV639" s="713" t="s">
        <v>162</v>
      </c>
      <c r="AW639" s="714"/>
      <c r="AX639" s="692"/>
      <c r="AY639" s="693"/>
      <c r="AZ639" s="694"/>
      <c r="BA639" s="735"/>
      <c r="BB639" s="736"/>
      <c r="BC639" s="219"/>
      <c r="BD639" s="737" t="s">
        <v>162</v>
      </c>
      <c r="BE639" s="738"/>
      <c r="BF639" s="739"/>
      <c r="BG639" s="740"/>
      <c r="BH639" s="740"/>
      <c r="BI639" s="741"/>
      <c r="BJ639" s="742" t="s">
        <v>159</v>
      </c>
      <c r="BK639" s="743"/>
      <c r="BL639" s="743"/>
      <c r="BM639" s="744"/>
      <c r="BN639" s="703" t="s">
        <v>159</v>
      </c>
      <c r="BO639" s="704"/>
      <c r="BP639" s="704"/>
      <c r="BQ639" s="704"/>
      <c r="BR639" s="704"/>
      <c r="BS639" s="704"/>
      <c r="BT639" s="704"/>
      <c r="BU639" s="704"/>
      <c r="BV639" s="705"/>
    </row>
    <row r="640" spans="1:74" ht="45" customHeight="1" x14ac:dyDescent="0.25">
      <c r="A640" s="10">
        <f t="shared" si="9"/>
        <v>626</v>
      </c>
      <c r="B640" s="662" t="s">
        <v>159</v>
      </c>
      <c r="C640" s="662"/>
      <c r="D640" s="663" t="s">
        <v>212</v>
      </c>
      <c r="E640" s="663"/>
      <c r="F640" s="664" t="s">
        <v>162</v>
      </c>
      <c r="G640" s="665"/>
      <c r="H640" s="754" t="s">
        <v>162</v>
      </c>
      <c r="I640" s="714"/>
      <c r="J640" s="715"/>
      <c r="K640" s="716"/>
      <c r="L640" s="715"/>
      <c r="M640" s="716"/>
      <c r="N640" s="194"/>
      <c r="O640" s="196"/>
      <c r="P640" s="717"/>
      <c r="Q640" s="718"/>
      <c r="R640" s="672"/>
      <c r="S640" s="673"/>
      <c r="T640" s="674"/>
      <c r="U640" s="675"/>
      <c r="V640" s="676"/>
      <c r="W640" s="677"/>
      <c r="X640" s="678" t="s">
        <v>159</v>
      </c>
      <c r="Y640" s="678"/>
      <c r="Z640" s="678"/>
      <c r="AA640" s="678"/>
      <c r="AB640" s="679" t="s">
        <v>159</v>
      </c>
      <c r="AC640" s="679"/>
      <c r="AD640" s="679"/>
      <c r="AE640" s="679"/>
      <c r="AF640" s="680"/>
      <c r="AG640" s="681"/>
      <c r="AH640" s="680"/>
      <c r="AI640" s="681"/>
      <c r="AJ640" s="682"/>
      <c r="AK640" s="683"/>
      <c r="AL640" s="684" t="s">
        <v>162</v>
      </c>
      <c r="AM640" s="685"/>
      <c r="AN640" s="666" t="s">
        <v>162</v>
      </c>
      <c r="AO640" s="667"/>
      <c r="AP640" s="686"/>
      <c r="AQ640" s="687"/>
      <c r="AR640" s="688"/>
      <c r="AS640" s="689"/>
      <c r="AT640" s="690"/>
      <c r="AU640" s="691"/>
      <c r="AV640" s="666" t="s">
        <v>162</v>
      </c>
      <c r="AW640" s="667"/>
      <c r="AX640" s="692"/>
      <c r="AY640" s="693"/>
      <c r="AZ640" s="694"/>
      <c r="BA640" s="682"/>
      <c r="BB640" s="683"/>
      <c r="BC640" s="14"/>
      <c r="BD640" s="695" t="s">
        <v>162</v>
      </c>
      <c r="BE640" s="696"/>
      <c r="BF640" s="697"/>
      <c r="BG640" s="698"/>
      <c r="BH640" s="698"/>
      <c r="BI640" s="699"/>
      <c r="BJ640" s="700" t="s">
        <v>159</v>
      </c>
      <c r="BK640" s="701"/>
      <c r="BL640" s="701"/>
      <c r="BM640" s="702"/>
      <c r="BN640" s="703" t="s">
        <v>159</v>
      </c>
      <c r="BO640" s="704"/>
      <c r="BP640" s="704"/>
      <c r="BQ640" s="704"/>
      <c r="BR640" s="704"/>
      <c r="BS640" s="704"/>
      <c r="BT640" s="704"/>
      <c r="BU640" s="704"/>
      <c r="BV640" s="705"/>
    </row>
    <row r="641" spans="1:74" ht="45" customHeight="1" x14ac:dyDescent="0.25">
      <c r="A641" s="10">
        <f t="shared" si="9"/>
        <v>627</v>
      </c>
      <c r="B641" s="711" t="s">
        <v>159</v>
      </c>
      <c r="C641" s="711"/>
      <c r="D641" s="712" t="s">
        <v>212</v>
      </c>
      <c r="E641" s="712"/>
      <c r="F641" s="664" t="s">
        <v>162</v>
      </c>
      <c r="G641" s="665"/>
      <c r="H641" s="755" t="s">
        <v>162</v>
      </c>
      <c r="I641" s="667"/>
      <c r="J641" s="706"/>
      <c r="K641" s="707"/>
      <c r="L641" s="706"/>
      <c r="M641" s="707"/>
      <c r="N641" s="215"/>
      <c r="O641" s="216"/>
      <c r="P641" s="670"/>
      <c r="Q641" s="671"/>
      <c r="R641" s="719"/>
      <c r="S641" s="720"/>
      <c r="T641" s="721"/>
      <c r="U641" s="722"/>
      <c r="V641" s="723"/>
      <c r="W641" s="724"/>
      <c r="X641" s="725" t="s">
        <v>159</v>
      </c>
      <c r="Y641" s="725"/>
      <c r="Z641" s="725"/>
      <c r="AA641" s="725"/>
      <c r="AB641" s="726" t="s">
        <v>159</v>
      </c>
      <c r="AC641" s="726"/>
      <c r="AD641" s="726"/>
      <c r="AE641" s="726"/>
      <c r="AF641" s="727"/>
      <c r="AG641" s="728"/>
      <c r="AH641" s="727"/>
      <c r="AI641" s="728"/>
      <c r="AJ641" s="682"/>
      <c r="AK641" s="683"/>
      <c r="AL641" s="664" t="s">
        <v>162</v>
      </c>
      <c r="AM641" s="665"/>
      <c r="AN641" s="713" t="s">
        <v>162</v>
      </c>
      <c r="AO641" s="714"/>
      <c r="AP641" s="729"/>
      <c r="AQ641" s="730"/>
      <c r="AR641" s="731"/>
      <c r="AS641" s="732"/>
      <c r="AT641" s="690"/>
      <c r="AU641" s="691"/>
      <c r="AV641" s="713" t="s">
        <v>162</v>
      </c>
      <c r="AW641" s="714"/>
      <c r="AX641" s="692"/>
      <c r="AY641" s="693"/>
      <c r="AZ641" s="694"/>
      <c r="BA641" s="735"/>
      <c r="BB641" s="736"/>
      <c r="BC641" s="219"/>
      <c r="BD641" s="737" t="s">
        <v>162</v>
      </c>
      <c r="BE641" s="738"/>
      <c r="BF641" s="739"/>
      <c r="BG641" s="740"/>
      <c r="BH641" s="740"/>
      <c r="BI641" s="741"/>
      <c r="BJ641" s="742" t="s">
        <v>159</v>
      </c>
      <c r="BK641" s="743"/>
      <c r="BL641" s="743"/>
      <c r="BM641" s="744"/>
      <c r="BN641" s="703" t="s">
        <v>159</v>
      </c>
      <c r="BO641" s="704"/>
      <c r="BP641" s="704"/>
      <c r="BQ641" s="704"/>
      <c r="BR641" s="704"/>
      <c r="BS641" s="704"/>
      <c r="BT641" s="704"/>
      <c r="BU641" s="704"/>
      <c r="BV641" s="705"/>
    </row>
    <row r="642" spans="1:74" ht="45" customHeight="1" x14ac:dyDescent="0.25">
      <c r="A642" s="10">
        <f t="shared" si="9"/>
        <v>628</v>
      </c>
      <c r="B642" s="662" t="s">
        <v>159</v>
      </c>
      <c r="C642" s="662"/>
      <c r="D642" s="663" t="s">
        <v>212</v>
      </c>
      <c r="E642" s="663"/>
      <c r="F642" s="664" t="s">
        <v>162</v>
      </c>
      <c r="G642" s="665"/>
      <c r="H642" s="754" t="s">
        <v>162</v>
      </c>
      <c r="I642" s="714"/>
      <c r="J642" s="715"/>
      <c r="K642" s="716"/>
      <c r="L642" s="715"/>
      <c r="M642" s="716"/>
      <c r="N642" s="194"/>
      <c r="O642" s="196"/>
      <c r="P642" s="717"/>
      <c r="Q642" s="718"/>
      <c r="R642" s="672"/>
      <c r="S642" s="673"/>
      <c r="T642" s="674"/>
      <c r="U642" s="675"/>
      <c r="V642" s="676"/>
      <c r="W642" s="677"/>
      <c r="X642" s="678" t="s">
        <v>159</v>
      </c>
      <c r="Y642" s="678"/>
      <c r="Z642" s="678"/>
      <c r="AA642" s="678"/>
      <c r="AB642" s="679" t="s">
        <v>159</v>
      </c>
      <c r="AC642" s="679"/>
      <c r="AD642" s="679"/>
      <c r="AE642" s="679"/>
      <c r="AF642" s="680"/>
      <c r="AG642" s="681"/>
      <c r="AH642" s="680"/>
      <c r="AI642" s="681"/>
      <c r="AJ642" s="682"/>
      <c r="AK642" s="683"/>
      <c r="AL642" s="684" t="s">
        <v>162</v>
      </c>
      <c r="AM642" s="685"/>
      <c r="AN642" s="666" t="s">
        <v>162</v>
      </c>
      <c r="AO642" s="667"/>
      <c r="AP642" s="686"/>
      <c r="AQ642" s="687"/>
      <c r="AR642" s="688"/>
      <c r="AS642" s="689"/>
      <c r="AT642" s="690"/>
      <c r="AU642" s="691"/>
      <c r="AV642" s="666" t="s">
        <v>162</v>
      </c>
      <c r="AW642" s="667"/>
      <c r="AX642" s="692"/>
      <c r="AY642" s="693"/>
      <c r="AZ642" s="694"/>
      <c r="BA642" s="682"/>
      <c r="BB642" s="683"/>
      <c r="BC642" s="14"/>
      <c r="BD642" s="695" t="s">
        <v>162</v>
      </c>
      <c r="BE642" s="696"/>
      <c r="BF642" s="697"/>
      <c r="BG642" s="698"/>
      <c r="BH642" s="698"/>
      <c r="BI642" s="699"/>
      <c r="BJ642" s="700" t="s">
        <v>159</v>
      </c>
      <c r="BK642" s="701"/>
      <c r="BL642" s="701"/>
      <c r="BM642" s="702"/>
      <c r="BN642" s="703" t="s">
        <v>159</v>
      </c>
      <c r="BO642" s="704"/>
      <c r="BP642" s="704"/>
      <c r="BQ642" s="704"/>
      <c r="BR642" s="704"/>
      <c r="BS642" s="704"/>
      <c r="BT642" s="704"/>
      <c r="BU642" s="704"/>
      <c r="BV642" s="705"/>
    </row>
    <row r="643" spans="1:74" ht="45" customHeight="1" x14ac:dyDescent="0.25">
      <c r="A643" s="10">
        <f t="shared" si="9"/>
        <v>629</v>
      </c>
      <c r="B643" s="711" t="s">
        <v>159</v>
      </c>
      <c r="C643" s="711"/>
      <c r="D643" s="712" t="s">
        <v>212</v>
      </c>
      <c r="E643" s="712"/>
      <c r="F643" s="664" t="s">
        <v>162</v>
      </c>
      <c r="G643" s="665"/>
      <c r="H643" s="755" t="s">
        <v>162</v>
      </c>
      <c r="I643" s="667"/>
      <c r="J643" s="706"/>
      <c r="K643" s="707"/>
      <c r="L643" s="706"/>
      <c r="M643" s="707"/>
      <c r="N643" s="215"/>
      <c r="O643" s="216"/>
      <c r="P643" s="670"/>
      <c r="Q643" s="671"/>
      <c r="R643" s="719"/>
      <c r="S643" s="720"/>
      <c r="T643" s="721"/>
      <c r="U643" s="722"/>
      <c r="V643" s="723"/>
      <c r="W643" s="724"/>
      <c r="X643" s="725" t="s">
        <v>159</v>
      </c>
      <c r="Y643" s="725"/>
      <c r="Z643" s="725"/>
      <c r="AA643" s="725"/>
      <c r="AB643" s="726" t="s">
        <v>159</v>
      </c>
      <c r="AC643" s="726"/>
      <c r="AD643" s="726"/>
      <c r="AE643" s="726"/>
      <c r="AF643" s="727"/>
      <c r="AG643" s="728"/>
      <c r="AH643" s="727"/>
      <c r="AI643" s="728"/>
      <c r="AJ643" s="682"/>
      <c r="AK643" s="683"/>
      <c r="AL643" s="664" t="s">
        <v>162</v>
      </c>
      <c r="AM643" s="665"/>
      <c r="AN643" s="713" t="s">
        <v>162</v>
      </c>
      <c r="AO643" s="714"/>
      <c r="AP643" s="729"/>
      <c r="AQ643" s="730"/>
      <c r="AR643" s="731"/>
      <c r="AS643" s="732"/>
      <c r="AT643" s="733"/>
      <c r="AU643" s="734"/>
      <c r="AV643" s="713" t="s">
        <v>162</v>
      </c>
      <c r="AW643" s="714"/>
      <c r="AX643" s="692"/>
      <c r="AY643" s="693"/>
      <c r="AZ643" s="694"/>
      <c r="BA643" s="735"/>
      <c r="BB643" s="736"/>
      <c r="BC643" s="219"/>
      <c r="BD643" s="737" t="s">
        <v>162</v>
      </c>
      <c r="BE643" s="738"/>
      <c r="BF643" s="739"/>
      <c r="BG643" s="740"/>
      <c r="BH643" s="740"/>
      <c r="BI643" s="741"/>
      <c r="BJ643" s="742" t="s">
        <v>159</v>
      </c>
      <c r="BK643" s="743"/>
      <c r="BL643" s="743"/>
      <c r="BM643" s="744"/>
      <c r="BN643" s="703" t="s">
        <v>159</v>
      </c>
      <c r="BO643" s="704"/>
      <c r="BP643" s="704"/>
      <c r="BQ643" s="704"/>
      <c r="BR643" s="704"/>
      <c r="BS643" s="704"/>
      <c r="BT643" s="704"/>
      <c r="BU643" s="704"/>
      <c r="BV643" s="705"/>
    </row>
    <row r="644" spans="1:74" ht="45" customHeight="1" x14ac:dyDescent="0.25">
      <c r="A644" s="10">
        <f t="shared" si="9"/>
        <v>630</v>
      </c>
      <c r="B644" s="662" t="s">
        <v>159</v>
      </c>
      <c r="C644" s="662"/>
      <c r="D644" s="663" t="s">
        <v>212</v>
      </c>
      <c r="E644" s="663"/>
      <c r="F644" s="664" t="s">
        <v>162</v>
      </c>
      <c r="G644" s="665"/>
      <c r="H644" s="754" t="s">
        <v>162</v>
      </c>
      <c r="I644" s="714"/>
      <c r="J644" s="715"/>
      <c r="K644" s="716"/>
      <c r="L644" s="715"/>
      <c r="M644" s="716"/>
      <c r="N644" s="194"/>
      <c r="O644" s="196"/>
      <c r="P644" s="717"/>
      <c r="Q644" s="718"/>
      <c r="R644" s="672"/>
      <c r="S644" s="673"/>
      <c r="T644" s="674"/>
      <c r="U644" s="675"/>
      <c r="V644" s="676"/>
      <c r="W644" s="677"/>
      <c r="X644" s="678" t="s">
        <v>159</v>
      </c>
      <c r="Y644" s="678"/>
      <c r="Z644" s="678"/>
      <c r="AA644" s="678"/>
      <c r="AB644" s="679" t="s">
        <v>159</v>
      </c>
      <c r="AC644" s="679"/>
      <c r="AD644" s="679"/>
      <c r="AE644" s="679"/>
      <c r="AF644" s="680"/>
      <c r="AG644" s="681"/>
      <c r="AH644" s="680"/>
      <c r="AI644" s="681"/>
      <c r="AJ644" s="682"/>
      <c r="AK644" s="683"/>
      <c r="AL644" s="684" t="s">
        <v>162</v>
      </c>
      <c r="AM644" s="685"/>
      <c r="AN644" s="666" t="s">
        <v>162</v>
      </c>
      <c r="AO644" s="667"/>
      <c r="AP644" s="686"/>
      <c r="AQ644" s="687"/>
      <c r="AR644" s="688"/>
      <c r="AS644" s="689"/>
      <c r="AT644" s="690"/>
      <c r="AU644" s="691"/>
      <c r="AV644" s="666" t="s">
        <v>162</v>
      </c>
      <c r="AW644" s="667"/>
      <c r="AX644" s="692"/>
      <c r="AY644" s="693"/>
      <c r="AZ644" s="694"/>
      <c r="BA644" s="682"/>
      <c r="BB644" s="683"/>
      <c r="BC644" s="14"/>
      <c r="BD644" s="695" t="s">
        <v>162</v>
      </c>
      <c r="BE644" s="696"/>
      <c r="BF644" s="708"/>
      <c r="BG644" s="709"/>
      <c r="BH644" s="709"/>
      <c r="BI644" s="710"/>
      <c r="BJ644" s="700" t="s">
        <v>159</v>
      </c>
      <c r="BK644" s="701"/>
      <c r="BL644" s="701"/>
      <c r="BM644" s="702"/>
      <c r="BN644" s="703" t="s">
        <v>159</v>
      </c>
      <c r="BO644" s="704"/>
      <c r="BP644" s="704"/>
      <c r="BQ644" s="704"/>
      <c r="BR644" s="704"/>
      <c r="BS644" s="704"/>
      <c r="BT644" s="704"/>
      <c r="BU644" s="704"/>
      <c r="BV644" s="705"/>
    </row>
    <row r="645" spans="1:74" ht="45" customHeight="1" x14ac:dyDescent="0.25">
      <c r="A645" s="10">
        <f t="shared" si="9"/>
        <v>631</v>
      </c>
      <c r="B645" s="711" t="s">
        <v>159</v>
      </c>
      <c r="C645" s="711"/>
      <c r="D645" s="712" t="s">
        <v>212</v>
      </c>
      <c r="E645" s="712"/>
      <c r="F645" s="664" t="s">
        <v>162</v>
      </c>
      <c r="G645" s="665"/>
      <c r="H645" s="755" t="s">
        <v>162</v>
      </c>
      <c r="I645" s="667"/>
      <c r="J645" s="706"/>
      <c r="K645" s="707"/>
      <c r="L645" s="706"/>
      <c r="M645" s="707"/>
      <c r="N645" s="215"/>
      <c r="O645" s="216"/>
      <c r="P645" s="670"/>
      <c r="Q645" s="671"/>
      <c r="R645" s="719"/>
      <c r="S645" s="720"/>
      <c r="T645" s="721"/>
      <c r="U645" s="722"/>
      <c r="V645" s="723"/>
      <c r="W645" s="724"/>
      <c r="X645" s="725" t="s">
        <v>159</v>
      </c>
      <c r="Y645" s="725"/>
      <c r="Z645" s="725"/>
      <c r="AA645" s="725"/>
      <c r="AB645" s="726" t="s">
        <v>159</v>
      </c>
      <c r="AC645" s="726"/>
      <c r="AD645" s="726"/>
      <c r="AE645" s="726"/>
      <c r="AF645" s="727"/>
      <c r="AG645" s="728"/>
      <c r="AH645" s="727"/>
      <c r="AI645" s="728"/>
      <c r="AJ645" s="682"/>
      <c r="AK645" s="683"/>
      <c r="AL645" s="664" t="s">
        <v>162</v>
      </c>
      <c r="AM645" s="665"/>
      <c r="AN645" s="713" t="s">
        <v>162</v>
      </c>
      <c r="AO645" s="714"/>
      <c r="AP645" s="729"/>
      <c r="AQ645" s="730"/>
      <c r="AR645" s="731"/>
      <c r="AS645" s="732"/>
      <c r="AT645" s="733"/>
      <c r="AU645" s="734"/>
      <c r="AV645" s="713" t="s">
        <v>162</v>
      </c>
      <c r="AW645" s="714"/>
      <c r="AX645" s="692"/>
      <c r="AY645" s="693"/>
      <c r="AZ645" s="694"/>
      <c r="BA645" s="735"/>
      <c r="BB645" s="736"/>
      <c r="BC645" s="219"/>
      <c r="BD645" s="737" t="s">
        <v>162</v>
      </c>
      <c r="BE645" s="738"/>
      <c r="BF645" s="739"/>
      <c r="BG645" s="740"/>
      <c r="BH645" s="740"/>
      <c r="BI645" s="741"/>
      <c r="BJ645" s="742" t="s">
        <v>159</v>
      </c>
      <c r="BK645" s="743"/>
      <c r="BL645" s="743"/>
      <c r="BM645" s="744"/>
      <c r="BN645" s="703" t="s">
        <v>159</v>
      </c>
      <c r="BO645" s="704"/>
      <c r="BP645" s="704"/>
      <c r="BQ645" s="704"/>
      <c r="BR645" s="704"/>
      <c r="BS645" s="704"/>
      <c r="BT645" s="704"/>
      <c r="BU645" s="704"/>
      <c r="BV645" s="705"/>
    </row>
    <row r="646" spans="1:74" ht="45" customHeight="1" x14ac:dyDescent="0.25">
      <c r="A646" s="10">
        <f t="shared" si="9"/>
        <v>632</v>
      </c>
      <c r="B646" s="662" t="s">
        <v>159</v>
      </c>
      <c r="C646" s="662"/>
      <c r="D646" s="663" t="s">
        <v>212</v>
      </c>
      <c r="E646" s="663"/>
      <c r="F646" s="664" t="s">
        <v>162</v>
      </c>
      <c r="G646" s="665"/>
      <c r="H646" s="754" t="s">
        <v>162</v>
      </c>
      <c r="I646" s="714"/>
      <c r="J646" s="715"/>
      <c r="K646" s="716"/>
      <c r="L646" s="715"/>
      <c r="M646" s="716"/>
      <c r="N646" s="194"/>
      <c r="O646" s="196"/>
      <c r="P646" s="717"/>
      <c r="Q646" s="718"/>
      <c r="R646" s="672"/>
      <c r="S646" s="673"/>
      <c r="T646" s="674"/>
      <c r="U646" s="675"/>
      <c r="V646" s="676"/>
      <c r="W646" s="677"/>
      <c r="X646" s="678" t="s">
        <v>159</v>
      </c>
      <c r="Y646" s="678"/>
      <c r="Z646" s="678"/>
      <c r="AA646" s="678"/>
      <c r="AB646" s="679" t="s">
        <v>159</v>
      </c>
      <c r="AC646" s="679"/>
      <c r="AD646" s="679"/>
      <c r="AE646" s="679"/>
      <c r="AF646" s="680"/>
      <c r="AG646" s="681"/>
      <c r="AH646" s="680"/>
      <c r="AI646" s="681"/>
      <c r="AJ646" s="682"/>
      <c r="AK646" s="683"/>
      <c r="AL646" s="684" t="s">
        <v>162</v>
      </c>
      <c r="AM646" s="685"/>
      <c r="AN646" s="666" t="s">
        <v>162</v>
      </c>
      <c r="AO646" s="667"/>
      <c r="AP646" s="686"/>
      <c r="AQ646" s="687"/>
      <c r="AR646" s="688"/>
      <c r="AS646" s="689"/>
      <c r="AT646" s="690"/>
      <c r="AU646" s="691"/>
      <c r="AV646" s="666" t="s">
        <v>162</v>
      </c>
      <c r="AW646" s="667"/>
      <c r="AX646" s="692"/>
      <c r="AY646" s="693"/>
      <c r="AZ646" s="694"/>
      <c r="BA646" s="682"/>
      <c r="BB646" s="683"/>
      <c r="BC646" s="14"/>
      <c r="BD646" s="695" t="s">
        <v>162</v>
      </c>
      <c r="BE646" s="696"/>
      <c r="BF646" s="697"/>
      <c r="BG646" s="698"/>
      <c r="BH646" s="698"/>
      <c r="BI646" s="699"/>
      <c r="BJ646" s="700" t="s">
        <v>159</v>
      </c>
      <c r="BK646" s="701"/>
      <c r="BL646" s="701"/>
      <c r="BM646" s="702"/>
      <c r="BN646" s="703" t="s">
        <v>159</v>
      </c>
      <c r="BO646" s="704"/>
      <c r="BP646" s="704"/>
      <c r="BQ646" s="704"/>
      <c r="BR646" s="704"/>
      <c r="BS646" s="704"/>
      <c r="BT646" s="704"/>
      <c r="BU646" s="704"/>
      <c r="BV646" s="705"/>
    </row>
    <row r="647" spans="1:74" ht="45" customHeight="1" x14ac:dyDescent="0.25">
      <c r="A647" s="10">
        <f t="shared" si="9"/>
        <v>633</v>
      </c>
      <c r="B647" s="711" t="s">
        <v>159</v>
      </c>
      <c r="C647" s="711"/>
      <c r="D647" s="712" t="s">
        <v>212</v>
      </c>
      <c r="E647" s="712"/>
      <c r="F647" s="664" t="s">
        <v>162</v>
      </c>
      <c r="G647" s="665"/>
      <c r="H647" s="755" t="s">
        <v>162</v>
      </c>
      <c r="I647" s="667"/>
      <c r="J647" s="706"/>
      <c r="K647" s="707"/>
      <c r="L647" s="706"/>
      <c r="M647" s="707"/>
      <c r="N647" s="215"/>
      <c r="O647" s="216"/>
      <c r="P647" s="670"/>
      <c r="Q647" s="671"/>
      <c r="R647" s="719"/>
      <c r="S647" s="720"/>
      <c r="T647" s="721"/>
      <c r="U647" s="722"/>
      <c r="V647" s="723"/>
      <c r="W647" s="724"/>
      <c r="X647" s="725" t="s">
        <v>159</v>
      </c>
      <c r="Y647" s="725"/>
      <c r="Z647" s="725"/>
      <c r="AA647" s="725"/>
      <c r="AB647" s="726" t="s">
        <v>159</v>
      </c>
      <c r="AC647" s="726"/>
      <c r="AD647" s="726"/>
      <c r="AE647" s="726"/>
      <c r="AF647" s="727"/>
      <c r="AG647" s="728"/>
      <c r="AH647" s="727"/>
      <c r="AI647" s="728"/>
      <c r="AJ647" s="682"/>
      <c r="AK647" s="683"/>
      <c r="AL647" s="664" t="s">
        <v>162</v>
      </c>
      <c r="AM647" s="665"/>
      <c r="AN647" s="713" t="s">
        <v>162</v>
      </c>
      <c r="AO647" s="714"/>
      <c r="AP647" s="729"/>
      <c r="AQ647" s="730"/>
      <c r="AR647" s="731"/>
      <c r="AS647" s="732"/>
      <c r="AT647" s="733"/>
      <c r="AU647" s="734"/>
      <c r="AV647" s="713" t="s">
        <v>162</v>
      </c>
      <c r="AW647" s="714"/>
      <c r="AX647" s="692"/>
      <c r="AY647" s="693"/>
      <c r="AZ647" s="694"/>
      <c r="BA647" s="735"/>
      <c r="BB647" s="736"/>
      <c r="BC647" s="219"/>
      <c r="BD647" s="737" t="s">
        <v>162</v>
      </c>
      <c r="BE647" s="738"/>
      <c r="BF647" s="739"/>
      <c r="BG647" s="740"/>
      <c r="BH647" s="740"/>
      <c r="BI647" s="741"/>
      <c r="BJ647" s="742" t="s">
        <v>159</v>
      </c>
      <c r="BK647" s="743"/>
      <c r="BL647" s="743"/>
      <c r="BM647" s="744"/>
      <c r="BN647" s="703" t="s">
        <v>159</v>
      </c>
      <c r="BO647" s="704"/>
      <c r="BP647" s="704"/>
      <c r="BQ647" s="704"/>
      <c r="BR647" s="704"/>
      <c r="BS647" s="704"/>
      <c r="BT647" s="704"/>
      <c r="BU647" s="704"/>
      <c r="BV647" s="705"/>
    </row>
    <row r="648" spans="1:74" ht="45" customHeight="1" x14ac:dyDescent="0.25">
      <c r="A648" s="10">
        <f t="shared" si="9"/>
        <v>634</v>
      </c>
      <c r="B648" s="662" t="s">
        <v>159</v>
      </c>
      <c r="C648" s="662"/>
      <c r="D648" s="663" t="s">
        <v>212</v>
      </c>
      <c r="E648" s="663"/>
      <c r="F648" s="664" t="s">
        <v>162</v>
      </c>
      <c r="G648" s="665"/>
      <c r="H648" s="754" t="s">
        <v>162</v>
      </c>
      <c r="I648" s="714"/>
      <c r="J648" s="715"/>
      <c r="K648" s="716"/>
      <c r="L648" s="715"/>
      <c r="M648" s="716"/>
      <c r="N648" s="194"/>
      <c r="O648" s="196"/>
      <c r="P648" s="717"/>
      <c r="Q648" s="718"/>
      <c r="R648" s="672"/>
      <c r="S648" s="673"/>
      <c r="T648" s="674"/>
      <c r="U648" s="675"/>
      <c r="V648" s="676"/>
      <c r="W648" s="677"/>
      <c r="X648" s="678" t="s">
        <v>159</v>
      </c>
      <c r="Y648" s="678"/>
      <c r="Z648" s="678"/>
      <c r="AA648" s="678"/>
      <c r="AB648" s="679" t="s">
        <v>159</v>
      </c>
      <c r="AC648" s="679"/>
      <c r="AD648" s="679"/>
      <c r="AE648" s="679"/>
      <c r="AF648" s="680"/>
      <c r="AG648" s="681"/>
      <c r="AH648" s="680"/>
      <c r="AI648" s="681"/>
      <c r="AJ648" s="682"/>
      <c r="AK648" s="683"/>
      <c r="AL648" s="684" t="s">
        <v>162</v>
      </c>
      <c r="AM648" s="685"/>
      <c r="AN648" s="666" t="s">
        <v>162</v>
      </c>
      <c r="AO648" s="667"/>
      <c r="AP648" s="686"/>
      <c r="AQ648" s="687"/>
      <c r="AR648" s="688"/>
      <c r="AS648" s="689"/>
      <c r="AT648" s="690"/>
      <c r="AU648" s="691"/>
      <c r="AV648" s="666" t="s">
        <v>162</v>
      </c>
      <c r="AW648" s="667"/>
      <c r="AX648" s="692"/>
      <c r="AY648" s="693"/>
      <c r="AZ648" s="694"/>
      <c r="BA648" s="682"/>
      <c r="BB648" s="683"/>
      <c r="BC648" s="14"/>
      <c r="BD648" s="695" t="s">
        <v>162</v>
      </c>
      <c r="BE648" s="696"/>
      <c r="BF648" s="697"/>
      <c r="BG648" s="698"/>
      <c r="BH648" s="698"/>
      <c r="BI648" s="699"/>
      <c r="BJ648" s="700" t="s">
        <v>159</v>
      </c>
      <c r="BK648" s="701"/>
      <c r="BL648" s="701"/>
      <c r="BM648" s="702"/>
      <c r="BN648" s="703" t="s">
        <v>159</v>
      </c>
      <c r="BO648" s="704"/>
      <c r="BP648" s="704"/>
      <c r="BQ648" s="704"/>
      <c r="BR648" s="704"/>
      <c r="BS648" s="704"/>
      <c r="BT648" s="704"/>
      <c r="BU648" s="704"/>
      <c r="BV648" s="705"/>
    </row>
    <row r="649" spans="1:74" ht="45" customHeight="1" x14ac:dyDescent="0.25">
      <c r="A649" s="10">
        <f t="shared" si="9"/>
        <v>635</v>
      </c>
      <c r="B649" s="711" t="s">
        <v>159</v>
      </c>
      <c r="C649" s="711"/>
      <c r="D649" s="712" t="s">
        <v>212</v>
      </c>
      <c r="E649" s="712"/>
      <c r="F649" s="664" t="s">
        <v>162</v>
      </c>
      <c r="G649" s="665"/>
      <c r="H649" s="755" t="s">
        <v>162</v>
      </c>
      <c r="I649" s="667"/>
      <c r="J649" s="706"/>
      <c r="K649" s="707"/>
      <c r="L649" s="706"/>
      <c r="M649" s="707"/>
      <c r="N649" s="215"/>
      <c r="O649" s="216"/>
      <c r="P649" s="670"/>
      <c r="Q649" s="671"/>
      <c r="R649" s="719"/>
      <c r="S649" s="720"/>
      <c r="T649" s="721"/>
      <c r="U649" s="722"/>
      <c r="V649" s="723"/>
      <c r="W649" s="724"/>
      <c r="X649" s="725" t="s">
        <v>159</v>
      </c>
      <c r="Y649" s="725"/>
      <c r="Z649" s="725"/>
      <c r="AA649" s="725"/>
      <c r="AB649" s="726" t="s">
        <v>159</v>
      </c>
      <c r="AC649" s="726"/>
      <c r="AD649" s="726"/>
      <c r="AE649" s="726"/>
      <c r="AF649" s="727"/>
      <c r="AG649" s="728"/>
      <c r="AH649" s="727"/>
      <c r="AI649" s="728"/>
      <c r="AJ649" s="682"/>
      <c r="AK649" s="683"/>
      <c r="AL649" s="664" t="s">
        <v>162</v>
      </c>
      <c r="AM649" s="665"/>
      <c r="AN649" s="713" t="s">
        <v>162</v>
      </c>
      <c r="AO649" s="714"/>
      <c r="AP649" s="729"/>
      <c r="AQ649" s="730"/>
      <c r="AR649" s="731"/>
      <c r="AS649" s="732"/>
      <c r="AT649" s="733"/>
      <c r="AU649" s="734"/>
      <c r="AV649" s="713" t="s">
        <v>162</v>
      </c>
      <c r="AW649" s="714"/>
      <c r="AX649" s="692"/>
      <c r="AY649" s="693"/>
      <c r="AZ649" s="694"/>
      <c r="BA649" s="735"/>
      <c r="BB649" s="736"/>
      <c r="BC649" s="219"/>
      <c r="BD649" s="737" t="s">
        <v>162</v>
      </c>
      <c r="BE649" s="738"/>
      <c r="BF649" s="739"/>
      <c r="BG649" s="740"/>
      <c r="BH649" s="740"/>
      <c r="BI649" s="741"/>
      <c r="BJ649" s="742" t="s">
        <v>159</v>
      </c>
      <c r="BK649" s="743"/>
      <c r="BL649" s="743"/>
      <c r="BM649" s="744"/>
      <c r="BN649" s="703" t="s">
        <v>159</v>
      </c>
      <c r="BO649" s="704"/>
      <c r="BP649" s="704"/>
      <c r="BQ649" s="704"/>
      <c r="BR649" s="704"/>
      <c r="BS649" s="704"/>
      <c r="BT649" s="704"/>
      <c r="BU649" s="704"/>
      <c r="BV649" s="705"/>
    </row>
    <row r="650" spans="1:74" ht="45" customHeight="1" x14ac:dyDescent="0.25">
      <c r="A650" s="10">
        <f t="shared" si="9"/>
        <v>636</v>
      </c>
      <c r="B650" s="662" t="s">
        <v>159</v>
      </c>
      <c r="C650" s="662"/>
      <c r="D650" s="663" t="s">
        <v>212</v>
      </c>
      <c r="E650" s="663"/>
      <c r="F650" s="664" t="s">
        <v>162</v>
      </c>
      <c r="G650" s="665"/>
      <c r="H650" s="754" t="s">
        <v>162</v>
      </c>
      <c r="I650" s="714"/>
      <c r="J650" s="715"/>
      <c r="K650" s="716"/>
      <c r="L650" s="715"/>
      <c r="M650" s="716"/>
      <c r="N650" s="194"/>
      <c r="O650" s="196"/>
      <c r="P650" s="717"/>
      <c r="Q650" s="718"/>
      <c r="R650" s="672"/>
      <c r="S650" s="673"/>
      <c r="T650" s="674"/>
      <c r="U650" s="675"/>
      <c r="V650" s="676"/>
      <c r="W650" s="677"/>
      <c r="X650" s="678" t="s">
        <v>159</v>
      </c>
      <c r="Y650" s="678"/>
      <c r="Z650" s="678"/>
      <c r="AA650" s="678"/>
      <c r="AB650" s="679" t="s">
        <v>159</v>
      </c>
      <c r="AC650" s="679"/>
      <c r="AD650" s="679"/>
      <c r="AE650" s="679"/>
      <c r="AF650" s="680"/>
      <c r="AG650" s="681"/>
      <c r="AH650" s="680"/>
      <c r="AI650" s="681"/>
      <c r="AJ650" s="682"/>
      <c r="AK650" s="683"/>
      <c r="AL650" s="684" t="s">
        <v>162</v>
      </c>
      <c r="AM650" s="685"/>
      <c r="AN650" s="666" t="s">
        <v>162</v>
      </c>
      <c r="AO650" s="667"/>
      <c r="AP650" s="686"/>
      <c r="AQ650" s="687"/>
      <c r="AR650" s="688"/>
      <c r="AS650" s="689"/>
      <c r="AT650" s="690"/>
      <c r="AU650" s="691"/>
      <c r="AV650" s="666" t="s">
        <v>162</v>
      </c>
      <c r="AW650" s="667"/>
      <c r="AX650" s="692"/>
      <c r="AY650" s="693"/>
      <c r="AZ650" s="694"/>
      <c r="BA650" s="682"/>
      <c r="BB650" s="683"/>
      <c r="BC650" s="14"/>
      <c r="BD650" s="695" t="s">
        <v>162</v>
      </c>
      <c r="BE650" s="696"/>
      <c r="BF650" s="708"/>
      <c r="BG650" s="709"/>
      <c r="BH650" s="709"/>
      <c r="BI650" s="710"/>
      <c r="BJ650" s="700" t="s">
        <v>159</v>
      </c>
      <c r="BK650" s="701"/>
      <c r="BL650" s="701"/>
      <c r="BM650" s="702"/>
      <c r="BN650" s="703" t="s">
        <v>159</v>
      </c>
      <c r="BO650" s="704"/>
      <c r="BP650" s="704"/>
      <c r="BQ650" s="704"/>
      <c r="BR650" s="704"/>
      <c r="BS650" s="704"/>
      <c r="BT650" s="704"/>
      <c r="BU650" s="704"/>
      <c r="BV650" s="705"/>
    </row>
    <row r="651" spans="1:74" ht="45" customHeight="1" x14ac:dyDescent="0.25">
      <c r="A651" s="10">
        <f t="shared" si="9"/>
        <v>637</v>
      </c>
      <c r="B651" s="711" t="s">
        <v>159</v>
      </c>
      <c r="C651" s="711"/>
      <c r="D651" s="712" t="s">
        <v>212</v>
      </c>
      <c r="E651" s="712"/>
      <c r="F651" s="664" t="s">
        <v>162</v>
      </c>
      <c r="G651" s="665"/>
      <c r="H651" s="755" t="s">
        <v>162</v>
      </c>
      <c r="I651" s="667"/>
      <c r="J651" s="706"/>
      <c r="K651" s="707"/>
      <c r="L651" s="706"/>
      <c r="M651" s="707"/>
      <c r="N651" s="215"/>
      <c r="O651" s="216"/>
      <c r="P651" s="670"/>
      <c r="Q651" s="671"/>
      <c r="R651" s="719"/>
      <c r="S651" s="720"/>
      <c r="T651" s="721"/>
      <c r="U651" s="722"/>
      <c r="V651" s="723"/>
      <c r="W651" s="724"/>
      <c r="X651" s="725" t="s">
        <v>159</v>
      </c>
      <c r="Y651" s="725"/>
      <c r="Z651" s="725"/>
      <c r="AA651" s="725"/>
      <c r="AB651" s="726" t="s">
        <v>159</v>
      </c>
      <c r="AC651" s="726"/>
      <c r="AD651" s="726"/>
      <c r="AE651" s="726"/>
      <c r="AF651" s="727"/>
      <c r="AG651" s="728"/>
      <c r="AH651" s="727"/>
      <c r="AI651" s="728"/>
      <c r="AJ651" s="682"/>
      <c r="AK651" s="683"/>
      <c r="AL651" s="664" t="s">
        <v>162</v>
      </c>
      <c r="AM651" s="665"/>
      <c r="AN651" s="713" t="s">
        <v>162</v>
      </c>
      <c r="AO651" s="714"/>
      <c r="AP651" s="729"/>
      <c r="AQ651" s="730"/>
      <c r="AR651" s="731"/>
      <c r="AS651" s="732"/>
      <c r="AT651" s="733"/>
      <c r="AU651" s="734"/>
      <c r="AV651" s="713" t="s">
        <v>162</v>
      </c>
      <c r="AW651" s="714"/>
      <c r="AX651" s="692"/>
      <c r="AY651" s="693"/>
      <c r="AZ651" s="694"/>
      <c r="BA651" s="735"/>
      <c r="BB651" s="736"/>
      <c r="BC651" s="219"/>
      <c r="BD651" s="737" t="s">
        <v>162</v>
      </c>
      <c r="BE651" s="738"/>
      <c r="BF651" s="739"/>
      <c r="BG651" s="740"/>
      <c r="BH651" s="740"/>
      <c r="BI651" s="741"/>
      <c r="BJ651" s="742" t="s">
        <v>159</v>
      </c>
      <c r="BK651" s="743"/>
      <c r="BL651" s="743"/>
      <c r="BM651" s="744"/>
      <c r="BN651" s="703" t="s">
        <v>159</v>
      </c>
      <c r="BO651" s="704"/>
      <c r="BP651" s="704"/>
      <c r="BQ651" s="704"/>
      <c r="BR651" s="704"/>
      <c r="BS651" s="704"/>
      <c r="BT651" s="704"/>
      <c r="BU651" s="704"/>
      <c r="BV651" s="705"/>
    </row>
    <row r="652" spans="1:74" ht="45" customHeight="1" x14ac:dyDescent="0.25">
      <c r="A652" s="10">
        <f t="shared" si="9"/>
        <v>638</v>
      </c>
      <c r="B652" s="662" t="s">
        <v>159</v>
      </c>
      <c r="C652" s="662"/>
      <c r="D652" s="663" t="s">
        <v>212</v>
      </c>
      <c r="E652" s="663"/>
      <c r="F652" s="664" t="s">
        <v>162</v>
      </c>
      <c r="G652" s="665"/>
      <c r="H652" s="754" t="s">
        <v>162</v>
      </c>
      <c r="I652" s="714"/>
      <c r="J652" s="715"/>
      <c r="K652" s="716"/>
      <c r="L652" s="715"/>
      <c r="M652" s="716"/>
      <c r="N652" s="194"/>
      <c r="O652" s="196"/>
      <c r="P652" s="717"/>
      <c r="Q652" s="718"/>
      <c r="R652" s="672"/>
      <c r="S652" s="673"/>
      <c r="T652" s="674"/>
      <c r="U652" s="675"/>
      <c r="V652" s="676"/>
      <c r="W652" s="677"/>
      <c r="X652" s="678" t="s">
        <v>159</v>
      </c>
      <c r="Y652" s="678"/>
      <c r="Z652" s="678"/>
      <c r="AA652" s="678"/>
      <c r="AB652" s="679" t="s">
        <v>159</v>
      </c>
      <c r="AC652" s="679"/>
      <c r="AD652" s="679"/>
      <c r="AE652" s="679"/>
      <c r="AF652" s="680"/>
      <c r="AG652" s="681"/>
      <c r="AH652" s="680"/>
      <c r="AI652" s="681"/>
      <c r="AJ652" s="682"/>
      <c r="AK652" s="683"/>
      <c r="AL652" s="684" t="s">
        <v>162</v>
      </c>
      <c r="AM652" s="685"/>
      <c r="AN652" s="666" t="s">
        <v>162</v>
      </c>
      <c r="AO652" s="667"/>
      <c r="AP652" s="686"/>
      <c r="AQ652" s="687"/>
      <c r="AR652" s="688"/>
      <c r="AS652" s="689"/>
      <c r="AT652" s="690"/>
      <c r="AU652" s="691"/>
      <c r="AV652" s="666" t="s">
        <v>162</v>
      </c>
      <c r="AW652" s="667"/>
      <c r="AX652" s="692"/>
      <c r="AY652" s="693"/>
      <c r="AZ652" s="694"/>
      <c r="BA652" s="682"/>
      <c r="BB652" s="683"/>
      <c r="BC652" s="14"/>
      <c r="BD652" s="695" t="s">
        <v>162</v>
      </c>
      <c r="BE652" s="696"/>
      <c r="BF652" s="697"/>
      <c r="BG652" s="698"/>
      <c r="BH652" s="698"/>
      <c r="BI652" s="699"/>
      <c r="BJ652" s="700" t="s">
        <v>159</v>
      </c>
      <c r="BK652" s="701"/>
      <c r="BL652" s="701"/>
      <c r="BM652" s="702"/>
      <c r="BN652" s="703" t="s">
        <v>159</v>
      </c>
      <c r="BO652" s="704"/>
      <c r="BP652" s="704"/>
      <c r="BQ652" s="704"/>
      <c r="BR652" s="704"/>
      <c r="BS652" s="704"/>
      <c r="BT652" s="704"/>
      <c r="BU652" s="704"/>
      <c r="BV652" s="705"/>
    </row>
    <row r="653" spans="1:74" ht="45" customHeight="1" x14ac:dyDescent="0.25">
      <c r="A653" s="10">
        <f t="shared" si="9"/>
        <v>639</v>
      </c>
      <c r="B653" s="711" t="s">
        <v>159</v>
      </c>
      <c r="C653" s="711"/>
      <c r="D653" s="712" t="s">
        <v>212</v>
      </c>
      <c r="E653" s="712"/>
      <c r="F653" s="664" t="s">
        <v>162</v>
      </c>
      <c r="G653" s="665"/>
      <c r="H653" s="755" t="s">
        <v>162</v>
      </c>
      <c r="I653" s="667"/>
      <c r="J653" s="706"/>
      <c r="K653" s="707"/>
      <c r="L653" s="706"/>
      <c r="M653" s="707"/>
      <c r="N653" s="215"/>
      <c r="O653" s="216"/>
      <c r="P653" s="670"/>
      <c r="Q653" s="671"/>
      <c r="R653" s="719"/>
      <c r="S653" s="720"/>
      <c r="T653" s="721"/>
      <c r="U653" s="722"/>
      <c r="V653" s="723"/>
      <c r="W653" s="724"/>
      <c r="X653" s="725" t="s">
        <v>159</v>
      </c>
      <c r="Y653" s="725"/>
      <c r="Z653" s="725"/>
      <c r="AA653" s="725"/>
      <c r="AB653" s="726" t="s">
        <v>159</v>
      </c>
      <c r="AC653" s="726"/>
      <c r="AD653" s="726"/>
      <c r="AE653" s="726"/>
      <c r="AF653" s="727"/>
      <c r="AG653" s="728"/>
      <c r="AH653" s="727"/>
      <c r="AI653" s="728"/>
      <c r="AJ653" s="682"/>
      <c r="AK653" s="683"/>
      <c r="AL653" s="664" t="s">
        <v>162</v>
      </c>
      <c r="AM653" s="665"/>
      <c r="AN653" s="713" t="s">
        <v>162</v>
      </c>
      <c r="AO653" s="714"/>
      <c r="AP653" s="729"/>
      <c r="AQ653" s="730"/>
      <c r="AR653" s="731"/>
      <c r="AS653" s="732"/>
      <c r="AT653" s="690"/>
      <c r="AU653" s="691"/>
      <c r="AV653" s="713" t="s">
        <v>162</v>
      </c>
      <c r="AW653" s="714"/>
      <c r="AX653" s="692"/>
      <c r="AY653" s="693"/>
      <c r="AZ653" s="694"/>
      <c r="BA653" s="735"/>
      <c r="BB653" s="736"/>
      <c r="BC653" s="219"/>
      <c r="BD653" s="737" t="s">
        <v>162</v>
      </c>
      <c r="BE653" s="738"/>
      <c r="BF653" s="739"/>
      <c r="BG653" s="740"/>
      <c r="BH653" s="740"/>
      <c r="BI653" s="741"/>
      <c r="BJ653" s="742" t="s">
        <v>159</v>
      </c>
      <c r="BK653" s="743"/>
      <c r="BL653" s="743"/>
      <c r="BM653" s="744"/>
      <c r="BN653" s="703" t="s">
        <v>159</v>
      </c>
      <c r="BO653" s="704"/>
      <c r="BP653" s="704"/>
      <c r="BQ653" s="704"/>
      <c r="BR653" s="704"/>
      <c r="BS653" s="704"/>
      <c r="BT653" s="704"/>
      <c r="BU653" s="704"/>
      <c r="BV653" s="705"/>
    </row>
    <row r="654" spans="1:74" ht="45" customHeight="1" x14ac:dyDescent="0.25">
      <c r="A654" s="10">
        <f t="shared" si="9"/>
        <v>640</v>
      </c>
      <c r="B654" s="662" t="s">
        <v>159</v>
      </c>
      <c r="C654" s="662"/>
      <c r="D654" s="663" t="s">
        <v>212</v>
      </c>
      <c r="E654" s="663"/>
      <c r="F654" s="664" t="s">
        <v>162</v>
      </c>
      <c r="G654" s="665"/>
      <c r="H654" s="754" t="s">
        <v>162</v>
      </c>
      <c r="I654" s="714"/>
      <c r="J654" s="715"/>
      <c r="K654" s="716"/>
      <c r="L654" s="715"/>
      <c r="M654" s="716"/>
      <c r="N654" s="194"/>
      <c r="O654" s="196"/>
      <c r="P654" s="717"/>
      <c r="Q654" s="718"/>
      <c r="R654" s="672"/>
      <c r="S654" s="673"/>
      <c r="T654" s="674"/>
      <c r="U654" s="675"/>
      <c r="V654" s="676"/>
      <c r="W654" s="677"/>
      <c r="X654" s="678" t="s">
        <v>159</v>
      </c>
      <c r="Y654" s="678"/>
      <c r="Z654" s="678"/>
      <c r="AA654" s="678"/>
      <c r="AB654" s="679" t="s">
        <v>159</v>
      </c>
      <c r="AC654" s="679"/>
      <c r="AD654" s="679"/>
      <c r="AE654" s="679"/>
      <c r="AF654" s="680"/>
      <c r="AG654" s="681"/>
      <c r="AH654" s="680"/>
      <c r="AI654" s="681"/>
      <c r="AJ654" s="682"/>
      <c r="AK654" s="683"/>
      <c r="AL654" s="684" t="s">
        <v>162</v>
      </c>
      <c r="AM654" s="685"/>
      <c r="AN654" s="666" t="s">
        <v>162</v>
      </c>
      <c r="AO654" s="667"/>
      <c r="AP654" s="686"/>
      <c r="AQ654" s="687"/>
      <c r="AR654" s="688"/>
      <c r="AS654" s="689"/>
      <c r="AT654" s="690"/>
      <c r="AU654" s="691"/>
      <c r="AV654" s="666" t="s">
        <v>162</v>
      </c>
      <c r="AW654" s="667"/>
      <c r="AX654" s="692"/>
      <c r="AY654" s="693"/>
      <c r="AZ654" s="694"/>
      <c r="BA654" s="682"/>
      <c r="BB654" s="683"/>
      <c r="BC654" s="14"/>
      <c r="BD654" s="695" t="s">
        <v>162</v>
      </c>
      <c r="BE654" s="696"/>
      <c r="BF654" s="697"/>
      <c r="BG654" s="698"/>
      <c r="BH654" s="698"/>
      <c r="BI654" s="699"/>
      <c r="BJ654" s="700" t="s">
        <v>159</v>
      </c>
      <c r="BK654" s="701"/>
      <c r="BL654" s="701"/>
      <c r="BM654" s="702"/>
      <c r="BN654" s="703" t="s">
        <v>159</v>
      </c>
      <c r="BO654" s="704"/>
      <c r="BP654" s="704"/>
      <c r="BQ654" s="704"/>
      <c r="BR654" s="704"/>
      <c r="BS654" s="704"/>
      <c r="BT654" s="704"/>
      <c r="BU654" s="704"/>
      <c r="BV654" s="705"/>
    </row>
    <row r="655" spans="1:74" ht="45" customHeight="1" x14ac:dyDescent="0.25">
      <c r="A655" s="10">
        <f t="shared" ref="A655:A718" si="10">ROW(A641)</f>
        <v>641</v>
      </c>
      <c r="B655" s="711" t="s">
        <v>159</v>
      </c>
      <c r="C655" s="711"/>
      <c r="D655" s="712" t="s">
        <v>212</v>
      </c>
      <c r="E655" s="712"/>
      <c r="F655" s="664" t="s">
        <v>162</v>
      </c>
      <c r="G655" s="665"/>
      <c r="H655" s="755" t="s">
        <v>162</v>
      </c>
      <c r="I655" s="667"/>
      <c r="J655" s="706"/>
      <c r="K655" s="707"/>
      <c r="L655" s="706"/>
      <c r="M655" s="707"/>
      <c r="N655" s="215"/>
      <c r="O655" s="216"/>
      <c r="P655" s="670"/>
      <c r="Q655" s="671"/>
      <c r="R655" s="719"/>
      <c r="S655" s="720"/>
      <c r="T655" s="721"/>
      <c r="U655" s="722"/>
      <c r="V655" s="723"/>
      <c r="W655" s="724"/>
      <c r="X655" s="725" t="s">
        <v>159</v>
      </c>
      <c r="Y655" s="725"/>
      <c r="Z655" s="725"/>
      <c r="AA655" s="725"/>
      <c r="AB655" s="726" t="s">
        <v>159</v>
      </c>
      <c r="AC655" s="726"/>
      <c r="AD655" s="726"/>
      <c r="AE655" s="726"/>
      <c r="AF655" s="727"/>
      <c r="AG655" s="728"/>
      <c r="AH655" s="727"/>
      <c r="AI655" s="728"/>
      <c r="AJ655" s="682"/>
      <c r="AK655" s="683"/>
      <c r="AL655" s="664" t="s">
        <v>162</v>
      </c>
      <c r="AM655" s="665"/>
      <c r="AN655" s="713" t="s">
        <v>162</v>
      </c>
      <c r="AO655" s="714"/>
      <c r="AP655" s="729"/>
      <c r="AQ655" s="730"/>
      <c r="AR655" s="731"/>
      <c r="AS655" s="732"/>
      <c r="AT655" s="690"/>
      <c r="AU655" s="691"/>
      <c r="AV655" s="713" t="s">
        <v>162</v>
      </c>
      <c r="AW655" s="714"/>
      <c r="AX655" s="692"/>
      <c r="AY655" s="693"/>
      <c r="AZ655" s="694"/>
      <c r="BA655" s="735"/>
      <c r="BB655" s="736"/>
      <c r="BC655" s="219"/>
      <c r="BD655" s="737" t="s">
        <v>162</v>
      </c>
      <c r="BE655" s="738"/>
      <c r="BF655" s="739"/>
      <c r="BG655" s="740"/>
      <c r="BH655" s="740"/>
      <c r="BI655" s="741"/>
      <c r="BJ655" s="742" t="s">
        <v>159</v>
      </c>
      <c r="BK655" s="743"/>
      <c r="BL655" s="743"/>
      <c r="BM655" s="744"/>
      <c r="BN655" s="703" t="s">
        <v>159</v>
      </c>
      <c r="BO655" s="704"/>
      <c r="BP655" s="704"/>
      <c r="BQ655" s="704"/>
      <c r="BR655" s="704"/>
      <c r="BS655" s="704"/>
      <c r="BT655" s="704"/>
      <c r="BU655" s="704"/>
      <c r="BV655" s="705"/>
    </row>
    <row r="656" spans="1:74" ht="45" customHeight="1" x14ac:dyDescent="0.25">
      <c r="A656" s="10">
        <f t="shared" si="10"/>
        <v>642</v>
      </c>
      <c r="B656" s="662" t="s">
        <v>159</v>
      </c>
      <c r="C656" s="662"/>
      <c r="D656" s="663" t="s">
        <v>212</v>
      </c>
      <c r="E656" s="663"/>
      <c r="F656" s="664" t="s">
        <v>162</v>
      </c>
      <c r="G656" s="665"/>
      <c r="H656" s="754" t="s">
        <v>162</v>
      </c>
      <c r="I656" s="714"/>
      <c r="J656" s="715"/>
      <c r="K656" s="716"/>
      <c r="L656" s="715"/>
      <c r="M656" s="716"/>
      <c r="N656" s="194"/>
      <c r="O656" s="196"/>
      <c r="P656" s="717"/>
      <c r="Q656" s="718"/>
      <c r="R656" s="672"/>
      <c r="S656" s="673"/>
      <c r="T656" s="674"/>
      <c r="U656" s="675"/>
      <c r="V656" s="676"/>
      <c r="W656" s="677"/>
      <c r="X656" s="678" t="s">
        <v>159</v>
      </c>
      <c r="Y656" s="678"/>
      <c r="Z656" s="678"/>
      <c r="AA656" s="678"/>
      <c r="AB656" s="679" t="s">
        <v>159</v>
      </c>
      <c r="AC656" s="679"/>
      <c r="AD656" s="679"/>
      <c r="AE656" s="679"/>
      <c r="AF656" s="680"/>
      <c r="AG656" s="681"/>
      <c r="AH656" s="680"/>
      <c r="AI656" s="681"/>
      <c r="AJ656" s="682"/>
      <c r="AK656" s="683"/>
      <c r="AL656" s="684" t="s">
        <v>162</v>
      </c>
      <c r="AM656" s="685"/>
      <c r="AN656" s="666" t="s">
        <v>162</v>
      </c>
      <c r="AO656" s="667"/>
      <c r="AP656" s="686"/>
      <c r="AQ656" s="687"/>
      <c r="AR656" s="688"/>
      <c r="AS656" s="689"/>
      <c r="AT656" s="690"/>
      <c r="AU656" s="691"/>
      <c r="AV656" s="666" t="s">
        <v>162</v>
      </c>
      <c r="AW656" s="667"/>
      <c r="AX656" s="692"/>
      <c r="AY656" s="693"/>
      <c r="AZ656" s="694"/>
      <c r="BA656" s="682"/>
      <c r="BB656" s="683"/>
      <c r="BC656" s="14"/>
      <c r="BD656" s="695" t="s">
        <v>162</v>
      </c>
      <c r="BE656" s="696"/>
      <c r="BF656" s="697"/>
      <c r="BG656" s="698"/>
      <c r="BH656" s="698"/>
      <c r="BI656" s="699"/>
      <c r="BJ656" s="700" t="s">
        <v>159</v>
      </c>
      <c r="BK656" s="701"/>
      <c r="BL656" s="701"/>
      <c r="BM656" s="702"/>
      <c r="BN656" s="703" t="s">
        <v>159</v>
      </c>
      <c r="BO656" s="704"/>
      <c r="BP656" s="704"/>
      <c r="BQ656" s="704"/>
      <c r="BR656" s="704"/>
      <c r="BS656" s="704"/>
      <c r="BT656" s="704"/>
      <c r="BU656" s="704"/>
      <c r="BV656" s="705"/>
    </row>
    <row r="657" spans="1:74" ht="45" customHeight="1" x14ac:dyDescent="0.25">
      <c r="A657" s="10">
        <f t="shared" si="10"/>
        <v>643</v>
      </c>
      <c r="B657" s="711" t="s">
        <v>159</v>
      </c>
      <c r="C657" s="711"/>
      <c r="D657" s="712" t="s">
        <v>212</v>
      </c>
      <c r="E657" s="712"/>
      <c r="F657" s="664" t="s">
        <v>162</v>
      </c>
      <c r="G657" s="665"/>
      <c r="H657" s="755" t="s">
        <v>162</v>
      </c>
      <c r="I657" s="667"/>
      <c r="J657" s="706"/>
      <c r="K657" s="707"/>
      <c r="L657" s="706"/>
      <c r="M657" s="707"/>
      <c r="N657" s="215"/>
      <c r="O657" s="216"/>
      <c r="P657" s="670"/>
      <c r="Q657" s="671"/>
      <c r="R657" s="719"/>
      <c r="S657" s="720"/>
      <c r="T657" s="721"/>
      <c r="U657" s="722"/>
      <c r="V657" s="723"/>
      <c r="W657" s="724"/>
      <c r="X657" s="725" t="s">
        <v>159</v>
      </c>
      <c r="Y657" s="725"/>
      <c r="Z657" s="725"/>
      <c r="AA657" s="725"/>
      <c r="AB657" s="726" t="s">
        <v>159</v>
      </c>
      <c r="AC657" s="726"/>
      <c r="AD657" s="726"/>
      <c r="AE657" s="726"/>
      <c r="AF657" s="727"/>
      <c r="AG657" s="728"/>
      <c r="AH657" s="727"/>
      <c r="AI657" s="728"/>
      <c r="AJ657" s="682"/>
      <c r="AK657" s="683"/>
      <c r="AL657" s="664" t="s">
        <v>162</v>
      </c>
      <c r="AM657" s="665"/>
      <c r="AN657" s="713" t="s">
        <v>162</v>
      </c>
      <c r="AO657" s="714"/>
      <c r="AP657" s="729"/>
      <c r="AQ657" s="730"/>
      <c r="AR657" s="731"/>
      <c r="AS657" s="732"/>
      <c r="AT657" s="733"/>
      <c r="AU657" s="734"/>
      <c r="AV657" s="713" t="s">
        <v>162</v>
      </c>
      <c r="AW657" s="714"/>
      <c r="AX657" s="692"/>
      <c r="AY657" s="693"/>
      <c r="AZ657" s="694"/>
      <c r="BA657" s="735"/>
      <c r="BB657" s="736"/>
      <c r="BC657" s="219"/>
      <c r="BD657" s="737" t="s">
        <v>162</v>
      </c>
      <c r="BE657" s="738"/>
      <c r="BF657" s="739"/>
      <c r="BG657" s="740"/>
      <c r="BH657" s="740"/>
      <c r="BI657" s="741"/>
      <c r="BJ657" s="742" t="s">
        <v>159</v>
      </c>
      <c r="BK657" s="743"/>
      <c r="BL657" s="743"/>
      <c r="BM657" s="744"/>
      <c r="BN657" s="703" t="s">
        <v>159</v>
      </c>
      <c r="BO657" s="704"/>
      <c r="BP657" s="704"/>
      <c r="BQ657" s="704"/>
      <c r="BR657" s="704"/>
      <c r="BS657" s="704"/>
      <c r="BT657" s="704"/>
      <c r="BU657" s="704"/>
      <c r="BV657" s="705"/>
    </row>
    <row r="658" spans="1:74" ht="45" customHeight="1" x14ac:dyDescent="0.25">
      <c r="A658" s="10">
        <f t="shared" si="10"/>
        <v>644</v>
      </c>
      <c r="B658" s="662" t="s">
        <v>159</v>
      </c>
      <c r="C658" s="662"/>
      <c r="D658" s="663" t="s">
        <v>212</v>
      </c>
      <c r="E658" s="663"/>
      <c r="F658" s="664" t="s">
        <v>162</v>
      </c>
      <c r="G658" s="665"/>
      <c r="H658" s="754" t="s">
        <v>162</v>
      </c>
      <c r="I658" s="714"/>
      <c r="J658" s="715"/>
      <c r="K658" s="716"/>
      <c r="L658" s="715"/>
      <c r="M658" s="716"/>
      <c r="N658" s="194"/>
      <c r="O658" s="196"/>
      <c r="P658" s="717"/>
      <c r="Q658" s="718"/>
      <c r="R658" s="672"/>
      <c r="S658" s="673"/>
      <c r="T658" s="674"/>
      <c r="U658" s="675"/>
      <c r="V658" s="676"/>
      <c r="W658" s="677"/>
      <c r="X658" s="678" t="s">
        <v>159</v>
      </c>
      <c r="Y658" s="678"/>
      <c r="Z658" s="678"/>
      <c r="AA658" s="678"/>
      <c r="AB658" s="679" t="s">
        <v>159</v>
      </c>
      <c r="AC658" s="679"/>
      <c r="AD658" s="679"/>
      <c r="AE658" s="679"/>
      <c r="AF658" s="680"/>
      <c r="AG658" s="681"/>
      <c r="AH658" s="680"/>
      <c r="AI658" s="681"/>
      <c r="AJ658" s="682"/>
      <c r="AK658" s="683"/>
      <c r="AL658" s="684" t="s">
        <v>162</v>
      </c>
      <c r="AM658" s="685"/>
      <c r="AN658" s="666" t="s">
        <v>162</v>
      </c>
      <c r="AO658" s="667"/>
      <c r="AP658" s="686"/>
      <c r="AQ658" s="687"/>
      <c r="AR658" s="688"/>
      <c r="AS658" s="689"/>
      <c r="AT658" s="690"/>
      <c r="AU658" s="691"/>
      <c r="AV658" s="666" t="s">
        <v>162</v>
      </c>
      <c r="AW658" s="667"/>
      <c r="AX658" s="692"/>
      <c r="AY658" s="693"/>
      <c r="AZ658" s="694"/>
      <c r="BA658" s="682"/>
      <c r="BB658" s="683"/>
      <c r="BC658" s="14"/>
      <c r="BD658" s="695" t="s">
        <v>162</v>
      </c>
      <c r="BE658" s="696"/>
      <c r="BF658" s="708"/>
      <c r="BG658" s="709"/>
      <c r="BH658" s="709"/>
      <c r="BI658" s="710"/>
      <c r="BJ658" s="700" t="s">
        <v>159</v>
      </c>
      <c r="BK658" s="701"/>
      <c r="BL658" s="701"/>
      <c r="BM658" s="702"/>
      <c r="BN658" s="703" t="s">
        <v>159</v>
      </c>
      <c r="BO658" s="704"/>
      <c r="BP658" s="704"/>
      <c r="BQ658" s="704"/>
      <c r="BR658" s="704"/>
      <c r="BS658" s="704"/>
      <c r="BT658" s="704"/>
      <c r="BU658" s="704"/>
      <c r="BV658" s="705"/>
    </row>
    <row r="659" spans="1:74" ht="45" customHeight="1" x14ac:dyDescent="0.25">
      <c r="A659" s="10">
        <f t="shared" si="10"/>
        <v>645</v>
      </c>
      <c r="B659" s="711" t="s">
        <v>159</v>
      </c>
      <c r="C659" s="711"/>
      <c r="D659" s="712" t="s">
        <v>212</v>
      </c>
      <c r="E659" s="712"/>
      <c r="F659" s="664" t="s">
        <v>162</v>
      </c>
      <c r="G659" s="665"/>
      <c r="H659" s="755" t="s">
        <v>162</v>
      </c>
      <c r="I659" s="667"/>
      <c r="J659" s="706"/>
      <c r="K659" s="707"/>
      <c r="L659" s="706"/>
      <c r="M659" s="707"/>
      <c r="N659" s="215"/>
      <c r="O659" s="216"/>
      <c r="P659" s="670"/>
      <c r="Q659" s="671"/>
      <c r="R659" s="719"/>
      <c r="S659" s="720"/>
      <c r="T659" s="721"/>
      <c r="U659" s="722"/>
      <c r="V659" s="723"/>
      <c r="W659" s="724"/>
      <c r="X659" s="725" t="s">
        <v>159</v>
      </c>
      <c r="Y659" s="725"/>
      <c r="Z659" s="725"/>
      <c r="AA659" s="725"/>
      <c r="AB659" s="726" t="s">
        <v>159</v>
      </c>
      <c r="AC659" s="726"/>
      <c r="AD659" s="726"/>
      <c r="AE659" s="726"/>
      <c r="AF659" s="727"/>
      <c r="AG659" s="728"/>
      <c r="AH659" s="727"/>
      <c r="AI659" s="728"/>
      <c r="AJ659" s="682"/>
      <c r="AK659" s="683"/>
      <c r="AL659" s="664" t="s">
        <v>162</v>
      </c>
      <c r="AM659" s="665"/>
      <c r="AN659" s="713" t="s">
        <v>162</v>
      </c>
      <c r="AO659" s="714"/>
      <c r="AP659" s="729"/>
      <c r="AQ659" s="730"/>
      <c r="AR659" s="731"/>
      <c r="AS659" s="732"/>
      <c r="AT659" s="733"/>
      <c r="AU659" s="734"/>
      <c r="AV659" s="713" t="s">
        <v>162</v>
      </c>
      <c r="AW659" s="714"/>
      <c r="AX659" s="692"/>
      <c r="AY659" s="693"/>
      <c r="AZ659" s="694"/>
      <c r="BA659" s="735"/>
      <c r="BB659" s="736"/>
      <c r="BC659" s="219"/>
      <c r="BD659" s="737" t="s">
        <v>162</v>
      </c>
      <c r="BE659" s="738"/>
      <c r="BF659" s="739"/>
      <c r="BG659" s="740"/>
      <c r="BH659" s="740"/>
      <c r="BI659" s="741"/>
      <c r="BJ659" s="742" t="s">
        <v>159</v>
      </c>
      <c r="BK659" s="743"/>
      <c r="BL659" s="743"/>
      <c r="BM659" s="744"/>
      <c r="BN659" s="703" t="s">
        <v>159</v>
      </c>
      <c r="BO659" s="704"/>
      <c r="BP659" s="704"/>
      <c r="BQ659" s="704"/>
      <c r="BR659" s="704"/>
      <c r="BS659" s="704"/>
      <c r="BT659" s="704"/>
      <c r="BU659" s="704"/>
      <c r="BV659" s="705"/>
    </row>
    <row r="660" spans="1:74" ht="45" customHeight="1" x14ac:dyDescent="0.25">
      <c r="A660" s="10">
        <f t="shared" si="10"/>
        <v>646</v>
      </c>
      <c r="B660" s="662" t="s">
        <v>159</v>
      </c>
      <c r="C660" s="662"/>
      <c r="D660" s="663" t="s">
        <v>212</v>
      </c>
      <c r="E660" s="663"/>
      <c r="F660" s="664" t="s">
        <v>162</v>
      </c>
      <c r="G660" s="665"/>
      <c r="H660" s="754" t="s">
        <v>162</v>
      </c>
      <c r="I660" s="714"/>
      <c r="J660" s="715"/>
      <c r="K660" s="716"/>
      <c r="L660" s="715"/>
      <c r="M660" s="716"/>
      <c r="N660" s="194"/>
      <c r="O660" s="196"/>
      <c r="P660" s="717"/>
      <c r="Q660" s="718"/>
      <c r="R660" s="672"/>
      <c r="S660" s="673"/>
      <c r="T660" s="674"/>
      <c r="U660" s="675"/>
      <c r="V660" s="676"/>
      <c r="W660" s="677"/>
      <c r="X660" s="678" t="s">
        <v>159</v>
      </c>
      <c r="Y660" s="678"/>
      <c r="Z660" s="678"/>
      <c r="AA660" s="678"/>
      <c r="AB660" s="679" t="s">
        <v>159</v>
      </c>
      <c r="AC660" s="679"/>
      <c r="AD660" s="679"/>
      <c r="AE660" s="679"/>
      <c r="AF660" s="680"/>
      <c r="AG660" s="681"/>
      <c r="AH660" s="680"/>
      <c r="AI660" s="681"/>
      <c r="AJ660" s="682"/>
      <c r="AK660" s="683"/>
      <c r="AL660" s="684" t="s">
        <v>162</v>
      </c>
      <c r="AM660" s="685"/>
      <c r="AN660" s="666" t="s">
        <v>162</v>
      </c>
      <c r="AO660" s="667"/>
      <c r="AP660" s="686"/>
      <c r="AQ660" s="687"/>
      <c r="AR660" s="688"/>
      <c r="AS660" s="689"/>
      <c r="AT660" s="690"/>
      <c r="AU660" s="691"/>
      <c r="AV660" s="666" t="s">
        <v>162</v>
      </c>
      <c r="AW660" s="667"/>
      <c r="AX660" s="692"/>
      <c r="AY660" s="693"/>
      <c r="AZ660" s="694"/>
      <c r="BA660" s="682"/>
      <c r="BB660" s="683"/>
      <c r="BC660" s="14"/>
      <c r="BD660" s="695" t="s">
        <v>162</v>
      </c>
      <c r="BE660" s="696"/>
      <c r="BF660" s="697"/>
      <c r="BG660" s="698"/>
      <c r="BH660" s="698"/>
      <c r="BI660" s="699"/>
      <c r="BJ660" s="700" t="s">
        <v>159</v>
      </c>
      <c r="BK660" s="701"/>
      <c r="BL660" s="701"/>
      <c r="BM660" s="702"/>
      <c r="BN660" s="703" t="s">
        <v>159</v>
      </c>
      <c r="BO660" s="704"/>
      <c r="BP660" s="704"/>
      <c r="BQ660" s="704"/>
      <c r="BR660" s="704"/>
      <c r="BS660" s="704"/>
      <c r="BT660" s="704"/>
      <c r="BU660" s="704"/>
      <c r="BV660" s="705"/>
    </row>
    <row r="661" spans="1:74" ht="45" customHeight="1" x14ac:dyDescent="0.25">
      <c r="A661" s="10">
        <f t="shared" si="10"/>
        <v>647</v>
      </c>
      <c r="B661" s="711" t="s">
        <v>159</v>
      </c>
      <c r="C661" s="711"/>
      <c r="D661" s="712" t="s">
        <v>212</v>
      </c>
      <c r="E661" s="712"/>
      <c r="F661" s="664" t="s">
        <v>162</v>
      </c>
      <c r="G661" s="665"/>
      <c r="H661" s="755" t="s">
        <v>162</v>
      </c>
      <c r="I661" s="667"/>
      <c r="J661" s="706"/>
      <c r="K661" s="707"/>
      <c r="L661" s="706"/>
      <c r="M661" s="707"/>
      <c r="N661" s="215"/>
      <c r="O661" s="216"/>
      <c r="P661" s="670"/>
      <c r="Q661" s="671"/>
      <c r="R661" s="719"/>
      <c r="S661" s="720"/>
      <c r="T661" s="721"/>
      <c r="U661" s="722"/>
      <c r="V661" s="723"/>
      <c r="W661" s="724"/>
      <c r="X661" s="725" t="s">
        <v>159</v>
      </c>
      <c r="Y661" s="725"/>
      <c r="Z661" s="725"/>
      <c r="AA661" s="725"/>
      <c r="AB661" s="726" t="s">
        <v>159</v>
      </c>
      <c r="AC661" s="726"/>
      <c r="AD661" s="726"/>
      <c r="AE661" s="726"/>
      <c r="AF661" s="727"/>
      <c r="AG661" s="728"/>
      <c r="AH661" s="727"/>
      <c r="AI661" s="728"/>
      <c r="AJ661" s="682"/>
      <c r="AK661" s="683"/>
      <c r="AL661" s="664" t="s">
        <v>162</v>
      </c>
      <c r="AM661" s="665"/>
      <c r="AN661" s="713" t="s">
        <v>162</v>
      </c>
      <c r="AO661" s="714"/>
      <c r="AP661" s="729"/>
      <c r="AQ661" s="730"/>
      <c r="AR661" s="731"/>
      <c r="AS661" s="732"/>
      <c r="AT661" s="733"/>
      <c r="AU661" s="734"/>
      <c r="AV661" s="713" t="s">
        <v>162</v>
      </c>
      <c r="AW661" s="714"/>
      <c r="AX661" s="692"/>
      <c r="AY661" s="693"/>
      <c r="AZ661" s="694"/>
      <c r="BA661" s="735"/>
      <c r="BB661" s="736"/>
      <c r="BC661" s="219"/>
      <c r="BD661" s="737" t="s">
        <v>162</v>
      </c>
      <c r="BE661" s="738"/>
      <c r="BF661" s="739"/>
      <c r="BG661" s="740"/>
      <c r="BH661" s="740"/>
      <c r="BI661" s="741"/>
      <c r="BJ661" s="742" t="s">
        <v>159</v>
      </c>
      <c r="BK661" s="743"/>
      <c r="BL661" s="743"/>
      <c r="BM661" s="744"/>
      <c r="BN661" s="703" t="s">
        <v>159</v>
      </c>
      <c r="BO661" s="704"/>
      <c r="BP661" s="704"/>
      <c r="BQ661" s="704"/>
      <c r="BR661" s="704"/>
      <c r="BS661" s="704"/>
      <c r="BT661" s="704"/>
      <c r="BU661" s="704"/>
      <c r="BV661" s="705"/>
    </row>
    <row r="662" spans="1:74" ht="45" customHeight="1" x14ac:dyDescent="0.25">
      <c r="A662" s="10">
        <f t="shared" si="10"/>
        <v>648</v>
      </c>
      <c r="B662" s="662" t="s">
        <v>159</v>
      </c>
      <c r="C662" s="662"/>
      <c r="D662" s="663" t="s">
        <v>212</v>
      </c>
      <c r="E662" s="663"/>
      <c r="F662" s="664" t="s">
        <v>162</v>
      </c>
      <c r="G662" s="665"/>
      <c r="H662" s="754" t="s">
        <v>162</v>
      </c>
      <c r="I662" s="714"/>
      <c r="J662" s="715"/>
      <c r="K662" s="716"/>
      <c r="L662" s="715"/>
      <c r="M662" s="716"/>
      <c r="N662" s="215"/>
      <c r="O662" s="216"/>
      <c r="P662" s="670"/>
      <c r="Q662" s="671"/>
      <c r="R662" s="719"/>
      <c r="S662" s="720"/>
      <c r="T662" s="721"/>
      <c r="U662" s="722"/>
      <c r="V662" s="676"/>
      <c r="W662" s="677"/>
      <c r="X662" s="678" t="s">
        <v>159</v>
      </c>
      <c r="Y662" s="678"/>
      <c r="Z662" s="678"/>
      <c r="AA662" s="678"/>
      <c r="AB662" s="679" t="s">
        <v>159</v>
      </c>
      <c r="AC662" s="679"/>
      <c r="AD662" s="679"/>
      <c r="AE662" s="679"/>
      <c r="AF662" s="680"/>
      <c r="AG662" s="681"/>
      <c r="AH662" s="680"/>
      <c r="AI662" s="681"/>
      <c r="AJ662" s="682"/>
      <c r="AK662" s="683"/>
      <c r="AL662" s="684" t="s">
        <v>162</v>
      </c>
      <c r="AM662" s="685"/>
      <c r="AN662" s="666" t="s">
        <v>162</v>
      </c>
      <c r="AO662" s="667"/>
      <c r="AP662" s="686"/>
      <c r="AQ662" s="687"/>
      <c r="AR662" s="688"/>
      <c r="AS662" s="689"/>
      <c r="AT662" s="690"/>
      <c r="AU662" s="691"/>
      <c r="AV662" s="666" t="s">
        <v>162</v>
      </c>
      <c r="AW662" s="667"/>
      <c r="AX662" s="692"/>
      <c r="AY662" s="693"/>
      <c r="AZ662" s="694"/>
      <c r="BA662" s="682"/>
      <c r="BB662" s="683"/>
      <c r="BC662" s="14"/>
      <c r="BD662" s="695" t="s">
        <v>162</v>
      </c>
      <c r="BE662" s="696"/>
      <c r="BF662" s="697"/>
      <c r="BG662" s="698"/>
      <c r="BH662" s="698"/>
      <c r="BI662" s="699"/>
      <c r="BJ662" s="700" t="s">
        <v>159</v>
      </c>
      <c r="BK662" s="701"/>
      <c r="BL662" s="701"/>
      <c r="BM662" s="702"/>
      <c r="BN662" s="703" t="s">
        <v>159</v>
      </c>
      <c r="BO662" s="704"/>
      <c r="BP662" s="704"/>
      <c r="BQ662" s="704"/>
      <c r="BR662" s="704"/>
      <c r="BS662" s="704"/>
      <c r="BT662" s="704"/>
      <c r="BU662" s="704"/>
      <c r="BV662" s="705"/>
    </row>
    <row r="663" spans="1:74" ht="45" customHeight="1" x14ac:dyDescent="0.25">
      <c r="A663" s="10">
        <f t="shared" si="10"/>
        <v>649</v>
      </c>
      <c r="B663" s="711" t="s">
        <v>159</v>
      </c>
      <c r="C663" s="711"/>
      <c r="D663" s="712" t="s">
        <v>212</v>
      </c>
      <c r="E663" s="712"/>
      <c r="F663" s="664" t="s">
        <v>162</v>
      </c>
      <c r="G663" s="665"/>
      <c r="H663" s="755" t="s">
        <v>162</v>
      </c>
      <c r="I663" s="667"/>
      <c r="J663" s="706"/>
      <c r="K663" s="707"/>
      <c r="L663" s="706"/>
      <c r="M663" s="707"/>
      <c r="N663" s="194"/>
      <c r="O663" s="196"/>
      <c r="P663" s="717"/>
      <c r="Q663" s="718"/>
      <c r="R663" s="672"/>
      <c r="S663" s="673"/>
      <c r="T663" s="674"/>
      <c r="U663" s="675"/>
      <c r="V663" s="723"/>
      <c r="W663" s="724"/>
      <c r="X663" s="725" t="s">
        <v>159</v>
      </c>
      <c r="Y663" s="725"/>
      <c r="Z663" s="725"/>
      <c r="AA663" s="725"/>
      <c r="AB663" s="726" t="s">
        <v>159</v>
      </c>
      <c r="AC663" s="726"/>
      <c r="AD663" s="726"/>
      <c r="AE663" s="726"/>
      <c r="AF663" s="727"/>
      <c r="AG663" s="728"/>
      <c r="AH663" s="727"/>
      <c r="AI663" s="728"/>
      <c r="AJ663" s="682"/>
      <c r="AK663" s="683"/>
      <c r="AL663" s="664" t="s">
        <v>162</v>
      </c>
      <c r="AM663" s="665"/>
      <c r="AN663" s="713" t="s">
        <v>162</v>
      </c>
      <c r="AO663" s="714"/>
      <c r="AP663" s="729"/>
      <c r="AQ663" s="730"/>
      <c r="AR663" s="731"/>
      <c r="AS663" s="732"/>
      <c r="AT663" s="733"/>
      <c r="AU663" s="734"/>
      <c r="AV663" s="713" t="s">
        <v>162</v>
      </c>
      <c r="AW663" s="714"/>
      <c r="AX663" s="692"/>
      <c r="AY663" s="693"/>
      <c r="AZ663" s="694"/>
      <c r="BA663" s="735"/>
      <c r="BB663" s="736"/>
      <c r="BC663" s="219"/>
      <c r="BD663" s="737" t="s">
        <v>162</v>
      </c>
      <c r="BE663" s="738"/>
      <c r="BF663" s="739"/>
      <c r="BG663" s="740"/>
      <c r="BH663" s="740"/>
      <c r="BI663" s="741"/>
      <c r="BJ663" s="742" t="s">
        <v>159</v>
      </c>
      <c r="BK663" s="743"/>
      <c r="BL663" s="743"/>
      <c r="BM663" s="744"/>
      <c r="BN663" s="703" t="s">
        <v>159</v>
      </c>
      <c r="BO663" s="704"/>
      <c r="BP663" s="704"/>
      <c r="BQ663" s="704"/>
      <c r="BR663" s="704"/>
      <c r="BS663" s="704"/>
      <c r="BT663" s="704"/>
      <c r="BU663" s="704"/>
      <c r="BV663" s="705"/>
    </row>
    <row r="664" spans="1:74" ht="45" customHeight="1" x14ac:dyDescent="0.25">
      <c r="A664" s="10">
        <f t="shared" si="10"/>
        <v>650</v>
      </c>
      <c r="B664" s="662" t="s">
        <v>159</v>
      </c>
      <c r="C664" s="662"/>
      <c r="D664" s="663" t="s">
        <v>212</v>
      </c>
      <c r="E664" s="663"/>
      <c r="F664" s="664" t="s">
        <v>162</v>
      </c>
      <c r="G664" s="665"/>
      <c r="H664" s="754" t="s">
        <v>162</v>
      </c>
      <c r="I664" s="714"/>
      <c r="J664" s="715"/>
      <c r="K664" s="716"/>
      <c r="L664" s="715"/>
      <c r="M664" s="716"/>
      <c r="N664" s="215"/>
      <c r="O664" s="216"/>
      <c r="P664" s="670"/>
      <c r="Q664" s="671"/>
      <c r="R664" s="719"/>
      <c r="S664" s="720"/>
      <c r="T664" s="721"/>
      <c r="U664" s="722"/>
      <c r="V664" s="676"/>
      <c r="W664" s="677"/>
      <c r="X664" s="678" t="s">
        <v>159</v>
      </c>
      <c r="Y664" s="678"/>
      <c r="Z664" s="678"/>
      <c r="AA664" s="678"/>
      <c r="AB664" s="679" t="s">
        <v>159</v>
      </c>
      <c r="AC664" s="679"/>
      <c r="AD664" s="679"/>
      <c r="AE664" s="679"/>
      <c r="AF664" s="680"/>
      <c r="AG664" s="681"/>
      <c r="AH664" s="680"/>
      <c r="AI664" s="681"/>
      <c r="AJ664" s="682"/>
      <c r="AK664" s="683"/>
      <c r="AL664" s="684" t="s">
        <v>162</v>
      </c>
      <c r="AM664" s="685"/>
      <c r="AN664" s="666" t="s">
        <v>162</v>
      </c>
      <c r="AO664" s="667"/>
      <c r="AP664" s="686"/>
      <c r="AQ664" s="687"/>
      <c r="AR664" s="688"/>
      <c r="AS664" s="689"/>
      <c r="AT664" s="690"/>
      <c r="AU664" s="691"/>
      <c r="AV664" s="666" t="s">
        <v>162</v>
      </c>
      <c r="AW664" s="667"/>
      <c r="AX664" s="692"/>
      <c r="AY664" s="693"/>
      <c r="AZ664" s="694"/>
      <c r="BA664" s="682"/>
      <c r="BB664" s="683"/>
      <c r="BC664" s="14"/>
      <c r="BD664" s="695" t="s">
        <v>162</v>
      </c>
      <c r="BE664" s="696"/>
      <c r="BF664" s="708"/>
      <c r="BG664" s="709"/>
      <c r="BH664" s="709"/>
      <c r="BI664" s="710"/>
      <c r="BJ664" s="700" t="s">
        <v>159</v>
      </c>
      <c r="BK664" s="701"/>
      <c r="BL664" s="701"/>
      <c r="BM664" s="702"/>
      <c r="BN664" s="703" t="s">
        <v>159</v>
      </c>
      <c r="BO664" s="704"/>
      <c r="BP664" s="704"/>
      <c r="BQ664" s="704"/>
      <c r="BR664" s="704"/>
      <c r="BS664" s="704"/>
      <c r="BT664" s="704"/>
      <c r="BU664" s="704"/>
      <c r="BV664" s="705"/>
    </row>
    <row r="665" spans="1:74" ht="45" customHeight="1" x14ac:dyDescent="0.25">
      <c r="A665" s="10">
        <f t="shared" si="10"/>
        <v>651</v>
      </c>
      <c r="B665" s="711" t="s">
        <v>159</v>
      </c>
      <c r="C665" s="711"/>
      <c r="D665" s="712" t="s">
        <v>212</v>
      </c>
      <c r="E665" s="712"/>
      <c r="F665" s="664" t="s">
        <v>162</v>
      </c>
      <c r="G665" s="665"/>
      <c r="H665" s="755" t="s">
        <v>162</v>
      </c>
      <c r="I665" s="667"/>
      <c r="J665" s="706"/>
      <c r="K665" s="707"/>
      <c r="L665" s="706"/>
      <c r="M665" s="707"/>
      <c r="N665" s="194"/>
      <c r="O665" s="196"/>
      <c r="P665" s="717"/>
      <c r="Q665" s="718"/>
      <c r="R665" s="672"/>
      <c r="S665" s="673"/>
      <c r="T665" s="674"/>
      <c r="U665" s="675"/>
      <c r="V665" s="723"/>
      <c r="W665" s="724"/>
      <c r="X665" s="725" t="s">
        <v>159</v>
      </c>
      <c r="Y665" s="725"/>
      <c r="Z665" s="725"/>
      <c r="AA665" s="725"/>
      <c r="AB665" s="726" t="s">
        <v>159</v>
      </c>
      <c r="AC665" s="726"/>
      <c r="AD665" s="726"/>
      <c r="AE665" s="726"/>
      <c r="AF665" s="727"/>
      <c r="AG665" s="728"/>
      <c r="AH665" s="727"/>
      <c r="AI665" s="728"/>
      <c r="AJ665" s="682"/>
      <c r="AK665" s="683"/>
      <c r="AL665" s="664" t="s">
        <v>162</v>
      </c>
      <c r="AM665" s="665"/>
      <c r="AN665" s="713" t="s">
        <v>162</v>
      </c>
      <c r="AO665" s="714"/>
      <c r="AP665" s="729"/>
      <c r="AQ665" s="730"/>
      <c r="AR665" s="731"/>
      <c r="AS665" s="732"/>
      <c r="AT665" s="733"/>
      <c r="AU665" s="734"/>
      <c r="AV665" s="713" t="s">
        <v>162</v>
      </c>
      <c r="AW665" s="714"/>
      <c r="AX665" s="692"/>
      <c r="AY665" s="693"/>
      <c r="AZ665" s="694"/>
      <c r="BA665" s="735"/>
      <c r="BB665" s="736"/>
      <c r="BC665" s="219"/>
      <c r="BD665" s="737" t="s">
        <v>162</v>
      </c>
      <c r="BE665" s="738"/>
      <c r="BF665" s="739"/>
      <c r="BG665" s="740"/>
      <c r="BH665" s="740"/>
      <c r="BI665" s="741"/>
      <c r="BJ665" s="742" t="s">
        <v>159</v>
      </c>
      <c r="BK665" s="743"/>
      <c r="BL665" s="743"/>
      <c r="BM665" s="744"/>
      <c r="BN665" s="703" t="s">
        <v>159</v>
      </c>
      <c r="BO665" s="704"/>
      <c r="BP665" s="704"/>
      <c r="BQ665" s="704"/>
      <c r="BR665" s="704"/>
      <c r="BS665" s="704"/>
      <c r="BT665" s="704"/>
      <c r="BU665" s="704"/>
      <c r="BV665" s="705"/>
    </row>
    <row r="666" spans="1:74" ht="45" customHeight="1" x14ac:dyDescent="0.25">
      <c r="A666" s="10">
        <f t="shared" si="10"/>
        <v>652</v>
      </c>
      <c r="B666" s="662" t="s">
        <v>159</v>
      </c>
      <c r="C666" s="662"/>
      <c r="D666" s="663" t="s">
        <v>212</v>
      </c>
      <c r="E666" s="663"/>
      <c r="F666" s="664" t="s">
        <v>162</v>
      </c>
      <c r="G666" s="665"/>
      <c r="H666" s="754" t="s">
        <v>162</v>
      </c>
      <c r="I666" s="714"/>
      <c r="J666" s="715"/>
      <c r="K666" s="716"/>
      <c r="L666" s="715"/>
      <c r="M666" s="716"/>
      <c r="N666" s="215"/>
      <c r="O666" s="216"/>
      <c r="P666" s="670"/>
      <c r="Q666" s="671"/>
      <c r="R666" s="719"/>
      <c r="S666" s="720"/>
      <c r="T666" s="721"/>
      <c r="U666" s="722"/>
      <c r="V666" s="676"/>
      <c r="W666" s="677"/>
      <c r="X666" s="678" t="s">
        <v>159</v>
      </c>
      <c r="Y666" s="678"/>
      <c r="Z666" s="678"/>
      <c r="AA666" s="678"/>
      <c r="AB666" s="679" t="s">
        <v>159</v>
      </c>
      <c r="AC666" s="679"/>
      <c r="AD666" s="679"/>
      <c r="AE666" s="679"/>
      <c r="AF666" s="680"/>
      <c r="AG666" s="681"/>
      <c r="AH666" s="680"/>
      <c r="AI666" s="681"/>
      <c r="AJ666" s="682"/>
      <c r="AK666" s="683"/>
      <c r="AL666" s="684" t="s">
        <v>162</v>
      </c>
      <c r="AM666" s="685"/>
      <c r="AN666" s="666" t="s">
        <v>162</v>
      </c>
      <c r="AO666" s="667"/>
      <c r="AP666" s="686"/>
      <c r="AQ666" s="687"/>
      <c r="AR666" s="688"/>
      <c r="AS666" s="689"/>
      <c r="AT666" s="690"/>
      <c r="AU666" s="691"/>
      <c r="AV666" s="666" t="s">
        <v>162</v>
      </c>
      <c r="AW666" s="667"/>
      <c r="AX666" s="692"/>
      <c r="AY666" s="693"/>
      <c r="AZ666" s="694"/>
      <c r="BA666" s="682"/>
      <c r="BB666" s="683"/>
      <c r="BC666" s="14"/>
      <c r="BD666" s="695" t="s">
        <v>162</v>
      </c>
      <c r="BE666" s="696"/>
      <c r="BF666" s="697"/>
      <c r="BG666" s="698"/>
      <c r="BH666" s="698"/>
      <c r="BI666" s="699"/>
      <c r="BJ666" s="700" t="s">
        <v>159</v>
      </c>
      <c r="BK666" s="701"/>
      <c r="BL666" s="701"/>
      <c r="BM666" s="702"/>
      <c r="BN666" s="703" t="s">
        <v>159</v>
      </c>
      <c r="BO666" s="704"/>
      <c r="BP666" s="704"/>
      <c r="BQ666" s="704"/>
      <c r="BR666" s="704"/>
      <c r="BS666" s="704"/>
      <c r="BT666" s="704"/>
      <c r="BU666" s="704"/>
      <c r="BV666" s="705"/>
    </row>
    <row r="667" spans="1:74" ht="45" customHeight="1" x14ac:dyDescent="0.25">
      <c r="A667" s="10">
        <f t="shared" si="10"/>
        <v>653</v>
      </c>
      <c r="B667" s="711" t="s">
        <v>159</v>
      </c>
      <c r="C667" s="711"/>
      <c r="D667" s="712" t="s">
        <v>212</v>
      </c>
      <c r="E667" s="712"/>
      <c r="F667" s="664" t="s">
        <v>162</v>
      </c>
      <c r="G667" s="665"/>
      <c r="H667" s="755" t="s">
        <v>162</v>
      </c>
      <c r="I667" s="667"/>
      <c r="J667" s="706"/>
      <c r="K667" s="707"/>
      <c r="L667" s="706"/>
      <c r="M667" s="707"/>
      <c r="N667" s="194"/>
      <c r="O667" s="196"/>
      <c r="P667" s="717"/>
      <c r="Q667" s="718"/>
      <c r="R667" s="672"/>
      <c r="S667" s="673"/>
      <c r="T667" s="674"/>
      <c r="U667" s="675"/>
      <c r="V667" s="723"/>
      <c r="W667" s="724"/>
      <c r="X667" s="725" t="s">
        <v>159</v>
      </c>
      <c r="Y667" s="725"/>
      <c r="Z667" s="725"/>
      <c r="AA667" s="725"/>
      <c r="AB667" s="726" t="s">
        <v>159</v>
      </c>
      <c r="AC667" s="726"/>
      <c r="AD667" s="726"/>
      <c r="AE667" s="726"/>
      <c r="AF667" s="727"/>
      <c r="AG667" s="728"/>
      <c r="AH667" s="727"/>
      <c r="AI667" s="728"/>
      <c r="AJ667" s="682"/>
      <c r="AK667" s="683"/>
      <c r="AL667" s="664" t="s">
        <v>162</v>
      </c>
      <c r="AM667" s="665"/>
      <c r="AN667" s="713" t="s">
        <v>162</v>
      </c>
      <c r="AO667" s="714"/>
      <c r="AP667" s="729"/>
      <c r="AQ667" s="730"/>
      <c r="AR667" s="731"/>
      <c r="AS667" s="732"/>
      <c r="AT667" s="690"/>
      <c r="AU667" s="691"/>
      <c r="AV667" s="713" t="s">
        <v>162</v>
      </c>
      <c r="AW667" s="714"/>
      <c r="AX667" s="692"/>
      <c r="AY667" s="693"/>
      <c r="AZ667" s="694"/>
      <c r="BA667" s="735"/>
      <c r="BB667" s="736"/>
      <c r="BC667" s="219"/>
      <c r="BD667" s="737" t="s">
        <v>162</v>
      </c>
      <c r="BE667" s="738"/>
      <c r="BF667" s="739"/>
      <c r="BG667" s="740"/>
      <c r="BH667" s="740"/>
      <c r="BI667" s="741"/>
      <c r="BJ667" s="742" t="s">
        <v>159</v>
      </c>
      <c r="BK667" s="743"/>
      <c r="BL667" s="743"/>
      <c r="BM667" s="744"/>
      <c r="BN667" s="703" t="s">
        <v>159</v>
      </c>
      <c r="BO667" s="704"/>
      <c r="BP667" s="704"/>
      <c r="BQ667" s="704"/>
      <c r="BR667" s="704"/>
      <c r="BS667" s="704"/>
      <c r="BT667" s="704"/>
      <c r="BU667" s="704"/>
      <c r="BV667" s="705"/>
    </row>
    <row r="668" spans="1:74" ht="45" customHeight="1" x14ac:dyDescent="0.25">
      <c r="A668" s="10">
        <f t="shared" si="10"/>
        <v>654</v>
      </c>
      <c r="B668" s="662" t="s">
        <v>159</v>
      </c>
      <c r="C668" s="662"/>
      <c r="D668" s="663" t="s">
        <v>212</v>
      </c>
      <c r="E668" s="663"/>
      <c r="F668" s="664" t="s">
        <v>162</v>
      </c>
      <c r="G668" s="665"/>
      <c r="H668" s="754" t="s">
        <v>162</v>
      </c>
      <c r="I668" s="714"/>
      <c r="J668" s="715"/>
      <c r="K668" s="716"/>
      <c r="L668" s="715"/>
      <c r="M668" s="716"/>
      <c r="N668" s="215"/>
      <c r="O668" s="216"/>
      <c r="P668" s="670"/>
      <c r="Q668" s="671"/>
      <c r="R668" s="719"/>
      <c r="S668" s="720"/>
      <c r="T668" s="721"/>
      <c r="U668" s="722"/>
      <c r="V668" s="676"/>
      <c r="W668" s="677"/>
      <c r="X668" s="678" t="s">
        <v>159</v>
      </c>
      <c r="Y668" s="678"/>
      <c r="Z668" s="678"/>
      <c r="AA668" s="678"/>
      <c r="AB668" s="679" t="s">
        <v>159</v>
      </c>
      <c r="AC668" s="679"/>
      <c r="AD668" s="679"/>
      <c r="AE668" s="679"/>
      <c r="AF668" s="680"/>
      <c r="AG668" s="681"/>
      <c r="AH668" s="680"/>
      <c r="AI668" s="681"/>
      <c r="AJ668" s="682"/>
      <c r="AK668" s="683"/>
      <c r="AL668" s="684" t="s">
        <v>162</v>
      </c>
      <c r="AM668" s="685"/>
      <c r="AN668" s="666" t="s">
        <v>162</v>
      </c>
      <c r="AO668" s="667"/>
      <c r="AP668" s="686"/>
      <c r="AQ668" s="687"/>
      <c r="AR668" s="688"/>
      <c r="AS668" s="689"/>
      <c r="AT668" s="690"/>
      <c r="AU668" s="691"/>
      <c r="AV668" s="666" t="s">
        <v>162</v>
      </c>
      <c r="AW668" s="667"/>
      <c r="AX668" s="692"/>
      <c r="AY668" s="693"/>
      <c r="AZ668" s="694"/>
      <c r="BA668" s="682"/>
      <c r="BB668" s="683"/>
      <c r="BC668" s="14"/>
      <c r="BD668" s="695" t="s">
        <v>162</v>
      </c>
      <c r="BE668" s="696"/>
      <c r="BF668" s="697"/>
      <c r="BG668" s="698"/>
      <c r="BH668" s="698"/>
      <c r="BI668" s="699"/>
      <c r="BJ668" s="700" t="s">
        <v>159</v>
      </c>
      <c r="BK668" s="701"/>
      <c r="BL668" s="701"/>
      <c r="BM668" s="702"/>
      <c r="BN668" s="703" t="s">
        <v>159</v>
      </c>
      <c r="BO668" s="704"/>
      <c r="BP668" s="704"/>
      <c r="BQ668" s="704"/>
      <c r="BR668" s="704"/>
      <c r="BS668" s="704"/>
      <c r="BT668" s="704"/>
      <c r="BU668" s="704"/>
      <c r="BV668" s="705"/>
    </row>
    <row r="669" spans="1:74" ht="45" customHeight="1" x14ac:dyDescent="0.25">
      <c r="A669" s="10">
        <f t="shared" si="10"/>
        <v>655</v>
      </c>
      <c r="B669" s="711" t="s">
        <v>159</v>
      </c>
      <c r="C669" s="711"/>
      <c r="D669" s="712" t="s">
        <v>212</v>
      </c>
      <c r="E669" s="712"/>
      <c r="F669" s="664" t="s">
        <v>162</v>
      </c>
      <c r="G669" s="665"/>
      <c r="H669" s="755" t="s">
        <v>162</v>
      </c>
      <c r="I669" s="667"/>
      <c r="J669" s="706"/>
      <c r="K669" s="707"/>
      <c r="L669" s="706"/>
      <c r="M669" s="707"/>
      <c r="N669" s="194"/>
      <c r="O669" s="196"/>
      <c r="P669" s="717"/>
      <c r="Q669" s="718"/>
      <c r="R669" s="672"/>
      <c r="S669" s="673"/>
      <c r="T669" s="674"/>
      <c r="U669" s="675"/>
      <c r="V669" s="723"/>
      <c r="W669" s="724"/>
      <c r="X669" s="725" t="s">
        <v>159</v>
      </c>
      <c r="Y669" s="725"/>
      <c r="Z669" s="725"/>
      <c r="AA669" s="725"/>
      <c r="AB669" s="726" t="s">
        <v>159</v>
      </c>
      <c r="AC669" s="726"/>
      <c r="AD669" s="726"/>
      <c r="AE669" s="726"/>
      <c r="AF669" s="727"/>
      <c r="AG669" s="728"/>
      <c r="AH669" s="727"/>
      <c r="AI669" s="728"/>
      <c r="AJ669" s="682"/>
      <c r="AK669" s="683"/>
      <c r="AL669" s="664" t="s">
        <v>162</v>
      </c>
      <c r="AM669" s="665"/>
      <c r="AN669" s="713" t="s">
        <v>162</v>
      </c>
      <c r="AO669" s="714"/>
      <c r="AP669" s="729"/>
      <c r="AQ669" s="730"/>
      <c r="AR669" s="731"/>
      <c r="AS669" s="732"/>
      <c r="AT669" s="690"/>
      <c r="AU669" s="691"/>
      <c r="AV669" s="713" t="s">
        <v>162</v>
      </c>
      <c r="AW669" s="714"/>
      <c r="AX669" s="692"/>
      <c r="AY669" s="693"/>
      <c r="AZ669" s="694"/>
      <c r="BA669" s="735"/>
      <c r="BB669" s="736"/>
      <c r="BC669" s="219"/>
      <c r="BD669" s="737" t="s">
        <v>162</v>
      </c>
      <c r="BE669" s="738"/>
      <c r="BF669" s="739"/>
      <c r="BG669" s="740"/>
      <c r="BH669" s="740"/>
      <c r="BI669" s="741"/>
      <c r="BJ669" s="742" t="s">
        <v>159</v>
      </c>
      <c r="BK669" s="743"/>
      <c r="BL669" s="743"/>
      <c r="BM669" s="744"/>
      <c r="BN669" s="703" t="s">
        <v>159</v>
      </c>
      <c r="BO669" s="704"/>
      <c r="BP669" s="704"/>
      <c r="BQ669" s="704"/>
      <c r="BR669" s="704"/>
      <c r="BS669" s="704"/>
      <c r="BT669" s="704"/>
      <c r="BU669" s="704"/>
      <c r="BV669" s="705"/>
    </row>
    <row r="670" spans="1:74" ht="45" customHeight="1" x14ac:dyDescent="0.25">
      <c r="A670" s="10">
        <f t="shared" si="10"/>
        <v>656</v>
      </c>
      <c r="B670" s="662" t="s">
        <v>159</v>
      </c>
      <c r="C670" s="662"/>
      <c r="D670" s="663" t="s">
        <v>212</v>
      </c>
      <c r="E670" s="663"/>
      <c r="F670" s="664" t="s">
        <v>162</v>
      </c>
      <c r="G670" s="665"/>
      <c r="H670" s="754" t="s">
        <v>162</v>
      </c>
      <c r="I670" s="714"/>
      <c r="J670" s="715"/>
      <c r="K670" s="716"/>
      <c r="L670" s="715"/>
      <c r="M670" s="716"/>
      <c r="N670" s="215"/>
      <c r="O670" s="216"/>
      <c r="P670" s="670"/>
      <c r="Q670" s="671"/>
      <c r="R670" s="719"/>
      <c r="S670" s="720"/>
      <c r="T670" s="721"/>
      <c r="U670" s="722"/>
      <c r="V670" s="676"/>
      <c r="W670" s="677"/>
      <c r="X670" s="678" t="s">
        <v>159</v>
      </c>
      <c r="Y670" s="678"/>
      <c r="Z670" s="678"/>
      <c r="AA670" s="678"/>
      <c r="AB670" s="679" t="s">
        <v>159</v>
      </c>
      <c r="AC670" s="679"/>
      <c r="AD670" s="679"/>
      <c r="AE670" s="679"/>
      <c r="AF670" s="680"/>
      <c r="AG670" s="681"/>
      <c r="AH670" s="680"/>
      <c r="AI670" s="681"/>
      <c r="AJ670" s="682"/>
      <c r="AK670" s="683"/>
      <c r="AL670" s="684" t="s">
        <v>162</v>
      </c>
      <c r="AM670" s="685"/>
      <c r="AN670" s="666" t="s">
        <v>162</v>
      </c>
      <c r="AO670" s="667"/>
      <c r="AP670" s="686"/>
      <c r="AQ670" s="687"/>
      <c r="AR670" s="688"/>
      <c r="AS670" s="689"/>
      <c r="AT670" s="690"/>
      <c r="AU670" s="691"/>
      <c r="AV670" s="666" t="s">
        <v>162</v>
      </c>
      <c r="AW670" s="667"/>
      <c r="AX670" s="692"/>
      <c r="AY670" s="693"/>
      <c r="AZ670" s="694"/>
      <c r="BA670" s="682"/>
      <c r="BB670" s="683"/>
      <c r="BC670" s="14"/>
      <c r="BD670" s="695" t="s">
        <v>162</v>
      </c>
      <c r="BE670" s="696"/>
      <c r="BF670" s="697"/>
      <c r="BG670" s="698"/>
      <c r="BH670" s="698"/>
      <c r="BI670" s="699"/>
      <c r="BJ670" s="700" t="s">
        <v>159</v>
      </c>
      <c r="BK670" s="701"/>
      <c r="BL670" s="701"/>
      <c r="BM670" s="702"/>
      <c r="BN670" s="703" t="s">
        <v>159</v>
      </c>
      <c r="BO670" s="704"/>
      <c r="BP670" s="704"/>
      <c r="BQ670" s="704"/>
      <c r="BR670" s="704"/>
      <c r="BS670" s="704"/>
      <c r="BT670" s="704"/>
      <c r="BU670" s="704"/>
      <c r="BV670" s="705"/>
    </row>
    <row r="671" spans="1:74" ht="45" customHeight="1" x14ac:dyDescent="0.25">
      <c r="A671" s="10">
        <f t="shared" si="10"/>
        <v>657</v>
      </c>
      <c r="B671" s="711" t="s">
        <v>159</v>
      </c>
      <c r="C671" s="711"/>
      <c r="D671" s="712" t="s">
        <v>212</v>
      </c>
      <c r="E671" s="712"/>
      <c r="F671" s="664" t="s">
        <v>162</v>
      </c>
      <c r="G671" s="665"/>
      <c r="H671" s="755" t="s">
        <v>162</v>
      </c>
      <c r="I671" s="667"/>
      <c r="J671" s="706"/>
      <c r="K671" s="707"/>
      <c r="L671" s="706"/>
      <c r="M671" s="707"/>
      <c r="N671" s="194"/>
      <c r="O671" s="196"/>
      <c r="P671" s="717"/>
      <c r="Q671" s="718"/>
      <c r="R671" s="672"/>
      <c r="S671" s="673"/>
      <c r="T671" s="674"/>
      <c r="U671" s="675"/>
      <c r="V671" s="723"/>
      <c r="W671" s="724"/>
      <c r="X671" s="725" t="s">
        <v>159</v>
      </c>
      <c r="Y671" s="725"/>
      <c r="Z671" s="725"/>
      <c r="AA671" s="725"/>
      <c r="AB671" s="726" t="s">
        <v>159</v>
      </c>
      <c r="AC671" s="726"/>
      <c r="AD671" s="726"/>
      <c r="AE671" s="726"/>
      <c r="AF671" s="727"/>
      <c r="AG671" s="728"/>
      <c r="AH671" s="727"/>
      <c r="AI671" s="728"/>
      <c r="AJ671" s="682"/>
      <c r="AK671" s="683"/>
      <c r="AL671" s="664" t="s">
        <v>162</v>
      </c>
      <c r="AM671" s="665"/>
      <c r="AN671" s="713" t="s">
        <v>162</v>
      </c>
      <c r="AO671" s="714"/>
      <c r="AP671" s="729"/>
      <c r="AQ671" s="730"/>
      <c r="AR671" s="731"/>
      <c r="AS671" s="732"/>
      <c r="AT671" s="733"/>
      <c r="AU671" s="734"/>
      <c r="AV671" s="713" t="s">
        <v>162</v>
      </c>
      <c r="AW671" s="714"/>
      <c r="AX671" s="692"/>
      <c r="AY671" s="693"/>
      <c r="AZ671" s="694"/>
      <c r="BA671" s="735"/>
      <c r="BB671" s="736"/>
      <c r="BC671" s="219"/>
      <c r="BD671" s="737" t="s">
        <v>162</v>
      </c>
      <c r="BE671" s="738"/>
      <c r="BF671" s="739"/>
      <c r="BG671" s="740"/>
      <c r="BH671" s="740"/>
      <c r="BI671" s="741"/>
      <c r="BJ671" s="742" t="s">
        <v>159</v>
      </c>
      <c r="BK671" s="743"/>
      <c r="BL671" s="743"/>
      <c r="BM671" s="744"/>
      <c r="BN671" s="703" t="s">
        <v>159</v>
      </c>
      <c r="BO671" s="704"/>
      <c r="BP671" s="704"/>
      <c r="BQ671" s="704"/>
      <c r="BR671" s="704"/>
      <c r="BS671" s="704"/>
      <c r="BT671" s="704"/>
      <c r="BU671" s="704"/>
      <c r="BV671" s="705"/>
    </row>
    <row r="672" spans="1:74" ht="45" customHeight="1" x14ac:dyDescent="0.25">
      <c r="A672" s="10">
        <f t="shared" si="10"/>
        <v>658</v>
      </c>
      <c r="B672" s="662" t="s">
        <v>159</v>
      </c>
      <c r="C672" s="662"/>
      <c r="D672" s="663" t="s">
        <v>212</v>
      </c>
      <c r="E672" s="663"/>
      <c r="F672" s="664" t="s">
        <v>162</v>
      </c>
      <c r="G672" s="665"/>
      <c r="H672" s="754" t="s">
        <v>162</v>
      </c>
      <c r="I672" s="714"/>
      <c r="J672" s="715"/>
      <c r="K672" s="716"/>
      <c r="L672" s="715"/>
      <c r="M672" s="716"/>
      <c r="N672" s="215"/>
      <c r="O672" s="216"/>
      <c r="P672" s="670"/>
      <c r="Q672" s="671"/>
      <c r="R672" s="719"/>
      <c r="S672" s="720"/>
      <c r="T672" s="721"/>
      <c r="U672" s="722"/>
      <c r="V672" s="676"/>
      <c r="W672" s="677"/>
      <c r="X672" s="678" t="s">
        <v>159</v>
      </c>
      <c r="Y672" s="678"/>
      <c r="Z672" s="678"/>
      <c r="AA672" s="678"/>
      <c r="AB672" s="679" t="s">
        <v>159</v>
      </c>
      <c r="AC672" s="679"/>
      <c r="AD672" s="679"/>
      <c r="AE672" s="679"/>
      <c r="AF672" s="680"/>
      <c r="AG672" s="681"/>
      <c r="AH672" s="680"/>
      <c r="AI672" s="681"/>
      <c r="AJ672" s="682"/>
      <c r="AK672" s="683"/>
      <c r="AL672" s="684" t="s">
        <v>162</v>
      </c>
      <c r="AM672" s="685"/>
      <c r="AN672" s="666" t="s">
        <v>162</v>
      </c>
      <c r="AO672" s="667"/>
      <c r="AP672" s="686"/>
      <c r="AQ672" s="687"/>
      <c r="AR672" s="688"/>
      <c r="AS672" s="689"/>
      <c r="AT672" s="690"/>
      <c r="AU672" s="691"/>
      <c r="AV672" s="666" t="s">
        <v>162</v>
      </c>
      <c r="AW672" s="667"/>
      <c r="AX672" s="692"/>
      <c r="AY672" s="693"/>
      <c r="AZ672" s="694"/>
      <c r="BA672" s="682"/>
      <c r="BB672" s="683"/>
      <c r="BC672" s="14"/>
      <c r="BD672" s="695" t="s">
        <v>162</v>
      </c>
      <c r="BE672" s="696"/>
      <c r="BF672" s="708"/>
      <c r="BG672" s="709"/>
      <c r="BH672" s="709"/>
      <c r="BI672" s="710"/>
      <c r="BJ672" s="700" t="s">
        <v>159</v>
      </c>
      <c r="BK672" s="701"/>
      <c r="BL672" s="701"/>
      <c r="BM672" s="702"/>
      <c r="BN672" s="703" t="s">
        <v>159</v>
      </c>
      <c r="BO672" s="704"/>
      <c r="BP672" s="704"/>
      <c r="BQ672" s="704"/>
      <c r="BR672" s="704"/>
      <c r="BS672" s="704"/>
      <c r="BT672" s="704"/>
      <c r="BU672" s="704"/>
      <c r="BV672" s="705"/>
    </row>
    <row r="673" spans="1:74" ht="45" customHeight="1" x14ac:dyDescent="0.25">
      <c r="A673" s="10">
        <f t="shared" si="10"/>
        <v>659</v>
      </c>
      <c r="B673" s="711" t="s">
        <v>159</v>
      </c>
      <c r="C673" s="711"/>
      <c r="D673" s="712" t="s">
        <v>212</v>
      </c>
      <c r="E673" s="712"/>
      <c r="F673" s="664" t="s">
        <v>162</v>
      </c>
      <c r="G673" s="665"/>
      <c r="H673" s="755" t="s">
        <v>162</v>
      </c>
      <c r="I673" s="667"/>
      <c r="J673" s="706"/>
      <c r="K673" s="707"/>
      <c r="L673" s="706"/>
      <c r="M673" s="707"/>
      <c r="N673" s="194"/>
      <c r="O673" s="196"/>
      <c r="P673" s="717"/>
      <c r="Q673" s="718"/>
      <c r="R673" s="672"/>
      <c r="S673" s="673"/>
      <c r="T673" s="674"/>
      <c r="U673" s="675"/>
      <c r="V673" s="723"/>
      <c r="W673" s="724"/>
      <c r="X673" s="725" t="s">
        <v>159</v>
      </c>
      <c r="Y673" s="725"/>
      <c r="Z673" s="725"/>
      <c r="AA673" s="725"/>
      <c r="AB673" s="726" t="s">
        <v>159</v>
      </c>
      <c r="AC673" s="726"/>
      <c r="AD673" s="726"/>
      <c r="AE673" s="726"/>
      <c r="AF673" s="727"/>
      <c r="AG673" s="728"/>
      <c r="AH673" s="727"/>
      <c r="AI673" s="728"/>
      <c r="AJ673" s="682"/>
      <c r="AK673" s="683"/>
      <c r="AL673" s="664" t="s">
        <v>162</v>
      </c>
      <c r="AM673" s="665"/>
      <c r="AN673" s="713" t="s">
        <v>162</v>
      </c>
      <c r="AO673" s="714"/>
      <c r="AP673" s="729"/>
      <c r="AQ673" s="730"/>
      <c r="AR673" s="731"/>
      <c r="AS673" s="732"/>
      <c r="AT673" s="733"/>
      <c r="AU673" s="734"/>
      <c r="AV673" s="713" t="s">
        <v>162</v>
      </c>
      <c r="AW673" s="714"/>
      <c r="AX673" s="692"/>
      <c r="AY673" s="693"/>
      <c r="AZ673" s="694"/>
      <c r="BA673" s="735"/>
      <c r="BB673" s="736"/>
      <c r="BC673" s="219"/>
      <c r="BD673" s="737" t="s">
        <v>162</v>
      </c>
      <c r="BE673" s="738"/>
      <c r="BF673" s="739"/>
      <c r="BG673" s="740"/>
      <c r="BH673" s="740"/>
      <c r="BI673" s="741"/>
      <c r="BJ673" s="742" t="s">
        <v>159</v>
      </c>
      <c r="BK673" s="743"/>
      <c r="BL673" s="743"/>
      <c r="BM673" s="744"/>
      <c r="BN673" s="703" t="s">
        <v>159</v>
      </c>
      <c r="BO673" s="704"/>
      <c r="BP673" s="704"/>
      <c r="BQ673" s="704"/>
      <c r="BR673" s="704"/>
      <c r="BS673" s="704"/>
      <c r="BT673" s="704"/>
      <c r="BU673" s="704"/>
      <c r="BV673" s="705"/>
    </row>
    <row r="674" spans="1:74" ht="45" customHeight="1" x14ac:dyDescent="0.25">
      <c r="A674" s="10">
        <f t="shared" si="10"/>
        <v>660</v>
      </c>
      <c r="B674" s="662" t="s">
        <v>159</v>
      </c>
      <c r="C674" s="662"/>
      <c r="D674" s="663" t="s">
        <v>212</v>
      </c>
      <c r="E674" s="663"/>
      <c r="F674" s="664" t="s">
        <v>162</v>
      </c>
      <c r="G674" s="665"/>
      <c r="H674" s="754" t="s">
        <v>162</v>
      </c>
      <c r="I674" s="714"/>
      <c r="J674" s="715"/>
      <c r="K674" s="716"/>
      <c r="L674" s="715"/>
      <c r="M674" s="716"/>
      <c r="N674" s="215"/>
      <c r="O674" s="216"/>
      <c r="P674" s="670"/>
      <c r="Q674" s="671"/>
      <c r="R674" s="719"/>
      <c r="S674" s="720"/>
      <c r="T674" s="721"/>
      <c r="U674" s="722"/>
      <c r="V674" s="676"/>
      <c r="W674" s="677"/>
      <c r="X674" s="678" t="s">
        <v>159</v>
      </c>
      <c r="Y674" s="678"/>
      <c r="Z674" s="678"/>
      <c r="AA674" s="678"/>
      <c r="AB674" s="679" t="s">
        <v>159</v>
      </c>
      <c r="AC674" s="679"/>
      <c r="AD674" s="679"/>
      <c r="AE674" s="679"/>
      <c r="AF674" s="680"/>
      <c r="AG674" s="681"/>
      <c r="AH674" s="680"/>
      <c r="AI674" s="681"/>
      <c r="AJ674" s="682"/>
      <c r="AK674" s="683"/>
      <c r="AL674" s="684" t="s">
        <v>162</v>
      </c>
      <c r="AM674" s="685"/>
      <c r="AN674" s="666" t="s">
        <v>162</v>
      </c>
      <c r="AO674" s="667"/>
      <c r="AP674" s="686"/>
      <c r="AQ674" s="687"/>
      <c r="AR674" s="688"/>
      <c r="AS674" s="689"/>
      <c r="AT674" s="690"/>
      <c r="AU674" s="691"/>
      <c r="AV674" s="666" t="s">
        <v>162</v>
      </c>
      <c r="AW674" s="667"/>
      <c r="AX674" s="692"/>
      <c r="AY674" s="693"/>
      <c r="AZ674" s="694"/>
      <c r="BA674" s="682"/>
      <c r="BB674" s="683"/>
      <c r="BC674" s="14"/>
      <c r="BD674" s="695" t="s">
        <v>162</v>
      </c>
      <c r="BE674" s="696"/>
      <c r="BF674" s="697"/>
      <c r="BG674" s="698"/>
      <c r="BH674" s="698"/>
      <c r="BI674" s="699"/>
      <c r="BJ674" s="700" t="s">
        <v>159</v>
      </c>
      <c r="BK674" s="701"/>
      <c r="BL674" s="701"/>
      <c r="BM674" s="702"/>
      <c r="BN674" s="703" t="s">
        <v>159</v>
      </c>
      <c r="BO674" s="704"/>
      <c r="BP674" s="704"/>
      <c r="BQ674" s="704"/>
      <c r="BR674" s="704"/>
      <c r="BS674" s="704"/>
      <c r="BT674" s="704"/>
      <c r="BU674" s="704"/>
      <c r="BV674" s="705"/>
    </row>
    <row r="675" spans="1:74" ht="45" customHeight="1" x14ac:dyDescent="0.25">
      <c r="A675" s="10">
        <f t="shared" si="10"/>
        <v>661</v>
      </c>
      <c r="B675" s="711" t="s">
        <v>159</v>
      </c>
      <c r="C675" s="711"/>
      <c r="D675" s="712" t="s">
        <v>212</v>
      </c>
      <c r="E675" s="712"/>
      <c r="F675" s="664" t="s">
        <v>162</v>
      </c>
      <c r="G675" s="665"/>
      <c r="H675" s="755" t="s">
        <v>162</v>
      </c>
      <c r="I675" s="667"/>
      <c r="J675" s="706"/>
      <c r="K675" s="707"/>
      <c r="L675" s="706"/>
      <c r="M675" s="707"/>
      <c r="N675" s="194"/>
      <c r="O675" s="196"/>
      <c r="P675" s="717"/>
      <c r="Q675" s="718"/>
      <c r="R675" s="672"/>
      <c r="S675" s="673"/>
      <c r="T675" s="674"/>
      <c r="U675" s="675"/>
      <c r="V675" s="723"/>
      <c r="W675" s="724"/>
      <c r="X675" s="725" t="s">
        <v>159</v>
      </c>
      <c r="Y675" s="725"/>
      <c r="Z675" s="725"/>
      <c r="AA675" s="725"/>
      <c r="AB675" s="726" t="s">
        <v>159</v>
      </c>
      <c r="AC675" s="726"/>
      <c r="AD675" s="726"/>
      <c r="AE675" s="726"/>
      <c r="AF675" s="727"/>
      <c r="AG675" s="728"/>
      <c r="AH675" s="727"/>
      <c r="AI675" s="728"/>
      <c r="AJ675" s="682"/>
      <c r="AK675" s="683"/>
      <c r="AL675" s="664" t="s">
        <v>162</v>
      </c>
      <c r="AM675" s="665"/>
      <c r="AN675" s="713" t="s">
        <v>162</v>
      </c>
      <c r="AO675" s="714"/>
      <c r="AP675" s="729"/>
      <c r="AQ675" s="730"/>
      <c r="AR675" s="731"/>
      <c r="AS675" s="732"/>
      <c r="AT675" s="733"/>
      <c r="AU675" s="734"/>
      <c r="AV675" s="713" t="s">
        <v>162</v>
      </c>
      <c r="AW675" s="714"/>
      <c r="AX675" s="692"/>
      <c r="AY675" s="693"/>
      <c r="AZ675" s="694"/>
      <c r="BA675" s="735"/>
      <c r="BB675" s="736"/>
      <c r="BC675" s="219"/>
      <c r="BD675" s="737" t="s">
        <v>162</v>
      </c>
      <c r="BE675" s="738"/>
      <c r="BF675" s="739"/>
      <c r="BG675" s="740"/>
      <c r="BH675" s="740"/>
      <c r="BI675" s="741"/>
      <c r="BJ675" s="742" t="s">
        <v>159</v>
      </c>
      <c r="BK675" s="743"/>
      <c r="BL675" s="743"/>
      <c r="BM675" s="744"/>
      <c r="BN675" s="703" t="s">
        <v>159</v>
      </c>
      <c r="BO675" s="704"/>
      <c r="BP675" s="704"/>
      <c r="BQ675" s="704"/>
      <c r="BR675" s="704"/>
      <c r="BS675" s="704"/>
      <c r="BT675" s="704"/>
      <c r="BU675" s="704"/>
      <c r="BV675" s="705"/>
    </row>
    <row r="676" spans="1:74" ht="45" customHeight="1" x14ac:dyDescent="0.25">
      <c r="A676" s="10">
        <f t="shared" si="10"/>
        <v>662</v>
      </c>
      <c r="B676" s="662" t="s">
        <v>159</v>
      </c>
      <c r="C676" s="662"/>
      <c r="D676" s="663" t="s">
        <v>212</v>
      </c>
      <c r="E676" s="663"/>
      <c r="F676" s="664" t="s">
        <v>162</v>
      </c>
      <c r="G676" s="665"/>
      <c r="H676" s="754" t="s">
        <v>162</v>
      </c>
      <c r="I676" s="714"/>
      <c r="J676" s="715"/>
      <c r="K676" s="716"/>
      <c r="L676" s="715"/>
      <c r="M676" s="716"/>
      <c r="N676" s="194"/>
      <c r="O676" s="196"/>
      <c r="P676" s="717"/>
      <c r="Q676" s="718"/>
      <c r="R676" s="672"/>
      <c r="S676" s="673"/>
      <c r="T676" s="674"/>
      <c r="U676" s="675"/>
      <c r="V676" s="676"/>
      <c r="W676" s="677"/>
      <c r="X676" s="678" t="s">
        <v>159</v>
      </c>
      <c r="Y676" s="678"/>
      <c r="Z676" s="678"/>
      <c r="AA676" s="678"/>
      <c r="AB676" s="679" t="s">
        <v>159</v>
      </c>
      <c r="AC676" s="679"/>
      <c r="AD676" s="679"/>
      <c r="AE676" s="679"/>
      <c r="AF676" s="680"/>
      <c r="AG676" s="681"/>
      <c r="AH676" s="680"/>
      <c r="AI676" s="681"/>
      <c r="AJ676" s="682"/>
      <c r="AK676" s="683"/>
      <c r="AL676" s="684" t="s">
        <v>162</v>
      </c>
      <c r="AM676" s="685"/>
      <c r="AN676" s="666" t="s">
        <v>162</v>
      </c>
      <c r="AO676" s="667"/>
      <c r="AP676" s="686"/>
      <c r="AQ676" s="687"/>
      <c r="AR676" s="688"/>
      <c r="AS676" s="689"/>
      <c r="AT676" s="690"/>
      <c r="AU676" s="691"/>
      <c r="AV676" s="666" t="s">
        <v>162</v>
      </c>
      <c r="AW676" s="667"/>
      <c r="AX676" s="692"/>
      <c r="AY676" s="693"/>
      <c r="AZ676" s="694"/>
      <c r="BA676" s="682"/>
      <c r="BB676" s="683"/>
      <c r="BC676" s="14"/>
      <c r="BD676" s="695" t="s">
        <v>162</v>
      </c>
      <c r="BE676" s="696"/>
      <c r="BF676" s="697"/>
      <c r="BG676" s="698"/>
      <c r="BH676" s="698"/>
      <c r="BI676" s="699"/>
      <c r="BJ676" s="700" t="s">
        <v>159</v>
      </c>
      <c r="BK676" s="701"/>
      <c r="BL676" s="701"/>
      <c r="BM676" s="702"/>
      <c r="BN676" s="703" t="s">
        <v>159</v>
      </c>
      <c r="BO676" s="704"/>
      <c r="BP676" s="704"/>
      <c r="BQ676" s="704"/>
      <c r="BR676" s="704"/>
      <c r="BS676" s="704"/>
      <c r="BT676" s="704"/>
      <c r="BU676" s="704"/>
      <c r="BV676" s="705"/>
    </row>
    <row r="677" spans="1:74" ht="45" customHeight="1" x14ac:dyDescent="0.25">
      <c r="A677" s="10">
        <f t="shared" si="10"/>
        <v>663</v>
      </c>
      <c r="B677" s="711" t="s">
        <v>159</v>
      </c>
      <c r="C677" s="711"/>
      <c r="D677" s="712" t="s">
        <v>212</v>
      </c>
      <c r="E677" s="712"/>
      <c r="F677" s="664" t="s">
        <v>162</v>
      </c>
      <c r="G677" s="665"/>
      <c r="H677" s="755" t="s">
        <v>162</v>
      </c>
      <c r="I677" s="667"/>
      <c r="J677" s="706"/>
      <c r="K677" s="707"/>
      <c r="L677" s="706"/>
      <c r="M677" s="707"/>
      <c r="N677" s="215"/>
      <c r="O677" s="216"/>
      <c r="P677" s="670"/>
      <c r="Q677" s="671"/>
      <c r="R677" s="719"/>
      <c r="S677" s="720"/>
      <c r="T677" s="721"/>
      <c r="U677" s="722"/>
      <c r="V677" s="723"/>
      <c r="W677" s="724"/>
      <c r="X677" s="725" t="s">
        <v>159</v>
      </c>
      <c r="Y677" s="725"/>
      <c r="Z677" s="725"/>
      <c r="AA677" s="725"/>
      <c r="AB677" s="726" t="s">
        <v>159</v>
      </c>
      <c r="AC677" s="726"/>
      <c r="AD677" s="726"/>
      <c r="AE677" s="726"/>
      <c r="AF677" s="727"/>
      <c r="AG677" s="728"/>
      <c r="AH677" s="727"/>
      <c r="AI677" s="728"/>
      <c r="AJ677" s="682"/>
      <c r="AK677" s="683"/>
      <c r="AL677" s="664" t="s">
        <v>162</v>
      </c>
      <c r="AM677" s="665"/>
      <c r="AN677" s="713" t="s">
        <v>162</v>
      </c>
      <c r="AO677" s="714"/>
      <c r="AP677" s="729"/>
      <c r="AQ677" s="730"/>
      <c r="AR677" s="731"/>
      <c r="AS677" s="732"/>
      <c r="AT677" s="733"/>
      <c r="AU677" s="734"/>
      <c r="AV677" s="713" t="s">
        <v>162</v>
      </c>
      <c r="AW677" s="714"/>
      <c r="AX677" s="692"/>
      <c r="AY677" s="693"/>
      <c r="AZ677" s="694"/>
      <c r="BA677" s="735"/>
      <c r="BB677" s="736"/>
      <c r="BC677" s="219"/>
      <c r="BD677" s="737" t="s">
        <v>162</v>
      </c>
      <c r="BE677" s="738"/>
      <c r="BF677" s="739"/>
      <c r="BG677" s="740"/>
      <c r="BH677" s="740"/>
      <c r="BI677" s="741"/>
      <c r="BJ677" s="742" t="s">
        <v>159</v>
      </c>
      <c r="BK677" s="743"/>
      <c r="BL677" s="743"/>
      <c r="BM677" s="744"/>
      <c r="BN677" s="703" t="s">
        <v>159</v>
      </c>
      <c r="BO677" s="704"/>
      <c r="BP677" s="704"/>
      <c r="BQ677" s="704"/>
      <c r="BR677" s="704"/>
      <c r="BS677" s="704"/>
      <c r="BT677" s="704"/>
      <c r="BU677" s="704"/>
      <c r="BV677" s="705"/>
    </row>
    <row r="678" spans="1:74" ht="45" customHeight="1" x14ac:dyDescent="0.25">
      <c r="A678" s="10">
        <f t="shared" si="10"/>
        <v>664</v>
      </c>
      <c r="B678" s="662" t="s">
        <v>159</v>
      </c>
      <c r="C678" s="662"/>
      <c r="D678" s="663" t="s">
        <v>212</v>
      </c>
      <c r="E678" s="663"/>
      <c r="F678" s="664" t="s">
        <v>162</v>
      </c>
      <c r="G678" s="665"/>
      <c r="H678" s="754" t="s">
        <v>162</v>
      </c>
      <c r="I678" s="714"/>
      <c r="J678" s="715"/>
      <c r="K678" s="716"/>
      <c r="L678" s="715"/>
      <c r="M678" s="716"/>
      <c r="N678" s="194"/>
      <c r="O678" s="196"/>
      <c r="P678" s="717"/>
      <c r="Q678" s="718"/>
      <c r="R678" s="672"/>
      <c r="S678" s="673"/>
      <c r="T678" s="674"/>
      <c r="U678" s="675"/>
      <c r="V678" s="676"/>
      <c r="W678" s="677"/>
      <c r="X678" s="678" t="s">
        <v>159</v>
      </c>
      <c r="Y678" s="678"/>
      <c r="Z678" s="678"/>
      <c r="AA678" s="678"/>
      <c r="AB678" s="679" t="s">
        <v>159</v>
      </c>
      <c r="AC678" s="679"/>
      <c r="AD678" s="679"/>
      <c r="AE678" s="679"/>
      <c r="AF678" s="680"/>
      <c r="AG678" s="681"/>
      <c r="AH678" s="680"/>
      <c r="AI678" s="681"/>
      <c r="AJ678" s="682"/>
      <c r="AK678" s="683"/>
      <c r="AL678" s="684" t="s">
        <v>162</v>
      </c>
      <c r="AM678" s="685"/>
      <c r="AN678" s="666" t="s">
        <v>162</v>
      </c>
      <c r="AO678" s="667"/>
      <c r="AP678" s="686"/>
      <c r="AQ678" s="687"/>
      <c r="AR678" s="688"/>
      <c r="AS678" s="689"/>
      <c r="AT678" s="690"/>
      <c r="AU678" s="691"/>
      <c r="AV678" s="666" t="s">
        <v>162</v>
      </c>
      <c r="AW678" s="667"/>
      <c r="AX678" s="692"/>
      <c r="AY678" s="693"/>
      <c r="AZ678" s="694"/>
      <c r="BA678" s="682"/>
      <c r="BB678" s="683"/>
      <c r="BC678" s="14"/>
      <c r="BD678" s="695" t="s">
        <v>162</v>
      </c>
      <c r="BE678" s="696"/>
      <c r="BF678" s="708"/>
      <c r="BG678" s="709"/>
      <c r="BH678" s="709"/>
      <c r="BI678" s="710"/>
      <c r="BJ678" s="700" t="s">
        <v>159</v>
      </c>
      <c r="BK678" s="701"/>
      <c r="BL678" s="701"/>
      <c r="BM678" s="702"/>
      <c r="BN678" s="703" t="s">
        <v>159</v>
      </c>
      <c r="BO678" s="704"/>
      <c r="BP678" s="704"/>
      <c r="BQ678" s="704"/>
      <c r="BR678" s="704"/>
      <c r="BS678" s="704"/>
      <c r="BT678" s="704"/>
      <c r="BU678" s="704"/>
      <c r="BV678" s="705"/>
    </row>
    <row r="679" spans="1:74" ht="45" customHeight="1" x14ac:dyDescent="0.25">
      <c r="A679" s="10">
        <f t="shared" si="10"/>
        <v>665</v>
      </c>
      <c r="B679" s="711" t="s">
        <v>159</v>
      </c>
      <c r="C679" s="711"/>
      <c r="D679" s="712" t="s">
        <v>212</v>
      </c>
      <c r="E679" s="712"/>
      <c r="F679" s="664" t="s">
        <v>162</v>
      </c>
      <c r="G679" s="665"/>
      <c r="H679" s="755" t="s">
        <v>162</v>
      </c>
      <c r="I679" s="667"/>
      <c r="J679" s="706"/>
      <c r="K679" s="707"/>
      <c r="L679" s="706"/>
      <c r="M679" s="707"/>
      <c r="N679" s="215"/>
      <c r="O679" s="216"/>
      <c r="P679" s="670"/>
      <c r="Q679" s="671"/>
      <c r="R679" s="719"/>
      <c r="S679" s="720"/>
      <c r="T679" s="721"/>
      <c r="U679" s="722"/>
      <c r="V679" s="723"/>
      <c r="W679" s="724"/>
      <c r="X679" s="725" t="s">
        <v>159</v>
      </c>
      <c r="Y679" s="725"/>
      <c r="Z679" s="725"/>
      <c r="AA679" s="725"/>
      <c r="AB679" s="726" t="s">
        <v>159</v>
      </c>
      <c r="AC679" s="726"/>
      <c r="AD679" s="726"/>
      <c r="AE679" s="726"/>
      <c r="AF679" s="727"/>
      <c r="AG679" s="728"/>
      <c r="AH679" s="727"/>
      <c r="AI679" s="728"/>
      <c r="AJ679" s="682"/>
      <c r="AK679" s="683"/>
      <c r="AL679" s="664" t="s">
        <v>162</v>
      </c>
      <c r="AM679" s="665"/>
      <c r="AN679" s="713" t="s">
        <v>162</v>
      </c>
      <c r="AO679" s="714"/>
      <c r="AP679" s="729"/>
      <c r="AQ679" s="730"/>
      <c r="AR679" s="731"/>
      <c r="AS679" s="732"/>
      <c r="AT679" s="733"/>
      <c r="AU679" s="734"/>
      <c r="AV679" s="713" t="s">
        <v>162</v>
      </c>
      <c r="AW679" s="714"/>
      <c r="AX679" s="692"/>
      <c r="AY679" s="693"/>
      <c r="AZ679" s="694"/>
      <c r="BA679" s="735"/>
      <c r="BB679" s="736"/>
      <c r="BC679" s="219"/>
      <c r="BD679" s="737" t="s">
        <v>162</v>
      </c>
      <c r="BE679" s="738"/>
      <c r="BF679" s="739"/>
      <c r="BG679" s="740"/>
      <c r="BH679" s="740"/>
      <c r="BI679" s="741"/>
      <c r="BJ679" s="742" t="s">
        <v>159</v>
      </c>
      <c r="BK679" s="743"/>
      <c r="BL679" s="743"/>
      <c r="BM679" s="744"/>
      <c r="BN679" s="703" t="s">
        <v>159</v>
      </c>
      <c r="BO679" s="704"/>
      <c r="BP679" s="704"/>
      <c r="BQ679" s="704"/>
      <c r="BR679" s="704"/>
      <c r="BS679" s="704"/>
      <c r="BT679" s="704"/>
      <c r="BU679" s="704"/>
      <c r="BV679" s="705"/>
    </row>
    <row r="680" spans="1:74" ht="45" customHeight="1" x14ac:dyDescent="0.25">
      <c r="A680" s="10">
        <f t="shared" si="10"/>
        <v>666</v>
      </c>
      <c r="B680" s="662" t="s">
        <v>159</v>
      </c>
      <c r="C680" s="662"/>
      <c r="D680" s="663" t="s">
        <v>212</v>
      </c>
      <c r="E680" s="663"/>
      <c r="F680" s="664" t="s">
        <v>162</v>
      </c>
      <c r="G680" s="665"/>
      <c r="H680" s="754" t="s">
        <v>162</v>
      </c>
      <c r="I680" s="714"/>
      <c r="J680" s="715"/>
      <c r="K680" s="716"/>
      <c r="L680" s="715"/>
      <c r="M680" s="716"/>
      <c r="N680" s="194"/>
      <c r="O680" s="196"/>
      <c r="P680" s="717"/>
      <c r="Q680" s="718"/>
      <c r="R680" s="672"/>
      <c r="S680" s="673"/>
      <c r="T680" s="674"/>
      <c r="U680" s="675"/>
      <c r="V680" s="676"/>
      <c r="W680" s="677"/>
      <c r="X680" s="678" t="s">
        <v>159</v>
      </c>
      <c r="Y680" s="678"/>
      <c r="Z680" s="678"/>
      <c r="AA680" s="678"/>
      <c r="AB680" s="679" t="s">
        <v>159</v>
      </c>
      <c r="AC680" s="679"/>
      <c r="AD680" s="679"/>
      <c r="AE680" s="679"/>
      <c r="AF680" s="680"/>
      <c r="AG680" s="681"/>
      <c r="AH680" s="680"/>
      <c r="AI680" s="681"/>
      <c r="AJ680" s="682"/>
      <c r="AK680" s="683"/>
      <c r="AL680" s="684" t="s">
        <v>162</v>
      </c>
      <c r="AM680" s="685"/>
      <c r="AN680" s="666" t="s">
        <v>162</v>
      </c>
      <c r="AO680" s="667"/>
      <c r="AP680" s="686"/>
      <c r="AQ680" s="687"/>
      <c r="AR680" s="688"/>
      <c r="AS680" s="689"/>
      <c r="AT680" s="690"/>
      <c r="AU680" s="691"/>
      <c r="AV680" s="666" t="s">
        <v>162</v>
      </c>
      <c r="AW680" s="667"/>
      <c r="AX680" s="692"/>
      <c r="AY680" s="693"/>
      <c r="AZ680" s="694"/>
      <c r="BA680" s="682"/>
      <c r="BB680" s="683"/>
      <c r="BC680" s="14"/>
      <c r="BD680" s="695" t="s">
        <v>162</v>
      </c>
      <c r="BE680" s="696"/>
      <c r="BF680" s="697"/>
      <c r="BG680" s="698"/>
      <c r="BH680" s="698"/>
      <c r="BI680" s="699"/>
      <c r="BJ680" s="700" t="s">
        <v>159</v>
      </c>
      <c r="BK680" s="701"/>
      <c r="BL680" s="701"/>
      <c r="BM680" s="702"/>
      <c r="BN680" s="703" t="s">
        <v>159</v>
      </c>
      <c r="BO680" s="704"/>
      <c r="BP680" s="704"/>
      <c r="BQ680" s="704"/>
      <c r="BR680" s="704"/>
      <c r="BS680" s="704"/>
      <c r="BT680" s="704"/>
      <c r="BU680" s="704"/>
      <c r="BV680" s="705"/>
    </row>
    <row r="681" spans="1:74" ht="45" customHeight="1" x14ac:dyDescent="0.25">
      <c r="A681" s="10">
        <f t="shared" si="10"/>
        <v>667</v>
      </c>
      <c r="B681" s="711" t="s">
        <v>159</v>
      </c>
      <c r="C681" s="711"/>
      <c r="D681" s="712" t="s">
        <v>212</v>
      </c>
      <c r="E681" s="712"/>
      <c r="F681" s="664" t="s">
        <v>162</v>
      </c>
      <c r="G681" s="665"/>
      <c r="H681" s="755" t="s">
        <v>162</v>
      </c>
      <c r="I681" s="667"/>
      <c r="J681" s="706"/>
      <c r="K681" s="707"/>
      <c r="L681" s="706"/>
      <c r="M681" s="707"/>
      <c r="N681" s="215"/>
      <c r="O681" s="216"/>
      <c r="P681" s="670"/>
      <c r="Q681" s="671"/>
      <c r="R681" s="719"/>
      <c r="S681" s="720"/>
      <c r="T681" s="721"/>
      <c r="U681" s="722"/>
      <c r="V681" s="723"/>
      <c r="W681" s="724"/>
      <c r="X681" s="725" t="s">
        <v>159</v>
      </c>
      <c r="Y681" s="725"/>
      <c r="Z681" s="725"/>
      <c r="AA681" s="725"/>
      <c r="AB681" s="726" t="s">
        <v>159</v>
      </c>
      <c r="AC681" s="726"/>
      <c r="AD681" s="726"/>
      <c r="AE681" s="726"/>
      <c r="AF681" s="727"/>
      <c r="AG681" s="728"/>
      <c r="AH681" s="727"/>
      <c r="AI681" s="728"/>
      <c r="AJ681" s="682"/>
      <c r="AK681" s="683"/>
      <c r="AL681" s="664" t="s">
        <v>162</v>
      </c>
      <c r="AM681" s="665"/>
      <c r="AN681" s="713" t="s">
        <v>162</v>
      </c>
      <c r="AO681" s="714"/>
      <c r="AP681" s="729"/>
      <c r="AQ681" s="730"/>
      <c r="AR681" s="731"/>
      <c r="AS681" s="732"/>
      <c r="AT681" s="690"/>
      <c r="AU681" s="691"/>
      <c r="AV681" s="713" t="s">
        <v>162</v>
      </c>
      <c r="AW681" s="714"/>
      <c r="AX681" s="692"/>
      <c r="AY681" s="693"/>
      <c r="AZ681" s="694"/>
      <c r="BA681" s="735"/>
      <c r="BB681" s="736"/>
      <c r="BC681" s="219"/>
      <c r="BD681" s="737" t="s">
        <v>162</v>
      </c>
      <c r="BE681" s="738"/>
      <c r="BF681" s="739"/>
      <c r="BG681" s="740"/>
      <c r="BH681" s="740"/>
      <c r="BI681" s="741"/>
      <c r="BJ681" s="742" t="s">
        <v>159</v>
      </c>
      <c r="BK681" s="743"/>
      <c r="BL681" s="743"/>
      <c r="BM681" s="744"/>
      <c r="BN681" s="703" t="s">
        <v>159</v>
      </c>
      <c r="BO681" s="704"/>
      <c r="BP681" s="704"/>
      <c r="BQ681" s="704"/>
      <c r="BR681" s="704"/>
      <c r="BS681" s="704"/>
      <c r="BT681" s="704"/>
      <c r="BU681" s="704"/>
      <c r="BV681" s="705"/>
    </row>
    <row r="682" spans="1:74" ht="45" customHeight="1" x14ac:dyDescent="0.25">
      <c r="A682" s="10">
        <f t="shared" si="10"/>
        <v>668</v>
      </c>
      <c r="B682" s="662" t="s">
        <v>159</v>
      </c>
      <c r="C682" s="662"/>
      <c r="D682" s="663" t="s">
        <v>212</v>
      </c>
      <c r="E682" s="663"/>
      <c r="F682" s="664" t="s">
        <v>162</v>
      </c>
      <c r="G682" s="665"/>
      <c r="H682" s="754" t="s">
        <v>162</v>
      </c>
      <c r="I682" s="714"/>
      <c r="J682" s="715"/>
      <c r="K682" s="716"/>
      <c r="L682" s="715"/>
      <c r="M682" s="716"/>
      <c r="N682" s="194"/>
      <c r="O682" s="196"/>
      <c r="P682" s="717"/>
      <c r="Q682" s="718"/>
      <c r="R682" s="672"/>
      <c r="S682" s="673"/>
      <c r="T682" s="674"/>
      <c r="U682" s="675"/>
      <c r="V682" s="676"/>
      <c r="W682" s="677"/>
      <c r="X682" s="678" t="s">
        <v>159</v>
      </c>
      <c r="Y682" s="678"/>
      <c r="Z682" s="678"/>
      <c r="AA682" s="678"/>
      <c r="AB682" s="679" t="s">
        <v>159</v>
      </c>
      <c r="AC682" s="679"/>
      <c r="AD682" s="679"/>
      <c r="AE682" s="679"/>
      <c r="AF682" s="680"/>
      <c r="AG682" s="681"/>
      <c r="AH682" s="680"/>
      <c r="AI682" s="681"/>
      <c r="AJ682" s="682"/>
      <c r="AK682" s="683"/>
      <c r="AL682" s="684" t="s">
        <v>162</v>
      </c>
      <c r="AM682" s="685"/>
      <c r="AN682" s="666" t="s">
        <v>162</v>
      </c>
      <c r="AO682" s="667"/>
      <c r="AP682" s="686"/>
      <c r="AQ682" s="687"/>
      <c r="AR682" s="688"/>
      <c r="AS682" s="689"/>
      <c r="AT682" s="690"/>
      <c r="AU682" s="691"/>
      <c r="AV682" s="666" t="s">
        <v>162</v>
      </c>
      <c r="AW682" s="667"/>
      <c r="AX682" s="692"/>
      <c r="AY682" s="693"/>
      <c r="AZ682" s="694"/>
      <c r="BA682" s="682"/>
      <c r="BB682" s="683"/>
      <c r="BC682" s="14"/>
      <c r="BD682" s="695" t="s">
        <v>162</v>
      </c>
      <c r="BE682" s="696"/>
      <c r="BF682" s="697"/>
      <c r="BG682" s="698"/>
      <c r="BH682" s="698"/>
      <c r="BI682" s="699"/>
      <c r="BJ682" s="700" t="s">
        <v>159</v>
      </c>
      <c r="BK682" s="701"/>
      <c r="BL682" s="701"/>
      <c r="BM682" s="702"/>
      <c r="BN682" s="703" t="s">
        <v>159</v>
      </c>
      <c r="BO682" s="704"/>
      <c r="BP682" s="704"/>
      <c r="BQ682" s="704"/>
      <c r="BR682" s="704"/>
      <c r="BS682" s="704"/>
      <c r="BT682" s="704"/>
      <c r="BU682" s="704"/>
      <c r="BV682" s="705"/>
    </row>
    <row r="683" spans="1:74" ht="45" customHeight="1" x14ac:dyDescent="0.25">
      <c r="A683" s="10">
        <f t="shared" si="10"/>
        <v>669</v>
      </c>
      <c r="B683" s="711" t="s">
        <v>159</v>
      </c>
      <c r="C683" s="711"/>
      <c r="D683" s="712" t="s">
        <v>212</v>
      </c>
      <c r="E683" s="712"/>
      <c r="F683" s="664" t="s">
        <v>162</v>
      </c>
      <c r="G683" s="665"/>
      <c r="H683" s="755" t="s">
        <v>162</v>
      </c>
      <c r="I683" s="667"/>
      <c r="J683" s="706"/>
      <c r="K683" s="707"/>
      <c r="L683" s="706"/>
      <c r="M683" s="707"/>
      <c r="N683" s="194"/>
      <c r="O683" s="196"/>
      <c r="P683" s="717"/>
      <c r="Q683" s="718"/>
      <c r="R683" s="719"/>
      <c r="S683" s="720"/>
      <c r="T683" s="721"/>
      <c r="U683" s="722"/>
      <c r="V683" s="723"/>
      <c r="W683" s="724"/>
      <c r="X683" s="725" t="s">
        <v>159</v>
      </c>
      <c r="Y683" s="725"/>
      <c r="Z683" s="725"/>
      <c r="AA683" s="725"/>
      <c r="AB683" s="726" t="s">
        <v>159</v>
      </c>
      <c r="AC683" s="726"/>
      <c r="AD683" s="726"/>
      <c r="AE683" s="726"/>
      <c r="AF683" s="727"/>
      <c r="AG683" s="728"/>
      <c r="AH683" s="727"/>
      <c r="AI683" s="728"/>
      <c r="AJ683" s="682"/>
      <c r="AK683" s="683"/>
      <c r="AL683" s="664" t="s">
        <v>162</v>
      </c>
      <c r="AM683" s="665"/>
      <c r="AN683" s="713" t="s">
        <v>162</v>
      </c>
      <c r="AO683" s="714"/>
      <c r="AP683" s="729"/>
      <c r="AQ683" s="730"/>
      <c r="AR683" s="731"/>
      <c r="AS683" s="732"/>
      <c r="AT683" s="690"/>
      <c r="AU683" s="691"/>
      <c r="AV683" s="713" t="s">
        <v>162</v>
      </c>
      <c r="AW683" s="714"/>
      <c r="AX683" s="692"/>
      <c r="AY683" s="693"/>
      <c r="AZ683" s="694"/>
      <c r="BA683" s="735"/>
      <c r="BB683" s="736"/>
      <c r="BC683" s="219"/>
      <c r="BD683" s="737" t="s">
        <v>162</v>
      </c>
      <c r="BE683" s="738"/>
      <c r="BF683" s="739"/>
      <c r="BG683" s="740"/>
      <c r="BH683" s="740"/>
      <c r="BI683" s="741"/>
      <c r="BJ683" s="742" t="s">
        <v>159</v>
      </c>
      <c r="BK683" s="743"/>
      <c r="BL683" s="743"/>
      <c r="BM683" s="744"/>
      <c r="BN683" s="703" t="s">
        <v>159</v>
      </c>
      <c r="BO683" s="704"/>
      <c r="BP683" s="704"/>
      <c r="BQ683" s="704"/>
      <c r="BR683" s="704"/>
      <c r="BS683" s="704"/>
      <c r="BT683" s="704"/>
      <c r="BU683" s="704"/>
      <c r="BV683" s="705"/>
    </row>
    <row r="684" spans="1:74" ht="45" customHeight="1" x14ac:dyDescent="0.25">
      <c r="A684" s="10">
        <f t="shared" si="10"/>
        <v>670</v>
      </c>
      <c r="B684" s="662" t="s">
        <v>159</v>
      </c>
      <c r="C684" s="662"/>
      <c r="D684" s="663" t="s">
        <v>212</v>
      </c>
      <c r="E684" s="663"/>
      <c r="F684" s="664" t="s">
        <v>162</v>
      </c>
      <c r="G684" s="665"/>
      <c r="H684" s="754" t="s">
        <v>162</v>
      </c>
      <c r="I684" s="714"/>
      <c r="J684" s="715"/>
      <c r="K684" s="716"/>
      <c r="L684" s="715"/>
      <c r="M684" s="716"/>
      <c r="N684" s="215"/>
      <c r="O684" s="216"/>
      <c r="P684" s="670"/>
      <c r="Q684" s="671"/>
      <c r="R684" s="672"/>
      <c r="S684" s="673"/>
      <c r="T684" s="674"/>
      <c r="U684" s="675"/>
      <c r="V684" s="676"/>
      <c r="W684" s="677"/>
      <c r="X684" s="678" t="s">
        <v>159</v>
      </c>
      <c r="Y684" s="678"/>
      <c r="Z684" s="678"/>
      <c r="AA684" s="678"/>
      <c r="AB684" s="679" t="s">
        <v>159</v>
      </c>
      <c r="AC684" s="679"/>
      <c r="AD684" s="679"/>
      <c r="AE684" s="679"/>
      <c r="AF684" s="680"/>
      <c r="AG684" s="681"/>
      <c r="AH684" s="680"/>
      <c r="AI684" s="681"/>
      <c r="AJ684" s="682"/>
      <c r="AK684" s="683"/>
      <c r="AL684" s="684" t="s">
        <v>162</v>
      </c>
      <c r="AM684" s="685"/>
      <c r="AN684" s="666" t="s">
        <v>162</v>
      </c>
      <c r="AO684" s="667"/>
      <c r="AP684" s="686"/>
      <c r="AQ684" s="687"/>
      <c r="AR684" s="688"/>
      <c r="AS684" s="689"/>
      <c r="AT684" s="690"/>
      <c r="AU684" s="691"/>
      <c r="AV684" s="666" t="s">
        <v>162</v>
      </c>
      <c r="AW684" s="667"/>
      <c r="AX684" s="692"/>
      <c r="AY684" s="693"/>
      <c r="AZ684" s="694"/>
      <c r="BA684" s="682"/>
      <c r="BB684" s="683"/>
      <c r="BC684" s="14"/>
      <c r="BD684" s="695" t="s">
        <v>162</v>
      </c>
      <c r="BE684" s="696"/>
      <c r="BF684" s="697"/>
      <c r="BG684" s="698"/>
      <c r="BH684" s="698"/>
      <c r="BI684" s="699"/>
      <c r="BJ684" s="700" t="s">
        <v>159</v>
      </c>
      <c r="BK684" s="701"/>
      <c r="BL684" s="701"/>
      <c r="BM684" s="702"/>
      <c r="BN684" s="703" t="s">
        <v>159</v>
      </c>
      <c r="BO684" s="704"/>
      <c r="BP684" s="704"/>
      <c r="BQ684" s="704"/>
      <c r="BR684" s="704"/>
      <c r="BS684" s="704"/>
      <c r="BT684" s="704"/>
      <c r="BU684" s="704"/>
      <c r="BV684" s="705"/>
    </row>
    <row r="685" spans="1:74" ht="45" customHeight="1" x14ac:dyDescent="0.25">
      <c r="A685" s="10">
        <f t="shared" si="10"/>
        <v>671</v>
      </c>
      <c r="B685" s="711" t="s">
        <v>159</v>
      </c>
      <c r="C685" s="711"/>
      <c r="D685" s="712" t="s">
        <v>212</v>
      </c>
      <c r="E685" s="712"/>
      <c r="F685" s="664" t="s">
        <v>162</v>
      </c>
      <c r="G685" s="665"/>
      <c r="H685" s="755" t="s">
        <v>162</v>
      </c>
      <c r="I685" s="667"/>
      <c r="J685" s="706"/>
      <c r="K685" s="707"/>
      <c r="L685" s="706"/>
      <c r="M685" s="707"/>
      <c r="N685" s="194"/>
      <c r="O685" s="216"/>
      <c r="P685" s="717"/>
      <c r="Q685" s="718"/>
      <c r="R685" s="719"/>
      <c r="S685" s="720"/>
      <c r="T685" s="721"/>
      <c r="U685" s="722"/>
      <c r="V685" s="723"/>
      <c r="W685" s="724"/>
      <c r="X685" s="725" t="s">
        <v>159</v>
      </c>
      <c r="Y685" s="725"/>
      <c r="Z685" s="725"/>
      <c r="AA685" s="725"/>
      <c r="AB685" s="726" t="s">
        <v>159</v>
      </c>
      <c r="AC685" s="726"/>
      <c r="AD685" s="726"/>
      <c r="AE685" s="726"/>
      <c r="AF685" s="727"/>
      <c r="AG685" s="728"/>
      <c r="AH685" s="727"/>
      <c r="AI685" s="728"/>
      <c r="AJ685" s="682"/>
      <c r="AK685" s="683"/>
      <c r="AL685" s="664" t="s">
        <v>162</v>
      </c>
      <c r="AM685" s="665"/>
      <c r="AN685" s="713" t="s">
        <v>162</v>
      </c>
      <c r="AO685" s="714"/>
      <c r="AP685" s="729"/>
      <c r="AQ685" s="730"/>
      <c r="AR685" s="731"/>
      <c r="AS685" s="732"/>
      <c r="AT685" s="733"/>
      <c r="AU685" s="734"/>
      <c r="AV685" s="713" t="s">
        <v>162</v>
      </c>
      <c r="AW685" s="714"/>
      <c r="AX685" s="692"/>
      <c r="AY685" s="693"/>
      <c r="AZ685" s="694"/>
      <c r="BA685" s="735"/>
      <c r="BB685" s="736"/>
      <c r="BC685" s="219"/>
      <c r="BD685" s="737" t="s">
        <v>162</v>
      </c>
      <c r="BE685" s="738"/>
      <c r="BF685" s="739"/>
      <c r="BG685" s="740"/>
      <c r="BH685" s="740"/>
      <c r="BI685" s="741"/>
      <c r="BJ685" s="742" t="s">
        <v>159</v>
      </c>
      <c r="BK685" s="743"/>
      <c r="BL685" s="743"/>
      <c r="BM685" s="744"/>
      <c r="BN685" s="703" t="s">
        <v>159</v>
      </c>
      <c r="BO685" s="704"/>
      <c r="BP685" s="704"/>
      <c r="BQ685" s="704"/>
      <c r="BR685" s="704"/>
      <c r="BS685" s="704"/>
      <c r="BT685" s="704"/>
      <c r="BU685" s="704"/>
      <c r="BV685" s="705"/>
    </row>
    <row r="686" spans="1:74" ht="45" customHeight="1" x14ac:dyDescent="0.25">
      <c r="A686" s="10">
        <f t="shared" si="10"/>
        <v>672</v>
      </c>
      <c r="B686" s="662" t="s">
        <v>159</v>
      </c>
      <c r="C686" s="662"/>
      <c r="D686" s="663" t="s">
        <v>212</v>
      </c>
      <c r="E686" s="663"/>
      <c r="F686" s="664" t="s">
        <v>162</v>
      </c>
      <c r="G686" s="665"/>
      <c r="H686" s="754" t="s">
        <v>162</v>
      </c>
      <c r="I686" s="714"/>
      <c r="J686" s="715"/>
      <c r="K686" s="716"/>
      <c r="L686" s="715"/>
      <c r="M686" s="716"/>
      <c r="N686" s="215"/>
      <c r="O686" s="196"/>
      <c r="P686" s="670"/>
      <c r="Q686" s="671"/>
      <c r="R686" s="672"/>
      <c r="S686" s="673"/>
      <c r="T686" s="674"/>
      <c r="U686" s="675"/>
      <c r="V686" s="676"/>
      <c r="W686" s="677"/>
      <c r="X686" s="678" t="s">
        <v>159</v>
      </c>
      <c r="Y686" s="678"/>
      <c r="Z686" s="678"/>
      <c r="AA686" s="678"/>
      <c r="AB686" s="679" t="s">
        <v>159</v>
      </c>
      <c r="AC686" s="679"/>
      <c r="AD686" s="679"/>
      <c r="AE686" s="679"/>
      <c r="AF686" s="680"/>
      <c r="AG686" s="681"/>
      <c r="AH686" s="680"/>
      <c r="AI686" s="681"/>
      <c r="AJ686" s="682"/>
      <c r="AK686" s="683"/>
      <c r="AL686" s="684" t="s">
        <v>162</v>
      </c>
      <c r="AM686" s="685"/>
      <c r="AN686" s="666" t="s">
        <v>162</v>
      </c>
      <c r="AO686" s="667"/>
      <c r="AP686" s="686"/>
      <c r="AQ686" s="687"/>
      <c r="AR686" s="688"/>
      <c r="AS686" s="689"/>
      <c r="AT686" s="690"/>
      <c r="AU686" s="691"/>
      <c r="AV686" s="666" t="s">
        <v>162</v>
      </c>
      <c r="AW686" s="667"/>
      <c r="AX686" s="692"/>
      <c r="AY686" s="693"/>
      <c r="AZ686" s="694"/>
      <c r="BA686" s="682"/>
      <c r="BB686" s="683"/>
      <c r="BC686" s="14"/>
      <c r="BD686" s="695" t="s">
        <v>162</v>
      </c>
      <c r="BE686" s="696"/>
      <c r="BF686" s="708"/>
      <c r="BG686" s="709"/>
      <c r="BH686" s="709"/>
      <c r="BI686" s="710"/>
      <c r="BJ686" s="700" t="s">
        <v>159</v>
      </c>
      <c r="BK686" s="701"/>
      <c r="BL686" s="701"/>
      <c r="BM686" s="702"/>
      <c r="BN686" s="703" t="s">
        <v>159</v>
      </c>
      <c r="BO686" s="704"/>
      <c r="BP686" s="704"/>
      <c r="BQ686" s="704"/>
      <c r="BR686" s="704"/>
      <c r="BS686" s="704"/>
      <c r="BT686" s="704"/>
      <c r="BU686" s="704"/>
      <c r="BV686" s="705"/>
    </row>
    <row r="687" spans="1:74" ht="45" customHeight="1" x14ac:dyDescent="0.25">
      <c r="A687" s="10">
        <f t="shared" si="10"/>
        <v>673</v>
      </c>
      <c r="B687" s="711" t="s">
        <v>159</v>
      </c>
      <c r="C687" s="711"/>
      <c r="D687" s="712" t="s">
        <v>212</v>
      </c>
      <c r="E687" s="712"/>
      <c r="F687" s="664" t="s">
        <v>162</v>
      </c>
      <c r="G687" s="665"/>
      <c r="H687" s="755" t="s">
        <v>162</v>
      </c>
      <c r="I687" s="667"/>
      <c r="J687" s="706"/>
      <c r="K687" s="707"/>
      <c r="L687" s="706"/>
      <c r="M687" s="707"/>
      <c r="N687" s="194"/>
      <c r="O687" s="216"/>
      <c r="P687" s="717"/>
      <c r="Q687" s="718"/>
      <c r="R687" s="719"/>
      <c r="S687" s="720"/>
      <c r="T687" s="721"/>
      <c r="U687" s="722"/>
      <c r="V687" s="723"/>
      <c r="W687" s="724"/>
      <c r="X687" s="725" t="s">
        <v>159</v>
      </c>
      <c r="Y687" s="725"/>
      <c r="Z687" s="725"/>
      <c r="AA687" s="725"/>
      <c r="AB687" s="726" t="s">
        <v>159</v>
      </c>
      <c r="AC687" s="726"/>
      <c r="AD687" s="726"/>
      <c r="AE687" s="726"/>
      <c r="AF687" s="727"/>
      <c r="AG687" s="728"/>
      <c r="AH687" s="727"/>
      <c r="AI687" s="728"/>
      <c r="AJ687" s="682"/>
      <c r="AK687" s="683"/>
      <c r="AL687" s="664" t="s">
        <v>162</v>
      </c>
      <c r="AM687" s="665"/>
      <c r="AN687" s="713" t="s">
        <v>162</v>
      </c>
      <c r="AO687" s="714"/>
      <c r="AP687" s="729"/>
      <c r="AQ687" s="730"/>
      <c r="AR687" s="731"/>
      <c r="AS687" s="732"/>
      <c r="AT687" s="733"/>
      <c r="AU687" s="734"/>
      <c r="AV687" s="713" t="s">
        <v>162</v>
      </c>
      <c r="AW687" s="714"/>
      <c r="AX687" s="692"/>
      <c r="AY687" s="693"/>
      <c r="AZ687" s="694"/>
      <c r="BA687" s="735"/>
      <c r="BB687" s="736"/>
      <c r="BC687" s="219"/>
      <c r="BD687" s="737" t="s">
        <v>162</v>
      </c>
      <c r="BE687" s="738"/>
      <c r="BF687" s="739"/>
      <c r="BG687" s="740"/>
      <c r="BH687" s="740"/>
      <c r="BI687" s="741"/>
      <c r="BJ687" s="742" t="s">
        <v>159</v>
      </c>
      <c r="BK687" s="743"/>
      <c r="BL687" s="743"/>
      <c r="BM687" s="744"/>
      <c r="BN687" s="703" t="s">
        <v>159</v>
      </c>
      <c r="BO687" s="704"/>
      <c r="BP687" s="704"/>
      <c r="BQ687" s="704"/>
      <c r="BR687" s="704"/>
      <c r="BS687" s="704"/>
      <c r="BT687" s="704"/>
      <c r="BU687" s="704"/>
      <c r="BV687" s="705"/>
    </row>
    <row r="688" spans="1:74" ht="45" customHeight="1" x14ac:dyDescent="0.25">
      <c r="A688" s="10">
        <f t="shared" si="10"/>
        <v>674</v>
      </c>
      <c r="B688" s="662" t="s">
        <v>159</v>
      </c>
      <c r="C688" s="662"/>
      <c r="D688" s="663" t="s">
        <v>212</v>
      </c>
      <c r="E688" s="663"/>
      <c r="F688" s="664" t="s">
        <v>162</v>
      </c>
      <c r="G688" s="665"/>
      <c r="H688" s="754" t="s">
        <v>162</v>
      </c>
      <c r="I688" s="714"/>
      <c r="J688" s="715"/>
      <c r="K688" s="716"/>
      <c r="L688" s="715"/>
      <c r="M688" s="716"/>
      <c r="N688" s="215"/>
      <c r="O688" s="196"/>
      <c r="P688" s="670"/>
      <c r="Q688" s="671"/>
      <c r="R688" s="672"/>
      <c r="S688" s="673"/>
      <c r="T688" s="674"/>
      <c r="U688" s="675"/>
      <c r="V688" s="676"/>
      <c r="W688" s="677"/>
      <c r="X688" s="678" t="s">
        <v>159</v>
      </c>
      <c r="Y688" s="678"/>
      <c r="Z688" s="678"/>
      <c r="AA688" s="678"/>
      <c r="AB688" s="679" t="s">
        <v>159</v>
      </c>
      <c r="AC688" s="679"/>
      <c r="AD688" s="679"/>
      <c r="AE688" s="679"/>
      <c r="AF688" s="680"/>
      <c r="AG688" s="681"/>
      <c r="AH688" s="680"/>
      <c r="AI688" s="681"/>
      <c r="AJ688" s="682"/>
      <c r="AK688" s="683"/>
      <c r="AL688" s="684" t="s">
        <v>162</v>
      </c>
      <c r="AM688" s="685"/>
      <c r="AN688" s="666" t="s">
        <v>162</v>
      </c>
      <c r="AO688" s="667"/>
      <c r="AP688" s="686"/>
      <c r="AQ688" s="687"/>
      <c r="AR688" s="688"/>
      <c r="AS688" s="689"/>
      <c r="AT688" s="690"/>
      <c r="AU688" s="691"/>
      <c r="AV688" s="666" t="s">
        <v>162</v>
      </c>
      <c r="AW688" s="667"/>
      <c r="AX688" s="692"/>
      <c r="AY688" s="693"/>
      <c r="AZ688" s="694"/>
      <c r="BA688" s="682"/>
      <c r="BB688" s="683"/>
      <c r="BC688" s="14"/>
      <c r="BD688" s="695" t="s">
        <v>162</v>
      </c>
      <c r="BE688" s="696"/>
      <c r="BF688" s="697"/>
      <c r="BG688" s="698"/>
      <c r="BH688" s="698"/>
      <c r="BI688" s="699"/>
      <c r="BJ688" s="700" t="s">
        <v>159</v>
      </c>
      <c r="BK688" s="701"/>
      <c r="BL688" s="701"/>
      <c r="BM688" s="702"/>
      <c r="BN688" s="703" t="s">
        <v>159</v>
      </c>
      <c r="BO688" s="704"/>
      <c r="BP688" s="704"/>
      <c r="BQ688" s="704"/>
      <c r="BR688" s="704"/>
      <c r="BS688" s="704"/>
      <c r="BT688" s="704"/>
      <c r="BU688" s="704"/>
      <c r="BV688" s="705"/>
    </row>
    <row r="689" spans="1:74" ht="45" customHeight="1" x14ac:dyDescent="0.25">
      <c r="A689" s="10">
        <f t="shared" si="10"/>
        <v>675</v>
      </c>
      <c r="B689" s="711" t="s">
        <v>159</v>
      </c>
      <c r="C689" s="711"/>
      <c r="D689" s="712" t="s">
        <v>212</v>
      </c>
      <c r="E689" s="712"/>
      <c r="F689" s="664" t="s">
        <v>162</v>
      </c>
      <c r="G689" s="665"/>
      <c r="H689" s="755" t="s">
        <v>162</v>
      </c>
      <c r="I689" s="667"/>
      <c r="J689" s="706"/>
      <c r="K689" s="707"/>
      <c r="L689" s="706"/>
      <c r="M689" s="707"/>
      <c r="N689" s="194"/>
      <c r="O689" s="216"/>
      <c r="P689" s="717"/>
      <c r="Q689" s="718"/>
      <c r="R689" s="719"/>
      <c r="S689" s="720"/>
      <c r="T689" s="721"/>
      <c r="U689" s="722"/>
      <c r="V689" s="723"/>
      <c r="W689" s="724"/>
      <c r="X689" s="725" t="s">
        <v>159</v>
      </c>
      <c r="Y689" s="725"/>
      <c r="Z689" s="725"/>
      <c r="AA689" s="725"/>
      <c r="AB689" s="726" t="s">
        <v>159</v>
      </c>
      <c r="AC689" s="726"/>
      <c r="AD689" s="726"/>
      <c r="AE689" s="726"/>
      <c r="AF689" s="727"/>
      <c r="AG689" s="728"/>
      <c r="AH689" s="727"/>
      <c r="AI689" s="728"/>
      <c r="AJ689" s="682"/>
      <c r="AK689" s="683"/>
      <c r="AL689" s="664" t="s">
        <v>162</v>
      </c>
      <c r="AM689" s="665"/>
      <c r="AN689" s="713" t="s">
        <v>162</v>
      </c>
      <c r="AO689" s="714"/>
      <c r="AP689" s="729"/>
      <c r="AQ689" s="730"/>
      <c r="AR689" s="731"/>
      <c r="AS689" s="732"/>
      <c r="AT689" s="733"/>
      <c r="AU689" s="734"/>
      <c r="AV689" s="713" t="s">
        <v>162</v>
      </c>
      <c r="AW689" s="714"/>
      <c r="AX689" s="692"/>
      <c r="AY689" s="693"/>
      <c r="AZ689" s="694"/>
      <c r="BA689" s="735"/>
      <c r="BB689" s="736"/>
      <c r="BC689" s="219"/>
      <c r="BD689" s="737" t="s">
        <v>162</v>
      </c>
      <c r="BE689" s="738"/>
      <c r="BF689" s="739"/>
      <c r="BG689" s="740"/>
      <c r="BH689" s="740"/>
      <c r="BI689" s="741"/>
      <c r="BJ689" s="742" t="s">
        <v>159</v>
      </c>
      <c r="BK689" s="743"/>
      <c r="BL689" s="743"/>
      <c r="BM689" s="744"/>
      <c r="BN689" s="703" t="s">
        <v>159</v>
      </c>
      <c r="BO689" s="704"/>
      <c r="BP689" s="704"/>
      <c r="BQ689" s="704"/>
      <c r="BR689" s="704"/>
      <c r="BS689" s="704"/>
      <c r="BT689" s="704"/>
      <c r="BU689" s="704"/>
      <c r="BV689" s="705"/>
    </row>
    <row r="690" spans="1:74" ht="45" customHeight="1" x14ac:dyDescent="0.25">
      <c r="A690" s="10">
        <f t="shared" si="10"/>
        <v>676</v>
      </c>
      <c r="B690" s="662" t="s">
        <v>159</v>
      </c>
      <c r="C690" s="662"/>
      <c r="D690" s="663" t="s">
        <v>212</v>
      </c>
      <c r="E690" s="663"/>
      <c r="F690" s="664" t="s">
        <v>162</v>
      </c>
      <c r="G690" s="665"/>
      <c r="H690" s="754" t="s">
        <v>162</v>
      </c>
      <c r="I690" s="714"/>
      <c r="J690" s="715"/>
      <c r="K690" s="716"/>
      <c r="L690" s="715"/>
      <c r="M690" s="716"/>
      <c r="N690" s="215"/>
      <c r="O690" s="196"/>
      <c r="P690" s="670"/>
      <c r="Q690" s="671"/>
      <c r="R690" s="672"/>
      <c r="S690" s="673"/>
      <c r="T690" s="674"/>
      <c r="U690" s="675"/>
      <c r="V690" s="676"/>
      <c r="W690" s="677"/>
      <c r="X690" s="678" t="s">
        <v>159</v>
      </c>
      <c r="Y690" s="678"/>
      <c r="Z690" s="678"/>
      <c r="AA690" s="678"/>
      <c r="AB690" s="679" t="s">
        <v>159</v>
      </c>
      <c r="AC690" s="679"/>
      <c r="AD690" s="679"/>
      <c r="AE690" s="679"/>
      <c r="AF690" s="680"/>
      <c r="AG690" s="681"/>
      <c r="AH690" s="680"/>
      <c r="AI690" s="681"/>
      <c r="AJ690" s="682"/>
      <c r="AK690" s="683"/>
      <c r="AL690" s="684" t="s">
        <v>162</v>
      </c>
      <c r="AM690" s="685"/>
      <c r="AN690" s="666" t="s">
        <v>162</v>
      </c>
      <c r="AO690" s="667"/>
      <c r="AP690" s="686"/>
      <c r="AQ690" s="687"/>
      <c r="AR690" s="688"/>
      <c r="AS690" s="689"/>
      <c r="AT690" s="690"/>
      <c r="AU690" s="691"/>
      <c r="AV690" s="666" t="s">
        <v>162</v>
      </c>
      <c r="AW690" s="667"/>
      <c r="AX690" s="692"/>
      <c r="AY690" s="693"/>
      <c r="AZ690" s="694"/>
      <c r="BA690" s="682"/>
      <c r="BB690" s="683"/>
      <c r="BC690" s="14"/>
      <c r="BD690" s="695" t="s">
        <v>162</v>
      </c>
      <c r="BE690" s="696"/>
      <c r="BF690" s="697"/>
      <c r="BG690" s="698"/>
      <c r="BH690" s="698"/>
      <c r="BI690" s="699"/>
      <c r="BJ690" s="700" t="s">
        <v>159</v>
      </c>
      <c r="BK690" s="701"/>
      <c r="BL690" s="701"/>
      <c r="BM690" s="702"/>
      <c r="BN690" s="703" t="s">
        <v>159</v>
      </c>
      <c r="BO690" s="704"/>
      <c r="BP690" s="704"/>
      <c r="BQ690" s="704"/>
      <c r="BR690" s="704"/>
      <c r="BS690" s="704"/>
      <c r="BT690" s="704"/>
      <c r="BU690" s="704"/>
      <c r="BV690" s="705"/>
    </row>
    <row r="691" spans="1:74" ht="45" customHeight="1" x14ac:dyDescent="0.25">
      <c r="A691" s="10">
        <f t="shared" si="10"/>
        <v>677</v>
      </c>
      <c r="B691" s="711" t="s">
        <v>159</v>
      </c>
      <c r="C691" s="711"/>
      <c r="D691" s="712" t="s">
        <v>212</v>
      </c>
      <c r="E691" s="712"/>
      <c r="F691" s="664" t="s">
        <v>162</v>
      </c>
      <c r="G691" s="665"/>
      <c r="H691" s="755" t="s">
        <v>162</v>
      </c>
      <c r="I691" s="667"/>
      <c r="J691" s="706"/>
      <c r="K691" s="707"/>
      <c r="L691" s="706"/>
      <c r="M691" s="707"/>
      <c r="N691" s="194"/>
      <c r="O691" s="216"/>
      <c r="P691" s="717"/>
      <c r="Q691" s="718"/>
      <c r="R691" s="719"/>
      <c r="S691" s="720"/>
      <c r="T691" s="721"/>
      <c r="U691" s="722"/>
      <c r="V691" s="723"/>
      <c r="W691" s="724"/>
      <c r="X691" s="725" t="s">
        <v>159</v>
      </c>
      <c r="Y691" s="725"/>
      <c r="Z691" s="725"/>
      <c r="AA691" s="725"/>
      <c r="AB691" s="726" t="s">
        <v>159</v>
      </c>
      <c r="AC691" s="726"/>
      <c r="AD691" s="726"/>
      <c r="AE691" s="726"/>
      <c r="AF691" s="727"/>
      <c r="AG691" s="728"/>
      <c r="AH691" s="727"/>
      <c r="AI691" s="728"/>
      <c r="AJ691" s="682"/>
      <c r="AK691" s="683"/>
      <c r="AL691" s="664" t="s">
        <v>162</v>
      </c>
      <c r="AM691" s="665"/>
      <c r="AN691" s="713" t="s">
        <v>162</v>
      </c>
      <c r="AO691" s="714"/>
      <c r="AP691" s="729"/>
      <c r="AQ691" s="730"/>
      <c r="AR691" s="731"/>
      <c r="AS691" s="732"/>
      <c r="AT691" s="733"/>
      <c r="AU691" s="734"/>
      <c r="AV691" s="713" t="s">
        <v>162</v>
      </c>
      <c r="AW691" s="714"/>
      <c r="AX691" s="692"/>
      <c r="AY691" s="693"/>
      <c r="AZ691" s="694"/>
      <c r="BA691" s="735"/>
      <c r="BB691" s="736"/>
      <c r="BC691" s="219"/>
      <c r="BD691" s="737" t="s">
        <v>162</v>
      </c>
      <c r="BE691" s="738"/>
      <c r="BF691" s="739"/>
      <c r="BG691" s="740"/>
      <c r="BH691" s="740"/>
      <c r="BI691" s="741"/>
      <c r="BJ691" s="742" t="s">
        <v>159</v>
      </c>
      <c r="BK691" s="743"/>
      <c r="BL691" s="743"/>
      <c r="BM691" s="744"/>
      <c r="BN691" s="703" t="s">
        <v>159</v>
      </c>
      <c r="BO691" s="704"/>
      <c r="BP691" s="704"/>
      <c r="BQ691" s="704"/>
      <c r="BR691" s="704"/>
      <c r="BS691" s="704"/>
      <c r="BT691" s="704"/>
      <c r="BU691" s="704"/>
      <c r="BV691" s="705"/>
    </row>
    <row r="692" spans="1:74" ht="45" customHeight="1" x14ac:dyDescent="0.25">
      <c r="A692" s="10">
        <f t="shared" si="10"/>
        <v>678</v>
      </c>
      <c r="B692" s="662" t="s">
        <v>159</v>
      </c>
      <c r="C692" s="662"/>
      <c r="D692" s="663" t="s">
        <v>212</v>
      </c>
      <c r="E692" s="663"/>
      <c r="F692" s="664" t="s">
        <v>162</v>
      </c>
      <c r="G692" s="665"/>
      <c r="H692" s="754" t="s">
        <v>162</v>
      </c>
      <c r="I692" s="714"/>
      <c r="J692" s="715"/>
      <c r="K692" s="716"/>
      <c r="L692" s="715"/>
      <c r="M692" s="716"/>
      <c r="N692" s="215"/>
      <c r="O692" s="196"/>
      <c r="P692" s="670"/>
      <c r="Q692" s="671"/>
      <c r="R692" s="672"/>
      <c r="S692" s="673"/>
      <c r="T692" s="674"/>
      <c r="U692" s="675"/>
      <c r="V692" s="676"/>
      <c r="W692" s="677"/>
      <c r="X692" s="678" t="s">
        <v>159</v>
      </c>
      <c r="Y692" s="678"/>
      <c r="Z692" s="678"/>
      <c r="AA692" s="678"/>
      <c r="AB692" s="679" t="s">
        <v>159</v>
      </c>
      <c r="AC692" s="679"/>
      <c r="AD692" s="679"/>
      <c r="AE692" s="679"/>
      <c r="AF692" s="680"/>
      <c r="AG692" s="681"/>
      <c r="AH692" s="680"/>
      <c r="AI692" s="681"/>
      <c r="AJ692" s="682"/>
      <c r="AK692" s="683"/>
      <c r="AL692" s="684" t="s">
        <v>162</v>
      </c>
      <c r="AM692" s="685"/>
      <c r="AN692" s="666" t="s">
        <v>162</v>
      </c>
      <c r="AO692" s="667"/>
      <c r="AP692" s="686"/>
      <c r="AQ692" s="687"/>
      <c r="AR692" s="688"/>
      <c r="AS692" s="689"/>
      <c r="AT692" s="690"/>
      <c r="AU692" s="691"/>
      <c r="AV692" s="666" t="s">
        <v>162</v>
      </c>
      <c r="AW692" s="667"/>
      <c r="AX692" s="692"/>
      <c r="AY692" s="693"/>
      <c r="AZ692" s="694"/>
      <c r="BA692" s="682"/>
      <c r="BB692" s="683"/>
      <c r="BC692" s="14"/>
      <c r="BD692" s="695" t="s">
        <v>162</v>
      </c>
      <c r="BE692" s="696"/>
      <c r="BF692" s="708"/>
      <c r="BG692" s="709"/>
      <c r="BH692" s="709"/>
      <c r="BI692" s="710"/>
      <c r="BJ692" s="700" t="s">
        <v>159</v>
      </c>
      <c r="BK692" s="701"/>
      <c r="BL692" s="701"/>
      <c r="BM692" s="702"/>
      <c r="BN692" s="703" t="s">
        <v>159</v>
      </c>
      <c r="BO692" s="704"/>
      <c r="BP692" s="704"/>
      <c r="BQ692" s="704"/>
      <c r="BR692" s="704"/>
      <c r="BS692" s="704"/>
      <c r="BT692" s="704"/>
      <c r="BU692" s="704"/>
      <c r="BV692" s="705"/>
    </row>
    <row r="693" spans="1:74" ht="45" customHeight="1" x14ac:dyDescent="0.25">
      <c r="A693" s="10">
        <f t="shared" si="10"/>
        <v>679</v>
      </c>
      <c r="B693" s="711" t="s">
        <v>159</v>
      </c>
      <c r="C693" s="711"/>
      <c r="D693" s="712" t="s">
        <v>212</v>
      </c>
      <c r="E693" s="712"/>
      <c r="F693" s="664" t="s">
        <v>162</v>
      </c>
      <c r="G693" s="665"/>
      <c r="H693" s="755" t="s">
        <v>162</v>
      </c>
      <c r="I693" s="667"/>
      <c r="J693" s="706"/>
      <c r="K693" s="707"/>
      <c r="L693" s="706"/>
      <c r="M693" s="707"/>
      <c r="N693" s="194"/>
      <c r="O693" s="216"/>
      <c r="P693" s="717"/>
      <c r="Q693" s="718"/>
      <c r="R693" s="719"/>
      <c r="S693" s="720"/>
      <c r="T693" s="721"/>
      <c r="U693" s="722"/>
      <c r="V693" s="723"/>
      <c r="W693" s="724"/>
      <c r="X693" s="725" t="s">
        <v>159</v>
      </c>
      <c r="Y693" s="725"/>
      <c r="Z693" s="725"/>
      <c r="AA693" s="725"/>
      <c r="AB693" s="726" t="s">
        <v>159</v>
      </c>
      <c r="AC693" s="726"/>
      <c r="AD693" s="726"/>
      <c r="AE693" s="726"/>
      <c r="AF693" s="727"/>
      <c r="AG693" s="728"/>
      <c r="AH693" s="727"/>
      <c r="AI693" s="728"/>
      <c r="AJ693" s="682"/>
      <c r="AK693" s="683"/>
      <c r="AL693" s="664" t="s">
        <v>162</v>
      </c>
      <c r="AM693" s="665"/>
      <c r="AN693" s="713" t="s">
        <v>162</v>
      </c>
      <c r="AO693" s="714"/>
      <c r="AP693" s="729"/>
      <c r="AQ693" s="730"/>
      <c r="AR693" s="731"/>
      <c r="AS693" s="732"/>
      <c r="AT693" s="733"/>
      <c r="AU693" s="734"/>
      <c r="AV693" s="713" t="s">
        <v>162</v>
      </c>
      <c r="AW693" s="714"/>
      <c r="AX693" s="692"/>
      <c r="AY693" s="693"/>
      <c r="AZ693" s="694"/>
      <c r="BA693" s="735"/>
      <c r="BB693" s="736"/>
      <c r="BC693" s="219"/>
      <c r="BD693" s="737" t="s">
        <v>162</v>
      </c>
      <c r="BE693" s="738"/>
      <c r="BF693" s="739"/>
      <c r="BG693" s="740"/>
      <c r="BH693" s="740"/>
      <c r="BI693" s="741"/>
      <c r="BJ693" s="742" t="s">
        <v>159</v>
      </c>
      <c r="BK693" s="743"/>
      <c r="BL693" s="743"/>
      <c r="BM693" s="744"/>
      <c r="BN693" s="703" t="s">
        <v>159</v>
      </c>
      <c r="BO693" s="704"/>
      <c r="BP693" s="704"/>
      <c r="BQ693" s="704"/>
      <c r="BR693" s="704"/>
      <c r="BS693" s="704"/>
      <c r="BT693" s="704"/>
      <c r="BU693" s="704"/>
      <c r="BV693" s="705"/>
    </row>
    <row r="694" spans="1:74" ht="45" customHeight="1" x14ac:dyDescent="0.25">
      <c r="A694" s="10">
        <f t="shared" si="10"/>
        <v>680</v>
      </c>
      <c r="B694" s="662" t="s">
        <v>159</v>
      </c>
      <c r="C694" s="662"/>
      <c r="D694" s="663" t="s">
        <v>212</v>
      </c>
      <c r="E694" s="663"/>
      <c r="F694" s="664" t="s">
        <v>162</v>
      </c>
      <c r="G694" s="665"/>
      <c r="H694" s="754" t="s">
        <v>162</v>
      </c>
      <c r="I694" s="714"/>
      <c r="J694" s="715"/>
      <c r="K694" s="716"/>
      <c r="L694" s="715"/>
      <c r="M694" s="716"/>
      <c r="N694" s="215"/>
      <c r="O694" s="196"/>
      <c r="P694" s="670"/>
      <c r="Q694" s="671"/>
      <c r="R694" s="672"/>
      <c r="S694" s="673"/>
      <c r="T694" s="674"/>
      <c r="U694" s="675"/>
      <c r="V694" s="676"/>
      <c r="W694" s="677"/>
      <c r="X694" s="678" t="s">
        <v>159</v>
      </c>
      <c r="Y694" s="678"/>
      <c r="Z694" s="678"/>
      <c r="AA694" s="678"/>
      <c r="AB694" s="679" t="s">
        <v>159</v>
      </c>
      <c r="AC694" s="679"/>
      <c r="AD694" s="679"/>
      <c r="AE694" s="679"/>
      <c r="AF694" s="680"/>
      <c r="AG694" s="681"/>
      <c r="AH694" s="680"/>
      <c r="AI694" s="681"/>
      <c r="AJ694" s="682"/>
      <c r="AK694" s="683"/>
      <c r="AL694" s="684" t="s">
        <v>162</v>
      </c>
      <c r="AM694" s="685"/>
      <c r="AN694" s="666" t="s">
        <v>162</v>
      </c>
      <c r="AO694" s="667"/>
      <c r="AP694" s="686"/>
      <c r="AQ694" s="687"/>
      <c r="AR694" s="688"/>
      <c r="AS694" s="689"/>
      <c r="AT694" s="690"/>
      <c r="AU694" s="691"/>
      <c r="AV694" s="666" t="s">
        <v>162</v>
      </c>
      <c r="AW694" s="667"/>
      <c r="AX694" s="692"/>
      <c r="AY694" s="693"/>
      <c r="AZ694" s="694"/>
      <c r="BA694" s="682"/>
      <c r="BB694" s="683"/>
      <c r="BC694" s="14"/>
      <c r="BD694" s="695" t="s">
        <v>162</v>
      </c>
      <c r="BE694" s="696"/>
      <c r="BF694" s="697"/>
      <c r="BG694" s="698"/>
      <c r="BH694" s="698"/>
      <c r="BI694" s="699"/>
      <c r="BJ694" s="700" t="s">
        <v>159</v>
      </c>
      <c r="BK694" s="701"/>
      <c r="BL694" s="701"/>
      <c r="BM694" s="702"/>
      <c r="BN694" s="703" t="s">
        <v>159</v>
      </c>
      <c r="BO694" s="704"/>
      <c r="BP694" s="704"/>
      <c r="BQ694" s="704"/>
      <c r="BR694" s="704"/>
      <c r="BS694" s="704"/>
      <c r="BT694" s="704"/>
      <c r="BU694" s="704"/>
      <c r="BV694" s="705"/>
    </row>
    <row r="695" spans="1:74" ht="45" customHeight="1" x14ac:dyDescent="0.25">
      <c r="A695" s="10">
        <f t="shared" si="10"/>
        <v>681</v>
      </c>
      <c r="B695" s="711" t="s">
        <v>159</v>
      </c>
      <c r="C695" s="711"/>
      <c r="D695" s="712" t="s">
        <v>212</v>
      </c>
      <c r="E695" s="712"/>
      <c r="F695" s="664" t="s">
        <v>162</v>
      </c>
      <c r="G695" s="665"/>
      <c r="H695" s="755" t="s">
        <v>162</v>
      </c>
      <c r="I695" s="667"/>
      <c r="J695" s="706"/>
      <c r="K695" s="707"/>
      <c r="L695" s="706"/>
      <c r="M695" s="707"/>
      <c r="N695" s="215"/>
      <c r="O695" s="216"/>
      <c r="P695" s="670"/>
      <c r="Q695" s="671"/>
      <c r="R695" s="719"/>
      <c r="S695" s="720"/>
      <c r="T695" s="721"/>
      <c r="U695" s="722"/>
      <c r="V695" s="723"/>
      <c r="W695" s="724"/>
      <c r="X695" s="725" t="s">
        <v>159</v>
      </c>
      <c r="Y695" s="725"/>
      <c r="Z695" s="725"/>
      <c r="AA695" s="725"/>
      <c r="AB695" s="726" t="s">
        <v>159</v>
      </c>
      <c r="AC695" s="726"/>
      <c r="AD695" s="726"/>
      <c r="AE695" s="726"/>
      <c r="AF695" s="727"/>
      <c r="AG695" s="728"/>
      <c r="AH695" s="727"/>
      <c r="AI695" s="728"/>
      <c r="AJ695" s="682"/>
      <c r="AK695" s="683"/>
      <c r="AL695" s="664" t="s">
        <v>162</v>
      </c>
      <c r="AM695" s="665"/>
      <c r="AN695" s="713" t="s">
        <v>162</v>
      </c>
      <c r="AO695" s="714"/>
      <c r="AP695" s="729"/>
      <c r="AQ695" s="730"/>
      <c r="AR695" s="731"/>
      <c r="AS695" s="732"/>
      <c r="AT695" s="690"/>
      <c r="AU695" s="691"/>
      <c r="AV695" s="713" t="s">
        <v>162</v>
      </c>
      <c r="AW695" s="714"/>
      <c r="AX695" s="692"/>
      <c r="AY695" s="693"/>
      <c r="AZ695" s="694"/>
      <c r="BA695" s="735"/>
      <c r="BB695" s="736"/>
      <c r="BC695" s="219"/>
      <c r="BD695" s="737" t="s">
        <v>162</v>
      </c>
      <c r="BE695" s="738"/>
      <c r="BF695" s="739"/>
      <c r="BG695" s="740"/>
      <c r="BH695" s="740"/>
      <c r="BI695" s="741"/>
      <c r="BJ695" s="742" t="s">
        <v>159</v>
      </c>
      <c r="BK695" s="743"/>
      <c r="BL695" s="743"/>
      <c r="BM695" s="744"/>
      <c r="BN695" s="703" t="s">
        <v>159</v>
      </c>
      <c r="BO695" s="704"/>
      <c r="BP695" s="704"/>
      <c r="BQ695" s="704"/>
      <c r="BR695" s="704"/>
      <c r="BS695" s="704"/>
      <c r="BT695" s="704"/>
      <c r="BU695" s="704"/>
      <c r="BV695" s="705"/>
    </row>
    <row r="696" spans="1:74" ht="45" customHeight="1" x14ac:dyDescent="0.25">
      <c r="A696" s="10">
        <f t="shared" si="10"/>
        <v>682</v>
      </c>
      <c r="B696" s="662" t="s">
        <v>159</v>
      </c>
      <c r="C696" s="662"/>
      <c r="D696" s="663" t="s">
        <v>212</v>
      </c>
      <c r="E696" s="663"/>
      <c r="F696" s="664" t="s">
        <v>162</v>
      </c>
      <c r="G696" s="665"/>
      <c r="H696" s="754" t="s">
        <v>162</v>
      </c>
      <c r="I696" s="714"/>
      <c r="J696" s="715"/>
      <c r="K696" s="716"/>
      <c r="L696" s="715"/>
      <c r="M696" s="716"/>
      <c r="N696" s="194"/>
      <c r="O696" s="196"/>
      <c r="P696" s="717"/>
      <c r="Q696" s="718"/>
      <c r="R696" s="672"/>
      <c r="S696" s="673"/>
      <c r="T696" s="674"/>
      <c r="U696" s="675"/>
      <c r="V696" s="676"/>
      <c r="W696" s="677"/>
      <c r="X696" s="678" t="s">
        <v>159</v>
      </c>
      <c r="Y696" s="678"/>
      <c r="Z696" s="678"/>
      <c r="AA696" s="678"/>
      <c r="AB696" s="679" t="s">
        <v>159</v>
      </c>
      <c r="AC696" s="679"/>
      <c r="AD696" s="679"/>
      <c r="AE696" s="679"/>
      <c r="AF696" s="680"/>
      <c r="AG696" s="681"/>
      <c r="AH696" s="680"/>
      <c r="AI696" s="681"/>
      <c r="AJ696" s="682"/>
      <c r="AK696" s="683"/>
      <c r="AL696" s="684" t="s">
        <v>162</v>
      </c>
      <c r="AM696" s="685"/>
      <c r="AN696" s="666" t="s">
        <v>162</v>
      </c>
      <c r="AO696" s="667"/>
      <c r="AP696" s="686"/>
      <c r="AQ696" s="687"/>
      <c r="AR696" s="688"/>
      <c r="AS696" s="689"/>
      <c r="AT696" s="690"/>
      <c r="AU696" s="691"/>
      <c r="AV696" s="666" t="s">
        <v>162</v>
      </c>
      <c r="AW696" s="667"/>
      <c r="AX696" s="692"/>
      <c r="AY696" s="693"/>
      <c r="AZ696" s="694"/>
      <c r="BA696" s="682"/>
      <c r="BB696" s="683"/>
      <c r="BC696" s="14"/>
      <c r="BD696" s="695" t="s">
        <v>162</v>
      </c>
      <c r="BE696" s="696"/>
      <c r="BF696" s="697"/>
      <c r="BG696" s="698"/>
      <c r="BH696" s="698"/>
      <c r="BI696" s="699"/>
      <c r="BJ696" s="700" t="s">
        <v>159</v>
      </c>
      <c r="BK696" s="701"/>
      <c r="BL696" s="701"/>
      <c r="BM696" s="702"/>
      <c r="BN696" s="703" t="s">
        <v>159</v>
      </c>
      <c r="BO696" s="704"/>
      <c r="BP696" s="704"/>
      <c r="BQ696" s="704"/>
      <c r="BR696" s="704"/>
      <c r="BS696" s="704"/>
      <c r="BT696" s="704"/>
      <c r="BU696" s="704"/>
      <c r="BV696" s="705"/>
    </row>
    <row r="697" spans="1:74" ht="45" customHeight="1" x14ac:dyDescent="0.25">
      <c r="A697" s="10">
        <f t="shared" si="10"/>
        <v>683</v>
      </c>
      <c r="B697" s="711" t="s">
        <v>159</v>
      </c>
      <c r="C697" s="711"/>
      <c r="D697" s="712" t="s">
        <v>212</v>
      </c>
      <c r="E697" s="712"/>
      <c r="F697" s="664" t="s">
        <v>162</v>
      </c>
      <c r="G697" s="665"/>
      <c r="H697" s="755" t="s">
        <v>162</v>
      </c>
      <c r="I697" s="667"/>
      <c r="J697" s="706"/>
      <c r="K697" s="707"/>
      <c r="L697" s="706"/>
      <c r="M697" s="707"/>
      <c r="N697" s="215"/>
      <c r="O697" s="216"/>
      <c r="P697" s="670"/>
      <c r="Q697" s="671"/>
      <c r="R697" s="719"/>
      <c r="S697" s="720"/>
      <c r="T697" s="721"/>
      <c r="U697" s="722"/>
      <c r="V697" s="723"/>
      <c r="W697" s="724"/>
      <c r="X697" s="725" t="s">
        <v>159</v>
      </c>
      <c r="Y697" s="725"/>
      <c r="Z697" s="725"/>
      <c r="AA697" s="725"/>
      <c r="AB697" s="726" t="s">
        <v>159</v>
      </c>
      <c r="AC697" s="726"/>
      <c r="AD697" s="726"/>
      <c r="AE697" s="726"/>
      <c r="AF697" s="727"/>
      <c r="AG697" s="728"/>
      <c r="AH697" s="727"/>
      <c r="AI697" s="728"/>
      <c r="AJ697" s="682"/>
      <c r="AK697" s="683"/>
      <c r="AL697" s="664" t="s">
        <v>162</v>
      </c>
      <c r="AM697" s="665"/>
      <c r="AN697" s="713" t="s">
        <v>162</v>
      </c>
      <c r="AO697" s="714"/>
      <c r="AP697" s="729"/>
      <c r="AQ697" s="730"/>
      <c r="AR697" s="731"/>
      <c r="AS697" s="732"/>
      <c r="AT697" s="690"/>
      <c r="AU697" s="691"/>
      <c r="AV697" s="713" t="s">
        <v>162</v>
      </c>
      <c r="AW697" s="714"/>
      <c r="AX697" s="692"/>
      <c r="AY697" s="693"/>
      <c r="AZ697" s="694"/>
      <c r="BA697" s="735"/>
      <c r="BB697" s="736"/>
      <c r="BC697" s="219"/>
      <c r="BD697" s="737" t="s">
        <v>162</v>
      </c>
      <c r="BE697" s="738"/>
      <c r="BF697" s="739"/>
      <c r="BG697" s="740"/>
      <c r="BH697" s="740"/>
      <c r="BI697" s="741"/>
      <c r="BJ697" s="742" t="s">
        <v>159</v>
      </c>
      <c r="BK697" s="743"/>
      <c r="BL697" s="743"/>
      <c r="BM697" s="744"/>
      <c r="BN697" s="703" t="s">
        <v>159</v>
      </c>
      <c r="BO697" s="704"/>
      <c r="BP697" s="704"/>
      <c r="BQ697" s="704"/>
      <c r="BR697" s="704"/>
      <c r="BS697" s="704"/>
      <c r="BT697" s="704"/>
      <c r="BU697" s="704"/>
      <c r="BV697" s="705"/>
    </row>
    <row r="698" spans="1:74" ht="45" customHeight="1" x14ac:dyDescent="0.25">
      <c r="A698" s="10">
        <f t="shared" si="10"/>
        <v>684</v>
      </c>
      <c r="B698" s="662" t="s">
        <v>159</v>
      </c>
      <c r="C698" s="662"/>
      <c r="D698" s="663" t="s">
        <v>212</v>
      </c>
      <c r="E698" s="663"/>
      <c r="F698" s="664" t="s">
        <v>162</v>
      </c>
      <c r="G698" s="665"/>
      <c r="H698" s="754" t="s">
        <v>162</v>
      </c>
      <c r="I698" s="714"/>
      <c r="J698" s="715"/>
      <c r="K698" s="716"/>
      <c r="L698" s="715"/>
      <c r="M698" s="716"/>
      <c r="N698" s="194"/>
      <c r="O698" s="196"/>
      <c r="P698" s="717"/>
      <c r="Q698" s="718"/>
      <c r="R698" s="672"/>
      <c r="S698" s="673"/>
      <c r="T698" s="674"/>
      <c r="U698" s="675"/>
      <c r="V698" s="676"/>
      <c r="W698" s="677"/>
      <c r="X698" s="678" t="s">
        <v>159</v>
      </c>
      <c r="Y698" s="678"/>
      <c r="Z698" s="678"/>
      <c r="AA698" s="678"/>
      <c r="AB698" s="679" t="s">
        <v>159</v>
      </c>
      <c r="AC698" s="679"/>
      <c r="AD698" s="679"/>
      <c r="AE698" s="679"/>
      <c r="AF698" s="680"/>
      <c r="AG698" s="681"/>
      <c r="AH698" s="680"/>
      <c r="AI698" s="681"/>
      <c r="AJ698" s="682"/>
      <c r="AK698" s="683"/>
      <c r="AL698" s="684" t="s">
        <v>162</v>
      </c>
      <c r="AM698" s="685"/>
      <c r="AN698" s="666" t="s">
        <v>162</v>
      </c>
      <c r="AO698" s="667"/>
      <c r="AP698" s="686"/>
      <c r="AQ698" s="687"/>
      <c r="AR698" s="688"/>
      <c r="AS698" s="689"/>
      <c r="AT698" s="690"/>
      <c r="AU698" s="691"/>
      <c r="AV698" s="666" t="s">
        <v>162</v>
      </c>
      <c r="AW698" s="667"/>
      <c r="AX698" s="692"/>
      <c r="AY698" s="693"/>
      <c r="AZ698" s="694"/>
      <c r="BA698" s="682"/>
      <c r="BB698" s="683"/>
      <c r="BC698" s="14"/>
      <c r="BD698" s="695" t="s">
        <v>162</v>
      </c>
      <c r="BE698" s="696"/>
      <c r="BF698" s="697"/>
      <c r="BG698" s="698"/>
      <c r="BH698" s="698"/>
      <c r="BI698" s="699"/>
      <c r="BJ698" s="700" t="s">
        <v>159</v>
      </c>
      <c r="BK698" s="701"/>
      <c r="BL698" s="701"/>
      <c r="BM698" s="702"/>
      <c r="BN698" s="703" t="s">
        <v>159</v>
      </c>
      <c r="BO698" s="704"/>
      <c r="BP698" s="704"/>
      <c r="BQ698" s="704"/>
      <c r="BR698" s="704"/>
      <c r="BS698" s="704"/>
      <c r="BT698" s="704"/>
      <c r="BU698" s="704"/>
      <c r="BV698" s="705"/>
    </row>
    <row r="699" spans="1:74" ht="45" customHeight="1" x14ac:dyDescent="0.25">
      <c r="A699" s="10">
        <f t="shared" si="10"/>
        <v>685</v>
      </c>
      <c r="B699" s="711" t="s">
        <v>159</v>
      </c>
      <c r="C699" s="711"/>
      <c r="D699" s="712" t="s">
        <v>212</v>
      </c>
      <c r="E699" s="712"/>
      <c r="F699" s="664" t="s">
        <v>162</v>
      </c>
      <c r="G699" s="665"/>
      <c r="H699" s="755" t="s">
        <v>162</v>
      </c>
      <c r="I699" s="667"/>
      <c r="J699" s="706"/>
      <c r="K699" s="707"/>
      <c r="L699" s="706"/>
      <c r="M699" s="707"/>
      <c r="N699" s="215"/>
      <c r="O699" s="216"/>
      <c r="P699" s="670"/>
      <c r="Q699" s="671"/>
      <c r="R699" s="719"/>
      <c r="S699" s="720"/>
      <c r="T699" s="721"/>
      <c r="U699" s="722"/>
      <c r="V699" s="723"/>
      <c r="W699" s="724"/>
      <c r="X699" s="725" t="s">
        <v>159</v>
      </c>
      <c r="Y699" s="725"/>
      <c r="Z699" s="725"/>
      <c r="AA699" s="725"/>
      <c r="AB699" s="726" t="s">
        <v>159</v>
      </c>
      <c r="AC699" s="726"/>
      <c r="AD699" s="726"/>
      <c r="AE699" s="726"/>
      <c r="AF699" s="727"/>
      <c r="AG699" s="728"/>
      <c r="AH699" s="727"/>
      <c r="AI699" s="728"/>
      <c r="AJ699" s="682"/>
      <c r="AK699" s="683"/>
      <c r="AL699" s="664" t="s">
        <v>162</v>
      </c>
      <c r="AM699" s="665"/>
      <c r="AN699" s="713" t="s">
        <v>162</v>
      </c>
      <c r="AO699" s="714"/>
      <c r="AP699" s="729"/>
      <c r="AQ699" s="730"/>
      <c r="AR699" s="731"/>
      <c r="AS699" s="732"/>
      <c r="AT699" s="733"/>
      <c r="AU699" s="734"/>
      <c r="AV699" s="713" t="s">
        <v>162</v>
      </c>
      <c r="AW699" s="714"/>
      <c r="AX699" s="692"/>
      <c r="AY699" s="693"/>
      <c r="AZ699" s="694"/>
      <c r="BA699" s="735"/>
      <c r="BB699" s="736"/>
      <c r="BC699" s="219"/>
      <c r="BD699" s="737" t="s">
        <v>162</v>
      </c>
      <c r="BE699" s="738"/>
      <c r="BF699" s="739"/>
      <c r="BG699" s="740"/>
      <c r="BH699" s="740"/>
      <c r="BI699" s="741"/>
      <c r="BJ699" s="742" t="s">
        <v>159</v>
      </c>
      <c r="BK699" s="743"/>
      <c r="BL699" s="743"/>
      <c r="BM699" s="744"/>
      <c r="BN699" s="703" t="s">
        <v>159</v>
      </c>
      <c r="BO699" s="704"/>
      <c r="BP699" s="704"/>
      <c r="BQ699" s="704"/>
      <c r="BR699" s="704"/>
      <c r="BS699" s="704"/>
      <c r="BT699" s="704"/>
      <c r="BU699" s="704"/>
      <c r="BV699" s="705"/>
    </row>
    <row r="700" spans="1:74" ht="45" customHeight="1" x14ac:dyDescent="0.25">
      <c r="A700" s="10">
        <f t="shared" si="10"/>
        <v>686</v>
      </c>
      <c r="B700" s="662" t="s">
        <v>159</v>
      </c>
      <c r="C700" s="662"/>
      <c r="D700" s="663" t="s">
        <v>212</v>
      </c>
      <c r="E700" s="663"/>
      <c r="F700" s="664" t="s">
        <v>162</v>
      </c>
      <c r="G700" s="665"/>
      <c r="H700" s="754" t="s">
        <v>162</v>
      </c>
      <c r="I700" s="714"/>
      <c r="J700" s="715"/>
      <c r="K700" s="716"/>
      <c r="L700" s="715"/>
      <c r="M700" s="716"/>
      <c r="N700" s="194"/>
      <c r="O700" s="196"/>
      <c r="P700" s="717"/>
      <c r="Q700" s="718"/>
      <c r="R700" s="672"/>
      <c r="S700" s="673"/>
      <c r="T700" s="674"/>
      <c r="U700" s="675"/>
      <c r="V700" s="676"/>
      <c r="W700" s="677"/>
      <c r="X700" s="678" t="s">
        <v>159</v>
      </c>
      <c r="Y700" s="678"/>
      <c r="Z700" s="678"/>
      <c r="AA700" s="678"/>
      <c r="AB700" s="679" t="s">
        <v>159</v>
      </c>
      <c r="AC700" s="679"/>
      <c r="AD700" s="679"/>
      <c r="AE700" s="679"/>
      <c r="AF700" s="680"/>
      <c r="AG700" s="681"/>
      <c r="AH700" s="680"/>
      <c r="AI700" s="681"/>
      <c r="AJ700" s="682"/>
      <c r="AK700" s="683"/>
      <c r="AL700" s="684" t="s">
        <v>162</v>
      </c>
      <c r="AM700" s="685"/>
      <c r="AN700" s="666" t="s">
        <v>162</v>
      </c>
      <c r="AO700" s="667"/>
      <c r="AP700" s="686"/>
      <c r="AQ700" s="687"/>
      <c r="AR700" s="688"/>
      <c r="AS700" s="689"/>
      <c r="AT700" s="690"/>
      <c r="AU700" s="691"/>
      <c r="AV700" s="666" t="s">
        <v>162</v>
      </c>
      <c r="AW700" s="667"/>
      <c r="AX700" s="692"/>
      <c r="AY700" s="693"/>
      <c r="AZ700" s="694"/>
      <c r="BA700" s="682"/>
      <c r="BB700" s="683"/>
      <c r="BC700" s="14"/>
      <c r="BD700" s="695" t="s">
        <v>162</v>
      </c>
      <c r="BE700" s="696"/>
      <c r="BF700" s="708"/>
      <c r="BG700" s="709"/>
      <c r="BH700" s="709"/>
      <c r="BI700" s="710"/>
      <c r="BJ700" s="700" t="s">
        <v>159</v>
      </c>
      <c r="BK700" s="701"/>
      <c r="BL700" s="701"/>
      <c r="BM700" s="702"/>
      <c r="BN700" s="703" t="s">
        <v>159</v>
      </c>
      <c r="BO700" s="704"/>
      <c r="BP700" s="704"/>
      <c r="BQ700" s="704"/>
      <c r="BR700" s="704"/>
      <c r="BS700" s="704"/>
      <c r="BT700" s="704"/>
      <c r="BU700" s="704"/>
      <c r="BV700" s="705"/>
    </row>
    <row r="701" spans="1:74" ht="45" customHeight="1" x14ac:dyDescent="0.25">
      <c r="A701" s="10">
        <f t="shared" si="10"/>
        <v>687</v>
      </c>
      <c r="B701" s="711" t="s">
        <v>159</v>
      </c>
      <c r="C701" s="711"/>
      <c r="D701" s="712" t="s">
        <v>212</v>
      </c>
      <c r="E701" s="712"/>
      <c r="F701" s="664" t="s">
        <v>162</v>
      </c>
      <c r="G701" s="665"/>
      <c r="H701" s="755" t="s">
        <v>162</v>
      </c>
      <c r="I701" s="667"/>
      <c r="J701" s="706"/>
      <c r="K701" s="707"/>
      <c r="L701" s="706"/>
      <c r="M701" s="707"/>
      <c r="N701" s="215"/>
      <c r="O701" s="216"/>
      <c r="P701" s="670"/>
      <c r="Q701" s="671"/>
      <c r="R701" s="719"/>
      <c r="S701" s="720"/>
      <c r="T701" s="721"/>
      <c r="U701" s="722"/>
      <c r="V701" s="723"/>
      <c r="W701" s="724"/>
      <c r="X701" s="725" t="s">
        <v>159</v>
      </c>
      <c r="Y701" s="725"/>
      <c r="Z701" s="725"/>
      <c r="AA701" s="725"/>
      <c r="AB701" s="726" t="s">
        <v>159</v>
      </c>
      <c r="AC701" s="726"/>
      <c r="AD701" s="726"/>
      <c r="AE701" s="726"/>
      <c r="AF701" s="727"/>
      <c r="AG701" s="728"/>
      <c r="AH701" s="727"/>
      <c r="AI701" s="728"/>
      <c r="AJ701" s="682"/>
      <c r="AK701" s="683"/>
      <c r="AL701" s="664" t="s">
        <v>162</v>
      </c>
      <c r="AM701" s="665"/>
      <c r="AN701" s="713" t="s">
        <v>162</v>
      </c>
      <c r="AO701" s="714"/>
      <c r="AP701" s="729"/>
      <c r="AQ701" s="730"/>
      <c r="AR701" s="731"/>
      <c r="AS701" s="732"/>
      <c r="AT701" s="733"/>
      <c r="AU701" s="734"/>
      <c r="AV701" s="713" t="s">
        <v>162</v>
      </c>
      <c r="AW701" s="714"/>
      <c r="AX701" s="692"/>
      <c r="AY701" s="693"/>
      <c r="AZ701" s="694"/>
      <c r="BA701" s="735"/>
      <c r="BB701" s="736"/>
      <c r="BC701" s="219"/>
      <c r="BD701" s="737" t="s">
        <v>162</v>
      </c>
      <c r="BE701" s="738"/>
      <c r="BF701" s="739"/>
      <c r="BG701" s="740"/>
      <c r="BH701" s="740"/>
      <c r="BI701" s="741"/>
      <c r="BJ701" s="742" t="s">
        <v>159</v>
      </c>
      <c r="BK701" s="743"/>
      <c r="BL701" s="743"/>
      <c r="BM701" s="744"/>
      <c r="BN701" s="703" t="s">
        <v>159</v>
      </c>
      <c r="BO701" s="704"/>
      <c r="BP701" s="704"/>
      <c r="BQ701" s="704"/>
      <c r="BR701" s="704"/>
      <c r="BS701" s="704"/>
      <c r="BT701" s="704"/>
      <c r="BU701" s="704"/>
      <c r="BV701" s="705"/>
    </row>
    <row r="702" spans="1:74" ht="45" customHeight="1" x14ac:dyDescent="0.25">
      <c r="A702" s="10">
        <f t="shared" si="10"/>
        <v>688</v>
      </c>
      <c r="B702" s="662" t="s">
        <v>159</v>
      </c>
      <c r="C702" s="662"/>
      <c r="D702" s="663" t="s">
        <v>212</v>
      </c>
      <c r="E702" s="663"/>
      <c r="F702" s="664" t="s">
        <v>162</v>
      </c>
      <c r="G702" s="665"/>
      <c r="H702" s="754" t="s">
        <v>162</v>
      </c>
      <c r="I702" s="714"/>
      <c r="J702" s="715"/>
      <c r="K702" s="716"/>
      <c r="L702" s="715"/>
      <c r="M702" s="716"/>
      <c r="N702" s="194"/>
      <c r="O702" s="196"/>
      <c r="P702" s="717"/>
      <c r="Q702" s="718"/>
      <c r="R702" s="672"/>
      <c r="S702" s="673"/>
      <c r="T702" s="674"/>
      <c r="U702" s="675"/>
      <c r="V702" s="676"/>
      <c r="W702" s="677"/>
      <c r="X702" s="678" t="s">
        <v>159</v>
      </c>
      <c r="Y702" s="678"/>
      <c r="Z702" s="678"/>
      <c r="AA702" s="678"/>
      <c r="AB702" s="679" t="s">
        <v>159</v>
      </c>
      <c r="AC702" s="679"/>
      <c r="AD702" s="679"/>
      <c r="AE702" s="679"/>
      <c r="AF702" s="680"/>
      <c r="AG702" s="681"/>
      <c r="AH702" s="680"/>
      <c r="AI702" s="681"/>
      <c r="AJ702" s="682"/>
      <c r="AK702" s="683"/>
      <c r="AL702" s="684" t="s">
        <v>162</v>
      </c>
      <c r="AM702" s="685"/>
      <c r="AN702" s="666" t="s">
        <v>162</v>
      </c>
      <c r="AO702" s="667"/>
      <c r="AP702" s="686"/>
      <c r="AQ702" s="687"/>
      <c r="AR702" s="688"/>
      <c r="AS702" s="689"/>
      <c r="AT702" s="690"/>
      <c r="AU702" s="691"/>
      <c r="AV702" s="666" t="s">
        <v>162</v>
      </c>
      <c r="AW702" s="667"/>
      <c r="AX702" s="692"/>
      <c r="AY702" s="693"/>
      <c r="AZ702" s="694"/>
      <c r="BA702" s="682"/>
      <c r="BB702" s="683"/>
      <c r="BC702" s="14"/>
      <c r="BD702" s="695" t="s">
        <v>162</v>
      </c>
      <c r="BE702" s="696"/>
      <c r="BF702" s="697"/>
      <c r="BG702" s="698"/>
      <c r="BH702" s="698"/>
      <c r="BI702" s="699"/>
      <c r="BJ702" s="700" t="s">
        <v>159</v>
      </c>
      <c r="BK702" s="701"/>
      <c r="BL702" s="701"/>
      <c r="BM702" s="702"/>
      <c r="BN702" s="703" t="s">
        <v>159</v>
      </c>
      <c r="BO702" s="704"/>
      <c r="BP702" s="704"/>
      <c r="BQ702" s="704"/>
      <c r="BR702" s="704"/>
      <c r="BS702" s="704"/>
      <c r="BT702" s="704"/>
      <c r="BU702" s="704"/>
      <c r="BV702" s="705"/>
    </row>
    <row r="703" spans="1:74" ht="45" customHeight="1" x14ac:dyDescent="0.25">
      <c r="A703" s="10">
        <f t="shared" si="10"/>
        <v>689</v>
      </c>
      <c r="B703" s="711" t="s">
        <v>159</v>
      </c>
      <c r="C703" s="711"/>
      <c r="D703" s="712" t="s">
        <v>212</v>
      </c>
      <c r="E703" s="712"/>
      <c r="F703" s="664" t="s">
        <v>162</v>
      </c>
      <c r="G703" s="665"/>
      <c r="H703" s="755" t="s">
        <v>162</v>
      </c>
      <c r="I703" s="667"/>
      <c r="J703" s="706"/>
      <c r="K703" s="707"/>
      <c r="L703" s="706"/>
      <c r="M703" s="707"/>
      <c r="N703" s="215"/>
      <c r="O703" s="216"/>
      <c r="P703" s="670"/>
      <c r="Q703" s="671"/>
      <c r="R703" s="719"/>
      <c r="S703" s="720"/>
      <c r="T703" s="721"/>
      <c r="U703" s="722"/>
      <c r="V703" s="723"/>
      <c r="W703" s="724"/>
      <c r="X703" s="725" t="s">
        <v>159</v>
      </c>
      <c r="Y703" s="725"/>
      <c r="Z703" s="725"/>
      <c r="AA703" s="725"/>
      <c r="AB703" s="726" t="s">
        <v>159</v>
      </c>
      <c r="AC703" s="726"/>
      <c r="AD703" s="726"/>
      <c r="AE703" s="726"/>
      <c r="AF703" s="727"/>
      <c r="AG703" s="728"/>
      <c r="AH703" s="727"/>
      <c r="AI703" s="728"/>
      <c r="AJ703" s="682"/>
      <c r="AK703" s="683"/>
      <c r="AL703" s="664" t="s">
        <v>162</v>
      </c>
      <c r="AM703" s="665"/>
      <c r="AN703" s="713" t="s">
        <v>162</v>
      </c>
      <c r="AO703" s="714"/>
      <c r="AP703" s="729"/>
      <c r="AQ703" s="730"/>
      <c r="AR703" s="731"/>
      <c r="AS703" s="732"/>
      <c r="AT703" s="733"/>
      <c r="AU703" s="734"/>
      <c r="AV703" s="713" t="s">
        <v>162</v>
      </c>
      <c r="AW703" s="714"/>
      <c r="AX703" s="692"/>
      <c r="AY703" s="693"/>
      <c r="AZ703" s="694"/>
      <c r="BA703" s="735"/>
      <c r="BB703" s="736"/>
      <c r="BC703" s="219"/>
      <c r="BD703" s="737" t="s">
        <v>162</v>
      </c>
      <c r="BE703" s="738"/>
      <c r="BF703" s="739"/>
      <c r="BG703" s="740"/>
      <c r="BH703" s="740"/>
      <c r="BI703" s="741"/>
      <c r="BJ703" s="742" t="s">
        <v>159</v>
      </c>
      <c r="BK703" s="743"/>
      <c r="BL703" s="743"/>
      <c r="BM703" s="744"/>
      <c r="BN703" s="703" t="s">
        <v>159</v>
      </c>
      <c r="BO703" s="704"/>
      <c r="BP703" s="704"/>
      <c r="BQ703" s="704"/>
      <c r="BR703" s="704"/>
      <c r="BS703" s="704"/>
      <c r="BT703" s="704"/>
      <c r="BU703" s="704"/>
      <c r="BV703" s="705"/>
    </row>
    <row r="704" spans="1:74" ht="45" customHeight="1" x14ac:dyDescent="0.25">
      <c r="A704" s="10">
        <f t="shared" si="10"/>
        <v>690</v>
      </c>
      <c r="B704" s="662" t="s">
        <v>159</v>
      </c>
      <c r="C704" s="662"/>
      <c r="D704" s="663" t="s">
        <v>212</v>
      </c>
      <c r="E704" s="663"/>
      <c r="F704" s="664" t="s">
        <v>162</v>
      </c>
      <c r="G704" s="665"/>
      <c r="H704" s="754" t="s">
        <v>162</v>
      </c>
      <c r="I704" s="714"/>
      <c r="J704" s="715"/>
      <c r="K704" s="716"/>
      <c r="L704" s="715"/>
      <c r="M704" s="716"/>
      <c r="N704" s="194"/>
      <c r="O704" s="196"/>
      <c r="P704" s="717"/>
      <c r="Q704" s="718"/>
      <c r="R704" s="672"/>
      <c r="S704" s="673"/>
      <c r="T704" s="674"/>
      <c r="U704" s="675"/>
      <c r="V704" s="676"/>
      <c r="W704" s="677"/>
      <c r="X704" s="678" t="s">
        <v>159</v>
      </c>
      <c r="Y704" s="678"/>
      <c r="Z704" s="678"/>
      <c r="AA704" s="678"/>
      <c r="AB704" s="679" t="s">
        <v>159</v>
      </c>
      <c r="AC704" s="679"/>
      <c r="AD704" s="679"/>
      <c r="AE704" s="679"/>
      <c r="AF704" s="680"/>
      <c r="AG704" s="681"/>
      <c r="AH704" s="680"/>
      <c r="AI704" s="681"/>
      <c r="AJ704" s="682"/>
      <c r="AK704" s="683"/>
      <c r="AL704" s="684" t="s">
        <v>162</v>
      </c>
      <c r="AM704" s="685"/>
      <c r="AN704" s="666" t="s">
        <v>162</v>
      </c>
      <c r="AO704" s="667"/>
      <c r="AP704" s="686"/>
      <c r="AQ704" s="687"/>
      <c r="AR704" s="688"/>
      <c r="AS704" s="689"/>
      <c r="AT704" s="690"/>
      <c r="AU704" s="691"/>
      <c r="AV704" s="666" t="s">
        <v>162</v>
      </c>
      <c r="AW704" s="667"/>
      <c r="AX704" s="692"/>
      <c r="AY704" s="693"/>
      <c r="AZ704" s="694"/>
      <c r="BA704" s="682"/>
      <c r="BB704" s="683"/>
      <c r="BC704" s="14"/>
      <c r="BD704" s="695" t="s">
        <v>162</v>
      </c>
      <c r="BE704" s="696"/>
      <c r="BF704" s="697"/>
      <c r="BG704" s="698"/>
      <c r="BH704" s="698"/>
      <c r="BI704" s="699"/>
      <c r="BJ704" s="700" t="s">
        <v>159</v>
      </c>
      <c r="BK704" s="701"/>
      <c r="BL704" s="701"/>
      <c r="BM704" s="702"/>
      <c r="BN704" s="703" t="s">
        <v>159</v>
      </c>
      <c r="BO704" s="704"/>
      <c r="BP704" s="704"/>
      <c r="BQ704" s="704"/>
      <c r="BR704" s="704"/>
      <c r="BS704" s="704"/>
      <c r="BT704" s="704"/>
      <c r="BU704" s="704"/>
      <c r="BV704" s="705"/>
    </row>
    <row r="705" spans="1:74" ht="45" customHeight="1" x14ac:dyDescent="0.25">
      <c r="A705" s="10">
        <f t="shared" si="10"/>
        <v>691</v>
      </c>
      <c r="B705" s="711" t="s">
        <v>159</v>
      </c>
      <c r="C705" s="711"/>
      <c r="D705" s="712" t="s">
        <v>212</v>
      </c>
      <c r="E705" s="712"/>
      <c r="F705" s="664" t="s">
        <v>162</v>
      </c>
      <c r="G705" s="665"/>
      <c r="H705" s="755" t="s">
        <v>162</v>
      </c>
      <c r="I705" s="667"/>
      <c r="J705" s="706"/>
      <c r="K705" s="707"/>
      <c r="L705" s="706"/>
      <c r="M705" s="707"/>
      <c r="N705" s="215"/>
      <c r="O705" s="216"/>
      <c r="P705" s="670"/>
      <c r="Q705" s="671"/>
      <c r="R705" s="719"/>
      <c r="S705" s="720"/>
      <c r="T705" s="721"/>
      <c r="U705" s="722"/>
      <c r="V705" s="723"/>
      <c r="W705" s="724"/>
      <c r="X705" s="725" t="s">
        <v>159</v>
      </c>
      <c r="Y705" s="725"/>
      <c r="Z705" s="725"/>
      <c r="AA705" s="725"/>
      <c r="AB705" s="726" t="s">
        <v>159</v>
      </c>
      <c r="AC705" s="726"/>
      <c r="AD705" s="726"/>
      <c r="AE705" s="726"/>
      <c r="AF705" s="727"/>
      <c r="AG705" s="728"/>
      <c r="AH705" s="727"/>
      <c r="AI705" s="728"/>
      <c r="AJ705" s="682"/>
      <c r="AK705" s="683"/>
      <c r="AL705" s="664" t="s">
        <v>162</v>
      </c>
      <c r="AM705" s="665"/>
      <c r="AN705" s="713" t="s">
        <v>162</v>
      </c>
      <c r="AO705" s="714"/>
      <c r="AP705" s="729"/>
      <c r="AQ705" s="730"/>
      <c r="AR705" s="731"/>
      <c r="AS705" s="732"/>
      <c r="AT705" s="733"/>
      <c r="AU705" s="734"/>
      <c r="AV705" s="713" t="s">
        <v>162</v>
      </c>
      <c r="AW705" s="714"/>
      <c r="AX705" s="692"/>
      <c r="AY705" s="693"/>
      <c r="AZ705" s="694"/>
      <c r="BA705" s="735"/>
      <c r="BB705" s="736"/>
      <c r="BC705" s="219"/>
      <c r="BD705" s="737" t="s">
        <v>162</v>
      </c>
      <c r="BE705" s="738"/>
      <c r="BF705" s="739"/>
      <c r="BG705" s="740"/>
      <c r="BH705" s="740"/>
      <c r="BI705" s="741"/>
      <c r="BJ705" s="742" t="s">
        <v>159</v>
      </c>
      <c r="BK705" s="743"/>
      <c r="BL705" s="743"/>
      <c r="BM705" s="744"/>
      <c r="BN705" s="703" t="s">
        <v>159</v>
      </c>
      <c r="BO705" s="704"/>
      <c r="BP705" s="704"/>
      <c r="BQ705" s="704"/>
      <c r="BR705" s="704"/>
      <c r="BS705" s="704"/>
      <c r="BT705" s="704"/>
      <c r="BU705" s="704"/>
      <c r="BV705" s="705"/>
    </row>
    <row r="706" spans="1:74" ht="45" customHeight="1" x14ac:dyDescent="0.25">
      <c r="A706" s="10">
        <f t="shared" si="10"/>
        <v>692</v>
      </c>
      <c r="B706" s="662" t="s">
        <v>159</v>
      </c>
      <c r="C706" s="662"/>
      <c r="D706" s="663" t="s">
        <v>212</v>
      </c>
      <c r="E706" s="663"/>
      <c r="F706" s="664" t="s">
        <v>162</v>
      </c>
      <c r="G706" s="665"/>
      <c r="H706" s="754" t="s">
        <v>162</v>
      </c>
      <c r="I706" s="714"/>
      <c r="J706" s="715"/>
      <c r="K706" s="716"/>
      <c r="L706" s="715"/>
      <c r="M706" s="716"/>
      <c r="N706" s="194"/>
      <c r="O706" s="196"/>
      <c r="P706" s="717"/>
      <c r="Q706" s="718"/>
      <c r="R706" s="672"/>
      <c r="S706" s="673"/>
      <c r="T706" s="674"/>
      <c r="U706" s="675"/>
      <c r="V706" s="676"/>
      <c r="W706" s="677"/>
      <c r="X706" s="678" t="s">
        <v>159</v>
      </c>
      <c r="Y706" s="678"/>
      <c r="Z706" s="678"/>
      <c r="AA706" s="678"/>
      <c r="AB706" s="679" t="s">
        <v>159</v>
      </c>
      <c r="AC706" s="679"/>
      <c r="AD706" s="679"/>
      <c r="AE706" s="679"/>
      <c r="AF706" s="680"/>
      <c r="AG706" s="681"/>
      <c r="AH706" s="680"/>
      <c r="AI706" s="681"/>
      <c r="AJ706" s="682"/>
      <c r="AK706" s="683"/>
      <c r="AL706" s="684" t="s">
        <v>162</v>
      </c>
      <c r="AM706" s="685"/>
      <c r="AN706" s="666" t="s">
        <v>162</v>
      </c>
      <c r="AO706" s="667"/>
      <c r="AP706" s="686"/>
      <c r="AQ706" s="687"/>
      <c r="AR706" s="688"/>
      <c r="AS706" s="689"/>
      <c r="AT706" s="690"/>
      <c r="AU706" s="691"/>
      <c r="AV706" s="666" t="s">
        <v>162</v>
      </c>
      <c r="AW706" s="667"/>
      <c r="AX706" s="692"/>
      <c r="AY706" s="693"/>
      <c r="AZ706" s="694"/>
      <c r="BA706" s="682"/>
      <c r="BB706" s="683"/>
      <c r="BC706" s="14"/>
      <c r="BD706" s="695" t="s">
        <v>162</v>
      </c>
      <c r="BE706" s="696"/>
      <c r="BF706" s="708"/>
      <c r="BG706" s="709"/>
      <c r="BH706" s="709"/>
      <c r="BI706" s="710"/>
      <c r="BJ706" s="700" t="s">
        <v>159</v>
      </c>
      <c r="BK706" s="701"/>
      <c r="BL706" s="701"/>
      <c r="BM706" s="702"/>
      <c r="BN706" s="703" t="s">
        <v>159</v>
      </c>
      <c r="BO706" s="704"/>
      <c r="BP706" s="704"/>
      <c r="BQ706" s="704"/>
      <c r="BR706" s="704"/>
      <c r="BS706" s="704"/>
      <c r="BT706" s="704"/>
      <c r="BU706" s="704"/>
      <c r="BV706" s="705"/>
    </row>
    <row r="707" spans="1:74" ht="45" customHeight="1" x14ac:dyDescent="0.25">
      <c r="A707" s="10">
        <f t="shared" si="10"/>
        <v>693</v>
      </c>
      <c r="B707" s="711" t="s">
        <v>159</v>
      </c>
      <c r="C707" s="711"/>
      <c r="D707" s="712" t="s">
        <v>212</v>
      </c>
      <c r="E707" s="712"/>
      <c r="F707" s="664" t="s">
        <v>162</v>
      </c>
      <c r="G707" s="665"/>
      <c r="H707" s="755" t="s">
        <v>162</v>
      </c>
      <c r="I707" s="667"/>
      <c r="J707" s="706"/>
      <c r="K707" s="707"/>
      <c r="L707" s="706"/>
      <c r="M707" s="707"/>
      <c r="N707" s="215"/>
      <c r="O707" s="216"/>
      <c r="P707" s="670"/>
      <c r="Q707" s="671"/>
      <c r="R707" s="719"/>
      <c r="S707" s="720"/>
      <c r="T707" s="721"/>
      <c r="U707" s="722"/>
      <c r="V707" s="723"/>
      <c r="W707" s="724"/>
      <c r="X707" s="725" t="s">
        <v>159</v>
      </c>
      <c r="Y707" s="725"/>
      <c r="Z707" s="725"/>
      <c r="AA707" s="725"/>
      <c r="AB707" s="726" t="s">
        <v>159</v>
      </c>
      <c r="AC707" s="726"/>
      <c r="AD707" s="726"/>
      <c r="AE707" s="726"/>
      <c r="AF707" s="727"/>
      <c r="AG707" s="728"/>
      <c r="AH707" s="727"/>
      <c r="AI707" s="728"/>
      <c r="AJ707" s="682"/>
      <c r="AK707" s="683"/>
      <c r="AL707" s="664" t="s">
        <v>162</v>
      </c>
      <c r="AM707" s="665"/>
      <c r="AN707" s="713" t="s">
        <v>162</v>
      </c>
      <c r="AO707" s="714"/>
      <c r="AP707" s="729"/>
      <c r="AQ707" s="730"/>
      <c r="AR707" s="731"/>
      <c r="AS707" s="732"/>
      <c r="AT707" s="733"/>
      <c r="AU707" s="734"/>
      <c r="AV707" s="713" t="s">
        <v>162</v>
      </c>
      <c r="AW707" s="714"/>
      <c r="AX707" s="692"/>
      <c r="AY707" s="693"/>
      <c r="AZ707" s="694"/>
      <c r="BA707" s="735"/>
      <c r="BB707" s="736"/>
      <c r="BC707" s="219"/>
      <c r="BD707" s="737" t="s">
        <v>162</v>
      </c>
      <c r="BE707" s="738"/>
      <c r="BF707" s="739"/>
      <c r="BG707" s="740"/>
      <c r="BH707" s="740"/>
      <c r="BI707" s="741"/>
      <c r="BJ707" s="742" t="s">
        <v>159</v>
      </c>
      <c r="BK707" s="743"/>
      <c r="BL707" s="743"/>
      <c r="BM707" s="744"/>
      <c r="BN707" s="703" t="s">
        <v>159</v>
      </c>
      <c r="BO707" s="704"/>
      <c r="BP707" s="704"/>
      <c r="BQ707" s="704"/>
      <c r="BR707" s="704"/>
      <c r="BS707" s="704"/>
      <c r="BT707" s="704"/>
      <c r="BU707" s="704"/>
      <c r="BV707" s="705"/>
    </row>
    <row r="708" spans="1:74" ht="45" customHeight="1" x14ac:dyDescent="0.25">
      <c r="A708" s="10">
        <f t="shared" si="10"/>
        <v>694</v>
      </c>
      <c r="B708" s="662" t="s">
        <v>159</v>
      </c>
      <c r="C708" s="662"/>
      <c r="D708" s="663" t="s">
        <v>212</v>
      </c>
      <c r="E708" s="663"/>
      <c r="F708" s="664" t="s">
        <v>162</v>
      </c>
      <c r="G708" s="665"/>
      <c r="H708" s="754" t="s">
        <v>162</v>
      </c>
      <c r="I708" s="714"/>
      <c r="J708" s="715"/>
      <c r="K708" s="716"/>
      <c r="L708" s="715"/>
      <c r="M708" s="716"/>
      <c r="N708" s="194"/>
      <c r="O708" s="196"/>
      <c r="P708" s="717"/>
      <c r="Q708" s="718"/>
      <c r="R708" s="672"/>
      <c r="S708" s="673"/>
      <c r="T708" s="674"/>
      <c r="U708" s="675"/>
      <c r="V708" s="676"/>
      <c r="W708" s="677"/>
      <c r="X708" s="678" t="s">
        <v>159</v>
      </c>
      <c r="Y708" s="678"/>
      <c r="Z708" s="678"/>
      <c r="AA708" s="678"/>
      <c r="AB708" s="679" t="s">
        <v>159</v>
      </c>
      <c r="AC708" s="679"/>
      <c r="AD708" s="679"/>
      <c r="AE708" s="679"/>
      <c r="AF708" s="680"/>
      <c r="AG708" s="681"/>
      <c r="AH708" s="680"/>
      <c r="AI708" s="681"/>
      <c r="AJ708" s="682"/>
      <c r="AK708" s="683"/>
      <c r="AL708" s="684" t="s">
        <v>162</v>
      </c>
      <c r="AM708" s="685"/>
      <c r="AN708" s="666" t="s">
        <v>162</v>
      </c>
      <c r="AO708" s="667"/>
      <c r="AP708" s="686"/>
      <c r="AQ708" s="687"/>
      <c r="AR708" s="688"/>
      <c r="AS708" s="689"/>
      <c r="AT708" s="690"/>
      <c r="AU708" s="691"/>
      <c r="AV708" s="666" t="s">
        <v>162</v>
      </c>
      <c r="AW708" s="667"/>
      <c r="AX708" s="692"/>
      <c r="AY708" s="693"/>
      <c r="AZ708" s="694"/>
      <c r="BA708" s="682"/>
      <c r="BB708" s="683"/>
      <c r="BC708" s="14"/>
      <c r="BD708" s="695" t="s">
        <v>162</v>
      </c>
      <c r="BE708" s="696"/>
      <c r="BF708" s="697"/>
      <c r="BG708" s="698"/>
      <c r="BH708" s="698"/>
      <c r="BI708" s="699"/>
      <c r="BJ708" s="700" t="s">
        <v>159</v>
      </c>
      <c r="BK708" s="701"/>
      <c r="BL708" s="701"/>
      <c r="BM708" s="702"/>
      <c r="BN708" s="703" t="s">
        <v>159</v>
      </c>
      <c r="BO708" s="704"/>
      <c r="BP708" s="704"/>
      <c r="BQ708" s="704"/>
      <c r="BR708" s="704"/>
      <c r="BS708" s="704"/>
      <c r="BT708" s="704"/>
      <c r="BU708" s="704"/>
      <c r="BV708" s="705"/>
    </row>
    <row r="709" spans="1:74" ht="45" customHeight="1" x14ac:dyDescent="0.25">
      <c r="A709" s="10">
        <f t="shared" si="10"/>
        <v>695</v>
      </c>
      <c r="B709" s="711" t="s">
        <v>159</v>
      </c>
      <c r="C709" s="711"/>
      <c r="D709" s="712" t="s">
        <v>212</v>
      </c>
      <c r="E709" s="712"/>
      <c r="F709" s="664" t="s">
        <v>162</v>
      </c>
      <c r="G709" s="665"/>
      <c r="H709" s="755" t="s">
        <v>162</v>
      </c>
      <c r="I709" s="667"/>
      <c r="J709" s="706"/>
      <c r="K709" s="707"/>
      <c r="L709" s="706"/>
      <c r="M709" s="707"/>
      <c r="N709" s="194"/>
      <c r="O709" s="196"/>
      <c r="P709" s="717"/>
      <c r="Q709" s="718"/>
      <c r="R709" s="719"/>
      <c r="S709" s="720"/>
      <c r="T709" s="721"/>
      <c r="U709" s="722"/>
      <c r="V709" s="723"/>
      <c r="W709" s="724"/>
      <c r="X709" s="725" t="s">
        <v>159</v>
      </c>
      <c r="Y709" s="725"/>
      <c r="Z709" s="725"/>
      <c r="AA709" s="725"/>
      <c r="AB709" s="726" t="s">
        <v>159</v>
      </c>
      <c r="AC709" s="726"/>
      <c r="AD709" s="726"/>
      <c r="AE709" s="726"/>
      <c r="AF709" s="727"/>
      <c r="AG709" s="728"/>
      <c r="AH709" s="727"/>
      <c r="AI709" s="728"/>
      <c r="AJ709" s="682"/>
      <c r="AK709" s="683"/>
      <c r="AL709" s="664" t="s">
        <v>162</v>
      </c>
      <c r="AM709" s="665"/>
      <c r="AN709" s="713" t="s">
        <v>162</v>
      </c>
      <c r="AO709" s="714"/>
      <c r="AP709" s="729"/>
      <c r="AQ709" s="730"/>
      <c r="AR709" s="731"/>
      <c r="AS709" s="732"/>
      <c r="AT709" s="690"/>
      <c r="AU709" s="691"/>
      <c r="AV709" s="713" t="s">
        <v>162</v>
      </c>
      <c r="AW709" s="714"/>
      <c r="AX709" s="692"/>
      <c r="AY709" s="693"/>
      <c r="AZ709" s="694"/>
      <c r="BA709" s="735"/>
      <c r="BB709" s="736"/>
      <c r="BC709" s="219"/>
      <c r="BD709" s="737" t="s">
        <v>162</v>
      </c>
      <c r="BE709" s="738"/>
      <c r="BF709" s="739"/>
      <c r="BG709" s="740"/>
      <c r="BH709" s="740"/>
      <c r="BI709" s="741"/>
      <c r="BJ709" s="742" t="s">
        <v>159</v>
      </c>
      <c r="BK709" s="743"/>
      <c r="BL709" s="743"/>
      <c r="BM709" s="744"/>
      <c r="BN709" s="703" t="s">
        <v>159</v>
      </c>
      <c r="BO709" s="704"/>
      <c r="BP709" s="704"/>
      <c r="BQ709" s="704"/>
      <c r="BR709" s="704"/>
      <c r="BS709" s="704"/>
      <c r="BT709" s="704"/>
      <c r="BU709" s="704"/>
      <c r="BV709" s="705"/>
    </row>
    <row r="710" spans="1:74" ht="45" customHeight="1" x14ac:dyDescent="0.25">
      <c r="A710" s="10">
        <f t="shared" si="10"/>
        <v>696</v>
      </c>
      <c r="B710" s="662" t="s">
        <v>159</v>
      </c>
      <c r="C710" s="662"/>
      <c r="D710" s="663" t="s">
        <v>212</v>
      </c>
      <c r="E710" s="663"/>
      <c r="F710" s="664" t="s">
        <v>162</v>
      </c>
      <c r="G710" s="665"/>
      <c r="H710" s="754" t="s">
        <v>162</v>
      </c>
      <c r="I710" s="714"/>
      <c r="J710" s="715"/>
      <c r="K710" s="716"/>
      <c r="L710" s="715"/>
      <c r="M710" s="716"/>
      <c r="N710" s="215"/>
      <c r="O710" s="216"/>
      <c r="P710" s="670"/>
      <c r="Q710" s="671"/>
      <c r="R710" s="672"/>
      <c r="S710" s="673"/>
      <c r="T710" s="674"/>
      <c r="U710" s="675"/>
      <c r="V710" s="676"/>
      <c r="W710" s="677"/>
      <c r="X710" s="678" t="s">
        <v>159</v>
      </c>
      <c r="Y710" s="678"/>
      <c r="Z710" s="678"/>
      <c r="AA710" s="678"/>
      <c r="AB710" s="679" t="s">
        <v>159</v>
      </c>
      <c r="AC710" s="679"/>
      <c r="AD710" s="679"/>
      <c r="AE710" s="679"/>
      <c r="AF710" s="680"/>
      <c r="AG710" s="681"/>
      <c r="AH710" s="680"/>
      <c r="AI710" s="681"/>
      <c r="AJ710" s="682"/>
      <c r="AK710" s="683"/>
      <c r="AL710" s="684" t="s">
        <v>162</v>
      </c>
      <c r="AM710" s="685"/>
      <c r="AN710" s="666" t="s">
        <v>162</v>
      </c>
      <c r="AO710" s="667"/>
      <c r="AP710" s="686"/>
      <c r="AQ710" s="687"/>
      <c r="AR710" s="688"/>
      <c r="AS710" s="689"/>
      <c r="AT710" s="690"/>
      <c r="AU710" s="691"/>
      <c r="AV710" s="666" t="s">
        <v>162</v>
      </c>
      <c r="AW710" s="667"/>
      <c r="AX710" s="692"/>
      <c r="AY710" s="693"/>
      <c r="AZ710" s="694"/>
      <c r="BA710" s="682"/>
      <c r="BB710" s="683"/>
      <c r="BC710" s="14"/>
      <c r="BD710" s="695" t="s">
        <v>162</v>
      </c>
      <c r="BE710" s="696"/>
      <c r="BF710" s="697"/>
      <c r="BG710" s="698"/>
      <c r="BH710" s="698"/>
      <c r="BI710" s="699"/>
      <c r="BJ710" s="700" t="s">
        <v>159</v>
      </c>
      <c r="BK710" s="701"/>
      <c r="BL710" s="701"/>
      <c r="BM710" s="702"/>
      <c r="BN710" s="703" t="s">
        <v>159</v>
      </c>
      <c r="BO710" s="704"/>
      <c r="BP710" s="704"/>
      <c r="BQ710" s="704"/>
      <c r="BR710" s="704"/>
      <c r="BS710" s="704"/>
      <c r="BT710" s="704"/>
      <c r="BU710" s="704"/>
      <c r="BV710" s="705"/>
    </row>
    <row r="711" spans="1:74" ht="45" customHeight="1" x14ac:dyDescent="0.25">
      <c r="A711" s="10">
        <f t="shared" si="10"/>
        <v>697</v>
      </c>
      <c r="B711" s="711" t="s">
        <v>159</v>
      </c>
      <c r="C711" s="711"/>
      <c r="D711" s="712" t="s">
        <v>212</v>
      </c>
      <c r="E711" s="712"/>
      <c r="F711" s="664" t="s">
        <v>162</v>
      </c>
      <c r="G711" s="665"/>
      <c r="H711" s="755" t="s">
        <v>162</v>
      </c>
      <c r="I711" s="667"/>
      <c r="J711" s="706"/>
      <c r="K711" s="707"/>
      <c r="L711" s="706"/>
      <c r="M711" s="707"/>
      <c r="N711" s="194"/>
      <c r="O711" s="196"/>
      <c r="P711" s="717"/>
      <c r="Q711" s="718"/>
      <c r="R711" s="719"/>
      <c r="S711" s="720"/>
      <c r="T711" s="721"/>
      <c r="U711" s="722"/>
      <c r="V711" s="723"/>
      <c r="W711" s="724"/>
      <c r="X711" s="725" t="s">
        <v>159</v>
      </c>
      <c r="Y711" s="725"/>
      <c r="Z711" s="725"/>
      <c r="AA711" s="725"/>
      <c r="AB711" s="726" t="s">
        <v>159</v>
      </c>
      <c r="AC711" s="726"/>
      <c r="AD711" s="726"/>
      <c r="AE711" s="726"/>
      <c r="AF711" s="727"/>
      <c r="AG711" s="728"/>
      <c r="AH711" s="727"/>
      <c r="AI711" s="728"/>
      <c r="AJ711" s="682"/>
      <c r="AK711" s="683"/>
      <c r="AL711" s="664" t="s">
        <v>162</v>
      </c>
      <c r="AM711" s="665"/>
      <c r="AN711" s="713" t="s">
        <v>162</v>
      </c>
      <c r="AO711" s="714"/>
      <c r="AP711" s="729"/>
      <c r="AQ711" s="730"/>
      <c r="AR711" s="731"/>
      <c r="AS711" s="732"/>
      <c r="AT711" s="690"/>
      <c r="AU711" s="691"/>
      <c r="AV711" s="713" t="s">
        <v>162</v>
      </c>
      <c r="AW711" s="714"/>
      <c r="AX711" s="692"/>
      <c r="AY711" s="693"/>
      <c r="AZ711" s="694"/>
      <c r="BA711" s="735"/>
      <c r="BB711" s="736"/>
      <c r="BC711" s="219"/>
      <c r="BD711" s="737" t="s">
        <v>162</v>
      </c>
      <c r="BE711" s="738"/>
      <c r="BF711" s="739"/>
      <c r="BG711" s="740"/>
      <c r="BH711" s="740"/>
      <c r="BI711" s="741"/>
      <c r="BJ711" s="742" t="s">
        <v>159</v>
      </c>
      <c r="BK711" s="743"/>
      <c r="BL711" s="743"/>
      <c r="BM711" s="744"/>
      <c r="BN711" s="703" t="s">
        <v>159</v>
      </c>
      <c r="BO711" s="704"/>
      <c r="BP711" s="704"/>
      <c r="BQ711" s="704"/>
      <c r="BR711" s="704"/>
      <c r="BS711" s="704"/>
      <c r="BT711" s="704"/>
      <c r="BU711" s="704"/>
      <c r="BV711" s="705"/>
    </row>
    <row r="712" spans="1:74" ht="45" customHeight="1" x14ac:dyDescent="0.25">
      <c r="A712" s="10">
        <f t="shared" si="10"/>
        <v>698</v>
      </c>
      <c r="B712" s="662" t="s">
        <v>159</v>
      </c>
      <c r="C712" s="662"/>
      <c r="D712" s="663" t="s">
        <v>212</v>
      </c>
      <c r="E712" s="663"/>
      <c r="F712" s="664" t="s">
        <v>162</v>
      </c>
      <c r="G712" s="665"/>
      <c r="H712" s="754" t="s">
        <v>162</v>
      </c>
      <c r="I712" s="714"/>
      <c r="J712" s="715"/>
      <c r="K712" s="716"/>
      <c r="L712" s="715"/>
      <c r="M712" s="716"/>
      <c r="N712" s="215"/>
      <c r="O712" s="216"/>
      <c r="P712" s="670"/>
      <c r="Q712" s="671"/>
      <c r="R712" s="672"/>
      <c r="S712" s="673"/>
      <c r="T712" s="674"/>
      <c r="U712" s="675"/>
      <c r="V712" s="676"/>
      <c r="W712" s="677"/>
      <c r="X712" s="678" t="s">
        <v>159</v>
      </c>
      <c r="Y712" s="678"/>
      <c r="Z712" s="678"/>
      <c r="AA712" s="678"/>
      <c r="AB712" s="679" t="s">
        <v>159</v>
      </c>
      <c r="AC712" s="679"/>
      <c r="AD712" s="679"/>
      <c r="AE712" s="679"/>
      <c r="AF712" s="680"/>
      <c r="AG712" s="681"/>
      <c r="AH712" s="680"/>
      <c r="AI712" s="681"/>
      <c r="AJ712" s="682"/>
      <c r="AK712" s="683"/>
      <c r="AL712" s="684" t="s">
        <v>162</v>
      </c>
      <c r="AM712" s="685"/>
      <c r="AN712" s="666" t="s">
        <v>162</v>
      </c>
      <c r="AO712" s="667"/>
      <c r="AP712" s="686"/>
      <c r="AQ712" s="687"/>
      <c r="AR712" s="688"/>
      <c r="AS712" s="689"/>
      <c r="AT712" s="690"/>
      <c r="AU712" s="691"/>
      <c r="AV712" s="666" t="s">
        <v>162</v>
      </c>
      <c r="AW712" s="667"/>
      <c r="AX712" s="692"/>
      <c r="AY712" s="693"/>
      <c r="AZ712" s="694"/>
      <c r="BA712" s="682"/>
      <c r="BB712" s="683"/>
      <c r="BC712" s="14"/>
      <c r="BD712" s="695" t="s">
        <v>162</v>
      </c>
      <c r="BE712" s="696"/>
      <c r="BF712" s="697"/>
      <c r="BG712" s="698"/>
      <c r="BH712" s="698"/>
      <c r="BI712" s="699"/>
      <c r="BJ712" s="700" t="s">
        <v>159</v>
      </c>
      <c r="BK712" s="701"/>
      <c r="BL712" s="701"/>
      <c r="BM712" s="702"/>
      <c r="BN712" s="703" t="s">
        <v>159</v>
      </c>
      <c r="BO712" s="704"/>
      <c r="BP712" s="704"/>
      <c r="BQ712" s="704"/>
      <c r="BR712" s="704"/>
      <c r="BS712" s="704"/>
      <c r="BT712" s="704"/>
      <c r="BU712" s="704"/>
      <c r="BV712" s="705"/>
    </row>
    <row r="713" spans="1:74" ht="45" customHeight="1" x14ac:dyDescent="0.25">
      <c r="A713" s="10">
        <f t="shared" si="10"/>
        <v>699</v>
      </c>
      <c r="B713" s="711" t="s">
        <v>159</v>
      </c>
      <c r="C713" s="711"/>
      <c r="D713" s="712" t="s">
        <v>212</v>
      </c>
      <c r="E713" s="712"/>
      <c r="F713" s="664" t="s">
        <v>162</v>
      </c>
      <c r="G713" s="665"/>
      <c r="H713" s="755" t="s">
        <v>162</v>
      </c>
      <c r="I713" s="667"/>
      <c r="J713" s="706"/>
      <c r="K713" s="707"/>
      <c r="L713" s="706"/>
      <c r="M713" s="707"/>
      <c r="N713" s="194"/>
      <c r="O713" s="216"/>
      <c r="P713" s="717"/>
      <c r="Q713" s="718"/>
      <c r="R713" s="719"/>
      <c r="S713" s="720"/>
      <c r="T713" s="721"/>
      <c r="U713" s="722"/>
      <c r="V713" s="723"/>
      <c r="W713" s="724"/>
      <c r="X713" s="725" t="s">
        <v>159</v>
      </c>
      <c r="Y713" s="725"/>
      <c r="Z713" s="725"/>
      <c r="AA713" s="725"/>
      <c r="AB713" s="726" t="s">
        <v>159</v>
      </c>
      <c r="AC713" s="726"/>
      <c r="AD713" s="726"/>
      <c r="AE713" s="726"/>
      <c r="AF713" s="727"/>
      <c r="AG713" s="728"/>
      <c r="AH713" s="727"/>
      <c r="AI713" s="728"/>
      <c r="AJ713" s="682"/>
      <c r="AK713" s="683"/>
      <c r="AL713" s="664" t="s">
        <v>162</v>
      </c>
      <c r="AM713" s="665"/>
      <c r="AN713" s="713" t="s">
        <v>162</v>
      </c>
      <c r="AO713" s="714"/>
      <c r="AP713" s="729"/>
      <c r="AQ713" s="730"/>
      <c r="AR713" s="731"/>
      <c r="AS713" s="732"/>
      <c r="AT713" s="733"/>
      <c r="AU713" s="734"/>
      <c r="AV713" s="713" t="s">
        <v>162</v>
      </c>
      <c r="AW713" s="714"/>
      <c r="AX713" s="692"/>
      <c r="AY713" s="693"/>
      <c r="AZ713" s="694"/>
      <c r="BA713" s="735"/>
      <c r="BB713" s="736"/>
      <c r="BC713" s="219"/>
      <c r="BD713" s="737" t="s">
        <v>162</v>
      </c>
      <c r="BE713" s="738"/>
      <c r="BF713" s="739"/>
      <c r="BG713" s="740"/>
      <c r="BH713" s="740"/>
      <c r="BI713" s="741"/>
      <c r="BJ713" s="742" t="s">
        <v>159</v>
      </c>
      <c r="BK713" s="743"/>
      <c r="BL713" s="743"/>
      <c r="BM713" s="744"/>
      <c r="BN713" s="703" t="s">
        <v>159</v>
      </c>
      <c r="BO713" s="704"/>
      <c r="BP713" s="704"/>
      <c r="BQ713" s="704"/>
      <c r="BR713" s="704"/>
      <c r="BS713" s="704"/>
      <c r="BT713" s="704"/>
      <c r="BU713" s="704"/>
      <c r="BV713" s="705"/>
    </row>
    <row r="714" spans="1:74" ht="45" customHeight="1" x14ac:dyDescent="0.25">
      <c r="A714" s="10">
        <f t="shared" si="10"/>
        <v>700</v>
      </c>
      <c r="B714" s="662" t="s">
        <v>159</v>
      </c>
      <c r="C714" s="662"/>
      <c r="D714" s="663" t="s">
        <v>212</v>
      </c>
      <c r="E714" s="663"/>
      <c r="F714" s="664" t="s">
        <v>162</v>
      </c>
      <c r="G714" s="665"/>
      <c r="H714" s="754" t="s">
        <v>162</v>
      </c>
      <c r="I714" s="714"/>
      <c r="J714" s="715"/>
      <c r="K714" s="716"/>
      <c r="L714" s="715"/>
      <c r="M714" s="716"/>
      <c r="N714" s="215"/>
      <c r="O714" s="196"/>
      <c r="P714" s="670"/>
      <c r="Q714" s="671"/>
      <c r="R714" s="672"/>
      <c r="S714" s="673"/>
      <c r="T714" s="674"/>
      <c r="U714" s="675"/>
      <c r="V714" s="676"/>
      <c r="W714" s="677"/>
      <c r="X714" s="678" t="s">
        <v>159</v>
      </c>
      <c r="Y714" s="678"/>
      <c r="Z714" s="678"/>
      <c r="AA714" s="678"/>
      <c r="AB714" s="679" t="s">
        <v>159</v>
      </c>
      <c r="AC714" s="679"/>
      <c r="AD714" s="679"/>
      <c r="AE714" s="679"/>
      <c r="AF714" s="680"/>
      <c r="AG714" s="681"/>
      <c r="AH714" s="680"/>
      <c r="AI714" s="681"/>
      <c r="AJ714" s="682"/>
      <c r="AK714" s="683"/>
      <c r="AL714" s="684" t="s">
        <v>162</v>
      </c>
      <c r="AM714" s="685"/>
      <c r="AN714" s="666" t="s">
        <v>162</v>
      </c>
      <c r="AO714" s="667"/>
      <c r="AP714" s="686"/>
      <c r="AQ714" s="687"/>
      <c r="AR714" s="688"/>
      <c r="AS714" s="689"/>
      <c r="AT714" s="690"/>
      <c r="AU714" s="691"/>
      <c r="AV714" s="666" t="s">
        <v>162</v>
      </c>
      <c r="AW714" s="667"/>
      <c r="AX714" s="692"/>
      <c r="AY714" s="693"/>
      <c r="AZ714" s="694"/>
      <c r="BA714" s="682"/>
      <c r="BB714" s="683"/>
      <c r="BC714" s="14"/>
      <c r="BD714" s="695" t="s">
        <v>162</v>
      </c>
      <c r="BE714" s="696"/>
      <c r="BF714" s="708"/>
      <c r="BG714" s="709"/>
      <c r="BH714" s="709"/>
      <c r="BI714" s="710"/>
      <c r="BJ714" s="700" t="s">
        <v>159</v>
      </c>
      <c r="BK714" s="701"/>
      <c r="BL714" s="701"/>
      <c r="BM714" s="702"/>
      <c r="BN714" s="703" t="s">
        <v>159</v>
      </c>
      <c r="BO714" s="704"/>
      <c r="BP714" s="704"/>
      <c r="BQ714" s="704"/>
      <c r="BR714" s="704"/>
      <c r="BS714" s="704"/>
      <c r="BT714" s="704"/>
      <c r="BU714" s="704"/>
      <c r="BV714" s="705"/>
    </row>
    <row r="715" spans="1:74" ht="45" customHeight="1" x14ac:dyDescent="0.25">
      <c r="A715" s="10">
        <f t="shared" si="10"/>
        <v>701</v>
      </c>
      <c r="B715" s="711" t="s">
        <v>159</v>
      </c>
      <c r="C715" s="711"/>
      <c r="D715" s="712" t="s">
        <v>212</v>
      </c>
      <c r="E715" s="712"/>
      <c r="F715" s="664" t="s">
        <v>162</v>
      </c>
      <c r="G715" s="665"/>
      <c r="H715" s="755" t="s">
        <v>162</v>
      </c>
      <c r="I715" s="667"/>
      <c r="J715" s="706"/>
      <c r="K715" s="707"/>
      <c r="L715" s="706"/>
      <c r="M715" s="707"/>
      <c r="N715" s="194"/>
      <c r="O715" s="216"/>
      <c r="P715" s="717"/>
      <c r="Q715" s="718"/>
      <c r="R715" s="719"/>
      <c r="S715" s="720"/>
      <c r="T715" s="721"/>
      <c r="U715" s="722"/>
      <c r="V715" s="723"/>
      <c r="W715" s="724"/>
      <c r="X715" s="725" t="s">
        <v>159</v>
      </c>
      <c r="Y715" s="725"/>
      <c r="Z715" s="725"/>
      <c r="AA715" s="725"/>
      <c r="AB715" s="726" t="s">
        <v>159</v>
      </c>
      <c r="AC715" s="726"/>
      <c r="AD715" s="726"/>
      <c r="AE715" s="726"/>
      <c r="AF715" s="727"/>
      <c r="AG715" s="728"/>
      <c r="AH715" s="727"/>
      <c r="AI715" s="728"/>
      <c r="AJ715" s="682"/>
      <c r="AK715" s="683"/>
      <c r="AL715" s="664" t="s">
        <v>162</v>
      </c>
      <c r="AM715" s="665"/>
      <c r="AN715" s="713" t="s">
        <v>162</v>
      </c>
      <c r="AO715" s="714"/>
      <c r="AP715" s="729"/>
      <c r="AQ715" s="730"/>
      <c r="AR715" s="731"/>
      <c r="AS715" s="732"/>
      <c r="AT715" s="733"/>
      <c r="AU715" s="734"/>
      <c r="AV715" s="713" t="s">
        <v>162</v>
      </c>
      <c r="AW715" s="714"/>
      <c r="AX715" s="692"/>
      <c r="AY715" s="693"/>
      <c r="AZ715" s="694"/>
      <c r="BA715" s="735"/>
      <c r="BB715" s="736"/>
      <c r="BC715" s="219"/>
      <c r="BD715" s="737" t="s">
        <v>162</v>
      </c>
      <c r="BE715" s="738"/>
      <c r="BF715" s="739"/>
      <c r="BG715" s="740"/>
      <c r="BH715" s="740"/>
      <c r="BI715" s="741"/>
      <c r="BJ715" s="742" t="s">
        <v>159</v>
      </c>
      <c r="BK715" s="743"/>
      <c r="BL715" s="743"/>
      <c r="BM715" s="744"/>
      <c r="BN715" s="703" t="s">
        <v>159</v>
      </c>
      <c r="BO715" s="704"/>
      <c r="BP715" s="704"/>
      <c r="BQ715" s="704"/>
      <c r="BR715" s="704"/>
      <c r="BS715" s="704"/>
      <c r="BT715" s="704"/>
      <c r="BU715" s="704"/>
      <c r="BV715" s="705"/>
    </row>
    <row r="716" spans="1:74" ht="45" customHeight="1" x14ac:dyDescent="0.25">
      <c r="A716" s="10">
        <f t="shared" si="10"/>
        <v>702</v>
      </c>
      <c r="B716" s="662" t="s">
        <v>159</v>
      </c>
      <c r="C716" s="662"/>
      <c r="D716" s="663" t="s">
        <v>212</v>
      </c>
      <c r="E716" s="663"/>
      <c r="F716" s="664" t="s">
        <v>162</v>
      </c>
      <c r="G716" s="665"/>
      <c r="H716" s="754" t="s">
        <v>162</v>
      </c>
      <c r="I716" s="714"/>
      <c r="J716" s="715"/>
      <c r="K716" s="716"/>
      <c r="L716" s="715"/>
      <c r="M716" s="716"/>
      <c r="N716" s="215"/>
      <c r="O716" s="196"/>
      <c r="P716" s="670"/>
      <c r="Q716" s="671"/>
      <c r="R716" s="672"/>
      <c r="S716" s="673"/>
      <c r="T716" s="674"/>
      <c r="U716" s="675"/>
      <c r="V716" s="676"/>
      <c r="W716" s="677"/>
      <c r="X716" s="678" t="s">
        <v>159</v>
      </c>
      <c r="Y716" s="678"/>
      <c r="Z716" s="678"/>
      <c r="AA716" s="678"/>
      <c r="AB716" s="679" t="s">
        <v>159</v>
      </c>
      <c r="AC716" s="679"/>
      <c r="AD716" s="679"/>
      <c r="AE716" s="679"/>
      <c r="AF716" s="680"/>
      <c r="AG716" s="681"/>
      <c r="AH716" s="680"/>
      <c r="AI716" s="681"/>
      <c r="AJ716" s="682"/>
      <c r="AK716" s="683"/>
      <c r="AL716" s="684" t="s">
        <v>162</v>
      </c>
      <c r="AM716" s="685"/>
      <c r="AN716" s="666" t="s">
        <v>162</v>
      </c>
      <c r="AO716" s="667"/>
      <c r="AP716" s="686"/>
      <c r="AQ716" s="687"/>
      <c r="AR716" s="688"/>
      <c r="AS716" s="689"/>
      <c r="AT716" s="690"/>
      <c r="AU716" s="691"/>
      <c r="AV716" s="666" t="s">
        <v>162</v>
      </c>
      <c r="AW716" s="667"/>
      <c r="AX716" s="692"/>
      <c r="AY716" s="693"/>
      <c r="AZ716" s="694"/>
      <c r="BA716" s="682"/>
      <c r="BB716" s="683"/>
      <c r="BC716" s="14"/>
      <c r="BD716" s="695" t="s">
        <v>162</v>
      </c>
      <c r="BE716" s="696"/>
      <c r="BF716" s="697"/>
      <c r="BG716" s="698"/>
      <c r="BH716" s="698"/>
      <c r="BI716" s="699"/>
      <c r="BJ716" s="700" t="s">
        <v>159</v>
      </c>
      <c r="BK716" s="701"/>
      <c r="BL716" s="701"/>
      <c r="BM716" s="702"/>
      <c r="BN716" s="703" t="s">
        <v>159</v>
      </c>
      <c r="BO716" s="704"/>
      <c r="BP716" s="704"/>
      <c r="BQ716" s="704"/>
      <c r="BR716" s="704"/>
      <c r="BS716" s="704"/>
      <c r="BT716" s="704"/>
      <c r="BU716" s="704"/>
      <c r="BV716" s="705"/>
    </row>
    <row r="717" spans="1:74" ht="45" customHeight="1" x14ac:dyDescent="0.25">
      <c r="A717" s="10">
        <f t="shared" si="10"/>
        <v>703</v>
      </c>
      <c r="B717" s="711" t="s">
        <v>159</v>
      </c>
      <c r="C717" s="711"/>
      <c r="D717" s="712" t="s">
        <v>212</v>
      </c>
      <c r="E717" s="712"/>
      <c r="F717" s="664" t="s">
        <v>162</v>
      </c>
      <c r="G717" s="665"/>
      <c r="H717" s="755" t="s">
        <v>162</v>
      </c>
      <c r="I717" s="667"/>
      <c r="J717" s="706"/>
      <c r="K717" s="707"/>
      <c r="L717" s="706"/>
      <c r="M717" s="707"/>
      <c r="N717" s="194"/>
      <c r="O717" s="216"/>
      <c r="P717" s="717"/>
      <c r="Q717" s="718"/>
      <c r="R717" s="719"/>
      <c r="S717" s="720"/>
      <c r="T717" s="721"/>
      <c r="U717" s="722"/>
      <c r="V717" s="723"/>
      <c r="W717" s="724"/>
      <c r="X717" s="725" t="s">
        <v>159</v>
      </c>
      <c r="Y717" s="725"/>
      <c r="Z717" s="725"/>
      <c r="AA717" s="725"/>
      <c r="AB717" s="726" t="s">
        <v>159</v>
      </c>
      <c r="AC717" s="726"/>
      <c r="AD717" s="726"/>
      <c r="AE717" s="726"/>
      <c r="AF717" s="727"/>
      <c r="AG717" s="728"/>
      <c r="AH717" s="727"/>
      <c r="AI717" s="728"/>
      <c r="AJ717" s="682"/>
      <c r="AK717" s="683"/>
      <c r="AL717" s="664" t="s">
        <v>162</v>
      </c>
      <c r="AM717" s="665"/>
      <c r="AN717" s="713" t="s">
        <v>162</v>
      </c>
      <c r="AO717" s="714"/>
      <c r="AP717" s="729"/>
      <c r="AQ717" s="730"/>
      <c r="AR717" s="731"/>
      <c r="AS717" s="732"/>
      <c r="AT717" s="733"/>
      <c r="AU717" s="734"/>
      <c r="AV717" s="713" t="s">
        <v>162</v>
      </c>
      <c r="AW717" s="714"/>
      <c r="AX717" s="692"/>
      <c r="AY717" s="693"/>
      <c r="AZ717" s="694"/>
      <c r="BA717" s="735"/>
      <c r="BB717" s="736"/>
      <c r="BC717" s="219"/>
      <c r="BD717" s="737" t="s">
        <v>162</v>
      </c>
      <c r="BE717" s="738"/>
      <c r="BF717" s="739"/>
      <c r="BG717" s="740"/>
      <c r="BH717" s="740"/>
      <c r="BI717" s="741"/>
      <c r="BJ717" s="742" t="s">
        <v>159</v>
      </c>
      <c r="BK717" s="743"/>
      <c r="BL717" s="743"/>
      <c r="BM717" s="744"/>
      <c r="BN717" s="703" t="s">
        <v>159</v>
      </c>
      <c r="BO717" s="704"/>
      <c r="BP717" s="704"/>
      <c r="BQ717" s="704"/>
      <c r="BR717" s="704"/>
      <c r="BS717" s="704"/>
      <c r="BT717" s="704"/>
      <c r="BU717" s="704"/>
      <c r="BV717" s="705"/>
    </row>
    <row r="718" spans="1:74" ht="45" customHeight="1" x14ac:dyDescent="0.25">
      <c r="A718" s="10">
        <f t="shared" si="10"/>
        <v>704</v>
      </c>
      <c r="B718" s="662" t="s">
        <v>159</v>
      </c>
      <c r="C718" s="662"/>
      <c r="D718" s="663" t="s">
        <v>212</v>
      </c>
      <c r="E718" s="663"/>
      <c r="F718" s="664" t="s">
        <v>162</v>
      </c>
      <c r="G718" s="665"/>
      <c r="H718" s="754" t="s">
        <v>162</v>
      </c>
      <c r="I718" s="714"/>
      <c r="J718" s="715"/>
      <c r="K718" s="716"/>
      <c r="L718" s="715"/>
      <c r="M718" s="716"/>
      <c r="N718" s="215"/>
      <c r="O718" s="196"/>
      <c r="P718" s="670"/>
      <c r="Q718" s="671"/>
      <c r="R718" s="672"/>
      <c r="S718" s="673"/>
      <c r="T718" s="674"/>
      <c r="U718" s="675"/>
      <c r="V718" s="676"/>
      <c r="W718" s="677"/>
      <c r="X718" s="678" t="s">
        <v>159</v>
      </c>
      <c r="Y718" s="678"/>
      <c r="Z718" s="678"/>
      <c r="AA718" s="678"/>
      <c r="AB718" s="679" t="s">
        <v>159</v>
      </c>
      <c r="AC718" s="679"/>
      <c r="AD718" s="679"/>
      <c r="AE718" s="679"/>
      <c r="AF718" s="680"/>
      <c r="AG718" s="681"/>
      <c r="AH718" s="680"/>
      <c r="AI718" s="681"/>
      <c r="AJ718" s="682"/>
      <c r="AK718" s="683"/>
      <c r="AL718" s="684" t="s">
        <v>162</v>
      </c>
      <c r="AM718" s="685"/>
      <c r="AN718" s="666" t="s">
        <v>162</v>
      </c>
      <c r="AO718" s="667"/>
      <c r="AP718" s="686"/>
      <c r="AQ718" s="687"/>
      <c r="AR718" s="688"/>
      <c r="AS718" s="689"/>
      <c r="AT718" s="690"/>
      <c r="AU718" s="691"/>
      <c r="AV718" s="666" t="s">
        <v>162</v>
      </c>
      <c r="AW718" s="667"/>
      <c r="AX718" s="692"/>
      <c r="AY718" s="693"/>
      <c r="AZ718" s="694"/>
      <c r="BA718" s="682"/>
      <c r="BB718" s="683"/>
      <c r="BC718" s="14"/>
      <c r="BD718" s="695" t="s">
        <v>162</v>
      </c>
      <c r="BE718" s="696"/>
      <c r="BF718" s="697"/>
      <c r="BG718" s="698"/>
      <c r="BH718" s="698"/>
      <c r="BI718" s="699"/>
      <c r="BJ718" s="700" t="s">
        <v>159</v>
      </c>
      <c r="BK718" s="701"/>
      <c r="BL718" s="701"/>
      <c r="BM718" s="702"/>
      <c r="BN718" s="703" t="s">
        <v>159</v>
      </c>
      <c r="BO718" s="704"/>
      <c r="BP718" s="704"/>
      <c r="BQ718" s="704"/>
      <c r="BR718" s="704"/>
      <c r="BS718" s="704"/>
      <c r="BT718" s="704"/>
      <c r="BU718" s="704"/>
      <c r="BV718" s="705"/>
    </row>
    <row r="719" spans="1:74" ht="45" customHeight="1" x14ac:dyDescent="0.25">
      <c r="A719" s="10">
        <f t="shared" ref="A719:A782" si="11">ROW(A705)</f>
        <v>705</v>
      </c>
      <c r="B719" s="711" t="s">
        <v>159</v>
      </c>
      <c r="C719" s="711"/>
      <c r="D719" s="712" t="s">
        <v>212</v>
      </c>
      <c r="E719" s="712"/>
      <c r="F719" s="664" t="s">
        <v>162</v>
      </c>
      <c r="G719" s="665"/>
      <c r="H719" s="755" t="s">
        <v>162</v>
      </c>
      <c r="I719" s="667"/>
      <c r="J719" s="706"/>
      <c r="K719" s="707"/>
      <c r="L719" s="706"/>
      <c r="M719" s="707"/>
      <c r="N719" s="194"/>
      <c r="O719" s="216"/>
      <c r="P719" s="717"/>
      <c r="Q719" s="718"/>
      <c r="R719" s="719"/>
      <c r="S719" s="720"/>
      <c r="T719" s="721"/>
      <c r="U719" s="722"/>
      <c r="V719" s="723"/>
      <c r="W719" s="724"/>
      <c r="X719" s="725" t="s">
        <v>159</v>
      </c>
      <c r="Y719" s="725"/>
      <c r="Z719" s="725"/>
      <c r="AA719" s="725"/>
      <c r="AB719" s="726" t="s">
        <v>159</v>
      </c>
      <c r="AC719" s="726"/>
      <c r="AD719" s="726"/>
      <c r="AE719" s="726"/>
      <c r="AF719" s="727"/>
      <c r="AG719" s="728"/>
      <c r="AH719" s="727"/>
      <c r="AI719" s="728"/>
      <c r="AJ719" s="682"/>
      <c r="AK719" s="683"/>
      <c r="AL719" s="664" t="s">
        <v>162</v>
      </c>
      <c r="AM719" s="665"/>
      <c r="AN719" s="713" t="s">
        <v>162</v>
      </c>
      <c r="AO719" s="714"/>
      <c r="AP719" s="729"/>
      <c r="AQ719" s="730"/>
      <c r="AR719" s="731"/>
      <c r="AS719" s="732"/>
      <c r="AT719" s="733"/>
      <c r="AU719" s="734"/>
      <c r="AV719" s="713" t="s">
        <v>162</v>
      </c>
      <c r="AW719" s="714"/>
      <c r="AX719" s="692"/>
      <c r="AY719" s="693"/>
      <c r="AZ719" s="694"/>
      <c r="BA719" s="735"/>
      <c r="BB719" s="736"/>
      <c r="BC719" s="219"/>
      <c r="BD719" s="737" t="s">
        <v>162</v>
      </c>
      <c r="BE719" s="738"/>
      <c r="BF719" s="739"/>
      <c r="BG719" s="740"/>
      <c r="BH719" s="740"/>
      <c r="BI719" s="741"/>
      <c r="BJ719" s="742" t="s">
        <v>159</v>
      </c>
      <c r="BK719" s="743"/>
      <c r="BL719" s="743"/>
      <c r="BM719" s="744"/>
      <c r="BN719" s="703" t="s">
        <v>159</v>
      </c>
      <c r="BO719" s="704"/>
      <c r="BP719" s="704"/>
      <c r="BQ719" s="704"/>
      <c r="BR719" s="704"/>
      <c r="BS719" s="704"/>
      <c r="BT719" s="704"/>
      <c r="BU719" s="704"/>
      <c r="BV719" s="705"/>
    </row>
    <row r="720" spans="1:74" ht="45" customHeight="1" x14ac:dyDescent="0.25">
      <c r="A720" s="10">
        <f t="shared" si="11"/>
        <v>706</v>
      </c>
      <c r="B720" s="662" t="s">
        <v>159</v>
      </c>
      <c r="C720" s="662"/>
      <c r="D720" s="663" t="s">
        <v>212</v>
      </c>
      <c r="E720" s="663"/>
      <c r="F720" s="664" t="s">
        <v>162</v>
      </c>
      <c r="G720" s="665"/>
      <c r="H720" s="754" t="s">
        <v>162</v>
      </c>
      <c r="I720" s="714"/>
      <c r="J720" s="715"/>
      <c r="K720" s="716"/>
      <c r="L720" s="715"/>
      <c r="M720" s="716"/>
      <c r="N720" s="215"/>
      <c r="O720" s="196"/>
      <c r="P720" s="670"/>
      <c r="Q720" s="671"/>
      <c r="R720" s="672"/>
      <c r="S720" s="673"/>
      <c r="T720" s="674"/>
      <c r="U720" s="675"/>
      <c r="V720" s="676"/>
      <c r="W720" s="677"/>
      <c r="X720" s="678" t="s">
        <v>159</v>
      </c>
      <c r="Y720" s="678"/>
      <c r="Z720" s="678"/>
      <c r="AA720" s="678"/>
      <c r="AB720" s="679" t="s">
        <v>159</v>
      </c>
      <c r="AC720" s="679"/>
      <c r="AD720" s="679"/>
      <c r="AE720" s="679"/>
      <c r="AF720" s="680"/>
      <c r="AG720" s="681"/>
      <c r="AH720" s="680"/>
      <c r="AI720" s="681"/>
      <c r="AJ720" s="682"/>
      <c r="AK720" s="683"/>
      <c r="AL720" s="684" t="s">
        <v>162</v>
      </c>
      <c r="AM720" s="685"/>
      <c r="AN720" s="666" t="s">
        <v>162</v>
      </c>
      <c r="AO720" s="667"/>
      <c r="AP720" s="686"/>
      <c r="AQ720" s="687"/>
      <c r="AR720" s="688"/>
      <c r="AS720" s="689"/>
      <c r="AT720" s="690"/>
      <c r="AU720" s="691"/>
      <c r="AV720" s="666" t="s">
        <v>162</v>
      </c>
      <c r="AW720" s="667"/>
      <c r="AX720" s="692"/>
      <c r="AY720" s="693"/>
      <c r="AZ720" s="694"/>
      <c r="BA720" s="682"/>
      <c r="BB720" s="683"/>
      <c r="BC720" s="14"/>
      <c r="BD720" s="695" t="s">
        <v>162</v>
      </c>
      <c r="BE720" s="696"/>
      <c r="BF720" s="708"/>
      <c r="BG720" s="709"/>
      <c r="BH720" s="709"/>
      <c r="BI720" s="710"/>
      <c r="BJ720" s="700" t="s">
        <v>159</v>
      </c>
      <c r="BK720" s="701"/>
      <c r="BL720" s="701"/>
      <c r="BM720" s="702"/>
      <c r="BN720" s="703" t="s">
        <v>159</v>
      </c>
      <c r="BO720" s="704"/>
      <c r="BP720" s="704"/>
      <c r="BQ720" s="704"/>
      <c r="BR720" s="704"/>
      <c r="BS720" s="704"/>
      <c r="BT720" s="704"/>
      <c r="BU720" s="704"/>
      <c r="BV720" s="705"/>
    </row>
    <row r="721" spans="1:74" ht="45" customHeight="1" x14ac:dyDescent="0.25">
      <c r="A721" s="10">
        <f t="shared" si="11"/>
        <v>707</v>
      </c>
      <c r="B721" s="711" t="s">
        <v>159</v>
      </c>
      <c r="C721" s="711"/>
      <c r="D721" s="712" t="s">
        <v>212</v>
      </c>
      <c r="E721" s="712"/>
      <c r="F721" s="664" t="s">
        <v>162</v>
      </c>
      <c r="G721" s="665"/>
      <c r="H721" s="755" t="s">
        <v>162</v>
      </c>
      <c r="I721" s="667"/>
      <c r="J721" s="706"/>
      <c r="K721" s="707"/>
      <c r="L721" s="706"/>
      <c r="M721" s="707"/>
      <c r="N721" s="194"/>
      <c r="O721" s="216"/>
      <c r="P721" s="717"/>
      <c r="Q721" s="718"/>
      <c r="R721" s="719"/>
      <c r="S721" s="720"/>
      <c r="T721" s="721"/>
      <c r="U721" s="722"/>
      <c r="V721" s="723"/>
      <c r="W721" s="724"/>
      <c r="X721" s="725" t="s">
        <v>159</v>
      </c>
      <c r="Y721" s="725"/>
      <c r="Z721" s="725"/>
      <c r="AA721" s="725"/>
      <c r="AB721" s="726" t="s">
        <v>159</v>
      </c>
      <c r="AC721" s="726"/>
      <c r="AD721" s="726"/>
      <c r="AE721" s="726"/>
      <c r="AF721" s="727"/>
      <c r="AG721" s="728"/>
      <c r="AH721" s="727"/>
      <c r="AI721" s="728"/>
      <c r="AJ721" s="682"/>
      <c r="AK721" s="683"/>
      <c r="AL721" s="664" t="s">
        <v>162</v>
      </c>
      <c r="AM721" s="665"/>
      <c r="AN721" s="713" t="s">
        <v>162</v>
      </c>
      <c r="AO721" s="714"/>
      <c r="AP721" s="729"/>
      <c r="AQ721" s="730"/>
      <c r="AR721" s="731"/>
      <c r="AS721" s="732"/>
      <c r="AT721" s="733"/>
      <c r="AU721" s="734"/>
      <c r="AV721" s="713" t="s">
        <v>162</v>
      </c>
      <c r="AW721" s="714"/>
      <c r="AX721" s="692"/>
      <c r="AY721" s="693"/>
      <c r="AZ721" s="694"/>
      <c r="BA721" s="735"/>
      <c r="BB721" s="736"/>
      <c r="BC721" s="219"/>
      <c r="BD721" s="737" t="s">
        <v>162</v>
      </c>
      <c r="BE721" s="738"/>
      <c r="BF721" s="739"/>
      <c r="BG721" s="740"/>
      <c r="BH721" s="740"/>
      <c r="BI721" s="741"/>
      <c r="BJ721" s="742" t="s">
        <v>159</v>
      </c>
      <c r="BK721" s="743"/>
      <c r="BL721" s="743"/>
      <c r="BM721" s="744"/>
      <c r="BN721" s="703" t="s">
        <v>159</v>
      </c>
      <c r="BO721" s="704"/>
      <c r="BP721" s="704"/>
      <c r="BQ721" s="704"/>
      <c r="BR721" s="704"/>
      <c r="BS721" s="704"/>
      <c r="BT721" s="704"/>
      <c r="BU721" s="704"/>
      <c r="BV721" s="705"/>
    </row>
    <row r="722" spans="1:74" ht="45" customHeight="1" x14ac:dyDescent="0.25">
      <c r="A722" s="10">
        <f t="shared" si="11"/>
        <v>708</v>
      </c>
      <c r="B722" s="662" t="s">
        <v>159</v>
      </c>
      <c r="C722" s="662"/>
      <c r="D722" s="663" t="s">
        <v>212</v>
      </c>
      <c r="E722" s="663"/>
      <c r="F722" s="664" t="s">
        <v>162</v>
      </c>
      <c r="G722" s="665"/>
      <c r="H722" s="754" t="s">
        <v>162</v>
      </c>
      <c r="I722" s="714"/>
      <c r="J722" s="715"/>
      <c r="K722" s="716"/>
      <c r="L722" s="715"/>
      <c r="M722" s="716"/>
      <c r="N722" s="194"/>
      <c r="O722" s="196"/>
      <c r="P722" s="717"/>
      <c r="Q722" s="718"/>
      <c r="R722" s="672"/>
      <c r="S722" s="673"/>
      <c r="T722" s="674"/>
      <c r="U722" s="675"/>
      <c r="V722" s="676"/>
      <c r="W722" s="677"/>
      <c r="X722" s="678" t="s">
        <v>159</v>
      </c>
      <c r="Y722" s="678"/>
      <c r="Z722" s="678"/>
      <c r="AA722" s="678"/>
      <c r="AB722" s="679" t="s">
        <v>159</v>
      </c>
      <c r="AC722" s="679"/>
      <c r="AD722" s="679"/>
      <c r="AE722" s="679"/>
      <c r="AF722" s="680"/>
      <c r="AG722" s="681"/>
      <c r="AH722" s="680"/>
      <c r="AI722" s="681"/>
      <c r="AJ722" s="682"/>
      <c r="AK722" s="683"/>
      <c r="AL722" s="684" t="s">
        <v>162</v>
      </c>
      <c r="AM722" s="685"/>
      <c r="AN722" s="666" t="s">
        <v>162</v>
      </c>
      <c r="AO722" s="667"/>
      <c r="AP722" s="686"/>
      <c r="AQ722" s="687"/>
      <c r="AR722" s="688"/>
      <c r="AS722" s="689"/>
      <c r="AT722" s="690"/>
      <c r="AU722" s="691"/>
      <c r="AV722" s="666" t="s">
        <v>162</v>
      </c>
      <c r="AW722" s="667"/>
      <c r="AX722" s="692"/>
      <c r="AY722" s="693"/>
      <c r="AZ722" s="694"/>
      <c r="BA722" s="682"/>
      <c r="BB722" s="683"/>
      <c r="BC722" s="14"/>
      <c r="BD722" s="695" t="s">
        <v>162</v>
      </c>
      <c r="BE722" s="696"/>
      <c r="BF722" s="708"/>
      <c r="BG722" s="709"/>
      <c r="BH722" s="709"/>
      <c r="BI722" s="710"/>
      <c r="BJ722" s="700" t="s">
        <v>159</v>
      </c>
      <c r="BK722" s="701"/>
      <c r="BL722" s="701"/>
      <c r="BM722" s="702"/>
      <c r="BN722" s="703" t="s">
        <v>159</v>
      </c>
      <c r="BO722" s="704"/>
      <c r="BP722" s="704"/>
      <c r="BQ722" s="704"/>
      <c r="BR722" s="704"/>
      <c r="BS722" s="704"/>
      <c r="BT722" s="704"/>
      <c r="BU722" s="704"/>
      <c r="BV722" s="705"/>
    </row>
    <row r="723" spans="1:74" ht="45" customHeight="1" x14ac:dyDescent="0.25">
      <c r="A723" s="10">
        <f t="shared" si="11"/>
        <v>709</v>
      </c>
      <c r="B723" s="711" t="s">
        <v>159</v>
      </c>
      <c r="C723" s="711"/>
      <c r="D723" s="712" t="s">
        <v>212</v>
      </c>
      <c r="E723" s="712"/>
      <c r="F723" s="664" t="s">
        <v>162</v>
      </c>
      <c r="G723" s="665"/>
      <c r="H723" s="755" t="s">
        <v>162</v>
      </c>
      <c r="I723" s="667"/>
      <c r="J723" s="706"/>
      <c r="K723" s="707"/>
      <c r="L723" s="706"/>
      <c r="M723" s="707"/>
      <c r="N723" s="215"/>
      <c r="O723" s="216"/>
      <c r="P723" s="670"/>
      <c r="Q723" s="671"/>
      <c r="R723" s="719"/>
      <c r="S723" s="720"/>
      <c r="T723" s="721"/>
      <c r="U723" s="722"/>
      <c r="V723" s="723"/>
      <c r="W723" s="724"/>
      <c r="X723" s="725" t="s">
        <v>159</v>
      </c>
      <c r="Y723" s="725"/>
      <c r="Z723" s="725"/>
      <c r="AA723" s="725"/>
      <c r="AB723" s="726" t="s">
        <v>159</v>
      </c>
      <c r="AC723" s="726"/>
      <c r="AD723" s="726"/>
      <c r="AE723" s="726"/>
      <c r="AF723" s="727"/>
      <c r="AG723" s="728"/>
      <c r="AH723" s="727"/>
      <c r="AI723" s="728"/>
      <c r="AJ723" s="682"/>
      <c r="AK723" s="683"/>
      <c r="AL723" s="664" t="s">
        <v>162</v>
      </c>
      <c r="AM723" s="665"/>
      <c r="AN723" s="713" t="s">
        <v>162</v>
      </c>
      <c r="AO723" s="714"/>
      <c r="AP723" s="729"/>
      <c r="AQ723" s="730"/>
      <c r="AR723" s="731"/>
      <c r="AS723" s="732"/>
      <c r="AT723" s="690"/>
      <c r="AU723" s="691"/>
      <c r="AV723" s="713" t="s">
        <v>162</v>
      </c>
      <c r="AW723" s="714"/>
      <c r="AX723" s="692"/>
      <c r="AY723" s="693"/>
      <c r="AZ723" s="694"/>
      <c r="BA723" s="735"/>
      <c r="BB723" s="736"/>
      <c r="BC723" s="219"/>
      <c r="BD723" s="737" t="s">
        <v>162</v>
      </c>
      <c r="BE723" s="738"/>
      <c r="BF723" s="739"/>
      <c r="BG723" s="740"/>
      <c r="BH723" s="740"/>
      <c r="BI723" s="741"/>
      <c r="BJ723" s="742" t="s">
        <v>159</v>
      </c>
      <c r="BK723" s="743"/>
      <c r="BL723" s="743"/>
      <c r="BM723" s="744"/>
      <c r="BN723" s="703" t="s">
        <v>159</v>
      </c>
      <c r="BO723" s="704"/>
      <c r="BP723" s="704"/>
      <c r="BQ723" s="704"/>
      <c r="BR723" s="704"/>
      <c r="BS723" s="704"/>
      <c r="BT723" s="704"/>
      <c r="BU723" s="704"/>
      <c r="BV723" s="705"/>
    </row>
    <row r="724" spans="1:74" ht="45" customHeight="1" x14ac:dyDescent="0.25">
      <c r="A724" s="10">
        <f t="shared" si="11"/>
        <v>710</v>
      </c>
      <c r="B724" s="662" t="s">
        <v>159</v>
      </c>
      <c r="C724" s="662"/>
      <c r="D724" s="663" t="s">
        <v>212</v>
      </c>
      <c r="E724" s="663"/>
      <c r="F724" s="664" t="s">
        <v>162</v>
      </c>
      <c r="G724" s="665"/>
      <c r="H724" s="754" t="s">
        <v>162</v>
      </c>
      <c r="I724" s="714"/>
      <c r="J724" s="715"/>
      <c r="K724" s="716"/>
      <c r="L724" s="715"/>
      <c r="M724" s="716"/>
      <c r="N724" s="194"/>
      <c r="O724" s="196"/>
      <c r="P724" s="717"/>
      <c r="Q724" s="718"/>
      <c r="R724" s="672"/>
      <c r="S724" s="673"/>
      <c r="T724" s="674"/>
      <c r="U724" s="675"/>
      <c r="V724" s="676"/>
      <c r="W724" s="677"/>
      <c r="X724" s="678" t="s">
        <v>159</v>
      </c>
      <c r="Y724" s="678"/>
      <c r="Z724" s="678"/>
      <c r="AA724" s="678"/>
      <c r="AB724" s="679" t="s">
        <v>159</v>
      </c>
      <c r="AC724" s="679"/>
      <c r="AD724" s="679"/>
      <c r="AE724" s="679"/>
      <c r="AF724" s="680"/>
      <c r="AG724" s="681"/>
      <c r="AH724" s="680"/>
      <c r="AI724" s="681"/>
      <c r="AJ724" s="682"/>
      <c r="AK724" s="683"/>
      <c r="AL724" s="684" t="s">
        <v>162</v>
      </c>
      <c r="AM724" s="685"/>
      <c r="AN724" s="666" t="s">
        <v>162</v>
      </c>
      <c r="AO724" s="667"/>
      <c r="AP724" s="686"/>
      <c r="AQ724" s="687"/>
      <c r="AR724" s="688"/>
      <c r="AS724" s="689"/>
      <c r="AT724" s="690"/>
      <c r="AU724" s="691"/>
      <c r="AV724" s="666" t="s">
        <v>162</v>
      </c>
      <c r="AW724" s="667"/>
      <c r="AX724" s="692"/>
      <c r="AY724" s="693"/>
      <c r="AZ724" s="694"/>
      <c r="BA724" s="682"/>
      <c r="BB724" s="683"/>
      <c r="BC724" s="14"/>
      <c r="BD724" s="695" t="s">
        <v>162</v>
      </c>
      <c r="BE724" s="696"/>
      <c r="BF724" s="697"/>
      <c r="BG724" s="698"/>
      <c r="BH724" s="698"/>
      <c r="BI724" s="699"/>
      <c r="BJ724" s="700" t="s">
        <v>159</v>
      </c>
      <c r="BK724" s="701"/>
      <c r="BL724" s="701"/>
      <c r="BM724" s="702"/>
      <c r="BN724" s="703" t="s">
        <v>159</v>
      </c>
      <c r="BO724" s="704"/>
      <c r="BP724" s="704"/>
      <c r="BQ724" s="704"/>
      <c r="BR724" s="704"/>
      <c r="BS724" s="704"/>
      <c r="BT724" s="704"/>
      <c r="BU724" s="704"/>
      <c r="BV724" s="705"/>
    </row>
    <row r="725" spans="1:74" ht="45" customHeight="1" x14ac:dyDescent="0.25">
      <c r="A725" s="10">
        <f t="shared" si="11"/>
        <v>711</v>
      </c>
      <c r="B725" s="711" t="s">
        <v>159</v>
      </c>
      <c r="C725" s="711"/>
      <c r="D725" s="712" t="s">
        <v>212</v>
      </c>
      <c r="E725" s="712"/>
      <c r="F725" s="664" t="s">
        <v>162</v>
      </c>
      <c r="G725" s="665"/>
      <c r="H725" s="755" t="s">
        <v>162</v>
      </c>
      <c r="I725" s="667"/>
      <c r="J725" s="706"/>
      <c r="K725" s="707"/>
      <c r="L725" s="706"/>
      <c r="M725" s="707"/>
      <c r="N725" s="215"/>
      <c r="O725" s="216"/>
      <c r="P725" s="670"/>
      <c r="Q725" s="671"/>
      <c r="R725" s="719"/>
      <c r="S725" s="720"/>
      <c r="T725" s="721"/>
      <c r="U725" s="722"/>
      <c r="V725" s="723"/>
      <c r="W725" s="724"/>
      <c r="X725" s="725" t="s">
        <v>159</v>
      </c>
      <c r="Y725" s="725"/>
      <c r="Z725" s="725"/>
      <c r="AA725" s="725"/>
      <c r="AB725" s="726" t="s">
        <v>159</v>
      </c>
      <c r="AC725" s="726"/>
      <c r="AD725" s="726"/>
      <c r="AE725" s="726"/>
      <c r="AF725" s="727"/>
      <c r="AG725" s="728"/>
      <c r="AH725" s="727"/>
      <c r="AI725" s="728"/>
      <c r="AJ725" s="682"/>
      <c r="AK725" s="683"/>
      <c r="AL725" s="664" t="s">
        <v>162</v>
      </c>
      <c r="AM725" s="665"/>
      <c r="AN725" s="713" t="s">
        <v>162</v>
      </c>
      <c r="AO725" s="714"/>
      <c r="AP725" s="729"/>
      <c r="AQ725" s="730"/>
      <c r="AR725" s="731"/>
      <c r="AS725" s="732"/>
      <c r="AT725" s="690"/>
      <c r="AU725" s="691"/>
      <c r="AV725" s="713" t="s">
        <v>162</v>
      </c>
      <c r="AW725" s="714"/>
      <c r="AX725" s="692"/>
      <c r="AY725" s="693"/>
      <c r="AZ725" s="694"/>
      <c r="BA725" s="735"/>
      <c r="BB725" s="736"/>
      <c r="BC725" s="219"/>
      <c r="BD725" s="737" t="s">
        <v>162</v>
      </c>
      <c r="BE725" s="738"/>
      <c r="BF725" s="739"/>
      <c r="BG725" s="740"/>
      <c r="BH725" s="740"/>
      <c r="BI725" s="741"/>
      <c r="BJ725" s="742" t="s">
        <v>159</v>
      </c>
      <c r="BK725" s="743"/>
      <c r="BL725" s="743"/>
      <c r="BM725" s="744"/>
      <c r="BN725" s="703" t="s">
        <v>159</v>
      </c>
      <c r="BO725" s="704"/>
      <c r="BP725" s="704"/>
      <c r="BQ725" s="704"/>
      <c r="BR725" s="704"/>
      <c r="BS725" s="704"/>
      <c r="BT725" s="704"/>
      <c r="BU725" s="704"/>
      <c r="BV725" s="705"/>
    </row>
    <row r="726" spans="1:74" ht="45" customHeight="1" x14ac:dyDescent="0.25">
      <c r="A726" s="10">
        <f t="shared" si="11"/>
        <v>712</v>
      </c>
      <c r="B726" s="662" t="s">
        <v>159</v>
      </c>
      <c r="C726" s="662"/>
      <c r="D726" s="663" t="s">
        <v>212</v>
      </c>
      <c r="E726" s="663"/>
      <c r="F726" s="664" t="s">
        <v>162</v>
      </c>
      <c r="G726" s="665"/>
      <c r="H726" s="754" t="s">
        <v>162</v>
      </c>
      <c r="I726" s="714"/>
      <c r="J726" s="715"/>
      <c r="K726" s="716"/>
      <c r="L726" s="715"/>
      <c r="M726" s="716"/>
      <c r="N726" s="194"/>
      <c r="O726" s="196"/>
      <c r="P726" s="717"/>
      <c r="Q726" s="718"/>
      <c r="R726" s="672"/>
      <c r="S726" s="673"/>
      <c r="T726" s="674"/>
      <c r="U726" s="675"/>
      <c r="V726" s="676"/>
      <c r="W726" s="677"/>
      <c r="X726" s="678" t="s">
        <v>159</v>
      </c>
      <c r="Y726" s="678"/>
      <c r="Z726" s="678"/>
      <c r="AA726" s="678"/>
      <c r="AB726" s="679" t="s">
        <v>159</v>
      </c>
      <c r="AC726" s="679"/>
      <c r="AD726" s="679"/>
      <c r="AE726" s="679"/>
      <c r="AF726" s="680"/>
      <c r="AG726" s="681"/>
      <c r="AH726" s="680"/>
      <c r="AI726" s="681"/>
      <c r="AJ726" s="682"/>
      <c r="AK726" s="683"/>
      <c r="AL726" s="684" t="s">
        <v>162</v>
      </c>
      <c r="AM726" s="685"/>
      <c r="AN726" s="666" t="s">
        <v>162</v>
      </c>
      <c r="AO726" s="667"/>
      <c r="AP726" s="686"/>
      <c r="AQ726" s="687"/>
      <c r="AR726" s="688"/>
      <c r="AS726" s="689"/>
      <c r="AT726" s="690"/>
      <c r="AU726" s="691"/>
      <c r="AV726" s="666" t="s">
        <v>162</v>
      </c>
      <c r="AW726" s="667"/>
      <c r="AX726" s="692"/>
      <c r="AY726" s="693"/>
      <c r="AZ726" s="694"/>
      <c r="BA726" s="682"/>
      <c r="BB726" s="683"/>
      <c r="BC726" s="14"/>
      <c r="BD726" s="695" t="s">
        <v>162</v>
      </c>
      <c r="BE726" s="696"/>
      <c r="BF726" s="697"/>
      <c r="BG726" s="698"/>
      <c r="BH726" s="698"/>
      <c r="BI726" s="699"/>
      <c r="BJ726" s="700" t="s">
        <v>159</v>
      </c>
      <c r="BK726" s="701"/>
      <c r="BL726" s="701"/>
      <c r="BM726" s="702"/>
      <c r="BN726" s="703" t="s">
        <v>159</v>
      </c>
      <c r="BO726" s="704"/>
      <c r="BP726" s="704"/>
      <c r="BQ726" s="704"/>
      <c r="BR726" s="704"/>
      <c r="BS726" s="704"/>
      <c r="BT726" s="704"/>
      <c r="BU726" s="704"/>
      <c r="BV726" s="705"/>
    </row>
    <row r="727" spans="1:74" ht="45" customHeight="1" x14ac:dyDescent="0.25">
      <c r="A727" s="10">
        <f t="shared" si="11"/>
        <v>713</v>
      </c>
      <c r="B727" s="711" t="s">
        <v>159</v>
      </c>
      <c r="C727" s="711"/>
      <c r="D727" s="712" t="s">
        <v>212</v>
      </c>
      <c r="E727" s="712"/>
      <c r="F727" s="664" t="s">
        <v>162</v>
      </c>
      <c r="G727" s="665"/>
      <c r="H727" s="755" t="s">
        <v>162</v>
      </c>
      <c r="I727" s="667"/>
      <c r="J727" s="706"/>
      <c r="K727" s="707"/>
      <c r="L727" s="706"/>
      <c r="M727" s="707"/>
      <c r="N727" s="215"/>
      <c r="O727" s="216"/>
      <c r="P727" s="670"/>
      <c r="Q727" s="671"/>
      <c r="R727" s="719"/>
      <c r="S727" s="720"/>
      <c r="T727" s="721"/>
      <c r="U727" s="722"/>
      <c r="V727" s="723"/>
      <c r="W727" s="724"/>
      <c r="X727" s="725" t="s">
        <v>159</v>
      </c>
      <c r="Y727" s="725"/>
      <c r="Z727" s="725"/>
      <c r="AA727" s="725"/>
      <c r="AB727" s="726" t="s">
        <v>159</v>
      </c>
      <c r="AC727" s="726"/>
      <c r="AD727" s="726"/>
      <c r="AE727" s="726"/>
      <c r="AF727" s="727"/>
      <c r="AG727" s="728"/>
      <c r="AH727" s="727"/>
      <c r="AI727" s="728"/>
      <c r="AJ727" s="682"/>
      <c r="AK727" s="683"/>
      <c r="AL727" s="664" t="s">
        <v>162</v>
      </c>
      <c r="AM727" s="665"/>
      <c r="AN727" s="713" t="s">
        <v>162</v>
      </c>
      <c r="AO727" s="714"/>
      <c r="AP727" s="729"/>
      <c r="AQ727" s="730"/>
      <c r="AR727" s="731"/>
      <c r="AS727" s="732"/>
      <c r="AT727" s="733"/>
      <c r="AU727" s="734"/>
      <c r="AV727" s="713" t="s">
        <v>162</v>
      </c>
      <c r="AW727" s="714"/>
      <c r="AX727" s="692"/>
      <c r="AY727" s="693"/>
      <c r="AZ727" s="694"/>
      <c r="BA727" s="735"/>
      <c r="BB727" s="736"/>
      <c r="BC727" s="219"/>
      <c r="BD727" s="737" t="s">
        <v>162</v>
      </c>
      <c r="BE727" s="738"/>
      <c r="BF727" s="739"/>
      <c r="BG727" s="740"/>
      <c r="BH727" s="740"/>
      <c r="BI727" s="741"/>
      <c r="BJ727" s="742" t="s">
        <v>159</v>
      </c>
      <c r="BK727" s="743"/>
      <c r="BL727" s="743"/>
      <c r="BM727" s="744"/>
      <c r="BN727" s="703" t="s">
        <v>159</v>
      </c>
      <c r="BO727" s="704"/>
      <c r="BP727" s="704"/>
      <c r="BQ727" s="704"/>
      <c r="BR727" s="704"/>
      <c r="BS727" s="704"/>
      <c r="BT727" s="704"/>
      <c r="BU727" s="704"/>
      <c r="BV727" s="705"/>
    </row>
    <row r="728" spans="1:74" ht="45" customHeight="1" x14ac:dyDescent="0.25">
      <c r="A728" s="10">
        <f t="shared" si="11"/>
        <v>714</v>
      </c>
      <c r="B728" s="662" t="s">
        <v>159</v>
      </c>
      <c r="C728" s="662"/>
      <c r="D728" s="663" t="s">
        <v>212</v>
      </c>
      <c r="E728" s="663"/>
      <c r="F728" s="664" t="s">
        <v>162</v>
      </c>
      <c r="G728" s="665"/>
      <c r="H728" s="754" t="s">
        <v>162</v>
      </c>
      <c r="I728" s="714"/>
      <c r="J728" s="715"/>
      <c r="K728" s="716"/>
      <c r="L728" s="715"/>
      <c r="M728" s="716"/>
      <c r="N728" s="194"/>
      <c r="O728" s="196"/>
      <c r="P728" s="717"/>
      <c r="Q728" s="718"/>
      <c r="R728" s="672"/>
      <c r="S728" s="673"/>
      <c r="T728" s="674"/>
      <c r="U728" s="675"/>
      <c r="V728" s="676"/>
      <c r="W728" s="677"/>
      <c r="X728" s="678" t="s">
        <v>159</v>
      </c>
      <c r="Y728" s="678"/>
      <c r="Z728" s="678"/>
      <c r="AA728" s="678"/>
      <c r="AB728" s="679" t="s">
        <v>159</v>
      </c>
      <c r="AC728" s="679"/>
      <c r="AD728" s="679"/>
      <c r="AE728" s="679"/>
      <c r="AF728" s="680"/>
      <c r="AG728" s="681"/>
      <c r="AH728" s="680"/>
      <c r="AI728" s="681"/>
      <c r="AJ728" s="682"/>
      <c r="AK728" s="683"/>
      <c r="AL728" s="684" t="s">
        <v>162</v>
      </c>
      <c r="AM728" s="685"/>
      <c r="AN728" s="666" t="s">
        <v>162</v>
      </c>
      <c r="AO728" s="667"/>
      <c r="AP728" s="686"/>
      <c r="AQ728" s="687"/>
      <c r="AR728" s="688"/>
      <c r="AS728" s="689"/>
      <c r="AT728" s="690"/>
      <c r="AU728" s="691"/>
      <c r="AV728" s="666" t="s">
        <v>162</v>
      </c>
      <c r="AW728" s="667"/>
      <c r="AX728" s="692"/>
      <c r="AY728" s="693"/>
      <c r="AZ728" s="694"/>
      <c r="BA728" s="682"/>
      <c r="BB728" s="683"/>
      <c r="BC728" s="14"/>
      <c r="BD728" s="695" t="s">
        <v>162</v>
      </c>
      <c r="BE728" s="696"/>
      <c r="BF728" s="708"/>
      <c r="BG728" s="709"/>
      <c r="BH728" s="709"/>
      <c r="BI728" s="710"/>
      <c r="BJ728" s="700" t="s">
        <v>159</v>
      </c>
      <c r="BK728" s="701"/>
      <c r="BL728" s="701"/>
      <c r="BM728" s="702"/>
      <c r="BN728" s="703" t="s">
        <v>159</v>
      </c>
      <c r="BO728" s="704"/>
      <c r="BP728" s="704"/>
      <c r="BQ728" s="704"/>
      <c r="BR728" s="704"/>
      <c r="BS728" s="704"/>
      <c r="BT728" s="704"/>
      <c r="BU728" s="704"/>
      <c r="BV728" s="705"/>
    </row>
    <row r="729" spans="1:74" ht="45" customHeight="1" x14ac:dyDescent="0.25">
      <c r="A729" s="10">
        <f t="shared" si="11"/>
        <v>715</v>
      </c>
      <c r="B729" s="711" t="s">
        <v>159</v>
      </c>
      <c r="C729" s="711"/>
      <c r="D729" s="712" t="s">
        <v>212</v>
      </c>
      <c r="E729" s="712"/>
      <c r="F729" s="664" t="s">
        <v>162</v>
      </c>
      <c r="G729" s="665"/>
      <c r="H729" s="755" t="s">
        <v>162</v>
      </c>
      <c r="I729" s="667"/>
      <c r="J729" s="706"/>
      <c r="K729" s="707"/>
      <c r="L729" s="706"/>
      <c r="M729" s="707"/>
      <c r="N729" s="215"/>
      <c r="O729" s="216"/>
      <c r="P729" s="670"/>
      <c r="Q729" s="671"/>
      <c r="R729" s="719"/>
      <c r="S729" s="720"/>
      <c r="T729" s="721"/>
      <c r="U729" s="722"/>
      <c r="V729" s="723"/>
      <c r="W729" s="724"/>
      <c r="X729" s="725" t="s">
        <v>159</v>
      </c>
      <c r="Y729" s="725"/>
      <c r="Z729" s="725"/>
      <c r="AA729" s="725"/>
      <c r="AB729" s="726" t="s">
        <v>159</v>
      </c>
      <c r="AC729" s="726"/>
      <c r="AD729" s="726"/>
      <c r="AE729" s="726"/>
      <c r="AF729" s="727"/>
      <c r="AG729" s="728"/>
      <c r="AH729" s="727"/>
      <c r="AI729" s="728"/>
      <c r="AJ729" s="682"/>
      <c r="AK729" s="683"/>
      <c r="AL729" s="664" t="s">
        <v>162</v>
      </c>
      <c r="AM729" s="665"/>
      <c r="AN729" s="713" t="s">
        <v>162</v>
      </c>
      <c r="AO729" s="714"/>
      <c r="AP729" s="729"/>
      <c r="AQ729" s="730"/>
      <c r="AR729" s="731"/>
      <c r="AS729" s="732"/>
      <c r="AT729" s="733"/>
      <c r="AU729" s="734"/>
      <c r="AV729" s="713" t="s">
        <v>162</v>
      </c>
      <c r="AW729" s="714"/>
      <c r="AX729" s="692"/>
      <c r="AY729" s="693"/>
      <c r="AZ729" s="694"/>
      <c r="BA729" s="735"/>
      <c r="BB729" s="736"/>
      <c r="BC729" s="219"/>
      <c r="BD729" s="737" t="s">
        <v>162</v>
      </c>
      <c r="BE729" s="738"/>
      <c r="BF729" s="739"/>
      <c r="BG729" s="740"/>
      <c r="BH729" s="740"/>
      <c r="BI729" s="741"/>
      <c r="BJ729" s="742" t="s">
        <v>159</v>
      </c>
      <c r="BK729" s="743"/>
      <c r="BL729" s="743"/>
      <c r="BM729" s="744"/>
      <c r="BN729" s="703" t="s">
        <v>159</v>
      </c>
      <c r="BO729" s="704"/>
      <c r="BP729" s="704"/>
      <c r="BQ729" s="704"/>
      <c r="BR729" s="704"/>
      <c r="BS729" s="704"/>
      <c r="BT729" s="704"/>
      <c r="BU729" s="704"/>
      <c r="BV729" s="705"/>
    </row>
    <row r="730" spans="1:74" ht="45" customHeight="1" x14ac:dyDescent="0.25">
      <c r="A730" s="10">
        <f t="shared" si="11"/>
        <v>716</v>
      </c>
      <c r="B730" s="662" t="s">
        <v>159</v>
      </c>
      <c r="C730" s="662"/>
      <c r="D730" s="663" t="s">
        <v>212</v>
      </c>
      <c r="E730" s="663"/>
      <c r="F730" s="664" t="s">
        <v>162</v>
      </c>
      <c r="G730" s="665"/>
      <c r="H730" s="754" t="s">
        <v>162</v>
      </c>
      <c r="I730" s="714"/>
      <c r="J730" s="715"/>
      <c r="K730" s="716"/>
      <c r="L730" s="715"/>
      <c r="M730" s="716"/>
      <c r="N730" s="194"/>
      <c r="O730" s="196"/>
      <c r="P730" s="717"/>
      <c r="Q730" s="718"/>
      <c r="R730" s="672"/>
      <c r="S730" s="673"/>
      <c r="T730" s="674"/>
      <c r="U730" s="675"/>
      <c r="V730" s="676"/>
      <c r="W730" s="677"/>
      <c r="X730" s="678" t="s">
        <v>159</v>
      </c>
      <c r="Y730" s="678"/>
      <c r="Z730" s="678"/>
      <c r="AA730" s="678"/>
      <c r="AB730" s="679" t="s">
        <v>159</v>
      </c>
      <c r="AC730" s="679"/>
      <c r="AD730" s="679"/>
      <c r="AE730" s="679"/>
      <c r="AF730" s="680"/>
      <c r="AG730" s="681"/>
      <c r="AH730" s="680"/>
      <c r="AI730" s="681"/>
      <c r="AJ730" s="682"/>
      <c r="AK730" s="683"/>
      <c r="AL730" s="684" t="s">
        <v>162</v>
      </c>
      <c r="AM730" s="685"/>
      <c r="AN730" s="666" t="s">
        <v>162</v>
      </c>
      <c r="AO730" s="667"/>
      <c r="AP730" s="686"/>
      <c r="AQ730" s="687"/>
      <c r="AR730" s="688"/>
      <c r="AS730" s="689"/>
      <c r="AT730" s="690"/>
      <c r="AU730" s="691"/>
      <c r="AV730" s="666" t="s">
        <v>162</v>
      </c>
      <c r="AW730" s="667"/>
      <c r="AX730" s="692"/>
      <c r="AY730" s="693"/>
      <c r="AZ730" s="694"/>
      <c r="BA730" s="682"/>
      <c r="BB730" s="683"/>
      <c r="BC730" s="14"/>
      <c r="BD730" s="695" t="s">
        <v>162</v>
      </c>
      <c r="BE730" s="696"/>
      <c r="BF730" s="697"/>
      <c r="BG730" s="698"/>
      <c r="BH730" s="698"/>
      <c r="BI730" s="699"/>
      <c r="BJ730" s="700" t="s">
        <v>159</v>
      </c>
      <c r="BK730" s="701"/>
      <c r="BL730" s="701"/>
      <c r="BM730" s="702"/>
      <c r="BN730" s="703" t="s">
        <v>159</v>
      </c>
      <c r="BO730" s="704"/>
      <c r="BP730" s="704"/>
      <c r="BQ730" s="704"/>
      <c r="BR730" s="704"/>
      <c r="BS730" s="704"/>
      <c r="BT730" s="704"/>
      <c r="BU730" s="704"/>
      <c r="BV730" s="705"/>
    </row>
    <row r="731" spans="1:74" ht="45" customHeight="1" x14ac:dyDescent="0.25">
      <c r="A731" s="10">
        <f t="shared" si="11"/>
        <v>717</v>
      </c>
      <c r="B731" s="711" t="s">
        <v>159</v>
      </c>
      <c r="C731" s="711"/>
      <c r="D731" s="712" t="s">
        <v>212</v>
      </c>
      <c r="E731" s="712"/>
      <c r="F731" s="664" t="s">
        <v>162</v>
      </c>
      <c r="G731" s="665"/>
      <c r="H731" s="755" t="s">
        <v>162</v>
      </c>
      <c r="I731" s="667"/>
      <c r="J731" s="706"/>
      <c r="K731" s="707"/>
      <c r="L731" s="706"/>
      <c r="M731" s="707"/>
      <c r="N731" s="215"/>
      <c r="O731" s="216"/>
      <c r="P731" s="670"/>
      <c r="Q731" s="671"/>
      <c r="R731" s="719"/>
      <c r="S731" s="720"/>
      <c r="T731" s="721"/>
      <c r="U731" s="722"/>
      <c r="V731" s="723"/>
      <c r="W731" s="724"/>
      <c r="X731" s="725" t="s">
        <v>159</v>
      </c>
      <c r="Y731" s="725"/>
      <c r="Z731" s="725"/>
      <c r="AA731" s="725"/>
      <c r="AB731" s="726" t="s">
        <v>159</v>
      </c>
      <c r="AC731" s="726"/>
      <c r="AD731" s="726"/>
      <c r="AE731" s="726"/>
      <c r="AF731" s="727"/>
      <c r="AG731" s="728"/>
      <c r="AH731" s="727"/>
      <c r="AI731" s="728"/>
      <c r="AJ731" s="682"/>
      <c r="AK731" s="683"/>
      <c r="AL731" s="664" t="s">
        <v>162</v>
      </c>
      <c r="AM731" s="665"/>
      <c r="AN731" s="713" t="s">
        <v>162</v>
      </c>
      <c r="AO731" s="714"/>
      <c r="AP731" s="729"/>
      <c r="AQ731" s="730"/>
      <c r="AR731" s="731"/>
      <c r="AS731" s="732"/>
      <c r="AT731" s="733"/>
      <c r="AU731" s="734"/>
      <c r="AV731" s="713" t="s">
        <v>162</v>
      </c>
      <c r="AW731" s="714"/>
      <c r="AX731" s="692"/>
      <c r="AY731" s="693"/>
      <c r="AZ731" s="694"/>
      <c r="BA731" s="735"/>
      <c r="BB731" s="736"/>
      <c r="BC731" s="219"/>
      <c r="BD731" s="737" t="s">
        <v>162</v>
      </c>
      <c r="BE731" s="738"/>
      <c r="BF731" s="739"/>
      <c r="BG731" s="740"/>
      <c r="BH731" s="740"/>
      <c r="BI731" s="741"/>
      <c r="BJ731" s="742" t="s">
        <v>159</v>
      </c>
      <c r="BK731" s="743"/>
      <c r="BL731" s="743"/>
      <c r="BM731" s="744"/>
      <c r="BN731" s="703" t="s">
        <v>159</v>
      </c>
      <c r="BO731" s="704"/>
      <c r="BP731" s="704"/>
      <c r="BQ731" s="704"/>
      <c r="BR731" s="704"/>
      <c r="BS731" s="704"/>
      <c r="BT731" s="704"/>
      <c r="BU731" s="704"/>
      <c r="BV731" s="705"/>
    </row>
    <row r="732" spans="1:74" ht="45" customHeight="1" x14ac:dyDescent="0.25">
      <c r="A732" s="10">
        <f t="shared" si="11"/>
        <v>718</v>
      </c>
      <c r="B732" s="662" t="s">
        <v>159</v>
      </c>
      <c r="C732" s="662"/>
      <c r="D732" s="663" t="s">
        <v>212</v>
      </c>
      <c r="E732" s="663"/>
      <c r="F732" s="664" t="s">
        <v>162</v>
      </c>
      <c r="G732" s="665"/>
      <c r="H732" s="754" t="s">
        <v>162</v>
      </c>
      <c r="I732" s="714"/>
      <c r="J732" s="715"/>
      <c r="K732" s="716"/>
      <c r="L732" s="715"/>
      <c r="M732" s="716"/>
      <c r="N732" s="194"/>
      <c r="O732" s="196"/>
      <c r="P732" s="717"/>
      <c r="Q732" s="718"/>
      <c r="R732" s="672"/>
      <c r="S732" s="673"/>
      <c r="T732" s="674"/>
      <c r="U732" s="675"/>
      <c r="V732" s="676"/>
      <c r="W732" s="677"/>
      <c r="X732" s="678" t="s">
        <v>159</v>
      </c>
      <c r="Y732" s="678"/>
      <c r="Z732" s="678"/>
      <c r="AA732" s="678"/>
      <c r="AB732" s="679" t="s">
        <v>159</v>
      </c>
      <c r="AC732" s="679"/>
      <c r="AD732" s="679"/>
      <c r="AE732" s="679"/>
      <c r="AF732" s="680"/>
      <c r="AG732" s="681"/>
      <c r="AH732" s="680"/>
      <c r="AI732" s="681"/>
      <c r="AJ732" s="682"/>
      <c r="AK732" s="683"/>
      <c r="AL732" s="684" t="s">
        <v>162</v>
      </c>
      <c r="AM732" s="685"/>
      <c r="AN732" s="666" t="s">
        <v>162</v>
      </c>
      <c r="AO732" s="667"/>
      <c r="AP732" s="686"/>
      <c r="AQ732" s="687"/>
      <c r="AR732" s="688"/>
      <c r="AS732" s="689"/>
      <c r="AT732" s="690"/>
      <c r="AU732" s="691"/>
      <c r="AV732" s="666" t="s">
        <v>162</v>
      </c>
      <c r="AW732" s="667"/>
      <c r="AX732" s="692"/>
      <c r="AY732" s="693"/>
      <c r="AZ732" s="694"/>
      <c r="BA732" s="682"/>
      <c r="BB732" s="683"/>
      <c r="BC732" s="14"/>
      <c r="BD732" s="695" t="s">
        <v>162</v>
      </c>
      <c r="BE732" s="696"/>
      <c r="BF732" s="697"/>
      <c r="BG732" s="698"/>
      <c r="BH732" s="698"/>
      <c r="BI732" s="699"/>
      <c r="BJ732" s="700" t="s">
        <v>159</v>
      </c>
      <c r="BK732" s="701"/>
      <c r="BL732" s="701"/>
      <c r="BM732" s="702"/>
      <c r="BN732" s="703" t="s">
        <v>159</v>
      </c>
      <c r="BO732" s="704"/>
      <c r="BP732" s="704"/>
      <c r="BQ732" s="704"/>
      <c r="BR732" s="704"/>
      <c r="BS732" s="704"/>
      <c r="BT732" s="704"/>
      <c r="BU732" s="704"/>
      <c r="BV732" s="705"/>
    </row>
    <row r="733" spans="1:74" ht="45" customHeight="1" x14ac:dyDescent="0.25">
      <c r="A733" s="10">
        <f t="shared" si="11"/>
        <v>719</v>
      </c>
      <c r="B733" s="711" t="s">
        <v>159</v>
      </c>
      <c r="C733" s="711"/>
      <c r="D733" s="712" t="s">
        <v>212</v>
      </c>
      <c r="E733" s="712"/>
      <c r="F733" s="664" t="s">
        <v>162</v>
      </c>
      <c r="G733" s="665"/>
      <c r="H733" s="755" t="s">
        <v>162</v>
      </c>
      <c r="I733" s="667"/>
      <c r="J733" s="706"/>
      <c r="K733" s="707"/>
      <c r="L733" s="706"/>
      <c r="M733" s="707"/>
      <c r="N733" s="215"/>
      <c r="O733" s="216"/>
      <c r="P733" s="670"/>
      <c r="Q733" s="671"/>
      <c r="R733" s="719"/>
      <c r="S733" s="720"/>
      <c r="T733" s="721"/>
      <c r="U733" s="722"/>
      <c r="V733" s="723"/>
      <c r="W733" s="724"/>
      <c r="X733" s="725" t="s">
        <v>159</v>
      </c>
      <c r="Y733" s="725"/>
      <c r="Z733" s="725"/>
      <c r="AA733" s="725"/>
      <c r="AB733" s="726" t="s">
        <v>159</v>
      </c>
      <c r="AC733" s="726"/>
      <c r="AD733" s="726"/>
      <c r="AE733" s="726"/>
      <c r="AF733" s="727"/>
      <c r="AG733" s="728"/>
      <c r="AH733" s="727"/>
      <c r="AI733" s="728"/>
      <c r="AJ733" s="682"/>
      <c r="AK733" s="683"/>
      <c r="AL733" s="664" t="s">
        <v>162</v>
      </c>
      <c r="AM733" s="665"/>
      <c r="AN733" s="713" t="s">
        <v>162</v>
      </c>
      <c r="AO733" s="714"/>
      <c r="AP733" s="729"/>
      <c r="AQ733" s="730"/>
      <c r="AR733" s="731"/>
      <c r="AS733" s="732"/>
      <c r="AT733" s="733"/>
      <c r="AU733" s="734"/>
      <c r="AV733" s="713" t="s">
        <v>162</v>
      </c>
      <c r="AW733" s="714"/>
      <c r="AX733" s="692"/>
      <c r="AY733" s="693"/>
      <c r="AZ733" s="694"/>
      <c r="BA733" s="735"/>
      <c r="BB733" s="736"/>
      <c r="BC733" s="219"/>
      <c r="BD733" s="737" t="s">
        <v>162</v>
      </c>
      <c r="BE733" s="738"/>
      <c r="BF733" s="739"/>
      <c r="BG733" s="740"/>
      <c r="BH733" s="740"/>
      <c r="BI733" s="741"/>
      <c r="BJ733" s="742" t="s">
        <v>159</v>
      </c>
      <c r="BK733" s="743"/>
      <c r="BL733" s="743"/>
      <c r="BM733" s="744"/>
      <c r="BN733" s="703" t="s">
        <v>159</v>
      </c>
      <c r="BO733" s="704"/>
      <c r="BP733" s="704"/>
      <c r="BQ733" s="704"/>
      <c r="BR733" s="704"/>
      <c r="BS733" s="704"/>
      <c r="BT733" s="704"/>
      <c r="BU733" s="704"/>
      <c r="BV733" s="705"/>
    </row>
    <row r="734" spans="1:74" ht="45" customHeight="1" x14ac:dyDescent="0.25">
      <c r="A734" s="10">
        <f t="shared" si="11"/>
        <v>720</v>
      </c>
      <c r="B734" s="662" t="s">
        <v>159</v>
      </c>
      <c r="C734" s="662"/>
      <c r="D734" s="663" t="s">
        <v>212</v>
      </c>
      <c r="E734" s="663"/>
      <c r="F734" s="664" t="s">
        <v>162</v>
      </c>
      <c r="G734" s="665"/>
      <c r="H734" s="754" t="s">
        <v>162</v>
      </c>
      <c r="I734" s="714"/>
      <c r="J734" s="715"/>
      <c r="K734" s="716"/>
      <c r="L734" s="715"/>
      <c r="M734" s="716"/>
      <c r="N734" s="194"/>
      <c r="O734" s="196"/>
      <c r="P734" s="717"/>
      <c r="Q734" s="718"/>
      <c r="R734" s="672"/>
      <c r="S734" s="673"/>
      <c r="T734" s="674"/>
      <c r="U734" s="675"/>
      <c r="V734" s="676"/>
      <c r="W734" s="677"/>
      <c r="X734" s="678" t="s">
        <v>159</v>
      </c>
      <c r="Y734" s="678"/>
      <c r="Z734" s="678"/>
      <c r="AA734" s="678"/>
      <c r="AB734" s="679" t="s">
        <v>159</v>
      </c>
      <c r="AC734" s="679"/>
      <c r="AD734" s="679"/>
      <c r="AE734" s="679"/>
      <c r="AF734" s="680"/>
      <c r="AG734" s="681"/>
      <c r="AH734" s="680"/>
      <c r="AI734" s="681"/>
      <c r="AJ734" s="682"/>
      <c r="AK734" s="683"/>
      <c r="AL734" s="684" t="s">
        <v>162</v>
      </c>
      <c r="AM734" s="685"/>
      <c r="AN734" s="666" t="s">
        <v>162</v>
      </c>
      <c r="AO734" s="667"/>
      <c r="AP734" s="686"/>
      <c r="AQ734" s="687"/>
      <c r="AR734" s="688"/>
      <c r="AS734" s="689"/>
      <c r="AT734" s="690"/>
      <c r="AU734" s="691"/>
      <c r="AV734" s="666" t="s">
        <v>162</v>
      </c>
      <c r="AW734" s="667"/>
      <c r="AX734" s="692"/>
      <c r="AY734" s="693"/>
      <c r="AZ734" s="694"/>
      <c r="BA734" s="682"/>
      <c r="BB734" s="683"/>
      <c r="BC734" s="14"/>
      <c r="BD734" s="695" t="s">
        <v>162</v>
      </c>
      <c r="BE734" s="696"/>
      <c r="BF734" s="708"/>
      <c r="BG734" s="709"/>
      <c r="BH734" s="709"/>
      <c r="BI734" s="710"/>
      <c r="BJ734" s="700" t="s">
        <v>159</v>
      </c>
      <c r="BK734" s="701"/>
      <c r="BL734" s="701"/>
      <c r="BM734" s="702"/>
      <c r="BN734" s="703" t="s">
        <v>159</v>
      </c>
      <c r="BO734" s="704"/>
      <c r="BP734" s="704"/>
      <c r="BQ734" s="704"/>
      <c r="BR734" s="704"/>
      <c r="BS734" s="704"/>
      <c r="BT734" s="704"/>
      <c r="BU734" s="704"/>
      <c r="BV734" s="705"/>
    </row>
    <row r="735" spans="1:74" ht="45" customHeight="1" x14ac:dyDescent="0.25">
      <c r="A735" s="10">
        <f t="shared" si="11"/>
        <v>721</v>
      </c>
      <c r="B735" s="711" t="s">
        <v>159</v>
      </c>
      <c r="C735" s="711"/>
      <c r="D735" s="712" t="s">
        <v>212</v>
      </c>
      <c r="E735" s="712"/>
      <c r="F735" s="664" t="s">
        <v>162</v>
      </c>
      <c r="G735" s="665"/>
      <c r="H735" s="755" t="s">
        <v>162</v>
      </c>
      <c r="I735" s="667"/>
      <c r="J735" s="706"/>
      <c r="K735" s="707"/>
      <c r="L735" s="706"/>
      <c r="M735" s="707"/>
      <c r="N735" s="215"/>
      <c r="O735" s="216"/>
      <c r="P735" s="670"/>
      <c r="Q735" s="671"/>
      <c r="R735" s="719"/>
      <c r="S735" s="720"/>
      <c r="T735" s="721"/>
      <c r="U735" s="722"/>
      <c r="V735" s="723"/>
      <c r="W735" s="724"/>
      <c r="X735" s="725" t="s">
        <v>159</v>
      </c>
      <c r="Y735" s="725"/>
      <c r="Z735" s="725"/>
      <c r="AA735" s="725"/>
      <c r="AB735" s="726" t="s">
        <v>159</v>
      </c>
      <c r="AC735" s="726"/>
      <c r="AD735" s="726"/>
      <c r="AE735" s="726"/>
      <c r="AF735" s="727"/>
      <c r="AG735" s="728"/>
      <c r="AH735" s="727"/>
      <c r="AI735" s="728"/>
      <c r="AJ735" s="682"/>
      <c r="AK735" s="683"/>
      <c r="AL735" s="664" t="s">
        <v>162</v>
      </c>
      <c r="AM735" s="665"/>
      <c r="AN735" s="713" t="s">
        <v>162</v>
      </c>
      <c r="AO735" s="714"/>
      <c r="AP735" s="729"/>
      <c r="AQ735" s="730"/>
      <c r="AR735" s="731"/>
      <c r="AS735" s="732"/>
      <c r="AT735" s="733"/>
      <c r="AU735" s="734"/>
      <c r="AV735" s="713" t="s">
        <v>162</v>
      </c>
      <c r="AW735" s="714"/>
      <c r="AX735" s="692"/>
      <c r="AY735" s="693"/>
      <c r="AZ735" s="694"/>
      <c r="BA735" s="735"/>
      <c r="BB735" s="736"/>
      <c r="BC735" s="219"/>
      <c r="BD735" s="737" t="s">
        <v>162</v>
      </c>
      <c r="BE735" s="738"/>
      <c r="BF735" s="739"/>
      <c r="BG735" s="740"/>
      <c r="BH735" s="740"/>
      <c r="BI735" s="741"/>
      <c r="BJ735" s="742" t="s">
        <v>159</v>
      </c>
      <c r="BK735" s="743"/>
      <c r="BL735" s="743"/>
      <c r="BM735" s="744"/>
      <c r="BN735" s="703" t="s">
        <v>159</v>
      </c>
      <c r="BO735" s="704"/>
      <c r="BP735" s="704"/>
      <c r="BQ735" s="704"/>
      <c r="BR735" s="704"/>
      <c r="BS735" s="704"/>
      <c r="BT735" s="704"/>
      <c r="BU735" s="704"/>
      <c r="BV735" s="705"/>
    </row>
    <row r="736" spans="1:74" ht="45" customHeight="1" x14ac:dyDescent="0.25">
      <c r="A736" s="10">
        <f t="shared" si="11"/>
        <v>722</v>
      </c>
      <c r="B736" s="662" t="s">
        <v>159</v>
      </c>
      <c r="C736" s="662"/>
      <c r="D736" s="663" t="s">
        <v>212</v>
      </c>
      <c r="E736" s="663"/>
      <c r="F736" s="664" t="s">
        <v>162</v>
      </c>
      <c r="G736" s="665"/>
      <c r="H736" s="754" t="s">
        <v>162</v>
      </c>
      <c r="I736" s="714"/>
      <c r="J736" s="715"/>
      <c r="K736" s="716"/>
      <c r="L736" s="715"/>
      <c r="M736" s="716"/>
      <c r="N736" s="194"/>
      <c r="O736" s="196"/>
      <c r="P736" s="717"/>
      <c r="Q736" s="718"/>
      <c r="R736" s="672"/>
      <c r="S736" s="673"/>
      <c r="T736" s="674"/>
      <c r="U736" s="675"/>
      <c r="V736" s="676"/>
      <c r="W736" s="677"/>
      <c r="X736" s="678" t="s">
        <v>159</v>
      </c>
      <c r="Y736" s="678"/>
      <c r="Z736" s="678"/>
      <c r="AA736" s="678"/>
      <c r="AB736" s="679" t="s">
        <v>159</v>
      </c>
      <c r="AC736" s="679"/>
      <c r="AD736" s="679"/>
      <c r="AE736" s="679"/>
      <c r="AF736" s="680"/>
      <c r="AG736" s="681"/>
      <c r="AH736" s="680"/>
      <c r="AI736" s="681"/>
      <c r="AJ736" s="682"/>
      <c r="AK736" s="683"/>
      <c r="AL736" s="684" t="s">
        <v>162</v>
      </c>
      <c r="AM736" s="685"/>
      <c r="AN736" s="666" t="s">
        <v>162</v>
      </c>
      <c r="AO736" s="667"/>
      <c r="AP736" s="686"/>
      <c r="AQ736" s="687"/>
      <c r="AR736" s="688"/>
      <c r="AS736" s="689"/>
      <c r="AT736" s="690"/>
      <c r="AU736" s="691"/>
      <c r="AV736" s="666" t="s">
        <v>162</v>
      </c>
      <c r="AW736" s="667"/>
      <c r="AX736" s="692"/>
      <c r="AY736" s="693"/>
      <c r="AZ736" s="694"/>
      <c r="BA736" s="682"/>
      <c r="BB736" s="683"/>
      <c r="BC736" s="14"/>
      <c r="BD736" s="695" t="s">
        <v>162</v>
      </c>
      <c r="BE736" s="696"/>
      <c r="BF736" s="697"/>
      <c r="BG736" s="698"/>
      <c r="BH736" s="698"/>
      <c r="BI736" s="699"/>
      <c r="BJ736" s="700" t="s">
        <v>159</v>
      </c>
      <c r="BK736" s="701"/>
      <c r="BL736" s="701"/>
      <c r="BM736" s="702"/>
      <c r="BN736" s="703" t="s">
        <v>159</v>
      </c>
      <c r="BO736" s="704"/>
      <c r="BP736" s="704"/>
      <c r="BQ736" s="704"/>
      <c r="BR736" s="704"/>
      <c r="BS736" s="704"/>
      <c r="BT736" s="704"/>
      <c r="BU736" s="704"/>
      <c r="BV736" s="705"/>
    </row>
    <row r="737" spans="1:74" ht="45" customHeight="1" x14ac:dyDescent="0.25">
      <c r="A737" s="10">
        <f t="shared" si="11"/>
        <v>723</v>
      </c>
      <c r="B737" s="711" t="s">
        <v>159</v>
      </c>
      <c r="C737" s="711"/>
      <c r="D737" s="712" t="s">
        <v>212</v>
      </c>
      <c r="E737" s="712"/>
      <c r="F737" s="664" t="s">
        <v>162</v>
      </c>
      <c r="G737" s="665"/>
      <c r="H737" s="755" t="s">
        <v>162</v>
      </c>
      <c r="I737" s="667"/>
      <c r="J737" s="706"/>
      <c r="K737" s="707"/>
      <c r="L737" s="706"/>
      <c r="M737" s="707"/>
      <c r="N737" s="194"/>
      <c r="O737" s="196"/>
      <c r="P737" s="717"/>
      <c r="Q737" s="718"/>
      <c r="R737" s="719"/>
      <c r="S737" s="720"/>
      <c r="T737" s="721"/>
      <c r="U737" s="722"/>
      <c r="V737" s="723"/>
      <c r="W737" s="724"/>
      <c r="X737" s="725" t="s">
        <v>159</v>
      </c>
      <c r="Y737" s="725"/>
      <c r="Z737" s="725"/>
      <c r="AA737" s="725"/>
      <c r="AB737" s="726" t="s">
        <v>159</v>
      </c>
      <c r="AC737" s="726"/>
      <c r="AD737" s="726"/>
      <c r="AE737" s="726"/>
      <c r="AF737" s="727"/>
      <c r="AG737" s="728"/>
      <c r="AH737" s="727"/>
      <c r="AI737" s="728"/>
      <c r="AJ737" s="682"/>
      <c r="AK737" s="683"/>
      <c r="AL737" s="664" t="s">
        <v>162</v>
      </c>
      <c r="AM737" s="665"/>
      <c r="AN737" s="713" t="s">
        <v>162</v>
      </c>
      <c r="AO737" s="714"/>
      <c r="AP737" s="729"/>
      <c r="AQ737" s="730"/>
      <c r="AR737" s="731"/>
      <c r="AS737" s="732"/>
      <c r="AT737" s="690"/>
      <c r="AU737" s="691"/>
      <c r="AV737" s="713" t="s">
        <v>162</v>
      </c>
      <c r="AW737" s="714"/>
      <c r="AX737" s="692"/>
      <c r="AY737" s="693"/>
      <c r="AZ737" s="694"/>
      <c r="BA737" s="735"/>
      <c r="BB737" s="736"/>
      <c r="BC737" s="219"/>
      <c r="BD737" s="737" t="s">
        <v>162</v>
      </c>
      <c r="BE737" s="738"/>
      <c r="BF737" s="739"/>
      <c r="BG737" s="740"/>
      <c r="BH737" s="740"/>
      <c r="BI737" s="741"/>
      <c r="BJ737" s="742" t="s">
        <v>159</v>
      </c>
      <c r="BK737" s="743"/>
      <c r="BL737" s="743"/>
      <c r="BM737" s="744"/>
      <c r="BN737" s="703" t="s">
        <v>159</v>
      </c>
      <c r="BO737" s="704"/>
      <c r="BP737" s="704"/>
      <c r="BQ737" s="704"/>
      <c r="BR737" s="704"/>
      <c r="BS737" s="704"/>
      <c r="BT737" s="704"/>
      <c r="BU737" s="704"/>
      <c r="BV737" s="705"/>
    </row>
    <row r="738" spans="1:74" ht="45" customHeight="1" x14ac:dyDescent="0.25">
      <c r="A738" s="10">
        <f t="shared" si="11"/>
        <v>724</v>
      </c>
      <c r="B738" s="662" t="s">
        <v>159</v>
      </c>
      <c r="C738" s="662"/>
      <c r="D738" s="663" t="s">
        <v>212</v>
      </c>
      <c r="E738" s="663"/>
      <c r="F738" s="664" t="s">
        <v>162</v>
      </c>
      <c r="G738" s="665"/>
      <c r="H738" s="754" t="s">
        <v>162</v>
      </c>
      <c r="I738" s="714"/>
      <c r="J738" s="715"/>
      <c r="K738" s="716"/>
      <c r="L738" s="715"/>
      <c r="M738" s="716"/>
      <c r="N738" s="215"/>
      <c r="O738" s="216"/>
      <c r="P738" s="670"/>
      <c r="Q738" s="671"/>
      <c r="R738" s="672"/>
      <c r="S738" s="673"/>
      <c r="T738" s="674"/>
      <c r="U738" s="675"/>
      <c r="V738" s="676"/>
      <c r="W738" s="677"/>
      <c r="X738" s="678" t="s">
        <v>159</v>
      </c>
      <c r="Y738" s="678"/>
      <c r="Z738" s="678"/>
      <c r="AA738" s="678"/>
      <c r="AB738" s="679" t="s">
        <v>159</v>
      </c>
      <c r="AC738" s="679"/>
      <c r="AD738" s="679"/>
      <c r="AE738" s="679"/>
      <c r="AF738" s="680"/>
      <c r="AG738" s="681"/>
      <c r="AH738" s="680"/>
      <c r="AI738" s="681"/>
      <c r="AJ738" s="682"/>
      <c r="AK738" s="683"/>
      <c r="AL738" s="684" t="s">
        <v>162</v>
      </c>
      <c r="AM738" s="685"/>
      <c r="AN738" s="666" t="s">
        <v>162</v>
      </c>
      <c r="AO738" s="667"/>
      <c r="AP738" s="686"/>
      <c r="AQ738" s="687"/>
      <c r="AR738" s="688"/>
      <c r="AS738" s="689"/>
      <c r="AT738" s="690"/>
      <c r="AU738" s="691"/>
      <c r="AV738" s="666" t="s">
        <v>162</v>
      </c>
      <c r="AW738" s="667"/>
      <c r="AX738" s="692"/>
      <c r="AY738" s="693"/>
      <c r="AZ738" s="694"/>
      <c r="BA738" s="682"/>
      <c r="BB738" s="683"/>
      <c r="BC738" s="14"/>
      <c r="BD738" s="695" t="s">
        <v>162</v>
      </c>
      <c r="BE738" s="696"/>
      <c r="BF738" s="697"/>
      <c r="BG738" s="698"/>
      <c r="BH738" s="698"/>
      <c r="BI738" s="699"/>
      <c r="BJ738" s="700" t="s">
        <v>159</v>
      </c>
      <c r="BK738" s="701"/>
      <c r="BL738" s="701"/>
      <c r="BM738" s="702"/>
      <c r="BN738" s="703" t="s">
        <v>159</v>
      </c>
      <c r="BO738" s="704"/>
      <c r="BP738" s="704"/>
      <c r="BQ738" s="704"/>
      <c r="BR738" s="704"/>
      <c r="BS738" s="704"/>
      <c r="BT738" s="704"/>
      <c r="BU738" s="704"/>
      <c r="BV738" s="705"/>
    </row>
    <row r="739" spans="1:74" ht="45" customHeight="1" x14ac:dyDescent="0.25">
      <c r="A739" s="10">
        <f t="shared" si="11"/>
        <v>725</v>
      </c>
      <c r="B739" s="711" t="s">
        <v>159</v>
      </c>
      <c r="C739" s="711"/>
      <c r="D739" s="712" t="s">
        <v>212</v>
      </c>
      <c r="E739" s="712"/>
      <c r="F739" s="664" t="s">
        <v>162</v>
      </c>
      <c r="G739" s="665"/>
      <c r="H739" s="755" t="s">
        <v>162</v>
      </c>
      <c r="I739" s="667"/>
      <c r="J739" s="706"/>
      <c r="K739" s="707"/>
      <c r="L739" s="706"/>
      <c r="M739" s="707"/>
      <c r="N739" s="194"/>
      <c r="O739" s="196"/>
      <c r="P739" s="717"/>
      <c r="Q739" s="718"/>
      <c r="R739" s="719"/>
      <c r="S739" s="720"/>
      <c r="T739" s="721"/>
      <c r="U739" s="722"/>
      <c r="V739" s="723"/>
      <c r="W739" s="724"/>
      <c r="X739" s="725" t="s">
        <v>159</v>
      </c>
      <c r="Y739" s="725"/>
      <c r="Z739" s="725"/>
      <c r="AA739" s="725"/>
      <c r="AB739" s="726" t="s">
        <v>159</v>
      </c>
      <c r="AC739" s="726"/>
      <c r="AD739" s="726"/>
      <c r="AE739" s="726"/>
      <c r="AF739" s="727"/>
      <c r="AG739" s="728"/>
      <c r="AH739" s="727"/>
      <c r="AI739" s="728"/>
      <c r="AJ739" s="682"/>
      <c r="AK739" s="683"/>
      <c r="AL739" s="664" t="s">
        <v>162</v>
      </c>
      <c r="AM739" s="665"/>
      <c r="AN739" s="713" t="s">
        <v>162</v>
      </c>
      <c r="AO739" s="714"/>
      <c r="AP739" s="729"/>
      <c r="AQ739" s="730"/>
      <c r="AR739" s="731"/>
      <c r="AS739" s="732"/>
      <c r="AT739" s="690"/>
      <c r="AU739" s="691"/>
      <c r="AV739" s="713" t="s">
        <v>162</v>
      </c>
      <c r="AW739" s="714"/>
      <c r="AX739" s="692"/>
      <c r="AY739" s="693"/>
      <c r="AZ739" s="694"/>
      <c r="BA739" s="735"/>
      <c r="BB739" s="736"/>
      <c r="BC739" s="219"/>
      <c r="BD739" s="737" t="s">
        <v>162</v>
      </c>
      <c r="BE739" s="738"/>
      <c r="BF739" s="739"/>
      <c r="BG739" s="740"/>
      <c r="BH739" s="740"/>
      <c r="BI739" s="741"/>
      <c r="BJ739" s="742" t="s">
        <v>159</v>
      </c>
      <c r="BK739" s="743"/>
      <c r="BL739" s="743"/>
      <c r="BM739" s="744"/>
      <c r="BN739" s="703" t="s">
        <v>159</v>
      </c>
      <c r="BO739" s="704"/>
      <c r="BP739" s="704"/>
      <c r="BQ739" s="704"/>
      <c r="BR739" s="704"/>
      <c r="BS739" s="704"/>
      <c r="BT739" s="704"/>
      <c r="BU739" s="704"/>
      <c r="BV739" s="705"/>
    </row>
    <row r="740" spans="1:74" ht="45" customHeight="1" x14ac:dyDescent="0.25">
      <c r="A740" s="10">
        <f t="shared" si="11"/>
        <v>726</v>
      </c>
      <c r="B740" s="662" t="s">
        <v>159</v>
      </c>
      <c r="C740" s="662"/>
      <c r="D740" s="663" t="s">
        <v>212</v>
      </c>
      <c r="E740" s="663"/>
      <c r="F740" s="664" t="s">
        <v>162</v>
      </c>
      <c r="G740" s="665"/>
      <c r="H740" s="754" t="s">
        <v>162</v>
      </c>
      <c r="I740" s="714"/>
      <c r="J740" s="715"/>
      <c r="K740" s="716"/>
      <c r="L740" s="715"/>
      <c r="M740" s="716"/>
      <c r="N740" s="215"/>
      <c r="O740" s="216"/>
      <c r="P740" s="670"/>
      <c r="Q740" s="671"/>
      <c r="R740" s="672"/>
      <c r="S740" s="673"/>
      <c r="T740" s="674"/>
      <c r="U740" s="675"/>
      <c r="V740" s="676"/>
      <c r="W740" s="677"/>
      <c r="X740" s="678" t="s">
        <v>159</v>
      </c>
      <c r="Y740" s="678"/>
      <c r="Z740" s="678"/>
      <c r="AA740" s="678"/>
      <c r="AB740" s="679" t="s">
        <v>159</v>
      </c>
      <c r="AC740" s="679"/>
      <c r="AD740" s="679"/>
      <c r="AE740" s="679"/>
      <c r="AF740" s="680"/>
      <c r="AG740" s="681"/>
      <c r="AH740" s="680"/>
      <c r="AI740" s="681"/>
      <c r="AJ740" s="682"/>
      <c r="AK740" s="683"/>
      <c r="AL740" s="684" t="s">
        <v>162</v>
      </c>
      <c r="AM740" s="685"/>
      <c r="AN740" s="666" t="s">
        <v>162</v>
      </c>
      <c r="AO740" s="667"/>
      <c r="AP740" s="686"/>
      <c r="AQ740" s="687"/>
      <c r="AR740" s="688"/>
      <c r="AS740" s="689"/>
      <c r="AT740" s="690"/>
      <c r="AU740" s="691"/>
      <c r="AV740" s="666" t="s">
        <v>162</v>
      </c>
      <c r="AW740" s="667"/>
      <c r="AX740" s="692"/>
      <c r="AY740" s="693"/>
      <c r="AZ740" s="694"/>
      <c r="BA740" s="682"/>
      <c r="BB740" s="683"/>
      <c r="BC740" s="14"/>
      <c r="BD740" s="695" t="s">
        <v>162</v>
      </c>
      <c r="BE740" s="696"/>
      <c r="BF740" s="697"/>
      <c r="BG740" s="698"/>
      <c r="BH740" s="698"/>
      <c r="BI740" s="699"/>
      <c r="BJ740" s="700" t="s">
        <v>159</v>
      </c>
      <c r="BK740" s="701"/>
      <c r="BL740" s="701"/>
      <c r="BM740" s="702"/>
      <c r="BN740" s="703" t="s">
        <v>159</v>
      </c>
      <c r="BO740" s="704"/>
      <c r="BP740" s="704"/>
      <c r="BQ740" s="704"/>
      <c r="BR740" s="704"/>
      <c r="BS740" s="704"/>
      <c r="BT740" s="704"/>
      <c r="BU740" s="704"/>
      <c r="BV740" s="705"/>
    </row>
    <row r="741" spans="1:74" ht="45" customHeight="1" x14ac:dyDescent="0.25">
      <c r="A741" s="10">
        <f t="shared" si="11"/>
        <v>727</v>
      </c>
      <c r="B741" s="711" t="s">
        <v>159</v>
      </c>
      <c r="C741" s="711"/>
      <c r="D741" s="712" t="s">
        <v>212</v>
      </c>
      <c r="E741" s="712"/>
      <c r="F741" s="664" t="s">
        <v>162</v>
      </c>
      <c r="G741" s="665"/>
      <c r="H741" s="755" t="s">
        <v>162</v>
      </c>
      <c r="I741" s="667"/>
      <c r="J741" s="706"/>
      <c r="K741" s="707"/>
      <c r="L741" s="706"/>
      <c r="M741" s="707"/>
      <c r="N741" s="194"/>
      <c r="O741" s="216"/>
      <c r="P741" s="717"/>
      <c r="Q741" s="718"/>
      <c r="R741" s="719"/>
      <c r="S741" s="720"/>
      <c r="T741" s="721"/>
      <c r="U741" s="722"/>
      <c r="V741" s="723"/>
      <c r="W741" s="724"/>
      <c r="X741" s="725" t="s">
        <v>159</v>
      </c>
      <c r="Y741" s="725"/>
      <c r="Z741" s="725"/>
      <c r="AA741" s="725"/>
      <c r="AB741" s="726" t="s">
        <v>159</v>
      </c>
      <c r="AC741" s="726"/>
      <c r="AD741" s="726"/>
      <c r="AE741" s="726"/>
      <c r="AF741" s="727"/>
      <c r="AG741" s="728"/>
      <c r="AH741" s="727"/>
      <c r="AI741" s="728"/>
      <c r="AJ741" s="682"/>
      <c r="AK741" s="683"/>
      <c r="AL741" s="664" t="s">
        <v>162</v>
      </c>
      <c r="AM741" s="665"/>
      <c r="AN741" s="713" t="s">
        <v>162</v>
      </c>
      <c r="AO741" s="714"/>
      <c r="AP741" s="729"/>
      <c r="AQ741" s="730"/>
      <c r="AR741" s="731"/>
      <c r="AS741" s="732"/>
      <c r="AT741" s="733"/>
      <c r="AU741" s="734"/>
      <c r="AV741" s="713" t="s">
        <v>162</v>
      </c>
      <c r="AW741" s="714"/>
      <c r="AX741" s="692"/>
      <c r="AY741" s="693"/>
      <c r="AZ741" s="694"/>
      <c r="BA741" s="735"/>
      <c r="BB741" s="736"/>
      <c r="BC741" s="219"/>
      <c r="BD741" s="737" t="s">
        <v>162</v>
      </c>
      <c r="BE741" s="738"/>
      <c r="BF741" s="739"/>
      <c r="BG741" s="740"/>
      <c r="BH741" s="740"/>
      <c r="BI741" s="741"/>
      <c r="BJ741" s="742" t="s">
        <v>159</v>
      </c>
      <c r="BK741" s="743"/>
      <c r="BL741" s="743"/>
      <c r="BM741" s="744"/>
      <c r="BN741" s="703" t="s">
        <v>159</v>
      </c>
      <c r="BO741" s="704"/>
      <c r="BP741" s="704"/>
      <c r="BQ741" s="704"/>
      <c r="BR741" s="704"/>
      <c r="BS741" s="704"/>
      <c r="BT741" s="704"/>
      <c r="BU741" s="704"/>
      <c r="BV741" s="705"/>
    </row>
    <row r="742" spans="1:74" ht="45" customHeight="1" x14ac:dyDescent="0.25">
      <c r="A742" s="10">
        <f t="shared" si="11"/>
        <v>728</v>
      </c>
      <c r="B742" s="662" t="s">
        <v>159</v>
      </c>
      <c r="C742" s="662"/>
      <c r="D742" s="663" t="s">
        <v>212</v>
      </c>
      <c r="E742" s="663"/>
      <c r="F742" s="664" t="s">
        <v>162</v>
      </c>
      <c r="G742" s="665"/>
      <c r="H742" s="754" t="s">
        <v>162</v>
      </c>
      <c r="I742" s="714"/>
      <c r="J742" s="715"/>
      <c r="K742" s="716"/>
      <c r="L742" s="715"/>
      <c r="M742" s="716"/>
      <c r="N742" s="215"/>
      <c r="O742" s="196"/>
      <c r="P742" s="670"/>
      <c r="Q742" s="671"/>
      <c r="R742" s="672"/>
      <c r="S742" s="673"/>
      <c r="T742" s="674"/>
      <c r="U742" s="675"/>
      <c r="V742" s="676"/>
      <c r="W742" s="677"/>
      <c r="X742" s="678" t="s">
        <v>159</v>
      </c>
      <c r="Y742" s="678"/>
      <c r="Z742" s="678"/>
      <c r="AA742" s="678"/>
      <c r="AB742" s="679" t="s">
        <v>159</v>
      </c>
      <c r="AC742" s="679"/>
      <c r="AD742" s="679"/>
      <c r="AE742" s="679"/>
      <c r="AF742" s="680"/>
      <c r="AG742" s="681"/>
      <c r="AH742" s="680"/>
      <c r="AI742" s="681"/>
      <c r="AJ742" s="682"/>
      <c r="AK742" s="683"/>
      <c r="AL742" s="684" t="s">
        <v>162</v>
      </c>
      <c r="AM742" s="685"/>
      <c r="AN742" s="666" t="s">
        <v>162</v>
      </c>
      <c r="AO742" s="667"/>
      <c r="AP742" s="686"/>
      <c r="AQ742" s="687"/>
      <c r="AR742" s="688"/>
      <c r="AS742" s="689"/>
      <c r="AT742" s="690"/>
      <c r="AU742" s="691"/>
      <c r="AV742" s="666" t="s">
        <v>162</v>
      </c>
      <c r="AW742" s="667"/>
      <c r="AX742" s="692"/>
      <c r="AY742" s="693"/>
      <c r="AZ742" s="694"/>
      <c r="BA742" s="682"/>
      <c r="BB742" s="683"/>
      <c r="BC742" s="14"/>
      <c r="BD742" s="695" t="s">
        <v>162</v>
      </c>
      <c r="BE742" s="696"/>
      <c r="BF742" s="708"/>
      <c r="BG742" s="709"/>
      <c r="BH742" s="709"/>
      <c r="BI742" s="710"/>
      <c r="BJ742" s="700" t="s">
        <v>159</v>
      </c>
      <c r="BK742" s="701"/>
      <c r="BL742" s="701"/>
      <c r="BM742" s="702"/>
      <c r="BN742" s="703" t="s">
        <v>159</v>
      </c>
      <c r="BO742" s="704"/>
      <c r="BP742" s="704"/>
      <c r="BQ742" s="704"/>
      <c r="BR742" s="704"/>
      <c r="BS742" s="704"/>
      <c r="BT742" s="704"/>
      <c r="BU742" s="704"/>
      <c r="BV742" s="705"/>
    </row>
    <row r="743" spans="1:74" ht="45" customHeight="1" x14ac:dyDescent="0.25">
      <c r="A743" s="10">
        <f t="shared" si="11"/>
        <v>729</v>
      </c>
      <c r="B743" s="711" t="s">
        <v>159</v>
      </c>
      <c r="C743" s="711"/>
      <c r="D743" s="712" t="s">
        <v>212</v>
      </c>
      <c r="E743" s="712"/>
      <c r="F743" s="664" t="s">
        <v>162</v>
      </c>
      <c r="G743" s="665"/>
      <c r="H743" s="755" t="s">
        <v>162</v>
      </c>
      <c r="I743" s="667"/>
      <c r="J743" s="706"/>
      <c r="K743" s="707"/>
      <c r="L743" s="706"/>
      <c r="M743" s="707"/>
      <c r="N743" s="194"/>
      <c r="O743" s="216"/>
      <c r="P743" s="717"/>
      <c r="Q743" s="718"/>
      <c r="R743" s="719"/>
      <c r="S743" s="720"/>
      <c r="T743" s="721"/>
      <c r="U743" s="722"/>
      <c r="V743" s="723"/>
      <c r="W743" s="724"/>
      <c r="X743" s="725" t="s">
        <v>159</v>
      </c>
      <c r="Y743" s="725"/>
      <c r="Z743" s="725"/>
      <c r="AA743" s="725"/>
      <c r="AB743" s="726" t="s">
        <v>159</v>
      </c>
      <c r="AC743" s="726"/>
      <c r="AD743" s="726"/>
      <c r="AE743" s="726"/>
      <c r="AF743" s="727"/>
      <c r="AG743" s="728"/>
      <c r="AH743" s="727"/>
      <c r="AI743" s="728"/>
      <c r="AJ743" s="682"/>
      <c r="AK743" s="683"/>
      <c r="AL743" s="664" t="s">
        <v>162</v>
      </c>
      <c r="AM743" s="665"/>
      <c r="AN743" s="713" t="s">
        <v>162</v>
      </c>
      <c r="AO743" s="714"/>
      <c r="AP743" s="729"/>
      <c r="AQ743" s="730"/>
      <c r="AR743" s="731"/>
      <c r="AS743" s="732"/>
      <c r="AT743" s="733"/>
      <c r="AU743" s="734"/>
      <c r="AV743" s="713" t="s">
        <v>162</v>
      </c>
      <c r="AW743" s="714"/>
      <c r="AX743" s="692"/>
      <c r="AY743" s="693"/>
      <c r="AZ743" s="694"/>
      <c r="BA743" s="735"/>
      <c r="BB743" s="736"/>
      <c r="BC743" s="219"/>
      <c r="BD743" s="737" t="s">
        <v>162</v>
      </c>
      <c r="BE743" s="738"/>
      <c r="BF743" s="739"/>
      <c r="BG743" s="740"/>
      <c r="BH743" s="740"/>
      <c r="BI743" s="741"/>
      <c r="BJ743" s="742" t="s">
        <v>159</v>
      </c>
      <c r="BK743" s="743"/>
      <c r="BL743" s="743"/>
      <c r="BM743" s="744"/>
      <c r="BN743" s="703" t="s">
        <v>159</v>
      </c>
      <c r="BO743" s="704"/>
      <c r="BP743" s="704"/>
      <c r="BQ743" s="704"/>
      <c r="BR743" s="704"/>
      <c r="BS743" s="704"/>
      <c r="BT743" s="704"/>
      <c r="BU743" s="704"/>
      <c r="BV743" s="705"/>
    </row>
    <row r="744" spans="1:74" ht="45" customHeight="1" x14ac:dyDescent="0.25">
      <c r="A744" s="10">
        <f t="shared" si="11"/>
        <v>730</v>
      </c>
      <c r="B744" s="662" t="s">
        <v>159</v>
      </c>
      <c r="C744" s="662"/>
      <c r="D744" s="663" t="s">
        <v>212</v>
      </c>
      <c r="E744" s="663"/>
      <c r="F744" s="664" t="s">
        <v>162</v>
      </c>
      <c r="G744" s="665"/>
      <c r="H744" s="754" t="s">
        <v>162</v>
      </c>
      <c r="I744" s="714"/>
      <c r="J744" s="715"/>
      <c r="K744" s="716"/>
      <c r="L744" s="715"/>
      <c r="M744" s="716"/>
      <c r="N744" s="215"/>
      <c r="O744" s="196"/>
      <c r="P744" s="670"/>
      <c r="Q744" s="671"/>
      <c r="R744" s="672"/>
      <c r="S744" s="673"/>
      <c r="T744" s="674"/>
      <c r="U744" s="675"/>
      <c r="V744" s="676"/>
      <c r="W744" s="677"/>
      <c r="X744" s="678" t="s">
        <v>159</v>
      </c>
      <c r="Y744" s="678"/>
      <c r="Z744" s="678"/>
      <c r="AA744" s="678"/>
      <c r="AB744" s="679" t="s">
        <v>159</v>
      </c>
      <c r="AC744" s="679"/>
      <c r="AD744" s="679"/>
      <c r="AE744" s="679"/>
      <c r="AF744" s="680"/>
      <c r="AG744" s="681"/>
      <c r="AH744" s="680"/>
      <c r="AI744" s="681"/>
      <c r="AJ744" s="682"/>
      <c r="AK744" s="683"/>
      <c r="AL744" s="684" t="s">
        <v>162</v>
      </c>
      <c r="AM744" s="685"/>
      <c r="AN744" s="666" t="s">
        <v>162</v>
      </c>
      <c r="AO744" s="667"/>
      <c r="AP744" s="686"/>
      <c r="AQ744" s="687"/>
      <c r="AR744" s="688"/>
      <c r="AS744" s="689"/>
      <c r="AT744" s="690"/>
      <c r="AU744" s="691"/>
      <c r="AV744" s="666" t="s">
        <v>162</v>
      </c>
      <c r="AW744" s="667"/>
      <c r="AX744" s="692"/>
      <c r="AY744" s="693"/>
      <c r="AZ744" s="694"/>
      <c r="BA744" s="682"/>
      <c r="BB744" s="683"/>
      <c r="BC744" s="14"/>
      <c r="BD744" s="695" t="s">
        <v>162</v>
      </c>
      <c r="BE744" s="696"/>
      <c r="BF744" s="697"/>
      <c r="BG744" s="698"/>
      <c r="BH744" s="698"/>
      <c r="BI744" s="699"/>
      <c r="BJ744" s="700" t="s">
        <v>159</v>
      </c>
      <c r="BK744" s="701"/>
      <c r="BL744" s="701"/>
      <c r="BM744" s="702"/>
      <c r="BN744" s="703" t="s">
        <v>159</v>
      </c>
      <c r="BO744" s="704"/>
      <c r="BP744" s="704"/>
      <c r="BQ744" s="704"/>
      <c r="BR744" s="704"/>
      <c r="BS744" s="704"/>
      <c r="BT744" s="704"/>
      <c r="BU744" s="704"/>
      <c r="BV744" s="705"/>
    </row>
    <row r="745" spans="1:74" ht="45" customHeight="1" x14ac:dyDescent="0.25">
      <c r="A745" s="10">
        <f t="shared" si="11"/>
        <v>731</v>
      </c>
      <c r="B745" s="711" t="s">
        <v>159</v>
      </c>
      <c r="C745" s="711"/>
      <c r="D745" s="712" t="s">
        <v>212</v>
      </c>
      <c r="E745" s="712"/>
      <c r="F745" s="664" t="s">
        <v>162</v>
      </c>
      <c r="G745" s="665"/>
      <c r="H745" s="755" t="s">
        <v>162</v>
      </c>
      <c r="I745" s="667"/>
      <c r="J745" s="706"/>
      <c r="K745" s="707"/>
      <c r="L745" s="706"/>
      <c r="M745" s="707"/>
      <c r="N745" s="194"/>
      <c r="O745" s="216"/>
      <c r="P745" s="717"/>
      <c r="Q745" s="718"/>
      <c r="R745" s="719"/>
      <c r="S745" s="720"/>
      <c r="T745" s="721"/>
      <c r="U745" s="722"/>
      <c r="V745" s="723"/>
      <c r="W745" s="724"/>
      <c r="X745" s="725" t="s">
        <v>159</v>
      </c>
      <c r="Y745" s="725"/>
      <c r="Z745" s="725"/>
      <c r="AA745" s="725"/>
      <c r="AB745" s="726" t="s">
        <v>159</v>
      </c>
      <c r="AC745" s="726"/>
      <c r="AD745" s="726"/>
      <c r="AE745" s="726"/>
      <c r="AF745" s="727"/>
      <c r="AG745" s="728"/>
      <c r="AH745" s="727"/>
      <c r="AI745" s="728"/>
      <c r="AJ745" s="682"/>
      <c r="AK745" s="683"/>
      <c r="AL745" s="664" t="s">
        <v>162</v>
      </c>
      <c r="AM745" s="665"/>
      <c r="AN745" s="713" t="s">
        <v>162</v>
      </c>
      <c r="AO745" s="714"/>
      <c r="AP745" s="729"/>
      <c r="AQ745" s="730"/>
      <c r="AR745" s="731"/>
      <c r="AS745" s="732"/>
      <c r="AT745" s="733"/>
      <c r="AU745" s="734"/>
      <c r="AV745" s="713" t="s">
        <v>162</v>
      </c>
      <c r="AW745" s="714"/>
      <c r="AX745" s="692"/>
      <c r="AY745" s="693"/>
      <c r="AZ745" s="694"/>
      <c r="BA745" s="735"/>
      <c r="BB745" s="736"/>
      <c r="BC745" s="219"/>
      <c r="BD745" s="737" t="s">
        <v>162</v>
      </c>
      <c r="BE745" s="738"/>
      <c r="BF745" s="739"/>
      <c r="BG745" s="740"/>
      <c r="BH745" s="740"/>
      <c r="BI745" s="741"/>
      <c r="BJ745" s="742" t="s">
        <v>159</v>
      </c>
      <c r="BK745" s="743"/>
      <c r="BL745" s="743"/>
      <c r="BM745" s="744"/>
      <c r="BN745" s="703" t="s">
        <v>159</v>
      </c>
      <c r="BO745" s="704"/>
      <c r="BP745" s="704"/>
      <c r="BQ745" s="704"/>
      <c r="BR745" s="704"/>
      <c r="BS745" s="704"/>
      <c r="BT745" s="704"/>
      <c r="BU745" s="704"/>
      <c r="BV745" s="705"/>
    </row>
    <row r="746" spans="1:74" ht="45" customHeight="1" x14ac:dyDescent="0.25">
      <c r="A746" s="10">
        <f t="shared" si="11"/>
        <v>732</v>
      </c>
      <c r="B746" s="662" t="s">
        <v>159</v>
      </c>
      <c r="C746" s="662"/>
      <c r="D746" s="663" t="s">
        <v>212</v>
      </c>
      <c r="E746" s="663"/>
      <c r="F746" s="664" t="s">
        <v>162</v>
      </c>
      <c r="G746" s="665"/>
      <c r="H746" s="754" t="s">
        <v>162</v>
      </c>
      <c r="I746" s="714"/>
      <c r="J746" s="715"/>
      <c r="K746" s="716"/>
      <c r="L746" s="715"/>
      <c r="M746" s="716"/>
      <c r="N746" s="215"/>
      <c r="O746" s="196"/>
      <c r="P746" s="670"/>
      <c r="Q746" s="671"/>
      <c r="R746" s="672"/>
      <c r="S746" s="673"/>
      <c r="T746" s="674"/>
      <c r="U746" s="675"/>
      <c r="V746" s="676"/>
      <c r="W746" s="677"/>
      <c r="X746" s="678" t="s">
        <v>159</v>
      </c>
      <c r="Y746" s="678"/>
      <c r="Z746" s="678"/>
      <c r="AA746" s="678"/>
      <c r="AB746" s="679" t="s">
        <v>159</v>
      </c>
      <c r="AC746" s="679"/>
      <c r="AD746" s="679"/>
      <c r="AE746" s="679"/>
      <c r="AF746" s="680"/>
      <c r="AG746" s="681"/>
      <c r="AH746" s="680"/>
      <c r="AI746" s="681"/>
      <c r="AJ746" s="682"/>
      <c r="AK746" s="683"/>
      <c r="AL746" s="684" t="s">
        <v>162</v>
      </c>
      <c r="AM746" s="685"/>
      <c r="AN746" s="666" t="s">
        <v>162</v>
      </c>
      <c r="AO746" s="667"/>
      <c r="AP746" s="686"/>
      <c r="AQ746" s="687"/>
      <c r="AR746" s="688"/>
      <c r="AS746" s="689"/>
      <c r="AT746" s="690"/>
      <c r="AU746" s="691"/>
      <c r="AV746" s="666" t="s">
        <v>162</v>
      </c>
      <c r="AW746" s="667"/>
      <c r="AX746" s="692"/>
      <c r="AY746" s="693"/>
      <c r="AZ746" s="694"/>
      <c r="BA746" s="682"/>
      <c r="BB746" s="683"/>
      <c r="BC746" s="14"/>
      <c r="BD746" s="695" t="s">
        <v>162</v>
      </c>
      <c r="BE746" s="696"/>
      <c r="BF746" s="697"/>
      <c r="BG746" s="698"/>
      <c r="BH746" s="698"/>
      <c r="BI746" s="699"/>
      <c r="BJ746" s="700" t="s">
        <v>159</v>
      </c>
      <c r="BK746" s="701"/>
      <c r="BL746" s="701"/>
      <c r="BM746" s="702"/>
      <c r="BN746" s="703" t="s">
        <v>159</v>
      </c>
      <c r="BO746" s="704"/>
      <c r="BP746" s="704"/>
      <c r="BQ746" s="704"/>
      <c r="BR746" s="704"/>
      <c r="BS746" s="704"/>
      <c r="BT746" s="704"/>
      <c r="BU746" s="704"/>
      <c r="BV746" s="705"/>
    </row>
    <row r="747" spans="1:74" ht="45" customHeight="1" x14ac:dyDescent="0.25">
      <c r="A747" s="10">
        <f t="shared" si="11"/>
        <v>733</v>
      </c>
      <c r="B747" s="711" t="s">
        <v>159</v>
      </c>
      <c r="C747" s="711"/>
      <c r="D747" s="712" t="s">
        <v>212</v>
      </c>
      <c r="E747" s="712"/>
      <c r="F747" s="664" t="s">
        <v>162</v>
      </c>
      <c r="G747" s="665"/>
      <c r="H747" s="755" t="s">
        <v>162</v>
      </c>
      <c r="I747" s="667"/>
      <c r="J747" s="706"/>
      <c r="K747" s="707"/>
      <c r="L747" s="706"/>
      <c r="M747" s="707"/>
      <c r="N747" s="194"/>
      <c r="O747" s="216"/>
      <c r="P747" s="717"/>
      <c r="Q747" s="718"/>
      <c r="R747" s="719"/>
      <c r="S747" s="720"/>
      <c r="T747" s="721"/>
      <c r="U747" s="722"/>
      <c r="V747" s="723"/>
      <c r="W747" s="724"/>
      <c r="X747" s="725" t="s">
        <v>159</v>
      </c>
      <c r="Y747" s="725"/>
      <c r="Z747" s="725"/>
      <c r="AA747" s="725"/>
      <c r="AB747" s="726" t="s">
        <v>159</v>
      </c>
      <c r="AC747" s="726"/>
      <c r="AD747" s="726"/>
      <c r="AE747" s="726"/>
      <c r="AF747" s="727"/>
      <c r="AG747" s="728"/>
      <c r="AH747" s="727"/>
      <c r="AI747" s="728"/>
      <c r="AJ747" s="682"/>
      <c r="AK747" s="683"/>
      <c r="AL747" s="664" t="s">
        <v>162</v>
      </c>
      <c r="AM747" s="665"/>
      <c r="AN747" s="713" t="s">
        <v>162</v>
      </c>
      <c r="AO747" s="714"/>
      <c r="AP747" s="729"/>
      <c r="AQ747" s="730"/>
      <c r="AR747" s="731"/>
      <c r="AS747" s="732"/>
      <c r="AT747" s="733"/>
      <c r="AU747" s="734"/>
      <c r="AV747" s="713" t="s">
        <v>162</v>
      </c>
      <c r="AW747" s="714"/>
      <c r="AX747" s="692"/>
      <c r="AY747" s="693"/>
      <c r="AZ747" s="694"/>
      <c r="BA747" s="735"/>
      <c r="BB747" s="736"/>
      <c r="BC747" s="219"/>
      <c r="BD747" s="737" t="s">
        <v>162</v>
      </c>
      <c r="BE747" s="738"/>
      <c r="BF747" s="739"/>
      <c r="BG747" s="740"/>
      <c r="BH747" s="740"/>
      <c r="BI747" s="741"/>
      <c r="BJ747" s="742" t="s">
        <v>159</v>
      </c>
      <c r="BK747" s="743"/>
      <c r="BL747" s="743"/>
      <c r="BM747" s="744"/>
      <c r="BN747" s="703" t="s">
        <v>159</v>
      </c>
      <c r="BO747" s="704"/>
      <c r="BP747" s="704"/>
      <c r="BQ747" s="704"/>
      <c r="BR747" s="704"/>
      <c r="BS747" s="704"/>
      <c r="BT747" s="704"/>
      <c r="BU747" s="704"/>
      <c r="BV747" s="705"/>
    </row>
    <row r="748" spans="1:74" ht="45" customHeight="1" x14ac:dyDescent="0.25">
      <c r="A748" s="10">
        <f t="shared" si="11"/>
        <v>734</v>
      </c>
      <c r="B748" s="662" t="s">
        <v>159</v>
      </c>
      <c r="C748" s="662"/>
      <c r="D748" s="663" t="s">
        <v>212</v>
      </c>
      <c r="E748" s="663"/>
      <c r="F748" s="664" t="s">
        <v>162</v>
      </c>
      <c r="G748" s="665"/>
      <c r="H748" s="754" t="s">
        <v>162</v>
      </c>
      <c r="I748" s="714"/>
      <c r="J748" s="715"/>
      <c r="K748" s="716"/>
      <c r="L748" s="715"/>
      <c r="M748" s="716"/>
      <c r="N748" s="215"/>
      <c r="O748" s="196"/>
      <c r="P748" s="670"/>
      <c r="Q748" s="671"/>
      <c r="R748" s="672"/>
      <c r="S748" s="673"/>
      <c r="T748" s="674"/>
      <c r="U748" s="675"/>
      <c r="V748" s="676"/>
      <c r="W748" s="677"/>
      <c r="X748" s="678" t="s">
        <v>159</v>
      </c>
      <c r="Y748" s="678"/>
      <c r="Z748" s="678"/>
      <c r="AA748" s="678"/>
      <c r="AB748" s="679" t="s">
        <v>159</v>
      </c>
      <c r="AC748" s="679"/>
      <c r="AD748" s="679"/>
      <c r="AE748" s="679"/>
      <c r="AF748" s="680"/>
      <c r="AG748" s="681"/>
      <c r="AH748" s="680"/>
      <c r="AI748" s="681"/>
      <c r="AJ748" s="682"/>
      <c r="AK748" s="683"/>
      <c r="AL748" s="684" t="s">
        <v>162</v>
      </c>
      <c r="AM748" s="685"/>
      <c r="AN748" s="666" t="s">
        <v>162</v>
      </c>
      <c r="AO748" s="667"/>
      <c r="AP748" s="686"/>
      <c r="AQ748" s="687"/>
      <c r="AR748" s="688"/>
      <c r="AS748" s="689"/>
      <c r="AT748" s="690"/>
      <c r="AU748" s="691"/>
      <c r="AV748" s="666" t="s">
        <v>162</v>
      </c>
      <c r="AW748" s="667"/>
      <c r="AX748" s="692"/>
      <c r="AY748" s="693"/>
      <c r="AZ748" s="694"/>
      <c r="BA748" s="682"/>
      <c r="BB748" s="683"/>
      <c r="BC748" s="14"/>
      <c r="BD748" s="695" t="s">
        <v>162</v>
      </c>
      <c r="BE748" s="696"/>
      <c r="BF748" s="708"/>
      <c r="BG748" s="709"/>
      <c r="BH748" s="709"/>
      <c r="BI748" s="710"/>
      <c r="BJ748" s="700" t="s">
        <v>159</v>
      </c>
      <c r="BK748" s="701"/>
      <c r="BL748" s="701"/>
      <c r="BM748" s="702"/>
      <c r="BN748" s="703" t="s">
        <v>159</v>
      </c>
      <c r="BO748" s="704"/>
      <c r="BP748" s="704"/>
      <c r="BQ748" s="704"/>
      <c r="BR748" s="704"/>
      <c r="BS748" s="704"/>
      <c r="BT748" s="704"/>
      <c r="BU748" s="704"/>
      <c r="BV748" s="705"/>
    </row>
    <row r="749" spans="1:74" ht="45" customHeight="1" x14ac:dyDescent="0.25">
      <c r="A749" s="10">
        <f t="shared" si="11"/>
        <v>735</v>
      </c>
      <c r="B749" s="711" t="s">
        <v>159</v>
      </c>
      <c r="C749" s="711"/>
      <c r="D749" s="712" t="s">
        <v>212</v>
      </c>
      <c r="E749" s="712"/>
      <c r="F749" s="664" t="s">
        <v>162</v>
      </c>
      <c r="G749" s="665"/>
      <c r="H749" s="755" t="s">
        <v>162</v>
      </c>
      <c r="I749" s="667"/>
      <c r="J749" s="706"/>
      <c r="K749" s="707"/>
      <c r="L749" s="706"/>
      <c r="M749" s="707"/>
      <c r="N749" s="194"/>
      <c r="O749" s="216"/>
      <c r="P749" s="717"/>
      <c r="Q749" s="718"/>
      <c r="R749" s="719"/>
      <c r="S749" s="720"/>
      <c r="T749" s="721"/>
      <c r="U749" s="722"/>
      <c r="V749" s="723"/>
      <c r="W749" s="724"/>
      <c r="X749" s="725" t="s">
        <v>159</v>
      </c>
      <c r="Y749" s="725"/>
      <c r="Z749" s="725"/>
      <c r="AA749" s="725"/>
      <c r="AB749" s="726" t="s">
        <v>159</v>
      </c>
      <c r="AC749" s="726"/>
      <c r="AD749" s="726"/>
      <c r="AE749" s="726"/>
      <c r="AF749" s="727"/>
      <c r="AG749" s="728"/>
      <c r="AH749" s="727"/>
      <c r="AI749" s="728"/>
      <c r="AJ749" s="682"/>
      <c r="AK749" s="683"/>
      <c r="AL749" s="664" t="s">
        <v>162</v>
      </c>
      <c r="AM749" s="665"/>
      <c r="AN749" s="713" t="s">
        <v>162</v>
      </c>
      <c r="AO749" s="714"/>
      <c r="AP749" s="729"/>
      <c r="AQ749" s="730"/>
      <c r="AR749" s="731"/>
      <c r="AS749" s="732"/>
      <c r="AT749" s="733"/>
      <c r="AU749" s="734"/>
      <c r="AV749" s="713" t="s">
        <v>162</v>
      </c>
      <c r="AW749" s="714"/>
      <c r="AX749" s="692"/>
      <c r="AY749" s="693"/>
      <c r="AZ749" s="694"/>
      <c r="BA749" s="735"/>
      <c r="BB749" s="736"/>
      <c r="BC749" s="219"/>
      <c r="BD749" s="737" t="s">
        <v>162</v>
      </c>
      <c r="BE749" s="738"/>
      <c r="BF749" s="739"/>
      <c r="BG749" s="740"/>
      <c r="BH749" s="740"/>
      <c r="BI749" s="741"/>
      <c r="BJ749" s="742" t="s">
        <v>159</v>
      </c>
      <c r="BK749" s="743"/>
      <c r="BL749" s="743"/>
      <c r="BM749" s="744"/>
      <c r="BN749" s="703" t="s">
        <v>159</v>
      </c>
      <c r="BO749" s="704"/>
      <c r="BP749" s="704"/>
      <c r="BQ749" s="704"/>
      <c r="BR749" s="704"/>
      <c r="BS749" s="704"/>
      <c r="BT749" s="704"/>
      <c r="BU749" s="704"/>
      <c r="BV749" s="705"/>
    </row>
    <row r="750" spans="1:74" ht="45" customHeight="1" x14ac:dyDescent="0.25">
      <c r="A750" s="10">
        <f t="shared" si="11"/>
        <v>736</v>
      </c>
      <c r="B750" s="662" t="s">
        <v>159</v>
      </c>
      <c r="C750" s="662"/>
      <c r="D750" s="663" t="s">
        <v>212</v>
      </c>
      <c r="E750" s="663"/>
      <c r="F750" s="664" t="s">
        <v>162</v>
      </c>
      <c r="G750" s="665"/>
      <c r="H750" s="754" t="s">
        <v>162</v>
      </c>
      <c r="I750" s="714"/>
      <c r="J750" s="715"/>
      <c r="K750" s="716"/>
      <c r="L750" s="715"/>
      <c r="M750" s="716"/>
      <c r="N750" s="215"/>
      <c r="O750" s="196"/>
      <c r="P750" s="670"/>
      <c r="Q750" s="671"/>
      <c r="R750" s="672"/>
      <c r="S750" s="673"/>
      <c r="T750" s="674"/>
      <c r="U750" s="675"/>
      <c r="V750" s="676"/>
      <c r="W750" s="677"/>
      <c r="X750" s="678" t="s">
        <v>159</v>
      </c>
      <c r="Y750" s="678"/>
      <c r="Z750" s="678"/>
      <c r="AA750" s="678"/>
      <c r="AB750" s="679" t="s">
        <v>159</v>
      </c>
      <c r="AC750" s="679"/>
      <c r="AD750" s="679"/>
      <c r="AE750" s="679"/>
      <c r="AF750" s="680"/>
      <c r="AG750" s="681"/>
      <c r="AH750" s="680"/>
      <c r="AI750" s="681"/>
      <c r="AJ750" s="682"/>
      <c r="AK750" s="683"/>
      <c r="AL750" s="684" t="s">
        <v>162</v>
      </c>
      <c r="AM750" s="685"/>
      <c r="AN750" s="666" t="s">
        <v>162</v>
      </c>
      <c r="AO750" s="667"/>
      <c r="AP750" s="686"/>
      <c r="AQ750" s="687"/>
      <c r="AR750" s="688"/>
      <c r="AS750" s="689"/>
      <c r="AT750" s="690"/>
      <c r="AU750" s="691"/>
      <c r="AV750" s="666" t="s">
        <v>162</v>
      </c>
      <c r="AW750" s="667"/>
      <c r="AX750" s="692"/>
      <c r="AY750" s="693"/>
      <c r="AZ750" s="694"/>
      <c r="BA750" s="682"/>
      <c r="BB750" s="683"/>
      <c r="BC750" s="14"/>
      <c r="BD750" s="695" t="s">
        <v>162</v>
      </c>
      <c r="BE750" s="696"/>
      <c r="BF750" s="697"/>
      <c r="BG750" s="698"/>
      <c r="BH750" s="698"/>
      <c r="BI750" s="699"/>
      <c r="BJ750" s="700" t="s">
        <v>159</v>
      </c>
      <c r="BK750" s="701"/>
      <c r="BL750" s="701"/>
      <c r="BM750" s="702"/>
      <c r="BN750" s="703" t="s">
        <v>159</v>
      </c>
      <c r="BO750" s="704"/>
      <c r="BP750" s="704"/>
      <c r="BQ750" s="704"/>
      <c r="BR750" s="704"/>
      <c r="BS750" s="704"/>
      <c r="BT750" s="704"/>
      <c r="BU750" s="704"/>
      <c r="BV750" s="705"/>
    </row>
    <row r="751" spans="1:74" ht="45" customHeight="1" x14ac:dyDescent="0.25">
      <c r="A751" s="10">
        <f t="shared" si="11"/>
        <v>737</v>
      </c>
      <c r="B751" s="711" t="s">
        <v>159</v>
      </c>
      <c r="C751" s="711"/>
      <c r="D751" s="712" t="s">
        <v>212</v>
      </c>
      <c r="E751" s="712"/>
      <c r="F751" s="664" t="s">
        <v>162</v>
      </c>
      <c r="G751" s="665"/>
      <c r="H751" s="755" t="s">
        <v>162</v>
      </c>
      <c r="I751" s="667"/>
      <c r="J751" s="706"/>
      <c r="K751" s="707"/>
      <c r="L751" s="706"/>
      <c r="M751" s="707"/>
      <c r="N751" s="215"/>
      <c r="O751" s="216"/>
      <c r="P751" s="670"/>
      <c r="Q751" s="671"/>
      <c r="R751" s="719"/>
      <c r="S751" s="720"/>
      <c r="T751" s="721"/>
      <c r="U751" s="722"/>
      <c r="V751" s="723"/>
      <c r="W751" s="724"/>
      <c r="X751" s="725" t="s">
        <v>159</v>
      </c>
      <c r="Y751" s="725"/>
      <c r="Z751" s="725"/>
      <c r="AA751" s="725"/>
      <c r="AB751" s="726" t="s">
        <v>159</v>
      </c>
      <c r="AC751" s="726"/>
      <c r="AD751" s="726"/>
      <c r="AE751" s="726"/>
      <c r="AF751" s="727"/>
      <c r="AG751" s="728"/>
      <c r="AH751" s="727"/>
      <c r="AI751" s="728"/>
      <c r="AJ751" s="682"/>
      <c r="AK751" s="683"/>
      <c r="AL751" s="664" t="s">
        <v>162</v>
      </c>
      <c r="AM751" s="665"/>
      <c r="AN751" s="713" t="s">
        <v>162</v>
      </c>
      <c r="AO751" s="714"/>
      <c r="AP751" s="729"/>
      <c r="AQ751" s="730"/>
      <c r="AR751" s="731"/>
      <c r="AS751" s="732"/>
      <c r="AT751" s="690"/>
      <c r="AU751" s="691"/>
      <c r="AV751" s="713" t="s">
        <v>162</v>
      </c>
      <c r="AW751" s="714"/>
      <c r="AX751" s="692"/>
      <c r="AY751" s="693"/>
      <c r="AZ751" s="694"/>
      <c r="BA751" s="735"/>
      <c r="BB751" s="736"/>
      <c r="BC751" s="219"/>
      <c r="BD751" s="695" t="s">
        <v>162</v>
      </c>
      <c r="BE751" s="696"/>
      <c r="BF751" s="739"/>
      <c r="BG751" s="740"/>
      <c r="BH751" s="740"/>
      <c r="BI751" s="741"/>
      <c r="BJ751" s="742" t="s">
        <v>159</v>
      </c>
      <c r="BK751" s="743"/>
      <c r="BL751" s="743"/>
      <c r="BM751" s="744"/>
      <c r="BN751" s="703" t="s">
        <v>159</v>
      </c>
      <c r="BO751" s="704"/>
      <c r="BP751" s="704"/>
      <c r="BQ751" s="704"/>
      <c r="BR751" s="704"/>
      <c r="BS751" s="704"/>
      <c r="BT751" s="704"/>
      <c r="BU751" s="704"/>
      <c r="BV751" s="705"/>
    </row>
    <row r="752" spans="1:74" ht="45" customHeight="1" x14ac:dyDescent="0.25">
      <c r="A752" s="10">
        <f t="shared" si="11"/>
        <v>738</v>
      </c>
      <c r="B752" s="662" t="s">
        <v>159</v>
      </c>
      <c r="C752" s="662"/>
      <c r="D752" s="663" t="s">
        <v>212</v>
      </c>
      <c r="E752" s="663"/>
      <c r="F752" s="664" t="s">
        <v>162</v>
      </c>
      <c r="G752" s="665"/>
      <c r="H752" s="754" t="s">
        <v>162</v>
      </c>
      <c r="I752" s="714"/>
      <c r="J752" s="715"/>
      <c r="K752" s="716"/>
      <c r="L752" s="715"/>
      <c r="M752" s="716"/>
      <c r="N752" s="194"/>
      <c r="O752" s="196"/>
      <c r="P752" s="717"/>
      <c r="Q752" s="718"/>
      <c r="R752" s="672"/>
      <c r="S752" s="673"/>
      <c r="T752" s="674"/>
      <c r="U752" s="675"/>
      <c r="V752" s="676"/>
      <c r="W752" s="677"/>
      <c r="X752" s="678" t="s">
        <v>159</v>
      </c>
      <c r="Y752" s="678"/>
      <c r="Z752" s="678"/>
      <c r="AA752" s="678"/>
      <c r="AB752" s="679" t="s">
        <v>159</v>
      </c>
      <c r="AC752" s="679"/>
      <c r="AD752" s="679"/>
      <c r="AE752" s="679"/>
      <c r="AF752" s="680"/>
      <c r="AG752" s="681"/>
      <c r="AH752" s="680"/>
      <c r="AI752" s="681"/>
      <c r="AJ752" s="682"/>
      <c r="AK752" s="683"/>
      <c r="AL752" s="684" t="s">
        <v>162</v>
      </c>
      <c r="AM752" s="685"/>
      <c r="AN752" s="666" t="s">
        <v>162</v>
      </c>
      <c r="AO752" s="667"/>
      <c r="AP752" s="686"/>
      <c r="AQ752" s="687"/>
      <c r="AR752" s="688"/>
      <c r="AS752" s="689"/>
      <c r="AT752" s="690"/>
      <c r="AU752" s="691"/>
      <c r="AV752" s="666" t="s">
        <v>162</v>
      </c>
      <c r="AW752" s="667"/>
      <c r="AX752" s="692"/>
      <c r="AY752" s="693"/>
      <c r="AZ752" s="694"/>
      <c r="BA752" s="682"/>
      <c r="BB752" s="683"/>
      <c r="BC752" s="14"/>
      <c r="BD752" s="737" t="s">
        <v>162</v>
      </c>
      <c r="BE752" s="738"/>
      <c r="BF752" s="697"/>
      <c r="BG752" s="698"/>
      <c r="BH752" s="698"/>
      <c r="BI752" s="699"/>
      <c r="BJ752" s="700" t="s">
        <v>159</v>
      </c>
      <c r="BK752" s="701"/>
      <c r="BL752" s="701"/>
      <c r="BM752" s="702"/>
      <c r="BN752" s="703" t="s">
        <v>159</v>
      </c>
      <c r="BO752" s="704"/>
      <c r="BP752" s="704"/>
      <c r="BQ752" s="704"/>
      <c r="BR752" s="704"/>
      <c r="BS752" s="704"/>
      <c r="BT752" s="704"/>
      <c r="BU752" s="704"/>
      <c r="BV752" s="705"/>
    </row>
    <row r="753" spans="1:74" ht="45" customHeight="1" x14ac:dyDescent="0.25">
      <c r="A753" s="10">
        <f t="shared" si="11"/>
        <v>739</v>
      </c>
      <c r="B753" s="711" t="s">
        <v>159</v>
      </c>
      <c r="C753" s="711"/>
      <c r="D753" s="712" t="s">
        <v>212</v>
      </c>
      <c r="E753" s="712"/>
      <c r="F753" s="664" t="s">
        <v>162</v>
      </c>
      <c r="G753" s="665"/>
      <c r="H753" s="755" t="s">
        <v>162</v>
      </c>
      <c r="I753" s="667"/>
      <c r="J753" s="706"/>
      <c r="K753" s="707"/>
      <c r="L753" s="706"/>
      <c r="M753" s="707"/>
      <c r="N753" s="215"/>
      <c r="O753" s="216"/>
      <c r="P753" s="670"/>
      <c r="Q753" s="671"/>
      <c r="R753" s="719"/>
      <c r="S753" s="720"/>
      <c r="T753" s="721"/>
      <c r="U753" s="722"/>
      <c r="V753" s="723"/>
      <c r="W753" s="724"/>
      <c r="X753" s="725" t="s">
        <v>159</v>
      </c>
      <c r="Y753" s="725"/>
      <c r="Z753" s="725"/>
      <c r="AA753" s="725"/>
      <c r="AB753" s="726" t="s">
        <v>159</v>
      </c>
      <c r="AC753" s="726"/>
      <c r="AD753" s="726"/>
      <c r="AE753" s="726"/>
      <c r="AF753" s="727"/>
      <c r="AG753" s="728"/>
      <c r="AH753" s="727"/>
      <c r="AI753" s="728"/>
      <c r="AJ753" s="682"/>
      <c r="AK753" s="683"/>
      <c r="AL753" s="664" t="s">
        <v>162</v>
      </c>
      <c r="AM753" s="665"/>
      <c r="AN753" s="713" t="s">
        <v>162</v>
      </c>
      <c r="AO753" s="714"/>
      <c r="AP753" s="729"/>
      <c r="AQ753" s="730"/>
      <c r="AR753" s="731"/>
      <c r="AS753" s="732"/>
      <c r="AT753" s="690"/>
      <c r="AU753" s="691"/>
      <c r="AV753" s="713" t="s">
        <v>162</v>
      </c>
      <c r="AW753" s="714"/>
      <c r="AX753" s="692"/>
      <c r="AY753" s="693"/>
      <c r="AZ753" s="694"/>
      <c r="BA753" s="735"/>
      <c r="BB753" s="736"/>
      <c r="BC753" s="219"/>
      <c r="BD753" s="695" t="s">
        <v>162</v>
      </c>
      <c r="BE753" s="696"/>
      <c r="BF753" s="739"/>
      <c r="BG753" s="740"/>
      <c r="BH753" s="740"/>
      <c r="BI753" s="741"/>
      <c r="BJ753" s="742" t="s">
        <v>159</v>
      </c>
      <c r="BK753" s="743"/>
      <c r="BL753" s="743"/>
      <c r="BM753" s="744"/>
      <c r="BN753" s="703" t="s">
        <v>159</v>
      </c>
      <c r="BO753" s="704"/>
      <c r="BP753" s="704"/>
      <c r="BQ753" s="704"/>
      <c r="BR753" s="704"/>
      <c r="BS753" s="704"/>
      <c r="BT753" s="704"/>
      <c r="BU753" s="704"/>
      <c r="BV753" s="705"/>
    </row>
    <row r="754" spans="1:74" ht="45" customHeight="1" x14ac:dyDescent="0.25">
      <c r="A754" s="10">
        <f t="shared" si="11"/>
        <v>740</v>
      </c>
      <c r="B754" s="662" t="s">
        <v>159</v>
      </c>
      <c r="C754" s="662"/>
      <c r="D754" s="663" t="s">
        <v>212</v>
      </c>
      <c r="E754" s="663"/>
      <c r="F754" s="664" t="s">
        <v>162</v>
      </c>
      <c r="G754" s="665"/>
      <c r="H754" s="754" t="s">
        <v>162</v>
      </c>
      <c r="I754" s="714"/>
      <c r="J754" s="715"/>
      <c r="K754" s="716"/>
      <c r="L754" s="715"/>
      <c r="M754" s="716"/>
      <c r="N754" s="194"/>
      <c r="O754" s="196"/>
      <c r="P754" s="717"/>
      <c r="Q754" s="718"/>
      <c r="R754" s="672"/>
      <c r="S754" s="673"/>
      <c r="T754" s="674"/>
      <c r="U754" s="675"/>
      <c r="V754" s="676"/>
      <c r="W754" s="677"/>
      <c r="X754" s="678" t="s">
        <v>159</v>
      </c>
      <c r="Y754" s="678"/>
      <c r="Z754" s="678"/>
      <c r="AA754" s="678"/>
      <c r="AB754" s="679" t="s">
        <v>159</v>
      </c>
      <c r="AC754" s="679"/>
      <c r="AD754" s="679"/>
      <c r="AE754" s="679"/>
      <c r="AF754" s="680"/>
      <c r="AG754" s="681"/>
      <c r="AH754" s="680"/>
      <c r="AI754" s="681"/>
      <c r="AJ754" s="682"/>
      <c r="AK754" s="683"/>
      <c r="AL754" s="684" t="s">
        <v>162</v>
      </c>
      <c r="AM754" s="685"/>
      <c r="AN754" s="666" t="s">
        <v>162</v>
      </c>
      <c r="AO754" s="667"/>
      <c r="AP754" s="686"/>
      <c r="AQ754" s="687"/>
      <c r="AR754" s="688"/>
      <c r="AS754" s="689"/>
      <c r="AT754" s="690"/>
      <c r="AU754" s="691"/>
      <c r="AV754" s="666" t="s">
        <v>162</v>
      </c>
      <c r="AW754" s="667"/>
      <c r="AX754" s="692"/>
      <c r="AY754" s="693"/>
      <c r="AZ754" s="694"/>
      <c r="BA754" s="682"/>
      <c r="BB754" s="683"/>
      <c r="BC754" s="14"/>
      <c r="BD754" s="695" t="s">
        <v>162</v>
      </c>
      <c r="BE754" s="696"/>
      <c r="BF754" s="697"/>
      <c r="BG754" s="698"/>
      <c r="BH754" s="698"/>
      <c r="BI754" s="699"/>
      <c r="BJ754" s="700" t="s">
        <v>159</v>
      </c>
      <c r="BK754" s="701"/>
      <c r="BL754" s="701"/>
      <c r="BM754" s="702"/>
      <c r="BN754" s="703" t="s">
        <v>159</v>
      </c>
      <c r="BO754" s="704"/>
      <c r="BP754" s="704"/>
      <c r="BQ754" s="704"/>
      <c r="BR754" s="704"/>
      <c r="BS754" s="704"/>
      <c r="BT754" s="704"/>
      <c r="BU754" s="704"/>
      <c r="BV754" s="705"/>
    </row>
    <row r="755" spans="1:74" ht="45" customHeight="1" x14ac:dyDescent="0.25">
      <c r="A755" s="10">
        <f t="shared" si="11"/>
        <v>741</v>
      </c>
      <c r="B755" s="711" t="s">
        <v>159</v>
      </c>
      <c r="C755" s="711"/>
      <c r="D755" s="712" t="s">
        <v>212</v>
      </c>
      <c r="E755" s="712"/>
      <c r="F755" s="664" t="s">
        <v>162</v>
      </c>
      <c r="G755" s="665"/>
      <c r="H755" s="755" t="s">
        <v>162</v>
      </c>
      <c r="I755" s="667"/>
      <c r="J755" s="706"/>
      <c r="K755" s="707"/>
      <c r="L755" s="706"/>
      <c r="M755" s="707"/>
      <c r="N755" s="215"/>
      <c r="O755" s="216"/>
      <c r="P755" s="670"/>
      <c r="Q755" s="671"/>
      <c r="R755" s="719"/>
      <c r="S755" s="720"/>
      <c r="T755" s="721"/>
      <c r="U755" s="722"/>
      <c r="V755" s="723"/>
      <c r="W755" s="724"/>
      <c r="X755" s="725" t="s">
        <v>159</v>
      </c>
      <c r="Y755" s="725"/>
      <c r="Z755" s="725"/>
      <c r="AA755" s="725"/>
      <c r="AB755" s="726" t="s">
        <v>159</v>
      </c>
      <c r="AC755" s="726"/>
      <c r="AD755" s="726"/>
      <c r="AE755" s="726"/>
      <c r="AF755" s="727"/>
      <c r="AG755" s="728"/>
      <c r="AH755" s="727"/>
      <c r="AI755" s="728"/>
      <c r="AJ755" s="682"/>
      <c r="AK755" s="683"/>
      <c r="AL755" s="664" t="s">
        <v>162</v>
      </c>
      <c r="AM755" s="665"/>
      <c r="AN755" s="713" t="s">
        <v>162</v>
      </c>
      <c r="AO755" s="714"/>
      <c r="AP755" s="729"/>
      <c r="AQ755" s="730"/>
      <c r="AR755" s="731"/>
      <c r="AS755" s="732"/>
      <c r="AT755" s="733"/>
      <c r="AU755" s="734"/>
      <c r="AV755" s="713" t="s">
        <v>162</v>
      </c>
      <c r="AW755" s="714"/>
      <c r="AX755" s="692"/>
      <c r="AY755" s="693"/>
      <c r="AZ755" s="694"/>
      <c r="BA755" s="735"/>
      <c r="BB755" s="736"/>
      <c r="BC755" s="219"/>
      <c r="BD755" s="737" t="s">
        <v>162</v>
      </c>
      <c r="BE755" s="738"/>
      <c r="BF755" s="739"/>
      <c r="BG755" s="740"/>
      <c r="BH755" s="740"/>
      <c r="BI755" s="741"/>
      <c r="BJ755" s="742" t="s">
        <v>159</v>
      </c>
      <c r="BK755" s="743"/>
      <c r="BL755" s="743"/>
      <c r="BM755" s="744"/>
      <c r="BN755" s="703" t="s">
        <v>159</v>
      </c>
      <c r="BO755" s="704"/>
      <c r="BP755" s="704"/>
      <c r="BQ755" s="704"/>
      <c r="BR755" s="704"/>
      <c r="BS755" s="704"/>
      <c r="BT755" s="704"/>
      <c r="BU755" s="704"/>
      <c r="BV755" s="705"/>
    </row>
    <row r="756" spans="1:74" ht="45" customHeight="1" x14ac:dyDescent="0.25">
      <c r="A756" s="10">
        <f t="shared" si="11"/>
        <v>742</v>
      </c>
      <c r="B756" s="662" t="s">
        <v>159</v>
      </c>
      <c r="C756" s="662"/>
      <c r="D756" s="663" t="s">
        <v>212</v>
      </c>
      <c r="E756" s="663"/>
      <c r="F756" s="664" t="s">
        <v>162</v>
      </c>
      <c r="G756" s="665"/>
      <c r="H756" s="754" t="s">
        <v>162</v>
      </c>
      <c r="I756" s="714"/>
      <c r="J756" s="715"/>
      <c r="K756" s="716"/>
      <c r="L756" s="715"/>
      <c r="M756" s="716"/>
      <c r="N756" s="194"/>
      <c r="O756" s="196"/>
      <c r="P756" s="717"/>
      <c r="Q756" s="718"/>
      <c r="R756" s="672"/>
      <c r="S756" s="673"/>
      <c r="T756" s="674"/>
      <c r="U756" s="675"/>
      <c r="V756" s="676"/>
      <c r="W756" s="677"/>
      <c r="X756" s="678" t="s">
        <v>159</v>
      </c>
      <c r="Y756" s="678"/>
      <c r="Z756" s="678"/>
      <c r="AA756" s="678"/>
      <c r="AB756" s="679" t="s">
        <v>159</v>
      </c>
      <c r="AC756" s="679"/>
      <c r="AD756" s="679"/>
      <c r="AE756" s="679"/>
      <c r="AF756" s="680"/>
      <c r="AG756" s="681"/>
      <c r="AH756" s="680"/>
      <c r="AI756" s="681"/>
      <c r="AJ756" s="682"/>
      <c r="AK756" s="683"/>
      <c r="AL756" s="684" t="s">
        <v>162</v>
      </c>
      <c r="AM756" s="685"/>
      <c r="AN756" s="666" t="s">
        <v>162</v>
      </c>
      <c r="AO756" s="667"/>
      <c r="AP756" s="686"/>
      <c r="AQ756" s="687"/>
      <c r="AR756" s="688"/>
      <c r="AS756" s="689"/>
      <c r="AT756" s="690"/>
      <c r="AU756" s="691"/>
      <c r="AV756" s="666" t="s">
        <v>162</v>
      </c>
      <c r="AW756" s="667"/>
      <c r="AX756" s="692"/>
      <c r="AY756" s="693"/>
      <c r="AZ756" s="694"/>
      <c r="BA756" s="682"/>
      <c r="BB756" s="683"/>
      <c r="BC756" s="14"/>
      <c r="BD756" s="695" t="s">
        <v>162</v>
      </c>
      <c r="BE756" s="696"/>
      <c r="BF756" s="708"/>
      <c r="BG756" s="709"/>
      <c r="BH756" s="709"/>
      <c r="BI756" s="710"/>
      <c r="BJ756" s="700" t="s">
        <v>159</v>
      </c>
      <c r="BK756" s="701"/>
      <c r="BL756" s="701"/>
      <c r="BM756" s="702"/>
      <c r="BN756" s="703" t="s">
        <v>159</v>
      </c>
      <c r="BO756" s="704"/>
      <c r="BP756" s="704"/>
      <c r="BQ756" s="704"/>
      <c r="BR756" s="704"/>
      <c r="BS756" s="704"/>
      <c r="BT756" s="704"/>
      <c r="BU756" s="704"/>
      <c r="BV756" s="705"/>
    </row>
    <row r="757" spans="1:74" ht="45" customHeight="1" x14ac:dyDescent="0.25">
      <c r="A757" s="10">
        <f t="shared" si="11"/>
        <v>743</v>
      </c>
      <c r="B757" s="711" t="s">
        <v>159</v>
      </c>
      <c r="C757" s="711"/>
      <c r="D757" s="712" t="s">
        <v>212</v>
      </c>
      <c r="E757" s="712"/>
      <c r="F757" s="664" t="s">
        <v>162</v>
      </c>
      <c r="G757" s="665"/>
      <c r="H757" s="755" t="s">
        <v>162</v>
      </c>
      <c r="I757" s="667"/>
      <c r="J757" s="706"/>
      <c r="K757" s="707"/>
      <c r="L757" s="706"/>
      <c r="M757" s="707"/>
      <c r="N757" s="215"/>
      <c r="O757" s="216"/>
      <c r="P757" s="670"/>
      <c r="Q757" s="671"/>
      <c r="R757" s="719"/>
      <c r="S757" s="720"/>
      <c r="T757" s="721"/>
      <c r="U757" s="722"/>
      <c r="V757" s="723"/>
      <c r="W757" s="724"/>
      <c r="X757" s="725" t="s">
        <v>159</v>
      </c>
      <c r="Y757" s="725"/>
      <c r="Z757" s="725"/>
      <c r="AA757" s="725"/>
      <c r="AB757" s="726" t="s">
        <v>159</v>
      </c>
      <c r="AC757" s="726"/>
      <c r="AD757" s="726"/>
      <c r="AE757" s="726"/>
      <c r="AF757" s="727"/>
      <c r="AG757" s="728"/>
      <c r="AH757" s="727"/>
      <c r="AI757" s="728"/>
      <c r="AJ757" s="682"/>
      <c r="AK757" s="683"/>
      <c r="AL757" s="664" t="s">
        <v>162</v>
      </c>
      <c r="AM757" s="665"/>
      <c r="AN757" s="713" t="s">
        <v>162</v>
      </c>
      <c r="AO757" s="714"/>
      <c r="AP757" s="729"/>
      <c r="AQ757" s="730"/>
      <c r="AR757" s="731"/>
      <c r="AS757" s="732"/>
      <c r="AT757" s="733"/>
      <c r="AU757" s="734"/>
      <c r="AV757" s="713" t="s">
        <v>162</v>
      </c>
      <c r="AW757" s="714"/>
      <c r="AX757" s="692"/>
      <c r="AY757" s="693"/>
      <c r="AZ757" s="694"/>
      <c r="BA757" s="735"/>
      <c r="BB757" s="736"/>
      <c r="BC757" s="219"/>
      <c r="BD757" s="737" t="s">
        <v>162</v>
      </c>
      <c r="BE757" s="738"/>
      <c r="BF757" s="739"/>
      <c r="BG757" s="740"/>
      <c r="BH757" s="740"/>
      <c r="BI757" s="741"/>
      <c r="BJ757" s="742" t="s">
        <v>159</v>
      </c>
      <c r="BK757" s="743"/>
      <c r="BL757" s="743"/>
      <c r="BM757" s="744"/>
      <c r="BN757" s="703" t="s">
        <v>159</v>
      </c>
      <c r="BO757" s="704"/>
      <c r="BP757" s="704"/>
      <c r="BQ757" s="704"/>
      <c r="BR757" s="704"/>
      <c r="BS757" s="704"/>
      <c r="BT757" s="704"/>
      <c r="BU757" s="704"/>
      <c r="BV757" s="705"/>
    </row>
    <row r="758" spans="1:74" ht="45" customHeight="1" x14ac:dyDescent="0.25">
      <c r="A758" s="10">
        <f t="shared" si="11"/>
        <v>744</v>
      </c>
      <c r="B758" s="662" t="s">
        <v>159</v>
      </c>
      <c r="C758" s="662"/>
      <c r="D758" s="663" t="s">
        <v>212</v>
      </c>
      <c r="E758" s="663"/>
      <c r="F758" s="664" t="s">
        <v>162</v>
      </c>
      <c r="G758" s="665"/>
      <c r="H758" s="754" t="s">
        <v>162</v>
      </c>
      <c r="I758" s="714"/>
      <c r="J758" s="715"/>
      <c r="K758" s="716"/>
      <c r="L758" s="715"/>
      <c r="M758" s="716"/>
      <c r="N758" s="194"/>
      <c r="O758" s="196"/>
      <c r="P758" s="717"/>
      <c r="Q758" s="718"/>
      <c r="R758" s="672"/>
      <c r="S758" s="673"/>
      <c r="T758" s="674"/>
      <c r="U758" s="675"/>
      <c r="V758" s="676"/>
      <c r="W758" s="677"/>
      <c r="X758" s="678" t="s">
        <v>159</v>
      </c>
      <c r="Y758" s="678"/>
      <c r="Z758" s="678"/>
      <c r="AA758" s="678"/>
      <c r="AB758" s="679" t="s">
        <v>159</v>
      </c>
      <c r="AC758" s="679"/>
      <c r="AD758" s="679"/>
      <c r="AE758" s="679"/>
      <c r="AF758" s="680"/>
      <c r="AG758" s="681"/>
      <c r="AH758" s="680"/>
      <c r="AI758" s="681"/>
      <c r="AJ758" s="682"/>
      <c r="AK758" s="683"/>
      <c r="AL758" s="684" t="s">
        <v>162</v>
      </c>
      <c r="AM758" s="685"/>
      <c r="AN758" s="666" t="s">
        <v>162</v>
      </c>
      <c r="AO758" s="667"/>
      <c r="AP758" s="686"/>
      <c r="AQ758" s="687"/>
      <c r="AR758" s="688"/>
      <c r="AS758" s="689"/>
      <c r="AT758" s="690"/>
      <c r="AU758" s="691"/>
      <c r="AV758" s="666" t="s">
        <v>162</v>
      </c>
      <c r="AW758" s="667"/>
      <c r="AX758" s="692"/>
      <c r="AY758" s="693"/>
      <c r="AZ758" s="694"/>
      <c r="BA758" s="682"/>
      <c r="BB758" s="683"/>
      <c r="BC758" s="14"/>
      <c r="BD758" s="695" t="s">
        <v>162</v>
      </c>
      <c r="BE758" s="696"/>
      <c r="BF758" s="697"/>
      <c r="BG758" s="698"/>
      <c r="BH758" s="698"/>
      <c r="BI758" s="699"/>
      <c r="BJ758" s="700" t="s">
        <v>159</v>
      </c>
      <c r="BK758" s="701"/>
      <c r="BL758" s="701"/>
      <c r="BM758" s="702"/>
      <c r="BN758" s="703" t="s">
        <v>159</v>
      </c>
      <c r="BO758" s="704"/>
      <c r="BP758" s="704"/>
      <c r="BQ758" s="704"/>
      <c r="BR758" s="704"/>
      <c r="BS758" s="704"/>
      <c r="BT758" s="704"/>
      <c r="BU758" s="704"/>
      <c r="BV758" s="705"/>
    </row>
    <row r="759" spans="1:74" ht="45" customHeight="1" x14ac:dyDescent="0.25">
      <c r="A759" s="10">
        <f t="shared" si="11"/>
        <v>745</v>
      </c>
      <c r="B759" s="711" t="s">
        <v>159</v>
      </c>
      <c r="C759" s="711"/>
      <c r="D759" s="712" t="s">
        <v>212</v>
      </c>
      <c r="E759" s="712"/>
      <c r="F759" s="664" t="s">
        <v>162</v>
      </c>
      <c r="G759" s="665"/>
      <c r="H759" s="755" t="s">
        <v>162</v>
      </c>
      <c r="I759" s="667"/>
      <c r="J759" s="706"/>
      <c r="K759" s="707"/>
      <c r="L759" s="706"/>
      <c r="M759" s="707"/>
      <c r="N759" s="215"/>
      <c r="O759" s="216"/>
      <c r="P759" s="670"/>
      <c r="Q759" s="671"/>
      <c r="R759" s="719"/>
      <c r="S759" s="720"/>
      <c r="T759" s="721"/>
      <c r="U759" s="722"/>
      <c r="V759" s="723"/>
      <c r="W759" s="724"/>
      <c r="X759" s="725" t="s">
        <v>159</v>
      </c>
      <c r="Y759" s="725"/>
      <c r="Z759" s="725"/>
      <c r="AA759" s="725"/>
      <c r="AB759" s="726" t="s">
        <v>159</v>
      </c>
      <c r="AC759" s="726"/>
      <c r="AD759" s="726"/>
      <c r="AE759" s="726"/>
      <c r="AF759" s="727"/>
      <c r="AG759" s="728"/>
      <c r="AH759" s="727"/>
      <c r="AI759" s="728"/>
      <c r="AJ759" s="682"/>
      <c r="AK759" s="683"/>
      <c r="AL759" s="664" t="s">
        <v>162</v>
      </c>
      <c r="AM759" s="665"/>
      <c r="AN759" s="713" t="s">
        <v>162</v>
      </c>
      <c r="AO759" s="714"/>
      <c r="AP759" s="729"/>
      <c r="AQ759" s="730"/>
      <c r="AR759" s="731"/>
      <c r="AS759" s="732"/>
      <c r="AT759" s="733"/>
      <c r="AU759" s="734"/>
      <c r="AV759" s="713" t="s">
        <v>162</v>
      </c>
      <c r="AW759" s="714"/>
      <c r="AX759" s="692"/>
      <c r="AY759" s="693"/>
      <c r="AZ759" s="694"/>
      <c r="BA759" s="735"/>
      <c r="BB759" s="736"/>
      <c r="BC759" s="219"/>
      <c r="BD759" s="737" t="s">
        <v>162</v>
      </c>
      <c r="BE759" s="738"/>
      <c r="BF759" s="739"/>
      <c r="BG759" s="740"/>
      <c r="BH759" s="740"/>
      <c r="BI759" s="741"/>
      <c r="BJ759" s="742" t="s">
        <v>159</v>
      </c>
      <c r="BK759" s="743"/>
      <c r="BL759" s="743"/>
      <c r="BM759" s="744"/>
      <c r="BN759" s="703" t="s">
        <v>159</v>
      </c>
      <c r="BO759" s="704"/>
      <c r="BP759" s="704"/>
      <c r="BQ759" s="704"/>
      <c r="BR759" s="704"/>
      <c r="BS759" s="704"/>
      <c r="BT759" s="704"/>
      <c r="BU759" s="704"/>
      <c r="BV759" s="705"/>
    </row>
    <row r="760" spans="1:74" ht="45" customHeight="1" x14ac:dyDescent="0.25">
      <c r="A760" s="10">
        <f t="shared" si="11"/>
        <v>746</v>
      </c>
      <c r="B760" s="662" t="s">
        <v>159</v>
      </c>
      <c r="C760" s="662"/>
      <c r="D760" s="663" t="s">
        <v>212</v>
      </c>
      <c r="E760" s="663"/>
      <c r="F760" s="664" t="s">
        <v>162</v>
      </c>
      <c r="G760" s="665"/>
      <c r="H760" s="754" t="s">
        <v>162</v>
      </c>
      <c r="I760" s="714"/>
      <c r="J760" s="715"/>
      <c r="K760" s="716"/>
      <c r="L760" s="715"/>
      <c r="M760" s="716"/>
      <c r="N760" s="194"/>
      <c r="O760" s="196"/>
      <c r="P760" s="717"/>
      <c r="Q760" s="718"/>
      <c r="R760" s="672"/>
      <c r="S760" s="673"/>
      <c r="T760" s="674"/>
      <c r="U760" s="675"/>
      <c r="V760" s="676"/>
      <c r="W760" s="677"/>
      <c r="X760" s="678" t="s">
        <v>159</v>
      </c>
      <c r="Y760" s="678"/>
      <c r="Z760" s="678"/>
      <c r="AA760" s="678"/>
      <c r="AB760" s="679" t="s">
        <v>159</v>
      </c>
      <c r="AC760" s="679"/>
      <c r="AD760" s="679"/>
      <c r="AE760" s="679"/>
      <c r="AF760" s="680"/>
      <c r="AG760" s="681"/>
      <c r="AH760" s="680"/>
      <c r="AI760" s="681"/>
      <c r="AJ760" s="682"/>
      <c r="AK760" s="683"/>
      <c r="AL760" s="684" t="s">
        <v>162</v>
      </c>
      <c r="AM760" s="685"/>
      <c r="AN760" s="666" t="s">
        <v>162</v>
      </c>
      <c r="AO760" s="667"/>
      <c r="AP760" s="686"/>
      <c r="AQ760" s="687"/>
      <c r="AR760" s="688"/>
      <c r="AS760" s="689"/>
      <c r="AT760" s="690"/>
      <c r="AU760" s="691"/>
      <c r="AV760" s="666" t="s">
        <v>162</v>
      </c>
      <c r="AW760" s="667"/>
      <c r="AX760" s="692"/>
      <c r="AY760" s="693"/>
      <c r="AZ760" s="694"/>
      <c r="BA760" s="682"/>
      <c r="BB760" s="683"/>
      <c r="BC760" s="14"/>
      <c r="BD760" s="695" t="s">
        <v>162</v>
      </c>
      <c r="BE760" s="696"/>
      <c r="BF760" s="697"/>
      <c r="BG760" s="698"/>
      <c r="BH760" s="698"/>
      <c r="BI760" s="699"/>
      <c r="BJ760" s="700" t="s">
        <v>159</v>
      </c>
      <c r="BK760" s="701"/>
      <c r="BL760" s="701"/>
      <c r="BM760" s="702"/>
      <c r="BN760" s="703" t="s">
        <v>159</v>
      </c>
      <c r="BO760" s="704"/>
      <c r="BP760" s="704"/>
      <c r="BQ760" s="704"/>
      <c r="BR760" s="704"/>
      <c r="BS760" s="704"/>
      <c r="BT760" s="704"/>
      <c r="BU760" s="704"/>
      <c r="BV760" s="705"/>
    </row>
    <row r="761" spans="1:74" ht="45" customHeight="1" x14ac:dyDescent="0.25">
      <c r="A761" s="10">
        <f t="shared" si="11"/>
        <v>747</v>
      </c>
      <c r="B761" s="711" t="s">
        <v>159</v>
      </c>
      <c r="C761" s="711"/>
      <c r="D761" s="712" t="s">
        <v>212</v>
      </c>
      <c r="E761" s="712"/>
      <c r="F761" s="664" t="s">
        <v>162</v>
      </c>
      <c r="G761" s="665"/>
      <c r="H761" s="755" t="s">
        <v>162</v>
      </c>
      <c r="I761" s="667"/>
      <c r="J761" s="706"/>
      <c r="K761" s="707"/>
      <c r="L761" s="706"/>
      <c r="M761" s="707"/>
      <c r="N761" s="215"/>
      <c r="O761" s="216"/>
      <c r="P761" s="670"/>
      <c r="Q761" s="671"/>
      <c r="R761" s="719"/>
      <c r="S761" s="720"/>
      <c r="T761" s="721"/>
      <c r="U761" s="722"/>
      <c r="V761" s="723"/>
      <c r="W761" s="724"/>
      <c r="X761" s="725" t="s">
        <v>159</v>
      </c>
      <c r="Y761" s="725"/>
      <c r="Z761" s="725"/>
      <c r="AA761" s="725"/>
      <c r="AB761" s="726" t="s">
        <v>159</v>
      </c>
      <c r="AC761" s="726"/>
      <c r="AD761" s="726"/>
      <c r="AE761" s="726"/>
      <c r="AF761" s="727"/>
      <c r="AG761" s="728"/>
      <c r="AH761" s="727"/>
      <c r="AI761" s="728"/>
      <c r="AJ761" s="682"/>
      <c r="AK761" s="683"/>
      <c r="AL761" s="664" t="s">
        <v>162</v>
      </c>
      <c r="AM761" s="665"/>
      <c r="AN761" s="713" t="s">
        <v>162</v>
      </c>
      <c r="AO761" s="714"/>
      <c r="AP761" s="729"/>
      <c r="AQ761" s="730"/>
      <c r="AR761" s="731"/>
      <c r="AS761" s="732"/>
      <c r="AT761" s="733"/>
      <c r="AU761" s="734"/>
      <c r="AV761" s="713" t="s">
        <v>162</v>
      </c>
      <c r="AW761" s="714"/>
      <c r="AX761" s="692"/>
      <c r="AY761" s="693"/>
      <c r="AZ761" s="694"/>
      <c r="BA761" s="735"/>
      <c r="BB761" s="736"/>
      <c r="BC761" s="219"/>
      <c r="BD761" s="737" t="s">
        <v>162</v>
      </c>
      <c r="BE761" s="738"/>
      <c r="BF761" s="739"/>
      <c r="BG761" s="740"/>
      <c r="BH761" s="740"/>
      <c r="BI761" s="741"/>
      <c r="BJ761" s="742" t="s">
        <v>159</v>
      </c>
      <c r="BK761" s="743"/>
      <c r="BL761" s="743"/>
      <c r="BM761" s="744"/>
      <c r="BN761" s="703" t="s">
        <v>159</v>
      </c>
      <c r="BO761" s="704"/>
      <c r="BP761" s="704"/>
      <c r="BQ761" s="704"/>
      <c r="BR761" s="704"/>
      <c r="BS761" s="704"/>
      <c r="BT761" s="704"/>
      <c r="BU761" s="704"/>
      <c r="BV761" s="705"/>
    </row>
    <row r="762" spans="1:74" ht="45" customHeight="1" x14ac:dyDescent="0.25">
      <c r="A762" s="10">
        <f t="shared" si="11"/>
        <v>748</v>
      </c>
      <c r="B762" s="662" t="s">
        <v>159</v>
      </c>
      <c r="C762" s="662"/>
      <c r="D762" s="663" t="s">
        <v>212</v>
      </c>
      <c r="E762" s="663"/>
      <c r="F762" s="664" t="s">
        <v>162</v>
      </c>
      <c r="G762" s="665"/>
      <c r="H762" s="754" t="s">
        <v>162</v>
      </c>
      <c r="I762" s="714"/>
      <c r="J762" s="715"/>
      <c r="K762" s="716"/>
      <c r="L762" s="715"/>
      <c r="M762" s="716"/>
      <c r="N762" s="194"/>
      <c r="O762" s="196"/>
      <c r="P762" s="717"/>
      <c r="Q762" s="718"/>
      <c r="R762" s="672"/>
      <c r="S762" s="673"/>
      <c r="T762" s="674"/>
      <c r="U762" s="675"/>
      <c r="V762" s="676"/>
      <c r="W762" s="677"/>
      <c r="X762" s="678" t="s">
        <v>159</v>
      </c>
      <c r="Y762" s="678"/>
      <c r="Z762" s="678"/>
      <c r="AA762" s="678"/>
      <c r="AB762" s="679" t="s">
        <v>159</v>
      </c>
      <c r="AC762" s="679"/>
      <c r="AD762" s="679"/>
      <c r="AE762" s="679"/>
      <c r="AF762" s="680"/>
      <c r="AG762" s="681"/>
      <c r="AH762" s="680"/>
      <c r="AI762" s="681"/>
      <c r="AJ762" s="682"/>
      <c r="AK762" s="683"/>
      <c r="AL762" s="684" t="s">
        <v>162</v>
      </c>
      <c r="AM762" s="685"/>
      <c r="AN762" s="666" t="s">
        <v>162</v>
      </c>
      <c r="AO762" s="667"/>
      <c r="AP762" s="686"/>
      <c r="AQ762" s="687"/>
      <c r="AR762" s="688"/>
      <c r="AS762" s="689"/>
      <c r="AT762" s="690"/>
      <c r="AU762" s="691"/>
      <c r="AV762" s="666" t="s">
        <v>162</v>
      </c>
      <c r="AW762" s="667"/>
      <c r="AX762" s="692"/>
      <c r="AY762" s="693"/>
      <c r="AZ762" s="694"/>
      <c r="BA762" s="682"/>
      <c r="BB762" s="683"/>
      <c r="BC762" s="14"/>
      <c r="BD762" s="695" t="s">
        <v>162</v>
      </c>
      <c r="BE762" s="696"/>
      <c r="BF762" s="708"/>
      <c r="BG762" s="709"/>
      <c r="BH762" s="709"/>
      <c r="BI762" s="710"/>
      <c r="BJ762" s="700" t="s">
        <v>159</v>
      </c>
      <c r="BK762" s="701"/>
      <c r="BL762" s="701"/>
      <c r="BM762" s="702"/>
      <c r="BN762" s="703" t="s">
        <v>159</v>
      </c>
      <c r="BO762" s="704"/>
      <c r="BP762" s="704"/>
      <c r="BQ762" s="704"/>
      <c r="BR762" s="704"/>
      <c r="BS762" s="704"/>
      <c r="BT762" s="704"/>
      <c r="BU762" s="704"/>
      <c r="BV762" s="705"/>
    </row>
    <row r="763" spans="1:74" ht="45" customHeight="1" x14ac:dyDescent="0.25">
      <c r="A763" s="10">
        <f t="shared" si="11"/>
        <v>749</v>
      </c>
      <c r="B763" s="711" t="s">
        <v>159</v>
      </c>
      <c r="C763" s="711"/>
      <c r="D763" s="712" t="s">
        <v>212</v>
      </c>
      <c r="E763" s="712"/>
      <c r="F763" s="664" t="s">
        <v>162</v>
      </c>
      <c r="G763" s="665"/>
      <c r="H763" s="755" t="s">
        <v>162</v>
      </c>
      <c r="I763" s="667"/>
      <c r="J763" s="706"/>
      <c r="K763" s="707"/>
      <c r="L763" s="706"/>
      <c r="M763" s="707"/>
      <c r="N763" s="215"/>
      <c r="O763" s="216"/>
      <c r="P763" s="670"/>
      <c r="Q763" s="671"/>
      <c r="R763" s="719"/>
      <c r="S763" s="720"/>
      <c r="T763" s="721"/>
      <c r="U763" s="722"/>
      <c r="V763" s="723"/>
      <c r="W763" s="724"/>
      <c r="X763" s="725" t="s">
        <v>159</v>
      </c>
      <c r="Y763" s="725"/>
      <c r="Z763" s="725"/>
      <c r="AA763" s="725"/>
      <c r="AB763" s="726" t="s">
        <v>159</v>
      </c>
      <c r="AC763" s="726"/>
      <c r="AD763" s="726"/>
      <c r="AE763" s="726"/>
      <c r="AF763" s="727"/>
      <c r="AG763" s="728"/>
      <c r="AH763" s="727"/>
      <c r="AI763" s="728"/>
      <c r="AJ763" s="682"/>
      <c r="AK763" s="683"/>
      <c r="AL763" s="664" t="s">
        <v>162</v>
      </c>
      <c r="AM763" s="665"/>
      <c r="AN763" s="713" t="s">
        <v>162</v>
      </c>
      <c r="AO763" s="714"/>
      <c r="AP763" s="729"/>
      <c r="AQ763" s="730"/>
      <c r="AR763" s="731"/>
      <c r="AS763" s="732"/>
      <c r="AT763" s="733"/>
      <c r="AU763" s="734"/>
      <c r="AV763" s="713" t="s">
        <v>162</v>
      </c>
      <c r="AW763" s="714"/>
      <c r="AX763" s="692"/>
      <c r="AY763" s="693"/>
      <c r="AZ763" s="694"/>
      <c r="BA763" s="735"/>
      <c r="BB763" s="736"/>
      <c r="BC763" s="219"/>
      <c r="BD763" s="737" t="s">
        <v>162</v>
      </c>
      <c r="BE763" s="738"/>
      <c r="BF763" s="739"/>
      <c r="BG763" s="740"/>
      <c r="BH763" s="740"/>
      <c r="BI763" s="741"/>
      <c r="BJ763" s="742" t="s">
        <v>159</v>
      </c>
      <c r="BK763" s="743"/>
      <c r="BL763" s="743"/>
      <c r="BM763" s="744"/>
      <c r="BN763" s="703" t="s">
        <v>159</v>
      </c>
      <c r="BO763" s="704"/>
      <c r="BP763" s="704"/>
      <c r="BQ763" s="704"/>
      <c r="BR763" s="704"/>
      <c r="BS763" s="704"/>
      <c r="BT763" s="704"/>
      <c r="BU763" s="704"/>
      <c r="BV763" s="705"/>
    </row>
    <row r="764" spans="1:74" ht="45" customHeight="1" x14ac:dyDescent="0.25">
      <c r="A764" s="10">
        <f t="shared" si="11"/>
        <v>750</v>
      </c>
      <c r="B764" s="662" t="s">
        <v>159</v>
      </c>
      <c r="C764" s="662"/>
      <c r="D764" s="663" t="s">
        <v>212</v>
      </c>
      <c r="E764" s="663"/>
      <c r="F764" s="664" t="s">
        <v>162</v>
      </c>
      <c r="G764" s="665"/>
      <c r="H764" s="754" t="s">
        <v>162</v>
      </c>
      <c r="I764" s="714"/>
      <c r="J764" s="715"/>
      <c r="K764" s="716"/>
      <c r="L764" s="715"/>
      <c r="M764" s="716"/>
      <c r="N764" s="194"/>
      <c r="O764" s="196"/>
      <c r="P764" s="717"/>
      <c r="Q764" s="718"/>
      <c r="R764" s="672"/>
      <c r="S764" s="673"/>
      <c r="T764" s="674"/>
      <c r="U764" s="675"/>
      <c r="V764" s="676"/>
      <c r="W764" s="677"/>
      <c r="X764" s="678" t="s">
        <v>159</v>
      </c>
      <c r="Y764" s="678"/>
      <c r="Z764" s="678"/>
      <c r="AA764" s="678"/>
      <c r="AB764" s="679" t="s">
        <v>159</v>
      </c>
      <c r="AC764" s="679"/>
      <c r="AD764" s="679"/>
      <c r="AE764" s="679"/>
      <c r="AF764" s="680"/>
      <c r="AG764" s="681"/>
      <c r="AH764" s="680"/>
      <c r="AI764" s="681"/>
      <c r="AJ764" s="682"/>
      <c r="AK764" s="683"/>
      <c r="AL764" s="684" t="s">
        <v>162</v>
      </c>
      <c r="AM764" s="685"/>
      <c r="AN764" s="666" t="s">
        <v>162</v>
      </c>
      <c r="AO764" s="667"/>
      <c r="AP764" s="686"/>
      <c r="AQ764" s="687"/>
      <c r="AR764" s="688"/>
      <c r="AS764" s="689"/>
      <c r="AT764" s="690"/>
      <c r="AU764" s="691"/>
      <c r="AV764" s="666" t="s">
        <v>162</v>
      </c>
      <c r="AW764" s="667"/>
      <c r="AX764" s="692"/>
      <c r="AY764" s="693"/>
      <c r="AZ764" s="694"/>
      <c r="BA764" s="682"/>
      <c r="BB764" s="683"/>
      <c r="BC764" s="14"/>
      <c r="BD764" s="695" t="s">
        <v>162</v>
      </c>
      <c r="BE764" s="696"/>
      <c r="BF764" s="697"/>
      <c r="BG764" s="698"/>
      <c r="BH764" s="698"/>
      <c r="BI764" s="699"/>
      <c r="BJ764" s="700" t="s">
        <v>159</v>
      </c>
      <c r="BK764" s="701"/>
      <c r="BL764" s="701"/>
      <c r="BM764" s="702"/>
      <c r="BN764" s="703" t="s">
        <v>159</v>
      </c>
      <c r="BO764" s="704"/>
      <c r="BP764" s="704"/>
      <c r="BQ764" s="704"/>
      <c r="BR764" s="704"/>
      <c r="BS764" s="704"/>
      <c r="BT764" s="704"/>
      <c r="BU764" s="704"/>
      <c r="BV764" s="705"/>
    </row>
    <row r="765" spans="1:74" ht="45" customHeight="1" x14ac:dyDescent="0.25">
      <c r="A765" s="10">
        <f t="shared" si="11"/>
        <v>751</v>
      </c>
      <c r="B765" s="711" t="s">
        <v>159</v>
      </c>
      <c r="C765" s="711"/>
      <c r="D765" s="712" t="s">
        <v>212</v>
      </c>
      <c r="E765" s="712"/>
      <c r="F765" s="664" t="s">
        <v>162</v>
      </c>
      <c r="G765" s="665"/>
      <c r="H765" s="755" t="s">
        <v>162</v>
      </c>
      <c r="I765" s="667"/>
      <c r="J765" s="706"/>
      <c r="K765" s="707"/>
      <c r="L765" s="706"/>
      <c r="M765" s="707"/>
      <c r="N765" s="194"/>
      <c r="O765" s="196"/>
      <c r="P765" s="717"/>
      <c r="Q765" s="718"/>
      <c r="R765" s="719"/>
      <c r="S765" s="720"/>
      <c r="T765" s="721"/>
      <c r="U765" s="722"/>
      <c r="V765" s="723"/>
      <c r="W765" s="724"/>
      <c r="X765" s="725" t="s">
        <v>159</v>
      </c>
      <c r="Y765" s="725"/>
      <c r="Z765" s="725"/>
      <c r="AA765" s="725"/>
      <c r="AB765" s="726" t="s">
        <v>159</v>
      </c>
      <c r="AC765" s="726"/>
      <c r="AD765" s="726"/>
      <c r="AE765" s="726"/>
      <c r="AF765" s="727"/>
      <c r="AG765" s="728"/>
      <c r="AH765" s="727"/>
      <c r="AI765" s="728"/>
      <c r="AJ765" s="682"/>
      <c r="AK765" s="683"/>
      <c r="AL765" s="664" t="s">
        <v>162</v>
      </c>
      <c r="AM765" s="665"/>
      <c r="AN765" s="713" t="s">
        <v>162</v>
      </c>
      <c r="AO765" s="714"/>
      <c r="AP765" s="729"/>
      <c r="AQ765" s="730"/>
      <c r="AR765" s="731"/>
      <c r="AS765" s="732"/>
      <c r="AT765" s="690"/>
      <c r="AU765" s="691"/>
      <c r="AV765" s="713" t="s">
        <v>162</v>
      </c>
      <c r="AW765" s="714"/>
      <c r="AX765" s="692"/>
      <c r="AY765" s="693"/>
      <c r="AZ765" s="694"/>
      <c r="BA765" s="735"/>
      <c r="BB765" s="736"/>
      <c r="BC765" s="219"/>
      <c r="BD765" s="737" t="s">
        <v>162</v>
      </c>
      <c r="BE765" s="738"/>
      <c r="BF765" s="739"/>
      <c r="BG765" s="740"/>
      <c r="BH765" s="740"/>
      <c r="BI765" s="741"/>
      <c r="BJ765" s="742" t="s">
        <v>159</v>
      </c>
      <c r="BK765" s="743"/>
      <c r="BL765" s="743"/>
      <c r="BM765" s="744"/>
      <c r="BN765" s="703" t="s">
        <v>159</v>
      </c>
      <c r="BO765" s="704"/>
      <c r="BP765" s="704"/>
      <c r="BQ765" s="704"/>
      <c r="BR765" s="704"/>
      <c r="BS765" s="704"/>
      <c r="BT765" s="704"/>
      <c r="BU765" s="704"/>
      <c r="BV765" s="705"/>
    </row>
    <row r="766" spans="1:74" ht="45" customHeight="1" x14ac:dyDescent="0.25">
      <c r="A766" s="10">
        <f t="shared" si="11"/>
        <v>752</v>
      </c>
      <c r="B766" s="662" t="s">
        <v>159</v>
      </c>
      <c r="C766" s="662"/>
      <c r="D766" s="663" t="s">
        <v>212</v>
      </c>
      <c r="E766" s="663"/>
      <c r="F766" s="664" t="s">
        <v>162</v>
      </c>
      <c r="G766" s="665"/>
      <c r="H766" s="754" t="s">
        <v>162</v>
      </c>
      <c r="I766" s="714"/>
      <c r="J766" s="715"/>
      <c r="K766" s="716"/>
      <c r="L766" s="715"/>
      <c r="M766" s="716"/>
      <c r="N766" s="215"/>
      <c r="O766" s="216"/>
      <c r="P766" s="670"/>
      <c r="Q766" s="671"/>
      <c r="R766" s="672"/>
      <c r="S766" s="673"/>
      <c r="T766" s="674"/>
      <c r="U766" s="675"/>
      <c r="V766" s="676"/>
      <c r="W766" s="677"/>
      <c r="X766" s="678" t="s">
        <v>159</v>
      </c>
      <c r="Y766" s="678"/>
      <c r="Z766" s="678"/>
      <c r="AA766" s="678"/>
      <c r="AB766" s="679" t="s">
        <v>159</v>
      </c>
      <c r="AC766" s="679"/>
      <c r="AD766" s="679"/>
      <c r="AE766" s="679"/>
      <c r="AF766" s="680"/>
      <c r="AG766" s="681"/>
      <c r="AH766" s="680"/>
      <c r="AI766" s="681"/>
      <c r="AJ766" s="682"/>
      <c r="AK766" s="683"/>
      <c r="AL766" s="684" t="s">
        <v>162</v>
      </c>
      <c r="AM766" s="685"/>
      <c r="AN766" s="666" t="s">
        <v>162</v>
      </c>
      <c r="AO766" s="667"/>
      <c r="AP766" s="686"/>
      <c r="AQ766" s="687"/>
      <c r="AR766" s="688"/>
      <c r="AS766" s="689"/>
      <c r="AT766" s="690"/>
      <c r="AU766" s="691"/>
      <c r="AV766" s="666" t="s">
        <v>162</v>
      </c>
      <c r="AW766" s="667"/>
      <c r="AX766" s="692"/>
      <c r="AY766" s="693"/>
      <c r="AZ766" s="694"/>
      <c r="BA766" s="682"/>
      <c r="BB766" s="683"/>
      <c r="BC766" s="14"/>
      <c r="BD766" s="695" t="s">
        <v>162</v>
      </c>
      <c r="BE766" s="696"/>
      <c r="BF766" s="697"/>
      <c r="BG766" s="698"/>
      <c r="BH766" s="698"/>
      <c r="BI766" s="699"/>
      <c r="BJ766" s="700" t="s">
        <v>159</v>
      </c>
      <c r="BK766" s="701"/>
      <c r="BL766" s="701"/>
      <c r="BM766" s="702"/>
      <c r="BN766" s="703" t="s">
        <v>159</v>
      </c>
      <c r="BO766" s="704"/>
      <c r="BP766" s="704"/>
      <c r="BQ766" s="704"/>
      <c r="BR766" s="704"/>
      <c r="BS766" s="704"/>
      <c r="BT766" s="704"/>
      <c r="BU766" s="704"/>
      <c r="BV766" s="705"/>
    </row>
    <row r="767" spans="1:74" ht="45" customHeight="1" x14ac:dyDescent="0.25">
      <c r="A767" s="10">
        <f t="shared" si="11"/>
        <v>753</v>
      </c>
      <c r="B767" s="711" t="s">
        <v>159</v>
      </c>
      <c r="C767" s="711"/>
      <c r="D767" s="712" t="s">
        <v>212</v>
      </c>
      <c r="E767" s="712"/>
      <c r="F767" s="664" t="s">
        <v>162</v>
      </c>
      <c r="G767" s="665"/>
      <c r="H767" s="755" t="s">
        <v>162</v>
      </c>
      <c r="I767" s="667"/>
      <c r="J767" s="706"/>
      <c r="K767" s="707"/>
      <c r="L767" s="706"/>
      <c r="M767" s="707"/>
      <c r="N767" s="194"/>
      <c r="O767" s="196"/>
      <c r="P767" s="717"/>
      <c r="Q767" s="718"/>
      <c r="R767" s="719"/>
      <c r="S767" s="720"/>
      <c r="T767" s="721"/>
      <c r="U767" s="722"/>
      <c r="V767" s="723"/>
      <c r="W767" s="724"/>
      <c r="X767" s="725" t="s">
        <v>159</v>
      </c>
      <c r="Y767" s="725"/>
      <c r="Z767" s="725"/>
      <c r="AA767" s="725"/>
      <c r="AB767" s="726" t="s">
        <v>159</v>
      </c>
      <c r="AC767" s="726"/>
      <c r="AD767" s="726"/>
      <c r="AE767" s="726"/>
      <c r="AF767" s="727"/>
      <c r="AG767" s="728"/>
      <c r="AH767" s="727"/>
      <c r="AI767" s="728"/>
      <c r="AJ767" s="682"/>
      <c r="AK767" s="683"/>
      <c r="AL767" s="664" t="s">
        <v>162</v>
      </c>
      <c r="AM767" s="665"/>
      <c r="AN767" s="713" t="s">
        <v>162</v>
      </c>
      <c r="AO767" s="714"/>
      <c r="AP767" s="729"/>
      <c r="AQ767" s="730"/>
      <c r="AR767" s="731"/>
      <c r="AS767" s="732"/>
      <c r="AT767" s="690"/>
      <c r="AU767" s="691"/>
      <c r="AV767" s="713" t="s">
        <v>162</v>
      </c>
      <c r="AW767" s="714"/>
      <c r="AX767" s="692"/>
      <c r="AY767" s="693"/>
      <c r="AZ767" s="694"/>
      <c r="BA767" s="735"/>
      <c r="BB767" s="736"/>
      <c r="BC767" s="219"/>
      <c r="BD767" s="737" t="s">
        <v>162</v>
      </c>
      <c r="BE767" s="738"/>
      <c r="BF767" s="739"/>
      <c r="BG767" s="740"/>
      <c r="BH767" s="740"/>
      <c r="BI767" s="741"/>
      <c r="BJ767" s="742" t="s">
        <v>159</v>
      </c>
      <c r="BK767" s="743"/>
      <c r="BL767" s="743"/>
      <c r="BM767" s="744"/>
      <c r="BN767" s="703" t="s">
        <v>159</v>
      </c>
      <c r="BO767" s="704"/>
      <c r="BP767" s="704"/>
      <c r="BQ767" s="704"/>
      <c r="BR767" s="704"/>
      <c r="BS767" s="704"/>
      <c r="BT767" s="704"/>
      <c r="BU767" s="704"/>
      <c r="BV767" s="705"/>
    </row>
    <row r="768" spans="1:74" ht="45" customHeight="1" x14ac:dyDescent="0.25">
      <c r="A768" s="10">
        <f t="shared" si="11"/>
        <v>754</v>
      </c>
      <c r="B768" s="662" t="s">
        <v>159</v>
      </c>
      <c r="C768" s="662"/>
      <c r="D768" s="663" t="s">
        <v>212</v>
      </c>
      <c r="E768" s="663"/>
      <c r="F768" s="664" t="s">
        <v>162</v>
      </c>
      <c r="G768" s="665"/>
      <c r="H768" s="754" t="s">
        <v>162</v>
      </c>
      <c r="I768" s="714"/>
      <c r="J768" s="715"/>
      <c r="K768" s="716"/>
      <c r="L768" s="715"/>
      <c r="M768" s="716"/>
      <c r="N768" s="215"/>
      <c r="O768" s="216"/>
      <c r="P768" s="670"/>
      <c r="Q768" s="671"/>
      <c r="R768" s="672"/>
      <c r="S768" s="673"/>
      <c r="T768" s="674"/>
      <c r="U768" s="675"/>
      <c r="V768" s="676"/>
      <c r="W768" s="677"/>
      <c r="X768" s="678" t="s">
        <v>159</v>
      </c>
      <c r="Y768" s="678"/>
      <c r="Z768" s="678"/>
      <c r="AA768" s="678"/>
      <c r="AB768" s="679" t="s">
        <v>159</v>
      </c>
      <c r="AC768" s="679"/>
      <c r="AD768" s="679"/>
      <c r="AE768" s="679"/>
      <c r="AF768" s="680"/>
      <c r="AG768" s="681"/>
      <c r="AH768" s="680"/>
      <c r="AI768" s="681"/>
      <c r="AJ768" s="682"/>
      <c r="AK768" s="683"/>
      <c r="AL768" s="684" t="s">
        <v>162</v>
      </c>
      <c r="AM768" s="685"/>
      <c r="AN768" s="666" t="s">
        <v>162</v>
      </c>
      <c r="AO768" s="667"/>
      <c r="AP768" s="686"/>
      <c r="AQ768" s="687"/>
      <c r="AR768" s="688"/>
      <c r="AS768" s="689"/>
      <c r="AT768" s="690"/>
      <c r="AU768" s="691"/>
      <c r="AV768" s="666" t="s">
        <v>162</v>
      </c>
      <c r="AW768" s="667"/>
      <c r="AX768" s="692"/>
      <c r="AY768" s="693"/>
      <c r="AZ768" s="694"/>
      <c r="BA768" s="682"/>
      <c r="BB768" s="683"/>
      <c r="BC768" s="14"/>
      <c r="BD768" s="695" t="s">
        <v>162</v>
      </c>
      <c r="BE768" s="696"/>
      <c r="BF768" s="697"/>
      <c r="BG768" s="698"/>
      <c r="BH768" s="698"/>
      <c r="BI768" s="699"/>
      <c r="BJ768" s="700" t="s">
        <v>159</v>
      </c>
      <c r="BK768" s="701"/>
      <c r="BL768" s="701"/>
      <c r="BM768" s="702"/>
      <c r="BN768" s="703" t="s">
        <v>159</v>
      </c>
      <c r="BO768" s="704"/>
      <c r="BP768" s="704"/>
      <c r="BQ768" s="704"/>
      <c r="BR768" s="704"/>
      <c r="BS768" s="704"/>
      <c r="BT768" s="704"/>
      <c r="BU768" s="704"/>
      <c r="BV768" s="705"/>
    </row>
    <row r="769" spans="1:74" ht="45" customHeight="1" x14ac:dyDescent="0.25">
      <c r="A769" s="10">
        <f t="shared" si="11"/>
        <v>755</v>
      </c>
      <c r="B769" s="711" t="s">
        <v>159</v>
      </c>
      <c r="C769" s="711"/>
      <c r="D769" s="712" t="s">
        <v>212</v>
      </c>
      <c r="E769" s="712"/>
      <c r="F769" s="664" t="s">
        <v>162</v>
      </c>
      <c r="G769" s="665"/>
      <c r="H769" s="755" t="s">
        <v>162</v>
      </c>
      <c r="I769" s="667"/>
      <c r="J769" s="706"/>
      <c r="K769" s="707"/>
      <c r="L769" s="706"/>
      <c r="M769" s="707"/>
      <c r="N769" s="194"/>
      <c r="O769" s="216"/>
      <c r="P769" s="717"/>
      <c r="Q769" s="718"/>
      <c r="R769" s="719"/>
      <c r="S769" s="720"/>
      <c r="T769" s="721"/>
      <c r="U769" s="722"/>
      <c r="V769" s="723"/>
      <c r="W769" s="724"/>
      <c r="X769" s="725" t="s">
        <v>159</v>
      </c>
      <c r="Y769" s="725"/>
      <c r="Z769" s="725"/>
      <c r="AA769" s="725"/>
      <c r="AB769" s="726" t="s">
        <v>159</v>
      </c>
      <c r="AC769" s="726"/>
      <c r="AD769" s="726"/>
      <c r="AE769" s="726"/>
      <c r="AF769" s="727"/>
      <c r="AG769" s="728"/>
      <c r="AH769" s="727"/>
      <c r="AI769" s="728"/>
      <c r="AJ769" s="682"/>
      <c r="AK769" s="683"/>
      <c r="AL769" s="664" t="s">
        <v>162</v>
      </c>
      <c r="AM769" s="665"/>
      <c r="AN769" s="713" t="s">
        <v>162</v>
      </c>
      <c r="AO769" s="714"/>
      <c r="AP769" s="729"/>
      <c r="AQ769" s="730"/>
      <c r="AR769" s="731"/>
      <c r="AS769" s="732"/>
      <c r="AT769" s="733"/>
      <c r="AU769" s="734"/>
      <c r="AV769" s="713" t="s">
        <v>162</v>
      </c>
      <c r="AW769" s="714"/>
      <c r="AX769" s="692"/>
      <c r="AY769" s="693"/>
      <c r="AZ769" s="694"/>
      <c r="BA769" s="735"/>
      <c r="BB769" s="736"/>
      <c r="BC769" s="219"/>
      <c r="BD769" s="737" t="s">
        <v>162</v>
      </c>
      <c r="BE769" s="738"/>
      <c r="BF769" s="739"/>
      <c r="BG769" s="740"/>
      <c r="BH769" s="740"/>
      <c r="BI769" s="741"/>
      <c r="BJ769" s="742" t="s">
        <v>159</v>
      </c>
      <c r="BK769" s="743"/>
      <c r="BL769" s="743"/>
      <c r="BM769" s="744"/>
      <c r="BN769" s="703" t="s">
        <v>159</v>
      </c>
      <c r="BO769" s="704"/>
      <c r="BP769" s="704"/>
      <c r="BQ769" s="704"/>
      <c r="BR769" s="704"/>
      <c r="BS769" s="704"/>
      <c r="BT769" s="704"/>
      <c r="BU769" s="704"/>
      <c r="BV769" s="705"/>
    </row>
    <row r="770" spans="1:74" ht="45" customHeight="1" x14ac:dyDescent="0.25">
      <c r="A770" s="10">
        <f t="shared" si="11"/>
        <v>756</v>
      </c>
      <c r="B770" s="662" t="s">
        <v>159</v>
      </c>
      <c r="C770" s="662"/>
      <c r="D770" s="663" t="s">
        <v>212</v>
      </c>
      <c r="E770" s="663"/>
      <c r="F770" s="664" t="s">
        <v>162</v>
      </c>
      <c r="G770" s="665"/>
      <c r="H770" s="754" t="s">
        <v>162</v>
      </c>
      <c r="I770" s="714"/>
      <c r="J770" s="715"/>
      <c r="K770" s="716"/>
      <c r="L770" s="715"/>
      <c r="M770" s="716"/>
      <c r="N770" s="215"/>
      <c r="O770" s="196"/>
      <c r="P770" s="670"/>
      <c r="Q770" s="671"/>
      <c r="R770" s="672"/>
      <c r="S770" s="673"/>
      <c r="T770" s="674"/>
      <c r="U770" s="675"/>
      <c r="V770" s="676"/>
      <c r="W770" s="677"/>
      <c r="X770" s="678" t="s">
        <v>159</v>
      </c>
      <c r="Y770" s="678"/>
      <c r="Z770" s="678"/>
      <c r="AA770" s="678"/>
      <c r="AB770" s="679" t="s">
        <v>159</v>
      </c>
      <c r="AC770" s="679"/>
      <c r="AD770" s="679"/>
      <c r="AE770" s="679"/>
      <c r="AF770" s="680"/>
      <c r="AG770" s="681"/>
      <c r="AH770" s="680"/>
      <c r="AI770" s="681"/>
      <c r="AJ770" s="682"/>
      <c r="AK770" s="683"/>
      <c r="AL770" s="684" t="s">
        <v>162</v>
      </c>
      <c r="AM770" s="685"/>
      <c r="AN770" s="666" t="s">
        <v>162</v>
      </c>
      <c r="AO770" s="667"/>
      <c r="AP770" s="686"/>
      <c r="AQ770" s="687"/>
      <c r="AR770" s="688"/>
      <c r="AS770" s="689"/>
      <c r="AT770" s="690"/>
      <c r="AU770" s="691"/>
      <c r="AV770" s="666" t="s">
        <v>162</v>
      </c>
      <c r="AW770" s="667"/>
      <c r="AX770" s="692"/>
      <c r="AY770" s="693"/>
      <c r="AZ770" s="694"/>
      <c r="BA770" s="682"/>
      <c r="BB770" s="683"/>
      <c r="BC770" s="14"/>
      <c r="BD770" s="695" t="s">
        <v>162</v>
      </c>
      <c r="BE770" s="696"/>
      <c r="BF770" s="708"/>
      <c r="BG770" s="709"/>
      <c r="BH770" s="709"/>
      <c r="BI770" s="710"/>
      <c r="BJ770" s="700" t="s">
        <v>159</v>
      </c>
      <c r="BK770" s="701"/>
      <c r="BL770" s="701"/>
      <c r="BM770" s="702"/>
      <c r="BN770" s="703" t="s">
        <v>159</v>
      </c>
      <c r="BO770" s="704"/>
      <c r="BP770" s="704"/>
      <c r="BQ770" s="704"/>
      <c r="BR770" s="704"/>
      <c r="BS770" s="704"/>
      <c r="BT770" s="704"/>
      <c r="BU770" s="704"/>
      <c r="BV770" s="705"/>
    </row>
    <row r="771" spans="1:74" ht="45" customHeight="1" x14ac:dyDescent="0.25">
      <c r="A771" s="10">
        <f t="shared" si="11"/>
        <v>757</v>
      </c>
      <c r="B771" s="711" t="s">
        <v>159</v>
      </c>
      <c r="C771" s="711"/>
      <c r="D771" s="712" t="s">
        <v>212</v>
      </c>
      <c r="E771" s="712"/>
      <c r="F771" s="664" t="s">
        <v>162</v>
      </c>
      <c r="G771" s="665"/>
      <c r="H771" s="755" t="s">
        <v>162</v>
      </c>
      <c r="I771" s="667"/>
      <c r="J771" s="706"/>
      <c r="K771" s="707"/>
      <c r="L771" s="706"/>
      <c r="M771" s="707"/>
      <c r="N771" s="194"/>
      <c r="O771" s="216"/>
      <c r="P771" s="717"/>
      <c r="Q771" s="718"/>
      <c r="R771" s="719"/>
      <c r="S771" s="720"/>
      <c r="T771" s="721"/>
      <c r="U771" s="722"/>
      <c r="V771" s="723"/>
      <c r="W771" s="724"/>
      <c r="X771" s="725" t="s">
        <v>159</v>
      </c>
      <c r="Y771" s="725"/>
      <c r="Z771" s="725"/>
      <c r="AA771" s="725"/>
      <c r="AB771" s="726" t="s">
        <v>159</v>
      </c>
      <c r="AC771" s="726"/>
      <c r="AD771" s="726"/>
      <c r="AE771" s="726"/>
      <c r="AF771" s="727"/>
      <c r="AG771" s="728"/>
      <c r="AH771" s="727"/>
      <c r="AI771" s="728"/>
      <c r="AJ771" s="682"/>
      <c r="AK771" s="683"/>
      <c r="AL771" s="664" t="s">
        <v>162</v>
      </c>
      <c r="AM771" s="665"/>
      <c r="AN771" s="713" t="s">
        <v>162</v>
      </c>
      <c r="AO771" s="714"/>
      <c r="AP771" s="729"/>
      <c r="AQ771" s="730"/>
      <c r="AR771" s="731"/>
      <c r="AS771" s="732"/>
      <c r="AT771" s="733"/>
      <c r="AU771" s="734"/>
      <c r="AV771" s="713" t="s">
        <v>162</v>
      </c>
      <c r="AW771" s="714"/>
      <c r="AX771" s="692"/>
      <c r="AY771" s="693"/>
      <c r="AZ771" s="694"/>
      <c r="BA771" s="735"/>
      <c r="BB771" s="736"/>
      <c r="BC771" s="219"/>
      <c r="BD771" s="737" t="s">
        <v>162</v>
      </c>
      <c r="BE771" s="738"/>
      <c r="BF771" s="739"/>
      <c r="BG771" s="740"/>
      <c r="BH771" s="740"/>
      <c r="BI771" s="741"/>
      <c r="BJ771" s="742" t="s">
        <v>159</v>
      </c>
      <c r="BK771" s="743"/>
      <c r="BL771" s="743"/>
      <c r="BM771" s="744"/>
      <c r="BN771" s="703" t="s">
        <v>159</v>
      </c>
      <c r="BO771" s="704"/>
      <c r="BP771" s="704"/>
      <c r="BQ771" s="704"/>
      <c r="BR771" s="704"/>
      <c r="BS771" s="704"/>
      <c r="BT771" s="704"/>
      <c r="BU771" s="704"/>
      <c r="BV771" s="705"/>
    </row>
    <row r="772" spans="1:74" ht="45" customHeight="1" x14ac:dyDescent="0.25">
      <c r="A772" s="10">
        <f t="shared" si="11"/>
        <v>758</v>
      </c>
      <c r="B772" s="662" t="s">
        <v>159</v>
      </c>
      <c r="C772" s="662"/>
      <c r="D772" s="663" t="s">
        <v>212</v>
      </c>
      <c r="E772" s="663"/>
      <c r="F772" s="664" t="s">
        <v>162</v>
      </c>
      <c r="G772" s="665"/>
      <c r="H772" s="754" t="s">
        <v>162</v>
      </c>
      <c r="I772" s="714"/>
      <c r="J772" s="715"/>
      <c r="K772" s="716"/>
      <c r="L772" s="715"/>
      <c r="M772" s="716"/>
      <c r="N772" s="215"/>
      <c r="O772" s="196"/>
      <c r="P772" s="670"/>
      <c r="Q772" s="671"/>
      <c r="R772" s="672"/>
      <c r="S772" s="673"/>
      <c r="T772" s="674"/>
      <c r="U772" s="675"/>
      <c r="V772" s="676"/>
      <c r="W772" s="677"/>
      <c r="X772" s="678" t="s">
        <v>159</v>
      </c>
      <c r="Y772" s="678"/>
      <c r="Z772" s="678"/>
      <c r="AA772" s="678"/>
      <c r="AB772" s="679" t="s">
        <v>159</v>
      </c>
      <c r="AC772" s="679"/>
      <c r="AD772" s="679"/>
      <c r="AE772" s="679"/>
      <c r="AF772" s="680"/>
      <c r="AG772" s="681"/>
      <c r="AH772" s="680"/>
      <c r="AI772" s="681"/>
      <c r="AJ772" s="682"/>
      <c r="AK772" s="683"/>
      <c r="AL772" s="684" t="s">
        <v>162</v>
      </c>
      <c r="AM772" s="685"/>
      <c r="AN772" s="666" t="s">
        <v>162</v>
      </c>
      <c r="AO772" s="667"/>
      <c r="AP772" s="686"/>
      <c r="AQ772" s="687"/>
      <c r="AR772" s="688"/>
      <c r="AS772" s="689"/>
      <c r="AT772" s="690"/>
      <c r="AU772" s="691"/>
      <c r="AV772" s="666" t="s">
        <v>162</v>
      </c>
      <c r="AW772" s="667"/>
      <c r="AX772" s="692"/>
      <c r="AY772" s="693"/>
      <c r="AZ772" s="694"/>
      <c r="BA772" s="682"/>
      <c r="BB772" s="683"/>
      <c r="BC772" s="14"/>
      <c r="BD772" s="695" t="s">
        <v>162</v>
      </c>
      <c r="BE772" s="696"/>
      <c r="BF772" s="697"/>
      <c r="BG772" s="698"/>
      <c r="BH772" s="698"/>
      <c r="BI772" s="699"/>
      <c r="BJ772" s="700" t="s">
        <v>159</v>
      </c>
      <c r="BK772" s="701"/>
      <c r="BL772" s="701"/>
      <c r="BM772" s="702"/>
      <c r="BN772" s="703" t="s">
        <v>159</v>
      </c>
      <c r="BO772" s="704"/>
      <c r="BP772" s="704"/>
      <c r="BQ772" s="704"/>
      <c r="BR772" s="704"/>
      <c r="BS772" s="704"/>
      <c r="BT772" s="704"/>
      <c r="BU772" s="704"/>
      <c r="BV772" s="705"/>
    </row>
    <row r="773" spans="1:74" ht="45" customHeight="1" x14ac:dyDescent="0.25">
      <c r="A773" s="10">
        <f t="shared" si="11"/>
        <v>759</v>
      </c>
      <c r="B773" s="711" t="s">
        <v>159</v>
      </c>
      <c r="C773" s="711"/>
      <c r="D773" s="712" t="s">
        <v>212</v>
      </c>
      <c r="E773" s="712"/>
      <c r="F773" s="664" t="s">
        <v>162</v>
      </c>
      <c r="G773" s="665"/>
      <c r="H773" s="755" t="s">
        <v>162</v>
      </c>
      <c r="I773" s="667"/>
      <c r="J773" s="706"/>
      <c r="K773" s="707"/>
      <c r="L773" s="706"/>
      <c r="M773" s="707"/>
      <c r="N773" s="194"/>
      <c r="O773" s="216"/>
      <c r="P773" s="717"/>
      <c r="Q773" s="718"/>
      <c r="R773" s="719"/>
      <c r="S773" s="720"/>
      <c r="T773" s="721"/>
      <c r="U773" s="722"/>
      <c r="V773" s="723"/>
      <c r="W773" s="724"/>
      <c r="X773" s="725" t="s">
        <v>159</v>
      </c>
      <c r="Y773" s="725"/>
      <c r="Z773" s="725"/>
      <c r="AA773" s="725"/>
      <c r="AB773" s="726" t="s">
        <v>159</v>
      </c>
      <c r="AC773" s="726"/>
      <c r="AD773" s="726"/>
      <c r="AE773" s="726"/>
      <c r="AF773" s="727"/>
      <c r="AG773" s="728"/>
      <c r="AH773" s="727"/>
      <c r="AI773" s="728"/>
      <c r="AJ773" s="682"/>
      <c r="AK773" s="683"/>
      <c r="AL773" s="664" t="s">
        <v>162</v>
      </c>
      <c r="AM773" s="665"/>
      <c r="AN773" s="713" t="s">
        <v>162</v>
      </c>
      <c r="AO773" s="714"/>
      <c r="AP773" s="729"/>
      <c r="AQ773" s="730"/>
      <c r="AR773" s="731"/>
      <c r="AS773" s="732"/>
      <c r="AT773" s="733"/>
      <c r="AU773" s="734"/>
      <c r="AV773" s="713" t="s">
        <v>162</v>
      </c>
      <c r="AW773" s="714"/>
      <c r="AX773" s="692"/>
      <c r="AY773" s="693"/>
      <c r="AZ773" s="694"/>
      <c r="BA773" s="735"/>
      <c r="BB773" s="736"/>
      <c r="BC773" s="219"/>
      <c r="BD773" s="737" t="s">
        <v>162</v>
      </c>
      <c r="BE773" s="738"/>
      <c r="BF773" s="739"/>
      <c r="BG773" s="740"/>
      <c r="BH773" s="740"/>
      <c r="BI773" s="741"/>
      <c r="BJ773" s="742" t="s">
        <v>159</v>
      </c>
      <c r="BK773" s="743"/>
      <c r="BL773" s="743"/>
      <c r="BM773" s="744"/>
      <c r="BN773" s="703" t="s">
        <v>159</v>
      </c>
      <c r="BO773" s="704"/>
      <c r="BP773" s="704"/>
      <c r="BQ773" s="704"/>
      <c r="BR773" s="704"/>
      <c r="BS773" s="704"/>
      <c r="BT773" s="704"/>
      <c r="BU773" s="704"/>
      <c r="BV773" s="705"/>
    </row>
    <row r="774" spans="1:74" ht="45" customHeight="1" x14ac:dyDescent="0.25">
      <c r="A774" s="10">
        <f t="shared" si="11"/>
        <v>760</v>
      </c>
      <c r="B774" s="662" t="s">
        <v>159</v>
      </c>
      <c r="C774" s="662"/>
      <c r="D774" s="663" t="s">
        <v>212</v>
      </c>
      <c r="E774" s="663"/>
      <c r="F774" s="664" t="s">
        <v>162</v>
      </c>
      <c r="G774" s="665"/>
      <c r="H774" s="754" t="s">
        <v>162</v>
      </c>
      <c r="I774" s="714"/>
      <c r="J774" s="715"/>
      <c r="K774" s="716"/>
      <c r="L774" s="715"/>
      <c r="M774" s="716"/>
      <c r="N774" s="215"/>
      <c r="O774" s="196"/>
      <c r="P774" s="670"/>
      <c r="Q774" s="671"/>
      <c r="R774" s="672"/>
      <c r="S774" s="673"/>
      <c r="T774" s="674"/>
      <c r="U774" s="675"/>
      <c r="V774" s="676"/>
      <c r="W774" s="677"/>
      <c r="X774" s="678" t="s">
        <v>159</v>
      </c>
      <c r="Y774" s="678"/>
      <c r="Z774" s="678"/>
      <c r="AA774" s="678"/>
      <c r="AB774" s="679" t="s">
        <v>159</v>
      </c>
      <c r="AC774" s="679"/>
      <c r="AD774" s="679"/>
      <c r="AE774" s="679"/>
      <c r="AF774" s="680"/>
      <c r="AG774" s="681"/>
      <c r="AH774" s="680"/>
      <c r="AI774" s="681"/>
      <c r="AJ774" s="682"/>
      <c r="AK774" s="683"/>
      <c r="AL774" s="684" t="s">
        <v>162</v>
      </c>
      <c r="AM774" s="685"/>
      <c r="AN774" s="666" t="s">
        <v>162</v>
      </c>
      <c r="AO774" s="667"/>
      <c r="AP774" s="686"/>
      <c r="AQ774" s="687"/>
      <c r="AR774" s="688"/>
      <c r="AS774" s="689"/>
      <c r="AT774" s="690"/>
      <c r="AU774" s="691"/>
      <c r="AV774" s="666" t="s">
        <v>162</v>
      </c>
      <c r="AW774" s="667"/>
      <c r="AX774" s="692"/>
      <c r="AY774" s="693"/>
      <c r="AZ774" s="694"/>
      <c r="BA774" s="682"/>
      <c r="BB774" s="683"/>
      <c r="BC774" s="14"/>
      <c r="BD774" s="695" t="s">
        <v>162</v>
      </c>
      <c r="BE774" s="696"/>
      <c r="BF774" s="697"/>
      <c r="BG774" s="698"/>
      <c r="BH774" s="698"/>
      <c r="BI774" s="699"/>
      <c r="BJ774" s="700" t="s">
        <v>159</v>
      </c>
      <c r="BK774" s="701"/>
      <c r="BL774" s="701"/>
      <c r="BM774" s="702"/>
      <c r="BN774" s="703" t="s">
        <v>159</v>
      </c>
      <c r="BO774" s="704"/>
      <c r="BP774" s="704"/>
      <c r="BQ774" s="704"/>
      <c r="BR774" s="704"/>
      <c r="BS774" s="704"/>
      <c r="BT774" s="704"/>
      <c r="BU774" s="704"/>
      <c r="BV774" s="705"/>
    </row>
    <row r="775" spans="1:74" ht="45" customHeight="1" x14ac:dyDescent="0.25">
      <c r="A775" s="10">
        <f t="shared" si="11"/>
        <v>761</v>
      </c>
      <c r="B775" s="711" t="s">
        <v>159</v>
      </c>
      <c r="C775" s="711"/>
      <c r="D775" s="712" t="s">
        <v>212</v>
      </c>
      <c r="E775" s="712"/>
      <c r="F775" s="664" t="s">
        <v>162</v>
      </c>
      <c r="G775" s="665"/>
      <c r="H775" s="755" t="s">
        <v>162</v>
      </c>
      <c r="I775" s="667"/>
      <c r="J775" s="706"/>
      <c r="K775" s="707"/>
      <c r="L775" s="706"/>
      <c r="M775" s="707"/>
      <c r="N775" s="194"/>
      <c r="O775" s="216"/>
      <c r="P775" s="717"/>
      <c r="Q775" s="718"/>
      <c r="R775" s="719"/>
      <c r="S775" s="720"/>
      <c r="T775" s="721"/>
      <c r="U775" s="722"/>
      <c r="V775" s="723"/>
      <c r="W775" s="724"/>
      <c r="X775" s="725" t="s">
        <v>159</v>
      </c>
      <c r="Y775" s="725"/>
      <c r="Z775" s="725"/>
      <c r="AA775" s="725"/>
      <c r="AB775" s="726" t="s">
        <v>159</v>
      </c>
      <c r="AC775" s="726"/>
      <c r="AD775" s="726"/>
      <c r="AE775" s="726"/>
      <c r="AF775" s="727"/>
      <c r="AG775" s="728"/>
      <c r="AH775" s="727"/>
      <c r="AI775" s="728"/>
      <c r="AJ775" s="682"/>
      <c r="AK775" s="683"/>
      <c r="AL775" s="664" t="s">
        <v>162</v>
      </c>
      <c r="AM775" s="665"/>
      <c r="AN775" s="713" t="s">
        <v>162</v>
      </c>
      <c r="AO775" s="714"/>
      <c r="AP775" s="729"/>
      <c r="AQ775" s="730"/>
      <c r="AR775" s="731"/>
      <c r="AS775" s="732"/>
      <c r="AT775" s="733"/>
      <c r="AU775" s="734"/>
      <c r="AV775" s="713" t="s">
        <v>162</v>
      </c>
      <c r="AW775" s="714"/>
      <c r="AX775" s="692"/>
      <c r="AY775" s="693"/>
      <c r="AZ775" s="694"/>
      <c r="BA775" s="735"/>
      <c r="BB775" s="736"/>
      <c r="BC775" s="219"/>
      <c r="BD775" s="737" t="s">
        <v>162</v>
      </c>
      <c r="BE775" s="738"/>
      <c r="BF775" s="739"/>
      <c r="BG775" s="740"/>
      <c r="BH775" s="740"/>
      <c r="BI775" s="741"/>
      <c r="BJ775" s="742" t="s">
        <v>159</v>
      </c>
      <c r="BK775" s="743"/>
      <c r="BL775" s="743"/>
      <c r="BM775" s="744"/>
      <c r="BN775" s="703" t="s">
        <v>159</v>
      </c>
      <c r="BO775" s="704"/>
      <c r="BP775" s="704"/>
      <c r="BQ775" s="704"/>
      <c r="BR775" s="704"/>
      <c r="BS775" s="704"/>
      <c r="BT775" s="704"/>
      <c r="BU775" s="704"/>
      <c r="BV775" s="705"/>
    </row>
    <row r="776" spans="1:74" ht="45" customHeight="1" x14ac:dyDescent="0.25">
      <c r="A776" s="10">
        <f t="shared" si="11"/>
        <v>762</v>
      </c>
      <c r="B776" s="662" t="s">
        <v>159</v>
      </c>
      <c r="C776" s="662"/>
      <c r="D776" s="663" t="s">
        <v>212</v>
      </c>
      <c r="E776" s="663"/>
      <c r="F776" s="664" t="s">
        <v>162</v>
      </c>
      <c r="G776" s="665"/>
      <c r="H776" s="754" t="s">
        <v>162</v>
      </c>
      <c r="I776" s="714"/>
      <c r="J776" s="715"/>
      <c r="K776" s="716"/>
      <c r="L776" s="715"/>
      <c r="M776" s="716"/>
      <c r="N776" s="215"/>
      <c r="O776" s="196"/>
      <c r="P776" s="670"/>
      <c r="Q776" s="671"/>
      <c r="R776" s="672"/>
      <c r="S776" s="673"/>
      <c r="T776" s="674"/>
      <c r="U776" s="675"/>
      <c r="V776" s="676"/>
      <c r="W776" s="677"/>
      <c r="X776" s="678" t="s">
        <v>159</v>
      </c>
      <c r="Y776" s="678"/>
      <c r="Z776" s="678"/>
      <c r="AA776" s="678"/>
      <c r="AB776" s="679" t="s">
        <v>159</v>
      </c>
      <c r="AC776" s="679"/>
      <c r="AD776" s="679"/>
      <c r="AE776" s="679"/>
      <c r="AF776" s="680"/>
      <c r="AG776" s="681"/>
      <c r="AH776" s="680"/>
      <c r="AI776" s="681"/>
      <c r="AJ776" s="682"/>
      <c r="AK776" s="683"/>
      <c r="AL776" s="684" t="s">
        <v>162</v>
      </c>
      <c r="AM776" s="685"/>
      <c r="AN776" s="666" t="s">
        <v>162</v>
      </c>
      <c r="AO776" s="667"/>
      <c r="AP776" s="686"/>
      <c r="AQ776" s="687"/>
      <c r="AR776" s="688"/>
      <c r="AS776" s="689"/>
      <c r="AT776" s="690"/>
      <c r="AU776" s="691"/>
      <c r="AV776" s="666" t="s">
        <v>162</v>
      </c>
      <c r="AW776" s="667"/>
      <c r="AX776" s="692"/>
      <c r="AY776" s="693"/>
      <c r="AZ776" s="694"/>
      <c r="BA776" s="682"/>
      <c r="BB776" s="683"/>
      <c r="BC776" s="14"/>
      <c r="BD776" s="695" t="s">
        <v>162</v>
      </c>
      <c r="BE776" s="696"/>
      <c r="BF776" s="708"/>
      <c r="BG776" s="709"/>
      <c r="BH776" s="709"/>
      <c r="BI776" s="710"/>
      <c r="BJ776" s="700" t="s">
        <v>159</v>
      </c>
      <c r="BK776" s="701"/>
      <c r="BL776" s="701"/>
      <c r="BM776" s="702"/>
      <c r="BN776" s="703" t="s">
        <v>159</v>
      </c>
      <c r="BO776" s="704"/>
      <c r="BP776" s="704"/>
      <c r="BQ776" s="704"/>
      <c r="BR776" s="704"/>
      <c r="BS776" s="704"/>
      <c r="BT776" s="704"/>
      <c r="BU776" s="704"/>
      <c r="BV776" s="705"/>
    </row>
    <row r="777" spans="1:74" ht="45" customHeight="1" x14ac:dyDescent="0.25">
      <c r="A777" s="10">
        <f t="shared" si="11"/>
        <v>763</v>
      </c>
      <c r="B777" s="711" t="s">
        <v>159</v>
      </c>
      <c r="C777" s="711"/>
      <c r="D777" s="712" t="s">
        <v>212</v>
      </c>
      <c r="E777" s="712"/>
      <c r="F777" s="664" t="s">
        <v>162</v>
      </c>
      <c r="G777" s="665"/>
      <c r="H777" s="755" t="s">
        <v>162</v>
      </c>
      <c r="I777" s="667"/>
      <c r="J777" s="706"/>
      <c r="K777" s="707"/>
      <c r="L777" s="706"/>
      <c r="M777" s="707"/>
      <c r="N777" s="194"/>
      <c r="O777" s="216"/>
      <c r="P777" s="717"/>
      <c r="Q777" s="718"/>
      <c r="R777" s="719"/>
      <c r="S777" s="720"/>
      <c r="T777" s="721"/>
      <c r="U777" s="722"/>
      <c r="V777" s="723"/>
      <c r="W777" s="724"/>
      <c r="X777" s="725" t="s">
        <v>159</v>
      </c>
      <c r="Y777" s="725"/>
      <c r="Z777" s="725"/>
      <c r="AA777" s="725"/>
      <c r="AB777" s="726" t="s">
        <v>159</v>
      </c>
      <c r="AC777" s="726"/>
      <c r="AD777" s="726"/>
      <c r="AE777" s="726"/>
      <c r="AF777" s="727"/>
      <c r="AG777" s="728"/>
      <c r="AH777" s="727"/>
      <c r="AI777" s="728"/>
      <c r="AJ777" s="682"/>
      <c r="AK777" s="683"/>
      <c r="AL777" s="664" t="s">
        <v>162</v>
      </c>
      <c r="AM777" s="665"/>
      <c r="AN777" s="713" t="s">
        <v>162</v>
      </c>
      <c r="AO777" s="714"/>
      <c r="AP777" s="729"/>
      <c r="AQ777" s="730"/>
      <c r="AR777" s="731"/>
      <c r="AS777" s="732"/>
      <c r="AT777" s="733"/>
      <c r="AU777" s="734"/>
      <c r="AV777" s="713" t="s">
        <v>162</v>
      </c>
      <c r="AW777" s="714"/>
      <c r="AX777" s="692"/>
      <c r="AY777" s="693"/>
      <c r="AZ777" s="694"/>
      <c r="BA777" s="735"/>
      <c r="BB777" s="736"/>
      <c r="BC777" s="219"/>
      <c r="BD777" s="737" t="s">
        <v>162</v>
      </c>
      <c r="BE777" s="738"/>
      <c r="BF777" s="739"/>
      <c r="BG777" s="740"/>
      <c r="BH777" s="740"/>
      <c r="BI777" s="741"/>
      <c r="BJ777" s="742" t="s">
        <v>159</v>
      </c>
      <c r="BK777" s="743"/>
      <c r="BL777" s="743"/>
      <c r="BM777" s="744"/>
      <c r="BN777" s="703" t="s">
        <v>159</v>
      </c>
      <c r="BO777" s="704"/>
      <c r="BP777" s="704"/>
      <c r="BQ777" s="704"/>
      <c r="BR777" s="704"/>
      <c r="BS777" s="704"/>
      <c r="BT777" s="704"/>
      <c r="BU777" s="704"/>
      <c r="BV777" s="705"/>
    </row>
    <row r="778" spans="1:74" ht="45" customHeight="1" x14ac:dyDescent="0.25">
      <c r="A778" s="10">
        <f t="shared" si="11"/>
        <v>764</v>
      </c>
      <c r="B778" s="662" t="s">
        <v>159</v>
      </c>
      <c r="C778" s="662"/>
      <c r="D778" s="663" t="s">
        <v>212</v>
      </c>
      <c r="E778" s="663"/>
      <c r="F778" s="664" t="s">
        <v>162</v>
      </c>
      <c r="G778" s="665"/>
      <c r="H778" s="754" t="s">
        <v>162</v>
      </c>
      <c r="I778" s="714"/>
      <c r="J778" s="715"/>
      <c r="K778" s="716"/>
      <c r="L778" s="715"/>
      <c r="M778" s="716"/>
      <c r="N778" s="215"/>
      <c r="O778" s="196"/>
      <c r="P778" s="670"/>
      <c r="Q778" s="671"/>
      <c r="R778" s="672"/>
      <c r="S778" s="673"/>
      <c r="T778" s="674"/>
      <c r="U778" s="675"/>
      <c r="V778" s="676"/>
      <c r="W778" s="677"/>
      <c r="X778" s="678" t="s">
        <v>159</v>
      </c>
      <c r="Y778" s="678"/>
      <c r="Z778" s="678"/>
      <c r="AA778" s="678"/>
      <c r="AB778" s="679" t="s">
        <v>159</v>
      </c>
      <c r="AC778" s="679"/>
      <c r="AD778" s="679"/>
      <c r="AE778" s="679"/>
      <c r="AF778" s="680"/>
      <c r="AG778" s="681"/>
      <c r="AH778" s="680"/>
      <c r="AI778" s="681"/>
      <c r="AJ778" s="682"/>
      <c r="AK778" s="683"/>
      <c r="AL778" s="684" t="s">
        <v>162</v>
      </c>
      <c r="AM778" s="685"/>
      <c r="AN778" s="666" t="s">
        <v>162</v>
      </c>
      <c r="AO778" s="667"/>
      <c r="AP778" s="686"/>
      <c r="AQ778" s="687"/>
      <c r="AR778" s="688"/>
      <c r="AS778" s="689"/>
      <c r="AT778" s="690"/>
      <c r="AU778" s="691"/>
      <c r="AV778" s="666" t="s">
        <v>162</v>
      </c>
      <c r="AW778" s="667"/>
      <c r="AX778" s="692"/>
      <c r="AY778" s="693"/>
      <c r="AZ778" s="694"/>
      <c r="BA778" s="682"/>
      <c r="BB778" s="683"/>
      <c r="BC778" s="14"/>
      <c r="BD778" s="695" t="s">
        <v>162</v>
      </c>
      <c r="BE778" s="696"/>
      <c r="BF778" s="697"/>
      <c r="BG778" s="698"/>
      <c r="BH778" s="698"/>
      <c r="BI778" s="699"/>
      <c r="BJ778" s="700" t="s">
        <v>159</v>
      </c>
      <c r="BK778" s="701"/>
      <c r="BL778" s="701"/>
      <c r="BM778" s="702"/>
      <c r="BN778" s="703" t="s">
        <v>159</v>
      </c>
      <c r="BO778" s="704"/>
      <c r="BP778" s="704"/>
      <c r="BQ778" s="704"/>
      <c r="BR778" s="704"/>
      <c r="BS778" s="704"/>
      <c r="BT778" s="704"/>
      <c r="BU778" s="704"/>
      <c r="BV778" s="705"/>
    </row>
    <row r="779" spans="1:74" ht="45" customHeight="1" x14ac:dyDescent="0.25">
      <c r="A779" s="10">
        <f t="shared" si="11"/>
        <v>765</v>
      </c>
      <c r="B779" s="711" t="s">
        <v>159</v>
      </c>
      <c r="C779" s="711"/>
      <c r="D779" s="712" t="s">
        <v>212</v>
      </c>
      <c r="E779" s="712"/>
      <c r="F779" s="664" t="s">
        <v>162</v>
      </c>
      <c r="G779" s="665"/>
      <c r="H779" s="755" t="s">
        <v>162</v>
      </c>
      <c r="I779" s="667"/>
      <c r="J779" s="706"/>
      <c r="K779" s="707"/>
      <c r="L779" s="706"/>
      <c r="M779" s="707"/>
      <c r="N779" s="215"/>
      <c r="O779" s="216"/>
      <c r="P779" s="670"/>
      <c r="Q779" s="671"/>
      <c r="R779" s="719"/>
      <c r="S779" s="720"/>
      <c r="T779" s="721"/>
      <c r="U779" s="722"/>
      <c r="V779" s="723"/>
      <c r="W779" s="724"/>
      <c r="X779" s="725" t="s">
        <v>159</v>
      </c>
      <c r="Y779" s="725"/>
      <c r="Z779" s="725"/>
      <c r="AA779" s="725"/>
      <c r="AB779" s="726" t="s">
        <v>159</v>
      </c>
      <c r="AC779" s="726"/>
      <c r="AD779" s="726"/>
      <c r="AE779" s="726"/>
      <c r="AF779" s="727"/>
      <c r="AG779" s="728"/>
      <c r="AH779" s="727"/>
      <c r="AI779" s="728"/>
      <c r="AJ779" s="682"/>
      <c r="AK779" s="683"/>
      <c r="AL779" s="664" t="s">
        <v>162</v>
      </c>
      <c r="AM779" s="665"/>
      <c r="AN779" s="713" t="s">
        <v>162</v>
      </c>
      <c r="AO779" s="714"/>
      <c r="AP779" s="729"/>
      <c r="AQ779" s="730"/>
      <c r="AR779" s="731"/>
      <c r="AS779" s="732"/>
      <c r="AT779" s="690"/>
      <c r="AU779" s="691"/>
      <c r="AV779" s="713" t="s">
        <v>162</v>
      </c>
      <c r="AW779" s="714"/>
      <c r="AX779" s="692"/>
      <c r="AY779" s="693"/>
      <c r="AZ779" s="694"/>
      <c r="BA779" s="735"/>
      <c r="BB779" s="736"/>
      <c r="BC779" s="219"/>
      <c r="BD779" s="737" t="s">
        <v>162</v>
      </c>
      <c r="BE779" s="738"/>
      <c r="BF779" s="739"/>
      <c r="BG779" s="740"/>
      <c r="BH779" s="740"/>
      <c r="BI779" s="741"/>
      <c r="BJ779" s="742" t="s">
        <v>159</v>
      </c>
      <c r="BK779" s="743"/>
      <c r="BL779" s="743"/>
      <c r="BM779" s="744"/>
      <c r="BN779" s="703" t="s">
        <v>159</v>
      </c>
      <c r="BO779" s="704"/>
      <c r="BP779" s="704"/>
      <c r="BQ779" s="704"/>
      <c r="BR779" s="704"/>
      <c r="BS779" s="704"/>
      <c r="BT779" s="704"/>
      <c r="BU779" s="704"/>
      <c r="BV779" s="705"/>
    </row>
    <row r="780" spans="1:74" ht="45" customHeight="1" x14ac:dyDescent="0.25">
      <c r="A780" s="10">
        <f t="shared" si="11"/>
        <v>766</v>
      </c>
      <c r="B780" s="662" t="s">
        <v>159</v>
      </c>
      <c r="C780" s="662"/>
      <c r="D780" s="663" t="s">
        <v>212</v>
      </c>
      <c r="E780" s="663"/>
      <c r="F780" s="664" t="s">
        <v>162</v>
      </c>
      <c r="G780" s="665"/>
      <c r="H780" s="754" t="s">
        <v>162</v>
      </c>
      <c r="I780" s="714"/>
      <c r="J780" s="715"/>
      <c r="K780" s="716"/>
      <c r="L780" s="715"/>
      <c r="M780" s="716"/>
      <c r="N780" s="194"/>
      <c r="O780" s="196"/>
      <c r="P780" s="717"/>
      <c r="Q780" s="718"/>
      <c r="R780" s="672"/>
      <c r="S780" s="673"/>
      <c r="T780" s="674"/>
      <c r="U780" s="675"/>
      <c r="V780" s="676"/>
      <c r="W780" s="677"/>
      <c r="X780" s="678" t="s">
        <v>159</v>
      </c>
      <c r="Y780" s="678"/>
      <c r="Z780" s="678"/>
      <c r="AA780" s="678"/>
      <c r="AB780" s="679" t="s">
        <v>159</v>
      </c>
      <c r="AC780" s="679"/>
      <c r="AD780" s="679"/>
      <c r="AE780" s="679"/>
      <c r="AF780" s="680"/>
      <c r="AG780" s="681"/>
      <c r="AH780" s="680"/>
      <c r="AI780" s="681"/>
      <c r="AJ780" s="682"/>
      <c r="AK780" s="683"/>
      <c r="AL780" s="684" t="s">
        <v>162</v>
      </c>
      <c r="AM780" s="685"/>
      <c r="AN780" s="666" t="s">
        <v>162</v>
      </c>
      <c r="AO780" s="667"/>
      <c r="AP780" s="686"/>
      <c r="AQ780" s="687"/>
      <c r="AR780" s="688"/>
      <c r="AS780" s="689"/>
      <c r="AT780" s="690"/>
      <c r="AU780" s="691"/>
      <c r="AV780" s="666" t="s">
        <v>162</v>
      </c>
      <c r="AW780" s="667"/>
      <c r="AX780" s="692"/>
      <c r="AY780" s="693"/>
      <c r="AZ780" s="694"/>
      <c r="BA780" s="682"/>
      <c r="BB780" s="683"/>
      <c r="BC780" s="14"/>
      <c r="BD780" s="695" t="s">
        <v>162</v>
      </c>
      <c r="BE780" s="696"/>
      <c r="BF780" s="697"/>
      <c r="BG780" s="698"/>
      <c r="BH780" s="698"/>
      <c r="BI780" s="699"/>
      <c r="BJ780" s="700" t="s">
        <v>159</v>
      </c>
      <c r="BK780" s="701"/>
      <c r="BL780" s="701"/>
      <c r="BM780" s="702"/>
      <c r="BN780" s="703" t="s">
        <v>159</v>
      </c>
      <c r="BO780" s="704"/>
      <c r="BP780" s="704"/>
      <c r="BQ780" s="704"/>
      <c r="BR780" s="704"/>
      <c r="BS780" s="704"/>
      <c r="BT780" s="704"/>
      <c r="BU780" s="704"/>
      <c r="BV780" s="705"/>
    </row>
    <row r="781" spans="1:74" ht="45" customHeight="1" x14ac:dyDescent="0.25">
      <c r="A781" s="10">
        <f t="shared" si="11"/>
        <v>767</v>
      </c>
      <c r="B781" s="711" t="s">
        <v>159</v>
      </c>
      <c r="C781" s="711"/>
      <c r="D781" s="712" t="s">
        <v>212</v>
      </c>
      <c r="E781" s="712"/>
      <c r="F781" s="664" t="s">
        <v>162</v>
      </c>
      <c r="G781" s="665"/>
      <c r="H781" s="755" t="s">
        <v>162</v>
      </c>
      <c r="I781" s="667"/>
      <c r="J781" s="706"/>
      <c r="K781" s="707"/>
      <c r="L781" s="706"/>
      <c r="M781" s="707"/>
      <c r="N781" s="215"/>
      <c r="O781" s="216"/>
      <c r="P781" s="670"/>
      <c r="Q781" s="671"/>
      <c r="R781" s="719"/>
      <c r="S781" s="720"/>
      <c r="T781" s="721"/>
      <c r="U781" s="722"/>
      <c r="V781" s="723"/>
      <c r="W781" s="724"/>
      <c r="X781" s="725" t="s">
        <v>159</v>
      </c>
      <c r="Y781" s="725"/>
      <c r="Z781" s="725"/>
      <c r="AA781" s="725"/>
      <c r="AB781" s="726" t="s">
        <v>159</v>
      </c>
      <c r="AC781" s="726"/>
      <c r="AD781" s="726"/>
      <c r="AE781" s="726"/>
      <c r="AF781" s="727"/>
      <c r="AG781" s="728"/>
      <c r="AH781" s="727"/>
      <c r="AI781" s="728"/>
      <c r="AJ781" s="682"/>
      <c r="AK781" s="683"/>
      <c r="AL781" s="664" t="s">
        <v>162</v>
      </c>
      <c r="AM781" s="665"/>
      <c r="AN781" s="713" t="s">
        <v>162</v>
      </c>
      <c r="AO781" s="714"/>
      <c r="AP781" s="729"/>
      <c r="AQ781" s="730"/>
      <c r="AR781" s="731"/>
      <c r="AS781" s="732"/>
      <c r="AT781" s="690"/>
      <c r="AU781" s="691"/>
      <c r="AV781" s="713" t="s">
        <v>162</v>
      </c>
      <c r="AW781" s="714"/>
      <c r="AX781" s="692"/>
      <c r="AY781" s="693"/>
      <c r="AZ781" s="694"/>
      <c r="BA781" s="735"/>
      <c r="BB781" s="736"/>
      <c r="BC781" s="219"/>
      <c r="BD781" s="737" t="s">
        <v>162</v>
      </c>
      <c r="BE781" s="738"/>
      <c r="BF781" s="739"/>
      <c r="BG781" s="740"/>
      <c r="BH781" s="740"/>
      <c r="BI781" s="741"/>
      <c r="BJ781" s="742" t="s">
        <v>159</v>
      </c>
      <c r="BK781" s="743"/>
      <c r="BL781" s="743"/>
      <c r="BM781" s="744"/>
      <c r="BN781" s="703" t="s">
        <v>159</v>
      </c>
      <c r="BO781" s="704"/>
      <c r="BP781" s="704"/>
      <c r="BQ781" s="704"/>
      <c r="BR781" s="704"/>
      <c r="BS781" s="704"/>
      <c r="BT781" s="704"/>
      <c r="BU781" s="704"/>
      <c r="BV781" s="705"/>
    </row>
    <row r="782" spans="1:74" ht="45" customHeight="1" x14ac:dyDescent="0.25">
      <c r="A782" s="10">
        <f t="shared" si="11"/>
        <v>768</v>
      </c>
      <c r="B782" s="662" t="s">
        <v>159</v>
      </c>
      <c r="C782" s="662"/>
      <c r="D782" s="663" t="s">
        <v>212</v>
      </c>
      <c r="E782" s="663"/>
      <c r="F782" s="664" t="s">
        <v>162</v>
      </c>
      <c r="G782" s="665"/>
      <c r="H782" s="754" t="s">
        <v>162</v>
      </c>
      <c r="I782" s="714"/>
      <c r="J782" s="715"/>
      <c r="K782" s="716"/>
      <c r="L782" s="715"/>
      <c r="M782" s="716"/>
      <c r="N782" s="194"/>
      <c r="O782" s="196"/>
      <c r="P782" s="717"/>
      <c r="Q782" s="718"/>
      <c r="R782" s="672"/>
      <c r="S782" s="673"/>
      <c r="T782" s="674"/>
      <c r="U782" s="675"/>
      <c r="V782" s="676"/>
      <c r="W782" s="677"/>
      <c r="X782" s="678" t="s">
        <v>159</v>
      </c>
      <c r="Y782" s="678"/>
      <c r="Z782" s="678"/>
      <c r="AA782" s="678"/>
      <c r="AB782" s="679" t="s">
        <v>159</v>
      </c>
      <c r="AC782" s="679"/>
      <c r="AD782" s="679"/>
      <c r="AE782" s="679"/>
      <c r="AF782" s="680"/>
      <c r="AG782" s="681"/>
      <c r="AH782" s="680"/>
      <c r="AI782" s="681"/>
      <c r="AJ782" s="682"/>
      <c r="AK782" s="683"/>
      <c r="AL782" s="684" t="s">
        <v>162</v>
      </c>
      <c r="AM782" s="685"/>
      <c r="AN782" s="666" t="s">
        <v>162</v>
      </c>
      <c r="AO782" s="667"/>
      <c r="AP782" s="686"/>
      <c r="AQ782" s="687"/>
      <c r="AR782" s="688"/>
      <c r="AS782" s="689"/>
      <c r="AT782" s="690"/>
      <c r="AU782" s="691"/>
      <c r="AV782" s="666" t="s">
        <v>162</v>
      </c>
      <c r="AW782" s="667"/>
      <c r="AX782" s="692"/>
      <c r="AY782" s="693"/>
      <c r="AZ782" s="694"/>
      <c r="BA782" s="682"/>
      <c r="BB782" s="683"/>
      <c r="BC782" s="14"/>
      <c r="BD782" s="695" t="s">
        <v>162</v>
      </c>
      <c r="BE782" s="696"/>
      <c r="BF782" s="697"/>
      <c r="BG782" s="698"/>
      <c r="BH782" s="698"/>
      <c r="BI782" s="699"/>
      <c r="BJ782" s="700" t="s">
        <v>159</v>
      </c>
      <c r="BK782" s="701"/>
      <c r="BL782" s="701"/>
      <c r="BM782" s="702"/>
      <c r="BN782" s="703" t="s">
        <v>159</v>
      </c>
      <c r="BO782" s="704"/>
      <c r="BP782" s="704"/>
      <c r="BQ782" s="704"/>
      <c r="BR782" s="704"/>
      <c r="BS782" s="704"/>
      <c r="BT782" s="704"/>
      <c r="BU782" s="704"/>
      <c r="BV782" s="705"/>
    </row>
    <row r="783" spans="1:74" ht="45" customHeight="1" x14ac:dyDescent="0.25">
      <c r="A783" s="10">
        <f t="shared" ref="A783:A846" si="12">ROW(A769)</f>
        <v>769</v>
      </c>
      <c r="B783" s="711" t="s">
        <v>159</v>
      </c>
      <c r="C783" s="711"/>
      <c r="D783" s="712" t="s">
        <v>212</v>
      </c>
      <c r="E783" s="712"/>
      <c r="F783" s="664" t="s">
        <v>162</v>
      </c>
      <c r="G783" s="665"/>
      <c r="H783" s="755" t="s">
        <v>162</v>
      </c>
      <c r="I783" s="667"/>
      <c r="J783" s="706"/>
      <c r="K783" s="707"/>
      <c r="L783" s="706"/>
      <c r="M783" s="707"/>
      <c r="N783" s="215"/>
      <c r="O783" s="216"/>
      <c r="P783" s="670"/>
      <c r="Q783" s="671"/>
      <c r="R783" s="719"/>
      <c r="S783" s="720"/>
      <c r="T783" s="721"/>
      <c r="U783" s="722"/>
      <c r="V783" s="723"/>
      <c r="W783" s="724"/>
      <c r="X783" s="725" t="s">
        <v>159</v>
      </c>
      <c r="Y783" s="725"/>
      <c r="Z783" s="725"/>
      <c r="AA783" s="725"/>
      <c r="AB783" s="726" t="s">
        <v>159</v>
      </c>
      <c r="AC783" s="726"/>
      <c r="AD783" s="726"/>
      <c r="AE783" s="726"/>
      <c r="AF783" s="727"/>
      <c r="AG783" s="728"/>
      <c r="AH783" s="727"/>
      <c r="AI783" s="728"/>
      <c r="AJ783" s="682"/>
      <c r="AK783" s="683"/>
      <c r="AL783" s="664" t="s">
        <v>162</v>
      </c>
      <c r="AM783" s="665"/>
      <c r="AN783" s="713" t="s">
        <v>162</v>
      </c>
      <c r="AO783" s="714"/>
      <c r="AP783" s="729"/>
      <c r="AQ783" s="730"/>
      <c r="AR783" s="731"/>
      <c r="AS783" s="732"/>
      <c r="AT783" s="733"/>
      <c r="AU783" s="734"/>
      <c r="AV783" s="713" t="s">
        <v>162</v>
      </c>
      <c r="AW783" s="714"/>
      <c r="AX783" s="692"/>
      <c r="AY783" s="693"/>
      <c r="AZ783" s="694"/>
      <c r="BA783" s="735"/>
      <c r="BB783" s="736"/>
      <c r="BC783" s="219"/>
      <c r="BD783" s="737" t="s">
        <v>162</v>
      </c>
      <c r="BE783" s="738"/>
      <c r="BF783" s="739"/>
      <c r="BG783" s="740"/>
      <c r="BH783" s="740"/>
      <c r="BI783" s="741"/>
      <c r="BJ783" s="742" t="s">
        <v>159</v>
      </c>
      <c r="BK783" s="743"/>
      <c r="BL783" s="743"/>
      <c r="BM783" s="744"/>
      <c r="BN783" s="703" t="s">
        <v>159</v>
      </c>
      <c r="BO783" s="704"/>
      <c r="BP783" s="704"/>
      <c r="BQ783" s="704"/>
      <c r="BR783" s="704"/>
      <c r="BS783" s="704"/>
      <c r="BT783" s="704"/>
      <c r="BU783" s="704"/>
      <c r="BV783" s="705"/>
    </row>
    <row r="784" spans="1:74" ht="45" customHeight="1" x14ac:dyDescent="0.25">
      <c r="A784" s="10">
        <f t="shared" si="12"/>
        <v>770</v>
      </c>
      <c r="B784" s="662" t="s">
        <v>159</v>
      </c>
      <c r="C784" s="662"/>
      <c r="D784" s="663" t="s">
        <v>212</v>
      </c>
      <c r="E784" s="663"/>
      <c r="F784" s="664" t="s">
        <v>162</v>
      </c>
      <c r="G784" s="665"/>
      <c r="H784" s="754" t="s">
        <v>162</v>
      </c>
      <c r="I784" s="714"/>
      <c r="J784" s="715"/>
      <c r="K784" s="716"/>
      <c r="L784" s="715"/>
      <c r="M784" s="716"/>
      <c r="N784" s="194"/>
      <c r="O784" s="196"/>
      <c r="P784" s="717"/>
      <c r="Q784" s="718"/>
      <c r="R784" s="672"/>
      <c r="S784" s="673"/>
      <c r="T784" s="674"/>
      <c r="U784" s="675"/>
      <c r="V784" s="676"/>
      <c r="W784" s="677"/>
      <c r="X784" s="678" t="s">
        <v>159</v>
      </c>
      <c r="Y784" s="678"/>
      <c r="Z784" s="678"/>
      <c r="AA784" s="678"/>
      <c r="AB784" s="679" t="s">
        <v>159</v>
      </c>
      <c r="AC784" s="679"/>
      <c r="AD784" s="679"/>
      <c r="AE784" s="679"/>
      <c r="AF784" s="680"/>
      <c r="AG784" s="681"/>
      <c r="AH784" s="680"/>
      <c r="AI784" s="681"/>
      <c r="AJ784" s="682"/>
      <c r="AK784" s="683"/>
      <c r="AL784" s="684" t="s">
        <v>162</v>
      </c>
      <c r="AM784" s="685"/>
      <c r="AN784" s="666" t="s">
        <v>162</v>
      </c>
      <c r="AO784" s="667"/>
      <c r="AP784" s="686"/>
      <c r="AQ784" s="687"/>
      <c r="AR784" s="688"/>
      <c r="AS784" s="689"/>
      <c r="AT784" s="690"/>
      <c r="AU784" s="691"/>
      <c r="AV784" s="666" t="s">
        <v>162</v>
      </c>
      <c r="AW784" s="667"/>
      <c r="AX784" s="692"/>
      <c r="AY784" s="693"/>
      <c r="AZ784" s="694"/>
      <c r="BA784" s="682"/>
      <c r="BB784" s="683"/>
      <c r="BC784" s="14"/>
      <c r="BD784" s="695" t="s">
        <v>162</v>
      </c>
      <c r="BE784" s="696"/>
      <c r="BF784" s="708"/>
      <c r="BG784" s="709"/>
      <c r="BH784" s="709"/>
      <c r="BI784" s="710"/>
      <c r="BJ784" s="700" t="s">
        <v>159</v>
      </c>
      <c r="BK784" s="701"/>
      <c r="BL784" s="701"/>
      <c r="BM784" s="702"/>
      <c r="BN784" s="703" t="s">
        <v>159</v>
      </c>
      <c r="BO784" s="704"/>
      <c r="BP784" s="704"/>
      <c r="BQ784" s="704"/>
      <c r="BR784" s="704"/>
      <c r="BS784" s="704"/>
      <c r="BT784" s="704"/>
      <c r="BU784" s="704"/>
      <c r="BV784" s="705"/>
    </row>
    <row r="785" spans="1:74" ht="45" customHeight="1" x14ac:dyDescent="0.25">
      <c r="A785" s="10">
        <f t="shared" si="12"/>
        <v>771</v>
      </c>
      <c r="B785" s="711" t="s">
        <v>159</v>
      </c>
      <c r="C785" s="711"/>
      <c r="D785" s="712" t="s">
        <v>212</v>
      </c>
      <c r="E785" s="712"/>
      <c r="F785" s="664" t="s">
        <v>162</v>
      </c>
      <c r="G785" s="665"/>
      <c r="H785" s="755" t="s">
        <v>162</v>
      </c>
      <c r="I785" s="667"/>
      <c r="J785" s="706"/>
      <c r="K785" s="707"/>
      <c r="L785" s="706"/>
      <c r="M785" s="707"/>
      <c r="N785" s="215"/>
      <c r="O785" s="216"/>
      <c r="P785" s="670"/>
      <c r="Q785" s="671"/>
      <c r="R785" s="719"/>
      <c r="S785" s="720"/>
      <c r="T785" s="721"/>
      <c r="U785" s="722"/>
      <c r="V785" s="723"/>
      <c r="W785" s="724"/>
      <c r="X785" s="725" t="s">
        <v>159</v>
      </c>
      <c r="Y785" s="725"/>
      <c r="Z785" s="725"/>
      <c r="AA785" s="725"/>
      <c r="AB785" s="726" t="s">
        <v>159</v>
      </c>
      <c r="AC785" s="726"/>
      <c r="AD785" s="726"/>
      <c r="AE785" s="726"/>
      <c r="AF785" s="727"/>
      <c r="AG785" s="728"/>
      <c r="AH785" s="727"/>
      <c r="AI785" s="728"/>
      <c r="AJ785" s="682"/>
      <c r="AK785" s="683"/>
      <c r="AL785" s="664" t="s">
        <v>162</v>
      </c>
      <c r="AM785" s="665"/>
      <c r="AN785" s="713" t="s">
        <v>162</v>
      </c>
      <c r="AO785" s="714"/>
      <c r="AP785" s="729"/>
      <c r="AQ785" s="730"/>
      <c r="AR785" s="731"/>
      <c r="AS785" s="732"/>
      <c r="AT785" s="733"/>
      <c r="AU785" s="734"/>
      <c r="AV785" s="713" t="s">
        <v>162</v>
      </c>
      <c r="AW785" s="714"/>
      <c r="AX785" s="692"/>
      <c r="AY785" s="693"/>
      <c r="AZ785" s="694"/>
      <c r="BA785" s="735"/>
      <c r="BB785" s="736"/>
      <c r="BC785" s="219"/>
      <c r="BD785" s="737" t="s">
        <v>162</v>
      </c>
      <c r="BE785" s="738"/>
      <c r="BF785" s="739"/>
      <c r="BG785" s="740"/>
      <c r="BH785" s="740"/>
      <c r="BI785" s="741"/>
      <c r="BJ785" s="742" t="s">
        <v>159</v>
      </c>
      <c r="BK785" s="743"/>
      <c r="BL785" s="743"/>
      <c r="BM785" s="744"/>
      <c r="BN785" s="703" t="s">
        <v>159</v>
      </c>
      <c r="BO785" s="704"/>
      <c r="BP785" s="704"/>
      <c r="BQ785" s="704"/>
      <c r="BR785" s="704"/>
      <c r="BS785" s="704"/>
      <c r="BT785" s="704"/>
      <c r="BU785" s="704"/>
      <c r="BV785" s="705"/>
    </row>
    <row r="786" spans="1:74" ht="45" customHeight="1" x14ac:dyDescent="0.25">
      <c r="A786" s="10">
        <f t="shared" si="12"/>
        <v>772</v>
      </c>
      <c r="B786" s="662" t="s">
        <v>159</v>
      </c>
      <c r="C786" s="662"/>
      <c r="D786" s="663" t="s">
        <v>212</v>
      </c>
      <c r="E786" s="663"/>
      <c r="F786" s="664" t="s">
        <v>162</v>
      </c>
      <c r="G786" s="665"/>
      <c r="H786" s="754" t="s">
        <v>162</v>
      </c>
      <c r="I786" s="714"/>
      <c r="J786" s="715"/>
      <c r="K786" s="716"/>
      <c r="L786" s="715"/>
      <c r="M786" s="716"/>
      <c r="N786" s="194"/>
      <c r="O786" s="196"/>
      <c r="P786" s="717"/>
      <c r="Q786" s="718"/>
      <c r="R786" s="672"/>
      <c r="S786" s="673"/>
      <c r="T786" s="674"/>
      <c r="U786" s="675"/>
      <c r="V786" s="676"/>
      <c r="W786" s="677"/>
      <c r="X786" s="678" t="s">
        <v>159</v>
      </c>
      <c r="Y786" s="678"/>
      <c r="Z786" s="678"/>
      <c r="AA786" s="678"/>
      <c r="AB786" s="679" t="s">
        <v>159</v>
      </c>
      <c r="AC786" s="679"/>
      <c r="AD786" s="679"/>
      <c r="AE786" s="679"/>
      <c r="AF786" s="680"/>
      <c r="AG786" s="681"/>
      <c r="AH786" s="680"/>
      <c r="AI786" s="681"/>
      <c r="AJ786" s="682"/>
      <c r="AK786" s="683"/>
      <c r="AL786" s="684" t="s">
        <v>162</v>
      </c>
      <c r="AM786" s="685"/>
      <c r="AN786" s="666" t="s">
        <v>162</v>
      </c>
      <c r="AO786" s="667"/>
      <c r="AP786" s="686"/>
      <c r="AQ786" s="687"/>
      <c r="AR786" s="688"/>
      <c r="AS786" s="689"/>
      <c r="AT786" s="690"/>
      <c r="AU786" s="691"/>
      <c r="AV786" s="666" t="s">
        <v>162</v>
      </c>
      <c r="AW786" s="667"/>
      <c r="AX786" s="692"/>
      <c r="AY786" s="693"/>
      <c r="AZ786" s="694"/>
      <c r="BA786" s="682"/>
      <c r="BB786" s="683"/>
      <c r="BC786" s="14"/>
      <c r="BD786" s="695" t="s">
        <v>162</v>
      </c>
      <c r="BE786" s="696"/>
      <c r="BF786" s="697"/>
      <c r="BG786" s="698"/>
      <c r="BH786" s="698"/>
      <c r="BI786" s="699"/>
      <c r="BJ786" s="700" t="s">
        <v>159</v>
      </c>
      <c r="BK786" s="701"/>
      <c r="BL786" s="701"/>
      <c r="BM786" s="702"/>
      <c r="BN786" s="703" t="s">
        <v>159</v>
      </c>
      <c r="BO786" s="704"/>
      <c r="BP786" s="704"/>
      <c r="BQ786" s="704"/>
      <c r="BR786" s="704"/>
      <c r="BS786" s="704"/>
      <c r="BT786" s="704"/>
      <c r="BU786" s="704"/>
      <c r="BV786" s="705"/>
    </row>
    <row r="787" spans="1:74" ht="45" customHeight="1" x14ac:dyDescent="0.25">
      <c r="A787" s="10">
        <f t="shared" si="12"/>
        <v>773</v>
      </c>
      <c r="B787" s="711" t="s">
        <v>159</v>
      </c>
      <c r="C787" s="711"/>
      <c r="D787" s="712" t="s">
        <v>212</v>
      </c>
      <c r="E787" s="712"/>
      <c r="F787" s="664" t="s">
        <v>162</v>
      </c>
      <c r="G787" s="665"/>
      <c r="H787" s="755" t="s">
        <v>162</v>
      </c>
      <c r="I787" s="667"/>
      <c r="J787" s="706"/>
      <c r="K787" s="707"/>
      <c r="L787" s="706"/>
      <c r="M787" s="707"/>
      <c r="N787" s="215"/>
      <c r="O787" s="216"/>
      <c r="P787" s="670"/>
      <c r="Q787" s="671"/>
      <c r="R787" s="719"/>
      <c r="S787" s="720"/>
      <c r="T787" s="721"/>
      <c r="U787" s="722"/>
      <c r="V787" s="723"/>
      <c r="W787" s="724"/>
      <c r="X787" s="725" t="s">
        <v>159</v>
      </c>
      <c r="Y787" s="725"/>
      <c r="Z787" s="725"/>
      <c r="AA787" s="725"/>
      <c r="AB787" s="726" t="s">
        <v>159</v>
      </c>
      <c r="AC787" s="726"/>
      <c r="AD787" s="726"/>
      <c r="AE787" s="726"/>
      <c r="AF787" s="727"/>
      <c r="AG787" s="728"/>
      <c r="AH787" s="727"/>
      <c r="AI787" s="728"/>
      <c r="AJ787" s="682"/>
      <c r="AK787" s="683"/>
      <c r="AL787" s="664" t="s">
        <v>162</v>
      </c>
      <c r="AM787" s="665"/>
      <c r="AN787" s="713" t="s">
        <v>162</v>
      </c>
      <c r="AO787" s="714"/>
      <c r="AP787" s="729"/>
      <c r="AQ787" s="730"/>
      <c r="AR787" s="731"/>
      <c r="AS787" s="732"/>
      <c r="AT787" s="733"/>
      <c r="AU787" s="734"/>
      <c r="AV787" s="713" t="s">
        <v>162</v>
      </c>
      <c r="AW787" s="714"/>
      <c r="AX787" s="692"/>
      <c r="AY787" s="693"/>
      <c r="AZ787" s="694"/>
      <c r="BA787" s="735"/>
      <c r="BB787" s="736"/>
      <c r="BC787" s="219"/>
      <c r="BD787" s="737" t="s">
        <v>162</v>
      </c>
      <c r="BE787" s="738"/>
      <c r="BF787" s="739"/>
      <c r="BG787" s="740"/>
      <c r="BH787" s="740"/>
      <c r="BI787" s="741"/>
      <c r="BJ787" s="742" t="s">
        <v>159</v>
      </c>
      <c r="BK787" s="743"/>
      <c r="BL787" s="743"/>
      <c r="BM787" s="744"/>
      <c r="BN787" s="703" t="s">
        <v>159</v>
      </c>
      <c r="BO787" s="704"/>
      <c r="BP787" s="704"/>
      <c r="BQ787" s="704"/>
      <c r="BR787" s="704"/>
      <c r="BS787" s="704"/>
      <c r="BT787" s="704"/>
      <c r="BU787" s="704"/>
      <c r="BV787" s="705"/>
    </row>
    <row r="788" spans="1:74" ht="45" customHeight="1" x14ac:dyDescent="0.25">
      <c r="A788" s="10">
        <f t="shared" si="12"/>
        <v>774</v>
      </c>
      <c r="B788" s="662" t="s">
        <v>159</v>
      </c>
      <c r="C788" s="662"/>
      <c r="D788" s="663" t="s">
        <v>212</v>
      </c>
      <c r="E788" s="663"/>
      <c r="F788" s="664" t="s">
        <v>162</v>
      </c>
      <c r="G788" s="665"/>
      <c r="H788" s="754" t="s">
        <v>162</v>
      </c>
      <c r="I788" s="714"/>
      <c r="J788" s="715"/>
      <c r="K788" s="716"/>
      <c r="L788" s="715"/>
      <c r="M788" s="716"/>
      <c r="N788" s="194"/>
      <c r="O788" s="196"/>
      <c r="P788" s="717"/>
      <c r="Q788" s="718"/>
      <c r="R788" s="672"/>
      <c r="S788" s="673"/>
      <c r="T788" s="674"/>
      <c r="U788" s="675"/>
      <c r="V788" s="676"/>
      <c r="W788" s="677"/>
      <c r="X788" s="678" t="s">
        <v>159</v>
      </c>
      <c r="Y788" s="678"/>
      <c r="Z788" s="678"/>
      <c r="AA788" s="678"/>
      <c r="AB788" s="679" t="s">
        <v>159</v>
      </c>
      <c r="AC788" s="679"/>
      <c r="AD788" s="679"/>
      <c r="AE788" s="679"/>
      <c r="AF788" s="680"/>
      <c r="AG788" s="681"/>
      <c r="AH788" s="680"/>
      <c r="AI788" s="681"/>
      <c r="AJ788" s="682"/>
      <c r="AK788" s="683"/>
      <c r="AL788" s="684" t="s">
        <v>162</v>
      </c>
      <c r="AM788" s="685"/>
      <c r="AN788" s="666" t="s">
        <v>162</v>
      </c>
      <c r="AO788" s="667"/>
      <c r="AP788" s="686"/>
      <c r="AQ788" s="687"/>
      <c r="AR788" s="688"/>
      <c r="AS788" s="689"/>
      <c r="AT788" s="690"/>
      <c r="AU788" s="691"/>
      <c r="AV788" s="666" t="s">
        <v>162</v>
      </c>
      <c r="AW788" s="667"/>
      <c r="AX788" s="692"/>
      <c r="AY788" s="693"/>
      <c r="AZ788" s="694"/>
      <c r="BA788" s="682"/>
      <c r="BB788" s="683"/>
      <c r="BC788" s="14"/>
      <c r="BD788" s="695" t="s">
        <v>162</v>
      </c>
      <c r="BE788" s="696"/>
      <c r="BF788" s="697"/>
      <c r="BG788" s="698"/>
      <c r="BH788" s="698"/>
      <c r="BI788" s="699"/>
      <c r="BJ788" s="700" t="s">
        <v>159</v>
      </c>
      <c r="BK788" s="701"/>
      <c r="BL788" s="701"/>
      <c r="BM788" s="702"/>
      <c r="BN788" s="703" t="s">
        <v>159</v>
      </c>
      <c r="BO788" s="704"/>
      <c r="BP788" s="704"/>
      <c r="BQ788" s="704"/>
      <c r="BR788" s="704"/>
      <c r="BS788" s="704"/>
      <c r="BT788" s="704"/>
      <c r="BU788" s="704"/>
      <c r="BV788" s="705"/>
    </row>
    <row r="789" spans="1:74" ht="45" customHeight="1" x14ac:dyDescent="0.25">
      <c r="A789" s="10">
        <f t="shared" si="12"/>
        <v>775</v>
      </c>
      <c r="B789" s="711" t="s">
        <v>159</v>
      </c>
      <c r="C789" s="711"/>
      <c r="D789" s="712" t="s">
        <v>212</v>
      </c>
      <c r="E789" s="712"/>
      <c r="F789" s="664" t="s">
        <v>162</v>
      </c>
      <c r="G789" s="665"/>
      <c r="H789" s="755" t="s">
        <v>162</v>
      </c>
      <c r="I789" s="667"/>
      <c r="J789" s="706"/>
      <c r="K789" s="707"/>
      <c r="L789" s="706"/>
      <c r="M789" s="707"/>
      <c r="N789" s="215"/>
      <c r="O789" s="216"/>
      <c r="P789" s="670"/>
      <c r="Q789" s="671"/>
      <c r="R789" s="719"/>
      <c r="S789" s="720"/>
      <c r="T789" s="721"/>
      <c r="U789" s="722"/>
      <c r="V789" s="723"/>
      <c r="W789" s="724"/>
      <c r="X789" s="725" t="s">
        <v>159</v>
      </c>
      <c r="Y789" s="725"/>
      <c r="Z789" s="725"/>
      <c r="AA789" s="725"/>
      <c r="AB789" s="726" t="s">
        <v>159</v>
      </c>
      <c r="AC789" s="726"/>
      <c r="AD789" s="726"/>
      <c r="AE789" s="726"/>
      <c r="AF789" s="727"/>
      <c r="AG789" s="728"/>
      <c r="AH789" s="727"/>
      <c r="AI789" s="728"/>
      <c r="AJ789" s="682"/>
      <c r="AK789" s="683"/>
      <c r="AL789" s="664" t="s">
        <v>162</v>
      </c>
      <c r="AM789" s="665"/>
      <c r="AN789" s="713" t="s">
        <v>162</v>
      </c>
      <c r="AO789" s="714"/>
      <c r="AP789" s="729"/>
      <c r="AQ789" s="730"/>
      <c r="AR789" s="731"/>
      <c r="AS789" s="732"/>
      <c r="AT789" s="733"/>
      <c r="AU789" s="734"/>
      <c r="AV789" s="713" t="s">
        <v>162</v>
      </c>
      <c r="AW789" s="714"/>
      <c r="AX789" s="692"/>
      <c r="AY789" s="693"/>
      <c r="AZ789" s="694"/>
      <c r="BA789" s="735"/>
      <c r="BB789" s="736"/>
      <c r="BC789" s="219"/>
      <c r="BD789" s="737" t="s">
        <v>162</v>
      </c>
      <c r="BE789" s="738"/>
      <c r="BF789" s="739"/>
      <c r="BG789" s="740"/>
      <c r="BH789" s="740"/>
      <c r="BI789" s="741"/>
      <c r="BJ789" s="742" t="s">
        <v>159</v>
      </c>
      <c r="BK789" s="743"/>
      <c r="BL789" s="743"/>
      <c r="BM789" s="744"/>
      <c r="BN789" s="703" t="s">
        <v>159</v>
      </c>
      <c r="BO789" s="704"/>
      <c r="BP789" s="704"/>
      <c r="BQ789" s="704"/>
      <c r="BR789" s="704"/>
      <c r="BS789" s="704"/>
      <c r="BT789" s="704"/>
      <c r="BU789" s="704"/>
      <c r="BV789" s="705"/>
    </row>
    <row r="790" spans="1:74" ht="45" customHeight="1" x14ac:dyDescent="0.25">
      <c r="A790" s="10">
        <f t="shared" si="12"/>
        <v>776</v>
      </c>
      <c r="B790" s="662" t="s">
        <v>159</v>
      </c>
      <c r="C790" s="662"/>
      <c r="D790" s="663" t="s">
        <v>212</v>
      </c>
      <c r="E790" s="663"/>
      <c r="F790" s="664" t="s">
        <v>162</v>
      </c>
      <c r="G790" s="665"/>
      <c r="H790" s="754" t="s">
        <v>162</v>
      </c>
      <c r="I790" s="714"/>
      <c r="J790" s="715"/>
      <c r="K790" s="716"/>
      <c r="L790" s="715"/>
      <c r="M790" s="716"/>
      <c r="N790" s="194"/>
      <c r="O790" s="196"/>
      <c r="P790" s="717"/>
      <c r="Q790" s="718"/>
      <c r="R790" s="672"/>
      <c r="S790" s="673"/>
      <c r="T790" s="674"/>
      <c r="U790" s="675"/>
      <c r="V790" s="676"/>
      <c r="W790" s="677"/>
      <c r="X790" s="678" t="s">
        <v>159</v>
      </c>
      <c r="Y790" s="678"/>
      <c r="Z790" s="678"/>
      <c r="AA790" s="678"/>
      <c r="AB790" s="679" t="s">
        <v>159</v>
      </c>
      <c r="AC790" s="679"/>
      <c r="AD790" s="679"/>
      <c r="AE790" s="679"/>
      <c r="AF790" s="680"/>
      <c r="AG790" s="681"/>
      <c r="AH790" s="680"/>
      <c r="AI790" s="681"/>
      <c r="AJ790" s="682"/>
      <c r="AK790" s="683"/>
      <c r="AL790" s="684" t="s">
        <v>162</v>
      </c>
      <c r="AM790" s="685"/>
      <c r="AN790" s="666" t="s">
        <v>162</v>
      </c>
      <c r="AO790" s="667"/>
      <c r="AP790" s="686"/>
      <c r="AQ790" s="687"/>
      <c r="AR790" s="688"/>
      <c r="AS790" s="689"/>
      <c r="AT790" s="690"/>
      <c r="AU790" s="691"/>
      <c r="AV790" s="666" t="s">
        <v>162</v>
      </c>
      <c r="AW790" s="667"/>
      <c r="AX790" s="692"/>
      <c r="AY790" s="693"/>
      <c r="AZ790" s="694"/>
      <c r="BA790" s="682"/>
      <c r="BB790" s="683"/>
      <c r="BC790" s="14"/>
      <c r="BD790" s="695" t="s">
        <v>162</v>
      </c>
      <c r="BE790" s="696"/>
      <c r="BF790" s="708"/>
      <c r="BG790" s="709"/>
      <c r="BH790" s="709"/>
      <c r="BI790" s="710"/>
      <c r="BJ790" s="700" t="s">
        <v>159</v>
      </c>
      <c r="BK790" s="701"/>
      <c r="BL790" s="701"/>
      <c r="BM790" s="702"/>
      <c r="BN790" s="703" t="s">
        <v>159</v>
      </c>
      <c r="BO790" s="704"/>
      <c r="BP790" s="704"/>
      <c r="BQ790" s="704"/>
      <c r="BR790" s="704"/>
      <c r="BS790" s="704"/>
      <c r="BT790" s="704"/>
      <c r="BU790" s="704"/>
      <c r="BV790" s="705"/>
    </row>
    <row r="791" spans="1:74" ht="45" customHeight="1" x14ac:dyDescent="0.25">
      <c r="A791" s="10">
        <f t="shared" si="12"/>
        <v>777</v>
      </c>
      <c r="B791" s="711" t="s">
        <v>159</v>
      </c>
      <c r="C791" s="711"/>
      <c r="D791" s="712" t="s">
        <v>212</v>
      </c>
      <c r="E791" s="712"/>
      <c r="F791" s="664" t="s">
        <v>162</v>
      </c>
      <c r="G791" s="665"/>
      <c r="H791" s="755" t="s">
        <v>162</v>
      </c>
      <c r="I791" s="667"/>
      <c r="J791" s="706"/>
      <c r="K791" s="707"/>
      <c r="L791" s="706"/>
      <c r="M791" s="707"/>
      <c r="N791" s="215"/>
      <c r="O791" s="216"/>
      <c r="P791" s="670"/>
      <c r="Q791" s="671"/>
      <c r="R791" s="719"/>
      <c r="S791" s="720"/>
      <c r="T791" s="721"/>
      <c r="U791" s="722"/>
      <c r="V791" s="723"/>
      <c r="W791" s="724"/>
      <c r="X791" s="725" t="s">
        <v>159</v>
      </c>
      <c r="Y791" s="725"/>
      <c r="Z791" s="725"/>
      <c r="AA791" s="725"/>
      <c r="AB791" s="726" t="s">
        <v>159</v>
      </c>
      <c r="AC791" s="726"/>
      <c r="AD791" s="726"/>
      <c r="AE791" s="726"/>
      <c r="AF791" s="727"/>
      <c r="AG791" s="728"/>
      <c r="AH791" s="727"/>
      <c r="AI791" s="728"/>
      <c r="AJ791" s="682"/>
      <c r="AK791" s="683"/>
      <c r="AL791" s="664" t="s">
        <v>162</v>
      </c>
      <c r="AM791" s="665"/>
      <c r="AN791" s="713" t="s">
        <v>162</v>
      </c>
      <c r="AO791" s="714"/>
      <c r="AP791" s="729"/>
      <c r="AQ791" s="730"/>
      <c r="AR791" s="731"/>
      <c r="AS791" s="732"/>
      <c r="AT791" s="733"/>
      <c r="AU791" s="734"/>
      <c r="AV791" s="713" t="s">
        <v>162</v>
      </c>
      <c r="AW791" s="714"/>
      <c r="AX791" s="692"/>
      <c r="AY791" s="693"/>
      <c r="AZ791" s="694"/>
      <c r="BA791" s="735"/>
      <c r="BB791" s="736"/>
      <c r="BC791" s="219"/>
      <c r="BD791" s="737" t="s">
        <v>162</v>
      </c>
      <c r="BE791" s="738"/>
      <c r="BF791" s="739"/>
      <c r="BG791" s="740"/>
      <c r="BH791" s="740"/>
      <c r="BI791" s="741"/>
      <c r="BJ791" s="742" t="s">
        <v>159</v>
      </c>
      <c r="BK791" s="743"/>
      <c r="BL791" s="743"/>
      <c r="BM791" s="744"/>
      <c r="BN791" s="703" t="s">
        <v>159</v>
      </c>
      <c r="BO791" s="704"/>
      <c r="BP791" s="704"/>
      <c r="BQ791" s="704"/>
      <c r="BR791" s="704"/>
      <c r="BS791" s="704"/>
      <c r="BT791" s="704"/>
      <c r="BU791" s="704"/>
      <c r="BV791" s="705"/>
    </row>
    <row r="792" spans="1:74" ht="45" customHeight="1" x14ac:dyDescent="0.25">
      <c r="A792" s="10">
        <f t="shared" si="12"/>
        <v>778</v>
      </c>
      <c r="B792" s="662" t="s">
        <v>159</v>
      </c>
      <c r="C792" s="662"/>
      <c r="D792" s="663" t="s">
        <v>212</v>
      </c>
      <c r="E792" s="663"/>
      <c r="F792" s="664" t="s">
        <v>162</v>
      </c>
      <c r="G792" s="665"/>
      <c r="H792" s="754" t="s">
        <v>162</v>
      </c>
      <c r="I792" s="714"/>
      <c r="J792" s="715"/>
      <c r="K792" s="716"/>
      <c r="L792" s="715"/>
      <c r="M792" s="716"/>
      <c r="N792" s="194"/>
      <c r="O792" s="196"/>
      <c r="P792" s="717"/>
      <c r="Q792" s="718"/>
      <c r="R792" s="672"/>
      <c r="S792" s="673"/>
      <c r="T792" s="674"/>
      <c r="U792" s="675"/>
      <c r="V792" s="676"/>
      <c r="W792" s="677"/>
      <c r="X792" s="678" t="s">
        <v>159</v>
      </c>
      <c r="Y792" s="678"/>
      <c r="Z792" s="678"/>
      <c r="AA792" s="678"/>
      <c r="AB792" s="679" t="s">
        <v>159</v>
      </c>
      <c r="AC792" s="679"/>
      <c r="AD792" s="679"/>
      <c r="AE792" s="679"/>
      <c r="AF792" s="680"/>
      <c r="AG792" s="681"/>
      <c r="AH792" s="680"/>
      <c r="AI792" s="681"/>
      <c r="AJ792" s="682"/>
      <c r="AK792" s="683"/>
      <c r="AL792" s="684" t="s">
        <v>162</v>
      </c>
      <c r="AM792" s="685"/>
      <c r="AN792" s="666" t="s">
        <v>162</v>
      </c>
      <c r="AO792" s="667"/>
      <c r="AP792" s="686"/>
      <c r="AQ792" s="687"/>
      <c r="AR792" s="688"/>
      <c r="AS792" s="689"/>
      <c r="AT792" s="690"/>
      <c r="AU792" s="691"/>
      <c r="AV792" s="666" t="s">
        <v>162</v>
      </c>
      <c r="AW792" s="667"/>
      <c r="AX792" s="692"/>
      <c r="AY792" s="693"/>
      <c r="AZ792" s="694"/>
      <c r="BA792" s="682"/>
      <c r="BB792" s="683"/>
      <c r="BC792" s="14"/>
      <c r="BD792" s="695" t="s">
        <v>162</v>
      </c>
      <c r="BE792" s="696"/>
      <c r="BF792" s="697"/>
      <c r="BG792" s="698"/>
      <c r="BH792" s="698"/>
      <c r="BI792" s="699"/>
      <c r="BJ792" s="700" t="s">
        <v>159</v>
      </c>
      <c r="BK792" s="701"/>
      <c r="BL792" s="701"/>
      <c r="BM792" s="702"/>
      <c r="BN792" s="703" t="s">
        <v>159</v>
      </c>
      <c r="BO792" s="704"/>
      <c r="BP792" s="704"/>
      <c r="BQ792" s="704"/>
      <c r="BR792" s="704"/>
      <c r="BS792" s="704"/>
      <c r="BT792" s="704"/>
      <c r="BU792" s="704"/>
      <c r="BV792" s="705"/>
    </row>
    <row r="793" spans="1:74" ht="45" customHeight="1" x14ac:dyDescent="0.25">
      <c r="A793" s="10">
        <f t="shared" si="12"/>
        <v>779</v>
      </c>
      <c r="B793" s="711" t="s">
        <v>159</v>
      </c>
      <c r="C793" s="711"/>
      <c r="D793" s="712" t="s">
        <v>212</v>
      </c>
      <c r="E793" s="712"/>
      <c r="F793" s="664" t="s">
        <v>162</v>
      </c>
      <c r="G793" s="665"/>
      <c r="H793" s="755" t="s">
        <v>162</v>
      </c>
      <c r="I793" s="667"/>
      <c r="J793" s="706"/>
      <c r="K793" s="707"/>
      <c r="L793" s="706"/>
      <c r="M793" s="707"/>
      <c r="N793" s="194"/>
      <c r="O793" s="196"/>
      <c r="P793" s="717"/>
      <c r="Q793" s="718"/>
      <c r="R793" s="719"/>
      <c r="S793" s="720"/>
      <c r="T793" s="721"/>
      <c r="U793" s="722"/>
      <c r="V793" s="723"/>
      <c r="W793" s="724"/>
      <c r="X793" s="725" t="s">
        <v>159</v>
      </c>
      <c r="Y793" s="725"/>
      <c r="Z793" s="725"/>
      <c r="AA793" s="725"/>
      <c r="AB793" s="726" t="s">
        <v>159</v>
      </c>
      <c r="AC793" s="726"/>
      <c r="AD793" s="726"/>
      <c r="AE793" s="726"/>
      <c r="AF793" s="727"/>
      <c r="AG793" s="728"/>
      <c r="AH793" s="727"/>
      <c r="AI793" s="728"/>
      <c r="AJ793" s="682"/>
      <c r="AK793" s="683"/>
      <c r="AL793" s="664" t="s">
        <v>162</v>
      </c>
      <c r="AM793" s="665"/>
      <c r="AN793" s="713" t="s">
        <v>162</v>
      </c>
      <c r="AO793" s="714"/>
      <c r="AP793" s="729"/>
      <c r="AQ793" s="730"/>
      <c r="AR793" s="731"/>
      <c r="AS793" s="732"/>
      <c r="AT793" s="690"/>
      <c r="AU793" s="691"/>
      <c r="AV793" s="713" t="s">
        <v>162</v>
      </c>
      <c r="AW793" s="714"/>
      <c r="AX793" s="692"/>
      <c r="AY793" s="693"/>
      <c r="AZ793" s="694"/>
      <c r="BA793" s="735"/>
      <c r="BB793" s="736"/>
      <c r="BC793" s="219"/>
      <c r="BD793" s="737" t="s">
        <v>162</v>
      </c>
      <c r="BE793" s="738"/>
      <c r="BF793" s="739"/>
      <c r="BG793" s="740"/>
      <c r="BH793" s="740"/>
      <c r="BI793" s="741"/>
      <c r="BJ793" s="742" t="s">
        <v>159</v>
      </c>
      <c r="BK793" s="743"/>
      <c r="BL793" s="743"/>
      <c r="BM793" s="744"/>
      <c r="BN793" s="703" t="s">
        <v>159</v>
      </c>
      <c r="BO793" s="704"/>
      <c r="BP793" s="704"/>
      <c r="BQ793" s="704"/>
      <c r="BR793" s="704"/>
      <c r="BS793" s="704"/>
      <c r="BT793" s="704"/>
      <c r="BU793" s="704"/>
      <c r="BV793" s="705"/>
    </row>
    <row r="794" spans="1:74" ht="45" customHeight="1" x14ac:dyDescent="0.25">
      <c r="A794" s="10">
        <f t="shared" si="12"/>
        <v>780</v>
      </c>
      <c r="B794" s="662" t="s">
        <v>159</v>
      </c>
      <c r="C794" s="662"/>
      <c r="D794" s="663" t="s">
        <v>212</v>
      </c>
      <c r="E794" s="663"/>
      <c r="F794" s="664" t="s">
        <v>162</v>
      </c>
      <c r="G794" s="665"/>
      <c r="H794" s="754" t="s">
        <v>162</v>
      </c>
      <c r="I794" s="714"/>
      <c r="J794" s="715"/>
      <c r="K794" s="716"/>
      <c r="L794" s="715"/>
      <c r="M794" s="716"/>
      <c r="N794" s="215"/>
      <c r="O794" s="216"/>
      <c r="P794" s="670"/>
      <c r="Q794" s="671"/>
      <c r="R794" s="672"/>
      <c r="S794" s="673"/>
      <c r="T794" s="674"/>
      <c r="U794" s="675"/>
      <c r="V794" s="676"/>
      <c r="W794" s="677"/>
      <c r="X794" s="678" t="s">
        <v>159</v>
      </c>
      <c r="Y794" s="678"/>
      <c r="Z794" s="678"/>
      <c r="AA794" s="678"/>
      <c r="AB794" s="679" t="s">
        <v>159</v>
      </c>
      <c r="AC794" s="679"/>
      <c r="AD794" s="679"/>
      <c r="AE794" s="679"/>
      <c r="AF794" s="680"/>
      <c r="AG794" s="681"/>
      <c r="AH794" s="680"/>
      <c r="AI794" s="681"/>
      <c r="AJ794" s="682"/>
      <c r="AK794" s="683"/>
      <c r="AL794" s="684" t="s">
        <v>162</v>
      </c>
      <c r="AM794" s="685"/>
      <c r="AN794" s="666" t="s">
        <v>162</v>
      </c>
      <c r="AO794" s="667"/>
      <c r="AP794" s="686"/>
      <c r="AQ794" s="687"/>
      <c r="AR794" s="688"/>
      <c r="AS794" s="689"/>
      <c r="AT794" s="690"/>
      <c r="AU794" s="691"/>
      <c r="AV794" s="666" t="s">
        <v>162</v>
      </c>
      <c r="AW794" s="667"/>
      <c r="AX794" s="692"/>
      <c r="AY794" s="693"/>
      <c r="AZ794" s="694"/>
      <c r="BA794" s="682"/>
      <c r="BB794" s="683"/>
      <c r="BC794" s="14"/>
      <c r="BD794" s="695" t="s">
        <v>162</v>
      </c>
      <c r="BE794" s="696"/>
      <c r="BF794" s="697"/>
      <c r="BG794" s="698"/>
      <c r="BH794" s="698"/>
      <c r="BI794" s="699"/>
      <c r="BJ794" s="700" t="s">
        <v>159</v>
      </c>
      <c r="BK794" s="701"/>
      <c r="BL794" s="701"/>
      <c r="BM794" s="702"/>
      <c r="BN794" s="703" t="s">
        <v>159</v>
      </c>
      <c r="BO794" s="704"/>
      <c r="BP794" s="704"/>
      <c r="BQ794" s="704"/>
      <c r="BR794" s="704"/>
      <c r="BS794" s="704"/>
      <c r="BT794" s="704"/>
      <c r="BU794" s="704"/>
      <c r="BV794" s="705"/>
    </row>
    <row r="795" spans="1:74" ht="45" customHeight="1" x14ac:dyDescent="0.25">
      <c r="A795" s="10">
        <f t="shared" si="12"/>
        <v>781</v>
      </c>
      <c r="B795" s="711" t="s">
        <v>159</v>
      </c>
      <c r="C795" s="711"/>
      <c r="D795" s="712" t="s">
        <v>212</v>
      </c>
      <c r="E795" s="712"/>
      <c r="F795" s="664" t="s">
        <v>162</v>
      </c>
      <c r="G795" s="665"/>
      <c r="H795" s="755" t="s">
        <v>162</v>
      </c>
      <c r="I795" s="667"/>
      <c r="J795" s="706"/>
      <c r="K795" s="707"/>
      <c r="L795" s="706"/>
      <c r="M795" s="707"/>
      <c r="N795" s="194"/>
      <c r="O795" s="196"/>
      <c r="P795" s="717"/>
      <c r="Q795" s="718"/>
      <c r="R795" s="719"/>
      <c r="S795" s="720"/>
      <c r="T795" s="721"/>
      <c r="U795" s="722"/>
      <c r="V795" s="723"/>
      <c r="W795" s="724"/>
      <c r="X795" s="725" t="s">
        <v>159</v>
      </c>
      <c r="Y795" s="725"/>
      <c r="Z795" s="725"/>
      <c r="AA795" s="725"/>
      <c r="AB795" s="726" t="s">
        <v>159</v>
      </c>
      <c r="AC795" s="726"/>
      <c r="AD795" s="726"/>
      <c r="AE795" s="726"/>
      <c r="AF795" s="727"/>
      <c r="AG795" s="728"/>
      <c r="AH795" s="727"/>
      <c r="AI795" s="728"/>
      <c r="AJ795" s="682"/>
      <c r="AK795" s="683"/>
      <c r="AL795" s="664" t="s">
        <v>162</v>
      </c>
      <c r="AM795" s="665"/>
      <c r="AN795" s="713" t="s">
        <v>162</v>
      </c>
      <c r="AO795" s="714"/>
      <c r="AP795" s="729"/>
      <c r="AQ795" s="730"/>
      <c r="AR795" s="731"/>
      <c r="AS795" s="732"/>
      <c r="AT795" s="690"/>
      <c r="AU795" s="691"/>
      <c r="AV795" s="713" t="s">
        <v>162</v>
      </c>
      <c r="AW795" s="714"/>
      <c r="AX795" s="692"/>
      <c r="AY795" s="693"/>
      <c r="AZ795" s="694"/>
      <c r="BA795" s="735"/>
      <c r="BB795" s="736"/>
      <c r="BC795" s="219"/>
      <c r="BD795" s="737" t="s">
        <v>162</v>
      </c>
      <c r="BE795" s="738"/>
      <c r="BF795" s="739"/>
      <c r="BG795" s="740"/>
      <c r="BH795" s="740"/>
      <c r="BI795" s="741"/>
      <c r="BJ795" s="742" t="s">
        <v>159</v>
      </c>
      <c r="BK795" s="743"/>
      <c r="BL795" s="743"/>
      <c r="BM795" s="744"/>
      <c r="BN795" s="703" t="s">
        <v>159</v>
      </c>
      <c r="BO795" s="704"/>
      <c r="BP795" s="704"/>
      <c r="BQ795" s="704"/>
      <c r="BR795" s="704"/>
      <c r="BS795" s="704"/>
      <c r="BT795" s="704"/>
      <c r="BU795" s="704"/>
      <c r="BV795" s="705"/>
    </row>
    <row r="796" spans="1:74" ht="45" customHeight="1" x14ac:dyDescent="0.25">
      <c r="A796" s="10">
        <f t="shared" si="12"/>
        <v>782</v>
      </c>
      <c r="B796" s="662" t="s">
        <v>159</v>
      </c>
      <c r="C796" s="662"/>
      <c r="D796" s="663" t="s">
        <v>212</v>
      </c>
      <c r="E796" s="663"/>
      <c r="F796" s="664" t="s">
        <v>162</v>
      </c>
      <c r="G796" s="665"/>
      <c r="H796" s="754" t="s">
        <v>162</v>
      </c>
      <c r="I796" s="714"/>
      <c r="J796" s="715"/>
      <c r="K796" s="716"/>
      <c r="L796" s="715"/>
      <c r="M796" s="716"/>
      <c r="N796" s="215"/>
      <c r="O796" s="216"/>
      <c r="P796" s="670"/>
      <c r="Q796" s="671"/>
      <c r="R796" s="672"/>
      <c r="S796" s="673"/>
      <c r="T796" s="674"/>
      <c r="U796" s="675"/>
      <c r="V796" s="676"/>
      <c r="W796" s="677"/>
      <c r="X796" s="678" t="s">
        <v>159</v>
      </c>
      <c r="Y796" s="678"/>
      <c r="Z796" s="678"/>
      <c r="AA796" s="678"/>
      <c r="AB796" s="679" t="s">
        <v>159</v>
      </c>
      <c r="AC796" s="679"/>
      <c r="AD796" s="679"/>
      <c r="AE796" s="679"/>
      <c r="AF796" s="680"/>
      <c r="AG796" s="681"/>
      <c r="AH796" s="680"/>
      <c r="AI796" s="681"/>
      <c r="AJ796" s="682"/>
      <c r="AK796" s="683"/>
      <c r="AL796" s="684" t="s">
        <v>162</v>
      </c>
      <c r="AM796" s="685"/>
      <c r="AN796" s="666" t="s">
        <v>162</v>
      </c>
      <c r="AO796" s="667"/>
      <c r="AP796" s="686"/>
      <c r="AQ796" s="687"/>
      <c r="AR796" s="688"/>
      <c r="AS796" s="689"/>
      <c r="AT796" s="690"/>
      <c r="AU796" s="691"/>
      <c r="AV796" s="666" t="s">
        <v>162</v>
      </c>
      <c r="AW796" s="667"/>
      <c r="AX796" s="692"/>
      <c r="AY796" s="693"/>
      <c r="AZ796" s="694"/>
      <c r="BA796" s="682"/>
      <c r="BB796" s="683"/>
      <c r="BC796" s="14"/>
      <c r="BD796" s="695" t="s">
        <v>162</v>
      </c>
      <c r="BE796" s="696"/>
      <c r="BF796" s="697"/>
      <c r="BG796" s="698"/>
      <c r="BH796" s="698"/>
      <c r="BI796" s="699"/>
      <c r="BJ796" s="700" t="s">
        <v>159</v>
      </c>
      <c r="BK796" s="701"/>
      <c r="BL796" s="701"/>
      <c r="BM796" s="702"/>
      <c r="BN796" s="703" t="s">
        <v>159</v>
      </c>
      <c r="BO796" s="704"/>
      <c r="BP796" s="704"/>
      <c r="BQ796" s="704"/>
      <c r="BR796" s="704"/>
      <c r="BS796" s="704"/>
      <c r="BT796" s="704"/>
      <c r="BU796" s="704"/>
      <c r="BV796" s="705"/>
    </row>
    <row r="797" spans="1:74" ht="45" customHeight="1" x14ac:dyDescent="0.25">
      <c r="A797" s="10">
        <f t="shared" si="12"/>
        <v>783</v>
      </c>
      <c r="B797" s="711" t="s">
        <v>159</v>
      </c>
      <c r="C797" s="711"/>
      <c r="D797" s="712" t="s">
        <v>212</v>
      </c>
      <c r="E797" s="712"/>
      <c r="F797" s="664" t="s">
        <v>162</v>
      </c>
      <c r="G797" s="665"/>
      <c r="H797" s="755" t="s">
        <v>162</v>
      </c>
      <c r="I797" s="667"/>
      <c r="J797" s="706"/>
      <c r="K797" s="707"/>
      <c r="L797" s="706"/>
      <c r="M797" s="707"/>
      <c r="N797" s="194"/>
      <c r="O797" s="216"/>
      <c r="P797" s="717"/>
      <c r="Q797" s="718"/>
      <c r="R797" s="719"/>
      <c r="S797" s="720"/>
      <c r="T797" s="721"/>
      <c r="U797" s="722"/>
      <c r="V797" s="723"/>
      <c r="W797" s="724"/>
      <c r="X797" s="725" t="s">
        <v>159</v>
      </c>
      <c r="Y797" s="725"/>
      <c r="Z797" s="725"/>
      <c r="AA797" s="725"/>
      <c r="AB797" s="726" t="s">
        <v>159</v>
      </c>
      <c r="AC797" s="726"/>
      <c r="AD797" s="726"/>
      <c r="AE797" s="726"/>
      <c r="AF797" s="727"/>
      <c r="AG797" s="728"/>
      <c r="AH797" s="727"/>
      <c r="AI797" s="728"/>
      <c r="AJ797" s="682"/>
      <c r="AK797" s="683"/>
      <c r="AL797" s="664" t="s">
        <v>162</v>
      </c>
      <c r="AM797" s="665"/>
      <c r="AN797" s="713" t="s">
        <v>162</v>
      </c>
      <c r="AO797" s="714"/>
      <c r="AP797" s="729"/>
      <c r="AQ797" s="730"/>
      <c r="AR797" s="731"/>
      <c r="AS797" s="732"/>
      <c r="AT797" s="733"/>
      <c r="AU797" s="734"/>
      <c r="AV797" s="713" t="s">
        <v>162</v>
      </c>
      <c r="AW797" s="714"/>
      <c r="AX797" s="692"/>
      <c r="AY797" s="693"/>
      <c r="AZ797" s="694"/>
      <c r="BA797" s="735"/>
      <c r="BB797" s="736"/>
      <c r="BC797" s="219"/>
      <c r="BD797" s="737" t="s">
        <v>162</v>
      </c>
      <c r="BE797" s="738"/>
      <c r="BF797" s="739"/>
      <c r="BG797" s="740"/>
      <c r="BH797" s="740"/>
      <c r="BI797" s="741"/>
      <c r="BJ797" s="742" t="s">
        <v>159</v>
      </c>
      <c r="BK797" s="743"/>
      <c r="BL797" s="743"/>
      <c r="BM797" s="744"/>
      <c r="BN797" s="703" t="s">
        <v>159</v>
      </c>
      <c r="BO797" s="704"/>
      <c r="BP797" s="704"/>
      <c r="BQ797" s="704"/>
      <c r="BR797" s="704"/>
      <c r="BS797" s="704"/>
      <c r="BT797" s="704"/>
      <c r="BU797" s="704"/>
      <c r="BV797" s="705"/>
    </row>
    <row r="798" spans="1:74" ht="45" customHeight="1" x14ac:dyDescent="0.25">
      <c r="A798" s="10">
        <f t="shared" si="12"/>
        <v>784</v>
      </c>
      <c r="B798" s="662" t="s">
        <v>159</v>
      </c>
      <c r="C798" s="662"/>
      <c r="D798" s="663" t="s">
        <v>212</v>
      </c>
      <c r="E798" s="663"/>
      <c r="F798" s="664" t="s">
        <v>162</v>
      </c>
      <c r="G798" s="665"/>
      <c r="H798" s="754" t="s">
        <v>162</v>
      </c>
      <c r="I798" s="714"/>
      <c r="J798" s="715"/>
      <c r="K798" s="716"/>
      <c r="L798" s="715"/>
      <c r="M798" s="716"/>
      <c r="N798" s="215"/>
      <c r="O798" s="196"/>
      <c r="P798" s="670"/>
      <c r="Q798" s="671"/>
      <c r="R798" s="672"/>
      <c r="S798" s="673"/>
      <c r="T798" s="674"/>
      <c r="U798" s="675"/>
      <c r="V798" s="676"/>
      <c r="W798" s="677"/>
      <c r="X798" s="678" t="s">
        <v>159</v>
      </c>
      <c r="Y798" s="678"/>
      <c r="Z798" s="678"/>
      <c r="AA798" s="678"/>
      <c r="AB798" s="679" t="s">
        <v>159</v>
      </c>
      <c r="AC798" s="679"/>
      <c r="AD798" s="679"/>
      <c r="AE798" s="679"/>
      <c r="AF798" s="680"/>
      <c r="AG798" s="681"/>
      <c r="AH798" s="680"/>
      <c r="AI798" s="681"/>
      <c r="AJ798" s="682"/>
      <c r="AK798" s="683"/>
      <c r="AL798" s="684" t="s">
        <v>162</v>
      </c>
      <c r="AM798" s="685"/>
      <c r="AN798" s="666" t="s">
        <v>162</v>
      </c>
      <c r="AO798" s="667"/>
      <c r="AP798" s="686"/>
      <c r="AQ798" s="687"/>
      <c r="AR798" s="688"/>
      <c r="AS798" s="689"/>
      <c r="AT798" s="690"/>
      <c r="AU798" s="691"/>
      <c r="AV798" s="666" t="s">
        <v>162</v>
      </c>
      <c r="AW798" s="667"/>
      <c r="AX798" s="692"/>
      <c r="AY798" s="693"/>
      <c r="AZ798" s="694"/>
      <c r="BA798" s="682"/>
      <c r="BB798" s="683"/>
      <c r="BC798" s="14"/>
      <c r="BD798" s="695" t="s">
        <v>162</v>
      </c>
      <c r="BE798" s="696"/>
      <c r="BF798" s="708"/>
      <c r="BG798" s="709"/>
      <c r="BH798" s="709"/>
      <c r="BI798" s="710"/>
      <c r="BJ798" s="700" t="s">
        <v>159</v>
      </c>
      <c r="BK798" s="701"/>
      <c r="BL798" s="701"/>
      <c r="BM798" s="702"/>
      <c r="BN798" s="703" t="s">
        <v>159</v>
      </c>
      <c r="BO798" s="704"/>
      <c r="BP798" s="704"/>
      <c r="BQ798" s="704"/>
      <c r="BR798" s="704"/>
      <c r="BS798" s="704"/>
      <c r="BT798" s="704"/>
      <c r="BU798" s="704"/>
      <c r="BV798" s="705"/>
    </row>
    <row r="799" spans="1:74" ht="45" customHeight="1" x14ac:dyDescent="0.25">
      <c r="A799" s="10">
        <f t="shared" si="12"/>
        <v>785</v>
      </c>
      <c r="B799" s="711" t="s">
        <v>159</v>
      </c>
      <c r="C799" s="711"/>
      <c r="D799" s="712" t="s">
        <v>212</v>
      </c>
      <c r="E799" s="712"/>
      <c r="F799" s="664" t="s">
        <v>162</v>
      </c>
      <c r="G799" s="665"/>
      <c r="H799" s="755" t="s">
        <v>162</v>
      </c>
      <c r="I799" s="667"/>
      <c r="J799" s="706"/>
      <c r="K799" s="707"/>
      <c r="L799" s="706"/>
      <c r="M799" s="707"/>
      <c r="N799" s="194"/>
      <c r="O799" s="216"/>
      <c r="P799" s="717"/>
      <c r="Q799" s="718"/>
      <c r="R799" s="719"/>
      <c r="S799" s="720"/>
      <c r="T799" s="721"/>
      <c r="U799" s="722"/>
      <c r="V799" s="723"/>
      <c r="W799" s="724"/>
      <c r="X799" s="725" t="s">
        <v>159</v>
      </c>
      <c r="Y799" s="725"/>
      <c r="Z799" s="725"/>
      <c r="AA799" s="725"/>
      <c r="AB799" s="726" t="s">
        <v>159</v>
      </c>
      <c r="AC799" s="726"/>
      <c r="AD799" s="726"/>
      <c r="AE799" s="726"/>
      <c r="AF799" s="727"/>
      <c r="AG799" s="728"/>
      <c r="AH799" s="727"/>
      <c r="AI799" s="728"/>
      <c r="AJ799" s="682"/>
      <c r="AK799" s="683"/>
      <c r="AL799" s="664" t="s">
        <v>162</v>
      </c>
      <c r="AM799" s="665"/>
      <c r="AN799" s="713" t="s">
        <v>162</v>
      </c>
      <c r="AO799" s="714"/>
      <c r="AP799" s="729"/>
      <c r="AQ799" s="730"/>
      <c r="AR799" s="731"/>
      <c r="AS799" s="732"/>
      <c r="AT799" s="733"/>
      <c r="AU799" s="734"/>
      <c r="AV799" s="713" t="s">
        <v>162</v>
      </c>
      <c r="AW799" s="714"/>
      <c r="AX799" s="692"/>
      <c r="AY799" s="693"/>
      <c r="AZ799" s="694"/>
      <c r="BA799" s="735"/>
      <c r="BB799" s="736"/>
      <c r="BC799" s="219"/>
      <c r="BD799" s="737" t="s">
        <v>162</v>
      </c>
      <c r="BE799" s="738"/>
      <c r="BF799" s="739"/>
      <c r="BG799" s="740"/>
      <c r="BH799" s="740"/>
      <c r="BI799" s="741"/>
      <c r="BJ799" s="742" t="s">
        <v>159</v>
      </c>
      <c r="BK799" s="743"/>
      <c r="BL799" s="743"/>
      <c r="BM799" s="744"/>
      <c r="BN799" s="703" t="s">
        <v>159</v>
      </c>
      <c r="BO799" s="704"/>
      <c r="BP799" s="704"/>
      <c r="BQ799" s="704"/>
      <c r="BR799" s="704"/>
      <c r="BS799" s="704"/>
      <c r="BT799" s="704"/>
      <c r="BU799" s="704"/>
      <c r="BV799" s="705"/>
    </row>
    <row r="800" spans="1:74" ht="45" customHeight="1" x14ac:dyDescent="0.25">
      <c r="A800" s="10">
        <f t="shared" si="12"/>
        <v>786</v>
      </c>
      <c r="B800" s="662" t="s">
        <v>159</v>
      </c>
      <c r="C800" s="662"/>
      <c r="D800" s="663" t="s">
        <v>212</v>
      </c>
      <c r="E800" s="663"/>
      <c r="F800" s="664" t="s">
        <v>162</v>
      </c>
      <c r="G800" s="665"/>
      <c r="H800" s="754" t="s">
        <v>162</v>
      </c>
      <c r="I800" s="714"/>
      <c r="J800" s="715"/>
      <c r="K800" s="716"/>
      <c r="L800" s="715"/>
      <c r="M800" s="716"/>
      <c r="N800" s="215"/>
      <c r="O800" s="196"/>
      <c r="P800" s="670"/>
      <c r="Q800" s="671"/>
      <c r="R800" s="672"/>
      <c r="S800" s="673"/>
      <c r="T800" s="674"/>
      <c r="U800" s="675"/>
      <c r="V800" s="676"/>
      <c r="W800" s="677"/>
      <c r="X800" s="678" t="s">
        <v>159</v>
      </c>
      <c r="Y800" s="678"/>
      <c r="Z800" s="678"/>
      <c r="AA800" s="678"/>
      <c r="AB800" s="679" t="s">
        <v>159</v>
      </c>
      <c r="AC800" s="679"/>
      <c r="AD800" s="679"/>
      <c r="AE800" s="679"/>
      <c r="AF800" s="680"/>
      <c r="AG800" s="681"/>
      <c r="AH800" s="680"/>
      <c r="AI800" s="681"/>
      <c r="AJ800" s="682"/>
      <c r="AK800" s="683"/>
      <c r="AL800" s="684" t="s">
        <v>162</v>
      </c>
      <c r="AM800" s="685"/>
      <c r="AN800" s="666" t="s">
        <v>162</v>
      </c>
      <c r="AO800" s="667"/>
      <c r="AP800" s="686"/>
      <c r="AQ800" s="687"/>
      <c r="AR800" s="688"/>
      <c r="AS800" s="689"/>
      <c r="AT800" s="690"/>
      <c r="AU800" s="691"/>
      <c r="AV800" s="666" t="s">
        <v>162</v>
      </c>
      <c r="AW800" s="667"/>
      <c r="AX800" s="692"/>
      <c r="AY800" s="693"/>
      <c r="AZ800" s="694"/>
      <c r="BA800" s="682"/>
      <c r="BB800" s="683"/>
      <c r="BC800" s="14"/>
      <c r="BD800" s="695" t="s">
        <v>162</v>
      </c>
      <c r="BE800" s="696"/>
      <c r="BF800" s="697"/>
      <c r="BG800" s="698"/>
      <c r="BH800" s="698"/>
      <c r="BI800" s="699"/>
      <c r="BJ800" s="700" t="s">
        <v>159</v>
      </c>
      <c r="BK800" s="701"/>
      <c r="BL800" s="701"/>
      <c r="BM800" s="702"/>
      <c r="BN800" s="703" t="s">
        <v>159</v>
      </c>
      <c r="BO800" s="704"/>
      <c r="BP800" s="704"/>
      <c r="BQ800" s="704"/>
      <c r="BR800" s="704"/>
      <c r="BS800" s="704"/>
      <c r="BT800" s="704"/>
      <c r="BU800" s="704"/>
      <c r="BV800" s="705"/>
    </row>
    <row r="801" spans="1:74" ht="45" customHeight="1" x14ac:dyDescent="0.25">
      <c r="A801" s="10">
        <f t="shared" si="12"/>
        <v>787</v>
      </c>
      <c r="B801" s="711" t="s">
        <v>159</v>
      </c>
      <c r="C801" s="711"/>
      <c r="D801" s="712" t="s">
        <v>212</v>
      </c>
      <c r="E801" s="712"/>
      <c r="F801" s="664" t="s">
        <v>162</v>
      </c>
      <c r="G801" s="665"/>
      <c r="H801" s="755" t="s">
        <v>162</v>
      </c>
      <c r="I801" s="667"/>
      <c r="J801" s="706"/>
      <c r="K801" s="707"/>
      <c r="L801" s="706"/>
      <c r="M801" s="707"/>
      <c r="N801" s="194"/>
      <c r="O801" s="216"/>
      <c r="P801" s="717"/>
      <c r="Q801" s="718"/>
      <c r="R801" s="719"/>
      <c r="S801" s="720"/>
      <c r="T801" s="721"/>
      <c r="U801" s="722"/>
      <c r="V801" s="723"/>
      <c r="W801" s="724"/>
      <c r="X801" s="725" t="s">
        <v>159</v>
      </c>
      <c r="Y801" s="725"/>
      <c r="Z801" s="725"/>
      <c r="AA801" s="725"/>
      <c r="AB801" s="726" t="s">
        <v>159</v>
      </c>
      <c r="AC801" s="726"/>
      <c r="AD801" s="726"/>
      <c r="AE801" s="726"/>
      <c r="AF801" s="727"/>
      <c r="AG801" s="728"/>
      <c r="AH801" s="727"/>
      <c r="AI801" s="728"/>
      <c r="AJ801" s="682"/>
      <c r="AK801" s="683"/>
      <c r="AL801" s="664" t="s">
        <v>162</v>
      </c>
      <c r="AM801" s="665"/>
      <c r="AN801" s="713" t="s">
        <v>162</v>
      </c>
      <c r="AO801" s="714"/>
      <c r="AP801" s="729"/>
      <c r="AQ801" s="730"/>
      <c r="AR801" s="731"/>
      <c r="AS801" s="732"/>
      <c r="AT801" s="733"/>
      <c r="AU801" s="734"/>
      <c r="AV801" s="713" t="s">
        <v>162</v>
      </c>
      <c r="AW801" s="714"/>
      <c r="AX801" s="692"/>
      <c r="AY801" s="693"/>
      <c r="AZ801" s="694"/>
      <c r="BA801" s="735"/>
      <c r="BB801" s="736"/>
      <c r="BC801" s="219"/>
      <c r="BD801" s="737" t="s">
        <v>162</v>
      </c>
      <c r="BE801" s="738"/>
      <c r="BF801" s="739"/>
      <c r="BG801" s="740"/>
      <c r="BH801" s="740"/>
      <c r="BI801" s="741"/>
      <c r="BJ801" s="742" t="s">
        <v>159</v>
      </c>
      <c r="BK801" s="743"/>
      <c r="BL801" s="743"/>
      <c r="BM801" s="744"/>
      <c r="BN801" s="703" t="s">
        <v>159</v>
      </c>
      <c r="BO801" s="704"/>
      <c r="BP801" s="704"/>
      <c r="BQ801" s="704"/>
      <c r="BR801" s="704"/>
      <c r="BS801" s="704"/>
      <c r="BT801" s="704"/>
      <c r="BU801" s="704"/>
      <c r="BV801" s="705"/>
    </row>
    <row r="802" spans="1:74" ht="45" customHeight="1" x14ac:dyDescent="0.25">
      <c r="A802" s="10">
        <f t="shared" si="12"/>
        <v>788</v>
      </c>
      <c r="B802" s="662" t="s">
        <v>159</v>
      </c>
      <c r="C802" s="662"/>
      <c r="D802" s="663" t="s">
        <v>212</v>
      </c>
      <c r="E802" s="663"/>
      <c r="F802" s="664" t="s">
        <v>162</v>
      </c>
      <c r="G802" s="665"/>
      <c r="H802" s="754" t="s">
        <v>162</v>
      </c>
      <c r="I802" s="714"/>
      <c r="J802" s="715"/>
      <c r="K802" s="716"/>
      <c r="L802" s="715"/>
      <c r="M802" s="716"/>
      <c r="N802" s="215"/>
      <c r="O802" s="196"/>
      <c r="P802" s="670"/>
      <c r="Q802" s="671"/>
      <c r="R802" s="672"/>
      <c r="S802" s="673"/>
      <c r="T802" s="674"/>
      <c r="U802" s="675"/>
      <c r="V802" s="676"/>
      <c r="W802" s="677"/>
      <c r="X802" s="678" t="s">
        <v>159</v>
      </c>
      <c r="Y802" s="678"/>
      <c r="Z802" s="678"/>
      <c r="AA802" s="678"/>
      <c r="AB802" s="679" t="s">
        <v>159</v>
      </c>
      <c r="AC802" s="679"/>
      <c r="AD802" s="679"/>
      <c r="AE802" s="679"/>
      <c r="AF802" s="680"/>
      <c r="AG802" s="681"/>
      <c r="AH802" s="680"/>
      <c r="AI802" s="681"/>
      <c r="AJ802" s="682"/>
      <c r="AK802" s="683"/>
      <c r="AL802" s="684" t="s">
        <v>162</v>
      </c>
      <c r="AM802" s="685"/>
      <c r="AN802" s="666" t="s">
        <v>162</v>
      </c>
      <c r="AO802" s="667"/>
      <c r="AP802" s="686"/>
      <c r="AQ802" s="687"/>
      <c r="AR802" s="688"/>
      <c r="AS802" s="689"/>
      <c r="AT802" s="690"/>
      <c r="AU802" s="691"/>
      <c r="AV802" s="666" t="s">
        <v>162</v>
      </c>
      <c r="AW802" s="667"/>
      <c r="AX802" s="692"/>
      <c r="AY802" s="693"/>
      <c r="AZ802" s="694"/>
      <c r="BA802" s="682"/>
      <c r="BB802" s="683"/>
      <c r="BC802" s="14"/>
      <c r="BD802" s="695" t="s">
        <v>162</v>
      </c>
      <c r="BE802" s="696"/>
      <c r="BF802" s="697"/>
      <c r="BG802" s="698"/>
      <c r="BH802" s="698"/>
      <c r="BI802" s="699"/>
      <c r="BJ802" s="700" t="s">
        <v>159</v>
      </c>
      <c r="BK802" s="701"/>
      <c r="BL802" s="701"/>
      <c r="BM802" s="702"/>
      <c r="BN802" s="703" t="s">
        <v>159</v>
      </c>
      <c r="BO802" s="704"/>
      <c r="BP802" s="704"/>
      <c r="BQ802" s="704"/>
      <c r="BR802" s="704"/>
      <c r="BS802" s="704"/>
      <c r="BT802" s="704"/>
      <c r="BU802" s="704"/>
      <c r="BV802" s="705"/>
    </row>
    <row r="803" spans="1:74" ht="45" customHeight="1" x14ac:dyDescent="0.25">
      <c r="A803" s="10">
        <f t="shared" si="12"/>
        <v>789</v>
      </c>
      <c r="B803" s="711" t="s">
        <v>159</v>
      </c>
      <c r="C803" s="711"/>
      <c r="D803" s="712" t="s">
        <v>212</v>
      </c>
      <c r="E803" s="712"/>
      <c r="F803" s="664" t="s">
        <v>162</v>
      </c>
      <c r="G803" s="665"/>
      <c r="H803" s="755" t="s">
        <v>162</v>
      </c>
      <c r="I803" s="667"/>
      <c r="J803" s="706"/>
      <c r="K803" s="707"/>
      <c r="L803" s="706"/>
      <c r="M803" s="707"/>
      <c r="N803" s="194"/>
      <c r="O803" s="216"/>
      <c r="P803" s="717"/>
      <c r="Q803" s="718"/>
      <c r="R803" s="719"/>
      <c r="S803" s="720"/>
      <c r="T803" s="721"/>
      <c r="U803" s="722"/>
      <c r="V803" s="723"/>
      <c r="W803" s="724"/>
      <c r="X803" s="725" t="s">
        <v>159</v>
      </c>
      <c r="Y803" s="725"/>
      <c r="Z803" s="725"/>
      <c r="AA803" s="725"/>
      <c r="AB803" s="726" t="s">
        <v>159</v>
      </c>
      <c r="AC803" s="726"/>
      <c r="AD803" s="726"/>
      <c r="AE803" s="726"/>
      <c r="AF803" s="727"/>
      <c r="AG803" s="728"/>
      <c r="AH803" s="727"/>
      <c r="AI803" s="728"/>
      <c r="AJ803" s="682"/>
      <c r="AK803" s="683"/>
      <c r="AL803" s="664" t="s">
        <v>162</v>
      </c>
      <c r="AM803" s="665"/>
      <c r="AN803" s="713" t="s">
        <v>162</v>
      </c>
      <c r="AO803" s="714"/>
      <c r="AP803" s="729"/>
      <c r="AQ803" s="730"/>
      <c r="AR803" s="731"/>
      <c r="AS803" s="732"/>
      <c r="AT803" s="733"/>
      <c r="AU803" s="734"/>
      <c r="AV803" s="713" t="s">
        <v>162</v>
      </c>
      <c r="AW803" s="714"/>
      <c r="AX803" s="692"/>
      <c r="AY803" s="693"/>
      <c r="AZ803" s="694"/>
      <c r="BA803" s="735"/>
      <c r="BB803" s="736"/>
      <c r="BC803" s="219"/>
      <c r="BD803" s="737" t="s">
        <v>162</v>
      </c>
      <c r="BE803" s="738"/>
      <c r="BF803" s="739"/>
      <c r="BG803" s="740"/>
      <c r="BH803" s="740"/>
      <c r="BI803" s="741"/>
      <c r="BJ803" s="742" t="s">
        <v>159</v>
      </c>
      <c r="BK803" s="743"/>
      <c r="BL803" s="743"/>
      <c r="BM803" s="744"/>
      <c r="BN803" s="703" t="s">
        <v>159</v>
      </c>
      <c r="BO803" s="704"/>
      <c r="BP803" s="704"/>
      <c r="BQ803" s="704"/>
      <c r="BR803" s="704"/>
      <c r="BS803" s="704"/>
      <c r="BT803" s="704"/>
      <c r="BU803" s="704"/>
      <c r="BV803" s="705"/>
    </row>
    <row r="804" spans="1:74" ht="45" customHeight="1" x14ac:dyDescent="0.25">
      <c r="A804" s="10">
        <f t="shared" si="12"/>
        <v>790</v>
      </c>
      <c r="B804" s="662" t="s">
        <v>159</v>
      </c>
      <c r="C804" s="662"/>
      <c r="D804" s="663" t="s">
        <v>212</v>
      </c>
      <c r="E804" s="663"/>
      <c r="F804" s="664" t="s">
        <v>162</v>
      </c>
      <c r="G804" s="665"/>
      <c r="H804" s="754" t="s">
        <v>162</v>
      </c>
      <c r="I804" s="714"/>
      <c r="J804" s="715"/>
      <c r="K804" s="716"/>
      <c r="L804" s="715"/>
      <c r="M804" s="716"/>
      <c r="N804" s="215"/>
      <c r="O804" s="196"/>
      <c r="P804" s="670"/>
      <c r="Q804" s="671"/>
      <c r="R804" s="672"/>
      <c r="S804" s="673"/>
      <c r="T804" s="674"/>
      <c r="U804" s="675"/>
      <c r="V804" s="676"/>
      <c r="W804" s="677"/>
      <c r="X804" s="678" t="s">
        <v>159</v>
      </c>
      <c r="Y804" s="678"/>
      <c r="Z804" s="678"/>
      <c r="AA804" s="678"/>
      <c r="AB804" s="679" t="s">
        <v>159</v>
      </c>
      <c r="AC804" s="679"/>
      <c r="AD804" s="679"/>
      <c r="AE804" s="679"/>
      <c r="AF804" s="680"/>
      <c r="AG804" s="681"/>
      <c r="AH804" s="680"/>
      <c r="AI804" s="681"/>
      <c r="AJ804" s="682"/>
      <c r="AK804" s="683"/>
      <c r="AL804" s="684" t="s">
        <v>162</v>
      </c>
      <c r="AM804" s="685"/>
      <c r="AN804" s="666" t="s">
        <v>162</v>
      </c>
      <c r="AO804" s="667"/>
      <c r="AP804" s="686"/>
      <c r="AQ804" s="687"/>
      <c r="AR804" s="688"/>
      <c r="AS804" s="689"/>
      <c r="AT804" s="690"/>
      <c r="AU804" s="691"/>
      <c r="AV804" s="666" t="s">
        <v>162</v>
      </c>
      <c r="AW804" s="667"/>
      <c r="AX804" s="692"/>
      <c r="AY804" s="693"/>
      <c r="AZ804" s="694"/>
      <c r="BA804" s="682"/>
      <c r="BB804" s="683"/>
      <c r="BC804" s="14"/>
      <c r="BD804" s="695" t="s">
        <v>162</v>
      </c>
      <c r="BE804" s="696"/>
      <c r="BF804" s="708"/>
      <c r="BG804" s="709"/>
      <c r="BH804" s="709"/>
      <c r="BI804" s="710"/>
      <c r="BJ804" s="700" t="s">
        <v>159</v>
      </c>
      <c r="BK804" s="701"/>
      <c r="BL804" s="701"/>
      <c r="BM804" s="702"/>
      <c r="BN804" s="703" t="s">
        <v>159</v>
      </c>
      <c r="BO804" s="704"/>
      <c r="BP804" s="704"/>
      <c r="BQ804" s="704"/>
      <c r="BR804" s="704"/>
      <c r="BS804" s="704"/>
      <c r="BT804" s="704"/>
      <c r="BU804" s="704"/>
      <c r="BV804" s="705"/>
    </row>
    <row r="805" spans="1:74" ht="45" customHeight="1" x14ac:dyDescent="0.25">
      <c r="A805" s="10">
        <f t="shared" si="12"/>
        <v>791</v>
      </c>
      <c r="B805" s="711" t="s">
        <v>159</v>
      </c>
      <c r="C805" s="711"/>
      <c r="D805" s="712" t="s">
        <v>212</v>
      </c>
      <c r="E805" s="712"/>
      <c r="F805" s="664" t="s">
        <v>162</v>
      </c>
      <c r="G805" s="665"/>
      <c r="H805" s="755" t="s">
        <v>162</v>
      </c>
      <c r="I805" s="667"/>
      <c r="J805" s="706"/>
      <c r="K805" s="707"/>
      <c r="L805" s="706"/>
      <c r="M805" s="707"/>
      <c r="N805" s="194"/>
      <c r="O805" s="216"/>
      <c r="P805" s="717"/>
      <c r="Q805" s="718"/>
      <c r="R805" s="719"/>
      <c r="S805" s="720"/>
      <c r="T805" s="721"/>
      <c r="U805" s="722"/>
      <c r="V805" s="723"/>
      <c r="W805" s="724"/>
      <c r="X805" s="725" t="s">
        <v>159</v>
      </c>
      <c r="Y805" s="725"/>
      <c r="Z805" s="725"/>
      <c r="AA805" s="725"/>
      <c r="AB805" s="726" t="s">
        <v>159</v>
      </c>
      <c r="AC805" s="726"/>
      <c r="AD805" s="726"/>
      <c r="AE805" s="726"/>
      <c r="AF805" s="727"/>
      <c r="AG805" s="728"/>
      <c r="AH805" s="727"/>
      <c r="AI805" s="728"/>
      <c r="AJ805" s="682"/>
      <c r="AK805" s="683"/>
      <c r="AL805" s="664" t="s">
        <v>162</v>
      </c>
      <c r="AM805" s="665"/>
      <c r="AN805" s="713" t="s">
        <v>162</v>
      </c>
      <c r="AO805" s="714"/>
      <c r="AP805" s="729"/>
      <c r="AQ805" s="730"/>
      <c r="AR805" s="731"/>
      <c r="AS805" s="732"/>
      <c r="AT805" s="733"/>
      <c r="AU805" s="734"/>
      <c r="AV805" s="713" t="s">
        <v>162</v>
      </c>
      <c r="AW805" s="714"/>
      <c r="AX805" s="692"/>
      <c r="AY805" s="693"/>
      <c r="AZ805" s="694"/>
      <c r="BA805" s="735"/>
      <c r="BB805" s="736"/>
      <c r="BC805" s="219"/>
      <c r="BD805" s="737" t="s">
        <v>162</v>
      </c>
      <c r="BE805" s="738"/>
      <c r="BF805" s="739"/>
      <c r="BG805" s="740"/>
      <c r="BH805" s="740"/>
      <c r="BI805" s="741"/>
      <c r="BJ805" s="742" t="s">
        <v>159</v>
      </c>
      <c r="BK805" s="743"/>
      <c r="BL805" s="743"/>
      <c r="BM805" s="744"/>
      <c r="BN805" s="703" t="s">
        <v>159</v>
      </c>
      <c r="BO805" s="704"/>
      <c r="BP805" s="704"/>
      <c r="BQ805" s="704"/>
      <c r="BR805" s="704"/>
      <c r="BS805" s="704"/>
      <c r="BT805" s="704"/>
      <c r="BU805" s="704"/>
      <c r="BV805" s="705"/>
    </row>
    <row r="806" spans="1:74" ht="45" customHeight="1" x14ac:dyDescent="0.25">
      <c r="A806" s="10">
        <f t="shared" si="12"/>
        <v>792</v>
      </c>
      <c r="B806" s="662" t="s">
        <v>159</v>
      </c>
      <c r="C806" s="662"/>
      <c r="D806" s="663" t="s">
        <v>212</v>
      </c>
      <c r="E806" s="663"/>
      <c r="F806" s="664" t="s">
        <v>162</v>
      </c>
      <c r="G806" s="665"/>
      <c r="H806" s="754" t="s">
        <v>162</v>
      </c>
      <c r="I806" s="714"/>
      <c r="J806" s="340"/>
      <c r="K806" s="341"/>
      <c r="L806" s="340"/>
      <c r="M806" s="341"/>
      <c r="N806" s="215"/>
      <c r="O806" s="196"/>
      <c r="P806" s="670"/>
      <c r="Q806" s="671"/>
      <c r="R806" s="672"/>
      <c r="S806" s="673"/>
      <c r="T806" s="674"/>
      <c r="U806" s="675"/>
      <c r="V806" s="676"/>
      <c r="W806" s="677"/>
      <c r="X806" s="678" t="s">
        <v>159</v>
      </c>
      <c r="Y806" s="678"/>
      <c r="Z806" s="678"/>
      <c r="AA806" s="678"/>
      <c r="AB806" s="679" t="s">
        <v>159</v>
      </c>
      <c r="AC806" s="679"/>
      <c r="AD806" s="679"/>
      <c r="AE806" s="679"/>
      <c r="AF806" s="680"/>
      <c r="AG806" s="681"/>
      <c r="AH806" s="680"/>
      <c r="AI806" s="681"/>
      <c r="AJ806" s="682"/>
      <c r="AK806" s="683"/>
      <c r="AL806" s="684" t="s">
        <v>162</v>
      </c>
      <c r="AM806" s="685"/>
      <c r="AN806" s="666" t="s">
        <v>162</v>
      </c>
      <c r="AO806" s="667"/>
      <c r="AP806" s="686"/>
      <c r="AQ806" s="687"/>
      <c r="AR806" s="688"/>
      <c r="AS806" s="689"/>
      <c r="AT806" s="690"/>
      <c r="AU806" s="691"/>
      <c r="AV806" s="666" t="s">
        <v>162</v>
      </c>
      <c r="AW806" s="667"/>
      <c r="AX806" s="692"/>
      <c r="AY806" s="693"/>
      <c r="AZ806" s="694"/>
      <c r="BA806" s="682"/>
      <c r="BB806" s="683"/>
      <c r="BC806" s="14"/>
      <c r="BD806" s="695" t="s">
        <v>162</v>
      </c>
      <c r="BE806" s="696"/>
      <c r="BF806" s="697"/>
      <c r="BG806" s="698"/>
      <c r="BH806" s="698"/>
      <c r="BI806" s="699"/>
      <c r="BJ806" s="700" t="s">
        <v>159</v>
      </c>
      <c r="BK806" s="701"/>
      <c r="BL806" s="701"/>
      <c r="BM806" s="702"/>
      <c r="BN806" s="703" t="s">
        <v>159</v>
      </c>
      <c r="BO806" s="704"/>
      <c r="BP806" s="704"/>
      <c r="BQ806" s="704"/>
      <c r="BR806" s="704"/>
      <c r="BS806" s="704"/>
      <c r="BT806" s="704"/>
      <c r="BU806" s="704"/>
      <c r="BV806" s="705"/>
    </row>
    <row r="807" spans="1:74" ht="45" customHeight="1" x14ac:dyDescent="0.25">
      <c r="A807" s="10">
        <f t="shared" si="12"/>
        <v>793</v>
      </c>
      <c r="B807" s="662" t="s">
        <v>159</v>
      </c>
      <c r="C807" s="662"/>
      <c r="D807" s="663" t="s">
        <v>212</v>
      </c>
      <c r="E807" s="663"/>
      <c r="F807" s="664" t="s">
        <v>162</v>
      </c>
      <c r="G807" s="665"/>
      <c r="H807" s="755" t="s">
        <v>162</v>
      </c>
      <c r="I807" s="667"/>
      <c r="J807" s="706"/>
      <c r="K807" s="707"/>
      <c r="L807" s="706"/>
      <c r="M807" s="707"/>
      <c r="N807" s="215"/>
      <c r="O807" s="196"/>
      <c r="P807" s="670"/>
      <c r="Q807" s="671"/>
      <c r="R807" s="672"/>
      <c r="S807" s="673"/>
      <c r="T807" s="674"/>
      <c r="U807" s="675"/>
      <c r="V807" s="676"/>
      <c r="W807" s="677"/>
      <c r="X807" s="678" t="s">
        <v>159</v>
      </c>
      <c r="Y807" s="678"/>
      <c r="Z807" s="678"/>
      <c r="AA807" s="678"/>
      <c r="AB807" s="679" t="s">
        <v>159</v>
      </c>
      <c r="AC807" s="679"/>
      <c r="AD807" s="679"/>
      <c r="AE807" s="679"/>
      <c r="AF807" s="680"/>
      <c r="AG807" s="681"/>
      <c r="AH807" s="680"/>
      <c r="AI807" s="681"/>
      <c r="AJ807" s="682"/>
      <c r="AK807" s="683"/>
      <c r="AL807" s="684" t="s">
        <v>162</v>
      </c>
      <c r="AM807" s="685"/>
      <c r="AN807" s="666" t="s">
        <v>162</v>
      </c>
      <c r="AO807" s="667"/>
      <c r="AP807" s="686"/>
      <c r="AQ807" s="687"/>
      <c r="AR807" s="688"/>
      <c r="AS807" s="689"/>
      <c r="AT807" s="690"/>
      <c r="AU807" s="691"/>
      <c r="AV807" s="666" t="s">
        <v>162</v>
      </c>
      <c r="AW807" s="667"/>
      <c r="AX807" s="692"/>
      <c r="AY807" s="693"/>
      <c r="AZ807" s="694"/>
      <c r="BA807" s="682"/>
      <c r="BB807" s="683"/>
      <c r="BC807" s="14"/>
      <c r="BD807" s="695" t="s">
        <v>162</v>
      </c>
      <c r="BE807" s="696"/>
      <c r="BF807" s="708"/>
      <c r="BG807" s="709"/>
      <c r="BH807" s="709"/>
      <c r="BI807" s="710"/>
      <c r="BJ807" s="700" t="s">
        <v>159</v>
      </c>
      <c r="BK807" s="701"/>
      <c r="BL807" s="701"/>
      <c r="BM807" s="702"/>
      <c r="BN807" s="703" t="s">
        <v>159</v>
      </c>
      <c r="BO807" s="704"/>
      <c r="BP807" s="704"/>
      <c r="BQ807" s="704"/>
      <c r="BR807" s="704"/>
      <c r="BS807" s="704"/>
      <c r="BT807" s="704"/>
      <c r="BU807" s="704"/>
      <c r="BV807" s="705"/>
    </row>
    <row r="808" spans="1:74" ht="45" customHeight="1" x14ac:dyDescent="0.25">
      <c r="A808" s="10">
        <f t="shared" si="12"/>
        <v>794</v>
      </c>
      <c r="B808" s="711" t="s">
        <v>159</v>
      </c>
      <c r="C808" s="711"/>
      <c r="D808" s="712" t="s">
        <v>212</v>
      </c>
      <c r="E808" s="712"/>
      <c r="F808" s="664" t="s">
        <v>162</v>
      </c>
      <c r="G808" s="665"/>
      <c r="H808" s="754" t="s">
        <v>162</v>
      </c>
      <c r="I808" s="714"/>
      <c r="J808" s="340"/>
      <c r="K808" s="341"/>
      <c r="L808" s="340"/>
      <c r="M808" s="341"/>
      <c r="N808" s="194"/>
      <c r="O808" s="216"/>
      <c r="P808" s="717"/>
      <c r="Q808" s="718"/>
      <c r="R808" s="719"/>
      <c r="S808" s="720"/>
      <c r="T808" s="721"/>
      <c r="U808" s="722"/>
      <c r="V808" s="723"/>
      <c r="W808" s="724"/>
      <c r="X808" s="725" t="s">
        <v>159</v>
      </c>
      <c r="Y808" s="725"/>
      <c r="Z808" s="725"/>
      <c r="AA808" s="725"/>
      <c r="AB808" s="726" t="s">
        <v>159</v>
      </c>
      <c r="AC808" s="726"/>
      <c r="AD808" s="726"/>
      <c r="AE808" s="726"/>
      <c r="AF808" s="727"/>
      <c r="AG808" s="728"/>
      <c r="AH808" s="727"/>
      <c r="AI808" s="728"/>
      <c r="AJ808" s="682"/>
      <c r="AK808" s="683"/>
      <c r="AL808" s="664" t="s">
        <v>162</v>
      </c>
      <c r="AM808" s="665"/>
      <c r="AN808" s="713" t="s">
        <v>162</v>
      </c>
      <c r="AO808" s="714"/>
      <c r="AP808" s="729"/>
      <c r="AQ808" s="730"/>
      <c r="AR808" s="731"/>
      <c r="AS808" s="732"/>
      <c r="AT808" s="733"/>
      <c r="AU808" s="734"/>
      <c r="AV808" s="713" t="s">
        <v>162</v>
      </c>
      <c r="AW808" s="714"/>
      <c r="AX808" s="692"/>
      <c r="AY808" s="693"/>
      <c r="AZ808" s="694"/>
      <c r="BA808" s="735"/>
      <c r="BB808" s="736"/>
      <c r="BC808" s="219"/>
      <c r="BD808" s="737" t="s">
        <v>162</v>
      </c>
      <c r="BE808" s="738"/>
      <c r="BF808" s="739"/>
      <c r="BG808" s="740"/>
      <c r="BH808" s="740"/>
      <c r="BI808" s="741"/>
      <c r="BJ808" s="742" t="s">
        <v>159</v>
      </c>
      <c r="BK808" s="743"/>
      <c r="BL808" s="743"/>
      <c r="BM808" s="744"/>
      <c r="BN808" s="703" t="s">
        <v>159</v>
      </c>
      <c r="BO808" s="704"/>
      <c r="BP808" s="704"/>
      <c r="BQ808" s="704"/>
      <c r="BR808" s="704"/>
      <c r="BS808" s="704"/>
      <c r="BT808" s="704"/>
      <c r="BU808" s="704"/>
      <c r="BV808" s="705"/>
    </row>
    <row r="809" spans="1:74" ht="45" customHeight="1" x14ac:dyDescent="0.25">
      <c r="A809" s="10">
        <f t="shared" si="12"/>
        <v>795</v>
      </c>
      <c r="B809" s="662" t="s">
        <v>159</v>
      </c>
      <c r="C809" s="662"/>
      <c r="D809" s="663" t="s">
        <v>212</v>
      </c>
      <c r="E809" s="663"/>
      <c r="F809" s="664" t="s">
        <v>162</v>
      </c>
      <c r="G809" s="665"/>
      <c r="H809" s="755" t="s">
        <v>162</v>
      </c>
      <c r="I809" s="667"/>
      <c r="J809" s="706"/>
      <c r="K809" s="707"/>
      <c r="L809" s="706"/>
      <c r="M809" s="707"/>
      <c r="N809" s="215"/>
      <c r="O809" s="196"/>
      <c r="P809" s="670"/>
      <c r="Q809" s="671"/>
      <c r="R809" s="672"/>
      <c r="S809" s="673"/>
      <c r="T809" s="674"/>
      <c r="U809" s="675"/>
      <c r="V809" s="676"/>
      <c r="W809" s="677"/>
      <c r="X809" s="678" t="s">
        <v>159</v>
      </c>
      <c r="Y809" s="678"/>
      <c r="Z809" s="678"/>
      <c r="AA809" s="678"/>
      <c r="AB809" s="679" t="s">
        <v>159</v>
      </c>
      <c r="AC809" s="679"/>
      <c r="AD809" s="679"/>
      <c r="AE809" s="679"/>
      <c r="AF809" s="680"/>
      <c r="AG809" s="681"/>
      <c r="AH809" s="680"/>
      <c r="AI809" s="681"/>
      <c r="AJ809" s="682"/>
      <c r="AK809" s="683"/>
      <c r="AL809" s="684" t="s">
        <v>162</v>
      </c>
      <c r="AM809" s="685"/>
      <c r="AN809" s="666" t="s">
        <v>162</v>
      </c>
      <c r="AO809" s="667"/>
      <c r="AP809" s="686"/>
      <c r="AQ809" s="687"/>
      <c r="AR809" s="688"/>
      <c r="AS809" s="689"/>
      <c r="AT809" s="690"/>
      <c r="AU809" s="691"/>
      <c r="AV809" s="666" t="s">
        <v>162</v>
      </c>
      <c r="AW809" s="667"/>
      <c r="AX809" s="692"/>
      <c r="AY809" s="693"/>
      <c r="AZ809" s="694"/>
      <c r="BA809" s="682"/>
      <c r="BB809" s="683"/>
      <c r="BC809" s="14"/>
      <c r="BD809" s="695" t="s">
        <v>162</v>
      </c>
      <c r="BE809" s="696"/>
      <c r="BF809" s="697"/>
      <c r="BG809" s="698"/>
      <c r="BH809" s="698"/>
      <c r="BI809" s="699"/>
      <c r="BJ809" s="700" t="s">
        <v>159</v>
      </c>
      <c r="BK809" s="701"/>
      <c r="BL809" s="701"/>
      <c r="BM809" s="702"/>
      <c r="BN809" s="703" t="s">
        <v>159</v>
      </c>
      <c r="BO809" s="704"/>
      <c r="BP809" s="704"/>
      <c r="BQ809" s="704"/>
      <c r="BR809" s="704"/>
      <c r="BS809" s="704"/>
      <c r="BT809" s="704"/>
      <c r="BU809" s="704"/>
      <c r="BV809" s="705"/>
    </row>
    <row r="810" spans="1:74" ht="45" customHeight="1" x14ac:dyDescent="0.25">
      <c r="A810" s="10">
        <f t="shared" si="12"/>
        <v>796</v>
      </c>
      <c r="B810" s="662" t="s">
        <v>159</v>
      </c>
      <c r="C810" s="662"/>
      <c r="D810" s="663" t="s">
        <v>212</v>
      </c>
      <c r="E810" s="663"/>
      <c r="F810" s="664" t="s">
        <v>162</v>
      </c>
      <c r="G810" s="665"/>
      <c r="H810" s="754" t="s">
        <v>162</v>
      </c>
      <c r="I810" s="714"/>
      <c r="J810" s="340"/>
      <c r="K810" s="341"/>
      <c r="L810" s="340"/>
      <c r="M810" s="341"/>
      <c r="N810" s="194"/>
      <c r="O810" s="196"/>
      <c r="P810" s="717"/>
      <c r="Q810" s="718"/>
      <c r="R810" s="672"/>
      <c r="S810" s="673"/>
      <c r="T810" s="674"/>
      <c r="U810" s="675"/>
      <c r="V810" s="676"/>
      <c r="W810" s="677"/>
      <c r="X810" s="678" t="s">
        <v>159</v>
      </c>
      <c r="Y810" s="678"/>
      <c r="Z810" s="678"/>
      <c r="AA810" s="678"/>
      <c r="AB810" s="679" t="s">
        <v>159</v>
      </c>
      <c r="AC810" s="679"/>
      <c r="AD810" s="679"/>
      <c r="AE810" s="679"/>
      <c r="AF810" s="680"/>
      <c r="AG810" s="681"/>
      <c r="AH810" s="680"/>
      <c r="AI810" s="681"/>
      <c r="AJ810" s="682"/>
      <c r="AK810" s="683"/>
      <c r="AL810" s="684" t="s">
        <v>162</v>
      </c>
      <c r="AM810" s="685"/>
      <c r="AN810" s="666" t="s">
        <v>162</v>
      </c>
      <c r="AO810" s="667"/>
      <c r="AP810" s="686"/>
      <c r="AQ810" s="687"/>
      <c r="AR810" s="688"/>
      <c r="AS810" s="689"/>
      <c r="AT810" s="690"/>
      <c r="AU810" s="691"/>
      <c r="AV810" s="666" t="s">
        <v>162</v>
      </c>
      <c r="AW810" s="667"/>
      <c r="AX810" s="692"/>
      <c r="AY810" s="693"/>
      <c r="AZ810" s="694"/>
      <c r="BA810" s="682"/>
      <c r="BB810" s="683"/>
      <c r="BC810" s="14"/>
      <c r="BD810" s="695" t="s">
        <v>162</v>
      </c>
      <c r="BE810" s="696"/>
      <c r="BF810" s="708"/>
      <c r="BG810" s="709"/>
      <c r="BH810" s="709"/>
      <c r="BI810" s="710"/>
      <c r="BJ810" s="700" t="s">
        <v>159</v>
      </c>
      <c r="BK810" s="701"/>
      <c r="BL810" s="701"/>
      <c r="BM810" s="702"/>
      <c r="BN810" s="703" t="s">
        <v>159</v>
      </c>
      <c r="BO810" s="704"/>
      <c r="BP810" s="704"/>
      <c r="BQ810" s="704"/>
      <c r="BR810" s="704"/>
      <c r="BS810" s="704"/>
      <c r="BT810" s="704"/>
      <c r="BU810" s="704"/>
      <c r="BV810" s="705"/>
    </row>
    <row r="811" spans="1:74" ht="45" customHeight="1" x14ac:dyDescent="0.25">
      <c r="A811" s="10">
        <f t="shared" si="12"/>
        <v>797</v>
      </c>
      <c r="B811" s="711" t="s">
        <v>159</v>
      </c>
      <c r="C811" s="711"/>
      <c r="D811" s="712" t="s">
        <v>212</v>
      </c>
      <c r="E811" s="712"/>
      <c r="F811" s="664" t="s">
        <v>162</v>
      </c>
      <c r="G811" s="665"/>
      <c r="H811" s="755" t="s">
        <v>162</v>
      </c>
      <c r="I811" s="667"/>
      <c r="J811" s="706"/>
      <c r="K811" s="707"/>
      <c r="L811" s="706"/>
      <c r="M811" s="707"/>
      <c r="N811" s="215"/>
      <c r="O811" s="216"/>
      <c r="P811" s="670"/>
      <c r="Q811" s="671"/>
      <c r="R811" s="719"/>
      <c r="S811" s="720"/>
      <c r="T811" s="721"/>
      <c r="U811" s="722"/>
      <c r="V811" s="723"/>
      <c r="W811" s="724"/>
      <c r="X811" s="725" t="s">
        <v>159</v>
      </c>
      <c r="Y811" s="725"/>
      <c r="Z811" s="725"/>
      <c r="AA811" s="725"/>
      <c r="AB811" s="726" t="s">
        <v>159</v>
      </c>
      <c r="AC811" s="726"/>
      <c r="AD811" s="726"/>
      <c r="AE811" s="726"/>
      <c r="AF811" s="727"/>
      <c r="AG811" s="728"/>
      <c r="AH811" s="727"/>
      <c r="AI811" s="728"/>
      <c r="AJ811" s="682"/>
      <c r="AK811" s="683"/>
      <c r="AL811" s="664" t="s">
        <v>162</v>
      </c>
      <c r="AM811" s="665"/>
      <c r="AN811" s="713" t="s">
        <v>162</v>
      </c>
      <c r="AO811" s="714"/>
      <c r="AP811" s="729"/>
      <c r="AQ811" s="730"/>
      <c r="AR811" s="731"/>
      <c r="AS811" s="732"/>
      <c r="AT811" s="690"/>
      <c r="AU811" s="691"/>
      <c r="AV811" s="713" t="s">
        <v>162</v>
      </c>
      <c r="AW811" s="714"/>
      <c r="AX811" s="692"/>
      <c r="AY811" s="693"/>
      <c r="AZ811" s="694"/>
      <c r="BA811" s="735"/>
      <c r="BB811" s="736"/>
      <c r="BC811" s="219"/>
      <c r="BD811" s="737" t="s">
        <v>162</v>
      </c>
      <c r="BE811" s="738"/>
      <c r="BF811" s="739"/>
      <c r="BG811" s="740"/>
      <c r="BH811" s="740"/>
      <c r="BI811" s="741"/>
      <c r="BJ811" s="742" t="s">
        <v>159</v>
      </c>
      <c r="BK811" s="743"/>
      <c r="BL811" s="743"/>
      <c r="BM811" s="744"/>
      <c r="BN811" s="703" t="s">
        <v>159</v>
      </c>
      <c r="BO811" s="704"/>
      <c r="BP811" s="704"/>
      <c r="BQ811" s="704"/>
      <c r="BR811" s="704"/>
      <c r="BS811" s="704"/>
      <c r="BT811" s="704"/>
      <c r="BU811" s="704"/>
      <c r="BV811" s="705"/>
    </row>
    <row r="812" spans="1:74" ht="45" customHeight="1" x14ac:dyDescent="0.25">
      <c r="A812" s="10">
        <f t="shared" si="12"/>
        <v>798</v>
      </c>
      <c r="B812" s="662" t="s">
        <v>159</v>
      </c>
      <c r="C812" s="662"/>
      <c r="D812" s="663" t="s">
        <v>212</v>
      </c>
      <c r="E812" s="663"/>
      <c r="F812" s="664" t="s">
        <v>162</v>
      </c>
      <c r="G812" s="665"/>
      <c r="H812" s="754" t="s">
        <v>162</v>
      </c>
      <c r="I812" s="714"/>
      <c r="J812" s="340"/>
      <c r="K812" s="341"/>
      <c r="L812" s="340"/>
      <c r="M812" s="341"/>
      <c r="N812" s="194"/>
      <c r="O812" s="196"/>
      <c r="P812" s="717"/>
      <c r="Q812" s="718"/>
      <c r="R812" s="672"/>
      <c r="S812" s="673"/>
      <c r="T812" s="674"/>
      <c r="U812" s="675"/>
      <c r="V812" s="676"/>
      <c r="W812" s="677"/>
      <c r="X812" s="678" t="s">
        <v>159</v>
      </c>
      <c r="Y812" s="678"/>
      <c r="Z812" s="678"/>
      <c r="AA812" s="678"/>
      <c r="AB812" s="679" t="s">
        <v>159</v>
      </c>
      <c r="AC812" s="679"/>
      <c r="AD812" s="679"/>
      <c r="AE812" s="679"/>
      <c r="AF812" s="680"/>
      <c r="AG812" s="681"/>
      <c r="AH812" s="680"/>
      <c r="AI812" s="681"/>
      <c r="AJ812" s="682"/>
      <c r="AK812" s="683"/>
      <c r="AL812" s="684" t="s">
        <v>162</v>
      </c>
      <c r="AM812" s="685"/>
      <c r="AN812" s="666" t="s">
        <v>162</v>
      </c>
      <c r="AO812" s="667"/>
      <c r="AP812" s="686"/>
      <c r="AQ812" s="687"/>
      <c r="AR812" s="688"/>
      <c r="AS812" s="689"/>
      <c r="AT812" s="690"/>
      <c r="AU812" s="691"/>
      <c r="AV812" s="666" t="s">
        <v>162</v>
      </c>
      <c r="AW812" s="667"/>
      <c r="AX812" s="692"/>
      <c r="AY812" s="693"/>
      <c r="AZ812" s="694"/>
      <c r="BA812" s="682"/>
      <c r="BB812" s="683"/>
      <c r="BC812" s="14"/>
      <c r="BD812" s="695" t="s">
        <v>162</v>
      </c>
      <c r="BE812" s="696"/>
      <c r="BF812" s="697"/>
      <c r="BG812" s="698"/>
      <c r="BH812" s="698"/>
      <c r="BI812" s="699"/>
      <c r="BJ812" s="700" t="s">
        <v>159</v>
      </c>
      <c r="BK812" s="701"/>
      <c r="BL812" s="701"/>
      <c r="BM812" s="702"/>
      <c r="BN812" s="703" t="s">
        <v>159</v>
      </c>
      <c r="BO812" s="704"/>
      <c r="BP812" s="704"/>
      <c r="BQ812" s="704"/>
      <c r="BR812" s="704"/>
      <c r="BS812" s="704"/>
      <c r="BT812" s="704"/>
      <c r="BU812" s="704"/>
      <c r="BV812" s="705"/>
    </row>
    <row r="813" spans="1:74" ht="45" customHeight="1" x14ac:dyDescent="0.25">
      <c r="A813" s="10">
        <f t="shared" si="12"/>
        <v>799</v>
      </c>
      <c r="B813" s="711" t="s">
        <v>159</v>
      </c>
      <c r="C813" s="711"/>
      <c r="D813" s="712" t="s">
        <v>212</v>
      </c>
      <c r="E813" s="712"/>
      <c r="F813" s="664" t="s">
        <v>162</v>
      </c>
      <c r="G813" s="665"/>
      <c r="H813" s="755" t="s">
        <v>162</v>
      </c>
      <c r="I813" s="667"/>
      <c r="J813" s="706"/>
      <c r="K813" s="707"/>
      <c r="L813" s="706"/>
      <c r="M813" s="707"/>
      <c r="N813" s="215"/>
      <c r="O813" s="216"/>
      <c r="P813" s="670"/>
      <c r="Q813" s="671"/>
      <c r="R813" s="719"/>
      <c r="S813" s="720"/>
      <c r="T813" s="721"/>
      <c r="U813" s="722"/>
      <c r="V813" s="723"/>
      <c r="W813" s="724"/>
      <c r="X813" s="725" t="s">
        <v>159</v>
      </c>
      <c r="Y813" s="725"/>
      <c r="Z813" s="725"/>
      <c r="AA813" s="725"/>
      <c r="AB813" s="726" t="s">
        <v>159</v>
      </c>
      <c r="AC813" s="726"/>
      <c r="AD813" s="726"/>
      <c r="AE813" s="726"/>
      <c r="AF813" s="727"/>
      <c r="AG813" s="728"/>
      <c r="AH813" s="727"/>
      <c r="AI813" s="728"/>
      <c r="AJ813" s="682"/>
      <c r="AK813" s="683"/>
      <c r="AL813" s="664" t="s">
        <v>162</v>
      </c>
      <c r="AM813" s="665"/>
      <c r="AN813" s="713" t="s">
        <v>162</v>
      </c>
      <c r="AO813" s="714"/>
      <c r="AP813" s="729"/>
      <c r="AQ813" s="730"/>
      <c r="AR813" s="731"/>
      <c r="AS813" s="732"/>
      <c r="AT813" s="690"/>
      <c r="AU813" s="691"/>
      <c r="AV813" s="713" t="s">
        <v>162</v>
      </c>
      <c r="AW813" s="714"/>
      <c r="AX813" s="692"/>
      <c r="AY813" s="693"/>
      <c r="AZ813" s="694"/>
      <c r="BA813" s="735"/>
      <c r="BB813" s="736"/>
      <c r="BC813" s="219"/>
      <c r="BD813" s="737" t="s">
        <v>162</v>
      </c>
      <c r="BE813" s="738"/>
      <c r="BF813" s="739"/>
      <c r="BG813" s="740"/>
      <c r="BH813" s="740"/>
      <c r="BI813" s="741"/>
      <c r="BJ813" s="742" t="s">
        <v>159</v>
      </c>
      <c r="BK813" s="743"/>
      <c r="BL813" s="743"/>
      <c r="BM813" s="744"/>
      <c r="BN813" s="703" t="s">
        <v>159</v>
      </c>
      <c r="BO813" s="704"/>
      <c r="BP813" s="704"/>
      <c r="BQ813" s="704"/>
      <c r="BR813" s="704"/>
      <c r="BS813" s="704"/>
      <c r="BT813" s="704"/>
      <c r="BU813" s="704"/>
      <c r="BV813" s="705"/>
    </row>
    <row r="814" spans="1:74" ht="45" customHeight="1" x14ac:dyDescent="0.25">
      <c r="A814" s="10">
        <f t="shared" si="12"/>
        <v>800</v>
      </c>
      <c r="B814" s="662" t="s">
        <v>159</v>
      </c>
      <c r="C814" s="662"/>
      <c r="D814" s="663" t="s">
        <v>212</v>
      </c>
      <c r="E814" s="663"/>
      <c r="F814" s="664" t="s">
        <v>162</v>
      </c>
      <c r="G814" s="665"/>
      <c r="H814" s="754" t="s">
        <v>162</v>
      </c>
      <c r="I814" s="714"/>
      <c r="J814" s="340"/>
      <c r="K814" s="341"/>
      <c r="L814" s="340"/>
      <c r="M814" s="341"/>
      <c r="N814" s="194"/>
      <c r="O814" s="196"/>
      <c r="P814" s="717"/>
      <c r="Q814" s="718"/>
      <c r="R814" s="672"/>
      <c r="S814" s="673"/>
      <c r="T814" s="674"/>
      <c r="U814" s="675"/>
      <c r="V814" s="676"/>
      <c r="W814" s="677"/>
      <c r="X814" s="678" t="s">
        <v>159</v>
      </c>
      <c r="Y814" s="678"/>
      <c r="Z814" s="678"/>
      <c r="AA814" s="678"/>
      <c r="AB814" s="679" t="s">
        <v>159</v>
      </c>
      <c r="AC814" s="679"/>
      <c r="AD814" s="679"/>
      <c r="AE814" s="679"/>
      <c r="AF814" s="680"/>
      <c r="AG814" s="681"/>
      <c r="AH814" s="680"/>
      <c r="AI814" s="681"/>
      <c r="AJ814" s="682"/>
      <c r="AK814" s="683"/>
      <c r="AL814" s="684" t="s">
        <v>162</v>
      </c>
      <c r="AM814" s="685"/>
      <c r="AN814" s="666" t="s">
        <v>162</v>
      </c>
      <c r="AO814" s="667"/>
      <c r="AP814" s="686"/>
      <c r="AQ814" s="687"/>
      <c r="AR814" s="688"/>
      <c r="AS814" s="689"/>
      <c r="AT814" s="690"/>
      <c r="AU814" s="691"/>
      <c r="AV814" s="666" t="s">
        <v>162</v>
      </c>
      <c r="AW814" s="667"/>
      <c r="AX814" s="692"/>
      <c r="AY814" s="693"/>
      <c r="AZ814" s="694"/>
      <c r="BA814" s="682"/>
      <c r="BB814" s="683"/>
      <c r="BC814" s="14"/>
      <c r="BD814" s="695" t="s">
        <v>162</v>
      </c>
      <c r="BE814" s="696"/>
      <c r="BF814" s="697"/>
      <c r="BG814" s="698"/>
      <c r="BH814" s="698"/>
      <c r="BI814" s="699"/>
      <c r="BJ814" s="700" t="s">
        <v>159</v>
      </c>
      <c r="BK814" s="701"/>
      <c r="BL814" s="701"/>
      <c r="BM814" s="702"/>
      <c r="BN814" s="703" t="s">
        <v>159</v>
      </c>
      <c r="BO814" s="704"/>
      <c r="BP814" s="704"/>
      <c r="BQ814" s="704"/>
      <c r="BR814" s="704"/>
      <c r="BS814" s="704"/>
      <c r="BT814" s="704"/>
      <c r="BU814" s="704"/>
      <c r="BV814" s="705"/>
    </row>
    <row r="815" spans="1:74" ht="45" customHeight="1" x14ac:dyDescent="0.25">
      <c r="A815" s="10">
        <f t="shared" si="12"/>
        <v>801</v>
      </c>
      <c r="B815" s="711" t="s">
        <v>159</v>
      </c>
      <c r="C815" s="711"/>
      <c r="D815" s="712" t="s">
        <v>212</v>
      </c>
      <c r="E815" s="712"/>
      <c r="F815" s="664" t="s">
        <v>162</v>
      </c>
      <c r="G815" s="665"/>
      <c r="H815" s="755" t="s">
        <v>162</v>
      </c>
      <c r="I815" s="667"/>
      <c r="J815" s="706"/>
      <c r="K815" s="707"/>
      <c r="L815" s="706"/>
      <c r="M815" s="707"/>
      <c r="N815" s="215"/>
      <c r="O815" s="216"/>
      <c r="P815" s="670"/>
      <c r="Q815" s="671"/>
      <c r="R815" s="719"/>
      <c r="S815" s="720"/>
      <c r="T815" s="721"/>
      <c r="U815" s="722"/>
      <c r="V815" s="723"/>
      <c r="W815" s="724"/>
      <c r="X815" s="725" t="s">
        <v>159</v>
      </c>
      <c r="Y815" s="725"/>
      <c r="Z815" s="725"/>
      <c r="AA815" s="725"/>
      <c r="AB815" s="726" t="s">
        <v>159</v>
      </c>
      <c r="AC815" s="726"/>
      <c r="AD815" s="726"/>
      <c r="AE815" s="726"/>
      <c r="AF815" s="727"/>
      <c r="AG815" s="728"/>
      <c r="AH815" s="727"/>
      <c r="AI815" s="728"/>
      <c r="AJ815" s="682"/>
      <c r="AK815" s="683"/>
      <c r="AL815" s="664" t="s">
        <v>162</v>
      </c>
      <c r="AM815" s="665"/>
      <c r="AN815" s="713" t="s">
        <v>162</v>
      </c>
      <c r="AO815" s="714"/>
      <c r="AP815" s="729"/>
      <c r="AQ815" s="730"/>
      <c r="AR815" s="731"/>
      <c r="AS815" s="732"/>
      <c r="AT815" s="733"/>
      <c r="AU815" s="734"/>
      <c r="AV815" s="713" t="s">
        <v>162</v>
      </c>
      <c r="AW815" s="714"/>
      <c r="AX815" s="692"/>
      <c r="AY815" s="693"/>
      <c r="AZ815" s="694"/>
      <c r="BA815" s="735"/>
      <c r="BB815" s="736"/>
      <c r="BC815" s="219"/>
      <c r="BD815" s="737" t="s">
        <v>162</v>
      </c>
      <c r="BE815" s="738"/>
      <c r="BF815" s="739"/>
      <c r="BG815" s="740"/>
      <c r="BH815" s="740"/>
      <c r="BI815" s="741"/>
      <c r="BJ815" s="742" t="s">
        <v>159</v>
      </c>
      <c r="BK815" s="743"/>
      <c r="BL815" s="743"/>
      <c r="BM815" s="744"/>
      <c r="BN815" s="703" t="s">
        <v>159</v>
      </c>
      <c r="BO815" s="704"/>
      <c r="BP815" s="704"/>
      <c r="BQ815" s="704"/>
      <c r="BR815" s="704"/>
      <c r="BS815" s="704"/>
      <c r="BT815" s="704"/>
      <c r="BU815" s="704"/>
      <c r="BV815" s="705"/>
    </row>
    <row r="816" spans="1:74" ht="45" customHeight="1" x14ac:dyDescent="0.25">
      <c r="A816" s="10">
        <f t="shared" si="12"/>
        <v>802</v>
      </c>
      <c r="B816" s="662" t="s">
        <v>159</v>
      </c>
      <c r="C816" s="662"/>
      <c r="D816" s="663" t="s">
        <v>212</v>
      </c>
      <c r="E816" s="663"/>
      <c r="F816" s="664" t="s">
        <v>162</v>
      </c>
      <c r="G816" s="665"/>
      <c r="H816" s="754" t="s">
        <v>162</v>
      </c>
      <c r="I816" s="714"/>
      <c r="J816" s="340"/>
      <c r="K816" s="341"/>
      <c r="L816" s="340"/>
      <c r="M816" s="341"/>
      <c r="N816" s="194"/>
      <c r="O816" s="196"/>
      <c r="P816" s="717"/>
      <c r="Q816" s="718"/>
      <c r="R816" s="672"/>
      <c r="S816" s="673"/>
      <c r="T816" s="674"/>
      <c r="U816" s="675"/>
      <c r="V816" s="676"/>
      <c r="W816" s="677"/>
      <c r="X816" s="678" t="s">
        <v>159</v>
      </c>
      <c r="Y816" s="678"/>
      <c r="Z816" s="678"/>
      <c r="AA816" s="678"/>
      <c r="AB816" s="679" t="s">
        <v>159</v>
      </c>
      <c r="AC816" s="679"/>
      <c r="AD816" s="679"/>
      <c r="AE816" s="679"/>
      <c r="AF816" s="680"/>
      <c r="AG816" s="681"/>
      <c r="AH816" s="680"/>
      <c r="AI816" s="681"/>
      <c r="AJ816" s="682"/>
      <c r="AK816" s="683"/>
      <c r="AL816" s="684" t="s">
        <v>162</v>
      </c>
      <c r="AM816" s="685"/>
      <c r="AN816" s="666" t="s">
        <v>162</v>
      </c>
      <c r="AO816" s="667"/>
      <c r="AP816" s="686"/>
      <c r="AQ816" s="687"/>
      <c r="AR816" s="688"/>
      <c r="AS816" s="689"/>
      <c r="AT816" s="690"/>
      <c r="AU816" s="691"/>
      <c r="AV816" s="666" t="s">
        <v>162</v>
      </c>
      <c r="AW816" s="667"/>
      <c r="AX816" s="692"/>
      <c r="AY816" s="693"/>
      <c r="AZ816" s="694"/>
      <c r="BA816" s="682"/>
      <c r="BB816" s="683"/>
      <c r="BC816" s="14"/>
      <c r="BD816" s="695" t="s">
        <v>162</v>
      </c>
      <c r="BE816" s="696"/>
      <c r="BF816" s="708"/>
      <c r="BG816" s="709"/>
      <c r="BH816" s="709"/>
      <c r="BI816" s="710"/>
      <c r="BJ816" s="700" t="s">
        <v>159</v>
      </c>
      <c r="BK816" s="701"/>
      <c r="BL816" s="701"/>
      <c r="BM816" s="702"/>
      <c r="BN816" s="703" t="s">
        <v>159</v>
      </c>
      <c r="BO816" s="704"/>
      <c r="BP816" s="704"/>
      <c r="BQ816" s="704"/>
      <c r="BR816" s="704"/>
      <c r="BS816" s="704"/>
      <c r="BT816" s="704"/>
      <c r="BU816" s="704"/>
      <c r="BV816" s="705"/>
    </row>
    <row r="817" spans="1:74" ht="45" customHeight="1" x14ac:dyDescent="0.25">
      <c r="A817" s="10">
        <f t="shared" si="12"/>
        <v>803</v>
      </c>
      <c r="B817" s="711" t="s">
        <v>159</v>
      </c>
      <c r="C817" s="711"/>
      <c r="D817" s="712" t="s">
        <v>212</v>
      </c>
      <c r="E817" s="712"/>
      <c r="F817" s="664" t="s">
        <v>162</v>
      </c>
      <c r="G817" s="665"/>
      <c r="H817" s="755" t="s">
        <v>162</v>
      </c>
      <c r="I817" s="667"/>
      <c r="J817" s="706"/>
      <c r="K817" s="707"/>
      <c r="L817" s="706"/>
      <c r="M817" s="707"/>
      <c r="N817" s="215"/>
      <c r="O817" s="216"/>
      <c r="P817" s="670"/>
      <c r="Q817" s="671"/>
      <c r="R817" s="719"/>
      <c r="S817" s="720"/>
      <c r="T817" s="721"/>
      <c r="U817" s="722"/>
      <c r="V817" s="723"/>
      <c r="W817" s="724"/>
      <c r="X817" s="725" t="s">
        <v>159</v>
      </c>
      <c r="Y817" s="725"/>
      <c r="Z817" s="725"/>
      <c r="AA817" s="725"/>
      <c r="AB817" s="726" t="s">
        <v>159</v>
      </c>
      <c r="AC817" s="726"/>
      <c r="AD817" s="726"/>
      <c r="AE817" s="726"/>
      <c r="AF817" s="727"/>
      <c r="AG817" s="728"/>
      <c r="AH817" s="727"/>
      <c r="AI817" s="728"/>
      <c r="AJ817" s="682"/>
      <c r="AK817" s="683"/>
      <c r="AL817" s="664" t="s">
        <v>162</v>
      </c>
      <c r="AM817" s="665"/>
      <c r="AN817" s="713" t="s">
        <v>162</v>
      </c>
      <c r="AO817" s="714"/>
      <c r="AP817" s="729"/>
      <c r="AQ817" s="730"/>
      <c r="AR817" s="731"/>
      <c r="AS817" s="732"/>
      <c r="AT817" s="733"/>
      <c r="AU817" s="734"/>
      <c r="AV817" s="713" t="s">
        <v>162</v>
      </c>
      <c r="AW817" s="714"/>
      <c r="AX817" s="692"/>
      <c r="AY817" s="693"/>
      <c r="AZ817" s="694"/>
      <c r="BA817" s="735"/>
      <c r="BB817" s="736"/>
      <c r="BC817" s="219"/>
      <c r="BD817" s="737" t="s">
        <v>162</v>
      </c>
      <c r="BE817" s="738"/>
      <c r="BF817" s="739"/>
      <c r="BG817" s="740"/>
      <c r="BH817" s="740"/>
      <c r="BI817" s="741"/>
      <c r="BJ817" s="742" t="s">
        <v>159</v>
      </c>
      <c r="BK817" s="743"/>
      <c r="BL817" s="743"/>
      <c r="BM817" s="744"/>
      <c r="BN817" s="703" t="s">
        <v>159</v>
      </c>
      <c r="BO817" s="704"/>
      <c r="BP817" s="704"/>
      <c r="BQ817" s="704"/>
      <c r="BR817" s="704"/>
      <c r="BS817" s="704"/>
      <c r="BT817" s="704"/>
      <c r="BU817" s="704"/>
      <c r="BV817" s="705"/>
    </row>
    <row r="818" spans="1:74" ht="45" customHeight="1" x14ac:dyDescent="0.25">
      <c r="A818" s="10">
        <f t="shared" si="12"/>
        <v>804</v>
      </c>
      <c r="B818" s="662" t="s">
        <v>159</v>
      </c>
      <c r="C818" s="662"/>
      <c r="D818" s="663" t="s">
        <v>212</v>
      </c>
      <c r="E818" s="663"/>
      <c r="F818" s="664" t="s">
        <v>162</v>
      </c>
      <c r="G818" s="665"/>
      <c r="H818" s="754" t="s">
        <v>162</v>
      </c>
      <c r="I818" s="714"/>
      <c r="J818" s="340"/>
      <c r="K818" s="341"/>
      <c r="L818" s="340"/>
      <c r="M818" s="341"/>
      <c r="N818" s="194"/>
      <c r="O818" s="196"/>
      <c r="P818" s="717"/>
      <c r="Q818" s="718"/>
      <c r="R818" s="672"/>
      <c r="S818" s="673"/>
      <c r="T818" s="674"/>
      <c r="U818" s="675"/>
      <c r="V818" s="676"/>
      <c r="W818" s="677"/>
      <c r="X818" s="678" t="s">
        <v>159</v>
      </c>
      <c r="Y818" s="678"/>
      <c r="Z818" s="678"/>
      <c r="AA818" s="678"/>
      <c r="AB818" s="679" t="s">
        <v>159</v>
      </c>
      <c r="AC818" s="679"/>
      <c r="AD818" s="679"/>
      <c r="AE818" s="679"/>
      <c r="AF818" s="680"/>
      <c r="AG818" s="681"/>
      <c r="AH818" s="680"/>
      <c r="AI818" s="681"/>
      <c r="AJ818" s="682"/>
      <c r="AK818" s="683"/>
      <c r="AL818" s="684" t="s">
        <v>162</v>
      </c>
      <c r="AM818" s="685"/>
      <c r="AN818" s="666" t="s">
        <v>162</v>
      </c>
      <c r="AO818" s="667"/>
      <c r="AP818" s="686"/>
      <c r="AQ818" s="687"/>
      <c r="AR818" s="688"/>
      <c r="AS818" s="689"/>
      <c r="AT818" s="690"/>
      <c r="AU818" s="691"/>
      <c r="AV818" s="666" t="s">
        <v>162</v>
      </c>
      <c r="AW818" s="667"/>
      <c r="AX818" s="692"/>
      <c r="AY818" s="693"/>
      <c r="AZ818" s="694"/>
      <c r="BA818" s="682"/>
      <c r="BB818" s="683"/>
      <c r="BC818" s="14"/>
      <c r="BD818" s="695" t="s">
        <v>162</v>
      </c>
      <c r="BE818" s="696"/>
      <c r="BF818" s="697"/>
      <c r="BG818" s="698"/>
      <c r="BH818" s="698"/>
      <c r="BI818" s="699"/>
      <c r="BJ818" s="700" t="s">
        <v>159</v>
      </c>
      <c r="BK818" s="701"/>
      <c r="BL818" s="701"/>
      <c r="BM818" s="702"/>
      <c r="BN818" s="703" t="s">
        <v>159</v>
      </c>
      <c r="BO818" s="704"/>
      <c r="BP818" s="704"/>
      <c r="BQ818" s="704"/>
      <c r="BR818" s="704"/>
      <c r="BS818" s="704"/>
      <c r="BT818" s="704"/>
      <c r="BU818" s="704"/>
      <c r="BV818" s="705"/>
    </row>
    <row r="819" spans="1:74" ht="45" customHeight="1" x14ac:dyDescent="0.25">
      <c r="A819" s="10">
        <f t="shared" si="12"/>
        <v>805</v>
      </c>
      <c r="B819" s="711" t="s">
        <v>159</v>
      </c>
      <c r="C819" s="711"/>
      <c r="D819" s="712" t="s">
        <v>212</v>
      </c>
      <c r="E819" s="712"/>
      <c r="F819" s="664" t="s">
        <v>162</v>
      </c>
      <c r="G819" s="665"/>
      <c r="H819" s="755" t="s">
        <v>162</v>
      </c>
      <c r="I819" s="667"/>
      <c r="J819" s="706"/>
      <c r="K819" s="707"/>
      <c r="L819" s="706"/>
      <c r="M819" s="707"/>
      <c r="N819" s="215"/>
      <c r="O819" s="216"/>
      <c r="P819" s="670"/>
      <c r="Q819" s="671"/>
      <c r="R819" s="719"/>
      <c r="S819" s="720"/>
      <c r="T819" s="721"/>
      <c r="U819" s="722"/>
      <c r="V819" s="723"/>
      <c r="W819" s="724"/>
      <c r="X819" s="725" t="s">
        <v>159</v>
      </c>
      <c r="Y819" s="725"/>
      <c r="Z819" s="725"/>
      <c r="AA819" s="725"/>
      <c r="AB819" s="726" t="s">
        <v>159</v>
      </c>
      <c r="AC819" s="726"/>
      <c r="AD819" s="726"/>
      <c r="AE819" s="726"/>
      <c r="AF819" s="727"/>
      <c r="AG819" s="728"/>
      <c r="AH819" s="727"/>
      <c r="AI819" s="728"/>
      <c r="AJ819" s="682"/>
      <c r="AK819" s="683"/>
      <c r="AL819" s="664" t="s">
        <v>162</v>
      </c>
      <c r="AM819" s="665"/>
      <c r="AN819" s="713" t="s">
        <v>162</v>
      </c>
      <c r="AO819" s="714"/>
      <c r="AP819" s="729"/>
      <c r="AQ819" s="730"/>
      <c r="AR819" s="731"/>
      <c r="AS819" s="732"/>
      <c r="AT819" s="733"/>
      <c r="AU819" s="734"/>
      <c r="AV819" s="713" t="s">
        <v>162</v>
      </c>
      <c r="AW819" s="714"/>
      <c r="AX819" s="692"/>
      <c r="AY819" s="693"/>
      <c r="AZ819" s="694"/>
      <c r="BA819" s="735"/>
      <c r="BB819" s="736"/>
      <c r="BC819" s="219"/>
      <c r="BD819" s="737" t="s">
        <v>162</v>
      </c>
      <c r="BE819" s="738"/>
      <c r="BF819" s="739"/>
      <c r="BG819" s="740"/>
      <c r="BH819" s="740"/>
      <c r="BI819" s="741"/>
      <c r="BJ819" s="742" t="s">
        <v>159</v>
      </c>
      <c r="BK819" s="743"/>
      <c r="BL819" s="743"/>
      <c r="BM819" s="744"/>
      <c r="BN819" s="703" t="s">
        <v>159</v>
      </c>
      <c r="BO819" s="704"/>
      <c r="BP819" s="704"/>
      <c r="BQ819" s="704"/>
      <c r="BR819" s="704"/>
      <c r="BS819" s="704"/>
      <c r="BT819" s="704"/>
      <c r="BU819" s="704"/>
      <c r="BV819" s="705"/>
    </row>
    <row r="820" spans="1:74" ht="45" customHeight="1" x14ac:dyDescent="0.25">
      <c r="A820" s="10">
        <f t="shared" si="12"/>
        <v>806</v>
      </c>
      <c r="B820" s="662" t="s">
        <v>159</v>
      </c>
      <c r="C820" s="662"/>
      <c r="D820" s="663" t="s">
        <v>212</v>
      </c>
      <c r="E820" s="663"/>
      <c r="F820" s="664" t="s">
        <v>162</v>
      </c>
      <c r="G820" s="665"/>
      <c r="H820" s="754" t="s">
        <v>162</v>
      </c>
      <c r="I820" s="714"/>
      <c r="J820" s="340"/>
      <c r="K820" s="341"/>
      <c r="L820" s="340"/>
      <c r="M820" s="341"/>
      <c r="N820" s="194"/>
      <c r="O820" s="196"/>
      <c r="P820" s="717"/>
      <c r="Q820" s="718"/>
      <c r="R820" s="672"/>
      <c r="S820" s="673"/>
      <c r="T820" s="674"/>
      <c r="U820" s="675"/>
      <c r="V820" s="676"/>
      <c r="W820" s="677"/>
      <c r="X820" s="678" t="s">
        <v>159</v>
      </c>
      <c r="Y820" s="678"/>
      <c r="Z820" s="678"/>
      <c r="AA820" s="678"/>
      <c r="AB820" s="679" t="s">
        <v>159</v>
      </c>
      <c r="AC820" s="679"/>
      <c r="AD820" s="679"/>
      <c r="AE820" s="679"/>
      <c r="AF820" s="680"/>
      <c r="AG820" s="681"/>
      <c r="AH820" s="680"/>
      <c r="AI820" s="681"/>
      <c r="AJ820" s="682"/>
      <c r="AK820" s="683"/>
      <c r="AL820" s="684" t="s">
        <v>162</v>
      </c>
      <c r="AM820" s="685"/>
      <c r="AN820" s="666" t="s">
        <v>162</v>
      </c>
      <c r="AO820" s="667"/>
      <c r="AP820" s="686"/>
      <c r="AQ820" s="687"/>
      <c r="AR820" s="688"/>
      <c r="AS820" s="689"/>
      <c r="AT820" s="690"/>
      <c r="AU820" s="691"/>
      <c r="AV820" s="666" t="s">
        <v>162</v>
      </c>
      <c r="AW820" s="667"/>
      <c r="AX820" s="692"/>
      <c r="AY820" s="693"/>
      <c r="AZ820" s="694"/>
      <c r="BA820" s="682"/>
      <c r="BB820" s="683"/>
      <c r="BC820" s="14"/>
      <c r="BD820" s="695" t="s">
        <v>162</v>
      </c>
      <c r="BE820" s="696"/>
      <c r="BF820" s="697"/>
      <c r="BG820" s="698"/>
      <c r="BH820" s="698"/>
      <c r="BI820" s="699"/>
      <c r="BJ820" s="700" t="s">
        <v>159</v>
      </c>
      <c r="BK820" s="701"/>
      <c r="BL820" s="701"/>
      <c r="BM820" s="702"/>
      <c r="BN820" s="703" t="s">
        <v>159</v>
      </c>
      <c r="BO820" s="704"/>
      <c r="BP820" s="704"/>
      <c r="BQ820" s="704"/>
      <c r="BR820" s="704"/>
      <c r="BS820" s="704"/>
      <c r="BT820" s="704"/>
      <c r="BU820" s="704"/>
      <c r="BV820" s="705"/>
    </row>
    <row r="821" spans="1:74" ht="45" customHeight="1" x14ac:dyDescent="0.25">
      <c r="A821" s="10">
        <f t="shared" si="12"/>
        <v>807</v>
      </c>
      <c r="B821" s="711" t="s">
        <v>159</v>
      </c>
      <c r="C821" s="711"/>
      <c r="D821" s="712" t="s">
        <v>212</v>
      </c>
      <c r="E821" s="712"/>
      <c r="F821" s="664" t="s">
        <v>162</v>
      </c>
      <c r="G821" s="665"/>
      <c r="H821" s="755" t="s">
        <v>162</v>
      </c>
      <c r="I821" s="667"/>
      <c r="J821" s="706"/>
      <c r="K821" s="707"/>
      <c r="L821" s="706"/>
      <c r="M821" s="707"/>
      <c r="N821" s="215"/>
      <c r="O821" s="216"/>
      <c r="P821" s="670"/>
      <c r="Q821" s="671"/>
      <c r="R821" s="719"/>
      <c r="S821" s="720"/>
      <c r="T821" s="721"/>
      <c r="U821" s="722"/>
      <c r="V821" s="723"/>
      <c r="W821" s="724"/>
      <c r="X821" s="725" t="s">
        <v>159</v>
      </c>
      <c r="Y821" s="725"/>
      <c r="Z821" s="725"/>
      <c r="AA821" s="725"/>
      <c r="AB821" s="726" t="s">
        <v>159</v>
      </c>
      <c r="AC821" s="726"/>
      <c r="AD821" s="726"/>
      <c r="AE821" s="726"/>
      <c r="AF821" s="727"/>
      <c r="AG821" s="728"/>
      <c r="AH821" s="727"/>
      <c r="AI821" s="728"/>
      <c r="AJ821" s="682"/>
      <c r="AK821" s="683"/>
      <c r="AL821" s="664" t="s">
        <v>162</v>
      </c>
      <c r="AM821" s="665"/>
      <c r="AN821" s="713" t="s">
        <v>162</v>
      </c>
      <c r="AO821" s="714"/>
      <c r="AP821" s="729"/>
      <c r="AQ821" s="730"/>
      <c r="AR821" s="731"/>
      <c r="AS821" s="732"/>
      <c r="AT821" s="733"/>
      <c r="AU821" s="734"/>
      <c r="AV821" s="713" t="s">
        <v>162</v>
      </c>
      <c r="AW821" s="714"/>
      <c r="AX821" s="692"/>
      <c r="AY821" s="693"/>
      <c r="AZ821" s="694"/>
      <c r="BA821" s="735"/>
      <c r="BB821" s="736"/>
      <c r="BC821" s="219"/>
      <c r="BD821" s="737" t="s">
        <v>162</v>
      </c>
      <c r="BE821" s="738"/>
      <c r="BF821" s="739"/>
      <c r="BG821" s="740"/>
      <c r="BH821" s="740"/>
      <c r="BI821" s="741"/>
      <c r="BJ821" s="742" t="s">
        <v>159</v>
      </c>
      <c r="BK821" s="743"/>
      <c r="BL821" s="743"/>
      <c r="BM821" s="744"/>
      <c r="BN821" s="703" t="s">
        <v>159</v>
      </c>
      <c r="BO821" s="704"/>
      <c r="BP821" s="704"/>
      <c r="BQ821" s="704"/>
      <c r="BR821" s="704"/>
      <c r="BS821" s="704"/>
      <c r="BT821" s="704"/>
      <c r="BU821" s="704"/>
      <c r="BV821" s="705"/>
    </row>
    <row r="822" spans="1:74" ht="45" customHeight="1" x14ac:dyDescent="0.25">
      <c r="A822" s="10">
        <f t="shared" si="12"/>
        <v>808</v>
      </c>
      <c r="B822" s="662" t="s">
        <v>159</v>
      </c>
      <c r="C822" s="662"/>
      <c r="D822" s="663" t="s">
        <v>212</v>
      </c>
      <c r="E822" s="663"/>
      <c r="F822" s="664" t="s">
        <v>162</v>
      </c>
      <c r="G822" s="665"/>
      <c r="H822" s="754" t="s">
        <v>162</v>
      </c>
      <c r="I822" s="714"/>
      <c r="J822" s="340"/>
      <c r="K822" s="341"/>
      <c r="L822" s="340"/>
      <c r="M822" s="341"/>
      <c r="N822" s="194"/>
      <c r="O822" s="196"/>
      <c r="P822" s="717"/>
      <c r="Q822" s="718"/>
      <c r="R822" s="672"/>
      <c r="S822" s="673"/>
      <c r="T822" s="674"/>
      <c r="U822" s="675"/>
      <c r="V822" s="676"/>
      <c r="W822" s="677"/>
      <c r="X822" s="678" t="s">
        <v>159</v>
      </c>
      <c r="Y822" s="678"/>
      <c r="Z822" s="678"/>
      <c r="AA822" s="678"/>
      <c r="AB822" s="679" t="s">
        <v>159</v>
      </c>
      <c r="AC822" s="679"/>
      <c r="AD822" s="679"/>
      <c r="AE822" s="679"/>
      <c r="AF822" s="680"/>
      <c r="AG822" s="681"/>
      <c r="AH822" s="680"/>
      <c r="AI822" s="681"/>
      <c r="AJ822" s="682"/>
      <c r="AK822" s="683"/>
      <c r="AL822" s="684" t="s">
        <v>162</v>
      </c>
      <c r="AM822" s="685"/>
      <c r="AN822" s="666" t="s">
        <v>162</v>
      </c>
      <c r="AO822" s="667"/>
      <c r="AP822" s="686"/>
      <c r="AQ822" s="687"/>
      <c r="AR822" s="688"/>
      <c r="AS822" s="689"/>
      <c r="AT822" s="690"/>
      <c r="AU822" s="691"/>
      <c r="AV822" s="666" t="s">
        <v>162</v>
      </c>
      <c r="AW822" s="667"/>
      <c r="AX822" s="692"/>
      <c r="AY822" s="693"/>
      <c r="AZ822" s="694"/>
      <c r="BA822" s="682"/>
      <c r="BB822" s="683"/>
      <c r="BC822" s="14"/>
      <c r="BD822" s="695" t="s">
        <v>162</v>
      </c>
      <c r="BE822" s="696"/>
      <c r="BF822" s="708"/>
      <c r="BG822" s="709"/>
      <c r="BH822" s="709"/>
      <c r="BI822" s="710"/>
      <c r="BJ822" s="700" t="s">
        <v>159</v>
      </c>
      <c r="BK822" s="701"/>
      <c r="BL822" s="701"/>
      <c r="BM822" s="702"/>
      <c r="BN822" s="703" t="s">
        <v>159</v>
      </c>
      <c r="BO822" s="704"/>
      <c r="BP822" s="704"/>
      <c r="BQ822" s="704"/>
      <c r="BR822" s="704"/>
      <c r="BS822" s="704"/>
      <c r="BT822" s="704"/>
      <c r="BU822" s="704"/>
      <c r="BV822" s="705"/>
    </row>
    <row r="823" spans="1:74" ht="45" customHeight="1" x14ac:dyDescent="0.25">
      <c r="A823" s="10">
        <f t="shared" si="12"/>
        <v>809</v>
      </c>
      <c r="B823" s="711" t="s">
        <v>159</v>
      </c>
      <c r="C823" s="711"/>
      <c r="D823" s="712" t="s">
        <v>212</v>
      </c>
      <c r="E823" s="712"/>
      <c r="F823" s="664" t="s">
        <v>162</v>
      </c>
      <c r="G823" s="665"/>
      <c r="H823" s="755" t="s">
        <v>162</v>
      </c>
      <c r="I823" s="667"/>
      <c r="J823" s="706"/>
      <c r="K823" s="707"/>
      <c r="L823" s="706"/>
      <c r="M823" s="707"/>
      <c r="N823" s="215"/>
      <c r="O823" s="216"/>
      <c r="P823" s="670"/>
      <c r="Q823" s="671"/>
      <c r="R823" s="719"/>
      <c r="S823" s="720"/>
      <c r="T823" s="721"/>
      <c r="U823" s="722"/>
      <c r="V823" s="723"/>
      <c r="W823" s="724"/>
      <c r="X823" s="725" t="s">
        <v>159</v>
      </c>
      <c r="Y823" s="725"/>
      <c r="Z823" s="725"/>
      <c r="AA823" s="725"/>
      <c r="AB823" s="726" t="s">
        <v>159</v>
      </c>
      <c r="AC823" s="726"/>
      <c r="AD823" s="726"/>
      <c r="AE823" s="726"/>
      <c r="AF823" s="727"/>
      <c r="AG823" s="728"/>
      <c r="AH823" s="727"/>
      <c r="AI823" s="728"/>
      <c r="AJ823" s="682"/>
      <c r="AK823" s="683"/>
      <c r="AL823" s="664" t="s">
        <v>162</v>
      </c>
      <c r="AM823" s="665"/>
      <c r="AN823" s="713" t="s">
        <v>162</v>
      </c>
      <c r="AO823" s="714"/>
      <c r="AP823" s="729"/>
      <c r="AQ823" s="730"/>
      <c r="AR823" s="731"/>
      <c r="AS823" s="732"/>
      <c r="AT823" s="733"/>
      <c r="AU823" s="734"/>
      <c r="AV823" s="713" t="s">
        <v>162</v>
      </c>
      <c r="AW823" s="714"/>
      <c r="AX823" s="692"/>
      <c r="AY823" s="693"/>
      <c r="AZ823" s="694"/>
      <c r="BA823" s="735"/>
      <c r="BB823" s="736"/>
      <c r="BC823" s="219"/>
      <c r="BD823" s="737" t="s">
        <v>162</v>
      </c>
      <c r="BE823" s="738"/>
      <c r="BF823" s="739"/>
      <c r="BG823" s="740"/>
      <c r="BH823" s="740"/>
      <c r="BI823" s="741"/>
      <c r="BJ823" s="742" t="s">
        <v>159</v>
      </c>
      <c r="BK823" s="743"/>
      <c r="BL823" s="743"/>
      <c r="BM823" s="744"/>
      <c r="BN823" s="703" t="s">
        <v>159</v>
      </c>
      <c r="BO823" s="704"/>
      <c r="BP823" s="704"/>
      <c r="BQ823" s="704"/>
      <c r="BR823" s="704"/>
      <c r="BS823" s="704"/>
      <c r="BT823" s="704"/>
      <c r="BU823" s="704"/>
      <c r="BV823" s="705"/>
    </row>
    <row r="824" spans="1:74" ht="45" customHeight="1" x14ac:dyDescent="0.25">
      <c r="A824" s="10">
        <f t="shared" si="12"/>
        <v>810</v>
      </c>
      <c r="B824" s="662" t="s">
        <v>159</v>
      </c>
      <c r="C824" s="662"/>
      <c r="D824" s="663" t="s">
        <v>212</v>
      </c>
      <c r="E824" s="663"/>
      <c r="F824" s="664" t="s">
        <v>162</v>
      </c>
      <c r="G824" s="665"/>
      <c r="H824" s="754" t="s">
        <v>162</v>
      </c>
      <c r="I824" s="714"/>
      <c r="J824" s="340"/>
      <c r="K824" s="341"/>
      <c r="L824" s="340"/>
      <c r="M824" s="341"/>
      <c r="N824" s="194"/>
      <c r="O824" s="196"/>
      <c r="P824" s="717"/>
      <c r="Q824" s="718"/>
      <c r="R824" s="672"/>
      <c r="S824" s="673"/>
      <c r="T824" s="674"/>
      <c r="U824" s="675"/>
      <c r="V824" s="676"/>
      <c r="W824" s="677"/>
      <c r="X824" s="678" t="s">
        <v>159</v>
      </c>
      <c r="Y824" s="678"/>
      <c r="Z824" s="678"/>
      <c r="AA824" s="678"/>
      <c r="AB824" s="679" t="s">
        <v>159</v>
      </c>
      <c r="AC824" s="679"/>
      <c r="AD824" s="679"/>
      <c r="AE824" s="679"/>
      <c r="AF824" s="680"/>
      <c r="AG824" s="681"/>
      <c r="AH824" s="680"/>
      <c r="AI824" s="681"/>
      <c r="AJ824" s="682"/>
      <c r="AK824" s="683"/>
      <c r="AL824" s="684" t="s">
        <v>162</v>
      </c>
      <c r="AM824" s="685"/>
      <c r="AN824" s="666" t="s">
        <v>162</v>
      </c>
      <c r="AO824" s="667"/>
      <c r="AP824" s="686"/>
      <c r="AQ824" s="687"/>
      <c r="AR824" s="688"/>
      <c r="AS824" s="689"/>
      <c r="AT824" s="690"/>
      <c r="AU824" s="691"/>
      <c r="AV824" s="666" t="s">
        <v>162</v>
      </c>
      <c r="AW824" s="667"/>
      <c r="AX824" s="692"/>
      <c r="AY824" s="693"/>
      <c r="AZ824" s="694"/>
      <c r="BA824" s="682"/>
      <c r="BB824" s="683"/>
      <c r="BC824" s="14"/>
      <c r="BD824" s="695" t="s">
        <v>162</v>
      </c>
      <c r="BE824" s="696"/>
      <c r="BF824" s="697"/>
      <c r="BG824" s="698"/>
      <c r="BH824" s="698"/>
      <c r="BI824" s="699"/>
      <c r="BJ824" s="700" t="s">
        <v>159</v>
      </c>
      <c r="BK824" s="701"/>
      <c r="BL824" s="701"/>
      <c r="BM824" s="702"/>
      <c r="BN824" s="703" t="s">
        <v>159</v>
      </c>
      <c r="BO824" s="704"/>
      <c r="BP824" s="704"/>
      <c r="BQ824" s="704"/>
      <c r="BR824" s="704"/>
      <c r="BS824" s="704"/>
      <c r="BT824" s="704"/>
      <c r="BU824" s="704"/>
      <c r="BV824" s="705"/>
    </row>
    <row r="825" spans="1:74" ht="45" customHeight="1" x14ac:dyDescent="0.25">
      <c r="A825" s="10">
        <f t="shared" si="12"/>
        <v>811</v>
      </c>
      <c r="B825" s="711" t="s">
        <v>159</v>
      </c>
      <c r="C825" s="711"/>
      <c r="D825" s="712" t="s">
        <v>212</v>
      </c>
      <c r="E825" s="712"/>
      <c r="F825" s="664" t="s">
        <v>162</v>
      </c>
      <c r="G825" s="665"/>
      <c r="H825" s="755" t="s">
        <v>162</v>
      </c>
      <c r="I825" s="667"/>
      <c r="J825" s="706"/>
      <c r="K825" s="707"/>
      <c r="L825" s="706"/>
      <c r="M825" s="707"/>
      <c r="N825" s="215"/>
      <c r="O825" s="216"/>
      <c r="P825" s="670"/>
      <c r="Q825" s="671"/>
      <c r="R825" s="719"/>
      <c r="S825" s="720"/>
      <c r="T825" s="721"/>
      <c r="U825" s="722"/>
      <c r="V825" s="723"/>
      <c r="W825" s="724"/>
      <c r="X825" s="725" t="s">
        <v>159</v>
      </c>
      <c r="Y825" s="725"/>
      <c r="Z825" s="725"/>
      <c r="AA825" s="725"/>
      <c r="AB825" s="726" t="s">
        <v>159</v>
      </c>
      <c r="AC825" s="726"/>
      <c r="AD825" s="726"/>
      <c r="AE825" s="726"/>
      <c r="AF825" s="727"/>
      <c r="AG825" s="728"/>
      <c r="AH825" s="727"/>
      <c r="AI825" s="728"/>
      <c r="AJ825" s="682"/>
      <c r="AK825" s="683"/>
      <c r="AL825" s="664" t="s">
        <v>162</v>
      </c>
      <c r="AM825" s="665"/>
      <c r="AN825" s="713" t="s">
        <v>162</v>
      </c>
      <c r="AO825" s="714"/>
      <c r="AP825" s="729"/>
      <c r="AQ825" s="730"/>
      <c r="AR825" s="731"/>
      <c r="AS825" s="732"/>
      <c r="AT825" s="690"/>
      <c r="AU825" s="691"/>
      <c r="AV825" s="713" t="s">
        <v>162</v>
      </c>
      <c r="AW825" s="714"/>
      <c r="AX825" s="692"/>
      <c r="AY825" s="693"/>
      <c r="AZ825" s="694"/>
      <c r="BA825" s="735"/>
      <c r="BB825" s="736"/>
      <c r="BC825" s="219"/>
      <c r="BD825" s="737" t="s">
        <v>162</v>
      </c>
      <c r="BE825" s="738"/>
      <c r="BF825" s="739"/>
      <c r="BG825" s="740"/>
      <c r="BH825" s="740"/>
      <c r="BI825" s="741"/>
      <c r="BJ825" s="742" t="s">
        <v>159</v>
      </c>
      <c r="BK825" s="743"/>
      <c r="BL825" s="743"/>
      <c r="BM825" s="744"/>
      <c r="BN825" s="703" t="s">
        <v>159</v>
      </c>
      <c r="BO825" s="704"/>
      <c r="BP825" s="704"/>
      <c r="BQ825" s="704"/>
      <c r="BR825" s="704"/>
      <c r="BS825" s="704"/>
      <c r="BT825" s="704"/>
      <c r="BU825" s="704"/>
      <c r="BV825" s="705"/>
    </row>
    <row r="826" spans="1:74" ht="45" customHeight="1" x14ac:dyDescent="0.25">
      <c r="A826" s="10">
        <f t="shared" si="12"/>
        <v>812</v>
      </c>
      <c r="B826" s="662" t="s">
        <v>159</v>
      </c>
      <c r="C826" s="662"/>
      <c r="D826" s="663" t="s">
        <v>212</v>
      </c>
      <c r="E826" s="663"/>
      <c r="F826" s="664" t="s">
        <v>162</v>
      </c>
      <c r="G826" s="665"/>
      <c r="H826" s="754" t="s">
        <v>162</v>
      </c>
      <c r="I826" s="714"/>
      <c r="J826" s="340"/>
      <c r="K826" s="341"/>
      <c r="L826" s="340"/>
      <c r="M826" s="341"/>
      <c r="N826" s="194"/>
      <c r="O826" s="196"/>
      <c r="P826" s="717"/>
      <c r="Q826" s="718"/>
      <c r="R826" s="672"/>
      <c r="S826" s="673"/>
      <c r="T826" s="674"/>
      <c r="U826" s="675"/>
      <c r="V826" s="676"/>
      <c r="W826" s="677"/>
      <c r="X826" s="678" t="s">
        <v>159</v>
      </c>
      <c r="Y826" s="678"/>
      <c r="Z826" s="678"/>
      <c r="AA826" s="678"/>
      <c r="AB826" s="679" t="s">
        <v>159</v>
      </c>
      <c r="AC826" s="679"/>
      <c r="AD826" s="679"/>
      <c r="AE826" s="679"/>
      <c r="AF826" s="680"/>
      <c r="AG826" s="681"/>
      <c r="AH826" s="680"/>
      <c r="AI826" s="681"/>
      <c r="AJ826" s="682"/>
      <c r="AK826" s="683"/>
      <c r="AL826" s="684" t="s">
        <v>162</v>
      </c>
      <c r="AM826" s="685"/>
      <c r="AN826" s="666" t="s">
        <v>162</v>
      </c>
      <c r="AO826" s="667"/>
      <c r="AP826" s="686"/>
      <c r="AQ826" s="687"/>
      <c r="AR826" s="688"/>
      <c r="AS826" s="689"/>
      <c r="AT826" s="690"/>
      <c r="AU826" s="691"/>
      <c r="AV826" s="666" t="s">
        <v>162</v>
      </c>
      <c r="AW826" s="667"/>
      <c r="AX826" s="692"/>
      <c r="AY826" s="693"/>
      <c r="AZ826" s="694"/>
      <c r="BA826" s="682"/>
      <c r="BB826" s="683"/>
      <c r="BC826" s="14"/>
      <c r="BD826" s="695" t="s">
        <v>162</v>
      </c>
      <c r="BE826" s="696"/>
      <c r="BF826" s="697"/>
      <c r="BG826" s="698"/>
      <c r="BH826" s="698"/>
      <c r="BI826" s="699"/>
      <c r="BJ826" s="700" t="s">
        <v>159</v>
      </c>
      <c r="BK826" s="701"/>
      <c r="BL826" s="701"/>
      <c r="BM826" s="702"/>
      <c r="BN826" s="703" t="s">
        <v>159</v>
      </c>
      <c r="BO826" s="704"/>
      <c r="BP826" s="704"/>
      <c r="BQ826" s="704"/>
      <c r="BR826" s="704"/>
      <c r="BS826" s="704"/>
      <c r="BT826" s="704"/>
      <c r="BU826" s="704"/>
      <c r="BV826" s="705"/>
    </row>
    <row r="827" spans="1:74" ht="45" customHeight="1" x14ac:dyDescent="0.25">
      <c r="A827" s="10">
        <f t="shared" si="12"/>
        <v>813</v>
      </c>
      <c r="B827" s="711" t="s">
        <v>159</v>
      </c>
      <c r="C827" s="711"/>
      <c r="D827" s="712" t="s">
        <v>212</v>
      </c>
      <c r="E827" s="712"/>
      <c r="F827" s="664" t="s">
        <v>162</v>
      </c>
      <c r="G827" s="665"/>
      <c r="H827" s="755" t="s">
        <v>162</v>
      </c>
      <c r="I827" s="667"/>
      <c r="J827" s="706"/>
      <c r="K827" s="707"/>
      <c r="L827" s="706"/>
      <c r="M827" s="707"/>
      <c r="N827" s="215"/>
      <c r="O827" s="216"/>
      <c r="P827" s="670"/>
      <c r="Q827" s="671"/>
      <c r="R827" s="719"/>
      <c r="S827" s="720"/>
      <c r="T827" s="721"/>
      <c r="U827" s="722"/>
      <c r="V827" s="723"/>
      <c r="W827" s="724"/>
      <c r="X827" s="725" t="s">
        <v>159</v>
      </c>
      <c r="Y827" s="725"/>
      <c r="Z827" s="725"/>
      <c r="AA827" s="725"/>
      <c r="AB827" s="726" t="s">
        <v>159</v>
      </c>
      <c r="AC827" s="726"/>
      <c r="AD827" s="726"/>
      <c r="AE827" s="726"/>
      <c r="AF827" s="727"/>
      <c r="AG827" s="728"/>
      <c r="AH827" s="727"/>
      <c r="AI827" s="728"/>
      <c r="AJ827" s="682"/>
      <c r="AK827" s="683"/>
      <c r="AL827" s="664" t="s">
        <v>162</v>
      </c>
      <c r="AM827" s="665"/>
      <c r="AN827" s="713" t="s">
        <v>162</v>
      </c>
      <c r="AO827" s="714"/>
      <c r="AP827" s="729"/>
      <c r="AQ827" s="730"/>
      <c r="AR827" s="731"/>
      <c r="AS827" s="732"/>
      <c r="AT827" s="690"/>
      <c r="AU827" s="691"/>
      <c r="AV827" s="713" t="s">
        <v>162</v>
      </c>
      <c r="AW827" s="714"/>
      <c r="AX827" s="692"/>
      <c r="AY827" s="693"/>
      <c r="AZ827" s="694"/>
      <c r="BA827" s="735"/>
      <c r="BB827" s="736"/>
      <c r="BC827" s="219"/>
      <c r="BD827" s="737" t="s">
        <v>162</v>
      </c>
      <c r="BE827" s="738"/>
      <c r="BF827" s="739"/>
      <c r="BG827" s="740"/>
      <c r="BH827" s="740"/>
      <c r="BI827" s="741"/>
      <c r="BJ827" s="742" t="s">
        <v>159</v>
      </c>
      <c r="BK827" s="743"/>
      <c r="BL827" s="743"/>
      <c r="BM827" s="744"/>
      <c r="BN827" s="703" t="s">
        <v>159</v>
      </c>
      <c r="BO827" s="704"/>
      <c r="BP827" s="704"/>
      <c r="BQ827" s="704"/>
      <c r="BR827" s="704"/>
      <c r="BS827" s="704"/>
      <c r="BT827" s="704"/>
      <c r="BU827" s="704"/>
      <c r="BV827" s="705"/>
    </row>
    <row r="828" spans="1:74" ht="45" customHeight="1" x14ac:dyDescent="0.25">
      <c r="A828" s="10">
        <f t="shared" si="12"/>
        <v>814</v>
      </c>
      <c r="B828" s="662" t="s">
        <v>159</v>
      </c>
      <c r="C828" s="662"/>
      <c r="D828" s="663" t="s">
        <v>212</v>
      </c>
      <c r="E828" s="663"/>
      <c r="F828" s="664" t="s">
        <v>162</v>
      </c>
      <c r="G828" s="665"/>
      <c r="H828" s="754" t="s">
        <v>162</v>
      </c>
      <c r="I828" s="714"/>
      <c r="J828" s="340"/>
      <c r="K828" s="341"/>
      <c r="L828" s="340"/>
      <c r="M828" s="341"/>
      <c r="N828" s="194"/>
      <c r="O828" s="196"/>
      <c r="P828" s="717"/>
      <c r="Q828" s="718"/>
      <c r="R828" s="672"/>
      <c r="S828" s="673"/>
      <c r="T828" s="674"/>
      <c r="U828" s="675"/>
      <c r="V828" s="676"/>
      <c r="W828" s="677"/>
      <c r="X828" s="678" t="s">
        <v>159</v>
      </c>
      <c r="Y828" s="678"/>
      <c r="Z828" s="678"/>
      <c r="AA828" s="678"/>
      <c r="AB828" s="679" t="s">
        <v>159</v>
      </c>
      <c r="AC828" s="679"/>
      <c r="AD828" s="679"/>
      <c r="AE828" s="679"/>
      <c r="AF828" s="680"/>
      <c r="AG828" s="681"/>
      <c r="AH828" s="680"/>
      <c r="AI828" s="681"/>
      <c r="AJ828" s="682"/>
      <c r="AK828" s="683"/>
      <c r="AL828" s="684" t="s">
        <v>162</v>
      </c>
      <c r="AM828" s="685"/>
      <c r="AN828" s="666" t="s">
        <v>162</v>
      </c>
      <c r="AO828" s="667"/>
      <c r="AP828" s="686"/>
      <c r="AQ828" s="687"/>
      <c r="AR828" s="688"/>
      <c r="AS828" s="689"/>
      <c r="AT828" s="690"/>
      <c r="AU828" s="691"/>
      <c r="AV828" s="666" t="s">
        <v>162</v>
      </c>
      <c r="AW828" s="667"/>
      <c r="AX828" s="692"/>
      <c r="AY828" s="693"/>
      <c r="AZ828" s="694"/>
      <c r="BA828" s="682"/>
      <c r="BB828" s="683"/>
      <c r="BC828" s="14"/>
      <c r="BD828" s="695" t="s">
        <v>162</v>
      </c>
      <c r="BE828" s="696"/>
      <c r="BF828" s="697"/>
      <c r="BG828" s="698"/>
      <c r="BH828" s="698"/>
      <c r="BI828" s="699"/>
      <c r="BJ828" s="700" t="s">
        <v>159</v>
      </c>
      <c r="BK828" s="701"/>
      <c r="BL828" s="701"/>
      <c r="BM828" s="702"/>
      <c r="BN828" s="703" t="s">
        <v>159</v>
      </c>
      <c r="BO828" s="704"/>
      <c r="BP828" s="704"/>
      <c r="BQ828" s="704"/>
      <c r="BR828" s="704"/>
      <c r="BS828" s="704"/>
      <c r="BT828" s="704"/>
      <c r="BU828" s="704"/>
      <c r="BV828" s="705"/>
    </row>
    <row r="829" spans="1:74" ht="45" customHeight="1" x14ac:dyDescent="0.25">
      <c r="A829" s="10">
        <f t="shared" si="12"/>
        <v>815</v>
      </c>
      <c r="B829" s="711" t="s">
        <v>159</v>
      </c>
      <c r="C829" s="711"/>
      <c r="D829" s="712" t="s">
        <v>212</v>
      </c>
      <c r="E829" s="712"/>
      <c r="F829" s="664" t="s">
        <v>162</v>
      </c>
      <c r="G829" s="665"/>
      <c r="H829" s="755" t="s">
        <v>162</v>
      </c>
      <c r="I829" s="667"/>
      <c r="J829" s="706"/>
      <c r="K829" s="707"/>
      <c r="L829" s="706"/>
      <c r="M829" s="707"/>
      <c r="N829" s="215"/>
      <c r="O829" s="216"/>
      <c r="P829" s="670"/>
      <c r="Q829" s="671"/>
      <c r="R829" s="719"/>
      <c r="S829" s="720"/>
      <c r="T829" s="721"/>
      <c r="U829" s="722"/>
      <c r="V829" s="723"/>
      <c r="W829" s="724"/>
      <c r="X829" s="725" t="s">
        <v>159</v>
      </c>
      <c r="Y829" s="725"/>
      <c r="Z829" s="725"/>
      <c r="AA829" s="725"/>
      <c r="AB829" s="726" t="s">
        <v>159</v>
      </c>
      <c r="AC829" s="726"/>
      <c r="AD829" s="726"/>
      <c r="AE829" s="726"/>
      <c r="AF829" s="727"/>
      <c r="AG829" s="728"/>
      <c r="AH829" s="727"/>
      <c r="AI829" s="728"/>
      <c r="AJ829" s="682"/>
      <c r="AK829" s="683"/>
      <c r="AL829" s="664" t="s">
        <v>162</v>
      </c>
      <c r="AM829" s="665"/>
      <c r="AN829" s="713" t="s">
        <v>162</v>
      </c>
      <c r="AO829" s="714"/>
      <c r="AP829" s="729"/>
      <c r="AQ829" s="730"/>
      <c r="AR829" s="731"/>
      <c r="AS829" s="732"/>
      <c r="AT829" s="733"/>
      <c r="AU829" s="734"/>
      <c r="AV829" s="713" t="s">
        <v>162</v>
      </c>
      <c r="AW829" s="714"/>
      <c r="AX829" s="692"/>
      <c r="AY829" s="693"/>
      <c r="AZ829" s="694"/>
      <c r="BA829" s="735"/>
      <c r="BB829" s="736"/>
      <c r="BC829" s="219"/>
      <c r="BD829" s="737" t="s">
        <v>162</v>
      </c>
      <c r="BE829" s="738"/>
      <c r="BF829" s="739"/>
      <c r="BG829" s="740"/>
      <c r="BH829" s="740"/>
      <c r="BI829" s="741"/>
      <c r="BJ829" s="742" t="s">
        <v>159</v>
      </c>
      <c r="BK829" s="743"/>
      <c r="BL829" s="743"/>
      <c r="BM829" s="744"/>
      <c r="BN829" s="703" t="s">
        <v>159</v>
      </c>
      <c r="BO829" s="704"/>
      <c r="BP829" s="704"/>
      <c r="BQ829" s="704"/>
      <c r="BR829" s="704"/>
      <c r="BS829" s="704"/>
      <c r="BT829" s="704"/>
      <c r="BU829" s="704"/>
      <c r="BV829" s="705"/>
    </row>
    <row r="830" spans="1:74" ht="45" customHeight="1" x14ac:dyDescent="0.25">
      <c r="A830" s="10">
        <f t="shared" si="12"/>
        <v>816</v>
      </c>
      <c r="B830" s="662" t="s">
        <v>159</v>
      </c>
      <c r="C830" s="662"/>
      <c r="D830" s="663" t="s">
        <v>212</v>
      </c>
      <c r="E830" s="663"/>
      <c r="F830" s="664" t="s">
        <v>162</v>
      </c>
      <c r="G830" s="665"/>
      <c r="H830" s="754" t="s">
        <v>162</v>
      </c>
      <c r="I830" s="714"/>
      <c r="J830" s="340"/>
      <c r="K830" s="341"/>
      <c r="L830" s="340"/>
      <c r="M830" s="341"/>
      <c r="N830" s="194"/>
      <c r="O830" s="196"/>
      <c r="P830" s="717"/>
      <c r="Q830" s="718"/>
      <c r="R830" s="672"/>
      <c r="S830" s="673"/>
      <c r="T830" s="674"/>
      <c r="U830" s="675"/>
      <c r="V830" s="676"/>
      <c r="W830" s="677"/>
      <c r="X830" s="678" t="s">
        <v>159</v>
      </c>
      <c r="Y830" s="678"/>
      <c r="Z830" s="678"/>
      <c r="AA830" s="678"/>
      <c r="AB830" s="679" t="s">
        <v>159</v>
      </c>
      <c r="AC830" s="679"/>
      <c r="AD830" s="679"/>
      <c r="AE830" s="679"/>
      <c r="AF830" s="680"/>
      <c r="AG830" s="681"/>
      <c r="AH830" s="680"/>
      <c r="AI830" s="681"/>
      <c r="AJ830" s="682"/>
      <c r="AK830" s="683"/>
      <c r="AL830" s="684" t="s">
        <v>162</v>
      </c>
      <c r="AM830" s="685"/>
      <c r="AN830" s="666" t="s">
        <v>162</v>
      </c>
      <c r="AO830" s="667"/>
      <c r="AP830" s="686"/>
      <c r="AQ830" s="687"/>
      <c r="AR830" s="688"/>
      <c r="AS830" s="689"/>
      <c r="AT830" s="690"/>
      <c r="AU830" s="691"/>
      <c r="AV830" s="666" t="s">
        <v>162</v>
      </c>
      <c r="AW830" s="667"/>
      <c r="AX830" s="692"/>
      <c r="AY830" s="693"/>
      <c r="AZ830" s="694"/>
      <c r="BA830" s="682"/>
      <c r="BB830" s="683"/>
      <c r="BC830" s="14"/>
      <c r="BD830" s="695" t="s">
        <v>162</v>
      </c>
      <c r="BE830" s="696"/>
      <c r="BF830" s="708"/>
      <c r="BG830" s="709"/>
      <c r="BH830" s="709"/>
      <c r="BI830" s="710"/>
      <c r="BJ830" s="700" t="s">
        <v>159</v>
      </c>
      <c r="BK830" s="701"/>
      <c r="BL830" s="701"/>
      <c r="BM830" s="702"/>
      <c r="BN830" s="703" t="s">
        <v>159</v>
      </c>
      <c r="BO830" s="704"/>
      <c r="BP830" s="704"/>
      <c r="BQ830" s="704"/>
      <c r="BR830" s="704"/>
      <c r="BS830" s="704"/>
      <c r="BT830" s="704"/>
      <c r="BU830" s="704"/>
      <c r="BV830" s="705"/>
    </row>
    <row r="831" spans="1:74" ht="45" customHeight="1" x14ac:dyDescent="0.25">
      <c r="A831" s="10">
        <f t="shared" si="12"/>
        <v>817</v>
      </c>
      <c r="B831" s="711" t="s">
        <v>159</v>
      </c>
      <c r="C831" s="711"/>
      <c r="D831" s="712" t="s">
        <v>212</v>
      </c>
      <c r="E831" s="712"/>
      <c r="F831" s="664" t="s">
        <v>162</v>
      </c>
      <c r="G831" s="665"/>
      <c r="H831" s="755" t="s">
        <v>162</v>
      </c>
      <c r="I831" s="667"/>
      <c r="J831" s="706"/>
      <c r="K831" s="707"/>
      <c r="L831" s="706"/>
      <c r="M831" s="707"/>
      <c r="N831" s="215"/>
      <c r="O831" s="216"/>
      <c r="P831" s="670"/>
      <c r="Q831" s="671"/>
      <c r="R831" s="719"/>
      <c r="S831" s="720"/>
      <c r="T831" s="721"/>
      <c r="U831" s="722"/>
      <c r="V831" s="723"/>
      <c r="W831" s="724"/>
      <c r="X831" s="725" t="s">
        <v>159</v>
      </c>
      <c r="Y831" s="725"/>
      <c r="Z831" s="725"/>
      <c r="AA831" s="725"/>
      <c r="AB831" s="726" t="s">
        <v>159</v>
      </c>
      <c r="AC831" s="726"/>
      <c r="AD831" s="726"/>
      <c r="AE831" s="726"/>
      <c r="AF831" s="727"/>
      <c r="AG831" s="728"/>
      <c r="AH831" s="727"/>
      <c r="AI831" s="728"/>
      <c r="AJ831" s="682"/>
      <c r="AK831" s="683"/>
      <c r="AL831" s="664" t="s">
        <v>162</v>
      </c>
      <c r="AM831" s="665"/>
      <c r="AN831" s="713" t="s">
        <v>162</v>
      </c>
      <c r="AO831" s="714"/>
      <c r="AP831" s="729"/>
      <c r="AQ831" s="730"/>
      <c r="AR831" s="731"/>
      <c r="AS831" s="732"/>
      <c r="AT831" s="733"/>
      <c r="AU831" s="734"/>
      <c r="AV831" s="713" t="s">
        <v>162</v>
      </c>
      <c r="AW831" s="714"/>
      <c r="AX831" s="692"/>
      <c r="AY831" s="693"/>
      <c r="AZ831" s="694"/>
      <c r="BA831" s="735"/>
      <c r="BB831" s="736"/>
      <c r="BC831" s="219"/>
      <c r="BD831" s="737" t="s">
        <v>162</v>
      </c>
      <c r="BE831" s="738"/>
      <c r="BF831" s="739"/>
      <c r="BG831" s="740"/>
      <c r="BH831" s="740"/>
      <c r="BI831" s="741"/>
      <c r="BJ831" s="742" t="s">
        <v>159</v>
      </c>
      <c r="BK831" s="743"/>
      <c r="BL831" s="743"/>
      <c r="BM831" s="744"/>
      <c r="BN831" s="703" t="s">
        <v>159</v>
      </c>
      <c r="BO831" s="704"/>
      <c r="BP831" s="704"/>
      <c r="BQ831" s="704"/>
      <c r="BR831" s="704"/>
      <c r="BS831" s="704"/>
      <c r="BT831" s="704"/>
      <c r="BU831" s="704"/>
      <c r="BV831" s="705"/>
    </row>
    <row r="832" spans="1:74" ht="45" customHeight="1" x14ac:dyDescent="0.25">
      <c r="A832" s="10">
        <f t="shared" si="12"/>
        <v>818</v>
      </c>
      <c r="B832" s="662" t="s">
        <v>159</v>
      </c>
      <c r="C832" s="662"/>
      <c r="D832" s="663" t="s">
        <v>212</v>
      </c>
      <c r="E832" s="663"/>
      <c r="F832" s="664" t="s">
        <v>162</v>
      </c>
      <c r="G832" s="665"/>
      <c r="H832" s="754" t="s">
        <v>162</v>
      </c>
      <c r="I832" s="714"/>
      <c r="J832" s="340"/>
      <c r="K832" s="341"/>
      <c r="L832" s="340"/>
      <c r="M832" s="341"/>
      <c r="N832" s="194"/>
      <c r="O832" s="196"/>
      <c r="P832" s="717"/>
      <c r="Q832" s="718"/>
      <c r="R832" s="672"/>
      <c r="S832" s="673"/>
      <c r="T832" s="674"/>
      <c r="U832" s="675"/>
      <c r="V832" s="676"/>
      <c r="W832" s="677"/>
      <c r="X832" s="678" t="s">
        <v>159</v>
      </c>
      <c r="Y832" s="678"/>
      <c r="Z832" s="678"/>
      <c r="AA832" s="678"/>
      <c r="AB832" s="679" t="s">
        <v>159</v>
      </c>
      <c r="AC832" s="679"/>
      <c r="AD832" s="679"/>
      <c r="AE832" s="679"/>
      <c r="AF832" s="680"/>
      <c r="AG832" s="681"/>
      <c r="AH832" s="680"/>
      <c r="AI832" s="681"/>
      <c r="AJ832" s="682"/>
      <c r="AK832" s="683"/>
      <c r="AL832" s="684" t="s">
        <v>162</v>
      </c>
      <c r="AM832" s="685"/>
      <c r="AN832" s="666" t="s">
        <v>162</v>
      </c>
      <c r="AO832" s="667"/>
      <c r="AP832" s="686"/>
      <c r="AQ832" s="687"/>
      <c r="AR832" s="688"/>
      <c r="AS832" s="689"/>
      <c r="AT832" s="690"/>
      <c r="AU832" s="691"/>
      <c r="AV832" s="666" t="s">
        <v>162</v>
      </c>
      <c r="AW832" s="667"/>
      <c r="AX832" s="692"/>
      <c r="AY832" s="693"/>
      <c r="AZ832" s="694"/>
      <c r="BA832" s="682"/>
      <c r="BB832" s="683"/>
      <c r="BC832" s="14"/>
      <c r="BD832" s="695" t="s">
        <v>162</v>
      </c>
      <c r="BE832" s="696"/>
      <c r="BF832" s="697"/>
      <c r="BG832" s="698"/>
      <c r="BH832" s="698"/>
      <c r="BI832" s="699"/>
      <c r="BJ832" s="700" t="s">
        <v>159</v>
      </c>
      <c r="BK832" s="701"/>
      <c r="BL832" s="701"/>
      <c r="BM832" s="702"/>
      <c r="BN832" s="703" t="s">
        <v>159</v>
      </c>
      <c r="BO832" s="704"/>
      <c r="BP832" s="704"/>
      <c r="BQ832" s="704"/>
      <c r="BR832" s="704"/>
      <c r="BS832" s="704"/>
      <c r="BT832" s="704"/>
      <c r="BU832" s="704"/>
      <c r="BV832" s="705"/>
    </row>
    <row r="833" spans="1:74" ht="45" customHeight="1" x14ac:dyDescent="0.25">
      <c r="A833" s="10">
        <f t="shared" si="12"/>
        <v>819</v>
      </c>
      <c r="B833" s="711" t="s">
        <v>159</v>
      </c>
      <c r="C833" s="711"/>
      <c r="D833" s="712" t="s">
        <v>212</v>
      </c>
      <c r="E833" s="712"/>
      <c r="F833" s="664" t="s">
        <v>162</v>
      </c>
      <c r="G833" s="665"/>
      <c r="H833" s="755" t="s">
        <v>162</v>
      </c>
      <c r="I833" s="667"/>
      <c r="J833" s="706"/>
      <c r="K833" s="707"/>
      <c r="L833" s="706"/>
      <c r="M833" s="707"/>
      <c r="N833" s="215"/>
      <c r="O833" s="216"/>
      <c r="P833" s="670"/>
      <c r="Q833" s="671"/>
      <c r="R833" s="719"/>
      <c r="S833" s="720"/>
      <c r="T833" s="721"/>
      <c r="U833" s="722"/>
      <c r="V833" s="723"/>
      <c r="W833" s="724"/>
      <c r="X833" s="725" t="s">
        <v>159</v>
      </c>
      <c r="Y833" s="725"/>
      <c r="Z833" s="725"/>
      <c r="AA833" s="725"/>
      <c r="AB833" s="726" t="s">
        <v>159</v>
      </c>
      <c r="AC833" s="726"/>
      <c r="AD833" s="726"/>
      <c r="AE833" s="726"/>
      <c r="AF833" s="727"/>
      <c r="AG833" s="728"/>
      <c r="AH833" s="727"/>
      <c r="AI833" s="728"/>
      <c r="AJ833" s="682"/>
      <c r="AK833" s="683"/>
      <c r="AL833" s="664" t="s">
        <v>162</v>
      </c>
      <c r="AM833" s="665"/>
      <c r="AN833" s="713" t="s">
        <v>162</v>
      </c>
      <c r="AO833" s="714"/>
      <c r="AP833" s="729"/>
      <c r="AQ833" s="730"/>
      <c r="AR833" s="731"/>
      <c r="AS833" s="732"/>
      <c r="AT833" s="733"/>
      <c r="AU833" s="734"/>
      <c r="AV833" s="713" t="s">
        <v>162</v>
      </c>
      <c r="AW833" s="714"/>
      <c r="AX833" s="692"/>
      <c r="AY833" s="693"/>
      <c r="AZ833" s="694"/>
      <c r="BA833" s="735"/>
      <c r="BB833" s="736"/>
      <c r="BC833" s="219"/>
      <c r="BD833" s="737" t="s">
        <v>162</v>
      </c>
      <c r="BE833" s="738"/>
      <c r="BF833" s="739"/>
      <c r="BG833" s="740"/>
      <c r="BH833" s="740"/>
      <c r="BI833" s="741"/>
      <c r="BJ833" s="742" t="s">
        <v>159</v>
      </c>
      <c r="BK833" s="743"/>
      <c r="BL833" s="743"/>
      <c r="BM833" s="744"/>
      <c r="BN833" s="703" t="s">
        <v>159</v>
      </c>
      <c r="BO833" s="704"/>
      <c r="BP833" s="704"/>
      <c r="BQ833" s="704"/>
      <c r="BR833" s="704"/>
      <c r="BS833" s="704"/>
      <c r="BT833" s="704"/>
      <c r="BU833" s="704"/>
      <c r="BV833" s="705"/>
    </row>
    <row r="834" spans="1:74" ht="45" customHeight="1" x14ac:dyDescent="0.25">
      <c r="A834" s="10">
        <f t="shared" si="12"/>
        <v>820</v>
      </c>
      <c r="B834" s="662" t="s">
        <v>159</v>
      </c>
      <c r="C834" s="662"/>
      <c r="D834" s="663" t="s">
        <v>212</v>
      </c>
      <c r="E834" s="663"/>
      <c r="F834" s="664" t="s">
        <v>162</v>
      </c>
      <c r="G834" s="665"/>
      <c r="H834" s="754" t="s">
        <v>162</v>
      </c>
      <c r="I834" s="714"/>
      <c r="J834" s="340"/>
      <c r="K834" s="341"/>
      <c r="L834" s="340"/>
      <c r="M834" s="341"/>
      <c r="N834" s="194"/>
      <c r="O834" s="196"/>
      <c r="P834" s="717"/>
      <c r="Q834" s="718"/>
      <c r="R834" s="672"/>
      <c r="S834" s="673"/>
      <c r="T834" s="674"/>
      <c r="U834" s="675"/>
      <c r="V834" s="676"/>
      <c r="W834" s="677"/>
      <c r="X834" s="678" t="s">
        <v>159</v>
      </c>
      <c r="Y834" s="678"/>
      <c r="Z834" s="678"/>
      <c r="AA834" s="678"/>
      <c r="AB834" s="679" t="s">
        <v>159</v>
      </c>
      <c r="AC834" s="679"/>
      <c r="AD834" s="679"/>
      <c r="AE834" s="679"/>
      <c r="AF834" s="680"/>
      <c r="AG834" s="681"/>
      <c r="AH834" s="680"/>
      <c r="AI834" s="681"/>
      <c r="AJ834" s="682"/>
      <c r="AK834" s="683"/>
      <c r="AL834" s="684" t="s">
        <v>162</v>
      </c>
      <c r="AM834" s="685"/>
      <c r="AN834" s="666" t="s">
        <v>162</v>
      </c>
      <c r="AO834" s="667"/>
      <c r="AP834" s="686"/>
      <c r="AQ834" s="687"/>
      <c r="AR834" s="688"/>
      <c r="AS834" s="689"/>
      <c r="AT834" s="690"/>
      <c r="AU834" s="691"/>
      <c r="AV834" s="666" t="s">
        <v>162</v>
      </c>
      <c r="AW834" s="667"/>
      <c r="AX834" s="692"/>
      <c r="AY834" s="693"/>
      <c r="AZ834" s="694"/>
      <c r="BA834" s="682"/>
      <c r="BB834" s="683"/>
      <c r="BC834" s="14"/>
      <c r="BD834" s="695" t="s">
        <v>162</v>
      </c>
      <c r="BE834" s="696"/>
      <c r="BF834" s="697"/>
      <c r="BG834" s="698"/>
      <c r="BH834" s="698"/>
      <c r="BI834" s="699"/>
      <c r="BJ834" s="700" t="s">
        <v>159</v>
      </c>
      <c r="BK834" s="701"/>
      <c r="BL834" s="701"/>
      <c r="BM834" s="702"/>
      <c r="BN834" s="703" t="s">
        <v>159</v>
      </c>
      <c r="BO834" s="704"/>
      <c r="BP834" s="704"/>
      <c r="BQ834" s="704"/>
      <c r="BR834" s="704"/>
      <c r="BS834" s="704"/>
      <c r="BT834" s="704"/>
      <c r="BU834" s="704"/>
      <c r="BV834" s="705"/>
    </row>
    <row r="835" spans="1:74" ht="45" customHeight="1" x14ac:dyDescent="0.25">
      <c r="A835" s="10">
        <f t="shared" si="12"/>
        <v>821</v>
      </c>
      <c r="B835" s="711" t="s">
        <v>159</v>
      </c>
      <c r="C835" s="711"/>
      <c r="D835" s="712" t="s">
        <v>212</v>
      </c>
      <c r="E835" s="712"/>
      <c r="F835" s="664" t="s">
        <v>162</v>
      </c>
      <c r="G835" s="665"/>
      <c r="H835" s="755" t="s">
        <v>162</v>
      </c>
      <c r="I835" s="667"/>
      <c r="J835" s="706"/>
      <c r="K835" s="707"/>
      <c r="L835" s="706"/>
      <c r="M835" s="707"/>
      <c r="N835" s="215"/>
      <c r="O835" s="216"/>
      <c r="P835" s="670"/>
      <c r="Q835" s="671"/>
      <c r="R835" s="719"/>
      <c r="S835" s="720"/>
      <c r="T835" s="721"/>
      <c r="U835" s="722"/>
      <c r="V835" s="723"/>
      <c r="W835" s="724"/>
      <c r="X835" s="725" t="s">
        <v>159</v>
      </c>
      <c r="Y835" s="725"/>
      <c r="Z835" s="725"/>
      <c r="AA835" s="725"/>
      <c r="AB835" s="726" t="s">
        <v>159</v>
      </c>
      <c r="AC835" s="726"/>
      <c r="AD835" s="726"/>
      <c r="AE835" s="726"/>
      <c r="AF835" s="727"/>
      <c r="AG835" s="728"/>
      <c r="AH835" s="727"/>
      <c r="AI835" s="728"/>
      <c r="AJ835" s="682"/>
      <c r="AK835" s="683"/>
      <c r="AL835" s="664" t="s">
        <v>162</v>
      </c>
      <c r="AM835" s="665"/>
      <c r="AN835" s="713" t="s">
        <v>162</v>
      </c>
      <c r="AO835" s="714"/>
      <c r="AP835" s="729"/>
      <c r="AQ835" s="730"/>
      <c r="AR835" s="731"/>
      <c r="AS835" s="732"/>
      <c r="AT835" s="733"/>
      <c r="AU835" s="734"/>
      <c r="AV835" s="713" t="s">
        <v>162</v>
      </c>
      <c r="AW835" s="714"/>
      <c r="AX835" s="692"/>
      <c r="AY835" s="693"/>
      <c r="AZ835" s="694"/>
      <c r="BA835" s="735"/>
      <c r="BB835" s="736"/>
      <c r="BC835" s="219"/>
      <c r="BD835" s="737" t="s">
        <v>162</v>
      </c>
      <c r="BE835" s="738"/>
      <c r="BF835" s="739"/>
      <c r="BG835" s="740"/>
      <c r="BH835" s="740"/>
      <c r="BI835" s="741"/>
      <c r="BJ835" s="742" t="s">
        <v>159</v>
      </c>
      <c r="BK835" s="743"/>
      <c r="BL835" s="743"/>
      <c r="BM835" s="744"/>
      <c r="BN835" s="703" t="s">
        <v>159</v>
      </c>
      <c r="BO835" s="704"/>
      <c r="BP835" s="704"/>
      <c r="BQ835" s="704"/>
      <c r="BR835" s="704"/>
      <c r="BS835" s="704"/>
      <c r="BT835" s="704"/>
      <c r="BU835" s="704"/>
      <c r="BV835" s="705"/>
    </row>
    <row r="836" spans="1:74" ht="45" customHeight="1" x14ac:dyDescent="0.25">
      <c r="A836" s="10">
        <f t="shared" si="12"/>
        <v>822</v>
      </c>
      <c r="B836" s="662" t="s">
        <v>159</v>
      </c>
      <c r="C836" s="662"/>
      <c r="D836" s="663" t="s">
        <v>212</v>
      </c>
      <c r="E836" s="663"/>
      <c r="F836" s="664" t="s">
        <v>162</v>
      </c>
      <c r="G836" s="665"/>
      <c r="H836" s="754" t="s">
        <v>162</v>
      </c>
      <c r="I836" s="714"/>
      <c r="J836" s="340"/>
      <c r="K836" s="341"/>
      <c r="L836" s="340"/>
      <c r="M836" s="341"/>
      <c r="N836" s="194"/>
      <c r="O836" s="196"/>
      <c r="P836" s="717"/>
      <c r="Q836" s="718"/>
      <c r="R836" s="672"/>
      <c r="S836" s="673"/>
      <c r="T836" s="674"/>
      <c r="U836" s="675"/>
      <c r="V836" s="676"/>
      <c r="W836" s="677"/>
      <c r="X836" s="678" t="s">
        <v>159</v>
      </c>
      <c r="Y836" s="678"/>
      <c r="Z836" s="678"/>
      <c r="AA836" s="678"/>
      <c r="AB836" s="679" t="s">
        <v>159</v>
      </c>
      <c r="AC836" s="679"/>
      <c r="AD836" s="679"/>
      <c r="AE836" s="679"/>
      <c r="AF836" s="680"/>
      <c r="AG836" s="681"/>
      <c r="AH836" s="680"/>
      <c r="AI836" s="681"/>
      <c r="AJ836" s="682"/>
      <c r="AK836" s="683"/>
      <c r="AL836" s="684" t="s">
        <v>162</v>
      </c>
      <c r="AM836" s="685"/>
      <c r="AN836" s="666" t="s">
        <v>162</v>
      </c>
      <c r="AO836" s="667"/>
      <c r="AP836" s="686"/>
      <c r="AQ836" s="687"/>
      <c r="AR836" s="688"/>
      <c r="AS836" s="689"/>
      <c r="AT836" s="690"/>
      <c r="AU836" s="691"/>
      <c r="AV836" s="666" t="s">
        <v>162</v>
      </c>
      <c r="AW836" s="667"/>
      <c r="AX836" s="692"/>
      <c r="AY836" s="693"/>
      <c r="AZ836" s="694"/>
      <c r="BA836" s="682"/>
      <c r="BB836" s="683"/>
      <c r="BC836" s="14"/>
      <c r="BD836" s="695" t="s">
        <v>162</v>
      </c>
      <c r="BE836" s="696"/>
      <c r="BF836" s="708"/>
      <c r="BG836" s="709"/>
      <c r="BH836" s="709"/>
      <c r="BI836" s="710"/>
      <c r="BJ836" s="700" t="s">
        <v>159</v>
      </c>
      <c r="BK836" s="701"/>
      <c r="BL836" s="701"/>
      <c r="BM836" s="702"/>
      <c r="BN836" s="703" t="s">
        <v>159</v>
      </c>
      <c r="BO836" s="704"/>
      <c r="BP836" s="704"/>
      <c r="BQ836" s="704"/>
      <c r="BR836" s="704"/>
      <c r="BS836" s="704"/>
      <c r="BT836" s="704"/>
      <c r="BU836" s="704"/>
      <c r="BV836" s="705"/>
    </row>
    <row r="837" spans="1:74" ht="45" customHeight="1" x14ac:dyDescent="0.25">
      <c r="A837" s="10">
        <f t="shared" si="12"/>
        <v>823</v>
      </c>
      <c r="B837" s="711" t="s">
        <v>159</v>
      </c>
      <c r="C837" s="711"/>
      <c r="D837" s="712" t="s">
        <v>212</v>
      </c>
      <c r="E837" s="712"/>
      <c r="F837" s="664" t="s">
        <v>162</v>
      </c>
      <c r="G837" s="665"/>
      <c r="H837" s="755" t="s">
        <v>162</v>
      </c>
      <c r="I837" s="667"/>
      <c r="J837" s="706"/>
      <c r="K837" s="707"/>
      <c r="L837" s="706"/>
      <c r="M837" s="707"/>
      <c r="N837" s="215"/>
      <c r="O837" s="216"/>
      <c r="P837" s="670"/>
      <c r="Q837" s="671"/>
      <c r="R837" s="719"/>
      <c r="S837" s="720"/>
      <c r="T837" s="721"/>
      <c r="U837" s="722"/>
      <c r="V837" s="723"/>
      <c r="W837" s="724"/>
      <c r="X837" s="725" t="s">
        <v>159</v>
      </c>
      <c r="Y837" s="725"/>
      <c r="Z837" s="725"/>
      <c r="AA837" s="725"/>
      <c r="AB837" s="726" t="s">
        <v>159</v>
      </c>
      <c r="AC837" s="726"/>
      <c r="AD837" s="726"/>
      <c r="AE837" s="726"/>
      <c r="AF837" s="727"/>
      <c r="AG837" s="728"/>
      <c r="AH837" s="727"/>
      <c r="AI837" s="728"/>
      <c r="AJ837" s="682"/>
      <c r="AK837" s="683"/>
      <c r="AL837" s="664" t="s">
        <v>162</v>
      </c>
      <c r="AM837" s="665"/>
      <c r="AN837" s="713" t="s">
        <v>162</v>
      </c>
      <c r="AO837" s="714"/>
      <c r="AP837" s="729"/>
      <c r="AQ837" s="730"/>
      <c r="AR837" s="731"/>
      <c r="AS837" s="732"/>
      <c r="AT837" s="733"/>
      <c r="AU837" s="734"/>
      <c r="AV837" s="713" t="s">
        <v>162</v>
      </c>
      <c r="AW837" s="714"/>
      <c r="AX837" s="692"/>
      <c r="AY837" s="693"/>
      <c r="AZ837" s="694"/>
      <c r="BA837" s="735"/>
      <c r="BB837" s="736"/>
      <c r="BC837" s="219"/>
      <c r="BD837" s="737" t="s">
        <v>162</v>
      </c>
      <c r="BE837" s="738"/>
      <c r="BF837" s="739"/>
      <c r="BG837" s="740"/>
      <c r="BH837" s="740"/>
      <c r="BI837" s="741"/>
      <c r="BJ837" s="742" t="s">
        <v>159</v>
      </c>
      <c r="BK837" s="743"/>
      <c r="BL837" s="743"/>
      <c r="BM837" s="744"/>
      <c r="BN837" s="703" t="s">
        <v>159</v>
      </c>
      <c r="BO837" s="704"/>
      <c r="BP837" s="704"/>
      <c r="BQ837" s="704"/>
      <c r="BR837" s="704"/>
      <c r="BS837" s="704"/>
      <c r="BT837" s="704"/>
      <c r="BU837" s="704"/>
      <c r="BV837" s="705"/>
    </row>
    <row r="838" spans="1:74" ht="45" customHeight="1" x14ac:dyDescent="0.25">
      <c r="A838" s="10">
        <f t="shared" si="12"/>
        <v>824</v>
      </c>
      <c r="B838" s="662" t="s">
        <v>159</v>
      </c>
      <c r="C838" s="662"/>
      <c r="D838" s="663" t="s">
        <v>212</v>
      </c>
      <c r="E838" s="663"/>
      <c r="F838" s="664" t="s">
        <v>162</v>
      </c>
      <c r="G838" s="665"/>
      <c r="H838" s="754" t="s">
        <v>162</v>
      </c>
      <c r="I838" s="714"/>
      <c r="J838" s="340"/>
      <c r="K838" s="341"/>
      <c r="L838" s="340"/>
      <c r="M838" s="341"/>
      <c r="N838" s="194"/>
      <c r="O838" s="196"/>
      <c r="P838" s="717"/>
      <c r="Q838" s="718"/>
      <c r="R838" s="672"/>
      <c r="S838" s="673"/>
      <c r="T838" s="674"/>
      <c r="U838" s="675"/>
      <c r="V838" s="676"/>
      <c r="W838" s="677"/>
      <c r="X838" s="678" t="s">
        <v>159</v>
      </c>
      <c r="Y838" s="678"/>
      <c r="Z838" s="678"/>
      <c r="AA838" s="678"/>
      <c r="AB838" s="679" t="s">
        <v>159</v>
      </c>
      <c r="AC838" s="679"/>
      <c r="AD838" s="679"/>
      <c r="AE838" s="679"/>
      <c r="AF838" s="680"/>
      <c r="AG838" s="681"/>
      <c r="AH838" s="680"/>
      <c r="AI838" s="681"/>
      <c r="AJ838" s="682"/>
      <c r="AK838" s="683"/>
      <c r="AL838" s="684" t="s">
        <v>162</v>
      </c>
      <c r="AM838" s="685"/>
      <c r="AN838" s="666" t="s">
        <v>162</v>
      </c>
      <c r="AO838" s="667"/>
      <c r="AP838" s="686"/>
      <c r="AQ838" s="687"/>
      <c r="AR838" s="688"/>
      <c r="AS838" s="689"/>
      <c r="AT838" s="690"/>
      <c r="AU838" s="691"/>
      <c r="AV838" s="666" t="s">
        <v>162</v>
      </c>
      <c r="AW838" s="667"/>
      <c r="AX838" s="692"/>
      <c r="AY838" s="693"/>
      <c r="AZ838" s="694"/>
      <c r="BA838" s="682"/>
      <c r="BB838" s="683"/>
      <c r="BC838" s="14"/>
      <c r="BD838" s="695" t="s">
        <v>162</v>
      </c>
      <c r="BE838" s="696"/>
      <c r="BF838" s="697"/>
      <c r="BG838" s="698"/>
      <c r="BH838" s="698"/>
      <c r="BI838" s="699"/>
      <c r="BJ838" s="700" t="s">
        <v>159</v>
      </c>
      <c r="BK838" s="701"/>
      <c r="BL838" s="701"/>
      <c r="BM838" s="702"/>
      <c r="BN838" s="703" t="s">
        <v>159</v>
      </c>
      <c r="BO838" s="704"/>
      <c r="BP838" s="704"/>
      <c r="BQ838" s="704"/>
      <c r="BR838" s="704"/>
      <c r="BS838" s="704"/>
      <c r="BT838" s="704"/>
      <c r="BU838" s="704"/>
      <c r="BV838" s="705"/>
    </row>
    <row r="839" spans="1:74" ht="45" customHeight="1" x14ac:dyDescent="0.25">
      <c r="A839" s="10">
        <f t="shared" si="12"/>
        <v>825</v>
      </c>
      <c r="B839" s="711" t="s">
        <v>159</v>
      </c>
      <c r="C839" s="711"/>
      <c r="D839" s="712" t="s">
        <v>212</v>
      </c>
      <c r="E839" s="712"/>
      <c r="F839" s="664" t="s">
        <v>162</v>
      </c>
      <c r="G839" s="665"/>
      <c r="H839" s="755" t="s">
        <v>162</v>
      </c>
      <c r="I839" s="667"/>
      <c r="J839" s="706"/>
      <c r="K839" s="707"/>
      <c r="L839" s="706"/>
      <c r="M839" s="707"/>
      <c r="N839" s="215"/>
      <c r="O839" s="216"/>
      <c r="P839" s="670"/>
      <c r="Q839" s="671"/>
      <c r="R839" s="719"/>
      <c r="S839" s="720"/>
      <c r="T839" s="721"/>
      <c r="U839" s="722"/>
      <c r="V839" s="723"/>
      <c r="W839" s="724"/>
      <c r="X839" s="725" t="s">
        <v>159</v>
      </c>
      <c r="Y839" s="725"/>
      <c r="Z839" s="725"/>
      <c r="AA839" s="725"/>
      <c r="AB839" s="726" t="s">
        <v>159</v>
      </c>
      <c r="AC839" s="726"/>
      <c r="AD839" s="726"/>
      <c r="AE839" s="726"/>
      <c r="AF839" s="727"/>
      <c r="AG839" s="728"/>
      <c r="AH839" s="727"/>
      <c r="AI839" s="728"/>
      <c r="AJ839" s="682"/>
      <c r="AK839" s="683"/>
      <c r="AL839" s="664" t="s">
        <v>162</v>
      </c>
      <c r="AM839" s="665"/>
      <c r="AN839" s="713" t="s">
        <v>162</v>
      </c>
      <c r="AO839" s="714"/>
      <c r="AP839" s="729"/>
      <c r="AQ839" s="730"/>
      <c r="AR839" s="731"/>
      <c r="AS839" s="732"/>
      <c r="AT839" s="690"/>
      <c r="AU839" s="691"/>
      <c r="AV839" s="713" t="s">
        <v>162</v>
      </c>
      <c r="AW839" s="714"/>
      <c r="AX839" s="692"/>
      <c r="AY839" s="693"/>
      <c r="AZ839" s="694"/>
      <c r="BA839" s="735"/>
      <c r="BB839" s="736"/>
      <c r="BC839" s="219"/>
      <c r="BD839" s="737" t="s">
        <v>162</v>
      </c>
      <c r="BE839" s="738"/>
      <c r="BF839" s="739"/>
      <c r="BG839" s="740"/>
      <c r="BH839" s="740"/>
      <c r="BI839" s="741"/>
      <c r="BJ839" s="742" t="s">
        <v>159</v>
      </c>
      <c r="BK839" s="743"/>
      <c r="BL839" s="743"/>
      <c r="BM839" s="744"/>
      <c r="BN839" s="703" t="s">
        <v>159</v>
      </c>
      <c r="BO839" s="704"/>
      <c r="BP839" s="704"/>
      <c r="BQ839" s="704"/>
      <c r="BR839" s="704"/>
      <c r="BS839" s="704"/>
      <c r="BT839" s="704"/>
      <c r="BU839" s="704"/>
      <c r="BV839" s="705"/>
    </row>
    <row r="840" spans="1:74" ht="45" customHeight="1" x14ac:dyDescent="0.25">
      <c r="A840" s="10">
        <f t="shared" si="12"/>
        <v>826</v>
      </c>
      <c r="B840" s="662" t="s">
        <v>159</v>
      </c>
      <c r="C840" s="662"/>
      <c r="D840" s="663" t="s">
        <v>212</v>
      </c>
      <c r="E840" s="663"/>
      <c r="F840" s="664" t="s">
        <v>162</v>
      </c>
      <c r="G840" s="665"/>
      <c r="H840" s="754" t="s">
        <v>162</v>
      </c>
      <c r="I840" s="714"/>
      <c r="J840" s="340"/>
      <c r="K840" s="341"/>
      <c r="L840" s="340"/>
      <c r="M840" s="341"/>
      <c r="N840" s="194"/>
      <c r="O840" s="196"/>
      <c r="P840" s="717"/>
      <c r="Q840" s="718"/>
      <c r="R840" s="672"/>
      <c r="S840" s="673"/>
      <c r="T840" s="674"/>
      <c r="U840" s="675"/>
      <c r="V840" s="676"/>
      <c r="W840" s="677"/>
      <c r="X840" s="678" t="s">
        <v>159</v>
      </c>
      <c r="Y840" s="678"/>
      <c r="Z840" s="678"/>
      <c r="AA840" s="678"/>
      <c r="AB840" s="679" t="s">
        <v>159</v>
      </c>
      <c r="AC840" s="679"/>
      <c r="AD840" s="679"/>
      <c r="AE840" s="679"/>
      <c r="AF840" s="680"/>
      <c r="AG840" s="681"/>
      <c r="AH840" s="680"/>
      <c r="AI840" s="681"/>
      <c r="AJ840" s="682"/>
      <c r="AK840" s="683"/>
      <c r="AL840" s="684" t="s">
        <v>162</v>
      </c>
      <c r="AM840" s="685"/>
      <c r="AN840" s="666" t="s">
        <v>162</v>
      </c>
      <c r="AO840" s="667"/>
      <c r="AP840" s="686"/>
      <c r="AQ840" s="687"/>
      <c r="AR840" s="688"/>
      <c r="AS840" s="689"/>
      <c r="AT840" s="690"/>
      <c r="AU840" s="691"/>
      <c r="AV840" s="666" t="s">
        <v>162</v>
      </c>
      <c r="AW840" s="667"/>
      <c r="AX840" s="692"/>
      <c r="AY840" s="693"/>
      <c r="AZ840" s="694"/>
      <c r="BA840" s="682"/>
      <c r="BB840" s="683"/>
      <c r="BC840" s="14"/>
      <c r="BD840" s="695" t="s">
        <v>162</v>
      </c>
      <c r="BE840" s="696"/>
      <c r="BF840" s="697"/>
      <c r="BG840" s="698"/>
      <c r="BH840" s="698"/>
      <c r="BI840" s="699"/>
      <c r="BJ840" s="700" t="s">
        <v>159</v>
      </c>
      <c r="BK840" s="701"/>
      <c r="BL840" s="701"/>
      <c r="BM840" s="702"/>
      <c r="BN840" s="703" t="s">
        <v>159</v>
      </c>
      <c r="BO840" s="704"/>
      <c r="BP840" s="704"/>
      <c r="BQ840" s="704"/>
      <c r="BR840" s="704"/>
      <c r="BS840" s="704"/>
      <c r="BT840" s="704"/>
      <c r="BU840" s="704"/>
      <c r="BV840" s="705"/>
    </row>
    <row r="841" spans="1:74" ht="45" customHeight="1" x14ac:dyDescent="0.25">
      <c r="A841" s="10">
        <f t="shared" si="12"/>
        <v>827</v>
      </c>
      <c r="B841" s="711" t="s">
        <v>159</v>
      </c>
      <c r="C841" s="711"/>
      <c r="D841" s="712" t="s">
        <v>212</v>
      </c>
      <c r="E841" s="712"/>
      <c r="F841" s="664" t="s">
        <v>162</v>
      </c>
      <c r="G841" s="665"/>
      <c r="H841" s="755" t="s">
        <v>162</v>
      </c>
      <c r="I841" s="667"/>
      <c r="J841" s="706"/>
      <c r="K841" s="707"/>
      <c r="L841" s="706"/>
      <c r="M841" s="707"/>
      <c r="N841" s="215"/>
      <c r="O841" s="216"/>
      <c r="P841" s="670"/>
      <c r="Q841" s="671"/>
      <c r="R841" s="719"/>
      <c r="S841" s="720"/>
      <c r="T841" s="721"/>
      <c r="U841" s="722"/>
      <c r="V841" s="723"/>
      <c r="W841" s="724"/>
      <c r="X841" s="725" t="s">
        <v>159</v>
      </c>
      <c r="Y841" s="725"/>
      <c r="Z841" s="725"/>
      <c r="AA841" s="725"/>
      <c r="AB841" s="726" t="s">
        <v>159</v>
      </c>
      <c r="AC841" s="726"/>
      <c r="AD841" s="726"/>
      <c r="AE841" s="726"/>
      <c r="AF841" s="727"/>
      <c r="AG841" s="728"/>
      <c r="AH841" s="727"/>
      <c r="AI841" s="728"/>
      <c r="AJ841" s="682"/>
      <c r="AK841" s="683"/>
      <c r="AL841" s="664" t="s">
        <v>162</v>
      </c>
      <c r="AM841" s="665"/>
      <c r="AN841" s="713" t="s">
        <v>162</v>
      </c>
      <c r="AO841" s="714"/>
      <c r="AP841" s="729"/>
      <c r="AQ841" s="730"/>
      <c r="AR841" s="731"/>
      <c r="AS841" s="732"/>
      <c r="AT841" s="690"/>
      <c r="AU841" s="691"/>
      <c r="AV841" s="713" t="s">
        <v>162</v>
      </c>
      <c r="AW841" s="714"/>
      <c r="AX841" s="692"/>
      <c r="AY841" s="693"/>
      <c r="AZ841" s="694"/>
      <c r="BA841" s="735"/>
      <c r="BB841" s="736"/>
      <c r="BC841" s="219"/>
      <c r="BD841" s="737" t="s">
        <v>162</v>
      </c>
      <c r="BE841" s="738"/>
      <c r="BF841" s="739"/>
      <c r="BG841" s="740"/>
      <c r="BH841" s="740"/>
      <c r="BI841" s="741"/>
      <c r="BJ841" s="742" t="s">
        <v>159</v>
      </c>
      <c r="BK841" s="743"/>
      <c r="BL841" s="743"/>
      <c r="BM841" s="744"/>
      <c r="BN841" s="703" t="s">
        <v>159</v>
      </c>
      <c r="BO841" s="704"/>
      <c r="BP841" s="704"/>
      <c r="BQ841" s="704"/>
      <c r="BR841" s="704"/>
      <c r="BS841" s="704"/>
      <c r="BT841" s="704"/>
      <c r="BU841" s="704"/>
      <c r="BV841" s="705"/>
    </row>
    <row r="842" spans="1:74" ht="45" customHeight="1" x14ac:dyDescent="0.25">
      <c r="A842" s="10">
        <f t="shared" si="12"/>
        <v>828</v>
      </c>
      <c r="B842" s="662" t="s">
        <v>159</v>
      </c>
      <c r="C842" s="662"/>
      <c r="D842" s="663" t="s">
        <v>212</v>
      </c>
      <c r="E842" s="663"/>
      <c r="F842" s="664" t="s">
        <v>162</v>
      </c>
      <c r="G842" s="665"/>
      <c r="H842" s="754" t="s">
        <v>162</v>
      </c>
      <c r="I842" s="714"/>
      <c r="J842" s="340"/>
      <c r="K842" s="341"/>
      <c r="L842" s="340"/>
      <c r="M842" s="341"/>
      <c r="N842" s="194"/>
      <c r="O842" s="196"/>
      <c r="P842" s="717"/>
      <c r="Q842" s="718"/>
      <c r="R842" s="672"/>
      <c r="S842" s="673"/>
      <c r="T842" s="674"/>
      <c r="U842" s="675"/>
      <c r="V842" s="676"/>
      <c r="W842" s="677"/>
      <c r="X842" s="678" t="s">
        <v>159</v>
      </c>
      <c r="Y842" s="678"/>
      <c r="Z842" s="678"/>
      <c r="AA842" s="678"/>
      <c r="AB842" s="679" t="s">
        <v>159</v>
      </c>
      <c r="AC842" s="679"/>
      <c r="AD842" s="679"/>
      <c r="AE842" s="679"/>
      <c r="AF842" s="680"/>
      <c r="AG842" s="681"/>
      <c r="AH842" s="680"/>
      <c r="AI842" s="681"/>
      <c r="AJ842" s="682"/>
      <c r="AK842" s="683"/>
      <c r="AL842" s="684" t="s">
        <v>162</v>
      </c>
      <c r="AM842" s="685"/>
      <c r="AN842" s="666" t="s">
        <v>162</v>
      </c>
      <c r="AO842" s="667"/>
      <c r="AP842" s="686"/>
      <c r="AQ842" s="687"/>
      <c r="AR842" s="688"/>
      <c r="AS842" s="689"/>
      <c r="AT842" s="690"/>
      <c r="AU842" s="691"/>
      <c r="AV842" s="666" t="s">
        <v>162</v>
      </c>
      <c r="AW842" s="667"/>
      <c r="AX842" s="692"/>
      <c r="AY842" s="693"/>
      <c r="AZ842" s="694"/>
      <c r="BA842" s="682"/>
      <c r="BB842" s="683"/>
      <c r="BC842" s="14"/>
      <c r="BD842" s="695" t="s">
        <v>162</v>
      </c>
      <c r="BE842" s="696"/>
      <c r="BF842" s="697"/>
      <c r="BG842" s="698"/>
      <c r="BH842" s="698"/>
      <c r="BI842" s="699"/>
      <c r="BJ842" s="700" t="s">
        <v>159</v>
      </c>
      <c r="BK842" s="701"/>
      <c r="BL842" s="701"/>
      <c r="BM842" s="702"/>
      <c r="BN842" s="703" t="s">
        <v>159</v>
      </c>
      <c r="BO842" s="704"/>
      <c r="BP842" s="704"/>
      <c r="BQ842" s="704"/>
      <c r="BR842" s="704"/>
      <c r="BS842" s="704"/>
      <c r="BT842" s="704"/>
      <c r="BU842" s="704"/>
      <c r="BV842" s="705"/>
    </row>
    <row r="843" spans="1:74" ht="45" customHeight="1" x14ac:dyDescent="0.25">
      <c r="A843" s="10">
        <f t="shared" si="12"/>
        <v>829</v>
      </c>
      <c r="B843" s="711" t="s">
        <v>159</v>
      </c>
      <c r="C843" s="711"/>
      <c r="D843" s="712" t="s">
        <v>212</v>
      </c>
      <c r="E843" s="712"/>
      <c r="F843" s="664" t="s">
        <v>162</v>
      </c>
      <c r="G843" s="665"/>
      <c r="H843" s="755" t="s">
        <v>162</v>
      </c>
      <c r="I843" s="667"/>
      <c r="J843" s="706"/>
      <c r="K843" s="707"/>
      <c r="L843" s="706"/>
      <c r="M843" s="707"/>
      <c r="N843" s="215"/>
      <c r="O843" s="216"/>
      <c r="P843" s="670"/>
      <c r="Q843" s="671"/>
      <c r="R843" s="719"/>
      <c r="S843" s="720"/>
      <c r="T843" s="721"/>
      <c r="U843" s="722"/>
      <c r="V843" s="723"/>
      <c r="W843" s="724"/>
      <c r="X843" s="725" t="s">
        <v>159</v>
      </c>
      <c r="Y843" s="725"/>
      <c r="Z843" s="725"/>
      <c r="AA843" s="725"/>
      <c r="AB843" s="726" t="s">
        <v>159</v>
      </c>
      <c r="AC843" s="726"/>
      <c r="AD843" s="726"/>
      <c r="AE843" s="726"/>
      <c r="AF843" s="727"/>
      <c r="AG843" s="728"/>
      <c r="AH843" s="727"/>
      <c r="AI843" s="728"/>
      <c r="AJ843" s="682"/>
      <c r="AK843" s="683"/>
      <c r="AL843" s="664" t="s">
        <v>162</v>
      </c>
      <c r="AM843" s="665"/>
      <c r="AN843" s="713" t="s">
        <v>162</v>
      </c>
      <c r="AO843" s="714"/>
      <c r="AP843" s="729"/>
      <c r="AQ843" s="730"/>
      <c r="AR843" s="731"/>
      <c r="AS843" s="732"/>
      <c r="AT843" s="733"/>
      <c r="AU843" s="734"/>
      <c r="AV843" s="713" t="s">
        <v>162</v>
      </c>
      <c r="AW843" s="714"/>
      <c r="AX843" s="692"/>
      <c r="AY843" s="693"/>
      <c r="AZ843" s="694"/>
      <c r="BA843" s="735"/>
      <c r="BB843" s="736"/>
      <c r="BC843" s="219"/>
      <c r="BD843" s="737" t="s">
        <v>162</v>
      </c>
      <c r="BE843" s="738"/>
      <c r="BF843" s="739"/>
      <c r="BG843" s="740"/>
      <c r="BH843" s="740"/>
      <c r="BI843" s="741"/>
      <c r="BJ843" s="742" t="s">
        <v>159</v>
      </c>
      <c r="BK843" s="743"/>
      <c r="BL843" s="743"/>
      <c r="BM843" s="744"/>
      <c r="BN843" s="703" t="s">
        <v>159</v>
      </c>
      <c r="BO843" s="704"/>
      <c r="BP843" s="704"/>
      <c r="BQ843" s="704"/>
      <c r="BR843" s="704"/>
      <c r="BS843" s="704"/>
      <c r="BT843" s="704"/>
      <c r="BU843" s="704"/>
      <c r="BV843" s="705"/>
    </row>
    <row r="844" spans="1:74" ht="45" customHeight="1" x14ac:dyDescent="0.25">
      <c r="A844" s="10">
        <f t="shared" si="12"/>
        <v>830</v>
      </c>
      <c r="B844" s="662" t="s">
        <v>159</v>
      </c>
      <c r="C844" s="662"/>
      <c r="D844" s="663" t="s">
        <v>212</v>
      </c>
      <c r="E844" s="663"/>
      <c r="F844" s="664" t="s">
        <v>162</v>
      </c>
      <c r="G844" s="665"/>
      <c r="H844" s="754" t="s">
        <v>162</v>
      </c>
      <c r="I844" s="714"/>
      <c r="J844" s="340"/>
      <c r="K844" s="341"/>
      <c r="L844" s="340"/>
      <c r="M844" s="341"/>
      <c r="N844" s="194"/>
      <c r="O844" s="196"/>
      <c r="P844" s="717"/>
      <c r="Q844" s="718"/>
      <c r="R844" s="672"/>
      <c r="S844" s="673"/>
      <c r="T844" s="674"/>
      <c r="U844" s="675"/>
      <c r="V844" s="676"/>
      <c r="W844" s="677"/>
      <c r="X844" s="678" t="s">
        <v>159</v>
      </c>
      <c r="Y844" s="678"/>
      <c r="Z844" s="678"/>
      <c r="AA844" s="678"/>
      <c r="AB844" s="679" t="s">
        <v>159</v>
      </c>
      <c r="AC844" s="679"/>
      <c r="AD844" s="679"/>
      <c r="AE844" s="679"/>
      <c r="AF844" s="680"/>
      <c r="AG844" s="681"/>
      <c r="AH844" s="680"/>
      <c r="AI844" s="681"/>
      <c r="AJ844" s="682"/>
      <c r="AK844" s="683"/>
      <c r="AL844" s="684" t="s">
        <v>162</v>
      </c>
      <c r="AM844" s="685"/>
      <c r="AN844" s="666" t="s">
        <v>162</v>
      </c>
      <c r="AO844" s="667"/>
      <c r="AP844" s="686"/>
      <c r="AQ844" s="687"/>
      <c r="AR844" s="688"/>
      <c r="AS844" s="689"/>
      <c r="AT844" s="690"/>
      <c r="AU844" s="691"/>
      <c r="AV844" s="666" t="s">
        <v>162</v>
      </c>
      <c r="AW844" s="667"/>
      <c r="AX844" s="692"/>
      <c r="AY844" s="693"/>
      <c r="AZ844" s="694"/>
      <c r="BA844" s="682"/>
      <c r="BB844" s="683"/>
      <c r="BC844" s="14"/>
      <c r="BD844" s="695" t="s">
        <v>162</v>
      </c>
      <c r="BE844" s="696"/>
      <c r="BF844" s="708"/>
      <c r="BG844" s="709"/>
      <c r="BH844" s="709"/>
      <c r="BI844" s="710"/>
      <c r="BJ844" s="700" t="s">
        <v>159</v>
      </c>
      <c r="BK844" s="701"/>
      <c r="BL844" s="701"/>
      <c r="BM844" s="702"/>
      <c r="BN844" s="703" t="s">
        <v>159</v>
      </c>
      <c r="BO844" s="704"/>
      <c r="BP844" s="704"/>
      <c r="BQ844" s="704"/>
      <c r="BR844" s="704"/>
      <c r="BS844" s="704"/>
      <c r="BT844" s="704"/>
      <c r="BU844" s="704"/>
      <c r="BV844" s="705"/>
    </row>
    <row r="845" spans="1:74" ht="45" customHeight="1" x14ac:dyDescent="0.25">
      <c r="A845" s="10">
        <f t="shared" si="12"/>
        <v>831</v>
      </c>
      <c r="B845" s="711" t="s">
        <v>159</v>
      </c>
      <c r="C845" s="711"/>
      <c r="D845" s="712" t="s">
        <v>212</v>
      </c>
      <c r="E845" s="712"/>
      <c r="F845" s="664" t="s">
        <v>162</v>
      </c>
      <c r="G845" s="665"/>
      <c r="H845" s="755" t="s">
        <v>162</v>
      </c>
      <c r="I845" s="667"/>
      <c r="J845" s="706"/>
      <c r="K845" s="707"/>
      <c r="L845" s="706"/>
      <c r="M845" s="707"/>
      <c r="N845" s="215"/>
      <c r="O845" s="216"/>
      <c r="P845" s="670"/>
      <c r="Q845" s="671"/>
      <c r="R845" s="719"/>
      <c r="S845" s="720"/>
      <c r="T845" s="721"/>
      <c r="U845" s="722"/>
      <c r="V845" s="723"/>
      <c r="W845" s="724"/>
      <c r="X845" s="725" t="s">
        <v>159</v>
      </c>
      <c r="Y845" s="725"/>
      <c r="Z845" s="725"/>
      <c r="AA845" s="725"/>
      <c r="AB845" s="726" t="s">
        <v>159</v>
      </c>
      <c r="AC845" s="726"/>
      <c r="AD845" s="726"/>
      <c r="AE845" s="726"/>
      <c r="AF845" s="727"/>
      <c r="AG845" s="728"/>
      <c r="AH845" s="727"/>
      <c r="AI845" s="728"/>
      <c r="AJ845" s="682"/>
      <c r="AK845" s="683"/>
      <c r="AL845" s="664" t="s">
        <v>162</v>
      </c>
      <c r="AM845" s="665"/>
      <c r="AN845" s="713" t="s">
        <v>162</v>
      </c>
      <c r="AO845" s="714"/>
      <c r="AP845" s="729"/>
      <c r="AQ845" s="730"/>
      <c r="AR845" s="731"/>
      <c r="AS845" s="732"/>
      <c r="AT845" s="733"/>
      <c r="AU845" s="734"/>
      <c r="AV845" s="713" t="s">
        <v>162</v>
      </c>
      <c r="AW845" s="714"/>
      <c r="AX845" s="692"/>
      <c r="AY845" s="693"/>
      <c r="AZ845" s="694"/>
      <c r="BA845" s="735"/>
      <c r="BB845" s="736"/>
      <c r="BC845" s="219"/>
      <c r="BD845" s="737" t="s">
        <v>162</v>
      </c>
      <c r="BE845" s="738"/>
      <c r="BF845" s="739"/>
      <c r="BG845" s="740"/>
      <c r="BH845" s="740"/>
      <c r="BI845" s="741"/>
      <c r="BJ845" s="742" t="s">
        <v>159</v>
      </c>
      <c r="BK845" s="743"/>
      <c r="BL845" s="743"/>
      <c r="BM845" s="744"/>
      <c r="BN845" s="703" t="s">
        <v>159</v>
      </c>
      <c r="BO845" s="704"/>
      <c r="BP845" s="704"/>
      <c r="BQ845" s="704"/>
      <c r="BR845" s="704"/>
      <c r="BS845" s="704"/>
      <c r="BT845" s="704"/>
      <c r="BU845" s="704"/>
      <c r="BV845" s="705"/>
    </row>
    <row r="846" spans="1:74" ht="45" customHeight="1" x14ac:dyDescent="0.25">
      <c r="A846" s="10">
        <f t="shared" si="12"/>
        <v>832</v>
      </c>
      <c r="B846" s="662" t="s">
        <v>159</v>
      </c>
      <c r="C846" s="662"/>
      <c r="D846" s="663" t="s">
        <v>212</v>
      </c>
      <c r="E846" s="663"/>
      <c r="F846" s="664" t="s">
        <v>162</v>
      </c>
      <c r="G846" s="665"/>
      <c r="H846" s="754" t="s">
        <v>162</v>
      </c>
      <c r="I846" s="714"/>
      <c r="J846" s="340"/>
      <c r="K846" s="341"/>
      <c r="L846" s="340"/>
      <c r="M846" s="341"/>
      <c r="N846" s="194"/>
      <c r="O846" s="196"/>
      <c r="P846" s="717"/>
      <c r="Q846" s="718"/>
      <c r="R846" s="672"/>
      <c r="S846" s="673"/>
      <c r="T846" s="674"/>
      <c r="U846" s="675"/>
      <c r="V846" s="676"/>
      <c r="W846" s="677"/>
      <c r="X846" s="678" t="s">
        <v>159</v>
      </c>
      <c r="Y846" s="678"/>
      <c r="Z846" s="678"/>
      <c r="AA846" s="678"/>
      <c r="AB846" s="679" t="s">
        <v>159</v>
      </c>
      <c r="AC846" s="679"/>
      <c r="AD846" s="679"/>
      <c r="AE846" s="679"/>
      <c r="AF846" s="680"/>
      <c r="AG846" s="681"/>
      <c r="AH846" s="680"/>
      <c r="AI846" s="681"/>
      <c r="AJ846" s="682"/>
      <c r="AK846" s="683"/>
      <c r="AL846" s="684" t="s">
        <v>162</v>
      </c>
      <c r="AM846" s="685"/>
      <c r="AN846" s="666" t="s">
        <v>162</v>
      </c>
      <c r="AO846" s="667"/>
      <c r="AP846" s="686"/>
      <c r="AQ846" s="687"/>
      <c r="AR846" s="688"/>
      <c r="AS846" s="689"/>
      <c r="AT846" s="690"/>
      <c r="AU846" s="691"/>
      <c r="AV846" s="666" t="s">
        <v>162</v>
      </c>
      <c r="AW846" s="667"/>
      <c r="AX846" s="692"/>
      <c r="AY846" s="693"/>
      <c r="AZ846" s="694"/>
      <c r="BA846" s="682"/>
      <c r="BB846" s="683"/>
      <c r="BC846" s="14"/>
      <c r="BD846" s="695" t="s">
        <v>162</v>
      </c>
      <c r="BE846" s="696"/>
      <c r="BF846" s="697"/>
      <c r="BG846" s="698"/>
      <c r="BH846" s="698"/>
      <c r="BI846" s="699"/>
      <c r="BJ846" s="700" t="s">
        <v>159</v>
      </c>
      <c r="BK846" s="701"/>
      <c r="BL846" s="701"/>
      <c r="BM846" s="702"/>
      <c r="BN846" s="703" t="s">
        <v>159</v>
      </c>
      <c r="BO846" s="704"/>
      <c r="BP846" s="704"/>
      <c r="BQ846" s="704"/>
      <c r="BR846" s="704"/>
      <c r="BS846" s="704"/>
      <c r="BT846" s="704"/>
      <c r="BU846" s="704"/>
      <c r="BV846" s="705"/>
    </row>
    <row r="847" spans="1:74" ht="45" customHeight="1" x14ac:dyDescent="0.25">
      <c r="A847" s="10">
        <f t="shared" ref="A847:A910" si="13">ROW(A833)</f>
        <v>833</v>
      </c>
      <c r="B847" s="711" t="s">
        <v>159</v>
      </c>
      <c r="C847" s="711"/>
      <c r="D847" s="712" t="s">
        <v>212</v>
      </c>
      <c r="E847" s="712"/>
      <c r="F847" s="664" t="s">
        <v>162</v>
      </c>
      <c r="G847" s="665"/>
      <c r="H847" s="755" t="s">
        <v>162</v>
      </c>
      <c r="I847" s="667"/>
      <c r="J847" s="706"/>
      <c r="K847" s="707"/>
      <c r="L847" s="706"/>
      <c r="M847" s="707"/>
      <c r="N847" s="215"/>
      <c r="O847" s="216"/>
      <c r="P847" s="670"/>
      <c r="Q847" s="671"/>
      <c r="R847" s="719"/>
      <c r="S847" s="720"/>
      <c r="T847" s="721"/>
      <c r="U847" s="722"/>
      <c r="V847" s="723"/>
      <c r="W847" s="724"/>
      <c r="X847" s="725" t="s">
        <v>159</v>
      </c>
      <c r="Y847" s="725"/>
      <c r="Z847" s="725"/>
      <c r="AA847" s="725"/>
      <c r="AB847" s="726" t="s">
        <v>159</v>
      </c>
      <c r="AC847" s="726"/>
      <c r="AD847" s="726"/>
      <c r="AE847" s="726"/>
      <c r="AF847" s="727"/>
      <c r="AG847" s="728"/>
      <c r="AH847" s="727"/>
      <c r="AI847" s="728"/>
      <c r="AJ847" s="682"/>
      <c r="AK847" s="683"/>
      <c r="AL847" s="664" t="s">
        <v>162</v>
      </c>
      <c r="AM847" s="665"/>
      <c r="AN847" s="713" t="s">
        <v>162</v>
      </c>
      <c r="AO847" s="714"/>
      <c r="AP847" s="729"/>
      <c r="AQ847" s="730"/>
      <c r="AR847" s="731"/>
      <c r="AS847" s="732"/>
      <c r="AT847" s="733"/>
      <c r="AU847" s="734"/>
      <c r="AV847" s="713" t="s">
        <v>162</v>
      </c>
      <c r="AW847" s="714"/>
      <c r="AX847" s="692"/>
      <c r="AY847" s="693"/>
      <c r="AZ847" s="694"/>
      <c r="BA847" s="735"/>
      <c r="BB847" s="736"/>
      <c r="BC847" s="219"/>
      <c r="BD847" s="737" t="s">
        <v>162</v>
      </c>
      <c r="BE847" s="738"/>
      <c r="BF847" s="739"/>
      <c r="BG847" s="740"/>
      <c r="BH847" s="740"/>
      <c r="BI847" s="741"/>
      <c r="BJ847" s="742" t="s">
        <v>159</v>
      </c>
      <c r="BK847" s="743"/>
      <c r="BL847" s="743"/>
      <c r="BM847" s="744"/>
      <c r="BN847" s="703" t="s">
        <v>159</v>
      </c>
      <c r="BO847" s="704"/>
      <c r="BP847" s="704"/>
      <c r="BQ847" s="704"/>
      <c r="BR847" s="704"/>
      <c r="BS847" s="704"/>
      <c r="BT847" s="704"/>
      <c r="BU847" s="704"/>
      <c r="BV847" s="705"/>
    </row>
    <row r="848" spans="1:74" ht="45" customHeight="1" x14ac:dyDescent="0.25">
      <c r="A848" s="10">
        <f t="shared" si="13"/>
        <v>834</v>
      </c>
      <c r="B848" s="662" t="s">
        <v>159</v>
      </c>
      <c r="C848" s="662"/>
      <c r="D848" s="663" t="s">
        <v>212</v>
      </c>
      <c r="E848" s="663"/>
      <c r="F848" s="664" t="s">
        <v>162</v>
      </c>
      <c r="G848" s="665"/>
      <c r="H848" s="754" t="s">
        <v>162</v>
      </c>
      <c r="I848" s="714"/>
      <c r="J848" s="340"/>
      <c r="K848" s="341"/>
      <c r="L848" s="340"/>
      <c r="M848" s="341"/>
      <c r="N848" s="194"/>
      <c r="O848" s="196"/>
      <c r="P848" s="717"/>
      <c r="Q848" s="718"/>
      <c r="R848" s="672"/>
      <c r="S848" s="673"/>
      <c r="T848" s="674"/>
      <c r="U848" s="675"/>
      <c r="V848" s="676"/>
      <c r="W848" s="677"/>
      <c r="X848" s="678" t="s">
        <v>159</v>
      </c>
      <c r="Y848" s="678"/>
      <c r="Z848" s="678"/>
      <c r="AA848" s="678"/>
      <c r="AB848" s="679" t="s">
        <v>159</v>
      </c>
      <c r="AC848" s="679"/>
      <c r="AD848" s="679"/>
      <c r="AE848" s="679"/>
      <c r="AF848" s="680"/>
      <c r="AG848" s="681"/>
      <c r="AH848" s="680"/>
      <c r="AI848" s="681"/>
      <c r="AJ848" s="682"/>
      <c r="AK848" s="683"/>
      <c r="AL848" s="684" t="s">
        <v>162</v>
      </c>
      <c r="AM848" s="685"/>
      <c r="AN848" s="666" t="s">
        <v>162</v>
      </c>
      <c r="AO848" s="667"/>
      <c r="AP848" s="686"/>
      <c r="AQ848" s="687"/>
      <c r="AR848" s="688"/>
      <c r="AS848" s="689"/>
      <c r="AT848" s="690"/>
      <c r="AU848" s="691"/>
      <c r="AV848" s="666" t="s">
        <v>162</v>
      </c>
      <c r="AW848" s="667"/>
      <c r="AX848" s="692"/>
      <c r="AY848" s="693"/>
      <c r="AZ848" s="694"/>
      <c r="BA848" s="682"/>
      <c r="BB848" s="683"/>
      <c r="BC848" s="14"/>
      <c r="BD848" s="695" t="s">
        <v>162</v>
      </c>
      <c r="BE848" s="696"/>
      <c r="BF848" s="697"/>
      <c r="BG848" s="698"/>
      <c r="BH848" s="698"/>
      <c r="BI848" s="699"/>
      <c r="BJ848" s="700" t="s">
        <v>159</v>
      </c>
      <c r="BK848" s="701"/>
      <c r="BL848" s="701"/>
      <c r="BM848" s="702"/>
      <c r="BN848" s="703" t="s">
        <v>159</v>
      </c>
      <c r="BO848" s="704"/>
      <c r="BP848" s="704"/>
      <c r="BQ848" s="704"/>
      <c r="BR848" s="704"/>
      <c r="BS848" s="704"/>
      <c r="BT848" s="704"/>
      <c r="BU848" s="704"/>
      <c r="BV848" s="705"/>
    </row>
    <row r="849" spans="1:74" ht="45" customHeight="1" x14ac:dyDescent="0.25">
      <c r="A849" s="10">
        <f t="shared" si="13"/>
        <v>835</v>
      </c>
      <c r="B849" s="711" t="s">
        <v>159</v>
      </c>
      <c r="C849" s="711"/>
      <c r="D849" s="712" t="s">
        <v>212</v>
      </c>
      <c r="E849" s="712"/>
      <c r="F849" s="664" t="s">
        <v>162</v>
      </c>
      <c r="G849" s="665"/>
      <c r="H849" s="755" t="s">
        <v>162</v>
      </c>
      <c r="I849" s="667"/>
      <c r="J849" s="706"/>
      <c r="K849" s="707"/>
      <c r="L849" s="706"/>
      <c r="M849" s="707"/>
      <c r="N849" s="215"/>
      <c r="O849" s="216"/>
      <c r="P849" s="670"/>
      <c r="Q849" s="671"/>
      <c r="R849" s="719"/>
      <c r="S849" s="720"/>
      <c r="T849" s="721"/>
      <c r="U849" s="722"/>
      <c r="V849" s="723"/>
      <c r="W849" s="724"/>
      <c r="X849" s="725" t="s">
        <v>159</v>
      </c>
      <c r="Y849" s="725"/>
      <c r="Z849" s="725"/>
      <c r="AA849" s="725"/>
      <c r="AB849" s="726" t="s">
        <v>159</v>
      </c>
      <c r="AC849" s="726"/>
      <c r="AD849" s="726"/>
      <c r="AE849" s="726"/>
      <c r="AF849" s="727"/>
      <c r="AG849" s="728"/>
      <c r="AH849" s="727"/>
      <c r="AI849" s="728"/>
      <c r="AJ849" s="682"/>
      <c r="AK849" s="683"/>
      <c r="AL849" s="664" t="s">
        <v>162</v>
      </c>
      <c r="AM849" s="665"/>
      <c r="AN849" s="713" t="s">
        <v>162</v>
      </c>
      <c r="AO849" s="714"/>
      <c r="AP849" s="729"/>
      <c r="AQ849" s="730"/>
      <c r="AR849" s="731"/>
      <c r="AS849" s="732"/>
      <c r="AT849" s="733"/>
      <c r="AU849" s="734"/>
      <c r="AV849" s="713" t="s">
        <v>162</v>
      </c>
      <c r="AW849" s="714"/>
      <c r="AX849" s="692"/>
      <c r="AY849" s="693"/>
      <c r="AZ849" s="694"/>
      <c r="BA849" s="735"/>
      <c r="BB849" s="736"/>
      <c r="BC849" s="219"/>
      <c r="BD849" s="737" t="s">
        <v>162</v>
      </c>
      <c r="BE849" s="738"/>
      <c r="BF849" s="739"/>
      <c r="BG849" s="740"/>
      <c r="BH849" s="740"/>
      <c r="BI849" s="741"/>
      <c r="BJ849" s="742" t="s">
        <v>159</v>
      </c>
      <c r="BK849" s="743"/>
      <c r="BL849" s="743"/>
      <c r="BM849" s="744"/>
      <c r="BN849" s="703" t="s">
        <v>159</v>
      </c>
      <c r="BO849" s="704"/>
      <c r="BP849" s="704"/>
      <c r="BQ849" s="704"/>
      <c r="BR849" s="704"/>
      <c r="BS849" s="704"/>
      <c r="BT849" s="704"/>
      <c r="BU849" s="704"/>
      <c r="BV849" s="705"/>
    </row>
    <row r="850" spans="1:74" ht="45" customHeight="1" x14ac:dyDescent="0.25">
      <c r="A850" s="10">
        <f t="shared" si="13"/>
        <v>836</v>
      </c>
      <c r="B850" s="662" t="s">
        <v>159</v>
      </c>
      <c r="C850" s="662"/>
      <c r="D850" s="663" t="s">
        <v>212</v>
      </c>
      <c r="E850" s="663"/>
      <c r="F850" s="664" t="s">
        <v>162</v>
      </c>
      <c r="G850" s="665"/>
      <c r="H850" s="754" t="s">
        <v>162</v>
      </c>
      <c r="I850" s="714"/>
      <c r="J850" s="340"/>
      <c r="K850" s="341"/>
      <c r="L850" s="340"/>
      <c r="M850" s="341"/>
      <c r="N850" s="194"/>
      <c r="O850" s="196"/>
      <c r="P850" s="717"/>
      <c r="Q850" s="718"/>
      <c r="R850" s="672"/>
      <c r="S850" s="673"/>
      <c r="T850" s="674"/>
      <c r="U850" s="675"/>
      <c r="V850" s="676"/>
      <c r="W850" s="677"/>
      <c r="X850" s="678" t="s">
        <v>159</v>
      </c>
      <c r="Y850" s="678"/>
      <c r="Z850" s="678"/>
      <c r="AA850" s="678"/>
      <c r="AB850" s="679" t="s">
        <v>159</v>
      </c>
      <c r="AC850" s="679"/>
      <c r="AD850" s="679"/>
      <c r="AE850" s="679"/>
      <c r="AF850" s="680"/>
      <c r="AG850" s="681"/>
      <c r="AH850" s="680"/>
      <c r="AI850" s="681"/>
      <c r="AJ850" s="682"/>
      <c r="AK850" s="683"/>
      <c r="AL850" s="684" t="s">
        <v>162</v>
      </c>
      <c r="AM850" s="685"/>
      <c r="AN850" s="666" t="s">
        <v>162</v>
      </c>
      <c r="AO850" s="667"/>
      <c r="AP850" s="686"/>
      <c r="AQ850" s="687"/>
      <c r="AR850" s="688"/>
      <c r="AS850" s="689"/>
      <c r="AT850" s="690"/>
      <c r="AU850" s="691"/>
      <c r="AV850" s="666" t="s">
        <v>162</v>
      </c>
      <c r="AW850" s="667"/>
      <c r="AX850" s="692"/>
      <c r="AY850" s="693"/>
      <c r="AZ850" s="694"/>
      <c r="BA850" s="682"/>
      <c r="BB850" s="683"/>
      <c r="BC850" s="14"/>
      <c r="BD850" s="695" t="s">
        <v>162</v>
      </c>
      <c r="BE850" s="696"/>
      <c r="BF850" s="708"/>
      <c r="BG850" s="709"/>
      <c r="BH850" s="709"/>
      <c r="BI850" s="710"/>
      <c r="BJ850" s="700" t="s">
        <v>159</v>
      </c>
      <c r="BK850" s="701"/>
      <c r="BL850" s="701"/>
      <c r="BM850" s="702"/>
      <c r="BN850" s="703" t="s">
        <v>159</v>
      </c>
      <c r="BO850" s="704"/>
      <c r="BP850" s="704"/>
      <c r="BQ850" s="704"/>
      <c r="BR850" s="704"/>
      <c r="BS850" s="704"/>
      <c r="BT850" s="704"/>
      <c r="BU850" s="704"/>
      <c r="BV850" s="705"/>
    </row>
    <row r="851" spans="1:74" ht="45" customHeight="1" x14ac:dyDescent="0.25">
      <c r="A851" s="10">
        <f t="shared" si="13"/>
        <v>837</v>
      </c>
      <c r="B851" s="711" t="s">
        <v>159</v>
      </c>
      <c r="C851" s="711"/>
      <c r="D851" s="712" t="s">
        <v>212</v>
      </c>
      <c r="E851" s="712"/>
      <c r="F851" s="664" t="s">
        <v>162</v>
      </c>
      <c r="G851" s="665"/>
      <c r="H851" s="755" t="s">
        <v>162</v>
      </c>
      <c r="I851" s="667"/>
      <c r="J851" s="706"/>
      <c r="K851" s="707"/>
      <c r="L851" s="706"/>
      <c r="M851" s="707"/>
      <c r="N851" s="215"/>
      <c r="O851" s="216"/>
      <c r="P851" s="670"/>
      <c r="Q851" s="671"/>
      <c r="R851" s="719"/>
      <c r="S851" s="720"/>
      <c r="T851" s="721"/>
      <c r="U851" s="722"/>
      <c r="V851" s="723"/>
      <c r="W851" s="724"/>
      <c r="X851" s="725" t="s">
        <v>159</v>
      </c>
      <c r="Y851" s="725"/>
      <c r="Z851" s="725"/>
      <c r="AA851" s="725"/>
      <c r="AB851" s="726" t="s">
        <v>159</v>
      </c>
      <c r="AC851" s="726"/>
      <c r="AD851" s="726"/>
      <c r="AE851" s="726"/>
      <c r="AF851" s="727"/>
      <c r="AG851" s="728"/>
      <c r="AH851" s="727"/>
      <c r="AI851" s="728"/>
      <c r="AJ851" s="682"/>
      <c r="AK851" s="683"/>
      <c r="AL851" s="664" t="s">
        <v>162</v>
      </c>
      <c r="AM851" s="665"/>
      <c r="AN851" s="713" t="s">
        <v>162</v>
      </c>
      <c r="AO851" s="714"/>
      <c r="AP851" s="729"/>
      <c r="AQ851" s="730"/>
      <c r="AR851" s="731"/>
      <c r="AS851" s="732"/>
      <c r="AT851" s="733"/>
      <c r="AU851" s="734"/>
      <c r="AV851" s="713" t="s">
        <v>162</v>
      </c>
      <c r="AW851" s="714"/>
      <c r="AX851" s="692"/>
      <c r="AY851" s="693"/>
      <c r="AZ851" s="694"/>
      <c r="BA851" s="735"/>
      <c r="BB851" s="736"/>
      <c r="BC851" s="219"/>
      <c r="BD851" s="737" t="s">
        <v>162</v>
      </c>
      <c r="BE851" s="738"/>
      <c r="BF851" s="739"/>
      <c r="BG851" s="740"/>
      <c r="BH851" s="740"/>
      <c r="BI851" s="741"/>
      <c r="BJ851" s="742" t="s">
        <v>159</v>
      </c>
      <c r="BK851" s="743"/>
      <c r="BL851" s="743"/>
      <c r="BM851" s="744"/>
      <c r="BN851" s="703" t="s">
        <v>159</v>
      </c>
      <c r="BO851" s="704"/>
      <c r="BP851" s="704"/>
      <c r="BQ851" s="704"/>
      <c r="BR851" s="704"/>
      <c r="BS851" s="704"/>
      <c r="BT851" s="704"/>
      <c r="BU851" s="704"/>
      <c r="BV851" s="705"/>
    </row>
    <row r="852" spans="1:74" ht="45" customHeight="1" x14ac:dyDescent="0.25">
      <c r="A852" s="10">
        <f t="shared" si="13"/>
        <v>838</v>
      </c>
      <c r="B852" s="662" t="s">
        <v>159</v>
      </c>
      <c r="C852" s="662"/>
      <c r="D852" s="663" t="s">
        <v>212</v>
      </c>
      <c r="E852" s="663"/>
      <c r="F852" s="664" t="s">
        <v>162</v>
      </c>
      <c r="G852" s="665"/>
      <c r="H852" s="754" t="s">
        <v>162</v>
      </c>
      <c r="I852" s="714"/>
      <c r="J852" s="340"/>
      <c r="K852" s="341"/>
      <c r="L852" s="340"/>
      <c r="M852" s="341"/>
      <c r="N852" s="194"/>
      <c r="O852" s="196"/>
      <c r="P852" s="717"/>
      <c r="Q852" s="718"/>
      <c r="R852" s="672"/>
      <c r="S852" s="673"/>
      <c r="T852" s="674"/>
      <c r="U852" s="675"/>
      <c r="V852" s="676"/>
      <c r="W852" s="677"/>
      <c r="X852" s="678" t="s">
        <v>159</v>
      </c>
      <c r="Y852" s="678"/>
      <c r="Z852" s="678"/>
      <c r="AA852" s="678"/>
      <c r="AB852" s="679" t="s">
        <v>159</v>
      </c>
      <c r="AC852" s="679"/>
      <c r="AD852" s="679"/>
      <c r="AE852" s="679"/>
      <c r="AF852" s="680"/>
      <c r="AG852" s="681"/>
      <c r="AH852" s="680"/>
      <c r="AI852" s="681"/>
      <c r="AJ852" s="682"/>
      <c r="AK852" s="683"/>
      <c r="AL852" s="684" t="s">
        <v>162</v>
      </c>
      <c r="AM852" s="685"/>
      <c r="AN852" s="666" t="s">
        <v>162</v>
      </c>
      <c r="AO852" s="667"/>
      <c r="AP852" s="686"/>
      <c r="AQ852" s="687"/>
      <c r="AR852" s="688"/>
      <c r="AS852" s="689"/>
      <c r="AT852" s="690"/>
      <c r="AU852" s="691"/>
      <c r="AV852" s="666" t="s">
        <v>162</v>
      </c>
      <c r="AW852" s="667"/>
      <c r="AX852" s="692"/>
      <c r="AY852" s="693"/>
      <c r="AZ852" s="694"/>
      <c r="BA852" s="682"/>
      <c r="BB852" s="683"/>
      <c r="BC852" s="14"/>
      <c r="BD852" s="695" t="s">
        <v>162</v>
      </c>
      <c r="BE852" s="696"/>
      <c r="BF852" s="697"/>
      <c r="BG852" s="698"/>
      <c r="BH852" s="698"/>
      <c r="BI852" s="699"/>
      <c r="BJ852" s="700" t="s">
        <v>159</v>
      </c>
      <c r="BK852" s="701"/>
      <c r="BL852" s="701"/>
      <c r="BM852" s="702"/>
      <c r="BN852" s="703" t="s">
        <v>159</v>
      </c>
      <c r="BO852" s="704"/>
      <c r="BP852" s="704"/>
      <c r="BQ852" s="704"/>
      <c r="BR852" s="704"/>
      <c r="BS852" s="704"/>
      <c r="BT852" s="704"/>
      <c r="BU852" s="704"/>
      <c r="BV852" s="705"/>
    </row>
    <row r="853" spans="1:74" ht="45" customHeight="1" x14ac:dyDescent="0.25">
      <c r="A853" s="10">
        <f t="shared" si="13"/>
        <v>839</v>
      </c>
      <c r="B853" s="711" t="s">
        <v>159</v>
      </c>
      <c r="C853" s="711"/>
      <c r="D853" s="712" t="s">
        <v>212</v>
      </c>
      <c r="E853" s="712"/>
      <c r="F853" s="664" t="s">
        <v>162</v>
      </c>
      <c r="G853" s="665"/>
      <c r="H853" s="755" t="s">
        <v>162</v>
      </c>
      <c r="I853" s="667"/>
      <c r="J853" s="706"/>
      <c r="K853" s="707"/>
      <c r="L853" s="706"/>
      <c r="M853" s="707"/>
      <c r="N853" s="215"/>
      <c r="O853" s="216"/>
      <c r="P853" s="670"/>
      <c r="Q853" s="671"/>
      <c r="R853" s="719"/>
      <c r="S853" s="720"/>
      <c r="T853" s="721"/>
      <c r="U853" s="722"/>
      <c r="V853" s="723"/>
      <c r="W853" s="724"/>
      <c r="X853" s="725" t="s">
        <v>159</v>
      </c>
      <c r="Y853" s="725"/>
      <c r="Z853" s="725"/>
      <c r="AA853" s="725"/>
      <c r="AB853" s="726" t="s">
        <v>159</v>
      </c>
      <c r="AC853" s="726"/>
      <c r="AD853" s="726"/>
      <c r="AE853" s="726"/>
      <c r="AF853" s="727"/>
      <c r="AG853" s="728"/>
      <c r="AH853" s="727"/>
      <c r="AI853" s="728"/>
      <c r="AJ853" s="682"/>
      <c r="AK853" s="683"/>
      <c r="AL853" s="664" t="s">
        <v>162</v>
      </c>
      <c r="AM853" s="665"/>
      <c r="AN853" s="713" t="s">
        <v>162</v>
      </c>
      <c r="AO853" s="714"/>
      <c r="AP853" s="729"/>
      <c r="AQ853" s="730"/>
      <c r="AR853" s="731"/>
      <c r="AS853" s="732"/>
      <c r="AT853" s="690"/>
      <c r="AU853" s="691"/>
      <c r="AV853" s="713" t="s">
        <v>162</v>
      </c>
      <c r="AW853" s="714"/>
      <c r="AX853" s="692"/>
      <c r="AY853" s="693"/>
      <c r="AZ853" s="694"/>
      <c r="BA853" s="735"/>
      <c r="BB853" s="736"/>
      <c r="BC853" s="219"/>
      <c r="BD853" s="737" t="s">
        <v>162</v>
      </c>
      <c r="BE853" s="738"/>
      <c r="BF853" s="739"/>
      <c r="BG853" s="740"/>
      <c r="BH853" s="740"/>
      <c r="BI853" s="741"/>
      <c r="BJ853" s="742" t="s">
        <v>159</v>
      </c>
      <c r="BK853" s="743"/>
      <c r="BL853" s="743"/>
      <c r="BM853" s="744"/>
      <c r="BN853" s="703" t="s">
        <v>159</v>
      </c>
      <c r="BO853" s="704"/>
      <c r="BP853" s="704"/>
      <c r="BQ853" s="704"/>
      <c r="BR853" s="704"/>
      <c r="BS853" s="704"/>
      <c r="BT853" s="704"/>
      <c r="BU853" s="704"/>
      <c r="BV853" s="705"/>
    </row>
    <row r="854" spans="1:74" ht="45" customHeight="1" x14ac:dyDescent="0.25">
      <c r="A854" s="10">
        <f t="shared" si="13"/>
        <v>840</v>
      </c>
      <c r="B854" s="662" t="s">
        <v>159</v>
      </c>
      <c r="C854" s="662"/>
      <c r="D854" s="663" t="s">
        <v>212</v>
      </c>
      <c r="E854" s="663"/>
      <c r="F854" s="664" t="s">
        <v>162</v>
      </c>
      <c r="G854" s="665"/>
      <c r="H854" s="754" t="s">
        <v>162</v>
      </c>
      <c r="I854" s="714"/>
      <c r="J854" s="340"/>
      <c r="K854" s="341"/>
      <c r="L854" s="340"/>
      <c r="M854" s="341"/>
      <c r="N854" s="194"/>
      <c r="O854" s="196"/>
      <c r="P854" s="717"/>
      <c r="Q854" s="718"/>
      <c r="R854" s="672"/>
      <c r="S854" s="673"/>
      <c r="T854" s="674"/>
      <c r="U854" s="675"/>
      <c r="V854" s="676"/>
      <c r="W854" s="677"/>
      <c r="X854" s="678" t="s">
        <v>159</v>
      </c>
      <c r="Y854" s="678"/>
      <c r="Z854" s="678"/>
      <c r="AA854" s="678"/>
      <c r="AB854" s="679" t="s">
        <v>159</v>
      </c>
      <c r="AC854" s="679"/>
      <c r="AD854" s="679"/>
      <c r="AE854" s="679"/>
      <c r="AF854" s="680"/>
      <c r="AG854" s="681"/>
      <c r="AH854" s="680"/>
      <c r="AI854" s="681"/>
      <c r="AJ854" s="682"/>
      <c r="AK854" s="683"/>
      <c r="AL854" s="684" t="s">
        <v>162</v>
      </c>
      <c r="AM854" s="685"/>
      <c r="AN854" s="666" t="s">
        <v>162</v>
      </c>
      <c r="AO854" s="667"/>
      <c r="AP854" s="686"/>
      <c r="AQ854" s="687"/>
      <c r="AR854" s="688"/>
      <c r="AS854" s="689"/>
      <c r="AT854" s="690"/>
      <c r="AU854" s="691"/>
      <c r="AV854" s="666" t="s">
        <v>162</v>
      </c>
      <c r="AW854" s="667"/>
      <c r="AX854" s="692"/>
      <c r="AY854" s="693"/>
      <c r="AZ854" s="694"/>
      <c r="BA854" s="682"/>
      <c r="BB854" s="683"/>
      <c r="BC854" s="14"/>
      <c r="BD854" s="695" t="s">
        <v>162</v>
      </c>
      <c r="BE854" s="696"/>
      <c r="BF854" s="697"/>
      <c r="BG854" s="698"/>
      <c r="BH854" s="698"/>
      <c r="BI854" s="699"/>
      <c r="BJ854" s="700" t="s">
        <v>159</v>
      </c>
      <c r="BK854" s="701"/>
      <c r="BL854" s="701"/>
      <c r="BM854" s="702"/>
      <c r="BN854" s="703" t="s">
        <v>159</v>
      </c>
      <c r="BO854" s="704"/>
      <c r="BP854" s="704"/>
      <c r="BQ854" s="704"/>
      <c r="BR854" s="704"/>
      <c r="BS854" s="704"/>
      <c r="BT854" s="704"/>
      <c r="BU854" s="704"/>
      <c r="BV854" s="705"/>
    </row>
    <row r="855" spans="1:74" ht="45" customHeight="1" x14ac:dyDescent="0.25">
      <c r="A855" s="10">
        <f t="shared" si="13"/>
        <v>841</v>
      </c>
      <c r="B855" s="711" t="s">
        <v>159</v>
      </c>
      <c r="C855" s="711"/>
      <c r="D855" s="712" t="s">
        <v>212</v>
      </c>
      <c r="E855" s="712"/>
      <c r="F855" s="664" t="s">
        <v>162</v>
      </c>
      <c r="G855" s="665"/>
      <c r="H855" s="755" t="s">
        <v>162</v>
      </c>
      <c r="I855" s="667"/>
      <c r="J855" s="706"/>
      <c r="K855" s="707"/>
      <c r="L855" s="706"/>
      <c r="M855" s="707"/>
      <c r="N855" s="215"/>
      <c r="O855" s="216"/>
      <c r="P855" s="670"/>
      <c r="Q855" s="671"/>
      <c r="R855" s="719"/>
      <c r="S855" s="720"/>
      <c r="T855" s="721"/>
      <c r="U855" s="722"/>
      <c r="V855" s="723"/>
      <c r="W855" s="724"/>
      <c r="X855" s="725" t="s">
        <v>159</v>
      </c>
      <c r="Y855" s="725"/>
      <c r="Z855" s="725"/>
      <c r="AA855" s="725"/>
      <c r="AB855" s="726" t="s">
        <v>159</v>
      </c>
      <c r="AC855" s="726"/>
      <c r="AD855" s="726"/>
      <c r="AE855" s="726"/>
      <c r="AF855" s="727"/>
      <c r="AG855" s="728"/>
      <c r="AH855" s="727"/>
      <c r="AI855" s="728"/>
      <c r="AJ855" s="682"/>
      <c r="AK855" s="683"/>
      <c r="AL855" s="664" t="s">
        <v>162</v>
      </c>
      <c r="AM855" s="665"/>
      <c r="AN855" s="713" t="s">
        <v>162</v>
      </c>
      <c r="AO855" s="714"/>
      <c r="AP855" s="729"/>
      <c r="AQ855" s="730"/>
      <c r="AR855" s="731"/>
      <c r="AS855" s="732"/>
      <c r="AT855" s="690"/>
      <c r="AU855" s="691"/>
      <c r="AV855" s="713" t="s">
        <v>162</v>
      </c>
      <c r="AW855" s="714"/>
      <c r="AX855" s="692"/>
      <c r="AY855" s="693"/>
      <c r="AZ855" s="694"/>
      <c r="BA855" s="735"/>
      <c r="BB855" s="736"/>
      <c r="BC855" s="219"/>
      <c r="BD855" s="737" t="s">
        <v>162</v>
      </c>
      <c r="BE855" s="738"/>
      <c r="BF855" s="739"/>
      <c r="BG855" s="740"/>
      <c r="BH855" s="740"/>
      <c r="BI855" s="741"/>
      <c r="BJ855" s="742" t="s">
        <v>159</v>
      </c>
      <c r="BK855" s="743"/>
      <c r="BL855" s="743"/>
      <c r="BM855" s="744"/>
      <c r="BN855" s="703" t="s">
        <v>159</v>
      </c>
      <c r="BO855" s="704"/>
      <c r="BP855" s="704"/>
      <c r="BQ855" s="704"/>
      <c r="BR855" s="704"/>
      <c r="BS855" s="704"/>
      <c r="BT855" s="704"/>
      <c r="BU855" s="704"/>
      <c r="BV855" s="705"/>
    </row>
    <row r="856" spans="1:74" ht="45" customHeight="1" x14ac:dyDescent="0.25">
      <c r="A856" s="10">
        <f t="shared" si="13"/>
        <v>842</v>
      </c>
      <c r="B856" s="662" t="s">
        <v>159</v>
      </c>
      <c r="C856" s="662"/>
      <c r="D856" s="663" t="s">
        <v>212</v>
      </c>
      <c r="E856" s="663"/>
      <c r="F856" s="664" t="s">
        <v>162</v>
      </c>
      <c r="G856" s="665"/>
      <c r="H856" s="754" t="s">
        <v>162</v>
      </c>
      <c r="I856" s="714"/>
      <c r="J856" s="340"/>
      <c r="K856" s="341"/>
      <c r="L856" s="340"/>
      <c r="M856" s="341"/>
      <c r="N856" s="194"/>
      <c r="O856" s="196"/>
      <c r="P856" s="717"/>
      <c r="Q856" s="718"/>
      <c r="R856" s="672"/>
      <c r="S856" s="673"/>
      <c r="T856" s="674"/>
      <c r="U856" s="675"/>
      <c r="V856" s="676"/>
      <c r="W856" s="677"/>
      <c r="X856" s="678" t="s">
        <v>159</v>
      </c>
      <c r="Y856" s="678"/>
      <c r="Z856" s="678"/>
      <c r="AA856" s="678"/>
      <c r="AB856" s="679" t="s">
        <v>159</v>
      </c>
      <c r="AC856" s="679"/>
      <c r="AD856" s="679"/>
      <c r="AE856" s="679"/>
      <c r="AF856" s="680"/>
      <c r="AG856" s="681"/>
      <c r="AH856" s="680"/>
      <c r="AI856" s="681"/>
      <c r="AJ856" s="682"/>
      <c r="AK856" s="683"/>
      <c r="AL856" s="684" t="s">
        <v>162</v>
      </c>
      <c r="AM856" s="685"/>
      <c r="AN856" s="666" t="s">
        <v>162</v>
      </c>
      <c r="AO856" s="667"/>
      <c r="AP856" s="686"/>
      <c r="AQ856" s="687"/>
      <c r="AR856" s="688"/>
      <c r="AS856" s="689"/>
      <c r="AT856" s="690"/>
      <c r="AU856" s="691"/>
      <c r="AV856" s="666" t="s">
        <v>162</v>
      </c>
      <c r="AW856" s="667"/>
      <c r="AX856" s="692"/>
      <c r="AY856" s="693"/>
      <c r="AZ856" s="694"/>
      <c r="BA856" s="682"/>
      <c r="BB856" s="683"/>
      <c r="BC856" s="14"/>
      <c r="BD856" s="695" t="s">
        <v>162</v>
      </c>
      <c r="BE856" s="696"/>
      <c r="BF856" s="697"/>
      <c r="BG856" s="698"/>
      <c r="BH856" s="698"/>
      <c r="BI856" s="699"/>
      <c r="BJ856" s="700" t="s">
        <v>159</v>
      </c>
      <c r="BK856" s="701"/>
      <c r="BL856" s="701"/>
      <c r="BM856" s="702"/>
      <c r="BN856" s="703" t="s">
        <v>159</v>
      </c>
      <c r="BO856" s="704"/>
      <c r="BP856" s="704"/>
      <c r="BQ856" s="704"/>
      <c r="BR856" s="704"/>
      <c r="BS856" s="704"/>
      <c r="BT856" s="704"/>
      <c r="BU856" s="704"/>
      <c r="BV856" s="705"/>
    </row>
    <row r="857" spans="1:74" ht="45" customHeight="1" x14ac:dyDescent="0.25">
      <c r="A857" s="10">
        <f t="shared" si="13"/>
        <v>843</v>
      </c>
      <c r="B857" s="711" t="s">
        <v>159</v>
      </c>
      <c r="C857" s="711"/>
      <c r="D857" s="712" t="s">
        <v>212</v>
      </c>
      <c r="E857" s="712"/>
      <c r="F857" s="664" t="s">
        <v>162</v>
      </c>
      <c r="G857" s="665"/>
      <c r="H857" s="755" t="s">
        <v>162</v>
      </c>
      <c r="I857" s="667"/>
      <c r="J857" s="706"/>
      <c r="K857" s="707"/>
      <c r="L857" s="706"/>
      <c r="M857" s="707"/>
      <c r="N857" s="215"/>
      <c r="O857" s="216"/>
      <c r="P857" s="670"/>
      <c r="Q857" s="671"/>
      <c r="R857" s="719"/>
      <c r="S857" s="720"/>
      <c r="T857" s="721"/>
      <c r="U857" s="722"/>
      <c r="V857" s="723"/>
      <c r="W857" s="724"/>
      <c r="X857" s="725" t="s">
        <v>159</v>
      </c>
      <c r="Y857" s="725"/>
      <c r="Z857" s="725"/>
      <c r="AA857" s="725"/>
      <c r="AB857" s="726" t="s">
        <v>159</v>
      </c>
      <c r="AC857" s="726"/>
      <c r="AD857" s="726"/>
      <c r="AE857" s="726"/>
      <c r="AF857" s="727"/>
      <c r="AG857" s="728"/>
      <c r="AH857" s="727"/>
      <c r="AI857" s="728"/>
      <c r="AJ857" s="682"/>
      <c r="AK857" s="683"/>
      <c r="AL857" s="664" t="s">
        <v>162</v>
      </c>
      <c r="AM857" s="665"/>
      <c r="AN857" s="713" t="s">
        <v>162</v>
      </c>
      <c r="AO857" s="714"/>
      <c r="AP857" s="729"/>
      <c r="AQ857" s="730"/>
      <c r="AR857" s="731"/>
      <c r="AS857" s="732"/>
      <c r="AT857" s="733"/>
      <c r="AU857" s="734"/>
      <c r="AV857" s="713" t="s">
        <v>162</v>
      </c>
      <c r="AW857" s="714"/>
      <c r="AX857" s="692"/>
      <c r="AY857" s="693"/>
      <c r="AZ857" s="694"/>
      <c r="BA857" s="735"/>
      <c r="BB857" s="736"/>
      <c r="BC857" s="219"/>
      <c r="BD857" s="737" t="s">
        <v>162</v>
      </c>
      <c r="BE857" s="738"/>
      <c r="BF857" s="739"/>
      <c r="BG857" s="740"/>
      <c r="BH857" s="740"/>
      <c r="BI857" s="741"/>
      <c r="BJ857" s="742" t="s">
        <v>159</v>
      </c>
      <c r="BK857" s="743"/>
      <c r="BL857" s="743"/>
      <c r="BM857" s="744"/>
      <c r="BN857" s="703" t="s">
        <v>159</v>
      </c>
      <c r="BO857" s="704"/>
      <c r="BP857" s="704"/>
      <c r="BQ857" s="704"/>
      <c r="BR857" s="704"/>
      <c r="BS857" s="704"/>
      <c r="BT857" s="704"/>
      <c r="BU857" s="704"/>
      <c r="BV857" s="705"/>
    </row>
    <row r="858" spans="1:74" ht="45" customHeight="1" x14ac:dyDescent="0.25">
      <c r="A858" s="10">
        <f t="shared" si="13"/>
        <v>844</v>
      </c>
      <c r="B858" s="662" t="s">
        <v>159</v>
      </c>
      <c r="C858" s="662"/>
      <c r="D858" s="663" t="s">
        <v>212</v>
      </c>
      <c r="E858" s="663"/>
      <c r="F858" s="664" t="s">
        <v>162</v>
      </c>
      <c r="G858" s="665"/>
      <c r="H858" s="754" t="s">
        <v>162</v>
      </c>
      <c r="I858" s="714"/>
      <c r="J858" s="340"/>
      <c r="K858" s="341"/>
      <c r="L858" s="340"/>
      <c r="M858" s="341"/>
      <c r="N858" s="194"/>
      <c r="O858" s="196"/>
      <c r="P858" s="717"/>
      <c r="Q858" s="718"/>
      <c r="R858" s="672"/>
      <c r="S858" s="673"/>
      <c r="T858" s="674"/>
      <c r="U858" s="675"/>
      <c r="V858" s="676"/>
      <c r="W858" s="677"/>
      <c r="X858" s="678" t="s">
        <v>159</v>
      </c>
      <c r="Y858" s="678"/>
      <c r="Z858" s="678"/>
      <c r="AA858" s="678"/>
      <c r="AB858" s="679" t="s">
        <v>159</v>
      </c>
      <c r="AC858" s="679"/>
      <c r="AD858" s="679"/>
      <c r="AE858" s="679"/>
      <c r="AF858" s="680"/>
      <c r="AG858" s="681"/>
      <c r="AH858" s="680"/>
      <c r="AI858" s="681"/>
      <c r="AJ858" s="682"/>
      <c r="AK858" s="683"/>
      <c r="AL858" s="684" t="s">
        <v>162</v>
      </c>
      <c r="AM858" s="685"/>
      <c r="AN858" s="666" t="s">
        <v>162</v>
      </c>
      <c r="AO858" s="667"/>
      <c r="AP858" s="686"/>
      <c r="AQ858" s="687"/>
      <c r="AR858" s="688"/>
      <c r="AS858" s="689"/>
      <c r="AT858" s="690"/>
      <c r="AU858" s="691"/>
      <c r="AV858" s="666" t="s">
        <v>162</v>
      </c>
      <c r="AW858" s="667"/>
      <c r="AX858" s="692"/>
      <c r="AY858" s="693"/>
      <c r="AZ858" s="694"/>
      <c r="BA858" s="682"/>
      <c r="BB858" s="683"/>
      <c r="BC858" s="14"/>
      <c r="BD858" s="695" t="s">
        <v>162</v>
      </c>
      <c r="BE858" s="696"/>
      <c r="BF858" s="708"/>
      <c r="BG858" s="709"/>
      <c r="BH858" s="709"/>
      <c r="BI858" s="710"/>
      <c r="BJ858" s="700" t="s">
        <v>159</v>
      </c>
      <c r="BK858" s="701"/>
      <c r="BL858" s="701"/>
      <c r="BM858" s="702"/>
      <c r="BN858" s="703" t="s">
        <v>159</v>
      </c>
      <c r="BO858" s="704"/>
      <c r="BP858" s="704"/>
      <c r="BQ858" s="704"/>
      <c r="BR858" s="704"/>
      <c r="BS858" s="704"/>
      <c r="BT858" s="704"/>
      <c r="BU858" s="704"/>
      <c r="BV858" s="705"/>
    </row>
    <row r="859" spans="1:74" ht="45" customHeight="1" x14ac:dyDescent="0.25">
      <c r="A859" s="10">
        <f t="shared" si="13"/>
        <v>845</v>
      </c>
      <c r="B859" s="711" t="s">
        <v>159</v>
      </c>
      <c r="C859" s="711"/>
      <c r="D859" s="712" t="s">
        <v>212</v>
      </c>
      <c r="E859" s="712"/>
      <c r="F859" s="664" t="s">
        <v>162</v>
      </c>
      <c r="G859" s="665"/>
      <c r="H859" s="755" t="s">
        <v>162</v>
      </c>
      <c r="I859" s="667"/>
      <c r="J859" s="706"/>
      <c r="K859" s="707"/>
      <c r="L859" s="706"/>
      <c r="M859" s="707"/>
      <c r="N859" s="215"/>
      <c r="O859" s="216"/>
      <c r="P859" s="670"/>
      <c r="Q859" s="671"/>
      <c r="R859" s="719"/>
      <c r="S859" s="720"/>
      <c r="T859" s="721"/>
      <c r="U859" s="722"/>
      <c r="V859" s="723"/>
      <c r="W859" s="724"/>
      <c r="X859" s="725" t="s">
        <v>159</v>
      </c>
      <c r="Y859" s="725"/>
      <c r="Z859" s="725"/>
      <c r="AA859" s="725"/>
      <c r="AB859" s="726" t="s">
        <v>159</v>
      </c>
      <c r="AC859" s="726"/>
      <c r="AD859" s="726"/>
      <c r="AE859" s="726"/>
      <c r="AF859" s="727"/>
      <c r="AG859" s="728"/>
      <c r="AH859" s="727"/>
      <c r="AI859" s="728"/>
      <c r="AJ859" s="682"/>
      <c r="AK859" s="683"/>
      <c r="AL859" s="664" t="s">
        <v>162</v>
      </c>
      <c r="AM859" s="665"/>
      <c r="AN859" s="713" t="s">
        <v>162</v>
      </c>
      <c r="AO859" s="714"/>
      <c r="AP859" s="729"/>
      <c r="AQ859" s="730"/>
      <c r="AR859" s="731"/>
      <c r="AS859" s="732"/>
      <c r="AT859" s="733"/>
      <c r="AU859" s="734"/>
      <c r="AV859" s="713" t="s">
        <v>162</v>
      </c>
      <c r="AW859" s="714"/>
      <c r="AX859" s="692"/>
      <c r="AY859" s="693"/>
      <c r="AZ859" s="694"/>
      <c r="BA859" s="735"/>
      <c r="BB859" s="736"/>
      <c r="BC859" s="219"/>
      <c r="BD859" s="737" t="s">
        <v>162</v>
      </c>
      <c r="BE859" s="738"/>
      <c r="BF859" s="739"/>
      <c r="BG859" s="740"/>
      <c r="BH859" s="740"/>
      <c r="BI859" s="741"/>
      <c r="BJ859" s="742" t="s">
        <v>159</v>
      </c>
      <c r="BK859" s="743"/>
      <c r="BL859" s="743"/>
      <c r="BM859" s="744"/>
      <c r="BN859" s="703" t="s">
        <v>159</v>
      </c>
      <c r="BO859" s="704"/>
      <c r="BP859" s="704"/>
      <c r="BQ859" s="704"/>
      <c r="BR859" s="704"/>
      <c r="BS859" s="704"/>
      <c r="BT859" s="704"/>
      <c r="BU859" s="704"/>
      <c r="BV859" s="705"/>
    </row>
    <row r="860" spans="1:74" ht="45" customHeight="1" x14ac:dyDescent="0.25">
      <c r="A860" s="10">
        <f t="shared" si="13"/>
        <v>846</v>
      </c>
      <c r="B860" s="662" t="s">
        <v>159</v>
      </c>
      <c r="C860" s="662"/>
      <c r="D860" s="663" t="s">
        <v>212</v>
      </c>
      <c r="E860" s="663"/>
      <c r="F860" s="664" t="s">
        <v>162</v>
      </c>
      <c r="G860" s="665"/>
      <c r="H860" s="754" t="s">
        <v>162</v>
      </c>
      <c r="I860" s="714"/>
      <c r="J860" s="340"/>
      <c r="K860" s="341"/>
      <c r="L860" s="340"/>
      <c r="M860" s="341"/>
      <c r="N860" s="194"/>
      <c r="O860" s="196"/>
      <c r="P860" s="717"/>
      <c r="Q860" s="718"/>
      <c r="R860" s="672"/>
      <c r="S860" s="673"/>
      <c r="T860" s="674"/>
      <c r="U860" s="675"/>
      <c r="V860" s="676"/>
      <c r="W860" s="677"/>
      <c r="X860" s="678" t="s">
        <v>159</v>
      </c>
      <c r="Y860" s="678"/>
      <c r="Z860" s="678"/>
      <c r="AA860" s="678"/>
      <c r="AB860" s="679" t="s">
        <v>159</v>
      </c>
      <c r="AC860" s="679"/>
      <c r="AD860" s="679"/>
      <c r="AE860" s="679"/>
      <c r="AF860" s="680"/>
      <c r="AG860" s="681"/>
      <c r="AH860" s="680"/>
      <c r="AI860" s="681"/>
      <c r="AJ860" s="682"/>
      <c r="AK860" s="683"/>
      <c r="AL860" s="684" t="s">
        <v>162</v>
      </c>
      <c r="AM860" s="685"/>
      <c r="AN860" s="666" t="s">
        <v>162</v>
      </c>
      <c r="AO860" s="667"/>
      <c r="AP860" s="686"/>
      <c r="AQ860" s="687"/>
      <c r="AR860" s="688"/>
      <c r="AS860" s="689"/>
      <c r="AT860" s="690"/>
      <c r="AU860" s="691"/>
      <c r="AV860" s="666" t="s">
        <v>162</v>
      </c>
      <c r="AW860" s="667"/>
      <c r="AX860" s="692"/>
      <c r="AY860" s="693"/>
      <c r="AZ860" s="694"/>
      <c r="BA860" s="682"/>
      <c r="BB860" s="683"/>
      <c r="BC860" s="14"/>
      <c r="BD860" s="695" t="s">
        <v>162</v>
      </c>
      <c r="BE860" s="696"/>
      <c r="BF860" s="697"/>
      <c r="BG860" s="698"/>
      <c r="BH860" s="698"/>
      <c r="BI860" s="699"/>
      <c r="BJ860" s="700" t="s">
        <v>159</v>
      </c>
      <c r="BK860" s="701"/>
      <c r="BL860" s="701"/>
      <c r="BM860" s="702"/>
      <c r="BN860" s="703" t="s">
        <v>159</v>
      </c>
      <c r="BO860" s="704"/>
      <c r="BP860" s="704"/>
      <c r="BQ860" s="704"/>
      <c r="BR860" s="704"/>
      <c r="BS860" s="704"/>
      <c r="BT860" s="704"/>
      <c r="BU860" s="704"/>
      <c r="BV860" s="705"/>
    </row>
    <row r="861" spans="1:74" ht="45" customHeight="1" x14ac:dyDescent="0.25">
      <c r="A861" s="10">
        <f t="shared" si="13"/>
        <v>847</v>
      </c>
      <c r="B861" s="711" t="s">
        <v>159</v>
      </c>
      <c r="C861" s="711"/>
      <c r="D861" s="712" t="s">
        <v>212</v>
      </c>
      <c r="E861" s="712"/>
      <c r="F861" s="664" t="s">
        <v>162</v>
      </c>
      <c r="G861" s="665"/>
      <c r="H861" s="755" t="s">
        <v>162</v>
      </c>
      <c r="I861" s="667"/>
      <c r="J861" s="706"/>
      <c r="K861" s="707"/>
      <c r="L861" s="706"/>
      <c r="M861" s="707"/>
      <c r="N861" s="215"/>
      <c r="O861" s="216"/>
      <c r="P861" s="670"/>
      <c r="Q861" s="671"/>
      <c r="R861" s="719"/>
      <c r="S861" s="720"/>
      <c r="T861" s="721"/>
      <c r="U861" s="722"/>
      <c r="V861" s="723"/>
      <c r="W861" s="724"/>
      <c r="X861" s="725" t="s">
        <v>159</v>
      </c>
      <c r="Y861" s="725"/>
      <c r="Z861" s="725"/>
      <c r="AA861" s="725"/>
      <c r="AB861" s="726" t="s">
        <v>159</v>
      </c>
      <c r="AC861" s="726"/>
      <c r="AD861" s="726"/>
      <c r="AE861" s="726"/>
      <c r="AF861" s="727"/>
      <c r="AG861" s="728"/>
      <c r="AH861" s="727"/>
      <c r="AI861" s="728"/>
      <c r="AJ861" s="682"/>
      <c r="AK861" s="683"/>
      <c r="AL861" s="664" t="s">
        <v>162</v>
      </c>
      <c r="AM861" s="665"/>
      <c r="AN861" s="713" t="s">
        <v>162</v>
      </c>
      <c r="AO861" s="714"/>
      <c r="AP861" s="729"/>
      <c r="AQ861" s="730"/>
      <c r="AR861" s="731"/>
      <c r="AS861" s="732"/>
      <c r="AT861" s="733"/>
      <c r="AU861" s="734"/>
      <c r="AV861" s="713" t="s">
        <v>162</v>
      </c>
      <c r="AW861" s="714"/>
      <c r="AX861" s="692"/>
      <c r="AY861" s="693"/>
      <c r="AZ861" s="694"/>
      <c r="BA861" s="735"/>
      <c r="BB861" s="736"/>
      <c r="BC861" s="219"/>
      <c r="BD861" s="737" t="s">
        <v>162</v>
      </c>
      <c r="BE861" s="738"/>
      <c r="BF861" s="739"/>
      <c r="BG861" s="740"/>
      <c r="BH861" s="740"/>
      <c r="BI861" s="741"/>
      <c r="BJ861" s="742" t="s">
        <v>159</v>
      </c>
      <c r="BK861" s="743"/>
      <c r="BL861" s="743"/>
      <c r="BM861" s="744"/>
      <c r="BN861" s="703" t="s">
        <v>159</v>
      </c>
      <c r="BO861" s="704"/>
      <c r="BP861" s="704"/>
      <c r="BQ861" s="704"/>
      <c r="BR861" s="704"/>
      <c r="BS861" s="704"/>
      <c r="BT861" s="704"/>
      <c r="BU861" s="704"/>
      <c r="BV861" s="705"/>
    </row>
    <row r="862" spans="1:74" ht="45" customHeight="1" x14ac:dyDescent="0.25">
      <c r="A862" s="10">
        <f t="shared" si="13"/>
        <v>848</v>
      </c>
      <c r="B862" s="662" t="s">
        <v>159</v>
      </c>
      <c r="C862" s="662"/>
      <c r="D862" s="663" t="s">
        <v>212</v>
      </c>
      <c r="E862" s="663"/>
      <c r="F862" s="664" t="s">
        <v>162</v>
      </c>
      <c r="G862" s="665"/>
      <c r="H862" s="754" t="s">
        <v>162</v>
      </c>
      <c r="I862" s="714"/>
      <c r="J862" s="340"/>
      <c r="K862" s="341"/>
      <c r="L862" s="340"/>
      <c r="M862" s="341"/>
      <c r="N862" s="215"/>
      <c r="O862" s="216"/>
      <c r="P862" s="670"/>
      <c r="Q862" s="671"/>
      <c r="R862" s="719"/>
      <c r="S862" s="720"/>
      <c r="T862" s="721"/>
      <c r="U862" s="722"/>
      <c r="V862" s="676"/>
      <c r="W862" s="677"/>
      <c r="X862" s="678" t="s">
        <v>159</v>
      </c>
      <c r="Y862" s="678"/>
      <c r="Z862" s="678"/>
      <c r="AA862" s="678"/>
      <c r="AB862" s="679" t="s">
        <v>159</v>
      </c>
      <c r="AC862" s="679"/>
      <c r="AD862" s="679"/>
      <c r="AE862" s="679"/>
      <c r="AF862" s="680"/>
      <c r="AG862" s="681"/>
      <c r="AH862" s="680"/>
      <c r="AI862" s="681"/>
      <c r="AJ862" s="682"/>
      <c r="AK862" s="683"/>
      <c r="AL862" s="684" t="s">
        <v>162</v>
      </c>
      <c r="AM862" s="685"/>
      <c r="AN862" s="666" t="s">
        <v>162</v>
      </c>
      <c r="AO862" s="667"/>
      <c r="AP862" s="686"/>
      <c r="AQ862" s="687"/>
      <c r="AR862" s="688"/>
      <c r="AS862" s="689"/>
      <c r="AT862" s="690"/>
      <c r="AU862" s="691"/>
      <c r="AV862" s="666" t="s">
        <v>162</v>
      </c>
      <c r="AW862" s="667"/>
      <c r="AX862" s="692"/>
      <c r="AY862" s="693"/>
      <c r="AZ862" s="694"/>
      <c r="BA862" s="682"/>
      <c r="BB862" s="683"/>
      <c r="BC862" s="14"/>
      <c r="BD862" s="695" t="s">
        <v>162</v>
      </c>
      <c r="BE862" s="696"/>
      <c r="BF862" s="697"/>
      <c r="BG862" s="698"/>
      <c r="BH862" s="698"/>
      <c r="BI862" s="699"/>
      <c r="BJ862" s="700" t="s">
        <v>159</v>
      </c>
      <c r="BK862" s="701"/>
      <c r="BL862" s="701"/>
      <c r="BM862" s="702"/>
      <c r="BN862" s="703" t="s">
        <v>159</v>
      </c>
      <c r="BO862" s="704"/>
      <c r="BP862" s="704"/>
      <c r="BQ862" s="704"/>
      <c r="BR862" s="704"/>
      <c r="BS862" s="704"/>
      <c r="BT862" s="704"/>
      <c r="BU862" s="704"/>
      <c r="BV862" s="705"/>
    </row>
    <row r="863" spans="1:74" ht="45" customHeight="1" x14ac:dyDescent="0.25">
      <c r="A863" s="10">
        <f t="shared" si="13"/>
        <v>849</v>
      </c>
      <c r="B863" s="711" t="s">
        <v>159</v>
      </c>
      <c r="C863" s="711"/>
      <c r="D863" s="712" t="s">
        <v>212</v>
      </c>
      <c r="E863" s="712"/>
      <c r="F863" s="664" t="s">
        <v>162</v>
      </c>
      <c r="G863" s="665"/>
      <c r="H863" s="755" t="s">
        <v>162</v>
      </c>
      <c r="I863" s="667"/>
      <c r="J863" s="706"/>
      <c r="K863" s="707"/>
      <c r="L863" s="706"/>
      <c r="M863" s="707"/>
      <c r="N863" s="194"/>
      <c r="O863" s="196"/>
      <c r="P863" s="717"/>
      <c r="Q863" s="718"/>
      <c r="R863" s="672"/>
      <c r="S863" s="673"/>
      <c r="T863" s="674"/>
      <c r="U863" s="675"/>
      <c r="V863" s="723"/>
      <c r="W863" s="724"/>
      <c r="X863" s="725" t="s">
        <v>159</v>
      </c>
      <c r="Y863" s="725"/>
      <c r="Z863" s="725"/>
      <c r="AA863" s="725"/>
      <c r="AB863" s="726" t="s">
        <v>159</v>
      </c>
      <c r="AC863" s="726"/>
      <c r="AD863" s="726"/>
      <c r="AE863" s="726"/>
      <c r="AF863" s="727"/>
      <c r="AG863" s="728"/>
      <c r="AH863" s="727"/>
      <c r="AI863" s="728"/>
      <c r="AJ863" s="682"/>
      <c r="AK863" s="683"/>
      <c r="AL863" s="664" t="s">
        <v>162</v>
      </c>
      <c r="AM863" s="665"/>
      <c r="AN863" s="713" t="s">
        <v>162</v>
      </c>
      <c r="AO863" s="714"/>
      <c r="AP863" s="729"/>
      <c r="AQ863" s="730"/>
      <c r="AR863" s="731"/>
      <c r="AS863" s="732"/>
      <c r="AT863" s="733"/>
      <c r="AU863" s="734"/>
      <c r="AV863" s="713" t="s">
        <v>162</v>
      </c>
      <c r="AW863" s="714"/>
      <c r="AX863" s="692"/>
      <c r="AY863" s="693"/>
      <c r="AZ863" s="694"/>
      <c r="BA863" s="735"/>
      <c r="BB863" s="736"/>
      <c r="BC863" s="219"/>
      <c r="BD863" s="737" t="s">
        <v>162</v>
      </c>
      <c r="BE863" s="738"/>
      <c r="BF863" s="739"/>
      <c r="BG863" s="740"/>
      <c r="BH863" s="740"/>
      <c r="BI863" s="741"/>
      <c r="BJ863" s="742" t="s">
        <v>159</v>
      </c>
      <c r="BK863" s="743"/>
      <c r="BL863" s="743"/>
      <c r="BM863" s="744"/>
      <c r="BN863" s="703" t="s">
        <v>159</v>
      </c>
      <c r="BO863" s="704"/>
      <c r="BP863" s="704"/>
      <c r="BQ863" s="704"/>
      <c r="BR863" s="704"/>
      <c r="BS863" s="704"/>
      <c r="BT863" s="704"/>
      <c r="BU863" s="704"/>
      <c r="BV863" s="705"/>
    </row>
    <row r="864" spans="1:74" ht="45" customHeight="1" x14ac:dyDescent="0.25">
      <c r="A864" s="10">
        <f t="shared" si="13"/>
        <v>850</v>
      </c>
      <c r="B864" s="662" t="s">
        <v>159</v>
      </c>
      <c r="C864" s="662"/>
      <c r="D864" s="663" t="s">
        <v>212</v>
      </c>
      <c r="E864" s="663"/>
      <c r="F864" s="664" t="s">
        <v>162</v>
      </c>
      <c r="G864" s="665"/>
      <c r="H864" s="754" t="s">
        <v>162</v>
      </c>
      <c r="I864" s="714"/>
      <c r="J864" s="340"/>
      <c r="K864" s="341"/>
      <c r="L864" s="340"/>
      <c r="M864" s="341"/>
      <c r="N864" s="215"/>
      <c r="O864" s="216"/>
      <c r="P864" s="670"/>
      <c r="Q864" s="671"/>
      <c r="R864" s="719"/>
      <c r="S864" s="720"/>
      <c r="T864" s="721"/>
      <c r="U864" s="722"/>
      <c r="V864" s="676"/>
      <c r="W864" s="677"/>
      <c r="X864" s="678" t="s">
        <v>159</v>
      </c>
      <c r="Y864" s="678"/>
      <c r="Z864" s="678"/>
      <c r="AA864" s="678"/>
      <c r="AB864" s="679" t="s">
        <v>159</v>
      </c>
      <c r="AC864" s="679"/>
      <c r="AD864" s="679"/>
      <c r="AE864" s="679"/>
      <c r="AF864" s="680"/>
      <c r="AG864" s="681"/>
      <c r="AH864" s="680"/>
      <c r="AI864" s="681"/>
      <c r="AJ864" s="682"/>
      <c r="AK864" s="683"/>
      <c r="AL864" s="684" t="s">
        <v>162</v>
      </c>
      <c r="AM864" s="685"/>
      <c r="AN864" s="666" t="s">
        <v>162</v>
      </c>
      <c r="AO864" s="667"/>
      <c r="AP864" s="686"/>
      <c r="AQ864" s="687"/>
      <c r="AR864" s="688"/>
      <c r="AS864" s="689"/>
      <c r="AT864" s="690"/>
      <c r="AU864" s="691"/>
      <c r="AV864" s="666" t="s">
        <v>162</v>
      </c>
      <c r="AW864" s="667"/>
      <c r="AX864" s="692"/>
      <c r="AY864" s="693"/>
      <c r="AZ864" s="694"/>
      <c r="BA864" s="682"/>
      <c r="BB864" s="683"/>
      <c r="BC864" s="14"/>
      <c r="BD864" s="695" t="s">
        <v>162</v>
      </c>
      <c r="BE864" s="696"/>
      <c r="BF864" s="708"/>
      <c r="BG864" s="709"/>
      <c r="BH864" s="709"/>
      <c r="BI864" s="710"/>
      <c r="BJ864" s="700" t="s">
        <v>159</v>
      </c>
      <c r="BK864" s="701"/>
      <c r="BL864" s="701"/>
      <c r="BM864" s="702"/>
      <c r="BN864" s="703" t="s">
        <v>159</v>
      </c>
      <c r="BO864" s="704"/>
      <c r="BP864" s="704"/>
      <c r="BQ864" s="704"/>
      <c r="BR864" s="704"/>
      <c r="BS864" s="704"/>
      <c r="BT864" s="704"/>
      <c r="BU864" s="704"/>
      <c r="BV864" s="705"/>
    </row>
    <row r="865" spans="1:74" ht="45" customHeight="1" x14ac:dyDescent="0.25">
      <c r="A865" s="10">
        <f t="shared" si="13"/>
        <v>851</v>
      </c>
      <c r="B865" s="711" t="s">
        <v>159</v>
      </c>
      <c r="C865" s="711"/>
      <c r="D865" s="712" t="s">
        <v>212</v>
      </c>
      <c r="E865" s="712"/>
      <c r="F865" s="664" t="s">
        <v>162</v>
      </c>
      <c r="G865" s="665"/>
      <c r="H865" s="755" t="s">
        <v>162</v>
      </c>
      <c r="I865" s="667"/>
      <c r="J865" s="706"/>
      <c r="K865" s="707"/>
      <c r="L865" s="706"/>
      <c r="M865" s="707"/>
      <c r="N865" s="194"/>
      <c r="O865" s="196"/>
      <c r="P865" s="717"/>
      <c r="Q865" s="718"/>
      <c r="R865" s="672"/>
      <c r="S865" s="673"/>
      <c r="T865" s="674"/>
      <c r="U865" s="675"/>
      <c r="V865" s="723"/>
      <c r="W865" s="724"/>
      <c r="X865" s="725" t="s">
        <v>159</v>
      </c>
      <c r="Y865" s="725"/>
      <c r="Z865" s="725"/>
      <c r="AA865" s="725"/>
      <c r="AB865" s="726" t="s">
        <v>159</v>
      </c>
      <c r="AC865" s="726"/>
      <c r="AD865" s="726"/>
      <c r="AE865" s="726"/>
      <c r="AF865" s="727"/>
      <c r="AG865" s="728"/>
      <c r="AH865" s="727"/>
      <c r="AI865" s="728"/>
      <c r="AJ865" s="682"/>
      <c r="AK865" s="683"/>
      <c r="AL865" s="664" t="s">
        <v>162</v>
      </c>
      <c r="AM865" s="665"/>
      <c r="AN865" s="713" t="s">
        <v>162</v>
      </c>
      <c r="AO865" s="714"/>
      <c r="AP865" s="729"/>
      <c r="AQ865" s="730"/>
      <c r="AR865" s="731"/>
      <c r="AS865" s="732"/>
      <c r="AT865" s="733"/>
      <c r="AU865" s="734"/>
      <c r="AV865" s="713" t="s">
        <v>162</v>
      </c>
      <c r="AW865" s="714"/>
      <c r="AX865" s="692"/>
      <c r="AY865" s="693"/>
      <c r="AZ865" s="694"/>
      <c r="BA865" s="735"/>
      <c r="BB865" s="736"/>
      <c r="BC865" s="219"/>
      <c r="BD865" s="737" t="s">
        <v>162</v>
      </c>
      <c r="BE865" s="738"/>
      <c r="BF865" s="739"/>
      <c r="BG865" s="740"/>
      <c r="BH865" s="740"/>
      <c r="BI865" s="741"/>
      <c r="BJ865" s="742" t="s">
        <v>159</v>
      </c>
      <c r="BK865" s="743"/>
      <c r="BL865" s="743"/>
      <c r="BM865" s="744"/>
      <c r="BN865" s="703" t="s">
        <v>159</v>
      </c>
      <c r="BO865" s="704"/>
      <c r="BP865" s="704"/>
      <c r="BQ865" s="704"/>
      <c r="BR865" s="704"/>
      <c r="BS865" s="704"/>
      <c r="BT865" s="704"/>
      <c r="BU865" s="704"/>
      <c r="BV865" s="705"/>
    </row>
    <row r="866" spans="1:74" ht="45" customHeight="1" x14ac:dyDescent="0.25">
      <c r="A866" s="10">
        <f t="shared" si="13"/>
        <v>852</v>
      </c>
      <c r="B866" s="662" t="s">
        <v>159</v>
      </c>
      <c r="C866" s="662"/>
      <c r="D866" s="663" t="s">
        <v>212</v>
      </c>
      <c r="E866" s="663"/>
      <c r="F866" s="664" t="s">
        <v>162</v>
      </c>
      <c r="G866" s="665"/>
      <c r="H866" s="754" t="s">
        <v>162</v>
      </c>
      <c r="I866" s="714"/>
      <c r="J866" s="340"/>
      <c r="K866" s="341"/>
      <c r="L866" s="340"/>
      <c r="M866" s="341"/>
      <c r="N866" s="215"/>
      <c r="O866" s="216"/>
      <c r="P866" s="670"/>
      <c r="Q866" s="671"/>
      <c r="R866" s="719"/>
      <c r="S866" s="720"/>
      <c r="T866" s="721"/>
      <c r="U866" s="722"/>
      <c r="V866" s="676"/>
      <c r="W866" s="677"/>
      <c r="X866" s="678" t="s">
        <v>159</v>
      </c>
      <c r="Y866" s="678"/>
      <c r="Z866" s="678"/>
      <c r="AA866" s="678"/>
      <c r="AB866" s="679" t="s">
        <v>159</v>
      </c>
      <c r="AC866" s="679"/>
      <c r="AD866" s="679"/>
      <c r="AE866" s="679"/>
      <c r="AF866" s="680"/>
      <c r="AG866" s="681"/>
      <c r="AH866" s="680"/>
      <c r="AI866" s="681"/>
      <c r="AJ866" s="682"/>
      <c r="AK866" s="683"/>
      <c r="AL866" s="684" t="s">
        <v>162</v>
      </c>
      <c r="AM866" s="685"/>
      <c r="AN866" s="666" t="s">
        <v>162</v>
      </c>
      <c r="AO866" s="667"/>
      <c r="AP866" s="686"/>
      <c r="AQ866" s="687"/>
      <c r="AR866" s="688"/>
      <c r="AS866" s="689"/>
      <c r="AT866" s="690"/>
      <c r="AU866" s="691"/>
      <c r="AV866" s="666" t="s">
        <v>162</v>
      </c>
      <c r="AW866" s="667"/>
      <c r="AX866" s="692"/>
      <c r="AY866" s="693"/>
      <c r="AZ866" s="694"/>
      <c r="BA866" s="682"/>
      <c r="BB866" s="683"/>
      <c r="BC866" s="14"/>
      <c r="BD866" s="695" t="s">
        <v>162</v>
      </c>
      <c r="BE866" s="696"/>
      <c r="BF866" s="697"/>
      <c r="BG866" s="698"/>
      <c r="BH866" s="698"/>
      <c r="BI866" s="699"/>
      <c r="BJ866" s="700" t="s">
        <v>159</v>
      </c>
      <c r="BK866" s="701"/>
      <c r="BL866" s="701"/>
      <c r="BM866" s="702"/>
      <c r="BN866" s="703" t="s">
        <v>159</v>
      </c>
      <c r="BO866" s="704"/>
      <c r="BP866" s="704"/>
      <c r="BQ866" s="704"/>
      <c r="BR866" s="704"/>
      <c r="BS866" s="704"/>
      <c r="BT866" s="704"/>
      <c r="BU866" s="704"/>
      <c r="BV866" s="705"/>
    </row>
    <row r="867" spans="1:74" ht="45" customHeight="1" x14ac:dyDescent="0.25">
      <c r="A867" s="10">
        <f t="shared" si="13"/>
        <v>853</v>
      </c>
      <c r="B867" s="711" t="s">
        <v>159</v>
      </c>
      <c r="C867" s="711"/>
      <c r="D867" s="712" t="s">
        <v>212</v>
      </c>
      <c r="E867" s="712"/>
      <c r="F867" s="664" t="s">
        <v>162</v>
      </c>
      <c r="G867" s="665"/>
      <c r="H867" s="755" t="s">
        <v>162</v>
      </c>
      <c r="I867" s="667"/>
      <c r="J867" s="706"/>
      <c r="K867" s="707"/>
      <c r="L867" s="706"/>
      <c r="M867" s="707"/>
      <c r="N867" s="194"/>
      <c r="O867" s="196"/>
      <c r="P867" s="717"/>
      <c r="Q867" s="718"/>
      <c r="R867" s="672"/>
      <c r="S867" s="673"/>
      <c r="T867" s="674"/>
      <c r="U867" s="675"/>
      <c r="V867" s="723"/>
      <c r="W867" s="724"/>
      <c r="X867" s="725" t="s">
        <v>159</v>
      </c>
      <c r="Y867" s="725"/>
      <c r="Z867" s="725"/>
      <c r="AA867" s="725"/>
      <c r="AB867" s="726" t="s">
        <v>159</v>
      </c>
      <c r="AC867" s="726"/>
      <c r="AD867" s="726"/>
      <c r="AE867" s="726"/>
      <c r="AF867" s="727"/>
      <c r="AG867" s="728"/>
      <c r="AH867" s="727"/>
      <c r="AI867" s="728"/>
      <c r="AJ867" s="682"/>
      <c r="AK867" s="683"/>
      <c r="AL867" s="664" t="s">
        <v>162</v>
      </c>
      <c r="AM867" s="665"/>
      <c r="AN867" s="713" t="s">
        <v>162</v>
      </c>
      <c r="AO867" s="714"/>
      <c r="AP867" s="729"/>
      <c r="AQ867" s="730"/>
      <c r="AR867" s="731"/>
      <c r="AS867" s="732"/>
      <c r="AT867" s="690"/>
      <c r="AU867" s="691"/>
      <c r="AV867" s="713" t="s">
        <v>162</v>
      </c>
      <c r="AW867" s="714"/>
      <c r="AX867" s="692"/>
      <c r="AY867" s="693"/>
      <c r="AZ867" s="694"/>
      <c r="BA867" s="735"/>
      <c r="BB867" s="736"/>
      <c r="BC867" s="219"/>
      <c r="BD867" s="737" t="s">
        <v>162</v>
      </c>
      <c r="BE867" s="738"/>
      <c r="BF867" s="739"/>
      <c r="BG867" s="740"/>
      <c r="BH867" s="740"/>
      <c r="BI867" s="741"/>
      <c r="BJ867" s="742" t="s">
        <v>159</v>
      </c>
      <c r="BK867" s="743"/>
      <c r="BL867" s="743"/>
      <c r="BM867" s="744"/>
      <c r="BN867" s="703" t="s">
        <v>159</v>
      </c>
      <c r="BO867" s="704"/>
      <c r="BP867" s="704"/>
      <c r="BQ867" s="704"/>
      <c r="BR867" s="704"/>
      <c r="BS867" s="704"/>
      <c r="BT867" s="704"/>
      <c r="BU867" s="704"/>
      <c r="BV867" s="705"/>
    </row>
    <row r="868" spans="1:74" ht="45" customHeight="1" x14ac:dyDescent="0.25">
      <c r="A868" s="10">
        <f t="shared" si="13"/>
        <v>854</v>
      </c>
      <c r="B868" s="662" t="s">
        <v>159</v>
      </c>
      <c r="C868" s="662"/>
      <c r="D868" s="663" t="s">
        <v>212</v>
      </c>
      <c r="E868" s="663"/>
      <c r="F868" s="664" t="s">
        <v>162</v>
      </c>
      <c r="G868" s="665"/>
      <c r="H868" s="754" t="s">
        <v>162</v>
      </c>
      <c r="I868" s="714"/>
      <c r="J868" s="340"/>
      <c r="K868" s="341"/>
      <c r="L868" s="340"/>
      <c r="M868" s="341"/>
      <c r="N868" s="215"/>
      <c r="O868" s="216"/>
      <c r="P868" s="670"/>
      <c r="Q868" s="671"/>
      <c r="R868" s="719"/>
      <c r="S868" s="720"/>
      <c r="T868" s="721"/>
      <c r="U868" s="722"/>
      <c r="V868" s="676"/>
      <c r="W868" s="677"/>
      <c r="X868" s="678" t="s">
        <v>159</v>
      </c>
      <c r="Y868" s="678"/>
      <c r="Z868" s="678"/>
      <c r="AA868" s="678"/>
      <c r="AB868" s="679" t="s">
        <v>159</v>
      </c>
      <c r="AC868" s="679"/>
      <c r="AD868" s="679"/>
      <c r="AE868" s="679"/>
      <c r="AF868" s="680"/>
      <c r="AG868" s="681"/>
      <c r="AH868" s="680"/>
      <c r="AI868" s="681"/>
      <c r="AJ868" s="682"/>
      <c r="AK868" s="683"/>
      <c r="AL868" s="684" t="s">
        <v>162</v>
      </c>
      <c r="AM868" s="685"/>
      <c r="AN868" s="666" t="s">
        <v>162</v>
      </c>
      <c r="AO868" s="667"/>
      <c r="AP868" s="686"/>
      <c r="AQ868" s="687"/>
      <c r="AR868" s="688"/>
      <c r="AS868" s="689"/>
      <c r="AT868" s="690"/>
      <c r="AU868" s="691"/>
      <c r="AV868" s="666" t="s">
        <v>162</v>
      </c>
      <c r="AW868" s="667"/>
      <c r="AX868" s="692"/>
      <c r="AY868" s="693"/>
      <c r="AZ868" s="694"/>
      <c r="BA868" s="682"/>
      <c r="BB868" s="683"/>
      <c r="BC868" s="14"/>
      <c r="BD868" s="695" t="s">
        <v>162</v>
      </c>
      <c r="BE868" s="696"/>
      <c r="BF868" s="697"/>
      <c r="BG868" s="698"/>
      <c r="BH868" s="698"/>
      <c r="BI868" s="699"/>
      <c r="BJ868" s="700" t="s">
        <v>159</v>
      </c>
      <c r="BK868" s="701"/>
      <c r="BL868" s="701"/>
      <c r="BM868" s="702"/>
      <c r="BN868" s="703" t="s">
        <v>159</v>
      </c>
      <c r="BO868" s="704"/>
      <c r="BP868" s="704"/>
      <c r="BQ868" s="704"/>
      <c r="BR868" s="704"/>
      <c r="BS868" s="704"/>
      <c r="BT868" s="704"/>
      <c r="BU868" s="704"/>
      <c r="BV868" s="705"/>
    </row>
    <row r="869" spans="1:74" ht="45" customHeight="1" x14ac:dyDescent="0.25">
      <c r="A869" s="10">
        <f t="shared" si="13"/>
        <v>855</v>
      </c>
      <c r="B869" s="711" t="s">
        <v>159</v>
      </c>
      <c r="C869" s="711"/>
      <c r="D869" s="712" t="s">
        <v>212</v>
      </c>
      <c r="E869" s="712"/>
      <c r="F869" s="664" t="s">
        <v>162</v>
      </c>
      <c r="G869" s="665"/>
      <c r="H869" s="755" t="s">
        <v>162</v>
      </c>
      <c r="I869" s="667"/>
      <c r="J869" s="706"/>
      <c r="K869" s="707"/>
      <c r="L869" s="706"/>
      <c r="M869" s="707"/>
      <c r="N869" s="194"/>
      <c r="O869" s="196"/>
      <c r="P869" s="717"/>
      <c r="Q869" s="718"/>
      <c r="R869" s="672"/>
      <c r="S869" s="673"/>
      <c r="T869" s="674"/>
      <c r="U869" s="675"/>
      <c r="V869" s="723"/>
      <c r="W869" s="724"/>
      <c r="X869" s="725" t="s">
        <v>159</v>
      </c>
      <c r="Y869" s="725"/>
      <c r="Z869" s="725"/>
      <c r="AA869" s="725"/>
      <c r="AB869" s="726" t="s">
        <v>159</v>
      </c>
      <c r="AC869" s="726"/>
      <c r="AD869" s="726"/>
      <c r="AE869" s="726"/>
      <c r="AF869" s="727"/>
      <c r="AG869" s="728"/>
      <c r="AH869" s="727"/>
      <c r="AI869" s="728"/>
      <c r="AJ869" s="682"/>
      <c r="AK869" s="683"/>
      <c r="AL869" s="664" t="s">
        <v>162</v>
      </c>
      <c r="AM869" s="665"/>
      <c r="AN869" s="713" t="s">
        <v>162</v>
      </c>
      <c r="AO869" s="714"/>
      <c r="AP869" s="729"/>
      <c r="AQ869" s="730"/>
      <c r="AR869" s="731"/>
      <c r="AS869" s="732"/>
      <c r="AT869" s="690"/>
      <c r="AU869" s="691"/>
      <c r="AV869" s="713" t="s">
        <v>162</v>
      </c>
      <c r="AW869" s="714"/>
      <c r="AX869" s="692"/>
      <c r="AY869" s="693"/>
      <c r="AZ869" s="694"/>
      <c r="BA869" s="735"/>
      <c r="BB869" s="736"/>
      <c r="BC869" s="219"/>
      <c r="BD869" s="737" t="s">
        <v>162</v>
      </c>
      <c r="BE869" s="738"/>
      <c r="BF869" s="739"/>
      <c r="BG869" s="740"/>
      <c r="BH869" s="740"/>
      <c r="BI869" s="741"/>
      <c r="BJ869" s="742" t="s">
        <v>159</v>
      </c>
      <c r="BK869" s="743"/>
      <c r="BL869" s="743"/>
      <c r="BM869" s="744"/>
      <c r="BN869" s="703" t="s">
        <v>159</v>
      </c>
      <c r="BO869" s="704"/>
      <c r="BP869" s="704"/>
      <c r="BQ869" s="704"/>
      <c r="BR869" s="704"/>
      <c r="BS869" s="704"/>
      <c r="BT869" s="704"/>
      <c r="BU869" s="704"/>
      <c r="BV869" s="705"/>
    </row>
    <row r="870" spans="1:74" ht="45" customHeight="1" x14ac:dyDescent="0.25">
      <c r="A870" s="10">
        <f t="shared" si="13"/>
        <v>856</v>
      </c>
      <c r="B870" s="662" t="s">
        <v>159</v>
      </c>
      <c r="C870" s="662"/>
      <c r="D870" s="663" t="s">
        <v>212</v>
      </c>
      <c r="E870" s="663"/>
      <c r="F870" s="664" t="s">
        <v>162</v>
      </c>
      <c r="G870" s="665"/>
      <c r="H870" s="754" t="s">
        <v>162</v>
      </c>
      <c r="I870" s="714"/>
      <c r="J870" s="340"/>
      <c r="K870" s="341"/>
      <c r="L870" s="340"/>
      <c r="M870" s="341"/>
      <c r="N870" s="215"/>
      <c r="O870" s="216"/>
      <c r="P870" s="670"/>
      <c r="Q870" s="671"/>
      <c r="R870" s="719"/>
      <c r="S870" s="720"/>
      <c r="T870" s="721"/>
      <c r="U870" s="722"/>
      <c r="V870" s="676"/>
      <c r="W870" s="677"/>
      <c r="X870" s="678" t="s">
        <v>159</v>
      </c>
      <c r="Y870" s="678"/>
      <c r="Z870" s="678"/>
      <c r="AA870" s="678"/>
      <c r="AB870" s="679" t="s">
        <v>159</v>
      </c>
      <c r="AC870" s="679"/>
      <c r="AD870" s="679"/>
      <c r="AE870" s="679"/>
      <c r="AF870" s="680"/>
      <c r="AG870" s="681"/>
      <c r="AH870" s="680"/>
      <c r="AI870" s="681"/>
      <c r="AJ870" s="682"/>
      <c r="AK870" s="683"/>
      <c r="AL870" s="684" t="s">
        <v>162</v>
      </c>
      <c r="AM870" s="685"/>
      <c r="AN870" s="666" t="s">
        <v>162</v>
      </c>
      <c r="AO870" s="667"/>
      <c r="AP870" s="686"/>
      <c r="AQ870" s="687"/>
      <c r="AR870" s="688"/>
      <c r="AS870" s="689"/>
      <c r="AT870" s="690"/>
      <c r="AU870" s="691"/>
      <c r="AV870" s="666" t="s">
        <v>162</v>
      </c>
      <c r="AW870" s="667"/>
      <c r="AX870" s="692"/>
      <c r="AY870" s="693"/>
      <c r="AZ870" s="694"/>
      <c r="BA870" s="682"/>
      <c r="BB870" s="683"/>
      <c r="BC870" s="14"/>
      <c r="BD870" s="695" t="s">
        <v>162</v>
      </c>
      <c r="BE870" s="696"/>
      <c r="BF870" s="697"/>
      <c r="BG870" s="698"/>
      <c r="BH870" s="698"/>
      <c r="BI870" s="699"/>
      <c r="BJ870" s="700" t="s">
        <v>159</v>
      </c>
      <c r="BK870" s="701"/>
      <c r="BL870" s="701"/>
      <c r="BM870" s="702"/>
      <c r="BN870" s="703" t="s">
        <v>159</v>
      </c>
      <c r="BO870" s="704"/>
      <c r="BP870" s="704"/>
      <c r="BQ870" s="704"/>
      <c r="BR870" s="704"/>
      <c r="BS870" s="704"/>
      <c r="BT870" s="704"/>
      <c r="BU870" s="704"/>
      <c r="BV870" s="705"/>
    </row>
    <row r="871" spans="1:74" ht="45" customHeight="1" x14ac:dyDescent="0.25">
      <c r="A871" s="10">
        <f t="shared" si="13"/>
        <v>857</v>
      </c>
      <c r="B871" s="711" t="s">
        <v>159</v>
      </c>
      <c r="C871" s="711"/>
      <c r="D871" s="712" t="s">
        <v>212</v>
      </c>
      <c r="E871" s="712"/>
      <c r="F871" s="664" t="s">
        <v>162</v>
      </c>
      <c r="G871" s="665"/>
      <c r="H871" s="755" t="s">
        <v>162</v>
      </c>
      <c r="I871" s="667"/>
      <c r="J871" s="706"/>
      <c r="K871" s="707"/>
      <c r="L871" s="706"/>
      <c r="M871" s="707"/>
      <c r="N871" s="194"/>
      <c r="O871" s="196"/>
      <c r="P871" s="717"/>
      <c r="Q871" s="718"/>
      <c r="R871" s="672"/>
      <c r="S871" s="673"/>
      <c r="T871" s="674"/>
      <c r="U871" s="675"/>
      <c r="V871" s="723"/>
      <c r="W871" s="724"/>
      <c r="X871" s="725" t="s">
        <v>159</v>
      </c>
      <c r="Y871" s="725"/>
      <c r="Z871" s="725"/>
      <c r="AA871" s="725"/>
      <c r="AB871" s="726" t="s">
        <v>159</v>
      </c>
      <c r="AC871" s="726"/>
      <c r="AD871" s="726"/>
      <c r="AE871" s="726"/>
      <c r="AF871" s="727"/>
      <c r="AG871" s="728"/>
      <c r="AH871" s="727"/>
      <c r="AI871" s="728"/>
      <c r="AJ871" s="682"/>
      <c r="AK871" s="683"/>
      <c r="AL871" s="664" t="s">
        <v>162</v>
      </c>
      <c r="AM871" s="665"/>
      <c r="AN871" s="713" t="s">
        <v>162</v>
      </c>
      <c r="AO871" s="714"/>
      <c r="AP871" s="729"/>
      <c r="AQ871" s="730"/>
      <c r="AR871" s="731"/>
      <c r="AS871" s="732"/>
      <c r="AT871" s="733"/>
      <c r="AU871" s="734"/>
      <c r="AV871" s="713" t="s">
        <v>162</v>
      </c>
      <c r="AW871" s="714"/>
      <c r="AX871" s="692"/>
      <c r="AY871" s="693"/>
      <c r="AZ871" s="694"/>
      <c r="BA871" s="735"/>
      <c r="BB871" s="736"/>
      <c r="BC871" s="219"/>
      <c r="BD871" s="737" t="s">
        <v>162</v>
      </c>
      <c r="BE871" s="738"/>
      <c r="BF871" s="739"/>
      <c r="BG871" s="740"/>
      <c r="BH871" s="740"/>
      <c r="BI871" s="741"/>
      <c r="BJ871" s="742" t="s">
        <v>159</v>
      </c>
      <c r="BK871" s="743"/>
      <c r="BL871" s="743"/>
      <c r="BM871" s="744"/>
      <c r="BN871" s="703" t="s">
        <v>159</v>
      </c>
      <c r="BO871" s="704"/>
      <c r="BP871" s="704"/>
      <c r="BQ871" s="704"/>
      <c r="BR871" s="704"/>
      <c r="BS871" s="704"/>
      <c r="BT871" s="704"/>
      <c r="BU871" s="704"/>
      <c r="BV871" s="705"/>
    </row>
    <row r="872" spans="1:74" ht="45" customHeight="1" x14ac:dyDescent="0.25">
      <c r="A872" s="10">
        <f t="shared" si="13"/>
        <v>858</v>
      </c>
      <c r="B872" s="662" t="s">
        <v>159</v>
      </c>
      <c r="C872" s="662"/>
      <c r="D872" s="663" t="s">
        <v>212</v>
      </c>
      <c r="E872" s="663"/>
      <c r="F872" s="664" t="s">
        <v>162</v>
      </c>
      <c r="G872" s="665"/>
      <c r="H872" s="754" t="s">
        <v>162</v>
      </c>
      <c r="I872" s="714"/>
      <c r="J872" s="340"/>
      <c r="K872" s="341"/>
      <c r="L872" s="340"/>
      <c r="M872" s="341"/>
      <c r="N872" s="215"/>
      <c r="O872" s="216"/>
      <c r="P872" s="670"/>
      <c r="Q872" s="671"/>
      <c r="R872" s="719"/>
      <c r="S872" s="720"/>
      <c r="T872" s="721"/>
      <c r="U872" s="722"/>
      <c r="V872" s="676"/>
      <c r="W872" s="677"/>
      <c r="X872" s="678" t="s">
        <v>159</v>
      </c>
      <c r="Y872" s="678"/>
      <c r="Z872" s="678"/>
      <c r="AA872" s="678"/>
      <c r="AB872" s="679" t="s">
        <v>159</v>
      </c>
      <c r="AC872" s="679"/>
      <c r="AD872" s="679"/>
      <c r="AE872" s="679"/>
      <c r="AF872" s="680"/>
      <c r="AG872" s="681"/>
      <c r="AH872" s="680"/>
      <c r="AI872" s="681"/>
      <c r="AJ872" s="682"/>
      <c r="AK872" s="683"/>
      <c r="AL872" s="684" t="s">
        <v>162</v>
      </c>
      <c r="AM872" s="685"/>
      <c r="AN872" s="666" t="s">
        <v>162</v>
      </c>
      <c r="AO872" s="667"/>
      <c r="AP872" s="686"/>
      <c r="AQ872" s="687"/>
      <c r="AR872" s="688"/>
      <c r="AS872" s="689"/>
      <c r="AT872" s="690"/>
      <c r="AU872" s="691"/>
      <c r="AV872" s="666" t="s">
        <v>162</v>
      </c>
      <c r="AW872" s="667"/>
      <c r="AX872" s="692"/>
      <c r="AY872" s="693"/>
      <c r="AZ872" s="694"/>
      <c r="BA872" s="682"/>
      <c r="BB872" s="683"/>
      <c r="BC872" s="14"/>
      <c r="BD872" s="695" t="s">
        <v>162</v>
      </c>
      <c r="BE872" s="696"/>
      <c r="BF872" s="708"/>
      <c r="BG872" s="709"/>
      <c r="BH872" s="709"/>
      <c r="BI872" s="710"/>
      <c r="BJ872" s="700" t="s">
        <v>159</v>
      </c>
      <c r="BK872" s="701"/>
      <c r="BL872" s="701"/>
      <c r="BM872" s="702"/>
      <c r="BN872" s="703" t="s">
        <v>159</v>
      </c>
      <c r="BO872" s="704"/>
      <c r="BP872" s="704"/>
      <c r="BQ872" s="704"/>
      <c r="BR872" s="704"/>
      <c r="BS872" s="704"/>
      <c r="BT872" s="704"/>
      <c r="BU872" s="704"/>
      <c r="BV872" s="705"/>
    </row>
    <row r="873" spans="1:74" ht="45" customHeight="1" x14ac:dyDescent="0.25">
      <c r="A873" s="10">
        <f t="shared" si="13"/>
        <v>859</v>
      </c>
      <c r="B873" s="711" t="s">
        <v>159</v>
      </c>
      <c r="C873" s="711"/>
      <c r="D873" s="712" t="s">
        <v>212</v>
      </c>
      <c r="E873" s="712"/>
      <c r="F873" s="664" t="s">
        <v>162</v>
      </c>
      <c r="G873" s="665"/>
      <c r="H873" s="755" t="s">
        <v>162</v>
      </c>
      <c r="I873" s="667"/>
      <c r="J873" s="706"/>
      <c r="K873" s="707"/>
      <c r="L873" s="706"/>
      <c r="M873" s="707"/>
      <c r="N873" s="194"/>
      <c r="O873" s="196"/>
      <c r="P873" s="717"/>
      <c r="Q873" s="718"/>
      <c r="R873" s="672"/>
      <c r="S873" s="673"/>
      <c r="T873" s="674"/>
      <c r="U873" s="675"/>
      <c r="V873" s="723"/>
      <c r="W873" s="724"/>
      <c r="X873" s="725" t="s">
        <v>159</v>
      </c>
      <c r="Y873" s="725"/>
      <c r="Z873" s="725"/>
      <c r="AA873" s="725"/>
      <c r="AB873" s="726" t="s">
        <v>159</v>
      </c>
      <c r="AC873" s="726"/>
      <c r="AD873" s="726"/>
      <c r="AE873" s="726"/>
      <c r="AF873" s="727"/>
      <c r="AG873" s="728"/>
      <c r="AH873" s="727"/>
      <c r="AI873" s="728"/>
      <c r="AJ873" s="682"/>
      <c r="AK873" s="683"/>
      <c r="AL873" s="664" t="s">
        <v>162</v>
      </c>
      <c r="AM873" s="665"/>
      <c r="AN873" s="713" t="s">
        <v>162</v>
      </c>
      <c r="AO873" s="714"/>
      <c r="AP873" s="729"/>
      <c r="AQ873" s="730"/>
      <c r="AR873" s="731"/>
      <c r="AS873" s="732"/>
      <c r="AT873" s="733"/>
      <c r="AU873" s="734"/>
      <c r="AV873" s="713" t="s">
        <v>162</v>
      </c>
      <c r="AW873" s="714"/>
      <c r="AX873" s="692"/>
      <c r="AY873" s="693"/>
      <c r="AZ873" s="694"/>
      <c r="BA873" s="735"/>
      <c r="BB873" s="736"/>
      <c r="BC873" s="219"/>
      <c r="BD873" s="737" t="s">
        <v>162</v>
      </c>
      <c r="BE873" s="738"/>
      <c r="BF873" s="739"/>
      <c r="BG873" s="740"/>
      <c r="BH873" s="740"/>
      <c r="BI873" s="741"/>
      <c r="BJ873" s="742" t="s">
        <v>159</v>
      </c>
      <c r="BK873" s="743"/>
      <c r="BL873" s="743"/>
      <c r="BM873" s="744"/>
      <c r="BN873" s="703" t="s">
        <v>159</v>
      </c>
      <c r="BO873" s="704"/>
      <c r="BP873" s="704"/>
      <c r="BQ873" s="704"/>
      <c r="BR873" s="704"/>
      <c r="BS873" s="704"/>
      <c r="BT873" s="704"/>
      <c r="BU873" s="704"/>
      <c r="BV873" s="705"/>
    </row>
    <row r="874" spans="1:74" ht="45" customHeight="1" x14ac:dyDescent="0.25">
      <c r="A874" s="10">
        <f t="shared" si="13"/>
        <v>860</v>
      </c>
      <c r="B874" s="662" t="s">
        <v>159</v>
      </c>
      <c r="C874" s="662"/>
      <c r="D874" s="663" t="s">
        <v>212</v>
      </c>
      <c r="E874" s="663"/>
      <c r="F874" s="664" t="s">
        <v>162</v>
      </c>
      <c r="G874" s="665"/>
      <c r="H874" s="754" t="s">
        <v>162</v>
      </c>
      <c r="I874" s="714"/>
      <c r="J874" s="340"/>
      <c r="K874" s="341"/>
      <c r="L874" s="340"/>
      <c r="M874" s="341"/>
      <c r="N874" s="215"/>
      <c r="O874" s="216"/>
      <c r="P874" s="670"/>
      <c r="Q874" s="671"/>
      <c r="R874" s="719"/>
      <c r="S874" s="720"/>
      <c r="T874" s="721"/>
      <c r="U874" s="722"/>
      <c r="V874" s="676"/>
      <c r="W874" s="677"/>
      <c r="X874" s="678" t="s">
        <v>159</v>
      </c>
      <c r="Y874" s="678"/>
      <c r="Z874" s="678"/>
      <c r="AA874" s="678"/>
      <c r="AB874" s="679" t="s">
        <v>159</v>
      </c>
      <c r="AC874" s="679"/>
      <c r="AD874" s="679"/>
      <c r="AE874" s="679"/>
      <c r="AF874" s="680"/>
      <c r="AG874" s="681"/>
      <c r="AH874" s="680"/>
      <c r="AI874" s="681"/>
      <c r="AJ874" s="682"/>
      <c r="AK874" s="683"/>
      <c r="AL874" s="684" t="s">
        <v>162</v>
      </c>
      <c r="AM874" s="685"/>
      <c r="AN874" s="666" t="s">
        <v>162</v>
      </c>
      <c r="AO874" s="667"/>
      <c r="AP874" s="686"/>
      <c r="AQ874" s="687"/>
      <c r="AR874" s="688"/>
      <c r="AS874" s="689"/>
      <c r="AT874" s="690"/>
      <c r="AU874" s="691"/>
      <c r="AV874" s="666" t="s">
        <v>162</v>
      </c>
      <c r="AW874" s="667"/>
      <c r="AX874" s="692"/>
      <c r="AY874" s="693"/>
      <c r="AZ874" s="694"/>
      <c r="BA874" s="682"/>
      <c r="BB874" s="683"/>
      <c r="BC874" s="14"/>
      <c r="BD874" s="695" t="s">
        <v>162</v>
      </c>
      <c r="BE874" s="696"/>
      <c r="BF874" s="697"/>
      <c r="BG874" s="698"/>
      <c r="BH874" s="698"/>
      <c r="BI874" s="699"/>
      <c r="BJ874" s="700" t="s">
        <v>159</v>
      </c>
      <c r="BK874" s="701"/>
      <c r="BL874" s="701"/>
      <c r="BM874" s="702"/>
      <c r="BN874" s="703" t="s">
        <v>159</v>
      </c>
      <c r="BO874" s="704"/>
      <c r="BP874" s="704"/>
      <c r="BQ874" s="704"/>
      <c r="BR874" s="704"/>
      <c r="BS874" s="704"/>
      <c r="BT874" s="704"/>
      <c r="BU874" s="704"/>
      <c r="BV874" s="705"/>
    </row>
    <row r="875" spans="1:74" ht="45" customHeight="1" x14ac:dyDescent="0.25">
      <c r="A875" s="10">
        <f t="shared" si="13"/>
        <v>861</v>
      </c>
      <c r="B875" s="711" t="s">
        <v>159</v>
      </c>
      <c r="C875" s="711"/>
      <c r="D875" s="712" t="s">
        <v>212</v>
      </c>
      <c r="E875" s="712"/>
      <c r="F875" s="664" t="s">
        <v>162</v>
      </c>
      <c r="G875" s="665"/>
      <c r="H875" s="755" t="s">
        <v>162</v>
      </c>
      <c r="I875" s="667"/>
      <c r="J875" s="706"/>
      <c r="K875" s="707"/>
      <c r="L875" s="706"/>
      <c r="M875" s="707"/>
      <c r="N875" s="194"/>
      <c r="O875" s="196"/>
      <c r="P875" s="717"/>
      <c r="Q875" s="718"/>
      <c r="R875" s="672"/>
      <c r="S875" s="673"/>
      <c r="T875" s="674"/>
      <c r="U875" s="675"/>
      <c r="V875" s="723"/>
      <c r="W875" s="724"/>
      <c r="X875" s="725" t="s">
        <v>159</v>
      </c>
      <c r="Y875" s="725"/>
      <c r="Z875" s="725"/>
      <c r="AA875" s="725"/>
      <c r="AB875" s="726" t="s">
        <v>159</v>
      </c>
      <c r="AC875" s="726"/>
      <c r="AD875" s="726"/>
      <c r="AE875" s="726"/>
      <c r="AF875" s="727"/>
      <c r="AG875" s="728"/>
      <c r="AH875" s="727"/>
      <c r="AI875" s="728"/>
      <c r="AJ875" s="682"/>
      <c r="AK875" s="683"/>
      <c r="AL875" s="664" t="s">
        <v>162</v>
      </c>
      <c r="AM875" s="665"/>
      <c r="AN875" s="713" t="s">
        <v>162</v>
      </c>
      <c r="AO875" s="714"/>
      <c r="AP875" s="729"/>
      <c r="AQ875" s="730"/>
      <c r="AR875" s="731"/>
      <c r="AS875" s="732"/>
      <c r="AT875" s="733"/>
      <c r="AU875" s="734"/>
      <c r="AV875" s="713" t="s">
        <v>162</v>
      </c>
      <c r="AW875" s="714"/>
      <c r="AX875" s="692"/>
      <c r="AY875" s="693"/>
      <c r="AZ875" s="694"/>
      <c r="BA875" s="735"/>
      <c r="BB875" s="736"/>
      <c r="BC875" s="219"/>
      <c r="BD875" s="737" t="s">
        <v>162</v>
      </c>
      <c r="BE875" s="738"/>
      <c r="BF875" s="739"/>
      <c r="BG875" s="740"/>
      <c r="BH875" s="740"/>
      <c r="BI875" s="741"/>
      <c r="BJ875" s="742" t="s">
        <v>159</v>
      </c>
      <c r="BK875" s="743"/>
      <c r="BL875" s="743"/>
      <c r="BM875" s="744"/>
      <c r="BN875" s="703" t="s">
        <v>159</v>
      </c>
      <c r="BO875" s="704"/>
      <c r="BP875" s="704"/>
      <c r="BQ875" s="704"/>
      <c r="BR875" s="704"/>
      <c r="BS875" s="704"/>
      <c r="BT875" s="704"/>
      <c r="BU875" s="704"/>
      <c r="BV875" s="705"/>
    </row>
    <row r="876" spans="1:74" ht="45" customHeight="1" x14ac:dyDescent="0.25">
      <c r="A876" s="10">
        <f t="shared" si="13"/>
        <v>862</v>
      </c>
      <c r="B876" s="662" t="s">
        <v>159</v>
      </c>
      <c r="C876" s="662"/>
      <c r="D876" s="663" t="s">
        <v>212</v>
      </c>
      <c r="E876" s="663"/>
      <c r="F876" s="664" t="s">
        <v>162</v>
      </c>
      <c r="G876" s="665"/>
      <c r="H876" s="754" t="s">
        <v>162</v>
      </c>
      <c r="I876" s="714"/>
      <c r="J876" s="340"/>
      <c r="K876" s="341"/>
      <c r="L876" s="340"/>
      <c r="M876" s="341"/>
      <c r="N876" s="194"/>
      <c r="O876" s="196"/>
      <c r="P876" s="717"/>
      <c r="Q876" s="718"/>
      <c r="R876" s="672"/>
      <c r="S876" s="673"/>
      <c r="T876" s="674"/>
      <c r="U876" s="675"/>
      <c r="V876" s="676"/>
      <c r="W876" s="677"/>
      <c r="X876" s="678" t="s">
        <v>159</v>
      </c>
      <c r="Y876" s="678"/>
      <c r="Z876" s="678"/>
      <c r="AA876" s="678"/>
      <c r="AB876" s="679" t="s">
        <v>159</v>
      </c>
      <c r="AC876" s="679"/>
      <c r="AD876" s="679"/>
      <c r="AE876" s="679"/>
      <c r="AF876" s="680"/>
      <c r="AG876" s="681"/>
      <c r="AH876" s="680"/>
      <c r="AI876" s="681"/>
      <c r="AJ876" s="682"/>
      <c r="AK876" s="683"/>
      <c r="AL876" s="684" t="s">
        <v>162</v>
      </c>
      <c r="AM876" s="685"/>
      <c r="AN876" s="666" t="s">
        <v>162</v>
      </c>
      <c r="AO876" s="667"/>
      <c r="AP876" s="686"/>
      <c r="AQ876" s="687"/>
      <c r="AR876" s="688"/>
      <c r="AS876" s="689"/>
      <c r="AT876" s="690"/>
      <c r="AU876" s="691"/>
      <c r="AV876" s="666" t="s">
        <v>162</v>
      </c>
      <c r="AW876" s="667"/>
      <c r="AX876" s="692"/>
      <c r="AY876" s="693"/>
      <c r="AZ876" s="694"/>
      <c r="BA876" s="682"/>
      <c r="BB876" s="683"/>
      <c r="BC876" s="14"/>
      <c r="BD876" s="695" t="s">
        <v>162</v>
      </c>
      <c r="BE876" s="696"/>
      <c r="BF876" s="697"/>
      <c r="BG876" s="698"/>
      <c r="BH876" s="698"/>
      <c r="BI876" s="699"/>
      <c r="BJ876" s="700" t="s">
        <v>159</v>
      </c>
      <c r="BK876" s="701"/>
      <c r="BL876" s="701"/>
      <c r="BM876" s="702"/>
      <c r="BN876" s="703" t="s">
        <v>159</v>
      </c>
      <c r="BO876" s="704"/>
      <c r="BP876" s="704"/>
      <c r="BQ876" s="704"/>
      <c r="BR876" s="704"/>
      <c r="BS876" s="704"/>
      <c r="BT876" s="704"/>
      <c r="BU876" s="704"/>
      <c r="BV876" s="705"/>
    </row>
    <row r="877" spans="1:74" ht="45" customHeight="1" x14ac:dyDescent="0.25">
      <c r="A877" s="10">
        <f t="shared" si="13"/>
        <v>863</v>
      </c>
      <c r="B877" s="711" t="s">
        <v>159</v>
      </c>
      <c r="C877" s="711"/>
      <c r="D877" s="712" t="s">
        <v>212</v>
      </c>
      <c r="E877" s="712"/>
      <c r="F877" s="664" t="s">
        <v>162</v>
      </c>
      <c r="G877" s="665"/>
      <c r="H877" s="755" t="s">
        <v>162</v>
      </c>
      <c r="I877" s="667"/>
      <c r="J877" s="706"/>
      <c r="K877" s="707"/>
      <c r="L877" s="706"/>
      <c r="M877" s="707"/>
      <c r="N877" s="215"/>
      <c r="O877" s="216"/>
      <c r="P877" s="670"/>
      <c r="Q877" s="671"/>
      <c r="R877" s="719"/>
      <c r="S877" s="720"/>
      <c r="T877" s="721"/>
      <c r="U877" s="722"/>
      <c r="V877" s="723"/>
      <c r="W877" s="724"/>
      <c r="X877" s="725" t="s">
        <v>159</v>
      </c>
      <c r="Y877" s="725"/>
      <c r="Z877" s="725"/>
      <c r="AA877" s="725"/>
      <c r="AB877" s="726" t="s">
        <v>159</v>
      </c>
      <c r="AC877" s="726"/>
      <c r="AD877" s="726"/>
      <c r="AE877" s="726"/>
      <c r="AF877" s="727"/>
      <c r="AG877" s="728"/>
      <c r="AH877" s="727"/>
      <c r="AI877" s="728"/>
      <c r="AJ877" s="682"/>
      <c r="AK877" s="683"/>
      <c r="AL877" s="664" t="s">
        <v>162</v>
      </c>
      <c r="AM877" s="665"/>
      <c r="AN877" s="713" t="s">
        <v>162</v>
      </c>
      <c r="AO877" s="714"/>
      <c r="AP877" s="729"/>
      <c r="AQ877" s="730"/>
      <c r="AR877" s="731"/>
      <c r="AS877" s="732"/>
      <c r="AT877" s="733"/>
      <c r="AU877" s="734"/>
      <c r="AV877" s="713" t="s">
        <v>162</v>
      </c>
      <c r="AW877" s="714"/>
      <c r="AX877" s="692"/>
      <c r="AY877" s="693"/>
      <c r="AZ877" s="694"/>
      <c r="BA877" s="735"/>
      <c r="BB877" s="736"/>
      <c r="BC877" s="219"/>
      <c r="BD877" s="737" t="s">
        <v>162</v>
      </c>
      <c r="BE877" s="738"/>
      <c r="BF877" s="739"/>
      <c r="BG877" s="740"/>
      <c r="BH877" s="740"/>
      <c r="BI877" s="741"/>
      <c r="BJ877" s="742" t="s">
        <v>159</v>
      </c>
      <c r="BK877" s="743"/>
      <c r="BL877" s="743"/>
      <c r="BM877" s="744"/>
      <c r="BN877" s="703" t="s">
        <v>159</v>
      </c>
      <c r="BO877" s="704"/>
      <c r="BP877" s="704"/>
      <c r="BQ877" s="704"/>
      <c r="BR877" s="704"/>
      <c r="BS877" s="704"/>
      <c r="BT877" s="704"/>
      <c r="BU877" s="704"/>
      <c r="BV877" s="705"/>
    </row>
    <row r="878" spans="1:74" ht="45" customHeight="1" x14ac:dyDescent="0.25">
      <c r="A878" s="10">
        <f t="shared" si="13"/>
        <v>864</v>
      </c>
      <c r="B878" s="662" t="s">
        <v>159</v>
      </c>
      <c r="C878" s="662"/>
      <c r="D878" s="663" t="s">
        <v>212</v>
      </c>
      <c r="E878" s="663"/>
      <c r="F878" s="664" t="s">
        <v>162</v>
      </c>
      <c r="G878" s="665"/>
      <c r="H878" s="754" t="s">
        <v>162</v>
      </c>
      <c r="I878" s="714"/>
      <c r="J878" s="340"/>
      <c r="K878" s="341"/>
      <c r="L878" s="340"/>
      <c r="M878" s="341"/>
      <c r="N878" s="194"/>
      <c r="O878" s="196"/>
      <c r="P878" s="717"/>
      <c r="Q878" s="718"/>
      <c r="R878" s="672"/>
      <c r="S878" s="673"/>
      <c r="T878" s="674"/>
      <c r="U878" s="675"/>
      <c r="V878" s="676"/>
      <c r="W878" s="677"/>
      <c r="X878" s="678" t="s">
        <v>159</v>
      </c>
      <c r="Y878" s="678"/>
      <c r="Z878" s="678"/>
      <c r="AA878" s="678"/>
      <c r="AB878" s="679" t="s">
        <v>159</v>
      </c>
      <c r="AC878" s="679"/>
      <c r="AD878" s="679"/>
      <c r="AE878" s="679"/>
      <c r="AF878" s="680"/>
      <c r="AG878" s="681"/>
      <c r="AH878" s="680"/>
      <c r="AI878" s="681"/>
      <c r="AJ878" s="682"/>
      <c r="AK878" s="683"/>
      <c r="AL878" s="684" t="s">
        <v>162</v>
      </c>
      <c r="AM878" s="685"/>
      <c r="AN878" s="666" t="s">
        <v>162</v>
      </c>
      <c r="AO878" s="667"/>
      <c r="AP878" s="686"/>
      <c r="AQ878" s="687"/>
      <c r="AR878" s="688"/>
      <c r="AS878" s="689"/>
      <c r="AT878" s="690"/>
      <c r="AU878" s="691"/>
      <c r="AV878" s="666" t="s">
        <v>162</v>
      </c>
      <c r="AW878" s="667"/>
      <c r="AX878" s="692"/>
      <c r="AY878" s="693"/>
      <c r="AZ878" s="694"/>
      <c r="BA878" s="682"/>
      <c r="BB878" s="683"/>
      <c r="BC878" s="14"/>
      <c r="BD878" s="695" t="s">
        <v>162</v>
      </c>
      <c r="BE878" s="696"/>
      <c r="BF878" s="708"/>
      <c r="BG878" s="709"/>
      <c r="BH878" s="709"/>
      <c r="BI878" s="710"/>
      <c r="BJ878" s="700" t="s">
        <v>159</v>
      </c>
      <c r="BK878" s="701"/>
      <c r="BL878" s="701"/>
      <c r="BM878" s="702"/>
      <c r="BN878" s="703" t="s">
        <v>159</v>
      </c>
      <c r="BO878" s="704"/>
      <c r="BP878" s="704"/>
      <c r="BQ878" s="704"/>
      <c r="BR878" s="704"/>
      <c r="BS878" s="704"/>
      <c r="BT878" s="704"/>
      <c r="BU878" s="704"/>
      <c r="BV878" s="705"/>
    </row>
    <row r="879" spans="1:74" ht="45" customHeight="1" x14ac:dyDescent="0.25">
      <c r="A879" s="10">
        <f t="shared" si="13"/>
        <v>865</v>
      </c>
      <c r="B879" s="711" t="s">
        <v>159</v>
      </c>
      <c r="C879" s="711"/>
      <c r="D879" s="712" t="s">
        <v>212</v>
      </c>
      <c r="E879" s="712"/>
      <c r="F879" s="664" t="s">
        <v>162</v>
      </c>
      <c r="G879" s="665"/>
      <c r="H879" s="755" t="s">
        <v>162</v>
      </c>
      <c r="I879" s="667"/>
      <c r="J879" s="706"/>
      <c r="K879" s="707"/>
      <c r="L879" s="706"/>
      <c r="M879" s="707"/>
      <c r="N879" s="215"/>
      <c r="O879" s="216"/>
      <c r="P879" s="670"/>
      <c r="Q879" s="671"/>
      <c r="R879" s="719"/>
      <c r="S879" s="720"/>
      <c r="T879" s="721"/>
      <c r="U879" s="722"/>
      <c r="V879" s="723"/>
      <c r="W879" s="724"/>
      <c r="X879" s="725" t="s">
        <v>159</v>
      </c>
      <c r="Y879" s="725"/>
      <c r="Z879" s="725"/>
      <c r="AA879" s="725"/>
      <c r="AB879" s="726" t="s">
        <v>159</v>
      </c>
      <c r="AC879" s="726"/>
      <c r="AD879" s="726"/>
      <c r="AE879" s="726"/>
      <c r="AF879" s="727"/>
      <c r="AG879" s="728"/>
      <c r="AH879" s="727"/>
      <c r="AI879" s="728"/>
      <c r="AJ879" s="682"/>
      <c r="AK879" s="683"/>
      <c r="AL879" s="664" t="s">
        <v>162</v>
      </c>
      <c r="AM879" s="665"/>
      <c r="AN879" s="713" t="s">
        <v>162</v>
      </c>
      <c r="AO879" s="714"/>
      <c r="AP879" s="729"/>
      <c r="AQ879" s="730"/>
      <c r="AR879" s="731"/>
      <c r="AS879" s="732"/>
      <c r="AT879" s="733"/>
      <c r="AU879" s="734"/>
      <c r="AV879" s="713" t="s">
        <v>162</v>
      </c>
      <c r="AW879" s="714"/>
      <c r="AX879" s="692"/>
      <c r="AY879" s="693"/>
      <c r="AZ879" s="694"/>
      <c r="BA879" s="735"/>
      <c r="BB879" s="736"/>
      <c r="BC879" s="219"/>
      <c r="BD879" s="737" t="s">
        <v>162</v>
      </c>
      <c r="BE879" s="738"/>
      <c r="BF879" s="739"/>
      <c r="BG879" s="740"/>
      <c r="BH879" s="740"/>
      <c r="BI879" s="741"/>
      <c r="BJ879" s="742" t="s">
        <v>159</v>
      </c>
      <c r="BK879" s="743"/>
      <c r="BL879" s="743"/>
      <c r="BM879" s="744"/>
      <c r="BN879" s="703" t="s">
        <v>159</v>
      </c>
      <c r="BO879" s="704"/>
      <c r="BP879" s="704"/>
      <c r="BQ879" s="704"/>
      <c r="BR879" s="704"/>
      <c r="BS879" s="704"/>
      <c r="BT879" s="704"/>
      <c r="BU879" s="704"/>
      <c r="BV879" s="705"/>
    </row>
    <row r="880" spans="1:74" ht="45" customHeight="1" x14ac:dyDescent="0.25">
      <c r="A880" s="10">
        <f t="shared" si="13"/>
        <v>866</v>
      </c>
      <c r="B880" s="662" t="s">
        <v>159</v>
      </c>
      <c r="C880" s="662"/>
      <c r="D880" s="663" t="s">
        <v>212</v>
      </c>
      <c r="E880" s="663"/>
      <c r="F880" s="664" t="s">
        <v>162</v>
      </c>
      <c r="G880" s="665"/>
      <c r="H880" s="754" t="s">
        <v>162</v>
      </c>
      <c r="I880" s="714"/>
      <c r="J880" s="340"/>
      <c r="K880" s="341"/>
      <c r="L880" s="340"/>
      <c r="M880" s="341"/>
      <c r="N880" s="194"/>
      <c r="O880" s="196"/>
      <c r="P880" s="717"/>
      <c r="Q880" s="718"/>
      <c r="R880" s="672"/>
      <c r="S880" s="673"/>
      <c r="T880" s="674"/>
      <c r="U880" s="675"/>
      <c r="V880" s="676"/>
      <c r="W880" s="677"/>
      <c r="X880" s="678" t="s">
        <v>159</v>
      </c>
      <c r="Y880" s="678"/>
      <c r="Z880" s="678"/>
      <c r="AA880" s="678"/>
      <c r="AB880" s="679" t="s">
        <v>159</v>
      </c>
      <c r="AC880" s="679"/>
      <c r="AD880" s="679"/>
      <c r="AE880" s="679"/>
      <c r="AF880" s="680"/>
      <c r="AG880" s="681"/>
      <c r="AH880" s="680"/>
      <c r="AI880" s="681"/>
      <c r="AJ880" s="682"/>
      <c r="AK880" s="683"/>
      <c r="AL880" s="684" t="s">
        <v>162</v>
      </c>
      <c r="AM880" s="685"/>
      <c r="AN880" s="666" t="s">
        <v>162</v>
      </c>
      <c r="AO880" s="667"/>
      <c r="AP880" s="686"/>
      <c r="AQ880" s="687"/>
      <c r="AR880" s="688"/>
      <c r="AS880" s="689"/>
      <c r="AT880" s="690"/>
      <c r="AU880" s="691"/>
      <c r="AV880" s="666" t="s">
        <v>162</v>
      </c>
      <c r="AW880" s="667"/>
      <c r="AX880" s="692"/>
      <c r="AY880" s="693"/>
      <c r="AZ880" s="694"/>
      <c r="BA880" s="682"/>
      <c r="BB880" s="683"/>
      <c r="BC880" s="14"/>
      <c r="BD880" s="695" t="s">
        <v>162</v>
      </c>
      <c r="BE880" s="696"/>
      <c r="BF880" s="697"/>
      <c r="BG880" s="698"/>
      <c r="BH880" s="698"/>
      <c r="BI880" s="699"/>
      <c r="BJ880" s="700" t="s">
        <v>159</v>
      </c>
      <c r="BK880" s="701"/>
      <c r="BL880" s="701"/>
      <c r="BM880" s="702"/>
      <c r="BN880" s="703" t="s">
        <v>159</v>
      </c>
      <c r="BO880" s="704"/>
      <c r="BP880" s="704"/>
      <c r="BQ880" s="704"/>
      <c r="BR880" s="704"/>
      <c r="BS880" s="704"/>
      <c r="BT880" s="704"/>
      <c r="BU880" s="704"/>
      <c r="BV880" s="705"/>
    </row>
    <row r="881" spans="1:74" ht="45" customHeight="1" x14ac:dyDescent="0.25">
      <c r="A881" s="10">
        <f t="shared" si="13"/>
        <v>867</v>
      </c>
      <c r="B881" s="711" t="s">
        <v>159</v>
      </c>
      <c r="C881" s="711"/>
      <c r="D881" s="712" t="s">
        <v>212</v>
      </c>
      <c r="E881" s="712"/>
      <c r="F881" s="664" t="s">
        <v>162</v>
      </c>
      <c r="G881" s="665"/>
      <c r="H881" s="755" t="s">
        <v>162</v>
      </c>
      <c r="I881" s="667"/>
      <c r="J881" s="706"/>
      <c r="K881" s="707"/>
      <c r="L881" s="706"/>
      <c r="M881" s="707"/>
      <c r="N881" s="215"/>
      <c r="O881" s="216"/>
      <c r="P881" s="670"/>
      <c r="Q881" s="671"/>
      <c r="R881" s="719"/>
      <c r="S881" s="720"/>
      <c r="T881" s="721"/>
      <c r="U881" s="722"/>
      <c r="V881" s="723"/>
      <c r="W881" s="724"/>
      <c r="X881" s="725" t="s">
        <v>159</v>
      </c>
      <c r="Y881" s="725"/>
      <c r="Z881" s="725"/>
      <c r="AA881" s="725"/>
      <c r="AB881" s="726" t="s">
        <v>159</v>
      </c>
      <c r="AC881" s="726"/>
      <c r="AD881" s="726"/>
      <c r="AE881" s="726"/>
      <c r="AF881" s="727"/>
      <c r="AG881" s="728"/>
      <c r="AH881" s="727"/>
      <c r="AI881" s="728"/>
      <c r="AJ881" s="682"/>
      <c r="AK881" s="683"/>
      <c r="AL881" s="664" t="s">
        <v>162</v>
      </c>
      <c r="AM881" s="665"/>
      <c r="AN881" s="713" t="s">
        <v>162</v>
      </c>
      <c r="AO881" s="714"/>
      <c r="AP881" s="729"/>
      <c r="AQ881" s="730"/>
      <c r="AR881" s="731"/>
      <c r="AS881" s="732"/>
      <c r="AT881" s="690"/>
      <c r="AU881" s="691"/>
      <c r="AV881" s="713" t="s">
        <v>162</v>
      </c>
      <c r="AW881" s="714"/>
      <c r="AX881" s="692"/>
      <c r="AY881" s="693"/>
      <c r="AZ881" s="694"/>
      <c r="BA881" s="735"/>
      <c r="BB881" s="736"/>
      <c r="BC881" s="219"/>
      <c r="BD881" s="737" t="s">
        <v>162</v>
      </c>
      <c r="BE881" s="738"/>
      <c r="BF881" s="739"/>
      <c r="BG881" s="740"/>
      <c r="BH881" s="740"/>
      <c r="BI881" s="741"/>
      <c r="BJ881" s="742" t="s">
        <v>159</v>
      </c>
      <c r="BK881" s="743"/>
      <c r="BL881" s="743"/>
      <c r="BM881" s="744"/>
      <c r="BN881" s="703" t="s">
        <v>159</v>
      </c>
      <c r="BO881" s="704"/>
      <c r="BP881" s="704"/>
      <c r="BQ881" s="704"/>
      <c r="BR881" s="704"/>
      <c r="BS881" s="704"/>
      <c r="BT881" s="704"/>
      <c r="BU881" s="704"/>
      <c r="BV881" s="705"/>
    </row>
    <row r="882" spans="1:74" ht="45" customHeight="1" x14ac:dyDescent="0.25">
      <c r="A882" s="10">
        <f t="shared" si="13"/>
        <v>868</v>
      </c>
      <c r="B882" s="662" t="s">
        <v>159</v>
      </c>
      <c r="C882" s="662"/>
      <c r="D882" s="663" t="s">
        <v>212</v>
      </c>
      <c r="E882" s="663"/>
      <c r="F882" s="664" t="s">
        <v>162</v>
      </c>
      <c r="G882" s="665"/>
      <c r="H882" s="754" t="s">
        <v>162</v>
      </c>
      <c r="I882" s="714"/>
      <c r="J882" s="340"/>
      <c r="K882" s="341"/>
      <c r="L882" s="340"/>
      <c r="M882" s="341"/>
      <c r="N882" s="194"/>
      <c r="O882" s="196"/>
      <c r="P882" s="717"/>
      <c r="Q882" s="718"/>
      <c r="R882" s="672"/>
      <c r="S882" s="673"/>
      <c r="T882" s="674"/>
      <c r="U882" s="675"/>
      <c r="V882" s="676"/>
      <c r="W882" s="677"/>
      <c r="X882" s="678" t="s">
        <v>159</v>
      </c>
      <c r="Y882" s="678"/>
      <c r="Z882" s="678"/>
      <c r="AA882" s="678"/>
      <c r="AB882" s="679" t="s">
        <v>159</v>
      </c>
      <c r="AC882" s="679"/>
      <c r="AD882" s="679"/>
      <c r="AE882" s="679"/>
      <c r="AF882" s="680"/>
      <c r="AG882" s="681"/>
      <c r="AH882" s="680"/>
      <c r="AI882" s="681"/>
      <c r="AJ882" s="682"/>
      <c r="AK882" s="683"/>
      <c r="AL882" s="684" t="s">
        <v>162</v>
      </c>
      <c r="AM882" s="685"/>
      <c r="AN882" s="666" t="s">
        <v>162</v>
      </c>
      <c r="AO882" s="667"/>
      <c r="AP882" s="686"/>
      <c r="AQ882" s="687"/>
      <c r="AR882" s="688"/>
      <c r="AS882" s="689"/>
      <c r="AT882" s="690"/>
      <c r="AU882" s="691"/>
      <c r="AV882" s="666" t="s">
        <v>162</v>
      </c>
      <c r="AW882" s="667"/>
      <c r="AX882" s="692"/>
      <c r="AY882" s="693"/>
      <c r="AZ882" s="694"/>
      <c r="BA882" s="682"/>
      <c r="BB882" s="683"/>
      <c r="BC882" s="14"/>
      <c r="BD882" s="695" t="s">
        <v>162</v>
      </c>
      <c r="BE882" s="696"/>
      <c r="BF882" s="697"/>
      <c r="BG882" s="698"/>
      <c r="BH882" s="698"/>
      <c r="BI882" s="699"/>
      <c r="BJ882" s="700" t="s">
        <v>159</v>
      </c>
      <c r="BK882" s="701"/>
      <c r="BL882" s="701"/>
      <c r="BM882" s="702"/>
      <c r="BN882" s="703" t="s">
        <v>159</v>
      </c>
      <c r="BO882" s="704"/>
      <c r="BP882" s="704"/>
      <c r="BQ882" s="704"/>
      <c r="BR882" s="704"/>
      <c r="BS882" s="704"/>
      <c r="BT882" s="704"/>
      <c r="BU882" s="704"/>
      <c r="BV882" s="705"/>
    </row>
    <row r="883" spans="1:74" ht="45" customHeight="1" x14ac:dyDescent="0.25">
      <c r="A883" s="10">
        <f t="shared" si="13"/>
        <v>869</v>
      </c>
      <c r="B883" s="711" t="s">
        <v>159</v>
      </c>
      <c r="C883" s="711"/>
      <c r="D883" s="712" t="s">
        <v>212</v>
      </c>
      <c r="E883" s="712"/>
      <c r="F883" s="664" t="s">
        <v>162</v>
      </c>
      <c r="G883" s="665"/>
      <c r="H883" s="755" t="s">
        <v>162</v>
      </c>
      <c r="I883" s="667"/>
      <c r="J883" s="706"/>
      <c r="K883" s="707"/>
      <c r="L883" s="706"/>
      <c r="M883" s="707"/>
      <c r="N883" s="194"/>
      <c r="O883" s="196"/>
      <c r="P883" s="717"/>
      <c r="Q883" s="718"/>
      <c r="R883" s="719"/>
      <c r="S883" s="720"/>
      <c r="T883" s="721"/>
      <c r="U883" s="722"/>
      <c r="V883" s="723"/>
      <c r="W883" s="724"/>
      <c r="X883" s="725" t="s">
        <v>159</v>
      </c>
      <c r="Y883" s="725"/>
      <c r="Z883" s="725"/>
      <c r="AA883" s="725"/>
      <c r="AB883" s="726" t="s">
        <v>159</v>
      </c>
      <c r="AC883" s="726"/>
      <c r="AD883" s="726"/>
      <c r="AE883" s="726"/>
      <c r="AF883" s="727"/>
      <c r="AG883" s="728"/>
      <c r="AH883" s="727"/>
      <c r="AI883" s="728"/>
      <c r="AJ883" s="682"/>
      <c r="AK883" s="683"/>
      <c r="AL883" s="664" t="s">
        <v>162</v>
      </c>
      <c r="AM883" s="665"/>
      <c r="AN883" s="713" t="s">
        <v>162</v>
      </c>
      <c r="AO883" s="714"/>
      <c r="AP883" s="729"/>
      <c r="AQ883" s="730"/>
      <c r="AR883" s="731"/>
      <c r="AS883" s="732"/>
      <c r="AT883" s="690"/>
      <c r="AU883" s="691"/>
      <c r="AV883" s="713" t="s">
        <v>162</v>
      </c>
      <c r="AW883" s="714"/>
      <c r="AX883" s="692"/>
      <c r="AY883" s="693"/>
      <c r="AZ883" s="694"/>
      <c r="BA883" s="735"/>
      <c r="BB883" s="736"/>
      <c r="BC883" s="219"/>
      <c r="BD883" s="737" t="s">
        <v>162</v>
      </c>
      <c r="BE883" s="738"/>
      <c r="BF883" s="739"/>
      <c r="BG883" s="740"/>
      <c r="BH883" s="740"/>
      <c r="BI883" s="741"/>
      <c r="BJ883" s="742" t="s">
        <v>159</v>
      </c>
      <c r="BK883" s="743"/>
      <c r="BL883" s="743"/>
      <c r="BM883" s="744"/>
      <c r="BN883" s="703" t="s">
        <v>159</v>
      </c>
      <c r="BO883" s="704"/>
      <c r="BP883" s="704"/>
      <c r="BQ883" s="704"/>
      <c r="BR883" s="704"/>
      <c r="BS883" s="704"/>
      <c r="BT883" s="704"/>
      <c r="BU883" s="704"/>
      <c r="BV883" s="705"/>
    </row>
    <row r="884" spans="1:74" ht="45" customHeight="1" x14ac:dyDescent="0.25">
      <c r="A884" s="10">
        <f t="shared" si="13"/>
        <v>870</v>
      </c>
      <c r="B884" s="662" t="s">
        <v>159</v>
      </c>
      <c r="C884" s="662"/>
      <c r="D884" s="663" t="s">
        <v>212</v>
      </c>
      <c r="E884" s="663"/>
      <c r="F884" s="664" t="s">
        <v>162</v>
      </c>
      <c r="G884" s="665"/>
      <c r="H884" s="754" t="s">
        <v>162</v>
      </c>
      <c r="I884" s="714"/>
      <c r="J884" s="340"/>
      <c r="K884" s="341"/>
      <c r="L884" s="340"/>
      <c r="M884" s="341"/>
      <c r="N884" s="215"/>
      <c r="O884" s="216"/>
      <c r="P884" s="670"/>
      <c r="Q884" s="671"/>
      <c r="R884" s="672"/>
      <c r="S884" s="673"/>
      <c r="T884" s="674"/>
      <c r="U884" s="675"/>
      <c r="V884" s="676"/>
      <c r="W884" s="677"/>
      <c r="X884" s="678" t="s">
        <v>159</v>
      </c>
      <c r="Y884" s="678"/>
      <c r="Z884" s="678"/>
      <c r="AA884" s="678"/>
      <c r="AB884" s="679" t="s">
        <v>159</v>
      </c>
      <c r="AC884" s="679"/>
      <c r="AD884" s="679"/>
      <c r="AE884" s="679"/>
      <c r="AF884" s="680"/>
      <c r="AG884" s="681"/>
      <c r="AH884" s="680"/>
      <c r="AI884" s="681"/>
      <c r="AJ884" s="682"/>
      <c r="AK884" s="683"/>
      <c r="AL884" s="684" t="s">
        <v>162</v>
      </c>
      <c r="AM884" s="685"/>
      <c r="AN884" s="666" t="s">
        <v>162</v>
      </c>
      <c r="AO884" s="667"/>
      <c r="AP884" s="686"/>
      <c r="AQ884" s="687"/>
      <c r="AR884" s="688"/>
      <c r="AS884" s="689"/>
      <c r="AT884" s="690"/>
      <c r="AU884" s="691"/>
      <c r="AV884" s="666" t="s">
        <v>162</v>
      </c>
      <c r="AW884" s="667"/>
      <c r="AX884" s="692"/>
      <c r="AY884" s="693"/>
      <c r="AZ884" s="694"/>
      <c r="BA884" s="682"/>
      <c r="BB884" s="683"/>
      <c r="BC884" s="14"/>
      <c r="BD884" s="695" t="s">
        <v>162</v>
      </c>
      <c r="BE884" s="696"/>
      <c r="BF884" s="697"/>
      <c r="BG884" s="698"/>
      <c r="BH884" s="698"/>
      <c r="BI884" s="699"/>
      <c r="BJ884" s="700" t="s">
        <v>159</v>
      </c>
      <c r="BK884" s="701"/>
      <c r="BL884" s="701"/>
      <c r="BM884" s="702"/>
      <c r="BN884" s="703" t="s">
        <v>159</v>
      </c>
      <c r="BO884" s="704"/>
      <c r="BP884" s="704"/>
      <c r="BQ884" s="704"/>
      <c r="BR884" s="704"/>
      <c r="BS884" s="704"/>
      <c r="BT884" s="704"/>
      <c r="BU884" s="704"/>
      <c r="BV884" s="705"/>
    </row>
    <row r="885" spans="1:74" ht="45" customHeight="1" x14ac:dyDescent="0.25">
      <c r="A885" s="10">
        <f t="shared" si="13"/>
        <v>871</v>
      </c>
      <c r="B885" s="711" t="s">
        <v>159</v>
      </c>
      <c r="C885" s="711"/>
      <c r="D885" s="712" t="s">
        <v>212</v>
      </c>
      <c r="E885" s="712"/>
      <c r="F885" s="664" t="s">
        <v>162</v>
      </c>
      <c r="G885" s="665"/>
      <c r="H885" s="755" t="s">
        <v>162</v>
      </c>
      <c r="I885" s="667"/>
      <c r="J885" s="706"/>
      <c r="K885" s="707"/>
      <c r="L885" s="706"/>
      <c r="M885" s="707"/>
      <c r="N885" s="194"/>
      <c r="O885" s="216"/>
      <c r="P885" s="717"/>
      <c r="Q885" s="718"/>
      <c r="R885" s="719"/>
      <c r="S885" s="720"/>
      <c r="T885" s="721"/>
      <c r="U885" s="722"/>
      <c r="V885" s="723"/>
      <c r="W885" s="724"/>
      <c r="X885" s="725" t="s">
        <v>159</v>
      </c>
      <c r="Y885" s="725"/>
      <c r="Z885" s="725"/>
      <c r="AA885" s="725"/>
      <c r="AB885" s="726" t="s">
        <v>159</v>
      </c>
      <c r="AC885" s="726"/>
      <c r="AD885" s="726"/>
      <c r="AE885" s="726"/>
      <c r="AF885" s="727"/>
      <c r="AG885" s="728"/>
      <c r="AH885" s="727"/>
      <c r="AI885" s="728"/>
      <c r="AJ885" s="682"/>
      <c r="AK885" s="683"/>
      <c r="AL885" s="664" t="s">
        <v>162</v>
      </c>
      <c r="AM885" s="665"/>
      <c r="AN885" s="713" t="s">
        <v>162</v>
      </c>
      <c r="AO885" s="714"/>
      <c r="AP885" s="729"/>
      <c r="AQ885" s="730"/>
      <c r="AR885" s="731"/>
      <c r="AS885" s="732"/>
      <c r="AT885" s="733"/>
      <c r="AU885" s="734"/>
      <c r="AV885" s="713" t="s">
        <v>162</v>
      </c>
      <c r="AW885" s="714"/>
      <c r="AX885" s="692"/>
      <c r="AY885" s="693"/>
      <c r="AZ885" s="694"/>
      <c r="BA885" s="735"/>
      <c r="BB885" s="736"/>
      <c r="BC885" s="219"/>
      <c r="BD885" s="737" t="s">
        <v>162</v>
      </c>
      <c r="BE885" s="738"/>
      <c r="BF885" s="739"/>
      <c r="BG885" s="740"/>
      <c r="BH885" s="740"/>
      <c r="BI885" s="741"/>
      <c r="BJ885" s="742" t="s">
        <v>159</v>
      </c>
      <c r="BK885" s="743"/>
      <c r="BL885" s="743"/>
      <c r="BM885" s="744"/>
      <c r="BN885" s="703" t="s">
        <v>159</v>
      </c>
      <c r="BO885" s="704"/>
      <c r="BP885" s="704"/>
      <c r="BQ885" s="704"/>
      <c r="BR885" s="704"/>
      <c r="BS885" s="704"/>
      <c r="BT885" s="704"/>
      <c r="BU885" s="704"/>
      <c r="BV885" s="705"/>
    </row>
    <row r="886" spans="1:74" ht="45" customHeight="1" x14ac:dyDescent="0.25">
      <c r="A886" s="10">
        <f t="shared" si="13"/>
        <v>872</v>
      </c>
      <c r="B886" s="662" t="s">
        <v>159</v>
      </c>
      <c r="C886" s="662"/>
      <c r="D886" s="663" t="s">
        <v>212</v>
      </c>
      <c r="E886" s="663"/>
      <c r="F886" s="664" t="s">
        <v>162</v>
      </c>
      <c r="G886" s="665"/>
      <c r="H886" s="754" t="s">
        <v>162</v>
      </c>
      <c r="I886" s="714"/>
      <c r="J886" s="340"/>
      <c r="K886" s="341"/>
      <c r="L886" s="340"/>
      <c r="M886" s="341"/>
      <c r="N886" s="215"/>
      <c r="O886" s="196"/>
      <c r="P886" s="670"/>
      <c r="Q886" s="671"/>
      <c r="R886" s="672"/>
      <c r="S886" s="673"/>
      <c r="T886" s="674"/>
      <c r="U886" s="675"/>
      <c r="V886" s="676"/>
      <c r="W886" s="677"/>
      <c r="X886" s="678" t="s">
        <v>159</v>
      </c>
      <c r="Y886" s="678"/>
      <c r="Z886" s="678"/>
      <c r="AA886" s="678"/>
      <c r="AB886" s="679" t="s">
        <v>159</v>
      </c>
      <c r="AC886" s="679"/>
      <c r="AD886" s="679"/>
      <c r="AE886" s="679"/>
      <c r="AF886" s="680"/>
      <c r="AG886" s="681"/>
      <c r="AH886" s="680"/>
      <c r="AI886" s="681"/>
      <c r="AJ886" s="682"/>
      <c r="AK886" s="683"/>
      <c r="AL886" s="684" t="s">
        <v>162</v>
      </c>
      <c r="AM886" s="685"/>
      <c r="AN886" s="666" t="s">
        <v>162</v>
      </c>
      <c r="AO886" s="667"/>
      <c r="AP886" s="686"/>
      <c r="AQ886" s="687"/>
      <c r="AR886" s="688"/>
      <c r="AS886" s="689"/>
      <c r="AT886" s="690"/>
      <c r="AU886" s="691"/>
      <c r="AV886" s="666" t="s">
        <v>162</v>
      </c>
      <c r="AW886" s="667"/>
      <c r="AX886" s="692"/>
      <c r="AY886" s="693"/>
      <c r="AZ886" s="694"/>
      <c r="BA886" s="682"/>
      <c r="BB886" s="683"/>
      <c r="BC886" s="14"/>
      <c r="BD886" s="695" t="s">
        <v>162</v>
      </c>
      <c r="BE886" s="696"/>
      <c r="BF886" s="708"/>
      <c r="BG886" s="709"/>
      <c r="BH886" s="709"/>
      <c r="BI886" s="710"/>
      <c r="BJ886" s="700" t="s">
        <v>159</v>
      </c>
      <c r="BK886" s="701"/>
      <c r="BL886" s="701"/>
      <c r="BM886" s="702"/>
      <c r="BN886" s="703" t="s">
        <v>159</v>
      </c>
      <c r="BO886" s="704"/>
      <c r="BP886" s="704"/>
      <c r="BQ886" s="704"/>
      <c r="BR886" s="704"/>
      <c r="BS886" s="704"/>
      <c r="BT886" s="704"/>
      <c r="BU886" s="704"/>
      <c r="BV886" s="705"/>
    </row>
    <row r="887" spans="1:74" ht="45" customHeight="1" x14ac:dyDescent="0.25">
      <c r="A887" s="10">
        <f t="shared" si="13"/>
        <v>873</v>
      </c>
      <c r="B887" s="711" t="s">
        <v>159</v>
      </c>
      <c r="C887" s="711"/>
      <c r="D887" s="712" t="s">
        <v>212</v>
      </c>
      <c r="E887" s="712"/>
      <c r="F887" s="664" t="s">
        <v>162</v>
      </c>
      <c r="G887" s="665"/>
      <c r="H887" s="755" t="s">
        <v>162</v>
      </c>
      <c r="I887" s="667"/>
      <c r="J887" s="706"/>
      <c r="K887" s="707"/>
      <c r="L887" s="706"/>
      <c r="M887" s="707"/>
      <c r="N887" s="194"/>
      <c r="O887" s="216"/>
      <c r="P887" s="717"/>
      <c r="Q887" s="718"/>
      <c r="R887" s="719"/>
      <c r="S887" s="720"/>
      <c r="T887" s="721"/>
      <c r="U887" s="722"/>
      <c r="V887" s="723"/>
      <c r="W887" s="724"/>
      <c r="X887" s="725" t="s">
        <v>159</v>
      </c>
      <c r="Y887" s="725"/>
      <c r="Z887" s="725"/>
      <c r="AA887" s="725"/>
      <c r="AB887" s="726" t="s">
        <v>159</v>
      </c>
      <c r="AC887" s="726"/>
      <c r="AD887" s="726"/>
      <c r="AE887" s="726"/>
      <c r="AF887" s="727"/>
      <c r="AG887" s="728"/>
      <c r="AH887" s="727"/>
      <c r="AI887" s="728"/>
      <c r="AJ887" s="682"/>
      <c r="AK887" s="683"/>
      <c r="AL887" s="664" t="s">
        <v>162</v>
      </c>
      <c r="AM887" s="665"/>
      <c r="AN887" s="713" t="s">
        <v>162</v>
      </c>
      <c r="AO887" s="714"/>
      <c r="AP887" s="729"/>
      <c r="AQ887" s="730"/>
      <c r="AR887" s="731"/>
      <c r="AS887" s="732"/>
      <c r="AT887" s="733"/>
      <c r="AU887" s="734"/>
      <c r="AV887" s="713" t="s">
        <v>162</v>
      </c>
      <c r="AW887" s="714"/>
      <c r="AX887" s="692"/>
      <c r="AY887" s="693"/>
      <c r="AZ887" s="694"/>
      <c r="BA887" s="735"/>
      <c r="BB887" s="736"/>
      <c r="BC887" s="219"/>
      <c r="BD887" s="737" t="s">
        <v>162</v>
      </c>
      <c r="BE887" s="738"/>
      <c r="BF887" s="739"/>
      <c r="BG887" s="740"/>
      <c r="BH887" s="740"/>
      <c r="BI887" s="741"/>
      <c r="BJ887" s="742" t="s">
        <v>159</v>
      </c>
      <c r="BK887" s="743"/>
      <c r="BL887" s="743"/>
      <c r="BM887" s="744"/>
      <c r="BN887" s="703" t="s">
        <v>159</v>
      </c>
      <c r="BO887" s="704"/>
      <c r="BP887" s="704"/>
      <c r="BQ887" s="704"/>
      <c r="BR887" s="704"/>
      <c r="BS887" s="704"/>
      <c r="BT887" s="704"/>
      <c r="BU887" s="704"/>
      <c r="BV887" s="705"/>
    </row>
    <row r="888" spans="1:74" ht="45" customHeight="1" x14ac:dyDescent="0.25">
      <c r="A888" s="10">
        <f t="shared" si="13"/>
        <v>874</v>
      </c>
      <c r="B888" s="662" t="s">
        <v>159</v>
      </c>
      <c r="C888" s="662"/>
      <c r="D888" s="663" t="s">
        <v>212</v>
      </c>
      <c r="E888" s="663"/>
      <c r="F888" s="664" t="s">
        <v>162</v>
      </c>
      <c r="G888" s="665"/>
      <c r="H888" s="754" t="s">
        <v>162</v>
      </c>
      <c r="I888" s="714"/>
      <c r="J888" s="340"/>
      <c r="K888" s="341"/>
      <c r="L888" s="340"/>
      <c r="M888" s="341"/>
      <c r="N888" s="215"/>
      <c r="O888" s="196"/>
      <c r="P888" s="670"/>
      <c r="Q888" s="671"/>
      <c r="R888" s="672"/>
      <c r="S888" s="673"/>
      <c r="T888" s="674"/>
      <c r="U888" s="675"/>
      <c r="V888" s="676"/>
      <c r="W888" s="677"/>
      <c r="X888" s="678" t="s">
        <v>159</v>
      </c>
      <c r="Y888" s="678"/>
      <c r="Z888" s="678"/>
      <c r="AA888" s="678"/>
      <c r="AB888" s="679" t="s">
        <v>159</v>
      </c>
      <c r="AC888" s="679"/>
      <c r="AD888" s="679"/>
      <c r="AE888" s="679"/>
      <c r="AF888" s="680"/>
      <c r="AG888" s="681"/>
      <c r="AH888" s="680"/>
      <c r="AI888" s="681"/>
      <c r="AJ888" s="682"/>
      <c r="AK888" s="683"/>
      <c r="AL888" s="684" t="s">
        <v>162</v>
      </c>
      <c r="AM888" s="685"/>
      <c r="AN888" s="666" t="s">
        <v>162</v>
      </c>
      <c r="AO888" s="667"/>
      <c r="AP888" s="686"/>
      <c r="AQ888" s="687"/>
      <c r="AR888" s="688"/>
      <c r="AS888" s="689"/>
      <c r="AT888" s="690"/>
      <c r="AU888" s="691"/>
      <c r="AV888" s="666" t="s">
        <v>162</v>
      </c>
      <c r="AW888" s="667"/>
      <c r="AX888" s="692"/>
      <c r="AY888" s="693"/>
      <c r="AZ888" s="694"/>
      <c r="BA888" s="682"/>
      <c r="BB888" s="683"/>
      <c r="BC888" s="14"/>
      <c r="BD888" s="695" t="s">
        <v>162</v>
      </c>
      <c r="BE888" s="696"/>
      <c r="BF888" s="697"/>
      <c r="BG888" s="698"/>
      <c r="BH888" s="698"/>
      <c r="BI888" s="699"/>
      <c r="BJ888" s="700" t="s">
        <v>159</v>
      </c>
      <c r="BK888" s="701"/>
      <c r="BL888" s="701"/>
      <c r="BM888" s="702"/>
      <c r="BN888" s="703" t="s">
        <v>159</v>
      </c>
      <c r="BO888" s="704"/>
      <c r="BP888" s="704"/>
      <c r="BQ888" s="704"/>
      <c r="BR888" s="704"/>
      <c r="BS888" s="704"/>
      <c r="BT888" s="704"/>
      <c r="BU888" s="704"/>
      <c r="BV888" s="705"/>
    </row>
    <row r="889" spans="1:74" ht="45" customHeight="1" x14ac:dyDescent="0.25">
      <c r="A889" s="10">
        <f t="shared" si="13"/>
        <v>875</v>
      </c>
      <c r="B889" s="711" t="s">
        <v>159</v>
      </c>
      <c r="C889" s="711"/>
      <c r="D889" s="712" t="s">
        <v>212</v>
      </c>
      <c r="E889" s="712"/>
      <c r="F889" s="664" t="s">
        <v>162</v>
      </c>
      <c r="G889" s="665"/>
      <c r="H889" s="755" t="s">
        <v>162</v>
      </c>
      <c r="I889" s="667"/>
      <c r="J889" s="706"/>
      <c r="K889" s="707"/>
      <c r="L889" s="706"/>
      <c r="M889" s="707"/>
      <c r="N889" s="194"/>
      <c r="O889" s="216"/>
      <c r="P889" s="717"/>
      <c r="Q889" s="718"/>
      <c r="R889" s="719"/>
      <c r="S889" s="720"/>
      <c r="T889" s="721"/>
      <c r="U889" s="722"/>
      <c r="V889" s="723"/>
      <c r="W889" s="724"/>
      <c r="X889" s="725" t="s">
        <v>159</v>
      </c>
      <c r="Y889" s="725"/>
      <c r="Z889" s="725"/>
      <c r="AA889" s="725"/>
      <c r="AB889" s="726" t="s">
        <v>159</v>
      </c>
      <c r="AC889" s="726"/>
      <c r="AD889" s="726"/>
      <c r="AE889" s="726"/>
      <c r="AF889" s="727"/>
      <c r="AG889" s="728"/>
      <c r="AH889" s="727"/>
      <c r="AI889" s="728"/>
      <c r="AJ889" s="682"/>
      <c r="AK889" s="683"/>
      <c r="AL889" s="664" t="s">
        <v>162</v>
      </c>
      <c r="AM889" s="665"/>
      <c r="AN889" s="713" t="s">
        <v>162</v>
      </c>
      <c r="AO889" s="714"/>
      <c r="AP889" s="729"/>
      <c r="AQ889" s="730"/>
      <c r="AR889" s="731"/>
      <c r="AS889" s="732"/>
      <c r="AT889" s="733"/>
      <c r="AU889" s="734"/>
      <c r="AV889" s="713" t="s">
        <v>162</v>
      </c>
      <c r="AW889" s="714"/>
      <c r="AX889" s="692"/>
      <c r="AY889" s="693"/>
      <c r="AZ889" s="694"/>
      <c r="BA889" s="735"/>
      <c r="BB889" s="736"/>
      <c r="BC889" s="219"/>
      <c r="BD889" s="737" t="s">
        <v>162</v>
      </c>
      <c r="BE889" s="738"/>
      <c r="BF889" s="739"/>
      <c r="BG889" s="740"/>
      <c r="BH889" s="740"/>
      <c r="BI889" s="741"/>
      <c r="BJ889" s="742" t="s">
        <v>159</v>
      </c>
      <c r="BK889" s="743"/>
      <c r="BL889" s="743"/>
      <c r="BM889" s="744"/>
      <c r="BN889" s="703" t="s">
        <v>159</v>
      </c>
      <c r="BO889" s="704"/>
      <c r="BP889" s="704"/>
      <c r="BQ889" s="704"/>
      <c r="BR889" s="704"/>
      <c r="BS889" s="704"/>
      <c r="BT889" s="704"/>
      <c r="BU889" s="704"/>
      <c r="BV889" s="705"/>
    </row>
    <row r="890" spans="1:74" ht="45" customHeight="1" x14ac:dyDescent="0.25">
      <c r="A890" s="10">
        <f t="shared" si="13"/>
        <v>876</v>
      </c>
      <c r="B890" s="662" t="s">
        <v>159</v>
      </c>
      <c r="C890" s="662"/>
      <c r="D890" s="663" t="s">
        <v>212</v>
      </c>
      <c r="E890" s="663"/>
      <c r="F890" s="664" t="s">
        <v>162</v>
      </c>
      <c r="G890" s="665"/>
      <c r="H890" s="754" t="s">
        <v>162</v>
      </c>
      <c r="I890" s="714"/>
      <c r="J890" s="340"/>
      <c r="K890" s="341"/>
      <c r="L890" s="340"/>
      <c r="M890" s="341"/>
      <c r="N890" s="215"/>
      <c r="O890" s="196"/>
      <c r="P890" s="670"/>
      <c r="Q890" s="671"/>
      <c r="R890" s="672"/>
      <c r="S890" s="673"/>
      <c r="T890" s="674"/>
      <c r="U890" s="675"/>
      <c r="V890" s="676"/>
      <c r="W890" s="677"/>
      <c r="X890" s="678" t="s">
        <v>159</v>
      </c>
      <c r="Y890" s="678"/>
      <c r="Z890" s="678"/>
      <c r="AA890" s="678"/>
      <c r="AB890" s="679" t="s">
        <v>159</v>
      </c>
      <c r="AC890" s="679"/>
      <c r="AD890" s="679"/>
      <c r="AE890" s="679"/>
      <c r="AF890" s="680"/>
      <c r="AG890" s="681"/>
      <c r="AH890" s="680"/>
      <c r="AI890" s="681"/>
      <c r="AJ890" s="682"/>
      <c r="AK890" s="683"/>
      <c r="AL890" s="684" t="s">
        <v>162</v>
      </c>
      <c r="AM890" s="685"/>
      <c r="AN890" s="666" t="s">
        <v>162</v>
      </c>
      <c r="AO890" s="667"/>
      <c r="AP890" s="686"/>
      <c r="AQ890" s="687"/>
      <c r="AR890" s="688"/>
      <c r="AS890" s="689"/>
      <c r="AT890" s="690"/>
      <c r="AU890" s="691"/>
      <c r="AV890" s="666" t="s">
        <v>162</v>
      </c>
      <c r="AW890" s="667"/>
      <c r="AX890" s="692"/>
      <c r="AY890" s="693"/>
      <c r="AZ890" s="694"/>
      <c r="BA890" s="682"/>
      <c r="BB890" s="683"/>
      <c r="BC890" s="14"/>
      <c r="BD890" s="695" t="s">
        <v>162</v>
      </c>
      <c r="BE890" s="696"/>
      <c r="BF890" s="697"/>
      <c r="BG890" s="698"/>
      <c r="BH890" s="698"/>
      <c r="BI890" s="699"/>
      <c r="BJ890" s="700" t="s">
        <v>159</v>
      </c>
      <c r="BK890" s="701"/>
      <c r="BL890" s="701"/>
      <c r="BM890" s="702"/>
      <c r="BN890" s="703" t="s">
        <v>159</v>
      </c>
      <c r="BO890" s="704"/>
      <c r="BP890" s="704"/>
      <c r="BQ890" s="704"/>
      <c r="BR890" s="704"/>
      <c r="BS890" s="704"/>
      <c r="BT890" s="704"/>
      <c r="BU890" s="704"/>
      <c r="BV890" s="705"/>
    </row>
    <row r="891" spans="1:74" ht="45" customHeight="1" x14ac:dyDescent="0.25">
      <c r="A891" s="10">
        <f t="shared" si="13"/>
        <v>877</v>
      </c>
      <c r="B891" s="711" t="s">
        <v>159</v>
      </c>
      <c r="C891" s="711"/>
      <c r="D891" s="712" t="s">
        <v>212</v>
      </c>
      <c r="E891" s="712"/>
      <c r="F891" s="664" t="s">
        <v>162</v>
      </c>
      <c r="G891" s="665"/>
      <c r="H891" s="755" t="s">
        <v>162</v>
      </c>
      <c r="I891" s="667"/>
      <c r="J891" s="706"/>
      <c r="K891" s="707"/>
      <c r="L891" s="706"/>
      <c r="M891" s="707"/>
      <c r="N891" s="194"/>
      <c r="O891" s="216"/>
      <c r="P891" s="717"/>
      <c r="Q891" s="718"/>
      <c r="R891" s="719"/>
      <c r="S891" s="720"/>
      <c r="T891" s="721"/>
      <c r="U891" s="722"/>
      <c r="V891" s="723"/>
      <c r="W891" s="724"/>
      <c r="X891" s="725" t="s">
        <v>159</v>
      </c>
      <c r="Y891" s="725"/>
      <c r="Z891" s="725"/>
      <c r="AA891" s="725"/>
      <c r="AB891" s="726" t="s">
        <v>159</v>
      </c>
      <c r="AC891" s="726"/>
      <c r="AD891" s="726"/>
      <c r="AE891" s="726"/>
      <c r="AF891" s="727"/>
      <c r="AG891" s="728"/>
      <c r="AH891" s="727"/>
      <c r="AI891" s="728"/>
      <c r="AJ891" s="682"/>
      <c r="AK891" s="683"/>
      <c r="AL891" s="664" t="s">
        <v>162</v>
      </c>
      <c r="AM891" s="665"/>
      <c r="AN891" s="713" t="s">
        <v>162</v>
      </c>
      <c r="AO891" s="714"/>
      <c r="AP891" s="729"/>
      <c r="AQ891" s="730"/>
      <c r="AR891" s="731"/>
      <c r="AS891" s="732"/>
      <c r="AT891" s="733"/>
      <c r="AU891" s="734"/>
      <c r="AV891" s="713" t="s">
        <v>162</v>
      </c>
      <c r="AW891" s="714"/>
      <c r="AX891" s="692"/>
      <c r="AY891" s="693"/>
      <c r="AZ891" s="694"/>
      <c r="BA891" s="735"/>
      <c r="BB891" s="736"/>
      <c r="BC891" s="219"/>
      <c r="BD891" s="737" t="s">
        <v>162</v>
      </c>
      <c r="BE891" s="738"/>
      <c r="BF891" s="739"/>
      <c r="BG891" s="740"/>
      <c r="BH891" s="740"/>
      <c r="BI891" s="741"/>
      <c r="BJ891" s="742" t="s">
        <v>159</v>
      </c>
      <c r="BK891" s="743"/>
      <c r="BL891" s="743"/>
      <c r="BM891" s="744"/>
      <c r="BN891" s="703" t="s">
        <v>159</v>
      </c>
      <c r="BO891" s="704"/>
      <c r="BP891" s="704"/>
      <c r="BQ891" s="704"/>
      <c r="BR891" s="704"/>
      <c r="BS891" s="704"/>
      <c r="BT891" s="704"/>
      <c r="BU891" s="704"/>
      <c r="BV891" s="705"/>
    </row>
    <row r="892" spans="1:74" ht="45" customHeight="1" x14ac:dyDescent="0.25">
      <c r="A892" s="10">
        <f t="shared" si="13"/>
        <v>878</v>
      </c>
      <c r="B892" s="662" t="s">
        <v>159</v>
      </c>
      <c r="C892" s="662"/>
      <c r="D892" s="663" t="s">
        <v>212</v>
      </c>
      <c r="E892" s="663"/>
      <c r="F892" s="664" t="s">
        <v>162</v>
      </c>
      <c r="G892" s="665"/>
      <c r="H892" s="754" t="s">
        <v>162</v>
      </c>
      <c r="I892" s="714"/>
      <c r="J892" s="340"/>
      <c r="K892" s="341"/>
      <c r="L892" s="340"/>
      <c r="M892" s="341"/>
      <c r="N892" s="215"/>
      <c r="O892" s="196"/>
      <c r="P892" s="670"/>
      <c r="Q892" s="671"/>
      <c r="R892" s="672"/>
      <c r="S892" s="673"/>
      <c r="T892" s="674"/>
      <c r="U892" s="675"/>
      <c r="V892" s="676"/>
      <c r="W892" s="677"/>
      <c r="X892" s="678" t="s">
        <v>159</v>
      </c>
      <c r="Y892" s="678"/>
      <c r="Z892" s="678"/>
      <c r="AA892" s="678"/>
      <c r="AB892" s="679" t="s">
        <v>159</v>
      </c>
      <c r="AC892" s="679"/>
      <c r="AD892" s="679"/>
      <c r="AE892" s="679"/>
      <c r="AF892" s="680"/>
      <c r="AG892" s="681"/>
      <c r="AH892" s="680"/>
      <c r="AI892" s="681"/>
      <c r="AJ892" s="682"/>
      <c r="AK892" s="683"/>
      <c r="AL892" s="684" t="s">
        <v>162</v>
      </c>
      <c r="AM892" s="685"/>
      <c r="AN892" s="666" t="s">
        <v>162</v>
      </c>
      <c r="AO892" s="667"/>
      <c r="AP892" s="686"/>
      <c r="AQ892" s="687"/>
      <c r="AR892" s="688"/>
      <c r="AS892" s="689"/>
      <c r="AT892" s="690"/>
      <c r="AU892" s="691"/>
      <c r="AV892" s="666" t="s">
        <v>162</v>
      </c>
      <c r="AW892" s="667"/>
      <c r="AX892" s="692"/>
      <c r="AY892" s="693"/>
      <c r="AZ892" s="694"/>
      <c r="BA892" s="682"/>
      <c r="BB892" s="683"/>
      <c r="BC892" s="14"/>
      <c r="BD892" s="695" t="s">
        <v>162</v>
      </c>
      <c r="BE892" s="696"/>
      <c r="BF892" s="708"/>
      <c r="BG892" s="709"/>
      <c r="BH892" s="709"/>
      <c r="BI892" s="710"/>
      <c r="BJ892" s="700" t="s">
        <v>159</v>
      </c>
      <c r="BK892" s="701"/>
      <c r="BL892" s="701"/>
      <c r="BM892" s="702"/>
      <c r="BN892" s="703" t="s">
        <v>159</v>
      </c>
      <c r="BO892" s="704"/>
      <c r="BP892" s="704"/>
      <c r="BQ892" s="704"/>
      <c r="BR892" s="704"/>
      <c r="BS892" s="704"/>
      <c r="BT892" s="704"/>
      <c r="BU892" s="704"/>
      <c r="BV892" s="705"/>
    </row>
    <row r="893" spans="1:74" ht="45" customHeight="1" x14ac:dyDescent="0.25">
      <c r="A893" s="10">
        <f t="shared" si="13"/>
        <v>879</v>
      </c>
      <c r="B893" s="711" t="s">
        <v>159</v>
      </c>
      <c r="C893" s="711"/>
      <c r="D893" s="712" t="s">
        <v>212</v>
      </c>
      <c r="E893" s="712"/>
      <c r="F893" s="664" t="s">
        <v>162</v>
      </c>
      <c r="G893" s="665"/>
      <c r="H893" s="755" t="s">
        <v>162</v>
      </c>
      <c r="I893" s="667"/>
      <c r="J893" s="706"/>
      <c r="K893" s="707"/>
      <c r="L893" s="706"/>
      <c r="M893" s="707"/>
      <c r="N893" s="194"/>
      <c r="O893" s="216"/>
      <c r="P893" s="717"/>
      <c r="Q893" s="718"/>
      <c r="R893" s="719"/>
      <c r="S893" s="720"/>
      <c r="T893" s="721"/>
      <c r="U893" s="722"/>
      <c r="V893" s="723"/>
      <c r="W893" s="724"/>
      <c r="X893" s="725" t="s">
        <v>159</v>
      </c>
      <c r="Y893" s="725"/>
      <c r="Z893" s="725"/>
      <c r="AA893" s="725"/>
      <c r="AB893" s="726" t="s">
        <v>159</v>
      </c>
      <c r="AC893" s="726"/>
      <c r="AD893" s="726"/>
      <c r="AE893" s="726"/>
      <c r="AF893" s="727"/>
      <c r="AG893" s="728"/>
      <c r="AH893" s="727"/>
      <c r="AI893" s="728"/>
      <c r="AJ893" s="682"/>
      <c r="AK893" s="683"/>
      <c r="AL893" s="664" t="s">
        <v>162</v>
      </c>
      <c r="AM893" s="665"/>
      <c r="AN893" s="713" t="s">
        <v>162</v>
      </c>
      <c r="AO893" s="714"/>
      <c r="AP893" s="729"/>
      <c r="AQ893" s="730"/>
      <c r="AR893" s="731"/>
      <c r="AS893" s="732"/>
      <c r="AT893" s="733"/>
      <c r="AU893" s="734"/>
      <c r="AV893" s="713" t="s">
        <v>162</v>
      </c>
      <c r="AW893" s="714"/>
      <c r="AX893" s="692"/>
      <c r="AY893" s="693"/>
      <c r="AZ893" s="694"/>
      <c r="BA893" s="735"/>
      <c r="BB893" s="736"/>
      <c r="BC893" s="219"/>
      <c r="BD893" s="737" t="s">
        <v>162</v>
      </c>
      <c r="BE893" s="738"/>
      <c r="BF893" s="739"/>
      <c r="BG893" s="740"/>
      <c r="BH893" s="740"/>
      <c r="BI893" s="741"/>
      <c r="BJ893" s="742" t="s">
        <v>159</v>
      </c>
      <c r="BK893" s="743"/>
      <c r="BL893" s="743"/>
      <c r="BM893" s="744"/>
      <c r="BN893" s="703" t="s">
        <v>159</v>
      </c>
      <c r="BO893" s="704"/>
      <c r="BP893" s="704"/>
      <c r="BQ893" s="704"/>
      <c r="BR893" s="704"/>
      <c r="BS893" s="704"/>
      <c r="BT893" s="704"/>
      <c r="BU893" s="704"/>
      <c r="BV893" s="705"/>
    </row>
    <row r="894" spans="1:74" ht="45" customHeight="1" x14ac:dyDescent="0.25">
      <c r="A894" s="10">
        <f t="shared" si="13"/>
        <v>880</v>
      </c>
      <c r="B894" s="662" t="s">
        <v>159</v>
      </c>
      <c r="C894" s="662"/>
      <c r="D894" s="663" t="s">
        <v>212</v>
      </c>
      <c r="E894" s="663"/>
      <c r="F894" s="664" t="s">
        <v>162</v>
      </c>
      <c r="G894" s="665"/>
      <c r="H894" s="754" t="s">
        <v>162</v>
      </c>
      <c r="I894" s="714"/>
      <c r="J894" s="340"/>
      <c r="K894" s="341"/>
      <c r="L894" s="340"/>
      <c r="M894" s="341"/>
      <c r="N894" s="215"/>
      <c r="O894" s="196"/>
      <c r="P894" s="670"/>
      <c r="Q894" s="671"/>
      <c r="R894" s="672"/>
      <c r="S894" s="673"/>
      <c r="T894" s="674"/>
      <c r="U894" s="675"/>
      <c r="V894" s="676"/>
      <c r="W894" s="677"/>
      <c r="X894" s="678" t="s">
        <v>159</v>
      </c>
      <c r="Y894" s="678"/>
      <c r="Z894" s="678"/>
      <c r="AA894" s="678"/>
      <c r="AB894" s="679" t="s">
        <v>159</v>
      </c>
      <c r="AC894" s="679"/>
      <c r="AD894" s="679"/>
      <c r="AE894" s="679"/>
      <c r="AF894" s="680"/>
      <c r="AG894" s="681"/>
      <c r="AH894" s="680"/>
      <c r="AI894" s="681"/>
      <c r="AJ894" s="682"/>
      <c r="AK894" s="683"/>
      <c r="AL894" s="684" t="s">
        <v>162</v>
      </c>
      <c r="AM894" s="685"/>
      <c r="AN894" s="666" t="s">
        <v>162</v>
      </c>
      <c r="AO894" s="667"/>
      <c r="AP894" s="686"/>
      <c r="AQ894" s="687"/>
      <c r="AR894" s="688"/>
      <c r="AS894" s="689"/>
      <c r="AT894" s="690"/>
      <c r="AU894" s="691"/>
      <c r="AV894" s="666" t="s">
        <v>162</v>
      </c>
      <c r="AW894" s="667"/>
      <c r="AX894" s="692"/>
      <c r="AY894" s="693"/>
      <c r="AZ894" s="694"/>
      <c r="BA894" s="682"/>
      <c r="BB894" s="683"/>
      <c r="BC894" s="14"/>
      <c r="BD894" s="695" t="s">
        <v>162</v>
      </c>
      <c r="BE894" s="696"/>
      <c r="BF894" s="697"/>
      <c r="BG894" s="698"/>
      <c r="BH894" s="698"/>
      <c r="BI894" s="699"/>
      <c r="BJ894" s="700" t="s">
        <v>159</v>
      </c>
      <c r="BK894" s="701"/>
      <c r="BL894" s="701"/>
      <c r="BM894" s="702"/>
      <c r="BN894" s="703" t="s">
        <v>159</v>
      </c>
      <c r="BO894" s="704"/>
      <c r="BP894" s="704"/>
      <c r="BQ894" s="704"/>
      <c r="BR894" s="704"/>
      <c r="BS894" s="704"/>
      <c r="BT894" s="704"/>
      <c r="BU894" s="704"/>
      <c r="BV894" s="705"/>
    </row>
    <row r="895" spans="1:74" ht="45" customHeight="1" x14ac:dyDescent="0.25">
      <c r="A895" s="10">
        <f t="shared" si="13"/>
        <v>881</v>
      </c>
      <c r="B895" s="711" t="s">
        <v>159</v>
      </c>
      <c r="C895" s="711"/>
      <c r="D895" s="712" t="s">
        <v>212</v>
      </c>
      <c r="E895" s="712"/>
      <c r="F895" s="664" t="s">
        <v>162</v>
      </c>
      <c r="G895" s="665"/>
      <c r="H895" s="755" t="s">
        <v>162</v>
      </c>
      <c r="I895" s="667"/>
      <c r="J895" s="706"/>
      <c r="K895" s="707"/>
      <c r="L895" s="706"/>
      <c r="M895" s="707"/>
      <c r="N895" s="215"/>
      <c r="O895" s="216"/>
      <c r="P895" s="670"/>
      <c r="Q895" s="671"/>
      <c r="R895" s="719"/>
      <c r="S895" s="720"/>
      <c r="T895" s="721"/>
      <c r="U895" s="722"/>
      <c r="V895" s="723"/>
      <c r="W895" s="724"/>
      <c r="X895" s="725" t="s">
        <v>159</v>
      </c>
      <c r="Y895" s="725"/>
      <c r="Z895" s="725"/>
      <c r="AA895" s="725"/>
      <c r="AB895" s="726" t="s">
        <v>159</v>
      </c>
      <c r="AC895" s="726"/>
      <c r="AD895" s="726"/>
      <c r="AE895" s="726"/>
      <c r="AF895" s="727"/>
      <c r="AG895" s="728"/>
      <c r="AH895" s="727"/>
      <c r="AI895" s="728"/>
      <c r="AJ895" s="682"/>
      <c r="AK895" s="683"/>
      <c r="AL895" s="664" t="s">
        <v>162</v>
      </c>
      <c r="AM895" s="665"/>
      <c r="AN895" s="713" t="s">
        <v>162</v>
      </c>
      <c r="AO895" s="714"/>
      <c r="AP895" s="729"/>
      <c r="AQ895" s="730"/>
      <c r="AR895" s="731"/>
      <c r="AS895" s="732"/>
      <c r="AT895" s="690"/>
      <c r="AU895" s="691"/>
      <c r="AV895" s="713" t="s">
        <v>162</v>
      </c>
      <c r="AW895" s="714"/>
      <c r="AX895" s="692"/>
      <c r="AY895" s="693"/>
      <c r="AZ895" s="694"/>
      <c r="BA895" s="735"/>
      <c r="BB895" s="736"/>
      <c r="BC895" s="219"/>
      <c r="BD895" s="737" t="s">
        <v>162</v>
      </c>
      <c r="BE895" s="738"/>
      <c r="BF895" s="739"/>
      <c r="BG895" s="740"/>
      <c r="BH895" s="740"/>
      <c r="BI895" s="741"/>
      <c r="BJ895" s="742" t="s">
        <v>159</v>
      </c>
      <c r="BK895" s="743"/>
      <c r="BL895" s="743"/>
      <c r="BM895" s="744"/>
      <c r="BN895" s="703" t="s">
        <v>159</v>
      </c>
      <c r="BO895" s="704"/>
      <c r="BP895" s="704"/>
      <c r="BQ895" s="704"/>
      <c r="BR895" s="704"/>
      <c r="BS895" s="704"/>
      <c r="BT895" s="704"/>
      <c r="BU895" s="704"/>
      <c r="BV895" s="705"/>
    </row>
    <row r="896" spans="1:74" ht="45" customHeight="1" x14ac:dyDescent="0.25">
      <c r="A896" s="10">
        <f t="shared" si="13"/>
        <v>882</v>
      </c>
      <c r="B896" s="662" t="s">
        <v>159</v>
      </c>
      <c r="C896" s="662"/>
      <c r="D896" s="663" t="s">
        <v>212</v>
      </c>
      <c r="E896" s="663"/>
      <c r="F896" s="664" t="s">
        <v>162</v>
      </c>
      <c r="G896" s="665"/>
      <c r="H896" s="754" t="s">
        <v>162</v>
      </c>
      <c r="I896" s="714"/>
      <c r="J896" s="340"/>
      <c r="K896" s="341"/>
      <c r="L896" s="340"/>
      <c r="M896" s="341"/>
      <c r="N896" s="194"/>
      <c r="O896" s="196"/>
      <c r="P896" s="717"/>
      <c r="Q896" s="718"/>
      <c r="R896" s="672"/>
      <c r="S896" s="673"/>
      <c r="T896" s="674"/>
      <c r="U896" s="675"/>
      <c r="V896" s="676"/>
      <c r="W896" s="677"/>
      <c r="X896" s="678" t="s">
        <v>159</v>
      </c>
      <c r="Y896" s="678"/>
      <c r="Z896" s="678"/>
      <c r="AA896" s="678"/>
      <c r="AB896" s="679" t="s">
        <v>159</v>
      </c>
      <c r="AC896" s="679"/>
      <c r="AD896" s="679"/>
      <c r="AE896" s="679"/>
      <c r="AF896" s="680"/>
      <c r="AG896" s="681"/>
      <c r="AH896" s="680"/>
      <c r="AI896" s="681"/>
      <c r="AJ896" s="682"/>
      <c r="AK896" s="683"/>
      <c r="AL896" s="684" t="s">
        <v>162</v>
      </c>
      <c r="AM896" s="685"/>
      <c r="AN896" s="666" t="s">
        <v>162</v>
      </c>
      <c r="AO896" s="667"/>
      <c r="AP896" s="686"/>
      <c r="AQ896" s="687"/>
      <c r="AR896" s="688"/>
      <c r="AS896" s="689"/>
      <c r="AT896" s="690"/>
      <c r="AU896" s="691"/>
      <c r="AV896" s="666" t="s">
        <v>162</v>
      </c>
      <c r="AW896" s="667"/>
      <c r="AX896" s="692"/>
      <c r="AY896" s="693"/>
      <c r="AZ896" s="694"/>
      <c r="BA896" s="682"/>
      <c r="BB896" s="683"/>
      <c r="BC896" s="14"/>
      <c r="BD896" s="695" t="s">
        <v>162</v>
      </c>
      <c r="BE896" s="696"/>
      <c r="BF896" s="697"/>
      <c r="BG896" s="698"/>
      <c r="BH896" s="698"/>
      <c r="BI896" s="699"/>
      <c r="BJ896" s="700" t="s">
        <v>159</v>
      </c>
      <c r="BK896" s="701"/>
      <c r="BL896" s="701"/>
      <c r="BM896" s="702"/>
      <c r="BN896" s="703" t="s">
        <v>159</v>
      </c>
      <c r="BO896" s="704"/>
      <c r="BP896" s="704"/>
      <c r="BQ896" s="704"/>
      <c r="BR896" s="704"/>
      <c r="BS896" s="704"/>
      <c r="BT896" s="704"/>
      <c r="BU896" s="704"/>
      <c r="BV896" s="705"/>
    </row>
    <row r="897" spans="1:74" ht="45" customHeight="1" x14ac:dyDescent="0.25">
      <c r="A897" s="10">
        <f t="shared" si="13"/>
        <v>883</v>
      </c>
      <c r="B897" s="711" t="s">
        <v>159</v>
      </c>
      <c r="C897" s="711"/>
      <c r="D897" s="712" t="s">
        <v>212</v>
      </c>
      <c r="E897" s="712"/>
      <c r="F897" s="664" t="s">
        <v>162</v>
      </c>
      <c r="G897" s="665"/>
      <c r="H897" s="755" t="s">
        <v>162</v>
      </c>
      <c r="I897" s="667"/>
      <c r="J897" s="706"/>
      <c r="K897" s="707"/>
      <c r="L897" s="706"/>
      <c r="M897" s="707"/>
      <c r="N897" s="215"/>
      <c r="O897" s="216"/>
      <c r="P897" s="670"/>
      <c r="Q897" s="671"/>
      <c r="R897" s="719"/>
      <c r="S897" s="720"/>
      <c r="T897" s="721"/>
      <c r="U897" s="722"/>
      <c r="V897" s="723"/>
      <c r="W897" s="724"/>
      <c r="X897" s="725" t="s">
        <v>159</v>
      </c>
      <c r="Y897" s="725"/>
      <c r="Z897" s="725"/>
      <c r="AA897" s="725"/>
      <c r="AB897" s="726" t="s">
        <v>159</v>
      </c>
      <c r="AC897" s="726"/>
      <c r="AD897" s="726"/>
      <c r="AE897" s="726"/>
      <c r="AF897" s="727"/>
      <c r="AG897" s="728"/>
      <c r="AH897" s="727"/>
      <c r="AI897" s="728"/>
      <c r="AJ897" s="682"/>
      <c r="AK897" s="683"/>
      <c r="AL897" s="664" t="s">
        <v>162</v>
      </c>
      <c r="AM897" s="665"/>
      <c r="AN897" s="713" t="s">
        <v>162</v>
      </c>
      <c r="AO897" s="714"/>
      <c r="AP897" s="729"/>
      <c r="AQ897" s="730"/>
      <c r="AR897" s="731"/>
      <c r="AS897" s="732"/>
      <c r="AT897" s="690"/>
      <c r="AU897" s="691"/>
      <c r="AV897" s="713" t="s">
        <v>162</v>
      </c>
      <c r="AW897" s="714"/>
      <c r="AX897" s="692"/>
      <c r="AY897" s="693"/>
      <c r="AZ897" s="694"/>
      <c r="BA897" s="735"/>
      <c r="BB897" s="736"/>
      <c r="BC897" s="219"/>
      <c r="BD897" s="737" t="s">
        <v>162</v>
      </c>
      <c r="BE897" s="738"/>
      <c r="BF897" s="739"/>
      <c r="BG897" s="740"/>
      <c r="BH897" s="740"/>
      <c r="BI897" s="741"/>
      <c r="BJ897" s="742" t="s">
        <v>159</v>
      </c>
      <c r="BK897" s="743"/>
      <c r="BL897" s="743"/>
      <c r="BM897" s="744"/>
      <c r="BN897" s="703" t="s">
        <v>159</v>
      </c>
      <c r="BO897" s="704"/>
      <c r="BP897" s="704"/>
      <c r="BQ897" s="704"/>
      <c r="BR897" s="704"/>
      <c r="BS897" s="704"/>
      <c r="BT897" s="704"/>
      <c r="BU897" s="704"/>
      <c r="BV897" s="705"/>
    </row>
    <row r="898" spans="1:74" ht="45" customHeight="1" x14ac:dyDescent="0.25">
      <c r="A898" s="10">
        <f t="shared" si="13"/>
        <v>884</v>
      </c>
      <c r="B898" s="662" t="s">
        <v>159</v>
      </c>
      <c r="C898" s="662"/>
      <c r="D898" s="663" t="s">
        <v>212</v>
      </c>
      <c r="E898" s="663"/>
      <c r="F898" s="664" t="s">
        <v>162</v>
      </c>
      <c r="G898" s="665"/>
      <c r="H898" s="754" t="s">
        <v>162</v>
      </c>
      <c r="I898" s="714"/>
      <c r="J898" s="340"/>
      <c r="K898" s="341"/>
      <c r="L898" s="340"/>
      <c r="M898" s="341"/>
      <c r="N898" s="194"/>
      <c r="O898" s="196"/>
      <c r="P898" s="717"/>
      <c r="Q898" s="718"/>
      <c r="R898" s="672"/>
      <c r="S898" s="673"/>
      <c r="T898" s="674"/>
      <c r="U898" s="675"/>
      <c r="V898" s="676"/>
      <c r="W898" s="677"/>
      <c r="X898" s="678" t="s">
        <v>159</v>
      </c>
      <c r="Y898" s="678"/>
      <c r="Z898" s="678"/>
      <c r="AA898" s="678"/>
      <c r="AB898" s="679" t="s">
        <v>159</v>
      </c>
      <c r="AC898" s="679"/>
      <c r="AD898" s="679"/>
      <c r="AE898" s="679"/>
      <c r="AF898" s="680"/>
      <c r="AG898" s="681"/>
      <c r="AH898" s="680"/>
      <c r="AI898" s="681"/>
      <c r="AJ898" s="682"/>
      <c r="AK898" s="683"/>
      <c r="AL898" s="684" t="s">
        <v>162</v>
      </c>
      <c r="AM898" s="685"/>
      <c r="AN898" s="666" t="s">
        <v>162</v>
      </c>
      <c r="AO898" s="667"/>
      <c r="AP898" s="686"/>
      <c r="AQ898" s="687"/>
      <c r="AR898" s="688"/>
      <c r="AS898" s="689"/>
      <c r="AT898" s="690"/>
      <c r="AU898" s="691"/>
      <c r="AV898" s="666" t="s">
        <v>162</v>
      </c>
      <c r="AW898" s="667"/>
      <c r="AX898" s="692"/>
      <c r="AY898" s="693"/>
      <c r="AZ898" s="694"/>
      <c r="BA898" s="682"/>
      <c r="BB898" s="683"/>
      <c r="BC898" s="14"/>
      <c r="BD898" s="695" t="s">
        <v>162</v>
      </c>
      <c r="BE898" s="696"/>
      <c r="BF898" s="697"/>
      <c r="BG898" s="698"/>
      <c r="BH898" s="698"/>
      <c r="BI898" s="699"/>
      <c r="BJ898" s="700" t="s">
        <v>159</v>
      </c>
      <c r="BK898" s="701"/>
      <c r="BL898" s="701"/>
      <c r="BM898" s="702"/>
      <c r="BN898" s="703" t="s">
        <v>159</v>
      </c>
      <c r="BO898" s="704"/>
      <c r="BP898" s="704"/>
      <c r="BQ898" s="704"/>
      <c r="BR898" s="704"/>
      <c r="BS898" s="704"/>
      <c r="BT898" s="704"/>
      <c r="BU898" s="704"/>
      <c r="BV898" s="705"/>
    </row>
    <row r="899" spans="1:74" ht="45" customHeight="1" x14ac:dyDescent="0.25">
      <c r="A899" s="10">
        <f t="shared" si="13"/>
        <v>885</v>
      </c>
      <c r="B899" s="711" t="s">
        <v>159</v>
      </c>
      <c r="C899" s="711"/>
      <c r="D899" s="712" t="s">
        <v>212</v>
      </c>
      <c r="E899" s="712"/>
      <c r="F899" s="664" t="s">
        <v>162</v>
      </c>
      <c r="G899" s="665"/>
      <c r="H899" s="755" t="s">
        <v>162</v>
      </c>
      <c r="I899" s="667"/>
      <c r="J899" s="706"/>
      <c r="K899" s="707"/>
      <c r="L899" s="706"/>
      <c r="M899" s="707"/>
      <c r="N899" s="215"/>
      <c r="O899" s="216"/>
      <c r="P899" s="670"/>
      <c r="Q899" s="671"/>
      <c r="R899" s="719"/>
      <c r="S899" s="720"/>
      <c r="T899" s="721"/>
      <c r="U899" s="722"/>
      <c r="V899" s="723"/>
      <c r="W899" s="724"/>
      <c r="X899" s="725" t="s">
        <v>159</v>
      </c>
      <c r="Y899" s="725"/>
      <c r="Z899" s="725"/>
      <c r="AA899" s="725"/>
      <c r="AB899" s="726" t="s">
        <v>159</v>
      </c>
      <c r="AC899" s="726"/>
      <c r="AD899" s="726"/>
      <c r="AE899" s="726"/>
      <c r="AF899" s="727"/>
      <c r="AG899" s="728"/>
      <c r="AH899" s="727"/>
      <c r="AI899" s="728"/>
      <c r="AJ899" s="682"/>
      <c r="AK899" s="683"/>
      <c r="AL899" s="664" t="s">
        <v>162</v>
      </c>
      <c r="AM899" s="665"/>
      <c r="AN899" s="713" t="s">
        <v>162</v>
      </c>
      <c r="AO899" s="714"/>
      <c r="AP899" s="729"/>
      <c r="AQ899" s="730"/>
      <c r="AR899" s="731"/>
      <c r="AS899" s="732"/>
      <c r="AT899" s="733"/>
      <c r="AU899" s="734"/>
      <c r="AV899" s="713" t="s">
        <v>162</v>
      </c>
      <c r="AW899" s="714"/>
      <c r="AX899" s="692"/>
      <c r="AY899" s="693"/>
      <c r="AZ899" s="694"/>
      <c r="BA899" s="735"/>
      <c r="BB899" s="736"/>
      <c r="BC899" s="219"/>
      <c r="BD899" s="737" t="s">
        <v>162</v>
      </c>
      <c r="BE899" s="738"/>
      <c r="BF899" s="739"/>
      <c r="BG899" s="740"/>
      <c r="BH899" s="740"/>
      <c r="BI899" s="741"/>
      <c r="BJ899" s="742" t="s">
        <v>159</v>
      </c>
      <c r="BK899" s="743"/>
      <c r="BL899" s="743"/>
      <c r="BM899" s="744"/>
      <c r="BN899" s="703" t="s">
        <v>159</v>
      </c>
      <c r="BO899" s="704"/>
      <c r="BP899" s="704"/>
      <c r="BQ899" s="704"/>
      <c r="BR899" s="704"/>
      <c r="BS899" s="704"/>
      <c r="BT899" s="704"/>
      <c r="BU899" s="704"/>
      <c r="BV899" s="705"/>
    </row>
    <row r="900" spans="1:74" ht="45" customHeight="1" x14ac:dyDescent="0.25">
      <c r="A900" s="10">
        <f t="shared" si="13"/>
        <v>886</v>
      </c>
      <c r="B900" s="662" t="s">
        <v>159</v>
      </c>
      <c r="C900" s="662"/>
      <c r="D900" s="663" t="s">
        <v>212</v>
      </c>
      <c r="E900" s="663"/>
      <c r="F900" s="664" t="s">
        <v>162</v>
      </c>
      <c r="G900" s="665"/>
      <c r="H900" s="754" t="s">
        <v>162</v>
      </c>
      <c r="I900" s="714"/>
      <c r="J900" s="340"/>
      <c r="K900" s="341"/>
      <c r="L900" s="340"/>
      <c r="M900" s="341"/>
      <c r="N900" s="194"/>
      <c r="O900" s="196"/>
      <c r="P900" s="717"/>
      <c r="Q900" s="718"/>
      <c r="R900" s="672"/>
      <c r="S900" s="673"/>
      <c r="T900" s="674"/>
      <c r="U900" s="675"/>
      <c r="V900" s="676"/>
      <c r="W900" s="677"/>
      <c r="X900" s="678" t="s">
        <v>159</v>
      </c>
      <c r="Y900" s="678"/>
      <c r="Z900" s="678"/>
      <c r="AA900" s="678"/>
      <c r="AB900" s="679" t="s">
        <v>159</v>
      </c>
      <c r="AC900" s="679"/>
      <c r="AD900" s="679"/>
      <c r="AE900" s="679"/>
      <c r="AF900" s="680"/>
      <c r="AG900" s="681"/>
      <c r="AH900" s="680"/>
      <c r="AI900" s="681"/>
      <c r="AJ900" s="682"/>
      <c r="AK900" s="683"/>
      <c r="AL900" s="684" t="s">
        <v>162</v>
      </c>
      <c r="AM900" s="685"/>
      <c r="AN900" s="666" t="s">
        <v>162</v>
      </c>
      <c r="AO900" s="667"/>
      <c r="AP900" s="686"/>
      <c r="AQ900" s="687"/>
      <c r="AR900" s="688"/>
      <c r="AS900" s="689"/>
      <c r="AT900" s="690"/>
      <c r="AU900" s="691"/>
      <c r="AV900" s="666" t="s">
        <v>162</v>
      </c>
      <c r="AW900" s="667"/>
      <c r="AX900" s="692"/>
      <c r="AY900" s="693"/>
      <c r="AZ900" s="694"/>
      <c r="BA900" s="682"/>
      <c r="BB900" s="683"/>
      <c r="BC900" s="14"/>
      <c r="BD900" s="695" t="s">
        <v>162</v>
      </c>
      <c r="BE900" s="696"/>
      <c r="BF900" s="708"/>
      <c r="BG900" s="709"/>
      <c r="BH900" s="709"/>
      <c r="BI900" s="710"/>
      <c r="BJ900" s="700" t="s">
        <v>159</v>
      </c>
      <c r="BK900" s="701"/>
      <c r="BL900" s="701"/>
      <c r="BM900" s="702"/>
      <c r="BN900" s="703" t="s">
        <v>159</v>
      </c>
      <c r="BO900" s="704"/>
      <c r="BP900" s="704"/>
      <c r="BQ900" s="704"/>
      <c r="BR900" s="704"/>
      <c r="BS900" s="704"/>
      <c r="BT900" s="704"/>
      <c r="BU900" s="704"/>
      <c r="BV900" s="705"/>
    </row>
    <row r="901" spans="1:74" ht="45" customHeight="1" x14ac:dyDescent="0.25">
      <c r="A901" s="10">
        <f t="shared" si="13"/>
        <v>887</v>
      </c>
      <c r="B901" s="711" t="s">
        <v>159</v>
      </c>
      <c r="C901" s="711"/>
      <c r="D901" s="712" t="s">
        <v>212</v>
      </c>
      <c r="E901" s="712"/>
      <c r="F901" s="664" t="s">
        <v>162</v>
      </c>
      <c r="G901" s="665"/>
      <c r="H901" s="755" t="s">
        <v>162</v>
      </c>
      <c r="I901" s="667"/>
      <c r="J901" s="706"/>
      <c r="K901" s="707"/>
      <c r="L901" s="706"/>
      <c r="M901" s="707"/>
      <c r="N901" s="215"/>
      <c r="O901" s="216"/>
      <c r="P901" s="670"/>
      <c r="Q901" s="671"/>
      <c r="R901" s="719"/>
      <c r="S901" s="720"/>
      <c r="T901" s="721"/>
      <c r="U901" s="722"/>
      <c r="V901" s="723"/>
      <c r="W901" s="724"/>
      <c r="X901" s="725" t="s">
        <v>159</v>
      </c>
      <c r="Y901" s="725"/>
      <c r="Z901" s="725"/>
      <c r="AA901" s="725"/>
      <c r="AB901" s="726" t="s">
        <v>159</v>
      </c>
      <c r="AC901" s="726"/>
      <c r="AD901" s="726"/>
      <c r="AE901" s="726"/>
      <c r="AF901" s="727"/>
      <c r="AG901" s="728"/>
      <c r="AH901" s="727"/>
      <c r="AI901" s="728"/>
      <c r="AJ901" s="682"/>
      <c r="AK901" s="683"/>
      <c r="AL901" s="664" t="s">
        <v>162</v>
      </c>
      <c r="AM901" s="665"/>
      <c r="AN901" s="713" t="s">
        <v>162</v>
      </c>
      <c r="AO901" s="714"/>
      <c r="AP901" s="729"/>
      <c r="AQ901" s="730"/>
      <c r="AR901" s="731"/>
      <c r="AS901" s="732"/>
      <c r="AT901" s="733"/>
      <c r="AU901" s="734"/>
      <c r="AV901" s="713" t="s">
        <v>162</v>
      </c>
      <c r="AW901" s="714"/>
      <c r="AX901" s="692"/>
      <c r="AY901" s="693"/>
      <c r="AZ901" s="694"/>
      <c r="BA901" s="735"/>
      <c r="BB901" s="736"/>
      <c r="BC901" s="219"/>
      <c r="BD901" s="737" t="s">
        <v>162</v>
      </c>
      <c r="BE901" s="738"/>
      <c r="BF901" s="739"/>
      <c r="BG901" s="740"/>
      <c r="BH901" s="740"/>
      <c r="BI901" s="741"/>
      <c r="BJ901" s="742" t="s">
        <v>159</v>
      </c>
      <c r="BK901" s="743"/>
      <c r="BL901" s="743"/>
      <c r="BM901" s="744"/>
      <c r="BN901" s="703" t="s">
        <v>159</v>
      </c>
      <c r="BO901" s="704"/>
      <c r="BP901" s="704"/>
      <c r="BQ901" s="704"/>
      <c r="BR901" s="704"/>
      <c r="BS901" s="704"/>
      <c r="BT901" s="704"/>
      <c r="BU901" s="704"/>
      <c r="BV901" s="705"/>
    </row>
    <row r="902" spans="1:74" ht="45" customHeight="1" x14ac:dyDescent="0.25">
      <c r="A902" s="10">
        <f t="shared" si="13"/>
        <v>888</v>
      </c>
      <c r="B902" s="662" t="s">
        <v>159</v>
      </c>
      <c r="C902" s="662"/>
      <c r="D902" s="663" t="s">
        <v>212</v>
      </c>
      <c r="E902" s="663"/>
      <c r="F902" s="664" t="s">
        <v>162</v>
      </c>
      <c r="G902" s="665"/>
      <c r="H902" s="754" t="s">
        <v>162</v>
      </c>
      <c r="I902" s="714"/>
      <c r="J902" s="340"/>
      <c r="K902" s="341"/>
      <c r="L902" s="340"/>
      <c r="M902" s="341"/>
      <c r="N902" s="194"/>
      <c r="O902" s="196"/>
      <c r="P902" s="717"/>
      <c r="Q902" s="718"/>
      <c r="R902" s="672"/>
      <c r="S902" s="673"/>
      <c r="T902" s="674"/>
      <c r="U902" s="675"/>
      <c r="V902" s="676"/>
      <c r="W902" s="677"/>
      <c r="X902" s="678" t="s">
        <v>159</v>
      </c>
      <c r="Y902" s="678"/>
      <c r="Z902" s="678"/>
      <c r="AA902" s="678"/>
      <c r="AB902" s="679" t="s">
        <v>159</v>
      </c>
      <c r="AC902" s="679"/>
      <c r="AD902" s="679"/>
      <c r="AE902" s="679"/>
      <c r="AF902" s="680"/>
      <c r="AG902" s="681"/>
      <c r="AH902" s="680"/>
      <c r="AI902" s="681"/>
      <c r="AJ902" s="682"/>
      <c r="AK902" s="683"/>
      <c r="AL902" s="684" t="s">
        <v>162</v>
      </c>
      <c r="AM902" s="685"/>
      <c r="AN902" s="666" t="s">
        <v>162</v>
      </c>
      <c r="AO902" s="667"/>
      <c r="AP902" s="686"/>
      <c r="AQ902" s="687"/>
      <c r="AR902" s="688"/>
      <c r="AS902" s="689"/>
      <c r="AT902" s="690"/>
      <c r="AU902" s="691"/>
      <c r="AV902" s="666" t="s">
        <v>162</v>
      </c>
      <c r="AW902" s="667"/>
      <c r="AX902" s="692"/>
      <c r="AY902" s="693"/>
      <c r="AZ902" s="694"/>
      <c r="BA902" s="682"/>
      <c r="BB902" s="683"/>
      <c r="BC902" s="14"/>
      <c r="BD902" s="695" t="s">
        <v>162</v>
      </c>
      <c r="BE902" s="696"/>
      <c r="BF902" s="697"/>
      <c r="BG902" s="698"/>
      <c r="BH902" s="698"/>
      <c r="BI902" s="699"/>
      <c r="BJ902" s="700" t="s">
        <v>159</v>
      </c>
      <c r="BK902" s="701"/>
      <c r="BL902" s="701"/>
      <c r="BM902" s="702"/>
      <c r="BN902" s="703" t="s">
        <v>159</v>
      </c>
      <c r="BO902" s="704"/>
      <c r="BP902" s="704"/>
      <c r="BQ902" s="704"/>
      <c r="BR902" s="704"/>
      <c r="BS902" s="704"/>
      <c r="BT902" s="704"/>
      <c r="BU902" s="704"/>
      <c r="BV902" s="705"/>
    </row>
    <row r="903" spans="1:74" ht="45" customHeight="1" x14ac:dyDescent="0.25">
      <c r="A903" s="10">
        <f t="shared" si="13"/>
        <v>889</v>
      </c>
      <c r="B903" s="711" t="s">
        <v>159</v>
      </c>
      <c r="C903" s="711"/>
      <c r="D903" s="712" t="s">
        <v>212</v>
      </c>
      <c r="E903" s="712"/>
      <c r="F903" s="664" t="s">
        <v>162</v>
      </c>
      <c r="G903" s="665"/>
      <c r="H903" s="755" t="s">
        <v>162</v>
      </c>
      <c r="I903" s="667"/>
      <c r="J903" s="706"/>
      <c r="K903" s="707"/>
      <c r="L903" s="706"/>
      <c r="M903" s="707"/>
      <c r="N903" s="215"/>
      <c r="O903" s="216"/>
      <c r="P903" s="670"/>
      <c r="Q903" s="671"/>
      <c r="R903" s="719"/>
      <c r="S903" s="720"/>
      <c r="T903" s="721"/>
      <c r="U903" s="722"/>
      <c r="V903" s="723"/>
      <c r="W903" s="724"/>
      <c r="X903" s="725" t="s">
        <v>159</v>
      </c>
      <c r="Y903" s="725"/>
      <c r="Z903" s="725"/>
      <c r="AA903" s="725"/>
      <c r="AB903" s="726" t="s">
        <v>159</v>
      </c>
      <c r="AC903" s="726"/>
      <c r="AD903" s="726"/>
      <c r="AE903" s="726"/>
      <c r="AF903" s="727"/>
      <c r="AG903" s="728"/>
      <c r="AH903" s="727"/>
      <c r="AI903" s="728"/>
      <c r="AJ903" s="682"/>
      <c r="AK903" s="683"/>
      <c r="AL903" s="664" t="s">
        <v>162</v>
      </c>
      <c r="AM903" s="665"/>
      <c r="AN903" s="713" t="s">
        <v>162</v>
      </c>
      <c r="AO903" s="714"/>
      <c r="AP903" s="729"/>
      <c r="AQ903" s="730"/>
      <c r="AR903" s="731"/>
      <c r="AS903" s="732"/>
      <c r="AT903" s="733"/>
      <c r="AU903" s="734"/>
      <c r="AV903" s="713" t="s">
        <v>162</v>
      </c>
      <c r="AW903" s="714"/>
      <c r="AX903" s="692"/>
      <c r="AY903" s="693"/>
      <c r="AZ903" s="694"/>
      <c r="BA903" s="735"/>
      <c r="BB903" s="736"/>
      <c r="BC903" s="219"/>
      <c r="BD903" s="737" t="s">
        <v>162</v>
      </c>
      <c r="BE903" s="738"/>
      <c r="BF903" s="739"/>
      <c r="BG903" s="740"/>
      <c r="BH903" s="740"/>
      <c r="BI903" s="741"/>
      <c r="BJ903" s="742" t="s">
        <v>159</v>
      </c>
      <c r="BK903" s="743"/>
      <c r="BL903" s="743"/>
      <c r="BM903" s="744"/>
      <c r="BN903" s="703" t="s">
        <v>159</v>
      </c>
      <c r="BO903" s="704"/>
      <c r="BP903" s="704"/>
      <c r="BQ903" s="704"/>
      <c r="BR903" s="704"/>
      <c r="BS903" s="704"/>
      <c r="BT903" s="704"/>
      <c r="BU903" s="704"/>
      <c r="BV903" s="705"/>
    </row>
    <row r="904" spans="1:74" ht="45" customHeight="1" x14ac:dyDescent="0.25">
      <c r="A904" s="10">
        <f t="shared" si="13"/>
        <v>890</v>
      </c>
      <c r="B904" s="662" t="s">
        <v>159</v>
      </c>
      <c r="C904" s="662"/>
      <c r="D904" s="663" t="s">
        <v>212</v>
      </c>
      <c r="E904" s="663"/>
      <c r="F904" s="664" t="s">
        <v>162</v>
      </c>
      <c r="G904" s="665"/>
      <c r="H904" s="754" t="s">
        <v>162</v>
      </c>
      <c r="I904" s="714"/>
      <c r="J904" s="340"/>
      <c r="K904" s="341"/>
      <c r="L904" s="340"/>
      <c r="M904" s="341"/>
      <c r="N904" s="194"/>
      <c r="O904" s="196"/>
      <c r="P904" s="717"/>
      <c r="Q904" s="718"/>
      <c r="R904" s="672"/>
      <c r="S904" s="673"/>
      <c r="T904" s="674"/>
      <c r="U904" s="675"/>
      <c r="V904" s="676"/>
      <c r="W904" s="677"/>
      <c r="X904" s="678" t="s">
        <v>159</v>
      </c>
      <c r="Y904" s="678"/>
      <c r="Z904" s="678"/>
      <c r="AA904" s="678"/>
      <c r="AB904" s="679" t="s">
        <v>159</v>
      </c>
      <c r="AC904" s="679"/>
      <c r="AD904" s="679"/>
      <c r="AE904" s="679"/>
      <c r="AF904" s="680"/>
      <c r="AG904" s="681"/>
      <c r="AH904" s="680"/>
      <c r="AI904" s="681"/>
      <c r="AJ904" s="682"/>
      <c r="AK904" s="683"/>
      <c r="AL904" s="684" t="s">
        <v>162</v>
      </c>
      <c r="AM904" s="685"/>
      <c r="AN904" s="666" t="s">
        <v>162</v>
      </c>
      <c r="AO904" s="667"/>
      <c r="AP904" s="686"/>
      <c r="AQ904" s="687"/>
      <c r="AR904" s="688"/>
      <c r="AS904" s="689"/>
      <c r="AT904" s="690"/>
      <c r="AU904" s="691"/>
      <c r="AV904" s="666" t="s">
        <v>162</v>
      </c>
      <c r="AW904" s="667"/>
      <c r="AX904" s="692"/>
      <c r="AY904" s="693"/>
      <c r="AZ904" s="694"/>
      <c r="BA904" s="682"/>
      <c r="BB904" s="683"/>
      <c r="BC904" s="14"/>
      <c r="BD904" s="695" t="s">
        <v>162</v>
      </c>
      <c r="BE904" s="696"/>
      <c r="BF904" s="697"/>
      <c r="BG904" s="698"/>
      <c r="BH904" s="698"/>
      <c r="BI904" s="699"/>
      <c r="BJ904" s="700" t="s">
        <v>159</v>
      </c>
      <c r="BK904" s="701"/>
      <c r="BL904" s="701"/>
      <c r="BM904" s="702"/>
      <c r="BN904" s="703" t="s">
        <v>159</v>
      </c>
      <c r="BO904" s="704"/>
      <c r="BP904" s="704"/>
      <c r="BQ904" s="704"/>
      <c r="BR904" s="704"/>
      <c r="BS904" s="704"/>
      <c r="BT904" s="704"/>
      <c r="BU904" s="704"/>
      <c r="BV904" s="705"/>
    </row>
    <row r="905" spans="1:74" ht="45" customHeight="1" x14ac:dyDescent="0.25">
      <c r="A905" s="10">
        <f t="shared" si="13"/>
        <v>891</v>
      </c>
      <c r="B905" s="711" t="s">
        <v>159</v>
      </c>
      <c r="C905" s="711"/>
      <c r="D905" s="712" t="s">
        <v>212</v>
      </c>
      <c r="E905" s="712"/>
      <c r="F905" s="664" t="s">
        <v>162</v>
      </c>
      <c r="G905" s="665"/>
      <c r="H905" s="755" t="s">
        <v>162</v>
      </c>
      <c r="I905" s="667"/>
      <c r="J905" s="706"/>
      <c r="K905" s="707"/>
      <c r="L905" s="706"/>
      <c r="M905" s="707"/>
      <c r="N905" s="215"/>
      <c r="O905" s="216"/>
      <c r="P905" s="670"/>
      <c r="Q905" s="671"/>
      <c r="R905" s="719"/>
      <c r="S905" s="720"/>
      <c r="T905" s="721"/>
      <c r="U905" s="722"/>
      <c r="V905" s="723"/>
      <c r="W905" s="724"/>
      <c r="X905" s="725" t="s">
        <v>159</v>
      </c>
      <c r="Y905" s="725"/>
      <c r="Z905" s="725"/>
      <c r="AA905" s="725"/>
      <c r="AB905" s="726" t="s">
        <v>159</v>
      </c>
      <c r="AC905" s="726"/>
      <c r="AD905" s="726"/>
      <c r="AE905" s="726"/>
      <c r="AF905" s="727"/>
      <c r="AG905" s="728"/>
      <c r="AH905" s="727"/>
      <c r="AI905" s="728"/>
      <c r="AJ905" s="682"/>
      <c r="AK905" s="683"/>
      <c r="AL905" s="664" t="s">
        <v>162</v>
      </c>
      <c r="AM905" s="665"/>
      <c r="AN905" s="713" t="s">
        <v>162</v>
      </c>
      <c r="AO905" s="714"/>
      <c r="AP905" s="729"/>
      <c r="AQ905" s="730"/>
      <c r="AR905" s="731"/>
      <c r="AS905" s="732"/>
      <c r="AT905" s="733"/>
      <c r="AU905" s="734"/>
      <c r="AV905" s="713" t="s">
        <v>162</v>
      </c>
      <c r="AW905" s="714"/>
      <c r="AX905" s="692"/>
      <c r="AY905" s="693"/>
      <c r="AZ905" s="694"/>
      <c r="BA905" s="735"/>
      <c r="BB905" s="736"/>
      <c r="BC905" s="219"/>
      <c r="BD905" s="737" t="s">
        <v>162</v>
      </c>
      <c r="BE905" s="738"/>
      <c r="BF905" s="739"/>
      <c r="BG905" s="740"/>
      <c r="BH905" s="740"/>
      <c r="BI905" s="741"/>
      <c r="BJ905" s="742" t="s">
        <v>159</v>
      </c>
      <c r="BK905" s="743"/>
      <c r="BL905" s="743"/>
      <c r="BM905" s="744"/>
      <c r="BN905" s="703" t="s">
        <v>159</v>
      </c>
      <c r="BO905" s="704"/>
      <c r="BP905" s="704"/>
      <c r="BQ905" s="704"/>
      <c r="BR905" s="704"/>
      <c r="BS905" s="704"/>
      <c r="BT905" s="704"/>
      <c r="BU905" s="704"/>
      <c r="BV905" s="705"/>
    </row>
    <row r="906" spans="1:74" ht="45" customHeight="1" x14ac:dyDescent="0.25">
      <c r="A906" s="10">
        <f t="shared" si="13"/>
        <v>892</v>
      </c>
      <c r="B906" s="662" t="s">
        <v>159</v>
      </c>
      <c r="C906" s="662"/>
      <c r="D906" s="663" t="s">
        <v>212</v>
      </c>
      <c r="E906" s="663"/>
      <c r="F906" s="664" t="s">
        <v>162</v>
      </c>
      <c r="G906" s="665"/>
      <c r="H906" s="754" t="s">
        <v>162</v>
      </c>
      <c r="I906" s="714"/>
      <c r="J906" s="340"/>
      <c r="K906" s="341"/>
      <c r="L906" s="340"/>
      <c r="M906" s="341"/>
      <c r="N906" s="194"/>
      <c r="O906" s="196"/>
      <c r="P906" s="717"/>
      <c r="Q906" s="718"/>
      <c r="R906" s="672"/>
      <c r="S906" s="673"/>
      <c r="T906" s="674"/>
      <c r="U906" s="675"/>
      <c r="V906" s="676"/>
      <c r="W906" s="677"/>
      <c r="X906" s="678" t="s">
        <v>159</v>
      </c>
      <c r="Y906" s="678"/>
      <c r="Z906" s="678"/>
      <c r="AA906" s="678"/>
      <c r="AB906" s="679" t="s">
        <v>159</v>
      </c>
      <c r="AC906" s="679"/>
      <c r="AD906" s="679"/>
      <c r="AE906" s="679"/>
      <c r="AF906" s="680"/>
      <c r="AG906" s="681"/>
      <c r="AH906" s="680"/>
      <c r="AI906" s="681"/>
      <c r="AJ906" s="682"/>
      <c r="AK906" s="683"/>
      <c r="AL906" s="684" t="s">
        <v>162</v>
      </c>
      <c r="AM906" s="685"/>
      <c r="AN906" s="666" t="s">
        <v>162</v>
      </c>
      <c r="AO906" s="667"/>
      <c r="AP906" s="686"/>
      <c r="AQ906" s="687"/>
      <c r="AR906" s="688"/>
      <c r="AS906" s="689"/>
      <c r="AT906" s="690"/>
      <c r="AU906" s="691"/>
      <c r="AV906" s="666" t="s">
        <v>162</v>
      </c>
      <c r="AW906" s="667"/>
      <c r="AX906" s="692"/>
      <c r="AY906" s="693"/>
      <c r="AZ906" s="694"/>
      <c r="BA906" s="682"/>
      <c r="BB906" s="683"/>
      <c r="BC906" s="14"/>
      <c r="BD906" s="695" t="s">
        <v>162</v>
      </c>
      <c r="BE906" s="696"/>
      <c r="BF906" s="708"/>
      <c r="BG906" s="709"/>
      <c r="BH906" s="709"/>
      <c r="BI906" s="710"/>
      <c r="BJ906" s="700" t="s">
        <v>159</v>
      </c>
      <c r="BK906" s="701"/>
      <c r="BL906" s="701"/>
      <c r="BM906" s="702"/>
      <c r="BN906" s="703" t="s">
        <v>159</v>
      </c>
      <c r="BO906" s="704"/>
      <c r="BP906" s="704"/>
      <c r="BQ906" s="704"/>
      <c r="BR906" s="704"/>
      <c r="BS906" s="704"/>
      <c r="BT906" s="704"/>
      <c r="BU906" s="704"/>
      <c r="BV906" s="705"/>
    </row>
    <row r="907" spans="1:74" ht="45" customHeight="1" x14ac:dyDescent="0.25">
      <c r="A907" s="10">
        <f t="shared" si="13"/>
        <v>893</v>
      </c>
      <c r="B907" s="711" t="s">
        <v>159</v>
      </c>
      <c r="C907" s="711"/>
      <c r="D907" s="712" t="s">
        <v>212</v>
      </c>
      <c r="E907" s="712"/>
      <c r="F907" s="664" t="s">
        <v>162</v>
      </c>
      <c r="G907" s="665"/>
      <c r="H907" s="755" t="s">
        <v>162</v>
      </c>
      <c r="I907" s="667"/>
      <c r="J907" s="706"/>
      <c r="K907" s="707"/>
      <c r="L907" s="706"/>
      <c r="M907" s="707"/>
      <c r="N907" s="215"/>
      <c r="O907" s="216"/>
      <c r="P907" s="670"/>
      <c r="Q907" s="671"/>
      <c r="R907" s="719"/>
      <c r="S907" s="720"/>
      <c r="T907" s="721"/>
      <c r="U907" s="722"/>
      <c r="V907" s="723"/>
      <c r="W907" s="724"/>
      <c r="X907" s="725" t="s">
        <v>159</v>
      </c>
      <c r="Y907" s="725"/>
      <c r="Z907" s="725"/>
      <c r="AA907" s="725"/>
      <c r="AB907" s="726" t="s">
        <v>159</v>
      </c>
      <c r="AC907" s="726"/>
      <c r="AD907" s="726"/>
      <c r="AE907" s="726"/>
      <c r="AF907" s="727"/>
      <c r="AG907" s="728"/>
      <c r="AH907" s="727"/>
      <c r="AI907" s="728"/>
      <c r="AJ907" s="682"/>
      <c r="AK907" s="683"/>
      <c r="AL907" s="664" t="s">
        <v>162</v>
      </c>
      <c r="AM907" s="665"/>
      <c r="AN907" s="713" t="s">
        <v>162</v>
      </c>
      <c r="AO907" s="714"/>
      <c r="AP907" s="729"/>
      <c r="AQ907" s="730"/>
      <c r="AR907" s="731"/>
      <c r="AS907" s="732"/>
      <c r="AT907" s="733"/>
      <c r="AU907" s="734"/>
      <c r="AV907" s="713" t="s">
        <v>162</v>
      </c>
      <c r="AW907" s="714"/>
      <c r="AX907" s="692"/>
      <c r="AY907" s="693"/>
      <c r="AZ907" s="694"/>
      <c r="BA907" s="735"/>
      <c r="BB907" s="736"/>
      <c r="BC907" s="219"/>
      <c r="BD907" s="737" t="s">
        <v>162</v>
      </c>
      <c r="BE907" s="738"/>
      <c r="BF907" s="739"/>
      <c r="BG907" s="740"/>
      <c r="BH907" s="740"/>
      <c r="BI907" s="741"/>
      <c r="BJ907" s="742" t="s">
        <v>159</v>
      </c>
      <c r="BK907" s="743"/>
      <c r="BL907" s="743"/>
      <c r="BM907" s="744"/>
      <c r="BN907" s="703" t="s">
        <v>159</v>
      </c>
      <c r="BO907" s="704"/>
      <c r="BP907" s="704"/>
      <c r="BQ907" s="704"/>
      <c r="BR907" s="704"/>
      <c r="BS907" s="704"/>
      <c r="BT907" s="704"/>
      <c r="BU907" s="704"/>
      <c r="BV907" s="705"/>
    </row>
    <row r="908" spans="1:74" ht="45" customHeight="1" x14ac:dyDescent="0.25">
      <c r="A908" s="10">
        <f t="shared" si="13"/>
        <v>894</v>
      </c>
      <c r="B908" s="662" t="s">
        <v>159</v>
      </c>
      <c r="C908" s="662"/>
      <c r="D908" s="663" t="s">
        <v>212</v>
      </c>
      <c r="E908" s="663"/>
      <c r="F908" s="664" t="s">
        <v>162</v>
      </c>
      <c r="G908" s="665"/>
      <c r="H908" s="754" t="s">
        <v>162</v>
      </c>
      <c r="I908" s="714"/>
      <c r="J908" s="340"/>
      <c r="K908" s="341"/>
      <c r="L908" s="340"/>
      <c r="M908" s="341"/>
      <c r="N908" s="194"/>
      <c r="O908" s="196"/>
      <c r="P908" s="717"/>
      <c r="Q908" s="718"/>
      <c r="R908" s="672"/>
      <c r="S908" s="673"/>
      <c r="T908" s="674"/>
      <c r="U908" s="675"/>
      <c r="V908" s="676"/>
      <c r="W908" s="677"/>
      <c r="X908" s="678" t="s">
        <v>159</v>
      </c>
      <c r="Y908" s="678"/>
      <c r="Z908" s="678"/>
      <c r="AA908" s="678"/>
      <c r="AB908" s="679" t="s">
        <v>159</v>
      </c>
      <c r="AC908" s="679"/>
      <c r="AD908" s="679"/>
      <c r="AE908" s="679"/>
      <c r="AF908" s="680"/>
      <c r="AG908" s="681"/>
      <c r="AH908" s="680"/>
      <c r="AI908" s="681"/>
      <c r="AJ908" s="682"/>
      <c r="AK908" s="683"/>
      <c r="AL908" s="684" t="s">
        <v>162</v>
      </c>
      <c r="AM908" s="685"/>
      <c r="AN908" s="666" t="s">
        <v>162</v>
      </c>
      <c r="AO908" s="667"/>
      <c r="AP908" s="686"/>
      <c r="AQ908" s="687"/>
      <c r="AR908" s="688"/>
      <c r="AS908" s="689"/>
      <c r="AT908" s="690"/>
      <c r="AU908" s="691"/>
      <c r="AV908" s="666" t="s">
        <v>162</v>
      </c>
      <c r="AW908" s="667"/>
      <c r="AX908" s="692"/>
      <c r="AY908" s="693"/>
      <c r="AZ908" s="694"/>
      <c r="BA908" s="682"/>
      <c r="BB908" s="683"/>
      <c r="BC908" s="14"/>
      <c r="BD908" s="695" t="s">
        <v>162</v>
      </c>
      <c r="BE908" s="696"/>
      <c r="BF908" s="697"/>
      <c r="BG908" s="698"/>
      <c r="BH908" s="698"/>
      <c r="BI908" s="699"/>
      <c r="BJ908" s="700" t="s">
        <v>159</v>
      </c>
      <c r="BK908" s="701"/>
      <c r="BL908" s="701"/>
      <c r="BM908" s="702"/>
      <c r="BN908" s="703" t="s">
        <v>159</v>
      </c>
      <c r="BO908" s="704"/>
      <c r="BP908" s="704"/>
      <c r="BQ908" s="704"/>
      <c r="BR908" s="704"/>
      <c r="BS908" s="704"/>
      <c r="BT908" s="704"/>
      <c r="BU908" s="704"/>
      <c r="BV908" s="705"/>
    </row>
    <row r="909" spans="1:74" ht="45" customHeight="1" x14ac:dyDescent="0.25">
      <c r="A909" s="10">
        <f t="shared" si="13"/>
        <v>895</v>
      </c>
      <c r="B909" s="711" t="s">
        <v>159</v>
      </c>
      <c r="C909" s="711"/>
      <c r="D909" s="712" t="s">
        <v>212</v>
      </c>
      <c r="E909" s="712"/>
      <c r="F909" s="664" t="s">
        <v>162</v>
      </c>
      <c r="G909" s="665"/>
      <c r="H909" s="755" t="s">
        <v>162</v>
      </c>
      <c r="I909" s="667"/>
      <c r="J909" s="706"/>
      <c r="K909" s="707"/>
      <c r="L909" s="706"/>
      <c r="M909" s="707"/>
      <c r="N909" s="194"/>
      <c r="O909" s="196"/>
      <c r="P909" s="717"/>
      <c r="Q909" s="718"/>
      <c r="R909" s="719"/>
      <c r="S909" s="720"/>
      <c r="T909" s="721"/>
      <c r="U909" s="722"/>
      <c r="V909" s="723"/>
      <c r="W909" s="724"/>
      <c r="X909" s="725" t="s">
        <v>159</v>
      </c>
      <c r="Y909" s="725"/>
      <c r="Z909" s="725"/>
      <c r="AA909" s="725"/>
      <c r="AB909" s="726" t="s">
        <v>159</v>
      </c>
      <c r="AC909" s="726"/>
      <c r="AD909" s="726"/>
      <c r="AE909" s="726"/>
      <c r="AF909" s="727"/>
      <c r="AG909" s="728"/>
      <c r="AH909" s="727"/>
      <c r="AI909" s="728"/>
      <c r="AJ909" s="682"/>
      <c r="AK909" s="683"/>
      <c r="AL909" s="664" t="s">
        <v>162</v>
      </c>
      <c r="AM909" s="665"/>
      <c r="AN909" s="713" t="s">
        <v>162</v>
      </c>
      <c r="AO909" s="714"/>
      <c r="AP909" s="729"/>
      <c r="AQ909" s="730"/>
      <c r="AR909" s="731"/>
      <c r="AS909" s="732"/>
      <c r="AT909" s="690"/>
      <c r="AU909" s="691"/>
      <c r="AV909" s="713" t="s">
        <v>162</v>
      </c>
      <c r="AW909" s="714"/>
      <c r="AX909" s="692"/>
      <c r="AY909" s="693"/>
      <c r="AZ909" s="694"/>
      <c r="BA909" s="735"/>
      <c r="BB909" s="736"/>
      <c r="BC909" s="219"/>
      <c r="BD909" s="737" t="s">
        <v>162</v>
      </c>
      <c r="BE909" s="738"/>
      <c r="BF909" s="739"/>
      <c r="BG909" s="740"/>
      <c r="BH909" s="740"/>
      <c r="BI909" s="741"/>
      <c r="BJ909" s="742" t="s">
        <v>159</v>
      </c>
      <c r="BK909" s="743"/>
      <c r="BL909" s="743"/>
      <c r="BM909" s="744"/>
      <c r="BN909" s="703" t="s">
        <v>159</v>
      </c>
      <c r="BO909" s="704"/>
      <c r="BP909" s="704"/>
      <c r="BQ909" s="704"/>
      <c r="BR909" s="704"/>
      <c r="BS909" s="704"/>
      <c r="BT909" s="704"/>
      <c r="BU909" s="704"/>
      <c r="BV909" s="705"/>
    </row>
    <row r="910" spans="1:74" ht="45" customHeight="1" x14ac:dyDescent="0.25">
      <c r="A910" s="10">
        <f t="shared" si="13"/>
        <v>896</v>
      </c>
      <c r="B910" s="662" t="s">
        <v>159</v>
      </c>
      <c r="C910" s="662"/>
      <c r="D910" s="663" t="s">
        <v>212</v>
      </c>
      <c r="E910" s="663"/>
      <c r="F910" s="664" t="s">
        <v>162</v>
      </c>
      <c r="G910" s="665"/>
      <c r="H910" s="754" t="s">
        <v>162</v>
      </c>
      <c r="I910" s="714"/>
      <c r="J910" s="715"/>
      <c r="K910" s="716"/>
      <c r="L910" s="715"/>
      <c r="M910" s="716"/>
      <c r="N910" s="215"/>
      <c r="O910" s="216"/>
      <c r="P910" s="670"/>
      <c r="Q910" s="671"/>
      <c r="R910" s="672"/>
      <c r="S910" s="673"/>
      <c r="T910" s="674"/>
      <c r="U910" s="675"/>
      <c r="V910" s="676"/>
      <c r="W910" s="677"/>
      <c r="X910" s="678" t="s">
        <v>159</v>
      </c>
      <c r="Y910" s="678"/>
      <c r="Z910" s="678"/>
      <c r="AA910" s="678"/>
      <c r="AB910" s="679" t="s">
        <v>159</v>
      </c>
      <c r="AC910" s="679"/>
      <c r="AD910" s="679"/>
      <c r="AE910" s="679"/>
      <c r="AF910" s="680"/>
      <c r="AG910" s="681"/>
      <c r="AH910" s="680"/>
      <c r="AI910" s="681"/>
      <c r="AJ910" s="682"/>
      <c r="AK910" s="683"/>
      <c r="AL910" s="684" t="s">
        <v>162</v>
      </c>
      <c r="AM910" s="685"/>
      <c r="AN910" s="666" t="s">
        <v>162</v>
      </c>
      <c r="AO910" s="667"/>
      <c r="AP910" s="686"/>
      <c r="AQ910" s="687"/>
      <c r="AR910" s="688"/>
      <c r="AS910" s="689"/>
      <c r="AT910" s="690"/>
      <c r="AU910" s="691"/>
      <c r="AV910" s="666" t="s">
        <v>162</v>
      </c>
      <c r="AW910" s="667"/>
      <c r="AX910" s="692"/>
      <c r="AY910" s="693"/>
      <c r="AZ910" s="694"/>
      <c r="BA910" s="682"/>
      <c r="BB910" s="683"/>
      <c r="BC910" s="14"/>
      <c r="BD910" s="695" t="s">
        <v>162</v>
      </c>
      <c r="BE910" s="696"/>
      <c r="BF910" s="697"/>
      <c r="BG910" s="698"/>
      <c r="BH910" s="698"/>
      <c r="BI910" s="699"/>
      <c r="BJ910" s="700" t="s">
        <v>159</v>
      </c>
      <c r="BK910" s="701"/>
      <c r="BL910" s="701"/>
      <c r="BM910" s="702"/>
      <c r="BN910" s="703" t="s">
        <v>159</v>
      </c>
      <c r="BO910" s="704"/>
      <c r="BP910" s="704"/>
      <c r="BQ910" s="704"/>
      <c r="BR910" s="704"/>
      <c r="BS910" s="704"/>
      <c r="BT910" s="704"/>
      <c r="BU910" s="704"/>
      <c r="BV910" s="705"/>
    </row>
    <row r="911" spans="1:74" ht="45" customHeight="1" x14ac:dyDescent="0.25">
      <c r="A911" s="10">
        <f t="shared" ref="A911:A974" si="14">ROW(A897)</f>
        <v>897</v>
      </c>
      <c r="B911" s="711" t="s">
        <v>159</v>
      </c>
      <c r="C911" s="711"/>
      <c r="D911" s="712" t="s">
        <v>212</v>
      </c>
      <c r="E911" s="712"/>
      <c r="F911" s="664" t="s">
        <v>162</v>
      </c>
      <c r="G911" s="665"/>
      <c r="H911" s="755" t="s">
        <v>162</v>
      </c>
      <c r="I911" s="667"/>
      <c r="J911" s="706"/>
      <c r="K911" s="707"/>
      <c r="L911" s="706"/>
      <c r="M911" s="707"/>
      <c r="N911" s="194"/>
      <c r="O911" s="196"/>
      <c r="P911" s="717"/>
      <c r="Q911" s="718"/>
      <c r="R911" s="719"/>
      <c r="S911" s="720"/>
      <c r="T911" s="721"/>
      <c r="U911" s="722"/>
      <c r="V911" s="723"/>
      <c r="W911" s="724"/>
      <c r="X911" s="725" t="s">
        <v>159</v>
      </c>
      <c r="Y911" s="725"/>
      <c r="Z911" s="725"/>
      <c r="AA911" s="725"/>
      <c r="AB911" s="726" t="s">
        <v>159</v>
      </c>
      <c r="AC911" s="726"/>
      <c r="AD911" s="726"/>
      <c r="AE911" s="726"/>
      <c r="AF911" s="727"/>
      <c r="AG911" s="728"/>
      <c r="AH911" s="727"/>
      <c r="AI911" s="728"/>
      <c r="AJ911" s="682"/>
      <c r="AK911" s="683"/>
      <c r="AL911" s="664" t="s">
        <v>162</v>
      </c>
      <c r="AM911" s="665"/>
      <c r="AN911" s="713" t="s">
        <v>162</v>
      </c>
      <c r="AO911" s="714"/>
      <c r="AP911" s="729"/>
      <c r="AQ911" s="730"/>
      <c r="AR911" s="731"/>
      <c r="AS911" s="732"/>
      <c r="AT911" s="690"/>
      <c r="AU911" s="691"/>
      <c r="AV911" s="713" t="s">
        <v>162</v>
      </c>
      <c r="AW911" s="714"/>
      <c r="AX911" s="692"/>
      <c r="AY911" s="693"/>
      <c r="AZ911" s="694"/>
      <c r="BA911" s="735"/>
      <c r="BB911" s="736"/>
      <c r="BC911" s="219"/>
      <c r="BD911" s="737" t="s">
        <v>162</v>
      </c>
      <c r="BE911" s="738"/>
      <c r="BF911" s="739"/>
      <c r="BG911" s="740"/>
      <c r="BH911" s="740"/>
      <c r="BI911" s="741"/>
      <c r="BJ911" s="742" t="s">
        <v>159</v>
      </c>
      <c r="BK911" s="743"/>
      <c r="BL911" s="743"/>
      <c r="BM911" s="744"/>
      <c r="BN911" s="703" t="s">
        <v>159</v>
      </c>
      <c r="BO911" s="704"/>
      <c r="BP911" s="704"/>
      <c r="BQ911" s="704"/>
      <c r="BR911" s="704"/>
      <c r="BS911" s="704"/>
      <c r="BT911" s="704"/>
      <c r="BU911" s="704"/>
      <c r="BV911" s="705"/>
    </row>
    <row r="912" spans="1:74" ht="45" customHeight="1" x14ac:dyDescent="0.25">
      <c r="A912" s="10">
        <f t="shared" si="14"/>
        <v>898</v>
      </c>
      <c r="B912" s="662" t="s">
        <v>159</v>
      </c>
      <c r="C912" s="662"/>
      <c r="D912" s="663" t="s">
        <v>212</v>
      </c>
      <c r="E912" s="663"/>
      <c r="F912" s="664" t="s">
        <v>162</v>
      </c>
      <c r="G912" s="665"/>
      <c r="H912" s="754" t="s">
        <v>162</v>
      </c>
      <c r="I912" s="714"/>
      <c r="J912" s="715"/>
      <c r="K912" s="716"/>
      <c r="L912" s="715"/>
      <c r="M912" s="716"/>
      <c r="N912" s="215"/>
      <c r="O912" s="216"/>
      <c r="P912" s="670"/>
      <c r="Q912" s="671"/>
      <c r="R912" s="672"/>
      <c r="S912" s="673"/>
      <c r="T912" s="674"/>
      <c r="U912" s="675"/>
      <c r="V912" s="676"/>
      <c r="W912" s="677"/>
      <c r="X912" s="678" t="s">
        <v>159</v>
      </c>
      <c r="Y912" s="678"/>
      <c r="Z912" s="678"/>
      <c r="AA912" s="678"/>
      <c r="AB912" s="679" t="s">
        <v>159</v>
      </c>
      <c r="AC912" s="679"/>
      <c r="AD912" s="679"/>
      <c r="AE912" s="679"/>
      <c r="AF912" s="680"/>
      <c r="AG912" s="681"/>
      <c r="AH912" s="680"/>
      <c r="AI912" s="681"/>
      <c r="AJ912" s="682"/>
      <c r="AK912" s="683"/>
      <c r="AL912" s="684" t="s">
        <v>162</v>
      </c>
      <c r="AM912" s="685"/>
      <c r="AN912" s="666" t="s">
        <v>162</v>
      </c>
      <c r="AO912" s="667"/>
      <c r="AP912" s="686"/>
      <c r="AQ912" s="687"/>
      <c r="AR912" s="688"/>
      <c r="AS912" s="689"/>
      <c r="AT912" s="690"/>
      <c r="AU912" s="691"/>
      <c r="AV912" s="666" t="s">
        <v>162</v>
      </c>
      <c r="AW912" s="667"/>
      <c r="AX912" s="692"/>
      <c r="AY912" s="693"/>
      <c r="AZ912" s="694"/>
      <c r="BA912" s="682"/>
      <c r="BB912" s="683"/>
      <c r="BC912" s="14"/>
      <c r="BD912" s="695" t="s">
        <v>162</v>
      </c>
      <c r="BE912" s="696"/>
      <c r="BF912" s="697"/>
      <c r="BG912" s="698"/>
      <c r="BH912" s="698"/>
      <c r="BI912" s="699"/>
      <c r="BJ912" s="700" t="s">
        <v>159</v>
      </c>
      <c r="BK912" s="701"/>
      <c r="BL912" s="701"/>
      <c r="BM912" s="702"/>
      <c r="BN912" s="703" t="s">
        <v>159</v>
      </c>
      <c r="BO912" s="704"/>
      <c r="BP912" s="704"/>
      <c r="BQ912" s="704"/>
      <c r="BR912" s="704"/>
      <c r="BS912" s="704"/>
      <c r="BT912" s="704"/>
      <c r="BU912" s="704"/>
      <c r="BV912" s="705"/>
    </row>
    <row r="913" spans="1:74" ht="45" customHeight="1" x14ac:dyDescent="0.25">
      <c r="A913" s="10">
        <f t="shared" si="14"/>
        <v>899</v>
      </c>
      <c r="B913" s="711" t="s">
        <v>159</v>
      </c>
      <c r="C913" s="711"/>
      <c r="D913" s="712" t="s">
        <v>212</v>
      </c>
      <c r="E913" s="712"/>
      <c r="F913" s="664" t="s">
        <v>162</v>
      </c>
      <c r="G913" s="665"/>
      <c r="H913" s="755" t="s">
        <v>162</v>
      </c>
      <c r="I913" s="667"/>
      <c r="J913" s="706"/>
      <c r="K913" s="707"/>
      <c r="L913" s="706"/>
      <c r="M913" s="707"/>
      <c r="N913" s="194"/>
      <c r="O913" s="216"/>
      <c r="P913" s="717"/>
      <c r="Q913" s="718"/>
      <c r="R913" s="719"/>
      <c r="S913" s="720"/>
      <c r="T913" s="721"/>
      <c r="U913" s="722"/>
      <c r="V913" s="723"/>
      <c r="W913" s="724"/>
      <c r="X913" s="725" t="s">
        <v>159</v>
      </c>
      <c r="Y913" s="725"/>
      <c r="Z913" s="725"/>
      <c r="AA913" s="725"/>
      <c r="AB913" s="726" t="s">
        <v>159</v>
      </c>
      <c r="AC913" s="726"/>
      <c r="AD913" s="726"/>
      <c r="AE913" s="726"/>
      <c r="AF913" s="727"/>
      <c r="AG913" s="728"/>
      <c r="AH913" s="727"/>
      <c r="AI913" s="728"/>
      <c r="AJ913" s="682"/>
      <c r="AK913" s="683"/>
      <c r="AL913" s="664" t="s">
        <v>162</v>
      </c>
      <c r="AM913" s="665"/>
      <c r="AN913" s="713" t="s">
        <v>162</v>
      </c>
      <c r="AO913" s="714"/>
      <c r="AP913" s="729"/>
      <c r="AQ913" s="730"/>
      <c r="AR913" s="731"/>
      <c r="AS913" s="732"/>
      <c r="AT913" s="733"/>
      <c r="AU913" s="734"/>
      <c r="AV913" s="713" t="s">
        <v>162</v>
      </c>
      <c r="AW913" s="714"/>
      <c r="AX913" s="692"/>
      <c r="AY913" s="693"/>
      <c r="AZ913" s="694"/>
      <c r="BA913" s="735"/>
      <c r="BB913" s="736"/>
      <c r="BC913" s="219"/>
      <c r="BD913" s="737" t="s">
        <v>162</v>
      </c>
      <c r="BE913" s="738"/>
      <c r="BF913" s="739"/>
      <c r="BG913" s="740"/>
      <c r="BH913" s="740"/>
      <c r="BI913" s="741"/>
      <c r="BJ913" s="742" t="s">
        <v>159</v>
      </c>
      <c r="BK913" s="743"/>
      <c r="BL913" s="743"/>
      <c r="BM913" s="744"/>
      <c r="BN913" s="703" t="s">
        <v>159</v>
      </c>
      <c r="BO913" s="704"/>
      <c r="BP913" s="704"/>
      <c r="BQ913" s="704"/>
      <c r="BR913" s="704"/>
      <c r="BS913" s="704"/>
      <c r="BT913" s="704"/>
      <c r="BU913" s="704"/>
      <c r="BV913" s="705"/>
    </row>
    <row r="914" spans="1:74" ht="45" customHeight="1" x14ac:dyDescent="0.25">
      <c r="A914" s="10">
        <f t="shared" si="14"/>
        <v>900</v>
      </c>
      <c r="B914" s="662" t="s">
        <v>159</v>
      </c>
      <c r="C914" s="662"/>
      <c r="D914" s="663" t="s">
        <v>212</v>
      </c>
      <c r="E914" s="663"/>
      <c r="F914" s="664" t="s">
        <v>162</v>
      </c>
      <c r="G914" s="665"/>
      <c r="H914" s="754" t="s">
        <v>162</v>
      </c>
      <c r="I914" s="714"/>
      <c r="J914" s="715"/>
      <c r="K914" s="716"/>
      <c r="L914" s="715"/>
      <c r="M914" s="716"/>
      <c r="N914" s="215"/>
      <c r="O914" s="196"/>
      <c r="P914" s="670"/>
      <c r="Q914" s="671"/>
      <c r="R914" s="672"/>
      <c r="S914" s="673"/>
      <c r="T914" s="674"/>
      <c r="U914" s="675"/>
      <c r="V914" s="676"/>
      <c r="W914" s="677"/>
      <c r="X914" s="678" t="s">
        <v>159</v>
      </c>
      <c r="Y914" s="678"/>
      <c r="Z914" s="678"/>
      <c r="AA914" s="678"/>
      <c r="AB914" s="679" t="s">
        <v>159</v>
      </c>
      <c r="AC914" s="679"/>
      <c r="AD914" s="679"/>
      <c r="AE914" s="679"/>
      <c r="AF914" s="680"/>
      <c r="AG914" s="681"/>
      <c r="AH914" s="680"/>
      <c r="AI914" s="681"/>
      <c r="AJ914" s="682"/>
      <c r="AK914" s="683"/>
      <c r="AL914" s="684" t="s">
        <v>162</v>
      </c>
      <c r="AM914" s="685"/>
      <c r="AN914" s="666" t="s">
        <v>162</v>
      </c>
      <c r="AO914" s="667"/>
      <c r="AP914" s="686"/>
      <c r="AQ914" s="687"/>
      <c r="AR914" s="688"/>
      <c r="AS914" s="689"/>
      <c r="AT914" s="690"/>
      <c r="AU914" s="691"/>
      <c r="AV914" s="666" t="s">
        <v>162</v>
      </c>
      <c r="AW914" s="667"/>
      <c r="AX914" s="692"/>
      <c r="AY914" s="693"/>
      <c r="AZ914" s="694"/>
      <c r="BA914" s="682"/>
      <c r="BB914" s="683"/>
      <c r="BC914" s="14"/>
      <c r="BD914" s="695" t="s">
        <v>162</v>
      </c>
      <c r="BE914" s="696"/>
      <c r="BF914" s="708"/>
      <c r="BG914" s="709"/>
      <c r="BH914" s="709"/>
      <c r="BI914" s="710"/>
      <c r="BJ914" s="700" t="s">
        <v>159</v>
      </c>
      <c r="BK914" s="701"/>
      <c r="BL914" s="701"/>
      <c r="BM914" s="702"/>
      <c r="BN914" s="703" t="s">
        <v>159</v>
      </c>
      <c r="BO914" s="704"/>
      <c r="BP914" s="704"/>
      <c r="BQ914" s="704"/>
      <c r="BR914" s="704"/>
      <c r="BS914" s="704"/>
      <c r="BT914" s="704"/>
      <c r="BU914" s="704"/>
      <c r="BV914" s="705"/>
    </row>
    <row r="915" spans="1:74" ht="45" customHeight="1" x14ac:dyDescent="0.25">
      <c r="A915" s="10">
        <f t="shared" si="14"/>
        <v>901</v>
      </c>
      <c r="B915" s="711" t="s">
        <v>159</v>
      </c>
      <c r="C915" s="711"/>
      <c r="D915" s="712" t="s">
        <v>212</v>
      </c>
      <c r="E915" s="712"/>
      <c r="F915" s="664" t="s">
        <v>162</v>
      </c>
      <c r="G915" s="665"/>
      <c r="H915" s="755" t="s">
        <v>162</v>
      </c>
      <c r="I915" s="667"/>
      <c r="J915" s="706"/>
      <c r="K915" s="707"/>
      <c r="L915" s="706"/>
      <c r="M915" s="707"/>
      <c r="N915" s="194"/>
      <c r="O915" s="216"/>
      <c r="P915" s="717"/>
      <c r="Q915" s="718"/>
      <c r="R915" s="719"/>
      <c r="S915" s="720"/>
      <c r="T915" s="721"/>
      <c r="U915" s="722"/>
      <c r="V915" s="723"/>
      <c r="W915" s="724"/>
      <c r="X915" s="725" t="s">
        <v>159</v>
      </c>
      <c r="Y915" s="725"/>
      <c r="Z915" s="725"/>
      <c r="AA915" s="725"/>
      <c r="AB915" s="726" t="s">
        <v>159</v>
      </c>
      <c r="AC915" s="726"/>
      <c r="AD915" s="726"/>
      <c r="AE915" s="726"/>
      <c r="AF915" s="727"/>
      <c r="AG915" s="728"/>
      <c r="AH915" s="727"/>
      <c r="AI915" s="728"/>
      <c r="AJ915" s="682"/>
      <c r="AK915" s="683"/>
      <c r="AL915" s="664" t="s">
        <v>162</v>
      </c>
      <c r="AM915" s="665"/>
      <c r="AN915" s="713" t="s">
        <v>162</v>
      </c>
      <c r="AO915" s="714"/>
      <c r="AP915" s="729"/>
      <c r="AQ915" s="730"/>
      <c r="AR915" s="731"/>
      <c r="AS915" s="732"/>
      <c r="AT915" s="733"/>
      <c r="AU915" s="734"/>
      <c r="AV915" s="713" t="s">
        <v>162</v>
      </c>
      <c r="AW915" s="714"/>
      <c r="AX915" s="692"/>
      <c r="AY915" s="693"/>
      <c r="AZ915" s="694"/>
      <c r="BA915" s="735"/>
      <c r="BB915" s="736"/>
      <c r="BC915" s="219"/>
      <c r="BD915" s="737" t="s">
        <v>162</v>
      </c>
      <c r="BE915" s="738"/>
      <c r="BF915" s="739"/>
      <c r="BG915" s="740"/>
      <c r="BH915" s="740"/>
      <c r="BI915" s="741"/>
      <c r="BJ915" s="742" t="s">
        <v>159</v>
      </c>
      <c r="BK915" s="743"/>
      <c r="BL915" s="743"/>
      <c r="BM915" s="744"/>
      <c r="BN915" s="703" t="s">
        <v>159</v>
      </c>
      <c r="BO915" s="704"/>
      <c r="BP915" s="704"/>
      <c r="BQ915" s="704"/>
      <c r="BR915" s="704"/>
      <c r="BS915" s="704"/>
      <c r="BT915" s="704"/>
      <c r="BU915" s="704"/>
      <c r="BV915" s="705"/>
    </row>
    <row r="916" spans="1:74" ht="45" customHeight="1" x14ac:dyDescent="0.25">
      <c r="A916" s="10">
        <f t="shared" si="14"/>
        <v>902</v>
      </c>
      <c r="B916" s="662" t="s">
        <v>159</v>
      </c>
      <c r="C916" s="662"/>
      <c r="D916" s="663" t="s">
        <v>212</v>
      </c>
      <c r="E916" s="663"/>
      <c r="F916" s="664" t="s">
        <v>162</v>
      </c>
      <c r="G916" s="665"/>
      <c r="H916" s="754" t="s">
        <v>162</v>
      </c>
      <c r="I916" s="714"/>
      <c r="J916" s="715"/>
      <c r="K916" s="716"/>
      <c r="L916" s="715"/>
      <c r="M916" s="716"/>
      <c r="N916" s="215"/>
      <c r="O916" s="196"/>
      <c r="P916" s="670"/>
      <c r="Q916" s="671"/>
      <c r="R916" s="672"/>
      <c r="S916" s="673"/>
      <c r="T916" s="674"/>
      <c r="U916" s="675"/>
      <c r="V916" s="676"/>
      <c r="W916" s="677"/>
      <c r="X916" s="678" t="s">
        <v>159</v>
      </c>
      <c r="Y916" s="678"/>
      <c r="Z916" s="678"/>
      <c r="AA916" s="678"/>
      <c r="AB916" s="679" t="s">
        <v>159</v>
      </c>
      <c r="AC916" s="679"/>
      <c r="AD916" s="679"/>
      <c r="AE916" s="679"/>
      <c r="AF916" s="680"/>
      <c r="AG916" s="681"/>
      <c r="AH916" s="680"/>
      <c r="AI916" s="681"/>
      <c r="AJ916" s="682"/>
      <c r="AK916" s="683"/>
      <c r="AL916" s="684" t="s">
        <v>162</v>
      </c>
      <c r="AM916" s="685"/>
      <c r="AN916" s="666" t="s">
        <v>162</v>
      </c>
      <c r="AO916" s="667"/>
      <c r="AP916" s="686"/>
      <c r="AQ916" s="687"/>
      <c r="AR916" s="688"/>
      <c r="AS916" s="689"/>
      <c r="AT916" s="690"/>
      <c r="AU916" s="691"/>
      <c r="AV916" s="666" t="s">
        <v>162</v>
      </c>
      <c r="AW916" s="667"/>
      <c r="AX916" s="692"/>
      <c r="AY916" s="693"/>
      <c r="AZ916" s="694"/>
      <c r="BA916" s="682"/>
      <c r="BB916" s="683"/>
      <c r="BC916" s="14"/>
      <c r="BD916" s="695" t="s">
        <v>162</v>
      </c>
      <c r="BE916" s="696"/>
      <c r="BF916" s="697"/>
      <c r="BG916" s="698"/>
      <c r="BH916" s="698"/>
      <c r="BI916" s="699"/>
      <c r="BJ916" s="700" t="s">
        <v>159</v>
      </c>
      <c r="BK916" s="701"/>
      <c r="BL916" s="701"/>
      <c r="BM916" s="702"/>
      <c r="BN916" s="703" t="s">
        <v>159</v>
      </c>
      <c r="BO916" s="704"/>
      <c r="BP916" s="704"/>
      <c r="BQ916" s="704"/>
      <c r="BR916" s="704"/>
      <c r="BS916" s="704"/>
      <c r="BT916" s="704"/>
      <c r="BU916" s="704"/>
      <c r="BV916" s="705"/>
    </row>
    <row r="917" spans="1:74" ht="45" customHeight="1" x14ac:dyDescent="0.25">
      <c r="A917" s="10">
        <f t="shared" si="14"/>
        <v>903</v>
      </c>
      <c r="B917" s="711" t="s">
        <v>159</v>
      </c>
      <c r="C917" s="711"/>
      <c r="D917" s="712" t="s">
        <v>212</v>
      </c>
      <c r="E917" s="712"/>
      <c r="F917" s="664" t="s">
        <v>162</v>
      </c>
      <c r="G917" s="665"/>
      <c r="H917" s="755" t="s">
        <v>162</v>
      </c>
      <c r="I917" s="667"/>
      <c r="J917" s="706"/>
      <c r="K917" s="707"/>
      <c r="L917" s="706"/>
      <c r="M917" s="707"/>
      <c r="N917" s="194"/>
      <c r="O917" s="216"/>
      <c r="P917" s="717"/>
      <c r="Q917" s="718"/>
      <c r="R917" s="719"/>
      <c r="S917" s="720"/>
      <c r="T917" s="721"/>
      <c r="U917" s="722"/>
      <c r="V917" s="723"/>
      <c r="W917" s="724"/>
      <c r="X917" s="725" t="s">
        <v>159</v>
      </c>
      <c r="Y917" s="725"/>
      <c r="Z917" s="725"/>
      <c r="AA917" s="725"/>
      <c r="AB917" s="726" t="s">
        <v>159</v>
      </c>
      <c r="AC917" s="726"/>
      <c r="AD917" s="726"/>
      <c r="AE917" s="726"/>
      <c r="AF917" s="727"/>
      <c r="AG917" s="728"/>
      <c r="AH917" s="727"/>
      <c r="AI917" s="728"/>
      <c r="AJ917" s="682"/>
      <c r="AK917" s="683"/>
      <c r="AL917" s="664" t="s">
        <v>162</v>
      </c>
      <c r="AM917" s="665"/>
      <c r="AN917" s="713" t="s">
        <v>162</v>
      </c>
      <c r="AO917" s="714"/>
      <c r="AP917" s="729"/>
      <c r="AQ917" s="730"/>
      <c r="AR917" s="731"/>
      <c r="AS917" s="732"/>
      <c r="AT917" s="733"/>
      <c r="AU917" s="734"/>
      <c r="AV917" s="713" t="s">
        <v>162</v>
      </c>
      <c r="AW917" s="714"/>
      <c r="AX917" s="692"/>
      <c r="AY917" s="693"/>
      <c r="AZ917" s="694"/>
      <c r="BA917" s="735"/>
      <c r="BB917" s="736"/>
      <c r="BC917" s="219"/>
      <c r="BD917" s="737" t="s">
        <v>162</v>
      </c>
      <c r="BE917" s="738"/>
      <c r="BF917" s="739"/>
      <c r="BG917" s="740"/>
      <c r="BH917" s="740"/>
      <c r="BI917" s="741"/>
      <c r="BJ917" s="742" t="s">
        <v>159</v>
      </c>
      <c r="BK917" s="743"/>
      <c r="BL917" s="743"/>
      <c r="BM917" s="744"/>
      <c r="BN917" s="703" t="s">
        <v>159</v>
      </c>
      <c r="BO917" s="704"/>
      <c r="BP917" s="704"/>
      <c r="BQ917" s="704"/>
      <c r="BR917" s="704"/>
      <c r="BS917" s="704"/>
      <c r="BT917" s="704"/>
      <c r="BU917" s="704"/>
      <c r="BV917" s="705"/>
    </row>
    <row r="918" spans="1:74" ht="45" customHeight="1" x14ac:dyDescent="0.25">
      <c r="A918" s="10">
        <f t="shared" si="14"/>
        <v>904</v>
      </c>
      <c r="B918" s="662" t="s">
        <v>159</v>
      </c>
      <c r="C918" s="662"/>
      <c r="D918" s="663" t="s">
        <v>212</v>
      </c>
      <c r="E918" s="663"/>
      <c r="F918" s="664" t="s">
        <v>162</v>
      </c>
      <c r="G918" s="665"/>
      <c r="H918" s="754" t="s">
        <v>162</v>
      </c>
      <c r="I918" s="714"/>
      <c r="J918" s="715"/>
      <c r="K918" s="716"/>
      <c r="L918" s="715"/>
      <c r="M918" s="716"/>
      <c r="N918" s="215"/>
      <c r="O918" s="196"/>
      <c r="P918" s="670"/>
      <c r="Q918" s="671"/>
      <c r="R918" s="672"/>
      <c r="S918" s="673"/>
      <c r="T918" s="674"/>
      <c r="U918" s="675"/>
      <c r="V918" s="676"/>
      <c r="W918" s="677"/>
      <c r="X918" s="678" t="s">
        <v>159</v>
      </c>
      <c r="Y918" s="678"/>
      <c r="Z918" s="678"/>
      <c r="AA918" s="678"/>
      <c r="AB918" s="679" t="s">
        <v>159</v>
      </c>
      <c r="AC918" s="679"/>
      <c r="AD918" s="679"/>
      <c r="AE918" s="679"/>
      <c r="AF918" s="680"/>
      <c r="AG918" s="681"/>
      <c r="AH918" s="680"/>
      <c r="AI918" s="681"/>
      <c r="AJ918" s="682"/>
      <c r="AK918" s="683"/>
      <c r="AL918" s="684" t="s">
        <v>162</v>
      </c>
      <c r="AM918" s="685"/>
      <c r="AN918" s="666" t="s">
        <v>162</v>
      </c>
      <c r="AO918" s="667"/>
      <c r="AP918" s="686"/>
      <c r="AQ918" s="687"/>
      <c r="AR918" s="688"/>
      <c r="AS918" s="689"/>
      <c r="AT918" s="690"/>
      <c r="AU918" s="691"/>
      <c r="AV918" s="666" t="s">
        <v>162</v>
      </c>
      <c r="AW918" s="667"/>
      <c r="AX918" s="692"/>
      <c r="AY918" s="693"/>
      <c r="AZ918" s="694"/>
      <c r="BA918" s="682"/>
      <c r="BB918" s="683"/>
      <c r="BC918" s="14"/>
      <c r="BD918" s="695" t="s">
        <v>162</v>
      </c>
      <c r="BE918" s="696"/>
      <c r="BF918" s="697"/>
      <c r="BG918" s="698"/>
      <c r="BH918" s="698"/>
      <c r="BI918" s="699"/>
      <c r="BJ918" s="700" t="s">
        <v>159</v>
      </c>
      <c r="BK918" s="701"/>
      <c r="BL918" s="701"/>
      <c r="BM918" s="702"/>
      <c r="BN918" s="703" t="s">
        <v>159</v>
      </c>
      <c r="BO918" s="704"/>
      <c r="BP918" s="704"/>
      <c r="BQ918" s="704"/>
      <c r="BR918" s="704"/>
      <c r="BS918" s="704"/>
      <c r="BT918" s="704"/>
      <c r="BU918" s="704"/>
      <c r="BV918" s="705"/>
    </row>
    <row r="919" spans="1:74" ht="45" customHeight="1" x14ac:dyDescent="0.25">
      <c r="A919" s="10">
        <f t="shared" si="14"/>
        <v>905</v>
      </c>
      <c r="B919" s="711" t="s">
        <v>159</v>
      </c>
      <c r="C919" s="711"/>
      <c r="D919" s="712" t="s">
        <v>212</v>
      </c>
      <c r="E919" s="712"/>
      <c r="F919" s="664" t="s">
        <v>162</v>
      </c>
      <c r="G919" s="665"/>
      <c r="H919" s="755" t="s">
        <v>162</v>
      </c>
      <c r="I919" s="667"/>
      <c r="J919" s="706"/>
      <c r="K919" s="707"/>
      <c r="L919" s="706"/>
      <c r="M919" s="707"/>
      <c r="N919" s="194"/>
      <c r="O919" s="216"/>
      <c r="P919" s="717"/>
      <c r="Q919" s="718"/>
      <c r="R919" s="719"/>
      <c r="S919" s="720"/>
      <c r="T919" s="721"/>
      <c r="U919" s="722"/>
      <c r="V919" s="723"/>
      <c r="W919" s="724"/>
      <c r="X919" s="725" t="s">
        <v>159</v>
      </c>
      <c r="Y919" s="725"/>
      <c r="Z919" s="725"/>
      <c r="AA919" s="725"/>
      <c r="AB919" s="726" t="s">
        <v>159</v>
      </c>
      <c r="AC919" s="726"/>
      <c r="AD919" s="726"/>
      <c r="AE919" s="726"/>
      <c r="AF919" s="727"/>
      <c r="AG919" s="728"/>
      <c r="AH919" s="727"/>
      <c r="AI919" s="728"/>
      <c r="AJ919" s="682"/>
      <c r="AK919" s="683"/>
      <c r="AL919" s="664" t="s">
        <v>162</v>
      </c>
      <c r="AM919" s="665"/>
      <c r="AN919" s="713" t="s">
        <v>162</v>
      </c>
      <c r="AO919" s="714"/>
      <c r="AP919" s="729"/>
      <c r="AQ919" s="730"/>
      <c r="AR919" s="731"/>
      <c r="AS919" s="732"/>
      <c r="AT919" s="733"/>
      <c r="AU919" s="734"/>
      <c r="AV919" s="713" t="s">
        <v>162</v>
      </c>
      <c r="AW919" s="714"/>
      <c r="AX919" s="692"/>
      <c r="AY919" s="693"/>
      <c r="AZ919" s="694"/>
      <c r="BA919" s="735"/>
      <c r="BB919" s="736"/>
      <c r="BC919" s="219"/>
      <c r="BD919" s="737" t="s">
        <v>162</v>
      </c>
      <c r="BE919" s="738"/>
      <c r="BF919" s="739"/>
      <c r="BG919" s="740"/>
      <c r="BH919" s="740"/>
      <c r="BI919" s="741"/>
      <c r="BJ919" s="742" t="s">
        <v>159</v>
      </c>
      <c r="BK919" s="743"/>
      <c r="BL919" s="743"/>
      <c r="BM919" s="744"/>
      <c r="BN919" s="703" t="s">
        <v>159</v>
      </c>
      <c r="BO919" s="704"/>
      <c r="BP919" s="704"/>
      <c r="BQ919" s="704"/>
      <c r="BR919" s="704"/>
      <c r="BS919" s="704"/>
      <c r="BT919" s="704"/>
      <c r="BU919" s="704"/>
      <c r="BV919" s="705"/>
    </row>
    <row r="920" spans="1:74" ht="45" customHeight="1" x14ac:dyDescent="0.25">
      <c r="A920" s="10">
        <f t="shared" si="14"/>
        <v>906</v>
      </c>
      <c r="B920" s="662" t="s">
        <v>159</v>
      </c>
      <c r="C920" s="662"/>
      <c r="D920" s="663" t="s">
        <v>212</v>
      </c>
      <c r="E920" s="663"/>
      <c r="F920" s="664" t="s">
        <v>162</v>
      </c>
      <c r="G920" s="665"/>
      <c r="H920" s="754" t="s">
        <v>162</v>
      </c>
      <c r="I920" s="714"/>
      <c r="J920" s="715"/>
      <c r="K920" s="716"/>
      <c r="L920" s="715"/>
      <c r="M920" s="716"/>
      <c r="N920" s="215"/>
      <c r="O920" s="196"/>
      <c r="P920" s="670"/>
      <c r="Q920" s="671"/>
      <c r="R920" s="672"/>
      <c r="S920" s="673"/>
      <c r="T920" s="674"/>
      <c r="U920" s="675"/>
      <c r="V920" s="676"/>
      <c r="W920" s="677"/>
      <c r="X920" s="678" t="s">
        <v>159</v>
      </c>
      <c r="Y920" s="678"/>
      <c r="Z920" s="678"/>
      <c r="AA920" s="678"/>
      <c r="AB920" s="679" t="s">
        <v>159</v>
      </c>
      <c r="AC920" s="679"/>
      <c r="AD920" s="679"/>
      <c r="AE920" s="679"/>
      <c r="AF920" s="680"/>
      <c r="AG920" s="681"/>
      <c r="AH920" s="680"/>
      <c r="AI920" s="681"/>
      <c r="AJ920" s="682"/>
      <c r="AK920" s="683"/>
      <c r="AL920" s="684" t="s">
        <v>162</v>
      </c>
      <c r="AM920" s="685"/>
      <c r="AN920" s="666" t="s">
        <v>162</v>
      </c>
      <c r="AO920" s="667"/>
      <c r="AP920" s="686"/>
      <c r="AQ920" s="687"/>
      <c r="AR920" s="688"/>
      <c r="AS920" s="689"/>
      <c r="AT920" s="690"/>
      <c r="AU920" s="691"/>
      <c r="AV920" s="666" t="s">
        <v>162</v>
      </c>
      <c r="AW920" s="667"/>
      <c r="AX920" s="692"/>
      <c r="AY920" s="693"/>
      <c r="AZ920" s="694"/>
      <c r="BA920" s="682"/>
      <c r="BB920" s="683"/>
      <c r="BC920" s="14"/>
      <c r="BD920" s="695" t="s">
        <v>162</v>
      </c>
      <c r="BE920" s="696"/>
      <c r="BF920" s="708"/>
      <c r="BG920" s="709"/>
      <c r="BH920" s="709"/>
      <c r="BI920" s="710"/>
      <c r="BJ920" s="700" t="s">
        <v>159</v>
      </c>
      <c r="BK920" s="701"/>
      <c r="BL920" s="701"/>
      <c r="BM920" s="702"/>
      <c r="BN920" s="703" t="s">
        <v>159</v>
      </c>
      <c r="BO920" s="704"/>
      <c r="BP920" s="704"/>
      <c r="BQ920" s="704"/>
      <c r="BR920" s="704"/>
      <c r="BS920" s="704"/>
      <c r="BT920" s="704"/>
      <c r="BU920" s="704"/>
      <c r="BV920" s="705"/>
    </row>
    <row r="921" spans="1:74" ht="45" customHeight="1" x14ac:dyDescent="0.25">
      <c r="A921" s="10">
        <f t="shared" si="14"/>
        <v>907</v>
      </c>
      <c r="B921" s="711" t="s">
        <v>159</v>
      </c>
      <c r="C921" s="711"/>
      <c r="D921" s="712" t="s">
        <v>212</v>
      </c>
      <c r="E921" s="712"/>
      <c r="F921" s="664" t="s">
        <v>162</v>
      </c>
      <c r="G921" s="665"/>
      <c r="H921" s="755" t="s">
        <v>162</v>
      </c>
      <c r="I921" s="667"/>
      <c r="J921" s="706"/>
      <c r="K921" s="707"/>
      <c r="L921" s="706"/>
      <c r="M921" s="707"/>
      <c r="N921" s="194"/>
      <c r="O921" s="216"/>
      <c r="P921" s="717"/>
      <c r="Q921" s="718"/>
      <c r="R921" s="719"/>
      <c r="S921" s="720"/>
      <c r="T921" s="721"/>
      <c r="U921" s="722"/>
      <c r="V921" s="723"/>
      <c r="W921" s="724"/>
      <c r="X921" s="725" t="s">
        <v>159</v>
      </c>
      <c r="Y921" s="725"/>
      <c r="Z921" s="725"/>
      <c r="AA921" s="725"/>
      <c r="AB921" s="726" t="s">
        <v>159</v>
      </c>
      <c r="AC921" s="726"/>
      <c r="AD921" s="726"/>
      <c r="AE921" s="726"/>
      <c r="AF921" s="727"/>
      <c r="AG921" s="728"/>
      <c r="AH921" s="727"/>
      <c r="AI921" s="728"/>
      <c r="AJ921" s="682"/>
      <c r="AK921" s="683"/>
      <c r="AL921" s="664" t="s">
        <v>162</v>
      </c>
      <c r="AM921" s="665"/>
      <c r="AN921" s="713" t="s">
        <v>162</v>
      </c>
      <c r="AO921" s="714"/>
      <c r="AP921" s="729"/>
      <c r="AQ921" s="730"/>
      <c r="AR921" s="731"/>
      <c r="AS921" s="732"/>
      <c r="AT921" s="733"/>
      <c r="AU921" s="734"/>
      <c r="AV921" s="713" t="s">
        <v>162</v>
      </c>
      <c r="AW921" s="714"/>
      <c r="AX921" s="692"/>
      <c r="AY921" s="693"/>
      <c r="AZ921" s="694"/>
      <c r="BA921" s="735"/>
      <c r="BB921" s="736"/>
      <c r="BC921" s="219"/>
      <c r="BD921" s="737" t="s">
        <v>162</v>
      </c>
      <c r="BE921" s="738"/>
      <c r="BF921" s="739"/>
      <c r="BG921" s="740"/>
      <c r="BH921" s="740"/>
      <c r="BI921" s="741"/>
      <c r="BJ921" s="742" t="s">
        <v>159</v>
      </c>
      <c r="BK921" s="743"/>
      <c r="BL921" s="743"/>
      <c r="BM921" s="744"/>
      <c r="BN921" s="703" t="s">
        <v>159</v>
      </c>
      <c r="BO921" s="704"/>
      <c r="BP921" s="704"/>
      <c r="BQ921" s="704"/>
      <c r="BR921" s="704"/>
      <c r="BS921" s="704"/>
      <c r="BT921" s="704"/>
      <c r="BU921" s="704"/>
      <c r="BV921" s="705"/>
    </row>
    <row r="922" spans="1:74" ht="45" customHeight="1" x14ac:dyDescent="0.25">
      <c r="A922" s="10">
        <f t="shared" si="14"/>
        <v>908</v>
      </c>
      <c r="B922" s="662" t="s">
        <v>159</v>
      </c>
      <c r="C922" s="662"/>
      <c r="D922" s="663" t="s">
        <v>212</v>
      </c>
      <c r="E922" s="663"/>
      <c r="F922" s="664" t="s">
        <v>162</v>
      </c>
      <c r="G922" s="665"/>
      <c r="H922" s="754" t="s">
        <v>162</v>
      </c>
      <c r="I922" s="714"/>
      <c r="J922" s="715"/>
      <c r="K922" s="716"/>
      <c r="L922" s="715"/>
      <c r="M922" s="716"/>
      <c r="N922" s="194"/>
      <c r="O922" s="196"/>
      <c r="P922" s="717"/>
      <c r="Q922" s="718"/>
      <c r="R922" s="672"/>
      <c r="S922" s="673"/>
      <c r="T922" s="674"/>
      <c r="U922" s="675"/>
      <c r="V922" s="676"/>
      <c r="W922" s="677"/>
      <c r="X922" s="678" t="s">
        <v>159</v>
      </c>
      <c r="Y922" s="678"/>
      <c r="Z922" s="678"/>
      <c r="AA922" s="678"/>
      <c r="AB922" s="679" t="s">
        <v>159</v>
      </c>
      <c r="AC922" s="679"/>
      <c r="AD922" s="679"/>
      <c r="AE922" s="679"/>
      <c r="AF922" s="680"/>
      <c r="AG922" s="681"/>
      <c r="AH922" s="680"/>
      <c r="AI922" s="681"/>
      <c r="AJ922" s="682"/>
      <c r="AK922" s="683"/>
      <c r="AL922" s="684" t="s">
        <v>162</v>
      </c>
      <c r="AM922" s="685"/>
      <c r="AN922" s="666" t="s">
        <v>162</v>
      </c>
      <c r="AO922" s="667"/>
      <c r="AP922" s="686"/>
      <c r="AQ922" s="687"/>
      <c r="AR922" s="688"/>
      <c r="AS922" s="689"/>
      <c r="AT922" s="690"/>
      <c r="AU922" s="691"/>
      <c r="AV922" s="666" t="s">
        <v>162</v>
      </c>
      <c r="AW922" s="667"/>
      <c r="AX922" s="692"/>
      <c r="AY922" s="693"/>
      <c r="AZ922" s="694"/>
      <c r="BA922" s="682"/>
      <c r="BB922" s="683"/>
      <c r="BC922" s="14"/>
      <c r="BD922" s="695" t="s">
        <v>162</v>
      </c>
      <c r="BE922" s="696"/>
      <c r="BF922" s="708"/>
      <c r="BG922" s="709"/>
      <c r="BH922" s="709"/>
      <c r="BI922" s="710"/>
      <c r="BJ922" s="700" t="s">
        <v>159</v>
      </c>
      <c r="BK922" s="701"/>
      <c r="BL922" s="701"/>
      <c r="BM922" s="702"/>
      <c r="BN922" s="703" t="s">
        <v>159</v>
      </c>
      <c r="BO922" s="704"/>
      <c r="BP922" s="704"/>
      <c r="BQ922" s="704"/>
      <c r="BR922" s="704"/>
      <c r="BS922" s="704"/>
      <c r="BT922" s="704"/>
      <c r="BU922" s="704"/>
      <c r="BV922" s="705"/>
    </row>
    <row r="923" spans="1:74" ht="45" customHeight="1" x14ac:dyDescent="0.25">
      <c r="A923" s="10">
        <f t="shared" si="14"/>
        <v>909</v>
      </c>
      <c r="B923" s="711" t="s">
        <v>159</v>
      </c>
      <c r="C923" s="711"/>
      <c r="D923" s="712" t="s">
        <v>212</v>
      </c>
      <c r="E923" s="712"/>
      <c r="F923" s="664" t="s">
        <v>162</v>
      </c>
      <c r="G923" s="665"/>
      <c r="H923" s="755" t="s">
        <v>162</v>
      </c>
      <c r="I923" s="667"/>
      <c r="J923" s="706"/>
      <c r="K923" s="707"/>
      <c r="L923" s="706"/>
      <c r="M923" s="707"/>
      <c r="N923" s="215"/>
      <c r="O923" s="216"/>
      <c r="P923" s="670"/>
      <c r="Q923" s="671"/>
      <c r="R923" s="719"/>
      <c r="S923" s="720"/>
      <c r="T923" s="721"/>
      <c r="U923" s="722"/>
      <c r="V923" s="723"/>
      <c r="W923" s="724"/>
      <c r="X923" s="725" t="s">
        <v>159</v>
      </c>
      <c r="Y923" s="725"/>
      <c r="Z923" s="725"/>
      <c r="AA923" s="725"/>
      <c r="AB923" s="726" t="s">
        <v>159</v>
      </c>
      <c r="AC923" s="726"/>
      <c r="AD923" s="726"/>
      <c r="AE923" s="726"/>
      <c r="AF923" s="727"/>
      <c r="AG923" s="728"/>
      <c r="AH923" s="727"/>
      <c r="AI923" s="728"/>
      <c r="AJ923" s="682"/>
      <c r="AK923" s="683"/>
      <c r="AL923" s="664" t="s">
        <v>162</v>
      </c>
      <c r="AM923" s="665"/>
      <c r="AN923" s="713" t="s">
        <v>162</v>
      </c>
      <c r="AO923" s="714"/>
      <c r="AP923" s="729"/>
      <c r="AQ923" s="730"/>
      <c r="AR923" s="731"/>
      <c r="AS923" s="732"/>
      <c r="AT923" s="690"/>
      <c r="AU923" s="691"/>
      <c r="AV923" s="713" t="s">
        <v>162</v>
      </c>
      <c r="AW923" s="714"/>
      <c r="AX923" s="692"/>
      <c r="AY923" s="693"/>
      <c r="AZ923" s="694"/>
      <c r="BA923" s="735"/>
      <c r="BB923" s="736"/>
      <c r="BC923" s="219"/>
      <c r="BD923" s="737" t="s">
        <v>162</v>
      </c>
      <c r="BE923" s="738"/>
      <c r="BF923" s="739"/>
      <c r="BG923" s="740"/>
      <c r="BH923" s="740"/>
      <c r="BI923" s="741"/>
      <c r="BJ923" s="742" t="s">
        <v>159</v>
      </c>
      <c r="BK923" s="743"/>
      <c r="BL923" s="743"/>
      <c r="BM923" s="744"/>
      <c r="BN923" s="703" t="s">
        <v>159</v>
      </c>
      <c r="BO923" s="704"/>
      <c r="BP923" s="704"/>
      <c r="BQ923" s="704"/>
      <c r="BR923" s="704"/>
      <c r="BS923" s="704"/>
      <c r="BT923" s="704"/>
      <c r="BU923" s="704"/>
      <c r="BV923" s="705"/>
    </row>
    <row r="924" spans="1:74" ht="45" customHeight="1" x14ac:dyDescent="0.25">
      <c r="A924" s="10">
        <f t="shared" si="14"/>
        <v>910</v>
      </c>
      <c r="B924" s="662" t="s">
        <v>159</v>
      </c>
      <c r="C924" s="662"/>
      <c r="D924" s="663" t="s">
        <v>212</v>
      </c>
      <c r="E924" s="663"/>
      <c r="F924" s="664" t="s">
        <v>162</v>
      </c>
      <c r="G924" s="665"/>
      <c r="H924" s="754" t="s">
        <v>162</v>
      </c>
      <c r="I924" s="714"/>
      <c r="J924" s="715"/>
      <c r="K924" s="716"/>
      <c r="L924" s="715"/>
      <c r="M924" s="716"/>
      <c r="N924" s="194"/>
      <c r="O924" s="196"/>
      <c r="P924" s="717"/>
      <c r="Q924" s="718"/>
      <c r="R924" s="672"/>
      <c r="S924" s="673"/>
      <c r="T924" s="674"/>
      <c r="U924" s="675"/>
      <c r="V924" s="676"/>
      <c r="W924" s="677"/>
      <c r="X924" s="678" t="s">
        <v>159</v>
      </c>
      <c r="Y924" s="678"/>
      <c r="Z924" s="678"/>
      <c r="AA924" s="678"/>
      <c r="AB924" s="679" t="s">
        <v>159</v>
      </c>
      <c r="AC924" s="679"/>
      <c r="AD924" s="679"/>
      <c r="AE924" s="679"/>
      <c r="AF924" s="680"/>
      <c r="AG924" s="681"/>
      <c r="AH924" s="680"/>
      <c r="AI924" s="681"/>
      <c r="AJ924" s="682"/>
      <c r="AK924" s="683"/>
      <c r="AL924" s="684" t="s">
        <v>162</v>
      </c>
      <c r="AM924" s="685"/>
      <c r="AN924" s="666" t="s">
        <v>162</v>
      </c>
      <c r="AO924" s="667"/>
      <c r="AP924" s="686"/>
      <c r="AQ924" s="687"/>
      <c r="AR924" s="688"/>
      <c r="AS924" s="689"/>
      <c r="AT924" s="690"/>
      <c r="AU924" s="691"/>
      <c r="AV924" s="666" t="s">
        <v>162</v>
      </c>
      <c r="AW924" s="667"/>
      <c r="AX924" s="692"/>
      <c r="AY924" s="693"/>
      <c r="AZ924" s="694"/>
      <c r="BA924" s="682"/>
      <c r="BB924" s="683"/>
      <c r="BC924" s="14"/>
      <c r="BD924" s="695" t="s">
        <v>162</v>
      </c>
      <c r="BE924" s="696"/>
      <c r="BF924" s="697"/>
      <c r="BG924" s="698"/>
      <c r="BH924" s="698"/>
      <c r="BI924" s="699"/>
      <c r="BJ924" s="700" t="s">
        <v>159</v>
      </c>
      <c r="BK924" s="701"/>
      <c r="BL924" s="701"/>
      <c r="BM924" s="702"/>
      <c r="BN924" s="703" t="s">
        <v>159</v>
      </c>
      <c r="BO924" s="704"/>
      <c r="BP924" s="704"/>
      <c r="BQ924" s="704"/>
      <c r="BR924" s="704"/>
      <c r="BS924" s="704"/>
      <c r="BT924" s="704"/>
      <c r="BU924" s="704"/>
      <c r="BV924" s="705"/>
    </row>
    <row r="925" spans="1:74" ht="45" customHeight="1" x14ac:dyDescent="0.25">
      <c r="A925" s="10">
        <f t="shared" si="14"/>
        <v>911</v>
      </c>
      <c r="B925" s="711" t="s">
        <v>159</v>
      </c>
      <c r="C925" s="711"/>
      <c r="D925" s="712" t="s">
        <v>212</v>
      </c>
      <c r="E925" s="712"/>
      <c r="F925" s="664" t="s">
        <v>162</v>
      </c>
      <c r="G925" s="665"/>
      <c r="H925" s="755" t="s">
        <v>162</v>
      </c>
      <c r="I925" s="667"/>
      <c r="J925" s="706"/>
      <c r="K925" s="707"/>
      <c r="L925" s="706"/>
      <c r="M925" s="707"/>
      <c r="N925" s="215"/>
      <c r="O925" s="216"/>
      <c r="P925" s="670"/>
      <c r="Q925" s="671"/>
      <c r="R925" s="719"/>
      <c r="S925" s="720"/>
      <c r="T925" s="721"/>
      <c r="U925" s="722"/>
      <c r="V925" s="723"/>
      <c r="W925" s="724"/>
      <c r="X925" s="725" t="s">
        <v>159</v>
      </c>
      <c r="Y925" s="725"/>
      <c r="Z925" s="725"/>
      <c r="AA925" s="725"/>
      <c r="AB925" s="726" t="s">
        <v>159</v>
      </c>
      <c r="AC925" s="726"/>
      <c r="AD925" s="726"/>
      <c r="AE925" s="726"/>
      <c r="AF925" s="727"/>
      <c r="AG925" s="728"/>
      <c r="AH925" s="727"/>
      <c r="AI925" s="728"/>
      <c r="AJ925" s="682"/>
      <c r="AK925" s="683"/>
      <c r="AL925" s="664" t="s">
        <v>162</v>
      </c>
      <c r="AM925" s="665"/>
      <c r="AN925" s="713" t="s">
        <v>162</v>
      </c>
      <c r="AO925" s="714"/>
      <c r="AP925" s="729"/>
      <c r="AQ925" s="730"/>
      <c r="AR925" s="731"/>
      <c r="AS925" s="732"/>
      <c r="AT925" s="690"/>
      <c r="AU925" s="691"/>
      <c r="AV925" s="713" t="s">
        <v>162</v>
      </c>
      <c r="AW925" s="714"/>
      <c r="AX925" s="692"/>
      <c r="AY925" s="693"/>
      <c r="AZ925" s="694"/>
      <c r="BA925" s="735"/>
      <c r="BB925" s="736"/>
      <c r="BC925" s="219"/>
      <c r="BD925" s="737" t="s">
        <v>162</v>
      </c>
      <c r="BE925" s="738"/>
      <c r="BF925" s="739"/>
      <c r="BG925" s="740"/>
      <c r="BH925" s="740"/>
      <c r="BI925" s="741"/>
      <c r="BJ925" s="742" t="s">
        <v>159</v>
      </c>
      <c r="BK925" s="743"/>
      <c r="BL925" s="743"/>
      <c r="BM925" s="744"/>
      <c r="BN925" s="703" t="s">
        <v>159</v>
      </c>
      <c r="BO925" s="704"/>
      <c r="BP925" s="704"/>
      <c r="BQ925" s="704"/>
      <c r="BR925" s="704"/>
      <c r="BS925" s="704"/>
      <c r="BT925" s="704"/>
      <c r="BU925" s="704"/>
      <c r="BV925" s="705"/>
    </row>
    <row r="926" spans="1:74" ht="45" customHeight="1" x14ac:dyDescent="0.25">
      <c r="A926" s="10">
        <f t="shared" si="14"/>
        <v>912</v>
      </c>
      <c r="B926" s="662" t="s">
        <v>159</v>
      </c>
      <c r="C926" s="662"/>
      <c r="D926" s="663" t="s">
        <v>212</v>
      </c>
      <c r="E926" s="663"/>
      <c r="F926" s="664" t="s">
        <v>162</v>
      </c>
      <c r="G926" s="665"/>
      <c r="H926" s="754" t="s">
        <v>162</v>
      </c>
      <c r="I926" s="714"/>
      <c r="J926" s="715"/>
      <c r="K926" s="716"/>
      <c r="L926" s="715"/>
      <c r="M926" s="716"/>
      <c r="N926" s="194"/>
      <c r="O926" s="196"/>
      <c r="P926" s="717"/>
      <c r="Q926" s="718"/>
      <c r="R926" s="672"/>
      <c r="S926" s="673"/>
      <c r="T926" s="674"/>
      <c r="U926" s="675"/>
      <c r="V926" s="676"/>
      <c r="W926" s="677"/>
      <c r="X926" s="678" t="s">
        <v>159</v>
      </c>
      <c r="Y926" s="678"/>
      <c r="Z926" s="678"/>
      <c r="AA926" s="678"/>
      <c r="AB926" s="679" t="s">
        <v>159</v>
      </c>
      <c r="AC926" s="679"/>
      <c r="AD926" s="679"/>
      <c r="AE926" s="679"/>
      <c r="AF926" s="680"/>
      <c r="AG926" s="681"/>
      <c r="AH926" s="680"/>
      <c r="AI926" s="681"/>
      <c r="AJ926" s="682"/>
      <c r="AK926" s="683"/>
      <c r="AL926" s="684" t="s">
        <v>162</v>
      </c>
      <c r="AM926" s="685"/>
      <c r="AN926" s="666" t="s">
        <v>162</v>
      </c>
      <c r="AO926" s="667"/>
      <c r="AP926" s="686"/>
      <c r="AQ926" s="687"/>
      <c r="AR926" s="688"/>
      <c r="AS926" s="689"/>
      <c r="AT926" s="690"/>
      <c r="AU926" s="691"/>
      <c r="AV926" s="666" t="s">
        <v>162</v>
      </c>
      <c r="AW926" s="667"/>
      <c r="AX926" s="692"/>
      <c r="AY926" s="693"/>
      <c r="AZ926" s="694"/>
      <c r="BA926" s="682"/>
      <c r="BB926" s="683"/>
      <c r="BC926" s="14"/>
      <c r="BD926" s="695" t="s">
        <v>162</v>
      </c>
      <c r="BE926" s="696"/>
      <c r="BF926" s="697"/>
      <c r="BG926" s="698"/>
      <c r="BH926" s="698"/>
      <c r="BI926" s="699"/>
      <c r="BJ926" s="700" t="s">
        <v>159</v>
      </c>
      <c r="BK926" s="701"/>
      <c r="BL926" s="701"/>
      <c r="BM926" s="702"/>
      <c r="BN926" s="703" t="s">
        <v>159</v>
      </c>
      <c r="BO926" s="704"/>
      <c r="BP926" s="704"/>
      <c r="BQ926" s="704"/>
      <c r="BR926" s="704"/>
      <c r="BS926" s="704"/>
      <c r="BT926" s="704"/>
      <c r="BU926" s="704"/>
      <c r="BV926" s="705"/>
    </row>
    <row r="927" spans="1:74" ht="45" customHeight="1" x14ac:dyDescent="0.25">
      <c r="A927" s="10">
        <f t="shared" si="14"/>
        <v>913</v>
      </c>
      <c r="B927" s="711" t="s">
        <v>159</v>
      </c>
      <c r="C927" s="711"/>
      <c r="D927" s="712" t="s">
        <v>212</v>
      </c>
      <c r="E927" s="712"/>
      <c r="F927" s="664" t="s">
        <v>162</v>
      </c>
      <c r="G927" s="665"/>
      <c r="H927" s="755" t="s">
        <v>162</v>
      </c>
      <c r="I927" s="667"/>
      <c r="J927" s="706"/>
      <c r="K927" s="707"/>
      <c r="L927" s="706"/>
      <c r="M927" s="707"/>
      <c r="N927" s="215"/>
      <c r="O927" s="216"/>
      <c r="P927" s="670"/>
      <c r="Q927" s="671"/>
      <c r="R927" s="719"/>
      <c r="S927" s="720"/>
      <c r="T927" s="721"/>
      <c r="U927" s="722"/>
      <c r="V927" s="723"/>
      <c r="W927" s="724"/>
      <c r="X927" s="725" t="s">
        <v>159</v>
      </c>
      <c r="Y927" s="725"/>
      <c r="Z927" s="725"/>
      <c r="AA927" s="725"/>
      <c r="AB927" s="726" t="s">
        <v>159</v>
      </c>
      <c r="AC927" s="726"/>
      <c r="AD927" s="726"/>
      <c r="AE927" s="726"/>
      <c r="AF927" s="727"/>
      <c r="AG927" s="728"/>
      <c r="AH927" s="727"/>
      <c r="AI927" s="728"/>
      <c r="AJ927" s="682"/>
      <c r="AK927" s="683"/>
      <c r="AL927" s="664" t="s">
        <v>162</v>
      </c>
      <c r="AM927" s="665"/>
      <c r="AN927" s="713" t="s">
        <v>162</v>
      </c>
      <c r="AO927" s="714"/>
      <c r="AP927" s="729"/>
      <c r="AQ927" s="730"/>
      <c r="AR927" s="731"/>
      <c r="AS927" s="732"/>
      <c r="AT927" s="733"/>
      <c r="AU927" s="734"/>
      <c r="AV927" s="713" t="s">
        <v>162</v>
      </c>
      <c r="AW927" s="714"/>
      <c r="AX927" s="692"/>
      <c r="AY927" s="693"/>
      <c r="AZ927" s="694"/>
      <c r="BA927" s="735"/>
      <c r="BB927" s="736"/>
      <c r="BC927" s="219"/>
      <c r="BD927" s="737" t="s">
        <v>162</v>
      </c>
      <c r="BE927" s="738"/>
      <c r="BF927" s="739"/>
      <c r="BG927" s="740"/>
      <c r="BH927" s="740"/>
      <c r="BI927" s="741"/>
      <c r="BJ927" s="742" t="s">
        <v>159</v>
      </c>
      <c r="BK927" s="743"/>
      <c r="BL927" s="743"/>
      <c r="BM927" s="744"/>
      <c r="BN927" s="703" t="s">
        <v>159</v>
      </c>
      <c r="BO927" s="704"/>
      <c r="BP927" s="704"/>
      <c r="BQ927" s="704"/>
      <c r="BR927" s="704"/>
      <c r="BS927" s="704"/>
      <c r="BT927" s="704"/>
      <c r="BU927" s="704"/>
      <c r="BV927" s="705"/>
    </row>
    <row r="928" spans="1:74" ht="45" customHeight="1" x14ac:dyDescent="0.25">
      <c r="A928" s="10">
        <f t="shared" si="14"/>
        <v>914</v>
      </c>
      <c r="B928" s="662" t="s">
        <v>159</v>
      </c>
      <c r="C928" s="662"/>
      <c r="D928" s="663" t="s">
        <v>212</v>
      </c>
      <c r="E928" s="663"/>
      <c r="F928" s="664" t="s">
        <v>162</v>
      </c>
      <c r="G928" s="665"/>
      <c r="H928" s="754" t="s">
        <v>162</v>
      </c>
      <c r="I928" s="714"/>
      <c r="J928" s="715"/>
      <c r="K928" s="716"/>
      <c r="L928" s="715"/>
      <c r="M928" s="716"/>
      <c r="N928" s="194"/>
      <c r="O928" s="196"/>
      <c r="P928" s="717"/>
      <c r="Q928" s="718"/>
      <c r="R928" s="672"/>
      <c r="S928" s="673"/>
      <c r="T928" s="674"/>
      <c r="U928" s="675"/>
      <c r="V928" s="676"/>
      <c r="W928" s="677"/>
      <c r="X928" s="678" t="s">
        <v>159</v>
      </c>
      <c r="Y928" s="678"/>
      <c r="Z928" s="678"/>
      <c r="AA928" s="678"/>
      <c r="AB928" s="679" t="s">
        <v>159</v>
      </c>
      <c r="AC928" s="679"/>
      <c r="AD928" s="679"/>
      <c r="AE928" s="679"/>
      <c r="AF928" s="680"/>
      <c r="AG928" s="681"/>
      <c r="AH928" s="680"/>
      <c r="AI928" s="681"/>
      <c r="AJ928" s="682"/>
      <c r="AK928" s="683"/>
      <c r="AL928" s="684" t="s">
        <v>162</v>
      </c>
      <c r="AM928" s="685"/>
      <c r="AN928" s="666" t="s">
        <v>162</v>
      </c>
      <c r="AO928" s="667"/>
      <c r="AP928" s="686"/>
      <c r="AQ928" s="687"/>
      <c r="AR928" s="688"/>
      <c r="AS928" s="689"/>
      <c r="AT928" s="690"/>
      <c r="AU928" s="691"/>
      <c r="AV928" s="666" t="s">
        <v>162</v>
      </c>
      <c r="AW928" s="667"/>
      <c r="AX928" s="692"/>
      <c r="AY928" s="693"/>
      <c r="AZ928" s="694"/>
      <c r="BA928" s="682"/>
      <c r="BB928" s="683"/>
      <c r="BC928" s="14"/>
      <c r="BD928" s="695" t="s">
        <v>162</v>
      </c>
      <c r="BE928" s="696"/>
      <c r="BF928" s="708"/>
      <c r="BG928" s="709"/>
      <c r="BH928" s="709"/>
      <c r="BI928" s="710"/>
      <c r="BJ928" s="700" t="s">
        <v>159</v>
      </c>
      <c r="BK928" s="701"/>
      <c r="BL928" s="701"/>
      <c r="BM928" s="702"/>
      <c r="BN928" s="703" t="s">
        <v>159</v>
      </c>
      <c r="BO928" s="704"/>
      <c r="BP928" s="704"/>
      <c r="BQ928" s="704"/>
      <c r="BR928" s="704"/>
      <c r="BS928" s="704"/>
      <c r="BT928" s="704"/>
      <c r="BU928" s="704"/>
      <c r="BV928" s="705"/>
    </row>
    <row r="929" spans="1:74" ht="45" customHeight="1" x14ac:dyDescent="0.25">
      <c r="A929" s="10">
        <f t="shared" si="14"/>
        <v>915</v>
      </c>
      <c r="B929" s="711" t="s">
        <v>159</v>
      </c>
      <c r="C929" s="711"/>
      <c r="D929" s="712" t="s">
        <v>212</v>
      </c>
      <c r="E929" s="712"/>
      <c r="F929" s="664" t="s">
        <v>162</v>
      </c>
      <c r="G929" s="665"/>
      <c r="H929" s="755" t="s">
        <v>162</v>
      </c>
      <c r="I929" s="667"/>
      <c r="J929" s="706"/>
      <c r="K929" s="707"/>
      <c r="L929" s="706"/>
      <c r="M929" s="707"/>
      <c r="N929" s="215"/>
      <c r="O929" s="216"/>
      <c r="P929" s="670"/>
      <c r="Q929" s="671"/>
      <c r="R929" s="719"/>
      <c r="S929" s="720"/>
      <c r="T929" s="721"/>
      <c r="U929" s="722"/>
      <c r="V929" s="723"/>
      <c r="W929" s="724"/>
      <c r="X929" s="725" t="s">
        <v>159</v>
      </c>
      <c r="Y929" s="725"/>
      <c r="Z929" s="725"/>
      <c r="AA929" s="725"/>
      <c r="AB929" s="726" t="s">
        <v>159</v>
      </c>
      <c r="AC929" s="726"/>
      <c r="AD929" s="726"/>
      <c r="AE929" s="726"/>
      <c r="AF929" s="727"/>
      <c r="AG929" s="728"/>
      <c r="AH929" s="727"/>
      <c r="AI929" s="728"/>
      <c r="AJ929" s="682"/>
      <c r="AK929" s="683"/>
      <c r="AL929" s="664" t="s">
        <v>162</v>
      </c>
      <c r="AM929" s="665"/>
      <c r="AN929" s="713" t="s">
        <v>162</v>
      </c>
      <c r="AO929" s="714"/>
      <c r="AP929" s="729"/>
      <c r="AQ929" s="730"/>
      <c r="AR929" s="731"/>
      <c r="AS929" s="732"/>
      <c r="AT929" s="733"/>
      <c r="AU929" s="734"/>
      <c r="AV929" s="713" t="s">
        <v>162</v>
      </c>
      <c r="AW929" s="714"/>
      <c r="AX929" s="692"/>
      <c r="AY929" s="693"/>
      <c r="AZ929" s="694"/>
      <c r="BA929" s="735"/>
      <c r="BB929" s="736"/>
      <c r="BC929" s="219"/>
      <c r="BD929" s="737" t="s">
        <v>162</v>
      </c>
      <c r="BE929" s="738"/>
      <c r="BF929" s="739"/>
      <c r="BG929" s="740"/>
      <c r="BH929" s="740"/>
      <c r="BI929" s="741"/>
      <c r="BJ929" s="742" t="s">
        <v>159</v>
      </c>
      <c r="BK929" s="743"/>
      <c r="BL929" s="743"/>
      <c r="BM929" s="744"/>
      <c r="BN929" s="703" t="s">
        <v>159</v>
      </c>
      <c r="BO929" s="704"/>
      <c r="BP929" s="704"/>
      <c r="BQ929" s="704"/>
      <c r="BR929" s="704"/>
      <c r="BS929" s="704"/>
      <c r="BT929" s="704"/>
      <c r="BU929" s="704"/>
      <c r="BV929" s="705"/>
    </row>
    <row r="930" spans="1:74" ht="45" customHeight="1" x14ac:dyDescent="0.25">
      <c r="A930" s="10">
        <f t="shared" si="14"/>
        <v>916</v>
      </c>
      <c r="B930" s="662" t="s">
        <v>159</v>
      </c>
      <c r="C930" s="662"/>
      <c r="D930" s="663" t="s">
        <v>212</v>
      </c>
      <c r="E930" s="663"/>
      <c r="F930" s="664" t="s">
        <v>162</v>
      </c>
      <c r="G930" s="665"/>
      <c r="H930" s="754" t="s">
        <v>162</v>
      </c>
      <c r="I930" s="714"/>
      <c r="J930" s="715"/>
      <c r="K930" s="716"/>
      <c r="L930" s="715"/>
      <c r="M930" s="716"/>
      <c r="N930" s="194"/>
      <c r="O930" s="196"/>
      <c r="P930" s="717"/>
      <c r="Q930" s="718"/>
      <c r="R930" s="672"/>
      <c r="S930" s="673"/>
      <c r="T930" s="674"/>
      <c r="U930" s="675"/>
      <c r="V930" s="676"/>
      <c r="W930" s="677"/>
      <c r="X930" s="678" t="s">
        <v>159</v>
      </c>
      <c r="Y930" s="678"/>
      <c r="Z930" s="678"/>
      <c r="AA930" s="678"/>
      <c r="AB930" s="679" t="s">
        <v>159</v>
      </c>
      <c r="AC930" s="679"/>
      <c r="AD930" s="679"/>
      <c r="AE930" s="679"/>
      <c r="AF930" s="680"/>
      <c r="AG930" s="681"/>
      <c r="AH930" s="680"/>
      <c r="AI930" s="681"/>
      <c r="AJ930" s="682"/>
      <c r="AK930" s="683"/>
      <c r="AL930" s="684" t="s">
        <v>162</v>
      </c>
      <c r="AM930" s="685"/>
      <c r="AN930" s="666" t="s">
        <v>162</v>
      </c>
      <c r="AO930" s="667"/>
      <c r="AP930" s="686"/>
      <c r="AQ930" s="687"/>
      <c r="AR930" s="688"/>
      <c r="AS930" s="689"/>
      <c r="AT930" s="690"/>
      <c r="AU930" s="691"/>
      <c r="AV930" s="666" t="s">
        <v>162</v>
      </c>
      <c r="AW930" s="667"/>
      <c r="AX930" s="692"/>
      <c r="AY930" s="693"/>
      <c r="AZ930" s="694"/>
      <c r="BA930" s="682"/>
      <c r="BB930" s="683"/>
      <c r="BC930" s="14"/>
      <c r="BD930" s="695" t="s">
        <v>162</v>
      </c>
      <c r="BE930" s="696"/>
      <c r="BF930" s="697"/>
      <c r="BG930" s="698"/>
      <c r="BH930" s="698"/>
      <c r="BI930" s="699"/>
      <c r="BJ930" s="700" t="s">
        <v>159</v>
      </c>
      <c r="BK930" s="701"/>
      <c r="BL930" s="701"/>
      <c r="BM930" s="702"/>
      <c r="BN930" s="703" t="s">
        <v>159</v>
      </c>
      <c r="BO930" s="704"/>
      <c r="BP930" s="704"/>
      <c r="BQ930" s="704"/>
      <c r="BR930" s="704"/>
      <c r="BS930" s="704"/>
      <c r="BT930" s="704"/>
      <c r="BU930" s="704"/>
      <c r="BV930" s="705"/>
    </row>
    <row r="931" spans="1:74" ht="45" customHeight="1" x14ac:dyDescent="0.25">
      <c r="A931" s="10">
        <f t="shared" si="14"/>
        <v>917</v>
      </c>
      <c r="B931" s="711" t="s">
        <v>159</v>
      </c>
      <c r="C931" s="711"/>
      <c r="D931" s="712" t="s">
        <v>212</v>
      </c>
      <c r="E931" s="712"/>
      <c r="F931" s="664" t="s">
        <v>162</v>
      </c>
      <c r="G931" s="665"/>
      <c r="H931" s="755" t="s">
        <v>162</v>
      </c>
      <c r="I931" s="667"/>
      <c r="J931" s="706"/>
      <c r="K931" s="707"/>
      <c r="L931" s="706"/>
      <c r="M931" s="707"/>
      <c r="N931" s="215"/>
      <c r="O931" s="216"/>
      <c r="P931" s="670"/>
      <c r="Q931" s="671"/>
      <c r="R931" s="719"/>
      <c r="S931" s="720"/>
      <c r="T931" s="721"/>
      <c r="U931" s="722"/>
      <c r="V931" s="723"/>
      <c r="W931" s="724"/>
      <c r="X931" s="725" t="s">
        <v>159</v>
      </c>
      <c r="Y931" s="725"/>
      <c r="Z931" s="725"/>
      <c r="AA931" s="725"/>
      <c r="AB931" s="726" t="s">
        <v>159</v>
      </c>
      <c r="AC931" s="726"/>
      <c r="AD931" s="726"/>
      <c r="AE931" s="726"/>
      <c r="AF931" s="727"/>
      <c r="AG931" s="728"/>
      <c r="AH931" s="727"/>
      <c r="AI931" s="728"/>
      <c r="AJ931" s="682"/>
      <c r="AK931" s="683"/>
      <c r="AL931" s="664" t="s">
        <v>162</v>
      </c>
      <c r="AM931" s="665"/>
      <c r="AN931" s="713" t="s">
        <v>162</v>
      </c>
      <c r="AO931" s="714"/>
      <c r="AP931" s="729"/>
      <c r="AQ931" s="730"/>
      <c r="AR931" s="731"/>
      <c r="AS931" s="732"/>
      <c r="AT931" s="733"/>
      <c r="AU931" s="734"/>
      <c r="AV931" s="713" t="s">
        <v>162</v>
      </c>
      <c r="AW931" s="714"/>
      <c r="AX931" s="692"/>
      <c r="AY931" s="693"/>
      <c r="AZ931" s="694"/>
      <c r="BA931" s="735"/>
      <c r="BB931" s="736"/>
      <c r="BC931" s="219"/>
      <c r="BD931" s="737" t="s">
        <v>162</v>
      </c>
      <c r="BE931" s="738"/>
      <c r="BF931" s="739"/>
      <c r="BG931" s="740"/>
      <c r="BH931" s="740"/>
      <c r="BI931" s="741"/>
      <c r="BJ931" s="742" t="s">
        <v>159</v>
      </c>
      <c r="BK931" s="743"/>
      <c r="BL931" s="743"/>
      <c r="BM931" s="744"/>
      <c r="BN931" s="703" t="s">
        <v>159</v>
      </c>
      <c r="BO931" s="704"/>
      <c r="BP931" s="704"/>
      <c r="BQ931" s="704"/>
      <c r="BR931" s="704"/>
      <c r="BS931" s="704"/>
      <c r="BT931" s="704"/>
      <c r="BU931" s="704"/>
      <c r="BV931" s="705"/>
    </row>
    <row r="932" spans="1:74" ht="45" customHeight="1" x14ac:dyDescent="0.25">
      <c r="A932" s="10">
        <f t="shared" si="14"/>
        <v>918</v>
      </c>
      <c r="B932" s="662" t="s">
        <v>159</v>
      </c>
      <c r="C932" s="662"/>
      <c r="D932" s="663" t="s">
        <v>212</v>
      </c>
      <c r="E932" s="663"/>
      <c r="F932" s="664" t="s">
        <v>162</v>
      </c>
      <c r="G932" s="665"/>
      <c r="H932" s="754" t="s">
        <v>162</v>
      </c>
      <c r="I932" s="714"/>
      <c r="J932" s="715"/>
      <c r="K932" s="716"/>
      <c r="L932" s="715"/>
      <c r="M932" s="716"/>
      <c r="N932" s="194"/>
      <c r="O932" s="196"/>
      <c r="P932" s="717"/>
      <c r="Q932" s="718"/>
      <c r="R932" s="672"/>
      <c r="S932" s="673"/>
      <c r="T932" s="674"/>
      <c r="U932" s="675"/>
      <c r="V932" s="676"/>
      <c r="W932" s="677"/>
      <c r="X932" s="678" t="s">
        <v>159</v>
      </c>
      <c r="Y932" s="678"/>
      <c r="Z932" s="678"/>
      <c r="AA932" s="678"/>
      <c r="AB932" s="679" t="s">
        <v>159</v>
      </c>
      <c r="AC932" s="679"/>
      <c r="AD932" s="679"/>
      <c r="AE932" s="679"/>
      <c r="AF932" s="680"/>
      <c r="AG932" s="681"/>
      <c r="AH932" s="680"/>
      <c r="AI932" s="681"/>
      <c r="AJ932" s="682"/>
      <c r="AK932" s="683"/>
      <c r="AL932" s="684" t="s">
        <v>162</v>
      </c>
      <c r="AM932" s="685"/>
      <c r="AN932" s="666" t="s">
        <v>162</v>
      </c>
      <c r="AO932" s="667"/>
      <c r="AP932" s="686"/>
      <c r="AQ932" s="687"/>
      <c r="AR932" s="688"/>
      <c r="AS932" s="689"/>
      <c r="AT932" s="690"/>
      <c r="AU932" s="691"/>
      <c r="AV932" s="666" t="s">
        <v>162</v>
      </c>
      <c r="AW932" s="667"/>
      <c r="AX932" s="692"/>
      <c r="AY932" s="693"/>
      <c r="AZ932" s="694"/>
      <c r="BA932" s="682"/>
      <c r="BB932" s="683"/>
      <c r="BC932" s="14"/>
      <c r="BD932" s="695" t="s">
        <v>162</v>
      </c>
      <c r="BE932" s="696"/>
      <c r="BF932" s="697"/>
      <c r="BG932" s="698"/>
      <c r="BH932" s="698"/>
      <c r="BI932" s="699"/>
      <c r="BJ932" s="700" t="s">
        <v>159</v>
      </c>
      <c r="BK932" s="701"/>
      <c r="BL932" s="701"/>
      <c r="BM932" s="702"/>
      <c r="BN932" s="703" t="s">
        <v>159</v>
      </c>
      <c r="BO932" s="704"/>
      <c r="BP932" s="704"/>
      <c r="BQ932" s="704"/>
      <c r="BR932" s="704"/>
      <c r="BS932" s="704"/>
      <c r="BT932" s="704"/>
      <c r="BU932" s="704"/>
      <c r="BV932" s="705"/>
    </row>
    <row r="933" spans="1:74" ht="45" customHeight="1" x14ac:dyDescent="0.25">
      <c r="A933" s="10">
        <f t="shared" si="14"/>
        <v>919</v>
      </c>
      <c r="B933" s="711" t="s">
        <v>159</v>
      </c>
      <c r="C933" s="711"/>
      <c r="D933" s="712" t="s">
        <v>212</v>
      </c>
      <c r="E933" s="712"/>
      <c r="F933" s="664" t="s">
        <v>162</v>
      </c>
      <c r="G933" s="665"/>
      <c r="H933" s="755" t="s">
        <v>162</v>
      </c>
      <c r="I933" s="667"/>
      <c r="J933" s="706"/>
      <c r="K933" s="707"/>
      <c r="L933" s="706"/>
      <c r="M933" s="707"/>
      <c r="N933" s="215"/>
      <c r="O933" s="216"/>
      <c r="P933" s="670"/>
      <c r="Q933" s="671"/>
      <c r="R933" s="719"/>
      <c r="S933" s="720"/>
      <c r="T933" s="721"/>
      <c r="U933" s="722"/>
      <c r="V933" s="723"/>
      <c r="W933" s="724"/>
      <c r="X933" s="725" t="s">
        <v>159</v>
      </c>
      <c r="Y933" s="725"/>
      <c r="Z933" s="725"/>
      <c r="AA933" s="725"/>
      <c r="AB933" s="726" t="s">
        <v>159</v>
      </c>
      <c r="AC933" s="726"/>
      <c r="AD933" s="726"/>
      <c r="AE933" s="726"/>
      <c r="AF933" s="727"/>
      <c r="AG933" s="728"/>
      <c r="AH933" s="727"/>
      <c r="AI933" s="728"/>
      <c r="AJ933" s="682"/>
      <c r="AK933" s="683"/>
      <c r="AL933" s="664" t="s">
        <v>162</v>
      </c>
      <c r="AM933" s="665"/>
      <c r="AN933" s="713" t="s">
        <v>162</v>
      </c>
      <c r="AO933" s="714"/>
      <c r="AP933" s="729"/>
      <c r="AQ933" s="730"/>
      <c r="AR933" s="731"/>
      <c r="AS933" s="732"/>
      <c r="AT933" s="733"/>
      <c r="AU933" s="734"/>
      <c r="AV933" s="713" t="s">
        <v>162</v>
      </c>
      <c r="AW933" s="714"/>
      <c r="AX933" s="692"/>
      <c r="AY933" s="693"/>
      <c r="AZ933" s="694"/>
      <c r="BA933" s="735"/>
      <c r="BB933" s="736"/>
      <c r="BC933" s="219"/>
      <c r="BD933" s="737" t="s">
        <v>162</v>
      </c>
      <c r="BE933" s="738"/>
      <c r="BF933" s="739"/>
      <c r="BG933" s="740"/>
      <c r="BH933" s="740"/>
      <c r="BI933" s="741"/>
      <c r="BJ933" s="742" t="s">
        <v>159</v>
      </c>
      <c r="BK933" s="743"/>
      <c r="BL933" s="743"/>
      <c r="BM933" s="744"/>
      <c r="BN933" s="703" t="s">
        <v>159</v>
      </c>
      <c r="BO933" s="704"/>
      <c r="BP933" s="704"/>
      <c r="BQ933" s="704"/>
      <c r="BR933" s="704"/>
      <c r="BS933" s="704"/>
      <c r="BT933" s="704"/>
      <c r="BU933" s="704"/>
      <c r="BV933" s="705"/>
    </row>
    <row r="934" spans="1:74" ht="45" customHeight="1" x14ac:dyDescent="0.25">
      <c r="A934" s="10">
        <f t="shared" si="14"/>
        <v>920</v>
      </c>
      <c r="B934" s="662" t="s">
        <v>159</v>
      </c>
      <c r="C934" s="662"/>
      <c r="D934" s="663" t="s">
        <v>212</v>
      </c>
      <c r="E934" s="663"/>
      <c r="F934" s="664" t="s">
        <v>162</v>
      </c>
      <c r="G934" s="665"/>
      <c r="H934" s="754" t="s">
        <v>162</v>
      </c>
      <c r="I934" s="714"/>
      <c r="J934" s="715"/>
      <c r="K934" s="716"/>
      <c r="L934" s="715"/>
      <c r="M934" s="716"/>
      <c r="N934" s="194"/>
      <c r="O934" s="196"/>
      <c r="P934" s="717"/>
      <c r="Q934" s="718"/>
      <c r="R934" s="672"/>
      <c r="S934" s="673"/>
      <c r="T934" s="674"/>
      <c r="U934" s="675"/>
      <c r="V934" s="676"/>
      <c r="W934" s="677"/>
      <c r="X934" s="678" t="s">
        <v>159</v>
      </c>
      <c r="Y934" s="678"/>
      <c r="Z934" s="678"/>
      <c r="AA934" s="678"/>
      <c r="AB934" s="679" t="s">
        <v>159</v>
      </c>
      <c r="AC934" s="679"/>
      <c r="AD934" s="679"/>
      <c r="AE934" s="679"/>
      <c r="AF934" s="680"/>
      <c r="AG934" s="681"/>
      <c r="AH934" s="680"/>
      <c r="AI934" s="681"/>
      <c r="AJ934" s="682"/>
      <c r="AK934" s="683"/>
      <c r="AL934" s="684" t="s">
        <v>162</v>
      </c>
      <c r="AM934" s="685"/>
      <c r="AN934" s="666" t="s">
        <v>162</v>
      </c>
      <c r="AO934" s="667"/>
      <c r="AP934" s="686"/>
      <c r="AQ934" s="687"/>
      <c r="AR934" s="688"/>
      <c r="AS934" s="689"/>
      <c r="AT934" s="690"/>
      <c r="AU934" s="691"/>
      <c r="AV934" s="666" t="s">
        <v>162</v>
      </c>
      <c r="AW934" s="667"/>
      <c r="AX934" s="692"/>
      <c r="AY934" s="693"/>
      <c r="AZ934" s="694"/>
      <c r="BA934" s="682"/>
      <c r="BB934" s="683"/>
      <c r="BC934" s="14"/>
      <c r="BD934" s="695" t="s">
        <v>162</v>
      </c>
      <c r="BE934" s="696"/>
      <c r="BF934" s="708"/>
      <c r="BG934" s="709"/>
      <c r="BH934" s="709"/>
      <c r="BI934" s="710"/>
      <c r="BJ934" s="700" t="s">
        <v>159</v>
      </c>
      <c r="BK934" s="701"/>
      <c r="BL934" s="701"/>
      <c r="BM934" s="702"/>
      <c r="BN934" s="703" t="s">
        <v>159</v>
      </c>
      <c r="BO934" s="704"/>
      <c r="BP934" s="704"/>
      <c r="BQ934" s="704"/>
      <c r="BR934" s="704"/>
      <c r="BS934" s="704"/>
      <c r="BT934" s="704"/>
      <c r="BU934" s="704"/>
      <c r="BV934" s="705"/>
    </row>
    <row r="935" spans="1:74" ht="45" customHeight="1" x14ac:dyDescent="0.25">
      <c r="A935" s="10">
        <f t="shared" si="14"/>
        <v>921</v>
      </c>
      <c r="B935" s="711" t="s">
        <v>159</v>
      </c>
      <c r="C935" s="711"/>
      <c r="D935" s="712" t="s">
        <v>212</v>
      </c>
      <c r="E935" s="712"/>
      <c r="F935" s="664" t="s">
        <v>162</v>
      </c>
      <c r="G935" s="665"/>
      <c r="H935" s="755" t="s">
        <v>162</v>
      </c>
      <c r="I935" s="667"/>
      <c r="J935" s="706"/>
      <c r="K935" s="707"/>
      <c r="L935" s="706"/>
      <c r="M935" s="707"/>
      <c r="N935" s="215"/>
      <c r="O935" s="216"/>
      <c r="P935" s="670"/>
      <c r="Q935" s="671"/>
      <c r="R935" s="719"/>
      <c r="S935" s="720"/>
      <c r="T935" s="721"/>
      <c r="U935" s="722"/>
      <c r="V935" s="723"/>
      <c r="W935" s="724"/>
      <c r="X935" s="725" t="s">
        <v>159</v>
      </c>
      <c r="Y935" s="725"/>
      <c r="Z935" s="725"/>
      <c r="AA935" s="725"/>
      <c r="AB935" s="726" t="s">
        <v>159</v>
      </c>
      <c r="AC935" s="726"/>
      <c r="AD935" s="726"/>
      <c r="AE935" s="726"/>
      <c r="AF935" s="727"/>
      <c r="AG935" s="728"/>
      <c r="AH935" s="727"/>
      <c r="AI935" s="728"/>
      <c r="AJ935" s="682"/>
      <c r="AK935" s="683"/>
      <c r="AL935" s="664" t="s">
        <v>162</v>
      </c>
      <c r="AM935" s="665"/>
      <c r="AN935" s="713" t="s">
        <v>162</v>
      </c>
      <c r="AO935" s="714"/>
      <c r="AP935" s="729"/>
      <c r="AQ935" s="730"/>
      <c r="AR935" s="731"/>
      <c r="AS935" s="732"/>
      <c r="AT935" s="733"/>
      <c r="AU935" s="734"/>
      <c r="AV935" s="713" t="s">
        <v>162</v>
      </c>
      <c r="AW935" s="714"/>
      <c r="AX935" s="692"/>
      <c r="AY935" s="693"/>
      <c r="AZ935" s="694"/>
      <c r="BA935" s="735"/>
      <c r="BB935" s="736"/>
      <c r="BC935" s="219"/>
      <c r="BD935" s="737" t="s">
        <v>162</v>
      </c>
      <c r="BE935" s="738"/>
      <c r="BF935" s="739"/>
      <c r="BG935" s="740"/>
      <c r="BH935" s="740"/>
      <c r="BI935" s="741"/>
      <c r="BJ935" s="742" t="s">
        <v>159</v>
      </c>
      <c r="BK935" s="743"/>
      <c r="BL935" s="743"/>
      <c r="BM935" s="744"/>
      <c r="BN935" s="703" t="s">
        <v>159</v>
      </c>
      <c r="BO935" s="704"/>
      <c r="BP935" s="704"/>
      <c r="BQ935" s="704"/>
      <c r="BR935" s="704"/>
      <c r="BS935" s="704"/>
      <c r="BT935" s="704"/>
      <c r="BU935" s="704"/>
      <c r="BV935" s="705"/>
    </row>
    <row r="936" spans="1:74" ht="45" customHeight="1" x14ac:dyDescent="0.25">
      <c r="A936" s="10">
        <f t="shared" si="14"/>
        <v>922</v>
      </c>
      <c r="B936" s="662" t="s">
        <v>159</v>
      </c>
      <c r="C936" s="662"/>
      <c r="D936" s="663" t="s">
        <v>212</v>
      </c>
      <c r="E936" s="663"/>
      <c r="F936" s="664" t="s">
        <v>162</v>
      </c>
      <c r="G936" s="665"/>
      <c r="H936" s="754" t="s">
        <v>162</v>
      </c>
      <c r="I936" s="714"/>
      <c r="J936" s="715"/>
      <c r="K936" s="716"/>
      <c r="L936" s="715"/>
      <c r="M936" s="716"/>
      <c r="N936" s="194"/>
      <c r="O936" s="196"/>
      <c r="P936" s="717"/>
      <c r="Q936" s="718"/>
      <c r="R936" s="672"/>
      <c r="S936" s="673"/>
      <c r="T936" s="674"/>
      <c r="U936" s="675"/>
      <c r="V936" s="676"/>
      <c r="W936" s="677"/>
      <c r="X936" s="678" t="s">
        <v>159</v>
      </c>
      <c r="Y936" s="678"/>
      <c r="Z936" s="678"/>
      <c r="AA936" s="678"/>
      <c r="AB936" s="679" t="s">
        <v>159</v>
      </c>
      <c r="AC936" s="679"/>
      <c r="AD936" s="679"/>
      <c r="AE936" s="679"/>
      <c r="AF936" s="680"/>
      <c r="AG936" s="681"/>
      <c r="AH936" s="680"/>
      <c r="AI936" s="681"/>
      <c r="AJ936" s="682"/>
      <c r="AK936" s="683"/>
      <c r="AL936" s="684" t="s">
        <v>162</v>
      </c>
      <c r="AM936" s="685"/>
      <c r="AN936" s="666" t="s">
        <v>162</v>
      </c>
      <c r="AO936" s="667"/>
      <c r="AP936" s="686"/>
      <c r="AQ936" s="687"/>
      <c r="AR936" s="688"/>
      <c r="AS936" s="689"/>
      <c r="AT936" s="690"/>
      <c r="AU936" s="691"/>
      <c r="AV936" s="666" t="s">
        <v>162</v>
      </c>
      <c r="AW936" s="667"/>
      <c r="AX936" s="692"/>
      <c r="AY936" s="693"/>
      <c r="AZ936" s="694"/>
      <c r="BA936" s="682"/>
      <c r="BB936" s="683"/>
      <c r="BC936" s="14"/>
      <c r="BD936" s="695" t="s">
        <v>162</v>
      </c>
      <c r="BE936" s="696"/>
      <c r="BF936" s="697"/>
      <c r="BG936" s="698"/>
      <c r="BH936" s="698"/>
      <c r="BI936" s="699"/>
      <c r="BJ936" s="700" t="s">
        <v>159</v>
      </c>
      <c r="BK936" s="701"/>
      <c r="BL936" s="701"/>
      <c r="BM936" s="702"/>
      <c r="BN936" s="703" t="s">
        <v>159</v>
      </c>
      <c r="BO936" s="704"/>
      <c r="BP936" s="704"/>
      <c r="BQ936" s="704"/>
      <c r="BR936" s="704"/>
      <c r="BS936" s="704"/>
      <c r="BT936" s="704"/>
      <c r="BU936" s="704"/>
      <c r="BV936" s="705"/>
    </row>
    <row r="937" spans="1:74" ht="45" customHeight="1" x14ac:dyDescent="0.25">
      <c r="A937" s="10">
        <f t="shared" si="14"/>
        <v>923</v>
      </c>
      <c r="B937" s="711" t="s">
        <v>159</v>
      </c>
      <c r="C937" s="711"/>
      <c r="D937" s="712" t="s">
        <v>212</v>
      </c>
      <c r="E937" s="712"/>
      <c r="F937" s="664" t="s">
        <v>162</v>
      </c>
      <c r="G937" s="665"/>
      <c r="H937" s="755" t="s">
        <v>162</v>
      </c>
      <c r="I937" s="667"/>
      <c r="J937" s="706"/>
      <c r="K937" s="707"/>
      <c r="L937" s="706"/>
      <c r="M937" s="707"/>
      <c r="N937" s="194"/>
      <c r="O937" s="196"/>
      <c r="P937" s="717"/>
      <c r="Q937" s="718"/>
      <c r="R937" s="719"/>
      <c r="S937" s="720"/>
      <c r="T937" s="721"/>
      <c r="U937" s="722"/>
      <c r="V937" s="723"/>
      <c r="W937" s="724"/>
      <c r="X937" s="725" t="s">
        <v>159</v>
      </c>
      <c r="Y937" s="725"/>
      <c r="Z937" s="725"/>
      <c r="AA937" s="725"/>
      <c r="AB937" s="726" t="s">
        <v>159</v>
      </c>
      <c r="AC937" s="726"/>
      <c r="AD937" s="726"/>
      <c r="AE937" s="726"/>
      <c r="AF937" s="727"/>
      <c r="AG937" s="728"/>
      <c r="AH937" s="727"/>
      <c r="AI937" s="728"/>
      <c r="AJ937" s="682"/>
      <c r="AK937" s="683"/>
      <c r="AL937" s="664" t="s">
        <v>162</v>
      </c>
      <c r="AM937" s="665"/>
      <c r="AN937" s="713" t="s">
        <v>162</v>
      </c>
      <c r="AO937" s="714"/>
      <c r="AP937" s="729"/>
      <c r="AQ937" s="730"/>
      <c r="AR937" s="731"/>
      <c r="AS937" s="732"/>
      <c r="AT937" s="690"/>
      <c r="AU937" s="691"/>
      <c r="AV937" s="713" t="s">
        <v>162</v>
      </c>
      <c r="AW937" s="714"/>
      <c r="AX937" s="692"/>
      <c r="AY937" s="693"/>
      <c r="AZ937" s="694"/>
      <c r="BA937" s="735"/>
      <c r="BB937" s="736"/>
      <c r="BC937" s="219"/>
      <c r="BD937" s="737" t="s">
        <v>162</v>
      </c>
      <c r="BE937" s="738"/>
      <c r="BF937" s="739"/>
      <c r="BG937" s="740"/>
      <c r="BH937" s="740"/>
      <c r="BI937" s="741"/>
      <c r="BJ937" s="742" t="s">
        <v>159</v>
      </c>
      <c r="BK937" s="743"/>
      <c r="BL937" s="743"/>
      <c r="BM937" s="744"/>
      <c r="BN937" s="703" t="s">
        <v>159</v>
      </c>
      <c r="BO937" s="704"/>
      <c r="BP937" s="704"/>
      <c r="BQ937" s="704"/>
      <c r="BR937" s="704"/>
      <c r="BS937" s="704"/>
      <c r="BT937" s="704"/>
      <c r="BU937" s="704"/>
      <c r="BV937" s="705"/>
    </row>
    <row r="938" spans="1:74" ht="45" customHeight="1" x14ac:dyDescent="0.25">
      <c r="A938" s="10">
        <f t="shared" si="14"/>
        <v>924</v>
      </c>
      <c r="B938" s="662" t="s">
        <v>159</v>
      </c>
      <c r="C938" s="662"/>
      <c r="D938" s="663" t="s">
        <v>212</v>
      </c>
      <c r="E938" s="663"/>
      <c r="F938" s="664" t="s">
        <v>162</v>
      </c>
      <c r="G938" s="665"/>
      <c r="H938" s="754" t="s">
        <v>162</v>
      </c>
      <c r="I938" s="714"/>
      <c r="J938" s="715"/>
      <c r="K938" s="716"/>
      <c r="L938" s="715"/>
      <c r="M938" s="716"/>
      <c r="N938" s="215"/>
      <c r="O938" s="216"/>
      <c r="P938" s="670"/>
      <c r="Q938" s="671"/>
      <c r="R938" s="672"/>
      <c r="S938" s="673"/>
      <c r="T938" s="674"/>
      <c r="U938" s="675"/>
      <c r="V938" s="676"/>
      <c r="W938" s="677"/>
      <c r="X938" s="678" t="s">
        <v>159</v>
      </c>
      <c r="Y938" s="678"/>
      <c r="Z938" s="678"/>
      <c r="AA938" s="678"/>
      <c r="AB938" s="679" t="s">
        <v>159</v>
      </c>
      <c r="AC938" s="679"/>
      <c r="AD938" s="679"/>
      <c r="AE938" s="679"/>
      <c r="AF938" s="680"/>
      <c r="AG938" s="681"/>
      <c r="AH938" s="680"/>
      <c r="AI938" s="681"/>
      <c r="AJ938" s="682"/>
      <c r="AK938" s="683"/>
      <c r="AL938" s="684" t="s">
        <v>162</v>
      </c>
      <c r="AM938" s="685"/>
      <c r="AN938" s="666" t="s">
        <v>162</v>
      </c>
      <c r="AO938" s="667"/>
      <c r="AP938" s="686"/>
      <c r="AQ938" s="687"/>
      <c r="AR938" s="688"/>
      <c r="AS938" s="689"/>
      <c r="AT938" s="690"/>
      <c r="AU938" s="691"/>
      <c r="AV938" s="666" t="s">
        <v>162</v>
      </c>
      <c r="AW938" s="667"/>
      <c r="AX938" s="692"/>
      <c r="AY938" s="693"/>
      <c r="AZ938" s="694"/>
      <c r="BA938" s="682"/>
      <c r="BB938" s="683"/>
      <c r="BC938" s="14"/>
      <c r="BD938" s="695" t="s">
        <v>162</v>
      </c>
      <c r="BE938" s="696"/>
      <c r="BF938" s="697"/>
      <c r="BG938" s="698"/>
      <c r="BH938" s="698"/>
      <c r="BI938" s="699"/>
      <c r="BJ938" s="700" t="s">
        <v>159</v>
      </c>
      <c r="BK938" s="701"/>
      <c r="BL938" s="701"/>
      <c r="BM938" s="702"/>
      <c r="BN938" s="703" t="s">
        <v>159</v>
      </c>
      <c r="BO938" s="704"/>
      <c r="BP938" s="704"/>
      <c r="BQ938" s="704"/>
      <c r="BR938" s="704"/>
      <c r="BS938" s="704"/>
      <c r="BT938" s="704"/>
      <c r="BU938" s="704"/>
      <c r="BV938" s="705"/>
    </row>
    <row r="939" spans="1:74" ht="45" customHeight="1" x14ac:dyDescent="0.25">
      <c r="A939" s="10">
        <f t="shared" si="14"/>
        <v>925</v>
      </c>
      <c r="B939" s="711" t="s">
        <v>159</v>
      </c>
      <c r="C939" s="711"/>
      <c r="D939" s="712" t="s">
        <v>212</v>
      </c>
      <c r="E939" s="712"/>
      <c r="F939" s="664" t="s">
        <v>162</v>
      </c>
      <c r="G939" s="665"/>
      <c r="H939" s="755" t="s">
        <v>162</v>
      </c>
      <c r="I939" s="667"/>
      <c r="J939" s="706"/>
      <c r="K939" s="707"/>
      <c r="L939" s="706"/>
      <c r="M939" s="707"/>
      <c r="N939" s="194"/>
      <c r="O939" s="196"/>
      <c r="P939" s="717"/>
      <c r="Q939" s="718"/>
      <c r="R939" s="719"/>
      <c r="S939" s="720"/>
      <c r="T939" s="721"/>
      <c r="U939" s="722"/>
      <c r="V939" s="723"/>
      <c r="W939" s="724"/>
      <c r="X939" s="725" t="s">
        <v>159</v>
      </c>
      <c r="Y939" s="725"/>
      <c r="Z939" s="725"/>
      <c r="AA939" s="725"/>
      <c r="AB939" s="726" t="s">
        <v>159</v>
      </c>
      <c r="AC939" s="726"/>
      <c r="AD939" s="726"/>
      <c r="AE939" s="726"/>
      <c r="AF939" s="727"/>
      <c r="AG939" s="728"/>
      <c r="AH939" s="727"/>
      <c r="AI939" s="728"/>
      <c r="AJ939" s="682"/>
      <c r="AK939" s="683"/>
      <c r="AL939" s="664" t="s">
        <v>162</v>
      </c>
      <c r="AM939" s="665"/>
      <c r="AN939" s="713" t="s">
        <v>162</v>
      </c>
      <c r="AO939" s="714"/>
      <c r="AP939" s="729"/>
      <c r="AQ939" s="730"/>
      <c r="AR939" s="731"/>
      <c r="AS939" s="732"/>
      <c r="AT939" s="690"/>
      <c r="AU939" s="691"/>
      <c r="AV939" s="713" t="s">
        <v>162</v>
      </c>
      <c r="AW939" s="714"/>
      <c r="AX939" s="692"/>
      <c r="AY939" s="693"/>
      <c r="AZ939" s="694"/>
      <c r="BA939" s="735"/>
      <c r="BB939" s="736"/>
      <c r="BC939" s="219"/>
      <c r="BD939" s="737" t="s">
        <v>162</v>
      </c>
      <c r="BE939" s="738"/>
      <c r="BF939" s="739"/>
      <c r="BG939" s="740"/>
      <c r="BH939" s="740"/>
      <c r="BI939" s="741"/>
      <c r="BJ939" s="742" t="s">
        <v>159</v>
      </c>
      <c r="BK939" s="743"/>
      <c r="BL939" s="743"/>
      <c r="BM939" s="744"/>
      <c r="BN939" s="703" t="s">
        <v>159</v>
      </c>
      <c r="BO939" s="704"/>
      <c r="BP939" s="704"/>
      <c r="BQ939" s="704"/>
      <c r="BR939" s="704"/>
      <c r="BS939" s="704"/>
      <c r="BT939" s="704"/>
      <c r="BU939" s="704"/>
      <c r="BV939" s="705"/>
    </row>
    <row r="940" spans="1:74" ht="45" customHeight="1" x14ac:dyDescent="0.25">
      <c r="A940" s="10">
        <f t="shared" si="14"/>
        <v>926</v>
      </c>
      <c r="B940" s="662" t="s">
        <v>159</v>
      </c>
      <c r="C940" s="662"/>
      <c r="D940" s="663" t="s">
        <v>212</v>
      </c>
      <c r="E940" s="663"/>
      <c r="F940" s="664" t="s">
        <v>162</v>
      </c>
      <c r="G940" s="665"/>
      <c r="H940" s="754" t="s">
        <v>162</v>
      </c>
      <c r="I940" s="714"/>
      <c r="J940" s="715"/>
      <c r="K940" s="716"/>
      <c r="L940" s="715"/>
      <c r="M940" s="716"/>
      <c r="N940" s="215"/>
      <c r="O940" s="216"/>
      <c r="P940" s="670"/>
      <c r="Q940" s="671"/>
      <c r="R940" s="672"/>
      <c r="S940" s="673"/>
      <c r="T940" s="674"/>
      <c r="U940" s="675"/>
      <c r="V940" s="676"/>
      <c r="W940" s="677"/>
      <c r="X940" s="678" t="s">
        <v>159</v>
      </c>
      <c r="Y940" s="678"/>
      <c r="Z940" s="678"/>
      <c r="AA940" s="678"/>
      <c r="AB940" s="679" t="s">
        <v>159</v>
      </c>
      <c r="AC940" s="679"/>
      <c r="AD940" s="679"/>
      <c r="AE940" s="679"/>
      <c r="AF940" s="680"/>
      <c r="AG940" s="681"/>
      <c r="AH940" s="680"/>
      <c r="AI940" s="681"/>
      <c r="AJ940" s="682"/>
      <c r="AK940" s="683"/>
      <c r="AL940" s="684" t="s">
        <v>162</v>
      </c>
      <c r="AM940" s="685"/>
      <c r="AN940" s="666" t="s">
        <v>162</v>
      </c>
      <c r="AO940" s="667"/>
      <c r="AP940" s="686"/>
      <c r="AQ940" s="687"/>
      <c r="AR940" s="688"/>
      <c r="AS940" s="689"/>
      <c r="AT940" s="690"/>
      <c r="AU940" s="691"/>
      <c r="AV940" s="666" t="s">
        <v>162</v>
      </c>
      <c r="AW940" s="667"/>
      <c r="AX940" s="692"/>
      <c r="AY940" s="693"/>
      <c r="AZ940" s="694"/>
      <c r="BA940" s="682"/>
      <c r="BB940" s="683"/>
      <c r="BC940" s="14"/>
      <c r="BD940" s="695" t="s">
        <v>162</v>
      </c>
      <c r="BE940" s="696"/>
      <c r="BF940" s="697"/>
      <c r="BG940" s="698"/>
      <c r="BH940" s="698"/>
      <c r="BI940" s="699"/>
      <c r="BJ940" s="700" t="s">
        <v>159</v>
      </c>
      <c r="BK940" s="701"/>
      <c r="BL940" s="701"/>
      <c r="BM940" s="702"/>
      <c r="BN940" s="703" t="s">
        <v>159</v>
      </c>
      <c r="BO940" s="704"/>
      <c r="BP940" s="704"/>
      <c r="BQ940" s="704"/>
      <c r="BR940" s="704"/>
      <c r="BS940" s="704"/>
      <c r="BT940" s="704"/>
      <c r="BU940" s="704"/>
      <c r="BV940" s="705"/>
    </row>
    <row r="941" spans="1:74" ht="45" customHeight="1" x14ac:dyDescent="0.25">
      <c r="A941" s="10">
        <f t="shared" si="14"/>
        <v>927</v>
      </c>
      <c r="B941" s="711" t="s">
        <v>159</v>
      </c>
      <c r="C941" s="711"/>
      <c r="D941" s="712" t="s">
        <v>212</v>
      </c>
      <c r="E941" s="712"/>
      <c r="F941" s="664" t="s">
        <v>162</v>
      </c>
      <c r="G941" s="665"/>
      <c r="H941" s="755" t="s">
        <v>162</v>
      </c>
      <c r="I941" s="667"/>
      <c r="J941" s="706"/>
      <c r="K941" s="707"/>
      <c r="L941" s="706"/>
      <c r="M941" s="707"/>
      <c r="N941" s="194"/>
      <c r="O941" s="216"/>
      <c r="P941" s="717"/>
      <c r="Q941" s="718"/>
      <c r="R941" s="719"/>
      <c r="S941" s="720"/>
      <c r="T941" s="721"/>
      <c r="U941" s="722"/>
      <c r="V941" s="723"/>
      <c r="W941" s="724"/>
      <c r="X941" s="725" t="s">
        <v>159</v>
      </c>
      <c r="Y941" s="725"/>
      <c r="Z941" s="725"/>
      <c r="AA941" s="725"/>
      <c r="AB941" s="726" t="s">
        <v>159</v>
      </c>
      <c r="AC941" s="726"/>
      <c r="AD941" s="726"/>
      <c r="AE941" s="726"/>
      <c r="AF941" s="727"/>
      <c r="AG941" s="728"/>
      <c r="AH941" s="727"/>
      <c r="AI941" s="728"/>
      <c r="AJ941" s="682"/>
      <c r="AK941" s="683"/>
      <c r="AL941" s="664" t="s">
        <v>162</v>
      </c>
      <c r="AM941" s="665"/>
      <c r="AN941" s="713" t="s">
        <v>162</v>
      </c>
      <c r="AO941" s="714"/>
      <c r="AP941" s="729"/>
      <c r="AQ941" s="730"/>
      <c r="AR941" s="731"/>
      <c r="AS941" s="732"/>
      <c r="AT941" s="733"/>
      <c r="AU941" s="734"/>
      <c r="AV941" s="713" t="s">
        <v>162</v>
      </c>
      <c r="AW941" s="714"/>
      <c r="AX941" s="692"/>
      <c r="AY941" s="693"/>
      <c r="AZ941" s="694"/>
      <c r="BA941" s="735"/>
      <c r="BB941" s="736"/>
      <c r="BC941" s="219"/>
      <c r="BD941" s="737" t="s">
        <v>162</v>
      </c>
      <c r="BE941" s="738"/>
      <c r="BF941" s="739"/>
      <c r="BG941" s="740"/>
      <c r="BH941" s="740"/>
      <c r="BI941" s="741"/>
      <c r="BJ941" s="742" t="s">
        <v>159</v>
      </c>
      <c r="BK941" s="743"/>
      <c r="BL941" s="743"/>
      <c r="BM941" s="744"/>
      <c r="BN941" s="703" t="s">
        <v>159</v>
      </c>
      <c r="BO941" s="704"/>
      <c r="BP941" s="704"/>
      <c r="BQ941" s="704"/>
      <c r="BR941" s="704"/>
      <c r="BS941" s="704"/>
      <c r="BT941" s="704"/>
      <c r="BU941" s="704"/>
      <c r="BV941" s="705"/>
    </row>
    <row r="942" spans="1:74" ht="45" customHeight="1" x14ac:dyDescent="0.25">
      <c r="A942" s="10">
        <f t="shared" si="14"/>
        <v>928</v>
      </c>
      <c r="B942" s="662" t="s">
        <v>159</v>
      </c>
      <c r="C942" s="662"/>
      <c r="D942" s="663" t="s">
        <v>212</v>
      </c>
      <c r="E942" s="663"/>
      <c r="F942" s="664" t="s">
        <v>162</v>
      </c>
      <c r="G942" s="665"/>
      <c r="H942" s="754" t="s">
        <v>162</v>
      </c>
      <c r="I942" s="714"/>
      <c r="J942" s="715"/>
      <c r="K942" s="716"/>
      <c r="L942" s="715"/>
      <c r="M942" s="716"/>
      <c r="N942" s="215"/>
      <c r="O942" s="196"/>
      <c r="P942" s="670"/>
      <c r="Q942" s="671"/>
      <c r="R942" s="672"/>
      <c r="S942" s="673"/>
      <c r="T942" s="674"/>
      <c r="U942" s="675"/>
      <c r="V942" s="676"/>
      <c r="W942" s="677"/>
      <c r="X942" s="678" t="s">
        <v>159</v>
      </c>
      <c r="Y942" s="678"/>
      <c r="Z942" s="678"/>
      <c r="AA942" s="678"/>
      <c r="AB942" s="679" t="s">
        <v>159</v>
      </c>
      <c r="AC942" s="679"/>
      <c r="AD942" s="679"/>
      <c r="AE942" s="679"/>
      <c r="AF942" s="680"/>
      <c r="AG942" s="681"/>
      <c r="AH942" s="680"/>
      <c r="AI942" s="681"/>
      <c r="AJ942" s="682"/>
      <c r="AK942" s="683"/>
      <c r="AL942" s="684" t="s">
        <v>162</v>
      </c>
      <c r="AM942" s="685"/>
      <c r="AN942" s="666" t="s">
        <v>162</v>
      </c>
      <c r="AO942" s="667"/>
      <c r="AP942" s="686"/>
      <c r="AQ942" s="687"/>
      <c r="AR942" s="688"/>
      <c r="AS942" s="689"/>
      <c r="AT942" s="690"/>
      <c r="AU942" s="691"/>
      <c r="AV942" s="666" t="s">
        <v>162</v>
      </c>
      <c r="AW942" s="667"/>
      <c r="AX942" s="692"/>
      <c r="AY942" s="693"/>
      <c r="AZ942" s="694"/>
      <c r="BA942" s="682"/>
      <c r="BB942" s="683"/>
      <c r="BC942" s="14"/>
      <c r="BD942" s="695" t="s">
        <v>162</v>
      </c>
      <c r="BE942" s="696"/>
      <c r="BF942" s="708"/>
      <c r="BG942" s="709"/>
      <c r="BH942" s="709"/>
      <c r="BI942" s="710"/>
      <c r="BJ942" s="700" t="s">
        <v>159</v>
      </c>
      <c r="BK942" s="701"/>
      <c r="BL942" s="701"/>
      <c r="BM942" s="702"/>
      <c r="BN942" s="703" t="s">
        <v>159</v>
      </c>
      <c r="BO942" s="704"/>
      <c r="BP942" s="704"/>
      <c r="BQ942" s="704"/>
      <c r="BR942" s="704"/>
      <c r="BS942" s="704"/>
      <c r="BT942" s="704"/>
      <c r="BU942" s="704"/>
      <c r="BV942" s="705"/>
    </row>
    <row r="943" spans="1:74" ht="45" customHeight="1" x14ac:dyDescent="0.25">
      <c r="A943" s="10">
        <f t="shared" si="14"/>
        <v>929</v>
      </c>
      <c r="B943" s="711" t="s">
        <v>159</v>
      </c>
      <c r="C943" s="711"/>
      <c r="D943" s="712" t="s">
        <v>212</v>
      </c>
      <c r="E943" s="712"/>
      <c r="F943" s="664" t="s">
        <v>162</v>
      </c>
      <c r="G943" s="665"/>
      <c r="H943" s="755" t="s">
        <v>162</v>
      </c>
      <c r="I943" s="667"/>
      <c r="J943" s="706"/>
      <c r="K943" s="707"/>
      <c r="L943" s="706"/>
      <c r="M943" s="707"/>
      <c r="N943" s="194"/>
      <c r="O943" s="216"/>
      <c r="P943" s="717"/>
      <c r="Q943" s="718"/>
      <c r="R943" s="719"/>
      <c r="S943" s="720"/>
      <c r="T943" s="721"/>
      <c r="U943" s="722"/>
      <c r="V943" s="723"/>
      <c r="W943" s="724"/>
      <c r="X943" s="725" t="s">
        <v>159</v>
      </c>
      <c r="Y943" s="725"/>
      <c r="Z943" s="725"/>
      <c r="AA943" s="725"/>
      <c r="AB943" s="726" t="s">
        <v>159</v>
      </c>
      <c r="AC943" s="726"/>
      <c r="AD943" s="726"/>
      <c r="AE943" s="726"/>
      <c r="AF943" s="727"/>
      <c r="AG943" s="728"/>
      <c r="AH943" s="727"/>
      <c r="AI943" s="728"/>
      <c r="AJ943" s="682"/>
      <c r="AK943" s="683"/>
      <c r="AL943" s="664" t="s">
        <v>162</v>
      </c>
      <c r="AM943" s="665"/>
      <c r="AN943" s="713" t="s">
        <v>162</v>
      </c>
      <c r="AO943" s="714"/>
      <c r="AP943" s="729"/>
      <c r="AQ943" s="730"/>
      <c r="AR943" s="731"/>
      <c r="AS943" s="732"/>
      <c r="AT943" s="733"/>
      <c r="AU943" s="734"/>
      <c r="AV943" s="713" t="s">
        <v>162</v>
      </c>
      <c r="AW943" s="714"/>
      <c r="AX943" s="692"/>
      <c r="AY943" s="693"/>
      <c r="AZ943" s="694"/>
      <c r="BA943" s="735"/>
      <c r="BB943" s="736"/>
      <c r="BC943" s="219"/>
      <c r="BD943" s="737" t="s">
        <v>162</v>
      </c>
      <c r="BE943" s="738"/>
      <c r="BF943" s="739"/>
      <c r="BG943" s="740"/>
      <c r="BH943" s="740"/>
      <c r="BI943" s="741"/>
      <c r="BJ943" s="742" t="s">
        <v>159</v>
      </c>
      <c r="BK943" s="743"/>
      <c r="BL943" s="743"/>
      <c r="BM943" s="744"/>
      <c r="BN943" s="703" t="s">
        <v>159</v>
      </c>
      <c r="BO943" s="704"/>
      <c r="BP943" s="704"/>
      <c r="BQ943" s="704"/>
      <c r="BR943" s="704"/>
      <c r="BS943" s="704"/>
      <c r="BT943" s="704"/>
      <c r="BU943" s="704"/>
      <c r="BV943" s="705"/>
    </row>
    <row r="944" spans="1:74" ht="45" customHeight="1" x14ac:dyDescent="0.25">
      <c r="A944" s="10">
        <f t="shared" si="14"/>
        <v>930</v>
      </c>
      <c r="B944" s="662" t="s">
        <v>159</v>
      </c>
      <c r="C944" s="662"/>
      <c r="D944" s="663" t="s">
        <v>212</v>
      </c>
      <c r="E944" s="663"/>
      <c r="F944" s="664" t="s">
        <v>162</v>
      </c>
      <c r="G944" s="665"/>
      <c r="H944" s="754" t="s">
        <v>162</v>
      </c>
      <c r="I944" s="714"/>
      <c r="J944" s="715"/>
      <c r="K944" s="716"/>
      <c r="L944" s="715"/>
      <c r="M944" s="716"/>
      <c r="N944" s="215"/>
      <c r="O944" s="196"/>
      <c r="P944" s="670"/>
      <c r="Q944" s="671"/>
      <c r="R944" s="672"/>
      <c r="S944" s="673"/>
      <c r="T944" s="674"/>
      <c r="U944" s="675"/>
      <c r="V944" s="676"/>
      <c r="W944" s="677"/>
      <c r="X944" s="678" t="s">
        <v>159</v>
      </c>
      <c r="Y944" s="678"/>
      <c r="Z944" s="678"/>
      <c r="AA944" s="678"/>
      <c r="AB944" s="679" t="s">
        <v>159</v>
      </c>
      <c r="AC944" s="679"/>
      <c r="AD944" s="679"/>
      <c r="AE944" s="679"/>
      <c r="AF944" s="680"/>
      <c r="AG944" s="681"/>
      <c r="AH944" s="680"/>
      <c r="AI944" s="681"/>
      <c r="AJ944" s="682"/>
      <c r="AK944" s="683"/>
      <c r="AL944" s="684" t="s">
        <v>162</v>
      </c>
      <c r="AM944" s="685"/>
      <c r="AN944" s="666" t="s">
        <v>162</v>
      </c>
      <c r="AO944" s="667"/>
      <c r="AP944" s="686"/>
      <c r="AQ944" s="687"/>
      <c r="AR944" s="688"/>
      <c r="AS944" s="689"/>
      <c r="AT944" s="690"/>
      <c r="AU944" s="691"/>
      <c r="AV944" s="666" t="s">
        <v>162</v>
      </c>
      <c r="AW944" s="667"/>
      <c r="AX944" s="692"/>
      <c r="AY944" s="693"/>
      <c r="AZ944" s="694"/>
      <c r="BA944" s="682"/>
      <c r="BB944" s="683"/>
      <c r="BC944" s="14"/>
      <c r="BD944" s="695" t="s">
        <v>162</v>
      </c>
      <c r="BE944" s="696"/>
      <c r="BF944" s="697"/>
      <c r="BG944" s="698"/>
      <c r="BH944" s="698"/>
      <c r="BI944" s="699"/>
      <c r="BJ944" s="700" t="s">
        <v>159</v>
      </c>
      <c r="BK944" s="701"/>
      <c r="BL944" s="701"/>
      <c r="BM944" s="702"/>
      <c r="BN944" s="703" t="s">
        <v>159</v>
      </c>
      <c r="BO944" s="704"/>
      <c r="BP944" s="704"/>
      <c r="BQ944" s="704"/>
      <c r="BR944" s="704"/>
      <c r="BS944" s="704"/>
      <c r="BT944" s="704"/>
      <c r="BU944" s="704"/>
      <c r="BV944" s="705"/>
    </row>
    <row r="945" spans="1:74" ht="45" customHeight="1" x14ac:dyDescent="0.25">
      <c r="A945" s="10">
        <f t="shared" si="14"/>
        <v>931</v>
      </c>
      <c r="B945" s="711" t="s">
        <v>159</v>
      </c>
      <c r="C945" s="711"/>
      <c r="D945" s="712" t="s">
        <v>212</v>
      </c>
      <c r="E945" s="712"/>
      <c r="F945" s="664" t="s">
        <v>162</v>
      </c>
      <c r="G945" s="665"/>
      <c r="H945" s="755" t="s">
        <v>162</v>
      </c>
      <c r="I945" s="667"/>
      <c r="J945" s="706"/>
      <c r="K945" s="707"/>
      <c r="L945" s="706"/>
      <c r="M945" s="707"/>
      <c r="N945" s="194"/>
      <c r="O945" s="216"/>
      <c r="P945" s="717"/>
      <c r="Q945" s="718"/>
      <c r="R945" s="719"/>
      <c r="S945" s="720"/>
      <c r="T945" s="721"/>
      <c r="U945" s="722"/>
      <c r="V945" s="723"/>
      <c r="W945" s="724"/>
      <c r="X945" s="725" t="s">
        <v>159</v>
      </c>
      <c r="Y945" s="725"/>
      <c r="Z945" s="725"/>
      <c r="AA945" s="725"/>
      <c r="AB945" s="726" t="s">
        <v>159</v>
      </c>
      <c r="AC945" s="726"/>
      <c r="AD945" s="726"/>
      <c r="AE945" s="726"/>
      <c r="AF945" s="727"/>
      <c r="AG945" s="728"/>
      <c r="AH945" s="727"/>
      <c r="AI945" s="728"/>
      <c r="AJ945" s="682"/>
      <c r="AK945" s="683"/>
      <c r="AL945" s="664" t="s">
        <v>162</v>
      </c>
      <c r="AM945" s="665"/>
      <c r="AN945" s="713" t="s">
        <v>162</v>
      </c>
      <c r="AO945" s="714"/>
      <c r="AP945" s="729"/>
      <c r="AQ945" s="730"/>
      <c r="AR945" s="731"/>
      <c r="AS945" s="732"/>
      <c r="AT945" s="733"/>
      <c r="AU945" s="734"/>
      <c r="AV945" s="713" t="s">
        <v>162</v>
      </c>
      <c r="AW945" s="714"/>
      <c r="AX945" s="692"/>
      <c r="AY945" s="693"/>
      <c r="AZ945" s="694"/>
      <c r="BA945" s="735"/>
      <c r="BB945" s="736"/>
      <c r="BC945" s="219"/>
      <c r="BD945" s="737" t="s">
        <v>162</v>
      </c>
      <c r="BE945" s="738"/>
      <c r="BF945" s="739"/>
      <c r="BG945" s="740"/>
      <c r="BH945" s="740"/>
      <c r="BI945" s="741"/>
      <c r="BJ945" s="742" t="s">
        <v>159</v>
      </c>
      <c r="BK945" s="743"/>
      <c r="BL945" s="743"/>
      <c r="BM945" s="744"/>
      <c r="BN945" s="703" t="s">
        <v>159</v>
      </c>
      <c r="BO945" s="704"/>
      <c r="BP945" s="704"/>
      <c r="BQ945" s="704"/>
      <c r="BR945" s="704"/>
      <c r="BS945" s="704"/>
      <c r="BT945" s="704"/>
      <c r="BU945" s="704"/>
      <c r="BV945" s="705"/>
    </row>
    <row r="946" spans="1:74" ht="45" customHeight="1" x14ac:dyDescent="0.25">
      <c r="A946" s="10">
        <f t="shared" si="14"/>
        <v>932</v>
      </c>
      <c r="B946" s="662" t="s">
        <v>159</v>
      </c>
      <c r="C946" s="662"/>
      <c r="D946" s="663" t="s">
        <v>212</v>
      </c>
      <c r="E946" s="663"/>
      <c r="F946" s="664" t="s">
        <v>162</v>
      </c>
      <c r="G946" s="665"/>
      <c r="H946" s="754" t="s">
        <v>162</v>
      </c>
      <c r="I946" s="714"/>
      <c r="J946" s="715"/>
      <c r="K946" s="716"/>
      <c r="L946" s="715"/>
      <c r="M946" s="716"/>
      <c r="N946" s="215"/>
      <c r="O946" s="196"/>
      <c r="P946" s="670"/>
      <c r="Q946" s="671"/>
      <c r="R946" s="672"/>
      <c r="S946" s="673"/>
      <c r="T946" s="674"/>
      <c r="U946" s="675"/>
      <c r="V946" s="676"/>
      <c r="W946" s="677"/>
      <c r="X946" s="678" t="s">
        <v>159</v>
      </c>
      <c r="Y946" s="678"/>
      <c r="Z946" s="678"/>
      <c r="AA946" s="678"/>
      <c r="AB946" s="679" t="s">
        <v>159</v>
      </c>
      <c r="AC946" s="679"/>
      <c r="AD946" s="679"/>
      <c r="AE946" s="679"/>
      <c r="AF946" s="680"/>
      <c r="AG946" s="681"/>
      <c r="AH946" s="680"/>
      <c r="AI946" s="681"/>
      <c r="AJ946" s="682"/>
      <c r="AK946" s="683"/>
      <c r="AL946" s="684" t="s">
        <v>162</v>
      </c>
      <c r="AM946" s="685"/>
      <c r="AN946" s="666" t="s">
        <v>162</v>
      </c>
      <c r="AO946" s="667"/>
      <c r="AP946" s="686"/>
      <c r="AQ946" s="687"/>
      <c r="AR946" s="688"/>
      <c r="AS946" s="689"/>
      <c r="AT946" s="690"/>
      <c r="AU946" s="691"/>
      <c r="AV946" s="666" t="s">
        <v>162</v>
      </c>
      <c r="AW946" s="667"/>
      <c r="AX946" s="692"/>
      <c r="AY946" s="693"/>
      <c r="AZ946" s="694"/>
      <c r="BA946" s="682"/>
      <c r="BB946" s="683"/>
      <c r="BC946" s="14"/>
      <c r="BD946" s="695" t="s">
        <v>162</v>
      </c>
      <c r="BE946" s="696"/>
      <c r="BF946" s="697"/>
      <c r="BG946" s="698"/>
      <c r="BH946" s="698"/>
      <c r="BI946" s="699"/>
      <c r="BJ946" s="700" t="s">
        <v>159</v>
      </c>
      <c r="BK946" s="701"/>
      <c r="BL946" s="701"/>
      <c r="BM946" s="702"/>
      <c r="BN946" s="703" t="s">
        <v>159</v>
      </c>
      <c r="BO946" s="704"/>
      <c r="BP946" s="704"/>
      <c r="BQ946" s="704"/>
      <c r="BR946" s="704"/>
      <c r="BS946" s="704"/>
      <c r="BT946" s="704"/>
      <c r="BU946" s="704"/>
      <c r="BV946" s="705"/>
    </row>
    <row r="947" spans="1:74" ht="45" customHeight="1" x14ac:dyDescent="0.25">
      <c r="A947" s="10">
        <f t="shared" si="14"/>
        <v>933</v>
      </c>
      <c r="B947" s="711" t="s">
        <v>159</v>
      </c>
      <c r="C947" s="711"/>
      <c r="D947" s="712" t="s">
        <v>212</v>
      </c>
      <c r="E947" s="712"/>
      <c r="F947" s="664" t="s">
        <v>162</v>
      </c>
      <c r="G947" s="665"/>
      <c r="H947" s="755" t="s">
        <v>162</v>
      </c>
      <c r="I947" s="667"/>
      <c r="J947" s="706"/>
      <c r="K947" s="707"/>
      <c r="L947" s="706"/>
      <c r="M947" s="707"/>
      <c r="N947" s="194"/>
      <c r="O947" s="216"/>
      <c r="P947" s="717"/>
      <c r="Q947" s="718"/>
      <c r="R947" s="719"/>
      <c r="S947" s="720"/>
      <c r="T947" s="721"/>
      <c r="U947" s="722"/>
      <c r="V947" s="723"/>
      <c r="W947" s="724"/>
      <c r="X947" s="725" t="s">
        <v>159</v>
      </c>
      <c r="Y947" s="725"/>
      <c r="Z947" s="725"/>
      <c r="AA947" s="725"/>
      <c r="AB947" s="726" t="s">
        <v>159</v>
      </c>
      <c r="AC947" s="726"/>
      <c r="AD947" s="726"/>
      <c r="AE947" s="726"/>
      <c r="AF947" s="727"/>
      <c r="AG947" s="728"/>
      <c r="AH947" s="727"/>
      <c r="AI947" s="728"/>
      <c r="AJ947" s="682"/>
      <c r="AK947" s="683"/>
      <c r="AL947" s="664" t="s">
        <v>162</v>
      </c>
      <c r="AM947" s="665"/>
      <c r="AN947" s="713" t="s">
        <v>162</v>
      </c>
      <c r="AO947" s="714"/>
      <c r="AP947" s="729"/>
      <c r="AQ947" s="730"/>
      <c r="AR947" s="731"/>
      <c r="AS947" s="732"/>
      <c r="AT947" s="733"/>
      <c r="AU947" s="734"/>
      <c r="AV947" s="713" t="s">
        <v>162</v>
      </c>
      <c r="AW947" s="714"/>
      <c r="AX947" s="692"/>
      <c r="AY947" s="693"/>
      <c r="AZ947" s="694"/>
      <c r="BA947" s="735"/>
      <c r="BB947" s="736"/>
      <c r="BC947" s="219"/>
      <c r="BD947" s="737" t="s">
        <v>162</v>
      </c>
      <c r="BE947" s="738"/>
      <c r="BF947" s="739"/>
      <c r="BG947" s="740"/>
      <c r="BH947" s="740"/>
      <c r="BI947" s="741"/>
      <c r="BJ947" s="742" t="s">
        <v>159</v>
      </c>
      <c r="BK947" s="743"/>
      <c r="BL947" s="743"/>
      <c r="BM947" s="744"/>
      <c r="BN947" s="703" t="s">
        <v>159</v>
      </c>
      <c r="BO947" s="704"/>
      <c r="BP947" s="704"/>
      <c r="BQ947" s="704"/>
      <c r="BR947" s="704"/>
      <c r="BS947" s="704"/>
      <c r="BT947" s="704"/>
      <c r="BU947" s="704"/>
      <c r="BV947" s="705"/>
    </row>
    <row r="948" spans="1:74" ht="45" customHeight="1" x14ac:dyDescent="0.25">
      <c r="A948" s="10">
        <f t="shared" si="14"/>
        <v>934</v>
      </c>
      <c r="B948" s="662" t="s">
        <v>159</v>
      </c>
      <c r="C948" s="662"/>
      <c r="D948" s="663" t="s">
        <v>212</v>
      </c>
      <c r="E948" s="663"/>
      <c r="F948" s="664" t="s">
        <v>162</v>
      </c>
      <c r="G948" s="665"/>
      <c r="H948" s="754" t="s">
        <v>162</v>
      </c>
      <c r="I948" s="714"/>
      <c r="J948" s="715"/>
      <c r="K948" s="716"/>
      <c r="L948" s="715"/>
      <c r="M948" s="716"/>
      <c r="N948" s="215"/>
      <c r="O948" s="196"/>
      <c r="P948" s="670"/>
      <c r="Q948" s="671"/>
      <c r="R948" s="672"/>
      <c r="S948" s="673"/>
      <c r="T948" s="674"/>
      <c r="U948" s="675"/>
      <c r="V948" s="676"/>
      <c r="W948" s="677"/>
      <c r="X948" s="678" t="s">
        <v>159</v>
      </c>
      <c r="Y948" s="678"/>
      <c r="Z948" s="678"/>
      <c r="AA948" s="678"/>
      <c r="AB948" s="679" t="s">
        <v>159</v>
      </c>
      <c r="AC948" s="679"/>
      <c r="AD948" s="679"/>
      <c r="AE948" s="679"/>
      <c r="AF948" s="680"/>
      <c r="AG948" s="681"/>
      <c r="AH948" s="680"/>
      <c r="AI948" s="681"/>
      <c r="AJ948" s="682"/>
      <c r="AK948" s="683"/>
      <c r="AL948" s="684" t="s">
        <v>162</v>
      </c>
      <c r="AM948" s="685"/>
      <c r="AN948" s="666" t="s">
        <v>162</v>
      </c>
      <c r="AO948" s="667"/>
      <c r="AP948" s="686"/>
      <c r="AQ948" s="687"/>
      <c r="AR948" s="688"/>
      <c r="AS948" s="689"/>
      <c r="AT948" s="690"/>
      <c r="AU948" s="691"/>
      <c r="AV948" s="666" t="s">
        <v>162</v>
      </c>
      <c r="AW948" s="667"/>
      <c r="AX948" s="692"/>
      <c r="AY948" s="693"/>
      <c r="AZ948" s="694"/>
      <c r="BA948" s="682"/>
      <c r="BB948" s="683"/>
      <c r="BC948" s="14"/>
      <c r="BD948" s="695" t="s">
        <v>162</v>
      </c>
      <c r="BE948" s="696"/>
      <c r="BF948" s="708"/>
      <c r="BG948" s="709"/>
      <c r="BH948" s="709"/>
      <c r="BI948" s="710"/>
      <c r="BJ948" s="700" t="s">
        <v>159</v>
      </c>
      <c r="BK948" s="701"/>
      <c r="BL948" s="701"/>
      <c r="BM948" s="702"/>
      <c r="BN948" s="703" t="s">
        <v>159</v>
      </c>
      <c r="BO948" s="704"/>
      <c r="BP948" s="704"/>
      <c r="BQ948" s="704"/>
      <c r="BR948" s="704"/>
      <c r="BS948" s="704"/>
      <c r="BT948" s="704"/>
      <c r="BU948" s="704"/>
      <c r="BV948" s="705"/>
    </row>
    <row r="949" spans="1:74" ht="45" customHeight="1" x14ac:dyDescent="0.25">
      <c r="A949" s="10">
        <f t="shared" si="14"/>
        <v>935</v>
      </c>
      <c r="B949" s="711" t="s">
        <v>159</v>
      </c>
      <c r="C949" s="711"/>
      <c r="D949" s="712" t="s">
        <v>212</v>
      </c>
      <c r="E949" s="712"/>
      <c r="F949" s="664" t="s">
        <v>162</v>
      </c>
      <c r="G949" s="665"/>
      <c r="H949" s="755" t="s">
        <v>162</v>
      </c>
      <c r="I949" s="667"/>
      <c r="J949" s="706"/>
      <c r="K949" s="707"/>
      <c r="L949" s="706"/>
      <c r="M949" s="707"/>
      <c r="N949" s="194"/>
      <c r="O949" s="216"/>
      <c r="P949" s="717"/>
      <c r="Q949" s="718"/>
      <c r="R949" s="719"/>
      <c r="S949" s="720"/>
      <c r="T949" s="721"/>
      <c r="U949" s="722"/>
      <c r="V949" s="723"/>
      <c r="W949" s="724"/>
      <c r="X949" s="725" t="s">
        <v>159</v>
      </c>
      <c r="Y949" s="725"/>
      <c r="Z949" s="725"/>
      <c r="AA949" s="725"/>
      <c r="AB949" s="726" t="s">
        <v>159</v>
      </c>
      <c r="AC949" s="726"/>
      <c r="AD949" s="726"/>
      <c r="AE949" s="726"/>
      <c r="AF949" s="727"/>
      <c r="AG949" s="728"/>
      <c r="AH949" s="727"/>
      <c r="AI949" s="728"/>
      <c r="AJ949" s="682"/>
      <c r="AK949" s="683"/>
      <c r="AL949" s="664" t="s">
        <v>162</v>
      </c>
      <c r="AM949" s="665"/>
      <c r="AN949" s="713" t="s">
        <v>162</v>
      </c>
      <c r="AO949" s="714"/>
      <c r="AP949" s="729"/>
      <c r="AQ949" s="730"/>
      <c r="AR949" s="731"/>
      <c r="AS949" s="732"/>
      <c r="AT949" s="733"/>
      <c r="AU949" s="734"/>
      <c r="AV949" s="713" t="s">
        <v>162</v>
      </c>
      <c r="AW949" s="714"/>
      <c r="AX949" s="692"/>
      <c r="AY949" s="693"/>
      <c r="AZ949" s="694"/>
      <c r="BA949" s="735"/>
      <c r="BB949" s="736"/>
      <c r="BC949" s="219"/>
      <c r="BD949" s="737" t="s">
        <v>162</v>
      </c>
      <c r="BE949" s="738"/>
      <c r="BF949" s="739"/>
      <c r="BG949" s="740"/>
      <c r="BH949" s="740"/>
      <c r="BI949" s="741"/>
      <c r="BJ949" s="742" t="s">
        <v>159</v>
      </c>
      <c r="BK949" s="743"/>
      <c r="BL949" s="743"/>
      <c r="BM949" s="744"/>
      <c r="BN949" s="703" t="s">
        <v>159</v>
      </c>
      <c r="BO949" s="704"/>
      <c r="BP949" s="704"/>
      <c r="BQ949" s="704"/>
      <c r="BR949" s="704"/>
      <c r="BS949" s="704"/>
      <c r="BT949" s="704"/>
      <c r="BU949" s="704"/>
      <c r="BV949" s="705"/>
    </row>
    <row r="950" spans="1:74" ht="45" customHeight="1" x14ac:dyDescent="0.25">
      <c r="A950" s="10">
        <f t="shared" si="14"/>
        <v>936</v>
      </c>
      <c r="B950" s="662" t="s">
        <v>159</v>
      </c>
      <c r="C950" s="662"/>
      <c r="D950" s="663" t="s">
        <v>212</v>
      </c>
      <c r="E950" s="663"/>
      <c r="F950" s="664" t="s">
        <v>162</v>
      </c>
      <c r="G950" s="665"/>
      <c r="H950" s="754" t="s">
        <v>162</v>
      </c>
      <c r="I950" s="714"/>
      <c r="J950" s="715"/>
      <c r="K950" s="716"/>
      <c r="L950" s="715"/>
      <c r="M950" s="716"/>
      <c r="N950" s="215"/>
      <c r="O950" s="196"/>
      <c r="P950" s="670"/>
      <c r="Q950" s="671"/>
      <c r="R950" s="672"/>
      <c r="S950" s="673"/>
      <c r="T950" s="674"/>
      <c r="U950" s="675"/>
      <c r="V950" s="676"/>
      <c r="W950" s="677"/>
      <c r="X950" s="678" t="s">
        <v>159</v>
      </c>
      <c r="Y950" s="678"/>
      <c r="Z950" s="678"/>
      <c r="AA950" s="678"/>
      <c r="AB950" s="679" t="s">
        <v>159</v>
      </c>
      <c r="AC950" s="679"/>
      <c r="AD950" s="679"/>
      <c r="AE950" s="679"/>
      <c r="AF950" s="680"/>
      <c r="AG950" s="681"/>
      <c r="AH950" s="680"/>
      <c r="AI950" s="681"/>
      <c r="AJ950" s="682"/>
      <c r="AK950" s="683"/>
      <c r="AL950" s="684" t="s">
        <v>162</v>
      </c>
      <c r="AM950" s="685"/>
      <c r="AN950" s="666" t="s">
        <v>162</v>
      </c>
      <c r="AO950" s="667"/>
      <c r="AP950" s="686"/>
      <c r="AQ950" s="687"/>
      <c r="AR950" s="688"/>
      <c r="AS950" s="689"/>
      <c r="AT950" s="690"/>
      <c r="AU950" s="691"/>
      <c r="AV950" s="666" t="s">
        <v>162</v>
      </c>
      <c r="AW950" s="667"/>
      <c r="AX950" s="692"/>
      <c r="AY950" s="693"/>
      <c r="AZ950" s="694"/>
      <c r="BA950" s="682"/>
      <c r="BB950" s="683"/>
      <c r="BC950" s="14"/>
      <c r="BD950" s="695" t="s">
        <v>162</v>
      </c>
      <c r="BE950" s="696"/>
      <c r="BF950" s="697"/>
      <c r="BG950" s="698"/>
      <c r="BH950" s="698"/>
      <c r="BI950" s="699"/>
      <c r="BJ950" s="700" t="s">
        <v>159</v>
      </c>
      <c r="BK950" s="701"/>
      <c r="BL950" s="701"/>
      <c r="BM950" s="702"/>
      <c r="BN950" s="703" t="s">
        <v>159</v>
      </c>
      <c r="BO950" s="704"/>
      <c r="BP950" s="704"/>
      <c r="BQ950" s="704"/>
      <c r="BR950" s="704"/>
      <c r="BS950" s="704"/>
      <c r="BT950" s="704"/>
      <c r="BU950" s="704"/>
      <c r="BV950" s="705"/>
    </row>
    <row r="951" spans="1:74" ht="45" customHeight="1" x14ac:dyDescent="0.25">
      <c r="A951" s="10">
        <f t="shared" si="14"/>
        <v>937</v>
      </c>
      <c r="B951" s="711" t="s">
        <v>159</v>
      </c>
      <c r="C951" s="711"/>
      <c r="D951" s="712" t="s">
        <v>212</v>
      </c>
      <c r="E951" s="712"/>
      <c r="F951" s="664" t="s">
        <v>162</v>
      </c>
      <c r="G951" s="665"/>
      <c r="H951" s="755" t="s">
        <v>162</v>
      </c>
      <c r="I951" s="667"/>
      <c r="J951" s="706"/>
      <c r="K951" s="707"/>
      <c r="L951" s="706"/>
      <c r="M951" s="707"/>
      <c r="N951" s="215"/>
      <c r="O951" s="216"/>
      <c r="P951" s="670"/>
      <c r="Q951" s="671"/>
      <c r="R951" s="719"/>
      <c r="S951" s="720"/>
      <c r="T951" s="721"/>
      <c r="U951" s="722"/>
      <c r="V951" s="723"/>
      <c r="W951" s="724"/>
      <c r="X951" s="725" t="s">
        <v>159</v>
      </c>
      <c r="Y951" s="725"/>
      <c r="Z951" s="725"/>
      <c r="AA951" s="725"/>
      <c r="AB951" s="726" t="s">
        <v>159</v>
      </c>
      <c r="AC951" s="726"/>
      <c r="AD951" s="726"/>
      <c r="AE951" s="726"/>
      <c r="AF951" s="727"/>
      <c r="AG951" s="728"/>
      <c r="AH951" s="727"/>
      <c r="AI951" s="728"/>
      <c r="AJ951" s="682"/>
      <c r="AK951" s="683"/>
      <c r="AL951" s="664" t="s">
        <v>162</v>
      </c>
      <c r="AM951" s="665"/>
      <c r="AN951" s="713" t="s">
        <v>162</v>
      </c>
      <c r="AO951" s="714"/>
      <c r="AP951" s="729"/>
      <c r="AQ951" s="730"/>
      <c r="AR951" s="731"/>
      <c r="AS951" s="732"/>
      <c r="AT951" s="690"/>
      <c r="AU951" s="691"/>
      <c r="AV951" s="713" t="s">
        <v>162</v>
      </c>
      <c r="AW951" s="714"/>
      <c r="AX951" s="692"/>
      <c r="AY951" s="693"/>
      <c r="AZ951" s="694"/>
      <c r="BA951" s="735"/>
      <c r="BB951" s="736"/>
      <c r="BC951" s="219"/>
      <c r="BD951" s="695" t="s">
        <v>162</v>
      </c>
      <c r="BE951" s="696"/>
      <c r="BF951" s="739"/>
      <c r="BG951" s="740"/>
      <c r="BH951" s="740"/>
      <c r="BI951" s="741"/>
      <c r="BJ951" s="742" t="s">
        <v>159</v>
      </c>
      <c r="BK951" s="743"/>
      <c r="BL951" s="743"/>
      <c r="BM951" s="744"/>
      <c r="BN951" s="703" t="s">
        <v>159</v>
      </c>
      <c r="BO951" s="704"/>
      <c r="BP951" s="704"/>
      <c r="BQ951" s="704"/>
      <c r="BR951" s="704"/>
      <c r="BS951" s="704"/>
      <c r="BT951" s="704"/>
      <c r="BU951" s="704"/>
      <c r="BV951" s="705"/>
    </row>
    <row r="952" spans="1:74" ht="45" customHeight="1" x14ac:dyDescent="0.25">
      <c r="A952" s="10">
        <f t="shared" si="14"/>
        <v>938</v>
      </c>
      <c r="B952" s="662" t="s">
        <v>159</v>
      </c>
      <c r="C952" s="662"/>
      <c r="D952" s="663" t="s">
        <v>212</v>
      </c>
      <c r="E952" s="663"/>
      <c r="F952" s="664" t="s">
        <v>162</v>
      </c>
      <c r="G952" s="665"/>
      <c r="H952" s="754" t="s">
        <v>162</v>
      </c>
      <c r="I952" s="714"/>
      <c r="J952" s="715"/>
      <c r="K952" s="716"/>
      <c r="L952" s="715"/>
      <c r="M952" s="716"/>
      <c r="N952" s="194"/>
      <c r="O952" s="196"/>
      <c r="P952" s="717"/>
      <c r="Q952" s="718"/>
      <c r="R952" s="672"/>
      <c r="S952" s="673"/>
      <c r="T952" s="674"/>
      <c r="U952" s="675"/>
      <c r="V952" s="676"/>
      <c r="W952" s="677"/>
      <c r="X952" s="678" t="s">
        <v>159</v>
      </c>
      <c r="Y952" s="678"/>
      <c r="Z952" s="678"/>
      <c r="AA952" s="678"/>
      <c r="AB952" s="679" t="s">
        <v>159</v>
      </c>
      <c r="AC952" s="679"/>
      <c r="AD952" s="679"/>
      <c r="AE952" s="679"/>
      <c r="AF952" s="680"/>
      <c r="AG952" s="681"/>
      <c r="AH952" s="680"/>
      <c r="AI952" s="681"/>
      <c r="AJ952" s="682"/>
      <c r="AK952" s="683"/>
      <c r="AL952" s="684" t="s">
        <v>162</v>
      </c>
      <c r="AM952" s="685"/>
      <c r="AN952" s="666" t="s">
        <v>162</v>
      </c>
      <c r="AO952" s="667"/>
      <c r="AP952" s="686"/>
      <c r="AQ952" s="687"/>
      <c r="AR952" s="688"/>
      <c r="AS952" s="689"/>
      <c r="AT952" s="690"/>
      <c r="AU952" s="691"/>
      <c r="AV952" s="666" t="s">
        <v>162</v>
      </c>
      <c r="AW952" s="667"/>
      <c r="AX952" s="692"/>
      <c r="AY952" s="693"/>
      <c r="AZ952" s="694"/>
      <c r="BA952" s="682"/>
      <c r="BB952" s="683"/>
      <c r="BC952" s="14"/>
      <c r="BD952" s="737" t="s">
        <v>162</v>
      </c>
      <c r="BE952" s="738"/>
      <c r="BF952" s="697"/>
      <c r="BG952" s="698"/>
      <c r="BH952" s="698"/>
      <c r="BI952" s="699"/>
      <c r="BJ952" s="700" t="s">
        <v>159</v>
      </c>
      <c r="BK952" s="701"/>
      <c r="BL952" s="701"/>
      <c r="BM952" s="702"/>
      <c r="BN952" s="703" t="s">
        <v>159</v>
      </c>
      <c r="BO952" s="704"/>
      <c r="BP952" s="704"/>
      <c r="BQ952" s="704"/>
      <c r="BR952" s="704"/>
      <c r="BS952" s="704"/>
      <c r="BT952" s="704"/>
      <c r="BU952" s="704"/>
      <c r="BV952" s="705"/>
    </row>
    <row r="953" spans="1:74" ht="45" customHeight="1" x14ac:dyDescent="0.25">
      <c r="A953" s="10">
        <f t="shared" si="14"/>
        <v>939</v>
      </c>
      <c r="B953" s="711" t="s">
        <v>159</v>
      </c>
      <c r="C953" s="711"/>
      <c r="D953" s="712" t="s">
        <v>212</v>
      </c>
      <c r="E953" s="712"/>
      <c r="F953" s="664" t="s">
        <v>162</v>
      </c>
      <c r="G953" s="665"/>
      <c r="H953" s="755" t="s">
        <v>162</v>
      </c>
      <c r="I953" s="667"/>
      <c r="J953" s="706"/>
      <c r="K953" s="707"/>
      <c r="L953" s="706"/>
      <c r="M953" s="707"/>
      <c r="N953" s="215"/>
      <c r="O953" s="216"/>
      <c r="P953" s="670"/>
      <c r="Q953" s="671"/>
      <c r="R953" s="719"/>
      <c r="S953" s="720"/>
      <c r="T953" s="721"/>
      <c r="U953" s="722"/>
      <c r="V953" s="723"/>
      <c r="W953" s="724"/>
      <c r="X953" s="725" t="s">
        <v>159</v>
      </c>
      <c r="Y953" s="725"/>
      <c r="Z953" s="725"/>
      <c r="AA953" s="725"/>
      <c r="AB953" s="726" t="s">
        <v>159</v>
      </c>
      <c r="AC953" s="726"/>
      <c r="AD953" s="726"/>
      <c r="AE953" s="726"/>
      <c r="AF953" s="727"/>
      <c r="AG953" s="728"/>
      <c r="AH953" s="727"/>
      <c r="AI953" s="728"/>
      <c r="AJ953" s="682"/>
      <c r="AK953" s="683"/>
      <c r="AL953" s="664" t="s">
        <v>162</v>
      </c>
      <c r="AM953" s="665"/>
      <c r="AN953" s="713" t="s">
        <v>162</v>
      </c>
      <c r="AO953" s="714"/>
      <c r="AP953" s="729"/>
      <c r="AQ953" s="730"/>
      <c r="AR953" s="731"/>
      <c r="AS953" s="732"/>
      <c r="AT953" s="690"/>
      <c r="AU953" s="691"/>
      <c r="AV953" s="713" t="s">
        <v>162</v>
      </c>
      <c r="AW953" s="714"/>
      <c r="AX953" s="692"/>
      <c r="AY953" s="693"/>
      <c r="AZ953" s="694"/>
      <c r="BA953" s="735"/>
      <c r="BB953" s="736"/>
      <c r="BC953" s="219"/>
      <c r="BD953" s="695" t="s">
        <v>162</v>
      </c>
      <c r="BE953" s="696"/>
      <c r="BF953" s="739"/>
      <c r="BG953" s="740"/>
      <c r="BH953" s="740"/>
      <c r="BI953" s="741"/>
      <c r="BJ953" s="742" t="s">
        <v>159</v>
      </c>
      <c r="BK953" s="743"/>
      <c r="BL953" s="743"/>
      <c r="BM953" s="744"/>
      <c r="BN953" s="703" t="s">
        <v>159</v>
      </c>
      <c r="BO953" s="704"/>
      <c r="BP953" s="704"/>
      <c r="BQ953" s="704"/>
      <c r="BR953" s="704"/>
      <c r="BS953" s="704"/>
      <c r="BT953" s="704"/>
      <c r="BU953" s="704"/>
      <c r="BV953" s="705"/>
    </row>
    <row r="954" spans="1:74" ht="45" customHeight="1" x14ac:dyDescent="0.25">
      <c r="A954" s="10">
        <f t="shared" si="14"/>
        <v>940</v>
      </c>
      <c r="B954" s="662" t="s">
        <v>159</v>
      </c>
      <c r="C954" s="662"/>
      <c r="D954" s="663" t="s">
        <v>212</v>
      </c>
      <c r="E954" s="663"/>
      <c r="F954" s="664" t="s">
        <v>162</v>
      </c>
      <c r="G954" s="665"/>
      <c r="H954" s="754" t="s">
        <v>162</v>
      </c>
      <c r="I954" s="714"/>
      <c r="J954" s="715"/>
      <c r="K954" s="716"/>
      <c r="L954" s="715"/>
      <c r="M954" s="716"/>
      <c r="N954" s="194"/>
      <c r="O954" s="196"/>
      <c r="P954" s="717"/>
      <c r="Q954" s="718"/>
      <c r="R954" s="672"/>
      <c r="S954" s="673"/>
      <c r="T954" s="674"/>
      <c r="U954" s="675"/>
      <c r="V954" s="676"/>
      <c r="W954" s="677"/>
      <c r="X954" s="678" t="s">
        <v>159</v>
      </c>
      <c r="Y954" s="678"/>
      <c r="Z954" s="678"/>
      <c r="AA954" s="678"/>
      <c r="AB954" s="679" t="s">
        <v>159</v>
      </c>
      <c r="AC954" s="679"/>
      <c r="AD954" s="679"/>
      <c r="AE954" s="679"/>
      <c r="AF954" s="680"/>
      <c r="AG954" s="681"/>
      <c r="AH954" s="680"/>
      <c r="AI954" s="681"/>
      <c r="AJ954" s="682"/>
      <c r="AK954" s="683"/>
      <c r="AL954" s="684" t="s">
        <v>162</v>
      </c>
      <c r="AM954" s="685"/>
      <c r="AN954" s="666" t="s">
        <v>162</v>
      </c>
      <c r="AO954" s="667"/>
      <c r="AP954" s="686"/>
      <c r="AQ954" s="687"/>
      <c r="AR954" s="688"/>
      <c r="AS954" s="689"/>
      <c r="AT954" s="690"/>
      <c r="AU954" s="691"/>
      <c r="AV954" s="666" t="s">
        <v>162</v>
      </c>
      <c r="AW954" s="667"/>
      <c r="AX954" s="692"/>
      <c r="AY954" s="693"/>
      <c r="AZ954" s="694"/>
      <c r="BA954" s="682"/>
      <c r="BB954" s="683"/>
      <c r="BC954" s="14"/>
      <c r="BD954" s="695" t="s">
        <v>162</v>
      </c>
      <c r="BE954" s="696"/>
      <c r="BF954" s="697"/>
      <c r="BG954" s="698"/>
      <c r="BH954" s="698"/>
      <c r="BI954" s="699"/>
      <c r="BJ954" s="700" t="s">
        <v>159</v>
      </c>
      <c r="BK954" s="701"/>
      <c r="BL954" s="701"/>
      <c r="BM954" s="702"/>
      <c r="BN954" s="703" t="s">
        <v>159</v>
      </c>
      <c r="BO954" s="704"/>
      <c r="BP954" s="704"/>
      <c r="BQ954" s="704"/>
      <c r="BR954" s="704"/>
      <c r="BS954" s="704"/>
      <c r="BT954" s="704"/>
      <c r="BU954" s="704"/>
      <c r="BV954" s="705"/>
    </row>
    <row r="955" spans="1:74" ht="45" customHeight="1" x14ac:dyDescent="0.25">
      <c r="A955" s="10">
        <f t="shared" si="14"/>
        <v>941</v>
      </c>
      <c r="B955" s="711" t="s">
        <v>159</v>
      </c>
      <c r="C955" s="711"/>
      <c r="D955" s="712" t="s">
        <v>212</v>
      </c>
      <c r="E955" s="712"/>
      <c r="F955" s="664" t="s">
        <v>162</v>
      </c>
      <c r="G955" s="665"/>
      <c r="H955" s="755" t="s">
        <v>162</v>
      </c>
      <c r="I955" s="667"/>
      <c r="J955" s="706"/>
      <c r="K955" s="707"/>
      <c r="L955" s="706"/>
      <c r="M955" s="707"/>
      <c r="N955" s="215"/>
      <c r="O955" s="216"/>
      <c r="P955" s="670"/>
      <c r="Q955" s="671"/>
      <c r="R955" s="719"/>
      <c r="S955" s="720"/>
      <c r="T955" s="721"/>
      <c r="U955" s="722"/>
      <c r="V955" s="723"/>
      <c r="W955" s="724"/>
      <c r="X955" s="725" t="s">
        <v>159</v>
      </c>
      <c r="Y955" s="725"/>
      <c r="Z955" s="725"/>
      <c r="AA955" s="725"/>
      <c r="AB955" s="726" t="s">
        <v>159</v>
      </c>
      <c r="AC955" s="726"/>
      <c r="AD955" s="726"/>
      <c r="AE955" s="726"/>
      <c r="AF955" s="727"/>
      <c r="AG955" s="728"/>
      <c r="AH955" s="727"/>
      <c r="AI955" s="728"/>
      <c r="AJ955" s="682"/>
      <c r="AK955" s="683"/>
      <c r="AL955" s="664" t="s">
        <v>162</v>
      </c>
      <c r="AM955" s="665"/>
      <c r="AN955" s="713" t="s">
        <v>162</v>
      </c>
      <c r="AO955" s="714"/>
      <c r="AP955" s="729"/>
      <c r="AQ955" s="730"/>
      <c r="AR955" s="731"/>
      <c r="AS955" s="732"/>
      <c r="AT955" s="733"/>
      <c r="AU955" s="734"/>
      <c r="AV955" s="713" t="s">
        <v>162</v>
      </c>
      <c r="AW955" s="714"/>
      <c r="AX955" s="692"/>
      <c r="AY955" s="693"/>
      <c r="AZ955" s="694"/>
      <c r="BA955" s="735"/>
      <c r="BB955" s="736"/>
      <c r="BC955" s="219"/>
      <c r="BD955" s="737" t="s">
        <v>162</v>
      </c>
      <c r="BE955" s="738"/>
      <c r="BF955" s="739"/>
      <c r="BG955" s="740"/>
      <c r="BH955" s="740"/>
      <c r="BI955" s="741"/>
      <c r="BJ955" s="742" t="s">
        <v>159</v>
      </c>
      <c r="BK955" s="743"/>
      <c r="BL955" s="743"/>
      <c r="BM955" s="744"/>
      <c r="BN955" s="703" t="s">
        <v>159</v>
      </c>
      <c r="BO955" s="704"/>
      <c r="BP955" s="704"/>
      <c r="BQ955" s="704"/>
      <c r="BR955" s="704"/>
      <c r="BS955" s="704"/>
      <c r="BT955" s="704"/>
      <c r="BU955" s="704"/>
      <c r="BV955" s="705"/>
    </row>
    <row r="956" spans="1:74" ht="45" customHeight="1" x14ac:dyDescent="0.25">
      <c r="A956" s="10">
        <f t="shared" si="14"/>
        <v>942</v>
      </c>
      <c r="B956" s="662" t="s">
        <v>159</v>
      </c>
      <c r="C956" s="662"/>
      <c r="D956" s="663" t="s">
        <v>212</v>
      </c>
      <c r="E956" s="663"/>
      <c r="F956" s="664" t="s">
        <v>162</v>
      </c>
      <c r="G956" s="665"/>
      <c r="H956" s="754" t="s">
        <v>162</v>
      </c>
      <c r="I956" s="714"/>
      <c r="J956" s="715"/>
      <c r="K956" s="716"/>
      <c r="L956" s="715"/>
      <c r="M956" s="716"/>
      <c r="N956" s="194"/>
      <c r="O956" s="196"/>
      <c r="P956" s="717"/>
      <c r="Q956" s="718"/>
      <c r="R956" s="672"/>
      <c r="S956" s="673"/>
      <c r="T956" s="674"/>
      <c r="U956" s="675"/>
      <c r="V956" s="676"/>
      <c r="W956" s="677"/>
      <c r="X956" s="678" t="s">
        <v>159</v>
      </c>
      <c r="Y956" s="678"/>
      <c r="Z956" s="678"/>
      <c r="AA956" s="678"/>
      <c r="AB956" s="679" t="s">
        <v>159</v>
      </c>
      <c r="AC956" s="679"/>
      <c r="AD956" s="679"/>
      <c r="AE956" s="679"/>
      <c r="AF956" s="680"/>
      <c r="AG956" s="681"/>
      <c r="AH956" s="680"/>
      <c r="AI956" s="681"/>
      <c r="AJ956" s="682"/>
      <c r="AK956" s="683"/>
      <c r="AL956" s="684" t="s">
        <v>162</v>
      </c>
      <c r="AM956" s="685"/>
      <c r="AN956" s="666" t="s">
        <v>162</v>
      </c>
      <c r="AO956" s="667"/>
      <c r="AP956" s="686"/>
      <c r="AQ956" s="687"/>
      <c r="AR956" s="688"/>
      <c r="AS956" s="689"/>
      <c r="AT956" s="690"/>
      <c r="AU956" s="691"/>
      <c r="AV956" s="666" t="s">
        <v>162</v>
      </c>
      <c r="AW956" s="667"/>
      <c r="AX956" s="692"/>
      <c r="AY956" s="693"/>
      <c r="AZ956" s="694"/>
      <c r="BA956" s="682"/>
      <c r="BB956" s="683"/>
      <c r="BC956" s="14"/>
      <c r="BD956" s="695" t="s">
        <v>162</v>
      </c>
      <c r="BE956" s="696"/>
      <c r="BF956" s="708"/>
      <c r="BG956" s="709"/>
      <c r="BH956" s="709"/>
      <c r="BI956" s="710"/>
      <c r="BJ956" s="700" t="s">
        <v>159</v>
      </c>
      <c r="BK956" s="701"/>
      <c r="BL956" s="701"/>
      <c r="BM956" s="702"/>
      <c r="BN956" s="703" t="s">
        <v>159</v>
      </c>
      <c r="BO956" s="704"/>
      <c r="BP956" s="704"/>
      <c r="BQ956" s="704"/>
      <c r="BR956" s="704"/>
      <c r="BS956" s="704"/>
      <c r="BT956" s="704"/>
      <c r="BU956" s="704"/>
      <c r="BV956" s="705"/>
    </row>
    <row r="957" spans="1:74" ht="45" customHeight="1" x14ac:dyDescent="0.25">
      <c r="A957" s="10">
        <f t="shared" si="14"/>
        <v>943</v>
      </c>
      <c r="B957" s="711" t="s">
        <v>159</v>
      </c>
      <c r="C957" s="711"/>
      <c r="D957" s="712" t="s">
        <v>212</v>
      </c>
      <c r="E957" s="712"/>
      <c r="F957" s="664" t="s">
        <v>162</v>
      </c>
      <c r="G957" s="665"/>
      <c r="H957" s="755" t="s">
        <v>162</v>
      </c>
      <c r="I957" s="667"/>
      <c r="J957" s="706"/>
      <c r="K957" s="707"/>
      <c r="L957" s="706"/>
      <c r="M957" s="707"/>
      <c r="N957" s="215"/>
      <c r="O957" s="216"/>
      <c r="P957" s="670"/>
      <c r="Q957" s="671"/>
      <c r="R957" s="719"/>
      <c r="S957" s="720"/>
      <c r="T957" s="721"/>
      <c r="U957" s="722"/>
      <c r="V957" s="723"/>
      <c r="W957" s="724"/>
      <c r="X957" s="725" t="s">
        <v>159</v>
      </c>
      <c r="Y957" s="725"/>
      <c r="Z957" s="725"/>
      <c r="AA957" s="725"/>
      <c r="AB957" s="726" t="s">
        <v>159</v>
      </c>
      <c r="AC957" s="726"/>
      <c r="AD957" s="726"/>
      <c r="AE957" s="726"/>
      <c r="AF957" s="727"/>
      <c r="AG957" s="728"/>
      <c r="AH957" s="727"/>
      <c r="AI957" s="728"/>
      <c r="AJ957" s="682"/>
      <c r="AK957" s="683"/>
      <c r="AL957" s="664" t="s">
        <v>162</v>
      </c>
      <c r="AM957" s="665"/>
      <c r="AN957" s="713" t="s">
        <v>162</v>
      </c>
      <c r="AO957" s="714"/>
      <c r="AP957" s="729"/>
      <c r="AQ957" s="730"/>
      <c r="AR957" s="731"/>
      <c r="AS957" s="732"/>
      <c r="AT957" s="733"/>
      <c r="AU957" s="734"/>
      <c r="AV957" s="713" t="s">
        <v>162</v>
      </c>
      <c r="AW957" s="714"/>
      <c r="AX957" s="692"/>
      <c r="AY957" s="693"/>
      <c r="AZ957" s="694"/>
      <c r="BA957" s="735"/>
      <c r="BB957" s="736"/>
      <c r="BC957" s="219"/>
      <c r="BD957" s="737" t="s">
        <v>162</v>
      </c>
      <c r="BE957" s="738"/>
      <c r="BF957" s="739"/>
      <c r="BG957" s="740"/>
      <c r="BH957" s="740"/>
      <c r="BI957" s="741"/>
      <c r="BJ957" s="742" t="s">
        <v>159</v>
      </c>
      <c r="BK957" s="743"/>
      <c r="BL957" s="743"/>
      <c r="BM957" s="744"/>
      <c r="BN957" s="703" t="s">
        <v>159</v>
      </c>
      <c r="BO957" s="704"/>
      <c r="BP957" s="704"/>
      <c r="BQ957" s="704"/>
      <c r="BR957" s="704"/>
      <c r="BS957" s="704"/>
      <c r="BT957" s="704"/>
      <c r="BU957" s="704"/>
      <c r="BV957" s="705"/>
    </row>
    <row r="958" spans="1:74" ht="45" customHeight="1" x14ac:dyDescent="0.25">
      <c r="A958" s="10">
        <f t="shared" si="14"/>
        <v>944</v>
      </c>
      <c r="B958" s="662" t="s">
        <v>159</v>
      </c>
      <c r="C958" s="662"/>
      <c r="D958" s="663" t="s">
        <v>212</v>
      </c>
      <c r="E958" s="663"/>
      <c r="F958" s="664" t="s">
        <v>162</v>
      </c>
      <c r="G958" s="665"/>
      <c r="H958" s="754" t="s">
        <v>162</v>
      </c>
      <c r="I958" s="714"/>
      <c r="J958" s="715"/>
      <c r="K958" s="716"/>
      <c r="L958" s="715"/>
      <c r="M958" s="716"/>
      <c r="N958" s="194"/>
      <c r="O958" s="196"/>
      <c r="P958" s="717"/>
      <c r="Q958" s="718"/>
      <c r="R958" s="672"/>
      <c r="S958" s="673"/>
      <c r="T958" s="674"/>
      <c r="U958" s="675"/>
      <c r="V958" s="676"/>
      <c r="W958" s="677"/>
      <c r="X958" s="678" t="s">
        <v>159</v>
      </c>
      <c r="Y958" s="678"/>
      <c r="Z958" s="678"/>
      <c r="AA958" s="678"/>
      <c r="AB958" s="679" t="s">
        <v>159</v>
      </c>
      <c r="AC958" s="679"/>
      <c r="AD958" s="679"/>
      <c r="AE958" s="679"/>
      <c r="AF958" s="680"/>
      <c r="AG958" s="681"/>
      <c r="AH958" s="680"/>
      <c r="AI958" s="681"/>
      <c r="AJ958" s="682"/>
      <c r="AK958" s="683"/>
      <c r="AL958" s="684" t="s">
        <v>162</v>
      </c>
      <c r="AM958" s="685"/>
      <c r="AN958" s="666" t="s">
        <v>162</v>
      </c>
      <c r="AO958" s="667"/>
      <c r="AP958" s="686"/>
      <c r="AQ958" s="687"/>
      <c r="AR958" s="688"/>
      <c r="AS958" s="689"/>
      <c r="AT958" s="690"/>
      <c r="AU958" s="691"/>
      <c r="AV958" s="666" t="s">
        <v>162</v>
      </c>
      <c r="AW958" s="667"/>
      <c r="AX958" s="692"/>
      <c r="AY958" s="693"/>
      <c r="AZ958" s="694"/>
      <c r="BA958" s="682"/>
      <c r="BB958" s="683"/>
      <c r="BC958" s="14"/>
      <c r="BD958" s="695" t="s">
        <v>162</v>
      </c>
      <c r="BE958" s="696"/>
      <c r="BF958" s="697"/>
      <c r="BG958" s="698"/>
      <c r="BH958" s="698"/>
      <c r="BI958" s="699"/>
      <c r="BJ958" s="700" t="s">
        <v>159</v>
      </c>
      <c r="BK958" s="701"/>
      <c r="BL958" s="701"/>
      <c r="BM958" s="702"/>
      <c r="BN958" s="703" t="s">
        <v>159</v>
      </c>
      <c r="BO958" s="704"/>
      <c r="BP958" s="704"/>
      <c r="BQ958" s="704"/>
      <c r="BR958" s="704"/>
      <c r="BS958" s="704"/>
      <c r="BT958" s="704"/>
      <c r="BU958" s="704"/>
      <c r="BV958" s="705"/>
    </row>
    <row r="959" spans="1:74" ht="45" customHeight="1" x14ac:dyDescent="0.25">
      <c r="A959" s="10">
        <f t="shared" si="14"/>
        <v>945</v>
      </c>
      <c r="B959" s="711" t="s">
        <v>159</v>
      </c>
      <c r="C959" s="711"/>
      <c r="D959" s="712" t="s">
        <v>212</v>
      </c>
      <c r="E959" s="712"/>
      <c r="F959" s="664" t="s">
        <v>162</v>
      </c>
      <c r="G959" s="665"/>
      <c r="H959" s="755" t="s">
        <v>162</v>
      </c>
      <c r="I959" s="667"/>
      <c r="J959" s="706"/>
      <c r="K959" s="707"/>
      <c r="L959" s="706"/>
      <c r="M959" s="707"/>
      <c r="N959" s="215"/>
      <c r="O959" s="216"/>
      <c r="P959" s="670"/>
      <c r="Q959" s="671"/>
      <c r="R959" s="719"/>
      <c r="S959" s="720"/>
      <c r="T959" s="721"/>
      <c r="U959" s="722"/>
      <c r="V959" s="723"/>
      <c r="W959" s="724"/>
      <c r="X959" s="725" t="s">
        <v>159</v>
      </c>
      <c r="Y959" s="725"/>
      <c r="Z959" s="725"/>
      <c r="AA959" s="725"/>
      <c r="AB959" s="726" t="s">
        <v>159</v>
      </c>
      <c r="AC959" s="726"/>
      <c r="AD959" s="726"/>
      <c r="AE959" s="726"/>
      <c r="AF959" s="727"/>
      <c r="AG959" s="728"/>
      <c r="AH959" s="727"/>
      <c r="AI959" s="728"/>
      <c r="AJ959" s="682"/>
      <c r="AK959" s="683"/>
      <c r="AL959" s="664" t="s">
        <v>162</v>
      </c>
      <c r="AM959" s="665"/>
      <c r="AN959" s="713" t="s">
        <v>162</v>
      </c>
      <c r="AO959" s="714"/>
      <c r="AP959" s="729"/>
      <c r="AQ959" s="730"/>
      <c r="AR959" s="731"/>
      <c r="AS959" s="732"/>
      <c r="AT959" s="733"/>
      <c r="AU959" s="734"/>
      <c r="AV959" s="713" t="s">
        <v>162</v>
      </c>
      <c r="AW959" s="714"/>
      <c r="AX959" s="692"/>
      <c r="AY959" s="693"/>
      <c r="AZ959" s="694"/>
      <c r="BA959" s="735"/>
      <c r="BB959" s="736"/>
      <c r="BC959" s="219"/>
      <c r="BD959" s="737" t="s">
        <v>162</v>
      </c>
      <c r="BE959" s="738"/>
      <c r="BF959" s="739"/>
      <c r="BG959" s="740"/>
      <c r="BH959" s="740"/>
      <c r="BI959" s="741"/>
      <c r="BJ959" s="742" t="s">
        <v>159</v>
      </c>
      <c r="BK959" s="743"/>
      <c r="BL959" s="743"/>
      <c r="BM959" s="744"/>
      <c r="BN959" s="703" t="s">
        <v>159</v>
      </c>
      <c r="BO959" s="704"/>
      <c r="BP959" s="704"/>
      <c r="BQ959" s="704"/>
      <c r="BR959" s="704"/>
      <c r="BS959" s="704"/>
      <c r="BT959" s="704"/>
      <c r="BU959" s="704"/>
      <c r="BV959" s="705"/>
    </row>
    <row r="960" spans="1:74" ht="45" customHeight="1" x14ac:dyDescent="0.25">
      <c r="A960" s="10">
        <f t="shared" si="14"/>
        <v>946</v>
      </c>
      <c r="B960" s="662" t="s">
        <v>159</v>
      </c>
      <c r="C960" s="662"/>
      <c r="D960" s="663" t="s">
        <v>212</v>
      </c>
      <c r="E960" s="663"/>
      <c r="F960" s="664" t="s">
        <v>162</v>
      </c>
      <c r="G960" s="665"/>
      <c r="H960" s="754" t="s">
        <v>162</v>
      </c>
      <c r="I960" s="714"/>
      <c r="J960" s="715"/>
      <c r="K960" s="716"/>
      <c r="L960" s="715"/>
      <c r="M960" s="716"/>
      <c r="N960" s="194"/>
      <c r="O960" s="196"/>
      <c r="P960" s="717"/>
      <c r="Q960" s="718"/>
      <c r="R960" s="672"/>
      <c r="S960" s="673"/>
      <c r="T960" s="674"/>
      <c r="U960" s="675"/>
      <c r="V960" s="676"/>
      <c r="W960" s="677"/>
      <c r="X960" s="678" t="s">
        <v>159</v>
      </c>
      <c r="Y960" s="678"/>
      <c r="Z960" s="678"/>
      <c r="AA960" s="678"/>
      <c r="AB960" s="679" t="s">
        <v>159</v>
      </c>
      <c r="AC960" s="679"/>
      <c r="AD960" s="679"/>
      <c r="AE960" s="679"/>
      <c r="AF960" s="680"/>
      <c r="AG960" s="681"/>
      <c r="AH960" s="680"/>
      <c r="AI960" s="681"/>
      <c r="AJ960" s="682"/>
      <c r="AK960" s="683"/>
      <c r="AL960" s="684" t="s">
        <v>162</v>
      </c>
      <c r="AM960" s="685"/>
      <c r="AN960" s="666" t="s">
        <v>162</v>
      </c>
      <c r="AO960" s="667"/>
      <c r="AP960" s="686"/>
      <c r="AQ960" s="687"/>
      <c r="AR960" s="688"/>
      <c r="AS960" s="689"/>
      <c r="AT960" s="690"/>
      <c r="AU960" s="691"/>
      <c r="AV960" s="666" t="s">
        <v>162</v>
      </c>
      <c r="AW960" s="667"/>
      <c r="AX960" s="692"/>
      <c r="AY960" s="693"/>
      <c r="AZ960" s="694"/>
      <c r="BA960" s="682"/>
      <c r="BB960" s="683"/>
      <c r="BC960" s="14"/>
      <c r="BD960" s="695" t="s">
        <v>162</v>
      </c>
      <c r="BE960" s="696"/>
      <c r="BF960" s="697"/>
      <c r="BG960" s="698"/>
      <c r="BH960" s="698"/>
      <c r="BI960" s="699"/>
      <c r="BJ960" s="700" t="s">
        <v>159</v>
      </c>
      <c r="BK960" s="701"/>
      <c r="BL960" s="701"/>
      <c r="BM960" s="702"/>
      <c r="BN960" s="703" t="s">
        <v>159</v>
      </c>
      <c r="BO960" s="704"/>
      <c r="BP960" s="704"/>
      <c r="BQ960" s="704"/>
      <c r="BR960" s="704"/>
      <c r="BS960" s="704"/>
      <c r="BT960" s="704"/>
      <c r="BU960" s="704"/>
      <c r="BV960" s="705"/>
    </row>
    <row r="961" spans="1:74" ht="45" customHeight="1" x14ac:dyDescent="0.25">
      <c r="A961" s="10">
        <f t="shared" si="14"/>
        <v>947</v>
      </c>
      <c r="B961" s="711" t="s">
        <v>159</v>
      </c>
      <c r="C961" s="711"/>
      <c r="D961" s="712" t="s">
        <v>212</v>
      </c>
      <c r="E961" s="712"/>
      <c r="F961" s="664" t="s">
        <v>162</v>
      </c>
      <c r="G961" s="665"/>
      <c r="H961" s="755" t="s">
        <v>162</v>
      </c>
      <c r="I961" s="667"/>
      <c r="J961" s="706"/>
      <c r="K961" s="707"/>
      <c r="L961" s="706"/>
      <c r="M961" s="707"/>
      <c r="N961" s="215"/>
      <c r="O961" s="216"/>
      <c r="P961" s="670"/>
      <c r="Q961" s="671"/>
      <c r="R961" s="719"/>
      <c r="S961" s="720"/>
      <c r="T961" s="721"/>
      <c r="U961" s="722"/>
      <c r="V961" s="723"/>
      <c r="W961" s="724"/>
      <c r="X961" s="725" t="s">
        <v>159</v>
      </c>
      <c r="Y961" s="725"/>
      <c r="Z961" s="725"/>
      <c r="AA961" s="725"/>
      <c r="AB961" s="726" t="s">
        <v>159</v>
      </c>
      <c r="AC961" s="726"/>
      <c r="AD961" s="726"/>
      <c r="AE961" s="726"/>
      <c r="AF961" s="727"/>
      <c r="AG961" s="728"/>
      <c r="AH961" s="727"/>
      <c r="AI961" s="728"/>
      <c r="AJ961" s="682"/>
      <c r="AK961" s="683"/>
      <c r="AL961" s="664" t="s">
        <v>162</v>
      </c>
      <c r="AM961" s="665"/>
      <c r="AN961" s="713" t="s">
        <v>162</v>
      </c>
      <c r="AO961" s="714"/>
      <c r="AP961" s="729"/>
      <c r="AQ961" s="730"/>
      <c r="AR961" s="731"/>
      <c r="AS961" s="732"/>
      <c r="AT961" s="733"/>
      <c r="AU961" s="734"/>
      <c r="AV961" s="713" t="s">
        <v>162</v>
      </c>
      <c r="AW961" s="714"/>
      <c r="AX961" s="692"/>
      <c r="AY961" s="693"/>
      <c r="AZ961" s="694"/>
      <c r="BA961" s="735"/>
      <c r="BB961" s="736"/>
      <c r="BC961" s="219"/>
      <c r="BD961" s="737" t="s">
        <v>162</v>
      </c>
      <c r="BE961" s="738"/>
      <c r="BF961" s="739"/>
      <c r="BG961" s="740"/>
      <c r="BH961" s="740"/>
      <c r="BI961" s="741"/>
      <c r="BJ961" s="742" t="s">
        <v>159</v>
      </c>
      <c r="BK961" s="743"/>
      <c r="BL961" s="743"/>
      <c r="BM961" s="744"/>
      <c r="BN961" s="703" t="s">
        <v>159</v>
      </c>
      <c r="BO961" s="704"/>
      <c r="BP961" s="704"/>
      <c r="BQ961" s="704"/>
      <c r="BR961" s="704"/>
      <c r="BS961" s="704"/>
      <c r="BT961" s="704"/>
      <c r="BU961" s="704"/>
      <c r="BV961" s="705"/>
    </row>
    <row r="962" spans="1:74" ht="45" customHeight="1" x14ac:dyDescent="0.25">
      <c r="A962" s="10">
        <f t="shared" si="14"/>
        <v>948</v>
      </c>
      <c r="B962" s="662" t="s">
        <v>159</v>
      </c>
      <c r="C962" s="662"/>
      <c r="D962" s="663" t="s">
        <v>212</v>
      </c>
      <c r="E962" s="663"/>
      <c r="F962" s="664" t="s">
        <v>162</v>
      </c>
      <c r="G962" s="665"/>
      <c r="H962" s="754" t="s">
        <v>162</v>
      </c>
      <c r="I962" s="714"/>
      <c r="J962" s="715"/>
      <c r="K962" s="716"/>
      <c r="L962" s="715"/>
      <c r="M962" s="716"/>
      <c r="N962" s="194"/>
      <c r="O962" s="196"/>
      <c r="P962" s="717"/>
      <c r="Q962" s="718"/>
      <c r="R962" s="672"/>
      <c r="S962" s="673"/>
      <c r="T962" s="674"/>
      <c r="U962" s="675"/>
      <c r="V962" s="676"/>
      <c r="W962" s="677"/>
      <c r="X962" s="678" t="s">
        <v>159</v>
      </c>
      <c r="Y962" s="678"/>
      <c r="Z962" s="678"/>
      <c r="AA962" s="678"/>
      <c r="AB962" s="679" t="s">
        <v>159</v>
      </c>
      <c r="AC962" s="679"/>
      <c r="AD962" s="679"/>
      <c r="AE962" s="679"/>
      <c r="AF962" s="680"/>
      <c r="AG962" s="681"/>
      <c r="AH962" s="680"/>
      <c r="AI962" s="681"/>
      <c r="AJ962" s="682"/>
      <c r="AK962" s="683"/>
      <c r="AL962" s="684" t="s">
        <v>162</v>
      </c>
      <c r="AM962" s="685"/>
      <c r="AN962" s="666" t="s">
        <v>162</v>
      </c>
      <c r="AO962" s="667"/>
      <c r="AP962" s="686"/>
      <c r="AQ962" s="687"/>
      <c r="AR962" s="688"/>
      <c r="AS962" s="689"/>
      <c r="AT962" s="690"/>
      <c r="AU962" s="691"/>
      <c r="AV962" s="666" t="s">
        <v>162</v>
      </c>
      <c r="AW962" s="667"/>
      <c r="AX962" s="692"/>
      <c r="AY962" s="693"/>
      <c r="AZ962" s="694"/>
      <c r="BA962" s="682"/>
      <c r="BB962" s="683"/>
      <c r="BC962" s="14"/>
      <c r="BD962" s="695" t="s">
        <v>162</v>
      </c>
      <c r="BE962" s="696"/>
      <c r="BF962" s="708"/>
      <c r="BG962" s="709"/>
      <c r="BH962" s="709"/>
      <c r="BI962" s="710"/>
      <c r="BJ962" s="700" t="s">
        <v>159</v>
      </c>
      <c r="BK962" s="701"/>
      <c r="BL962" s="701"/>
      <c r="BM962" s="702"/>
      <c r="BN962" s="703" t="s">
        <v>159</v>
      </c>
      <c r="BO962" s="704"/>
      <c r="BP962" s="704"/>
      <c r="BQ962" s="704"/>
      <c r="BR962" s="704"/>
      <c r="BS962" s="704"/>
      <c r="BT962" s="704"/>
      <c r="BU962" s="704"/>
      <c r="BV962" s="705"/>
    </row>
    <row r="963" spans="1:74" ht="45" customHeight="1" x14ac:dyDescent="0.25">
      <c r="A963" s="10">
        <f t="shared" si="14"/>
        <v>949</v>
      </c>
      <c r="B963" s="711" t="s">
        <v>159</v>
      </c>
      <c r="C963" s="711"/>
      <c r="D963" s="712" t="s">
        <v>212</v>
      </c>
      <c r="E963" s="712"/>
      <c r="F963" s="664" t="s">
        <v>162</v>
      </c>
      <c r="G963" s="665"/>
      <c r="H963" s="755" t="s">
        <v>162</v>
      </c>
      <c r="I963" s="667"/>
      <c r="J963" s="706"/>
      <c r="K963" s="707"/>
      <c r="L963" s="706"/>
      <c r="M963" s="707"/>
      <c r="N963" s="215"/>
      <c r="O963" s="216"/>
      <c r="P963" s="670"/>
      <c r="Q963" s="671"/>
      <c r="R963" s="719"/>
      <c r="S963" s="720"/>
      <c r="T963" s="721"/>
      <c r="U963" s="722"/>
      <c r="V963" s="723"/>
      <c r="W963" s="724"/>
      <c r="X963" s="725" t="s">
        <v>159</v>
      </c>
      <c r="Y963" s="725"/>
      <c r="Z963" s="725"/>
      <c r="AA963" s="725"/>
      <c r="AB963" s="726" t="s">
        <v>159</v>
      </c>
      <c r="AC963" s="726"/>
      <c r="AD963" s="726"/>
      <c r="AE963" s="726"/>
      <c r="AF963" s="727"/>
      <c r="AG963" s="728"/>
      <c r="AH963" s="727"/>
      <c r="AI963" s="728"/>
      <c r="AJ963" s="682"/>
      <c r="AK963" s="683"/>
      <c r="AL963" s="664" t="s">
        <v>162</v>
      </c>
      <c r="AM963" s="665"/>
      <c r="AN963" s="713" t="s">
        <v>162</v>
      </c>
      <c r="AO963" s="714"/>
      <c r="AP963" s="729"/>
      <c r="AQ963" s="730"/>
      <c r="AR963" s="731"/>
      <c r="AS963" s="732"/>
      <c r="AT963" s="733"/>
      <c r="AU963" s="734"/>
      <c r="AV963" s="713" t="s">
        <v>162</v>
      </c>
      <c r="AW963" s="714"/>
      <c r="AX963" s="692"/>
      <c r="AY963" s="693"/>
      <c r="AZ963" s="694"/>
      <c r="BA963" s="735"/>
      <c r="BB963" s="736"/>
      <c r="BC963" s="219"/>
      <c r="BD963" s="737" t="s">
        <v>162</v>
      </c>
      <c r="BE963" s="738"/>
      <c r="BF963" s="739"/>
      <c r="BG963" s="740"/>
      <c r="BH963" s="740"/>
      <c r="BI963" s="741"/>
      <c r="BJ963" s="742" t="s">
        <v>159</v>
      </c>
      <c r="BK963" s="743"/>
      <c r="BL963" s="743"/>
      <c r="BM963" s="744"/>
      <c r="BN963" s="703" t="s">
        <v>159</v>
      </c>
      <c r="BO963" s="704"/>
      <c r="BP963" s="704"/>
      <c r="BQ963" s="704"/>
      <c r="BR963" s="704"/>
      <c r="BS963" s="704"/>
      <c r="BT963" s="704"/>
      <c r="BU963" s="704"/>
      <c r="BV963" s="705"/>
    </row>
    <row r="964" spans="1:74" ht="45" customHeight="1" x14ac:dyDescent="0.25">
      <c r="A964" s="10">
        <f t="shared" si="14"/>
        <v>950</v>
      </c>
      <c r="B964" s="662" t="s">
        <v>159</v>
      </c>
      <c r="C964" s="662"/>
      <c r="D964" s="663" t="s">
        <v>212</v>
      </c>
      <c r="E964" s="663"/>
      <c r="F964" s="664" t="s">
        <v>162</v>
      </c>
      <c r="G964" s="665"/>
      <c r="H964" s="754" t="s">
        <v>162</v>
      </c>
      <c r="I964" s="714"/>
      <c r="J964" s="715"/>
      <c r="K964" s="716"/>
      <c r="L964" s="715"/>
      <c r="M964" s="716"/>
      <c r="N964" s="194"/>
      <c r="O964" s="196"/>
      <c r="P964" s="717"/>
      <c r="Q964" s="718"/>
      <c r="R964" s="672"/>
      <c r="S964" s="673"/>
      <c r="T964" s="674"/>
      <c r="U964" s="675"/>
      <c r="V964" s="676"/>
      <c r="W964" s="677"/>
      <c r="X964" s="678" t="s">
        <v>159</v>
      </c>
      <c r="Y964" s="678"/>
      <c r="Z964" s="678"/>
      <c r="AA964" s="678"/>
      <c r="AB964" s="679" t="s">
        <v>159</v>
      </c>
      <c r="AC964" s="679"/>
      <c r="AD964" s="679"/>
      <c r="AE964" s="679"/>
      <c r="AF964" s="680"/>
      <c r="AG964" s="681"/>
      <c r="AH964" s="680"/>
      <c r="AI964" s="681"/>
      <c r="AJ964" s="682"/>
      <c r="AK964" s="683"/>
      <c r="AL964" s="684" t="s">
        <v>162</v>
      </c>
      <c r="AM964" s="685"/>
      <c r="AN964" s="666" t="s">
        <v>162</v>
      </c>
      <c r="AO964" s="667"/>
      <c r="AP964" s="686"/>
      <c r="AQ964" s="687"/>
      <c r="AR964" s="688"/>
      <c r="AS964" s="689"/>
      <c r="AT964" s="690"/>
      <c r="AU964" s="691"/>
      <c r="AV964" s="666" t="s">
        <v>162</v>
      </c>
      <c r="AW964" s="667"/>
      <c r="AX964" s="692"/>
      <c r="AY964" s="693"/>
      <c r="AZ964" s="694"/>
      <c r="BA964" s="682"/>
      <c r="BB964" s="683"/>
      <c r="BC964" s="14"/>
      <c r="BD964" s="695" t="s">
        <v>162</v>
      </c>
      <c r="BE964" s="696"/>
      <c r="BF964" s="697"/>
      <c r="BG964" s="698"/>
      <c r="BH964" s="698"/>
      <c r="BI964" s="699"/>
      <c r="BJ964" s="700" t="s">
        <v>159</v>
      </c>
      <c r="BK964" s="701"/>
      <c r="BL964" s="701"/>
      <c r="BM964" s="702"/>
      <c r="BN964" s="703" t="s">
        <v>159</v>
      </c>
      <c r="BO964" s="704"/>
      <c r="BP964" s="704"/>
      <c r="BQ964" s="704"/>
      <c r="BR964" s="704"/>
      <c r="BS964" s="704"/>
      <c r="BT964" s="704"/>
      <c r="BU964" s="704"/>
      <c r="BV964" s="705"/>
    </row>
    <row r="965" spans="1:74" ht="45" customHeight="1" x14ac:dyDescent="0.25">
      <c r="A965" s="10">
        <f t="shared" si="14"/>
        <v>951</v>
      </c>
      <c r="B965" s="711" t="s">
        <v>159</v>
      </c>
      <c r="C965" s="711"/>
      <c r="D965" s="712" t="s">
        <v>212</v>
      </c>
      <c r="E965" s="712"/>
      <c r="F965" s="664" t="s">
        <v>162</v>
      </c>
      <c r="G965" s="665"/>
      <c r="H965" s="755" t="s">
        <v>162</v>
      </c>
      <c r="I965" s="667"/>
      <c r="J965" s="706"/>
      <c r="K965" s="707"/>
      <c r="L965" s="706"/>
      <c r="M965" s="707"/>
      <c r="N965" s="194"/>
      <c r="O965" s="196"/>
      <c r="P965" s="717"/>
      <c r="Q965" s="718"/>
      <c r="R965" s="719"/>
      <c r="S965" s="720"/>
      <c r="T965" s="721"/>
      <c r="U965" s="722"/>
      <c r="V965" s="723"/>
      <c r="W965" s="724"/>
      <c r="X965" s="725" t="s">
        <v>159</v>
      </c>
      <c r="Y965" s="725"/>
      <c r="Z965" s="725"/>
      <c r="AA965" s="725"/>
      <c r="AB965" s="726" t="s">
        <v>159</v>
      </c>
      <c r="AC965" s="726"/>
      <c r="AD965" s="726"/>
      <c r="AE965" s="726"/>
      <c r="AF965" s="727"/>
      <c r="AG965" s="728"/>
      <c r="AH965" s="727"/>
      <c r="AI965" s="728"/>
      <c r="AJ965" s="682"/>
      <c r="AK965" s="683"/>
      <c r="AL965" s="664" t="s">
        <v>162</v>
      </c>
      <c r="AM965" s="665"/>
      <c r="AN965" s="713" t="s">
        <v>162</v>
      </c>
      <c r="AO965" s="714"/>
      <c r="AP965" s="729"/>
      <c r="AQ965" s="730"/>
      <c r="AR965" s="731"/>
      <c r="AS965" s="732"/>
      <c r="AT965" s="690"/>
      <c r="AU965" s="691"/>
      <c r="AV965" s="713" t="s">
        <v>162</v>
      </c>
      <c r="AW965" s="714"/>
      <c r="AX965" s="692"/>
      <c r="AY965" s="693"/>
      <c r="AZ965" s="694"/>
      <c r="BA965" s="735"/>
      <c r="BB965" s="736"/>
      <c r="BC965" s="219"/>
      <c r="BD965" s="737" t="s">
        <v>162</v>
      </c>
      <c r="BE965" s="738"/>
      <c r="BF965" s="739"/>
      <c r="BG965" s="740"/>
      <c r="BH965" s="740"/>
      <c r="BI965" s="741"/>
      <c r="BJ965" s="742" t="s">
        <v>159</v>
      </c>
      <c r="BK965" s="743"/>
      <c r="BL965" s="743"/>
      <c r="BM965" s="744"/>
      <c r="BN965" s="703" t="s">
        <v>159</v>
      </c>
      <c r="BO965" s="704"/>
      <c r="BP965" s="704"/>
      <c r="BQ965" s="704"/>
      <c r="BR965" s="704"/>
      <c r="BS965" s="704"/>
      <c r="BT965" s="704"/>
      <c r="BU965" s="704"/>
      <c r="BV965" s="705"/>
    </row>
    <row r="966" spans="1:74" ht="45" customHeight="1" x14ac:dyDescent="0.25">
      <c r="A966" s="10">
        <f t="shared" si="14"/>
        <v>952</v>
      </c>
      <c r="B966" s="662" t="s">
        <v>159</v>
      </c>
      <c r="C966" s="662"/>
      <c r="D966" s="663" t="s">
        <v>212</v>
      </c>
      <c r="E966" s="663"/>
      <c r="F966" s="664" t="s">
        <v>162</v>
      </c>
      <c r="G966" s="665"/>
      <c r="H966" s="754" t="s">
        <v>162</v>
      </c>
      <c r="I966" s="714"/>
      <c r="J966" s="715"/>
      <c r="K966" s="716"/>
      <c r="L966" s="715"/>
      <c r="M966" s="716"/>
      <c r="N966" s="215"/>
      <c r="O966" s="216"/>
      <c r="P966" s="670"/>
      <c r="Q966" s="671"/>
      <c r="R966" s="672"/>
      <c r="S966" s="673"/>
      <c r="T966" s="674"/>
      <c r="U966" s="675"/>
      <c r="V966" s="676"/>
      <c r="W966" s="677"/>
      <c r="X966" s="678" t="s">
        <v>159</v>
      </c>
      <c r="Y966" s="678"/>
      <c r="Z966" s="678"/>
      <c r="AA966" s="678"/>
      <c r="AB966" s="679" t="s">
        <v>159</v>
      </c>
      <c r="AC966" s="679"/>
      <c r="AD966" s="679"/>
      <c r="AE966" s="679"/>
      <c r="AF966" s="680"/>
      <c r="AG966" s="681"/>
      <c r="AH966" s="680"/>
      <c r="AI966" s="681"/>
      <c r="AJ966" s="682"/>
      <c r="AK966" s="683"/>
      <c r="AL966" s="684" t="s">
        <v>162</v>
      </c>
      <c r="AM966" s="685"/>
      <c r="AN966" s="666" t="s">
        <v>162</v>
      </c>
      <c r="AO966" s="667"/>
      <c r="AP966" s="686"/>
      <c r="AQ966" s="687"/>
      <c r="AR966" s="688"/>
      <c r="AS966" s="689"/>
      <c r="AT966" s="690"/>
      <c r="AU966" s="691"/>
      <c r="AV966" s="666" t="s">
        <v>162</v>
      </c>
      <c r="AW966" s="667"/>
      <c r="AX966" s="692"/>
      <c r="AY966" s="693"/>
      <c r="AZ966" s="694"/>
      <c r="BA966" s="682"/>
      <c r="BB966" s="683"/>
      <c r="BC966" s="14"/>
      <c r="BD966" s="695" t="s">
        <v>162</v>
      </c>
      <c r="BE966" s="696"/>
      <c r="BF966" s="697"/>
      <c r="BG966" s="698"/>
      <c r="BH966" s="698"/>
      <c r="BI966" s="699"/>
      <c r="BJ966" s="700" t="s">
        <v>159</v>
      </c>
      <c r="BK966" s="701"/>
      <c r="BL966" s="701"/>
      <c r="BM966" s="702"/>
      <c r="BN966" s="703" t="s">
        <v>159</v>
      </c>
      <c r="BO966" s="704"/>
      <c r="BP966" s="704"/>
      <c r="BQ966" s="704"/>
      <c r="BR966" s="704"/>
      <c r="BS966" s="704"/>
      <c r="BT966" s="704"/>
      <c r="BU966" s="704"/>
      <c r="BV966" s="705"/>
    </row>
    <row r="967" spans="1:74" ht="45" customHeight="1" x14ac:dyDescent="0.25">
      <c r="A967" s="10">
        <f t="shared" si="14"/>
        <v>953</v>
      </c>
      <c r="B967" s="711" t="s">
        <v>159</v>
      </c>
      <c r="C967" s="711"/>
      <c r="D967" s="712" t="s">
        <v>212</v>
      </c>
      <c r="E967" s="712"/>
      <c r="F967" s="664" t="s">
        <v>162</v>
      </c>
      <c r="G967" s="665"/>
      <c r="H967" s="755" t="s">
        <v>162</v>
      </c>
      <c r="I967" s="667"/>
      <c r="J967" s="706"/>
      <c r="K967" s="707"/>
      <c r="L967" s="706"/>
      <c r="M967" s="707"/>
      <c r="N967" s="194"/>
      <c r="O967" s="196"/>
      <c r="P967" s="717"/>
      <c r="Q967" s="718"/>
      <c r="R967" s="719"/>
      <c r="S967" s="720"/>
      <c r="T967" s="721"/>
      <c r="U967" s="722"/>
      <c r="V967" s="723"/>
      <c r="W967" s="724"/>
      <c r="X967" s="725" t="s">
        <v>159</v>
      </c>
      <c r="Y967" s="725"/>
      <c r="Z967" s="725"/>
      <c r="AA967" s="725"/>
      <c r="AB967" s="726" t="s">
        <v>159</v>
      </c>
      <c r="AC967" s="726"/>
      <c r="AD967" s="726"/>
      <c r="AE967" s="726"/>
      <c r="AF967" s="727"/>
      <c r="AG967" s="728"/>
      <c r="AH967" s="727"/>
      <c r="AI967" s="728"/>
      <c r="AJ967" s="682"/>
      <c r="AK967" s="683"/>
      <c r="AL967" s="664" t="s">
        <v>162</v>
      </c>
      <c r="AM967" s="665"/>
      <c r="AN967" s="713" t="s">
        <v>162</v>
      </c>
      <c r="AO967" s="714"/>
      <c r="AP967" s="729"/>
      <c r="AQ967" s="730"/>
      <c r="AR967" s="731"/>
      <c r="AS967" s="732"/>
      <c r="AT967" s="690"/>
      <c r="AU967" s="691"/>
      <c r="AV967" s="713" t="s">
        <v>162</v>
      </c>
      <c r="AW967" s="714"/>
      <c r="AX967" s="692"/>
      <c r="AY967" s="693"/>
      <c r="AZ967" s="694"/>
      <c r="BA967" s="735"/>
      <c r="BB967" s="736"/>
      <c r="BC967" s="219"/>
      <c r="BD967" s="737" t="s">
        <v>162</v>
      </c>
      <c r="BE967" s="738"/>
      <c r="BF967" s="739"/>
      <c r="BG967" s="740"/>
      <c r="BH967" s="740"/>
      <c r="BI967" s="741"/>
      <c r="BJ967" s="742" t="s">
        <v>159</v>
      </c>
      <c r="BK967" s="743"/>
      <c r="BL967" s="743"/>
      <c r="BM967" s="744"/>
      <c r="BN967" s="703" t="s">
        <v>159</v>
      </c>
      <c r="BO967" s="704"/>
      <c r="BP967" s="704"/>
      <c r="BQ967" s="704"/>
      <c r="BR967" s="704"/>
      <c r="BS967" s="704"/>
      <c r="BT967" s="704"/>
      <c r="BU967" s="704"/>
      <c r="BV967" s="705"/>
    </row>
    <row r="968" spans="1:74" ht="45" customHeight="1" x14ac:dyDescent="0.25">
      <c r="A968" s="10">
        <f t="shared" si="14"/>
        <v>954</v>
      </c>
      <c r="B968" s="662" t="s">
        <v>159</v>
      </c>
      <c r="C968" s="662"/>
      <c r="D968" s="663" t="s">
        <v>212</v>
      </c>
      <c r="E968" s="663"/>
      <c r="F968" s="664" t="s">
        <v>162</v>
      </c>
      <c r="G968" s="665"/>
      <c r="H968" s="754" t="s">
        <v>162</v>
      </c>
      <c r="I968" s="714"/>
      <c r="J968" s="715"/>
      <c r="K968" s="716"/>
      <c r="L968" s="715"/>
      <c r="M968" s="716"/>
      <c r="N968" s="215"/>
      <c r="O968" s="216"/>
      <c r="P968" s="670"/>
      <c r="Q968" s="671"/>
      <c r="R968" s="672"/>
      <c r="S968" s="673"/>
      <c r="T968" s="674"/>
      <c r="U968" s="675"/>
      <c r="V968" s="676"/>
      <c r="W968" s="677"/>
      <c r="X968" s="678" t="s">
        <v>159</v>
      </c>
      <c r="Y968" s="678"/>
      <c r="Z968" s="678"/>
      <c r="AA968" s="678"/>
      <c r="AB968" s="679" t="s">
        <v>159</v>
      </c>
      <c r="AC968" s="679"/>
      <c r="AD968" s="679"/>
      <c r="AE968" s="679"/>
      <c r="AF968" s="680"/>
      <c r="AG968" s="681"/>
      <c r="AH968" s="680"/>
      <c r="AI968" s="681"/>
      <c r="AJ968" s="682"/>
      <c r="AK968" s="683"/>
      <c r="AL968" s="684" t="s">
        <v>162</v>
      </c>
      <c r="AM968" s="685"/>
      <c r="AN968" s="666" t="s">
        <v>162</v>
      </c>
      <c r="AO968" s="667"/>
      <c r="AP968" s="686"/>
      <c r="AQ968" s="687"/>
      <c r="AR968" s="688"/>
      <c r="AS968" s="689"/>
      <c r="AT968" s="690"/>
      <c r="AU968" s="691"/>
      <c r="AV968" s="666" t="s">
        <v>162</v>
      </c>
      <c r="AW968" s="667"/>
      <c r="AX968" s="692"/>
      <c r="AY968" s="693"/>
      <c r="AZ968" s="694"/>
      <c r="BA968" s="682"/>
      <c r="BB968" s="683"/>
      <c r="BC968" s="14"/>
      <c r="BD968" s="695" t="s">
        <v>162</v>
      </c>
      <c r="BE968" s="696"/>
      <c r="BF968" s="697"/>
      <c r="BG968" s="698"/>
      <c r="BH968" s="698"/>
      <c r="BI968" s="699"/>
      <c r="BJ968" s="700" t="s">
        <v>159</v>
      </c>
      <c r="BK968" s="701"/>
      <c r="BL968" s="701"/>
      <c r="BM968" s="702"/>
      <c r="BN968" s="703" t="s">
        <v>159</v>
      </c>
      <c r="BO968" s="704"/>
      <c r="BP968" s="704"/>
      <c r="BQ968" s="704"/>
      <c r="BR968" s="704"/>
      <c r="BS968" s="704"/>
      <c r="BT968" s="704"/>
      <c r="BU968" s="704"/>
      <c r="BV968" s="705"/>
    </row>
    <row r="969" spans="1:74" ht="45" customHeight="1" x14ac:dyDescent="0.25">
      <c r="A969" s="10">
        <f t="shared" si="14"/>
        <v>955</v>
      </c>
      <c r="B969" s="711" t="s">
        <v>159</v>
      </c>
      <c r="C969" s="711"/>
      <c r="D969" s="712" t="s">
        <v>212</v>
      </c>
      <c r="E969" s="712"/>
      <c r="F969" s="664" t="s">
        <v>162</v>
      </c>
      <c r="G969" s="665"/>
      <c r="H969" s="755" t="s">
        <v>162</v>
      </c>
      <c r="I969" s="667"/>
      <c r="J969" s="706"/>
      <c r="K969" s="707"/>
      <c r="L969" s="706"/>
      <c r="M969" s="707"/>
      <c r="N969" s="194"/>
      <c r="O969" s="216"/>
      <c r="P969" s="717"/>
      <c r="Q969" s="718"/>
      <c r="R969" s="719"/>
      <c r="S969" s="720"/>
      <c r="T969" s="721"/>
      <c r="U969" s="722"/>
      <c r="V969" s="723"/>
      <c r="W969" s="724"/>
      <c r="X969" s="725" t="s">
        <v>159</v>
      </c>
      <c r="Y969" s="725"/>
      <c r="Z969" s="725"/>
      <c r="AA969" s="725"/>
      <c r="AB969" s="726" t="s">
        <v>159</v>
      </c>
      <c r="AC969" s="726"/>
      <c r="AD969" s="726"/>
      <c r="AE969" s="726"/>
      <c r="AF969" s="727"/>
      <c r="AG969" s="728"/>
      <c r="AH969" s="727"/>
      <c r="AI969" s="728"/>
      <c r="AJ969" s="682"/>
      <c r="AK969" s="683"/>
      <c r="AL969" s="664" t="s">
        <v>162</v>
      </c>
      <c r="AM969" s="665"/>
      <c r="AN969" s="713" t="s">
        <v>162</v>
      </c>
      <c r="AO969" s="714"/>
      <c r="AP969" s="729"/>
      <c r="AQ969" s="730"/>
      <c r="AR969" s="731"/>
      <c r="AS969" s="732"/>
      <c r="AT969" s="733"/>
      <c r="AU969" s="734"/>
      <c r="AV969" s="713" t="s">
        <v>162</v>
      </c>
      <c r="AW969" s="714"/>
      <c r="AX969" s="692"/>
      <c r="AY969" s="693"/>
      <c r="AZ969" s="694"/>
      <c r="BA969" s="735"/>
      <c r="BB969" s="736"/>
      <c r="BC969" s="219"/>
      <c r="BD969" s="737" t="s">
        <v>162</v>
      </c>
      <c r="BE969" s="738"/>
      <c r="BF969" s="739"/>
      <c r="BG969" s="740"/>
      <c r="BH969" s="740"/>
      <c r="BI969" s="741"/>
      <c r="BJ969" s="742" t="s">
        <v>159</v>
      </c>
      <c r="BK969" s="743"/>
      <c r="BL969" s="743"/>
      <c r="BM969" s="744"/>
      <c r="BN969" s="703" t="s">
        <v>159</v>
      </c>
      <c r="BO969" s="704"/>
      <c r="BP969" s="704"/>
      <c r="BQ969" s="704"/>
      <c r="BR969" s="704"/>
      <c r="BS969" s="704"/>
      <c r="BT969" s="704"/>
      <c r="BU969" s="704"/>
      <c r="BV969" s="705"/>
    </row>
    <row r="970" spans="1:74" ht="45" customHeight="1" x14ac:dyDescent="0.25">
      <c r="A970" s="10">
        <f t="shared" si="14"/>
        <v>956</v>
      </c>
      <c r="B970" s="662" t="s">
        <v>159</v>
      </c>
      <c r="C970" s="662"/>
      <c r="D970" s="663" t="s">
        <v>212</v>
      </c>
      <c r="E970" s="663"/>
      <c r="F970" s="664" t="s">
        <v>162</v>
      </c>
      <c r="G970" s="665"/>
      <c r="H970" s="754" t="s">
        <v>162</v>
      </c>
      <c r="I970" s="714"/>
      <c r="J970" s="715"/>
      <c r="K970" s="716"/>
      <c r="L970" s="715"/>
      <c r="M970" s="716"/>
      <c r="N970" s="215"/>
      <c r="O970" s="196"/>
      <c r="P970" s="670"/>
      <c r="Q970" s="671"/>
      <c r="R970" s="672"/>
      <c r="S970" s="673"/>
      <c r="T970" s="674"/>
      <c r="U970" s="675"/>
      <c r="V970" s="676"/>
      <c r="W970" s="677"/>
      <c r="X970" s="678" t="s">
        <v>159</v>
      </c>
      <c r="Y970" s="678"/>
      <c r="Z970" s="678"/>
      <c r="AA970" s="678"/>
      <c r="AB970" s="679" t="s">
        <v>159</v>
      </c>
      <c r="AC970" s="679"/>
      <c r="AD970" s="679"/>
      <c r="AE970" s="679"/>
      <c r="AF970" s="680"/>
      <c r="AG970" s="681"/>
      <c r="AH970" s="680"/>
      <c r="AI970" s="681"/>
      <c r="AJ970" s="682"/>
      <c r="AK970" s="683"/>
      <c r="AL970" s="684" t="s">
        <v>162</v>
      </c>
      <c r="AM970" s="685"/>
      <c r="AN970" s="666" t="s">
        <v>162</v>
      </c>
      <c r="AO970" s="667"/>
      <c r="AP970" s="686"/>
      <c r="AQ970" s="687"/>
      <c r="AR970" s="688"/>
      <c r="AS970" s="689"/>
      <c r="AT970" s="690"/>
      <c r="AU970" s="691"/>
      <c r="AV970" s="666" t="s">
        <v>162</v>
      </c>
      <c r="AW970" s="667"/>
      <c r="AX970" s="692"/>
      <c r="AY970" s="693"/>
      <c r="AZ970" s="694"/>
      <c r="BA970" s="682"/>
      <c r="BB970" s="683"/>
      <c r="BC970" s="14"/>
      <c r="BD970" s="695" t="s">
        <v>162</v>
      </c>
      <c r="BE970" s="696"/>
      <c r="BF970" s="708"/>
      <c r="BG970" s="709"/>
      <c r="BH970" s="709"/>
      <c r="BI970" s="710"/>
      <c r="BJ970" s="700" t="s">
        <v>159</v>
      </c>
      <c r="BK970" s="701"/>
      <c r="BL970" s="701"/>
      <c r="BM970" s="702"/>
      <c r="BN970" s="703" t="s">
        <v>159</v>
      </c>
      <c r="BO970" s="704"/>
      <c r="BP970" s="704"/>
      <c r="BQ970" s="704"/>
      <c r="BR970" s="704"/>
      <c r="BS970" s="704"/>
      <c r="BT970" s="704"/>
      <c r="BU970" s="704"/>
      <c r="BV970" s="705"/>
    </row>
    <row r="971" spans="1:74" ht="45" customHeight="1" x14ac:dyDescent="0.25">
      <c r="A971" s="10">
        <f t="shared" si="14"/>
        <v>957</v>
      </c>
      <c r="B971" s="711" t="s">
        <v>159</v>
      </c>
      <c r="C971" s="711"/>
      <c r="D971" s="712" t="s">
        <v>212</v>
      </c>
      <c r="E971" s="712"/>
      <c r="F971" s="664" t="s">
        <v>162</v>
      </c>
      <c r="G971" s="665"/>
      <c r="H971" s="755" t="s">
        <v>162</v>
      </c>
      <c r="I971" s="667"/>
      <c r="J971" s="706"/>
      <c r="K971" s="707"/>
      <c r="L971" s="706"/>
      <c r="M971" s="707"/>
      <c r="N971" s="194"/>
      <c r="O971" s="216"/>
      <c r="P971" s="717"/>
      <c r="Q971" s="718"/>
      <c r="R971" s="719"/>
      <c r="S971" s="720"/>
      <c r="T971" s="721"/>
      <c r="U971" s="722"/>
      <c r="V971" s="723"/>
      <c r="W971" s="724"/>
      <c r="X971" s="725" t="s">
        <v>159</v>
      </c>
      <c r="Y971" s="725"/>
      <c r="Z971" s="725"/>
      <c r="AA971" s="725"/>
      <c r="AB971" s="726" t="s">
        <v>159</v>
      </c>
      <c r="AC971" s="726"/>
      <c r="AD971" s="726"/>
      <c r="AE971" s="726"/>
      <c r="AF971" s="727"/>
      <c r="AG971" s="728"/>
      <c r="AH971" s="727"/>
      <c r="AI971" s="728"/>
      <c r="AJ971" s="682"/>
      <c r="AK971" s="683"/>
      <c r="AL971" s="664" t="s">
        <v>162</v>
      </c>
      <c r="AM971" s="665"/>
      <c r="AN971" s="713" t="s">
        <v>162</v>
      </c>
      <c r="AO971" s="714"/>
      <c r="AP971" s="729"/>
      <c r="AQ971" s="730"/>
      <c r="AR971" s="731"/>
      <c r="AS971" s="732"/>
      <c r="AT971" s="733"/>
      <c r="AU971" s="734"/>
      <c r="AV971" s="713" t="s">
        <v>162</v>
      </c>
      <c r="AW971" s="714"/>
      <c r="AX971" s="692"/>
      <c r="AY971" s="693"/>
      <c r="AZ971" s="694"/>
      <c r="BA971" s="735"/>
      <c r="BB971" s="736"/>
      <c r="BC971" s="219"/>
      <c r="BD971" s="737" t="s">
        <v>162</v>
      </c>
      <c r="BE971" s="738"/>
      <c r="BF971" s="739"/>
      <c r="BG971" s="740"/>
      <c r="BH971" s="740"/>
      <c r="BI971" s="741"/>
      <c r="BJ971" s="742" t="s">
        <v>159</v>
      </c>
      <c r="BK971" s="743"/>
      <c r="BL971" s="743"/>
      <c r="BM971" s="744"/>
      <c r="BN971" s="703" t="s">
        <v>159</v>
      </c>
      <c r="BO971" s="704"/>
      <c r="BP971" s="704"/>
      <c r="BQ971" s="704"/>
      <c r="BR971" s="704"/>
      <c r="BS971" s="704"/>
      <c r="BT971" s="704"/>
      <c r="BU971" s="704"/>
      <c r="BV971" s="705"/>
    </row>
    <row r="972" spans="1:74" ht="45" customHeight="1" x14ac:dyDescent="0.25">
      <c r="A972" s="10">
        <f t="shared" si="14"/>
        <v>958</v>
      </c>
      <c r="B972" s="662" t="s">
        <v>159</v>
      </c>
      <c r="C972" s="662"/>
      <c r="D972" s="663" t="s">
        <v>212</v>
      </c>
      <c r="E972" s="663"/>
      <c r="F972" s="664" t="s">
        <v>162</v>
      </c>
      <c r="G972" s="665"/>
      <c r="H972" s="754" t="s">
        <v>162</v>
      </c>
      <c r="I972" s="714"/>
      <c r="J972" s="715"/>
      <c r="K972" s="716"/>
      <c r="L972" s="715"/>
      <c r="M972" s="716"/>
      <c r="N972" s="215"/>
      <c r="O972" s="196"/>
      <c r="P972" s="670"/>
      <c r="Q972" s="671"/>
      <c r="R972" s="672"/>
      <c r="S972" s="673"/>
      <c r="T972" s="674"/>
      <c r="U972" s="675"/>
      <c r="V972" s="676"/>
      <c r="W972" s="677"/>
      <c r="X972" s="678" t="s">
        <v>159</v>
      </c>
      <c r="Y972" s="678"/>
      <c r="Z972" s="678"/>
      <c r="AA972" s="678"/>
      <c r="AB972" s="679" t="s">
        <v>159</v>
      </c>
      <c r="AC972" s="679"/>
      <c r="AD972" s="679"/>
      <c r="AE972" s="679"/>
      <c r="AF972" s="680"/>
      <c r="AG972" s="681"/>
      <c r="AH972" s="680"/>
      <c r="AI972" s="681"/>
      <c r="AJ972" s="682"/>
      <c r="AK972" s="683"/>
      <c r="AL972" s="684" t="s">
        <v>162</v>
      </c>
      <c r="AM972" s="685"/>
      <c r="AN972" s="666" t="s">
        <v>162</v>
      </c>
      <c r="AO972" s="667"/>
      <c r="AP972" s="686"/>
      <c r="AQ972" s="687"/>
      <c r="AR972" s="688"/>
      <c r="AS972" s="689"/>
      <c r="AT972" s="690"/>
      <c r="AU972" s="691"/>
      <c r="AV972" s="666" t="s">
        <v>162</v>
      </c>
      <c r="AW972" s="667"/>
      <c r="AX972" s="692"/>
      <c r="AY972" s="693"/>
      <c r="AZ972" s="694"/>
      <c r="BA972" s="682"/>
      <c r="BB972" s="683"/>
      <c r="BC972" s="14"/>
      <c r="BD972" s="695" t="s">
        <v>162</v>
      </c>
      <c r="BE972" s="696"/>
      <c r="BF972" s="697"/>
      <c r="BG972" s="698"/>
      <c r="BH972" s="698"/>
      <c r="BI972" s="699"/>
      <c r="BJ972" s="700" t="s">
        <v>159</v>
      </c>
      <c r="BK972" s="701"/>
      <c r="BL972" s="701"/>
      <c r="BM972" s="702"/>
      <c r="BN972" s="703" t="s">
        <v>159</v>
      </c>
      <c r="BO972" s="704"/>
      <c r="BP972" s="704"/>
      <c r="BQ972" s="704"/>
      <c r="BR972" s="704"/>
      <c r="BS972" s="704"/>
      <c r="BT972" s="704"/>
      <c r="BU972" s="704"/>
      <c r="BV972" s="705"/>
    </row>
    <row r="973" spans="1:74" ht="45" customHeight="1" x14ac:dyDescent="0.25">
      <c r="A973" s="10">
        <f t="shared" si="14"/>
        <v>959</v>
      </c>
      <c r="B973" s="711" t="s">
        <v>159</v>
      </c>
      <c r="C973" s="711"/>
      <c r="D973" s="712" t="s">
        <v>212</v>
      </c>
      <c r="E973" s="712"/>
      <c r="F973" s="664" t="s">
        <v>162</v>
      </c>
      <c r="G973" s="665"/>
      <c r="H973" s="755" t="s">
        <v>162</v>
      </c>
      <c r="I973" s="667"/>
      <c r="J973" s="706"/>
      <c r="K973" s="707"/>
      <c r="L973" s="706"/>
      <c r="M973" s="707"/>
      <c r="N973" s="194"/>
      <c r="O973" s="216"/>
      <c r="P973" s="717"/>
      <c r="Q973" s="718"/>
      <c r="R973" s="719"/>
      <c r="S973" s="720"/>
      <c r="T973" s="721"/>
      <c r="U973" s="722"/>
      <c r="V973" s="723"/>
      <c r="W973" s="724"/>
      <c r="X973" s="725" t="s">
        <v>159</v>
      </c>
      <c r="Y973" s="725"/>
      <c r="Z973" s="725"/>
      <c r="AA973" s="725"/>
      <c r="AB973" s="726" t="s">
        <v>159</v>
      </c>
      <c r="AC973" s="726"/>
      <c r="AD973" s="726"/>
      <c r="AE973" s="726"/>
      <c r="AF973" s="727"/>
      <c r="AG973" s="728"/>
      <c r="AH973" s="727"/>
      <c r="AI973" s="728"/>
      <c r="AJ973" s="682"/>
      <c r="AK973" s="683"/>
      <c r="AL973" s="664" t="s">
        <v>162</v>
      </c>
      <c r="AM973" s="665"/>
      <c r="AN973" s="713" t="s">
        <v>162</v>
      </c>
      <c r="AO973" s="714"/>
      <c r="AP973" s="729"/>
      <c r="AQ973" s="730"/>
      <c r="AR973" s="731"/>
      <c r="AS973" s="732"/>
      <c r="AT973" s="733"/>
      <c r="AU973" s="734"/>
      <c r="AV973" s="713" t="s">
        <v>162</v>
      </c>
      <c r="AW973" s="714"/>
      <c r="AX973" s="692"/>
      <c r="AY973" s="693"/>
      <c r="AZ973" s="694"/>
      <c r="BA973" s="735"/>
      <c r="BB973" s="736"/>
      <c r="BC973" s="219"/>
      <c r="BD973" s="737" t="s">
        <v>162</v>
      </c>
      <c r="BE973" s="738"/>
      <c r="BF973" s="739"/>
      <c r="BG973" s="740"/>
      <c r="BH973" s="740"/>
      <c r="BI973" s="741"/>
      <c r="BJ973" s="742" t="s">
        <v>159</v>
      </c>
      <c r="BK973" s="743"/>
      <c r="BL973" s="743"/>
      <c r="BM973" s="744"/>
      <c r="BN973" s="703" t="s">
        <v>159</v>
      </c>
      <c r="BO973" s="704"/>
      <c r="BP973" s="704"/>
      <c r="BQ973" s="704"/>
      <c r="BR973" s="704"/>
      <c r="BS973" s="704"/>
      <c r="BT973" s="704"/>
      <c r="BU973" s="704"/>
      <c r="BV973" s="705"/>
    </row>
    <row r="974" spans="1:74" ht="45" customHeight="1" x14ac:dyDescent="0.25">
      <c r="A974" s="10">
        <f t="shared" si="14"/>
        <v>960</v>
      </c>
      <c r="B974" s="662" t="s">
        <v>159</v>
      </c>
      <c r="C974" s="662"/>
      <c r="D974" s="663" t="s">
        <v>212</v>
      </c>
      <c r="E974" s="663"/>
      <c r="F974" s="664" t="s">
        <v>162</v>
      </c>
      <c r="G974" s="665"/>
      <c r="H974" s="754" t="s">
        <v>162</v>
      </c>
      <c r="I974" s="714"/>
      <c r="J974" s="715"/>
      <c r="K974" s="716"/>
      <c r="L974" s="715"/>
      <c r="M974" s="716"/>
      <c r="N974" s="215"/>
      <c r="O974" s="196"/>
      <c r="P974" s="670"/>
      <c r="Q974" s="671"/>
      <c r="R974" s="672"/>
      <c r="S974" s="673"/>
      <c r="T974" s="674"/>
      <c r="U974" s="675"/>
      <c r="V974" s="676"/>
      <c r="W974" s="677"/>
      <c r="X974" s="678" t="s">
        <v>159</v>
      </c>
      <c r="Y974" s="678"/>
      <c r="Z974" s="678"/>
      <c r="AA974" s="678"/>
      <c r="AB974" s="679" t="s">
        <v>159</v>
      </c>
      <c r="AC974" s="679"/>
      <c r="AD974" s="679"/>
      <c r="AE974" s="679"/>
      <c r="AF974" s="680"/>
      <c r="AG974" s="681"/>
      <c r="AH974" s="680"/>
      <c r="AI974" s="681"/>
      <c r="AJ974" s="682"/>
      <c r="AK974" s="683"/>
      <c r="AL974" s="684" t="s">
        <v>162</v>
      </c>
      <c r="AM974" s="685"/>
      <c r="AN974" s="666" t="s">
        <v>162</v>
      </c>
      <c r="AO974" s="667"/>
      <c r="AP974" s="686"/>
      <c r="AQ974" s="687"/>
      <c r="AR974" s="688"/>
      <c r="AS974" s="689"/>
      <c r="AT974" s="690"/>
      <c r="AU974" s="691"/>
      <c r="AV974" s="666" t="s">
        <v>162</v>
      </c>
      <c r="AW974" s="667"/>
      <c r="AX974" s="692"/>
      <c r="AY974" s="693"/>
      <c r="AZ974" s="694"/>
      <c r="BA974" s="682"/>
      <c r="BB974" s="683"/>
      <c r="BC974" s="14"/>
      <c r="BD974" s="695" t="s">
        <v>162</v>
      </c>
      <c r="BE974" s="696"/>
      <c r="BF974" s="697"/>
      <c r="BG974" s="698"/>
      <c r="BH974" s="698"/>
      <c r="BI974" s="699"/>
      <c r="BJ974" s="700" t="s">
        <v>159</v>
      </c>
      <c r="BK974" s="701"/>
      <c r="BL974" s="701"/>
      <c r="BM974" s="702"/>
      <c r="BN974" s="703" t="s">
        <v>159</v>
      </c>
      <c r="BO974" s="704"/>
      <c r="BP974" s="704"/>
      <c r="BQ974" s="704"/>
      <c r="BR974" s="704"/>
      <c r="BS974" s="704"/>
      <c r="BT974" s="704"/>
      <c r="BU974" s="704"/>
      <c r="BV974" s="705"/>
    </row>
    <row r="975" spans="1:74" ht="45" customHeight="1" x14ac:dyDescent="0.25">
      <c r="A975" s="10">
        <f t="shared" ref="A975:A1038" si="15">ROW(A961)</f>
        <v>961</v>
      </c>
      <c r="B975" s="711" t="s">
        <v>159</v>
      </c>
      <c r="C975" s="711"/>
      <c r="D975" s="712" t="s">
        <v>212</v>
      </c>
      <c r="E975" s="712"/>
      <c r="F975" s="664" t="s">
        <v>162</v>
      </c>
      <c r="G975" s="665"/>
      <c r="H975" s="755" t="s">
        <v>162</v>
      </c>
      <c r="I975" s="667"/>
      <c r="J975" s="706"/>
      <c r="K975" s="707"/>
      <c r="L975" s="706"/>
      <c r="M975" s="707"/>
      <c r="N975" s="194"/>
      <c r="O975" s="216"/>
      <c r="P975" s="717"/>
      <c r="Q975" s="718"/>
      <c r="R975" s="719"/>
      <c r="S975" s="720"/>
      <c r="T975" s="721"/>
      <c r="U975" s="722"/>
      <c r="V975" s="723"/>
      <c r="W975" s="724"/>
      <c r="X975" s="725" t="s">
        <v>159</v>
      </c>
      <c r="Y975" s="725"/>
      <c r="Z975" s="725"/>
      <c r="AA975" s="725"/>
      <c r="AB975" s="726" t="s">
        <v>159</v>
      </c>
      <c r="AC975" s="726"/>
      <c r="AD975" s="726"/>
      <c r="AE975" s="726"/>
      <c r="AF975" s="727"/>
      <c r="AG975" s="728"/>
      <c r="AH975" s="727"/>
      <c r="AI975" s="728"/>
      <c r="AJ975" s="682"/>
      <c r="AK975" s="683"/>
      <c r="AL975" s="664" t="s">
        <v>162</v>
      </c>
      <c r="AM975" s="665"/>
      <c r="AN975" s="713" t="s">
        <v>162</v>
      </c>
      <c r="AO975" s="714"/>
      <c r="AP975" s="729"/>
      <c r="AQ975" s="730"/>
      <c r="AR975" s="731"/>
      <c r="AS975" s="732"/>
      <c r="AT975" s="733"/>
      <c r="AU975" s="734"/>
      <c r="AV975" s="713" t="s">
        <v>162</v>
      </c>
      <c r="AW975" s="714"/>
      <c r="AX975" s="692"/>
      <c r="AY975" s="693"/>
      <c r="AZ975" s="694"/>
      <c r="BA975" s="735"/>
      <c r="BB975" s="736"/>
      <c r="BC975" s="219"/>
      <c r="BD975" s="737" t="s">
        <v>162</v>
      </c>
      <c r="BE975" s="738"/>
      <c r="BF975" s="739"/>
      <c r="BG975" s="740"/>
      <c r="BH975" s="740"/>
      <c r="BI975" s="741"/>
      <c r="BJ975" s="742" t="s">
        <v>159</v>
      </c>
      <c r="BK975" s="743"/>
      <c r="BL975" s="743"/>
      <c r="BM975" s="744"/>
      <c r="BN975" s="703" t="s">
        <v>159</v>
      </c>
      <c r="BO975" s="704"/>
      <c r="BP975" s="704"/>
      <c r="BQ975" s="704"/>
      <c r="BR975" s="704"/>
      <c r="BS975" s="704"/>
      <c r="BT975" s="704"/>
      <c r="BU975" s="704"/>
      <c r="BV975" s="705"/>
    </row>
    <row r="976" spans="1:74" ht="45" customHeight="1" x14ac:dyDescent="0.25">
      <c r="A976" s="10">
        <f t="shared" si="15"/>
        <v>962</v>
      </c>
      <c r="B976" s="662" t="s">
        <v>159</v>
      </c>
      <c r="C976" s="662"/>
      <c r="D976" s="663" t="s">
        <v>212</v>
      </c>
      <c r="E976" s="663"/>
      <c r="F976" s="664" t="s">
        <v>162</v>
      </c>
      <c r="G976" s="665"/>
      <c r="H976" s="754" t="s">
        <v>162</v>
      </c>
      <c r="I976" s="714"/>
      <c r="J976" s="715"/>
      <c r="K976" s="716"/>
      <c r="L976" s="715"/>
      <c r="M976" s="716"/>
      <c r="N976" s="215"/>
      <c r="O976" s="196"/>
      <c r="P976" s="670"/>
      <c r="Q976" s="671"/>
      <c r="R976" s="672"/>
      <c r="S976" s="673"/>
      <c r="T976" s="674"/>
      <c r="U976" s="675"/>
      <c r="V976" s="676"/>
      <c r="W976" s="677"/>
      <c r="X976" s="678" t="s">
        <v>159</v>
      </c>
      <c r="Y976" s="678"/>
      <c r="Z976" s="678"/>
      <c r="AA976" s="678"/>
      <c r="AB976" s="679" t="s">
        <v>159</v>
      </c>
      <c r="AC976" s="679"/>
      <c r="AD976" s="679"/>
      <c r="AE976" s="679"/>
      <c r="AF976" s="680"/>
      <c r="AG976" s="681"/>
      <c r="AH976" s="680"/>
      <c r="AI976" s="681"/>
      <c r="AJ976" s="682"/>
      <c r="AK976" s="683"/>
      <c r="AL976" s="684" t="s">
        <v>162</v>
      </c>
      <c r="AM976" s="685"/>
      <c r="AN976" s="666" t="s">
        <v>162</v>
      </c>
      <c r="AO976" s="667"/>
      <c r="AP976" s="686"/>
      <c r="AQ976" s="687"/>
      <c r="AR976" s="688"/>
      <c r="AS976" s="689"/>
      <c r="AT976" s="690"/>
      <c r="AU976" s="691"/>
      <c r="AV976" s="666" t="s">
        <v>162</v>
      </c>
      <c r="AW976" s="667"/>
      <c r="AX976" s="692"/>
      <c r="AY976" s="693"/>
      <c r="AZ976" s="694"/>
      <c r="BA976" s="682"/>
      <c r="BB976" s="683"/>
      <c r="BC976" s="14"/>
      <c r="BD976" s="695" t="s">
        <v>162</v>
      </c>
      <c r="BE976" s="696"/>
      <c r="BF976" s="708"/>
      <c r="BG976" s="709"/>
      <c r="BH976" s="709"/>
      <c r="BI976" s="710"/>
      <c r="BJ976" s="700" t="s">
        <v>159</v>
      </c>
      <c r="BK976" s="701"/>
      <c r="BL976" s="701"/>
      <c r="BM976" s="702"/>
      <c r="BN976" s="703" t="s">
        <v>159</v>
      </c>
      <c r="BO976" s="704"/>
      <c r="BP976" s="704"/>
      <c r="BQ976" s="704"/>
      <c r="BR976" s="704"/>
      <c r="BS976" s="704"/>
      <c r="BT976" s="704"/>
      <c r="BU976" s="704"/>
      <c r="BV976" s="705"/>
    </row>
    <row r="977" spans="1:74" ht="45" customHeight="1" x14ac:dyDescent="0.25">
      <c r="A977" s="10">
        <f t="shared" si="15"/>
        <v>963</v>
      </c>
      <c r="B977" s="711" t="s">
        <v>159</v>
      </c>
      <c r="C977" s="711"/>
      <c r="D977" s="712" t="s">
        <v>212</v>
      </c>
      <c r="E977" s="712"/>
      <c r="F977" s="664" t="s">
        <v>162</v>
      </c>
      <c r="G977" s="665"/>
      <c r="H977" s="755" t="s">
        <v>162</v>
      </c>
      <c r="I977" s="667"/>
      <c r="J977" s="706"/>
      <c r="K977" s="707"/>
      <c r="L977" s="706"/>
      <c r="M977" s="707"/>
      <c r="N977" s="194"/>
      <c r="O977" s="216"/>
      <c r="P977" s="717"/>
      <c r="Q977" s="718"/>
      <c r="R977" s="719"/>
      <c r="S977" s="720"/>
      <c r="T977" s="721"/>
      <c r="U977" s="722"/>
      <c r="V977" s="723"/>
      <c r="W977" s="724"/>
      <c r="X977" s="725" t="s">
        <v>159</v>
      </c>
      <c r="Y977" s="725"/>
      <c r="Z977" s="725"/>
      <c r="AA977" s="725"/>
      <c r="AB977" s="726" t="s">
        <v>159</v>
      </c>
      <c r="AC977" s="726"/>
      <c r="AD977" s="726"/>
      <c r="AE977" s="726"/>
      <c r="AF977" s="727"/>
      <c r="AG977" s="728"/>
      <c r="AH977" s="727"/>
      <c r="AI977" s="728"/>
      <c r="AJ977" s="682"/>
      <c r="AK977" s="683"/>
      <c r="AL977" s="664" t="s">
        <v>162</v>
      </c>
      <c r="AM977" s="665"/>
      <c r="AN977" s="713" t="s">
        <v>162</v>
      </c>
      <c r="AO977" s="714"/>
      <c r="AP977" s="729"/>
      <c r="AQ977" s="730"/>
      <c r="AR977" s="731"/>
      <c r="AS977" s="732"/>
      <c r="AT977" s="733"/>
      <c r="AU977" s="734"/>
      <c r="AV977" s="713" t="s">
        <v>162</v>
      </c>
      <c r="AW977" s="714"/>
      <c r="AX977" s="692"/>
      <c r="AY977" s="693"/>
      <c r="AZ977" s="694"/>
      <c r="BA977" s="735"/>
      <c r="BB977" s="736"/>
      <c r="BC977" s="219"/>
      <c r="BD977" s="737" t="s">
        <v>162</v>
      </c>
      <c r="BE977" s="738"/>
      <c r="BF977" s="739"/>
      <c r="BG977" s="740"/>
      <c r="BH977" s="740"/>
      <c r="BI977" s="741"/>
      <c r="BJ977" s="742" t="s">
        <v>159</v>
      </c>
      <c r="BK977" s="743"/>
      <c r="BL977" s="743"/>
      <c r="BM977" s="744"/>
      <c r="BN977" s="703" t="s">
        <v>159</v>
      </c>
      <c r="BO977" s="704"/>
      <c r="BP977" s="704"/>
      <c r="BQ977" s="704"/>
      <c r="BR977" s="704"/>
      <c r="BS977" s="704"/>
      <c r="BT977" s="704"/>
      <c r="BU977" s="704"/>
      <c r="BV977" s="705"/>
    </row>
    <row r="978" spans="1:74" ht="45" customHeight="1" x14ac:dyDescent="0.25">
      <c r="A978" s="10">
        <f t="shared" si="15"/>
        <v>964</v>
      </c>
      <c r="B978" s="662" t="s">
        <v>159</v>
      </c>
      <c r="C978" s="662"/>
      <c r="D978" s="663" t="s">
        <v>212</v>
      </c>
      <c r="E978" s="663"/>
      <c r="F978" s="664" t="s">
        <v>162</v>
      </c>
      <c r="G978" s="665"/>
      <c r="H978" s="754" t="s">
        <v>162</v>
      </c>
      <c r="I978" s="714"/>
      <c r="J978" s="715"/>
      <c r="K978" s="716"/>
      <c r="L978" s="715"/>
      <c r="M978" s="716"/>
      <c r="N978" s="215"/>
      <c r="O978" s="196"/>
      <c r="P978" s="670"/>
      <c r="Q978" s="671"/>
      <c r="R978" s="672"/>
      <c r="S978" s="673"/>
      <c r="T978" s="674"/>
      <c r="U978" s="675"/>
      <c r="V978" s="676"/>
      <c r="W978" s="677"/>
      <c r="X978" s="678" t="s">
        <v>159</v>
      </c>
      <c r="Y978" s="678"/>
      <c r="Z978" s="678"/>
      <c r="AA978" s="678"/>
      <c r="AB978" s="679" t="s">
        <v>159</v>
      </c>
      <c r="AC978" s="679"/>
      <c r="AD978" s="679"/>
      <c r="AE978" s="679"/>
      <c r="AF978" s="680"/>
      <c r="AG978" s="681"/>
      <c r="AH978" s="680"/>
      <c r="AI978" s="681"/>
      <c r="AJ978" s="682"/>
      <c r="AK978" s="683"/>
      <c r="AL978" s="684" t="s">
        <v>162</v>
      </c>
      <c r="AM978" s="685"/>
      <c r="AN978" s="666" t="s">
        <v>162</v>
      </c>
      <c r="AO978" s="667"/>
      <c r="AP978" s="686"/>
      <c r="AQ978" s="687"/>
      <c r="AR978" s="688"/>
      <c r="AS978" s="689"/>
      <c r="AT978" s="690"/>
      <c r="AU978" s="691"/>
      <c r="AV978" s="666" t="s">
        <v>162</v>
      </c>
      <c r="AW978" s="667"/>
      <c r="AX978" s="692"/>
      <c r="AY978" s="693"/>
      <c r="AZ978" s="694"/>
      <c r="BA978" s="682"/>
      <c r="BB978" s="683"/>
      <c r="BC978" s="14"/>
      <c r="BD978" s="695" t="s">
        <v>162</v>
      </c>
      <c r="BE978" s="696"/>
      <c r="BF978" s="697"/>
      <c r="BG978" s="698"/>
      <c r="BH978" s="698"/>
      <c r="BI978" s="699"/>
      <c r="BJ978" s="700" t="s">
        <v>159</v>
      </c>
      <c r="BK978" s="701"/>
      <c r="BL978" s="701"/>
      <c r="BM978" s="702"/>
      <c r="BN978" s="703" t="s">
        <v>159</v>
      </c>
      <c r="BO978" s="704"/>
      <c r="BP978" s="704"/>
      <c r="BQ978" s="704"/>
      <c r="BR978" s="704"/>
      <c r="BS978" s="704"/>
      <c r="BT978" s="704"/>
      <c r="BU978" s="704"/>
      <c r="BV978" s="705"/>
    </row>
    <row r="979" spans="1:74" ht="45" customHeight="1" x14ac:dyDescent="0.25">
      <c r="A979" s="10">
        <f t="shared" si="15"/>
        <v>965</v>
      </c>
      <c r="B979" s="711" t="s">
        <v>159</v>
      </c>
      <c r="C979" s="711"/>
      <c r="D979" s="712" t="s">
        <v>212</v>
      </c>
      <c r="E979" s="712"/>
      <c r="F979" s="664" t="s">
        <v>162</v>
      </c>
      <c r="G979" s="665"/>
      <c r="H979" s="755" t="s">
        <v>162</v>
      </c>
      <c r="I979" s="667"/>
      <c r="J979" s="706"/>
      <c r="K979" s="707"/>
      <c r="L979" s="706"/>
      <c r="M979" s="707"/>
      <c r="N979" s="215"/>
      <c r="O979" s="216"/>
      <c r="P979" s="670"/>
      <c r="Q979" s="671"/>
      <c r="R979" s="719"/>
      <c r="S979" s="720"/>
      <c r="T979" s="721"/>
      <c r="U979" s="722"/>
      <c r="V979" s="723"/>
      <c r="W979" s="724"/>
      <c r="X979" s="725" t="s">
        <v>159</v>
      </c>
      <c r="Y979" s="725"/>
      <c r="Z979" s="725"/>
      <c r="AA979" s="725"/>
      <c r="AB979" s="726" t="s">
        <v>159</v>
      </c>
      <c r="AC979" s="726"/>
      <c r="AD979" s="726"/>
      <c r="AE979" s="726"/>
      <c r="AF979" s="727"/>
      <c r="AG979" s="728"/>
      <c r="AH979" s="727"/>
      <c r="AI979" s="728"/>
      <c r="AJ979" s="682"/>
      <c r="AK979" s="683"/>
      <c r="AL979" s="664" t="s">
        <v>162</v>
      </c>
      <c r="AM979" s="665"/>
      <c r="AN979" s="713" t="s">
        <v>162</v>
      </c>
      <c r="AO979" s="714"/>
      <c r="AP979" s="729"/>
      <c r="AQ979" s="730"/>
      <c r="AR979" s="731"/>
      <c r="AS979" s="732"/>
      <c r="AT979" s="690"/>
      <c r="AU979" s="691"/>
      <c r="AV979" s="713" t="s">
        <v>162</v>
      </c>
      <c r="AW979" s="714"/>
      <c r="AX979" s="692"/>
      <c r="AY979" s="693"/>
      <c r="AZ979" s="694"/>
      <c r="BA979" s="735"/>
      <c r="BB979" s="736"/>
      <c r="BC979" s="219"/>
      <c r="BD979" s="737" t="s">
        <v>162</v>
      </c>
      <c r="BE979" s="738"/>
      <c r="BF979" s="739"/>
      <c r="BG979" s="740"/>
      <c r="BH979" s="740"/>
      <c r="BI979" s="741"/>
      <c r="BJ979" s="742" t="s">
        <v>159</v>
      </c>
      <c r="BK979" s="743"/>
      <c r="BL979" s="743"/>
      <c r="BM979" s="744"/>
      <c r="BN979" s="703" t="s">
        <v>159</v>
      </c>
      <c r="BO979" s="704"/>
      <c r="BP979" s="704"/>
      <c r="BQ979" s="704"/>
      <c r="BR979" s="704"/>
      <c r="BS979" s="704"/>
      <c r="BT979" s="704"/>
      <c r="BU979" s="704"/>
      <c r="BV979" s="705"/>
    </row>
    <row r="980" spans="1:74" ht="45" customHeight="1" x14ac:dyDescent="0.25">
      <c r="A980" s="10">
        <f t="shared" si="15"/>
        <v>966</v>
      </c>
      <c r="B980" s="662" t="s">
        <v>159</v>
      </c>
      <c r="C980" s="662"/>
      <c r="D980" s="663" t="s">
        <v>212</v>
      </c>
      <c r="E980" s="663"/>
      <c r="F980" s="664" t="s">
        <v>162</v>
      </c>
      <c r="G980" s="665"/>
      <c r="H980" s="754" t="s">
        <v>162</v>
      </c>
      <c r="I980" s="714"/>
      <c r="J980" s="715"/>
      <c r="K980" s="716"/>
      <c r="L980" s="715"/>
      <c r="M980" s="716"/>
      <c r="N980" s="194"/>
      <c r="O980" s="196"/>
      <c r="P980" s="717"/>
      <c r="Q980" s="718"/>
      <c r="R980" s="672"/>
      <c r="S980" s="673"/>
      <c r="T980" s="674"/>
      <c r="U980" s="675"/>
      <c r="V980" s="676"/>
      <c r="W980" s="677"/>
      <c r="X980" s="678" t="s">
        <v>159</v>
      </c>
      <c r="Y980" s="678"/>
      <c r="Z980" s="678"/>
      <c r="AA980" s="678"/>
      <c r="AB980" s="679" t="s">
        <v>159</v>
      </c>
      <c r="AC980" s="679"/>
      <c r="AD980" s="679"/>
      <c r="AE980" s="679"/>
      <c r="AF980" s="680"/>
      <c r="AG980" s="681"/>
      <c r="AH980" s="680"/>
      <c r="AI980" s="681"/>
      <c r="AJ980" s="682"/>
      <c r="AK980" s="683"/>
      <c r="AL980" s="684" t="s">
        <v>162</v>
      </c>
      <c r="AM980" s="685"/>
      <c r="AN980" s="666" t="s">
        <v>162</v>
      </c>
      <c r="AO980" s="667"/>
      <c r="AP980" s="686"/>
      <c r="AQ980" s="687"/>
      <c r="AR980" s="688"/>
      <c r="AS980" s="689"/>
      <c r="AT980" s="690"/>
      <c r="AU980" s="691"/>
      <c r="AV980" s="666" t="s">
        <v>162</v>
      </c>
      <c r="AW980" s="667"/>
      <c r="AX980" s="692"/>
      <c r="AY980" s="693"/>
      <c r="AZ980" s="694"/>
      <c r="BA980" s="682"/>
      <c r="BB980" s="683"/>
      <c r="BC980" s="14"/>
      <c r="BD980" s="695" t="s">
        <v>162</v>
      </c>
      <c r="BE980" s="696"/>
      <c r="BF980" s="697"/>
      <c r="BG980" s="698"/>
      <c r="BH980" s="698"/>
      <c r="BI980" s="699"/>
      <c r="BJ980" s="700" t="s">
        <v>159</v>
      </c>
      <c r="BK980" s="701"/>
      <c r="BL980" s="701"/>
      <c r="BM980" s="702"/>
      <c r="BN980" s="703" t="s">
        <v>159</v>
      </c>
      <c r="BO980" s="704"/>
      <c r="BP980" s="704"/>
      <c r="BQ980" s="704"/>
      <c r="BR980" s="704"/>
      <c r="BS980" s="704"/>
      <c r="BT980" s="704"/>
      <c r="BU980" s="704"/>
      <c r="BV980" s="705"/>
    </row>
    <row r="981" spans="1:74" ht="45" customHeight="1" x14ac:dyDescent="0.25">
      <c r="A981" s="10">
        <f t="shared" si="15"/>
        <v>967</v>
      </c>
      <c r="B981" s="711" t="s">
        <v>159</v>
      </c>
      <c r="C981" s="711"/>
      <c r="D981" s="712" t="s">
        <v>212</v>
      </c>
      <c r="E981" s="712"/>
      <c r="F981" s="664" t="s">
        <v>162</v>
      </c>
      <c r="G981" s="665"/>
      <c r="H981" s="755" t="s">
        <v>162</v>
      </c>
      <c r="I981" s="667"/>
      <c r="J981" s="706"/>
      <c r="K981" s="707"/>
      <c r="L981" s="706"/>
      <c r="M981" s="707"/>
      <c r="N981" s="215"/>
      <c r="O981" s="216"/>
      <c r="P981" s="670"/>
      <c r="Q981" s="671"/>
      <c r="R981" s="719"/>
      <c r="S981" s="720"/>
      <c r="T981" s="721"/>
      <c r="U981" s="722"/>
      <c r="V981" s="723"/>
      <c r="W981" s="724"/>
      <c r="X981" s="725" t="s">
        <v>159</v>
      </c>
      <c r="Y981" s="725"/>
      <c r="Z981" s="725"/>
      <c r="AA981" s="725"/>
      <c r="AB981" s="726" t="s">
        <v>159</v>
      </c>
      <c r="AC981" s="726"/>
      <c r="AD981" s="726"/>
      <c r="AE981" s="726"/>
      <c r="AF981" s="727"/>
      <c r="AG981" s="728"/>
      <c r="AH981" s="727"/>
      <c r="AI981" s="728"/>
      <c r="AJ981" s="682"/>
      <c r="AK981" s="683"/>
      <c r="AL981" s="664" t="s">
        <v>162</v>
      </c>
      <c r="AM981" s="665"/>
      <c r="AN981" s="713" t="s">
        <v>162</v>
      </c>
      <c r="AO981" s="714"/>
      <c r="AP981" s="729"/>
      <c r="AQ981" s="730"/>
      <c r="AR981" s="731"/>
      <c r="AS981" s="732"/>
      <c r="AT981" s="690"/>
      <c r="AU981" s="691"/>
      <c r="AV981" s="713" t="s">
        <v>162</v>
      </c>
      <c r="AW981" s="714"/>
      <c r="AX981" s="692"/>
      <c r="AY981" s="693"/>
      <c r="AZ981" s="694"/>
      <c r="BA981" s="735"/>
      <c r="BB981" s="736"/>
      <c r="BC981" s="219"/>
      <c r="BD981" s="737" t="s">
        <v>162</v>
      </c>
      <c r="BE981" s="738"/>
      <c r="BF981" s="739"/>
      <c r="BG981" s="740"/>
      <c r="BH981" s="740"/>
      <c r="BI981" s="741"/>
      <c r="BJ981" s="742" t="s">
        <v>159</v>
      </c>
      <c r="BK981" s="743"/>
      <c r="BL981" s="743"/>
      <c r="BM981" s="744"/>
      <c r="BN981" s="703" t="s">
        <v>159</v>
      </c>
      <c r="BO981" s="704"/>
      <c r="BP981" s="704"/>
      <c r="BQ981" s="704"/>
      <c r="BR981" s="704"/>
      <c r="BS981" s="704"/>
      <c r="BT981" s="704"/>
      <c r="BU981" s="704"/>
      <c r="BV981" s="705"/>
    </row>
    <row r="982" spans="1:74" ht="45" customHeight="1" x14ac:dyDescent="0.25">
      <c r="A982" s="10">
        <f t="shared" si="15"/>
        <v>968</v>
      </c>
      <c r="B982" s="662" t="s">
        <v>159</v>
      </c>
      <c r="C982" s="662"/>
      <c r="D982" s="663" t="s">
        <v>212</v>
      </c>
      <c r="E982" s="663"/>
      <c r="F982" s="664" t="s">
        <v>162</v>
      </c>
      <c r="G982" s="665"/>
      <c r="H982" s="754" t="s">
        <v>162</v>
      </c>
      <c r="I982" s="714"/>
      <c r="J982" s="715"/>
      <c r="K982" s="716"/>
      <c r="L982" s="715"/>
      <c r="M982" s="716"/>
      <c r="N982" s="194"/>
      <c r="O982" s="196"/>
      <c r="P982" s="717"/>
      <c r="Q982" s="718"/>
      <c r="R982" s="672"/>
      <c r="S982" s="673"/>
      <c r="T982" s="674"/>
      <c r="U982" s="675"/>
      <c r="V982" s="676"/>
      <c r="W982" s="677"/>
      <c r="X982" s="678" t="s">
        <v>159</v>
      </c>
      <c r="Y982" s="678"/>
      <c r="Z982" s="678"/>
      <c r="AA982" s="678"/>
      <c r="AB982" s="679" t="s">
        <v>159</v>
      </c>
      <c r="AC982" s="679"/>
      <c r="AD982" s="679"/>
      <c r="AE982" s="679"/>
      <c r="AF982" s="680"/>
      <c r="AG982" s="681"/>
      <c r="AH982" s="680"/>
      <c r="AI982" s="681"/>
      <c r="AJ982" s="682"/>
      <c r="AK982" s="683"/>
      <c r="AL982" s="684" t="s">
        <v>162</v>
      </c>
      <c r="AM982" s="685"/>
      <c r="AN982" s="666" t="s">
        <v>162</v>
      </c>
      <c r="AO982" s="667"/>
      <c r="AP982" s="686"/>
      <c r="AQ982" s="687"/>
      <c r="AR982" s="688"/>
      <c r="AS982" s="689"/>
      <c r="AT982" s="690"/>
      <c r="AU982" s="691"/>
      <c r="AV982" s="666" t="s">
        <v>162</v>
      </c>
      <c r="AW982" s="667"/>
      <c r="AX982" s="692"/>
      <c r="AY982" s="693"/>
      <c r="AZ982" s="694"/>
      <c r="BA982" s="682"/>
      <c r="BB982" s="683"/>
      <c r="BC982" s="14"/>
      <c r="BD982" s="695" t="s">
        <v>162</v>
      </c>
      <c r="BE982" s="696"/>
      <c r="BF982" s="697"/>
      <c r="BG982" s="698"/>
      <c r="BH982" s="698"/>
      <c r="BI982" s="699"/>
      <c r="BJ982" s="700" t="s">
        <v>159</v>
      </c>
      <c r="BK982" s="701"/>
      <c r="BL982" s="701"/>
      <c r="BM982" s="702"/>
      <c r="BN982" s="703" t="s">
        <v>159</v>
      </c>
      <c r="BO982" s="704"/>
      <c r="BP982" s="704"/>
      <c r="BQ982" s="704"/>
      <c r="BR982" s="704"/>
      <c r="BS982" s="704"/>
      <c r="BT982" s="704"/>
      <c r="BU982" s="704"/>
      <c r="BV982" s="705"/>
    </row>
    <row r="983" spans="1:74" ht="45" customHeight="1" x14ac:dyDescent="0.25">
      <c r="A983" s="10">
        <f t="shared" si="15"/>
        <v>969</v>
      </c>
      <c r="B983" s="711" t="s">
        <v>159</v>
      </c>
      <c r="C983" s="711"/>
      <c r="D983" s="712" t="s">
        <v>212</v>
      </c>
      <c r="E983" s="712"/>
      <c r="F983" s="664" t="s">
        <v>162</v>
      </c>
      <c r="G983" s="665"/>
      <c r="H983" s="755" t="s">
        <v>162</v>
      </c>
      <c r="I983" s="667"/>
      <c r="J983" s="706"/>
      <c r="K983" s="707"/>
      <c r="L983" s="706"/>
      <c r="M983" s="707"/>
      <c r="N983" s="215"/>
      <c r="O983" s="216"/>
      <c r="P983" s="670"/>
      <c r="Q983" s="671"/>
      <c r="R983" s="719"/>
      <c r="S983" s="720"/>
      <c r="T983" s="721"/>
      <c r="U983" s="722"/>
      <c r="V983" s="723"/>
      <c r="W983" s="724"/>
      <c r="X983" s="725" t="s">
        <v>159</v>
      </c>
      <c r="Y983" s="725"/>
      <c r="Z983" s="725"/>
      <c r="AA983" s="725"/>
      <c r="AB983" s="726" t="s">
        <v>159</v>
      </c>
      <c r="AC983" s="726"/>
      <c r="AD983" s="726"/>
      <c r="AE983" s="726"/>
      <c r="AF983" s="727"/>
      <c r="AG983" s="728"/>
      <c r="AH983" s="727"/>
      <c r="AI983" s="728"/>
      <c r="AJ983" s="682"/>
      <c r="AK983" s="683"/>
      <c r="AL983" s="664" t="s">
        <v>162</v>
      </c>
      <c r="AM983" s="665"/>
      <c r="AN983" s="713" t="s">
        <v>162</v>
      </c>
      <c r="AO983" s="714"/>
      <c r="AP983" s="729"/>
      <c r="AQ983" s="730"/>
      <c r="AR983" s="731"/>
      <c r="AS983" s="732"/>
      <c r="AT983" s="733"/>
      <c r="AU983" s="734"/>
      <c r="AV983" s="713" t="s">
        <v>162</v>
      </c>
      <c r="AW983" s="714"/>
      <c r="AX983" s="692"/>
      <c r="AY983" s="693"/>
      <c r="AZ983" s="694"/>
      <c r="BA983" s="735"/>
      <c r="BB983" s="736"/>
      <c r="BC983" s="219"/>
      <c r="BD983" s="737" t="s">
        <v>162</v>
      </c>
      <c r="BE983" s="738"/>
      <c r="BF983" s="739"/>
      <c r="BG983" s="740"/>
      <c r="BH983" s="740"/>
      <c r="BI983" s="741"/>
      <c r="BJ983" s="742" t="s">
        <v>159</v>
      </c>
      <c r="BK983" s="743"/>
      <c r="BL983" s="743"/>
      <c r="BM983" s="744"/>
      <c r="BN983" s="703" t="s">
        <v>159</v>
      </c>
      <c r="BO983" s="704"/>
      <c r="BP983" s="704"/>
      <c r="BQ983" s="704"/>
      <c r="BR983" s="704"/>
      <c r="BS983" s="704"/>
      <c r="BT983" s="704"/>
      <c r="BU983" s="704"/>
      <c r="BV983" s="705"/>
    </row>
    <row r="984" spans="1:74" ht="45" customHeight="1" x14ac:dyDescent="0.25">
      <c r="A984" s="10">
        <f t="shared" si="15"/>
        <v>970</v>
      </c>
      <c r="B984" s="662" t="s">
        <v>159</v>
      </c>
      <c r="C984" s="662"/>
      <c r="D984" s="663" t="s">
        <v>212</v>
      </c>
      <c r="E984" s="663"/>
      <c r="F984" s="664" t="s">
        <v>162</v>
      </c>
      <c r="G984" s="665"/>
      <c r="H984" s="754" t="s">
        <v>162</v>
      </c>
      <c r="I984" s="714"/>
      <c r="J984" s="715"/>
      <c r="K984" s="716"/>
      <c r="L984" s="715"/>
      <c r="M984" s="716"/>
      <c r="N984" s="194"/>
      <c r="O984" s="196"/>
      <c r="P984" s="717"/>
      <c r="Q984" s="718"/>
      <c r="R984" s="672"/>
      <c r="S984" s="673"/>
      <c r="T984" s="674"/>
      <c r="U984" s="675"/>
      <c r="V984" s="676"/>
      <c r="W984" s="677"/>
      <c r="X984" s="678" t="s">
        <v>159</v>
      </c>
      <c r="Y984" s="678"/>
      <c r="Z984" s="678"/>
      <c r="AA984" s="678"/>
      <c r="AB984" s="679" t="s">
        <v>159</v>
      </c>
      <c r="AC984" s="679"/>
      <c r="AD984" s="679"/>
      <c r="AE984" s="679"/>
      <c r="AF984" s="680"/>
      <c r="AG984" s="681"/>
      <c r="AH984" s="680"/>
      <c r="AI984" s="681"/>
      <c r="AJ984" s="682"/>
      <c r="AK984" s="683"/>
      <c r="AL984" s="684" t="s">
        <v>162</v>
      </c>
      <c r="AM984" s="685"/>
      <c r="AN984" s="666" t="s">
        <v>162</v>
      </c>
      <c r="AO984" s="667"/>
      <c r="AP984" s="686"/>
      <c r="AQ984" s="687"/>
      <c r="AR984" s="688"/>
      <c r="AS984" s="689"/>
      <c r="AT984" s="690"/>
      <c r="AU984" s="691"/>
      <c r="AV984" s="666" t="s">
        <v>162</v>
      </c>
      <c r="AW984" s="667"/>
      <c r="AX984" s="692"/>
      <c r="AY984" s="693"/>
      <c r="AZ984" s="694"/>
      <c r="BA984" s="682"/>
      <c r="BB984" s="683"/>
      <c r="BC984" s="14"/>
      <c r="BD984" s="695" t="s">
        <v>162</v>
      </c>
      <c r="BE984" s="696"/>
      <c r="BF984" s="708"/>
      <c r="BG984" s="709"/>
      <c r="BH984" s="709"/>
      <c r="BI984" s="710"/>
      <c r="BJ984" s="700" t="s">
        <v>159</v>
      </c>
      <c r="BK984" s="701"/>
      <c r="BL984" s="701"/>
      <c r="BM984" s="702"/>
      <c r="BN984" s="703" t="s">
        <v>159</v>
      </c>
      <c r="BO984" s="704"/>
      <c r="BP984" s="704"/>
      <c r="BQ984" s="704"/>
      <c r="BR984" s="704"/>
      <c r="BS984" s="704"/>
      <c r="BT984" s="704"/>
      <c r="BU984" s="704"/>
      <c r="BV984" s="705"/>
    </row>
    <row r="985" spans="1:74" ht="45" customHeight="1" x14ac:dyDescent="0.25">
      <c r="A985" s="10">
        <f t="shared" si="15"/>
        <v>971</v>
      </c>
      <c r="B985" s="711" t="s">
        <v>159</v>
      </c>
      <c r="C985" s="711"/>
      <c r="D985" s="712" t="s">
        <v>212</v>
      </c>
      <c r="E985" s="712"/>
      <c r="F985" s="664" t="s">
        <v>162</v>
      </c>
      <c r="G985" s="665"/>
      <c r="H985" s="755" t="s">
        <v>162</v>
      </c>
      <c r="I985" s="667"/>
      <c r="J985" s="706"/>
      <c r="K985" s="707"/>
      <c r="L985" s="706"/>
      <c r="M985" s="707"/>
      <c r="N985" s="215"/>
      <c r="O985" s="216"/>
      <c r="P985" s="670"/>
      <c r="Q985" s="671"/>
      <c r="R985" s="719"/>
      <c r="S985" s="720"/>
      <c r="T985" s="721"/>
      <c r="U985" s="722"/>
      <c r="V985" s="723"/>
      <c r="W985" s="724"/>
      <c r="X985" s="725" t="s">
        <v>159</v>
      </c>
      <c r="Y985" s="725"/>
      <c r="Z985" s="725"/>
      <c r="AA985" s="725"/>
      <c r="AB985" s="726" t="s">
        <v>159</v>
      </c>
      <c r="AC985" s="726"/>
      <c r="AD985" s="726"/>
      <c r="AE985" s="726"/>
      <c r="AF985" s="727"/>
      <c r="AG985" s="728"/>
      <c r="AH985" s="727"/>
      <c r="AI985" s="728"/>
      <c r="AJ985" s="682"/>
      <c r="AK985" s="683"/>
      <c r="AL985" s="664" t="s">
        <v>162</v>
      </c>
      <c r="AM985" s="665"/>
      <c r="AN985" s="713" t="s">
        <v>162</v>
      </c>
      <c r="AO985" s="714"/>
      <c r="AP985" s="729"/>
      <c r="AQ985" s="730"/>
      <c r="AR985" s="731"/>
      <c r="AS985" s="732"/>
      <c r="AT985" s="733"/>
      <c r="AU985" s="734"/>
      <c r="AV985" s="713" t="s">
        <v>162</v>
      </c>
      <c r="AW985" s="714"/>
      <c r="AX985" s="692"/>
      <c r="AY985" s="693"/>
      <c r="AZ985" s="694"/>
      <c r="BA985" s="735"/>
      <c r="BB985" s="736"/>
      <c r="BC985" s="219"/>
      <c r="BD985" s="737" t="s">
        <v>162</v>
      </c>
      <c r="BE985" s="738"/>
      <c r="BF985" s="739"/>
      <c r="BG985" s="740"/>
      <c r="BH985" s="740"/>
      <c r="BI985" s="741"/>
      <c r="BJ985" s="742" t="s">
        <v>159</v>
      </c>
      <c r="BK985" s="743"/>
      <c r="BL985" s="743"/>
      <c r="BM985" s="744"/>
      <c r="BN985" s="703" t="s">
        <v>159</v>
      </c>
      <c r="BO985" s="704"/>
      <c r="BP985" s="704"/>
      <c r="BQ985" s="704"/>
      <c r="BR985" s="704"/>
      <c r="BS985" s="704"/>
      <c r="BT985" s="704"/>
      <c r="BU985" s="704"/>
      <c r="BV985" s="705"/>
    </row>
    <row r="986" spans="1:74" ht="45" customHeight="1" x14ac:dyDescent="0.25">
      <c r="A986" s="10">
        <f t="shared" si="15"/>
        <v>972</v>
      </c>
      <c r="B986" s="662" t="s">
        <v>159</v>
      </c>
      <c r="C986" s="662"/>
      <c r="D986" s="663" t="s">
        <v>212</v>
      </c>
      <c r="E986" s="663"/>
      <c r="F986" s="664" t="s">
        <v>162</v>
      </c>
      <c r="G986" s="665"/>
      <c r="H986" s="754" t="s">
        <v>162</v>
      </c>
      <c r="I986" s="714"/>
      <c r="J986" s="715"/>
      <c r="K986" s="716"/>
      <c r="L986" s="715"/>
      <c r="M986" s="716"/>
      <c r="N986" s="194"/>
      <c r="O986" s="196"/>
      <c r="P986" s="717"/>
      <c r="Q986" s="718"/>
      <c r="R986" s="672"/>
      <c r="S986" s="673"/>
      <c r="T986" s="674"/>
      <c r="U986" s="675"/>
      <c r="V986" s="676"/>
      <c r="W986" s="677"/>
      <c r="X986" s="678" t="s">
        <v>159</v>
      </c>
      <c r="Y986" s="678"/>
      <c r="Z986" s="678"/>
      <c r="AA986" s="678"/>
      <c r="AB986" s="679" t="s">
        <v>159</v>
      </c>
      <c r="AC986" s="679"/>
      <c r="AD986" s="679"/>
      <c r="AE986" s="679"/>
      <c r="AF986" s="680"/>
      <c r="AG986" s="681"/>
      <c r="AH986" s="680"/>
      <c r="AI986" s="681"/>
      <c r="AJ986" s="682"/>
      <c r="AK986" s="683"/>
      <c r="AL986" s="684" t="s">
        <v>162</v>
      </c>
      <c r="AM986" s="685"/>
      <c r="AN986" s="666" t="s">
        <v>162</v>
      </c>
      <c r="AO986" s="667"/>
      <c r="AP986" s="686"/>
      <c r="AQ986" s="687"/>
      <c r="AR986" s="688"/>
      <c r="AS986" s="689"/>
      <c r="AT986" s="690"/>
      <c r="AU986" s="691"/>
      <c r="AV986" s="666" t="s">
        <v>162</v>
      </c>
      <c r="AW986" s="667"/>
      <c r="AX986" s="692"/>
      <c r="AY986" s="693"/>
      <c r="AZ986" s="694"/>
      <c r="BA986" s="682"/>
      <c r="BB986" s="683"/>
      <c r="BC986" s="14"/>
      <c r="BD986" s="695" t="s">
        <v>162</v>
      </c>
      <c r="BE986" s="696"/>
      <c r="BF986" s="697"/>
      <c r="BG986" s="698"/>
      <c r="BH986" s="698"/>
      <c r="BI986" s="699"/>
      <c r="BJ986" s="700" t="s">
        <v>159</v>
      </c>
      <c r="BK986" s="701"/>
      <c r="BL986" s="701"/>
      <c r="BM986" s="702"/>
      <c r="BN986" s="703" t="s">
        <v>159</v>
      </c>
      <c r="BO986" s="704"/>
      <c r="BP986" s="704"/>
      <c r="BQ986" s="704"/>
      <c r="BR986" s="704"/>
      <c r="BS986" s="704"/>
      <c r="BT986" s="704"/>
      <c r="BU986" s="704"/>
      <c r="BV986" s="705"/>
    </row>
    <row r="987" spans="1:74" ht="45" customHeight="1" x14ac:dyDescent="0.25">
      <c r="A987" s="10">
        <f t="shared" si="15"/>
        <v>973</v>
      </c>
      <c r="B987" s="711" t="s">
        <v>159</v>
      </c>
      <c r="C987" s="711"/>
      <c r="D987" s="712" t="s">
        <v>212</v>
      </c>
      <c r="E987" s="712"/>
      <c r="F987" s="664" t="s">
        <v>162</v>
      </c>
      <c r="G987" s="665"/>
      <c r="H987" s="755" t="s">
        <v>162</v>
      </c>
      <c r="I987" s="667"/>
      <c r="J987" s="706"/>
      <c r="K987" s="707"/>
      <c r="L987" s="706"/>
      <c r="M987" s="707"/>
      <c r="N987" s="215"/>
      <c r="O987" s="216"/>
      <c r="P987" s="670"/>
      <c r="Q987" s="671"/>
      <c r="R987" s="719"/>
      <c r="S987" s="720"/>
      <c r="T987" s="721"/>
      <c r="U987" s="722"/>
      <c r="V987" s="723"/>
      <c r="W987" s="724"/>
      <c r="X987" s="725" t="s">
        <v>159</v>
      </c>
      <c r="Y987" s="725"/>
      <c r="Z987" s="725"/>
      <c r="AA987" s="725"/>
      <c r="AB987" s="726" t="s">
        <v>159</v>
      </c>
      <c r="AC987" s="726"/>
      <c r="AD987" s="726"/>
      <c r="AE987" s="726"/>
      <c r="AF987" s="727"/>
      <c r="AG987" s="728"/>
      <c r="AH987" s="727"/>
      <c r="AI987" s="728"/>
      <c r="AJ987" s="682"/>
      <c r="AK987" s="683"/>
      <c r="AL987" s="664" t="s">
        <v>162</v>
      </c>
      <c r="AM987" s="665"/>
      <c r="AN987" s="713" t="s">
        <v>162</v>
      </c>
      <c r="AO987" s="714"/>
      <c r="AP987" s="729"/>
      <c r="AQ987" s="730"/>
      <c r="AR987" s="731"/>
      <c r="AS987" s="732"/>
      <c r="AT987" s="733"/>
      <c r="AU987" s="734"/>
      <c r="AV987" s="713" t="s">
        <v>162</v>
      </c>
      <c r="AW987" s="714"/>
      <c r="AX987" s="692"/>
      <c r="AY987" s="693"/>
      <c r="AZ987" s="694"/>
      <c r="BA987" s="735"/>
      <c r="BB987" s="736"/>
      <c r="BC987" s="219"/>
      <c r="BD987" s="737" t="s">
        <v>162</v>
      </c>
      <c r="BE987" s="738"/>
      <c r="BF987" s="739"/>
      <c r="BG987" s="740"/>
      <c r="BH987" s="740"/>
      <c r="BI987" s="741"/>
      <c r="BJ987" s="742" t="s">
        <v>159</v>
      </c>
      <c r="BK987" s="743"/>
      <c r="BL987" s="743"/>
      <c r="BM987" s="744"/>
      <c r="BN987" s="703" t="s">
        <v>159</v>
      </c>
      <c r="BO987" s="704"/>
      <c r="BP987" s="704"/>
      <c r="BQ987" s="704"/>
      <c r="BR987" s="704"/>
      <c r="BS987" s="704"/>
      <c r="BT987" s="704"/>
      <c r="BU987" s="704"/>
      <c r="BV987" s="705"/>
    </row>
    <row r="988" spans="1:74" ht="45" customHeight="1" x14ac:dyDescent="0.25">
      <c r="A988" s="10">
        <f t="shared" si="15"/>
        <v>974</v>
      </c>
      <c r="B988" s="662" t="s">
        <v>159</v>
      </c>
      <c r="C988" s="662"/>
      <c r="D988" s="663" t="s">
        <v>212</v>
      </c>
      <c r="E988" s="663"/>
      <c r="F988" s="664" t="s">
        <v>162</v>
      </c>
      <c r="G988" s="665"/>
      <c r="H988" s="754" t="s">
        <v>162</v>
      </c>
      <c r="I988" s="714"/>
      <c r="J988" s="715"/>
      <c r="K988" s="716"/>
      <c r="L988" s="715"/>
      <c r="M988" s="716"/>
      <c r="N988" s="194"/>
      <c r="O988" s="196"/>
      <c r="P988" s="717"/>
      <c r="Q988" s="718"/>
      <c r="R988" s="672"/>
      <c r="S988" s="673"/>
      <c r="T988" s="674"/>
      <c r="U988" s="675"/>
      <c r="V988" s="676"/>
      <c r="W988" s="677"/>
      <c r="X988" s="678" t="s">
        <v>159</v>
      </c>
      <c r="Y988" s="678"/>
      <c r="Z988" s="678"/>
      <c r="AA988" s="678"/>
      <c r="AB988" s="679" t="s">
        <v>159</v>
      </c>
      <c r="AC988" s="679"/>
      <c r="AD988" s="679"/>
      <c r="AE988" s="679"/>
      <c r="AF988" s="680"/>
      <c r="AG988" s="681"/>
      <c r="AH988" s="680"/>
      <c r="AI988" s="681"/>
      <c r="AJ988" s="682"/>
      <c r="AK988" s="683"/>
      <c r="AL988" s="684" t="s">
        <v>162</v>
      </c>
      <c r="AM988" s="685"/>
      <c r="AN988" s="666" t="s">
        <v>162</v>
      </c>
      <c r="AO988" s="667"/>
      <c r="AP988" s="686"/>
      <c r="AQ988" s="687"/>
      <c r="AR988" s="688"/>
      <c r="AS988" s="689"/>
      <c r="AT988" s="690"/>
      <c r="AU988" s="691"/>
      <c r="AV988" s="666" t="s">
        <v>162</v>
      </c>
      <c r="AW988" s="667"/>
      <c r="AX988" s="692"/>
      <c r="AY988" s="693"/>
      <c r="AZ988" s="694"/>
      <c r="BA988" s="682"/>
      <c r="BB988" s="683"/>
      <c r="BC988" s="14"/>
      <c r="BD988" s="695" t="s">
        <v>162</v>
      </c>
      <c r="BE988" s="696"/>
      <c r="BF988" s="697"/>
      <c r="BG988" s="698"/>
      <c r="BH988" s="698"/>
      <c r="BI988" s="699"/>
      <c r="BJ988" s="700" t="s">
        <v>159</v>
      </c>
      <c r="BK988" s="701"/>
      <c r="BL988" s="701"/>
      <c r="BM988" s="702"/>
      <c r="BN988" s="703" t="s">
        <v>159</v>
      </c>
      <c r="BO988" s="704"/>
      <c r="BP988" s="704"/>
      <c r="BQ988" s="704"/>
      <c r="BR988" s="704"/>
      <c r="BS988" s="704"/>
      <c r="BT988" s="704"/>
      <c r="BU988" s="704"/>
      <c r="BV988" s="705"/>
    </row>
    <row r="989" spans="1:74" ht="45" customHeight="1" x14ac:dyDescent="0.25">
      <c r="A989" s="10">
        <f t="shared" si="15"/>
        <v>975</v>
      </c>
      <c r="B989" s="711" t="s">
        <v>159</v>
      </c>
      <c r="C989" s="711"/>
      <c r="D989" s="712" t="s">
        <v>212</v>
      </c>
      <c r="E989" s="712"/>
      <c r="F989" s="664" t="s">
        <v>162</v>
      </c>
      <c r="G989" s="665"/>
      <c r="H989" s="755" t="s">
        <v>162</v>
      </c>
      <c r="I989" s="667"/>
      <c r="J989" s="706"/>
      <c r="K989" s="707"/>
      <c r="L989" s="706"/>
      <c r="M989" s="707"/>
      <c r="N989" s="215"/>
      <c r="O989" s="216"/>
      <c r="P989" s="670"/>
      <c r="Q989" s="671"/>
      <c r="R989" s="719"/>
      <c r="S989" s="720"/>
      <c r="T989" s="721"/>
      <c r="U989" s="722"/>
      <c r="V989" s="723"/>
      <c r="W989" s="724"/>
      <c r="X989" s="725" t="s">
        <v>159</v>
      </c>
      <c r="Y989" s="725"/>
      <c r="Z989" s="725"/>
      <c r="AA989" s="725"/>
      <c r="AB989" s="726" t="s">
        <v>159</v>
      </c>
      <c r="AC989" s="726"/>
      <c r="AD989" s="726"/>
      <c r="AE989" s="726"/>
      <c r="AF989" s="727"/>
      <c r="AG989" s="728"/>
      <c r="AH989" s="727"/>
      <c r="AI989" s="728"/>
      <c r="AJ989" s="682"/>
      <c r="AK989" s="683"/>
      <c r="AL989" s="664" t="s">
        <v>162</v>
      </c>
      <c r="AM989" s="665"/>
      <c r="AN989" s="713" t="s">
        <v>162</v>
      </c>
      <c r="AO989" s="714"/>
      <c r="AP989" s="729"/>
      <c r="AQ989" s="730"/>
      <c r="AR989" s="731"/>
      <c r="AS989" s="732"/>
      <c r="AT989" s="733"/>
      <c r="AU989" s="734"/>
      <c r="AV989" s="713" t="s">
        <v>162</v>
      </c>
      <c r="AW989" s="714"/>
      <c r="AX989" s="692"/>
      <c r="AY989" s="693"/>
      <c r="AZ989" s="694"/>
      <c r="BA989" s="735"/>
      <c r="BB989" s="736"/>
      <c r="BC989" s="219"/>
      <c r="BD989" s="737" t="s">
        <v>162</v>
      </c>
      <c r="BE989" s="738"/>
      <c r="BF989" s="739"/>
      <c r="BG989" s="740"/>
      <c r="BH989" s="740"/>
      <c r="BI989" s="741"/>
      <c r="BJ989" s="742" t="s">
        <v>159</v>
      </c>
      <c r="BK989" s="743"/>
      <c r="BL989" s="743"/>
      <c r="BM989" s="744"/>
      <c r="BN989" s="703" t="s">
        <v>159</v>
      </c>
      <c r="BO989" s="704"/>
      <c r="BP989" s="704"/>
      <c r="BQ989" s="704"/>
      <c r="BR989" s="704"/>
      <c r="BS989" s="704"/>
      <c r="BT989" s="704"/>
      <c r="BU989" s="704"/>
      <c r="BV989" s="705"/>
    </row>
    <row r="990" spans="1:74" ht="45" customHeight="1" x14ac:dyDescent="0.25">
      <c r="A990" s="10">
        <f t="shared" si="15"/>
        <v>976</v>
      </c>
      <c r="B990" s="662" t="s">
        <v>159</v>
      </c>
      <c r="C990" s="662"/>
      <c r="D990" s="663" t="s">
        <v>212</v>
      </c>
      <c r="E990" s="663"/>
      <c r="F990" s="664" t="s">
        <v>162</v>
      </c>
      <c r="G990" s="665"/>
      <c r="H990" s="754" t="s">
        <v>162</v>
      </c>
      <c r="I990" s="714"/>
      <c r="J990" s="715"/>
      <c r="K990" s="716"/>
      <c r="L990" s="715"/>
      <c r="M990" s="716"/>
      <c r="N990" s="194"/>
      <c r="O990" s="196"/>
      <c r="P990" s="717"/>
      <c r="Q990" s="718"/>
      <c r="R990" s="672"/>
      <c r="S990" s="673"/>
      <c r="T990" s="674"/>
      <c r="U990" s="675"/>
      <c r="V990" s="676"/>
      <c r="W990" s="677"/>
      <c r="X990" s="678" t="s">
        <v>159</v>
      </c>
      <c r="Y990" s="678"/>
      <c r="Z990" s="678"/>
      <c r="AA990" s="678"/>
      <c r="AB990" s="679" t="s">
        <v>159</v>
      </c>
      <c r="AC990" s="679"/>
      <c r="AD990" s="679"/>
      <c r="AE990" s="679"/>
      <c r="AF990" s="680"/>
      <c r="AG990" s="681"/>
      <c r="AH990" s="680"/>
      <c r="AI990" s="681"/>
      <c r="AJ990" s="682"/>
      <c r="AK990" s="683"/>
      <c r="AL990" s="684" t="s">
        <v>162</v>
      </c>
      <c r="AM990" s="685"/>
      <c r="AN990" s="666" t="s">
        <v>162</v>
      </c>
      <c r="AO990" s="667"/>
      <c r="AP990" s="686"/>
      <c r="AQ990" s="687"/>
      <c r="AR990" s="688"/>
      <c r="AS990" s="689"/>
      <c r="AT990" s="690"/>
      <c r="AU990" s="691"/>
      <c r="AV990" s="666" t="s">
        <v>162</v>
      </c>
      <c r="AW990" s="667"/>
      <c r="AX990" s="692"/>
      <c r="AY990" s="693"/>
      <c r="AZ990" s="694"/>
      <c r="BA990" s="682"/>
      <c r="BB990" s="683"/>
      <c r="BC990" s="14"/>
      <c r="BD990" s="695" t="s">
        <v>162</v>
      </c>
      <c r="BE990" s="696"/>
      <c r="BF990" s="708"/>
      <c r="BG990" s="709"/>
      <c r="BH990" s="709"/>
      <c r="BI990" s="710"/>
      <c r="BJ990" s="700" t="s">
        <v>159</v>
      </c>
      <c r="BK990" s="701"/>
      <c r="BL990" s="701"/>
      <c r="BM990" s="702"/>
      <c r="BN990" s="703" t="s">
        <v>159</v>
      </c>
      <c r="BO990" s="704"/>
      <c r="BP990" s="704"/>
      <c r="BQ990" s="704"/>
      <c r="BR990" s="704"/>
      <c r="BS990" s="704"/>
      <c r="BT990" s="704"/>
      <c r="BU990" s="704"/>
      <c r="BV990" s="705"/>
    </row>
    <row r="991" spans="1:74" ht="45" customHeight="1" x14ac:dyDescent="0.25">
      <c r="A991" s="10">
        <f t="shared" si="15"/>
        <v>977</v>
      </c>
      <c r="B991" s="711" t="s">
        <v>159</v>
      </c>
      <c r="C991" s="711"/>
      <c r="D991" s="712" t="s">
        <v>212</v>
      </c>
      <c r="E991" s="712"/>
      <c r="F991" s="664" t="s">
        <v>162</v>
      </c>
      <c r="G991" s="665"/>
      <c r="H991" s="755" t="s">
        <v>162</v>
      </c>
      <c r="I991" s="667"/>
      <c r="J991" s="706"/>
      <c r="K991" s="707"/>
      <c r="L991" s="706"/>
      <c r="M991" s="707"/>
      <c r="N991" s="215"/>
      <c r="O991" s="216"/>
      <c r="P991" s="670"/>
      <c r="Q991" s="671"/>
      <c r="R991" s="719"/>
      <c r="S991" s="720"/>
      <c r="T991" s="721"/>
      <c r="U991" s="722"/>
      <c r="V991" s="723"/>
      <c r="W991" s="724"/>
      <c r="X991" s="725" t="s">
        <v>159</v>
      </c>
      <c r="Y991" s="725"/>
      <c r="Z991" s="725"/>
      <c r="AA991" s="725"/>
      <c r="AB991" s="726" t="s">
        <v>159</v>
      </c>
      <c r="AC991" s="726"/>
      <c r="AD991" s="726"/>
      <c r="AE991" s="726"/>
      <c r="AF991" s="727"/>
      <c r="AG991" s="728"/>
      <c r="AH991" s="727"/>
      <c r="AI991" s="728"/>
      <c r="AJ991" s="682"/>
      <c r="AK991" s="683"/>
      <c r="AL991" s="664" t="s">
        <v>162</v>
      </c>
      <c r="AM991" s="665"/>
      <c r="AN991" s="713" t="s">
        <v>162</v>
      </c>
      <c r="AO991" s="714"/>
      <c r="AP991" s="729"/>
      <c r="AQ991" s="730"/>
      <c r="AR991" s="731"/>
      <c r="AS991" s="732"/>
      <c r="AT991" s="733"/>
      <c r="AU991" s="734"/>
      <c r="AV991" s="713" t="s">
        <v>162</v>
      </c>
      <c r="AW991" s="714"/>
      <c r="AX991" s="692"/>
      <c r="AY991" s="693"/>
      <c r="AZ991" s="694"/>
      <c r="BA991" s="735"/>
      <c r="BB991" s="736"/>
      <c r="BC991" s="219"/>
      <c r="BD991" s="737" t="s">
        <v>162</v>
      </c>
      <c r="BE991" s="738"/>
      <c r="BF991" s="739"/>
      <c r="BG991" s="740"/>
      <c r="BH991" s="740"/>
      <c r="BI991" s="741"/>
      <c r="BJ991" s="742" t="s">
        <v>159</v>
      </c>
      <c r="BK991" s="743"/>
      <c r="BL991" s="743"/>
      <c r="BM991" s="744"/>
      <c r="BN991" s="703" t="s">
        <v>159</v>
      </c>
      <c r="BO991" s="704"/>
      <c r="BP991" s="704"/>
      <c r="BQ991" s="704"/>
      <c r="BR991" s="704"/>
      <c r="BS991" s="704"/>
      <c r="BT991" s="704"/>
      <c r="BU991" s="704"/>
      <c r="BV991" s="705"/>
    </row>
    <row r="992" spans="1:74" ht="45" customHeight="1" x14ac:dyDescent="0.25">
      <c r="A992" s="10">
        <f t="shared" si="15"/>
        <v>978</v>
      </c>
      <c r="B992" s="662" t="s">
        <v>159</v>
      </c>
      <c r="C992" s="662"/>
      <c r="D992" s="663" t="s">
        <v>212</v>
      </c>
      <c r="E992" s="663"/>
      <c r="F992" s="664" t="s">
        <v>162</v>
      </c>
      <c r="G992" s="665"/>
      <c r="H992" s="754" t="s">
        <v>162</v>
      </c>
      <c r="I992" s="714"/>
      <c r="J992" s="715"/>
      <c r="K992" s="716"/>
      <c r="L992" s="715"/>
      <c r="M992" s="716"/>
      <c r="N992" s="194"/>
      <c r="O992" s="196"/>
      <c r="P992" s="717"/>
      <c r="Q992" s="718"/>
      <c r="R992" s="672"/>
      <c r="S992" s="673"/>
      <c r="T992" s="674"/>
      <c r="U992" s="675"/>
      <c r="V992" s="676"/>
      <c r="W992" s="677"/>
      <c r="X992" s="678" t="s">
        <v>159</v>
      </c>
      <c r="Y992" s="678"/>
      <c r="Z992" s="678"/>
      <c r="AA992" s="678"/>
      <c r="AB992" s="679" t="s">
        <v>159</v>
      </c>
      <c r="AC992" s="679"/>
      <c r="AD992" s="679"/>
      <c r="AE992" s="679"/>
      <c r="AF992" s="680"/>
      <c r="AG992" s="681"/>
      <c r="AH992" s="680"/>
      <c r="AI992" s="681"/>
      <c r="AJ992" s="682"/>
      <c r="AK992" s="683"/>
      <c r="AL992" s="684" t="s">
        <v>162</v>
      </c>
      <c r="AM992" s="685"/>
      <c r="AN992" s="666" t="s">
        <v>162</v>
      </c>
      <c r="AO992" s="667"/>
      <c r="AP992" s="686"/>
      <c r="AQ992" s="687"/>
      <c r="AR992" s="688"/>
      <c r="AS992" s="689"/>
      <c r="AT992" s="690"/>
      <c r="AU992" s="691"/>
      <c r="AV992" s="666" t="s">
        <v>162</v>
      </c>
      <c r="AW992" s="667"/>
      <c r="AX992" s="692"/>
      <c r="AY992" s="693"/>
      <c r="AZ992" s="694"/>
      <c r="BA992" s="682"/>
      <c r="BB992" s="683"/>
      <c r="BC992" s="14"/>
      <c r="BD992" s="695" t="s">
        <v>162</v>
      </c>
      <c r="BE992" s="696"/>
      <c r="BF992" s="697"/>
      <c r="BG992" s="698"/>
      <c r="BH992" s="698"/>
      <c r="BI992" s="699"/>
      <c r="BJ992" s="700" t="s">
        <v>159</v>
      </c>
      <c r="BK992" s="701"/>
      <c r="BL992" s="701"/>
      <c r="BM992" s="702"/>
      <c r="BN992" s="703" t="s">
        <v>159</v>
      </c>
      <c r="BO992" s="704"/>
      <c r="BP992" s="704"/>
      <c r="BQ992" s="704"/>
      <c r="BR992" s="704"/>
      <c r="BS992" s="704"/>
      <c r="BT992" s="704"/>
      <c r="BU992" s="704"/>
      <c r="BV992" s="705"/>
    </row>
    <row r="993" spans="1:74" ht="45" customHeight="1" x14ac:dyDescent="0.25">
      <c r="A993" s="10">
        <f t="shared" si="15"/>
        <v>979</v>
      </c>
      <c r="B993" s="711" t="s">
        <v>159</v>
      </c>
      <c r="C993" s="711"/>
      <c r="D993" s="712" t="s">
        <v>212</v>
      </c>
      <c r="E993" s="712"/>
      <c r="F993" s="664" t="s">
        <v>162</v>
      </c>
      <c r="G993" s="665"/>
      <c r="H993" s="755" t="s">
        <v>162</v>
      </c>
      <c r="I993" s="667"/>
      <c r="J993" s="706"/>
      <c r="K993" s="707"/>
      <c r="L993" s="706"/>
      <c r="M993" s="707"/>
      <c r="N993" s="194"/>
      <c r="O993" s="196"/>
      <c r="P993" s="717"/>
      <c r="Q993" s="718"/>
      <c r="R993" s="719"/>
      <c r="S993" s="720"/>
      <c r="T993" s="721"/>
      <c r="U993" s="722"/>
      <c r="V993" s="723"/>
      <c r="W993" s="724"/>
      <c r="X993" s="725" t="s">
        <v>159</v>
      </c>
      <c r="Y993" s="725"/>
      <c r="Z993" s="725"/>
      <c r="AA993" s="725"/>
      <c r="AB993" s="726" t="s">
        <v>159</v>
      </c>
      <c r="AC993" s="726"/>
      <c r="AD993" s="726"/>
      <c r="AE993" s="726"/>
      <c r="AF993" s="727"/>
      <c r="AG993" s="728"/>
      <c r="AH993" s="727"/>
      <c r="AI993" s="728"/>
      <c r="AJ993" s="682"/>
      <c r="AK993" s="683"/>
      <c r="AL993" s="664" t="s">
        <v>162</v>
      </c>
      <c r="AM993" s="665"/>
      <c r="AN993" s="713" t="s">
        <v>162</v>
      </c>
      <c r="AO993" s="714"/>
      <c r="AP993" s="729"/>
      <c r="AQ993" s="730"/>
      <c r="AR993" s="731"/>
      <c r="AS993" s="732"/>
      <c r="AT993" s="690"/>
      <c r="AU993" s="691"/>
      <c r="AV993" s="713" t="s">
        <v>162</v>
      </c>
      <c r="AW993" s="714"/>
      <c r="AX993" s="692"/>
      <c r="AY993" s="693"/>
      <c r="AZ993" s="694"/>
      <c r="BA993" s="735"/>
      <c r="BB993" s="736"/>
      <c r="BC993" s="219"/>
      <c r="BD993" s="737" t="s">
        <v>162</v>
      </c>
      <c r="BE993" s="738"/>
      <c r="BF993" s="739"/>
      <c r="BG993" s="740"/>
      <c r="BH993" s="740"/>
      <c r="BI993" s="741"/>
      <c r="BJ993" s="742" t="s">
        <v>159</v>
      </c>
      <c r="BK993" s="743"/>
      <c r="BL993" s="743"/>
      <c r="BM993" s="744"/>
      <c r="BN993" s="703" t="s">
        <v>159</v>
      </c>
      <c r="BO993" s="704"/>
      <c r="BP993" s="704"/>
      <c r="BQ993" s="704"/>
      <c r="BR993" s="704"/>
      <c r="BS993" s="704"/>
      <c r="BT993" s="704"/>
      <c r="BU993" s="704"/>
      <c r="BV993" s="705"/>
    </row>
    <row r="994" spans="1:74" ht="45" customHeight="1" x14ac:dyDescent="0.25">
      <c r="A994" s="10">
        <f t="shared" si="15"/>
        <v>980</v>
      </c>
      <c r="B994" s="662" t="s">
        <v>159</v>
      </c>
      <c r="C994" s="662"/>
      <c r="D994" s="663" t="s">
        <v>212</v>
      </c>
      <c r="E994" s="663"/>
      <c r="F994" s="664" t="s">
        <v>162</v>
      </c>
      <c r="G994" s="665"/>
      <c r="H994" s="754" t="s">
        <v>162</v>
      </c>
      <c r="I994" s="714"/>
      <c r="J994" s="715"/>
      <c r="K994" s="716"/>
      <c r="L994" s="715"/>
      <c r="M994" s="716"/>
      <c r="N994" s="215"/>
      <c r="O994" s="216"/>
      <c r="P994" s="670"/>
      <c r="Q994" s="671"/>
      <c r="R994" s="672"/>
      <c r="S994" s="673"/>
      <c r="T994" s="674"/>
      <c r="U994" s="675"/>
      <c r="V994" s="676"/>
      <c r="W994" s="677"/>
      <c r="X994" s="678" t="s">
        <v>159</v>
      </c>
      <c r="Y994" s="678"/>
      <c r="Z994" s="678"/>
      <c r="AA994" s="678"/>
      <c r="AB994" s="679" t="s">
        <v>159</v>
      </c>
      <c r="AC994" s="679"/>
      <c r="AD994" s="679"/>
      <c r="AE994" s="679"/>
      <c r="AF994" s="680"/>
      <c r="AG994" s="681"/>
      <c r="AH994" s="680"/>
      <c r="AI994" s="681"/>
      <c r="AJ994" s="682"/>
      <c r="AK994" s="683"/>
      <c r="AL994" s="684" t="s">
        <v>162</v>
      </c>
      <c r="AM994" s="685"/>
      <c r="AN994" s="666" t="s">
        <v>162</v>
      </c>
      <c r="AO994" s="667"/>
      <c r="AP994" s="686"/>
      <c r="AQ994" s="687"/>
      <c r="AR994" s="688"/>
      <c r="AS994" s="689"/>
      <c r="AT994" s="690"/>
      <c r="AU994" s="691"/>
      <c r="AV994" s="666" t="s">
        <v>162</v>
      </c>
      <c r="AW994" s="667"/>
      <c r="AX994" s="692"/>
      <c r="AY994" s="693"/>
      <c r="AZ994" s="694"/>
      <c r="BA994" s="682"/>
      <c r="BB994" s="683"/>
      <c r="BC994" s="14"/>
      <c r="BD994" s="695" t="s">
        <v>162</v>
      </c>
      <c r="BE994" s="696"/>
      <c r="BF994" s="697"/>
      <c r="BG994" s="698"/>
      <c r="BH994" s="698"/>
      <c r="BI994" s="699"/>
      <c r="BJ994" s="700" t="s">
        <v>159</v>
      </c>
      <c r="BK994" s="701"/>
      <c r="BL994" s="701"/>
      <c r="BM994" s="702"/>
      <c r="BN994" s="703" t="s">
        <v>159</v>
      </c>
      <c r="BO994" s="704"/>
      <c r="BP994" s="704"/>
      <c r="BQ994" s="704"/>
      <c r="BR994" s="704"/>
      <c r="BS994" s="704"/>
      <c r="BT994" s="704"/>
      <c r="BU994" s="704"/>
      <c r="BV994" s="705"/>
    </row>
    <row r="995" spans="1:74" ht="45" customHeight="1" x14ac:dyDescent="0.25">
      <c r="A995" s="10">
        <f t="shared" si="15"/>
        <v>981</v>
      </c>
      <c r="B995" s="711" t="s">
        <v>159</v>
      </c>
      <c r="C995" s="711"/>
      <c r="D995" s="712" t="s">
        <v>212</v>
      </c>
      <c r="E995" s="712"/>
      <c r="F995" s="664" t="s">
        <v>162</v>
      </c>
      <c r="G995" s="665"/>
      <c r="H995" s="755" t="s">
        <v>162</v>
      </c>
      <c r="I995" s="667"/>
      <c r="J995" s="706"/>
      <c r="K995" s="707"/>
      <c r="L995" s="706"/>
      <c r="M995" s="707"/>
      <c r="N995" s="194"/>
      <c r="O995" s="196"/>
      <c r="P995" s="717"/>
      <c r="Q995" s="718"/>
      <c r="R995" s="719"/>
      <c r="S995" s="720"/>
      <c r="T995" s="721"/>
      <c r="U995" s="722"/>
      <c r="V995" s="723"/>
      <c r="W995" s="724"/>
      <c r="X995" s="725" t="s">
        <v>159</v>
      </c>
      <c r="Y995" s="725"/>
      <c r="Z995" s="725"/>
      <c r="AA995" s="725"/>
      <c r="AB995" s="726" t="s">
        <v>159</v>
      </c>
      <c r="AC995" s="726"/>
      <c r="AD995" s="726"/>
      <c r="AE995" s="726"/>
      <c r="AF995" s="727"/>
      <c r="AG995" s="728"/>
      <c r="AH995" s="727"/>
      <c r="AI995" s="728"/>
      <c r="AJ995" s="682"/>
      <c r="AK995" s="683"/>
      <c r="AL995" s="664" t="s">
        <v>162</v>
      </c>
      <c r="AM995" s="665"/>
      <c r="AN995" s="713" t="s">
        <v>162</v>
      </c>
      <c r="AO995" s="714"/>
      <c r="AP995" s="729"/>
      <c r="AQ995" s="730"/>
      <c r="AR995" s="731"/>
      <c r="AS995" s="732"/>
      <c r="AT995" s="690"/>
      <c r="AU995" s="691"/>
      <c r="AV995" s="713" t="s">
        <v>162</v>
      </c>
      <c r="AW995" s="714"/>
      <c r="AX995" s="692"/>
      <c r="AY995" s="693"/>
      <c r="AZ995" s="694"/>
      <c r="BA995" s="735"/>
      <c r="BB995" s="736"/>
      <c r="BC995" s="219"/>
      <c r="BD995" s="737" t="s">
        <v>162</v>
      </c>
      <c r="BE995" s="738"/>
      <c r="BF995" s="739"/>
      <c r="BG995" s="740"/>
      <c r="BH995" s="740"/>
      <c r="BI995" s="741"/>
      <c r="BJ995" s="742" t="s">
        <v>159</v>
      </c>
      <c r="BK995" s="743"/>
      <c r="BL995" s="743"/>
      <c r="BM995" s="744"/>
      <c r="BN995" s="703" t="s">
        <v>159</v>
      </c>
      <c r="BO995" s="704"/>
      <c r="BP995" s="704"/>
      <c r="BQ995" s="704"/>
      <c r="BR995" s="704"/>
      <c r="BS995" s="704"/>
      <c r="BT995" s="704"/>
      <c r="BU995" s="704"/>
      <c r="BV995" s="705"/>
    </row>
    <row r="996" spans="1:74" ht="45" customHeight="1" x14ac:dyDescent="0.25">
      <c r="A996" s="10">
        <f t="shared" si="15"/>
        <v>982</v>
      </c>
      <c r="B996" s="662" t="s">
        <v>159</v>
      </c>
      <c r="C996" s="662"/>
      <c r="D996" s="663" t="s">
        <v>212</v>
      </c>
      <c r="E996" s="663"/>
      <c r="F996" s="664" t="s">
        <v>162</v>
      </c>
      <c r="G996" s="665"/>
      <c r="H996" s="754" t="s">
        <v>162</v>
      </c>
      <c r="I996" s="714"/>
      <c r="J996" s="715"/>
      <c r="K996" s="716"/>
      <c r="L996" s="715"/>
      <c r="M996" s="716"/>
      <c r="N996" s="215"/>
      <c r="O996" s="216"/>
      <c r="P996" s="670"/>
      <c r="Q996" s="671"/>
      <c r="R996" s="672"/>
      <c r="S996" s="673"/>
      <c r="T996" s="674"/>
      <c r="U996" s="675"/>
      <c r="V996" s="676"/>
      <c r="W996" s="677"/>
      <c r="X996" s="678" t="s">
        <v>159</v>
      </c>
      <c r="Y996" s="678"/>
      <c r="Z996" s="678"/>
      <c r="AA996" s="678"/>
      <c r="AB996" s="679" t="s">
        <v>159</v>
      </c>
      <c r="AC996" s="679"/>
      <c r="AD996" s="679"/>
      <c r="AE996" s="679"/>
      <c r="AF996" s="680"/>
      <c r="AG996" s="681"/>
      <c r="AH996" s="680"/>
      <c r="AI996" s="681"/>
      <c r="AJ996" s="682"/>
      <c r="AK996" s="683"/>
      <c r="AL996" s="684" t="s">
        <v>162</v>
      </c>
      <c r="AM996" s="685"/>
      <c r="AN996" s="666" t="s">
        <v>162</v>
      </c>
      <c r="AO996" s="667"/>
      <c r="AP996" s="686"/>
      <c r="AQ996" s="687"/>
      <c r="AR996" s="688"/>
      <c r="AS996" s="689"/>
      <c r="AT996" s="690"/>
      <c r="AU996" s="691"/>
      <c r="AV996" s="666" t="s">
        <v>162</v>
      </c>
      <c r="AW996" s="667"/>
      <c r="AX996" s="692"/>
      <c r="AY996" s="693"/>
      <c r="AZ996" s="694"/>
      <c r="BA996" s="682"/>
      <c r="BB996" s="683"/>
      <c r="BC996" s="14"/>
      <c r="BD996" s="695" t="s">
        <v>162</v>
      </c>
      <c r="BE996" s="696"/>
      <c r="BF996" s="697"/>
      <c r="BG996" s="698"/>
      <c r="BH996" s="698"/>
      <c r="BI996" s="699"/>
      <c r="BJ996" s="700" t="s">
        <v>159</v>
      </c>
      <c r="BK996" s="701"/>
      <c r="BL996" s="701"/>
      <c r="BM996" s="702"/>
      <c r="BN996" s="703" t="s">
        <v>159</v>
      </c>
      <c r="BO996" s="704"/>
      <c r="BP996" s="704"/>
      <c r="BQ996" s="704"/>
      <c r="BR996" s="704"/>
      <c r="BS996" s="704"/>
      <c r="BT996" s="704"/>
      <c r="BU996" s="704"/>
      <c r="BV996" s="705"/>
    </row>
    <row r="997" spans="1:74" ht="45" customHeight="1" x14ac:dyDescent="0.25">
      <c r="A997" s="10">
        <f t="shared" si="15"/>
        <v>983</v>
      </c>
      <c r="B997" s="711" t="s">
        <v>159</v>
      </c>
      <c r="C997" s="711"/>
      <c r="D997" s="712" t="s">
        <v>212</v>
      </c>
      <c r="E997" s="712"/>
      <c r="F997" s="664" t="s">
        <v>162</v>
      </c>
      <c r="G997" s="665"/>
      <c r="H997" s="755" t="s">
        <v>162</v>
      </c>
      <c r="I997" s="667"/>
      <c r="J997" s="706"/>
      <c r="K997" s="707"/>
      <c r="L997" s="706"/>
      <c r="M997" s="707"/>
      <c r="N997" s="194"/>
      <c r="O997" s="216"/>
      <c r="P997" s="717"/>
      <c r="Q997" s="718"/>
      <c r="R997" s="719"/>
      <c r="S997" s="720"/>
      <c r="T997" s="721"/>
      <c r="U997" s="722"/>
      <c r="V997" s="723"/>
      <c r="W997" s="724"/>
      <c r="X997" s="725" t="s">
        <v>159</v>
      </c>
      <c r="Y997" s="725"/>
      <c r="Z997" s="725"/>
      <c r="AA997" s="725"/>
      <c r="AB997" s="726" t="s">
        <v>159</v>
      </c>
      <c r="AC997" s="726"/>
      <c r="AD997" s="726"/>
      <c r="AE997" s="726"/>
      <c r="AF997" s="727"/>
      <c r="AG997" s="728"/>
      <c r="AH997" s="727"/>
      <c r="AI997" s="728"/>
      <c r="AJ997" s="682"/>
      <c r="AK997" s="683"/>
      <c r="AL997" s="664" t="s">
        <v>162</v>
      </c>
      <c r="AM997" s="665"/>
      <c r="AN997" s="713" t="s">
        <v>162</v>
      </c>
      <c r="AO997" s="714"/>
      <c r="AP997" s="729"/>
      <c r="AQ997" s="730"/>
      <c r="AR997" s="731"/>
      <c r="AS997" s="732"/>
      <c r="AT997" s="733"/>
      <c r="AU997" s="734"/>
      <c r="AV997" s="713" t="s">
        <v>162</v>
      </c>
      <c r="AW997" s="714"/>
      <c r="AX997" s="692"/>
      <c r="AY997" s="693"/>
      <c r="AZ997" s="694"/>
      <c r="BA997" s="735"/>
      <c r="BB997" s="736"/>
      <c r="BC997" s="219"/>
      <c r="BD997" s="737" t="s">
        <v>162</v>
      </c>
      <c r="BE997" s="738"/>
      <c r="BF997" s="739"/>
      <c r="BG997" s="740"/>
      <c r="BH997" s="740"/>
      <c r="BI997" s="741"/>
      <c r="BJ997" s="742" t="s">
        <v>159</v>
      </c>
      <c r="BK997" s="743"/>
      <c r="BL997" s="743"/>
      <c r="BM997" s="744"/>
      <c r="BN997" s="703" t="s">
        <v>159</v>
      </c>
      <c r="BO997" s="704"/>
      <c r="BP997" s="704"/>
      <c r="BQ997" s="704"/>
      <c r="BR997" s="704"/>
      <c r="BS997" s="704"/>
      <c r="BT997" s="704"/>
      <c r="BU997" s="704"/>
      <c r="BV997" s="705"/>
    </row>
    <row r="998" spans="1:74" ht="45" customHeight="1" x14ac:dyDescent="0.25">
      <c r="A998" s="10">
        <f t="shared" si="15"/>
        <v>984</v>
      </c>
      <c r="B998" s="662" t="s">
        <v>159</v>
      </c>
      <c r="C998" s="662"/>
      <c r="D998" s="663" t="s">
        <v>212</v>
      </c>
      <c r="E998" s="663"/>
      <c r="F998" s="664" t="s">
        <v>162</v>
      </c>
      <c r="G998" s="665"/>
      <c r="H998" s="754" t="s">
        <v>162</v>
      </c>
      <c r="I998" s="714"/>
      <c r="J998" s="715"/>
      <c r="K998" s="716"/>
      <c r="L998" s="715"/>
      <c r="M998" s="716"/>
      <c r="N998" s="215"/>
      <c r="O998" s="196"/>
      <c r="P998" s="670"/>
      <c r="Q998" s="671"/>
      <c r="R998" s="672"/>
      <c r="S998" s="673"/>
      <c r="T998" s="674"/>
      <c r="U998" s="675"/>
      <c r="V998" s="676"/>
      <c r="W998" s="677"/>
      <c r="X998" s="678" t="s">
        <v>159</v>
      </c>
      <c r="Y998" s="678"/>
      <c r="Z998" s="678"/>
      <c r="AA998" s="678"/>
      <c r="AB998" s="679" t="s">
        <v>159</v>
      </c>
      <c r="AC998" s="679"/>
      <c r="AD998" s="679"/>
      <c r="AE998" s="679"/>
      <c r="AF998" s="680"/>
      <c r="AG998" s="681"/>
      <c r="AH998" s="680"/>
      <c r="AI998" s="681"/>
      <c r="AJ998" s="682"/>
      <c r="AK998" s="683"/>
      <c r="AL998" s="684" t="s">
        <v>162</v>
      </c>
      <c r="AM998" s="685"/>
      <c r="AN998" s="666" t="s">
        <v>162</v>
      </c>
      <c r="AO998" s="667"/>
      <c r="AP998" s="686"/>
      <c r="AQ998" s="687"/>
      <c r="AR998" s="688"/>
      <c r="AS998" s="689"/>
      <c r="AT998" s="690"/>
      <c r="AU998" s="691"/>
      <c r="AV998" s="666" t="s">
        <v>162</v>
      </c>
      <c r="AW998" s="667"/>
      <c r="AX998" s="692"/>
      <c r="AY998" s="693"/>
      <c r="AZ998" s="694"/>
      <c r="BA998" s="682"/>
      <c r="BB998" s="683"/>
      <c r="BC998" s="14"/>
      <c r="BD998" s="695" t="s">
        <v>162</v>
      </c>
      <c r="BE998" s="696"/>
      <c r="BF998" s="708"/>
      <c r="BG998" s="709"/>
      <c r="BH998" s="709"/>
      <c r="BI998" s="710"/>
      <c r="BJ998" s="700" t="s">
        <v>159</v>
      </c>
      <c r="BK998" s="701"/>
      <c r="BL998" s="701"/>
      <c r="BM998" s="702"/>
      <c r="BN998" s="703" t="s">
        <v>159</v>
      </c>
      <c r="BO998" s="704"/>
      <c r="BP998" s="704"/>
      <c r="BQ998" s="704"/>
      <c r="BR998" s="704"/>
      <c r="BS998" s="704"/>
      <c r="BT998" s="704"/>
      <c r="BU998" s="704"/>
      <c r="BV998" s="705"/>
    </row>
    <row r="999" spans="1:74" ht="45" customHeight="1" x14ac:dyDescent="0.25">
      <c r="A999" s="10">
        <f t="shared" si="15"/>
        <v>985</v>
      </c>
      <c r="B999" s="711" t="s">
        <v>159</v>
      </c>
      <c r="C999" s="711"/>
      <c r="D999" s="712" t="s">
        <v>212</v>
      </c>
      <c r="E999" s="712"/>
      <c r="F999" s="664" t="s">
        <v>162</v>
      </c>
      <c r="G999" s="665"/>
      <c r="H999" s="755" t="s">
        <v>162</v>
      </c>
      <c r="I999" s="667"/>
      <c r="J999" s="706"/>
      <c r="K999" s="707"/>
      <c r="L999" s="706"/>
      <c r="M999" s="707"/>
      <c r="N999" s="194"/>
      <c r="O999" s="216"/>
      <c r="P999" s="717"/>
      <c r="Q999" s="718"/>
      <c r="R999" s="719"/>
      <c r="S999" s="720"/>
      <c r="T999" s="721"/>
      <c r="U999" s="722"/>
      <c r="V999" s="723"/>
      <c r="W999" s="724"/>
      <c r="X999" s="725" t="s">
        <v>159</v>
      </c>
      <c r="Y999" s="725"/>
      <c r="Z999" s="725"/>
      <c r="AA999" s="725"/>
      <c r="AB999" s="726" t="s">
        <v>159</v>
      </c>
      <c r="AC999" s="726"/>
      <c r="AD999" s="726"/>
      <c r="AE999" s="726"/>
      <c r="AF999" s="727"/>
      <c r="AG999" s="728"/>
      <c r="AH999" s="727"/>
      <c r="AI999" s="728"/>
      <c r="AJ999" s="682"/>
      <c r="AK999" s="683"/>
      <c r="AL999" s="664" t="s">
        <v>162</v>
      </c>
      <c r="AM999" s="665"/>
      <c r="AN999" s="713" t="s">
        <v>162</v>
      </c>
      <c r="AO999" s="714"/>
      <c r="AP999" s="729"/>
      <c r="AQ999" s="730"/>
      <c r="AR999" s="731"/>
      <c r="AS999" s="732"/>
      <c r="AT999" s="733"/>
      <c r="AU999" s="734"/>
      <c r="AV999" s="713" t="s">
        <v>162</v>
      </c>
      <c r="AW999" s="714"/>
      <c r="AX999" s="692"/>
      <c r="AY999" s="693"/>
      <c r="AZ999" s="694"/>
      <c r="BA999" s="735"/>
      <c r="BB999" s="736"/>
      <c r="BC999" s="219"/>
      <c r="BD999" s="737" t="s">
        <v>162</v>
      </c>
      <c r="BE999" s="738"/>
      <c r="BF999" s="739"/>
      <c r="BG999" s="740"/>
      <c r="BH999" s="740"/>
      <c r="BI999" s="741"/>
      <c r="BJ999" s="742" t="s">
        <v>159</v>
      </c>
      <c r="BK999" s="743"/>
      <c r="BL999" s="743"/>
      <c r="BM999" s="744"/>
      <c r="BN999" s="703" t="s">
        <v>159</v>
      </c>
      <c r="BO999" s="704"/>
      <c r="BP999" s="704"/>
      <c r="BQ999" s="704"/>
      <c r="BR999" s="704"/>
      <c r="BS999" s="704"/>
      <c r="BT999" s="704"/>
      <c r="BU999" s="704"/>
      <c r="BV999" s="705"/>
    </row>
    <row r="1000" spans="1:74" ht="45" customHeight="1" x14ac:dyDescent="0.25">
      <c r="A1000" s="10">
        <f t="shared" si="15"/>
        <v>986</v>
      </c>
      <c r="B1000" s="662" t="s">
        <v>159</v>
      </c>
      <c r="C1000" s="662"/>
      <c r="D1000" s="663" t="s">
        <v>212</v>
      </c>
      <c r="E1000" s="663"/>
      <c r="F1000" s="664" t="s">
        <v>162</v>
      </c>
      <c r="G1000" s="665"/>
      <c r="H1000" s="754" t="s">
        <v>162</v>
      </c>
      <c r="I1000" s="714"/>
      <c r="J1000" s="715"/>
      <c r="K1000" s="716"/>
      <c r="L1000" s="715"/>
      <c r="M1000" s="716"/>
      <c r="N1000" s="215"/>
      <c r="O1000" s="196"/>
      <c r="P1000" s="670"/>
      <c r="Q1000" s="671"/>
      <c r="R1000" s="672"/>
      <c r="S1000" s="673"/>
      <c r="T1000" s="674"/>
      <c r="U1000" s="675"/>
      <c r="V1000" s="676"/>
      <c r="W1000" s="677"/>
      <c r="X1000" s="678" t="s">
        <v>159</v>
      </c>
      <c r="Y1000" s="678"/>
      <c r="Z1000" s="678"/>
      <c r="AA1000" s="678"/>
      <c r="AB1000" s="679" t="s">
        <v>159</v>
      </c>
      <c r="AC1000" s="679"/>
      <c r="AD1000" s="679"/>
      <c r="AE1000" s="679"/>
      <c r="AF1000" s="680"/>
      <c r="AG1000" s="681"/>
      <c r="AH1000" s="680"/>
      <c r="AI1000" s="681"/>
      <c r="AJ1000" s="682"/>
      <c r="AK1000" s="683"/>
      <c r="AL1000" s="684" t="s">
        <v>162</v>
      </c>
      <c r="AM1000" s="685"/>
      <c r="AN1000" s="666" t="s">
        <v>162</v>
      </c>
      <c r="AO1000" s="667"/>
      <c r="AP1000" s="686"/>
      <c r="AQ1000" s="687"/>
      <c r="AR1000" s="688"/>
      <c r="AS1000" s="689"/>
      <c r="AT1000" s="690"/>
      <c r="AU1000" s="691"/>
      <c r="AV1000" s="666" t="s">
        <v>162</v>
      </c>
      <c r="AW1000" s="667"/>
      <c r="AX1000" s="692"/>
      <c r="AY1000" s="693"/>
      <c r="AZ1000" s="694"/>
      <c r="BA1000" s="682"/>
      <c r="BB1000" s="683"/>
      <c r="BC1000" s="14"/>
      <c r="BD1000" s="695" t="s">
        <v>162</v>
      </c>
      <c r="BE1000" s="696"/>
      <c r="BF1000" s="697"/>
      <c r="BG1000" s="698"/>
      <c r="BH1000" s="698"/>
      <c r="BI1000" s="699"/>
      <c r="BJ1000" s="700" t="s">
        <v>159</v>
      </c>
      <c r="BK1000" s="701"/>
      <c r="BL1000" s="701"/>
      <c r="BM1000" s="702"/>
      <c r="BN1000" s="703" t="s">
        <v>159</v>
      </c>
      <c r="BO1000" s="704"/>
      <c r="BP1000" s="704"/>
      <c r="BQ1000" s="704"/>
      <c r="BR1000" s="704"/>
      <c r="BS1000" s="704"/>
      <c r="BT1000" s="704"/>
      <c r="BU1000" s="704"/>
      <c r="BV1000" s="705"/>
    </row>
    <row r="1001" spans="1:74" ht="45" customHeight="1" x14ac:dyDescent="0.25">
      <c r="A1001" s="10">
        <f t="shared" si="15"/>
        <v>987</v>
      </c>
      <c r="B1001" s="711" t="s">
        <v>159</v>
      </c>
      <c r="C1001" s="711"/>
      <c r="D1001" s="712" t="s">
        <v>212</v>
      </c>
      <c r="E1001" s="712"/>
      <c r="F1001" s="664" t="s">
        <v>162</v>
      </c>
      <c r="G1001" s="665"/>
      <c r="H1001" s="755" t="s">
        <v>162</v>
      </c>
      <c r="I1001" s="667"/>
      <c r="J1001" s="706"/>
      <c r="K1001" s="707"/>
      <c r="L1001" s="706"/>
      <c r="M1001" s="707"/>
      <c r="N1001" s="194"/>
      <c r="O1001" s="216"/>
      <c r="P1001" s="717"/>
      <c r="Q1001" s="718"/>
      <c r="R1001" s="719"/>
      <c r="S1001" s="720"/>
      <c r="T1001" s="721"/>
      <c r="U1001" s="722"/>
      <c r="V1001" s="723"/>
      <c r="W1001" s="724"/>
      <c r="X1001" s="725" t="s">
        <v>159</v>
      </c>
      <c r="Y1001" s="725"/>
      <c r="Z1001" s="725"/>
      <c r="AA1001" s="725"/>
      <c r="AB1001" s="726" t="s">
        <v>159</v>
      </c>
      <c r="AC1001" s="726"/>
      <c r="AD1001" s="726"/>
      <c r="AE1001" s="726"/>
      <c r="AF1001" s="727"/>
      <c r="AG1001" s="728"/>
      <c r="AH1001" s="727"/>
      <c r="AI1001" s="728"/>
      <c r="AJ1001" s="682"/>
      <c r="AK1001" s="683"/>
      <c r="AL1001" s="664" t="s">
        <v>162</v>
      </c>
      <c r="AM1001" s="665"/>
      <c r="AN1001" s="713" t="s">
        <v>162</v>
      </c>
      <c r="AO1001" s="714"/>
      <c r="AP1001" s="729"/>
      <c r="AQ1001" s="730"/>
      <c r="AR1001" s="731"/>
      <c r="AS1001" s="732"/>
      <c r="AT1001" s="733"/>
      <c r="AU1001" s="734"/>
      <c r="AV1001" s="713" t="s">
        <v>162</v>
      </c>
      <c r="AW1001" s="714"/>
      <c r="AX1001" s="692"/>
      <c r="AY1001" s="693"/>
      <c r="AZ1001" s="694"/>
      <c r="BA1001" s="735"/>
      <c r="BB1001" s="736"/>
      <c r="BC1001" s="219"/>
      <c r="BD1001" s="737" t="s">
        <v>162</v>
      </c>
      <c r="BE1001" s="738"/>
      <c r="BF1001" s="739"/>
      <c r="BG1001" s="740"/>
      <c r="BH1001" s="740"/>
      <c r="BI1001" s="741"/>
      <c r="BJ1001" s="742" t="s">
        <v>159</v>
      </c>
      <c r="BK1001" s="743"/>
      <c r="BL1001" s="743"/>
      <c r="BM1001" s="744"/>
      <c r="BN1001" s="703" t="s">
        <v>159</v>
      </c>
      <c r="BO1001" s="704"/>
      <c r="BP1001" s="704"/>
      <c r="BQ1001" s="704"/>
      <c r="BR1001" s="704"/>
      <c r="BS1001" s="704"/>
      <c r="BT1001" s="704"/>
      <c r="BU1001" s="704"/>
      <c r="BV1001" s="705"/>
    </row>
    <row r="1002" spans="1:74" ht="45" customHeight="1" x14ac:dyDescent="0.25">
      <c r="A1002" s="10">
        <f t="shared" si="15"/>
        <v>988</v>
      </c>
      <c r="B1002" s="662" t="s">
        <v>159</v>
      </c>
      <c r="C1002" s="662"/>
      <c r="D1002" s="663" t="s">
        <v>212</v>
      </c>
      <c r="E1002" s="663"/>
      <c r="F1002" s="664" t="s">
        <v>162</v>
      </c>
      <c r="G1002" s="665"/>
      <c r="H1002" s="754" t="s">
        <v>162</v>
      </c>
      <c r="I1002" s="714"/>
      <c r="J1002" s="715"/>
      <c r="K1002" s="716"/>
      <c r="L1002" s="715"/>
      <c r="M1002" s="716"/>
      <c r="N1002" s="215"/>
      <c r="O1002" s="196"/>
      <c r="P1002" s="670"/>
      <c r="Q1002" s="671"/>
      <c r="R1002" s="672"/>
      <c r="S1002" s="673"/>
      <c r="T1002" s="674"/>
      <c r="U1002" s="675"/>
      <c r="V1002" s="676"/>
      <c r="W1002" s="677"/>
      <c r="X1002" s="678" t="s">
        <v>159</v>
      </c>
      <c r="Y1002" s="678"/>
      <c r="Z1002" s="678"/>
      <c r="AA1002" s="678"/>
      <c r="AB1002" s="679" t="s">
        <v>159</v>
      </c>
      <c r="AC1002" s="679"/>
      <c r="AD1002" s="679"/>
      <c r="AE1002" s="679"/>
      <c r="AF1002" s="680"/>
      <c r="AG1002" s="681"/>
      <c r="AH1002" s="680"/>
      <c r="AI1002" s="681"/>
      <c r="AJ1002" s="682"/>
      <c r="AK1002" s="683"/>
      <c r="AL1002" s="684" t="s">
        <v>162</v>
      </c>
      <c r="AM1002" s="685"/>
      <c r="AN1002" s="666" t="s">
        <v>162</v>
      </c>
      <c r="AO1002" s="667"/>
      <c r="AP1002" s="686"/>
      <c r="AQ1002" s="687"/>
      <c r="AR1002" s="688"/>
      <c r="AS1002" s="689"/>
      <c r="AT1002" s="690"/>
      <c r="AU1002" s="691"/>
      <c r="AV1002" s="666" t="s">
        <v>162</v>
      </c>
      <c r="AW1002" s="667"/>
      <c r="AX1002" s="692"/>
      <c r="AY1002" s="693"/>
      <c r="AZ1002" s="694"/>
      <c r="BA1002" s="682"/>
      <c r="BB1002" s="683"/>
      <c r="BC1002" s="14"/>
      <c r="BD1002" s="695" t="s">
        <v>162</v>
      </c>
      <c r="BE1002" s="696"/>
      <c r="BF1002" s="697"/>
      <c r="BG1002" s="698"/>
      <c r="BH1002" s="698"/>
      <c r="BI1002" s="699"/>
      <c r="BJ1002" s="700" t="s">
        <v>159</v>
      </c>
      <c r="BK1002" s="701"/>
      <c r="BL1002" s="701"/>
      <c r="BM1002" s="702"/>
      <c r="BN1002" s="703" t="s">
        <v>159</v>
      </c>
      <c r="BO1002" s="704"/>
      <c r="BP1002" s="704"/>
      <c r="BQ1002" s="704"/>
      <c r="BR1002" s="704"/>
      <c r="BS1002" s="704"/>
      <c r="BT1002" s="704"/>
      <c r="BU1002" s="704"/>
      <c r="BV1002" s="705"/>
    </row>
    <row r="1003" spans="1:74" ht="45" customHeight="1" x14ac:dyDescent="0.25">
      <c r="A1003" s="10">
        <f t="shared" si="15"/>
        <v>989</v>
      </c>
      <c r="B1003" s="711" t="s">
        <v>159</v>
      </c>
      <c r="C1003" s="711"/>
      <c r="D1003" s="712" t="s">
        <v>212</v>
      </c>
      <c r="E1003" s="712"/>
      <c r="F1003" s="664" t="s">
        <v>162</v>
      </c>
      <c r="G1003" s="665"/>
      <c r="H1003" s="755" t="s">
        <v>162</v>
      </c>
      <c r="I1003" s="667"/>
      <c r="J1003" s="706"/>
      <c r="K1003" s="707"/>
      <c r="L1003" s="706"/>
      <c r="M1003" s="707"/>
      <c r="N1003" s="194"/>
      <c r="O1003" s="216"/>
      <c r="P1003" s="717"/>
      <c r="Q1003" s="718"/>
      <c r="R1003" s="719"/>
      <c r="S1003" s="720"/>
      <c r="T1003" s="721"/>
      <c r="U1003" s="722"/>
      <c r="V1003" s="723"/>
      <c r="W1003" s="724"/>
      <c r="X1003" s="725" t="s">
        <v>159</v>
      </c>
      <c r="Y1003" s="725"/>
      <c r="Z1003" s="725"/>
      <c r="AA1003" s="725"/>
      <c r="AB1003" s="726" t="s">
        <v>159</v>
      </c>
      <c r="AC1003" s="726"/>
      <c r="AD1003" s="726"/>
      <c r="AE1003" s="726"/>
      <c r="AF1003" s="727"/>
      <c r="AG1003" s="728"/>
      <c r="AH1003" s="727"/>
      <c r="AI1003" s="728"/>
      <c r="AJ1003" s="682"/>
      <c r="AK1003" s="683"/>
      <c r="AL1003" s="664" t="s">
        <v>162</v>
      </c>
      <c r="AM1003" s="665"/>
      <c r="AN1003" s="713" t="s">
        <v>162</v>
      </c>
      <c r="AO1003" s="714"/>
      <c r="AP1003" s="729"/>
      <c r="AQ1003" s="730"/>
      <c r="AR1003" s="731"/>
      <c r="AS1003" s="732"/>
      <c r="AT1003" s="733"/>
      <c r="AU1003" s="734"/>
      <c r="AV1003" s="713" t="s">
        <v>162</v>
      </c>
      <c r="AW1003" s="714"/>
      <c r="AX1003" s="692"/>
      <c r="AY1003" s="693"/>
      <c r="AZ1003" s="694"/>
      <c r="BA1003" s="735"/>
      <c r="BB1003" s="736"/>
      <c r="BC1003" s="219"/>
      <c r="BD1003" s="737" t="s">
        <v>162</v>
      </c>
      <c r="BE1003" s="738"/>
      <c r="BF1003" s="739"/>
      <c r="BG1003" s="740"/>
      <c r="BH1003" s="740"/>
      <c r="BI1003" s="741"/>
      <c r="BJ1003" s="742" t="s">
        <v>159</v>
      </c>
      <c r="BK1003" s="743"/>
      <c r="BL1003" s="743"/>
      <c r="BM1003" s="744"/>
      <c r="BN1003" s="703" t="s">
        <v>159</v>
      </c>
      <c r="BO1003" s="704"/>
      <c r="BP1003" s="704"/>
      <c r="BQ1003" s="704"/>
      <c r="BR1003" s="704"/>
      <c r="BS1003" s="704"/>
      <c r="BT1003" s="704"/>
      <c r="BU1003" s="704"/>
      <c r="BV1003" s="705"/>
    </row>
    <row r="1004" spans="1:74" ht="45" customHeight="1" x14ac:dyDescent="0.25">
      <c r="A1004" s="10">
        <f t="shared" si="15"/>
        <v>990</v>
      </c>
      <c r="B1004" s="662" t="s">
        <v>159</v>
      </c>
      <c r="C1004" s="662"/>
      <c r="D1004" s="663" t="s">
        <v>212</v>
      </c>
      <c r="E1004" s="663"/>
      <c r="F1004" s="664" t="s">
        <v>162</v>
      </c>
      <c r="G1004" s="665"/>
      <c r="H1004" s="754" t="s">
        <v>162</v>
      </c>
      <c r="I1004" s="714"/>
      <c r="J1004" s="715"/>
      <c r="K1004" s="716"/>
      <c r="L1004" s="715"/>
      <c r="M1004" s="716"/>
      <c r="N1004" s="215"/>
      <c r="O1004" s="196"/>
      <c r="P1004" s="670"/>
      <c r="Q1004" s="671"/>
      <c r="R1004" s="672"/>
      <c r="S1004" s="673"/>
      <c r="T1004" s="674"/>
      <c r="U1004" s="675"/>
      <c r="V1004" s="676"/>
      <c r="W1004" s="677"/>
      <c r="X1004" s="678" t="s">
        <v>159</v>
      </c>
      <c r="Y1004" s="678"/>
      <c r="Z1004" s="678"/>
      <c r="AA1004" s="678"/>
      <c r="AB1004" s="679" t="s">
        <v>159</v>
      </c>
      <c r="AC1004" s="679"/>
      <c r="AD1004" s="679"/>
      <c r="AE1004" s="679"/>
      <c r="AF1004" s="680"/>
      <c r="AG1004" s="681"/>
      <c r="AH1004" s="680"/>
      <c r="AI1004" s="681"/>
      <c r="AJ1004" s="682"/>
      <c r="AK1004" s="683"/>
      <c r="AL1004" s="684" t="s">
        <v>162</v>
      </c>
      <c r="AM1004" s="685"/>
      <c r="AN1004" s="666" t="s">
        <v>162</v>
      </c>
      <c r="AO1004" s="667"/>
      <c r="AP1004" s="686"/>
      <c r="AQ1004" s="687"/>
      <c r="AR1004" s="688"/>
      <c r="AS1004" s="689"/>
      <c r="AT1004" s="690"/>
      <c r="AU1004" s="691"/>
      <c r="AV1004" s="666" t="s">
        <v>162</v>
      </c>
      <c r="AW1004" s="667"/>
      <c r="AX1004" s="692"/>
      <c r="AY1004" s="693"/>
      <c r="AZ1004" s="694"/>
      <c r="BA1004" s="682"/>
      <c r="BB1004" s="683"/>
      <c r="BC1004" s="14"/>
      <c r="BD1004" s="695" t="s">
        <v>162</v>
      </c>
      <c r="BE1004" s="696"/>
      <c r="BF1004" s="708"/>
      <c r="BG1004" s="709"/>
      <c r="BH1004" s="709"/>
      <c r="BI1004" s="710"/>
      <c r="BJ1004" s="700" t="s">
        <v>159</v>
      </c>
      <c r="BK1004" s="701"/>
      <c r="BL1004" s="701"/>
      <c r="BM1004" s="702"/>
      <c r="BN1004" s="703" t="s">
        <v>159</v>
      </c>
      <c r="BO1004" s="704"/>
      <c r="BP1004" s="704"/>
      <c r="BQ1004" s="704"/>
      <c r="BR1004" s="704"/>
      <c r="BS1004" s="704"/>
      <c r="BT1004" s="704"/>
      <c r="BU1004" s="704"/>
      <c r="BV1004" s="705"/>
    </row>
    <row r="1005" spans="1:74" ht="45" customHeight="1" x14ac:dyDescent="0.25">
      <c r="A1005" s="10">
        <f t="shared" si="15"/>
        <v>991</v>
      </c>
      <c r="B1005" s="711" t="s">
        <v>159</v>
      </c>
      <c r="C1005" s="711"/>
      <c r="D1005" s="712" t="s">
        <v>212</v>
      </c>
      <c r="E1005" s="712"/>
      <c r="F1005" s="664" t="s">
        <v>162</v>
      </c>
      <c r="G1005" s="665"/>
      <c r="H1005" s="755" t="s">
        <v>162</v>
      </c>
      <c r="I1005" s="667"/>
      <c r="J1005" s="706"/>
      <c r="K1005" s="707"/>
      <c r="L1005" s="706"/>
      <c r="M1005" s="707"/>
      <c r="N1005" s="194"/>
      <c r="O1005" s="216"/>
      <c r="P1005" s="717"/>
      <c r="Q1005" s="718"/>
      <c r="R1005" s="719"/>
      <c r="S1005" s="720"/>
      <c r="T1005" s="721"/>
      <c r="U1005" s="722"/>
      <c r="V1005" s="723"/>
      <c r="W1005" s="724"/>
      <c r="X1005" s="725" t="s">
        <v>159</v>
      </c>
      <c r="Y1005" s="725"/>
      <c r="Z1005" s="725"/>
      <c r="AA1005" s="725"/>
      <c r="AB1005" s="726" t="s">
        <v>159</v>
      </c>
      <c r="AC1005" s="726"/>
      <c r="AD1005" s="726"/>
      <c r="AE1005" s="726"/>
      <c r="AF1005" s="727"/>
      <c r="AG1005" s="728"/>
      <c r="AH1005" s="727"/>
      <c r="AI1005" s="728"/>
      <c r="AJ1005" s="682"/>
      <c r="AK1005" s="683"/>
      <c r="AL1005" s="664" t="s">
        <v>162</v>
      </c>
      <c r="AM1005" s="665"/>
      <c r="AN1005" s="713" t="s">
        <v>162</v>
      </c>
      <c r="AO1005" s="714"/>
      <c r="AP1005" s="729"/>
      <c r="AQ1005" s="730"/>
      <c r="AR1005" s="731"/>
      <c r="AS1005" s="732"/>
      <c r="AT1005" s="733"/>
      <c r="AU1005" s="734"/>
      <c r="AV1005" s="713" t="s">
        <v>162</v>
      </c>
      <c r="AW1005" s="714"/>
      <c r="AX1005" s="692"/>
      <c r="AY1005" s="693"/>
      <c r="AZ1005" s="694"/>
      <c r="BA1005" s="735"/>
      <c r="BB1005" s="736"/>
      <c r="BC1005" s="219"/>
      <c r="BD1005" s="737" t="s">
        <v>162</v>
      </c>
      <c r="BE1005" s="738"/>
      <c r="BF1005" s="739"/>
      <c r="BG1005" s="740"/>
      <c r="BH1005" s="740"/>
      <c r="BI1005" s="741"/>
      <c r="BJ1005" s="742" t="s">
        <v>159</v>
      </c>
      <c r="BK1005" s="743"/>
      <c r="BL1005" s="743"/>
      <c r="BM1005" s="744"/>
      <c r="BN1005" s="703" t="s">
        <v>159</v>
      </c>
      <c r="BO1005" s="704"/>
      <c r="BP1005" s="704"/>
      <c r="BQ1005" s="704"/>
      <c r="BR1005" s="704"/>
      <c r="BS1005" s="704"/>
      <c r="BT1005" s="704"/>
      <c r="BU1005" s="704"/>
      <c r="BV1005" s="705"/>
    </row>
    <row r="1006" spans="1:74" ht="45" customHeight="1" x14ac:dyDescent="0.25">
      <c r="A1006" s="10">
        <f t="shared" si="15"/>
        <v>992</v>
      </c>
      <c r="B1006" s="662" t="s">
        <v>159</v>
      </c>
      <c r="C1006" s="662"/>
      <c r="D1006" s="663" t="s">
        <v>212</v>
      </c>
      <c r="E1006" s="663"/>
      <c r="F1006" s="664" t="s">
        <v>162</v>
      </c>
      <c r="G1006" s="665"/>
      <c r="H1006" s="754" t="s">
        <v>162</v>
      </c>
      <c r="I1006" s="714"/>
      <c r="J1006" s="715"/>
      <c r="K1006" s="716"/>
      <c r="L1006" s="715"/>
      <c r="M1006" s="716"/>
      <c r="N1006" s="215"/>
      <c r="O1006" s="196"/>
      <c r="P1006" s="670"/>
      <c r="Q1006" s="671"/>
      <c r="R1006" s="672"/>
      <c r="S1006" s="673"/>
      <c r="T1006" s="674"/>
      <c r="U1006" s="675"/>
      <c r="V1006" s="676"/>
      <c r="W1006" s="677"/>
      <c r="X1006" s="678" t="s">
        <v>159</v>
      </c>
      <c r="Y1006" s="678"/>
      <c r="Z1006" s="678"/>
      <c r="AA1006" s="678"/>
      <c r="AB1006" s="679" t="s">
        <v>159</v>
      </c>
      <c r="AC1006" s="679"/>
      <c r="AD1006" s="679"/>
      <c r="AE1006" s="679"/>
      <c r="AF1006" s="680"/>
      <c r="AG1006" s="681"/>
      <c r="AH1006" s="680"/>
      <c r="AI1006" s="681"/>
      <c r="AJ1006" s="682"/>
      <c r="AK1006" s="683"/>
      <c r="AL1006" s="684" t="s">
        <v>162</v>
      </c>
      <c r="AM1006" s="685"/>
      <c r="AN1006" s="666" t="s">
        <v>162</v>
      </c>
      <c r="AO1006" s="667"/>
      <c r="AP1006" s="686"/>
      <c r="AQ1006" s="687"/>
      <c r="AR1006" s="688"/>
      <c r="AS1006" s="689"/>
      <c r="AT1006" s="690"/>
      <c r="AU1006" s="691"/>
      <c r="AV1006" s="666" t="s">
        <v>162</v>
      </c>
      <c r="AW1006" s="667"/>
      <c r="AX1006" s="692"/>
      <c r="AY1006" s="693"/>
      <c r="AZ1006" s="694"/>
      <c r="BA1006" s="682"/>
      <c r="BB1006" s="683"/>
      <c r="BC1006" s="14"/>
      <c r="BD1006" s="695" t="s">
        <v>162</v>
      </c>
      <c r="BE1006" s="696"/>
      <c r="BF1006" s="697"/>
      <c r="BG1006" s="698"/>
      <c r="BH1006" s="698"/>
      <c r="BI1006" s="699"/>
      <c r="BJ1006" s="700" t="s">
        <v>159</v>
      </c>
      <c r="BK1006" s="701"/>
      <c r="BL1006" s="701"/>
      <c r="BM1006" s="702"/>
      <c r="BN1006" s="703" t="s">
        <v>159</v>
      </c>
      <c r="BO1006" s="704"/>
      <c r="BP1006" s="704"/>
      <c r="BQ1006" s="704"/>
      <c r="BR1006" s="704"/>
      <c r="BS1006" s="704"/>
      <c r="BT1006" s="704"/>
      <c r="BU1006" s="704"/>
      <c r="BV1006" s="705"/>
    </row>
    <row r="1007" spans="1:74" ht="45" customHeight="1" x14ac:dyDescent="0.25">
      <c r="A1007" s="10">
        <f t="shared" si="15"/>
        <v>993</v>
      </c>
      <c r="B1007" s="662" t="s">
        <v>159</v>
      </c>
      <c r="C1007" s="662"/>
      <c r="D1007" s="663" t="s">
        <v>212</v>
      </c>
      <c r="E1007" s="663"/>
      <c r="F1007" s="664" t="s">
        <v>162</v>
      </c>
      <c r="G1007" s="665"/>
      <c r="H1007" s="755" t="s">
        <v>162</v>
      </c>
      <c r="I1007" s="667"/>
      <c r="J1007" s="706"/>
      <c r="K1007" s="707"/>
      <c r="L1007" s="706"/>
      <c r="M1007" s="707"/>
      <c r="N1007" s="215"/>
      <c r="O1007" s="196"/>
      <c r="P1007" s="670"/>
      <c r="Q1007" s="671"/>
      <c r="R1007" s="672"/>
      <c r="S1007" s="673"/>
      <c r="T1007" s="674"/>
      <c r="U1007" s="675"/>
      <c r="V1007" s="676"/>
      <c r="W1007" s="677"/>
      <c r="X1007" s="678" t="s">
        <v>159</v>
      </c>
      <c r="Y1007" s="678"/>
      <c r="Z1007" s="678"/>
      <c r="AA1007" s="678"/>
      <c r="AB1007" s="679" t="s">
        <v>159</v>
      </c>
      <c r="AC1007" s="679"/>
      <c r="AD1007" s="679"/>
      <c r="AE1007" s="679"/>
      <c r="AF1007" s="680"/>
      <c r="AG1007" s="681"/>
      <c r="AH1007" s="680"/>
      <c r="AI1007" s="681"/>
      <c r="AJ1007" s="682"/>
      <c r="AK1007" s="683"/>
      <c r="AL1007" s="684" t="s">
        <v>162</v>
      </c>
      <c r="AM1007" s="685"/>
      <c r="AN1007" s="666" t="s">
        <v>162</v>
      </c>
      <c r="AO1007" s="667"/>
      <c r="AP1007" s="686"/>
      <c r="AQ1007" s="687"/>
      <c r="AR1007" s="688"/>
      <c r="AS1007" s="689"/>
      <c r="AT1007" s="690"/>
      <c r="AU1007" s="691"/>
      <c r="AV1007" s="666" t="s">
        <v>162</v>
      </c>
      <c r="AW1007" s="667"/>
      <c r="AX1007" s="692"/>
      <c r="AY1007" s="693"/>
      <c r="AZ1007" s="694"/>
      <c r="BA1007" s="682"/>
      <c r="BB1007" s="683"/>
      <c r="BC1007" s="14"/>
      <c r="BD1007" s="695" t="s">
        <v>162</v>
      </c>
      <c r="BE1007" s="696"/>
      <c r="BF1007" s="708"/>
      <c r="BG1007" s="709"/>
      <c r="BH1007" s="709"/>
      <c r="BI1007" s="710"/>
      <c r="BJ1007" s="700" t="s">
        <v>159</v>
      </c>
      <c r="BK1007" s="701"/>
      <c r="BL1007" s="701"/>
      <c r="BM1007" s="702"/>
      <c r="BN1007" s="703" t="s">
        <v>159</v>
      </c>
      <c r="BO1007" s="704"/>
      <c r="BP1007" s="704"/>
      <c r="BQ1007" s="704"/>
      <c r="BR1007" s="704"/>
      <c r="BS1007" s="704"/>
      <c r="BT1007" s="704"/>
      <c r="BU1007" s="704"/>
      <c r="BV1007" s="705"/>
    </row>
    <row r="1008" spans="1:74" ht="45" customHeight="1" x14ac:dyDescent="0.25">
      <c r="A1008" s="10">
        <f t="shared" si="15"/>
        <v>994</v>
      </c>
      <c r="B1008" s="711" t="s">
        <v>159</v>
      </c>
      <c r="C1008" s="711"/>
      <c r="D1008" s="712" t="s">
        <v>212</v>
      </c>
      <c r="E1008" s="712"/>
      <c r="F1008" s="664" t="s">
        <v>162</v>
      </c>
      <c r="G1008" s="665"/>
      <c r="H1008" s="754" t="s">
        <v>162</v>
      </c>
      <c r="I1008" s="714"/>
      <c r="J1008" s="715"/>
      <c r="K1008" s="716"/>
      <c r="L1008" s="715"/>
      <c r="M1008" s="716"/>
      <c r="N1008" s="194"/>
      <c r="O1008" s="216"/>
      <c r="P1008" s="717"/>
      <c r="Q1008" s="718"/>
      <c r="R1008" s="719"/>
      <c r="S1008" s="720"/>
      <c r="T1008" s="721"/>
      <c r="U1008" s="722"/>
      <c r="V1008" s="723"/>
      <c r="W1008" s="724"/>
      <c r="X1008" s="725" t="s">
        <v>159</v>
      </c>
      <c r="Y1008" s="725"/>
      <c r="Z1008" s="725"/>
      <c r="AA1008" s="725"/>
      <c r="AB1008" s="726" t="s">
        <v>159</v>
      </c>
      <c r="AC1008" s="726"/>
      <c r="AD1008" s="726"/>
      <c r="AE1008" s="726"/>
      <c r="AF1008" s="727"/>
      <c r="AG1008" s="728"/>
      <c r="AH1008" s="727"/>
      <c r="AI1008" s="728"/>
      <c r="AJ1008" s="682"/>
      <c r="AK1008" s="683"/>
      <c r="AL1008" s="664" t="s">
        <v>162</v>
      </c>
      <c r="AM1008" s="665"/>
      <c r="AN1008" s="713" t="s">
        <v>162</v>
      </c>
      <c r="AO1008" s="714"/>
      <c r="AP1008" s="729"/>
      <c r="AQ1008" s="730"/>
      <c r="AR1008" s="731"/>
      <c r="AS1008" s="732"/>
      <c r="AT1008" s="733"/>
      <c r="AU1008" s="734"/>
      <c r="AV1008" s="713" t="s">
        <v>162</v>
      </c>
      <c r="AW1008" s="714"/>
      <c r="AX1008" s="692"/>
      <c r="AY1008" s="693"/>
      <c r="AZ1008" s="694"/>
      <c r="BA1008" s="735"/>
      <c r="BB1008" s="736"/>
      <c r="BC1008" s="219"/>
      <c r="BD1008" s="737" t="s">
        <v>162</v>
      </c>
      <c r="BE1008" s="738"/>
      <c r="BF1008" s="739"/>
      <c r="BG1008" s="740"/>
      <c r="BH1008" s="740"/>
      <c r="BI1008" s="741"/>
      <c r="BJ1008" s="742" t="s">
        <v>159</v>
      </c>
      <c r="BK1008" s="743"/>
      <c r="BL1008" s="743"/>
      <c r="BM1008" s="744"/>
      <c r="BN1008" s="703" t="s">
        <v>159</v>
      </c>
      <c r="BO1008" s="704"/>
      <c r="BP1008" s="704"/>
      <c r="BQ1008" s="704"/>
      <c r="BR1008" s="704"/>
      <c r="BS1008" s="704"/>
      <c r="BT1008" s="704"/>
      <c r="BU1008" s="704"/>
      <c r="BV1008" s="705"/>
    </row>
    <row r="1009" spans="1:74" ht="45" customHeight="1" x14ac:dyDescent="0.25">
      <c r="A1009" s="10">
        <f t="shared" si="15"/>
        <v>995</v>
      </c>
      <c r="B1009" s="662" t="s">
        <v>159</v>
      </c>
      <c r="C1009" s="662"/>
      <c r="D1009" s="663" t="s">
        <v>212</v>
      </c>
      <c r="E1009" s="663"/>
      <c r="F1009" s="664" t="s">
        <v>162</v>
      </c>
      <c r="G1009" s="665"/>
      <c r="H1009" s="755" t="s">
        <v>162</v>
      </c>
      <c r="I1009" s="667"/>
      <c r="J1009" s="706"/>
      <c r="K1009" s="707"/>
      <c r="L1009" s="706"/>
      <c r="M1009" s="707"/>
      <c r="N1009" s="215"/>
      <c r="O1009" s="196"/>
      <c r="P1009" s="670"/>
      <c r="Q1009" s="671"/>
      <c r="R1009" s="672"/>
      <c r="S1009" s="673"/>
      <c r="T1009" s="674"/>
      <c r="U1009" s="675"/>
      <c r="V1009" s="676"/>
      <c r="W1009" s="677"/>
      <c r="X1009" s="678" t="s">
        <v>159</v>
      </c>
      <c r="Y1009" s="678"/>
      <c r="Z1009" s="678"/>
      <c r="AA1009" s="678"/>
      <c r="AB1009" s="679" t="s">
        <v>159</v>
      </c>
      <c r="AC1009" s="679"/>
      <c r="AD1009" s="679"/>
      <c r="AE1009" s="679"/>
      <c r="AF1009" s="680"/>
      <c r="AG1009" s="681"/>
      <c r="AH1009" s="680"/>
      <c r="AI1009" s="681"/>
      <c r="AJ1009" s="682"/>
      <c r="AK1009" s="683"/>
      <c r="AL1009" s="684" t="s">
        <v>162</v>
      </c>
      <c r="AM1009" s="685"/>
      <c r="AN1009" s="666" t="s">
        <v>162</v>
      </c>
      <c r="AO1009" s="667"/>
      <c r="AP1009" s="686"/>
      <c r="AQ1009" s="687"/>
      <c r="AR1009" s="688"/>
      <c r="AS1009" s="689"/>
      <c r="AT1009" s="690"/>
      <c r="AU1009" s="691"/>
      <c r="AV1009" s="666" t="s">
        <v>162</v>
      </c>
      <c r="AW1009" s="667"/>
      <c r="AX1009" s="692"/>
      <c r="AY1009" s="693"/>
      <c r="AZ1009" s="694"/>
      <c r="BA1009" s="682"/>
      <c r="BB1009" s="683"/>
      <c r="BC1009" s="14"/>
      <c r="BD1009" s="695" t="s">
        <v>162</v>
      </c>
      <c r="BE1009" s="696"/>
      <c r="BF1009" s="697"/>
      <c r="BG1009" s="698"/>
      <c r="BH1009" s="698"/>
      <c r="BI1009" s="699"/>
      <c r="BJ1009" s="700" t="s">
        <v>159</v>
      </c>
      <c r="BK1009" s="701"/>
      <c r="BL1009" s="701"/>
      <c r="BM1009" s="702"/>
      <c r="BN1009" s="703" t="s">
        <v>159</v>
      </c>
      <c r="BO1009" s="704"/>
      <c r="BP1009" s="704"/>
      <c r="BQ1009" s="704"/>
      <c r="BR1009" s="704"/>
      <c r="BS1009" s="704"/>
      <c r="BT1009" s="704"/>
      <c r="BU1009" s="704"/>
      <c r="BV1009" s="705"/>
    </row>
    <row r="1010" spans="1:74" ht="45" customHeight="1" x14ac:dyDescent="0.25">
      <c r="A1010" s="10">
        <f t="shared" si="15"/>
        <v>996</v>
      </c>
      <c r="B1010" s="662" t="s">
        <v>159</v>
      </c>
      <c r="C1010" s="662"/>
      <c r="D1010" s="663" t="s">
        <v>212</v>
      </c>
      <c r="E1010" s="663"/>
      <c r="F1010" s="664" t="s">
        <v>162</v>
      </c>
      <c r="G1010" s="665"/>
      <c r="H1010" s="754" t="s">
        <v>162</v>
      </c>
      <c r="I1010" s="714"/>
      <c r="J1010" s="715"/>
      <c r="K1010" s="716"/>
      <c r="L1010" s="715"/>
      <c r="M1010" s="716"/>
      <c r="N1010" s="194"/>
      <c r="O1010" s="196"/>
      <c r="P1010" s="717"/>
      <c r="Q1010" s="718"/>
      <c r="R1010" s="672"/>
      <c r="S1010" s="673"/>
      <c r="T1010" s="674"/>
      <c r="U1010" s="675"/>
      <c r="V1010" s="676"/>
      <c r="W1010" s="677"/>
      <c r="X1010" s="678" t="s">
        <v>159</v>
      </c>
      <c r="Y1010" s="678"/>
      <c r="Z1010" s="678"/>
      <c r="AA1010" s="678"/>
      <c r="AB1010" s="679" t="s">
        <v>159</v>
      </c>
      <c r="AC1010" s="679"/>
      <c r="AD1010" s="679"/>
      <c r="AE1010" s="679"/>
      <c r="AF1010" s="680"/>
      <c r="AG1010" s="681"/>
      <c r="AH1010" s="680"/>
      <c r="AI1010" s="681"/>
      <c r="AJ1010" s="682"/>
      <c r="AK1010" s="683"/>
      <c r="AL1010" s="684" t="s">
        <v>162</v>
      </c>
      <c r="AM1010" s="685"/>
      <c r="AN1010" s="666" t="s">
        <v>162</v>
      </c>
      <c r="AO1010" s="667"/>
      <c r="AP1010" s="686"/>
      <c r="AQ1010" s="687"/>
      <c r="AR1010" s="688"/>
      <c r="AS1010" s="689"/>
      <c r="AT1010" s="690"/>
      <c r="AU1010" s="691"/>
      <c r="AV1010" s="666" t="s">
        <v>162</v>
      </c>
      <c r="AW1010" s="667"/>
      <c r="AX1010" s="692"/>
      <c r="AY1010" s="693"/>
      <c r="AZ1010" s="694"/>
      <c r="BA1010" s="682"/>
      <c r="BB1010" s="683"/>
      <c r="BC1010" s="14"/>
      <c r="BD1010" s="695" t="s">
        <v>162</v>
      </c>
      <c r="BE1010" s="696"/>
      <c r="BF1010" s="708"/>
      <c r="BG1010" s="709"/>
      <c r="BH1010" s="709"/>
      <c r="BI1010" s="710"/>
      <c r="BJ1010" s="700" t="s">
        <v>159</v>
      </c>
      <c r="BK1010" s="701"/>
      <c r="BL1010" s="701"/>
      <c r="BM1010" s="702"/>
      <c r="BN1010" s="703" t="s">
        <v>159</v>
      </c>
      <c r="BO1010" s="704"/>
      <c r="BP1010" s="704"/>
      <c r="BQ1010" s="704"/>
      <c r="BR1010" s="704"/>
      <c r="BS1010" s="704"/>
      <c r="BT1010" s="704"/>
      <c r="BU1010" s="704"/>
      <c r="BV1010" s="705"/>
    </row>
    <row r="1011" spans="1:74" ht="45" customHeight="1" x14ac:dyDescent="0.25">
      <c r="A1011" s="10">
        <f t="shared" si="15"/>
        <v>997</v>
      </c>
      <c r="B1011" s="711" t="s">
        <v>159</v>
      </c>
      <c r="C1011" s="711"/>
      <c r="D1011" s="712" t="s">
        <v>212</v>
      </c>
      <c r="E1011" s="712"/>
      <c r="F1011" s="664" t="s">
        <v>162</v>
      </c>
      <c r="G1011" s="665"/>
      <c r="H1011" s="755" t="s">
        <v>162</v>
      </c>
      <c r="I1011" s="667"/>
      <c r="J1011" s="706"/>
      <c r="K1011" s="707"/>
      <c r="L1011" s="706"/>
      <c r="M1011" s="707"/>
      <c r="N1011" s="215"/>
      <c r="O1011" s="216"/>
      <c r="P1011" s="670"/>
      <c r="Q1011" s="671"/>
      <c r="R1011" s="719"/>
      <c r="S1011" s="720"/>
      <c r="T1011" s="721"/>
      <c r="U1011" s="722"/>
      <c r="V1011" s="723"/>
      <c r="W1011" s="724"/>
      <c r="X1011" s="725" t="s">
        <v>159</v>
      </c>
      <c r="Y1011" s="725"/>
      <c r="Z1011" s="725"/>
      <c r="AA1011" s="725"/>
      <c r="AB1011" s="726" t="s">
        <v>159</v>
      </c>
      <c r="AC1011" s="726"/>
      <c r="AD1011" s="726"/>
      <c r="AE1011" s="726"/>
      <c r="AF1011" s="727"/>
      <c r="AG1011" s="728"/>
      <c r="AH1011" s="727"/>
      <c r="AI1011" s="728"/>
      <c r="AJ1011" s="682"/>
      <c r="AK1011" s="683"/>
      <c r="AL1011" s="664" t="s">
        <v>162</v>
      </c>
      <c r="AM1011" s="665"/>
      <c r="AN1011" s="713" t="s">
        <v>162</v>
      </c>
      <c r="AO1011" s="714"/>
      <c r="AP1011" s="729"/>
      <c r="AQ1011" s="730"/>
      <c r="AR1011" s="731"/>
      <c r="AS1011" s="732"/>
      <c r="AT1011" s="690"/>
      <c r="AU1011" s="691"/>
      <c r="AV1011" s="713" t="s">
        <v>162</v>
      </c>
      <c r="AW1011" s="714"/>
      <c r="AX1011" s="692"/>
      <c r="AY1011" s="693"/>
      <c r="AZ1011" s="694"/>
      <c r="BA1011" s="735"/>
      <c r="BB1011" s="736"/>
      <c r="BC1011" s="219"/>
      <c r="BD1011" s="737" t="s">
        <v>162</v>
      </c>
      <c r="BE1011" s="738"/>
      <c r="BF1011" s="739"/>
      <c r="BG1011" s="740"/>
      <c r="BH1011" s="740"/>
      <c r="BI1011" s="741"/>
      <c r="BJ1011" s="742" t="s">
        <v>159</v>
      </c>
      <c r="BK1011" s="743"/>
      <c r="BL1011" s="743"/>
      <c r="BM1011" s="744"/>
      <c r="BN1011" s="703" t="s">
        <v>159</v>
      </c>
      <c r="BO1011" s="704"/>
      <c r="BP1011" s="704"/>
      <c r="BQ1011" s="704"/>
      <c r="BR1011" s="704"/>
      <c r="BS1011" s="704"/>
      <c r="BT1011" s="704"/>
      <c r="BU1011" s="704"/>
      <c r="BV1011" s="705"/>
    </row>
    <row r="1012" spans="1:74" ht="45" customHeight="1" x14ac:dyDescent="0.25">
      <c r="A1012" s="10">
        <f t="shared" si="15"/>
        <v>998</v>
      </c>
      <c r="B1012" s="662" t="s">
        <v>159</v>
      </c>
      <c r="C1012" s="662"/>
      <c r="D1012" s="663" t="s">
        <v>212</v>
      </c>
      <c r="E1012" s="663"/>
      <c r="F1012" s="664" t="s">
        <v>162</v>
      </c>
      <c r="G1012" s="665"/>
      <c r="H1012" s="754" t="s">
        <v>162</v>
      </c>
      <c r="I1012" s="714"/>
      <c r="J1012" s="715"/>
      <c r="K1012" s="716"/>
      <c r="L1012" s="715"/>
      <c r="M1012" s="716"/>
      <c r="N1012" s="194"/>
      <c r="O1012" s="196"/>
      <c r="P1012" s="717"/>
      <c r="Q1012" s="718"/>
      <c r="R1012" s="672"/>
      <c r="S1012" s="673"/>
      <c r="T1012" s="674"/>
      <c r="U1012" s="675"/>
      <c r="V1012" s="676"/>
      <c r="W1012" s="677"/>
      <c r="X1012" s="678" t="s">
        <v>159</v>
      </c>
      <c r="Y1012" s="678"/>
      <c r="Z1012" s="678"/>
      <c r="AA1012" s="678"/>
      <c r="AB1012" s="679" t="s">
        <v>159</v>
      </c>
      <c r="AC1012" s="679"/>
      <c r="AD1012" s="679"/>
      <c r="AE1012" s="679"/>
      <c r="AF1012" s="680"/>
      <c r="AG1012" s="681"/>
      <c r="AH1012" s="680"/>
      <c r="AI1012" s="681"/>
      <c r="AJ1012" s="682"/>
      <c r="AK1012" s="683"/>
      <c r="AL1012" s="684" t="s">
        <v>162</v>
      </c>
      <c r="AM1012" s="685"/>
      <c r="AN1012" s="666" t="s">
        <v>162</v>
      </c>
      <c r="AO1012" s="667"/>
      <c r="AP1012" s="686"/>
      <c r="AQ1012" s="687"/>
      <c r="AR1012" s="688"/>
      <c r="AS1012" s="689"/>
      <c r="AT1012" s="690"/>
      <c r="AU1012" s="691"/>
      <c r="AV1012" s="666" t="s">
        <v>162</v>
      </c>
      <c r="AW1012" s="667"/>
      <c r="AX1012" s="692"/>
      <c r="AY1012" s="693"/>
      <c r="AZ1012" s="694"/>
      <c r="BA1012" s="682"/>
      <c r="BB1012" s="683"/>
      <c r="BC1012" s="14"/>
      <c r="BD1012" s="695" t="s">
        <v>162</v>
      </c>
      <c r="BE1012" s="696"/>
      <c r="BF1012" s="697"/>
      <c r="BG1012" s="698"/>
      <c r="BH1012" s="698"/>
      <c r="BI1012" s="699"/>
      <c r="BJ1012" s="700" t="s">
        <v>159</v>
      </c>
      <c r="BK1012" s="701"/>
      <c r="BL1012" s="701"/>
      <c r="BM1012" s="702"/>
      <c r="BN1012" s="703" t="s">
        <v>159</v>
      </c>
      <c r="BO1012" s="704"/>
      <c r="BP1012" s="704"/>
      <c r="BQ1012" s="704"/>
      <c r="BR1012" s="704"/>
      <c r="BS1012" s="704"/>
      <c r="BT1012" s="704"/>
      <c r="BU1012" s="704"/>
      <c r="BV1012" s="705"/>
    </row>
    <row r="1013" spans="1:74" ht="45" customHeight="1" x14ac:dyDescent="0.25">
      <c r="A1013" s="10">
        <f t="shared" si="15"/>
        <v>999</v>
      </c>
      <c r="B1013" s="711" t="s">
        <v>159</v>
      </c>
      <c r="C1013" s="711"/>
      <c r="D1013" s="712" t="s">
        <v>212</v>
      </c>
      <c r="E1013" s="712"/>
      <c r="F1013" s="664" t="s">
        <v>162</v>
      </c>
      <c r="G1013" s="665"/>
      <c r="H1013" s="755" t="s">
        <v>162</v>
      </c>
      <c r="I1013" s="667"/>
      <c r="J1013" s="706"/>
      <c r="K1013" s="707"/>
      <c r="L1013" s="706"/>
      <c r="M1013" s="707"/>
      <c r="N1013" s="215"/>
      <c r="O1013" s="216"/>
      <c r="P1013" s="670"/>
      <c r="Q1013" s="671"/>
      <c r="R1013" s="719"/>
      <c r="S1013" s="720"/>
      <c r="T1013" s="721"/>
      <c r="U1013" s="722"/>
      <c r="V1013" s="723"/>
      <c r="W1013" s="724"/>
      <c r="X1013" s="725" t="s">
        <v>159</v>
      </c>
      <c r="Y1013" s="725"/>
      <c r="Z1013" s="725"/>
      <c r="AA1013" s="725"/>
      <c r="AB1013" s="726" t="s">
        <v>159</v>
      </c>
      <c r="AC1013" s="726"/>
      <c r="AD1013" s="726"/>
      <c r="AE1013" s="726"/>
      <c r="AF1013" s="727"/>
      <c r="AG1013" s="728"/>
      <c r="AH1013" s="727"/>
      <c r="AI1013" s="728"/>
      <c r="AJ1013" s="682"/>
      <c r="AK1013" s="683"/>
      <c r="AL1013" s="664" t="s">
        <v>162</v>
      </c>
      <c r="AM1013" s="665"/>
      <c r="AN1013" s="713" t="s">
        <v>162</v>
      </c>
      <c r="AO1013" s="714"/>
      <c r="AP1013" s="729"/>
      <c r="AQ1013" s="730"/>
      <c r="AR1013" s="731"/>
      <c r="AS1013" s="732"/>
      <c r="AT1013" s="690"/>
      <c r="AU1013" s="691"/>
      <c r="AV1013" s="713" t="s">
        <v>162</v>
      </c>
      <c r="AW1013" s="714"/>
      <c r="AX1013" s="692"/>
      <c r="AY1013" s="693"/>
      <c r="AZ1013" s="694"/>
      <c r="BA1013" s="735"/>
      <c r="BB1013" s="736"/>
      <c r="BC1013" s="219"/>
      <c r="BD1013" s="737" t="s">
        <v>162</v>
      </c>
      <c r="BE1013" s="738"/>
      <c r="BF1013" s="739"/>
      <c r="BG1013" s="740"/>
      <c r="BH1013" s="740"/>
      <c r="BI1013" s="741"/>
      <c r="BJ1013" s="742" t="s">
        <v>159</v>
      </c>
      <c r="BK1013" s="743"/>
      <c r="BL1013" s="743"/>
      <c r="BM1013" s="744"/>
      <c r="BN1013" s="703" t="s">
        <v>159</v>
      </c>
      <c r="BO1013" s="704"/>
      <c r="BP1013" s="704"/>
      <c r="BQ1013" s="704"/>
      <c r="BR1013" s="704"/>
      <c r="BS1013" s="704"/>
      <c r="BT1013" s="704"/>
      <c r="BU1013" s="704"/>
      <c r="BV1013" s="705"/>
    </row>
    <row r="1014" spans="1:74" ht="45" customHeight="1" x14ac:dyDescent="0.25">
      <c r="A1014" s="10">
        <f t="shared" si="15"/>
        <v>1000</v>
      </c>
      <c r="B1014" s="662" t="s">
        <v>159</v>
      </c>
      <c r="C1014" s="662"/>
      <c r="D1014" s="663" t="s">
        <v>212</v>
      </c>
      <c r="E1014" s="663"/>
      <c r="F1014" s="664" t="s">
        <v>162</v>
      </c>
      <c r="G1014" s="665"/>
      <c r="H1014" s="754" t="s">
        <v>162</v>
      </c>
      <c r="I1014" s="714"/>
      <c r="J1014" s="715"/>
      <c r="K1014" s="716"/>
      <c r="L1014" s="715"/>
      <c r="M1014" s="716"/>
      <c r="N1014" s="194"/>
      <c r="O1014" s="196"/>
      <c r="P1014" s="717"/>
      <c r="Q1014" s="718"/>
      <c r="R1014" s="672"/>
      <c r="S1014" s="673"/>
      <c r="T1014" s="674"/>
      <c r="U1014" s="675"/>
      <c r="V1014" s="676"/>
      <c r="W1014" s="677"/>
      <c r="X1014" s="678" t="s">
        <v>159</v>
      </c>
      <c r="Y1014" s="678"/>
      <c r="Z1014" s="678"/>
      <c r="AA1014" s="678"/>
      <c r="AB1014" s="679" t="s">
        <v>159</v>
      </c>
      <c r="AC1014" s="679"/>
      <c r="AD1014" s="679"/>
      <c r="AE1014" s="679"/>
      <c r="AF1014" s="680"/>
      <c r="AG1014" s="681"/>
      <c r="AH1014" s="680"/>
      <c r="AI1014" s="681"/>
      <c r="AJ1014" s="682"/>
      <c r="AK1014" s="683"/>
      <c r="AL1014" s="684" t="s">
        <v>162</v>
      </c>
      <c r="AM1014" s="685"/>
      <c r="AN1014" s="666" t="s">
        <v>162</v>
      </c>
      <c r="AO1014" s="667"/>
      <c r="AP1014" s="686"/>
      <c r="AQ1014" s="687"/>
      <c r="AR1014" s="688"/>
      <c r="AS1014" s="689"/>
      <c r="AT1014" s="690"/>
      <c r="AU1014" s="691"/>
      <c r="AV1014" s="666" t="s">
        <v>162</v>
      </c>
      <c r="AW1014" s="667"/>
      <c r="AX1014" s="692"/>
      <c r="AY1014" s="693"/>
      <c r="AZ1014" s="694"/>
      <c r="BA1014" s="682"/>
      <c r="BB1014" s="683"/>
      <c r="BC1014" s="14"/>
      <c r="BD1014" s="695" t="s">
        <v>162</v>
      </c>
      <c r="BE1014" s="696"/>
      <c r="BF1014" s="697"/>
      <c r="BG1014" s="698"/>
      <c r="BH1014" s="698"/>
      <c r="BI1014" s="699"/>
      <c r="BJ1014" s="700" t="s">
        <v>159</v>
      </c>
      <c r="BK1014" s="701"/>
      <c r="BL1014" s="701"/>
      <c r="BM1014" s="702"/>
      <c r="BN1014" s="703" t="s">
        <v>159</v>
      </c>
      <c r="BO1014" s="704"/>
      <c r="BP1014" s="704"/>
      <c r="BQ1014" s="704"/>
      <c r="BR1014" s="704"/>
      <c r="BS1014" s="704"/>
      <c r="BT1014" s="704"/>
      <c r="BU1014" s="704"/>
      <c r="BV1014" s="705"/>
    </row>
    <row r="1015" spans="1:74" ht="45" customHeight="1" x14ac:dyDescent="0.25">
      <c r="A1015" s="10">
        <f t="shared" si="15"/>
        <v>1001</v>
      </c>
      <c r="B1015" s="711" t="s">
        <v>159</v>
      </c>
      <c r="C1015" s="711"/>
      <c r="D1015" s="712" t="s">
        <v>212</v>
      </c>
      <c r="E1015" s="712"/>
      <c r="F1015" s="664" t="s">
        <v>162</v>
      </c>
      <c r="G1015" s="665"/>
      <c r="H1015" s="755" t="s">
        <v>162</v>
      </c>
      <c r="I1015" s="667"/>
      <c r="J1015" s="706"/>
      <c r="K1015" s="707"/>
      <c r="L1015" s="706"/>
      <c r="M1015" s="707"/>
      <c r="N1015" s="215"/>
      <c r="O1015" s="216"/>
      <c r="P1015" s="670"/>
      <c r="Q1015" s="671"/>
      <c r="R1015" s="719"/>
      <c r="S1015" s="720"/>
      <c r="T1015" s="721"/>
      <c r="U1015" s="722"/>
      <c r="V1015" s="723"/>
      <c r="W1015" s="724"/>
      <c r="X1015" s="725" t="s">
        <v>159</v>
      </c>
      <c r="Y1015" s="725"/>
      <c r="Z1015" s="725"/>
      <c r="AA1015" s="725"/>
      <c r="AB1015" s="726" t="s">
        <v>159</v>
      </c>
      <c r="AC1015" s="726"/>
      <c r="AD1015" s="726"/>
      <c r="AE1015" s="726"/>
      <c r="AF1015" s="727"/>
      <c r="AG1015" s="728"/>
      <c r="AH1015" s="727"/>
      <c r="AI1015" s="728"/>
      <c r="AJ1015" s="682"/>
      <c r="AK1015" s="683"/>
      <c r="AL1015" s="664" t="s">
        <v>162</v>
      </c>
      <c r="AM1015" s="665"/>
      <c r="AN1015" s="713" t="s">
        <v>162</v>
      </c>
      <c r="AO1015" s="714"/>
      <c r="AP1015" s="729"/>
      <c r="AQ1015" s="730"/>
      <c r="AR1015" s="731"/>
      <c r="AS1015" s="732"/>
      <c r="AT1015" s="733"/>
      <c r="AU1015" s="734"/>
      <c r="AV1015" s="713" t="s">
        <v>162</v>
      </c>
      <c r="AW1015" s="714"/>
      <c r="AX1015" s="692"/>
      <c r="AY1015" s="693"/>
      <c r="AZ1015" s="694"/>
      <c r="BA1015" s="735"/>
      <c r="BB1015" s="736"/>
      <c r="BC1015" s="219"/>
      <c r="BD1015" s="737" t="s">
        <v>162</v>
      </c>
      <c r="BE1015" s="738"/>
      <c r="BF1015" s="739"/>
      <c r="BG1015" s="740"/>
      <c r="BH1015" s="740"/>
      <c r="BI1015" s="741"/>
      <c r="BJ1015" s="742" t="s">
        <v>159</v>
      </c>
      <c r="BK1015" s="743"/>
      <c r="BL1015" s="743"/>
      <c r="BM1015" s="744"/>
      <c r="BN1015" s="703" t="s">
        <v>159</v>
      </c>
      <c r="BO1015" s="704"/>
      <c r="BP1015" s="704"/>
      <c r="BQ1015" s="704"/>
      <c r="BR1015" s="704"/>
      <c r="BS1015" s="704"/>
      <c r="BT1015" s="704"/>
      <c r="BU1015" s="704"/>
      <c r="BV1015" s="705"/>
    </row>
    <row r="1016" spans="1:74" ht="45" customHeight="1" x14ac:dyDescent="0.25">
      <c r="A1016" s="10">
        <f t="shared" si="15"/>
        <v>1002</v>
      </c>
      <c r="B1016" s="662" t="s">
        <v>159</v>
      </c>
      <c r="C1016" s="662"/>
      <c r="D1016" s="663" t="s">
        <v>212</v>
      </c>
      <c r="E1016" s="663"/>
      <c r="F1016" s="664" t="s">
        <v>162</v>
      </c>
      <c r="G1016" s="665"/>
      <c r="H1016" s="754" t="s">
        <v>162</v>
      </c>
      <c r="I1016" s="714"/>
      <c r="J1016" s="715"/>
      <c r="K1016" s="716"/>
      <c r="L1016" s="715"/>
      <c r="M1016" s="716"/>
      <c r="N1016" s="194"/>
      <c r="O1016" s="196"/>
      <c r="P1016" s="717"/>
      <c r="Q1016" s="718"/>
      <c r="R1016" s="672"/>
      <c r="S1016" s="673"/>
      <c r="T1016" s="674"/>
      <c r="U1016" s="675"/>
      <c r="V1016" s="676"/>
      <c r="W1016" s="677"/>
      <c r="X1016" s="678" t="s">
        <v>159</v>
      </c>
      <c r="Y1016" s="678"/>
      <c r="Z1016" s="678"/>
      <c r="AA1016" s="678"/>
      <c r="AB1016" s="679" t="s">
        <v>159</v>
      </c>
      <c r="AC1016" s="679"/>
      <c r="AD1016" s="679"/>
      <c r="AE1016" s="679"/>
      <c r="AF1016" s="680"/>
      <c r="AG1016" s="681"/>
      <c r="AH1016" s="680"/>
      <c r="AI1016" s="681"/>
      <c r="AJ1016" s="682"/>
      <c r="AK1016" s="683"/>
      <c r="AL1016" s="684" t="s">
        <v>162</v>
      </c>
      <c r="AM1016" s="685"/>
      <c r="AN1016" s="666" t="s">
        <v>162</v>
      </c>
      <c r="AO1016" s="667"/>
      <c r="AP1016" s="686"/>
      <c r="AQ1016" s="687"/>
      <c r="AR1016" s="688"/>
      <c r="AS1016" s="689"/>
      <c r="AT1016" s="690"/>
      <c r="AU1016" s="691"/>
      <c r="AV1016" s="666" t="s">
        <v>162</v>
      </c>
      <c r="AW1016" s="667"/>
      <c r="AX1016" s="692"/>
      <c r="AY1016" s="693"/>
      <c r="AZ1016" s="694"/>
      <c r="BA1016" s="682"/>
      <c r="BB1016" s="683"/>
      <c r="BC1016" s="14"/>
      <c r="BD1016" s="695" t="s">
        <v>162</v>
      </c>
      <c r="BE1016" s="696"/>
      <c r="BF1016" s="708"/>
      <c r="BG1016" s="709"/>
      <c r="BH1016" s="709"/>
      <c r="BI1016" s="710"/>
      <c r="BJ1016" s="700" t="s">
        <v>159</v>
      </c>
      <c r="BK1016" s="701"/>
      <c r="BL1016" s="701"/>
      <c r="BM1016" s="702"/>
      <c r="BN1016" s="703" t="s">
        <v>159</v>
      </c>
      <c r="BO1016" s="704"/>
      <c r="BP1016" s="704"/>
      <c r="BQ1016" s="704"/>
      <c r="BR1016" s="704"/>
      <c r="BS1016" s="704"/>
      <c r="BT1016" s="704"/>
      <c r="BU1016" s="704"/>
      <c r="BV1016" s="705"/>
    </row>
    <row r="1017" spans="1:74" ht="45" customHeight="1" x14ac:dyDescent="0.25">
      <c r="A1017" s="10">
        <f t="shared" si="15"/>
        <v>1003</v>
      </c>
      <c r="B1017" s="711" t="s">
        <v>159</v>
      </c>
      <c r="C1017" s="711"/>
      <c r="D1017" s="712" t="s">
        <v>212</v>
      </c>
      <c r="E1017" s="712"/>
      <c r="F1017" s="664" t="s">
        <v>162</v>
      </c>
      <c r="G1017" s="665"/>
      <c r="H1017" s="755" t="s">
        <v>162</v>
      </c>
      <c r="I1017" s="667"/>
      <c r="J1017" s="706"/>
      <c r="K1017" s="707"/>
      <c r="L1017" s="706"/>
      <c r="M1017" s="707"/>
      <c r="N1017" s="215"/>
      <c r="O1017" s="216"/>
      <c r="P1017" s="670"/>
      <c r="Q1017" s="671"/>
      <c r="R1017" s="719"/>
      <c r="S1017" s="720"/>
      <c r="T1017" s="721"/>
      <c r="U1017" s="722"/>
      <c r="V1017" s="723"/>
      <c r="W1017" s="724"/>
      <c r="X1017" s="725" t="s">
        <v>159</v>
      </c>
      <c r="Y1017" s="725"/>
      <c r="Z1017" s="725"/>
      <c r="AA1017" s="725"/>
      <c r="AB1017" s="726" t="s">
        <v>159</v>
      </c>
      <c r="AC1017" s="726"/>
      <c r="AD1017" s="726"/>
      <c r="AE1017" s="726"/>
      <c r="AF1017" s="727"/>
      <c r="AG1017" s="728"/>
      <c r="AH1017" s="727"/>
      <c r="AI1017" s="728"/>
      <c r="AJ1017" s="682"/>
      <c r="AK1017" s="683"/>
      <c r="AL1017" s="664" t="s">
        <v>162</v>
      </c>
      <c r="AM1017" s="665"/>
      <c r="AN1017" s="713" t="s">
        <v>162</v>
      </c>
      <c r="AO1017" s="714"/>
      <c r="AP1017" s="729"/>
      <c r="AQ1017" s="730"/>
      <c r="AR1017" s="731"/>
      <c r="AS1017" s="732"/>
      <c r="AT1017" s="733"/>
      <c r="AU1017" s="734"/>
      <c r="AV1017" s="713" t="s">
        <v>162</v>
      </c>
      <c r="AW1017" s="714"/>
      <c r="AX1017" s="692"/>
      <c r="AY1017" s="693"/>
      <c r="AZ1017" s="694"/>
      <c r="BA1017" s="735"/>
      <c r="BB1017" s="736"/>
      <c r="BC1017" s="219"/>
      <c r="BD1017" s="737" t="s">
        <v>162</v>
      </c>
      <c r="BE1017" s="738"/>
      <c r="BF1017" s="739"/>
      <c r="BG1017" s="740"/>
      <c r="BH1017" s="740"/>
      <c r="BI1017" s="741"/>
      <c r="BJ1017" s="742" t="s">
        <v>159</v>
      </c>
      <c r="BK1017" s="743"/>
      <c r="BL1017" s="743"/>
      <c r="BM1017" s="744"/>
      <c r="BN1017" s="703" t="s">
        <v>159</v>
      </c>
      <c r="BO1017" s="704"/>
      <c r="BP1017" s="704"/>
      <c r="BQ1017" s="704"/>
      <c r="BR1017" s="704"/>
      <c r="BS1017" s="704"/>
      <c r="BT1017" s="704"/>
      <c r="BU1017" s="704"/>
      <c r="BV1017" s="705"/>
    </row>
    <row r="1018" spans="1:74" ht="45" customHeight="1" x14ac:dyDescent="0.25">
      <c r="A1018" s="10">
        <f t="shared" si="15"/>
        <v>1004</v>
      </c>
      <c r="B1018" s="662" t="s">
        <v>159</v>
      </c>
      <c r="C1018" s="662"/>
      <c r="D1018" s="663" t="s">
        <v>212</v>
      </c>
      <c r="E1018" s="663"/>
      <c r="F1018" s="664" t="s">
        <v>162</v>
      </c>
      <c r="G1018" s="665"/>
      <c r="H1018" s="754" t="s">
        <v>162</v>
      </c>
      <c r="I1018" s="714"/>
      <c r="J1018" s="715"/>
      <c r="K1018" s="716"/>
      <c r="L1018" s="715"/>
      <c r="M1018" s="716"/>
      <c r="N1018" s="194"/>
      <c r="O1018" s="196"/>
      <c r="P1018" s="717"/>
      <c r="Q1018" s="718"/>
      <c r="R1018" s="672"/>
      <c r="S1018" s="673"/>
      <c r="T1018" s="674"/>
      <c r="U1018" s="675"/>
      <c r="V1018" s="676"/>
      <c r="W1018" s="677"/>
      <c r="X1018" s="678" t="s">
        <v>159</v>
      </c>
      <c r="Y1018" s="678"/>
      <c r="Z1018" s="678"/>
      <c r="AA1018" s="678"/>
      <c r="AB1018" s="679" t="s">
        <v>159</v>
      </c>
      <c r="AC1018" s="679"/>
      <c r="AD1018" s="679"/>
      <c r="AE1018" s="679"/>
      <c r="AF1018" s="680"/>
      <c r="AG1018" s="681"/>
      <c r="AH1018" s="680"/>
      <c r="AI1018" s="681"/>
      <c r="AJ1018" s="682"/>
      <c r="AK1018" s="683"/>
      <c r="AL1018" s="684" t="s">
        <v>162</v>
      </c>
      <c r="AM1018" s="685"/>
      <c r="AN1018" s="666" t="s">
        <v>162</v>
      </c>
      <c r="AO1018" s="667"/>
      <c r="AP1018" s="686"/>
      <c r="AQ1018" s="687"/>
      <c r="AR1018" s="688"/>
      <c r="AS1018" s="689"/>
      <c r="AT1018" s="690"/>
      <c r="AU1018" s="691"/>
      <c r="AV1018" s="666" t="s">
        <v>162</v>
      </c>
      <c r="AW1018" s="667"/>
      <c r="AX1018" s="692"/>
      <c r="AY1018" s="693"/>
      <c r="AZ1018" s="694"/>
      <c r="BA1018" s="682"/>
      <c r="BB1018" s="683"/>
      <c r="BC1018" s="14"/>
      <c r="BD1018" s="695" t="s">
        <v>162</v>
      </c>
      <c r="BE1018" s="696"/>
      <c r="BF1018" s="697"/>
      <c r="BG1018" s="698"/>
      <c r="BH1018" s="698"/>
      <c r="BI1018" s="699"/>
      <c r="BJ1018" s="700" t="s">
        <v>159</v>
      </c>
      <c r="BK1018" s="701"/>
      <c r="BL1018" s="701"/>
      <c r="BM1018" s="702"/>
      <c r="BN1018" s="703" t="s">
        <v>159</v>
      </c>
      <c r="BO1018" s="704"/>
      <c r="BP1018" s="704"/>
      <c r="BQ1018" s="704"/>
      <c r="BR1018" s="704"/>
      <c r="BS1018" s="704"/>
      <c r="BT1018" s="704"/>
      <c r="BU1018" s="704"/>
      <c r="BV1018" s="705"/>
    </row>
    <row r="1019" spans="1:74" ht="45" customHeight="1" x14ac:dyDescent="0.25">
      <c r="A1019" s="10">
        <f t="shared" si="15"/>
        <v>1005</v>
      </c>
      <c r="B1019" s="711" t="s">
        <v>159</v>
      </c>
      <c r="C1019" s="711"/>
      <c r="D1019" s="712" t="s">
        <v>212</v>
      </c>
      <c r="E1019" s="712"/>
      <c r="F1019" s="664" t="s">
        <v>162</v>
      </c>
      <c r="G1019" s="665"/>
      <c r="H1019" s="755" t="s">
        <v>162</v>
      </c>
      <c r="I1019" s="667"/>
      <c r="J1019" s="706"/>
      <c r="K1019" s="707"/>
      <c r="L1019" s="706"/>
      <c r="M1019" s="707"/>
      <c r="N1019" s="215"/>
      <c r="O1019" s="216"/>
      <c r="P1019" s="670"/>
      <c r="Q1019" s="671"/>
      <c r="R1019" s="719"/>
      <c r="S1019" s="720"/>
      <c r="T1019" s="721"/>
      <c r="U1019" s="722"/>
      <c r="V1019" s="723"/>
      <c r="W1019" s="724"/>
      <c r="X1019" s="725" t="s">
        <v>159</v>
      </c>
      <c r="Y1019" s="725"/>
      <c r="Z1019" s="725"/>
      <c r="AA1019" s="725"/>
      <c r="AB1019" s="726" t="s">
        <v>159</v>
      </c>
      <c r="AC1019" s="726"/>
      <c r="AD1019" s="726"/>
      <c r="AE1019" s="726"/>
      <c r="AF1019" s="727"/>
      <c r="AG1019" s="728"/>
      <c r="AH1019" s="727"/>
      <c r="AI1019" s="728"/>
      <c r="AJ1019" s="682"/>
      <c r="AK1019" s="683"/>
      <c r="AL1019" s="664" t="s">
        <v>162</v>
      </c>
      <c r="AM1019" s="665"/>
      <c r="AN1019" s="713" t="s">
        <v>162</v>
      </c>
      <c r="AO1019" s="714"/>
      <c r="AP1019" s="729"/>
      <c r="AQ1019" s="730"/>
      <c r="AR1019" s="731"/>
      <c r="AS1019" s="732"/>
      <c r="AT1019" s="733"/>
      <c r="AU1019" s="734"/>
      <c r="AV1019" s="713" t="s">
        <v>162</v>
      </c>
      <c r="AW1019" s="714"/>
      <c r="AX1019" s="692"/>
      <c r="AY1019" s="693"/>
      <c r="AZ1019" s="694"/>
      <c r="BA1019" s="735"/>
      <c r="BB1019" s="736"/>
      <c r="BC1019" s="219"/>
      <c r="BD1019" s="737" t="s">
        <v>162</v>
      </c>
      <c r="BE1019" s="738"/>
      <c r="BF1019" s="739"/>
      <c r="BG1019" s="740"/>
      <c r="BH1019" s="740"/>
      <c r="BI1019" s="741"/>
      <c r="BJ1019" s="742" t="s">
        <v>159</v>
      </c>
      <c r="BK1019" s="743"/>
      <c r="BL1019" s="743"/>
      <c r="BM1019" s="744"/>
      <c r="BN1019" s="703" t="s">
        <v>159</v>
      </c>
      <c r="BO1019" s="704"/>
      <c r="BP1019" s="704"/>
      <c r="BQ1019" s="704"/>
      <c r="BR1019" s="704"/>
      <c r="BS1019" s="704"/>
      <c r="BT1019" s="704"/>
      <c r="BU1019" s="704"/>
      <c r="BV1019" s="705"/>
    </row>
    <row r="1020" spans="1:74" ht="45" customHeight="1" x14ac:dyDescent="0.25">
      <c r="A1020" s="10">
        <f t="shared" si="15"/>
        <v>1006</v>
      </c>
      <c r="B1020" s="662" t="s">
        <v>159</v>
      </c>
      <c r="C1020" s="662"/>
      <c r="D1020" s="663" t="s">
        <v>212</v>
      </c>
      <c r="E1020" s="663"/>
      <c r="F1020" s="664" t="s">
        <v>162</v>
      </c>
      <c r="G1020" s="665"/>
      <c r="H1020" s="754" t="s">
        <v>162</v>
      </c>
      <c r="I1020" s="714"/>
      <c r="J1020" s="715"/>
      <c r="K1020" s="716"/>
      <c r="L1020" s="715"/>
      <c r="M1020" s="716"/>
      <c r="N1020" s="194"/>
      <c r="O1020" s="196"/>
      <c r="P1020" s="717"/>
      <c r="Q1020" s="718"/>
      <c r="R1020" s="672"/>
      <c r="S1020" s="673"/>
      <c r="T1020" s="674"/>
      <c r="U1020" s="675"/>
      <c r="V1020" s="676"/>
      <c r="W1020" s="677"/>
      <c r="X1020" s="678" t="s">
        <v>159</v>
      </c>
      <c r="Y1020" s="678"/>
      <c r="Z1020" s="678"/>
      <c r="AA1020" s="678"/>
      <c r="AB1020" s="679" t="s">
        <v>159</v>
      </c>
      <c r="AC1020" s="679"/>
      <c r="AD1020" s="679"/>
      <c r="AE1020" s="679"/>
      <c r="AF1020" s="680"/>
      <c r="AG1020" s="681"/>
      <c r="AH1020" s="680"/>
      <c r="AI1020" s="681"/>
      <c r="AJ1020" s="682"/>
      <c r="AK1020" s="683"/>
      <c r="AL1020" s="684" t="s">
        <v>162</v>
      </c>
      <c r="AM1020" s="685"/>
      <c r="AN1020" s="666" t="s">
        <v>162</v>
      </c>
      <c r="AO1020" s="667"/>
      <c r="AP1020" s="686"/>
      <c r="AQ1020" s="687"/>
      <c r="AR1020" s="688"/>
      <c r="AS1020" s="689"/>
      <c r="AT1020" s="690"/>
      <c r="AU1020" s="691"/>
      <c r="AV1020" s="666" t="s">
        <v>162</v>
      </c>
      <c r="AW1020" s="667"/>
      <c r="AX1020" s="692"/>
      <c r="AY1020" s="693"/>
      <c r="AZ1020" s="694"/>
      <c r="BA1020" s="682"/>
      <c r="BB1020" s="683"/>
      <c r="BC1020" s="14"/>
      <c r="BD1020" s="695" t="s">
        <v>162</v>
      </c>
      <c r="BE1020" s="696"/>
      <c r="BF1020" s="697"/>
      <c r="BG1020" s="698"/>
      <c r="BH1020" s="698"/>
      <c r="BI1020" s="699"/>
      <c r="BJ1020" s="700" t="s">
        <v>159</v>
      </c>
      <c r="BK1020" s="701"/>
      <c r="BL1020" s="701"/>
      <c r="BM1020" s="702"/>
      <c r="BN1020" s="703" t="s">
        <v>159</v>
      </c>
      <c r="BO1020" s="704"/>
      <c r="BP1020" s="704"/>
      <c r="BQ1020" s="704"/>
      <c r="BR1020" s="704"/>
      <c r="BS1020" s="704"/>
      <c r="BT1020" s="704"/>
      <c r="BU1020" s="704"/>
      <c r="BV1020" s="705"/>
    </row>
    <row r="1021" spans="1:74" ht="45" customHeight="1" x14ac:dyDescent="0.25">
      <c r="A1021" s="10">
        <f t="shared" si="15"/>
        <v>1007</v>
      </c>
      <c r="B1021" s="711" t="s">
        <v>159</v>
      </c>
      <c r="C1021" s="711"/>
      <c r="D1021" s="712" t="s">
        <v>212</v>
      </c>
      <c r="E1021" s="712"/>
      <c r="F1021" s="664" t="s">
        <v>162</v>
      </c>
      <c r="G1021" s="665"/>
      <c r="H1021" s="755" t="s">
        <v>162</v>
      </c>
      <c r="I1021" s="667"/>
      <c r="J1021" s="706"/>
      <c r="K1021" s="707"/>
      <c r="L1021" s="706"/>
      <c r="M1021" s="707"/>
      <c r="N1021" s="215"/>
      <c r="O1021" s="216"/>
      <c r="P1021" s="670"/>
      <c r="Q1021" s="671"/>
      <c r="R1021" s="719"/>
      <c r="S1021" s="720"/>
      <c r="T1021" s="721"/>
      <c r="U1021" s="722"/>
      <c r="V1021" s="723"/>
      <c r="W1021" s="724"/>
      <c r="X1021" s="725" t="s">
        <v>159</v>
      </c>
      <c r="Y1021" s="725"/>
      <c r="Z1021" s="725"/>
      <c r="AA1021" s="725"/>
      <c r="AB1021" s="726" t="s">
        <v>159</v>
      </c>
      <c r="AC1021" s="726"/>
      <c r="AD1021" s="726"/>
      <c r="AE1021" s="726"/>
      <c r="AF1021" s="727"/>
      <c r="AG1021" s="728"/>
      <c r="AH1021" s="727"/>
      <c r="AI1021" s="728"/>
      <c r="AJ1021" s="682"/>
      <c r="AK1021" s="683"/>
      <c r="AL1021" s="664" t="s">
        <v>162</v>
      </c>
      <c r="AM1021" s="665"/>
      <c r="AN1021" s="713" t="s">
        <v>162</v>
      </c>
      <c r="AO1021" s="714"/>
      <c r="AP1021" s="729"/>
      <c r="AQ1021" s="730"/>
      <c r="AR1021" s="731"/>
      <c r="AS1021" s="732"/>
      <c r="AT1021" s="733"/>
      <c r="AU1021" s="734"/>
      <c r="AV1021" s="713" t="s">
        <v>162</v>
      </c>
      <c r="AW1021" s="714"/>
      <c r="AX1021" s="692"/>
      <c r="AY1021" s="693"/>
      <c r="AZ1021" s="694"/>
      <c r="BA1021" s="735"/>
      <c r="BB1021" s="736"/>
      <c r="BC1021" s="219"/>
      <c r="BD1021" s="737" t="s">
        <v>162</v>
      </c>
      <c r="BE1021" s="738"/>
      <c r="BF1021" s="739"/>
      <c r="BG1021" s="740"/>
      <c r="BH1021" s="740"/>
      <c r="BI1021" s="741"/>
      <c r="BJ1021" s="742" t="s">
        <v>159</v>
      </c>
      <c r="BK1021" s="743"/>
      <c r="BL1021" s="743"/>
      <c r="BM1021" s="744"/>
      <c r="BN1021" s="703" t="s">
        <v>159</v>
      </c>
      <c r="BO1021" s="704"/>
      <c r="BP1021" s="704"/>
      <c r="BQ1021" s="704"/>
      <c r="BR1021" s="704"/>
      <c r="BS1021" s="704"/>
      <c r="BT1021" s="704"/>
      <c r="BU1021" s="704"/>
      <c r="BV1021" s="705"/>
    </row>
    <row r="1022" spans="1:74" ht="45" customHeight="1" x14ac:dyDescent="0.25">
      <c r="A1022" s="10">
        <f t="shared" si="15"/>
        <v>1008</v>
      </c>
      <c r="B1022" s="662" t="s">
        <v>159</v>
      </c>
      <c r="C1022" s="662"/>
      <c r="D1022" s="663" t="s">
        <v>212</v>
      </c>
      <c r="E1022" s="663"/>
      <c r="F1022" s="664" t="s">
        <v>162</v>
      </c>
      <c r="G1022" s="665"/>
      <c r="H1022" s="754" t="s">
        <v>162</v>
      </c>
      <c r="I1022" s="714"/>
      <c r="J1022" s="715"/>
      <c r="K1022" s="716"/>
      <c r="L1022" s="715"/>
      <c r="M1022" s="716"/>
      <c r="N1022" s="194"/>
      <c r="O1022" s="196"/>
      <c r="P1022" s="717"/>
      <c r="Q1022" s="718"/>
      <c r="R1022" s="672"/>
      <c r="S1022" s="673"/>
      <c r="T1022" s="674"/>
      <c r="U1022" s="675"/>
      <c r="V1022" s="676"/>
      <c r="W1022" s="677"/>
      <c r="X1022" s="678" t="s">
        <v>159</v>
      </c>
      <c r="Y1022" s="678"/>
      <c r="Z1022" s="678"/>
      <c r="AA1022" s="678"/>
      <c r="AB1022" s="679" t="s">
        <v>159</v>
      </c>
      <c r="AC1022" s="679"/>
      <c r="AD1022" s="679"/>
      <c r="AE1022" s="679"/>
      <c r="AF1022" s="680"/>
      <c r="AG1022" s="681"/>
      <c r="AH1022" s="680"/>
      <c r="AI1022" s="681"/>
      <c r="AJ1022" s="682"/>
      <c r="AK1022" s="683"/>
      <c r="AL1022" s="684" t="s">
        <v>162</v>
      </c>
      <c r="AM1022" s="685"/>
      <c r="AN1022" s="666" t="s">
        <v>162</v>
      </c>
      <c r="AO1022" s="667"/>
      <c r="AP1022" s="686"/>
      <c r="AQ1022" s="687"/>
      <c r="AR1022" s="688"/>
      <c r="AS1022" s="689"/>
      <c r="AT1022" s="690"/>
      <c r="AU1022" s="691"/>
      <c r="AV1022" s="666" t="s">
        <v>162</v>
      </c>
      <c r="AW1022" s="667"/>
      <c r="AX1022" s="692"/>
      <c r="AY1022" s="693"/>
      <c r="AZ1022" s="694"/>
      <c r="BA1022" s="682"/>
      <c r="BB1022" s="683"/>
      <c r="BC1022" s="14"/>
      <c r="BD1022" s="695" t="s">
        <v>162</v>
      </c>
      <c r="BE1022" s="696"/>
      <c r="BF1022" s="708"/>
      <c r="BG1022" s="709"/>
      <c r="BH1022" s="709"/>
      <c r="BI1022" s="710"/>
      <c r="BJ1022" s="700" t="s">
        <v>159</v>
      </c>
      <c r="BK1022" s="701"/>
      <c r="BL1022" s="701"/>
      <c r="BM1022" s="702"/>
      <c r="BN1022" s="703" t="s">
        <v>159</v>
      </c>
      <c r="BO1022" s="704"/>
      <c r="BP1022" s="704"/>
      <c r="BQ1022" s="704"/>
      <c r="BR1022" s="704"/>
      <c r="BS1022" s="704"/>
      <c r="BT1022" s="704"/>
      <c r="BU1022" s="704"/>
      <c r="BV1022" s="705"/>
    </row>
    <row r="1023" spans="1:74" ht="45" customHeight="1" x14ac:dyDescent="0.25">
      <c r="A1023" s="10">
        <f t="shared" si="15"/>
        <v>1009</v>
      </c>
      <c r="B1023" s="711" t="s">
        <v>159</v>
      </c>
      <c r="C1023" s="711"/>
      <c r="D1023" s="712" t="s">
        <v>212</v>
      </c>
      <c r="E1023" s="712"/>
      <c r="F1023" s="664" t="s">
        <v>162</v>
      </c>
      <c r="G1023" s="665"/>
      <c r="H1023" s="755" t="s">
        <v>162</v>
      </c>
      <c r="I1023" s="667"/>
      <c r="J1023" s="706"/>
      <c r="K1023" s="707"/>
      <c r="L1023" s="706"/>
      <c r="M1023" s="707"/>
      <c r="N1023" s="215"/>
      <c r="O1023" s="216"/>
      <c r="P1023" s="670"/>
      <c r="Q1023" s="671"/>
      <c r="R1023" s="719"/>
      <c r="S1023" s="720"/>
      <c r="T1023" s="721"/>
      <c r="U1023" s="722"/>
      <c r="V1023" s="723"/>
      <c r="W1023" s="724"/>
      <c r="X1023" s="725" t="s">
        <v>159</v>
      </c>
      <c r="Y1023" s="725"/>
      <c r="Z1023" s="725"/>
      <c r="AA1023" s="725"/>
      <c r="AB1023" s="726" t="s">
        <v>159</v>
      </c>
      <c r="AC1023" s="726"/>
      <c r="AD1023" s="726"/>
      <c r="AE1023" s="726"/>
      <c r="AF1023" s="727"/>
      <c r="AG1023" s="728"/>
      <c r="AH1023" s="727"/>
      <c r="AI1023" s="728"/>
      <c r="AJ1023" s="682"/>
      <c r="AK1023" s="683"/>
      <c r="AL1023" s="664" t="s">
        <v>162</v>
      </c>
      <c r="AM1023" s="665"/>
      <c r="AN1023" s="713" t="s">
        <v>162</v>
      </c>
      <c r="AO1023" s="714"/>
      <c r="AP1023" s="729"/>
      <c r="AQ1023" s="730"/>
      <c r="AR1023" s="731"/>
      <c r="AS1023" s="732"/>
      <c r="AT1023" s="733"/>
      <c r="AU1023" s="734"/>
      <c r="AV1023" s="713" t="s">
        <v>162</v>
      </c>
      <c r="AW1023" s="714"/>
      <c r="AX1023" s="692"/>
      <c r="AY1023" s="693"/>
      <c r="AZ1023" s="694"/>
      <c r="BA1023" s="735"/>
      <c r="BB1023" s="736"/>
      <c r="BC1023" s="219"/>
      <c r="BD1023" s="737" t="s">
        <v>162</v>
      </c>
      <c r="BE1023" s="738"/>
      <c r="BF1023" s="739"/>
      <c r="BG1023" s="740"/>
      <c r="BH1023" s="740"/>
      <c r="BI1023" s="741"/>
      <c r="BJ1023" s="742" t="s">
        <v>159</v>
      </c>
      <c r="BK1023" s="743"/>
      <c r="BL1023" s="743"/>
      <c r="BM1023" s="744"/>
      <c r="BN1023" s="703" t="s">
        <v>159</v>
      </c>
      <c r="BO1023" s="704"/>
      <c r="BP1023" s="704"/>
      <c r="BQ1023" s="704"/>
      <c r="BR1023" s="704"/>
      <c r="BS1023" s="704"/>
      <c r="BT1023" s="704"/>
      <c r="BU1023" s="704"/>
      <c r="BV1023" s="705"/>
    </row>
    <row r="1024" spans="1:74" ht="45" customHeight="1" x14ac:dyDescent="0.25">
      <c r="A1024" s="10">
        <f t="shared" si="15"/>
        <v>1010</v>
      </c>
      <c r="B1024" s="662" t="s">
        <v>159</v>
      </c>
      <c r="C1024" s="662"/>
      <c r="D1024" s="663" t="s">
        <v>212</v>
      </c>
      <c r="E1024" s="663"/>
      <c r="F1024" s="664" t="s">
        <v>162</v>
      </c>
      <c r="G1024" s="665"/>
      <c r="H1024" s="754" t="s">
        <v>162</v>
      </c>
      <c r="I1024" s="714"/>
      <c r="J1024" s="715"/>
      <c r="K1024" s="716"/>
      <c r="L1024" s="715"/>
      <c r="M1024" s="716"/>
      <c r="N1024" s="194"/>
      <c r="O1024" s="196"/>
      <c r="P1024" s="717"/>
      <c r="Q1024" s="718"/>
      <c r="R1024" s="672"/>
      <c r="S1024" s="673"/>
      <c r="T1024" s="674"/>
      <c r="U1024" s="675"/>
      <c r="V1024" s="676"/>
      <c r="W1024" s="677"/>
      <c r="X1024" s="678" t="s">
        <v>159</v>
      </c>
      <c r="Y1024" s="678"/>
      <c r="Z1024" s="678"/>
      <c r="AA1024" s="678"/>
      <c r="AB1024" s="679" t="s">
        <v>159</v>
      </c>
      <c r="AC1024" s="679"/>
      <c r="AD1024" s="679"/>
      <c r="AE1024" s="679"/>
      <c r="AF1024" s="680"/>
      <c r="AG1024" s="681"/>
      <c r="AH1024" s="680"/>
      <c r="AI1024" s="681"/>
      <c r="AJ1024" s="682"/>
      <c r="AK1024" s="683"/>
      <c r="AL1024" s="684" t="s">
        <v>162</v>
      </c>
      <c r="AM1024" s="685"/>
      <c r="AN1024" s="666" t="s">
        <v>162</v>
      </c>
      <c r="AO1024" s="667"/>
      <c r="AP1024" s="686"/>
      <c r="AQ1024" s="687"/>
      <c r="AR1024" s="688"/>
      <c r="AS1024" s="689"/>
      <c r="AT1024" s="690"/>
      <c r="AU1024" s="691"/>
      <c r="AV1024" s="666" t="s">
        <v>162</v>
      </c>
      <c r="AW1024" s="667"/>
      <c r="AX1024" s="692"/>
      <c r="AY1024" s="693"/>
      <c r="AZ1024" s="694"/>
      <c r="BA1024" s="682"/>
      <c r="BB1024" s="683"/>
      <c r="BC1024" s="14"/>
      <c r="BD1024" s="695" t="s">
        <v>162</v>
      </c>
      <c r="BE1024" s="696"/>
      <c r="BF1024" s="697"/>
      <c r="BG1024" s="698"/>
      <c r="BH1024" s="698"/>
      <c r="BI1024" s="699"/>
      <c r="BJ1024" s="700" t="s">
        <v>159</v>
      </c>
      <c r="BK1024" s="701"/>
      <c r="BL1024" s="701"/>
      <c r="BM1024" s="702"/>
      <c r="BN1024" s="703" t="s">
        <v>159</v>
      </c>
      <c r="BO1024" s="704"/>
      <c r="BP1024" s="704"/>
      <c r="BQ1024" s="704"/>
      <c r="BR1024" s="704"/>
      <c r="BS1024" s="704"/>
      <c r="BT1024" s="704"/>
      <c r="BU1024" s="704"/>
      <c r="BV1024" s="705"/>
    </row>
    <row r="1025" spans="1:74" ht="45" customHeight="1" x14ac:dyDescent="0.25">
      <c r="A1025" s="10">
        <f t="shared" si="15"/>
        <v>1011</v>
      </c>
      <c r="B1025" s="711" t="s">
        <v>159</v>
      </c>
      <c r="C1025" s="711"/>
      <c r="D1025" s="712" t="s">
        <v>212</v>
      </c>
      <c r="E1025" s="712"/>
      <c r="F1025" s="664" t="s">
        <v>162</v>
      </c>
      <c r="G1025" s="665"/>
      <c r="H1025" s="755" t="s">
        <v>162</v>
      </c>
      <c r="I1025" s="667"/>
      <c r="J1025" s="706"/>
      <c r="K1025" s="707"/>
      <c r="L1025" s="706"/>
      <c r="M1025" s="707"/>
      <c r="N1025" s="215"/>
      <c r="O1025" s="216"/>
      <c r="P1025" s="670"/>
      <c r="Q1025" s="671"/>
      <c r="R1025" s="719"/>
      <c r="S1025" s="720"/>
      <c r="T1025" s="721"/>
      <c r="U1025" s="722"/>
      <c r="V1025" s="723"/>
      <c r="W1025" s="724"/>
      <c r="X1025" s="725" t="s">
        <v>159</v>
      </c>
      <c r="Y1025" s="725"/>
      <c r="Z1025" s="725"/>
      <c r="AA1025" s="725"/>
      <c r="AB1025" s="726" t="s">
        <v>159</v>
      </c>
      <c r="AC1025" s="726"/>
      <c r="AD1025" s="726"/>
      <c r="AE1025" s="726"/>
      <c r="AF1025" s="727"/>
      <c r="AG1025" s="728"/>
      <c r="AH1025" s="727"/>
      <c r="AI1025" s="728"/>
      <c r="AJ1025" s="682"/>
      <c r="AK1025" s="683"/>
      <c r="AL1025" s="664" t="s">
        <v>162</v>
      </c>
      <c r="AM1025" s="665"/>
      <c r="AN1025" s="713" t="s">
        <v>162</v>
      </c>
      <c r="AO1025" s="714"/>
      <c r="AP1025" s="729"/>
      <c r="AQ1025" s="730"/>
      <c r="AR1025" s="731"/>
      <c r="AS1025" s="732"/>
      <c r="AT1025" s="690"/>
      <c r="AU1025" s="691"/>
      <c r="AV1025" s="713" t="s">
        <v>162</v>
      </c>
      <c r="AW1025" s="714"/>
      <c r="AX1025" s="692"/>
      <c r="AY1025" s="693"/>
      <c r="AZ1025" s="694"/>
      <c r="BA1025" s="735"/>
      <c r="BB1025" s="736"/>
      <c r="BC1025" s="219"/>
      <c r="BD1025" s="737" t="s">
        <v>162</v>
      </c>
      <c r="BE1025" s="738"/>
      <c r="BF1025" s="739"/>
      <c r="BG1025" s="740"/>
      <c r="BH1025" s="740"/>
      <c r="BI1025" s="741"/>
      <c r="BJ1025" s="742" t="s">
        <v>159</v>
      </c>
      <c r="BK1025" s="743"/>
      <c r="BL1025" s="743"/>
      <c r="BM1025" s="744"/>
      <c r="BN1025" s="703" t="s">
        <v>159</v>
      </c>
      <c r="BO1025" s="704"/>
      <c r="BP1025" s="704"/>
      <c r="BQ1025" s="704"/>
      <c r="BR1025" s="704"/>
      <c r="BS1025" s="704"/>
      <c r="BT1025" s="704"/>
      <c r="BU1025" s="704"/>
      <c r="BV1025" s="705"/>
    </row>
    <row r="1026" spans="1:74" ht="45" customHeight="1" x14ac:dyDescent="0.25">
      <c r="A1026" s="10">
        <f t="shared" si="15"/>
        <v>1012</v>
      </c>
      <c r="B1026" s="662" t="s">
        <v>159</v>
      </c>
      <c r="C1026" s="662"/>
      <c r="D1026" s="663" t="s">
        <v>212</v>
      </c>
      <c r="E1026" s="663"/>
      <c r="F1026" s="664" t="s">
        <v>162</v>
      </c>
      <c r="G1026" s="665"/>
      <c r="H1026" s="754" t="s">
        <v>162</v>
      </c>
      <c r="I1026" s="714"/>
      <c r="J1026" s="715"/>
      <c r="K1026" s="716"/>
      <c r="L1026" s="715"/>
      <c r="M1026" s="716"/>
      <c r="N1026" s="194"/>
      <c r="O1026" s="196"/>
      <c r="P1026" s="717"/>
      <c r="Q1026" s="718"/>
      <c r="R1026" s="672"/>
      <c r="S1026" s="673"/>
      <c r="T1026" s="674"/>
      <c r="U1026" s="675"/>
      <c r="V1026" s="676"/>
      <c r="W1026" s="677"/>
      <c r="X1026" s="678" t="s">
        <v>159</v>
      </c>
      <c r="Y1026" s="678"/>
      <c r="Z1026" s="678"/>
      <c r="AA1026" s="678"/>
      <c r="AB1026" s="679" t="s">
        <v>159</v>
      </c>
      <c r="AC1026" s="679"/>
      <c r="AD1026" s="679"/>
      <c r="AE1026" s="679"/>
      <c r="AF1026" s="680"/>
      <c r="AG1026" s="681"/>
      <c r="AH1026" s="680"/>
      <c r="AI1026" s="681"/>
      <c r="AJ1026" s="682"/>
      <c r="AK1026" s="683"/>
      <c r="AL1026" s="684" t="s">
        <v>162</v>
      </c>
      <c r="AM1026" s="685"/>
      <c r="AN1026" s="666" t="s">
        <v>162</v>
      </c>
      <c r="AO1026" s="667"/>
      <c r="AP1026" s="686"/>
      <c r="AQ1026" s="687"/>
      <c r="AR1026" s="688"/>
      <c r="AS1026" s="689"/>
      <c r="AT1026" s="690"/>
      <c r="AU1026" s="691"/>
      <c r="AV1026" s="666" t="s">
        <v>162</v>
      </c>
      <c r="AW1026" s="667"/>
      <c r="AX1026" s="692"/>
      <c r="AY1026" s="693"/>
      <c r="AZ1026" s="694"/>
      <c r="BA1026" s="682"/>
      <c r="BB1026" s="683"/>
      <c r="BC1026" s="14"/>
      <c r="BD1026" s="695" t="s">
        <v>162</v>
      </c>
      <c r="BE1026" s="696"/>
      <c r="BF1026" s="697"/>
      <c r="BG1026" s="698"/>
      <c r="BH1026" s="698"/>
      <c r="BI1026" s="699"/>
      <c r="BJ1026" s="700" t="s">
        <v>159</v>
      </c>
      <c r="BK1026" s="701"/>
      <c r="BL1026" s="701"/>
      <c r="BM1026" s="702"/>
      <c r="BN1026" s="703" t="s">
        <v>159</v>
      </c>
      <c r="BO1026" s="704"/>
      <c r="BP1026" s="704"/>
      <c r="BQ1026" s="704"/>
      <c r="BR1026" s="704"/>
      <c r="BS1026" s="704"/>
      <c r="BT1026" s="704"/>
      <c r="BU1026" s="704"/>
      <c r="BV1026" s="705"/>
    </row>
    <row r="1027" spans="1:74" ht="45" customHeight="1" x14ac:dyDescent="0.25">
      <c r="A1027" s="10">
        <f t="shared" si="15"/>
        <v>1013</v>
      </c>
      <c r="B1027" s="711" t="s">
        <v>159</v>
      </c>
      <c r="C1027" s="711"/>
      <c r="D1027" s="712" t="s">
        <v>212</v>
      </c>
      <c r="E1027" s="712"/>
      <c r="F1027" s="664" t="s">
        <v>162</v>
      </c>
      <c r="G1027" s="665"/>
      <c r="H1027" s="755" t="s">
        <v>162</v>
      </c>
      <c r="I1027" s="667"/>
      <c r="J1027" s="706"/>
      <c r="K1027" s="707"/>
      <c r="L1027" s="706"/>
      <c r="M1027" s="707"/>
      <c r="N1027" s="215"/>
      <c r="O1027" s="216"/>
      <c r="P1027" s="670"/>
      <c r="Q1027" s="671"/>
      <c r="R1027" s="719"/>
      <c r="S1027" s="720"/>
      <c r="T1027" s="721"/>
      <c r="U1027" s="722"/>
      <c r="V1027" s="723"/>
      <c r="W1027" s="724"/>
      <c r="X1027" s="725" t="s">
        <v>159</v>
      </c>
      <c r="Y1027" s="725"/>
      <c r="Z1027" s="725"/>
      <c r="AA1027" s="725"/>
      <c r="AB1027" s="726" t="s">
        <v>159</v>
      </c>
      <c r="AC1027" s="726"/>
      <c r="AD1027" s="726"/>
      <c r="AE1027" s="726"/>
      <c r="AF1027" s="727"/>
      <c r="AG1027" s="728"/>
      <c r="AH1027" s="727"/>
      <c r="AI1027" s="728"/>
      <c r="AJ1027" s="682"/>
      <c r="AK1027" s="683"/>
      <c r="AL1027" s="664" t="s">
        <v>162</v>
      </c>
      <c r="AM1027" s="665"/>
      <c r="AN1027" s="713" t="s">
        <v>162</v>
      </c>
      <c r="AO1027" s="714"/>
      <c r="AP1027" s="729"/>
      <c r="AQ1027" s="730"/>
      <c r="AR1027" s="731"/>
      <c r="AS1027" s="732"/>
      <c r="AT1027" s="690"/>
      <c r="AU1027" s="691"/>
      <c r="AV1027" s="713" t="s">
        <v>162</v>
      </c>
      <c r="AW1027" s="714"/>
      <c r="AX1027" s="692"/>
      <c r="AY1027" s="693"/>
      <c r="AZ1027" s="694"/>
      <c r="BA1027" s="735"/>
      <c r="BB1027" s="736"/>
      <c r="BC1027" s="219"/>
      <c r="BD1027" s="737" t="s">
        <v>162</v>
      </c>
      <c r="BE1027" s="738"/>
      <c r="BF1027" s="739"/>
      <c r="BG1027" s="740"/>
      <c r="BH1027" s="740"/>
      <c r="BI1027" s="741"/>
      <c r="BJ1027" s="742" t="s">
        <v>159</v>
      </c>
      <c r="BK1027" s="743"/>
      <c r="BL1027" s="743"/>
      <c r="BM1027" s="744"/>
      <c r="BN1027" s="703" t="s">
        <v>159</v>
      </c>
      <c r="BO1027" s="704"/>
      <c r="BP1027" s="704"/>
      <c r="BQ1027" s="704"/>
      <c r="BR1027" s="704"/>
      <c r="BS1027" s="704"/>
      <c r="BT1027" s="704"/>
      <c r="BU1027" s="704"/>
      <c r="BV1027" s="705"/>
    </row>
    <row r="1028" spans="1:74" ht="45" customHeight="1" x14ac:dyDescent="0.25">
      <c r="A1028" s="10">
        <f t="shared" si="15"/>
        <v>1014</v>
      </c>
      <c r="B1028" s="662" t="s">
        <v>159</v>
      </c>
      <c r="C1028" s="662"/>
      <c r="D1028" s="663" t="s">
        <v>212</v>
      </c>
      <c r="E1028" s="663"/>
      <c r="F1028" s="664" t="s">
        <v>162</v>
      </c>
      <c r="G1028" s="665"/>
      <c r="H1028" s="754" t="s">
        <v>162</v>
      </c>
      <c r="I1028" s="714"/>
      <c r="J1028" s="715"/>
      <c r="K1028" s="716"/>
      <c r="L1028" s="715"/>
      <c r="M1028" s="716"/>
      <c r="N1028" s="194"/>
      <c r="O1028" s="196"/>
      <c r="P1028" s="717"/>
      <c r="Q1028" s="718"/>
      <c r="R1028" s="672"/>
      <c r="S1028" s="673"/>
      <c r="T1028" s="674"/>
      <c r="U1028" s="675"/>
      <c r="V1028" s="676"/>
      <c r="W1028" s="677"/>
      <c r="X1028" s="678" t="s">
        <v>159</v>
      </c>
      <c r="Y1028" s="678"/>
      <c r="Z1028" s="678"/>
      <c r="AA1028" s="678"/>
      <c r="AB1028" s="679" t="s">
        <v>159</v>
      </c>
      <c r="AC1028" s="679"/>
      <c r="AD1028" s="679"/>
      <c r="AE1028" s="679"/>
      <c r="AF1028" s="680"/>
      <c r="AG1028" s="681"/>
      <c r="AH1028" s="680"/>
      <c r="AI1028" s="681"/>
      <c r="AJ1028" s="682"/>
      <c r="AK1028" s="683"/>
      <c r="AL1028" s="684" t="s">
        <v>162</v>
      </c>
      <c r="AM1028" s="685"/>
      <c r="AN1028" s="666" t="s">
        <v>162</v>
      </c>
      <c r="AO1028" s="667"/>
      <c r="AP1028" s="686"/>
      <c r="AQ1028" s="687"/>
      <c r="AR1028" s="688"/>
      <c r="AS1028" s="689"/>
      <c r="AT1028" s="690"/>
      <c r="AU1028" s="691"/>
      <c r="AV1028" s="666" t="s">
        <v>162</v>
      </c>
      <c r="AW1028" s="667"/>
      <c r="AX1028" s="692"/>
      <c r="AY1028" s="693"/>
      <c r="AZ1028" s="694"/>
      <c r="BA1028" s="682"/>
      <c r="BB1028" s="683"/>
      <c r="BC1028" s="14"/>
      <c r="BD1028" s="695" t="s">
        <v>162</v>
      </c>
      <c r="BE1028" s="696"/>
      <c r="BF1028" s="697"/>
      <c r="BG1028" s="698"/>
      <c r="BH1028" s="698"/>
      <c r="BI1028" s="699"/>
      <c r="BJ1028" s="700" t="s">
        <v>159</v>
      </c>
      <c r="BK1028" s="701"/>
      <c r="BL1028" s="701"/>
      <c r="BM1028" s="702"/>
      <c r="BN1028" s="703" t="s">
        <v>159</v>
      </c>
      <c r="BO1028" s="704"/>
      <c r="BP1028" s="704"/>
      <c r="BQ1028" s="704"/>
      <c r="BR1028" s="704"/>
      <c r="BS1028" s="704"/>
      <c r="BT1028" s="704"/>
      <c r="BU1028" s="704"/>
      <c r="BV1028" s="705"/>
    </row>
    <row r="1029" spans="1:74" ht="45" customHeight="1" x14ac:dyDescent="0.25">
      <c r="A1029" s="10">
        <f t="shared" si="15"/>
        <v>1015</v>
      </c>
      <c r="B1029" s="711" t="s">
        <v>159</v>
      </c>
      <c r="C1029" s="711"/>
      <c r="D1029" s="712" t="s">
        <v>212</v>
      </c>
      <c r="E1029" s="712"/>
      <c r="F1029" s="664" t="s">
        <v>162</v>
      </c>
      <c r="G1029" s="665"/>
      <c r="H1029" s="755" t="s">
        <v>162</v>
      </c>
      <c r="I1029" s="667"/>
      <c r="J1029" s="706"/>
      <c r="K1029" s="707"/>
      <c r="L1029" s="706"/>
      <c r="M1029" s="707"/>
      <c r="N1029" s="215"/>
      <c r="O1029" s="216"/>
      <c r="P1029" s="670"/>
      <c r="Q1029" s="671"/>
      <c r="R1029" s="719"/>
      <c r="S1029" s="720"/>
      <c r="T1029" s="721"/>
      <c r="U1029" s="722"/>
      <c r="V1029" s="723"/>
      <c r="W1029" s="724"/>
      <c r="X1029" s="725" t="s">
        <v>159</v>
      </c>
      <c r="Y1029" s="725"/>
      <c r="Z1029" s="725"/>
      <c r="AA1029" s="725"/>
      <c r="AB1029" s="726" t="s">
        <v>159</v>
      </c>
      <c r="AC1029" s="726"/>
      <c r="AD1029" s="726"/>
      <c r="AE1029" s="726"/>
      <c r="AF1029" s="727"/>
      <c r="AG1029" s="728"/>
      <c r="AH1029" s="727"/>
      <c r="AI1029" s="728"/>
      <c r="AJ1029" s="682"/>
      <c r="AK1029" s="683"/>
      <c r="AL1029" s="664" t="s">
        <v>162</v>
      </c>
      <c r="AM1029" s="665"/>
      <c r="AN1029" s="713" t="s">
        <v>162</v>
      </c>
      <c r="AO1029" s="714"/>
      <c r="AP1029" s="729"/>
      <c r="AQ1029" s="730"/>
      <c r="AR1029" s="731"/>
      <c r="AS1029" s="732"/>
      <c r="AT1029" s="733"/>
      <c r="AU1029" s="734"/>
      <c r="AV1029" s="713" t="s">
        <v>162</v>
      </c>
      <c r="AW1029" s="714"/>
      <c r="AX1029" s="692"/>
      <c r="AY1029" s="693"/>
      <c r="AZ1029" s="694"/>
      <c r="BA1029" s="735"/>
      <c r="BB1029" s="736"/>
      <c r="BC1029" s="219"/>
      <c r="BD1029" s="737" t="s">
        <v>162</v>
      </c>
      <c r="BE1029" s="738"/>
      <c r="BF1029" s="739"/>
      <c r="BG1029" s="740"/>
      <c r="BH1029" s="740"/>
      <c r="BI1029" s="741"/>
      <c r="BJ1029" s="742" t="s">
        <v>159</v>
      </c>
      <c r="BK1029" s="743"/>
      <c r="BL1029" s="743"/>
      <c r="BM1029" s="744"/>
      <c r="BN1029" s="703" t="s">
        <v>159</v>
      </c>
      <c r="BO1029" s="704"/>
      <c r="BP1029" s="704"/>
      <c r="BQ1029" s="704"/>
      <c r="BR1029" s="704"/>
      <c r="BS1029" s="704"/>
      <c r="BT1029" s="704"/>
      <c r="BU1029" s="704"/>
      <c r="BV1029" s="705"/>
    </row>
    <row r="1030" spans="1:74" ht="45" customHeight="1" x14ac:dyDescent="0.25">
      <c r="A1030" s="10">
        <f t="shared" si="15"/>
        <v>1016</v>
      </c>
      <c r="B1030" s="662" t="s">
        <v>159</v>
      </c>
      <c r="C1030" s="662"/>
      <c r="D1030" s="663" t="s">
        <v>212</v>
      </c>
      <c r="E1030" s="663"/>
      <c r="F1030" s="664" t="s">
        <v>162</v>
      </c>
      <c r="G1030" s="665"/>
      <c r="H1030" s="754" t="s">
        <v>162</v>
      </c>
      <c r="I1030" s="714"/>
      <c r="J1030" s="715"/>
      <c r="K1030" s="716"/>
      <c r="L1030" s="715"/>
      <c r="M1030" s="716"/>
      <c r="N1030" s="194"/>
      <c r="O1030" s="196"/>
      <c r="P1030" s="717"/>
      <c r="Q1030" s="718"/>
      <c r="R1030" s="672"/>
      <c r="S1030" s="673"/>
      <c r="T1030" s="674"/>
      <c r="U1030" s="675"/>
      <c r="V1030" s="676"/>
      <c r="W1030" s="677"/>
      <c r="X1030" s="678" t="s">
        <v>159</v>
      </c>
      <c r="Y1030" s="678"/>
      <c r="Z1030" s="678"/>
      <c r="AA1030" s="678"/>
      <c r="AB1030" s="679" t="s">
        <v>159</v>
      </c>
      <c r="AC1030" s="679"/>
      <c r="AD1030" s="679"/>
      <c r="AE1030" s="679"/>
      <c r="AF1030" s="680"/>
      <c r="AG1030" s="681"/>
      <c r="AH1030" s="680"/>
      <c r="AI1030" s="681"/>
      <c r="AJ1030" s="682"/>
      <c r="AK1030" s="683"/>
      <c r="AL1030" s="684" t="s">
        <v>162</v>
      </c>
      <c r="AM1030" s="685"/>
      <c r="AN1030" s="666" t="s">
        <v>162</v>
      </c>
      <c r="AO1030" s="667"/>
      <c r="AP1030" s="686"/>
      <c r="AQ1030" s="687"/>
      <c r="AR1030" s="688"/>
      <c r="AS1030" s="689"/>
      <c r="AT1030" s="690"/>
      <c r="AU1030" s="691"/>
      <c r="AV1030" s="666" t="s">
        <v>162</v>
      </c>
      <c r="AW1030" s="667"/>
      <c r="AX1030" s="692"/>
      <c r="AY1030" s="693"/>
      <c r="AZ1030" s="694"/>
      <c r="BA1030" s="682"/>
      <c r="BB1030" s="683"/>
      <c r="BC1030" s="14"/>
      <c r="BD1030" s="695" t="s">
        <v>162</v>
      </c>
      <c r="BE1030" s="696"/>
      <c r="BF1030" s="708"/>
      <c r="BG1030" s="709"/>
      <c r="BH1030" s="709"/>
      <c r="BI1030" s="710"/>
      <c r="BJ1030" s="700" t="s">
        <v>159</v>
      </c>
      <c r="BK1030" s="701"/>
      <c r="BL1030" s="701"/>
      <c r="BM1030" s="702"/>
      <c r="BN1030" s="703" t="s">
        <v>159</v>
      </c>
      <c r="BO1030" s="704"/>
      <c r="BP1030" s="704"/>
      <c r="BQ1030" s="704"/>
      <c r="BR1030" s="704"/>
      <c r="BS1030" s="704"/>
      <c r="BT1030" s="704"/>
      <c r="BU1030" s="704"/>
      <c r="BV1030" s="705"/>
    </row>
    <row r="1031" spans="1:74" ht="45" customHeight="1" x14ac:dyDescent="0.25">
      <c r="A1031" s="10">
        <f t="shared" si="15"/>
        <v>1017</v>
      </c>
      <c r="B1031" s="711" t="s">
        <v>159</v>
      </c>
      <c r="C1031" s="711"/>
      <c r="D1031" s="712" t="s">
        <v>212</v>
      </c>
      <c r="E1031" s="712"/>
      <c r="F1031" s="664" t="s">
        <v>162</v>
      </c>
      <c r="G1031" s="665"/>
      <c r="H1031" s="755" t="s">
        <v>162</v>
      </c>
      <c r="I1031" s="667"/>
      <c r="J1031" s="706"/>
      <c r="K1031" s="707"/>
      <c r="L1031" s="706"/>
      <c r="M1031" s="707"/>
      <c r="N1031" s="215"/>
      <c r="O1031" s="216"/>
      <c r="P1031" s="670"/>
      <c r="Q1031" s="671"/>
      <c r="R1031" s="719"/>
      <c r="S1031" s="720"/>
      <c r="T1031" s="721"/>
      <c r="U1031" s="722"/>
      <c r="V1031" s="723"/>
      <c r="W1031" s="724"/>
      <c r="X1031" s="725" t="s">
        <v>159</v>
      </c>
      <c r="Y1031" s="725"/>
      <c r="Z1031" s="725"/>
      <c r="AA1031" s="725"/>
      <c r="AB1031" s="726" t="s">
        <v>159</v>
      </c>
      <c r="AC1031" s="726"/>
      <c r="AD1031" s="726"/>
      <c r="AE1031" s="726"/>
      <c r="AF1031" s="727"/>
      <c r="AG1031" s="728"/>
      <c r="AH1031" s="727"/>
      <c r="AI1031" s="728"/>
      <c r="AJ1031" s="682"/>
      <c r="AK1031" s="683"/>
      <c r="AL1031" s="664" t="s">
        <v>162</v>
      </c>
      <c r="AM1031" s="665"/>
      <c r="AN1031" s="713" t="s">
        <v>162</v>
      </c>
      <c r="AO1031" s="714"/>
      <c r="AP1031" s="729"/>
      <c r="AQ1031" s="730"/>
      <c r="AR1031" s="731"/>
      <c r="AS1031" s="732"/>
      <c r="AT1031" s="733"/>
      <c r="AU1031" s="734"/>
      <c r="AV1031" s="713" t="s">
        <v>162</v>
      </c>
      <c r="AW1031" s="714"/>
      <c r="AX1031" s="692"/>
      <c r="AY1031" s="693"/>
      <c r="AZ1031" s="694"/>
      <c r="BA1031" s="735"/>
      <c r="BB1031" s="736"/>
      <c r="BC1031" s="219"/>
      <c r="BD1031" s="737" t="s">
        <v>162</v>
      </c>
      <c r="BE1031" s="738"/>
      <c r="BF1031" s="739"/>
      <c r="BG1031" s="740"/>
      <c r="BH1031" s="740"/>
      <c r="BI1031" s="741"/>
      <c r="BJ1031" s="742" t="s">
        <v>159</v>
      </c>
      <c r="BK1031" s="743"/>
      <c r="BL1031" s="743"/>
      <c r="BM1031" s="744"/>
      <c r="BN1031" s="703" t="s">
        <v>159</v>
      </c>
      <c r="BO1031" s="704"/>
      <c r="BP1031" s="704"/>
      <c r="BQ1031" s="704"/>
      <c r="BR1031" s="704"/>
      <c r="BS1031" s="704"/>
      <c r="BT1031" s="704"/>
      <c r="BU1031" s="704"/>
      <c r="BV1031" s="705"/>
    </row>
    <row r="1032" spans="1:74" ht="45" customHeight="1" x14ac:dyDescent="0.25">
      <c r="A1032" s="10">
        <f t="shared" si="15"/>
        <v>1018</v>
      </c>
      <c r="B1032" s="662" t="s">
        <v>159</v>
      </c>
      <c r="C1032" s="662"/>
      <c r="D1032" s="663" t="s">
        <v>212</v>
      </c>
      <c r="E1032" s="663"/>
      <c r="F1032" s="664" t="s">
        <v>162</v>
      </c>
      <c r="G1032" s="665"/>
      <c r="H1032" s="754" t="s">
        <v>162</v>
      </c>
      <c r="I1032" s="714"/>
      <c r="J1032" s="715"/>
      <c r="K1032" s="716"/>
      <c r="L1032" s="715"/>
      <c r="M1032" s="716"/>
      <c r="N1032" s="194"/>
      <c r="O1032" s="196"/>
      <c r="P1032" s="717"/>
      <c r="Q1032" s="718"/>
      <c r="R1032" s="672"/>
      <c r="S1032" s="673"/>
      <c r="T1032" s="674"/>
      <c r="U1032" s="675"/>
      <c r="V1032" s="676"/>
      <c r="W1032" s="677"/>
      <c r="X1032" s="678" t="s">
        <v>159</v>
      </c>
      <c r="Y1032" s="678"/>
      <c r="Z1032" s="678"/>
      <c r="AA1032" s="678"/>
      <c r="AB1032" s="679" t="s">
        <v>159</v>
      </c>
      <c r="AC1032" s="679"/>
      <c r="AD1032" s="679"/>
      <c r="AE1032" s="679"/>
      <c r="AF1032" s="680"/>
      <c r="AG1032" s="681"/>
      <c r="AH1032" s="680"/>
      <c r="AI1032" s="681"/>
      <c r="AJ1032" s="682"/>
      <c r="AK1032" s="683"/>
      <c r="AL1032" s="684" t="s">
        <v>162</v>
      </c>
      <c r="AM1032" s="685"/>
      <c r="AN1032" s="666" t="s">
        <v>162</v>
      </c>
      <c r="AO1032" s="667"/>
      <c r="AP1032" s="686"/>
      <c r="AQ1032" s="687"/>
      <c r="AR1032" s="688"/>
      <c r="AS1032" s="689"/>
      <c r="AT1032" s="690"/>
      <c r="AU1032" s="691"/>
      <c r="AV1032" s="666" t="s">
        <v>162</v>
      </c>
      <c r="AW1032" s="667"/>
      <c r="AX1032" s="692"/>
      <c r="AY1032" s="693"/>
      <c r="AZ1032" s="694"/>
      <c r="BA1032" s="682"/>
      <c r="BB1032" s="683"/>
      <c r="BC1032" s="14"/>
      <c r="BD1032" s="695" t="s">
        <v>162</v>
      </c>
      <c r="BE1032" s="696"/>
      <c r="BF1032" s="697"/>
      <c r="BG1032" s="698"/>
      <c r="BH1032" s="698"/>
      <c r="BI1032" s="699"/>
      <c r="BJ1032" s="700" t="s">
        <v>159</v>
      </c>
      <c r="BK1032" s="701"/>
      <c r="BL1032" s="701"/>
      <c r="BM1032" s="702"/>
      <c r="BN1032" s="703" t="s">
        <v>159</v>
      </c>
      <c r="BO1032" s="704"/>
      <c r="BP1032" s="704"/>
      <c r="BQ1032" s="704"/>
      <c r="BR1032" s="704"/>
      <c r="BS1032" s="704"/>
      <c r="BT1032" s="704"/>
      <c r="BU1032" s="704"/>
      <c r="BV1032" s="705"/>
    </row>
    <row r="1033" spans="1:74" ht="45" customHeight="1" x14ac:dyDescent="0.25">
      <c r="A1033" s="10">
        <f t="shared" si="15"/>
        <v>1019</v>
      </c>
      <c r="B1033" s="711" t="s">
        <v>159</v>
      </c>
      <c r="C1033" s="711"/>
      <c r="D1033" s="712" t="s">
        <v>212</v>
      </c>
      <c r="E1033" s="712"/>
      <c r="F1033" s="664" t="s">
        <v>162</v>
      </c>
      <c r="G1033" s="665"/>
      <c r="H1033" s="755" t="s">
        <v>162</v>
      </c>
      <c r="I1033" s="667"/>
      <c r="J1033" s="706"/>
      <c r="K1033" s="707"/>
      <c r="L1033" s="706"/>
      <c r="M1033" s="707"/>
      <c r="N1033" s="215"/>
      <c r="O1033" s="216"/>
      <c r="P1033" s="670"/>
      <c r="Q1033" s="671"/>
      <c r="R1033" s="719"/>
      <c r="S1033" s="720"/>
      <c r="T1033" s="721"/>
      <c r="U1033" s="722"/>
      <c r="V1033" s="723"/>
      <c r="W1033" s="724"/>
      <c r="X1033" s="725" t="s">
        <v>159</v>
      </c>
      <c r="Y1033" s="725"/>
      <c r="Z1033" s="725"/>
      <c r="AA1033" s="725"/>
      <c r="AB1033" s="726" t="s">
        <v>159</v>
      </c>
      <c r="AC1033" s="726"/>
      <c r="AD1033" s="726"/>
      <c r="AE1033" s="726"/>
      <c r="AF1033" s="727"/>
      <c r="AG1033" s="728"/>
      <c r="AH1033" s="727"/>
      <c r="AI1033" s="728"/>
      <c r="AJ1033" s="682"/>
      <c r="AK1033" s="683"/>
      <c r="AL1033" s="664" t="s">
        <v>162</v>
      </c>
      <c r="AM1033" s="665"/>
      <c r="AN1033" s="713" t="s">
        <v>162</v>
      </c>
      <c r="AO1033" s="714"/>
      <c r="AP1033" s="729"/>
      <c r="AQ1033" s="730"/>
      <c r="AR1033" s="731"/>
      <c r="AS1033" s="732"/>
      <c r="AT1033" s="733"/>
      <c r="AU1033" s="734"/>
      <c r="AV1033" s="713" t="s">
        <v>162</v>
      </c>
      <c r="AW1033" s="714"/>
      <c r="AX1033" s="692"/>
      <c r="AY1033" s="693"/>
      <c r="AZ1033" s="694"/>
      <c r="BA1033" s="735"/>
      <c r="BB1033" s="736"/>
      <c r="BC1033" s="219"/>
      <c r="BD1033" s="737" t="s">
        <v>162</v>
      </c>
      <c r="BE1033" s="738"/>
      <c r="BF1033" s="739"/>
      <c r="BG1033" s="740"/>
      <c r="BH1033" s="740"/>
      <c r="BI1033" s="741"/>
      <c r="BJ1033" s="742" t="s">
        <v>159</v>
      </c>
      <c r="BK1033" s="743"/>
      <c r="BL1033" s="743"/>
      <c r="BM1033" s="744"/>
      <c r="BN1033" s="703" t="s">
        <v>159</v>
      </c>
      <c r="BO1033" s="704"/>
      <c r="BP1033" s="704"/>
      <c r="BQ1033" s="704"/>
      <c r="BR1033" s="704"/>
      <c r="BS1033" s="704"/>
      <c r="BT1033" s="704"/>
      <c r="BU1033" s="704"/>
      <c r="BV1033" s="705"/>
    </row>
    <row r="1034" spans="1:74" ht="45" customHeight="1" x14ac:dyDescent="0.25">
      <c r="A1034" s="10">
        <f t="shared" si="15"/>
        <v>1020</v>
      </c>
      <c r="B1034" s="662" t="s">
        <v>159</v>
      </c>
      <c r="C1034" s="662"/>
      <c r="D1034" s="663" t="s">
        <v>212</v>
      </c>
      <c r="E1034" s="663"/>
      <c r="F1034" s="664" t="s">
        <v>162</v>
      </c>
      <c r="G1034" s="665"/>
      <c r="H1034" s="754" t="s">
        <v>162</v>
      </c>
      <c r="I1034" s="714"/>
      <c r="J1034" s="715"/>
      <c r="K1034" s="716"/>
      <c r="L1034" s="715"/>
      <c r="M1034" s="716"/>
      <c r="N1034" s="194"/>
      <c r="O1034" s="196"/>
      <c r="P1034" s="717"/>
      <c r="Q1034" s="718"/>
      <c r="R1034" s="672"/>
      <c r="S1034" s="673"/>
      <c r="T1034" s="674"/>
      <c r="U1034" s="675"/>
      <c r="V1034" s="676"/>
      <c r="W1034" s="677"/>
      <c r="X1034" s="678" t="s">
        <v>159</v>
      </c>
      <c r="Y1034" s="678"/>
      <c r="Z1034" s="678"/>
      <c r="AA1034" s="678"/>
      <c r="AB1034" s="679" t="s">
        <v>159</v>
      </c>
      <c r="AC1034" s="679"/>
      <c r="AD1034" s="679"/>
      <c r="AE1034" s="679"/>
      <c r="AF1034" s="680"/>
      <c r="AG1034" s="681"/>
      <c r="AH1034" s="680"/>
      <c r="AI1034" s="681"/>
      <c r="AJ1034" s="682"/>
      <c r="AK1034" s="683"/>
      <c r="AL1034" s="684" t="s">
        <v>162</v>
      </c>
      <c r="AM1034" s="685"/>
      <c r="AN1034" s="666" t="s">
        <v>162</v>
      </c>
      <c r="AO1034" s="667"/>
      <c r="AP1034" s="686"/>
      <c r="AQ1034" s="687"/>
      <c r="AR1034" s="688"/>
      <c r="AS1034" s="689"/>
      <c r="AT1034" s="690"/>
      <c r="AU1034" s="691"/>
      <c r="AV1034" s="666" t="s">
        <v>162</v>
      </c>
      <c r="AW1034" s="667"/>
      <c r="AX1034" s="692"/>
      <c r="AY1034" s="693"/>
      <c r="AZ1034" s="694"/>
      <c r="BA1034" s="682"/>
      <c r="BB1034" s="683"/>
      <c r="BC1034" s="14"/>
      <c r="BD1034" s="695" t="s">
        <v>162</v>
      </c>
      <c r="BE1034" s="696"/>
      <c r="BF1034" s="697"/>
      <c r="BG1034" s="698"/>
      <c r="BH1034" s="698"/>
      <c r="BI1034" s="699"/>
      <c r="BJ1034" s="700" t="s">
        <v>159</v>
      </c>
      <c r="BK1034" s="701"/>
      <c r="BL1034" s="701"/>
      <c r="BM1034" s="702"/>
      <c r="BN1034" s="703" t="s">
        <v>159</v>
      </c>
      <c r="BO1034" s="704"/>
      <c r="BP1034" s="704"/>
      <c r="BQ1034" s="704"/>
      <c r="BR1034" s="704"/>
      <c r="BS1034" s="704"/>
      <c r="BT1034" s="704"/>
      <c r="BU1034" s="704"/>
      <c r="BV1034" s="705"/>
    </row>
    <row r="1035" spans="1:74" ht="45" customHeight="1" x14ac:dyDescent="0.25">
      <c r="A1035" s="10">
        <f t="shared" si="15"/>
        <v>1021</v>
      </c>
      <c r="B1035" s="711" t="s">
        <v>159</v>
      </c>
      <c r="C1035" s="711"/>
      <c r="D1035" s="712" t="s">
        <v>212</v>
      </c>
      <c r="E1035" s="712"/>
      <c r="F1035" s="664" t="s">
        <v>162</v>
      </c>
      <c r="G1035" s="665"/>
      <c r="H1035" s="755" t="s">
        <v>162</v>
      </c>
      <c r="I1035" s="667"/>
      <c r="J1035" s="706"/>
      <c r="K1035" s="707"/>
      <c r="L1035" s="706"/>
      <c r="M1035" s="707"/>
      <c r="N1035" s="215"/>
      <c r="O1035" s="216"/>
      <c r="P1035" s="670"/>
      <c r="Q1035" s="671"/>
      <c r="R1035" s="719"/>
      <c r="S1035" s="720"/>
      <c r="T1035" s="721"/>
      <c r="U1035" s="722"/>
      <c r="V1035" s="723"/>
      <c r="W1035" s="724"/>
      <c r="X1035" s="725" t="s">
        <v>159</v>
      </c>
      <c r="Y1035" s="725"/>
      <c r="Z1035" s="725"/>
      <c r="AA1035" s="725"/>
      <c r="AB1035" s="726" t="s">
        <v>159</v>
      </c>
      <c r="AC1035" s="726"/>
      <c r="AD1035" s="726"/>
      <c r="AE1035" s="726"/>
      <c r="AF1035" s="727"/>
      <c r="AG1035" s="728"/>
      <c r="AH1035" s="727"/>
      <c r="AI1035" s="728"/>
      <c r="AJ1035" s="682"/>
      <c r="AK1035" s="683"/>
      <c r="AL1035" s="664" t="s">
        <v>162</v>
      </c>
      <c r="AM1035" s="665"/>
      <c r="AN1035" s="713" t="s">
        <v>162</v>
      </c>
      <c r="AO1035" s="714"/>
      <c r="AP1035" s="729"/>
      <c r="AQ1035" s="730"/>
      <c r="AR1035" s="731"/>
      <c r="AS1035" s="732"/>
      <c r="AT1035" s="733"/>
      <c r="AU1035" s="734"/>
      <c r="AV1035" s="713" t="s">
        <v>162</v>
      </c>
      <c r="AW1035" s="714"/>
      <c r="AX1035" s="692"/>
      <c r="AY1035" s="693"/>
      <c r="AZ1035" s="694"/>
      <c r="BA1035" s="735"/>
      <c r="BB1035" s="736"/>
      <c r="BC1035" s="219"/>
      <c r="BD1035" s="737" t="s">
        <v>162</v>
      </c>
      <c r="BE1035" s="738"/>
      <c r="BF1035" s="739"/>
      <c r="BG1035" s="740"/>
      <c r="BH1035" s="740"/>
      <c r="BI1035" s="741"/>
      <c r="BJ1035" s="742" t="s">
        <v>159</v>
      </c>
      <c r="BK1035" s="743"/>
      <c r="BL1035" s="743"/>
      <c r="BM1035" s="744"/>
      <c r="BN1035" s="703" t="s">
        <v>159</v>
      </c>
      <c r="BO1035" s="704"/>
      <c r="BP1035" s="704"/>
      <c r="BQ1035" s="704"/>
      <c r="BR1035" s="704"/>
      <c r="BS1035" s="704"/>
      <c r="BT1035" s="704"/>
      <c r="BU1035" s="704"/>
      <c r="BV1035" s="705"/>
    </row>
    <row r="1036" spans="1:74" ht="45" customHeight="1" x14ac:dyDescent="0.25">
      <c r="A1036" s="10">
        <f t="shared" si="15"/>
        <v>1022</v>
      </c>
      <c r="B1036" s="662" t="s">
        <v>159</v>
      </c>
      <c r="C1036" s="662"/>
      <c r="D1036" s="663" t="s">
        <v>212</v>
      </c>
      <c r="E1036" s="663"/>
      <c r="F1036" s="664" t="s">
        <v>162</v>
      </c>
      <c r="G1036" s="665"/>
      <c r="H1036" s="754" t="s">
        <v>162</v>
      </c>
      <c r="I1036" s="714"/>
      <c r="J1036" s="715"/>
      <c r="K1036" s="716"/>
      <c r="L1036" s="715"/>
      <c r="M1036" s="716"/>
      <c r="N1036" s="194"/>
      <c r="O1036" s="196"/>
      <c r="P1036" s="717"/>
      <c r="Q1036" s="718"/>
      <c r="R1036" s="672"/>
      <c r="S1036" s="673"/>
      <c r="T1036" s="674"/>
      <c r="U1036" s="675"/>
      <c r="V1036" s="676"/>
      <c r="W1036" s="677"/>
      <c r="X1036" s="678" t="s">
        <v>159</v>
      </c>
      <c r="Y1036" s="678"/>
      <c r="Z1036" s="678"/>
      <c r="AA1036" s="678"/>
      <c r="AB1036" s="679" t="s">
        <v>159</v>
      </c>
      <c r="AC1036" s="679"/>
      <c r="AD1036" s="679"/>
      <c r="AE1036" s="679"/>
      <c r="AF1036" s="680"/>
      <c r="AG1036" s="681"/>
      <c r="AH1036" s="680"/>
      <c r="AI1036" s="681"/>
      <c r="AJ1036" s="682"/>
      <c r="AK1036" s="683"/>
      <c r="AL1036" s="684" t="s">
        <v>162</v>
      </c>
      <c r="AM1036" s="685"/>
      <c r="AN1036" s="666" t="s">
        <v>162</v>
      </c>
      <c r="AO1036" s="667"/>
      <c r="AP1036" s="686"/>
      <c r="AQ1036" s="687"/>
      <c r="AR1036" s="688"/>
      <c r="AS1036" s="689"/>
      <c r="AT1036" s="690"/>
      <c r="AU1036" s="691"/>
      <c r="AV1036" s="666" t="s">
        <v>162</v>
      </c>
      <c r="AW1036" s="667"/>
      <c r="AX1036" s="692"/>
      <c r="AY1036" s="693"/>
      <c r="AZ1036" s="694"/>
      <c r="BA1036" s="682"/>
      <c r="BB1036" s="683"/>
      <c r="BC1036" s="14"/>
      <c r="BD1036" s="695" t="s">
        <v>162</v>
      </c>
      <c r="BE1036" s="696"/>
      <c r="BF1036" s="708"/>
      <c r="BG1036" s="709"/>
      <c r="BH1036" s="709"/>
      <c r="BI1036" s="710"/>
      <c r="BJ1036" s="700" t="s">
        <v>159</v>
      </c>
      <c r="BK1036" s="701"/>
      <c r="BL1036" s="701"/>
      <c r="BM1036" s="702"/>
      <c r="BN1036" s="703" t="s">
        <v>159</v>
      </c>
      <c r="BO1036" s="704"/>
      <c r="BP1036" s="704"/>
      <c r="BQ1036" s="704"/>
      <c r="BR1036" s="704"/>
      <c r="BS1036" s="704"/>
      <c r="BT1036" s="704"/>
      <c r="BU1036" s="704"/>
      <c r="BV1036" s="705"/>
    </row>
    <row r="1037" spans="1:74" ht="45" customHeight="1" x14ac:dyDescent="0.25">
      <c r="A1037" s="10">
        <f t="shared" si="15"/>
        <v>1023</v>
      </c>
      <c r="B1037" s="711" t="s">
        <v>159</v>
      </c>
      <c r="C1037" s="711"/>
      <c r="D1037" s="712" t="s">
        <v>212</v>
      </c>
      <c r="E1037" s="712"/>
      <c r="F1037" s="664" t="s">
        <v>162</v>
      </c>
      <c r="G1037" s="665"/>
      <c r="H1037" s="755" t="s">
        <v>162</v>
      </c>
      <c r="I1037" s="667"/>
      <c r="J1037" s="706"/>
      <c r="K1037" s="707"/>
      <c r="L1037" s="706"/>
      <c r="M1037" s="707"/>
      <c r="N1037" s="215"/>
      <c r="O1037" s="216"/>
      <c r="P1037" s="670"/>
      <c r="Q1037" s="671"/>
      <c r="R1037" s="719"/>
      <c r="S1037" s="720"/>
      <c r="T1037" s="721"/>
      <c r="U1037" s="722"/>
      <c r="V1037" s="723"/>
      <c r="W1037" s="724"/>
      <c r="X1037" s="725" t="s">
        <v>159</v>
      </c>
      <c r="Y1037" s="725"/>
      <c r="Z1037" s="725"/>
      <c r="AA1037" s="725"/>
      <c r="AB1037" s="726" t="s">
        <v>159</v>
      </c>
      <c r="AC1037" s="726"/>
      <c r="AD1037" s="726"/>
      <c r="AE1037" s="726"/>
      <c r="AF1037" s="727"/>
      <c r="AG1037" s="728"/>
      <c r="AH1037" s="727"/>
      <c r="AI1037" s="728"/>
      <c r="AJ1037" s="682"/>
      <c r="AK1037" s="683"/>
      <c r="AL1037" s="664" t="s">
        <v>162</v>
      </c>
      <c r="AM1037" s="665"/>
      <c r="AN1037" s="713" t="s">
        <v>162</v>
      </c>
      <c r="AO1037" s="714"/>
      <c r="AP1037" s="729"/>
      <c r="AQ1037" s="730"/>
      <c r="AR1037" s="731"/>
      <c r="AS1037" s="732"/>
      <c r="AT1037" s="733"/>
      <c r="AU1037" s="734"/>
      <c r="AV1037" s="713" t="s">
        <v>162</v>
      </c>
      <c r="AW1037" s="714"/>
      <c r="AX1037" s="692"/>
      <c r="AY1037" s="693"/>
      <c r="AZ1037" s="694"/>
      <c r="BA1037" s="735"/>
      <c r="BB1037" s="736"/>
      <c r="BC1037" s="219"/>
      <c r="BD1037" s="737" t="s">
        <v>162</v>
      </c>
      <c r="BE1037" s="738"/>
      <c r="BF1037" s="739"/>
      <c r="BG1037" s="740"/>
      <c r="BH1037" s="740"/>
      <c r="BI1037" s="741"/>
      <c r="BJ1037" s="742" t="s">
        <v>159</v>
      </c>
      <c r="BK1037" s="743"/>
      <c r="BL1037" s="743"/>
      <c r="BM1037" s="744"/>
      <c r="BN1037" s="703" t="s">
        <v>159</v>
      </c>
      <c r="BO1037" s="704"/>
      <c r="BP1037" s="704"/>
      <c r="BQ1037" s="704"/>
      <c r="BR1037" s="704"/>
      <c r="BS1037" s="704"/>
      <c r="BT1037" s="704"/>
      <c r="BU1037" s="704"/>
      <c r="BV1037" s="705"/>
    </row>
    <row r="1038" spans="1:74" ht="45" customHeight="1" x14ac:dyDescent="0.25">
      <c r="A1038" s="10">
        <f t="shared" si="15"/>
        <v>1024</v>
      </c>
      <c r="B1038" s="662" t="s">
        <v>159</v>
      </c>
      <c r="C1038" s="662"/>
      <c r="D1038" s="663" t="s">
        <v>212</v>
      </c>
      <c r="E1038" s="663"/>
      <c r="F1038" s="664" t="s">
        <v>162</v>
      </c>
      <c r="G1038" s="665"/>
      <c r="H1038" s="754" t="s">
        <v>162</v>
      </c>
      <c r="I1038" s="714"/>
      <c r="J1038" s="715"/>
      <c r="K1038" s="716"/>
      <c r="L1038" s="715"/>
      <c r="M1038" s="716"/>
      <c r="N1038" s="194"/>
      <c r="O1038" s="196"/>
      <c r="P1038" s="717"/>
      <c r="Q1038" s="718"/>
      <c r="R1038" s="672"/>
      <c r="S1038" s="673"/>
      <c r="T1038" s="674"/>
      <c r="U1038" s="675"/>
      <c r="V1038" s="676"/>
      <c r="W1038" s="677"/>
      <c r="X1038" s="678" t="s">
        <v>159</v>
      </c>
      <c r="Y1038" s="678"/>
      <c r="Z1038" s="678"/>
      <c r="AA1038" s="678"/>
      <c r="AB1038" s="679" t="s">
        <v>159</v>
      </c>
      <c r="AC1038" s="679"/>
      <c r="AD1038" s="679"/>
      <c r="AE1038" s="679"/>
      <c r="AF1038" s="680"/>
      <c r="AG1038" s="681"/>
      <c r="AH1038" s="680"/>
      <c r="AI1038" s="681"/>
      <c r="AJ1038" s="682"/>
      <c r="AK1038" s="683"/>
      <c r="AL1038" s="684" t="s">
        <v>162</v>
      </c>
      <c r="AM1038" s="685"/>
      <c r="AN1038" s="666" t="s">
        <v>162</v>
      </c>
      <c r="AO1038" s="667"/>
      <c r="AP1038" s="686"/>
      <c r="AQ1038" s="687"/>
      <c r="AR1038" s="688"/>
      <c r="AS1038" s="689"/>
      <c r="AT1038" s="690"/>
      <c r="AU1038" s="691"/>
      <c r="AV1038" s="666" t="s">
        <v>162</v>
      </c>
      <c r="AW1038" s="667"/>
      <c r="AX1038" s="692"/>
      <c r="AY1038" s="693"/>
      <c r="AZ1038" s="694"/>
      <c r="BA1038" s="682"/>
      <c r="BB1038" s="683"/>
      <c r="BC1038" s="14"/>
      <c r="BD1038" s="695" t="s">
        <v>162</v>
      </c>
      <c r="BE1038" s="696"/>
      <c r="BF1038" s="697"/>
      <c r="BG1038" s="698"/>
      <c r="BH1038" s="698"/>
      <c r="BI1038" s="699"/>
      <c r="BJ1038" s="700" t="s">
        <v>159</v>
      </c>
      <c r="BK1038" s="701"/>
      <c r="BL1038" s="701"/>
      <c r="BM1038" s="702"/>
      <c r="BN1038" s="703" t="s">
        <v>159</v>
      </c>
      <c r="BO1038" s="704"/>
      <c r="BP1038" s="704"/>
      <c r="BQ1038" s="704"/>
      <c r="BR1038" s="704"/>
      <c r="BS1038" s="704"/>
      <c r="BT1038" s="704"/>
      <c r="BU1038" s="704"/>
      <c r="BV1038" s="705"/>
    </row>
    <row r="1039" spans="1:74" ht="45" customHeight="1" x14ac:dyDescent="0.25">
      <c r="A1039" s="10">
        <f t="shared" ref="A1039:A1102" si="16">ROW(A1025)</f>
        <v>1025</v>
      </c>
      <c r="B1039" s="711" t="s">
        <v>159</v>
      </c>
      <c r="C1039" s="711"/>
      <c r="D1039" s="712" t="s">
        <v>212</v>
      </c>
      <c r="E1039" s="712"/>
      <c r="F1039" s="664" t="s">
        <v>162</v>
      </c>
      <c r="G1039" s="665"/>
      <c r="H1039" s="755" t="s">
        <v>162</v>
      </c>
      <c r="I1039" s="667"/>
      <c r="J1039" s="706"/>
      <c r="K1039" s="707"/>
      <c r="L1039" s="706"/>
      <c r="M1039" s="707"/>
      <c r="N1039" s="215"/>
      <c r="O1039" s="216"/>
      <c r="P1039" s="670"/>
      <c r="Q1039" s="671"/>
      <c r="R1039" s="719"/>
      <c r="S1039" s="720"/>
      <c r="T1039" s="721"/>
      <c r="U1039" s="722"/>
      <c r="V1039" s="723"/>
      <c r="W1039" s="724"/>
      <c r="X1039" s="725" t="s">
        <v>159</v>
      </c>
      <c r="Y1039" s="725"/>
      <c r="Z1039" s="725"/>
      <c r="AA1039" s="725"/>
      <c r="AB1039" s="726" t="s">
        <v>159</v>
      </c>
      <c r="AC1039" s="726"/>
      <c r="AD1039" s="726"/>
      <c r="AE1039" s="726"/>
      <c r="AF1039" s="727"/>
      <c r="AG1039" s="728"/>
      <c r="AH1039" s="727"/>
      <c r="AI1039" s="728"/>
      <c r="AJ1039" s="682"/>
      <c r="AK1039" s="683"/>
      <c r="AL1039" s="664" t="s">
        <v>162</v>
      </c>
      <c r="AM1039" s="665"/>
      <c r="AN1039" s="713" t="s">
        <v>162</v>
      </c>
      <c r="AO1039" s="714"/>
      <c r="AP1039" s="729"/>
      <c r="AQ1039" s="730"/>
      <c r="AR1039" s="731"/>
      <c r="AS1039" s="732"/>
      <c r="AT1039" s="690"/>
      <c r="AU1039" s="691"/>
      <c r="AV1039" s="713" t="s">
        <v>162</v>
      </c>
      <c r="AW1039" s="714"/>
      <c r="AX1039" s="692"/>
      <c r="AY1039" s="693"/>
      <c r="AZ1039" s="694"/>
      <c r="BA1039" s="735"/>
      <c r="BB1039" s="736"/>
      <c r="BC1039" s="219"/>
      <c r="BD1039" s="737" t="s">
        <v>162</v>
      </c>
      <c r="BE1039" s="738"/>
      <c r="BF1039" s="739"/>
      <c r="BG1039" s="740"/>
      <c r="BH1039" s="740"/>
      <c r="BI1039" s="741"/>
      <c r="BJ1039" s="742" t="s">
        <v>159</v>
      </c>
      <c r="BK1039" s="743"/>
      <c r="BL1039" s="743"/>
      <c r="BM1039" s="744"/>
      <c r="BN1039" s="703" t="s">
        <v>159</v>
      </c>
      <c r="BO1039" s="704"/>
      <c r="BP1039" s="704"/>
      <c r="BQ1039" s="704"/>
      <c r="BR1039" s="704"/>
      <c r="BS1039" s="704"/>
      <c r="BT1039" s="704"/>
      <c r="BU1039" s="704"/>
      <c r="BV1039" s="705"/>
    </row>
    <row r="1040" spans="1:74" ht="45" customHeight="1" x14ac:dyDescent="0.25">
      <c r="A1040" s="10">
        <f t="shared" si="16"/>
        <v>1026</v>
      </c>
      <c r="B1040" s="662" t="s">
        <v>159</v>
      </c>
      <c r="C1040" s="662"/>
      <c r="D1040" s="663" t="s">
        <v>212</v>
      </c>
      <c r="E1040" s="663"/>
      <c r="F1040" s="664" t="s">
        <v>162</v>
      </c>
      <c r="G1040" s="665"/>
      <c r="H1040" s="754" t="s">
        <v>162</v>
      </c>
      <c r="I1040" s="714"/>
      <c r="J1040" s="715"/>
      <c r="K1040" s="716"/>
      <c r="L1040" s="715"/>
      <c r="M1040" s="716"/>
      <c r="N1040" s="194"/>
      <c r="O1040" s="196"/>
      <c r="P1040" s="717"/>
      <c r="Q1040" s="718"/>
      <c r="R1040" s="672"/>
      <c r="S1040" s="673"/>
      <c r="T1040" s="674"/>
      <c r="U1040" s="675"/>
      <c r="V1040" s="676"/>
      <c r="W1040" s="677"/>
      <c r="X1040" s="678" t="s">
        <v>159</v>
      </c>
      <c r="Y1040" s="678"/>
      <c r="Z1040" s="678"/>
      <c r="AA1040" s="678"/>
      <c r="AB1040" s="679" t="s">
        <v>159</v>
      </c>
      <c r="AC1040" s="679"/>
      <c r="AD1040" s="679"/>
      <c r="AE1040" s="679"/>
      <c r="AF1040" s="680"/>
      <c r="AG1040" s="681"/>
      <c r="AH1040" s="680"/>
      <c r="AI1040" s="681"/>
      <c r="AJ1040" s="682"/>
      <c r="AK1040" s="683"/>
      <c r="AL1040" s="684" t="s">
        <v>162</v>
      </c>
      <c r="AM1040" s="685"/>
      <c r="AN1040" s="666" t="s">
        <v>162</v>
      </c>
      <c r="AO1040" s="667"/>
      <c r="AP1040" s="686"/>
      <c r="AQ1040" s="687"/>
      <c r="AR1040" s="688"/>
      <c r="AS1040" s="689"/>
      <c r="AT1040" s="690"/>
      <c r="AU1040" s="691"/>
      <c r="AV1040" s="666" t="s">
        <v>162</v>
      </c>
      <c r="AW1040" s="667"/>
      <c r="AX1040" s="692"/>
      <c r="AY1040" s="693"/>
      <c r="AZ1040" s="694"/>
      <c r="BA1040" s="682"/>
      <c r="BB1040" s="683"/>
      <c r="BC1040" s="14"/>
      <c r="BD1040" s="695" t="s">
        <v>162</v>
      </c>
      <c r="BE1040" s="696"/>
      <c r="BF1040" s="697"/>
      <c r="BG1040" s="698"/>
      <c r="BH1040" s="698"/>
      <c r="BI1040" s="699"/>
      <c r="BJ1040" s="700" t="s">
        <v>159</v>
      </c>
      <c r="BK1040" s="701"/>
      <c r="BL1040" s="701"/>
      <c r="BM1040" s="702"/>
      <c r="BN1040" s="703" t="s">
        <v>159</v>
      </c>
      <c r="BO1040" s="704"/>
      <c r="BP1040" s="704"/>
      <c r="BQ1040" s="704"/>
      <c r="BR1040" s="704"/>
      <c r="BS1040" s="704"/>
      <c r="BT1040" s="704"/>
      <c r="BU1040" s="704"/>
      <c r="BV1040" s="705"/>
    </row>
    <row r="1041" spans="1:74" ht="45" customHeight="1" x14ac:dyDescent="0.25">
      <c r="A1041" s="10">
        <f t="shared" si="16"/>
        <v>1027</v>
      </c>
      <c r="B1041" s="711" t="s">
        <v>159</v>
      </c>
      <c r="C1041" s="711"/>
      <c r="D1041" s="712" t="s">
        <v>212</v>
      </c>
      <c r="E1041" s="712"/>
      <c r="F1041" s="664" t="s">
        <v>162</v>
      </c>
      <c r="G1041" s="665"/>
      <c r="H1041" s="755" t="s">
        <v>162</v>
      </c>
      <c r="I1041" s="667"/>
      <c r="J1041" s="706"/>
      <c r="K1041" s="707"/>
      <c r="L1041" s="706"/>
      <c r="M1041" s="707"/>
      <c r="N1041" s="215"/>
      <c r="O1041" s="216"/>
      <c r="P1041" s="670"/>
      <c r="Q1041" s="671"/>
      <c r="R1041" s="719"/>
      <c r="S1041" s="720"/>
      <c r="T1041" s="721"/>
      <c r="U1041" s="722"/>
      <c r="V1041" s="723"/>
      <c r="W1041" s="724"/>
      <c r="X1041" s="725" t="s">
        <v>159</v>
      </c>
      <c r="Y1041" s="725"/>
      <c r="Z1041" s="725"/>
      <c r="AA1041" s="725"/>
      <c r="AB1041" s="726" t="s">
        <v>159</v>
      </c>
      <c r="AC1041" s="726"/>
      <c r="AD1041" s="726"/>
      <c r="AE1041" s="726"/>
      <c r="AF1041" s="727"/>
      <c r="AG1041" s="728"/>
      <c r="AH1041" s="727"/>
      <c r="AI1041" s="728"/>
      <c r="AJ1041" s="682"/>
      <c r="AK1041" s="683"/>
      <c r="AL1041" s="664" t="s">
        <v>162</v>
      </c>
      <c r="AM1041" s="665"/>
      <c r="AN1041" s="713" t="s">
        <v>162</v>
      </c>
      <c r="AO1041" s="714"/>
      <c r="AP1041" s="729"/>
      <c r="AQ1041" s="730"/>
      <c r="AR1041" s="731"/>
      <c r="AS1041" s="732"/>
      <c r="AT1041" s="690"/>
      <c r="AU1041" s="691"/>
      <c r="AV1041" s="713" t="s">
        <v>162</v>
      </c>
      <c r="AW1041" s="714"/>
      <c r="AX1041" s="692"/>
      <c r="AY1041" s="693"/>
      <c r="AZ1041" s="694"/>
      <c r="BA1041" s="735"/>
      <c r="BB1041" s="736"/>
      <c r="BC1041" s="219"/>
      <c r="BD1041" s="737" t="s">
        <v>162</v>
      </c>
      <c r="BE1041" s="738"/>
      <c r="BF1041" s="739"/>
      <c r="BG1041" s="740"/>
      <c r="BH1041" s="740"/>
      <c r="BI1041" s="741"/>
      <c r="BJ1041" s="742" t="s">
        <v>159</v>
      </c>
      <c r="BK1041" s="743"/>
      <c r="BL1041" s="743"/>
      <c r="BM1041" s="744"/>
      <c r="BN1041" s="703" t="s">
        <v>159</v>
      </c>
      <c r="BO1041" s="704"/>
      <c r="BP1041" s="704"/>
      <c r="BQ1041" s="704"/>
      <c r="BR1041" s="704"/>
      <c r="BS1041" s="704"/>
      <c r="BT1041" s="704"/>
      <c r="BU1041" s="704"/>
      <c r="BV1041" s="705"/>
    </row>
    <row r="1042" spans="1:74" ht="45" customHeight="1" x14ac:dyDescent="0.25">
      <c r="A1042" s="10">
        <f t="shared" si="16"/>
        <v>1028</v>
      </c>
      <c r="B1042" s="662" t="s">
        <v>159</v>
      </c>
      <c r="C1042" s="662"/>
      <c r="D1042" s="663" t="s">
        <v>212</v>
      </c>
      <c r="E1042" s="663"/>
      <c r="F1042" s="664" t="s">
        <v>162</v>
      </c>
      <c r="G1042" s="665"/>
      <c r="H1042" s="754" t="s">
        <v>162</v>
      </c>
      <c r="I1042" s="714"/>
      <c r="J1042" s="715"/>
      <c r="K1042" s="716"/>
      <c r="L1042" s="715"/>
      <c r="M1042" s="716"/>
      <c r="N1042" s="194"/>
      <c r="O1042" s="196"/>
      <c r="P1042" s="717"/>
      <c r="Q1042" s="718"/>
      <c r="R1042" s="672"/>
      <c r="S1042" s="673"/>
      <c r="T1042" s="674"/>
      <c r="U1042" s="675"/>
      <c r="V1042" s="676"/>
      <c r="W1042" s="677"/>
      <c r="X1042" s="678" t="s">
        <v>159</v>
      </c>
      <c r="Y1042" s="678"/>
      <c r="Z1042" s="678"/>
      <c r="AA1042" s="678"/>
      <c r="AB1042" s="679" t="s">
        <v>159</v>
      </c>
      <c r="AC1042" s="679"/>
      <c r="AD1042" s="679"/>
      <c r="AE1042" s="679"/>
      <c r="AF1042" s="680"/>
      <c r="AG1042" s="681"/>
      <c r="AH1042" s="680"/>
      <c r="AI1042" s="681"/>
      <c r="AJ1042" s="682"/>
      <c r="AK1042" s="683"/>
      <c r="AL1042" s="684" t="s">
        <v>162</v>
      </c>
      <c r="AM1042" s="685"/>
      <c r="AN1042" s="666" t="s">
        <v>162</v>
      </c>
      <c r="AO1042" s="667"/>
      <c r="AP1042" s="686"/>
      <c r="AQ1042" s="687"/>
      <c r="AR1042" s="688"/>
      <c r="AS1042" s="689"/>
      <c r="AT1042" s="690"/>
      <c r="AU1042" s="691"/>
      <c r="AV1042" s="666" t="s">
        <v>162</v>
      </c>
      <c r="AW1042" s="667"/>
      <c r="AX1042" s="692"/>
      <c r="AY1042" s="693"/>
      <c r="AZ1042" s="694"/>
      <c r="BA1042" s="682"/>
      <c r="BB1042" s="683"/>
      <c r="BC1042" s="14"/>
      <c r="BD1042" s="695" t="s">
        <v>162</v>
      </c>
      <c r="BE1042" s="696"/>
      <c r="BF1042" s="697"/>
      <c r="BG1042" s="698"/>
      <c r="BH1042" s="698"/>
      <c r="BI1042" s="699"/>
      <c r="BJ1042" s="700" t="s">
        <v>159</v>
      </c>
      <c r="BK1042" s="701"/>
      <c r="BL1042" s="701"/>
      <c r="BM1042" s="702"/>
      <c r="BN1042" s="703" t="s">
        <v>159</v>
      </c>
      <c r="BO1042" s="704"/>
      <c r="BP1042" s="704"/>
      <c r="BQ1042" s="704"/>
      <c r="BR1042" s="704"/>
      <c r="BS1042" s="704"/>
      <c r="BT1042" s="704"/>
      <c r="BU1042" s="704"/>
      <c r="BV1042" s="705"/>
    </row>
    <row r="1043" spans="1:74" ht="45" customHeight="1" x14ac:dyDescent="0.25">
      <c r="A1043" s="10">
        <f t="shared" si="16"/>
        <v>1029</v>
      </c>
      <c r="B1043" s="711" t="s">
        <v>159</v>
      </c>
      <c r="C1043" s="711"/>
      <c r="D1043" s="712" t="s">
        <v>212</v>
      </c>
      <c r="E1043" s="712"/>
      <c r="F1043" s="664" t="s">
        <v>162</v>
      </c>
      <c r="G1043" s="665"/>
      <c r="H1043" s="755" t="s">
        <v>162</v>
      </c>
      <c r="I1043" s="667"/>
      <c r="J1043" s="706"/>
      <c r="K1043" s="707"/>
      <c r="L1043" s="706"/>
      <c r="M1043" s="707"/>
      <c r="N1043" s="215"/>
      <c r="O1043" s="216"/>
      <c r="P1043" s="670"/>
      <c r="Q1043" s="671"/>
      <c r="R1043" s="719"/>
      <c r="S1043" s="720"/>
      <c r="T1043" s="721"/>
      <c r="U1043" s="722"/>
      <c r="V1043" s="723"/>
      <c r="W1043" s="724"/>
      <c r="X1043" s="725" t="s">
        <v>159</v>
      </c>
      <c r="Y1043" s="725"/>
      <c r="Z1043" s="725"/>
      <c r="AA1043" s="725"/>
      <c r="AB1043" s="726" t="s">
        <v>159</v>
      </c>
      <c r="AC1043" s="726"/>
      <c r="AD1043" s="726"/>
      <c r="AE1043" s="726"/>
      <c r="AF1043" s="727"/>
      <c r="AG1043" s="728"/>
      <c r="AH1043" s="727"/>
      <c r="AI1043" s="728"/>
      <c r="AJ1043" s="682"/>
      <c r="AK1043" s="683"/>
      <c r="AL1043" s="664" t="s">
        <v>162</v>
      </c>
      <c r="AM1043" s="665"/>
      <c r="AN1043" s="713" t="s">
        <v>162</v>
      </c>
      <c r="AO1043" s="714"/>
      <c r="AP1043" s="729"/>
      <c r="AQ1043" s="730"/>
      <c r="AR1043" s="731"/>
      <c r="AS1043" s="732"/>
      <c r="AT1043" s="733"/>
      <c r="AU1043" s="734"/>
      <c r="AV1043" s="713" t="s">
        <v>162</v>
      </c>
      <c r="AW1043" s="714"/>
      <c r="AX1043" s="692"/>
      <c r="AY1043" s="693"/>
      <c r="AZ1043" s="694"/>
      <c r="BA1043" s="735"/>
      <c r="BB1043" s="736"/>
      <c r="BC1043" s="219"/>
      <c r="BD1043" s="737" t="s">
        <v>162</v>
      </c>
      <c r="BE1043" s="738"/>
      <c r="BF1043" s="739"/>
      <c r="BG1043" s="740"/>
      <c r="BH1043" s="740"/>
      <c r="BI1043" s="741"/>
      <c r="BJ1043" s="742" t="s">
        <v>159</v>
      </c>
      <c r="BK1043" s="743"/>
      <c r="BL1043" s="743"/>
      <c r="BM1043" s="744"/>
      <c r="BN1043" s="703" t="s">
        <v>159</v>
      </c>
      <c r="BO1043" s="704"/>
      <c r="BP1043" s="704"/>
      <c r="BQ1043" s="704"/>
      <c r="BR1043" s="704"/>
      <c r="BS1043" s="704"/>
      <c r="BT1043" s="704"/>
      <c r="BU1043" s="704"/>
      <c r="BV1043" s="705"/>
    </row>
    <row r="1044" spans="1:74" ht="45" customHeight="1" x14ac:dyDescent="0.25">
      <c r="A1044" s="10">
        <f t="shared" si="16"/>
        <v>1030</v>
      </c>
      <c r="B1044" s="662" t="s">
        <v>159</v>
      </c>
      <c r="C1044" s="662"/>
      <c r="D1044" s="663" t="s">
        <v>212</v>
      </c>
      <c r="E1044" s="663"/>
      <c r="F1044" s="664" t="s">
        <v>162</v>
      </c>
      <c r="G1044" s="665"/>
      <c r="H1044" s="754" t="s">
        <v>162</v>
      </c>
      <c r="I1044" s="714"/>
      <c r="J1044" s="715"/>
      <c r="K1044" s="716"/>
      <c r="L1044" s="715"/>
      <c r="M1044" s="716"/>
      <c r="N1044" s="194"/>
      <c r="O1044" s="196"/>
      <c r="P1044" s="717"/>
      <c r="Q1044" s="718"/>
      <c r="R1044" s="672"/>
      <c r="S1044" s="673"/>
      <c r="T1044" s="674"/>
      <c r="U1044" s="675"/>
      <c r="V1044" s="676"/>
      <c r="W1044" s="677"/>
      <c r="X1044" s="678" t="s">
        <v>159</v>
      </c>
      <c r="Y1044" s="678"/>
      <c r="Z1044" s="678"/>
      <c r="AA1044" s="678"/>
      <c r="AB1044" s="679" t="s">
        <v>159</v>
      </c>
      <c r="AC1044" s="679"/>
      <c r="AD1044" s="679"/>
      <c r="AE1044" s="679"/>
      <c r="AF1044" s="680"/>
      <c r="AG1044" s="681"/>
      <c r="AH1044" s="680"/>
      <c r="AI1044" s="681"/>
      <c r="AJ1044" s="682"/>
      <c r="AK1044" s="683"/>
      <c r="AL1044" s="684" t="s">
        <v>162</v>
      </c>
      <c r="AM1044" s="685"/>
      <c r="AN1044" s="666" t="s">
        <v>162</v>
      </c>
      <c r="AO1044" s="667"/>
      <c r="AP1044" s="686"/>
      <c r="AQ1044" s="687"/>
      <c r="AR1044" s="688"/>
      <c r="AS1044" s="689"/>
      <c r="AT1044" s="690"/>
      <c r="AU1044" s="691"/>
      <c r="AV1044" s="666" t="s">
        <v>162</v>
      </c>
      <c r="AW1044" s="667"/>
      <c r="AX1044" s="692"/>
      <c r="AY1044" s="693"/>
      <c r="AZ1044" s="694"/>
      <c r="BA1044" s="682"/>
      <c r="BB1044" s="683"/>
      <c r="BC1044" s="14"/>
      <c r="BD1044" s="695" t="s">
        <v>162</v>
      </c>
      <c r="BE1044" s="696"/>
      <c r="BF1044" s="708"/>
      <c r="BG1044" s="709"/>
      <c r="BH1044" s="709"/>
      <c r="BI1044" s="710"/>
      <c r="BJ1044" s="700" t="s">
        <v>159</v>
      </c>
      <c r="BK1044" s="701"/>
      <c r="BL1044" s="701"/>
      <c r="BM1044" s="702"/>
      <c r="BN1044" s="703" t="s">
        <v>159</v>
      </c>
      <c r="BO1044" s="704"/>
      <c r="BP1044" s="704"/>
      <c r="BQ1044" s="704"/>
      <c r="BR1044" s="704"/>
      <c r="BS1044" s="704"/>
      <c r="BT1044" s="704"/>
      <c r="BU1044" s="704"/>
      <c r="BV1044" s="705"/>
    </row>
    <row r="1045" spans="1:74" ht="45" customHeight="1" x14ac:dyDescent="0.25">
      <c r="A1045" s="10">
        <f t="shared" si="16"/>
        <v>1031</v>
      </c>
      <c r="B1045" s="711" t="s">
        <v>159</v>
      </c>
      <c r="C1045" s="711"/>
      <c r="D1045" s="712" t="s">
        <v>212</v>
      </c>
      <c r="E1045" s="712"/>
      <c r="F1045" s="664" t="s">
        <v>162</v>
      </c>
      <c r="G1045" s="665"/>
      <c r="H1045" s="755" t="s">
        <v>162</v>
      </c>
      <c r="I1045" s="667"/>
      <c r="J1045" s="706"/>
      <c r="K1045" s="707"/>
      <c r="L1045" s="706"/>
      <c r="M1045" s="707"/>
      <c r="N1045" s="215"/>
      <c r="O1045" s="216"/>
      <c r="P1045" s="670"/>
      <c r="Q1045" s="671"/>
      <c r="R1045" s="719"/>
      <c r="S1045" s="720"/>
      <c r="T1045" s="721"/>
      <c r="U1045" s="722"/>
      <c r="V1045" s="723"/>
      <c r="W1045" s="724"/>
      <c r="X1045" s="725" t="s">
        <v>159</v>
      </c>
      <c r="Y1045" s="725"/>
      <c r="Z1045" s="725"/>
      <c r="AA1045" s="725"/>
      <c r="AB1045" s="726" t="s">
        <v>159</v>
      </c>
      <c r="AC1045" s="726"/>
      <c r="AD1045" s="726"/>
      <c r="AE1045" s="726"/>
      <c r="AF1045" s="727"/>
      <c r="AG1045" s="728"/>
      <c r="AH1045" s="727"/>
      <c r="AI1045" s="728"/>
      <c r="AJ1045" s="682"/>
      <c r="AK1045" s="683"/>
      <c r="AL1045" s="664" t="s">
        <v>162</v>
      </c>
      <c r="AM1045" s="665"/>
      <c r="AN1045" s="713" t="s">
        <v>162</v>
      </c>
      <c r="AO1045" s="714"/>
      <c r="AP1045" s="729"/>
      <c r="AQ1045" s="730"/>
      <c r="AR1045" s="731"/>
      <c r="AS1045" s="732"/>
      <c r="AT1045" s="733"/>
      <c r="AU1045" s="734"/>
      <c r="AV1045" s="713" t="s">
        <v>162</v>
      </c>
      <c r="AW1045" s="714"/>
      <c r="AX1045" s="692"/>
      <c r="AY1045" s="693"/>
      <c r="AZ1045" s="694"/>
      <c r="BA1045" s="735"/>
      <c r="BB1045" s="736"/>
      <c r="BC1045" s="219"/>
      <c r="BD1045" s="737" t="s">
        <v>162</v>
      </c>
      <c r="BE1045" s="738"/>
      <c r="BF1045" s="739"/>
      <c r="BG1045" s="740"/>
      <c r="BH1045" s="740"/>
      <c r="BI1045" s="741"/>
      <c r="BJ1045" s="742" t="s">
        <v>159</v>
      </c>
      <c r="BK1045" s="743"/>
      <c r="BL1045" s="743"/>
      <c r="BM1045" s="744"/>
      <c r="BN1045" s="703" t="s">
        <v>159</v>
      </c>
      <c r="BO1045" s="704"/>
      <c r="BP1045" s="704"/>
      <c r="BQ1045" s="704"/>
      <c r="BR1045" s="704"/>
      <c r="BS1045" s="704"/>
      <c r="BT1045" s="704"/>
      <c r="BU1045" s="704"/>
      <c r="BV1045" s="705"/>
    </row>
    <row r="1046" spans="1:74" ht="45" customHeight="1" x14ac:dyDescent="0.25">
      <c r="A1046" s="10">
        <f t="shared" si="16"/>
        <v>1032</v>
      </c>
      <c r="B1046" s="662" t="s">
        <v>159</v>
      </c>
      <c r="C1046" s="662"/>
      <c r="D1046" s="663" t="s">
        <v>212</v>
      </c>
      <c r="E1046" s="663"/>
      <c r="F1046" s="664" t="s">
        <v>162</v>
      </c>
      <c r="G1046" s="665"/>
      <c r="H1046" s="754" t="s">
        <v>162</v>
      </c>
      <c r="I1046" s="714"/>
      <c r="J1046" s="715"/>
      <c r="K1046" s="716"/>
      <c r="L1046" s="715"/>
      <c r="M1046" s="716"/>
      <c r="N1046" s="194"/>
      <c r="O1046" s="196"/>
      <c r="P1046" s="717"/>
      <c r="Q1046" s="718"/>
      <c r="R1046" s="672"/>
      <c r="S1046" s="673"/>
      <c r="T1046" s="674"/>
      <c r="U1046" s="675"/>
      <c r="V1046" s="676"/>
      <c r="W1046" s="677"/>
      <c r="X1046" s="678" t="s">
        <v>159</v>
      </c>
      <c r="Y1046" s="678"/>
      <c r="Z1046" s="678"/>
      <c r="AA1046" s="678"/>
      <c r="AB1046" s="679" t="s">
        <v>159</v>
      </c>
      <c r="AC1046" s="679"/>
      <c r="AD1046" s="679"/>
      <c r="AE1046" s="679"/>
      <c r="AF1046" s="680"/>
      <c r="AG1046" s="681"/>
      <c r="AH1046" s="680"/>
      <c r="AI1046" s="681"/>
      <c r="AJ1046" s="682"/>
      <c r="AK1046" s="683"/>
      <c r="AL1046" s="684" t="s">
        <v>162</v>
      </c>
      <c r="AM1046" s="685"/>
      <c r="AN1046" s="666" t="s">
        <v>162</v>
      </c>
      <c r="AO1046" s="667"/>
      <c r="AP1046" s="686"/>
      <c r="AQ1046" s="687"/>
      <c r="AR1046" s="688"/>
      <c r="AS1046" s="689"/>
      <c r="AT1046" s="690"/>
      <c r="AU1046" s="691"/>
      <c r="AV1046" s="666" t="s">
        <v>162</v>
      </c>
      <c r="AW1046" s="667"/>
      <c r="AX1046" s="692"/>
      <c r="AY1046" s="693"/>
      <c r="AZ1046" s="694"/>
      <c r="BA1046" s="682"/>
      <c r="BB1046" s="683"/>
      <c r="BC1046" s="14"/>
      <c r="BD1046" s="695" t="s">
        <v>162</v>
      </c>
      <c r="BE1046" s="696"/>
      <c r="BF1046" s="697"/>
      <c r="BG1046" s="698"/>
      <c r="BH1046" s="698"/>
      <c r="BI1046" s="699"/>
      <c r="BJ1046" s="700" t="s">
        <v>159</v>
      </c>
      <c r="BK1046" s="701"/>
      <c r="BL1046" s="701"/>
      <c r="BM1046" s="702"/>
      <c r="BN1046" s="703" t="s">
        <v>159</v>
      </c>
      <c r="BO1046" s="704"/>
      <c r="BP1046" s="704"/>
      <c r="BQ1046" s="704"/>
      <c r="BR1046" s="704"/>
      <c r="BS1046" s="704"/>
      <c r="BT1046" s="704"/>
      <c r="BU1046" s="704"/>
      <c r="BV1046" s="705"/>
    </row>
    <row r="1047" spans="1:74" ht="45" customHeight="1" x14ac:dyDescent="0.25">
      <c r="A1047" s="10">
        <f t="shared" si="16"/>
        <v>1033</v>
      </c>
      <c r="B1047" s="711" t="s">
        <v>159</v>
      </c>
      <c r="C1047" s="711"/>
      <c r="D1047" s="712" t="s">
        <v>212</v>
      </c>
      <c r="E1047" s="712"/>
      <c r="F1047" s="664" t="s">
        <v>162</v>
      </c>
      <c r="G1047" s="665"/>
      <c r="H1047" s="755" t="s">
        <v>162</v>
      </c>
      <c r="I1047" s="667"/>
      <c r="J1047" s="706"/>
      <c r="K1047" s="707"/>
      <c r="L1047" s="706"/>
      <c r="M1047" s="707"/>
      <c r="N1047" s="215"/>
      <c r="O1047" s="216"/>
      <c r="P1047" s="670"/>
      <c r="Q1047" s="671"/>
      <c r="R1047" s="719"/>
      <c r="S1047" s="720"/>
      <c r="T1047" s="721"/>
      <c r="U1047" s="722"/>
      <c r="V1047" s="723"/>
      <c r="W1047" s="724"/>
      <c r="X1047" s="725" t="s">
        <v>159</v>
      </c>
      <c r="Y1047" s="725"/>
      <c r="Z1047" s="725"/>
      <c r="AA1047" s="725"/>
      <c r="AB1047" s="726" t="s">
        <v>159</v>
      </c>
      <c r="AC1047" s="726"/>
      <c r="AD1047" s="726"/>
      <c r="AE1047" s="726"/>
      <c r="AF1047" s="727"/>
      <c r="AG1047" s="728"/>
      <c r="AH1047" s="727"/>
      <c r="AI1047" s="728"/>
      <c r="AJ1047" s="682"/>
      <c r="AK1047" s="683"/>
      <c r="AL1047" s="664" t="s">
        <v>162</v>
      </c>
      <c r="AM1047" s="665"/>
      <c r="AN1047" s="713" t="s">
        <v>162</v>
      </c>
      <c r="AO1047" s="714"/>
      <c r="AP1047" s="729"/>
      <c r="AQ1047" s="730"/>
      <c r="AR1047" s="731"/>
      <c r="AS1047" s="732"/>
      <c r="AT1047" s="733"/>
      <c r="AU1047" s="734"/>
      <c r="AV1047" s="713" t="s">
        <v>162</v>
      </c>
      <c r="AW1047" s="714"/>
      <c r="AX1047" s="692"/>
      <c r="AY1047" s="693"/>
      <c r="AZ1047" s="694"/>
      <c r="BA1047" s="735"/>
      <c r="BB1047" s="736"/>
      <c r="BC1047" s="219"/>
      <c r="BD1047" s="737" t="s">
        <v>162</v>
      </c>
      <c r="BE1047" s="738"/>
      <c r="BF1047" s="739"/>
      <c r="BG1047" s="740"/>
      <c r="BH1047" s="740"/>
      <c r="BI1047" s="741"/>
      <c r="BJ1047" s="742" t="s">
        <v>159</v>
      </c>
      <c r="BK1047" s="743"/>
      <c r="BL1047" s="743"/>
      <c r="BM1047" s="744"/>
      <c r="BN1047" s="703" t="s">
        <v>159</v>
      </c>
      <c r="BO1047" s="704"/>
      <c r="BP1047" s="704"/>
      <c r="BQ1047" s="704"/>
      <c r="BR1047" s="704"/>
      <c r="BS1047" s="704"/>
      <c r="BT1047" s="704"/>
      <c r="BU1047" s="704"/>
      <c r="BV1047" s="705"/>
    </row>
    <row r="1048" spans="1:74" ht="45" customHeight="1" x14ac:dyDescent="0.25">
      <c r="A1048" s="10">
        <f t="shared" si="16"/>
        <v>1034</v>
      </c>
      <c r="B1048" s="662" t="s">
        <v>159</v>
      </c>
      <c r="C1048" s="662"/>
      <c r="D1048" s="663" t="s">
        <v>212</v>
      </c>
      <c r="E1048" s="663"/>
      <c r="F1048" s="664" t="s">
        <v>162</v>
      </c>
      <c r="G1048" s="665"/>
      <c r="H1048" s="754" t="s">
        <v>162</v>
      </c>
      <c r="I1048" s="714"/>
      <c r="J1048" s="715"/>
      <c r="K1048" s="716"/>
      <c r="L1048" s="715"/>
      <c r="M1048" s="716"/>
      <c r="N1048" s="194"/>
      <c r="O1048" s="196"/>
      <c r="P1048" s="717"/>
      <c r="Q1048" s="718"/>
      <c r="R1048" s="672"/>
      <c r="S1048" s="673"/>
      <c r="T1048" s="674"/>
      <c r="U1048" s="675"/>
      <c r="V1048" s="676"/>
      <c r="W1048" s="677"/>
      <c r="X1048" s="678" t="s">
        <v>159</v>
      </c>
      <c r="Y1048" s="678"/>
      <c r="Z1048" s="678"/>
      <c r="AA1048" s="678"/>
      <c r="AB1048" s="679" t="s">
        <v>159</v>
      </c>
      <c r="AC1048" s="679"/>
      <c r="AD1048" s="679"/>
      <c r="AE1048" s="679"/>
      <c r="AF1048" s="680"/>
      <c r="AG1048" s="681"/>
      <c r="AH1048" s="680"/>
      <c r="AI1048" s="681"/>
      <c r="AJ1048" s="682"/>
      <c r="AK1048" s="683"/>
      <c r="AL1048" s="684" t="s">
        <v>162</v>
      </c>
      <c r="AM1048" s="685"/>
      <c r="AN1048" s="666" t="s">
        <v>162</v>
      </c>
      <c r="AO1048" s="667"/>
      <c r="AP1048" s="686"/>
      <c r="AQ1048" s="687"/>
      <c r="AR1048" s="688"/>
      <c r="AS1048" s="689"/>
      <c r="AT1048" s="690"/>
      <c r="AU1048" s="691"/>
      <c r="AV1048" s="666" t="s">
        <v>162</v>
      </c>
      <c r="AW1048" s="667"/>
      <c r="AX1048" s="692"/>
      <c r="AY1048" s="693"/>
      <c r="AZ1048" s="694"/>
      <c r="BA1048" s="682"/>
      <c r="BB1048" s="683"/>
      <c r="BC1048" s="14"/>
      <c r="BD1048" s="695" t="s">
        <v>162</v>
      </c>
      <c r="BE1048" s="696"/>
      <c r="BF1048" s="697"/>
      <c r="BG1048" s="698"/>
      <c r="BH1048" s="698"/>
      <c r="BI1048" s="699"/>
      <c r="BJ1048" s="700" t="s">
        <v>159</v>
      </c>
      <c r="BK1048" s="701"/>
      <c r="BL1048" s="701"/>
      <c r="BM1048" s="702"/>
      <c r="BN1048" s="703" t="s">
        <v>159</v>
      </c>
      <c r="BO1048" s="704"/>
      <c r="BP1048" s="704"/>
      <c r="BQ1048" s="704"/>
      <c r="BR1048" s="704"/>
      <c r="BS1048" s="704"/>
      <c r="BT1048" s="704"/>
      <c r="BU1048" s="704"/>
      <c r="BV1048" s="705"/>
    </row>
    <row r="1049" spans="1:74" ht="45" customHeight="1" x14ac:dyDescent="0.25">
      <c r="A1049" s="10">
        <f t="shared" si="16"/>
        <v>1035</v>
      </c>
      <c r="B1049" s="711" t="s">
        <v>159</v>
      </c>
      <c r="C1049" s="711"/>
      <c r="D1049" s="712" t="s">
        <v>212</v>
      </c>
      <c r="E1049" s="712"/>
      <c r="F1049" s="664" t="s">
        <v>162</v>
      </c>
      <c r="G1049" s="665"/>
      <c r="H1049" s="755" t="s">
        <v>162</v>
      </c>
      <c r="I1049" s="667"/>
      <c r="J1049" s="706"/>
      <c r="K1049" s="707"/>
      <c r="L1049" s="706"/>
      <c r="M1049" s="707"/>
      <c r="N1049" s="215"/>
      <c r="O1049" s="216"/>
      <c r="P1049" s="670"/>
      <c r="Q1049" s="671"/>
      <c r="R1049" s="719"/>
      <c r="S1049" s="720"/>
      <c r="T1049" s="721"/>
      <c r="U1049" s="722"/>
      <c r="V1049" s="723"/>
      <c r="W1049" s="724"/>
      <c r="X1049" s="725" t="s">
        <v>159</v>
      </c>
      <c r="Y1049" s="725"/>
      <c r="Z1049" s="725"/>
      <c r="AA1049" s="725"/>
      <c r="AB1049" s="726" t="s">
        <v>159</v>
      </c>
      <c r="AC1049" s="726"/>
      <c r="AD1049" s="726"/>
      <c r="AE1049" s="726"/>
      <c r="AF1049" s="727"/>
      <c r="AG1049" s="728"/>
      <c r="AH1049" s="727"/>
      <c r="AI1049" s="728"/>
      <c r="AJ1049" s="682"/>
      <c r="AK1049" s="683"/>
      <c r="AL1049" s="664" t="s">
        <v>162</v>
      </c>
      <c r="AM1049" s="665"/>
      <c r="AN1049" s="713" t="s">
        <v>162</v>
      </c>
      <c r="AO1049" s="714"/>
      <c r="AP1049" s="729"/>
      <c r="AQ1049" s="730"/>
      <c r="AR1049" s="731"/>
      <c r="AS1049" s="732"/>
      <c r="AT1049" s="733"/>
      <c r="AU1049" s="734"/>
      <c r="AV1049" s="713" t="s">
        <v>162</v>
      </c>
      <c r="AW1049" s="714"/>
      <c r="AX1049" s="692"/>
      <c r="AY1049" s="693"/>
      <c r="AZ1049" s="694"/>
      <c r="BA1049" s="735"/>
      <c r="BB1049" s="736"/>
      <c r="BC1049" s="219"/>
      <c r="BD1049" s="737" t="s">
        <v>162</v>
      </c>
      <c r="BE1049" s="738"/>
      <c r="BF1049" s="739"/>
      <c r="BG1049" s="740"/>
      <c r="BH1049" s="740"/>
      <c r="BI1049" s="741"/>
      <c r="BJ1049" s="742" t="s">
        <v>159</v>
      </c>
      <c r="BK1049" s="743"/>
      <c r="BL1049" s="743"/>
      <c r="BM1049" s="744"/>
      <c r="BN1049" s="703" t="s">
        <v>159</v>
      </c>
      <c r="BO1049" s="704"/>
      <c r="BP1049" s="704"/>
      <c r="BQ1049" s="704"/>
      <c r="BR1049" s="704"/>
      <c r="BS1049" s="704"/>
      <c r="BT1049" s="704"/>
      <c r="BU1049" s="704"/>
      <c r="BV1049" s="705"/>
    </row>
    <row r="1050" spans="1:74" ht="45" customHeight="1" x14ac:dyDescent="0.25">
      <c r="A1050" s="10">
        <f t="shared" si="16"/>
        <v>1036</v>
      </c>
      <c r="B1050" s="662" t="s">
        <v>159</v>
      </c>
      <c r="C1050" s="662"/>
      <c r="D1050" s="663" t="s">
        <v>212</v>
      </c>
      <c r="E1050" s="663"/>
      <c r="F1050" s="664" t="s">
        <v>162</v>
      </c>
      <c r="G1050" s="665"/>
      <c r="H1050" s="754" t="s">
        <v>162</v>
      </c>
      <c r="I1050" s="714"/>
      <c r="J1050" s="715"/>
      <c r="K1050" s="716"/>
      <c r="L1050" s="715"/>
      <c r="M1050" s="716"/>
      <c r="N1050" s="194"/>
      <c r="O1050" s="196"/>
      <c r="P1050" s="717"/>
      <c r="Q1050" s="718"/>
      <c r="R1050" s="672"/>
      <c r="S1050" s="673"/>
      <c r="T1050" s="674"/>
      <c r="U1050" s="675"/>
      <c r="V1050" s="676"/>
      <c r="W1050" s="677"/>
      <c r="X1050" s="678" t="s">
        <v>159</v>
      </c>
      <c r="Y1050" s="678"/>
      <c r="Z1050" s="678"/>
      <c r="AA1050" s="678"/>
      <c r="AB1050" s="679" t="s">
        <v>159</v>
      </c>
      <c r="AC1050" s="679"/>
      <c r="AD1050" s="679"/>
      <c r="AE1050" s="679"/>
      <c r="AF1050" s="680"/>
      <c r="AG1050" s="681"/>
      <c r="AH1050" s="680"/>
      <c r="AI1050" s="681"/>
      <c r="AJ1050" s="682"/>
      <c r="AK1050" s="683"/>
      <c r="AL1050" s="684" t="s">
        <v>162</v>
      </c>
      <c r="AM1050" s="685"/>
      <c r="AN1050" s="666" t="s">
        <v>162</v>
      </c>
      <c r="AO1050" s="667"/>
      <c r="AP1050" s="686"/>
      <c r="AQ1050" s="687"/>
      <c r="AR1050" s="688"/>
      <c r="AS1050" s="689"/>
      <c r="AT1050" s="690"/>
      <c r="AU1050" s="691"/>
      <c r="AV1050" s="666" t="s">
        <v>162</v>
      </c>
      <c r="AW1050" s="667"/>
      <c r="AX1050" s="692"/>
      <c r="AY1050" s="693"/>
      <c r="AZ1050" s="694"/>
      <c r="BA1050" s="682"/>
      <c r="BB1050" s="683"/>
      <c r="BC1050" s="14"/>
      <c r="BD1050" s="695" t="s">
        <v>162</v>
      </c>
      <c r="BE1050" s="696"/>
      <c r="BF1050" s="708"/>
      <c r="BG1050" s="709"/>
      <c r="BH1050" s="709"/>
      <c r="BI1050" s="710"/>
      <c r="BJ1050" s="700" t="s">
        <v>159</v>
      </c>
      <c r="BK1050" s="701"/>
      <c r="BL1050" s="701"/>
      <c r="BM1050" s="702"/>
      <c r="BN1050" s="703" t="s">
        <v>159</v>
      </c>
      <c r="BO1050" s="704"/>
      <c r="BP1050" s="704"/>
      <c r="BQ1050" s="704"/>
      <c r="BR1050" s="704"/>
      <c r="BS1050" s="704"/>
      <c r="BT1050" s="704"/>
      <c r="BU1050" s="704"/>
      <c r="BV1050" s="705"/>
    </row>
    <row r="1051" spans="1:74" ht="45" customHeight="1" x14ac:dyDescent="0.25">
      <c r="A1051" s="10">
        <f t="shared" si="16"/>
        <v>1037</v>
      </c>
      <c r="B1051" s="711" t="s">
        <v>159</v>
      </c>
      <c r="C1051" s="711"/>
      <c r="D1051" s="712" t="s">
        <v>212</v>
      </c>
      <c r="E1051" s="712"/>
      <c r="F1051" s="664" t="s">
        <v>162</v>
      </c>
      <c r="G1051" s="665"/>
      <c r="H1051" s="755" t="s">
        <v>162</v>
      </c>
      <c r="I1051" s="667"/>
      <c r="J1051" s="706"/>
      <c r="K1051" s="707"/>
      <c r="L1051" s="706"/>
      <c r="M1051" s="707"/>
      <c r="N1051" s="215"/>
      <c r="O1051" s="216"/>
      <c r="P1051" s="670"/>
      <c r="Q1051" s="671"/>
      <c r="R1051" s="719"/>
      <c r="S1051" s="720"/>
      <c r="T1051" s="721"/>
      <c r="U1051" s="722"/>
      <c r="V1051" s="723"/>
      <c r="W1051" s="724"/>
      <c r="X1051" s="725" t="s">
        <v>159</v>
      </c>
      <c r="Y1051" s="725"/>
      <c r="Z1051" s="725"/>
      <c r="AA1051" s="725"/>
      <c r="AB1051" s="726" t="s">
        <v>159</v>
      </c>
      <c r="AC1051" s="726"/>
      <c r="AD1051" s="726"/>
      <c r="AE1051" s="726"/>
      <c r="AF1051" s="727"/>
      <c r="AG1051" s="728"/>
      <c r="AH1051" s="727"/>
      <c r="AI1051" s="728"/>
      <c r="AJ1051" s="682"/>
      <c r="AK1051" s="683"/>
      <c r="AL1051" s="664" t="s">
        <v>162</v>
      </c>
      <c r="AM1051" s="665"/>
      <c r="AN1051" s="713" t="s">
        <v>162</v>
      </c>
      <c r="AO1051" s="714"/>
      <c r="AP1051" s="729"/>
      <c r="AQ1051" s="730"/>
      <c r="AR1051" s="731"/>
      <c r="AS1051" s="732"/>
      <c r="AT1051" s="733"/>
      <c r="AU1051" s="734"/>
      <c r="AV1051" s="713" t="s">
        <v>162</v>
      </c>
      <c r="AW1051" s="714"/>
      <c r="AX1051" s="692"/>
      <c r="AY1051" s="693"/>
      <c r="AZ1051" s="694"/>
      <c r="BA1051" s="735"/>
      <c r="BB1051" s="736"/>
      <c r="BC1051" s="219"/>
      <c r="BD1051" s="737" t="s">
        <v>162</v>
      </c>
      <c r="BE1051" s="738"/>
      <c r="BF1051" s="739"/>
      <c r="BG1051" s="740"/>
      <c r="BH1051" s="740"/>
      <c r="BI1051" s="741"/>
      <c r="BJ1051" s="742" t="s">
        <v>159</v>
      </c>
      <c r="BK1051" s="743"/>
      <c r="BL1051" s="743"/>
      <c r="BM1051" s="744"/>
      <c r="BN1051" s="703" t="s">
        <v>159</v>
      </c>
      <c r="BO1051" s="704"/>
      <c r="BP1051" s="704"/>
      <c r="BQ1051" s="704"/>
      <c r="BR1051" s="704"/>
      <c r="BS1051" s="704"/>
      <c r="BT1051" s="704"/>
      <c r="BU1051" s="704"/>
      <c r="BV1051" s="705"/>
    </row>
    <row r="1052" spans="1:74" ht="45" customHeight="1" x14ac:dyDescent="0.25">
      <c r="A1052" s="10">
        <f t="shared" si="16"/>
        <v>1038</v>
      </c>
      <c r="B1052" s="662" t="s">
        <v>159</v>
      </c>
      <c r="C1052" s="662"/>
      <c r="D1052" s="663" t="s">
        <v>212</v>
      </c>
      <c r="E1052" s="663"/>
      <c r="F1052" s="664" t="s">
        <v>162</v>
      </c>
      <c r="G1052" s="665"/>
      <c r="H1052" s="754" t="s">
        <v>162</v>
      </c>
      <c r="I1052" s="714"/>
      <c r="J1052" s="715"/>
      <c r="K1052" s="716"/>
      <c r="L1052" s="715"/>
      <c r="M1052" s="716"/>
      <c r="N1052" s="194"/>
      <c r="O1052" s="196"/>
      <c r="P1052" s="717"/>
      <c r="Q1052" s="718"/>
      <c r="R1052" s="672"/>
      <c r="S1052" s="673"/>
      <c r="T1052" s="674"/>
      <c r="U1052" s="675"/>
      <c r="V1052" s="676"/>
      <c r="W1052" s="677"/>
      <c r="X1052" s="678" t="s">
        <v>159</v>
      </c>
      <c r="Y1052" s="678"/>
      <c r="Z1052" s="678"/>
      <c r="AA1052" s="678"/>
      <c r="AB1052" s="679" t="s">
        <v>159</v>
      </c>
      <c r="AC1052" s="679"/>
      <c r="AD1052" s="679"/>
      <c r="AE1052" s="679"/>
      <c r="AF1052" s="680"/>
      <c r="AG1052" s="681"/>
      <c r="AH1052" s="680"/>
      <c r="AI1052" s="681"/>
      <c r="AJ1052" s="682"/>
      <c r="AK1052" s="683"/>
      <c r="AL1052" s="684" t="s">
        <v>162</v>
      </c>
      <c r="AM1052" s="685"/>
      <c r="AN1052" s="666" t="s">
        <v>162</v>
      </c>
      <c r="AO1052" s="667"/>
      <c r="AP1052" s="686"/>
      <c r="AQ1052" s="687"/>
      <c r="AR1052" s="688"/>
      <c r="AS1052" s="689"/>
      <c r="AT1052" s="690"/>
      <c r="AU1052" s="691"/>
      <c r="AV1052" s="666" t="s">
        <v>162</v>
      </c>
      <c r="AW1052" s="667"/>
      <c r="AX1052" s="692"/>
      <c r="AY1052" s="693"/>
      <c r="AZ1052" s="694"/>
      <c r="BA1052" s="682"/>
      <c r="BB1052" s="683"/>
      <c r="BC1052" s="14"/>
      <c r="BD1052" s="695" t="s">
        <v>162</v>
      </c>
      <c r="BE1052" s="696"/>
      <c r="BF1052" s="697"/>
      <c r="BG1052" s="698"/>
      <c r="BH1052" s="698"/>
      <c r="BI1052" s="699"/>
      <c r="BJ1052" s="700" t="s">
        <v>159</v>
      </c>
      <c r="BK1052" s="701"/>
      <c r="BL1052" s="701"/>
      <c r="BM1052" s="702"/>
      <c r="BN1052" s="703" t="s">
        <v>159</v>
      </c>
      <c r="BO1052" s="704"/>
      <c r="BP1052" s="704"/>
      <c r="BQ1052" s="704"/>
      <c r="BR1052" s="704"/>
      <c r="BS1052" s="704"/>
      <c r="BT1052" s="704"/>
      <c r="BU1052" s="704"/>
      <c r="BV1052" s="705"/>
    </row>
    <row r="1053" spans="1:74" ht="45" customHeight="1" x14ac:dyDescent="0.25">
      <c r="A1053" s="10">
        <f t="shared" si="16"/>
        <v>1039</v>
      </c>
      <c r="B1053" s="711" t="s">
        <v>159</v>
      </c>
      <c r="C1053" s="711"/>
      <c r="D1053" s="712" t="s">
        <v>212</v>
      </c>
      <c r="E1053" s="712"/>
      <c r="F1053" s="664" t="s">
        <v>162</v>
      </c>
      <c r="G1053" s="665"/>
      <c r="H1053" s="755" t="s">
        <v>162</v>
      </c>
      <c r="I1053" s="667"/>
      <c r="J1053" s="706"/>
      <c r="K1053" s="707"/>
      <c r="L1053" s="706"/>
      <c r="M1053" s="707"/>
      <c r="N1053" s="215"/>
      <c r="O1053" s="216"/>
      <c r="P1053" s="670"/>
      <c r="Q1053" s="671"/>
      <c r="R1053" s="719"/>
      <c r="S1053" s="720"/>
      <c r="T1053" s="721"/>
      <c r="U1053" s="722"/>
      <c r="V1053" s="723"/>
      <c r="W1053" s="724"/>
      <c r="X1053" s="725" t="s">
        <v>159</v>
      </c>
      <c r="Y1053" s="725"/>
      <c r="Z1053" s="725"/>
      <c r="AA1053" s="725"/>
      <c r="AB1053" s="726" t="s">
        <v>159</v>
      </c>
      <c r="AC1053" s="726"/>
      <c r="AD1053" s="726"/>
      <c r="AE1053" s="726"/>
      <c r="AF1053" s="727"/>
      <c r="AG1053" s="728"/>
      <c r="AH1053" s="727"/>
      <c r="AI1053" s="728"/>
      <c r="AJ1053" s="682"/>
      <c r="AK1053" s="683"/>
      <c r="AL1053" s="664" t="s">
        <v>162</v>
      </c>
      <c r="AM1053" s="665"/>
      <c r="AN1053" s="713" t="s">
        <v>162</v>
      </c>
      <c r="AO1053" s="714"/>
      <c r="AP1053" s="729"/>
      <c r="AQ1053" s="730"/>
      <c r="AR1053" s="731"/>
      <c r="AS1053" s="732"/>
      <c r="AT1053" s="690"/>
      <c r="AU1053" s="691"/>
      <c r="AV1053" s="713" t="s">
        <v>162</v>
      </c>
      <c r="AW1053" s="714"/>
      <c r="AX1053" s="692"/>
      <c r="AY1053" s="693"/>
      <c r="AZ1053" s="694"/>
      <c r="BA1053" s="735"/>
      <c r="BB1053" s="736"/>
      <c r="BC1053" s="219"/>
      <c r="BD1053" s="737" t="s">
        <v>162</v>
      </c>
      <c r="BE1053" s="738"/>
      <c r="BF1053" s="739"/>
      <c r="BG1053" s="740"/>
      <c r="BH1053" s="740"/>
      <c r="BI1053" s="741"/>
      <c r="BJ1053" s="742" t="s">
        <v>159</v>
      </c>
      <c r="BK1053" s="743"/>
      <c r="BL1053" s="743"/>
      <c r="BM1053" s="744"/>
      <c r="BN1053" s="703" t="s">
        <v>159</v>
      </c>
      <c r="BO1053" s="704"/>
      <c r="BP1053" s="704"/>
      <c r="BQ1053" s="704"/>
      <c r="BR1053" s="704"/>
      <c r="BS1053" s="704"/>
      <c r="BT1053" s="704"/>
      <c r="BU1053" s="704"/>
      <c r="BV1053" s="705"/>
    </row>
    <row r="1054" spans="1:74" ht="45" customHeight="1" x14ac:dyDescent="0.25">
      <c r="A1054" s="10">
        <f t="shared" si="16"/>
        <v>1040</v>
      </c>
      <c r="B1054" s="662" t="s">
        <v>159</v>
      </c>
      <c r="C1054" s="662"/>
      <c r="D1054" s="663" t="s">
        <v>212</v>
      </c>
      <c r="E1054" s="663"/>
      <c r="F1054" s="664" t="s">
        <v>162</v>
      </c>
      <c r="G1054" s="665"/>
      <c r="H1054" s="754" t="s">
        <v>162</v>
      </c>
      <c r="I1054" s="714"/>
      <c r="J1054" s="715"/>
      <c r="K1054" s="716"/>
      <c r="L1054" s="715"/>
      <c r="M1054" s="716"/>
      <c r="N1054" s="194"/>
      <c r="O1054" s="196"/>
      <c r="P1054" s="717"/>
      <c r="Q1054" s="718"/>
      <c r="R1054" s="672"/>
      <c r="S1054" s="673"/>
      <c r="T1054" s="674"/>
      <c r="U1054" s="675"/>
      <c r="V1054" s="676"/>
      <c r="W1054" s="677"/>
      <c r="X1054" s="678" t="s">
        <v>159</v>
      </c>
      <c r="Y1054" s="678"/>
      <c r="Z1054" s="678"/>
      <c r="AA1054" s="678"/>
      <c r="AB1054" s="679" t="s">
        <v>159</v>
      </c>
      <c r="AC1054" s="679"/>
      <c r="AD1054" s="679"/>
      <c r="AE1054" s="679"/>
      <c r="AF1054" s="680"/>
      <c r="AG1054" s="681"/>
      <c r="AH1054" s="680"/>
      <c r="AI1054" s="681"/>
      <c r="AJ1054" s="682"/>
      <c r="AK1054" s="683"/>
      <c r="AL1054" s="684" t="s">
        <v>162</v>
      </c>
      <c r="AM1054" s="685"/>
      <c r="AN1054" s="666" t="s">
        <v>162</v>
      </c>
      <c r="AO1054" s="667"/>
      <c r="AP1054" s="686"/>
      <c r="AQ1054" s="687"/>
      <c r="AR1054" s="688"/>
      <c r="AS1054" s="689"/>
      <c r="AT1054" s="690"/>
      <c r="AU1054" s="691"/>
      <c r="AV1054" s="666" t="s">
        <v>162</v>
      </c>
      <c r="AW1054" s="667"/>
      <c r="AX1054" s="692"/>
      <c r="AY1054" s="693"/>
      <c r="AZ1054" s="694"/>
      <c r="BA1054" s="682"/>
      <c r="BB1054" s="683"/>
      <c r="BC1054" s="14"/>
      <c r="BD1054" s="695" t="s">
        <v>162</v>
      </c>
      <c r="BE1054" s="696"/>
      <c r="BF1054" s="697"/>
      <c r="BG1054" s="698"/>
      <c r="BH1054" s="698"/>
      <c r="BI1054" s="699"/>
      <c r="BJ1054" s="700" t="s">
        <v>159</v>
      </c>
      <c r="BK1054" s="701"/>
      <c r="BL1054" s="701"/>
      <c r="BM1054" s="702"/>
      <c r="BN1054" s="703" t="s">
        <v>159</v>
      </c>
      <c r="BO1054" s="704"/>
      <c r="BP1054" s="704"/>
      <c r="BQ1054" s="704"/>
      <c r="BR1054" s="704"/>
      <c r="BS1054" s="704"/>
      <c r="BT1054" s="704"/>
      <c r="BU1054" s="704"/>
      <c r="BV1054" s="705"/>
    </row>
    <row r="1055" spans="1:74" ht="45" customHeight="1" x14ac:dyDescent="0.25">
      <c r="A1055" s="10">
        <f t="shared" si="16"/>
        <v>1041</v>
      </c>
      <c r="B1055" s="711" t="s">
        <v>159</v>
      </c>
      <c r="C1055" s="711"/>
      <c r="D1055" s="712" t="s">
        <v>212</v>
      </c>
      <c r="E1055" s="712"/>
      <c r="F1055" s="664" t="s">
        <v>162</v>
      </c>
      <c r="G1055" s="665"/>
      <c r="H1055" s="755" t="s">
        <v>162</v>
      </c>
      <c r="I1055" s="667"/>
      <c r="J1055" s="706"/>
      <c r="K1055" s="707"/>
      <c r="L1055" s="706"/>
      <c r="M1055" s="707"/>
      <c r="N1055" s="215"/>
      <c r="O1055" s="216"/>
      <c r="P1055" s="670"/>
      <c r="Q1055" s="671"/>
      <c r="R1055" s="719"/>
      <c r="S1055" s="720"/>
      <c r="T1055" s="721"/>
      <c r="U1055" s="722"/>
      <c r="V1055" s="723"/>
      <c r="W1055" s="724"/>
      <c r="X1055" s="725" t="s">
        <v>159</v>
      </c>
      <c r="Y1055" s="725"/>
      <c r="Z1055" s="725"/>
      <c r="AA1055" s="725"/>
      <c r="AB1055" s="726" t="s">
        <v>159</v>
      </c>
      <c r="AC1055" s="726"/>
      <c r="AD1055" s="726"/>
      <c r="AE1055" s="726"/>
      <c r="AF1055" s="727"/>
      <c r="AG1055" s="728"/>
      <c r="AH1055" s="727"/>
      <c r="AI1055" s="728"/>
      <c r="AJ1055" s="682"/>
      <c r="AK1055" s="683"/>
      <c r="AL1055" s="664" t="s">
        <v>162</v>
      </c>
      <c r="AM1055" s="665"/>
      <c r="AN1055" s="713" t="s">
        <v>162</v>
      </c>
      <c r="AO1055" s="714"/>
      <c r="AP1055" s="729"/>
      <c r="AQ1055" s="730"/>
      <c r="AR1055" s="731"/>
      <c r="AS1055" s="732"/>
      <c r="AT1055" s="690"/>
      <c r="AU1055" s="691"/>
      <c r="AV1055" s="713" t="s">
        <v>162</v>
      </c>
      <c r="AW1055" s="714"/>
      <c r="AX1055" s="692"/>
      <c r="AY1055" s="693"/>
      <c r="AZ1055" s="694"/>
      <c r="BA1055" s="735"/>
      <c r="BB1055" s="736"/>
      <c r="BC1055" s="219"/>
      <c r="BD1055" s="737" t="s">
        <v>162</v>
      </c>
      <c r="BE1055" s="738"/>
      <c r="BF1055" s="739"/>
      <c r="BG1055" s="740"/>
      <c r="BH1055" s="740"/>
      <c r="BI1055" s="741"/>
      <c r="BJ1055" s="742" t="s">
        <v>159</v>
      </c>
      <c r="BK1055" s="743"/>
      <c r="BL1055" s="743"/>
      <c r="BM1055" s="744"/>
      <c r="BN1055" s="703" t="s">
        <v>159</v>
      </c>
      <c r="BO1055" s="704"/>
      <c r="BP1055" s="704"/>
      <c r="BQ1055" s="704"/>
      <c r="BR1055" s="704"/>
      <c r="BS1055" s="704"/>
      <c r="BT1055" s="704"/>
      <c r="BU1055" s="704"/>
      <c r="BV1055" s="705"/>
    </row>
    <row r="1056" spans="1:74" ht="45" customHeight="1" x14ac:dyDescent="0.25">
      <c r="A1056" s="10">
        <f t="shared" si="16"/>
        <v>1042</v>
      </c>
      <c r="B1056" s="662" t="s">
        <v>159</v>
      </c>
      <c r="C1056" s="662"/>
      <c r="D1056" s="663" t="s">
        <v>212</v>
      </c>
      <c r="E1056" s="663"/>
      <c r="F1056" s="664" t="s">
        <v>162</v>
      </c>
      <c r="G1056" s="665"/>
      <c r="H1056" s="754" t="s">
        <v>162</v>
      </c>
      <c r="I1056" s="714"/>
      <c r="J1056" s="715"/>
      <c r="K1056" s="716"/>
      <c r="L1056" s="715"/>
      <c r="M1056" s="716"/>
      <c r="N1056" s="194"/>
      <c r="O1056" s="196"/>
      <c r="P1056" s="717"/>
      <c r="Q1056" s="718"/>
      <c r="R1056" s="672"/>
      <c r="S1056" s="673"/>
      <c r="T1056" s="674"/>
      <c r="U1056" s="675"/>
      <c r="V1056" s="676"/>
      <c r="W1056" s="677"/>
      <c r="X1056" s="678" t="s">
        <v>159</v>
      </c>
      <c r="Y1056" s="678"/>
      <c r="Z1056" s="678"/>
      <c r="AA1056" s="678"/>
      <c r="AB1056" s="679" t="s">
        <v>159</v>
      </c>
      <c r="AC1056" s="679"/>
      <c r="AD1056" s="679"/>
      <c r="AE1056" s="679"/>
      <c r="AF1056" s="680"/>
      <c r="AG1056" s="681"/>
      <c r="AH1056" s="680"/>
      <c r="AI1056" s="681"/>
      <c r="AJ1056" s="682"/>
      <c r="AK1056" s="683"/>
      <c r="AL1056" s="684" t="s">
        <v>162</v>
      </c>
      <c r="AM1056" s="685"/>
      <c r="AN1056" s="666" t="s">
        <v>162</v>
      </c>
      <c r="AO1056" s="667"/>
      <c r="AP1056" s="686"/>
      <c r="AQ1056" s="687"/>
      <c r="AR1056" s="688"/>
      <c r="AS1056" s="689"/>
      <c r="AT1056" s="690"/>
      <c r="AU1056" s="691"/>
      <c r="AV1056" s="666" t="s">
        <v>162</v>
      </c>
      <c r="AW1056" s="667"/>
      <c r="AX1056" s="692"/>
      <c r="AY1056" s="693"/>
      <c r="AZ1056" s="694"/>
      <c r="BA1056" s="682"/>
      <c r="BB1056" s="683"/>
      <c r="BC1056" s="14"/>
      <c r="BD1056" s="695" t="s">
        <v>162</v>
      </c>
      <c r="BE1056" s="696"/>
      <c r="BF1056" s="697"/>
      <c r="BG1056" s="698"/>
      <c r="BH1056" s="698"/>
      <c r="BI1056" s="699"/>
      <c r="BJ1056" s="700" t="s">
        <v>159</v>
      </c>
      <c r="BK1056" s="701"/>
      <c r="BL1056" s="701"/>
      <c r="BM1056" s="702"/>
      <c r="BN1056" s="703" t="s">
        <v>159</v>
      </c>
      <c r="BO1056" s="704"/>
      <c r="BP1056" s="704"/>
      <c r="BQ1056" s="704"/>
      <c r="BR1056" s="704"/>
      <c r="BS1056" s="704"/>
      <c r="BT1056" s="704"/>
      <c r="BU1056" s="704"/>
      <c r="BV1056" s="705"/>
    </row>
    <row r="1057" spans="1:74" ht="45" customHeight="1" x14ac:dyDescent="0.25">
      <c r="A1057" s="10">
        <f t="shared" si="16"/>
        <v>1043</v>
      </c>
      <c r="B1057" s="711" t="s">
        <v>159</v>
      </c>
      <c r="C1057" s="711"/>
      <c r="D1057" s="712" t="s">
        <v>212</v>
      </c>
      <c r="E1057" s="712"/>
      <c r="F1057" s="664" t="s">
        <v>162</v>
      </c>
      <c r="G1057" s="665"/>
      <c r="H1057" s="755" t="s">
        <v>162</v>
      </c>
      <c r="I1057" s="667"/>
      <c r="J1057" s="706"/>
      <c r="K1057" s="707"/>
      <c r="L1057" s="706"/>
      <c r="M1057" s="707"/>
      <c r="N1057" s="215"/>
      <c r="O1057" s="216"/>
      <c r="P1057" s="670"/>
      <c r="Q1057" s="671"/>
      <c r="R1057" s="719"/>
      <c r="S1057" s="720"/>
      <c r="T1057" s="721"/>
      <c r="U1057" s="722"/>
      <c r="V1057" s="723"/>
      <c r="W1057" s="724"/>
      <c r="X1057" s="725" t="s">
        <v>159</v>
      </c>
      <c r="Y1057" s="725"/>
      <c r="Z1057" s="725"/>
      <c r="AA1057" s="725"/>
      <c r="AB1057" s="726" t="s">
        <v>159</v>
      </c>
      <c r="AC1057" s="726"/>
      <c r="AD1057" s="726"/>
      <c r="AE1057" s="726"/>
      <c r="AF1057" s="727"/>
      <c r="AG1057" s="728"/>
      <c r="AH1057" s="727"/>
      <c r="AI1057" s="728"/>
      <c r="AJ1057" s="682"/>
      <c r="AK1057" s="683"/>
      <c r="AL1057" s="664" t="s">
        <v>162</v>
      </c>
      <c r="AM1057" s="665"/>
      <c r="AN1057" s="713" t="s">
        <v>162</v>
      </c>
      <c r="AO1057" s="714"/>
      <c r="AP1057" s="729"/>
      <c r="AQ1057" s="730"/>
      <c r="AR1057" s="731"/>
      <c r="AS1057" s="732"/>
      <c r="AT1057" s="733"/>
      <c r="AU1057" s="734"/>
      <c r="AV1057" s="713" t="s">
        <v>162</v>
      </c>
      <c r="AW1057" s="714"/>
      <c r="AX1057" s="692"/>
      <c r="AY1057" s="693"/>
      <c r="AZ1057" s="694"/>
      <c r="BA1057" s="735"/>
      <c r="BB1057" s="736"/>
      <c r="BC1057" s="219"/>
      <c r="BD1057" s="737" t="s">
        <v>162</v>
      </c>
      <c r="BE1057" s="738"/>
      <c r="BF1057" s="739"/>
      <c r="BG1057" s="740"/>
      <c r="BH1057" s="740"/>
      <c r="BI1057" s="741"/>
      <c r="BJ1057" s="742" t="s">
        <v>159</v>
      </c>
      <c r="BK1057" s="743"/>
      <c r="BL1057" s="743"/>
      <c r="BM1057" s="744"/>
      <c r="BN1057" s="703" t="s">
        <v>159</v>
      </c>
      <c r="BO1057" s="704"/>
      <c r="BP1057" s="704"/>
      <c r="BQ1057" s="704"/>
      <c r="BR1057" s="704"/>
      <c r="BS1057" s="704"/>
      <c r="BT1057" s="704"/>
      <c r="BU1057" s="704"/>
      <c r="BV1057" s="705"/>
    </row>
    <row r="1058" spans="1:74" ht="45" customHeight="1" x14ac:dyDescent="0.25">
      <c r="A1058" s="10">
        <f t="shared" si="16"/>
        <v>1044</v>
      </c>
      <c r="B1058" s="662" t="s">
        <v>159</v>
      </c>
      <c r="C1058" s="662"/>
      <c r="D1058" s="663" t="s">
        <v>212</v>
      </c>
      <c r="E1058" s="663"/>
      <c r="F1058" s="664" t="s">
        <v>162</v>
      </c>
      <c r="G1058" s="665"/>
      <c r="H1058" s="754" t="s">
        <v>162</v>
      </c>
      <c r="I1058" s="714"/>
      <c r="J1058" s="715"/>
      <c r="K1058" s="716"/>
      <c r="L1058" s="715"/>
      <c r="M1058" s="716"/>
      <c r="N1058" s="194"/>
      <c r="O1058" s="196"/>
      <c r="P1058" s="717"/>
      <c r="Q1058" s="718"/>
      <c r="R1058" s="672"/>
      <c r="S1058" s="673"/>
      <c r="T1058" s="674"/>
      <c r="U1058" s="675"/>
      <c r="V1058" s="676"/>
      <c r="W1058" s="677"/>
      <c r="X1058" s="678" t="s">
        <v>159</v>
      </c>
      <c r="Y1058" s="678"/>
      <c r="Z1058" s="678"/>
      <c r="AA1058" s="678"/>
      <c r="AB1058" s="679" t="s">
        <v>159</v>
      </c>
      <c r="AC1058" s="679"/>
      <c r="AD1058" s="679"/>
      <c r="AE1058" s="679"/>
      <c r="AF1058" s="680"/>
      <c r="AG1058" s="681"/>
      <c r="AH1058" s="680"/>
      <c r="AI1058" s="681"/>
      <c r="AJ1058" s="682"/>
      <c r="AK1058" s="683"/>
      <c r="AL1058" s="684" t="s">
        <v>162</v>
      </c>
      <c r="AM1058" s="685"/>
      <c r="AN1058" s="666" t="s">
        <v>162</v>
      </c>
      <c r="AO1058" s="667"/>
      <c r="AP1058" s="686"/>
      <c r="AQ1058" s="687"/>
      <c r="AR1058" s="688"/>
      <c r="AS1058" s="689"/>
      <c r="AT1058" s="690"/>
      <c r="AU1058" s="691"/>
      <c r="AV1058" s="666" t="s">
        <v>162</v>
      </c>
      <c r="AW1058" s="667"/>
      <c r="AX1058" s="692"/>
      <c r="AY1058" s="693"/>
      <c r="AZ1058" s="694"/>
      <c r="BA1058" s="682"/>
      <c r="BB1058" s="683"/>
      <c r="BC1058" s="14"/>
      <c r="BD1058" s="695" t="s">
        <v>162</v>
      </c>
      <c r="BE1058" s="696"/>
      <c r="BF1058" s="708"/>
      <c r="BG1058" s="709"/>
      <c r="BH1058" s="709"/>
      <c r="BI1058" s="710"/>
      <c r="BJ1058" s="700" t="s">
        <v>159</v>
      </c>
      <c r="BK1058" s="701"/>
      <c r="BL1058" s="701"/>
      <c r="BM1058" s="702"/>
      <c r="BN1058" s="703" t="s">
        <v>159</v>
      </c>
      <c r="BO1058" s="704"/>
      <c r="BP1058" s="704"/>
      <c r="BQ1058" s="704"/>
      <c r="BR1058" s="704"/>
      <c r="BS1058" s="704"/>
      <c r="BT1058" s="704"/>
      <c r="BU1058" s="704"/>
      <c r="BV1058" s="705"/>
    </row>
    <row r="1059" spans="1:74" ht="45" customHeight="1" x14ac:dyDescent="0.25">
      <c r="A1059" s="10">
        <f t="shared" si="16"/>
        <v>1045</v>
      </c>
      <c r="B1059" s="711" t="s">
        <v>159</v>
      </c>
      <c r="C1059" s="711"/>
      <c r="D1059" s="712" t="s">
        <v>212</v>
      </c>
      <c r="E1059" s="712"/>
      <c r="F1059" s="664" t="s">
        <v>162</v>
      </c>
      <c r="G1059" s="665"/>
      <c r="H1059" s="755" t="s">
        <v>162</v>
      </c>
      <c r="I1059" s="667"/>
      <c r="J1059" s="706"/>
      <c r="K1059" s="707"/>
      <c r="L1059" s="706"/>
      <c r="M1059" s="707"/>
      <c r="N1059" s="215"/>
      <c r="O1059" s="216"/>
      <c r="P1059" s="670"/>
      <c r="Q1059" s="671"/>
      <c r="R1059" s="719"/>
      <c r="S1059" s="720"/>
      <c r="T1059" s="721"/>
      <c r="U1059" s="722"/>
      <c r="V1059" s="723"/>
      <c r="W1059" s="724"/>
      <c r="X1059" s="725" t="s">
        <v>159</v>
      </c>
      <c r="Y1059" s="725"/>
      <c r="Z1059" s="725"/>
      <c r="AA1059" s="725"/>
      <c r="AB1059" s="726" t="s">
        <v>159</v>
      </c>
      <c r="AC1059" s="726"/>
      <c r="AD1059" s="726"/>
      <c r="AE1059" s="726"/>
      <c r="AF1059" s="727"/>
      <c r="AG1059" s="728"/>
      <c r="AH1059" s="727"/>
      <c r="AI1059" s="728"/>
      <c r="AJ1059" s="682"/>
      <c r="AK1059" s="683"/>
      <c r="AL1059" s="664" t="s">
        <v>162</v>
      </c>
      <c r="AM1059" s="665"/>
      <c r="AN1059" s="713" t="s">
        <v>162</v>
      </c>
      <c r="AO1059" s="714"/>
      <c r="AP1059" s="729"/>
      <c r="AQ1059" s="730"/>
      <c r="AR1059" s="731"/>
      <c r="AS1059" s="732"/>
      <c r="AT1059" s="733"/>
      <c r="AU1059" s="734"/>
      <c r="AV1059" s="713" t="s">
        <v>162</v>
      </c>
      <c r="AW1059" s="714"/>
      <c r="AX1059" s="692"/>
      <c r="AY1059" s="693"/>
      <c r="AZ1059" s="694"/>
      <c r="BA1059" s="735"/>
      <c r="BB1059" s="736"/>
      <c r="BC1059" s="219"/>
      <c r="BD1059" s="737" t="s">
        <v>162</v>
      </c>
      <c r="BE1059" s="738"/>
      <c r="BF1059" s="739"/>
      <c r="BG1059" s="740"/>
      <c r="BH1059" s="740"/>
      <c r="BI1059" s="741"/>
      <c r="BJ1059" s="742" t="s">
        <v>159</v>
      </c>
      <c r="BK1059" s="743"/>
      <c r="BL1059" s="743"/>
      <c r="BM1059" s="744"/>
      <c r="BN1059" s="703" t="s">
        <v>159</v>
      </c>
      <c r="BO1059" s="704"/>
      <c r="BP1059" s="704"/>
      <c r="BQ1059" s="704"/>
      <c r="BR1059" s="704"/>
      <c r="BS1059" s="704"/>
      <c r="BT1059" s="704"/>
      <c r="BU1059" s="704"/>
      <c r="BV1059" s="705"/>
    </row>
    <row r="1060" spans="1:74" ht="45" customHeight="1" x14ac:dyDescent="0.25">
      <c r="A1060" s="10">
        <f t="shared" si="16"/>
        <v>1046</v>
      </c>
      <c r="B1060" s="662" t="s">
        <v>159</v>
      </c>
      <c r="C1060" s="662"/>
      <c r="D1060" s="663" t="s">
        <v>212</v>
      </c>
      <c r="E1060" s="663"/>
      <c r="F1060" s="664" t="s">
        <v>162</v>
      </c>
      <c r="G1060" s="665"/>
      <c r="H1060" s="754" t="s">
        <v>162</v>
      </c>
      <c r="I1060" s="714"/>
      <c r="J1060" s="715"/>
      <c r="K1060" s="716"/>
      <c r="L1060" s="715"/>
      <c r="M1060" s="716"/>
      <c r="N1060" s="194"/>
      <c r="O1060" s="196"/>
      <c r="P1060" s="717"/>
      <c r="Q1060" s="718"/>
      <c r="R1060" s="672"/>
      <c r="S1060" s="673"/>
      <c r="T1060" s="674"/>
      <c r="U1060" s="675"/>
      <c r="V1060" s="676"/>
      <c r="W1060" s="677"/>
      <c r="X1060" s="678" t="s">
        <v>159</v>
      </c>
      <c r="Y1060" s="678"/>
      <c r="Z1060" s="678"/>
      <c r="AA1060" s="678"/>
      <c r="AB1060" s="679" t="s">
        <v>159</v>
      </c>
      <c r="AC1060" s="679"/>
      <c r="AD1060" s="679"/>
      <c r="AE1060" s="679"/>
      <c r="AF1060" s="680"/>
      <c r="AG1060" s="681"/>
      <c r="AH1060" s="680"/>
      <c r="AI1060" s="681"/>
      <c r="AJ1060" s="682"/>
      <c r="AK1060" s="683"/>
      <c r="AL1060" s="684" t="s">
        <v>162</v>
      </c>
      <c r="AM1060" s="685"/>
      <c r="AN1060" s="666" t="s">
        <v>162</v>
      </c>
      <c r="AO1060" s="667"/>
      <c r="AP1060" s="686"/>
      <c r="AQ1060" s="687"/>
      <c r="AR1060" s="688"/>
      <c r="AS1060" s="689"/>
      <c r="AT1060" s="690"/>
      <c r="AU1060" s="691"/>
      <c r="AV1060" s="666" t="s">
        <v>162</v>
      </c>
      <c r="AW1060" s="667"/>
      <c r="AX1060" s="692"/>
      <c r="AY1060" s="693"/>
      <c r="AZ1060" s="694"/>
      <c r="BA1060" s="682"/>
      <c r="BB1060" s="683"/>
      <c r="BC1060" s="14"/>
      <c r="BD1060" s="695" t="s">
        <v>162</v>
      </c>
      <c r="BE1060" s="696"/>
      <c r="BF1060" s="697"/>
      <c r="BG1060" s="698"/>
      <c r="BH1060" s="698"/>
      <c r="BI1060" s="699"/>
      <c r="BJ1060" s="700" t="s">
        <v>159</v>
      </c>
      <c r="BK1060" s="701"/>
      <c r="BL1060" s="701"/>
      <c r="BM1060" s="702"/>
      <c r="BN1060" s="703" t="s">
        <v>159</v>
      </c>
      <c r="BO1060" s="704"/>
      <c r="BP1060" s="704"/>
      <c r="BQ1060" s="704"/>
      <c r="BR1060" s="704"/>
      <c r="BS1060" s="704"/>
      <c r="BT1060" s="704"/>
      <c r="BU1060" s="704"/>
      <c r="BV1060" s="705"/>
    </row>
    <row r="1061" spans="1:74" ht="45" customHeight="1" x14ac:dyDescent="0.25">
      <c r="A1061" s="10">
        <f t="shared" si="16"/>
        <v>1047</v>
      </c>
      <c r="B1061" s="711" t="s">
        <v>159</v>
      </c>
      <c r="C1061" s="711"/>
      <c r="D1061" s="712" t="s">
        <v>212</v>
      </c>
      <c r="E1061" s="712"/>
      <c r="F1061" s="664" t="s">
        <v>162</v>
      </c>
      <c r="G1061" s="665"/>
      <c r="H1061" s="755" t="s">
        <v>162</v>
      </c>
      <c r="I1061" s="667"/>
      <c r="J1061" s="706"/>
      <c r="K1061" s="707"/>
      <c r="L1061" s="706"/>
      <c r="M1061" s="707"/>
      <c r="N1061" s="215"/>
      <c r="O1061" s="216"/>
      <c r="P1061" s="670"/>
      <c r="Q1061" s="671"/>
      <c r="R1061" s="719"/>
      <c r="S1061" s="720"/>
      <c r="T1061" s="721"/>
      <c r="U1061" s="722"/>
      <c r="V1061" s="723"/>
      <c r="W1061" s="724"/>
      <c r="X1061" s="725" t="s">
        <v>159</v>
      </c>
      <c r="Y1061" s="725"/>
      <c r="Z1061" s="725"/>
      <c r="AA1061" s="725"/>
      <c r="AB1061" s="726" t="s">
        <v>159</v>
      </c>
      <c r="AC1061" s="726"/>
      <c r="AD1061" s="726"/>
      <c r="AE1061" s="726"/>
      <c r="AF1061" s="727"/>
      <c r="AG1061" s="728"/>
      <c r="AH1061" s="727"/>
      <c r="AI1061" s="728"/>
      <c r="AJ1061" s="682"/>
      <c r="AK1061" s="683"/>
      <c r="AL1061" s="664" t="s">
        <v>162</v>
      </c>
      <c r="AM1061" s="665"/>
      <c r="AN1061" s="713" t="s">
        <v>162</v>
      </c>
      <c r="AO1061" s="714"/>
      <c r="AP1061" s="729"/>
      <c r="AQ1061" s="730"/>
      <c r="AR1061" s="731"/>
      <c r="AS1061" s="732"/>
      <c r="AT1061" s="733"/>
      <c r="AU1061" s="734"/>
      <c r="AV1061" s="713" t="s">
        <v>162</v>
      </c>
      <c r="AW1061" s="714"/>
      <c r="AX1061" s="692"/>
      <c r="AY1061" s="693"/>
      <c r="AZ1061" s="694"/>
      <c r="BA1061" s="735"/>
      <c r="BB1061" s="736"/>
      <c r="BC1061" s="219"/>
      <c r="BD1061" s="737" t="s">
        <v>162</v>
      </c>
      <c r="BE1061" s="738"/>
      <c r="BF1061" s="739"/>
      <c r="BG1061" s="740"/>
      <c r="BH1061" s="740"/>
      <c r="BI1061" s="741"/>
      <c r="BJ1061" s="742" t="s">
        <v>159</v>
      </c>
      <c r="BK1061" s="743"/>
      <c r="BL1061" s="743"/>
      <c r="BM1061" s="744"/>
      <c r="BN1061" s="703" t="s">
        <v>159</v>
      </c>
      <c r="BO1061" s="704"/>
      <c r="BP1061" s="704"/>
      <c r="BQ1061" s="704"/>
      <c r="BR1061" s="704"/>
      <c r="BS1061" s="704"/>
      <c r="BT1061" s="704"/>
      <c r="BU1061" s="704"/>
      <c r="BV1061" s="705"/>
    </row>
    <row r="1062" spans="1:74" ht="45" customHeight="1" x14ac:dyDescent="0.25">
      <c r="A1062" s="10">
        <f t="shared" si="16"/>
        <v>1048</v>
      </c>
      <c r="B1062" s="662" t="s">
        <v>159</v>
      </c>
      <c r="C1062" s="662"/>
      <c r="D1062" s="663" t="s">
        <v>212</v>
      </c>
      <c r="E1062" s="663"/>
      <c r="F1062" s="664" t="s">
        <v>162</v>
      </c>
      <c r="G1062" s="665"/>
      <c r="H1062" s="754" t="s">
        <v>162</v>
      </c>
      <c r="I1062" s="714"/>
      <c r="J1062" s="715"/>
      <c r="K1062" s="716"/>
      <c r="L1062" s="715"/>
      <c r="M1062" s="716"/>
      <c r="N1062" s="215"/>
      <c r="O1062" s="216"/>
      <c r="P1062" s="670"/>
      <c r="Q1062" s="671"/>
      <c r="R1062" s="719"/>
      <c r="S1062" s="720"/>
      <c r="T1062" s="721"/>
      <c r="U1062" s="722"/>
      <c r="V1062" s="676"/>
      <c r="W1062" s="677"/>
      <c r="X1062" s="678" t="s">
        <v>159</v>
      </c>
      <c r="Y1062" s="678"/>
      <c r="Z1062" s="678"/>
      <c r="AA1062" s="678"/>
      <c r="AB1062" s="679" t="s">
        <v>159</v>
      </c>
      <c r="AC1062" s="679"/>
      <c r="AD1062" s="679"/>
      <c r="AE1062" s="679"/>
      <c r="AF1062" s="680"/>
      <c r="AG1062" s="681"/>
      <c r="AH1062" s="680"/>
      <c r="AI1062" s="681"/>
      <c r="AJ1062" s="682"/>
      <c r="AK1062" s="683"/>
      <c r="AL1062" s="684" t="s">
        <v>162</v>
      </c>
      <c r="AM1062" s="685"/>
      <c r="AN1062" s="666" t="s">
        <v>162</v>
      </c>
      <c r="AO1062" s="667"/>
      <c r="AP1062" s="686"/>
      <c r="AQ1062" s="687"/>
      <c r="AR1062" s="688"/>
      <c r="AS1062" s="689"/>
      <c r="AT1062" s="690"/>
      <c r="AU1062" s="691"/>
      <c r="AV1062" s="666" t="s">
        <v>162</v>
      </c>
      <c r="AW1062" s="667"/>
      <c r="AX1062" s="692"/>
      <c r="AY1062" s="693"/>
      <c r="AZ1062" s="694"/>
      <c r="BA1062" s="682"/>
      <c r="BB1062" s="683"/>
      <c r="BC1062" s="14"/>
      <c r="BD1062" s="695" t="s">
        <v>162</v>
      </c>
      <c r="BE1062" s="696"/>
      <c r="BF1062" s="697"/>
      <c r="BG1062" s="698"/>
      <c r="BH1062" s="698"/>
      <c r="BI1062" s="699"/>
      <c r="BJ1062" s="700" t="s">
        <v>159</v>
      </c>
      <c r="BK1062" s="701"/>
      <c r="BL1062" s="701"/>
      <c r="BM1062" s="702"/>
      <c r="BN1062" s="703" t="s">
        <v>159</v>
      </c>
      <c r="BO1062" s="704"/>
      <c r="BP1062" s="704"/>
      <c r="BQ1062" s="704"/>
      <c r="BR1062" s="704"/>
      <c r="BS1062" s="704"/>
      <c r="BT1062" s="704"/>
      <c r="BU1062" s="704"/>
      <c r="BV1062" s="705"/>
    </row>
    <row r="1063" spans="1:74" ht="45" customHeight="1" x14ac:dyDescent="0.25">
      <c r="A1063" s="10">
        <f t="shared" si="16"/>
        <v>1049</v>
      </c>
      <c r="B1063" s="711" t="s">
        <v>159</v>
      </c>
      <c r="C1063" s="711"/>
      <c r="D1063" s="712" t="s">
        <v>212</v>
      </c>
      <c r="E1063" s="712"/>
      <c r="F1063" s="664" t="s">
        <v>162</v>
      </c>
      <c r="G1063" s="665"/>
      <c r="H1063" s="755" t="s">
        <v>162</v>
      </c>
      <c r="I1063" s="667"/>
      <c r="J1063" s="706"/>
      <c r="K1063" s="707"/>
      <c r="L1063" s="706"/>
      <c r="M1063" s="707"/>
      <c r="N1063" s="194"/>
      <c r="O1063" s="196"/>
      <c r="P1063" s="717"/>
      <c r="Q1063" s="718"/>
      <c r="R1063" s="672"/>
      <c r="S1063" s="673"/>
      <c r="T1063" s="674"/>
      <c r="U1063" s="675"/>
      <c r="V1063" s="723"/>
      <c r="W1063" s="724"/>
      <c r="X1063" s="725" t="s">
        <v>159</v>
      </c>
      <c r="Y1063" s="725"/>
      <c r="Z1063" s="725"/>
      <c r="AA1063" s="725"/>
      <c r="AB1063" s="726" t="s">
        <v>159</v>
      </c>
      <c r="AC1063" s="726"/>
      <c r="AD1063" s="726"/>
      <c r="AE1063" s="726"/>
      <c r="AF1063" s="727"/>
      <c r="AG1063" s="728"/>
      <c r="AH1063" s="727"/>
      <c r="AI1063" s="728"/>
      <c r="AJ1063" s="682"/>
      <c r="AK1063" s="683"/>
      <c r="AL1063" s="664" t="s">
        <v>162</v>
      </c>
      <c r="AM1063" s="665"/>
      <c r="AN1063" s="713" t="s">
        <v>162</v>
      </c>
      <c r="AO1063" s="714"/>
      <c r="AP1063" s="729"/>
      <c r="AQ1063" s="730"/>
      <c r="AR1063" s="731"/>
      <c r="AS1063" s="732"/>
      <c r="AT1063" s="733"/>
      <c r="AU1063" s="734"/>
      <c r="AV1063" s="713" t="s">
        <v>162</v>
      </c>
      <c r="AW1063" s="714"/>
      <c r="AX1063" s="692"/>
      <c r="AY1063" s="693"/>
      <c r="AZ1063" s="694"/>
      <c r="BA1063" s="735"/>
      <c r="BB1063" s="736"/>
      <c r="BC1063" s="219"/>
      <c r="BD1063" s="737" t="s">
        <v>162</v>
      </c>
      <c r="BE1063" s="738"/>
      <c r="BF1063" s="739"/>
      <c r="BG1063" s="740"/>
      <c r="BH1063" s="740"/>
      <c r="BI1063" s="741"/>
      <c r="BJ1063" s="742" t="s">
        <v>159</v>
      </c>
      <c r="BK1063" s="743"/>
      <c r="BL1063" s="743"/>
      <c r="BM1063" s="744"/>
      <c r="BN1063" s="703" t="s">
        <v>159</v>
      </c>
      <c r="BO1063" s="704"/>
      <c r="BP1063" s="704"/>
      <c r="BQ1063" s="704"/>
      <c r="BR1063" s="704"/>
      <c r="BS1063" s="704"/>
      <c r="BT1063" s="704"/>
      <c r="BU1063" s="704"/>
      <c r="BV1063" s="705"/>
    </row>
    <row r="1064" spans="1:74" ht="45" customHeight="1" x14ac:dyDescent="0.25">
      <c r="A1064" s="10">
        <f t="shared" si="16"/>
        <v>1050</v>
      </c>
      <c r="B1064" s="662" t="s">
        <v>159</v>
      </c>
      <c r="C1064" s="662"/>
      <c r="D1064" s="663" t="s">
        <v>212</v>
      </c>
      <c r="E1064" s="663"/>
      <c r="F1064" s="664" t="s">
        <v>162</v>
      </c>
      <c r="G1064" s="665"/>
      <c r="H1064" s="754" t="s">
        <v>162</v>
      </c>
      <c r="I1064" s="714"/>
      <c r="J1064" s="715"/>
      <c r="K1064" s="716"/>
      <c r="L1064" s="715"/>
      <c r="M1064" s="716"/>
      <c r="N1064" s="215"/>
      <c r="O1064" s="216"/>
      <c r="P1064" s="670"/>
      <c r="Q1064" s="671"/>
      <c r="R1064" s="719"/>
      <c r="S1064" s="720"/>
      <c r="T1064" s="721"/>
      <c r="U1064" s="722"/>
      <c r="V1064" s="676"/>
      <c r="W1064" s="677"/>
      <c r="X1064" s="678" t="s">
        <v>159</v>
      </c>
      <c r="Y1064" s="678"/>
      <c r="Z1064" s="678"/>
      <c r="AA1064" s="678"/>
      <c r="AB1064" s="679" t="s">
        <v>159</v>
      </c>
      <c r="AC1064" s="679"/>
      <c r="AD1064" s="679"/>
      <c r="AE1064" s="679"/>
      <c r="AF1064" s="680"/>
      <c r="AG1064" s="681"/>
      <c r="AH1064" s="680"/>
      <c r="AI1064" s="681"/>
      <c r="AJ1064" s="682"/>
      <c r="AK1064" s="683"/>
      <c r="AL1064" s="684" t="s">
        <v>162</v>
      </c>
      <c r="AM1064" s="685"/>
      <c r="AN1064" s="666" t="s">
        <v>162</v>
      </c>
      <c r="AO1064" s="667"/>
      <c r="AP1064" s="686"/>
      <c r="AQ1064" s="687"/>
      <c r="AR1064" s="688"/>
      <c r="AS1064" s="689"/>
      <c r="AT1064" s="690"/>
      <c r="AU1064" s="691"/>
      <c r="AV1064" s="666" t="s">
        <v>162</v>
      </c>
      <c r="AW1064" s="667"/>
      <c r="AX1064" s="692"/>
      <c r="AY1064" s="693"/>
      <c r="AZ1064" s="694"/>
      <c r="BA1064" s="682"/>
      <c r="BB1064" s="683"/>
      <c r="BC1064" s="14"/>
      <c r="BD1064" s="695" t="s">
        <v>162</v>
      </c>
      <c r="BE1064" s="696"/>
      <c r="BF1064" s="708"/>
      <c r="BG1064" s="709"/>
      <c r="BH1064" s="709"/>
      <c r="BI1064" s="710"/>
      <c r="BJ1064" s="700" t="s">
        <v>159</v>
      </c>
      <c r="BK1064" s="701"/>
      <c r="BL1064" s="701"/>
      <c r="BM1064" s="702"/>
      <c r="BN1064" s="703" t="s">
        <v>159</v>
      </c>
      <c r="BO1064" s="704"/>
      <c r="BP1064" s="704"/>
      <c r="BQ1064" s="704"/>
      <c r="BR1064" s="704"/>
      <c r="BS1064" s="704"/>
      <c r="BT1064" s="704"/>
      <c r="BU1064" s="704"/>
      <c r="BV1064" s="705"/>
    </row>
    <row r="1065" spans="1:74" ht="45" customHeight="1" x14ac:dyDescent="0.25">
      <c r="A1065" s="10">
        <f t="shared" si="16"/>
        <v>1051</v>
      </c>
      <c r="B1065" s="711" t="s">
        <v>159</v>
      </c>
      <c r="C1065" s="711"/>
      <c r="D1065" s="712" t="s">
        <v>212</v>
      </c>
      <c r="E1065" s="712"/>
      <c r="F1065" s="664" t="s">
        <v>162</v>
      </c>
      <c r="G1065" s="665"/>
      <c r="H1065" s="755" t="s">
        <v>162</v>
      </c>
      <c r="I1065" s="667"/>
      <c r="J1065" s="706"/>
      <c r="K1065" s="707"/>
      <c r="L1065" s="706"/>
      <c r="M1065" s="707"/>
      <c r="N1065" s="194"/>
      <c r="O1065" s="196"/>
      <c r="P1065" s="717"/>
      <c r="Q1065" s="718"/>
      <c r="R1065" s="672"/>
      <c r="S1065" s="673"/>
      <c r="T1065" s="674"/>
      <c r="U1065" s="675"/>
      <c r="V1065" s="723"/>
      <c r="W1065" s="724"/>
      <c r="X1065" s="725" t="s">
        <v>159</v>
      </c>
      <c r="Y1065" s="725"/>
      <c r="Z1065" s="725"/>
      <c r="AA1065" s="725"/>
      <c r="AB1065" s="726" t="s">
        <v>159</v>
      </c>
      <c r="AC1065" s="726"/>
      <c r="AD1065" s="726"/>
      <c r="AE1065" s="726"/>
      <c r="AF1065" s="727"/>
      <c r="AG1065" s="728"/>
      <c r="AH1065" s="727"/>
      <c r="AI1065" s="728"/>
      <c r="AJ1065" s="682"/>
      <c r="AK1065" s="683"/>
      <c r="AL1065" s="664" t="s">
        <v>162</v>
      </c>
      <c r="AM1065" s="665"/>
      <c r="AN1065" s="713" t="s">
        <v>162</v>
      </c>
      <c r="AO1065" s="714"/>
      <c r="AP1065" s="729"/>
      <c r="AQ1065" s="730"/>
      <c r="AR1065" s="731"/>
      <c r="AS1065" s="732"/>
      <c r="AT1065" s="733"/>
      <c r="AU1065" s="734"/>
      <c r="AV1065" s="713" t="s">
        <v>162</v>
      </c>
      <c r="AW1065" s="714"/>
      <c r="AX1065" s="692"/>
      <c r="AY1065" s="693"/>
      <c r="AZ1065" s="694"/>
      <c r="BA1065" s="735"/>
      <c r="BB1065" s="736"/>
      <c r="BC1065" s="219"/>
      <c r="BD1065" s="737" t="s">
        <v>162</v>
      </c>
      <c r="BE1065" s="738"/>
      <c r="BF1065" s="739"/>
      <c r="BG1065" s="740"/>
      <c r="BH1065" s="740"/>
      <c r="BI1065" s="741"/>
      <c r="BJ1065" s="742" t="s">
        <v>159</v>
      </c>
      <c r="BK1065" s="743"/>
      <c r="BL1065" s="743"/>
      <c r="BM1065" s="744"/>
      <c r="BN1065" s="703" t="s">
        <v>159</v>
      </c>
      <c r="BO1065" s="704"/>
      <c r="BP1065" s="704"/>
      <c r="BQ1065" s="704"/>
      <c r="BR1065" s="704"/>
      <c r="BS1065" s="704"/>
      <c r="BT1065" s="704"/>
      <c r="BU1065" s="704"/>
      <c r="BV1065" s="705"/>
    </row>
    <row r="1066" spans="1:74" ht="45" customHeight="1" x14ac:dyDescent="0.25">
      <c r="A1066" s="10">
        <f t="shared" si="16"/>
        <v>1052</v>
      </c>
      <c r="B1066" s="662" t="s">
        <v>159</v>
      </c>
      <c r="C1066" s="662"/>
      <c r="D1066" s="663" t="s">
        <v>212</v>
      </c>
      <c r="E1066" s="663"/>
      <c r="F1066" s="664" t="s">
        <v>162</v>
      </c>
      <c r="G1066" s="665"/>
      <c r="H1066" s="754" t="s">
        <v>162</v>
      </c>
      <c r="I1066" s="714"/>
      <c r="J1066" s="715"/>
      <c r="K1066" s="716"/>
      <c r="L1066" s="715"/>
      <c r="M1066" s="716"/>
      <c r="N1066" s="215"/>
      <c r="O1066" s="216"/>
      <c r="P1066" s="670"/>
      <c r="Q1066" s="671"/>
      <c r="R1066" s="719"/>
      <c r="S1066" s="720"/>
      <c r="T1066" s="721"/>
      <c r="U1066" s="722"/>
      <c r="V1066" s="676"/>
      <c r="W1066" s="677"/>
      <c r="X1066" s="678" t="s">
        <v>159</v>
      </c>
      <c r="Y1066" s="678"/>
      <c r="Z1066" s="678"/>
      <c r="AA1066" s="678"/>
      <c r="AB1066" s="679" t="s">
        <v>159</v>
      </c>
      <c r="AC1066" s="679"/>
      <c r="AD1066" s="679"/>
      <c r="AE1066" s="679"/>
      <c r="AF1066" s="680"/>
      <c r="AG1066" s="681"/>
      <c r="AH1066" s="680"/>
      <c r="AI1066" s="681"/>
      <c r="AJ1066" s="682"/>
      <c r="AK1066" s="683"/>
      <c r="AL1066" s="684" t="s">
        <v>162</v>
      </c>
      <c r="AM1066" s="685"/>
      <c r="AN1066" s="666" t="s">
        <v>162</v>
      </c>
      <c r="AO1066" s="667"/>
      <c r="AP1066" s="686"/>
      <c r="AQ1066" s="687"/>
      <c r="AR1066" s="688"/>
      <c r="AS1066" s="689"/>
      <c r="AT1066" s="690"/>
      <c r="AU1066" s="691"/>
      <c r="AV1066" s="666" t="s">
        <v>162</v>
      </c>
      <c r="AW1066" s="667"/>
      <c r="AX1066" s="692"/>
      <c r="AY1066" s="693"/>
      <c r="AZ1066" s="694"/>
      <c r="BA1066" s="682"/>
      <c r="BB1066" s="683"/>
      <c r="BC1066" s="14"/>
      <c r="BD1066" s="695" t="s">
        <v>162</v>
      </c>
      <c r="BE1066" s="696"/>
      <c r="BF1066" s="697"/>
      <c r="BG1066" s="698"/>
      <c r="BH1066" s="698"/>
      <c r="BI1066" s="699"/>
      <c r="BJ1066" s="700" t="s">
        <v>159</v>
      </c>
      <c r="BK1066" s="701"/>
      <c r="BL1066" s="701"/>
      <c r="BM1066" s="702"/>
      <c r="BN1066" s="703" t="s">
        <v>159</v>
      </c>
      <c r="BO1066" s="704"/>
      <c r="BP1066" s="704"/>
      <c r="BQ1066" s="704"/>
      <c r="BR1066" s="704"/>
      <c r="BS1066" s="704"/>
      <c r="BT1066" s="704"/>
      <c r="BU1066" s="704"/>
      <c r="BV1066" s="705"/>
    </row>
    <row r="1067" spans="1:74" ht="45" customHeight="1" x14ac:dyDescent="0.25">
      <c r="A1067" s="10">
        <f t="shared" si="16"/>
        <v>1053</v>
      </c>
      <c r="B1067" s="711" t="s">
        <v>159</v>
      </c>
      <c r="C1067" s="711"/>
      <c r="D1067" s="712" t="s">
        <v>212</v>
      </c>
      <c r="E1067" s="712"/>
      <c r="F1067" s="664" t="s">
        <v>162</v>
      </c>
      <c r="G1067" s="665"/>
      <c r="H1067" s="755" t="s">
        <v>162</v>
      </c>
      <c r="I1067" s="667"/>
      <c r="J1067" s="706"/>
      <c r="K1067" s="707"/>
      <c r="L1067" s="706"/>
      <c r="M1067" s="707"/>
      <c r="N1067" s="194"/>
      <c r="O1067" s="196"/>
      <c r="P1067" s="717"/>
      <c r="Q1067" s="718"/>
      <c r="R1067" s="672"/>
      <c r="S1067" s="673"/>
      <c r="T1067" s="674"/>
      <c r="U1067" s="675"/>
      <c r="V1067" s="723"/>
      <c r="W1067" s="724"/>
      <c r="X1067" s="725" t="s">
        <v>159</v>
      </c>
      <c r="Y1067" s="725"/>
      <c r="Z1067" s="725"/>
      <c r="AA1067" s="725"/>
      <c r="AB1067" s="726" t="s">
        <v>159</v>
      </c>
      <c r="AC1067" s="726"/>
      <c r="AD1067" s="726"/>
      <c r="AE1067" s="726"/>
      <c r="AF1067" s="727"/>
      <c r="AG1067" s="728"/>
      <c r="AH1067" s="727"/>
      <c r="AI1067" s="728"/>
      <c r="AJ1067" s="682"/>
      <c r="AK1067" s="683"/>
      <c r="AL1067" s="664" t="s">
        <v>162</v>
      </c>
      <c r="AM1067" s="665"/>
      <c r="AN1067" s="713" t="s">
        <v>162</v>
      </c>
      <c r="AO1067" s="714"/>
      <c r="AP1067" s="729"/>
      <c r="AQ1067" s="730"/>
      <c r="AR1067" s="731"/>
      <c r="AS1067" s="732"/>
      <c r="AT1067" s="690"/>
      <c r="AU1067" s="691"/>
      <c r="AV1067" s="713" t="s">
        <v>162</v>
      </c>
      <c r="AW1067" s="714"/>
      <c r="AX1067" s="692"/>
      <c r="AY1067" s="693"/>
      <c r="AZ1067" s="694"/>
      <c r="BA1067" s="735"/>
      <c r="BB1067" s="736"/>
      <c r="BC1067" s="219"/>
      <c r="BD1067" s="737" t="s">
        <v>162</v>
      </c>
      <c r="BE1067" s="738"/>
      <c r="BF1067" s="739"/>
      <c r="BG1067" s="740"/>
      <c r="BH1067" s="740"/>
      <c r="BI1067" s="741"/>
      <c r="BJ1067" s="742" t="s">
        <v>159</v>
      </c>
      <c r="BK1067" s="743"/>
      <c r="BL1067" s="743"/>
      <c r="BM1067" s="744"/>
      <c r="BN1067" s="703" t="s">
        <v>159</v>
      </c>
      <c r="BO1067" s="704"/>
      <c r="BP1067" s="704"/>
      <c r="BQ1067" s="704"/>
      <c r="BR1067" s="704"/>
      <c r="BS1067" s="704"/>
      <c r="BT1067" s="704"/>
      <c r="BU1067" s="704"/>
      <c r="BV1067" s="705"/>
    </row>
    <row r="1068" spans="1:74" ht="45" customHeight="1" x14ac:dyDescent="0.25">
      <c r="A1068" s="10">
        <f t="shared" si="16"/>
        <v>1054</v>
      </c>
      <c r="B1068" s="662" t="s">
        <v>159</v>
      </c>
      <c r="C1068" s="662"/>
      <c r="D1068" s="663" t="s">
        <v>212</v>
      </c>
      <c r="E1068" s="663"/>
      <c r="F1068" s="664" t="s">
        <v>162</v>
      </c>
      <c r="G1068" s="665"/>
      <c r="H1068" s="754" t="s">
        <v>162</v>
      </c>
      <c r="I1068" s="714"/>
      <c r="J1068" s="715"/>
      <c r="K1068" s="716"/>
      <c r="L1068" s="715"/>
      <c r="M1068" s="716"/>
      <c r="N1068" s="215"/>
      <c r="O1068" s="216"/>
      <c r="P1068" s="670"/>
      <c r="Q1068" s="671"/>
      <c r="R1068" s="719"/>
      <c r="S1068" s="720"/>
      <c r="T1068" s="721"/>
      <c r="U1068" s="722"/>
      <c r="V1068" s="676"/>
      <c r="W1068" s="677"/>
      <c r="X1068" s="678" t="s">
        <v>159</v>
      </c>
      <c r="Y1068" s="678"/>
      <c r="Z1068" s="678"/>
      <c r="AA1068" s="678"/>
      <c r="AB1068" s="679" t="s">
        <v>159</v>
      </c>
      <c r="AC1068" s="679"/>
      <c r="AD1068" s="679"/>
      <c r="AE1068" s="679"/>
      <c r="AF1068" s="680"/>
      <c r="AG1068" s="681"/>
      <c r="AH1068" s="680"/>
      <c r="AI1068" s="681"/>
      <c r="AJ1068" s="682"/>
      <c r="AK1068" s="683"/>
      <c r="AL1068" s="684" t="s">
        <v>162</v>
      </c>
      <c r="AM1068" s="685"/>
      <c r="AN1068" s="666" t="s">
        <v>162</v>
      </c>
      <c r="AO1068" s="667"/>
      <c r="AP1068" s="686"/>
      <c r="AQ1068" s="687"/>
      <c r="AR1068" s="688"/>
      <c r="AS1068" s="689"/>
      <c r="AT1068" s="690"/>
      <c r="AU1068" s="691"/>
      <c r="AV1068" s="666" t="s">
        <v>162</v>
      </c>
      <c r="AW1068" s="667"/>
      <c r="AX1068" s="692"/>
      <c r="AY1068" s="693"/>
      <c r="AZ1068" s="694"/>
      <c r="BA1068" s="682"/>
      <c r="BB1068" s="683"/>
      <c r="BC1068" s="14"/>
      <c r="BD1068" s="695" t="s">
        <v>162</v>
      </c>
      <c r="BE1068" s="696"/>
      <c r="BF1068" s="697"/>
      <c r="BG1068" s="698"/>
      <c r="BH1068" s="698"/>
      <c r="BI1068" s="699"/>
      <c r="BJ1068" s="700" t="s">
        <v>159</v>
      </c>
      <c r="BK1068" s="701"/>
      <c r="BL1068" s="701"/>
      <c r="BM1068" s="702"/>
      <c r="BN1068" s="703" t="s">
        <v>159</v>
      </c>
      <c r="BO1068" s="704"/>
      <c r="BP1068" s="704"/>
      <c r="BQ1068" s="704"/>
      <c r="BR1068" s="704"/>
      <c r="BS1068" s="704"/>
      <c r="BT1068" s="704"/>
      <c r="BU1068" s="704"/>
      <c r="BV1068" s="705"/>
    </row>
    <row r="1069" spans="1:74" ht="45" customHeight="1" x14ac:dyDescent="0.25">
      <c r="A1069" s="10">
        <f t="shared" si="16"/>
        <v>1055</v>
      </c>
      <c r="B1069" s="711" t="s">
        <v>159</v>
      </c>
      <c r="C1069" s="711"/>
      <c r="D1069" s="712" t="s">
        <v>212</v>
      </c>
      <c r="E1069" s="712"/>
      <c r="F1069" s="664" t="s">
        <v>162</v>
      </c>
      <c r="G1069" s="665"/>
      <c r="H1069" s="755" t="s">
        <v>162</v>
      </c>
      <c r="I1069" s="667"/>
      <c r="J1069" s="706"/>
      <c r="K1069" s="707"/>
      <c r="L1069" s="706"/>
      <c r="M1069" s="707"/>
      <c r="N1069" s="194"/>
      <c r="O1069" s="196"/>
      <c r="P1069" s="717"/>
      <c r="Q1069" s="718"/>
      <c r="R1069" s="672"/>
      <c r="S1069" s="673"/>
      <c r="T1069" s="674"/>
      <c r="U1069" s="675"/>
      <c r="V1069" s="723"/>
      <c r="W1069" s="724"/>
      <c r="X1069" s="725" t="s">
        <v>159</v>
      </c>
      <c r="Y1069" s="725"/>
      <c r="Z1069" s="725"/>
      <c r="AA1069" s="725"/>
      <c r="AB1069" s="726" t="s">
        <v>159</v>
      </c>
      <c r="AC1069" s="726"/>
      <c r="AD1069" s="726"/>
      <c r="AE1069" s="726"/>
      <c r="AF1069" s="727"/>
      <c r="AG1069" s="728"/>
      <c r="AH1069" s="727"/>
      <c r="AI1069" s="728"/>
      <c r="AJ1069" s="682"/>
      <c r="AK1069" s="683"/>
      <c r="AL1069" s="664" t="s">
        <v>162</v>
      </c>
      <c r="AM1069" s="665"/>
      <c r="AN1069" s="713" t="s">
        <v>162</v>
      </c>
      <c r="AO1069" s="714"/>
      <c r="AP1069" s="729"/>
      <c r="AQ1069" s="730"/>
      <c r="AR1069" s="731"/>
      <c r="AS1069" s="732"/>
      <c r="AT1069" s="690"/>
      <c r="AU1069" s="691"/>
      <c r="AV1069" s="713" t="s">
        <v>162</v>
      </c>
      <c r="AW1069" s="714"/>
      <c r="AX1069" s="692"/>
      <c r="AY1069" s="693"/>
      <c r="AZ1069" s="694"/>
      <c r="BA1069" s="735"/>
      <c r="BB1069" s="736"/>
      <c r="BC1069" s="219"/>
      <c r="BD1069" s="737" t="s">
        <v>162</v>
      </c>
      <c r="BE1069" s="738"/>
      <c r="BF1069" s="739"/>
      <c r="BG1069" s="740"/>
      <c r="BH1069" s="740"/>
      <c r="BI1069" s="741"/>
      <c r="BJ1069" s="742" t="s">
        <v>159</v>
      </c>
      <c r="BK1069" s="743"/>
      <c r="BL1069" s="743"/>
      <c r="BM1069" s="744"/>
      <c r="BN1069" s="703" t="s">
        <v>159</v>
      </c>
      <c r="BO1069" s="704"/>
      <c r="BP1069" s="704"/>
      <c r="BQ1069" s="704"/>
      <c r="BR1069" s="704"/>
      <c r="BS1069" s="704"/>
      <c r="BT1069" s="704"/>
      <c r="BU1069" s="704"/>
      <c r="BV1069" s="705"/>
    </row>
    <row r="1070" spans="1:74" ht="45" customHeight="1" x14ac:dyDescent="0.25">
      <c r="A1070" s="10">
        <f t="shared" si="16"/>
        <v>1056</v>
      </c>
      <c r="B1070" s="662" t="s">
        <v>159</v>
      </c>
      <c r="C1070" s="662"/>
      <c r="D1070" s="663" t="s">
        <v>212</v>
      </c>
      <c r="E1070" s="663"/>
      <c r="F1070" s="664" t="s">
        <v>162</v>
      </c>
      <c r="G1070" s="665"/>
      <c r="H1070" s="754" t="s">
        <v>162</v>
      </c>
      <c r="I1070" s="714"/>
      <c r="J1070" s="715"/>
      <c r="K1070" s="716"/>
      <c r="L1070" s="715"/>
      <c r="M1070" s="716"/>
      <c r="N1070" s="215"/>
      <c r="O1070" s="216"/>
      <c r="P1070" s="670"/>
      <c r="Q1070" s="671"/>
      <c r="R1070" s="719"/>
      <c r="S1070" s="720"/>
      <c r="T1070" s="721"/>
      <c r="U1070" s="722"/>
      <c r="V1070" s="676"/>
      <c r="W1070" s="677"/>
      <c r="X1070" s="678" t="s">
        <v>159</v>
      </c>
      <c r="Y1070" s="678"/>
      <c r="Z1070" s="678"/>
      <c r="AA1070" s="678"/>
      <c r="AB1070" s="679" t="s">
        <v>159</v>
      </c>
      <c r="AC1070" s="679"/>
      <c r="AD1070" s="679"/>
      <c r="AE1070" s="679"/>
      <c r="AF1070" s="680"/>
      <c r="AG1070" s="681"/>
      <c r="AH1070" s="680"/>
      <c r="AI1070" s="681"/>
      <c r="AJ1070" s="682"/>
      <c r="AK1070" s="683"/>
      <c r="AL1070" s="684" t="s">
        <v>162</v>
      </c>
      <c r="AM1070" s="685"/>
      <c r="AN1070" s="666" t="s">
        <v>162</v>
      </c>
      <c r="AO1070" s="667"/>
      <c r="AP1070" s="686"/>
      <c r="AQ1070" s="687"/>
      <c r="AR1070" s="688"/>
      <c r="AS1070" s="689"/>
      <c r="AT1070" s="690"/>
      <c r="AU1070" s="691"/>
      <c r="AV1070" s="666" t="s">
        <v>162</v>
      </c>
      <c r="AW1070" s="667"/>
      <c r="AX1070" s="692"/>
      <c r="AY1070" s="693"/>
      <c r="AZ1070" s="694"/>
      <c r="BA1070" s="682"/>
      <c r="BB1070" s="683"/>
      <c r="BC1070" s="14"/>
      <c r="BD1070" s="695" t="s">
        <v>162</v>
      </c>
      <c r="BE1070" s="696"/>
      <c r="BF1070" s="697"/>
      <c r="BG1070" s="698"/>
      <c r="BH1070" s="698"/>
      <c r="BI1070" s="699"/>
      <c r="BJ1070" s="700" t="s">
        <v>159</v>
      </c>
      <c r="BK1070" s="701"/>
      <c r="BL1070" s="701"/>
      <c r="BM1070" s="702"/>
      <c r="BN1070" s="703" t="s">
        <v>159</v>
      </c>
      <c r="BO1070" s="704"/>
      <c r="BP1070" s="704"/>
      <c r="BQ1070" s="704"/>
      <c r="BR1070" s="704"/>
      <c r="BS1070" s="704"/>
      <c r="BT1070" s="704"/>
      <c r="BU1070" s="704"/>
      <c r="BV1070" s="705"/>
    </row>
    <row r="1071" spans="1:74" ht="45" customHeight="1" x14ac:dyDescent="0.25">
      <c r="A1071" s="10">
        <f t="shared" si="16"/>
        <v>1057</v>
      </c>
      <c r="B1071" s="711" t="s">
        <v>159</v>
      </c>
      <c r="C1071" s="711"/>
      <c r="D1071" s="712" t="s">
        <v>212</v>
      </c>
      <c r="E1071" s="712"/>
      <c r="F1071" s="664" t="s">
        <v>162</v>
      </c>
      <c r="G1071" s="665"/>
      <c r="H1071" s="755" t="s">
        <v>162</v>
      </c>
      <c r="I1071" s="667"/>
      <c r="J1071" s="706"/>
      <c r="K1071" s="707"/>
      <c r="L1071" s="706"/>
      <c r="M1071" s="707"/>
      <c r="N1071" s="194"/>
      <c r="O1071" s="196"/>
      <c r="P1071" s="717"/>
      <c r="Q1071" s="718"/>
      <c r="R1071" s="672"/>
      <c r="S1071" s="673"/>
      <c r="T1071" s="674"/>
      <c r="U1071" s="675"/>
      <c r="V1071" s="723"/>
      <c r="W1071" s="724"/>
      <c r="X1071" s="725" t="s">
        <v>159</v>
      </c>
      <c r="Y1071" s="725"/>
      <c r="Z1071" s="725"/>
      <c r="AA1071" s="725"/>
      <c r="AB1071" s="726" t="s">
        <v>159</v>
      </c>
      <c r="AC1071" s="726"/>
      <c r="AD1071" s="726"/>
      <c r="AE1071" s="726"/>
      <c r="AF1071" s="727"/>
      <c r="AG1071" s="728"/>
      <c r="AH1071" s="727"/>
      <c r="AI1071" s="728"/>
      <c r="AJ1071" s="682"/>
      <c r="AK1071" s="683"/>
      <c r="AL1071" s="664" t="s">
        <v>162</v>
      </c>
      <c r="AM1071" s="665"/>
      <c r="AN1071" s="713" t="s">
        <v>162</v>
      </c>
      <c r="AO1071" s="714"/>
      <c r="AP1071" s="729"/>
      <c r="AQ1071" s="730"/>
      <c r="AR1071" s="731"/>
      <c r="AS1071" s="732"/>
      <c r="AT1071" s="733"/>
      <c r="AU1071" s="734"/>
      <c r="AV1071" s="713" t="s">
        <v>162</v>
      </c>
      <c r="AW1071" s="714"/>
      <c r="AX1071" s="692"/>
      <c r="AY1071" s="693"/>
      <c r="AZ1071" s="694"/>
      <c r="BA1071" s="735"/>
      <c r="BB1071" s="736"/>
      <c r="BC1071" s="219"/>
      <c r="BD1071" s="737" t="s">
        <v>162</v>
      </c>
      <c r="BE1071" s="738"/>
      <c r="BF1071" s="739"/>
      <c r="BG1071" s="740"/>
      <c r="BH1071" s="740"/>
      <c r="BI1071" s="741"/>
      <c r="BJ1071" s="742" t="s">
        <v>159</v>
      </c>
      <c r="BK1071" s="743"/>
      <c r="BL1071" s="743"/>
      <c r="BM1071" s="744"/>
      <c r="BN1071" s="703" t="s">
        <v>159</v>
      </c>
      <c r="BO1071" s="704"/>
      <c r="BP1071" s="704"/>
      <c r="BQ1071" s="704"/>
      <c r="BR1071" s="704"/>
      <c r="BS1071" s="704"/>
      <c r="BT1071" s="704"/>
      <c r="BU1071" s="704"/>
      <c r="BV1071" s="705"/>
    </row>
    <row r="1072" spans="1:74" ht="45" customHeight="1" x14ac:dyDescent="0.25">
      <c r="A1072" s="10">
        <f t="shared" si="16"/>
        <v>1058</v>
      </c>
      <c r="B1072" s="662" t="s">
        <v>159</v>
      </c>
      <c r="C1072" s="662"/>
      <c r="D1072" s="663" t="s">
        <v>212</v>
      </c>
      <c r="E1072" s="663"/>
      <c r="F1072" s="664" t="s">
        <v>162</v>
      </c>
      <c r="G1072" s="665"/>
      <c r="H1072" s="754" t="s">
        <v>162</v>
      </c>
      <c r="I1072" s="714"/>
      <c r="J1072" s="715"/>
      <c r="K1072" s="716"/>
      <c r="L1072" s="715"/>
      <c r="M1072" s="716"/>
      <c r="N1072" s="215"/>
      <c r="O1072" s="216"/>
      <c r="P1072" s="670"/>
      <c r="Q1072" s="671"/>
      <c r="R1072" s="719"/>
      <c r="S1072" s="720"/>
      <c r="T1072" s="721"/>
      <c r="U1072" s="722"/>
      <c r="V1072" s="676"/>
      <c r="W1072" s="677"/>
      <c r="X1072" s="678" t="s">
        <v>159</v>
      </c>
      <c r="Y1072" s="678"/>
      <c r="Z1072" s="678"/>
      <c r="AA1072" s="678"/>
      <c r="AB1072" s="679" t="s">
        <v>159</v>
      </c>
      <c r="AC1072" s="679"/>
      <c r="AD1072" s="679"/>
      <c r="AE1072" s="679"/>
      <c r="AF1072" s="680"/>
      <c r="AG1072" s="681"/>
      <c r="AH1072" s="680"/>
      <c r="AI1072" s="681"/>
      <c r="AJ1072" s="682"/>
      <c r="AK1072" s="683"/>
      <c r="AL1072" s="684" t="s">
        <v>162</v>
      </c>
      <c r="AM1072" s="685"/>
      <c r="AN1072" s="666" t="s">
        <v>162</v>
      </c>
      <c r="AO1072" s="667"/>
      <c r="AP1072" s="686"/>
      <c r="AQ1072" s="687"/>
      <c r="AR1072" s="688"/>
      <c r="AS1072" s="689"/>
      <c r="AT1072" s="690"/>
      <c r="AU1072" s="691"/>
      <c r="AV1072" s="666" t="s">
        <v>162</v>
      </c>
      <c r="AW1072" s="667"/>
      <c r="AX1072" s="692"/>
      <c r="AY1072" s="693"/>
      <c r="AZ1072" s="694"/>
      <c r="BA1072" s="682"/>
      <c r="BB1072" s="683"/>
      <c r="BC1072" s="14"/>
      <c r="BD1072" s="695" t="s">
        <v>162</v>
      </c>
      <c r="BE1072" s="696"/>
      <c r="BF1072" s="708"/>
      <c r="BG1072" s="709"/>
      <c r="BH1072" s="709"/>
      <c r="BI1072" s="710"/>
      <c r="BJ1072" s="700" t="s">
        <v>159</v>
      </c>
      <c r="BK1072" s="701"/>
      <c r="BL1072" s="701"/>
      <c r="BM1072" s="702"/>
      <c r="BN1072" s="703" t="s">
        <v>159</v>
      </c>
      <c r="BO1072" s="704"/>
      <c r="BP1072" s="704"/>
      <c r="BQ1072" s="704"/>
      <c r="BR1072" s="704"/>
      <c r="BS1072" s="704"/>
      <c r="BT1072" s="704"/>
      <c r="BU1072" s="704"/>
      <c r="BV1072" s="705"/>
    </row>
    <row r="1073" spans="1:74" ht="45" customHeight="1" x14ac:dyDescent="0.25">
      <c r="A1073" s="10">
        <f t="shared" si="16"/>
        <v>1059</v>
      </c>
      <c r="B1073" s="711" t="s">
        <v>159</v>
      </c>
      <c r="C1073" s="711"/>
      <c r="D1073" s="712" t="s">
        <v>212</v>
      </c>
      <c r="E1073" s="712"/>
      <c r="F1073" s="664" t="s">
        <v>162</v>
      </c>
      <c r="G1073" s="665"/>
      <c r="H1073" s="755" t="s">
        <v>162</v>
      </c>
      <c r="I1073" s="667"/>
      <c r="J1073" s="706"/>
      <c r="K1073" s="707"/>
      <c r="L1073" s="706"/>
      <c r="M1073" s="707"/>
      <c r="N1073" s="194"/>
      <c r="O1073" s="196"/>
      <c r="P1073" s="717"/>
      <c r="Q1073" s="718"/>
      <c r="R1073" s="672"/>
      <c r="S1073" s="673"/>
      <c r="T1073" s="674"/>
      <c r="U1073" s="675"/>
      <c r="V1073" s="723"/>
      <c r="W1073" s="724"/>
      <c r="X1073" s="725" t="s">
        <v>159</v>
      </c>
      <c r="Y1073" s="725"/>
      <c r="Z1073" s="725"/>
      <c r="AA1073" s="725"/>
      <c r="AB1073" s="726" t="s">
        <v>159</v>
      </c>
      <c r="AC1073" s="726"/>
      <c r="AD1073" s="726"/>
      <c r="AE1073" s="726"/>
      <c r="AF1073" s="727"/>
      <c r="AG1073" s="728"/>
      <c r="AH1073" s="727"/>
      <c r="AI1073" s="728"/>
      <c r="AJ1073" s="682"/>
      <c r="AK1073" s="683"/>
      <c r="AL1073" s="664" t="s">
        <v>162</v>
      </c>
      <c r="AM1073" s="665"/>
      <c r="AN1073" s="713" t="s">
        <v>162</v>
      </c>
      <c r="AO1073" s="714"/>
      <c r="AP1073" s="729"/>
      <c r="AQ1073" s="730"/>
      <c r="AR1073" s="731"/>
      <c r="AS1073" s="732"/>
      <c r="AT1073" s="733"/>
      <c r="AU1073" s="734"/>
      <c r="AV1073" s="713" t="s">
        <v>162</v>
      </c>
      <c r="AW1073" s="714"/>
      <c r="AX1073" s="692"/>
      <c r="AY1073" s="693"/>
      <c r="AZ1073" s="694"/>
      <c r="BA1073" s="735"/>
      <c r="BB1073" s="736"/>
      <c r="BC1073" s="219"/>
      <c r="BD1073" s="737" t="s">
        <v>162</v>
      </c>
      <c r="BE1073" s="738"/>
      <c r="BF1073" s="739"/>
      <c r="BG1073" s="740"/>
      <c r="BH1073" s="740"/>
      <c r="BI1073" s="741"/>
      <c r="BJ1073" s="742" t="s">
        <v>159</v>
      </c>
      <c r="BK1073" s="743"/>
      <c r="BL1073" s="743"/>
      <c r="BM1073" s="744"/>
      <c r="BN1073" s="703" t="s">
        <v>159</v>
      </c>
      <c r="BO1073" s="704"/>
      <c r="BP1073" s="704"/>
      <c r="BQ1073" s="704"/>
      <c r="BR1073" s="704"/>
      <c r="BS1073" s="704"/>
      <c r="BT1073" s="704"/>
      <c r="BU1073" s="704"/>
      <c r="BV1073" s="705"/>
    </row>
    <row r="1074" spans="1:74" ht="45" customHeight="1" x14ac:dyDescent="0.25">
      <c r="A1074" s="10">
        <f t="shared" si="16"/>
        <v>1060</v>
      </c>
      <c r="B1074" s="662" t="s">
        <v>159</v>
      </c>
      <c r="C1074" s="662"/>
      <c r="D1074" s="663" t="s">
        <v>212</v>
      </c>
      <c r="E1074" s="663"/>
      <c r="F1074" s="664" t="s">
        <v>162</v>
      </c>
      <c r="G1074" s="665"/>
      <c r="H1074" s="754" t="s">
        <v>162</v>
      </c>
      <c r="I1074" s="714"/>
      <c r="J1074" s="715"/>
      <c r="K1074" s="716"/>
      <c r="L1074" s="715"/>
      <c r="M1074" s="716"/>
      <c r="N1074" s="215"/>
      <c r="O1074" s="216"/>
      <c r="P1074" s="670"/>
      <c r="Q1074" s="671"/>
      <c r="R1074" s="719"/>
      <c r="S1074" s="720"/>
      <c r="T1074" s="721"/>
      <c r="U1074" s="722"/>
      <c r="V1074" s="676"/>
      <c r="W1074" s="677"/>
      <c r="X1074" s="678" t="s">
        <v>159</v>
      </c>
      <c r="Y1074" s="678"/>
      <c r="Z1074" s="678"/>
      <c r="AA1074" s="678"/>
      <c r="AB1074" s="679" t="s">
        <v>159</v>
      </c>
      <c r="AC1074" s="679"/>
      <c r="AD1074" s="679"/>
      <c r="AE1074" s="679"/>
      <c r="AF1074" s="680"/>
      <c r="AG1074" s="681"/>
      <c r="AH1074" s="680"/>
      <c r="AI1074" s="681"/>
      <c r="AJ1074" s="682"/>
      <c r="AK1074" s="683"/>
      <c r="AL1074" s="684" t="s">
        <v>162</v>
      </c>
      <c r="AM1074" s="685"/>
      <c r="AN1074" s="666" t="s">
        <v>162</v>
      </c>
      <c r="AO1074" s="667"/>
      <c r="AP1074" s="686"/>
      <c r="AQ1074" s="687"/>
      <c r="AR1074" s="688"/>
      <c r="AS1074" s="689"/>
      <c r="AT1074" s="690"/>
      <c r="AU1074" s="691"/>
      <c r="AV1074" s="666" t="s">
        <v>162</v>
      </c>
      <c r="AW1074" s="667"/>
      <c r="AX1074" s="692"/>
      <c r="AY1074" s="693"/>
      <c r="AZ1074" s="694"/>
      <c r="BA1074" s="682"/>
      <c r="BB1074" s="683"/>
      <c r="BC1074" s="14"/>
      <c r="BD1074" s="695" t="s">
        <v>162</v>
      </c>
      <c r="BE1074" s="696"/>
      <c r="BF1074" s="697"/>
      <c r="BG1074" s="698"/>
      <c r="BH1074" s="698"/>
      <c r="BI1074" s="699"/>
      <c r="BJ1074" s="700" t="s">
        <v>159</v>
      </c>
      <c r="BK1074" s="701"/>
      <c r="BL1074" s="701"/>
      <c r="BM1074" s="702"/>
      <c r="BN1074" s="703" t="s">
        <v>159</v>
      </c>
      <c r="BO1074" s="704"/>
      <c r="BP1074" s="704"/>
      <c r="BQ1074" s="704"/>
      <c r="BR1074" s="704"/>
      <c r="BS1074" s="704"/>
      <c r="BT1074" s="704"/>
      <c r="BU1074" s="704"/>
      <c r="BV1074" s="705"/>
    </row>
    <row r="1075" spans="1:74" ht="45" customHeight="1" x14ac:dyDescent="0.25">
      <c r="A1075" s="10">
        <f t="shared" si="16"/>
        <v>1061</v>
      </c>
      <c r="B1075" s="711" t="s">
        <v>159</v>
      </c>
      <c r="C1075" s="711"/>
      <c r="D1075" s="712" t="s">
        <v>212</v>
      </c>
      <c r="E1075" s="712"/>
      <c r="F1075" s="664" t="s">
        <v>162</v>
      </c>
      <c r="G1075" s="665"/>
      <c r="H1075" s="755" t="s">
        <v>162</v>
      </c>
      <c r="I1075" s="667"/>
      <c r="J1075" s="706"/>
      <c r="K1075" s="707"/>
      <c r="L1075" s="706"/>
      <c r="M1075" s="707"/>
      <c r="N1075" s="194"/>
      <c r="O1075" s="196"/>
      <c r="P1075" s="717"/>
      <c r="Q1075" s="718"/>
      <c r="R1075" s="672"/>
      <c r="S1075" s="673"/>
      <c r="T1075" s="674"/>
      <c r="U1075" s="675"/>
      <c r="V1075" s="723"/>
      <c r="W1075" s="724"/>
      <c r="X1075" s="725" t="s">
        <v>159</v>
      </c>
      <c r="Y1075" s="725"/>
      <c r="Z1075" s="725"/>
      <c r="AA1075" s="725"/>
      <c r="AB1075" s="726" t="s">
        <v>159</v>
      </c>
      <c r="AC1075" s="726"/>
      <c r="AD1075" s="726"/>
      <c r="AE1075" s="726"/>
      <c r="AF1075" s="727"/>
      <c r="AG1075" s="728"/>
      <c r="AH1075" s="727"/>
      <c r="AI1075" s="728"/>
      <c r="AJ1075" s="682"/>
      <c r="AK1075" s="683"/>
      <c r="AL1075" s="664" t="s">
        <v>162</v>
      </c>
      <c r="AM1075" s="665"/>
      <c r="AN1075" s="713" t="s">
        <v>162</v>
      </c>
      <c r="AO1075" s="714"/>
      <c r="AP1075" s="729"/>
      <c r="AQ1075" s="730"/>
      <c r="AR1075" s="731"/>
      <c r="AS1075" s="732"/>
      <c r="AT1075" s="733"/>
      <c r="AU1075" s="734"/>
      <c r="AV1075" s="713" t="s">
        <v>162</v>
      </c>
      <c r="AW1075" s="714"/>
      <c r="AX1075" s="692"/>
      <c r="AY1075" s="693"/>
      <c r="AZ1075" s="694"/>
      <c r="BA1075" s="735"/>
      <c r="BB1075" s="736"/>
      <c r="BC1075" s="219"/>
      <c r="BD1075" s="737" t="s">
        <v>162</v>
      </c>
      <c r="BE1075" s="738"/>
      <c r="BF1075" s="739"/>
      <c r="BG1075" s="740"/>
      <c r="BH1075" s="740"/>
      <c r="BI1075" s="741"/>
      <c r="BJ1075" s="742" t="s">
        <v>159</v>
      </c>
      <c r="BK1075" s="743"/>
      <c r="BL1075" s="743"/>
      <c r="BM1075" s="744"/>
      <c r="BN1075" s="703" t="s">
        <v>159</v>
      </c>
      <c r="BO1075" s="704"/>
      <c r="BP1075" s="704"/>
      <c r="BQ1075" s="704"/>
      <c r="BR1075" s="704"/>
      <c r="BS1075" s="704"/>
      <c r="BT1075" s="704"/>
      <c r="BU1075" s="704"/>
      <c r="BV1075" s="705"/>
    </row>
    <row r="1076" spans="1:74" ht="45" customHeight="1" x14ac:dyDescent="0.25">
      <c r="A1076" s="10">
        <f t="shared" si="16"/>
        <v>1062</v>
      </c>
      <c r="B1076" s="662" t="s">
        <v>159</v>
      </c>
      <c r="C1076" s="662"/>
      <c r="D1076" s="663" t="s">
        <v>212</v>
      </c>
      <c r="E1076" s="663"/>
      <c r="F1076" s="664" t="s">
        <v>162</v>
      </c>
      <c r="G1076" s="665"/>
      <c r="H1076" s="754" t="s">
        <v>162</v>
      </c>
      <c r="I1076" s="714"/>
      <c r="J1076" s="715"/>
      <c r="K1076" s="716"/>
      <c r="L1076" s="715"/>
      <c r="M1076" s="716"/>
      <c r="N1076" s="194"/>
      <c r="O1076" s="196"/>
      <c r="P1076" s="717"/>
      <c r="Q1076" s="718"/>
      <c r="R1076" s="672"/>
      <c r="S1076" s="673"/>
      <c r="T1076" s="674"/>
      <c r="U1076" s="675"/>
      <c r="V1076" s="676"/>
      <c r="W1076" s="677"/>
      <c r="X1076" s="678" t="s">
        <v>159</v>
      </c>
      <c r="Y1076" s="678"/>
      <c r="Z1076" s="678"/>
      <c r="AA1076" s="678"/>
      <c r="AB1076" s="679" t="s">
        <v>159</v>
      </c>
      <c r="AC1076" s="679"/>
      <c r="AD1076" s="679"/>
      <c r="AE1076" s="679"/>
      <c r="AF1076" s="680"/>
      <c r="AG1076" s="681"/>
      <c r="AH1076" s="680"/>
      <c r="AI1076" s="681"/>
      <c r="AJ1076" s="682"/>
      <c r="AK1076" s="683"/>
      <c r="AL1076" s="684" t="s">
        <v>162</v>
      </c>
      <c r="AM1076" s="685"/>
      <c r="AN1076" s="666" t="s">
        <v>162</v>
      </c>
      <c r="AO1076" s="667"/>
      <c r="AP1076" s="686"/>
      <c r="AQ1076" s="687"/>
      <c r="AR1076" s="688"/>
      <c r="AS1076" s="689"/>
      <c r="AT1076" s="690"/>
      <c r="AU1076" s="691"/>
      <c r="AV1076" s="666" t="s">
        <v>162</v>
      </c>
      <c r="AW1076" s="667"/>
      <c r="AX1076" s="692"/>
      <c r="AY1076" s="693"/>
      <c r="AZ1076" s="694"/>
      <c r="BA1076" s="682"/>
      <c r="BB1076" s="683"/>
      <c r="BC1076" s="14"/>
      <c r="BD1076" s="695" t="s">
        <v>162</v>
      </c>
      <c r="BE1076" s="696"/>
      <c r="BF1076" s="697"/>
      <c r="BG1076" s="698"/>
      <c r="BH1076" s="698"/>
      <c r="BI1076" s="699"/>
      <c r="BJ1076" s="700" t="s">
        <v>159</v>
      </c>
      <c r="BK1076" s="701"/>
      <c r="BL1076" s="701"/>
      <c r="BM1076" s="702"/>
      <c r="BN1076" s="703" t="s">
        <v>159</v>
      </c>
      <c r="BO1076" s="704"/>
      <c r="BP1076" s="704"/>
      <c r="BQ1076" s="704"/>
      <c r="BR1076" s="704"/>
      <c r="BS1076" s="704"/>
      <c r="BT1076" s="704"/>
      <c r="BU1076" s="704"/>
      <c r="BV1076" s="705"/>
    </row>
    <row r="1077" spans="1:74" ht="45" customHeight="1" x14ac:dyDescent="0.25">
      <c r="A1077" s="10">
        <f t="shared" si="16"/>
        <v>1063</v>
      </c>
      <c r="B1077" s="711" t="s">
        <v>159</v>
      </c>
      <c r="C1077" s="711"/>
      <c r="D1077" s="712" t="s">
        <v>212</v>
      </c>
      <c r="E1077" s="712"/>
      <c r="F1077" s="664" t="s">
        <v>162</v>
      </c>
      <c r="G1077" s="665"/>
      <c r="H1077" s="755" t="s">
        <v>162</v>
      </c>
      <c r="I1077" s="667"/>
      <c r="J1077" s="706"/>
      <c r="K1077" s="707"/>
      <c r="L1077" s="706"/>
      <c r="M1077" s="707"/>
      <c r="N1077" s="215"/>
      <c r="O1077" s="216"/>
      <c r="P1077" s="670"/>
      <c r="Q1077" s="671"/>
      <c r="R1077" s="719"/>
      <c r="S1077" s="720"/>
      <c r="T1077" s="721"/>
      <c r="U1077" s="722"/>
      <c r="V1077" s="723"/>
      <c r="W1077" s="724"/>
      <c r="X1077" s="725" t="s">
        <v>159</v>
      </c>
      <c r="Y1077" s="725"/>
      <c r="Z1077" s="725"/>
      <c r="AA1077" s="725"/>
      <c r="AB1077" s="726" t="s">
        <v>159</v>
      </c>
      <c r="AC1077" s="726"/>
      <c r="AD1077" s="726"/>
      <c r="AE1077" s="726"/>
      <c r="AF1077" s="727"/>
      <c r="AG1077" s="728"/>
      <c r="AH1077" s="727"/>
      <c r="AI1077" s="728"/>
      <c r="AJ1077" s="682"/>
      <c r="AK1077" s="683"/>
      <c r="AL1077" s="664" t="s">
        <v>162</v>
      </c>
      <c r="AM1077" s="665"/>
      <c r="AN1077" s="713" t="s">
        <v>162</v>
      </c>
      <c r="AO1077" s="714"/>
      <c r="AP1077" s="729"/>
      <c r="AQ1077" s="730"/>
      <c r="AR1077" s="731"/>
      <c r="AS1077" s="732"/>
      <c r="AT1077" s="733"/>
      <c r="AU1077" s="734"/>
      <c r="AV1077" s="713" t="s">
        <v>162</v>
      </c>
      <c r="AW1077" s="714"/>
      <c r="AX1077" s="692"/>
      <c r="AY1077" s="693"/>
      <c r="AZ1077" s="694"/>
      <c r="BA1077" s="735"/>
      <c r="BB1077" s="736"/>
      <c r="BC1077" s="219"/>
      <c r="BD1077" s="737" t="s">
        <v>162</v>
      </c>
      <c r="BE1077" s="738"/>
      <c r="BF1077" s="739"/>
      <c r="BG1077" s="740"/>
      <c r="BH1077" s="740"/>
      <c r="BI1077" s="741"/>
      <c r="BJ1077" s="742" t="s">
        <v>159</v>
      </c>
      <c r="BK1077" s="743"/>
      <c r="BL1077" s="743"/>
      <c r="BM1077" s="744"/>
      <c r="BN1077" s="703" t="s">
        <v>159</v>
      </c>
      <c r="BO1077" s="704"/>
      <c r="BP1077" s="704"/>
      <c r="BQ1077" s="704"/>
      <c r="BR1077" s="704"/>
      <c r="BS1077" s="704"/>
      <c r="BT1077" s="704"/>
      <c r="BU1077" s="704"/>
      <c r="BV1077" s="705"/>
    </row>
    <row r="1078" spans="1:74" ht="45" customHeight="1" x14ac:dyDescent="0.25">
      <c r="A1078" s="10">
        <f t="shared" si="16"/>
        <v>1064</v>
      </c>
      <c r="B1078" s="662" t="s">
        <v>159</v>
      </c>
      <c r="C1078" s="662"/>
      <c r="D1078" s="663" t="s">
        <v>212</v>
      </c>
      <c r="E1078" s="663"/>
      <c r="F1078" s="664" t="s">
        <v>162</v>
      </c>
      <c r="G1078" s="665"/>
      <c r="H1078" s="754" t="s">
        <v>162</v>
      </c>
      <c r="I1078" s="714"/>
      <c r="J1078" s="715"/>
      <c r="K1078" s="716"/>
      <c r="L1078" s="715"/>
      <c r="M1078" s="716"/>
      <c r="N1078" s="194"/>
      <c r="O1078" s="196"/>
      <c r="P1078" s="717"/>
      <c r="Q1078" s="718"/>
      <c r="R1078" s="672"/>
      <c r="S1078" s="673"/>
      <c r="T1078" s="674"/>
      <c r="U1078" s="675"/>
      <c r="V1078" s="676"/>
      <c r="W1078" s="677"/>
      <c r="X1078" s="678" t="s">
        <v>159</v>
      </c>
      <c r="Y1078" s="678"/>
      <c r="Z1078" s="678"/>
      <c r="AA1078" s="678"/>
      <c r="AB1078" s="679" t="s">
        <v>159</v>
      </c>
      <c r="AC1078" s="679"/>
      <c r="AD1078" s="679"/>
      <c r="AE1078" s="679"/>
      <c r="AF1078" s="680"/>
      <c r="AG1078" s="681"/>
      <c r="AH1078" s="680"/>
      <c r="AI1078" s="681"/>
      <c r="AJ1078" s="682"/>
      <c r="AK1078" s="683"/>
      <c r="AL1078" s="684" t="s">
        <v>162</v>
      </c>
      <c r="AM1078" s="685"/>
      <c r="AN1078" s="666" t="s">
        <v>162</v>
      </c>
      <c r="AO1078" s="667"/>
      <c r="AP1078" s="686"/>
      <c r="AQ1078" s="687"/>
      <c r="AR1078" s="688"/>
      <c r="AS1078" s="689"/>
      <c r="AT1078" s="690"/>
      <c r="AU1078" s="691"/>
      <c r="AV1078" s="666" t="s">
        <v>162</v>
      </c>
      <c r="AW1078" s="667"/>
      <c r="AX1078" s="692"/>
      <c r="AY1078" s="693"/>
      <c r="AZ1078" s="694"/>
      <c r="BA1078" s="682"/>
      <c r="BB1078" s="683"/>
      <c r="BC1078" s="14"/>
      <c r="BD1078" s="695" t="s">
        <v>162</v>
      </c>
      <c r="BE1078" s="696"/>
      <c r="BF1078" s="708"/>
      <c r="BG1078" s="709"/>
      <c r="BH1078" s="709"/>
      <c r="BI1078" s="710"/>
      <c r="BJ1078" s="700" t="s">
        <v>159</v>
      </c>
      <c r="BK1078" s="701"/>
      <c r="BL1078" s="701"/>
      <c r="BM1078" s="702"/>
      <c r="BN1078" s="703" t="s">
        <v>159</v>
      </c>
      <c r="BO1078" s="704"/>
      <c r="BP1078" s="704"/>
      <c r="BQ1078" s="704"/>
      <c r="BR1078" s="704"/>
      <c r="BS1078" s="704"/>
      <c r="BT1078" s="704"/>
      <c r="BU1078" s="704"/>
      <c r="BV1078" s="705"/>
    </row>
    <row r="1079" spans="1:74" ht="45" customHeight="1" x14ac:dyDescent="0.25">
      <c r="A1079" s="10">
        <f t="shared" si="16"/>
        <v>1065</v>
      </c>
      <c r="B1079" s="711" t="s">
        <v>159</v>
      </c>
      <c r="C1079" s="711"/>
      <c r="D1079" s="712" t="s">
        <v>212</v>
      </c>
      <c r="E1079" s="712"/>
      <c r="F1079" s="664" t="s">
        <v>162</v>
      </c>
      <c r="G1079" s="665"/>
      <c r="H1079" s="755" t="s">
        <v>162</v>
      </c>
      <c r="I1079" s="667"/>
      <c r="J1079" s="706"/>
      <c r="K1079" s="707"/>
      <c r="L1079" s="706"/>
      <c r="M1079" s="707"/>
      <c r="N1079" s="215"/>
      <c r="O1079" s="216"/>
      <c r="P1079" s="670"/>
      <c r="Q1079" s="671"/>
      <c r="R1079" s="719"/>
      <c r="S1079" s="720"/>
      <c r="T1079" s="721"/>
      <c r="U1079" s="722"/>
      <c r="V1079" s="723"/>
      <c r="W1079" s="724"/>
      <c r="X1079" s="725" t="s">
        <v>159</v>
      </c>
      <c r="Y1079" s="725"/>
      <c r="Z1079" s="725"/>
      <c r="AA1079" s="725"/>
      <c r="AB1079" s="726" t="s">
        <v>159</v>
      </c>
      <c r="AC1079" s="726"/>
      <c r="AD1079" s="726"/>
      <c r="AE1079" s="726"/>
      <c r="AF1079" s="727"/>
      <c r="AG1079" s="728"/>
      <c r="AH1079" s="727"/>
      <c r="AI1079" s="728"/>
      <c r="AJ1079" s="682"/>
      <c r="AK1079" s="683"/>
      <c r="AL1079" s="664" t="s">
        <v>162</v>
      </c>
      <c r="AM1079" s="665"/>
      <c r="AN1079" s="713" t="s">
        <v>162</v>
      </c>
      <c r="AO1079" s="714"/>
      <c r="AP1079" s="729"/>
      <c r="AQ1079" s="730"/>
      <c r="AR1079" s="731"/>
      <c r="AS1079" s="732"/>
      <c r="AT1079" s="733"/>
      <c r="AU1079" s="734"/>
      <c r="AV1079" s="713" t="s">
        <v>162</v>
      </c>
      <c r="AW1079" s="714"/>
      <c r="AX1079" s="692"/>
      <c r="AY1079" s="693"/>
      <c r="AZ1079" s="694"/>
      <c r="BA1079" s="735"/>
      <c r="BB1079" s="736"/>
      <c r="BC1079" s="219"/>
      <c r="BD1079" s="737" t="s">
        <v>162</v>
      </c>
      <c r="BE1079" s="738"/>
      <c r="BF1079" s="739"/>
      <c r="BG1079" s="740"/>
      <c r="BH1079" s="740"/>
      <c r="BI1079" s="741"/>
      <c r="BJ1079" s="742" t="s">
        <v>159</v>
      </c>
      <c r="BK1079" s="743"/>
      <c r="BL1079" s="743"/>
      <c r="BM1079" s="744"/>
      <c r="BN1079" s="703" t="s">
        <v>159</v>
      </c>
      <c r="BO1079" s="704"/>
      <c r="BP1079" s="704"/>
      <c r="BQ1079" s="704"/>
      <c r="BR1079" s="704"/>
      <c r="BS1079" s="704"/>
      <c r="BT1079" s="704"/>
      <c r="BU1079" s="704"/>
      <c r="BV1079" s="705"/>
    </row>
    <row r="1080" spans="1:74" ht="45" customHeight="1" x14ac:dyDescent="0.25">
      <c r="A1080" s="10">
        <f t="shared" si="16"/>
        <v>1066</v>
      </c>
      <c r="B1080" s="662" t="s">
        <v>159</v>
      </c>
      <c r="C1080" s="662"/>
      <c r="D1080" s="663" t="s">
        <v>212</v>
      </c>
      <c r="E1080" s="663"/>
      <c r="F1080" s="664" t="s">
        <v>162</v>
      </c>
      <c r="G1080" s="665"/>
      <c r="H1080" s="754" t="s">
        <v>162</v>
      </c>
      <c r="I1080" s="714"/>
      <c r="J1080" s="715"/>
      <c r="K1080" s="716"/>
      <c r="L1080" s="715"/>
      <c r="M1080" s="716"/>
      <c r="N1080" s="194"/>
      <c r="O1080" s="196"/>
      <c r="P1080" s="717"/>
      <c r="Q1080" s="718"/>
      <c r="R1080" s="672"/>
      <c r="S1080" s="673"/>
      <c r="T1080" s="674"/>
      <c r="U1080" s="675"/>
      <c r="V1080" s="676"/>
      <c r="W1080" s="677"/>
      <c r="X1080" s="678" t="s">
        <v>159</v>
      </c>
      <c r="Y1080" s="678"/>
      <c r="Z1080" s="678"/>
      <c r="AA1080" s="678"/>
      <c r="AB1080" s="679" t="s">
        <v>159</v>
      </c>
      <c r="AC1080" s="679"/>
      <c r="AD1080" s="679"/>
      <c r="AE1080" s="679"/>
      <c r="AF1080" s="680"/>
      <c r="AG1080" s="681"/>
      <c r="AH1080" s="680"/>
      <c r="AI1080" s="681"/>
      <c r="AJ1080" s="682"/>
      <c r="AK1080" s="683"/>
      <c r="AL1080" s="684" t="s">
        <v>162</v>
      </c>
      <c r="AM1080" s="685"/>
      <c r="AN1080" s="666" t="s">
        <v>162</v>
      </c>
      <c r="AO1080" s="667"/>
      <c r="AP1080" s="686"/>
      <c r="AQ1080" s="687"/>
      <c r="AR1080" s="688"/>
      <c r="AS1080" s="689"/>
      <c r="AT1080" s="690"/>
      <c r="AU1080" s="691"/>
      <c r="AV1080" s="666" t="s">
        <v>162</v>
      </c>
      <c r="AW1080" s="667"/>
      <c r="AX1080" s="692"/>
      <c r="AY1080" s="693"/>
      <c r="AZ1080" s="694"/>
      <c r="BA1080" s="682"/>
      <c r="BB1080" s="683"/>
      <c r="BC1080" s="14"/>
      <c r="BD1080" s="695" t="s">
        <v>162</v>
      </c>
      <c r="BE1080" s="696"/>
      <c r="BF1080" s="697"/>
      <c r="BG1080" s="698"/>
      <c r="BH1080" s="698"/>
      <c r="BI1080" s="699"/>
      <c r="BJ1080" s="700" t="s">
        <v>159</v>
      </c>
      <c r="BK1080" s="701"/>
      <c r="BL1080" s="701"/>
      <c r="BM1080" s="702"/>
      <c r="BN1080" s="703" t="s">
        <v>159</v>
      </c>
      <c r="BO1080" s="704"/>
      <c r="BP1080" s="704"/>
      <c r="BQ1080" s="704"/>
      <c r="BR1080" s="704"/>
      <c r="BS1080" s="704"/>
      <c r="BT1080" s="704"/>
      <c r="BU1080" s="704"/>
      <c r="BV1080" s="705"/>
    </row>
    <row r="1081" spans="1:74" ht="45" customHeight="1" x14ac:dyDescent="0.25">
      <c r="A1081" s="10">
        <f t="shared" si="16"/>
        <v>1067</v>
      </c>
      <c r="B1081" s="711" t="s">
        <v>159</v>
      </c>
      <c r="C1081" s="711"/>
      <c r="D1081" s="712" t="s">
        <v>212</v>
      </c>
      <c r="E1081" s="712"/>
      <c r="F1081" s="664" t="s">
        <v>162</v>
      </c>
      <c r="G1081" s="665"/>
      <c r="H1081" s="755" t="s">
        <v>162</v>
      </c>
      <c r="I1081" s="667"/>
      <c r="J1081" s="706"/>
      <c r="K1081" s="707"/>
      <c r="L1081" s="706"/>
      <c r="M1081" s="707"/>
      <c r="N1081" s="215"/>
      <c r="O1081" s="216"/>
      <c r="P1081" s="670"/>
      <c r="Q1081" s="671"/>
      <c r="R1081" s="719"/>
      <c r="S1081" s="720"/>
      <c r="T1081" s="721"/>
      <c r="U1081" s="722"/>
      <c r="V1081" s="723"/>
      <c r="W1081" s="724"/>
      <c r="X1081" s="725" t="s">
        <v>159</v>
      </c>
      <c r="Y1081" s="725"/>
      <c r="Z1081" s="725"/>
      <c r="AA1081" s="725"/>
      <c r="AB1081" s="726" t="s">
        <v>159</v>
      </c>
      <c r="AC1081" s="726"/>
      <c r="AD1081" s="726"/>
      <c r="AE1081" s="726"/>
      <c r="AF1081" s="727"/>
      <c r="AG1081" s="728"/>
      <c r="AH1081" s="727"/>
      <c r="AI1081" s="728"/>
      <c r="AJ1081" s="682"/>
      <c r="AK1081" s="683"/>
      <c r="AL1081" s="664" t="s">
        <v>162</v>
      </c>
      <c r="AM1081" s="665"/>
      <c r="AN1081" s="713" t="s">
        <v>162</v>
      </c>
      <c r="AO1081" s="714"/>
      <c r="AP1081" s="729"/>
      <c r="AQ1081" s="730"/>
      <c r="AR1081" s="731"/>
      <c r="AS1081" s="732"/>
      <c r="AT1081" s="690"/>
      <c r="AU1081" s="691"/>
      <c r="AV1081" s="713" t="s">
        <v>162</v>
      </c>
      <c r="AW1081" s="714"/>
      <c r="AX1081" s="692"/>
      <c r="AY1081" s="693"/>
      <c r="AZ1081" s="694"/>
      <c r="BA1081" s="735"/>
      <c r="BB1081" s="736"/>
      <c r="BC1081" s="219"/>
      <c r="BD1081" s="737" t="s">
        <v>162</v>
      </c>
      <c r="BE1081" s="738"/>
      <c r="BF1081" s="739"/>
      <c r="BG1081" s="740"/>
      <c r="BH1081" s="740"/>
      <c r="BI1081" s="741"/>
      <c r="BJ1081" s="742" t="s">
        <v>159</v>
      </c>
      <c r="BK1081" s="743"/>
      <c r="BL1081" s="743"/>
      <c r="BM1081" s="744"/>
      <c r="BN1081" s="703" t="s">
        <v>159</v>
      </c>
      <c r="BO1081" s="704"/>
      <c r="BP1081" s="704"/>
      <c r="BQ1081" s="704"/>
      <c r="BR1081" s="704"/>
      <c r="BS1081" s="704"/>
      <c r="BT1081" s="704"/>
      <c r="BU1081" s="704"/>
      <c r="BV1081" s="705"/>
    </row>
    <row r="1082" spans="1:74" ht="45" customHeight="1" x14ac:dyDescent="0.25">
      <c r="A1082" s="10">
        <f t="shared" si="16"/>
        <v>1068</v>
      </c>
      <c r="B1082" s="662" t="s">
        <v>159</v>
      </c>
      <c r="C1082" s="662"/>
      <c r="D1082" s="663" t="s">
        <v>212</v>
      </c>
      <c r="E1082" s="663"/>
      <c r="F1082" s="664" t="s">
        <v>162</v>
      </c>
      <c r="G1082" s="665"/>
      <c r="H1082" s="754" t="s">
        <v>162</v>
      </c>
      <c r="I1082" s="714"/>
      <c r="J1082" s="715"/>
      <c r="K1082" s="716"/>
      <c r="L1082" s="715"/>
      <c r="M1082" s="716"/>
      <c r="N1082" s="194"/>
      <c r="O1082" s="196"/>
      <c r="P1082" s="717"/>
      <c r="Q1082" s="718"/>
      <c r="R1082" s="672"/>
      <c r="S1082" s="673"/>
      <c r="T1082" s="674"/>
      <c r="U1082" s="675"/>
      <c r="V1082" s="676"/>
      <c r="W1082" s="677"/>
      <c r="X1082" s="678" t="s">
        <v>159</v>
      </c>
      <c r="Y1082" s="678"/>
      <c r="Z1082" s="678"/>
      <c r="AA1082" s="678"/>
      <c r="AB1082" s="679" t="s">
        <v>159</v>
      </c>
      <c r="AC1082" s="679"/>
      <c r="AD1082" s="679"/>
      <c r="AE1082" s="679"/>
      <c r="AF1082" s="680"/>
      <c r="AG1082" s="681"/>
      <c r="AH1082" s="680"/>
      <c r="AI1082" s="681"/>
      <c r="AJ1082" s="682"/>
      <c r="AK1082" s="683"/>
      <c r="AL1082" s="684" t="s">
        <v>162</v>
      </c>
      <c r="AM1082" s="685"/>
      <c r="AN1082" s="666" t="s">
        <v>162</v>
      </c>
      <c r="AO1082" s="667"/>
      <c r="AP1082" s="686"/>
      <c r="AQ1082" s="687"/>
      <c r="AR1082" s="688"/>
      <c r="AS1082" s="689"/>
      <c r="AT1082" s="690"/>
      <c r="AU1082" s="691"/>
      <c r="AV1082" s="666" t="s">
        <v>162</v>
      </c>
      <c r="AW1082" s="667"/>
      <c r="AX1082" s="692"/>
      <c r="AY1082" s="693"/>
      <c r="AZ1082" s="694"/>
      <c r="BA1082" s="682"/>
      <c r="BB1082" s="683"/>
      <c r="BC1082" s="14"/>
      <c r="BD1082" s="695" t="s">
        <v>162</v>
      </c>
      <c r="BE1082" s="696"/>
      <c r="BF1082" s="697"/>
      <c r="BG1082" s="698"/>
      <c r="BH1082" s="698"/>
      <c r="BI1082" s="699"/>
      <c r="BJ1082" s="700" t="s">
        <v>159</v>
      </c>
      <c r="BK1082" s="701"/>
      <c r="BL1082" s="701"/>
      <c r="BM1082" s="702"/>
      <c r="BN1082" s="703" t="s">
        <v>159</v>
      </c>
      <c r="BO1082" s="704"/>
      <c r="BP1082" s="704"/>
      <c r="BQ1082" s="704"/>
      <c r="BR1082" s="704"/>
      <c r="BS1082" s="704"/>
      <c r="BT1082" s="704"/>
      <c r="BU1082" s="704"/>
      <c r="BV1082" s="705"/>
    </row>
    <row r="1083" spans="1:74" ht="45" customHeight="1" x14ac:dyDescent="0.25">
      <c r="A1083" s="10">
        <f t="shared" si="16"/>
        <v>1069</v>
      </c>
      <c r="B1083" s="711" t="s">
        <v>159</v>
      </c>
      <c r="C1083" s="711"/>
      <c r="D1083" s="712" t="s">
        <v>212</v>
      </c>
      <c r="E1083" s="712"/>
      <c r="F1083" s="664" t="s">
        <v>162</v>
      </c>
      <c r="G1083" s="665"/>
      <c r="H1083" s="755" t="s">
        <v>162</v>
      </c>
      <c r="I1083" s="667"/>
      <c r="J1083" s="706"/>
      <c r="K1083" s="707"/>
      <c r="L1083" s="706"/>
      <c r="M1083" s="707"/>
      <c r="N1083" s="194"/>
      <c r="O1083" s="196"/>
      <c r="P1083" s="717"/>
      <c r="Q1083" s="718"/>
      <c r="R1083" s="719"/>
      <c r="S1083" s="720"/>
      <c r="T1083" s="721"/>
      <c r="U1083" s="722"/>
      <c r="V1083" s="723"/>
      <c r="W1083" s="724"/>
      <c r="X1083" s="725" t="s">
        <v>159</v>
      </c>
      <c r="Y1083" s="725"/>
      <c r="Z1083" s="725"/>
      <c r="AA1083" s="725"/>
      <c r="AB1083" s="726" t="s">
        <v>159</v>
      </c>
      <c r="AC1083" s="726"/>
      <c r="AD1083" s="726"/>
      <c r="AE1083" s="726"/>
      <c r="AF1083" s="727"/>
      <c r="AG1083" s="728"/>
      <c r="AH1083" s="727"/>
      <c r="AI1083" s="728"/>
      <c r="AJ1083" s="682"/>
      <c r="AK1083" s="683"/>
      <c r="AL1083" s="664" t="s">
        <v>162</v>
      </c>
      <c r="AM1083" s="665"/>
      <c r="AN1083" s="713" t="s">
        <v>162</v>
      </c>
      <c r="AO1083" s="714"/>
      <c r="AP1083" s="729"/>
      <c r="AQ1083" s="730"/>
      <c r="AR1083" s="731"/>
      <c r="AS1083" s="732"/>
      <c r="AT1083" s="690"/>
      <c r="AU1083" s="691"/>
      <c r="AV1083" s="713" t="s">
        <v>162</v>
      </c>
      <c r="AW1083" s="714"/>
      <c r="AX1083" s="692"/>
      <c r="AY1083" s="693"/>
      <c r="AZ1083" s="694"/>
      <c r="BA1083" s="735"/>
      <c r="BB1083" s="736"/>
      <c r="BC1083" s="219"/>
      <c r="BD1083" s="737" t="s">
        <v>162</v>
      </c>
      <c r="BE1083" s="738"/>
      <c r="BF1083" s="739"/>
      <c r="BG1083" s="740"/>
      <c r="BH1083" s="740"/>
      <c r="BI1083" s="741"/>
      <c r="BJ1083" s="742" t="s">
        <v>159</v>
      </c>
      <c r="BK1083" s="743"/>
      <c r="BL1083" s="743"/>
      <c r="BM1083" s="744"/>
      <c r="BN1083" s="703" t="s">
        <v>159</v>
      </c>
      <c r="BO1083" s="704"/>
      <c r="BP1083" s="704"/>
      <c r="BQ1083" s="704"/>
      <c r="BR1083" s="704"/>
      <c r="BS1083" s="704"/>
      <c r="BT1083" s="704"/>
      <c r="BU1083" s="704"/>
      <c r="BV1083" s="705"/>
    </row>
    <row r="1084" spans="1:74" ht="45" customHeight="1" x14ac:dyDescent="0.25">
      <c r="A1084" s="10">
        <f t="shared" si="16"/>
        <v>1070</v>
      </c>
      <c r="B1084" s="662" t="s">
        <v>159</v>
      </c>
      <c r="C1084" s="662"/>
      <c r="D1084" s="663" t="s">
        <v>212</v>
      </c>
      <c r="E1084" s="663"/>
      <c r="F1084" s="664" t="s">
        <v>162</v>
      </c>
      <c r="G1084" s="665"/>
      <c r="H1084" s="754" t="s">
        <v>162</v>
      </c>
      <c r="I1084" s="714"/>
      <c r="J1084" s="715"/>
      <c r="K1084" s="716"/>
      <c r="L1084" s="715"/>
      <c r="M1084" s="716"/>
      <c r="N1084" s="215"/>
      <c r="O1084" s="216"/>
      <c r="P1084" s="670"/>
      <c r="Q1084" s="671"/>
      <c r="R1084" s="672"/>
      <c r="S1084" s="673"/>
      <c r="T1084" s="674"/>
      <c r="U1084" s="675"/>
      <c r="V1084" s="676"/>
      <c r="W1084" s="677"/>
      <c r="X1084" s="678" t="s">
        <v>159</v>
      </c>
      <c r="Y1084" s="678"/>
      <c r="Z1084" s="678"/>
      <c r="AA1084" s="678"/>
      <c r="AB1084" s="679" t="s">
        <v>159</v>
      </c>
      <c r="AC1084" s="679"/>
      <c r="AD1084" s="679"/>
      <c r="AE1084" s="679"/>
      <c r="AF1084" s="680"/>
      <c r="AG1084" s="681"/>
      <c r="AH1084" s="680"/>
      <c r="AI1084" s="681"/>
      <c r="AJ1084" s="682"/>
      <c r="AK1084" s="683"/>
      <c r="AL1084" s="684" t="s">
        <v>162</v>
      </c>
      <c r="AM1084" s="685"/>
      <c r="AN1084" s="666" t="s">
        <v>162</v>
      </c>
      <c r="AO1084" s="667"/>
      <c r="AP1084" s="686"/>
      <c r="AQ1084" s="687"/>
      <c r="AR1084" s="688"/>
      <c r="AS1084" s="689"/>
      <c r="AT1084" s="690"/>
      <c r="AU1084" s="691"/>
      <c r="AV1084" s="666" t="s">
        <v>162</v>
      </c>
      <c r="AW1084" s="667"/>
      <c r="AX1084" s="692"/>
      <c r="AY1084" s="693"/>
      <c r="AZ1084" s="694"/>
      <c r="BA1084" s="682"/>
      <c r="BB1084" s="683"/>
      <c r="BC1084" s="14"/>
      <c r="BD1084" s="695" t="s">
        <v>162</v>
      </c>
      <c r="BE1084" s="696"/>
      <c r="BF1084" s="697"/>
      <c r="BG1084" s="698"/>
      <c r="BH1084" s="698"/>
      <c r="BI1084" s="699"/>
      <c r="BJ1084" s="700" t="s">
        <v>159</v>
      </c>
      <c r="BK1084" s="701"/>
      <c r="BL1084" s="701"/>
      <c r="BM1084" s="702"/>
      <c r="BN1084" s="703" t="s">
        <v>159</v>
      </c>
      <c r="BO1084" s="704"/>
      <c r="BP1084" s="704"/>
      <c r="BQ1084" s="704"/>
      <c r="BR1084" s="704"/>
      <c r="BS1084" s="704"/>
      <c r="BT1084" s="704"/>
      <c r="BU1084" s="704"/>
      <c r="BV1084" s="705"/>
    </row>
    <row r="1085" spans="1:74" ht="45" customHeight="1" x14ac:dyDescent="0.25">
      <c r="A1085" s="10">
        <f t="shared" si="16"/>
        <v>1071</v>
      </c>
      <c r="B1085" s="711" t="s">
        <v>159</v>
      </c>
      <c r="C1085" s="711"/>
      <c r="D1085" s="712" t="s">
        <v>212</v>
      </c>
      <c r="E1085" s="712"/>
      <c r="F1085" s="664" t="s">
        <v>162</v>
      </c>
      <c r="G1085" s="665"/>
      <c r="H1085" s="755" t="s">
        <v>162</v>
      </c>
      <c r="I1085" s="667"/>
      <c r="J1085" s="706"/>
      <c r="K1085" s="707"/>
      <c r="L1085" s="706"/>
      <c r="M1085" s="707"/>
      <c r="N1085" s="194"/>
      <c r="O1085" s="216"/>
      <c r="P1085" s="717"/>
      <c r="Q1085" s="718"/>
      <c r="R1085" s="719"/>
      <c r="S1085" s="720"/>
      <c r="T1085" s="721"/>
      <c r="U1085" s="722"/>
      <c r="V1085" s="723"/>
      <c r="W1085" s="724"/>
      <c r="X1085" s="725" t="s">
        <v>159</v>
      </c>
      <c r="Y1085" s="725"/>
      <c r="Z1085" s="725"/>
      <c r="AA1085" s="725"/>
      <c r="AB1085" s="726" t="s">
        <v>159</v>
      </c>
      <c r="AC1085" s="726"/>
      <c r="AD1085" s="726"/>
      <c r="AE1085" s="726"/>
      <c r="AF1085" s="727"/>
      <c r="AG1085" s="728"/>
      <c r="AH1085" s="727"/>
      <c r="AI1085" s="728"/>
      <c r="AJ1085" s="682"/>
      <c r="AK1085" s="683"/>
      <c r="AL1085" s="664" t="s">
        <v>162</v>
      </c>
      <c r="AM1085" s="665"/>
      <c r="AN1085" s="713" t="s">
        <v>162</v>
      </c>
      <c r="AO1085" s="714"/>
      <c r="AP1085" s="729"/>
      <c r="AQ1085" s="730"/>
      <c r="AR1085" s="731"/>
      <c r="AS1085" s="732"/>
      <c r="AT1085" s="733"/>
      <c r="AU1085" s="734"/>
      <c r="AV1085" s="713" t="s">
        <v>162</v>
      </c>
      <c r="AW1085" s="714"/>
      <c r="AX1085" s="692"/>
      <c r="AY1085" s="693"/>
      <c r="AZ1085" s="694"/>
      <c r="BA1085" s="735"/>
      <c r="BB1085" s="736"/>
      <c r="BC1085" s="219"/>
      <c r="BD1085" s="737" t="s">
        <v>162</v>
      </c>
      <c r="BE1085" s="738"/>
      <c r="BF1085" s="739"/>
      <c r="BG1085" s="740"/>
      <c r="BH1085" s="740"/>
      <c r="BI1085" s="741"/>
      <c r="BJ1085" s="742" t="s">
        <v>159</v>
      </c>
      <c r="BK1085" s="743"/>
      <c r="BL1085" s="743"/>
      <c r="BM1085" s="744"/>
      <c r="BN1085" s="703" t="s">
        <v>159</v>
      </c>
      <c r="BO1085" s="704"/>
      <c r="BP1085" s="704"/>
      <c r="BQ1085" s="704"/>
      <c r="BR1085" s="704"/>
      <c r="BS1085" s="704"/>
      <c r="BT1085" s="704"/>
      <c r="BU1085" s="704"/>
      <c r="BV1085" s="705"/>
    </row>
    <row r="1086" spans="1:74" ht="45" customHeight="1" x14ac:dyDescent="0.25">
      <c r="A1086" s="10">
        <f t="shared" si="16"/>
        <v>1072</v>
      </c>
      <c r="B1086" s="662" t="s">
        <v>159</v>
      </c>
      <c r="C1086" s="662"/>
      <c r="D1086" s="663" t="s">
        <v>212</v>
      </c>
      <c r="E1086" s="663"/>
      <c r="F1086" s="664" t="s">
        <v>162</v>
      </c>
      <c r="G1086" s="665"/>
      <c r="H1086" s="754" t="s">
        <v>162</v>
      </c>
      <c r="I1086" s="714"/>
      <c r="J1086" s="715"/>
      <c r="K1086" s="716"/>
      <c r="L1086" s="715"/>
      <c r="M1086" s="716"/>
      <c r="N1086" s="215"/>
      <c r="O1086" s="196"/>
      <c r="P1086" s="670"/>
      <c r="Q1086" s="671"/>
      <c r="R1086" s="672"/>
      <c r="S1086" s="673"/>
      <c r="T1086" s="674"/>
      <c r="U1086" s="675"/>
      <c r="V1086" s="676"/>
      <c r="W1086" s="677"/>
      <c r="X1086" s="678" t="s">
        <v>159</v>
      </c>
      <c r="Y1086" s="678"/>
      <c r="Z1086" s="678"/>
      <c r="AA1086" s="678"/>
      <c r="AB1086" s="679" t="s">
        <v>159</v>
      </c>
      <c r="AC1086" s="679"/>
      <c r="AD1086" s="679"/>
      <c r="AE1086" s="679"/>
      <c r="AF1086" s="680"/>
      <c r="AG1086" s="681"/>
      <c r="AH1086" s="680"/>
      <c r="AI1086" s="681"/>
      <c r="AJ1086" s="682"/>
      <c r="AK1086" s="683"/>
      <c r="AL1086" s="684" t="s">
        <v>162</v>
      </c>
      <c r="AM1086" s="685"/>
      <c r="AN1086" s="666" t="s">
        <v>162</v>
      </c>
      <c r="AO1086" s="667"/>
      <c r="AP1086" s="686"/>
      <c r="AQ1086" s="687"/>
      <c r="AR1086" s="688"/>
      <c r="AS1086" s="689"/>
      <c r="AT1086" s="690"/>
      <c r="AU1086" s="691"/>
      <c r="AV1086" s="666" t="s">
        <v>162</v>
      </c>
      <c r="AW1086" s="667"/>
      <c r="AX1086" s="692"/>
      <c r="AY1086" s="693"/>
      <c r="AZ1086" s="694"/>
      <c r="BA1086" s="682"/>
      <c r="BB1086" s="683"/>
      <c r="BC1086" s="14"/>
      <c r="BD1086" s="695" t="s">
        <v>162</v>
      </c>
      <c r="BE1086" s="696"/>
      <c r="BF1086" s="708"/>
      <c r="BG1086" s="709"/>
      <c r="BH1086" s="709"/>
      <c r="BI1086" s="710"/>
      <c r="BJ1086" s="700" t="s">
        <v>159</v>
      </c>
      <c r="BK1086" s="701"/>
      <c r="BL1086" s="701"/>
      <c r="BM1086" s="702"/>
      <c r="BN1086" s="703" t="s">
        <v>159</v>
      </c>
      <c r="BO1086" s="704"/>
      <c r="BP1086" s="704"/>
      <c r="BQ1086" s="704"/>
      <c r="BR1086" s="704"/>
      <c r="BS1086" s="704"/>
      <c r="BT1086" s="704"/>
      <c r="BU1086" s="704"/>
      <c r="BV1086" s="705"/>
    </row>
    <row r="1087" spans="1:74" ht="45" customHeight="1" x14ac:dyDescent="0.25">
      <c r="A1087" s="10">
        <f t="shared" si="16"/>
        <v>1073</v>
      </c>
      <c r="B1087" s="711" t="s">
        <v>159</v>
      </c>
      <c r="C1087" s="711"/>
      <c r="D1087" s="712" t="s">
        <v>212</v>
      </c>
      <c r="E1087" s="712"/>
      <c r="F1087" s="664" t="s">
        <v>162</v>
      </c>
      <c r="G1087" s="665"/>
      <c r="H1087" s="755" t="s">
        <v>162</v>
      </c>
      <c r="I1087" s="667"/>
      <c r="J1087" s="706"/>
      <c r="K1087" s="707"/>
      <c r="L1087" s="706"/>
      <c r="M1087" s="707"/>
      <c r="N1087" s="194"/>
      <c r="O1087" s="216"/>
      <c r="P1087" s="717"/>
      <c r="Q1087" s="718"/>
      <c r="R1087" s="719"/>
      <c r="S1087" s="720"/>
      <c r="T1087" s="721"/>
      <c r="U1087" s="722"/>
      <c r="V1087" s="723"/>
      <c r="W1087" s="724"/>
      <c r="X1087" s="725" t="s">
        <v>159</v>
      </c>
      <c r="Y1087" s="725"/>
      <c r="Z1087" s="725"/>
      <c r="AA1087" s="725"/>
      <c r="AB1087" s="726" t="s">
        <v>159</v>
      </c>
      <c r="AC1087" s="726"/>
      <c r="AD1087" s="726"/>
      <c r="AE1087" s="726"/>
      <c r="AF1087" s="727"/>
      <c r="AG1087" s="728"/>
      <c r="AH1087" s="727"/>
      <c r="AI1087" s="728"/>
      <c r="AJ1087" s="682"/>
      <c r="AK1087" s="683"/>
      <c r="AL1087" s="664" t="s">
        <v>162</v>
      </c>
      <c r="AM1087" s="665"/>
      <c r="AN1087" s="713" t="s">
        <v>162</v>
      </c>
      <c r="AO1087" s="714"/>
      <c r="AP1087" s="729"/>
      <c r="AQ1087" s="730"/>
      <c r="AR1087" s="731"/>
      <c r="AS1087" s="732"/>
      <c r="AT1087" s="733"/>
      <c r="AU1087" s="734"/>
      <c r="AV1087" s="713" t="s">
        <v>162</v>
      </c>
      <c r="AW1087" s="714"/>
      <c r="AX1087" s="692"/>
      <c r="AY1087" s="693"/>
      <c r="AZ1087" s="694"/>
      <c r="BA1087" s="735"/>
      <c r="BB1087" s="736"/>
      <c r="BC1087" s="219"/>
      <c r="BD1087" s="737" t="s">
        <v>162</v>
      </c>
      <c r="BE1087" s="738"/>
      <c r="BF1087" s="739"/>
      <c r="BG1087" s="740"/>
      <c r="BH1087" s="740"/>
      <c r="BI1087" s="741"/>
      <c r="BJ1087" s="742" t="s">
        <v>159</v>
      </c>
      <c r="BK1087" s="743"/>
      <c r="BL1087" s="743"/>
      <c r="BM1087" s="744"/>
      <c r="BN1087" s="703" t="s">
        <v>159</v>
      </c>
      <c r="BO1087" s="704"/>
      <c r="BP1087" s="704"/>
      <c r="BQ1087" s="704"/>
      <c r="BR1087" s="704"/>
      <c r="BS1087" s="704"/>
      <c r="BT1087" s="704"/>
      <c r="BU1087" s="704"/>
      <c r="BV1087" s="705"/>
    </row>
    <row r="1088" spans="1:74" ht="45" customHeight="1" x14ac:dyDescent="0.25">
      <c r="A1088" s="10">
        <f t="shared" si="16"/>
        <v>1074</v>
      </c>
      <c r="B1088" s="662" t="s">
        <v>159</v>
      </c>
      <c r="C1088" s="662"/>
      <c r="D1088" s="663" t="s">
        <v>212</v>
      </c>
      <c r="E1088" s="663"/>
      <c r="F1088" s="664" t="s">
        <v>162</v>
      </c>
      <c r="G1088" s="665"/>
      <c r="H1088" s="754" t="s">
        <v>162</v>
      </c>
      <c r="I1088" s="714"/>
      <c r="J1088" s="715"/>
      <c r="K1088" s="716"/>
      <c r="L1088" s="715"/>
      <c r="M1088" s="716"/>
      <c r="N1088" s="215"/>
      <c r="O1088" s="196"/>
      <c r="P1088" s="670"/>
      <c r="Q1088" s="671"/>
      <c r="R1088" s="672"/>
      <c r="S1088" s="673"/>
      <c r="T1088" s="674"/>
      <c r="U1088" s="675"/>
      <c r="V1088" s="676"/>
      <c r="W1088" s="677"/>
      <c r="X1088" s="678" t="s">
        <v>159</v>
      </c>
      <c r="Y1088" s="678"/>
      <c r="Z1088" s="678"/>
      <c r="AA1088" s="678"/>
      <c r="AB1088" s="679" t="s">
        <v>159</v>
      </c>
      <c r="AC1088" s="679"/>
      <c r="AD1088" s="679"/>
      <c r="AE1088" s="679"/>
      <c r="AF1088" s="680"/>
      <c r="AG1088" s="681"/>
      <c r="AH1088" s="680"/>
      <c r="AI1088" s="681"/>
      <c r="AJ1088" s="682"/>
      <c r="AK1088" s="683"/>
      <c r="AL1088" s="684" t="s">
        <v>162</v>
      </c>
      <c r="AM1088" s="685"/>
      <c r="AN1088" s="666" t="s">
        <v>162</v>
      </c>
      <c r="AO1088" s="667"/>
      <c r="AP1088" s="686"/>
      <c r="AQ1088" s="687"/>
      <c r="AR1088" s="688"/>
      <c r="AS1088" s="689"/>
      <c r="AT1088" s="690"/>
      <c r="AU1088" s="691"/>
      <c r="AV1088" s="666" t="s">
        <v>162</v>
      </c>
      <c r="AW1088" s="667"/>
      <c r="AX1088" s="692"/>
      <c r="AY1088" s="693"/>
      <c r="AZ1088" s="694"/>
      <c r="BA1088" s="682"/>
      <c r="BB1088" s="683"/>
      <c r="BC1088" s="14"/>
      <c r="BD1088" s="695" t="s">
        <v>162</v>
      </c>
      <c r="BE1088" s="696"/>
      <c r="BF1088" s="697"/>
      <c r="BG1088" s="698"/>
      <c r="BH1088" s="698"/>
      <c r="BI1088" s="699"/>
      <c r="BJ1088" s="700" t="s">
        <v>159</v>
      </c>
      <c r="BK1088" s="701"/>
      <c r="BL1088" s="701"/>
      <c r="BM1088" s="702"/>
      <c r="BN1088" s="703" t="s">
        <v>159</v>
      </c>
      <c r="BO1088" s="704"/>
      <c r="BP1088" s="704"/>
      <c r="BQ1088" s="704"/>
      <c r="BR1088" s="704"/>
      <c r="BS1088" s="704"/>
      <c r="BT1088" s="704"/>
      <c r="BU1088" s="704"/>
      <c r="BV1088" s="705"/>
    </row>
    <row r="1089" spans="1:74" ht="45" customHeight="1" x14ac:dyDescent="0.25">
      <c r="A1089" s="10">
        <f t="shared" si="16"/>
        <v>1075</v>
      </c>
      <c r="B1089" s="711" t="s">
        <v>159</v>
      </c>
      <c r="C1089" s="711"/>
      <c r="D1089" s="712" t="s">
        <v>212</v>
      </c>
      <c r="E1089" s="712"/>
      <c r="F1089" s="664" t="s">
        <v>162</v>
      </c>
      <c r="G1089" s="665"/>
      <c r="H1089" s="755" t="s">
        <v>162</v>
      </c>
      <c r="I1089" s="667"/>
      <c r="J1089" s="706"/>
      <c r="K1089" s="707"/>
      <c r="L1089" s="706"/>
      <c r="M1089" s="707"/>
      <c r="N1089" s="194"/>
      <c r="O1089" s="216"/>
      <c r="P1089" s="717"/>
      <c r="Q1089" s="718"/>
      <c r="R1089" s="719"/>
      <c r="S1089" s="720"/>
      <c r="T1089" s="721"/>
      <c r="U1089" s="722"/>
      <c r="V1089" s="723"/>
      <c r="W1089" s="724"/>
      <c r="X1089" s="725" t="s">
        <v>159</v>
      </c>
      <c r="Y1089" s="725"/>
      <c r="Z1089" s="725"/>
      <c r="AA1089" s="725"/>
      <c r="AB1089" s="726" t="s">
        <v>159</v>
      </c>
      <c r="AC1089" s="726"/>
      <c r="AD1089" s="726"/>
      <c r="AE1089" s="726"/>
      <c r="AF1089" s="727"/>
      <c r="AG1089" s="728"/>
      <c r="AH1089" s="727"/>
      <c r="AI1089" s="728"/>
      <c r="AJ1089" s="682"/>
      <c r="AK1089" s="683"/>
      <c r="AL1089" s="664" t="s">
        <v>162</v>
      </c>
      <c r="AM1089" s="665"/>
      <c r="AN1089" s="713" t="s">
        <v>162</v>
      </c>
      <c r="AO1089" s="714"/>
      <c r="AP1089" s="729"/>
      <c r="AQ1089" s="730"/>
      <c r="AR1089" s="731"/>
      <c r="AS1089" s="732"/>
      <c r="AT1089" s="733"/>
      <c r="AU1089" s="734"/>
      <c r="AV1089" s="713" t="s">
        <v>162</v>
      </c>
      <c r="AW1089" s="714"/>
      <c r="AX1089" s="692"/>
      <c r="AY1089" s="693"/>
      <c r="AZ1089" s="694"/>
      <c r="BA1089" s="735"/>
      <c r="BB1089" s="736"/>
      <c r="BC1089" s="219"/>
      <c r="BD1089" s="737" t="s">
        <v>162</v>
      </c>
      <c r="BE1089" s="738"/>
      <c r="BF1089" s="739"/>
      <c r="BG1089" s="740"/>
      <c r="BH1089" s="740"/>
      <c r="BI1089" s="741"/>
      <c r="BJ1089" s="742" t="s">
        <v>159</v>
      </c>
      <c r="BK1089" s="743"/>
      <c r="BL1089" s="743"/>
      <c r="BM1089" s="744"/>
      <c r="BN1089" s="703" t="s">
        <v>159</v>
      </c>
      <c r="BO1089" s="704"/>
      <c r="BP1089" s="704"/>
      <c r="BQ1089" s="704"/>
      <c r="BR1089" s="704"/>
      <c r="BS1089" s="704"/>
      <c r="BT1089" s="704"/>
      <c r="BU1089" s="704"/>
      <c r="BV1089" s="705"/>
    </row>
    <row r="1090" spans="1:74" ht="45" customHeight="1" x14ac:dyDescent="0.25">
      <c r="A1090" s="10">
        <f t="shared" si="16"/>
        <v>1076</v>
      </c>
      <c r="B1090" s="662" t="s">
        <v>159</v>
      </c>
      <c r="C1090" s="662"/>
      <c r="D1090" s="663" t="s">
        <v>212</v>
      </c>
      <c r="E1090" s="663"/>
      <c r="F1090" s="664" t="s">
        <v>162</v>
      </c>
      <c r="G1090" s="665"/>
      <c r="H1090" s="754" t="s">
        <v>162</v>
      </c>
      <c r="I1090" s="714"/>
      <c r="J1090" s="715"/>
      <c r="K1090" s="716"/>
      <c r="L1090" s="715"/>
      <c r="M1090" s="716"/>
      <c r="N1090" s="215"/>
      <c r="O1090" s="196"/>
      <c r="P1090" s="670"/>
      <c r="Q1090" s="671"/>
      <c r="R1090" s="672"/>
      <c r="S1090" s="673"/>
      <c r="T1090" s="674"/>
      <c r="U1090" s="675"/>
      <c r="V1090" s="676"/>
      <c r="W1090" s="677"/>
      <c r="X1090" s="678" t="s">
        <v>159</v>
      </c>
      <c r="Y1090" s="678"/>
      <c r="Z1090" s="678"/>
      <c r="AA1090" s="678"/>
      <c r="AB1090" s="679" t="s">
        <v>159</v>
      </c>
      <c r="AC1090" s="679"/>
      <c r="AD1090" s="679"/>
      <c r="AE1090" s="679"/>
      <c r="AF1090" s="680"/>
      <c r="AG1090" s="681"/>
      <c r="AH1090" s="680"/>
      <c r="AI1090" s="681"/>
      <c r="AJ1090" s="682"/>
      <c r="AK1090" s="683"/>
      <c r="AL1090" s="684" t="s">
        <v>162</v>
      </c>
      <c r="AM1090" s="685"/>
      <c r="AN1090" s="666" t="s">
        <v>162</v>
      </c>
      <c r="AO1090" s="667"/>
      <c r="AP1090" s="686"/>
      <c r="AQ1090" s="687"/>
      <c r="AR1090" s="688"/>
      <c r="AS1090" s="689"/>
      <c r="AT1090" s="690"/>
      <c r="AU1090" s="691"/>
      <c r="AV1090" s="666" t="s">
        <v>162</v>
      </c>
      <c r="AW1090" s="667"/>
      <c r="AX1090" s="692"/>
      <c r="AY1090" s="693"/>
      <c r="AZ1090" s="694"/>
      <c r="BA1090" s="682"/>
      <c r="BB1090" s="683"/>
      <c r="BC1090" s="14"/>
      <c r="BD1090" s="695" t="s">
        <v>162</v>
      </c>
      <c r="BE1090" s="696"/>
      <c r="BF1090" s="697"/>
      <c r="BG1090" s="698"/>
      <c r="BH1090" s="698"/>
      <c r="BI1090" s="699"/>
      <c r="BJ1090" s="700" t="s">
        <v>159</v>
      </c>
      <c r="BK1090" s="701"/>
      <c r="BL1090" s="701"/>
      <c r="BM1090" s="702"/>
      <c r="BN1090" s="703" t="s">
        <v>159</v>
      </c>
      <c r="BO1090" s="704"/>
      <c r="BP1090" s="704"/>
      <c r="BQ1090" s="704"/>
      <c r="BR1090" s="704"/>
      <c r="BS1090" s="704"/>
      <c r="BT1090" s="704"/>
      <c r="BU1090" s="704"/>
      <c r="BV1090" s="705"/>
    </row>
    <row r="1091" spans="1:74" ht="45" customHeight="1" x14ac:dyDescent="0.25">
      <c r="A1091" s="10">
        <f t="shared" si="16"/>
        <v>1077</v>
      </c>
      <c r="B1091" s="711" t="s">
        <v>159</v>
      </c>
      <c r="C1091" s="711"/>
      <c r="D1091" s="712" t="s">
        <v>212</v>
      </c>
      <c r="E1091" s="712"/>
      <c r="F1091" s="664" t="s">
        <v>162</v>
      </c>
      <c r="G1091" s="665"/>
      <c r="H1091" s="755" t="s">
        <v>162</v>
      </c>
      <c r="I1091" s="667"/>
      <c r="J1091" s="706"/>
      <c r="K1091" s="707"/>
      <c r="L1091" s="706"/>
      <c r="M1091" s="707"/>
      <c r="N1091" s="194"/>
      <c r="O1091" s="216"/>
      <c r="P1091" s="717"/>
      <c r="Q1091" s="718"/>
      <c r="R1091" s="719"/>
      <c r="S1091" s="720"/>
      <c r="T1091" s="721"/>
      <c r="U1091" s="722"/>
      <c r="V1091" s="723"/>
      <c r="W1091" s="724"/>
      <c r="X1091" s="725" t="s">
        <v>159</v>
      </c>
      <c r="Y1091" s="725"/>
      <c r="Z1091" s="725"/>
      <c r="AA1091" s="725"/>
      <c r="AB1091" s="726" t="s">
        <v>159</v>
      </c>
      <c r="AC1091" s="726"/>
      <c r="AD1091" s="726"/>
      <c r="AE1091" s="726"/>
      <c r="AF1091" s="727"/>
      <c r="AG1091" s="728"/>
      <c r="AH1091" s="727"/>
      <c r="AI1091" s="728"/>
      <c r="AJ1091" s="682"/>
      <c r="AK1091" s="683"/>
      <c r="AL1091" s="664" t="s">
        <v>162</v>
      </c>
      <c r="AM1091" s="665"/>
      <c r="AN1091" s="713" t="s">
        <v>162</v>
      </c>
      <c r="AO1091" s="714"/>
      <c r="AP1091" s="729"/>
      <c r="AQ1091" s="730"/>
      <c r="AR1091" s="731"/>
      <c r="AS1091" s="732"/>
      <c r="AT1091" s="733"/>
      <c r="AU1091" s="734"/>
      <c r="AV1091" s="713" t="s">
        <v>162</v>
      </c>
      <c r="AW1091" s="714"/>
      <c r="AX1091" s="692"/>
      <c r="AY1091" s="693"/>
      <c r="AZ1091" s="694"/>
      <c r="BA1091" s="735"/>
      <c r="BB1091" s="736"/>
      <c r="BC1091" s="219"/>
      <c r="BD1091" s="737" t="s">
        <v>162</v>
      </c>
      <c r="BE1091" s="738"/>
      <c r="BF1091" s="739"/>
      <c r="BG1091" s="740"/>
      <c r="BH1091" s="740"/>
      <c r="BI1091" s="741"/>
      <c r="BJ1091" s="742" t="s">
        <v>159</v>
      </c>
      <c r="BK1091" s="743"/>
      <c r="BL1091" s="743"/>
      <c r="BM1091" s="744"/>
      <c r="BN1091" s="703" t="s">
        <v>159</v>
      </c>
      <c r="BO1091" s="704"/>
      <c r="BP1091" s="704"/>
      <c r="BQ1091" s="704"/>
      <c r="BR1091" s="704"/>
      <c r="BS1091" s="704"/>
      <c r="BT1091" s="704"/>
      <c r="BU1091" s="704"/>
      <c r="BV1091" s="705"/>
    </row>
    <row r="1092" spans="1:74" ht="45" customHeight="1" x14ac:dyDescent="0.25">
      <c r="A1092" s="10">
        <f t="shared" si="16"/>
        <v>1078</v>
      </c>
      <c r="B1092" s="662" t="s">
        <v>159</v>
      </c>
      <c r="C1092" s="662"/>
      <c r="D1092" s="663" t="s">
        <v>212</v>
      </c>
      <c r="E1092" s="663"/>
      <c r="F1092" s="664" t="s">
        <v>162</v>
      </c>
      <c r="G1092" s="665"/>
      <c r="H1092" s="754" t="s">
        <v>162</v>
      </c>
      <c r="I1092" s="714"/>
      <c r="J1092" s="715"/>
      <c r="K1092" s="716"/>
      <c r="L1092" s="715"/>
      <c r="M1092" s="716"/>
      <c r="N1092" s="215"/>
      <c r="O1092" s="196"/>
      <c r="P1092" s="670"/>
      <c r="Q1092" s="671"/>
      <c r="R1092" s="672"/>
      <c r="S1092" s="673"/>
      <c r="T1092" s="674"/>
      <c r="U1092" s="675"/>
      <c r="V1092" s="676"/>
      <c r="W1092" s="677"/>
      <c r="X1092" s="678" t="s">
        <v>159</v>
      </c>
      <c r="Y1092" s="678"/>
      <c r="Z1092" s="678"/>
      <c r="AA1092" s="678"/>
      <c r="AB1092" s="679" t="s">
        <v>159</v>
      </c>
      <c r="AC1092" s="679"/>
      <c r="AD1092" s="679"/>
      <c r="AE1092" s="679"/>
      <c r="AF1092" s="680"/>
      <c r="AG1092" s="681"/>
      <c r="AH1092" s="680"/>
      <c r="AI1092" s="681"/>
      <c r="AJ1092" s="682"/>
      <c r="AK1092" s="683"/>
      <c r="AL1092" s="684" t="s">
        <v>162</v>
      </c>
      <c r="AM1092" s="685"/>
      <c r="AN1092" s="666" t="s">
        <v>162</v>
      </c>
      <c r="AO1092" s="667"/>
      <c r="AP1092" s="686"/>
      <c r="AQ1092" s="687"/>
      <c r="AR1092" s="688"/>
      <c r="AS1092" s="689"/>
      <c r="AT1092" s="690"/>
      <c r="AU1092" s="691"/>
      <c r="AV1092" s="666" t="s">
        <v>162</v>
      </c>
      <c r="AW1092" s="667"/>
      <c r="AX1092" s="692"/>
      <c r="AY1092" s="693"/>
      <c r="AZ1092" s="694"/>
      <c r="BA1092" s="682"/>
      <c r="BB1092" s="683"/>
      <c r="BC1092" s="14"/>
      <c r="BD1092" s="695" t="s">
        <v>162</v>
      </c>
      <c r="BE1092" s="696"/>
      <c r="BF1092" s="708"/>
      <c r="BG1092" s="709"/>
      <c r="BH1092" s="709"/>
      <c r="BI1092" s="710"/>
      <c r="BJ1092" s="700" t="s">
        <v>159</v>
      </c>
      <c r="BK1092" s="701"/>
      <c r="BL1092" s="701"/>
      <c r="BM1092" s="702"/>
      <c r="BN1092" s="703" t="s">
        <v>159</v>
      </c>
      <c r="BO1092" s="704"/>
      <c r="BP1092" s="704"/>
      <c r="BQ1092" s="704"/>
      <c r="BR1092" s="704"/>
      <c r="BS1092" s="704"/>
      <c r="BT1092" s="704"/>
      <c r="BU1092" s="704"/>
      <c r="BV1092" s="705"/>
    </row>
    <row r="1093" spans="1:74" ht="45" customHeight="1" x14ac:dyDescent="0.25">
      <c r="A1093" s="10">
        <f t="shared" si="16"/>
        <v>1079</v>
      </c>
      <c r="B1093" s="711" t="s">
        <v>159</v>
      </c>
      <c r="C1093" s="711"/>
      <c r="D1093" s="712" t="s">
        <v>212</v>
      </c>
      <c r="E1093" s="712"/>
      <c r="F1093" s="664" t="s">
        <v>162</v>
      </c>
      <c r="G1093" s="665"/>
      <c r="H1093" s="755" t="s">
        <v>162</v>
      </c>
      <c r="I1093" s="667"/>
      <c r="J1093" s="706"/>
      <c r="K1093" s="707"/>
      <c r="L1093" s="706"/>
      <c r="M1093" s="707"/>
      <c r="N1093" s="194"/>
      <c r="O1093" s="216"/>
      <c r="P1093" s="717"/>
      <c r="Q1093" s="718"/>
      <c r="R1093" s="719"/>
      <c r="S1093" s="720"/>
      <c r="T1093" s="721"/>
      <c r="U1093" s="722"/>
      <c r="V1093" s="723"/>
      <c r="W1093" s="724"/>
      <c r="X1093" s="725" t="s">
        <v>159</v>
      </c>
      <c r="Y1093" s="725"/>
      <c r="Z1093" s="725"/>
      <c r="AA1093" s="725"/>
      <c r="AB1093" s="726" t="s">
        <v>159</v>
      </c>
      <c r="AC1093" s="726"/>
      <c r="AD1093" s="726"/>
      <c r="AE1093" s="726"/>
      <c r="AF1093" s="727"/>
      <c r="AG1093" s="728"/>
      <c r="AH1093" s="727"/>
      <c r="AI1093" s="728"/>
      <c r="AJ1093" s="682"/>
      <c r="AK1093" s="683"/>
      <c r="AL1093" s="664" t="s">
        <v>162</v>
      </c>
      <c r="AM1093" s="665"/>
      <c r="AN1093" s="713" t="s">
        <v>162</v>
      </c>
      <c r="AO1093" s="714"/>
      <c r="AP1093" s="729"/>
      <c r="AQ1093" s="730"/>
      <c r="AR1093" s="731"/>
      <c r="AS1093" s="732"/>
      <c r="AT1093" s="733"/>
      <c r="AU1093" s="734"/>
      <c r="AV1093" s="713" t="s">
        <v>162</v>
      </c>
      <c r="AW1093" s="714"/>
      <c r="AX1093" s="692"/>
      <c r="AY1093" s="693"/>
      <c r="AZ1093" s="694"/>
      <c r="BA1093" s="735"/>
      <c r="BB1093" s="736"/>
      <c r="BC1093" s="219"/>
      <c r="BD1093" s="737" t="s">
        <v>162</v>
      </c>
      <c r="BE1093" s="738"/>
      <c r="BF1093" s="739"/>
      <c r="BG1093" s="740"/>
      <c r="BH1093" s="740"/>
      <c r="BI1093" s="741"/>
      <c r="BJ1093" s="742" t="s">
        <v>159</v>
      </c>
      <c r="BK1093" s="743"/>
      <c r="BL1093" s="743"/>
      <c r="BM1093" s="744"/>
      <c r="BN1093" s="703" t="s">
        <v>159</v>
      </c>
      <c r="BO1093" s="704"/>
      <c r="BP1093" s="704"/>
      <c r="BQ1093" s="704"/>
      <c r="BR1093" s="704"/>
      <c r="BS1093" s="704"/>
      <c r="BT1093" s="704"/>
      <c r="BU1093" s="704"/>
      <c r="BV1093" s="705"/>
    </row>
    <row r="1094" spans="1:74" ht="45" customHeight="1" x14ac:dyDescent="0.25">
      <c r="A1094" s="10">
        <f t="shared" si="16"/>
        <v>1080</v>
      </c>
      <c r="B1094" s="662" t="s">
        <v>159</v>
      </c>
      <c r="C1094" s="662"/>
      <c r="D1094" s="663" t="s">
        <v>212</v>
      </c>
      <c r="E1094" s="663"/>
      <c r="F1094" s="664" t="s">
        <v>162</v>
      </c>
      <c r="G1094" s="665"/>
      <c r="H1094" s="754" t="s">
        <v>162</v>
      </c>
      <c r="I1094" s="714"/>
      <c r="J1094" s="715"/>
      <c r="K1094" s="716"/>
      <c r="L1094" s="715"/>
      <c r="M1094" s="716"/>
      <c r="N1094" s="215"/>
      <c r="O1094" s="196"/>
      <c r="P1094" s="670"/>
      <c r="Q1094" s="671"/>
      <c r="R1094" s="672"/>
      <c r="S1094" s="673"/>
      <c r="T1094" s="674"/>
      <c r="U1094" s="675"/>
      <c r="V1094" s="676"/>
      <c r="W1094" s="677"/>
      <c r="X1094" s="678" t="s">
        <v>159</v>
      </c>
      <c r="Y1094" s="678"/>
      <c r="Z1094" s="678"/>
      <c r="AA1094" s="678"/>
      <c r="AB1094" s="679" t="s">
        <v>159</v>
      </c>
      <c r="AC1094" s="679"/>
      <c r="AD1094" s="679"/>
      <c r="AE1094" s="679"/>
      <c r="AF1094" s="680"/>
      <c r="AG1094" s="681"/>
      <c r="AH1094" s="680"/>
      <c r="AI1094" s="681"/>
      <c r="AJ1094" s="682"/>
      <c r="AK1094" s="683"/>
      <c r="AL1094" s="684" t="s">
        <v>162</v>
      </c>
      <c r="AM1094" s="685"/>
      <c r="AN1094" s="666" t="s">
        <v>162</v>
      </c>
      <c r="AO1094" s="667"/>
      <c r="AP1094" s="686"/>
      <c r="AQ1094" s="687"/>
      <c r="AR1094" s="688"/>
      <c r="AS1094" s="689"/>
      <c r="AT1094" s="690"/>
      <c r="AU1094" s="691"/>
      <c r="AV1094" s="666" t="s">
        <v>162</v>
      </c>
      <c r="AW1094" s="667"/>
      <c r="AX1094" s="692"/>
      <c r="AY1094" s="693"/>
      <c r="AZ1094" s="694"/>
      <c r="BA1094" s="682"/>
      <c r="BB1094" s="683"/>
      <c r="BC1094" s="14"/>
      <c r="BD1094" s="695" t="s">
        <v>162</v>
      </c>
      <c r="BE1094" s="696"/>
      <c r="BF1094" s="697"/>
      <c r="BG1094" s="698"/>
      <c r="BH1094" s="698"/>
      <c r="BI1094" s="699"/>
      <c r="BJ1094" s="700" t="s">
        <v>159</v>
      </c>
      <c r="BK1094" s="701"/>
      <c r="BL1094" s="701"/>
      <c r="BM1094" s="702"/>
      <c r="BN1094" s="703" t="s">
        <v>159</v>
      </c>
      <c r="BO1094" s="704"/>
      <c r="BP1094" s="704"/>
      <c r="BQ1094" s="704"/>
      <c r="BR1094" s="704"/>
      <c r="BS1094" s="704"/>
      <c r="BT1094" s="704"/>
      <c r="BU1094" s="704"/>
      <c r="BV1094" s="705"/>
    </row>
    <row r="1095" spans="1:74" ht="45" customHeight="1" x14ac:dyDescent="0.25">
      <c r="A1095" s="10">
        <f t="shared" si="16"/>
        <v>1081</v>
      </c>
      <c r="B1095" s="711" t="s">
        <v>159</v>
      </c>
      <c r="C1095" s="711"/>
      <c r="D1095" s="712" t="s">
        <v>212</v>
      </c>
      <c r="E1095" s="712"/>
      <c r="F1095" s="664" t="s">
        <v>162</v>
      </c>
      <c r="G1095" s="665"/>
      <c r="H1095" s="755" t="s">
        <v>162</v>
      </c>
      <c r="I1095" s="667"/>
      <c r="J1095" s="706"/>
      <c r="K1095" s="707"/>
      <c r="L1095" s="706"/>
      <c r="M1095" s="707"/>
      <c r="N1095" s="215"/>
      <c r="O1095" s="216"/>
      <c r="P1095" s="670"/>
      <c r="Q1095" s="671"/>
      <c r="R1095" s="719"/>
      <c r="S1095" s="720"/>
      <c r="T1095" s="721"/>
      <c r="U1095" s="722"/>
      <c r="V1095" s="723"/>
      <c r="W1095" s="724"/>
      <c r="X1095" s="725" t="s">
        <v>159</v>
      </c>
      <c r="Y1095" s="725"/>
      <c r="Z1095" s="725"/>
      <c r="AA1095" s="725"/>
      <c r="AB1095" s="726" t="s">
        <v>159</v>
      </c>
      <c r="AC1095" s="726"/>
      <c r="AD1095" s="726"/>
      <c r="AE1095" s="726"/>
      <c r="AF1095" s="727"/>
      <c r="AG1095" s="728"/>
      <c r="AH1095" s="727"/>
      <c r="AI1095" s="728"/>
      <c r="AJ1095" s="682"/>
      <c r="AK1095" s="683"/>
      <c r="AL1095" s="664" t="s">
        <v>162</v>
      </c>
      <c r="AM1095" s="665"/>
      <c r="AN1095" s="713" t="s">
        <v>162</v>
      </c>
      <c r="AO1095" s="714"/>
      <c r="AP1095" s="729"/>
      <c r="AQ1095" s="730"/>
      <c r="AR1095" s="731"/>
      <c r="AS1095" s="732"/>
      <c r="AT1095" s="690"/>
      <c r="AU1095" s="691"/>
      <c r="AV1095" s="713" t="s">
        <v>162</v>
      </c>
      <c r="AW1095" s="714"/>
      <c r="AX1095" s="692"/>
      <c r="AY1095" s="693"/>
      <c r="AZ1095" s="694"/>
      <c r="BA1095" s="735"/>
      <c r="BB1095" s="736"/>
      <c r="BC1095" s="219"/>
      <c r="BD1095" s="737" t="s">
        <v>162</v>
      </c>
      <c r="BE1095" s="738"/>
      <c r="BF1095" s="739"/>
      <c r="BG1095" s="740"/>
      <c r="BH1095" s="740"/>
      <c r="BI1095" s="741"/>
      <c r="BJ1095" s="742" t="s">
        <v>159</v>
      </c>
      <c r="BK1095" s="743"/>
      <c r="BL1095" s="743"/>
      <c r="BM1095" s="744"/>
      <c r="BN1095" s="703" t="s">
        <v>159</v>
      </c>
      <c r="BO1095" s="704"/>
      <c r="BP1095" s="704"/>
      <c r="BQ1095" s="704"/>
      <c r="BR1095" s="704"/>
      <c r="BS1095" s="704"/>
      <c r="BT1095" s="704"/>
      <c r="BU1095" s="704"/>
      <c r="BV1095" s="705"/>
    </row>
    <row r="1096" spans="1:74" ht="45" customHeight="1" x14ac:dyDescent="0.25">
      <c r="A1096" s="10">
        <f t="shared" si="16"/>
        <v>1082</v>
      </c>
      <c r="B1096" s="662" t="s">
        <v>159</v>
      </c>
      <c r="C1096" s="662"/>
      <c r="D1096" s="663" t="s">
        <v>212</v>
      </c>
      <c r="E1096" s="663"/>
      <c r="F1096" s="664" t="s">
        <v>162</v>
      </c>
      <c r="G1096" s="665"/>
      <c r="H1096" s="754" t="s">
        <v>162</v>
      </c>
      <c r="I1096" s="714"/>
      <c r="J1096" s="715"/>
      <c r="K1096" s="716"/>
      <c r="L1096" s="715"/>
      <c r="M1096" s="716"/>
      <c r="N1096" s="194"/>
      <c r="O1096" s="196"/>
      <c r="P1096" s="717"/>
      <c r="Q1096" s="718"/>
      <c r="R1096" s="672"/>
      <c r="S1096" s="673"/>
      <c r="T1096" s="674"/>
      <c r="U1096" s="675"/>
      <c r="V1096" s="676"/>
      <c r="W1096" s="677"/>
      <c r="X1096" s="678" t="s">
        <v>159</v>
      </c>
      <c r="Y1096" s="678"/>
      <c r="Z1096" s="678"/>
      <c r="AA1096" s="678"/>
      <c r="AB1096" s="679" t="s">
        <v>159</v>
      </c>
      <c r="AC1096" s="679"/>
      <c r="AD1096" s="679"/>
      <c r="AE1096" s="679"/>
      <c r="AF1096" s="680"/>
      <c r="AG1096" s="681"/>
      <c r="AH1096" s="680"/>
      <c r="AI1096" s="681"/>
      <c r="AJ1096" s="682"/>
      <c r="AK1096" s="683"/>
      <c r="AL1096" s="684" t="s">
        <v>162</v>
      </c>
      <c r="AM1096" s="685"/>
      <c r="AN1096" s="666" t="s">
        <v>162</v>
      </c>
      <c r="AO1096" s="667"/>
      <c r="AP1096" s="686"/>
      <c r="AQ1096" s="687"/>
      <c r="AR1096" s="688"/>
      <c r="AS1096" s="689"/>
      <c r="AT1096" s="690"/>
      <c r="AU1096" s="691"/>
      <c r="AV1096" s="666" t="s">
        <v>162</v>
      </c>
      <c r="AW1096" s="667"/>
      <c r="AX1096" s="692"/>
      <c r="AY1096" s="693"/>
      <c r="AZ1096" s="694"/>
      <c r="BA1096" s="682"/>
      <c r="BB1096" s="683"/>
      <c r="BC1096" s="14"/>
      <c r="BD1096" s="695" t="s">
        <v>162</v>
      </c>
      <c r="BE1096" s="696"/>
      <c r="BF1096" s="697"/>
      <c r="BG1096" s="698"/>
      <c r="BH1096" s="698"/>
      <c r="BI1096" s="699"/>
      <c r="BJ1096" s="700" t="s">
        <v>159</v>
      </c>
      <c r="BK1096" s="701"/>
      <c r="BL1096" s="701"/>
      <c r="BM1096" s="702"/>
      <c r="BN1096" s="703" t="s">
        <v>159</v>
      </c>
      <c r="BO1096" s="704"/>
      <c r="BP1096" s="704"/>
      <c r="BQ1096" s="704"/>
      <c r="BR1096" s="704"/>
      <c r="BS1096" s="704"/>
      <c r="BT1096" s="704"/>
      <c r="BU1096" s="704"/>
      <c r="BV1096" s="705"/>
    </row>
    <row r="1097" spans="1:74" ht="45" customHeight="1" x14ac:dyDescent="0.25">
      <c r="A1097" s="10">
        <f t="shared" si="16"/>
        <v>1083</v>
      </c>
      <c r="B1097" s="711" t="s">
        <v>159</v>
      </c>
      <c r="C1097" s="711"/>
      <c r="D1097" s="712" t="s">
        <v>212</v>
      </c>
      <c r="E1097" s="712"/>
      <c r="F1097" s="664" t="s">
        <v>162</v>
      </c>
      <c r="G1097" s="665"/>
      <c r="H1097" s="755" t="s">
        <v>162</v>
      </c>
      <c r="I1097" s="667"/>
      <c r="J1097" s="706"/>
      <c r="K1097" s="707"/>
      <c r="L1097" s="706"/>
      <c r="M1097" s="707"/>
      <c r="N1097" s="215"/>
      <c r="O1097" s="216"/>
      <c r="P1097" s="670"/>
      <c r="Q1097" s="671"/>
      <c r="R1097" s="719"/>
      <c r="S1097" s="720"/>
      <c r="T1097" s="721"/>
      <c r="U1097" s="722"/>
      <c r="V1097" s="723"/>
      <c r="W1097" s="724"/>
      <c r="X1097" s="725" t="s">
        <v>159</v>
      </c>
      <c r="Y1097" s="725"/>
      <c r="Z1097" s="725"/>
      <c r="AA1097" s="725"/>
      <c r="AB1097" s="726" t="s">
        <v>159</v>
      </c>
      <c r="AC1097" s="726"/>
      <c r="AD1097" s="726"/>
      <c r="AE1097" s="726"/>
      <c r="AF1097" s="727"/>
      <c r="AG1097" s="728"/>
      <c r="AH1097" s="727"/>
      <c r="AI1097" s="728"/>
      <c r="AJ1097" s="682"/>
      <c r="AK1097" s="683"/>
      <c r="AL1097" s="664" t="s">
        <v>162</v>
      </c>
      <c r="AM1097" s="665"/>
      <c r="AN1097" s="713" t="s">
        <v>162</v>
      </c>
      <c r="AO1097" s="714"/>
      <c r="AP1097" s="729"/>
      <c r="AQ1097" s="730"/>
      <c r="AR1097" s="731"/>
      <c r="AS1097" s="732"/>
      <c r="AT1097" s="690"/>
      <c r="AU1097" s="691"/>
      <c r="AV1097" s="713" t="s">
        <v>162</v>
      </c>
      <c r="AW1097" s="714"/>
      <c r="AX1097" s="692"/>
      <c r="AY1097" s="693"/>
      <c r="AZ1097" s="694"/>
      <c r="BA1097" s="735"/>
      <c r="BB1097" s="736"/>
      <c r="BC1097" s="219"/>
      <c r="BD1097" s="737" t="s">
        <v>162</v>
      </c>
      <c r="BE1097" s="738"/>
      <c r="BF1097" s="739"/>
      <c r="BG1097" s="740"/>
      <c r="BH1097" s="740"/>
      <c r="BI1097" s="741"/>
      <c r="BJ1097" s="742" t="s">
        <v>159</v>
      </c>
      <c r="BK1097" s="743"/>
      <c r="BL1097" s="743"/>
      <c r="BM1097" s="744"/>
      <c r="BN1097" s="703" t="s">
        <v>159</v>
      </c>
      <c r="BO1097" s="704"/>
      <c r="BP1097" s="704"/>
      <c r="BQ1097" s="704"/>
      <c r="BR1097" s="704"/>
      <c r="BS1097" s="704"/>
      <c r="BT1097" s="704"/>
      <c r="BU1097" s="704"/>
      <c r="BV1097" s="705"/>
    </row>
    <row r="1098" spans="1:74" ht="45" customHeight="1" x14ac:dyDescent="0.25">
      <c r="A1098" s="10">
        <f t="shared" si="16"/>
        <v>1084</v>
      </c>
      <c r="B1098" s="662" t="s">
        <v>159</v>
      </c>
      <c r="C1098" s="662"/>
      <c r="D1098" s="663" t="s">
        <v>212</v>
      </c>
      <c r="E1098" s="663"/>
      <c r="F1098" s="664" t="s">
        <v>162</v>
      </c>
      <c r="G1098" s="665"/>
      <c r="H1098" s="754" t="s">
        <v>162</v>
      </c>
      <c r="I1098" s="714"/>
      <c r="J1098" s="715"/>
      <c r="K1098" s="716"/>
      <c r="L1098" s="715"/>
      <c r="M1098" s="716"/>
      <c r="N1098" s="194"/>
      <c r="O1098" s="196"/>
      <c r="P1098" s="717"/>
      <c r="Q1098" s="718"/>
      <c r="R1098" s="672"/>
      <c r="S1098" s="673"/>
      <c r="T1098" s="674"/>
      <c r="U1098" s="675"/>
      <c r="V1098" s="676"/>
      <c r="W1098" s="677"/>
      <c r="X1098" s="678" t="s">
        <v>159</v>
      </c>
      <c r="Y1098" s="678"/>
      <c r="Z1098" s="678"/>
      <c r="AA1098" s="678"/>
      <c r="AB1098" s="679" t="s">
        <v>159</v>
      </c>
      <c r="AC1098" s="679"/>
      <c r="AD1098" s="679"/>
      <c r="AE1098" s="679"/>
      <c r="AF1098" s="680"/>
      <c r="AG1098" s="681"/>
      <c r="AH1098" s="680"/>
      <c r="AI1098" s="681"/>
      <c r="AJ1098" s="682"/>
      <c r="AK1098" s="683"/>
      <c r="AL1098" s="684" t="s">
        <v>162</v>
      </c>
      <c r="AM1098" s="685"/>
      <c r="AN1098" s="666" t="s">
        <v>162</v>
      </c>
      <c r="AO1098" s="667"/>
      <c r="AP1098" s="686"/>
      <c r="AQ1098" s="687"/>
      <c r="AR1098" s="688"/>
      <c r="AS1098" s="689"/>
      <c r="AT1098" s="690"/>
      <c r="AU1098" s="691"/>
      <c r="AV1098" s="666" t="s">
        <v>162</v>
      </c>
      <c r="AW1098" s="667"/>
      <c r="AX1098" s="692"/>
      <c r="AY1098" s="693"/>
      <c r="AZ1098" s="694"/>
      <c r="BA1098" s="682"/>
      <c r="BB1098" s="683"/>
      <c r="BC1098" s="14"/>
      <c r="BD1098" s="695" t="s">
        <v>162</v>
      </c>
      <c r="BE1098" s="696"/>
      <c r="BF1098" s="697"/>
      <c r="BG1098" s="698"/>
      <c r="BH1098" s="698"/>
      <c r="BI1098" s="699"/>
      <c r="BJ1098" s="700" t="s">
        <v>159</v>
      </c>
      <c r="BK1098" s="701"/>
      <c r="BL1098" s="701"/>
      <c r="BM1098" s="702"/>
      <c r="BN1098" s="703" t="s">
        <v>159</v>
      </c>
      <c r="BO1098" s="704"/>
      <c r="BP1098" s="704"/>
      <c r="BQ1098" s="704"/>
      <c r="BR1098" s="704"/>
      <c r="BS1098" s="704"/>
      <c r="BT1098" s="704"/>
      <c r="BU1098" s="704"/>
      <c r="BV1098" s="705"/>
    </row>
    <row r="1099" spans="1:74" ht="45" customHeight="1" x14ac:dyDescent="0.25">
      <c r="A1099" s="10">
        <f t="shared" si="16"/>
        <v>1085</v>
      </c>
      <c r="B1099" s="711" t="s">
        <v>159</v>
      </c>
      <c r="C1099" s="711"/>
      <c r="D1099" s="712" t="s">
        <v>212</v>
      </c>
      <c r="E1099" s="712"/>
      <c r="F1099" s="664" t="s">
        <v>162</v>
      </c>
      <c r="G1099" s="665"/>
      <c r="H1099" s="755" t="s">
        <v>162</v>
      </c>
      <c r="I1099" s="667"/>
      <c r="J1099" s="706"/>
      <c r="K1099" s="707"/>
      <c r="L1099" s="706"/>
      <c r="M1099" s="707"/>
      <c r="N1099" s="215"/>
      <c r="O1099" s="216"/>
      <c r="P1099" s="670"/>
      <c r="Q1099" s="671"/>
      <c r="R1099" s="719"/>
      <c r="S1099" s="720"/>
      <c r="T1099" s="721"/>
      <c r="U1099" s="722"/>
      <c r="V1099" s="723"/>
      <c r="W1099" s="724"/>
      <c r="X1099" s="725" t="s">
        <v>159</v>
      </c>
      <c r="Y1099" s="725"/>
      <c r="Z1099" s="725"/>
      <c r="AA1099" s="725"/>
      <c r="AB1099" s="726" t="s">
        <v>159</v>
      </c>
      <c r="AC1099" s="726"/>
      <c r="AD1099" s="726"/>
      <c r="AE1099" s="726"/>
      <c r="AF1099" s="727"/>
      <c r="AG1099" s="728"/>
      <c r="AH1099" s="727"/>
      <c r="AI1099" s="728"/>
      <c r="AJ1099" s="682"/>
      <c r="AK1099" s="683"/>
      <c r="AL1099" s="664" t="s">
        <v>162</v>
      </c>
      <c r="AM1099" s="665"/>
      <c r="AN1099" s="713" t="s">
        <v>162</v>
      </c>
      <c r="AO1099" s="714"/>
      <c r="AP1099" s="729"/>
      <c r="AQ1099" s="730"/>
      <c r="AR1099" s="731"/>
      <c r="AS1099" s="732"/>
      <c r="AT1099" s="733"/>
      <c r="AU1099" s="734"/>
      <c r="AV1099" s="713" t="s">
        <v>162</v>
      </c>
      <c r="AW1099" s="714"/>
      <c r="AX1099" s="692"/>
      <c r="AY1099" s="693"/>
      <c r="AZ1099" s="694"/>
      <c r="BA1099" s="735"/>
      <c r="BB1099" s="736"/>
      <c r="BC1099" s="219"/>
      <c r="BD1099" s="737" t="s">
        <v>162</v>
      </c>
      <c r="BE1099" s="738"/>
      <c r="BF1099" s="739"/>
      <c r="BG1099" s="740"/>
      <c r="BH1099" s="740"/>
      <c r="BI1099" s="741"/>
      <c r="BJ1099" s="742" t="s">
        <v>159</v>
      </c>
      <c r="BK1099" s="743"/>
      <c r="BL1099" s="743"/>
      <c r="BM1099" s="744"/>
      <c r="BN1099" s="703" t="s">
        <v>159</v>
      </c>
      <c r="BO1099" s="704"/>
      <c r="BP1099" s="704"/>
      <c r="BQ1099" s="704"/>
      <c r="BR1099" s="704"/>
      <c r="BS1099" s="704"/>
      <c r="BT1099" s="704"/>
      <c r="BU1099" s="704"/>
      <c r="BV1099" s="705"/>
    </row>
    <row r="1100" spans="1:74" ht="45" customHeight="1" x14ac:dyDescent="0.25">
      <c r="A1100" s="10">
        <f t="shared" si="16"/>
        <v>1086</v>
      </c>
      <c r="B1100" s="662" t="s">
        <v>159</v>
      </c>
      <c r="C1100" s="662"/>
      <c r="D1100" s="663" t="s">
        <v>212</v>
      </c>
      <c r="E1100" s="663"/>
      <c r="F1100" s="664" t="s">
        <v>162</v>
      </c>
      <c r="G1100" s="665"/>
      <c r="H1100" s="754" t="s">
        <v>162</v>
      </c>
      <c r="I1100" s="714"/>
      <c r="J1100" s="715"/>
      <c r="K1100" s="716"/>
      <c r="L1100" s="715"/>
      <c r="M1100" s="716"/>
      <c r="N1100" s="194"/>
      <c r="O1100" s="196"/>
      <c r="P1100" s="717"/>
      <c r="Q1100" s="718"/>
      <c r="R1100" s="672"/>
      <c r="S1100" s="673"/>
      <c r="T1100" s="674"/>
      <c r="U1100" s="675"/>
      <c r="V1100" s="676"/>
      <c r="W1100" s="677"/>
      <c r="X1100" s="678" t="s">
        <v>159</v>
      </c>
      <c r="Y1100" s="678"/>
      <c r="Z1100" s="678"/>
      <c r="AA1100" s="678"/>
      <c r="AB1100" s="679" t="s">
        <v>159</v>
      </c>
      <c r="AC1100" s="679"/>
      <c r="AD1100" s="679"/>
      <c r="AE1100" s="679"/>
      <c r="AF1100" s="680"/>
      <c r="AG1100" s="681"/>
      <c r="AH1100" s="680"/>
      <c r="AI1100" s="681"/>
      <c r="AJ1100" s="682"/>
      <c r="AK1100" s="683"/>
      <c r="AL1100" s="684" t="s">
        <v>162</v>
      </c>
      <c r="AM1100" s="685"/>
      <c r="AN1100" s="666" t="s">
        <v>162</v>
      </c>
      <c r="AO1100" s="667"/>
      <c r="AP1100" s="686"/>
      <c r="AQ1100" s="687"/>
      <c r="AR1100" s="688"/>
      <c r="AS1100" s="689"/>
      <c r="AT1100" s="690"/>
      <c r="AU1100" s="691"/>
      <c r="AV1100" s="666" t="s">
        <v>162</v>
      </c>
      <c r="AW1100" s="667"/>
      <c r="AX1100" s="692"/>
      <c r="AY1100" s="693"/>
      <c r="AZ1100" s="694"/>
      <c r="BA1100" s="682"/>
      <c r="BB1100" s="683"/>
      <c r="BC1100" s="14"/>
      <c r="BD1100" s="695" t="s">
        <v>162</v>
      </c>
      <c r="BE1100" s="696"/>
      <c r="BF1100" s="708"/>
      <c r="BG1100" s="709"/>
      <c r="BH1100" s="709"/>
      <c r="BI1100" s="710"/>
      <c r="BJ1100" s="700" t="s">
        <v>159</v>
      </c>
      <c r="BK1100" s="701"/>
      <c r="BL1100" s="701"/>
      <c r="BM1100" s="702"/>
      <c r="BN1100" s="703" t="s">
        <v>159</v>
      </c>
      <c r="BO1100" s="704"/>
      <c r="BP1100" s="704"/>
      <c r="BQ1100" s="704"/>
      <c r="BR1100" s="704"/>
      <c r="BS1100" s="704"/>
      <c r="BT1100" s="704"/>
      <c r="BU1100" s="704"/>
      <c r="BV1100" s="705"/>
    </row>
    <row r="1101" spans="1:74" ht="45" customHeight="1" x14ac:dyDescent="0.25">
      <c r="A1101" s="10">
        <f t="shared" si="16"/>
        <v>1087</v>
      </c>
      <c r="B1101" s="711" t="s">
        <v>159</v>
      </c>
      <c r="C1101" s="711"/>
      <c r="D1101" s="712" t="s">
        <v>212</v>
      </c>
      <c r="E1101" s="712"/>
      <c r="F1101" s="664" t="s">
        <v>162</v>
      </c>
      <c r="G1101" s="665"/>
      <c r="H1101" s="755" t="s">
        <v>162</v>
      </c>
      <c r="I1101" s="667"/>
      <c r="J1101" s="706"/>
      <c r="K1101" s="707"/>
      <c r="L1101" s="706"/>
      <c r="M1101" s="707"/>
      <c r="N1101" s="215"/>
      <c r="O1101" s="216"/>
      <c r="P1101" s="670"/>
      <c r="Q1101" s="671"/>
      <c r="R1101" s="719"/>
      <c r="S1101" s="720"/>
      <c r="T1101" s="721"/>
      <c r="U1101" s="722"/>
      <c r="V1101" s="723"/>
      <c r="W1101" s="724"/>
      <c r="X1101" s="725" t="s">
        <v>159</v>
      </c>
      <c r="Y1101" s="725"/>
      <c r="Z1101" s="725"/>
      <c r="AA1101" s="725"/>
      <c r="AB1101" s="726" t="s">
        <v>159</v>
      </c>
      <c r="AC1101" s="726"/>
      <c r="AD1101" s="726"/>
      <c r="AE1101" s="726"/>
      <c r="AF1101" s="727"/>
      <c r="AG1101" s="728"/>
      <c r="AH1101" s="727"/>
      <c r="AI1101" s="728"/>
      <c r="AJ1101" s="682"/>
      <c r="AK1101" s="683"/>
      <c r="AL1101" s="664" t="s">
        <v>162</v>
      </c>
      <c r="AM1101" s="665"/>
      <c r="AN1101" s="713" t="s">
        <v>162</v>
      </c>
      <c r="AO1101" s="714"/>
      <c r="AP1101" s="729"/>
      <c r="AQ1101" s="730"/>
      <c r="AR1101" s="731"/>
      <c r="AS1101" s="732"/>
      <c r="AT1101" s="733"/>
      <c r="AU1101" s="734"/>
      <c r="AV1101" s="713" t="s">
        <v>162</v>
      </c>
      <c r="AW1101" s="714"/>
      <c r="AX1101" s="692"/>
      <c r="AY1101" s="693"/>
      <c r="AZ1101" s="694"/>
      <c r="BA1101" s="735"/>
      <c r="BB1101" s="736"/>
      <c r="BC1101" s="219"/>
      <c r="BD1101" s="737" t="s">
        <v>162</v>
      </c>
      <c r="BE1101" s="738"/>
      <c r="BF1101" s="739"/>
      <c r="BG1101" s="740"/>
      <c r="BH1101" s="740"/>
      <c r="BI1101" s="741"/>
      <c r="BJ1101" s="742" t="s">
        <v>159</v>
      </c>
      <c r="BK1101" s="743"/>
      <c r="BL1101" s="743"/>
      <c r="BM1101" s="744"/>
      <c r="BN1101" s="703" t="s">
        <v>159</v>
      </c>
      <c r="BO1101" s="704"/>
      <c r="BP1101" s="704"/>
      <c r="BQ1101" s="704"/>
      <c r="BR1101" s="704"/>
      <c r="BS1101" s="704"/>
      <c r="BT1101" s="704"/>
      <c r="BU1101" s="704"/>
      <c r="BV1101" s="705"/>
    </row>
    <row r="1102" spans="1:74" ht="45" customHeight="1" x14ac:dyDescent="0.25">
      <c r="A1102" s="10">
        <f t="shared" si="16"/>
        <v>1088</v>
      </c>
      <c r="B1102" s="662" t="s">
        <v>159</v>
      </c>
      <c r="C1102" s="662"/>
      <c r="D1102" s="663" t="s">
        <v>212</v>
      </c>
      <c r="E1102" s="663"/>
      <c r="F1102" s="664" t="s">
        <v>162</v>
      </c>
      <c r="G1102" s="665"/>
      <c r="H1102" s="754" t="s">
        <v>162</v>
      </c>
      <c r="I1102" s="714"/>
      <c r="J1102" s="715"/>
      <c r="K1102" s="716"/>
      <c r="L1102" s="715"/>
      <c r="M1102" s="716"/>
      <c r="N1102" s="194"/>
      <c r="O1102" s="196"/>
      <c r="P1102" s="717"/>
      <c r="Q1102" s="718"/>
      <c r="R1102" s="672"/>
      <c r="S1102" s="673"/>
      <c r="T1102" s="674"/>
      <c r="U1102" s="675"/>
      <c r="V1102" s="676"/>
      <c r="W1102" s="677"/>
      <c r="X1102" s="678" t="s">
        <v>159</v>
      </c>
      <c r="Y1102" s="678"/>
      <c r="Z1102" s="678"/>
      <c r="AA1102" s="678"/>
      <c r="AB1102" s="679" t="s">
        <v>159</v>
      </c>
      <c r="AC1102" s="679"/>
      <c r="AD1102" s="679"/>
      <c r="AE1102" s="679"/>
      <c r="AF1102" s="680"/>
      <c r="AG1102" s="681"/>
      <c r="AH1102" s="680"/>
      <c r="AI1102" s="681"/>
      <c r="AJ1102" s="682"/>
      <c r="AK1102" s="683"/>
      <c r="AL1102" s="684" t="s">
        <v>162</v>
      </c>
      <c r="AM1102" s="685"/>
      <c r="AN1102" s="666" t="s">
        <v>162</v>
      </c>
      <c r="AO1102" s="667"/>
      <c r="AP1102" s="686"/>
      <c r="AQ1102" s="687"/>
      <c r="AR1102" s="688"/>
      <c r="AS1102" s="689"/>
      <c r="AT1102" s="690"/>
      <c r="AU1102" s="691"/>
      <c r="AV1102" s="666" t="s">
        <v>162</v>
      </c>
      <c r="AW1102" s="667"/>
      <c r="AX1102" s="692"/>
      <c r="AY1102" s="693"/>
      <c r="AZ1102" s="694"/>
      <c r="BA1102" s="682"/>
      <c r="BB1102" s="683"/>
      <c r="BC1102" s="14"/>
      <c r="BD1102" s="695" t="s">
        <v>162</v>
      </c>
      <c r="BE1102" s="696"/>
      <c r="BF1102" s="697"/>
      <c r="BG1102" s="698"/>
      <c r="BH1102" s="698"/>
      <c r="BI1102" s="699"/>
      <c r="BJ1102" s="700" t="s">
        <v>159</v>
      </c>
      <c r="BK1102" s="701"/>
      <c r="BL1102" s="701"/>
      <c r="BM1102" s="702"/>
      <c r="BN1102" s="703" t="s">
        <v>159</v>
      </c>
      <c r="BO1102" s="704"/>
      <c r="BP1102" s="704"/>
      <c r="BQ1102" s="704"/>
      <c r="BR1102" s="704"/>
      <c r="BS1102" s="704"/>
      <c r="BT1102" s="704"/>
      <c r="BU1102" s="704"/>
      <c r="BV1102" s="705"/>
    </row>
    <row r="1103" spans="1:74" ht="45" customHeight="1" x14ac:dyDescent="0.25">
      <c r="A1103" s="10">
        <f t="shared" ref="A1103:A1166" si="17">ROW(A1089)</f>
        <v>1089</v>
      </c>
      <c r="B1103" s="711" t="s">
        <v>159</v>
      </c>
      <c r="C1103" s="711"/>
      <c r="D1103" s="712" t="s">
        <v>212</v>
      </c>
      <c r="E1103" s="712"/>
      <c r="F1103" s="664" t="s">
        <v>162</v>
      </c>
      <c r="G1103" s="665"/>
      <c r="H1103" s="755" t="s">
        <v>162</v>
      </c>
      <c r="I1103" s="667"/>
      <c r="J1103" s="706"/>
      <c r="K1103" s="707"/>
      <c r="L1103" s="706"/>
      <c r="M1103" s="707"/>
      <c r="N1103" s="215"/>
      <c r="O1103" s="216"/>
      <c r="P1103" s="670"/>
      <c r="Q1103" s="671"/>
      <c r="R1103" s="719"/>
      <c r="S1103" s="720"/>
      <c r="T1103" s="721"/>
      <c r="U1103" s="722"/>
      <c r="V1103" s="723"/>
      <c r="W1103" s="724"/>
      <c r="X1103" s="725" t="s">
        <v>159</v>
      </c>
      <c r="Y1103" s="725"/>
      <c r="Z1103" s="725"/>
      <c r="AA1103" s="725"/>
      <c r="AB1103" s="726" t="s">
        <v>159</v>
      </c>
      <c r="AC1103" s="726"/>
      <c r="AD1103" s="726"/>
      <c r="AE1103" s="726"/>
      <c r="AF1103" s="727"/>
      <c r="AG1103" s="728"/>
      <c r="AH1103" s="727"/>
      <c r="AI1103" s="728"/>
      <c r="AJ1103" s="682"/>
      <c r="AK1103" s="683"/>
      <c r="AL1103" s="664" t="s">
        <v>162</v>
      </c>
      <c r="AM1103" s="665"/>
      <c r="AN1103" s="713" t="s">
        <v>162</v>
      </c>
      <c r="AO1103" s="714"/>
      <c r="AP1103" s="729"/>
      <c r="AQ1103" s="730"/>
      <c r="AR1103" s="731"/>
      <c r="AS1103" s="732"/>
      <c r="AT1103" s="733"/>
      <c r="AU1103" s="734"/>
      <c r="AV1103" s="713" t="s">
        <v>162</v>
      </c>
      <c r="AW1103" s="714"/>
      <c r="AX1103" s="692"/>
      <c r="AY1103" s="693"/>
      <c r="AZ1103" s="694"/>
      <c r="BA1103" s="735"/>
      <c r="BB1103" s="736"/>
      <c r="BC1103" s="219"/>
      <c r="BD1103" s="737" t="s">
        <v>162</v>
      </c>
      <c r="BE1103" s="738"/>
      <c r="BF1103" s="739"/>
      <c r="BG1103" s="740"/>
      <c r="BH1103" s="740"/>
      <c r="BI1103" s="741"/>
      <c r="BJ1103" s="742" t="s">
        <v>159</v>
      </c>
      <c r="BK1103" s="743"/>
      <c r="BL1103" s="743"/>
      <c r="BM1103" s="744"/>
      <c r="BN1103" s="703" t="s">
        <v>159</v>
      </c>
      <c r="BO1103" s="704"/>
      <c r="BP1103" s="704"/>
      <c r="BQ1103" s="704"/>
      <c r="BR1103" s="704"/>
      <c r="BS1103" s="704"/>
      <c r="BT1103" s="704"/>
      <c r="BU1103" s="704"/>
      <c r="BV1103" s="705"/>
    </row>
    <row r="1104" spans="1:74" ht="45" customHeight="1" x14ac:dyDescent="0.25">
      <c r="A1104" s="10">
        <f t="shared" si="17"/>
        <v>1090</v>
      </c>
      <c r="B1104" s="662" t="s">
        <v>159</v>
      </c>
      <c r="C1104" s="662"/>
      <c r="D1104" s="663" t="s">
        <v>212</v>
      </c>
      <c r="E1104" s="663"/>
      <c r="F1104" s="664" t="s">
        <v>162</v>
      </c>
      <c r="G1104" s="665"/>
      <c r="H1104" s="754" t="s">
        <v>162</v>
      </c>
      <c r="I1104" s="714"/>
      <c r="J1104" s="340"/>
      <c r="K1104" s="341"/>
      <c r="L1104" s="340"/>
      <c r="M1104" s="341"/>
      <c r="N1104" s="194"/>
      <c r="O1104" s="196"/>
      <c r="P1104" s="717"/>
      <c r="Q1104" s="718"/>
      <c r="R1104" s="672"/>
      <c r="S1104" s="673"/>
      <c r="T1104" s="674"/>
      <c r="U1104" s="675"/>
      <c r="V1104" s="676"/>
      <c r="W1104" s="677"/>
      <c r="X1104" s="678" t="s">
        <v>159</v>
      </c>
      <c r="Y1104" s="678"/>
      <c r="Z1104" s="678"/>
      <c r="AA1104" s="678"/>
      <c r="AB1104" s="679" t="s">
        <v>159</v>
      </c>
      <c r="AC1104" s="679"/>
      <c r="AD1104" s="679"/>
      <c r="AE1104" s="679"/>
      <c r="AF1104" s="680"/>
      <c r="AG1104" s="681"/>
      <c r="AH1104" s="680"/>
      <c r="AI1104" s="681"/>
      <c r="AJ1104" s="682"/>
      <c r="AK1104" s="683"/>
      <c r="AL1104" s="684" t="s">
        <v>162</v>
      </c>
      <c r="AM1104" s="685"/>
      <c r="AN1104" s="666" t="s">
        <v>162</v>
      </c>
      <c r="AO1104" s="667"/>
      <c r="AP1104" s="686"/>
      <c r="AQ1104" s="687"/>
      <c r="AR1104" s="688"/>
      <c r="AS1104" s="689"/>
      <c r="AT1104" s="690"/>
      <c r="AU1104" s="691"/>
      <c r="AV1104" s="666" t="s">
        <v>162</v>
      </c>
      <c r="AW1104" s="667"/>
      <c r="AX1104" s="692"/>
      <c r="AY1104" s="693"/>
      <c r="AZ1104" s="694"/>
      <c r="BA1104" s="682"/>
      <c r="BB1104" s="683"/>
      <c r="BC1104" s="14"/>
      <c r="BD1104" s="695" t="s">
        <v>162</v>
      </c>
      <c r="BE1104" s="696"/>
      <c r="BF1104" s="697"/>
      <c r="BG1104" s="698"/>
      <c r="BH1104" s="698"/>
      <c r="BI1104" s="699"/>
      <c r="BJ1104" s="700" t="s">
        <v>159</v>
      </c>
      <c r="BK1104" s="701"/>
      <c r="BL1104" s="701"/>
      <c r="BM1104" s="702"/>
      <c r="BN1104" s="703" t="s">
        <v>159</v>
      </c>
      <c r="BO1104" s="704"/>
      <c r="BP1104" s="704"/>
      <c r="BQ1104" s="704"/>
      <c r="BR1104" s="704"/>
      <c r="BS1104" s="704"/>
      <c r="BT1104" s="704"/>
      <c r="BU1104" s="704"/>
      <c r="BV1104" s="705"/>
    </row>
    <row r="1105" spans="1:74" ht="45" customHeight="1" x14ac:dyDescent="0.25">
      <c r="A1105" s="10">
        <f t="shared" si="17"/>
        <v>1091</v>
      </c>
      <c r="B1105" s="711" t="s">
        <v>159</v>
      </c>
      <c r="C1105" s="711"/>
      <c r="D1105" s="712" t="s">
        <v>212</v>
      </c>
      <c r="E1105" s="712"/>
      <c r="F1105" s="664" t="s">
        <v>162</v>
      </c>
      <c r="G1105" s="665"/>
      <c r="H1105" s="755" t="s">
        <v>162</v>
      </c>
      <c r="I1105" s="667"/>
      <c r="J1105" s="706"/>
      <c r="K1105" s="707"/>
      <c r="L1105" s="706"/>
      <c r="M1105" s="707"/>
      <c r="N1105" s="215"/>
      <c r="O1105" s="216"/>
      <c r="P1105" s="670"/>
      <c r="Q1105" s="671"/>
      <c r="R1105" s="719"/>
      <c r="S1105" s="720"/>
      <c r="T1105" s="721"/>
      <c r="U1105" s="722"/>
      <c r="V1105" s="723"/>
      <c r="W1105" s="724"/>
      <c r="X1105" s="725" t="s">
        <v>159</v>
      </c>
      <c r="Y1105" s="725"/>
      <c r="Z1105" s="725"/>
      <c r="AA1105" s="725"/>
      <c r="AB1105" s="726" t="s">
        <v>159</v>
      </c>
      <c r="AC1105" s="726"/>
      <c r="AD1105" s="726"/>
      <c r="AE1105" s="726"/>
      <c r="AF1105" s="727"/>
      <c r="AG1105" s="728"/>
      <c r="AH1105" s="727"/>
      <c r="AI1105" s="728"/>
      <c r="AJ1105" s="682"/>
      <c r="AK1105" s="683"/>
      <c r="AL1105" s="664" t="s">
        <v>162</v>
      </c>
      <c r="AM1105" s="665"/>
      <c r="AN1105" s="713" t="s">
        <v>162</v>
      </c>
      <c r="AO1105" s="714"/>
      <c r="AP1105" s="729"/>
      <c r="AQ1105" s="730"/>
      <c r="AR1105" s="731"/>
      <c r="AS1105" s="732"/>
      <c r="AT1105" s="733"/>
      <c r="AU1105" s="734"/>
      <c r="AV1105" s="713" t="s">
        <v>162</v>
      </c>
      <c r="AW1105" s="714"/>
      <c r="AX1105" s="692"/>
      <c r="AY1105" s="693"/>
      <c r="AZ1105" s="694"/>
      <c r="BA1105" s="735"/>
      <c r="BB1105" s="736"/>
      <c r="BC1105" s="219"/>
      <c r="BD1105" s="737" t="s">
        <v>162</v>
      </c>
      <c r="BE1105" s="738"/>
      <c r="BF1105" s="739"/>
      <c r="BG1105" s="740"/>
      <c r="BH1105" s="740"/>
      <c r="BI1105" s="741"/>
      <c r="BJ1105" s="742" t="s">
        <v>159</v>
      </c>
      <c r="BK1105" s="743"/>
      <c r="BL1105" s="743"/>
      <c r="BM1105" s="744"/>
      <c r="BN1105" s="703" t="s">
        <v>159</v>
      </c>
      <c r="BO1105" s="704"/>
      <c r="BP1105" s="704"/>
      <c r="BQ1105" s="704"/>
      <c r="BR1105" s="704"/>
      <c r="BS1105" s="704"/>
      <c r="BT1105" s="704"/>
      <c r="BU1105" s="704"/>
      <c r="BV1105" s="705"/>
    </row>
    <row r="1106" spans="1:74" ht="45" customHeight="1" x14ac:dyDescent="0.25">
      <c r="A1106" s="10">
        <f t="shared" si="17"/>
        <v>1092</v>
      </c>
      <c r="B1106" s="662" t="s">
        <v>159</v>
      </c>
      <c r="C1106" s="662"/>
      <c r="D1106" s="663" t="s">
        <v>212</v>
      </c>
      <c r="E1106" s="663"/>
      <c r="F1106" s="664" t="s">
        <v>162</v>
      </c>
      <c r="G1106" s="665"/>
      <c r="H1106" s="754" t="s">
        <v>162</v>
      </c>
      <c r="I1106" s="714"/>
      <c r="J1106" s="340"/>
      <c r="K1106" s="341"/>
      <c r="L1106" s="340"/>
      <c r="M1106" s="341"/>
      <c r="N1106" s="194"/>
      <c r="O1106" s="196"/>
      <c r="P1106" s="717"/>
      <c r="Q1106" s="718"/>
      <c r="R1106" s="672"/>
      <c r="S1106" s="673"/>
      <c r="T1106" s="674"/>
      <c r="U1106" s="675"/>
      <c r="V1106" s="676"/>
      <c r="W1106" s="677"/>
      <c r="X1106" s="678" t="s">
        <v>159</v>
      </c>
      <c r="Y1106" s="678"/>
      <c r="Z1106" s="678"/>
      <c r="AA1106" s="678"/>
      <c r="AB1106" s="679" t="s">
        <v>159</v>
      </c>
      <c r="AC1106" s="679"/>
      <c r="AD1106" s="679"/>
      <c r="AE1106" s="679"/>
      <c r="AF1106" s="680"/>
      <c r="AG1106" s="681"/>
      <c r="AH1106" s="680"/>
      <c r="AI1106" s="681"/>
      <c r="AJ1106" s="682"/>
      <c r="AK1106" s="683"/>
      <c r="AL1106" s="684" t="s">
        <v>162</v>
      </c>
      <c r="AM1106" s="685"/>
      <c r="AN1106" s="666" t="s">
        <v>162</v>
      </c>
      <c r="AO1106" s="667"/>
      <c r="AP1106" s="686"/>
      <c r="AQ1106" s="687"/>
      <c r="AR1106" s="688"/>
      <c r="AS1106" s="689"/>
      <c r="AT1106" s="690"/>
      <c r="AU1106" s="691"/>
      <c r="AV1106" s="666" t="s">
        <v>162</v>
      </c>
      <c r="AW1106" s="667"/>
      <c r="AX1106" s="692"/>
      <c r="AY1106" s="693"/>
      <c r="AZ1106" s="694"/>
      <c r="BA1106" s="682"/>
      <c r="BB1106" s="683"/>
      <c r="BC1106" s="14"/>
      <c r="BD1106" s="695" t="s">
        <v>162</v>
      </c>
      <c r="BE1106" s="696"/>
      <c r="BF1106" s="708"/>
      <c r="BG1106" s="709"/>
      <c r="BH1106" s="709"/>
      <c r="BI1106" s="710"/>
      <c r="BJ1106" s="700" t="s">
        <v>159</v>
      </c>
      <c r="BK1106" s="701"/>
      <c r="BL1106" s="701"/>
      <c r="BM1106" s="702"/>
      <c r="BN1106" s="703" t="s">
        <v>159</v>
      </c>
      <c r="BO1106" s="704"/>
      <c r="BP1106" s="704"/>
      <c r="BQ1106" s="704"/>
      <c r="BR1106" s="704"/>
      <c r="BS1106" s="704"/>
      <c r="BT1106" s="704"/>
      <c r="BU1106" s="704"/>
      <c r="BV1106" s="705"/>
    </row>
    <row r="1107" spans="1:74" ht="45" customHeight="1" x14ac:dyDescent="0.25">
      <c r="A1107" s="10">
        <f t="shared" si="17"/>
        <v>1093</v>
      </c>
      <c r="B1107" s="711" t="s">
        <v>159</v>
      </c>
      <c r="C1107" s="711"/>
      <c r="D1107" s="712" t="s">
        <v>212</v>
      </c>
      <c r="E1107" s="712"/>
      <c r="F1107" s="664" t="s">
        <v>162</v>
      </c>
      <c r="G1107" s="665"/>
      <c r="H1107" s="755" t="s">
        <v>162</v>
      </c>
      <c r="I1107" s="667"/>
      <c r="J1107" s="706"/>
      <c r="K1107" s="707"/>
      <c r="L1107" s="706"/>
      <c r="M1107" s="707"/>
      <c r="N1107" s="215"/>
      <c r="O1107" s="216"/>
      <c r="P1107" s="670"/>
      <c r="Q1107" s="671"/>
      <c r="R1107" s="719"/>
      <c r="S1107" s="720"/>
      <c r="T1107" s="721"/>
      <c r="U1107" s="722"/>
      <c r="V1107" s="723"/>
      <c r="W1107" s="724"/>
      <c r="X1107" s="725" t="s">
        <v>159</v>
      </c>
      <c r="Y1107" s="725"/>
      <c r="Z1107" s="725"/>
      <c r="AA1107" s="725"/>
      <c r="AB1107" s="726" t="s">
        <v>159</v>
      </c>
      <c r="AC1107" s="726"/>
      <c r="AD1107" s="726"/>
      <c r="AE1107" s="726"/>
      <c r="AF1107" s="727"/>
      <c r="AG1107" s="728"/>
      <c r="AH1107" s="727"/>
      <c r="AI1107" s="728"/>
      <c r="AJ1107" s="682"/>
      <c r="AK1107" s="683"/>
      <c r="AL1107" s="664" t="s">
        <v>162</v>
      </c>
      <c r="AM1107" s="665"/>
      <c r="AN1107" s="713" t="s">
        <v>162</v>
      </c>
      <c r="AO1107" s="714"/>
      <c r="AP1107" s="729"/>
      <c r="AQ1107" s="730"/>
      <c r="AR1107" s="731"/>
      <c r="AS1107" s="732"/>
      <c r="AT1107" s="733"/>
      <c r="AU1107" s="734"/>
      <c r="AV1107" s="713" t="s">
        <v>162</v>
      </c>
      <c r="AW1107" s="714"/>
      <c r="AX1107" s="692"/>
      <c r="AY1107" s="693"/>
      <c r="AZ1107" s="694"/>
      <c r="BA1107" s="735"/>
      <c r="BB1107" s="736"/>
      <c r="BC1107" s="219"/>
      <c r="BD1107" s="737" t="s">
        <v>162</v>
      </c>
      <c r="BE1107" s="738"/>
      <c r="BF1107" s="739"/>
      <c r="BG1107" s="740"/>
      <c r="BH1107" s="740"/>
      <c r="BI1107" s="741"/>
      <c r="BJ1107" s="742" t="s">
        <v>159</v>
      </c>
      <c r="BK1107" s="743"/>
      <c r="BL1107" s="743"/>
      <c r="BM1107" s="744"/>
      <c r="BN1107" s="703" t="s">
        <v>159</v>
      </c>
      <c r="BO1107" s="704"/>
      <c r="BP1107" s="704"/>
      <c r="BQ1107" s="704"/>
      <c r="BR1107" s="704"/>
      <c r="BS1107" s="704"/>
      <c r="BT1107" s="704"/>
      <c r="BU1107" s="704"/>
      <c r="BV1107" s="705"/>
    </row>
    <row r="1108" spans="1:74" ht="45" customHeight="1" x14ac:dyDescent="0.25">
      <c r="A1108" s="10">
        <f t="shared" si="17"/>
        <v>1094</v>
      </c>
      <c r="B1108" s="662" t="s">
        <v>159</v>
      </c>
      <c r="C1108" s="662"/>
      <c r="D1108" s="663" t="s">
        <v>212</v>
      </c>
      <c r="E1108" s="663"/>
      <c r="F1108" s="664" t="s">
        <v>162</v>
      </c>
      <c r="G1108" s="665"/>
      <c r="H1108" s="754" t="s">
        <v>162</v>
      </c>
      <c r="I1108" s="714"/>
      <c r="J1108" s="340"/>
      <c r="K1108" s="341"/>
      <c r="L1108" s="340"/>
      <c r="M1108" s="341"/>
      <c r="N1108" s="194"/>
      <c r="O1108" s="196"/>
      <c r="P1108" s="717"/>
      <c r="Q1108" s="718"/>
      <c r="R1108" s="672"/>
      <c r="S1108" s="673"/>
      <c r="T1108" s="674"/>
      <c r="U1108" s="675"/>
      <c r="V1108" s="676"/>
      <c r="W1108" s="677"/>
      <c r="X1108" s="678" t="s">
        <v>159</v>
      </c>
      <c r="Y1108" s="678"/>
      <c r="Z1108" s="678"/>
      <c r="AA1108" s="678"/>
      <c r="AB1108" s="679" t="s">
        <v>159</v>
      </c>
      <c r="AC1108" s="679"/>
      <c r="AD1108" s="679"/>
      <c r="AE1108" s="679"/>
      <c r="AF1108" s="680"/>
      <c r="AG1108" s="681"/>
      <c r="AH1108" s="680"/>
      <c r="AI1108" s="681"/>
      <c r="AJ1108" s="682"/>
      <c r="AK1108" s="683"/>
      <c r="AL1108" s="684" t="s">
        <v>162</v>
      </c>
      <c r="AM1108" s="685"/>
      <c r="AN1108" s="666" t="s">
        <v>162</v>
      </c>
      <c r="AO1108" s="667"/>
      <c r="AP1108" s="686"/>
      <c r="AQ1108" s="687"/>
      <c r="AR1108" s="688"/>
      <c r="AS1108" s="689"/>
      <c r="AT1108" s="690"/>
      <c r="AU1108" s="691"/>
      <c r="AV1108" s="666" t="s">
        <v>162</v>
      </c>
      <c r="AW1108" s="667"/>
      <c r="AX1108" s="692"/>
      <c r="AY1108" s="693"/>
      <c r="AZ1108" s="694"/>
      <c r="BA1108" s="682"/>
      <c r="BB1108" s="683"/>
      <c r="BC1108" s="14"/>
      <c r="BD1108" s="695" t="s">
        <v>162</v>
      </c>
      <c r="BE1108" s="696"/>
      <c r="BF1108" s="697"/>
      <c r="BG1108" s="698"/>
      <c r="BH1108" s="698"/>
      <c r="BI1108" s="699"/>
      <c r="BJ1108" s="700" t="s">
        <v>159</v>
      </c>
      <c r="BK1108" s="701"/>
      <c r="BL1108" s="701"/>
      <c r="BM1108" s="702"/>
      <c r="BN1108" s="703" t="s">
        <v>159</v>
      </c>
      <c r="BO1108" s="704"/>
      <c r="BP1108" s="704"/>
      <c r="BQ1108" s="704"/>
      <c r="BR1108" s="704"/>
      <c r="BS1108" s="704"/>
      <c r="BT1108" s="704"/>
      <c r="BU1108" s="704"/>
      <c r="BV1108" s="705"/>
    </row>
    <row r="1109" spans="1:74" ht="45" customHeight="1" x14ac:dyDescent="0.25">
      <c r="A1109" s="10">
        <f t="shared" si="17"/>
        <v>1095</v>
      </c>
      <c r="B1109" s="711" t="s">
        <v>159</v>
      </c>
      <c r="C1109" s="711"/>
      <c r="D1109" s="712" t="s">
        <v>212</v>
      </c>
      <c r="E1109" s="712"/>
      <c r="F1109" s="664" t="s">
        <v>162</v>
      </c>
      <c r="G1109" s="665"/>
      <c r="H1109" s="755" t="s">
        <v>162</v>
      </c>
      <c r="I1109" s="667"/>
      <c r="J1109" s="706"/>
      <c r="K1109" s="707"/>
      <c r="L1109" s="706"/>
      <c r="M1109" s="707"/>
      <c r="N1109" s="194"/>
      <c r="O1109" s="196"/>
      <c r="P1109" s="717"/>
      <c r="Q1109" s="718"/>
      <c r="R1109" s="719"/>
      <c r="S1109" s="720"/>
      <c r="T1109" s="721"/>
      <c r="U1109" s="722"/>
      <c r="V1109" s="723"/>
      <c r="W1109" s="724"/>
      <c r="X1109" s="725" t="s">
        <v>159</v>
      </c>
      <c r="Y1109" s="725"/>
      <c r="Z1109" s="725"/>
      <c r="AA1109" s="725"/>
      <c r="AB1109" s="726" t="s">
        <v>159</v>
      </c>
      <c r="AC1109" s="726"/>
      <c r="AD1109" s="726"/>
      <c r="AE1109" s="726"/>
      <c r="AF1109" s="727"/>
      <c r="AG1109" s="728"/>
      <c r="AH1109" s="727"/>
      <c r="AI1109" s="728"/>
      <c r="AJ1109" s="682"/>
      <c r="AK1109" s="683"/>
      <c r="AL1109" s="664" t="s">
        <v>162</v>
      </c>
      <c r="AM1109" s="665"/>
      <c r="AN1109" s="713" t="s">
        <v>162</v>
      </c>
      <c r="AO1109" s="714"/>
      <c r="AP1109" s="729"/>
      <c r="AQ1109" s="730"/>
      <c r="AR1109" s="731"/>
      <c r="AS1109" s="732"/>
      <c r="AT1109" s="690"/>
      <c r="AU1109" s="691"/>
      <c r="AV1109" s="713" t="s">
        <v>162</v>
      </c>
      <c r="AW1109" s="714"/>
      <c r="AX1109" s="692"/>
      <c r="AY1109" s="693"/>
      <c r="AZ1109" s="694"/>
      <c r="BA1109" s="735"/>
      <c r="BB1109" s="736"/>
      <c r="BC1109" s="219"/>
      <c r="BD1109" s="737" t="s">
        <v>162</v>
      </c>
      <c r="BE1109" s="738"/>
      <c r="BF1109" s="739"/>
      <c r="BG1109" s="740"/>
      <c r="BH1109" s="740"/>
      <c r="BI1109" s="741"/>
      <c r="BJ1109" s="742" t="s">
        <v>159</v>
      </c>
      <c r="BK1109" s="743"/>
      <c r="BL1109" s="743"/>
      <c r="BM1109" s="744"/>
      <c r="BN1109" s="703" t="s">
        <v>159</v>
      </c>
      <c r="BO1109" s="704"/>
      <c r="BP1109" s="704"/>
      <c r="BQ1109" s="704"/>
      <c r="BR1109" s="704"/>
      <c r="BS1109" s="704"/>
      <c r="BT1109" s="704"/>
      <c r="BU1109" s="704"/>
      <c r="BV1109" s="705"/>
    </row>
    <row r="1110" spans="1:74" ht="45" customHeight="1" x14ac:dyDescent="0.25">
      <c r="A1110" s="10">
        <f t="shared" si="17"/>
        <v>1096</v>
      </c>
      <c r="B1110" s="662" t="s">
        <v>159</v>
      </c>
      <c r="C1110" s="662"/>
      <c r="D1110" s="663" t="s">
        <v>212</v>
      </c>
      <c r="E1110" s="663"/>
      <c r="F1110" s="664" t="s">
        <v>162</v>
      </c>
      <c r="G1110" s="665"/>
      <c r="H1110" s="754" t="s">
        <v>162</v>
      </c>
      <c r="I1110" s="714"/>
      <c r="J1110" s="340"/>
      <c r="K1110" s="341"/>
      <c r="L1110" s="340"/>
      <c r="M1110" s="341"/>
      <c r="N1110" s="215"/>
      <c r="O1110" s="216"/>
      <c r="P1110" s="670"/>
      <c r="Q1110" s="671"/>
      <c r="R1110" s="672"/>
      <c r="S1110" s="673"/>
      <c r="T1110" s="674"/>
      <c r="U1110" s="675"/>
      <c r="V1110" s="676"/>
      <c r="W1110" s="677"/>
      <c r="X1110" s="678" t="s">
        <v>159</v>
      </c>
      <c r="Y1110" s="678"/>
      <c r="Z1110" s="678"/>
      <c r="AA1110" s="678"/>
      <c r="AB1110" s="679" t="s">
        <v>159</v>
      </c>
      <c r="AC1110" s="679"/>
      <c r="AD1110" s="679"/>
      <c r="AE1110" s="679"/>
      <c r="AF1110" s="680"/>
      <c r="AG1110" s="681"/>
      <c r="AH1110" s="680"/>
      <c r="AI1110" s="681"/>
      <c r="AJ1110" s="682"/>
      <c r="AK1110" s="683"/>
      <c r="AL1110" s="684" t="s">
        <v>162</v>
      </c>
      <c r="AM1110" s="685"/>
      <c r="AN1110" s="666" t="s">
        <v>162</v>
      </c>
      <c r="AO1110" s="667"/>
      <c r="AP1110" s="686"/>
      <c r="AQ1110" s="687"/>
      <c r="AR1110" s="688"/>
      <c r="AS1110" s="689"/>
      <c r="AT1110" s="690"/>
      <c r="AU1110" s="691"/>
      <c r="AV1110" s="666" t="s">
        <v>162</v>
      </c>
      <c r="AW1110" s="667"/>
      <c r="AX1110" s="692"/>
      <c r="AY1110" s="693"/>
      <c r="AZ1110" s="694"/>
      <c r="BA1110" s="682"/>
      <c r="BB1110" s="683"/>
      <c r="BC1110" s="14"/>
      <c r="BD1110" s="695" t="s">
        <v>162</v>
      </c>
      <c r="BE1110" s="696"/>
      <c r="BF1110" s="697"/>
      <c r="BG1110" s="698"/>
      <c r="BH1110" s="698"/>
      <c r="BI1110" s="699"/>
      <c r="BJ1110" s="700" t="s">
        <v>159</v>
      </c>
      <c r="BK1110" s="701"/>
      <c r="BL1110" s="701"/>
      <c r="BM1110" s="702"/>
      <c r="BN1110" s="703" t="s">
        <v>159</v>
      </c>
      <c r="BO1110" s="704"/>
      <c r="BP1110" s="704"/>
      <c r="BQ1110" s="704"/>
      <c r="BR1110" s="704"/>
      <c r="BS1110" s="704"/>
      <c r="BT1110" s="704"/>
      <c r="BU1110" s="704"/>
      <c r="BV1110" s="705"/>
    </row>
    <row r="1111" spans="1:74" ht="45" customHeight="1" x14ac:dyDescent="0.25">
      <c r="A1111" s="10">
        <f t="shared" si="17"/>
        <v>1097</v>
      </c>
      <c r="B1111" s="711" t="s">
        <v>159</v>
      </c>
      <c r="C1111" s="711"/>
      <c r="D1111" s="712" t="s">
        <v>212</v>
      </c>
      <c r="E1111" s="712"/>
      <c r="F1111" s="664" t="s">
        <v>162</v>
      </c>
      <c r="G1111" s="665"/>
      <c r="H1111" s="755" t="s">
        <v>162</v>
      </c>
      <c r="I1111" s="667"/>
      <c r="J1111" s="706"/>
      <c r="K1111" s="707"/>
      <c r="L1111" s="706"/>
      <c r="M1111" s="707"/>
      <c r="N1111" s="194"/>
      <c r="O1111" s="196"/>
      <c r="P1111" s="717"/>
      <c r="Q1111" s="718"/>
      <c r="R1111" s="719"/>
      <c r="S1111" s="720"/>
      <c r="T1111" s="721"/>
      <c r="U1111" s="722"/>
      <c r="V1111" s="723"/>
      <c r="W1111" s="724"/>
      <c r="X1111" s="725" t="s">
        <v>159</v>
      </c>
      <c r="Y1111" s="725"/>
      <c r="Z1111" s="725"/>
      <c r="AA1111" s="725"/>
      <c r="AB1111" s="726" t="s">
        <v>159</v>
      </c>
      <c r="AC1111" s="726"/>
      <c r="AD1111" s="726"/>
      <c r="AE1111" s="726"/>
      <c r="AF1111" s="727"/>
      <c r="AG1111" s="728"/>
      <c r="AH1111" s="727"/>
      <c r="AI1111" s="728"/>
      <c r="AJ1111" s="682"/>
      <c r="AK1111" s="683"/>
      <c r="AL1111" s="664" t="s">
        <v>162</v>
      </c>
      <c r="AM1111" s="665"/>
      <c r="AN1111" s="713" t="s">
        <v>162</v>
      </c>
      <c r="AO1111" s="714"/>
      <c r="AP1111" s="729"/>
      <c r="AQ1111" s="730"/>
      <c r="AR1111" s="731"/>
      <c r="AS1111" s="732"/>
      <c r="AT1111" s="690"/>
      <c r="AU1111" s="691"/>
      <c r="AV1111" s="713" t="s">
        <v>162</v>
      </c>
      <c r="AW1111" s="714"/>
      <c r="AX1111" s="692"/>
      <c r="AY1111" s="693"/>
      <c r="AZ1111" s="694"/>
      <c r="BA1111" s="735"/>
      <c r="BB1111" s="736"/>
      <c r="BC1111" s="219"/>
      <c r="BD1111" s="737" t="s">
        <v>162</v>
      </c>
      <c r="BE1111" s="738"/>
      <c r="BF1111" s="739"/>
      <c r="BG1111" s="740"/>
      <c r="BH1111" s="740"/>
      <c r="BI1111" s="741"/>
      <c r="BJ1111" s="742" t="s">
        <v>159</v>
      </c>
      <c r="BK1111" s="743"/>
      <c r="BL1111" s="743"/>
      <c r="BM1111" s="744"/>
      <c r="BN1111" s="703" t="s">
        <v>159</v>
      </c>
      <c r="BO1111" s="704"/>
      <c r="BP1111" s="704"/>
      <c r="BQ1111" s="704"/>
      <c r="BR1111" s="704"/>
      <c r="BS1111" s="704"/>
      <c r="BT1111" s="704"/>
      <c r="BU1111" s="704"/>
      <c r="BV1111" s="705"/>
    </row>
    <row r="1112" spans="1:74" ht="45" customHeight="1" x14ac:dyDescent="0.25">
      <c r="A1112" s="10">
        <f t="shared" si="17"/>
        <v>1098</v>
      </c>
      <c r="B1112" s="662" t="s">
        <v>159</v>
      </c>
      <c r="C1112" s="662"/>
      <c r="D1112" s="663" t="s">
        <v>212</v>
      </c>
      <c r="E1112" s="663"/>
      <c r="F1112" s="664" t="s">
        <v>162</v>
      </c>
      <c r="G1112" s="665"/>
      <c r="H1112" s="754" t="s">
        <v>162</v>
      </c>
      <c r="I1112" s="714"/>
      <c r="J1112" s="340"/>
      <c r="K1112" s="341"/>
      <c r="L1112" s="340"/>
      <c r="M1112" s="341"/>
      <c r="N1112" s="215"/>
      <c r="O1112" s="216"/>
      <c r="P1112" s="670"/>
      <c r="Q1112" s="671"/>
      <c r="R1112" s="672"/>
      <c r="S1112" s="673"/>
      <c r="T1112" s="674"/>
      <c r="U1112" s="675"/>
      <c r="V1112" s="676"/>
      <c r="W1112" s="677"/>
      <c r="X1112" s="678" t="s">
        <v>159</v>
      </c>
      <c r="Y1112" s="678"/>
      <c r="Z1112" s="678"/>
      <c r="AA1112" s="678"/>
      <c r="AB1112" s="679" t="s">
        <v>159</v>
      </c>
      <c r="AC1112" s="679"/>
      <c r="AD1112" s="679"/>
      <c r="AE1112" s="679"/>
      <c r="AF1112" s="680"/>
      <c r="AG1112" s="681"/>
      <c r="AH1112" s="680"/>
      <c r="AI1112" s="681"/>
      <c r="AJ1112" s="682"/>
      <c r="AK1112" s="683"/>
      <c r="AL1112" s="684" t="s">
        <v>162</v>
      </c>
      <c r="AM1112" s="685"/>
      <c r="AN1112" s="666" t="s">
        <v>162</v>
      </c>
      <c r="AO1112" s="667"/>
      <c r="AP1112" s="686"/>
      <c r="AQ1112" s="687"/>
      <c r="AR1112" s="688"/>
      <c r="AS1112" s="689"/>
      <c r="AT1112" s="690"/>
      <c r="AU1112" s="691"/>
      <c r="AV1112" s="666" t="s">
        <v>162</v>
      </c>
      <c r="AW1112" s="667"/>
      <c r="AX1112" s="692"/>
      <c r="AY1112" s="693"/>
      <c r="AZ1112" s="694"/>
      <c r="BA1112" s="682"/>
      <c r="BB1112" s="683"/>
      <c r="BC1112" s="14"/>
      <c r="BD1112" s="695" t="s">
        <v>162</v>
      </c>
      <c r="BE1112" s="696"/>
      <c r="BF1112" s="697"/>
      <c r="BG1112" s="698"/>
      <c r="BH1112" s="698"/>
      <c r="BI1112" s="699"/>
      <c r="BJ1112" s="700" t="s">
        <v>159</v>
      </c>
      <c r="BK1112" s="701"/>
      <c r="BL1112" s="701"/>
      <c r="BM1112" s="702"/>
      <c r="BN1112" s="703" t="s">
        <v>159</v>
      </c>
      <c r="BO1112" s="704"/>
      <c r="BP1112" s="704"/>
      <c r="BQ1112" s="704"/>
      <c r="BR1112" s="704"/>
      <c r="BS1112" s="704"/>
      <c r="BT1112" s="704"/>
      <c r="BU1112" s="704"/>
      <c r="BV1112" s="705"/>
    </row>
    <row r="1113" spans="1:74" ht="45" customHeight="1" x14ac:dyDescent="0.25">
      <c r="A1113" s="10">
        <f t="shared" si="17"/>
        <v>1099</v>
      </c>
      <c r="B1113" s="711" t="s">
        <v>159</v>
      </c>
      <c r="C1113" s="711"/>
      <c r="D1113" s="712" t="s">
        <v>212</v>
      </c>
      <c r="E1113" s="712"/>
      <c r="F1113" s="664" t="s">
        <v>162</v>
      </c>
      <c r="G1113" s="665"/>
      <c r="H1113" s="755" t="s">
        <v>162</v>
      </c>
      <c r="I1113" s="667"/>
      <c r="J1113" s="706"/>
      <c r="K1113" s="707"/>
      <c r="L1113" s="706"/>
      <c r="M1113" s="707"/>
      <c r="N1113" s="194"/>
      <c r="O1113" s="216"/>
      <c r="P1113" s="717"/>
      <c r="Q1113" s="718"/>
      <c r="R1113" s="719"/>
      <c r="S1113" s="720"/>
      <c r="T1113" s="721"/>
      <c r="U1113" s="722"/>
      <c r="V1113" s="723"/>
      <c r="W1113" s="724"/>
      <c r="X1113" s="725" t="s">
        <v>159</v>
      </c>
      <c r="Y1113" s="725"/>
      <c r="Z1113" s="725"/>
      <c r="AA1113" s="725"/>
      <c r="AB1113" s="726" t="s">
        <v>159</v>
      </c>
      <c r="AC1113" s="726"/>
      <c r="AD1113" s="726"/>
      <c r="AE1113" s="726"/>
      <c r="AF1113" s="727"/>
      <c r="AG1113" s="728"/>
      <c r="AH1113" s="727"/>
      <c r="AI1113" s="728"/>
      <c r="AJ1113" s="682"/>
      <c r="AK1113" s="683"/>
      <c r="AL1113" s="664" t="s">
        <v>162</v>
      </c>
      <c r="AM1113" s="665"/>
      <c r="AN1113" s="713" t="s">
        <v>162</v>
      </c>
      <c r="AO1113" s="714"/>
      <c r="AP1113" s="729"/>
      <c r="AQ1113" s="730"/>
      <c r="AR1113" s="731"/>
      <c r="AS1113" s="732"/>
      <c r="AT1113" s="733"/>
      <c r="AU1113" s="734"/>
      <c r="AV1113" s="713" t="s">
        <v>162</v>
      </c>
      <c r="AW1113" s="714"/>
      <c r="AX1113" s="692"/>
      <c r="AY1113" s="693"/>
      <c r="AZ1113" s="694"/>
      <c r="BA1113" s="735"/>
      <c r="BB1113" s="736"/>
      <c r="BC1113" s="219"/>
      <c r="BD1113" s="737" t="s">
        <v>162</v>
      </c>
      <c r="BE1113" s="738"/>
      <c r="BF1113" s="739"/>
      <c r="BG1113" s="740"/>
      <c r="BH1113" s="740"/>
      <c r="BI1113" s="741"/>
      <c r="BJ1113" s="742" t="s">
        <v>159</v>
      </c>
      <c r="BK1113" s="743"/>
      <c r="BL1113" s="743"/>
      <c r="BM1113" s="744"/>
      <c r="BN1113" s="703" t="s">
        <v>159</v>
      </c>
      <c r="BO1113" s="704"/>
      <c r="BP1113" s="704"/>
      <c r="BQ1113" s="704"/>
      <c r="BR1113" s="704"/>
      <c r="BS1113" s="704"/>
      <c r="BT1113" s="704"/>
      <c r="BU1113" s="704"/>
      <c r="BV1113" s="705"/>
    </row>
    <row r="1114" spans="1:74" ht="45" customHeight="1" x14ac:dyDescent="0.25">
      <c r="A1114" s="10">
        <f t="shared" si="17"/>
        <v>1100</v>
      </c>
      <c r="B1114" s="662" t="s">
        <v>159</v>
      </c>
      <c r="C1114" s="662"/>
      <c r="D1114" s="663" t="s">
        <v>212</v>
      </c>
      <c r="E1114" s="663"/>
      <c r="F1114" s="664" t="s">
        <v>162</v>
      </c>
      <c r="G1114" s="665"/>
      <c r="H1114" s="754" t="s">
        <v>162</v>
      </c>
      <c r="I1114" s="714"/>
      <c r="J1114" s="340"/>
      <c r="K1114" s="341"/>
      <c r="L1114" s="340"/>
      <c r="M1114" s="341"/>
      <c r="N1114" s="215"/>
      <c r="O1114" s="196"/>
      <c r="P1114" s="670"/>
      <c r="Q1114" s="671"/>
      <c r="R1114" s="672"/>
      <c r="S1114" s="673"/>
      <c r="T1114" s="674"/>
      <c r="U1114" s="675"/>
      <c r="V1114" s="676"/>
      <c r="W1114" s="677"/>
      <c r="X1114" s="678" t="s">
        <v>159</v>
      </c>
      <c r="Y1114" s="678"/>
      <c r="Z1114" s="678"/>
      <c r="AA1114" s="678"/>
      <c r="AB1114" s="679" t="s">
        <v>159</v>
      </c>
      <c r="AC1114" s="679"/>
      <c r="AD1114" s="679"/>
      <c r="AE1114" s="679"/>
      <c r="AF1114" s="680"/>
      <c r="AG1114" s="681"/>
      <c r="AH1114" s="680"/>
      <c r="AI1114" s="681"/>
      <c r="AJ1114" s="682"/>
      <c r="AK1114" s="683"/>
      <c r="AL1114" s="684" t="s">
        <v>162</v>
      </c>
      <c r="AM1114" s="685"/>
      <c r="AN1114" s="666" t="s">
        <v>162</v>
      </c>
      <c r="AO1114" s="667"/>
      <c r="AP1114" s="686"/>
      <c r="AQ1114" s="687"/>
      <c r="AR1114" s="688"/>
      <c r="AS1114" s="689"/>
      <c r="AT1114" s="690"/>
      <c r="AU1114" s="691"/>
      <c r="AV1114" s="666" t="s">
        <v>162</v>
      </c>
      <c r="AW1114" s="667"/>
      <c r="AX1114" s="692"/>
      <c r="AY1114" s="693"/>
      <c r="AZ1114" s="694"/>
      <c r="BA1114" s="682"/>
      <c r="BB1114" s="683"/>
      <c r="BC1114" s="14"/>
      <c r="BD1114" s="695" t="s">
        <v>162</v>
      </c>
      <c r="BE1114" s="696"/>
      <c r="BF1114" s="708"/>
      <c r="BG1114" s="709"/>
      <c r="BH1114" s="709"/>
      <c r="BI1114" s="710"/>
      <c r="BJ1114" s="700" t="s">
        <v>159</v>
      </c>
      <c r="BK1114" s="701"/>
      <c r="BL1114" s="701"/>
      <c r="BM1114" s="702"/>
      <c r="BN1114" s="703" t="s">
        <v>159</v>
      </c>
      <c r="BO1114" s="704"/>
      <c r="BP1114" s="704"/>
      <c r="BQ1114" s="704"/>
      <c r="BR1114" s="704"/>
      <c r="BS1114" s="704"/>
      <c r="BT1114" s="704"/>
      <c r="BU1114" s="704"/>
      <c r="BV1114" s="705"/>
    </row>
    <row r="1115" spans="1:74" ht="45" customHeight="1" x14ac:dyDescent="0.25">
      <c r="A1115" s="10">
        <f t="shared" si="17"/>
        <v>1101</v>
      </c>
      <c r="B1115" s="711" t="s">
        <v>159</v>
      </c>
      <c r="C1115" s="711"/>
      <c r="D1115" s="712" t="s">
        <v>212</v>
      </c>
      <c r="E1115" s="712"/>
      <c r="F1115" s="664" t="s">
        <v>162</v>
      </c>
      <c r="G1115" s="665"/>
      <c r="H1115" s="755" t="s">
        <v>162</v>
      </c>
      <c r="I1115" s="667"/>
      <c r="J1115" s="706"/>
      <c r="K1115" s="707"/>
      <c r="L1115" s="706"/>
      <c r="M1115" s="707"/>
      <c r="N1115" s="194"/>
      <c r="O1115" s="216"/>
      <c r="P1115" s="717"/>
      <c r="Q1115" s="718"/>
      <c r="R1115" s="719"/>
      <c r="S1115" s="720"/>
      <c r="T1115" s="721"/>
      <c r="U1115" s="722"/>
      <c r="V1115" s="723"/>
      <c r="W1115" s="724"/>
      <c r="X1115" s="725" t="s">
        <v>159</v>
      </c>
      <c r="Y1115" s="725"/>
      <c r="Z1115" s="725"/>
      <c r="AA1115" s="725"/>
      <c r="AB1115" s="726" t="s">
        <v>159</v>
      </c>
      <c r="AC1115" s="726"/>
      <c r="AD1115" s="726"/>
      <c r="AE1115" s="726"/>
      <c r="AF1115" s="727"/>
      <c r="AG1115" s="728"/>
      <c r="AH1115" s="727"/>
      <c r="AI1115" s="728"/>
      <c r="AJ1115" s="682"/>
      <c r="AK1115" s="683"/>
      <c r="AL1115" s="664" t="s">
        <v>162</v>
      </c>
      <c r="AM1115" s="665"/>
      <c r="AN1115" s="713" t="s">
        <v>162</v>
      </c>
      <c r="AO1115" s="714"/>
      <c r="AP1115" s="729"/>
      <c r="AQ1115" s="730"/>
      <c r="AR1115" s="731"/>
      <c r="AS1115" s="732"/>
      <c r="AT1115" s="733"/>
      <c r="AU1115" s="734"/>
      <c r="AV1115" s="713" t="s">
        <v>162</v>
      </c>
      <c r="AW1115" s="714"/>
      <c r="AX1115" s="692"/>
      <c r="AY1115" s="693"/>
      <c r="AZ1115" s="694"/>
      <c r="BA1115" s="735"/>
      <c r="BB1115" s="736"/>
      <c r="BC1115" s="219"/>
      <c r="BD1115" s="737" t="s">
        <v>162</v>
      </c>
      <c r="BE1115" s="738"/>
      <c r="BF1115" s="739"/>
      <c r="BG1115" s="740"/>
      <c r="BH1115" s="740"/>
      <c r="BI1115" s="741"/>
      <c r="BJ1115" s="742" t="s">
        <v>159</v>
      </c>
      <c r="BK1115" s="743"/>
      <c r="BL1115" s="743"/>
      <c r="BM1115" s="744"/>
      <c r="BN1115" s="703" t="s">
        <v>159</v>
      </c>
      <c r="BO1115" s="704"/>
      <c r="BP1115" s="704"/>
      <c r="BQ1115" s="704"/>
      <c r="BR1115" s="704"/>
      <c r="BS1115" s="704"/>
      <c r="BT1115" s="704"/>
      <c r="BU1115" s="704"/>
      <c r="BV1115" s="705"/>
    </row>
    <row r="1116" spans="1:74" ht="45" customHeight="1" x14ac:dyDescent="0.25">
      <c r="A1116" s="10">
        <f t="shared" si="17"/>
        <v>1102</v>
      </c>
      <c r="B1116" s="662" t="s">
        <v>159</v>
      </c>
      <c r="C1116" s="662"/>
      <c r="D1116" s="663" t="s">
        <v>212</v>
      </c>
      <c r="E1116" s="663"/>
      <c r="F1116" s="664" t="s">
        <v>162</v>
      </c>
      <c r="G1116" s="665"/>
      <c r="H1116" s="754" t="s">
        <v>162</v>
      </c>
      <c r="I1116" s="714"/>
      <c r="J1116" s="340"/>
      <c r="K1116" s="341"/>
      <c r="L1116" s="340"/>
      <c r="M1116" s="341"/>
      <c r="N1116" s="215"/>
      <c r="O1116" s="196"/>
      <c r="P1116" s="670"/>
      <c r="Q1116" s="671"/>
      <c r="R1116" s="672"/>
      <c r="S1116" s="673"/>
      <c r="T1116" s="674"/>
      <c r="U1116" s="675"/>
      <c r="V1116" s="676"/>
      <c r="W1116" s="677"/>
      <c r="X1116" s="678" t="s">
        <v>159</v>
      </c>
      <c r="Y1116" s="678"/>
      <c r="Z1116" s="678"/>
      <c r="AA1116" s="678"/>
      <c r="AB1116" s="679" t="s">
        <v>159</v>
      </c>
      <c r="AC1116" s="679"/>
      <c r="AD1116" s="679"/>
      <c r="AE1116" s="679"/>
      <c r="AF1116" s="680"/>
      <c r="AG1116" s="681"/>
      <c r="AH1116" s="680"/>
      <c r="AI1116" s="681"/>
      <c r="AJ1116" s="682"/>
      <c r="AK1116" s="683"/>
      <c r="AL1116" s="684" t="s">
        <v>162</v>
      </c>
      <c r="AM1116" s="685"/>
      <c r="AN1116" s="666" t="s">
        <v>162</v>
      </c>
      <c r="AO1116" s="667"/>
      <c r="AP1116" s="686"/>
      <c r="AQ1116" s="687"/>
      <c r="AR1116" s="688"/>
      <c r="AS1116" s="689"/>
      <c r="AT1116" s="690"/>
      <c r="AU1116" s="691"/>
      <c r="AV1116" s="666" t="s">
        <v>162</v>
      </c>
      <c r="AW1116" s="667"/>
      <c r="AX1116" s="692"/>
      <c r="AY1116" s="693"/>
      <c r="AZ1116" s="694"/>
      <c r="BA1116" s="682"/>
      <c r="BB1116" s="683"/>
      <c r="BC1116" s="14"/>
      <c r="BD1116" s="695" t="s">
        <v>162</v>
      </c>
      <c r="BE1116" s="696"/>
      <c r="BF1116" s="697"/>
      <c r="BG1116" s="698"/>
      <c r="BH1116" s="698"/>
      <c r="BI1116" s="699"/>
      <c r="BJ1116" s="700" t="s">
        <v>159</v>
      </c>
      <c r="BK1116" s="701"/>
      <c r="BL1116" s="701"/>
      <c r="BM1116" s="702"/>
      <c r="BN1116" s="703" t="s">
        <v>159</v>
      </c>
      <c r="BO1116" s="704"/>
      <c r="BP1116" s="704"/>
      <c r="BQ1116" s="704"/>
      <c r="BR1116" s="704"/>
      <c r="BS1116" s="704"/>
      <c r="BT1116" s="704"/>
      <c r="BU1116" s="704"/>
      <c r="BV1116" s="705"/>
    </row>
    <row r="1117" spans="1:74" ht="45" customHeight="1" x14ac:dyDescent="0.25">
      <c r="A1117" s="10">
        <f t="shared" si="17"/>
        <v>1103</v>
      </c>
      <c r="B1117" s="711" t="s">
        <v>159</v>
      </c>
      <c r="C1117" s="711"/>
      <c r="D1117" s="712" t="s">
        <v>212</v>
      </c>
      <c r="E1117" s="712"/>
      <c r="F1117" s="664" t="s">
        <v>162</v>
      </c>
      <c r="G1117" s="665"/>
      <c r="H1117" s="755" t="s">
        <v>162</v>
      </c>
      <c r="I1117" s="667"/>
      <c r="J1117" s="706"/>
      <c r="K1117" s="707"/>
      <c r="L1117" s="706"/>
      <c r="M1117" s="707"/>
      <c r="N1117" s="194"/>
      <c r="O1117" s="216"/>
      <c r="P1117" s="717"/>
      <c r="Q1117" s="718"/>
      <c r="R1117" s="719"/>
      <c r="S1117" s="720"/>
      <c r="T1117" s="721"/>
      <c r="U1117" s="722"/>
      <c r="V1117" s="723"/>
      <c r="W1117" s="724"/>
      <c r="X1117" s="725" t="s">
        <v>159</v>
      </c>
      <c r="Y1117" s="725"/>
      <c r="Z1117" s="725"/>
      <c r="AA1117" s="725"/>
      <c r="AB1117" s="726" t="s">
        <v>159</v>
      </c>
      <c r="AC1117" s="726"/>
      <c r="AD1117" s="726"/>
      <c r="AE1117" s="726"/>
      <c r="AF1117" s="727"/>
      <c r="AG1117" s="728"/>
      <c r="AH1117" s="727"/>
      <c r="AI1117" s="728"/>
      <c r="AJ1117" s="682"/>
      <c r="AK1117" s="683"/>
      <c r="AL1117" s="664" t="s">
        <v>162</v>
      </c>
      <c r="AM1117" s="665"/>
      <c r="AN1117" s="713" t="s">
        <v>162</v>
      </c>
      <c r="AO1117" s="714"/>
      <c r="AP1117" s="729"/>
      <c r="AQ1117" s="730"/>
      <c r="AR1117" s="731"/>
      <c r="AS1117" s="732"/>
      <c r="AT1117" s="733"/>
      <c r="AU1117" s="734"/>
      <c r="AV1117" s="713" t="s">
        <v>162</v>
      </c>
      <c r="AW1117" s="714"/>
      <c r="AX1117" s="692"/>
      <c r="AY1117" s="693"/>
      <c r="AZ1117" s="694"/>
      <c r="BA1117" s="735"/>
      <c r="BB1117" s="736"/>
      <c r="BC1117" s="219"/>
      <c r="BD1117" s="737" t="s">
        <v>162</v>
      </c>
      <c r="BE1117" s="738"/>
      <c r="BF1117" s="739"/>
      <c r="BG1117" s="740"/>
      <c r="BH1117" s="740"/>
      <c r="BI1117" s="741"/>
      <c r="BJ1117" s="742" t="s">
        <v>159</v>
      </c>
      <c r="BK1117" s="743"/>
      <c r="BL1117" s="743"/>
      <c r="BM1117" s="744"/>
      <c r="BN1117" s="703" t="s">
        <v>159</v>
      </c>
      <c r="BO1117" s="704"/>
      <c r="BP1117" s="704"/>
      <c r="BQ1117" s="704"/>
      <c r="BR1117" s="704"/>
      <c r="BS1117" s="704"/>
      <c r="BT1117" s="704"/>
      <c r="BU1117" s="704"/>
      <c r="BV1117" s="705"/>
    </row>
    <row r="1118" spans="1:74" ht="45" customHeight="1" x14ac:dyDescent="0.25">
      <c r="A1118" s="10">
        <f t="shared" si="17"/>
        <v>1104</v>
      </c>
      <c r="B1118" s="662" t="s">
        <v>159</v>
      </c>
      <c r="C1118" s="662"/>
      <c r="D1118" s="663" t="s">
        <v>212</v>
      </c>
      <c r="E1118" s="663"/>
      <c r="F1118" s="664" t="s">
        <v>162</v>
      </c>
      <c r="G1118" s="665"/>
      <c r="H1118" s="754" t="s">
        <v>162</v>
      </c>
      <c r="I1118" s="714"/>
      <c r="J1118" s="340"/>
      <c r="K1118" s="341"/>
      <c r="L1118" s="340"/>
      <c r="M1118" s="341"/>
      <c r="N1118" s="215"/>
      <c r="O1118" s="196"/>
      <c r="P1118" s="670"/>
      <c r="Q1118" s="671"/>
      <c r="R1118" s="672"/>
      <c r="S1118" s="673"/>
      <c r="T1118" s="674"/>
      <c r="U1118" s="675"/>
      <c r="V1118" s="676"/>
      <c r="W1118" s="677"/>
      <c r="X1118" s="678" t="s">
        <v>159</v>
      </c>
      <c r="Y1118" s="678"/>
      <c r="Z1118" s="678"/>
      <c r="AA1118" s="678"/>
      <c r="AB1118" s="679" t="s">
        <v>159</v>
      </c>
      <c r="AC1118" s="679"/>
      <c r="AD1118" s="679"/>
      <c r="AE1118" s="679"/>
      <c r="AF1118" s="680"/>
      <c r="AG1118" s="681"/>
      <c r="AH1118" s="680"/>
      <c r="AI1118" s="681"/>
      <c r="AJ1118" s="682"/>
      <c r="AK1118" s="683"/>
      <c r="AL1118" s="684" t="s">
        <v>162</v>
      </c>
      <c r="AM1118" s="685"/>
      <c r="AN1118" s="666" t="s">
        <v>162</v>
      </c>
      <c r="AO1118" s="667"/>
      <c r="AP1118" s="686"/>
      <c r="AQ1118" s="687"/>
      <c r="AR1118" s="688"/>
      <c r="AS1118" s="689"/>
      <c r="AT1118" s="690"/>
      <c r="AU1118" s="691"/>
      <c r="AV1118" s="666" t="s">
        <v>162</v>
      </c>
      <c r="AW1118" s="667"/>
      <c r="AX1118" s="692"/>
      <c r="AY1118" s="693"/>
      <c r="AZ1118" s="694"/>
      <c r="BA1118" s="682"/>
      <c r="BB1118" s="683"/>
      <c r="BC1118" s="14"/>
      <c r="BD1118" s="695" t="s">
        <v>162</v>
      </c>
      <c r="BE1118" s="696"/>
      <c r="BF1118" s="697"/>
      <c r="BG1118" s="698"/>
      <c r="BH1118" s="698"/>
      <c r="BI1118" s="699"/>
      <c r="BJ1118" s="700" t="s">
        <v>159</v>
      </c>
      <c r="BK1118" s="701"/>
      <c r="BL1118" s="701"/>
      <c r="BM1118" s="702"/>
      <c r="BN1118" s="703" t="s">
        <v>159</v>
      </c>
      <c r="BO1118" s="704"/>
      <c r="BP1118" s="704"/>
      <c r="BQ1118" s="704"/>
      <c r="BR1118" s="704"/>
      <c r="BS1118" s="704"/>
      <c r="BT1118" s="704"/>
      <c r="BU1118" s="704"/>
      <c r="BV1118" s="705"/>
    </row>
    <row r="1119" spans="1:74" ht="45" customHeight="1" x14ac:dyDescent="0.25">
      <c r="A1119" s="10">
        <f t="shared" si="17"/>
        <v>1105</v>
      </c>
      <c r="B1119" s="711" t="s">
        <v>159</v>
      </c>
      <c r="C1119" s="711"/>
      <c r="D1119" s="712" t="s">
        <v>212</v>
      </c>
      <c r="E1119" s="712"/>
      <c r="F1119" s="664" t="s">
        <v>162</v>
      </c>
      <c r="G1119" s="665"/>
      <c r="H1119" s="755" t="s">
        <v>162</v>
      </c>
      <c r="I1119" s="667"/>
      <c r="J1119" s="706"/>
      <c r="K1119" s="707"/>
      <c r="L1119" s="706"/>
      <c r="M1119" s="707"/>
      <c r="N1119" s="194"/>
      <c r="O1119" s="216"/>
      <c r="P1119" s="717"/>
      <c r="Q1119" s="718"/>
      <c r="R1119" s="719"/>
      <c r="S1119" s="720"/>
      <c r="T1119" s="721"/>
      <c r="U1119" s="722"/>
      <c r="V1119" s="723"/>
      <c r="W1119" s="724"/>
      <c r="X1119" s="725" t="s">
        <v>159</v>
      </c>
      <c r="Y1119" s="725"/>
      <c r="Z1119" s="725"/>
      <c r="AA1119" s="725"/>
      <c r="AB1119" s="726" t="s">
        <v>159</v>
      </c>
      <c r="AC1119" s="726"/>
      <c r="AD1119" s="726"/>
      <c r="AE1119" s="726"/>
      <c r="AF1119" s="727"/>
      <c r="AG1119" s="728"/>
      <c r="AH1119" s="727"/>
      <c r="AI1119" s="728"/>
      <c r="AJ1119" s="682"/>
      <c r="AK1119" s="683"/>
      <c r="AL1119" s="664" t="s">
        <v>162</v>
      </c>
      <c r="AM1119" s="665"/>
      <c r="AN1119" s="713" t="s">
        <v>162</v>
      </c>
      <c r="AO1119" s="714"/>
      <c r="AP1119" s="729"/>
      <c r="AQ1119" s="730"/>
      <c r="AR1119" s="731"/>
      <c r="AS1119" s="732"/>
      <c r="AT1119" s="733"/>
      <c r="AU1119" s="734"/>
      <c r="AV1119" s="713" t="s">
        <v>162</v>
      </c>
      <c r="AW1119" s="714"/>
      <c r="AX1119" s="692"/>
      <c r="AY1119" s="693"/>
      <c r="AZ1119" s="694"/>
      <c r="BA1119" s="735"/>
      <c r="BB1119" s="736"/>
      <c r="BC1119" s="219"/>
      <c r="BD1119" s="737" t="s">
        <v>162</v>
      </c>
      <c r="BE1119" s="738"/>
      <c r="BF1119" s="739"/>
      <c r="BG1119" s="740"/>
      <c r="BH1119" s="740"/>
      <c r="BI1119" s="741"/>
      <c r="BJ1119" s="742" t="s">
        <v>159</v>
      </c>
      <c r="BK1119" s="743"/>
      <c r="BL1119" s="743"/>
      <c r="BM1119" s="744"/>
      <c r="BN1119" s="703" t="s">
        <v>159</v>
      </c>
      <c r="BO1119" s="704"/>
      <c r="BP1119" s="704"/>
      <c r="BQ1119" s="704"/>
      <c r="BR1119" s="704"/>
      <c r="BS1119" s="704"/>
      <c r="BT1119" s="704"/>
      <c r="BU1119" s="704"/>
      <c r="BV1119" s="705"/>
    </row>
    <row r="1120" spans="1:74" ht="45" customHeight="1" x14ac:dyDescent="0.25">
      <c r="A1120" s="10">
        <f t="shared" si="17"/>
        <v>1106</v>
      </c>
      <c r="B1120" s="662" t="s">
        <v>159</v>
      </c>
      <c r="C1120" s="662"/>
      <c r="D1120" s="663" t="s">
        <v>212</v>
      </c>
      <c r="E1120" s="663"/>
      <c r="F1120" s="664" t="s">
        <v>162</v>
      </c>
      <c r="G1120" s="665"/>
      <c r="H1120" s="754" t="s">
        <v>162</v>
      </c>
      <c r="I1120" s="714"/>
      <c r="J1120" s="340"/>
      <c r="K1120" s="341"/>
      <c r="L1120" s="340"/>
      <c r="M1120" s="341"/>
      <c r="N1120" s="215"/>
      <c r="O1120" s="196"/>
      <c r="P1120" s="670"/>
      <c r="Q1120" s="671"/>
      <c r="R1120" s="672"/>
      <c r="S1120" s="673"/>
      <c r="T1120" s="674"/>
      <c r="U1120" s="675"/>
      <c r="V1120" s="676"/>
      <c r="W1120" s="677"/>
      <c r="X1120" s="678" t="s">
        <v>159</v>
      </c>
      <c r="Y1120" s="678"/>
      <c r="Z1120" s="678"/>
      <c r="AA1120" s="678"/>
      <c r="AB1120" s="679" t="s">
        <v>159</v>
      </c>
      <c r="AC1120" s="679"/>
      <c r="AD1120" s="679"/>
      <c r="AE1120" s="679"/>
      <c r="AF1120" s="680"/>
      <c r="AG1120" s="681"/>
      <c r="AH1120" s="680"/>
      <c r="AI1120" s="681"/>
      <c r="AJ1120" s="682"/>
      <c r="AK1120" s="683"/>
      <c r="AL1120" s="684" t="s">
        <v>162</v>
      </c>
      <c r="AM1120" s="685"/>
      <c r="AN1120" s="666" t="s">
        <v>162</v>
      </c>
      <c r="AO1120" s="667"/>
      <c r="AP1120" s="686"/>
      <c r="AQ1120" s="687"/>
      <c r="AR1120" s="688"/>
      <c r="AS1120" s="689"/>
      <c r="AT1120" s="690"/>
      <c r="AU1120" s="691"/>
      <c r="AV1120" s="666" t="s">
        <v>162</v>
      </c>
      <c r="AW1120" s="667"/>
      <c r="AX1120" s="692"/>
      <c r="AY1120" s="693"/>
      <c r="AZ1120" s="694"/>
      <c r="BA1120" s="682"/>
      <c r="BB1120" s="683"/>
      <c r="BC1120" s="14"/>
      <c r="BD1120" s="695" t="s">
        <v>162</v>
      </c>
      <c r="BE1120" s="696"/>
      <c r="BF1120" s="708"/>
      <c r="BG1120" s="709"/>
      <c r="BH1120" s="709"/>
      <c r="BI1120" s="710"/>
      <c r="BJ1120" s="700" t="s">
        <v>159</v>
      </c>
      <c r="BK1120" s="701"/>
      <c r="BL1120" s="701"/>
      <c r="BM1120" s="702"/>
      <c r="BN1120" s="703" t="s">
        <v>159</v>
      </c>
      <c r="BO1120" s="704"/>
      <c r="BP1120" s="704"/>
      <c r="BQ1120" s="704"/>
      <c r="BR1120" s="704"/>
      <c r="BS1120" s="704"/>
      <c r="BT1120" s="704"/>
      <c r="BU1120" s="704"/>
      <c r="BV1120" s="705"/>
    </row>
    <row r="1121" spans="1:74" ht="45" customHeight="1" x14ac:dyDescent="0.25">
      <c r="A1121" s="10">
        <f t="shared" si="17"/>
        <v>1107</v>
      </c>
      <c r="B1121" s="711" t="s">
        <v>159</v>
      </c>
      <c r="C1121" s="711"/>
      <c r="D1121" s="712" t="s">
        <v>212</v>
      </c>
      <c r="E1121" s="712"/>
      <c r="F1121" s="664" t="s">
        <v>162</v>
      </c>
      <c r="G1121" s="665"/>
      <c r="H1121" s="755" t="s">
        <v>162</v>
      </c>
      <c r="I1121" s="667"/>
      <c r="J1121" s="706"/>
      <c r="K1121" s="707"/>
      <c r="L1121" s="706"/>
      <c r="M1121" s="707"/>
      <c r="N1121" s="194"/>
      <c r="O1121" s="216"/>
      <c r="P1121" s="717"/>
      <c r="Q1121" s="718"/>
      <c r="R1121" s="719"/>
      <c r="S1121" s="720"/>
      <c r="T1121" s="721"/>
      <c r="U1121" s="722"/>
      <c r="V1121" s="723"/>
      <c r="W1121" s="724"/>
      <c r="X1121" s="725" t="s">
        <v>159</v>
      </c>
      <c r="Y1121" s="725"/>
      <c r="Z1121" s="725"/>
      <c r="AA1121" s="725"/>
      <c r="AB1121" s="726" t="s">
        <v>159</v>
      </c>
      <c r="AC1121" s="726"/>
      <c r="AD1121" s="726"/>
      <c r="AE1121" s="726"/>
      <c r="AF1121" s="727"/>
      <c r="AG1121" s="728"/>
      <c r="AH1121" s="727"/>
      <c r="AI1121" s="728"/>
      <c r="AJ1121" s="682"/>
      <c r="AK1121" s="683"/>
      <c r="AL1121" s="664" t="s">
        <v>162</v>
      </c>
      <c r="AM1121" s="665"/>
      <c r="AN1121" s="713" t="s">
        <v>162</v>
      </c>
      <c r="AO1121" s="714"/>
      <c r="AP1121" s="729"/>
      <c r="AQ1121" s="730"/>
      <c r="AR1121" s="731"/>
      <c r="AS1121" s="732"/>
      <c r="AT1121" s="733"/>
      <c r="AU1121" s="734"/>
      <c r="AV1121" s="713" t="s">
        <v>162</v>
      </c>
      <c r="AW1121" s="714"/>
      <c r="AX1121" s="692"/>
      <c r="AY1121" s="693"/>
      <c r="AZ1121" s="694"/>
      <c r="BA1121" s="735"/>
      <c r="BB1121" s="736"/>
      <c r="BC1121" s="219"/>
      <c r="BD1121" s="737" t="s">
        <v>162</v>
      </c>
      <c r="BE1121" s="738"/>
      <c r="BF1121" s="739"/>
      <c r="BG1121" s="740"/>
      <c r="BH1121" s="740"/>
      <c r="BI1121" s="741"/>
      <c r="BJ1121" s="742" t="s">
        <v>159</v>
      </c>
      <c r="BK1121" s="743"/>
      <c r="BL1121" s="743"/>
      <c r="BM1121" s="744"/>
      <c r="BN1121" s="703" t="s">
        <v>159</v>
      </c>
      <c r="BO1121" s="704"/>
      <c r="BP1121" s="704"/>
      <c r="BQ1121" s="704"/>
      <c r="BR1121" s="704"/>
      <c r="BS1121" s="704"/>
      <c r="BT1121" s="704"/>
      <c r="BU1121" s="704"/>
      <c r="BV1121" s="705"/>
    </row>
    <row r="1122" spans="1:74" ht="45" customHeight="1" x14ac:dyDescent="0.25">
      <c r="A1122" s="10">
        <f t="shared" si="17"/>
        <v>1108</v>
      </c>
      <c r="B1122" s="662" t="s">
        <v>159</v>
      </c>
      <c r="C1122" s="662"/>
      <c r="D1122" s="663" t="s">
        <v>212</v>
      </c>
      <c r="E1122" s="663"/>
      <c r="F1122" s="664" t="s">
        <v>162</v>
      </c>
      <c r="G1122" s="665"/>
      <c r="H1122" s="754" t="s">
        <v>162</v>
      </c>
      <c r="I1122" s="714"/>
      <c r="J1122" s="340"/>
      <c r="K1122" s="341"/>
      <c r="L1122" s="340"/>
      <c r="M1122" s="341"/>
      <c r="N1122" s="194"/>
      <c r="O1122" s="196"/>
      <c r="P1122" s="717"/>
      <c r="Q1122" s="718"/>
      <c r="R1122" s="672"/>
      <c r="S1122" s="673"/>
      <c r="T1122" s="674"/>
      <c r="U1122" s="675"/>
      <c r="V1122" s="676"/>
      <c r="W1122" s="677"/>
      <c r="X1122" s="678" t="s">
        <v>159</v>
      </c>
      <c r="Y1122" s="678"/>
      <c r="Z1122" s="678"/>
      <c r="AA1122" s="678"/>
      <c r="AB1122" s="679" t="s">
        <v>159</v>
      </c>
      <c r="AC1122" s="679"/>
      <c r="AD1122" s="679"/>
      <c r="AE1122" s="679"/>
      <c r="AF1122" s="680"/>
      <c r="AG1122" s="681"/>
      <c r="AH1122" s="680"/>
      <c r="AI1122" s="681"/>
      <c r="AJ1122" s="682"/>
      <c r="AK1122" s="683"/>
      <c r="AL1122" s="684" t="s">
        <v>162</v>
      </c>
      <c r="AM1122" s="685"/>
      <c r="AN1122" s="666" t="s">
        <v>162</v>
      </c>
      <c r="AO1122" s="667"/>
      <c r="AP1122" s="686"/>
      <c r="AQ1122" s="687"/>
      <c r="AR1122" s="688"/>
      <c r="AS1122" s="689"/>
      <c r="AT1122" s="690"/>
      <c r="AU1122" s="691"/>
      <c r="AV1122" s="666" t="s">
        <v>162</v>
      </c>
      <c r="AW1122" s="667"/>
      <c r="AX1122" s="692"/>
      <c r="AY1122" s="693"/>
      <c r="AZ1122" s="694"/>
      <c r="BA1122" s="682"/>
      <c r="BB1122" s="683"/>
      <c r="BC1122" s="14"/>
      <c r="BD1122" s="695" t="s">
        <v>162</v>
      </c>
      <c r="BE1122" s="696"/>
      <c r="BF1122" s="708"/>
      <c r="BG1122" s="709"/>
      <c r="BH1122" s="709"/>
      <c r="BI1122" s="710"/>
      <c r="BJ1122" s="700" t="s">
        <v>159</v>
      </c>
      <c r="BK1122" s="701"/>
      <c r="BL1122" s="701"/>
      <c r="BM1122" s="702"/>
      <c r="BN1122" s="703" t="s">
        <v>159</v>
      </c>
      <c r="BO1122" s="704"/>
      <c r="BP1122" s="704"/>
      <c r="BQ1122" s="704"/>
      <c r="BR1122" s="704"/>
      <c r="BS1122" s="704"/>
      <c r="BT1122" s="704"/>
      <c r="BU1122" s="704"/>
      <c r="BV1122" s="705"/>
    </row>
    <row r="1123" spans="1:74" ht="45" customHeight="1" x14ac:dyDescent="0.25">
      <c r="A1123" s="10">
        <f t="shared" si="17"/>
        <v>1109</v>
      </c>
      <c r="B1123" s="711" t="s">
        <v>159</v>
      </c>
      <c r="C1123" s="711"/>
      <c r="D1123" s="712" t="s">
        <v>212</v>
      </c>
      <c r="E1123" s="712"/>
      <c r="F1123" s="664" t="s">
        <v>162</v>
      </c>
      <c r="G1123" s="665"/>
      <c r="H1123" s="755" t="s">
        <v>162</v>
      </c>
      <c r="I1123" s="667"/>
      <c r="J1123" s="706"/>
      <c r="K1123" s="707"/>
      <c r="L1123" s="706"/>
      <c r="M1123" s="707"/>
      <c r="N1123" s="215"/>
      <c r="O1123" s="216"/>
      <c r="P1123" s="670"/>
      <c r="Q1123" s="671"/>
      <c r="R1123" s="719"/>
      <c r="S1123" s="720"/>
      <c r="T1123" s="721"/>
      <c r="U1123" s="722"/>
      <c r="V1123" s="723"/>
      <c r="W1123" s="724"/>
      <c r="X1123" s="725" t="s">
        <v>159</v>
      </c>
      <c r="Y1123" s="725"/>
      <c r="Z1123" s="725"/>
      <c r="AA1123" s="725"/>
      <c r="AB1123" s="726" t="s">
        <v>159</v>
      </c>
      <c r="AC1123" s="726"/>
      <c r="AD1123" s="726"/>
      <c r="AE1123" s="726"/>
      <c r="AF1123" s="727"/>
      <c r="AG1123" s="728"/>
      <c r="AH1123" s="727"/>
      <c r="AI1123" s="728"/>
      <c r="AJ1123" s="682"/>
      <c r="AK1123" s="683"/>
      <c r="AL1123" s="664" t="s">
        <v>162</v>
      </c>
      <c r="AM1123" s="665"/>
      <c r="AN1123" s="713" t="s">
        <v>162</v>
      </c>
      <c r="AO1123" s="714"/>
      <c r="AP1123" s="729"/>
      <c r="AQ1123" s="730"/>
      <c r="AR1123" s="731"/>
      <c r="AS1123" s="732"/>
      <c r="AT1123" s="690"/>
      <c r="AU1123" s="691"/>
      <c r="AV1123" s="713" t="s">
        <v>162</v>
      </c>
      <c r="AW1123" s="714"/>
      <c r="AX1123" s="692"/>
      <c r="AY1123" s="693"/>
      <c r="AZ1123" s="694"/>
      <c r="BA1123" s="735"/>
      <c r="BB1123" s="736"/>
      <c r="BC1123" s="219"/>
      <c r="BD1123" s="737" t="s">
        <v>162</v>
      </c>
      <c r="BE1123" s="738"/>
      <c r="BF1123" s="739"/>
      <c r="BG1123" s="740"/>
      <c r="BH1123" s="740"/>
      <c r="BI1123" s="741"/>
      <c r="BJ1123" s="742" t="s">
        <v>159</v>
      </c>
      <c r="BK1123" s="743"/>
      <c r="BL1123" s="743"/>
      <c r="BM1123" s="744"/>
      <c r="BN1123" s="703" t="s">
        <v>159</v>
      </c>
      <c r="BO1123" s="704"/>
      <c r="BP1123" s="704"/>
      <c r="BQ1123" s="704"/>
      <c r="BR1123" s="704"/>
      <c r="BS1123" s="704"/>
      <c r="BT1123" s="704"/>
      <c r="BU1123" s="704"/>
      <c r="BV1123" s="705"/>
    </row>
    <row r="1124" spans="1:74" ht="45" customHeight="1" x14ac:dyDescent="0.25">
      <c r="A1124" s="10">
        <f t="shared" si="17"/>
        <v>1110</v>
      </c>
      <c r="B1124" s="662" t="s">
        <v>159</v>
      </c>
      <c r="C1124" s="662"/>
      <c r="D1124" s="663" t="s">
        <v>212</v>
      </c>
      <c r="E1124" s="663"/>
      <c r="F1124" s="664" t="s">
        <v>162</v>
      </c>
      <c r="G1124" s="665"/>
      <c r="H1124" s="754" t="s">
        <v>162</v>
      </c>
      <c r="I1124" s="714"/>
      <c r="J1124" s="340"/>
      <c r="K1124" s="341"/>
      <c r="L1124" s="340"/>
      <c r="M1124" s="341"/>
      <c r="N1124" s="194"/>
      <c r="O1124" s="196"/>
      <c r="P1124" s="717"/>
      <c r="Q1124" s="718"/>
      <c r="R1124" s="672"/>
      <c r="S1124" s="673"/>
      <c r="T1124" s="674"/>
      <c r="U1124" s="675"/>
      <c r="V1124" s="676"/>
      <c r="W1124" s="677"/>
      <c r="X1124" s="678" t="s">
        <v>159</v>
      </c>
      <c r="Y1124" s="678"/>
      <c r="Z1124" s="678"/>
      <c r="AA1124" s="678"/>
      <c r="AB1124" s="679" t="s">
        <v>159</v>
      </c>
      <c r="AC1124" s="679"/>
      <c r="AD1124" s="679"/>
      <c r="AE1124" s="679"/>
      <c r="AF1124" s="680"/>
      <c r="AG1124" s="681"/>
      <c r="AH1124" s="680"/>
      <c r="AI1124" s="681"/>
      <c r="AJ1124" s="682"/>
      <c r="AK1124" s="683"/>
      <c r="AL1124" s="684" t="s">
        <v>162</v>
      </c>
      <c r="AM1124" s="685"/>
      <c r="AN1124" s="666" t="s">
        <v>162</v>
      </c>
      <c r="AO1124" s="667"/>
      <c r="AP1124" s="686"/>
      <c r="AQ1124" s="687"/>
      <c r="AR1124" s="688"/>
      <c r="AS1124" s="689"/>
      <c r="AT1124" s="690"/>
      <c r="AU1124" s="691"/>
      <c r="AV1124" s="666" t="s">
        <v>162</v>
      </c>
      <c r="AW1124" s="667"/>
      <c r="AX1124" s="692"/>
      <c r="AY1124" s="693"/>
      <c r="AZ1124" s="694"/>
      <c r="BA1124" s="682"/>
      <c r="BB1124" s="683"/>
      <c r="BC1124" s="14"/>
      <c r="BD1124" s="695" t="s">
        <v>162</v>
      </c>
      <c r="BE1124" s="696"/>
      <c r="BF1124" s="697"/>
      <c r="BG1124" s="698"/>
      <c r="BH1124" s="698"/>
      <c r="BI1124" s="699"/>
      <c r="BJ1124" s="700" t="s">
        <v>159</v>
      </c>
      <c r="BK1124" s="701"/>
      <c r="BL1124" s="701"/>
      <c r="BM1124" s="702"/>
      <c r="BN1124" s="703" t="s">
        <v>159</v>
      </c>
      <c r="BO1124" s="704"/>
      <c r="BP1124" s="704"/>
      <c r="BQ1124" s="704"/>
      <c r="BR1124" s="704"/>
      <c r="BS1124" s="704"/>
      <c r="BT1124" s="704"/>
      <c r="BU1124" s="704"/>
      <c r="BV1124" s="705"/>
    </row>
    <row r="1125" spans="1:74" ht="45" customHeight="1" x14ac:dyDescent="0.25">
      <c r="A1125" s="10">
        <f t="shared" si="17"/>
        <v>1111</v>
      </c>
      <c r="B1125" s="711" t="s">
        <v>159</v>
      </c>
      <c r="C1125" s="711"/>
      <c r="D1125" s="712" t="s">
        <v>212</v>
      </c>
      <c r="E1125" s="712"/>
      <c r="F1125" s="664" t="s">
        <v>162</v>
      </c>
      <c r="G1125" s="665"/>
      <c r="H1125" s="755" t="s">
        <v>162</v>
      </c>
      <c r="I1125" s="667"/>
      <c r="J1125" s="706"/>
      <c r="K1125" s="707"/>
      <c r="L1125" s="706"/>
      <c r="M1125" s="707"/>
      <c r="N1125" s="215"/>
      <c r="O1125" s="216"/>
      <c r="P1125" s="670"/>
      <c r="Q1125" s="671"/>
      <c r="R1125" s="719"/>
      <c r="S1125" s="720"/>
      <c r="T1125" s="721"/>
      <c r="U1125" s="722"/>
      <c r="V1125" s="723"/>
      <c r="W1125" s="724"/>
      <c r="X1125" s="725" t="s">
        <v>159</v>
      </c>
      <c r="Y1125" s="725"/>
      <c r="Z1125" s="725"/>
      <c r="AA1125" s="725"/>
      <c r="AB1125" s="726" t="s">
        <v>159</v>
      </c>
      <c r="AC1125" s="726"/>
      <c r="AD1125" s="726"/>
      <c r="AE1125" s="726"/>
      <c r="AF1125" s="727"/>
      <c r="AG1125" s="728"/>
      <c r="AH1125" s="727"/>
      <c r="AI1125" s="728"/>
      <c r="AJ1125" s="682"/>
      <c r="AK1125" s="683"/>
      <c r="AL1125" s="664" t="s">
        <v>162</v>
      </c>
      <c r="AM1125" s="665"/>
      <c r="AN1125" s="713" t="s">
        <v>162</v>
      </c>
      <c r="AO1125" s="714"/>
      <c r="AP1125" s="729"/>
      <c r="AQ1125" s="730"/>
      <c r="AR1125" s="731"/>
      <c r="AS1125" s="732"/>
      <c r="AT1125" s="690"/>
      <c r="AU1125" s="691"/>
      <c r="AV1125" s="713" t="s">
        <v>162</v>
      </c>
      <c r="AW1125" s="714"/>
      <c r="AX1125" s="692"/>
      <c r="AY1125" s="693"/>
      <c r="AZ1125" s="694"/>
      <c r="BA1125" s="735"/>
      <c r="BB1125" s="736"/>
      <c r="BC1125" s="219"/>
      <c r="BD1125" s="737" t="s">
        <v>162</v>
      </c>
      <c r="BE1125" s="738"/>
      <c r="BF1125" s="739"/>
      <c r="BG1125" s="740"/>
      <c r="BH1125" s="740"/>
      <c r="BI1125" s="741"/>
      <c r="BJ1125" s="742" t="s">
        <v>159</v>
      </c>
      <c r="BK1125" s="743"/>
      <c r="BL1125" s="743"/>
      <c r="BM1125" s="744"/>
      <c r="BN1125" s="703" t="s">
        <v>159</v>
      </c>
      <c r="BO1125" s="704"/>
      <c r="BP1125" s="704"/>
      <c r="BQ1125" s="704"/>
      <c r="BR1125" s="704"/>
      <c r="BS1125" s="704"/>
      <c r="BT1125" s="704"/>
      <c r="BU1125" s="704"/>
      <c r="BV1125" s="705"/>
    </row>
    <row r="1126" spans="1:74" ht="45" customHeight="1" x14ac:dyDescent="0.25">
      <c r="A1126" s="10">
        <f t="shared" si="17"/>
        <v>1112</v>
      </c>
      <c r="B1126" s="662" t="s">
        <v>159</v>
      </c>
      <c r="C1126" s="662"/>
      <c r="D1126" s="663" t="s">
        <v>212</v>
      </c>
      <c r="E1126" s="663"/>
      <c r="F1126" s="664" t="s">
        <v>162</v>
      </c>
      <c r="G1126" s="665"/>
      <c r="H1126" s="754" t="s">
        <v>162</v>
      </c>
      <c r="I1126" s="714"/>
      <c r="J1126" s="340"/>
      <c r="K1126" s="341"/>
      <c r="L1126" s="340"/>
      <c r="M1126" s="341"/>
      <c r="N1126" s="194"/>
      <c r="O1126" s="196"/>
      <c r="P1126" s="717"/>
      <c r="Q1126" s="718"/>
      <c r="R1126" s="672"/>
      <c r="S1126" s="673"/>
      <c r="T1126" s="674"/>
      <c r="U1126" s="675"/>
      <c r="V1126" s="676"/>
      <c r="W1126" s="677"/>
      <c r="X1126" s="678" t="s">
        <v>159</v>
      </c>
      <c r="Y1126" s="678"/>
      <c r="Z1126" s="678"/>
      <c r="AA1126" s="678"/>
      <c r="AB1126" s="679" t="s">
        <v>159</v>
      </c>
      <c r="AC1126" s="679"/>
      <c r="AD1126" s="679"/>
      <c r="AE1126" s="679"/>
      <c r="AF1126" s="680"/>
      <c r="AG1126" s="681"/>
      <c r="AH1126" s="680"/>
      <c r="AI1126" s="681"/>
      <c r="AJ1126" s="682"/>
      <c r="AK1126" s="683"/>
      <c r="AL1126" s="684" t="s">
        <v>162</v>
      </c>
      <c r="AM1126" s="685"/>
      <c r="AN1126" s="666" t="s">
        <v>162</v>
      </c>
      <c r="AO1126" s="667"/>
      <c r="AP1126" s="686"/>
      <c r="AQ1126" s="687"/>
      <c r="AR1126" s="688"/>
      <c r="AS1126" s="689"/>
      <c r="AT1126" s="690"/>
      <c r="AU1126" s="691"/>
      <c r="AV1126" s="666" t="s">
        <v>162</v>
      </c>
      <c r="AW1126" s="667"/>
      <c r="AX1126" s="692"/>
      <c r="AY1126" s="693"/>
      <c r="AZ1126" s="694"/>
      <c r="BA1126" s="682"/>
      <c r="BB1126" s="683"/>
      <c r="BC1126" s="14"/>
      <c r="BD1126" s="695" t="s">
        <v>162</v>
      </c>
      <c r="BE1126" s="696"/>
      <c r="BF1126" s="697"/>
      <c r="BG1126" s="698"/>
      <c r="BH1126" s="698"/>
      <c r="BI1126" s="699"/>
      <c r="BJ1126" s="700" t="s">
        <v>159</v>
      </c>
      <c r="BK1126" s="701"/>
      <c r="BL1126" s="701"/>
      <c r="BM1126" s="702"/>
      <c r="BN1126" s="703" t="s">
        <v>159</v>
      </c>
      <c r="BO1126" s="704"/>
      <c r="BP1126" s="704"/>
      <c r="BQ1126" s="704"/>
      <c r="BR1126" s="704"/>
      <c r="BS1126" s="704"/>
      <c r="BT1126" s="704"/>
      <c r="BU1126" s="704"/>
      <c r="BV1126" s="705"/>
    </row>
    <row r="1127" spans="1:74" ht="45" customHeight="1" x14ac:dyDescent="0.25">
      <c r="A1127" s="10">
        <f t="shared" si="17"/>
        <v>1113</v>
      </c>
      <c r="B1127" s="711" t="s">
        <v>159</v>
      </c>
      <c r="C1127" s="711"/>
      <c r="D1127" s="712" t="s">
        <v>212</v>
      </c>
      <c r="E1127" s="712"/>
      <c r="F1127" s="664" t="s">
        <v>162</v>
      </c>
      <c r="G1127" s="665"/>
      <c r="H1127" s="755" t="s">
        <v>162</v>
      </c>
      <c r="I1127" s="667"/>
      <c r="J1127" s="706"/>
      <c r="K1127" s="707"/>
      <c r="L1127" s="706"/>
      <c r="M1127" s="707"/>
      <c r="N1127" s="215"/>
      <c r="O1127" s="216"/>
      <c r="P1127" s="670"/>
      <c r="Q1127" s="671"/>
      <c r="R1127" s="719"/>
      <c r="S1127" s="720"/>
      <c r="T1127" s="721"/>
      <c r="U1127" s="722"/>
      <c r="V1127" s="723"/>
      <c r="W1127" s="724"/>
      <c r="X1127" s="725" t="s">
        <v>159</v>
      </c>
      <c r="Y1127" s="725"/>
      <c r="Z1127" s="725"/>
      <c r="AA1127" s="725"/>
      <c r="AB1127" s="726" t="s">
        <v>159</v>
      </c>
      <c r="AC1127" s="726"/>
      <c r="AD1127" s="726"/>
      <c r="AE1127" s="726"/>
      <c r="AF1127" s="727"/>
      <c r="AG1127" s="728"/>
      <c r="AH1127" s="727"/>
      <c r="AI1127" s="728"/>
      <c r="AJ1127" s="682"/>
      <c r="AK1127" s="683"/>
      <c r="AL1127" s="664" t="s">
        <v>162</v>
      </c>
      <c r="AM1127" s="665"/>
      <c r="AN1127" s="713" t="s">
        <v>162</v>
      </c>
      <c r="AO1127" s="714"/>
      <c r="AP1127" s="729"/>
      <c r="AQ1127" s="730"/>
      <c r="AR1127" s="731"/>
      <c r="AS1127" s="732"/>
      <c r="AT1127" s="733"/>
      <c r="AU1127" s="734"/>
      <c r="AV1127" s="713" t="s">
        <v>162</v>
      </c>
      <c r="AW1127" s="714"/>
      <c r="AX1127" s="692"/>
      <c r="AY1127" s="693"/>
      <c r="AZ1127" s="694"/>
      <c r="BA1127" s="735"/>
      <c r="BB1127" s="736"/>
      <c r="BC1127" s="219"/>
      <c r="BD1127" s="737" t="s">
        <v>162</v>
      </c>
      <c r="BE1127" s="738"/>
      <c r="BF1127" s="739"/>
      <c r="BG1127" s="740"/>
      <c r="BH1127" s="740"/>
      <c r="BI1127" s="741"/>
      <c r="BJ1127" s="742" t="s">
        <v>159</v>
      </c>
      <c r="BK1127" s="743"/>
      <c r="BL1127" s="743"/>
      <c r="BM1127" s="744"/>
      <c r="BN1127" s="703" t="s">
        <v>159</v>
      </c>
      <c r="BO1127" s="704"/>
      <c r="BP1127" s="704"/>
      <c r="BQ1127" s="704"/>
      <c r="BR1127" s="704"/>
      <c r="BS1127" s="704"/>
      <c r="BT1127" s="704"/>
      <c r="BU1127" s="704"/>
      <c r="BV1127" s="705"/>
    </row>
    <row r="1128" spans="1:74" ht="45" customHeight="1" x14ac:dyDescent="0.25">
      <c r="A1128" s="10">
        <f t="shared" si="17"/>
        <v>1114</v>
      </c>
      <c r="B1128" s="662" t="s">
        <v>159</v>
      </c>
      <c r="C1128" s="662"/>
      <c r="D1128" s="663" t="s">
        <v>212</v>
      </c>
      <c r="E1128" s="663"/>
      <c r="F1128" s="664" t="s">
        <v>162</v>
      </c>
      <c r="G1128" s="665"/>
      <c r="H1128" s="754" t="s">
        <v>162</v>
      </c>
      <c r="I1128" s="714"/>
      <c r="J1128" s="340"/>
      <c r="K1128" s="341"/>
      <c r="L1128" s="340"/>
      <c r="M1128" s="341"/>
      <c r="N1128" s="194"/>
      <c r="O1128" s="196"/>
      <c r="P1128" s="717"/>
      <c r="Q1128" s="718"/>
      <c r="R1128" s="672"/>
      <c r="S1128" s="673"/>
      <c r="T1128" s="674"/>
      <c r="U1128" s="675"/>
      <c r="V1128" s="676"/>
      <c r="W1128" s="677"/>
      <c r="X1128" s="678" t="s">
        <v>159</v>
      </c>
      <c r="Y1128" s="678"/>
      <c r="Z1128" s="678"/>
      <c r="AA1128" s="678"/>
      <c r="AB1128" s="679" t="s">
        <v>159</v>
      </c>
      <c r="AC1128" s="679"/>
      <c r="AD1128" s="679"/>
      <c r="AE1128" s="679"/>
      <c r="AF1128" s="680"/>
      <c r="AG1128" s="681"/>
      <c r="AH1128" s="680"/>
      <c r="AI1128" s="681"/>
      <c r="AJ1128" s="682"/>
      <c r="AK1128" s="683"/>
      <c r="AL1128" s="684" t="s">
        <v>162</v>
      </c>
      <c r="AM1128" s="685"/>
      <c r="AN1128" s="666" t="s">
        <v>162</v>
      </c>
      <c r="AO1128" s="667"/>
      <c r="AP1128" s="686"/>
      <c r="AQ1128" s="687"/>
      <c r="AR1128" s="688"/>
      <c r="AS1128" s="689"/>
      <c r="AT1128" s="690"/>
      <c r="AU1128" s="691"/>
      <c r="AV1128" s="666" t="s">
        <v>162</v>
      </c>
      <c r="AW1128" s="667"/>
      <c r="AX1128" s="692"/>
      <c r="AY1128" s="693"/>
      <c r="AZ1128" s="694"/>
      <c r="BA1128" s="682"/>
      <c r="BB1128" s="683"/>
      <c r="BC1128" s="14"/>
      <c r="BD1128" s="695" t="s">
        <v>162</v>
      </c>
      <c r="BE1128" s="696"/>
      <c r="BF1128" s="708"/>
      <c r="BG1128" s="709"/>
      <c r="BH1128" s="709"/>
      <c r="BI1128" s="710"/>
      <c r="BJ1128" s="700" t="s">
        <v>159</v>
      </c>
      <c r="BK1128" s="701"/>
      <c r="BL1128" s="701"/>
      <c r="BM1128" s="702"/>
      <c r="BN1128" s="703" t="s">
        <v>159</v>
      </c>
      <c r="BO1128" s="704"/>
      <c r="BP1128" s="704"/>
      <c r="BQ1128" s="704"/>
      <c r="BR1128" s="704"/>
      <c r="BS1128" s="704"/>
      <c r="BT1128" s="704"/>
      <c r="BU1128" s="704"/>
      <c r="BV1128" s="705"/>
    </row>
    <row r="1129" spans="1:74" ht="45" customHeight="1" x14ac:dyDescent="0.25">
      <c r="A1129" s="10">
        <f t="shared" si="17"/>
        <v>1115</v>
      </c>
      <c r="B1129" s="711" t="s">
        <v>159</v>
      </c>
      <c r="C1129" s="711"/>
      <c r="D1129" s="712" t="s">
        <v>212</v>
      </c>
      <c r="E1129" s="712"/>
      <c r="F1129" s="664" t="s">
        <v>162</v>
      </c>
      <c r="G1129" s="665"/>
      <c r="H1129" s="755" t="s">
        <v>162</v>
      </c>
      <c r="I1129" s="667"/>
      <c r="J1129" s="706"/>
      <c r="K1129" s="707"/>
      <c r="L1129" s="706"/>
      <c r="M1129" s="707"/>
      <c r="N1129" s="215"/>
      <c r="O1129" s="216"/>
      <c r="P1129" s="670"/>
      <c r="Q1129" s="671"/>
      <c r="R1129" s="719"/>
      <c r="S1129" s="720"/>
      <c r="T1129" s="721"/>
      <c r="U1129" s="722"/>
      <c r="V1129" s="723"/>
      <c r="W1129" s="724"/>
      <c r="X1129" s="725" t="s">
        <v>159</v>
      </c>
      <c r="Y1129" s="725"/>
      <c r="Z1129" s="725"/>
      <c r="AA1129" s="725"/>
      <c r="AB1129" s="726" t="s">
        <v>159</v>
      </c>
      <c r="AC1129" s="726"/>
      <c r="AD1129" s="726"/>
      <c r="AE1129" s="726"/>
      <c r="AF1129" s="727"/>
      <c r="AG1129" s="728"/>
      <c r="AH1129" s="727"/>
      <c r="AI1129" s="728"/>
      <c r="AJ1129" s="682"/>
      <c r="AK1129" s="683"/>
      <c r="AL1129" s="664" t="s">
        <v>162</v>
      </c>
      <c r="AM1129" s="665"/>
      <c r="AN1129" s="713" t="s">
        <v>162</v>
      </c>
      <c r="AO1129" s="714"/>
      <c r="AP1129" s="729"/>
      <c r="AQ1129" s="730"/>
      <c r="AR1129" s="731"/>
      <c r="AS1129" s="732"/>
      <c r="AT1129" s="733"/>
      <c r="AU1129" s="734"/>
      <c r="AV1129" s="713" t="s">
        <v>162</v>
      </c>
      <c r="AW1129" s="714"/>
      <c r="AX1129" s="692"/>
      <c r="AY1129" s="693"/>
      <c r="AZ1129" s="694"/>
      <c r="BA1129" s="735"/>
      <c r="BB1129" s="736"/>
      <c r="BC1129" s="219"/>
      <c r="BD1129" s="737" t="s">
        <v>162</v>
      </c>
      <c r="BE1129" s="738"/>
      <c r="BF1129" s="739"/>
      <c r="BG1129" s="740"/>
      <c r="BH1129" s="740"/>
      <c r="BI1129" s="741"/>
      <c r="BJ1129" s="742" t="s">
        <v>159</v>
      </c>
      <c r="BK1129" s="743"/>
      <c r="BL1129" s="743"/>
      <c r="BM1129" s="744"/>
      <c r="BN1129" s="703" t="s">
        <v>159</v>
      </c>
      <c r="BO1129" s="704"/>
      <c r="BP1129" s="704"/>
      <c r="BQ1129" s="704"/>
      <c r="BR1129" s="704"/>
      <c r="BS1129" s="704"/>
      <c r="BT1129" s="704"/>
      <c r="BU1129" s="704"/>
      <c r="BV1129" s="705"/>
    </row>
    <row r="1130" spans="1:74" ht="45" customHeight="1" x14ac:dyDescent="0.25">
      <c r="A1130" s="10">
        <f t="shared" si="17"/>
        <v>1116</v>
      </c>
      <c r="B1130" s="662" t="s">
        <v>159</v>
      </c>
      <c r="C1130" s="662"/>
      <c r="D1130" s="663" t="s">
        <v>212</v>
      </c>
      <c r="E1130" s="663"/>
      <c r="F1130" s="664" t="s">
        <v>162</v>
      </c>
      <c r="G1130" s="665"/>
      <c r="H1130" s="754" t="s">
        <v>162</v>
      </c>
      <c r="I1130" s="714"/>
      <c r="J1130" s="340"/>
      <c r="K1130" s="341"/>
      <c r="L1130" s="340"/>
      <c r="M1130" s="341"/>
      <c r="N1130" s="194"/>
      <c r="O1130" s="196"/>
      <c r="P1130" s="717"/>
      <c r="Q1130" s="718"/>
      <c r="R1130" s="672"/>
      <c r="S1130" s="673"/>
      <c r="T1130" s="674"/>
      <c r="U1130" s="675"/>
      <c r="V1130" s="676"/>
      <c r="W1130" s="677"/>
      <c r="X1130" s="678" t="s">
        <v>159</v>
      </c>
      <c r="Y1130" s="678"/>
      <c r="Z1130" s="678"/>
      <c r="AA1130" s="678"/>
      <c r="AB1130" s="679" t="s">
        <v>159</v>
      </c>
      <c r="AC1130" s="679"/>
      <c r="AD1130" s="679"/>
      <c r="AE1130" s="679"/>
      <c r="AF1130" s="680"/>
      <c r="AG1130" s="681"/>
      <c r="AH1130" s="680"/>
      <c r="AI1130" s="681"/>
      <c r="AJ1130" s="682"/>
      <c r="AK1130" s="683"/>
      <c r="AL1130" s="684" t="s">
        <v>162</v>
      </c>
      <c r="AM1130" s="685"/>
      <c r="AN1130" s="666" t="s">
        <v>162</v>
      </c>
      <c r="AO1130" s="667"/>
      <c r="AP1130" s="686"/>
      <c r="AQ1130" s="687"/>
      <c r="AR1130" s="688"/>
      <c r="AS1130" s="689"/>
      <c r="AT1130" s="690"/>
      <c r="AU1130" s="691"/>
      <c r="AV1130" s="666" t="s">
        <v>162</v>
      </c>
      <c r="AW1130" s="667"/>
      <c r="AX1130" s="692"/>
      <c r="AY1130" s="693"/>
      <c r="AZ1130" s="694"/>
      <c r="BA1130" s="682"/>
      <c r="BB1130" s="683"/>
      <c r="BC1130" s="14"/>
      <c r="BD1130" s="695" t="s">
        <v>162</v>
      </c>
      <c r="BE1130" s="696"/>
      <c r="BF1130" s="697"/>
      <c r="BG1130" s="698"/>
      <c r="BH1130" s="698"/>
      <c r="BI1130" s="699"/>
      <c r="BJ1130" s="700" t="s">
        <v>159</v>
      </c>
      <c r="BK1130" s="701"/>
      <c r="BL1130" s="701"/>
      <c r="BM1130" s="702"/>
      <c r="BN1130" s="703" t="s">
        <v>159</v>
      </c>
      <c r="BO1130" s="704"/>
      <c r="BP1130" s="704"/>
      <c r="BQ1130" s="704"/>
      <c r="BR1130" s="704"/>
      <c r="BS1130" s="704"/>
      <c r="BT1130" s="704"/>
      <c r="BU1130" s="704"/>
      <c r="BV1130" s="705"/>
    </row>
    <row r="1131" spans="1:74" ht="45" customHeight="1" x14ac:dyDescent="0.25">
      <c r="A1131" s="10">
        <f t="shared" si="17"/>
        <v>1117</v>
      </c>
      <c r="B1131" s="711" t="s">
        <v>159</v>
      </c>
      <c r="C1131" s="711"/>
      <c r="D1131" s="712" t="s">
        <v>212</v>
      </c>
      <c r="E1131" s="712"/>
      <c r="F1131" s="664" t="s">
        <v>162</v>
      </c>
      <c r="G1131" s="665"/>
      <c r="H1131" s="755" t="s">
        <v>162</v>
      </c>
      <c r="I1131" s="667"/>
      <c r="J1131" s="706"/>
      <c r="K1131" s="707"/>
      <c r="L1131" s="706"/>
      <c r="M1131" s="707"/>
      <c r="N1131" s="215"/>
      <c r="O1131" s="216"/>
      <c r="P1131" s="670"/>
      <c r="Q1131" s="671"/>
      <c r="R1131" s="719"/>
      <c r="S1131" s="720"/>
      <c r="T1131" s="721"/>
      <c r="U1131" s="722"/>
      <c r="V1131" s="723"/>
      <c r="W1131" s="724"/>
      <c r="X1131" s="725" t="s">
        <v>159</v>
      </c>
      <c r="Y1131" s="725"/>
      <c r="Z1131" s="725"/>
      <c r="AA1131" s="725"/>
      <c r="AB1131" s="726" t="s">
        <v>159</v>
      </c>
      <c r="AC1131" s="726"/>
      <c r="AD1131" s="726"/>
      <c r="AE1131" s="726"/>
      <c r="AF1131" s="727"/>
      <c r="AG1131" s="728"/>
      <c r="AH1131" s="727"/>
      <c r="AI1131" s="728"/>
      <c r="AJ1131" s="682"/>
      <c r="AK1131" s="683"/>
      <c r="AL1131" s="664" t="s">
        <v>162</v>
      </c>
      <c r="AM1131" s="665"/>
      <c r="AN1131" s="713" t="s">
        <v>162</v>
      </c>
      <c r="AO1131" s="714"/>
      <c r="AP1131" s="729"/>
      <c r="AQ1131" s="730"/>
      <c r="AR1131" s="731"/>
      <c r="AS1131" s="732"/>
      <c r="AT1131" s="733"/>
      <c r="AU1131" s="734"/>
      <c r="AV1131" s="713" t="s">
        <v>162</v>
      </c>
      <c r="AW1131" s="714"/>
      <c r="AX1131" s="692"/>
      <c r="AY1131" s="693"/>
      <c r="AZ1131" s="694"/>
      <c r="BA1131" s="735"/>
      <c r="BB1131" s="736"/>
      <c r="BC1131" s="219"/>
      <c r="BD1131" s="737" t="s">
        <v>162</v>
      </c>
      <c r="BE1131" s="738"/>
      <c r="BF1131" s="739"/>
      <c r="BG1131" s="740"/>
      <c r="BH1131" s="740"/>
      <c r="BI1131" s="741"/>
      <c r="BJ1131" s="742" t="s">
        <v>159</v>
      </c>
      <c r="BK1131" s="743"/>
      <c r="BL1131" s="743"/>
      <c r="BM1131" s="744"/>
      <c r="BN1131" s="703" t="s">
        <v>159</v>
      </c>
      <c r="BO1131" s="704"/>
      <c r="BP1131" s="704"/>
      <c r="BQ1131" s="704"/>
      <c r="BR1131" s="704"/>
      <c r="BS1131" s="704"/>
      <c r="BT1131" s="704"/>
      <c r="BU1131" s="704"/>
      <c r="BV1131" s="705"/>
    </row>
    <row r="1132" spans="1:74" ht="45" customHeight="1" x14ac:dyDescent="0.25">
      <c r="A1132" s="10">
        <f t="shared" si="17"/>
        <v>1118</v>
      </c>
      <c r="B1132" s="662" t="s">
        <v>159</v>
      </c>
      <c r="C1132" s="662"/>
      <c r="D1132" s="663" t="s">
        <v>212</v>
      </c>
      <c r="E1132" s="663"/>
      <c r="F1132" s="664" t="s">
        <v>162</v>
      </c>
      <c r="G1132" s="665"/>
      <c r="H1132" s="754" t="s">
        <v>162</v>
      </c>
      <c r="I1132" s="714"/>
      <c r="J1132" s="340"/>
      <c r="K1132" s="341"/>
      <c r="L1132" s="340"/>
      <c r="M1132" s="341"/>
      <c r="N1132" s="194"/>
      <c r="O1132" s="196"/>
      <c r="P1132" s="717"/>
      <c r="Q1132" s="718"/>
      <c r="R1132" s="672"/>
      <c r="S1132" s="673"/>
      <c r="T1132" s="674"/>
      <c r="U1132" s="675"/>
      <c r="V1132" s="676"/>
      <c r="W1132" s="677"/>
      <c r="X1132" s="678" t="s">
        <v>159</v>
      </c>
      <c r="Y1132" s="678"/>
      <c r="Z1132" s="678"/>
      <c r="AA1132" s="678"/>
      <c r="AB1132" s="679" t="s">
        <v>159</v>
      </c>
      <c r="AC1132" s="679"/>
      <c r="AD1132" s="679"/>
      <c r="AE1132" s="679"/>
      <c r="AF1132" s="680"/>
      <c r="AG1132" s="681"/>
      <c r="AH1132" s="680"/>
      <c r="AI1132" s="681"/>
      <c r="AJ1132" s="682"/>
      <c r="AK1132" s="683"/>
      <c r="AL1132" s="684" t="s">
        <v>162</v>
      </c>
      <c r="AM1132" s="685"/>
      <c r="AN1132" s="666" t="s">
        <v>162</v>
      </c>
      <c r="AO1132" s="667"/>
      <c r="AP1132" s="686"/>
      <c r="AQ1132" s="687"/>
      <c r="AR1132" s="688"/>
      <c r="AS1132" s="689"/>
      <c r="AT1132" s="690"/>
      <c r="AU1132" s="691"/>
      <c r="AV1132" s="666" t="s">
        <v>162</v>
      </c>
      <c r="AW1132" s="667"/>
      <c r="AX1132" s="692"/>
      <c r="AY1132" s="693"/>
      <c r="AZ1132" s="694"/>
      <c r="BA1132" s="682"/>
      <c r="BB1132" s="683"/>
      <c r="BC1132" s="14"/>
      <c r="BD1132" s="695" t="s">
        <v>162</v>
      </c>
      <c r="BE1132" s="696"/>
      <c r="BF1132" s="697"/>
      <c r="BG1132" s="698"/>
      <c r="BH1132" s="698"/>
      <c r="BI1132" s="699"/>
      <c r="BJ1132" s="700" t="s">
        <v>159</v>
      </c>
      <c r="BK1132" s="701"/>
      <c r="BL1132" s="701"/>
      <c r="BM1132" s="702"/>
      <c r="BN1132" s="703" t="s">
        <v>159</v>
      </c>
      <c r="BO1132" s="704"/>
      <c r="BP1132" s="704"/>
      <c r="BQ1132" s="704"/>
      <c r="BR1132" s="704"/>
      <c r="BS1132" s="704"/>
      <c r="BT1132" s="704"/>
      <c r="BU1132" s="704"/>
      <c r="BV1132" s="705"/>
    </row>
    <row r="1133" spans="1:74" ht="45" customHeight="1" x14ac:dyDescent="0.25">
      <c r="A1133" s="10">
        <f t="shared" si="17"/>
        <v>1119</v>
      </c>
      <c r="B1133" s="711" t="s">
        <v>159</v>
      </c>
      <c r="C1133" s="711"/>
      <c r="D1133" s="712" t="s">
        <v>212</v>
      </c>
      <c r="E1133" s="712"/>
      <c r="F1133" s="664" t="s">
        <v>162</v>
      </c>
      <c r="G1133" s="665"/>
      <c r="H1133" s="755" t="s">
        <v>162</v>
      </c>
      <c r="I1133" s="667"/>
      <c r="J1133" s="706"/>
      <c r="K1133" s="707"/>
      <c r="L1133" s="706"/>
      <c r="M1133" s="707"/>
      <c r="N1133" s="215"/>
      <c r="O1133" s="216"/>
      <c r="P1133" s="670"/>
      <c r="Q1133" s="671"/>
      <c r="R1133" s="719"/>
      <c r="S1133" s="720"/>
      <c r="T1133" s="721"/>
      <c r="U1133" s="722"/>
      <c r="V1133" s="723"/>
      <c r="W1133" s="724"/>
      <c r="X1133" s="725" t="s">
        <v>159</v>
      </c>
      <c r="Y1133" s="725"/>
      <c r="Z1133" s="725"/>
      <c r="AA1133" s="725"/>
      <c r="AB1133" s="726" t="s">
        <v>159</v>
      </c>
      <c r="AC1133" s="726"/>
      <c r="AD1133" s="726"/>
      <c r="AE1133" s="726"/>
      <c r="AF1133" s="727"/>
      <c r="AG1133" s="728"/>
      <c r="AH1133" s="727"/>
      <c r="AI1133" s="728"/>
      <c r="AJ1133" s="682"/>
      <c r="AK1133" s="683"/>
      <c r="AL1133" s="664" t="s">
        <v>162</v>
      </c>
      <c r="AM1133" s="665"/>
      <c r="AN1133" s="713" t="s">
        <v>162</v>
      </c>
      <c r="AO1133" s="714"/>
      <c r="AP1133" s="729"/>
      <c r="AQ1133" s="730"/>
      <c r="AR1133" s="731"/>
      <c r="AS1133" s="732"/>
      <c r="AT1133" s="733"/>
      <c r="AU1133" s="734"/>
      <c r="AV1133" s="713" t="s">
        <v>162</v>
      </c>
      <c r="AW1133" s="714"/>
      <c r="AX1133" s="692"/>
      <c r="AY1133" s="693"/>
      <c r="AZ1133" s="694"/>
      <c r="BA1133" s="735"/>
      <c r="BB1133" s="736"/>
      <c r="BC1133" s="219"/>
      <c r="BD1133" s="737" t="s">
        <v>162</v>
      </c>
      <c r="BE1133" s="738"/>
      <c r="BF1133" s="739"/>
      <c r="BG1133" s="740"/>
      <c r="BH1133" s="740"/>
      <c r="BI1133" s="741"/>
      <c r="BJ1133" s="742" t="s">
        <v>159</v>
      </c>
      <c r="BK1133" s="743"/>
      <c r="BL1133" s="743"/>
      <c r="BM1133" s="744"/>
      <c r="BN1133" s="703" t="s">
        <v>159</v>
      </c>
      <c r="BO1133" s="704"/>
      <c r="BP1133" s="704"/>
      <c r="BQ1133" s="704"/>
      <c r="BR1133" s="704"/>
      <c r="BS1133" s="704"/>
      <c r="BT1133" s="704"/>
      <c r="BU1133" s="704"/>
      <c r="BV1133" s="705"/>
    </row>
    <row r="1134" spans="1:74" ht="45" customHeight="1" x14ac:dyDescent="0.25">
      <c r="A1134" s="10">
        <f t="shared" si="17"/>
        <v>1120</v>
      </c>
      <c r="B1134" s="662" t="s">
        <v>159</v>
      </c>
      <c r="C1134" s="662"/>
      <c r="D1134" s="663" t="s">
        <v>212</v>
      </c>
      <c r="E1134" s="663"/>
      <c r="F1134" s="664" t="s">
        <v>162</v>
      </c>
      <c r="G1134" s="665"/>
      <c r="H1134" s="754" t="s">
        <v>162</v>
      </c>
      <c r="I1134" s="714"/>
      <c r="J1134" s="340"/>
      <c r="K1134" s="341"/>
      <c r="L1134" s="340"/>
      <c r="M1134" s="341"/>
      <c r="N1134" s="194"/>
      <c r="O1134" s="196"/>
      <c r="P1134" s="717"/>
      <c r="Q1134" s="718"/>
      <c r="R1134" s="672"/>
      <c r="S1134" s="673"/>
      <c r="T1134" s="674"/>
      <c r="U1134" s="675"/>
      <c r="V1134" s="676"/>
      <c r="W1134" s="677"/>
      <c r="X1134" s="678" t="s">
        <v>159</v>
      </c>
      <c r="Y1134" s="678"/>
      <c r="Z1134" s="678"/>
      <c r="AA1134" s="678"/>
      <c r="AB1134" s="679" t="s">
        <v>159</v>
      </c>
      <c r="AC1134" s="679"/>
      <c r="AD1134" s="679"/>
      <c r="AE1134" s="679"/>
      <c r="AF1134" s="680"/>
      <c r="AG1134" s="681"/>
      <c r="AH1134" s="680"/>
      <c r="AI1134" s="681"/>
      <c r="AJ1134" s="682"/>
      <c r="AK1134" s="683"/>
      <c r="AL1134" s="684" t="s">
        <v>162</v>
      </c>
      <c r="AM1134" s="685"/>
      <c r="AN1134" s="666" t="s">
        <v>162</v>
      </c>
      <c r="AO1134" s="667"/>
      <c r="AP1134" s="686"/>
      <c r="AQ1134" s="687"/>
      <c r="AR1134" s="688"/>
      <c r="AS1134" s="689"/>
      <c r="AT1134" s="690"/>
      <c r="AU1134" s="691"/>
      <c r="AV1134" s="666" t="s">
        <v>162</v>
      </c>
      <c r="AW1134" s="667"/>
      <c r="AX1134" s="692"/>
      <c r="AY1134" s="693"/>
      <c r="AZ1134" s="694"/>
      <c r="BA1134" s="682"/>
      <c r="BB1134" s="683"/>
      <c r="BC1134" s="14"/>
      <c r="BD1134" s="695" t="s">
        <v>162</v>
      </c>
      <c r="BE1134" s="696"/>
      <c r="BF1134" s="708"/>
      <c r="BG1134" s="709"/>
      <c r="BH1134" s="709"/>
      <c r="BI1134" s="710"/>
      <c r="BJ1134" s="700" t="s">
        <v>159</v>
      </c>
      <c r="BK1134" s="701"/>
      <c r="BL1134" s="701"/>
      <c r="BM1134" s="702"/>
      <c r="BN1134" s="703" t="s">
        <v>159</v>
      </c>
      <c r="BO1134" s="704"/>
      <c r="BP1134" s="704"/>
      <c r="BQ1134" s="704"/>
      <c r="BR1134" s="704"/>
      <c r="BS1134" s="704"/>
      <c r="BT1134" s="704"/>
      <c r="BU1134" s="704"/>
      <c r="BV1134" s="705"/>
    </row>
    <row r="1135" spans="1:74" ht="45" customHeight="1" x14ac:dyDescent="0.25">
      <c r="A1135" s="10">
        <f t="shared" si="17"/>
        <v>1121</v>
      </c>
      <c r="B1135" s="711" t="s">
        <v>159</v>
      </c>
      <c r="C1135" s="711"/>
      <c r="D1135" s="712" t="s">
        <v>212</v>
      </c>
      <c r="E1135" s="712"/>
      <c r="F1135" s="664" t="s">
        <v>162</v>
      </c>
      <c r="G1135" s="665"/>
      <c r="H1135" s="755" t="s">
        <v>162</v>
      </c>
      <c r="I1135" s="667"/>
      <c r="J1135" s="706"/>
      <c r="K1135" s="707"/>
      <c r="L1135" s="706"/>
      <c r="M1135" s="707"/>
      <c r="N1135" s="215"/>
      <c r="O1135" s="216"/>
      <c r="P1135" s="670"/>
      <c r="Q1135" s="671"/>
      <c r="R1135" s="719"/>
      <c r="S1135" s="720"/>
      <c r="T1135" s="721"/>
      <c r="U1135" s="722"/>
      <c r="V1135" s="723"/>
      <c r="W1135" s="724"/>
      <c r="X1135" s="725" t="s">
        <v>159</v>
      </c>
      <c r="Y1135" s="725"/>
      <c r="Z1135" s="725"/>
      <c r="AA1135" s="725"/>
      <c r="AB1135" s="726" t="s">
        <v>159</v>
      </c>
      <c r="AC1135" s="726"/>
      <c r="AD1135" s="726"/>
      <c r="AE1135" s="726"/>
      <c r="AF1135" s="727"/>
      <c r="AG1135" s="728"/>
      <c r="AH1135" s="727"/>
      <c r="AI1135" s="728"/>
      <c r="AJ1135" s="682"/>
      <c r="AK1135" s="683"/>
      <c r="AL1135" s="664" t="s">
        <v>162</v>
      </c>
      <c r="AM1135" s="665"/>
      <c r="AN1135" s="713" t="s">
        <v>162</v>
      </c>
      <c r="AO1135" s="714"/>
      <c r="AP1135" s="729"/>
      <c r="AQ1135" s="730"/>
      <c r="AR1135" s="731"/>
      <c r="AS1135" s="732"/>
      <c r="AT1135" s="733"/>
      <c r="AU1135" s="734"/>
      <c r="AV1135" s="713" t="s">
        <v>162</v>
      </c>
      <c r="AW1135" s="714"/>
      <c r="AX1135" s="692"/>
      <c r="AY1135" s="693"/>
      <c r="AZ1135" s="694"/>
      <c r="BA1135" s="735"/>
      <c r="BB1135" s="736"/>
      <c r="BC1135" s="219"/>
      <c r="BD1135" s="737" t="s">
        <v>162</v>
      </c>
      <c r="BE1135" s="738"/>
      <c r="BF1135" s="739"/>
      <c r="BG1135" s="740"/>
      <c r="BH1135" s="740"/>
      <c r="BI1135" s="741"/>
      <c r="BJ1135" s="742" t="s">
        <v>159</v>
      </c>
      <c r="BK1135" s="743"/>
      <c r="BL1135" s="743"/>
      <c r="BM1135" s="744"/>
      <c r="BN1135" s="703" t="s">
        <v>159</v>
      </c>
      <c r="BO1135" s="704"/>
      <c r="BP1135" s="704"/>
      <c r="BQ1135" s="704"/>
      <c r="BR1135" s="704"/>
      <c r="BS1135" s="704"/>
      <c r="BT1135" s="704"/>
      <c r="BU1135" s="704"/>
      <c r="BV1135" s="705"/>
    </row>
    <row r="1136" spans="1:74" ht="45" customHeight="1" x14ac:dyDescent="0.25">
      <c r="A1136" s="10">
        <f t="shared" si="17"/>
        <v>1122</v>
      </c>
      <c r="B1136" s="662" t="s">
        <v>159</v>
      </c>
      <c r="C1136" s="662"/>
      <c r="D1136" s="663" t="s">
        <v>212</v>
      </c>
      <c r="E1136" s="663"/>
      <c r="F1136" s="664" t="s">
        <v>162</v>
      </c>
      <c r="G1136" s="665"/>
      <c r="H1136" s="754" t="s">
        <v>162</v>
      </c>
      <c r="I1136" s="714"/>
      <c r="J1136" s="340"/>
      <c r="K1136" s="341"/>
      <c r="L1136" s="340"/>
      <c r="M1136" s="341"/>
      <c r="N1136" s="194"/>
      <c r="O1136" s="196"/>
      <c r="P1136" s="717"/>
      <c r="Q1136" s="718"/>
      <c r="R1136" s="672"/>
      <c r="S1136" s="673"/>
      <c r="T1136" s="674"/>
      <c r="U1136" s="675"/>
      <c r="V1136" s="676"/>
      <c r="W1136" s="677"/>
      <c r="X1136" s="678" t="s">
        <v>159</v>
      </c>
      <c r="Y1136" s="678"/>
      <c r="Z1136" s="678"/>
      <c r="AA1136" s="678"/>
      <c r="AB1136" s="679" t="s">
        <v>159</v>
      </c>
      <c r="AC1136" s="679"/>
      <c r="AD1136" s="679"/>
      <c r="AE1136" s="679"/>
      <c r="AF1136" s="680"/>
      <c r="AG1136" s="681"/>
      <c r="AH1136" s="680"/>
      <c r="AI1136" s="681"/>
      <c r="AJ1136" s="682"/>
      <c r="AK1136" s="683"/>
      <c r="AL1136" s="684" t="s">
        <v>162</v>
      </c>
      <c r="AM1136" s="685"/>
      <c r="AN1136" s="666" t="s">
        <v>162</v>
      </c>
      <c r="AO1136" s="667"/>
      <c r="AP1136" s="686"/>
      <c r="AQ1136" s="687"/>
      <c r="AR1136" s="688"/>
      <c r="AS1136" s="689"/>
      <c r="AT1136" s="690"/>
      <c r="AU1136" s="691"/>
      <c r="AV1136" s="666" t="s">
        <v>162</v>
      </c>
      <c r="AW1136" s="667"/>
      <c r="AX1136" s="692"/>
      <c r="AY1136" s="693"/>
      <c r="AZ1136" s="694"/>
      <c r="BA1136" s="682"/>
      <c r="BB1136" s="683"/>
      <c r="BC1136" s="14"/>
      <c r="BD1136" s="695" t="s">
        <v>162</v>
      </c>
      <c r="BE1136" s="696"/>
      <c r="BF1136" s="697"/>
      <c r="BG1136" s="698"/>
      <c r="BH1136" s="698"/>
      <c r="BI1136" s="699"/>
      <c r="BJ1136" s="700" t="s">
        <v>159</v>
      </c>
      <c r="BK1136" s="701"/>
      <c r="BL1136" s="701"/>
      <c r="BM1136" s="702"/>
      <c r="BN1136" s="703" t="s">
        <v>159</v>
      </c>
      <c r="BO1136" s="704"/>
      <c r="BP1136" s="704"/>
      <c r="BQ1136" s="704"/>
      <c r="BR1136" s="704"/>
      <c r="BS1136" s="704"/>
      <c r="BT1136" s="704"/>
      <c r="BU1136" s="704"/>
      <c r="BV1136" s="705"/>
    </row>
    <row r="1137" spans="1:74" ht="45" customHeight="1" x14ac:dyDescent="0.25">
      <c r="A1137" s="10">
        <f t="shared" si="17"/>
        <v>1123</v>
      </c>
      <c r="B1137" s="711" t="s">
        <v>159</v>
      </c>
      <c r="C1137" s="711"/>
      <c r="D1137" s="712" t="s">
        <v>212</v>
      </c>
      <c r="E1137" s="712"/>
      <c r="F1137" s="664" t="s">
        <v>162</v>
      </c>
      <c r="G1137" s="665"/>
      <c r="H1137" s="755" t="s">
        <v>162</v>
      </c>
      <c r="I1137" s="667"/>
      <c r="J1137" s="706"/>
      <c r="K1137" s="707"/>
      <c r="L1137" s="706"/>
      <c r="M1137" s="707"/>
      <c r="N1137" s="194"/>
      <c r="O1137" s="196"/>
      <c r="P1137" s="717"/>
      <c r="Q1137" s="718"/>
      <c r="R1137" s="719"/>
      <c r="S1137" s="720"/>
      <c r="T1137" s="721"/>
      <c r="U1137" s="722"/>
      <c r="V1137" s="723"/>
      <c r="W1137" s="724"/>
      <c r="X1137" s="725" t="s">
        <v>159</v>
      </c>
      <c r="Y1137" s="725"/>
      <c r="Z1137" s="725"/>
      <c r="AA1137" s="725"/>
      <c r="AB1137" s="726" t="s">
        <v>159</v>
      </c>
      <c r="AC1137" s="726"/>
      <c r="AD1137" s="726"/>
      <c r="AE1137" s="726"/>
      <c r="AF1137" s="727"/>
      <c r="AG1137" s="728"/>
      <c r="AH1137" s="727"/>
      <c r="AI1137" s="728"/>
      <c r="AJ1137" s="682"/>
      <c r="AK1137" s="683"/>
      <c r="AL1137" s="664" t="s">
        <v>162</v>
      </c>
      <c r="AM1137" s="665"/>
      <c r="AN1137" s="713" t="s">
        <v>162</v>
      </c>
      <c r="AO1137" s="714"/>
      <c r="AP1137" s="729"/>
      <c r="AQ1137" s="730"/>
      <c r="AR1137" s="731"/>
      <c r="AS1137" s="732"/>
      <c r="AT1137" s="690"/>
      <c r="AU1137" s="691"/>
      <c r="AV1137" s="713" t="s">
        <v>162</v>
      </c>
      <c r="AW1137" s="714"/>
      <c r="AX1137" s="692"/>
      <c r="AY1137" s="693"/>
      <c r="AZ1137" s="694"/>
      <c r="BA1137" s="735"/>
      <c r="BB1137" s="736"/>
      <c r="BC1137" s="219"/>
      <c r="BD1137" s="737" t="s">
        <v>162</v>
      </c>
      <c r="BE1137" s="738"/>
      <c r="BF1137" s="739"/>
      <c r="BG1137" s="740"/>
      <c r="BH1137" s="740"/>
      <c r="BI1137" s="741"/>
      <c r="BJ1137" s="742" t="s">
        <v>159</v>
      </c>
      <c r="BK1137" s="743"/>
      <c r="BL1137" s="743"/>
      <c r="BM1137" s="744"/>
      <c r="BN1137" s="703" t="s">
        <v>159</v>
      </c>
      <c r="BO1137" s="704"/>
      <c r="BP1137" s="704"/>
      <c r="BQ1137" s="704"/>
      <c r="BR1137" s="704"/>
      <c r="BS1137" s="704"/>
      <c r="BT1137" s="704"/>
      <c r="BU1137" s="704"/>
      <c r="BV1137" s="705"/>
    </row>
    <row r="1138" spans="1:74" ht="45" customHeight="1" x14ac:dyDescent="0.25">
      <c r="A1138" s="10">
        <f t="shared" si="17"/>
        <v>1124</v>
      </c>
      <c r="B1138" s="662" t="s">
        <v>159</v>
      </c>
      <c r="C1138" s="662"/>
      <c r="D1138" s="663" t="s">
        <v>212</v>
      </c>
      <c r="E1138" s="663"/>
      <c r="F1138" s="664" t="s">
        <v>162</v>
      </c>
      <c r="G1138" s="665"/>
      <c r="H1138" s="754" t="s">
        <v>162</v>
      </c>
      <c r="I1138" s="714"/>
      <c r="J1138" s="340"/>
      <c r="K1138" s="341"/>
      <c r="L1138" s="340"/>
      <c r="M1138" s="341"/>
      <c r="N1138" s="215"/>
      <c r="O1138" s="216"/>
      <c r="P1138" s="670"/>
      <c r="Q1138" s="671"/>
      <c r="R1138" s="672"/>
      <c r="S1138" s="673"/>
      <c r="T1138" s="674"/>
      <c r="U1138" s="675"/>
      <c r="V1138" s="676"/>
      <c r="W1138" s="677"/>
      <c r="X1138" s="678" t="s">
        <v>159</v>
      </c>
      <c r="Y1138" s="678"/>
      <c r="Z1138" s="678"/>
      <c r="AA1138" s="678"/>
      <c r="AB1138" s="679" t="s">
        <v>159</v>
      </c>
      <c r="AC1138" s="679"/>
      <c r="AD1138" s="679"/>
      <c r="AE1138" s="679"/>
      <c r="AF1138" s="680"/>
      <c r="AG1138" s="681"/>
      <c r="AH1138" s="680"/>
      <c r="AI1138" s="681"/>
      <c r="AJ1138" s="682"/>
      <c r="AK1138" s="683"/>
      <c r="AL1138" s="684" t="s">
        <v>162</v>
      </c>
      <c r="AM1138" s="685"/>
      <c r="AN1138" s="666" t="s">
        <v>162</v>
      </c>
      <c r="AO1138" s="667"/>
      <c r="AP1138" s="686"/>
      <c r="AQ1138" s="687"/>
      <c r="AR1138" s="688"/>
      <c r="AS1138" s="689"/>
      <c r="AT1138" s="690"/>
      <c r="AU1138" s="691"/>
      <c r="AV1138" s="666" t="s">
        <v>162</v>
      </c>
      <c r="AW1138" s="667"/>
      <c r="AX1138" s="692"/>
      <c r="AY1138" s="693"/>
      <c r="AZ1138" s="694"/>
      <c r="BA1138" s="682"/>
      <c r="BB1138" s="683"/>
      <c r="BC1138" s="14"/>
      <c r="BD1138" s="695" t="s">
        <v>162</v>
      </c>
      <c r="BE1138" s="696"/>
      <c r="BF1138" s="697"/>
      <c r="BG1138" s="698"/>
      <c r="BH1138" s="698"/>
      <c r="BI1138" s="699"/>
      <c r="BJ1138" s="700" t="s">
        <v>159</v>
      </c>
      <c r="BK1138" s="701"/>
      <c r="BL1138" s="701"/>
      <c r="BM1138" s="702"/>
      <c r="BN1138" s="703" t="s">
        <v>159</v>
      </c>
      <c r="BO1138" s="704"/>
      <c r="BP1138" s="704"/>
      <c r="BQ1138" s="704"/>
      <c r="BR1138" s="704"/>
      <c r="BS1138" s="704"/>
      <c r="BT1138" s="704"/>
      <c r="BU1138" s="704"/>
      <c r="BV1138" s="705"/>
    </row>
    <row r="1139" spans="1:74" ht="45" customHeight="1" x14ac:dyDescent="0.25">
      <c r="A1139" s="10">
        <f t="shared" si="17"/>
        <v>1125</v>
      </c>
      <c r="B1139" s="711" t="s">
        <v>159</v>
      </c>
      <c r="C1139" s="711"/>
      <c r="D1139" s="712" t="s">
        <v>212</v>
      </c>
      <c r="E1139" s="712"/>
      <c r="F1139" s="664" t="s">
        <v>162</v>
      </c>
      <c r="G1139" s="665"/>
      <c r="H1139" s="755" t="s">
        <v>162</v>
      </c>
      <c r="I1139" s="667"/>
      <c r="J1139" s="706"/>
      <c r="K1139" s="707"/>
      <c r="L1139" s="706"/>
      <c r="M1139" s="707"/>
      <c r="N1139" s="194"/>
      <c r="O1139" s="196"/>
      <c r="P1139" s="717"/>
      <c r="Q1139" s="718"/>
      <c r="R1139" s="719"/>
      <c r="S1139" s="720"/>
      <c r="T1139" s="721"/>
      <c r="U1139" s="722"/>
      <c r="V1139" s="723"/>
      <c r="W1139" s="724"/>
      <c r="X1139" s="725" t="s">
        <v>159</v>
      </c>
      <c r="Y1139" s="725"/>
      <c r="Z1139" s="725"/>
      <c r="AA1139" s="725"/>
      <c r="AB1139" s="726" t="s">
        <v>159</v>
      </c>
      <c r="AC1139" s="726"/>
      <c r="AD1139" s="726"/>
      <c r="AE1139" s="726"/>
      <c r="AF1139" s="727"/>
      <c r="AG1139" s="728"/>
      <c r="AH1139" s="727"/>
      <c r="AI1139" s="728"/>
      <c r="AJ1139" s="682"/>
      <c r="AK1139" s="683"/>
      <c r="AL1139" s="664" t="s">
        <v>162</v>
      </c>
      <c r="AM1139" s="665"/>
      <c r="AN1139" s="713" t="s">
        <v>162</v>
      </c>
      <c r="AO1139" s="714"/>
      <c r="AP1139" s="729"/>
      <c r="AQ1139" s="730"/>
      <c r="AR1139" s="731"/>
      <c r="AS1139" s="732"/>
      <c r="AT1139" s="690"/>
      <c r="AU1139" s="691"/>
      <c r="AV1139" s="713" t="s">
        <v>162</v>
      </c>
      <c r="AW1139" s="714"/>
      <c r="AX1139" s="692"/>
      <c r="AY1139" s="693"/>
      <c r="AZ1139" s="694"/>
      <c r="BA1139" s="735"/>
      <c r="BB1139" s="736"/>
      <c r="BC1139" s="219"/>
      <c r="BD1139" s="737" t="s">
        <v>162</v>
      </c>
      <c r="BE1139" s="738"/>
      <c r="BF1139" s="739"/>
      <c r="BG1139" s="740"/>
      <c r="BH1139" s="740"/>
      <c r="BI1139" s="741"/>
      <c r="BJ1139" s="742" t="s">
        <v>159</v>
      </c>
      <c r="BK1139" s="743"/>
      <c r="BL1139" s="743"/>
      <c r="BM1139" s="744"/>
      <c r="BN1139" s="703" t="s">
        <v>159</v>
      </c>
      <c r="BO1139" s="704"/>
      <c r="BP1139" s="704"/>
      <c r="BQ1139" s="704"/>
      <c r="BR1139" s="704"/>
      <c r="BS1139" s="704"/>
      <c r="BT1139" s="704"/>
      <c r="BU1139" s="704"/>
      <c r="BV1139" s="705"/>
    </row>
    <row r="1140" spans="1:74" ht="45" customHeight="1" x14ac:dyDescent="0.25">
      <c r="A1140" s="10">
        <f t="shared" si="17"/>
        <v>1126</v>
      </c>
      <c r="B1140" s="662" t="s">
        <v>159</v>
      </c>
      <c r="C1140" s="662"/>
      <c r="D1140" s="663" t="s">
        <v>212</v>
      </c>
      <c r="E1140" s="663"/>
      <c r="F1140" s="664" t="s">
        <v>162</v>
      </c>
      <c r="G1140" s="665"/>
      <c r="H1140" s="754" t="s">
        <v>162</v>
      </c>
      <c r="I1140" s="714"/>
      <c r="J1140" s="340"/>
      <c r="K1140" s="341"/>
      <c r="L1140" s="340"/>
      <c r="M1140" s="341"/>
      <c r="N1140" s="215"/>
      <c r="O1140" s="216"/>
      <c r="P1140" s="670"/>
      <c r="Q1140" s="671"/>
      <c r="R1140" s="672"/>
      <c r="S1140" s="673"/>
      <c r="T1140" s="674"/>
      <c r="U1140" s="675"/>
      <c r="V1140" s="676"/>
      <c r="W1140" s="677"/>
      <c r="X1140" s="678" t="s">
        <v>159</v>
      </c>
      <c r="Y1140" s="678"/>
      <c r="Z1140" s="678"/>
      <c r="AA1140" s="678"/>
      <c r="AB1140" s="679" t="s">
        <v>159</v>
      </c>
      <c r="AC1140" s="679"/>
      <c r="AD1140" s="679"/>
      <c r="AE1140" s="679"/>
      <c r="AF1140" s="680"/>
      <c r="AG1140" s="681"/>
      <c r="AH1140" s="680"/>
      <c r="AI1140" s="681"/>
      <c r="AJ1140" s="682"/>
      <c r="AK1140" s="683"/>
      <c r="AL1140" s="684" t="s">
        <v>162</v>
      </c>
      <c r="AM1140" s="685"/>
      <c r="AN1140" s="666" t="s">
        <v>162</v>
      </c>
      <c r="AO1140" s="667"/>
      <c r="AP1140" s="686"/>
      <c r="AQ1140" s="687"/>
      <c r="AR1140" s="688"/>
      <c r="AS1140" s="689"/>
      <c r="AT1140" s="690"/>
      <c r="AU1140" s="691"/>
      <c r="AV1140" s="666" t="s">
        <v>162</v>
      </c>
      <c r="AW1140" s="667"/>
      <c r="AX1140" s="692"/>
      <c r="AY1140" s="693"/>
      <c r="AZ1140" s="694"/>
      <c r="BA1140" s="682"/>
      <c r="BB1140" s="683"/>
      <c r="BC1140" s="14"/>
      <c r="BD1140" s="695" t="s">
        <v>162</v>
      </c>
      <c r="BE1140" s="696"/>
      <c r="BF1140" s="697"/>
      <c r="BG1140" s="698"/>
      <c r="BH1140" s="698"/>
      <c r="BI1140" s="699"/>
      <c r="BJ1140" s="700" t="s">
        <v>159</v>
      </c>
      <c r="BK1140" s="701"/>
      <c r="BL1140" s="701"/>
      <c r="BM1140" s="702"/>
      <c r="BN1140" s="703" t="s">
        <v>159</v>
      </c>
      <c r="BO1140" s="704"/>
      <c r="BP1140" s="704"/>
      <c r="BQ1140" s="704"/>
      <c r="BR1140" s="704"/>
      <c r="BS1140" s="704"/>
      <c r="BT1140" s="704"/>
      <c r="BU1140" s="704"/>
      <c r="BV1140" s="705"/>
    </row>
    <row r="1141" spans="1:74" ht="45" customHeight="1" x14ac:dyDescent="0.25">
      <c r="A1141" s="10">
        <f t="shared" si="17"/>
        <v>1127</v>
      </c>
      <c r="B1141" s="711" t="s">
        <v>159</v>
      </c>
      <c r="C1141" s="711"/>
      <c r="D1141" s="712" t="s">
        <v>212</v>
      </c>
      <c r="E1141" s="712"/>
      <c r="F1141" s="664" t="s">
        <v>162</v>
      </c>
      <c r="G1141" s="665"/>
      <c r="H1141" s="755" t="s">
        <v>162</v>
      </c>
      <c r="I1141" s="667"/>
      <c r="J1141" s="706"/>
      <c r="K1141" s="707"/>
      <c r="L1141" s="706"/>
      <c r="M1141" s="707"/>
      <c r="N1141" s="194"/>
      <c r="O1141" s="216"/>
      <c r="P1141" s="717"/>
      <c r="Q1141" s="718"/>
      <c r="R1141" s="719"/>
      <c r="S1141" s="720"/>
      <c r="T1141" s="721"/>
      <c r="U1141" s="722"/>
      <c r="V1141" s="723"/>
      <c r="W1141" s="724"/>
      <c r="X1141" s="725" t="s">
        <v>159</v>
      </c>
      <c r="Y1141" s="725"/>
      <c r="Z1141" s="725"/>
      <c r="AA1141" s="725"/>
      <c r="AB1141" s="726" t="s">
        <v>159</v>
      </c>
      <c r="AC1141" s="726"/>
      <c r="AD1141" s="726"/>
      <c r="AE1141" s="726"/>
      <c r="AF1141" s="727"/>
      <c r="AG1141" s="728"/>
      <c r="AH1141" s="727"/>
      <c r="AI1141" s="728"/>
      <c r="AJ1141" s="682"/>
      <c r="AK1141" s="683"/>
      <c r="AL1141" s="664" t="s">
        <v>162</v>
      </c>
      <c r="AM1141" s="665"/>
      <c r="AN1141" s="713" t="s">
        <v>162</v>
      </c>
      <c r="AO1141" s="714"/>
      <c r="AP1141" s="729"/>
      <c r="AQ1141" s="730"/>
      <c r="AR1141" s="731"/>
      <c r="AS1141" s="732"/>
      <c r="AT1141" s="733"/>
      <c r="AU1141" s="734"/>
      <c r="AV1141" s="713" t="s">
        <v>162</v>
      </c>
      <c r="AW1141" s="714"/>
      <c r="AX1141" s="692"/>
      <c r="AY1141" s="693"/>
      <c r="AZ1141" s="694"/>
      <c r="BA1141" s="735"/>
      <c r="BB1141" s="736"/>
      <c r="BC1141" s="219"/>
      <c r="BD1141" s="737" t="s">
        <v>162</v>
      </c>
      <c r="BE1141" s="738"/>
      <c r="BF1141" s="739"/>
      <c r="BG1141" s="740"/>
      <c r="BH1141" s="740"/>
      <c r="BI1141" s="741"/>
      <c r="BJ1141" s="742" t="s">
        <v>159</v>
      </c>
      <c r="BK1141" s="743"/>
      <c r="BL1141" s="743"/>
      <c r="BM1141" s="744"/>
      <c r="BN1141" s="703" t="s">
        <v>159</v>
      </c>
      <c r="BO1141" s="704"/>
      <c r="BP1141" s="704"/>
      <c r="BQ1141" s="704"/>
      <c r="BR1141" s="704"/>
      <c r="BS1141" s="704"/>
      <c r="BT1141" s="704"/>
      <c r="BU1141" s="704"/>
      <c r="BV1141" s="705"/>
    </row>
    <row r="1142" spans="1:74" ht="45" customHeight="1" x14ac:dyDescent="0.25">
      <c r="A1142" s="10">
        <f t="shared" si="17"/>
        <v>1128</v>
      </c>
      <c r="B1142" s="662" t="s">
        <v>159</v>
      </c>
      <c r="C1142" s="662"/>
      <c r="D1142" s="663" t="s">
        <v>212</v>
      </c>
      <c r="E1142" s="663"/>
      <c r="F1142" s="664" t="s">
        <v>162</v>
      </c>
      <c r="G1142" s="665"/>
      <c r="H1142" s="754" t="s">
        <v>162</v>
      </c>
      <c r="I1142" s="714"/>
      <c r="J1142" s="340"/>
      <c r="K1142" s="341"/>
      <c r="L1142" s="340"/>
      <c r="M1142" s="341"/>
      <c r="N1142" s="215"/>
      <c r="O1142" s="196"/>
      <c r="P1142" s="670"/>
      <c r="Q1142" s="671"/>
      <c r="R1142" s="672"/>
      <c r="S1142" s="673"/>
      <c r="T1142" s="674"/>
      <c r="U1142" s="675"/>
      <c r="V1142" s="676"/>
      <c r="W1142" s="677"/>
      <c r="X1142" s="678" t="s">
        <v>159</v>
      </c>
      <c r="Y1142" s="678"/>
      <c r="Z1142" s="678"/>
      <c r="AA1142" s="678"/>
      <c r="AB1142" s="679" t="s">
        <v>159</v>
      </c>
      <c r="AC1142" s="679"/>
      <c r="AD1142" s="679"/>
      <c r="AE1142" s="679"/>
      <c r="AF1142" s="680"/>
      <c r="AG1142" s="681"/>
      <c r="AH1142" s="680"/>
      <c r="AI1142" s="681"/>
      <c r="AJ1142" s="682"/>
      <c r="AK1142" s="683"/>
      <c r="AL1142" s="684" t="s">
        <v>162</v>
      </c>
      <c r="AM1142" s="685"/>
      <c r="AN1142" s="666" t="s">
        <v>162</v>
      </c>
      <c r="AO1142" s="667"/>
      <c r="AP1142" s="686"/>
      <c r="AQ1142" s="687"/>
      <c r="AR1142" s="688"/>
      <c r="AS1142" s="689"/>
      <c r="AT1142" s="690"/>
      <c r="AU1142" s="691"/>
      <c r="AV1142" s="666" t="s">
        <v>162</v>
      </c>
      <c r="AW1142" s="667"/>
      <c r="AX1142" s="692"/>
      <c r="AY1142" s="693"/>
      <c r="AZ1142" s="694"/>
      <c r="BA1142" s="682"/>
      <c r="BB1142" s="683"/>
      <c r="BC1142" s="14"/>
      <c r="BD1142" s="695" t="s">
        <v>162</v>
      </c>
      <c r="BE1142" s="696"/>
      <c r="BF1142" s="708"/>
      <c r="BG1142" s="709"/>
      <c r="BH1142" s="709"/>
      <c r="BI1142" s="710"/>
      <c r="BJ1142" s="700" t="s">
        <v>159</v>
      </c>
      <c r="BK1142" s="701"/>
      <c r="BL1142" s="701"/>
      <c r="BM1142" s="702"/>
      <c r="BN1142" s="703" t="s">
        <v>159</v>
      </c>
      <c r="BO1142" s="704"/>
      <c r="BP1142" s="704"/>
      <c r="BQ1142" s="704"/>
      <c r="BR1142" s="704"/>
      <c r="BS1142" s="704"/>
      <c r="BT1142" s="704"/>
      <c r="BU1142" s="704"/>
      <c r="BV1142" s="705"/>
    </row>
    <row r="1143" spans="1:74" ht="45" customHeight="1" x14ac:dyDescent="0.25">
      <c r="A1143" s="10">
        <f t="shared" si="17"/>
        <v>1129</v>
      </c>
      <c r="B1143" s="711" t="s">
        <v>159</v>
      </c>
      <c r="C1143" s="711"/>
      <c r="D1143" s="712" t="s">
        <v>212</v>
      </c>
      <c r="E1143" s="712"/>
      <c r="F1143" s="664" t="s">
        <v>162</v>
      </c>
      <c r="G1143" s="665"/>
      <c r="H1143" s="755" t="s">
        <v>162</v>
      </c>
      <c r="I1143" s="667"/>
      <c r="J1143" s="706"/>
      <c r="K1143" s="707"/>
      <c r="L1143" s="706"/>
      <c r="M1143" s="707"/>
      <c r="N1143" s="194"/>
      <c r="O1143" s="216"/>
      <c r="P1143" s="717"/>
      <c r="Q1143" s="718"/>
      <c r="R1143" s="719"/>
      <c r="S1143" s="720"/>
      <c r="T1143" s="721"/>
      <c r="U1143" s="722"/>
      <c r="V1143" s="723"/>
      <c r="W1143" s="724"/>
      <c r="X1143" s="725" t="s">
        <v>159</v>
      </c>
      <c r="Y1143" s="725"/>
      <c r="Z1143" s="725"/>
      <c r="AA1143" s="725"/>
      <c r="AB1143" s="726" t="s">
        <v>159</v>
      </c>
      <c r="AC1143" s="726"/>
      <c r="AD1143" s="726"/>
      <c r="AE1143" s="726"/>
      <c r="AF1143" s="727"/>
      <c r="AG1143" s="728"/>
      <c r="AH1143" s="727"/>
      <c r="AI1143" s="728"/>
      <c r="AJ1143" s="682"/>
      <c r="AK1143" s="683"/>
      <c r="AL1143" s="664" t="s">
        <v>162</v>
      </c>
      <c r="AM1143" s="665"/>
      <c r="AN1143" s="713" t="s">
        <v>162</v>
      </c>
      <c r="AO1143" s="714"/>
      <c r="AP1143" s="729"/>
      <c r="AQ1143" s="730"/>
      <c r="AR1143" s="731"/>
      <c r="AS1143" s="732"/>
      <c r="AT1143" s="733"/>
      <c r="AU1143" s="734"/>
      <c r="AV1143" s="713" t="s">
        <v>162</v>
      </c>
      <c r="AW1143" s="714"/>
      <c r="AX1143" s="692"/>
      <c r="AY1143" s="693"/>
      <c r="AZ1143" s="694"/>
      <c r="BA1143" s="735"/>
      <c r="BB1143" s="736"/>
      <c r="BC1143" s="219"/>
      <c r="BD1143" s="737" t="s">
        <v>162</v>
      </c>
      <c r="BE1143" s="738"/>
      <c r="BF1143" s="739"/>
      <c r="BG1143" s="740"/>
      <c r="BH1143" s="740"/>
      <c r="BI1143" s="741"/>
      <c r="BJ1143" s="742" t="s">
        <v>159</v>
      </c>
      <c r="BK1143" s="743"/>
      <c r="BL1143" s="743"/>
      <c r="BM1143" s="744"/>
      <c r="BN1143" s="703" t="s">
        <v>159</v>
      </c>
      <c r="BO1143" s="704"/>
      <c r="BP1143" s="704"/>
      <c r="BQ1143" s="704"/>
      <c r="BR1143" s="704"/>
      <c r="BS1143" s="704"/>
      <c r="BT1143" s="704"/>
      <c r="BU1143" s="704"/>
      <c r="BV1143" s="705"/>
    </row>
    <row r="1144" spans="1:74" ht="45" customHeight="1" x14ac:dyDescent="0.25">
      <c r="A1144" s="10">
        <f t="shared" si="17"/>
        <v>1130</v>
      </c>
      <c r="B1144" s="662" t="s">
        <v>159</v>
      </c>
      <c r="C1144" s="662"/>
      <c r="D1144" s="663" t="s">
        <v>212</v>
      </c>
      <c r="E1144" s="663"/>
      <c r="F1144" s="664" t="s">
        <v>162</v>
      </c>
      <c r="G1144" s="665"/>
      <c r="H1144" s="754" t="s">
        <v>162</v>
      </c>
      <c r="I1144" s="714"/>
      <c r="J1144" s="340"/>
      <c r="K1144" s="341"/>
      <c r="L1144" s="340"/>
      <c r="M1144" s="341"/>
      <c r="N1144" s="215"/>
      <c r="O1144" s="196"/>
      <c r="P1144" s="670"/>
      <c r="Q1144" s="671"/>
      <c r="R1144" s="672"/>
      <c r="S1144" s="673"/>
      <c r="T1144" s="674"/>
      <c r="U1144" s="675"/>
      <c r="V1144" s="676"/>
      <c r="W1144" s="677"/>
      <c r="X1144" s="678" t="s">
        <v>159</v>
      </c>
      <c r="Y1144" s="678"/>
      <c r="Z1144" s="678"/>
      <c r="AA1144" s="678"/>
      <c r="AB1144" s="679" t="s">
        <v>159</v>
      </c>
      <c r="AC1144" s="679"/>
      <c r="AD1144" s="679"/>
      <c r="AE1144" s="679"/>
      <c r="AF1144" s="680"/>
      <c r="AG1144" s="681"/>
      <c r="AH1144" s="680"/>
      <c r="AI1144" s="681"/>
      <c r="AJ1144" s="682"/>
      <c r="AK1144" s="683"/>
      <c r="AL1144" s="684" t="s">
        <v>162</v>
      </c>
      <c r="AM1144" s="685"/>
      <c r="AN1144" s="666" t="s">
        <v>162</v>
      </c>
      <c r="AO1144" s="667"/>
      <c r="AP1144" s="686"/>
      <c r="AQ1144" s="687"/>
      <c r="AR1144" s="688"/>
      <c r="AS1144" s="689"/>
      <c r="AT1144" s="690"/>
      <c r="AU1144" s="691"/>
      <c r="AV1144" s="666" t="s">
        <v>162</v>
      </c>
      <c r="AW1144" s="667"/>
      <c r="AX1144" s="692"/>
      <c r="AY1144" s="693"/>
      <c r="AZ1144" s="694"/>
      <c r="BA1144" s="682"/>
      <c r="BB1144" s="683"/>
      <c r="BC1144" s="14"/>
      <c r="BD1144" s="695" t="s">
        <v>162</v>
      </c>
      <c r="BE1144" s="696"/>
      <c r="BF1144" s="697"/>
      <c r="BG1144" s="698"/>
      <c r="BH1144" s="698"/>
      <c r="BI1144" s="699"/>
      <c r="BJ1144" s="700" t="s">
        <v>159</v>
      </c>
      <c r="BK1144" s="701"/>
      <c r="BL1144" s="701"/>
      <c r="BM1144" s="702"/>
      <c r="BN1144" s="703" t="s">
        <v>159</v>
      </c>
      <c r="BO1144" s="704"/>
      <c r="BP1144" s="704"/>
      <c r="BQ1144" s="704"/>
      <c r="BR1144" s="704"/>
      <c r="BS1144" s="704"/>
      <c r="BT1144" s="704"/>
      <c r="BU1144" s="704"/>
      <c r="BV1144" s="705"/>
    </row>
    <row r="1145" spans="1:74" ht="45" customHeight="1" x14ac:dyDescent="0.25">
      <c r="A1145" s="10">
        <f t="shared" si="17"/>
        <v>1131</v>
      </c>
      <c r="B1145" s="711" t="s">
        <v>159</v>
      </c>
      <c r="C1145" s="711"/>
      <c r="D1145" s="712" t="s">
        <v>212</v>
      </c>
      <c r="E1145" s="712"/>
      <c r="F1145" s="664" t="s">
        <v>162</v>
      </c>
      <c r="G1145" s="665"/>
      <c r="H1145" s="755" t="s">
        <v>162</v>
      </c>
      <c r="I1145" s="667"/>
      <c r="J1145" s="706"/>
      <c r="K1145" s="707"/>
      <c r="L1145" s="706"/>
      <c r="M1145" s="707"/>
      <c r="N1145" s="194"/>
      <c r="O1145" s="216"/>
      <c r="P1145" s="717"/>
      <c r="Q1145" s="718"/>
      <c r="R1145" s="719"/>
      <c r="S1145" s="720"/>
      <c r="T1145" s="721"/>
      <c r="U1145" s="722"/>
      <c r="V1145" s="723"/>
      <c r="W1145" s="724"/>
      <c r="X1145" s="725" t="s">
        <v>159</v>
      </c>
      <c r="Y1145" s="725"/>
      <c r="Z1145" s="725"/>
      <c r="AA1145" s="725"/>
      <c r="AB1145" s="726" t="s">
        <v>159</v>
      </c>
      <c r="AC1145" s="726"/>
      <c r="AD1145" s="726"/>
      <c r="AE1145" s="726"/>
      <c r="AF1145" s="727"/>
      <c r="AG1145" s="728"/>
      <c r="AH1145" s="727"/>
      <c r="AI1145" s="728"/>
      <c r="AJ1145" s="682"/>
      <c r="AK1145" s="683"/>
      <c r="AL1145" s="664" t="s">
        <v>162</v>
      </c>
      <c r="AM1145" s="665"/>
      <c r="AN1145" s="713" t="s">
        <v>162</v>
      </c>
      <c r="AO1145" s="714"/>
      <c r="AP1145" s="729"/>
      <c r="AQ1145" s="730"/>
      <c r="AR1145" s="731"/>
      <c r="AS1145" s="732"/>
      <c r="AT1145" s="733"/>
      <c r="AU1145" s="734"/>
      <c r="AV1145" s="713" t="s">
        <v>162</v>
      </c>
      <c r="AW1145" s="714"/>
      <c r="AX1145" s="692"/>
      <c r="AY1145" s="693"/>
      <c r="AZ1145" s="694"/>
      <c r="BA1145" s="735"/>
      <c r="BB1145" s="736"/>
      <c r="BC1145" s="219"/>
      <c r="BD1145" s="737" t="s">
        <v>162</v>
      </c>
      <c r="BE1145" s="738"/>
      <c r="BF1145" s="739"/>
      <c r="BG1145" s="740"/>
      <c r="BH1145" s="740"/>
      <c r="BI1145" s="741"/>
      <c r="BJ1145" s="742" t="s">
        <v>159</v>
      </c>
      <c r="BK1145" s="743"/>
      <c r="BL1145" s="743"/>
      <c r="BM1145" s="744"/>
      <c r="BN1145" s="703" t="s">
        <v>159</v>
      </c>
      <c r="BO1145" s="704"/>
      <c r="BP1145" s="704"/>
      <c r="BQ1145" s="704"/>
      <c r="BR1145" s="704"/>
      <c r="BS1145" s="704"/>
      <c r="BT1145" s="704"/>
      <c r="BU1145" s="704"/>
      <c r="BV1145" s="705"/>
    </row>
    <row r="1146" spans="1:74" ht="45" customHeight="1" x14ac:dyDescent="0.25">
      <c r="A1146" s="10">
        <f t="shared" si="17"/>
        <v>1132</v>
      </c>
      <c r="B1146" s="662" t="s">
        <v>159</v>
      </c>
      <c r="C1146" s="662"/>
      <c r="D1146" s="663" t="s">
        <v>212</v>
      </c>
      <c r="E1146" s="663"/>
      <c r="F1146" s="664" t="s">
        <v>162</v>
      </c>
      <c r="G1146" s="665"/>
      <c r="H1146" s="754" t="s">
        <v>162</v>
      </c>
      <c r="I1146" s="714"/>
      <c r="J1146" s="340"/>
      <c r="K1146" s="341"/>
      <c r="L1146" s="340"/>
      <c r="M1146" s="341"/>
      <c r="N1146" s="215"/>
      <c r="O1146" s="196"/>
      <c r="P1146" s="670"/>
      <c r="Q1146" s="671"/>
      <c r="R1146" s="672"/>
      <c r="S1146" s="673"/>
      <c r="T1146" s="674"/>
      <c r="U1146" s="675"/>
      <c r="V1146" s="676"/>
      <c r="W1146" s="677"/>
      <c r="X1146" s="678" t="s">
        <v>159</v>
      </c>
      <c r="Y1146" s="678"/>
      <c r="Z1146" s="678"/>
      <c r="AA1146" s="678"/>
      <c r="AB1146" s="679" t="s">
        <v>159</v>
      </c>
      <c r="AC1146" s="679"/>
      <c r="AD1146" s="679"/>
      <c r="AE1146" s="679"/>
      <c r="AF1146" s="680"/>
      <c r="AG1146" s="681"/>
      <c r="AH1146" s="680"/>
      <c r="AI1146" s="681"/>
      <c r="AJ1146" s="682"/>
      <c r="AK1146" s="683"/>
      <c r="AL1146" s="684" t="s">
        <v>162</v>
      </c>
      <c r="AM1146" s="685"/>
      <c r="AN1146" s="666" t="s">
        <v>162</v>
      </c>
      <c r="AO1146" s="667"/>
      <c r="AP1146" s="686"/>
      <c r="AQ1146" s="687"/>
      <c r="AR1146" s="688"/>
      <c r="AS1146" s="689"/>
      <c r="AT1146" s="690"/>
      <c r="AU1146" s="691"/>
      <c r="AV1146" s="666" t="s">
        <v>162</v>
      </c>
      <c r="AW1146" s="667"/>
      <c r="AX1146" s="692"/>
      <c r="AY1146" s="693"/>
      <c r="AZ1146" s="694"/>
      <c r="BA1146" s="682"/>
      <c r="BB1146" s="683"/>
      <c r="BC1146" s="14"/>
      <c r="BD1146" s="695" t="s">
        <v>162</v>
      </c>
      <c r="BE1146" s="696"/>
      <c r="BF1146" s="697"/>
      <c r="BG1146" s="698"/>
      <c r="BH1146" s="698"/>
      <c r="BI1146" s="699"/>
      <c r="BJ1146" s="700" t="s">
        <v>159</v>
      </c>
      <c r="BK1146" s="701"/>
      <c r="BL1146" s="701"/>
      <c r="BM1146" s="702"/>
      <c r="BN1146" s="703" t="s">
        <v>159</v>
      </c>
      <c r="BO1146" s="704"/>
      <c r="BP1146" s="704"/>
      <c r="BQ1146" s="704"/>
      <c r="BR1146" s="704"/>
      <c r="BS1146" s="704"/>
      <c r="BT1146" s="704"/>
      <c r="BU1146" s="704"/>
      <c r="BV1146" s="705"/>
    </row>
    <row r="1147" spans="1:74" ht="45" customHeight="1" x14ac:dyDescent="0.25">
      <c r="A1147" s="10">
        <f t="shared" si="17"/>
        <v>1133</v>
      </c>
      <c r="B1147" s="711" t="s">
        <v>159</v>
      </c>
      <c r="C1147" s="711"/>
      <c r="D1147" s="712" t="s">
        <v>212</v>
      </c>
      <c r="E1147" s="712"/>
      <c r="F1147" s="664" t="s">
        <v>162</v>
      </c>
      <c r="G1147" s="665"/>
      <c r="H1147" s="755" t="s">
        <v>162</v>
      </c>
      <c r="I1147" s="667"/>
      <c r="J1147" s="706"/>
      <c r="K1147" s="707"/>
      <c r="L1147" s="706"/>
      <c r="M1147" s="707"/>
      <c r="N1147" s="194"/>
      <c r="O1147" s="216"/>
      <c r="P1147" s="717"/>
      <c r="Q1147" s="718"/>
      <c r="R1147" s="719"/>
      <c r="S1147" s="720"/>
      <c r="T1147" s="721"/>
      <c r="U1147" s="722"/>
      <c r="V1147" s="723"/>
      <c r="W1147" s="724"/>
      <c r="X1147" s="725" t="s">
        <v>159</v>
      </c>
      <c r="Y1147" s="725"/>
      <c r="Z1147" s="725"/>
      <c r="AA1147" s="725"/>
      <c r="AB1147" s="726" t="s">
        <v>159</v>
      </c>
      <c r="AC1147" s="726"/>
      <c r="AD1147" s="726"/>
      <c r="AE1147" s="726"/>
      <c r="AF1147" s="727"/>
      <c r="AG1147" s="728"/>
      <c r="AH1147" s="727"/>
      <c r="AI1147" s="728"/>
      <c r="AJ1147" s="682"/>
      <c r="AK1147" s="683"/>
      <c r="AL1147" s="664" t="s">
        <v>162</v>
      </c>
      <c r="AM1147" s="665"/>
      <c r="AN1147" s="713" t="s">
        <v>162</v>
      </c>
      <c r="AO1147" s="714"/>
      <c r="AP1147" s="729"/>
      <c r="AQ1147" s="730"/>
      <c r="AR1147" s="731"/>
      <c r="AS1147" s="732"/>
      <c r="AT1147" s="733"/>
      <c r="AU1147" s="734"/>
      <c r="AV1147" s="713" t="s">
        <v>162</v>
      </c>
      <c r="AW1147" s="714"/>
      <c r="AX1147" s="692"/>
      <c r="AY1147" s="693"/>
      <c r="AZ1147" s="694"/>
      <c r="BA1147" s="735"/>
      <c r="BB1147" s="736"/>
      <c r="BC1147" s="219"/>
      <c r="BD1147" s="737" t="s">
        <v>162</v>
      </c>
      <c r="BE1147" s="738"/>
      <c r="BF1147" s="739"/>
      <c r="BG1147" s="740"/>
      <c r="BH1147" s="740"/>
      <c r="BI1147" s="741"/>
      <c r="BJ1147" s="742" t="s">
        <v>159</v>
      </c>
      <c r="BK1147" s="743"/>
      <c r="BL1147" s="743"/>
      <c r="BM1147" s="744"/>
      <c r="BN1147" s="703" t="s">
        <v>159</v>
      </c>
      <c r="BO1147" s="704"/>
      <c r="BP1147" s="704"/>
      <c r="BQ1147" s="704"/>
      <c r="BR1147" s="704"/>
      <c r="BS1147" s="704"/>
      <c r="BT1147" s="704"/>
      <c r="BU1147" s="704"/>
      <c r="BV1147" s="705"/>
    </row>
    <row r="1148" spans="1:74" ht="45" customHeight="1" x14ac:dyDescent="0.25">
      <c r="A1148" s="10">
        <f t="shared" si="17"/>
        <v>1134</v>
      </c>
      <c r="B1148" s="662" t="s">
        <v>159</v>
      </c>
      <c r="C1148" s="662"/>
      <c r="D1148" s="663" t="s">
        <v>212</v>
      </c>
      <c r="E1148" s="663"/>
      <c r="F1148" s="664" t="s">
        <v>162</v>
      </c>
      <c r="G1148" s="665"/>
      <c r="H1148" s="754" t="s">
        <v>162</v>
      </c>
      <c r="I1148" s="714"/>
      <c r="J1148" s="340"/>
      <c r="K1148" s="341"/>
      <c r="L1148" s="340"/>
      <c r="M1148" s="341"/>
      <c r="N1148" s="215"/>
      <c r="O1148" s="196"/>
      <c r="P1148" s="670"/>
      <c r="Q1148" s="671"/>
      <c r="R1148" s="672"/>
      <c r="S1148" s="673"/>
      <c r="T1148" s="674"/>
      <c r="U1148" s="675"/>
      <c r="V1148" s="676"/>
      <c r="W1148" s="677"/>
      <c r="X1148" s="678" t="s">
        <v>159</v>
      </c>
      <c r="Y1148" s="678"/>
      <c r="Z1148" s="678"/>
      <c r="AA1148" s="678"/>
      <c r="AB1148" s="679" t="s">
        <v>159</v>
      </c>
      <c r="AC1148" s="679"/>
      <c r="AD1148" s="679"/>
      <c r="AE1148" s="679"/>
      <c r="AF1148" s="680"/>
      <c r="AG1148" s="681"/>
      <c r="AH1148" s="680"/>
      <c r="AI1148" s="681"/>
      <c r="AJ1148" s="682"/>
      <c r="AK1148" s="683"/>
      <c r="AL1148" s="684" t="s">
        <v>162</v>
      </c>
      <c r="AM1148" s="685"/>
      <c r="AN1148" s="666" t="s">
        <v>162</v>
      </c>
      <c r="AO1148" s="667"/>
      <c r="AP1148" s="686"/>
      <c r="AQ1148" s="687"/>
      <c r="AR1148" s="688"/>
      <c r="AS1148" s="689"/>
      <c r="AT1148" s="690"/>
      <c r="AU1148" s="691"/>
      <c r="AV1148" s="666" t="s">
        <v>162</v>
      </c>
      <c r="AW1148" s="667"/>
      <c r="AX1148" s="692"/>
      <c r="AY1148" s="693"/>
      <c r="AZ1148" s="694"/>
      <c r="BA1148" s="682"/>
      <c r="BB1148" s="683"/>
      <c r="BC1148" s="14"/>
      <c r="BD1148" s="695" t="s">
        <v>162</v>
      </c>
      <c r="BE1148" s="696"/>
      <c r="BF1148" s="708"/>
      <c r="BG1148" s="709"/>
      <c r="BH1148" s="709"/>
      <c r="BI1148" s="710"/>
      <c r="BJ1148" s="700" t="s">
        <v>159</v>
      </c>
      <c r="BK1148" s="701"/>
      <c r="BL1148" s="701"/>
      <c r="BM1148" s="702"/>
      <c r="BN1148" s="703" t="s">
        <v>159</v>
      </c>
      <c r="BO1148" s="704"/>
      <c r="BP1148" s="704"/>
      <c r="BQ1148" s="704"/>
      <c r="BR1148" s="704"/>
      <c r="BS1148" s="704"/>
      <c r="BT1148" s="704"/>
      <c r="BU1148" s="704"/>
      <c r="BV1148" s="705"/>
    </row>
    <row r="1149" spans="1:74" ht="45" customHeight="1" x14ac:dyDescent="0.25">
      <c r="A1149" s="10">
        <f t="shared" si="17"/>
        <v>1135</v>
      </c>
      <c r="B1149" s="711" t="s">
        <v>159</v>
      </c>
      <c r="C1149" s="711"/>
      <c r="D1149" s="712" t="s">
        <v>212</v>
      </c>
      <c r="E1149" s="712"/>
      <c r="F1149" s="664" t="s">
        <v>162</v>
      </c>
      <c r="G1149" s="665"/>
      <c r="H1149" s="755" t="s">
        <v>162</v>
      </c>
      <c r="I1149" s="667"/>
      <c r="J1149" s="706"/>
      <c r="K1149" s="707"/>
      <c r="L1149" s="706"/>
      <c r="M1149" s="707"/>
      <c r="N1149" s="194"/>
      <c r="O1149" s="216"/>
      <c r="P1149" s="717"/>
      <c r="Q1149" s="718"/>
      <c r="R1149" s="719"/>
      <c r="S1149" s="720"/>
      <c r="T1149" s="721"/>
      <c r="U1149" s="722"/>
      <c r="V1149" s="723"/>
      <c r="W1149" s="724"/>
      <c r="X1149" s="725" t="s">
        <v>159</v>
      </c>
      <c r="Y1149" s="725"/>
      <c r="Z1149" s="725"/>
      <c r="AA1149" s="725"/>
      <c r="AB1149" s="726" t="s">
        <v>159</v>
      </c>
      <c r="AC1149" s="726"/>
      <c r="AD1149" s="726"/>
      <c r="AE1149" s="726"/>
      <c r="AF1149" s="727"/>
      <c r="AG1149" s="728"/>
      <c r="AH1149" s="727"/>
      <c r="AI1149" s="728"/>
      <c r="AJ1149" s="682"/>
      <c r="AK1149" s="683"/>
      <c r="AL1149" s="664" t="s">
        <v>162</v>
      </c>
      <c r="AM1149" s="665"/>
      <c r="AN1149" s="713" t="s">
        <v>162</v>
      </c>
      <c r="AO1149" s="714"/>
      <c r="AP1149" s="729"/>
      <c r="AQ1149" s="730"/>
      <c r="AR1149" s="731"/>
      <c r="AS1149" s="732"/>
      <c r="AT1149" s="733"/>
      <c r="AU1149" s="734"/>
      <c r="AV1149" s="713" t="s">
        <v>162</v>
      </c>
      <c r="AW1149" s="714"/>
      <c r="AX1149" s="692"/>
      <c r="AY1149" s="693"/>
      <c r="AZ1149" s="694"/>
      <c r="BA1149" s="735"/>
      <c r="BB1149" s="736"/>
      <c r="BC1149" s="219"/>
      <c r="BD1149" s="737" t="s">
        <v>162</v>
      </c>
      <c r="BE1149" s="738"/>
      <c r="BF1149" s="739"/>
      <c r="BG1149" s="740"/>
      <c r="BH1149" s="740"/>
      <c r="BI1149" s="741"/>
      <c r="BJ1149" s="742" t="s">
        <v>159</v>
      </c>
      <c r="BK1149" s="743"/>
      <c r="BL1149" s="743"/>
      <c r="BM1149" s="744"/>
      <c r="BN1149" s="703" t="s">
        <v>159</v>
      </c>
      <c r="BO1149" s="704"/>
      <c r="BP1149" s="704"/>
      <c r="BQ1149" s="704"/>
      <c r="BR1149" s="704"/>
      <c r="BS1149" s="704"/>
      <c r="BT1149" s="704"/>
      <c r="BU1149" s="704"/>
      <c r="BV1149" s="705"/>
    </row>
    <row r="1150" spans="1:74" ht="45" customHeight="1" x14ac:dyDescent="0.25">
      <c r="A1150" s="10">
        <f t="shared" si="17"/>
        <v>1136</v>
      </c>
      <c r="B1150" s="662" t="s">
        <v>159</v>
      </c>
      <c r="C1150" s="662"/>
      <c r="D1150" s="663" t="s">
        <v>212</v>
      </c>
      <c r="E1150" s="663"/>
      <c r="F1150" s="664" t="s">
        <v>162</v>
      </c>
      <c r="G1150" s="665"/>
      <c r="H1150" s="754" t="s">
        <v>162</v>
      </c>
      <c r="I1150" s="714"/>
      <c r="J1150" s="340"/>
      <c r="K1150" s="341"/>
      <c r="L1150" s="340"/>
      <c r="M1150" s="341"/>
      <c r="N1150" s="215"/>
      <c r="O1150" s="196"/>
      <c r="P1150" s="670"/>
      <c r="Q1150" s="671"/>
      <c r="R1150" s="672"/>
      <c r="S1150" s="673"/>
      <c r="T1150" s="674"/>
      <c r="U1150" s="675"/>
      <c r="V1150" s="676"/>
      <c r="W1150" s="677"/>
      <c r="X1150" s="678" t="s">
        <v>159</v>
      </c>
      <c r="Y1150" s="678"/>
      <c r="Z1150" s="678"/>
      <c r="AA1150" s="678"/>
      <c r="AB1150" s="679" t="s">
        <v>159</v>
      </c>
      <c r="AC1150" s="679"/>
      <c r="AD1150" s="679"/>
      <c r="AE1150" s="679"/>
      <c r="AF1150" s="680"/>
      <c r="AG1150" s="681"/>
      <c r="AH1150" s="680"/>
      <c r="AI1150" s="681"/>
      <c r="AJ1150" s="682"/>
      <c r="AK1150" s="683"/>
      <c r="AL1150" s="684" t="s">
        <v>162</v>
      </c>
      <c r="AM1150" s="685"/>
      <c r="AN1150" s="666" t="s">
        <v>162</v>
      </c>
      <c r="AO1150" s="667"/>
      <c r="AP1150" s="686"/>
      <c r="AQ1150" s="687"/>
      <c r="AR1150" s="688"/>
      <c r="AS1150" s="689"/>
      <c r="AT1150" s="690"/>
      <c r="AU1150" s="691"/>
      <c r="AV1150" s="666" t="s">
        <v>162</v>
      </c>
      <c r="AW1150" s="667"/>
      <c r="AX1150" s="692"/>
      <c r="AY1150" s="693"/>
      <c r="AZ1150" s="694"/>
      <c r="BA1150" s="682"/>
      <c r="BB1150" s="683"/>
      <c r="BC1150" s="14"/>
      <c r="BD1150" s="695" t="s">
        <v>162</v>
      </c>
      <c r="BE1150" s="696"/>
      <c r="BF1150" s="697"/>
      <c r="BG1150" s="698"/>
      <c r="BH1150" s="698"/>
      <c r="BI1150" s="699"/>
      <c r="BJ1150" s="700" t="s">
        <v>159</v>
      </c>
      <c r="BK1150" s="701"/>
      <c r="BL1150" s="701"/>
      <c r="BM1150" s="702"/>
      <c r="BN1150" s="703" t="s">
        <v>159</v>
      </c>
      <c r="BO1150" s="704"/>
      <c r="BP1150" s="704"/>
      <c r="BQ1150" s="704"/>
      <c r="BR1150" s="704"/>
      <c r="BS1150" s="704"/>
      <c r="BT1150" s="704"/>
      <c r="BU1150" s="704"/>
      <c r="BV1150" s="705"/>
    </row>
    <row r="1151" spans="1:74" ht="45" customHeight="1" x14ac:dyDescent="0.25">
      <c r="A1151" s="10">
        <f t="shared" si="17"/>
        <v>1137</v>
      </c>
      <c r="B1151" s="711" t="s">
        <v>159</v>
      </c>
      <c r="C1151" s="711"/>
      <c r="D1151" s="712" t="s">
        <v>212</v>
      </c>
      <c r="E1151" s="712"/>
      <c r="F1151" s="664" t="s">
        <v>162</v>
      </c>
      <c r="G1151" s="665"/>
      <c r="H1151" s="755" t="s">
        <v>162</v>
      </c>
      <c r="I1151" s="667"/>
      <c r="J1151" s="706"/>
      <c r="K1151" s="707"/>
      <c r="L1151" s="706"/>
      <c r="M1151" s="707"/>
      <c r="N1151" s="215"/>
      <c r="O1151" s="216"/>
      <c r="P1151" s="670"/>
      <c r="Q1151" s="671"/>
      <c r="R1151" s="719"/>
      <c r="S1151" s="720"/>
      <c r="T1151" s="721"/>
      <c r="U1151" s="722"/>
      <c r="V1151" s="723"/>
      <c r="W1151" s="724"/>
      <c r="X1151" s="725" t="s">
        <v>159</v>
      </c>
      <c r="Y1151" s="725"/>
      <c r="Z1151" s="725"/>
      <c r="AA1151" s="725"/>
      <c r="AB1151" s="726" t="s">
        <v>159</v>
      </c>
      <c r="AC1151" s="726"/>
      <c r="AD1151" s="726"/>
      <c r="AE1151" s="726"/>
      <c r="AF1151" s="727"/>
      <c r="AG1151" s="728"/>
      <c r="AH1151" s="727"/>
      <c r="AI1151" s="728"/>
      <c r="AJ1151" s="682"/>
      <c r="AK1151" s="683"/>
      <c r="AL1151" s="664" t="s">
        <v>162</v>
      </c>
      <c r="AM1151" s="665"/>
      <c r="AN1151" s="713" t="s">
        <v>162</v>
      </c>
      <c r="AO1151" s="714"/>
      <c r="AP1151" s="729"/>
      <c r="AQ1151" s="730"/>
      <c r="AR1151" s="731"/>
      <c r="AS1151" s="732"/>
      <c r="AT1151" s="690"/>
      <c r="AU1151" s="691"/>
      <c r="AV1151" s="713" t="s">
        <v>162</v>
      </c>
      <c r="AW1151" s="714"/>
      <c r="AX1151" s="692"/>
      <c r="AY1151" s="693"/>
      <c r="AZ1151" s="694"/>
      <c r="BA1151" s="735"/>
      <c r="BB1151" s="736"/>
      <c r="BC1151" s="219"/>
      <c r="BD1151" s="695" t="s">
        <v>162</v>
      </c>
      <c r="BE1151" s="696"/>
      <c r="BF1151" s="739"/>
      <c r="BG1151" s="740"/>
      <c r="BH1151" s="740"/>
      <c r="BI1151" s="741"/>
      <c r="BJ1151" s="742" t="s">
        <v>159</v>
      </c>
      <c r="BK1151" s="743"/>
      <c r="BL1151" s="743"/>
      <c r="BM1151" s="744"/>
      <c r="BN1151" s="703" t="s">
        <v>159</v>
      </c>
      <c r="BO1151" s="704"/>
      <c r="BP1151" s="704"/>
      <c r="BQ1151" s="704"/>
      <c r="BR1151" s="704"/>
      <c r="BS1151" s="704"/>
      <c r="BT1151" s="704"/>
      <c r="BU1151" s="704"/>
      <c r="BV1151" s="705"/>
    </row>
    <row r="1152" spans="1:74" ht="45" customHeight="1" x14ac:dyDescent="0.25">
      <c r="A1152" s="10">
        <f t="shared" si="17"/>
        <v>1138</v>
      </c>
      <c r="B1152" s="662" t="s">
        <v>159</v>
      </c>
      <c r="C1152" s="662"/>
      <c r="D1152" s="663" t="s">
        <v>212</v>
      </c>
      <c r="E1152" s="663"/>
      <c r="F1152" s="664" t="s">
        <v>162</v>
      </c>
      <c r="G1152" s="665"/>
      <c r="H1152" s="754" t="s">
        <v>162</v>
      </c>
      <c r="I1152" s="714"/>
      <c r="J1152" s="340"/>
      <c r="K1152" s="341"/>
      <c r="L1152" s="340"/>
      <c r="M1152" s="341"/>
      <c r="N1152" s="194"/>
      <c r="O1152" s="196"/>
      <c r="P1152" s="717"/>
      <c r="Q1152" s="718"/>
      <c r="R1152" s="672"/>
      <c r="S1152" s="673"/>
      <c r="T1152" s="674"/>
      <c r="U1152" s="675"/>
      <c r="V1152" s="676"/>
      <c r="W1152" s="677"/>
      <c r="X1152" s="678" t="s">
        <v>159</v>
      </c>
      <c r="Y1152" s="678"/>
      <c r="Z1152" s="678"/>
      <c r="AA1152" s="678"/>
      <c r="AB1152" s="679" t="s">
        <v>159</v>
      </c>
      <c r="AC1152" s="679"/>
      <c r="AD1152" s="679"/>
      <c r="AE1152" s="679"/>
      <c r="AF1152" s="680"/>
      <c r="AG1152" s="681"/>
      <c r="AH1152" s="680"/>
      <c r="AI1152" s="681"/>
      <c r="AJ1152" s="682"/>
      <c r="AK1152" s="683"/>
      <c r="AL1152" s="684" t="s">
        <v>162</v>
      </c>
      <c r="AM1152" s="685"/>
      <c r="AN1152" s="666" t="s">
        <v>162</v>
      </c>
      <c r="AO1152" s="667"/>
      <c r="AP1152" s="686"/>
      <c r="AQ1152" s="687"/>
      <c r="AR1152" s="688"/>
      <c r="AS1152" s="689"/>
      <c r="AT1152" s="690"/>
      <c r="AU1152" s="691"/>
      <c r="AV1152" s="666" t="s">
        <v>162</v>
      </c>
      <c r="AW1152" s="667"/>
      <c r="AX1152" s="692"/>
      <c r="AY1152" s="693"/>
      <c r="AZ1152" s="694"/>
      <c r="BA1152" s="682"/>
      <c r="BB1152" s="683"/>
      <c r="BC1152" s="14"/>
      <c r="BD1152" s="737" t="s">
        <v>162</v>
      </c>
      <c r="BE1152" s="738"/>
      <c r="BF1152" s="697"/>
      <c r="BG1152" s="698"/>
      <c r="BH1152" s="698"/>
      <c r="BI1152" s="699"/>
      <c r="BJ1152" s="700" t="s">
        <v>159</v>
      </c>
      <c r="BK1152" s="701"/>
      <c r="BL1152" s="701"/>
      <c r="BM1152" s="702"/>
      <c r="BN1152" s="703" t="s">
        <v>159</v>
      </c>
      <c r="BO1152" s="704"/>
      <c r="BP1152" s="704"/>
      <c r="BQ1152" s="704"/>
      <c r="BR1152" s="704"/>
      <c r="BS1152" s="704"/>
      <c r="BT1152" s="704"/>
      <c r="BU1152" s="704"/>
      <c r="BV1152" s="705"/>
    </row>
    <row r="1153" spans="1:74" ht="45" customHeight="1" x14ac:dyDescent="0.25">
      <c r="A1153" s="10">
        <f t="shared" si="17"/>
        <v>1139</v>
      </c>
      <c r="B1153" s="711" t="s">
        <v>159</v>
      </c>
      <c r="C1153" s="711"/>
      <c r="D1153" s="712" t="s">
        <v>212</v>
      </c>
      <c r="E1153" s="712"/>
      <c r="F1153" s="664" t="s">
        <v>162</v>
      </c>
      <c r="G1153" s="665"/>
      <c r="H1153" s="755" t="s">
        <v>162</v>
      </c>
      <c r="I1153" s="667"/>
      <c r="J1153" s="706"/>
      <c r="K1153" s="707"/>
      <c r="L1153" s="706"/>
      <c r="M1153" s="707"/>
      <c r="N1153" s="215"/>
      <c r="O1153" s="216"/>
      <c r="P1153" s="670"/>
      <c r="Q1153" s="671"/>
      <c r="R1153" s="719"/>
      <c r="S1153" s="720"/>
      <c r="T1153" s="721"/>
      <c r="U1153" s="722"/>
      <c r="V1153" s="723"/>
      <c r="W1153" s="724"/>
      <c r="X1153" s="725" t="s">
        <v>159</v>
      </c>
      <c r="Y1153" s="725"/>
      <c r="Z1153" s="725"/>
      <c r="AA1153" s="725"/>
      <c r="AB1153" s="726" t="s">
        <v>159</v>
      </c>
      <c r="AC1153" s="726"/>
      <c r="AD1153" s="726"/>
      <c r="AE1153" s="726"/>
      <c r="AF1153" s="727"/>
      <c r="AG1153" s="728"/>
      <c r="AH1153" s="727"/>
      <c r="AI1153" s="728"/>
      <c r="AJ1153" s="682"/>
      <c r="AK1153" s="683"/>
      <c r="AL1153" s="664" t="s">
        <v>162</v>
      </c>
      <c r="AM1153" s="665"/>
      <c r="AN1153" s="713" t="s">
        <v>162</v>
      </c>
      <c r="AO1153" s="714"/>
      <c r="AP1153" s="729"/>
      <c r="AQ1153" s="730"/>
      <c r="AR1153" s="731"/>
      <c r="AS1153" s="732"/>
      <c r="AT1153" s="690"/>
      <c r="AU1153" s="691"/>
      <c r="AV1153" s="713" t="s">
        <v>162</v>
      </c>
      <c r="AW1153" s="714"/>
      <c r="AX1153" s="692"/>
      <c r="AY1153" s="693"/>
      <c r="AZ1153" s="694"/>
      <c r="BA1153" s="735"/>
      <c r="BB1153" s="736"/>
      <c r="BC1153" s="219"/>
      <c r="BD1153" s="695" t="s">
        <v>162</v>
      </c>
      <c r="BE1153" s="696"/>
      <c r="BF1153" s="739"/>
      <c r="BG1153" s="740"/>
      <c r="BH1153" s="740"/>
      <c r="BI1153" s="741"/>
      <c r="BJ1153" s="742" t="s">
        <v>159</v>
      </c>
      <c r="BK1153" s="743"/>
      <c r="BL1153" s="743"/>
      <c r="BM1153" s="744"/>
      <c r="BN1153" s="703" t="s">
        <v>159</v>
      </c>
      <c r="BO1153" s="704"/>
      <c r="BP1153" s="704"/>
      <c r="BQ1153" s="704"/>
      <c r="BR1153" s="704"/>
      <c r="BS1153" s="704"/>
      <c r="BT1153" s="704"/>
      <c r="BU1153" s="704"/>
      <c r="BV1153" s="705"/>
    </row>
    <row r="1154" spans="1:74" ht="45" customHeight="1" x14ac:dyDescent="0.25">
      <c r="A1154" s="10">
        <f t="shared" si="17"/>
        <v>1140</v>
      </c>
      <c r="B1154" s="662" t="s">
        <v>159</v>
      </c>
      <c r="C1154" s="662"/>
      <c r="D1154" s="663" t="s">
        <v>212</v>
      </c>
      <c r="E1154" s="663"/>
      <c r="F1154" s="664" t="s">
        <v>162</v>
      </c>
      <c r="G1154" s="665"/>
      <c r="H1154" s="754" t="s">
        <v>162</v>
      </c>
      <c r="I1154" s="714"/>
      <c r="J1154" s="340"/>
      <c r="K1154" s="341"/>
      <c r="L1154" s="340"/>
      <c r="M1154" s="341"/>
      <c r="N1154" s="194"/>
      <c r="O1154" s="196"/>
      <c r="P1154" s="717"/>
      <c r="Q1154" s="718"/>
      <c r="R1154" s="672"/>
      <c r="S1154" s="673"/>
      <c r="T1154" s="674"/>
      <c r="U1154" s="675"/>
      <c r="V1154" s="676"/>
      <c r="W1154" s="677"/>
      <c r="X1154" s="678" t="s">
        <v>159</v>
      </c>
      <c r="Y1154" s="678"/>
      <c r="Z1154" s="678"/>
      <c r="AA1154" s="678"/>
      <c r="AB1154" s="679" t="s">
        <v>159</v>
      </c>
      <c r="AC1154" s="679"/>
      <c r="AD1154" s="679"/>
      <c r="AE1154" s="679"/>
      <c r="AF1154" s="680"/>
      <c r="AG1154" s="681"/>
      <c r="AH1154" s="680"/>
      <c r="AI1154" s="681"/>
      <c r="AJ1154" s="682"/>
      <c r="AK1154" s="683"/>
      <c r="AL1154" s="684" t="s">
        <v>162</v>
      </c>
      <c r="AM1154" s="685"/>
      <c r="AN1154" s="666" t="s">
        <v>162</v>
      </c>
      <c r="AO1154" s="667"/>
      <c r="AP1154" s="686"/>
      <c r="AQ1154" s="687"/>
      <c r="AR1154" s="688"/>
      <c r="AS1154" s="689"/>
      <c r="AT1154" s="690"/>
      <c r="AU1154" s="691"/>
      <c r="AV1154" s="666" t="s">
        <v>162</v>
      </c>
      <c r="AW1154" s="667"/>
      <c r="AX1154" s="692"/>
      <c r="AY1154" s="693"/>
      <c r="AZ1154" s="694"/>
      <c r="BA1154" s="682"/>
      <c r="BB1154" s="683"/>
      <c r="BC1154" s="14"/>
      <c r="BD1154" s="695" t="s">
        <v>162</v>
      </c>
      <c r="BE1154" s="696"/>
      <c r="BF1154" s="697"/>
      <c r="BG1154" s="698"/>
      <c r="BH1154" s="698"/>
      <c r="BI1154" s="699"/>
      <c r="BJ1154" s="700" t="s">
        <v>159</v>
      </c>
      <c r="BK1154" s="701"/>
      <c r="BL1154" s="701"/>
      <c r="BM1154" s="702"/>
      <c r="BN1154" s="703" t="s">
        <v>159</v>
      </c>
      <c r="BO1154" s="704"/>
      <c r="BP1154" s="704"/>
      <c r="BQ1154" s="704"/>
      <c r="BR1154" s="704"/>
      <c r="BS1154" s="704"/>
      <c r="BT1154" s="704"/>
      <c r="BU1154" s="704"/>
      <c r="BV1154" s="705"/>
    </row>
    <row r="1155" spans="1:74" ht="45" customHeight="1" x14ac:dyDescent="0.25">
      <c r="A1155" s="10">
        <f t="shared" si="17"/>
        <v>1141</v>
      </c>
      <c r="B1155" s="711" t="s">
        <v>159</v>
      </c>
      <c r="C1155" s="711"/>
      <c r="D1155" s="712" t="s">
        <v>212</v>
      </c>
      <c r="E1155" s="712"/>
      <c r="F1155" s="664" t="s">
        <v>162</v>
      </c>
      <c r="G1155" s="665"/>
      <c r="H1155" s="755" t="s">
        <v>162</v>
      </c>
      <c r="I1155" s="667"/>
      <c r="J1155" s="706"/>
      <c r="K1155" s="707"/>
      <c r="L1155" s="706"/>
      <c r="M1155" s="707"/>
      <c r="N1155" s="215"/>
      <c r="O1155" s="216"/>
      <c r="P1155" s="670"/>
      <c r="Q1155" s="671"/>
      <c r="R1155" s="719"/>
      <c r="S1155" s="720"/>
      <c r="T1155" s="721"/>
      <c r="U1155" s="722"/>
      <c r="V1155" s="723"/>
      <c r="W1155" s="724"/>
      <c r="X1155" s="725" t="s">
        <v>159</v>
      </c>
      <c r="Y1155" s="725"/>
      <c r="Z1155" s="725"/>
      <c r="AA1155" s="725"/>
      <c r="AB1155" s="726" t="s">
        <v>159</v>
      </c>
      <c r="AC1155" s="726"/>
      <c r="AD1155" s="726"/>
      <c r="AE1155" s="726"/>
      <c r="AF1155" s="727"/>
      <c r="AG1155" s="728"/>
      <c r="AH1155" s="727"/>
      <c r="AI1155" s="728"/>
      <c r="AJ1155" s="682"/>
      <c r="AK1155" s="683"/>
      <c r="AL1155" s="664" t="s">
        <v>162</v>
      </c>
      <c r="AM1155" s="665"/>
      <c r="AN1155" s="713" t="s">
        <v>162</v>
      </c>
      <c r="AO1155" s="714"/>
      <c r="AP1155" s="729"/>
      <c r="AQ1155" s="730"/>
      <c r="AR1155" s="731"/>
      <c r="AS1155" s="732"/>
      <c r="AT1155" s="733"/>
      <c r="AU1155" s="734"/>
      <c r="AV1155" s="713" t="s">
        <v>162</v>
      </c>
      <c r="AW1155" s="714"/>
      <c r="AX1155" s="692"/>
      <c r="AY1155" s="693"/>
      <c r="AZ1155" s="694"/>
      <c r="BA1155" s="735"/>
      <c r="BB1155" s="736"/>
      <c r="BC1155" s="219"/>
      <c r="BD1155" s="737" t="s">
        <v>162</v>
      </c>
      <c r="BE1155" s="738"/>
      <c r="BF1155" s="739"/>
      <c r="BG1155" s="740"/>
      <c r="BH1155" s="740"/>
      <c r="BI1155" s="741"/>
      <c r="BJ1155" s="742" t="s">
        <v>159</v>
      </c>
      <c r="BK1155" s="743"/>
      <c r="BL1155" s="743"/>
      <c r="BM1155" s="744"/>
      <c r="BN1155" s="703" t="s">
        <v>159</v>
      </c>
      <c r="BO1155" s="704"/>
      <c r="BP1155" s="704"/>
      <c r="BQ1155" s="704"/>
      <c r="BR1155" s="704"/>
      <c r="BS1155" s="704"/>
      <c r="BT1155" s="704"/>
      <c r="BU1155" s="704"/>
      <c r="BV1155" s="705"/>
    </row>
    <row r="1156" spans="1:74" ht="45" customHeight="1" x14ac:dyDescent="0.25">
      <c r="A1156" s="10">
        <f t="shared" si="17"/>
        <v>1142</v>
      </c>
      <c r="B1156" s="662" t="s">
        <v>159</v>
      </c>
      <c r="C1156" s="662"/>
      <c r="D1156" s="663" t="s">
        <v>212</v>
      </c>
      <c r="E1156" s="663"/>
      <c r="F1156" s="664" t="s">
        <v>162</v>
      </c>
      <c r="G1156" s="665"/>
      <c r="H1156" s="754" t="s">
        <v>162</v>
      </c>
      <c r="I1156" s="714"/>
      <c r="J1156" s="340"/>
      <c r="K1156" s="341"/>
      <c r="L1156" s="340"/>
      <c r="M1156" s="341"/>
      <c r="N1156" s="194"/>
      <c r="O1156" s="196"/>
      <c r="P1156" s="717"/>
      <c r="Q1156" s="718"/>
      <c r="R1156" s="672"/>
      <c r="S1156" s="673"/>
      <c r="T1156" s="674"/>
      <c r="U1156" s="675"/>
      <c r="V1156" s="676"/>
      <c r="W1156" s="677"/>
      <c r="X1156" s="678" t="s">
        <v>159</v>
      </c>
      <c r="Y1156" s="678"/>
      <c r="Z1156" s="678"/>
      <c r="AA1156" s="678"/>
      <c r="AB1156" s="679" t="s">
        <v>159</v>
      </c>
      <c r="AC1156" s="679"/>
      <c r="AD1156" s="679"/>
      <c r="AE1156" s="679"/>
      <c r="AF1156" s="680"/>
      <c r="AG1156" s="681"/>
      <c r="AH1156" s="680"/>
      <c r="AI1156" s="681"/>
      <c r="AJ1156" s="682"/>
      <c r="AK1156" s="683"/>
      <c r="AL1156" s="684" t="s">
        <v>162</v>
      </c>
      <c r="AM1156" s="685"/>
      <c r="AN1156" s="666" t="s">
        <v>162</v>
      </c>
      <c r="AO1156" s="667"/>
      <c r="AP1156" s="686"/>
      <c r="AQ1156" s="687"/>
      <c r="AR1156" s="688"/>
      <c r="AS1156" s="689"/>
      <c r="AT1156" s="690"/>
      <c r="AU1156" s="691"/>
      <c r="AV1156" s="666" t="s">
        <v>162</v>
      </c>
      <c r="AW1156" s="667"/>
      <c r="AX1156" s="692"/>
      <c r="AY1156" s="693"/>
      <c r="AZ1156" s="694"/>
      <c r="BA1156" s="682"/>
      <c r="BB1156" s="683"/>
      <c r="BC1156" s="14"/>
      <c r="BD1156" s="695" t="s">
        <v>162</v>
      </c>
      <c r="BE1156" s="696"/>
      <c r="BF1156" s="708"/>
      <c r="BG1156" s="709"/>
      <c r="BH1156" s="709"/>
      <c r="BI1156" s="710"/>
      <c r="BJ1156" s="700" t="s">
        <v>159</v>
      </c>
      <c r="BK1156" s="701"/>
      <c r="BL1156" s="701"/>
      <c r="BM1156" s="702"/>
      <c r="BN1156" s="703" t="s">
        <v>159</v>
      </c>
      <c r="BO1156" s="704"/>
      <c r="BP1156" s="704"/>
      <c r="BQ1156" s="704"/>
      <c r="BR1156" s="704"/>
      <c r="BS1156" s="704"/>
      <c r="BT1156" s="704"/>
      <c r="BU1156" s="704"/>
      <c r="BV1156" s="705"/>
    </row>
    <row r="1157" spans="1:74" ht="45" customHeight="1" x14ac:dyDescent="0.25">
      <c r="A1157" s="10">
        <f t="shared" si="17"/>
        <v>1143</v>
      </c>
      <c r="B1157" s="711" t="s">
        <v>159</v>
      </c>
      <c r="C1157" s="711"/>
      <c r="D1157" s="712" t="s">
        <v>212</v>
      </c>
      <c r="E1157" s="712"/>
      <c r="F1157" s="664" t="s">
        <v>162</v>
      </c>
      <c r="G1157" s="665"/>
      <c r="H1157" s="755" t="s">
        <v>162</v>
      </c>
      <c r="I1157" s="667"/>
      <c r="J1157" s="706"/>
      <c r="K1157" s="707"/>
      <c r="L1157" s="706"/>
      <c r="M1157" s="707"/>
      <c r="N1157" s="215"/>
      <c r="O1157" s="216"/>
      <c r="P1157" s="670"/>
      <c r="Q1157" s="671"/>
      <c r="R1157" s="719"/>
      <c r="S1157" s="720"/>
      <c r="T1157" s="721"/>
      <c r="U1157" s="722"/>
      <c r="V1157" s="723"/>
      <c r="W1157" s="724"/>
      <c r="X1157" s="725" t="s">
        <v>159</v>
      </c>
      <c r="Y1157" s="725"/>
      <c r="Z1157" s="725"/>
      <c r="AA1157" s="725"/>
      <c r="AB1157" s="726" t="s">
        <v>159</v>
      </c>
      <c r="AC1157" s="726"/>
      <c r="AD1157" s="726"/>
      <c r="AE1157" s="726"/>
      <c r="AF1157" s="727"/>
      <c r="AG1157" s="728"/>
      <c r="AH1157" s="727"/>
      <c r="AI1157" s="728"/>
      <c r="AJ1157" s="682"/>
      <c r="AK1157" s="683"/>
      <c r="AL1157" s="664" t="s">
        <v>162</v>
      </c>
      <c r="AM1157" s="665"/>
      <c r="AN1157" s="713" t="s">
        <v>162</v>
      </c>
      <c r="AO1157" s="714"/>
      <c r="AP1157" s="729"/>
      <c r="AQ1157" s="730"/>
      <c r="AR1157" s="731"/>
      <c r="AS1157" s="732"/>
      <c r="AT1157" s="733"/>
      <c r="AU1157" s="734"/>
      <c r="AV1157" s="713" t="s">
        <v>162</v>
      </c>
      <c r="AW1157" s="714"/>
      <c r="AX1157" s="692"/>
      <c r="AY1157" s="693"/>
      <c r="AZ1157" s="694"/>
      <c r="BA1157" s="735"/>
      <c r="BB1157" s="736"/>
      <c r="BC1157" s="219"/>
      <c r="BD1157" s="737" t="s">
        <v>162</v>
      </c>
      <c r="BE1157" s="738"/>
      <c r="BF1157" s="739"/>
      <c r="BG1157" s="740"/>
      <c r="BH1157" s="740"/>
      <c r="BI1157" s="741"/>
      <c r="BJ1157" s="742" t="s">
        <v>159</v>
      </c>
      <c r="BK1157" s="743"/>
      <c r="BL1157" s="743"/>
      <c r="BM1157" s="744"/>
      <c r="BN1157" s="703" t="s">
        <v>159</v>
      </c>
      <c r="BO1157" s="704"/>
      <c r="BP1157" s="704"/>
      <c r="BQ1157" s="704"/>
      <c r="BR1157" s="704"/>
      <c r="BS1157" s="704"/>
      <c r="BT1157" s="704"/>
      <c r="BU1157" s="704"/>
      <c r="BV1157" s="705"/>
    </row>
    <row r="1158" spans="1:74" ht="45" customHeight="1" x14ac:dyDescent="0.25">
      <c r="A1158" s="10">
        <f t="shared" si="17"/>
        <v>1144</v>
      </c>
      <c r="B1158" s="662" t="s">
        <v>159</v>
      </c>
      <c r="C1158" s="662"/>
      <c r="D1158" s="663" t="s">
        <v>212</v>
      </c>
      <c r="E1158" s="663"/>
      <c r="F1158" s="664" t="s">
        <v>162</v>
      </c>
      <c r="G1158" s="665"/>
      <c r="H1158" s="754" t="s">
        <v>162</v>
      </c>
      <c r="I1158" s="714"/>
      <c r="J1158" s="340"/>
      <c r="K1158" s="341"/>
      <c r="L1158" s="340"/>
      <c r="M1158" s="341"/>
      <c r="N1158" s="194"/>
      <c r="O1158" s="196"/>
      <c r="P1158" s="717"/>
      <c r="Q1158" s="718"/>
      <c r="R1158" s="672"/>
      <c r="S1158" s="673"/>
      <c r="T1158" s="674"/>
      <c r="U1158" s="675"/>
      <c r="V1158" s="676"/>
      <c r="W1158" s="677"/>
      <c r="X1158" s="678" t="s">
        <v>159</v>
      </c>
      <c r="Y1158" s="678"/>
      <c r="Z1158" s="678"/>
      <c r="AA1158" s="678"/>
      <c r="AB1158" s="679" t="s">
        <v>159</v>
      </c>
      <c r="AC1158" s="679"/>
      <c r="AD1158" s="679"/>
      <c r="AE1158" s="679"/>
      <c r="AF1158" s="680"/>
      <c r="AG1158" s="681"/>
      <c r="AH1158" s="680"/>
      <c r="AI1158" s="681"/>
      <c r="AJ1158" s="682"/>
      <c r="AK1158" s="683"/>
      <c r="AL1158" s="684" t="s">
        <v>162</v>
      </c>
      <c r="AM1158" s="685"/>
      <c r="AN1158" s="666" t="s">
        <v>162</v>
      </c>
      <c r="AO1158" s="667"/>
      <c r="AP1158" s="686"/>
      <c r="AQ1158" s="687"/>
      <c r="AR1158" s="688"/>
      <c r="AS1158" s="689"/>
      <c r="AT1158" s="690"/>
      <c r="AU1158" s="691"/>
      <c r="AV1158" s="666" t="s">
        <v>162</v>
      </c>
      <c r="AW1158" s="667"/>
      <c r="AX1158" s="692"/>
      <c r="AY1158" s="693"/>
      <c r="AZ1158" s="694"/>
      <c r="BA1158" s="682"/>
      <c r="BB1158" s="683"/>
      <c r="BC1158" s="14"/>
      <c r="BD1158" s="695" t="s">
        <v>162</v>
      </c>
      <c r="BE1158" s="696"/>
      <c r="BF1158" s="697"/>
      <c r="BG1158" s="698"/>
      <c r="BH1158" s="698"/>
      <c r="BI1158" s="699"/>
      <c r="BJ1158" s="700" t="s">
        <v>159</v>
      </c>
      <c r="BK1158" s="701"/>
      <c r="BL1158" s="701"/>
      <c r="BM1158" s="702"/>
      <c r="BN1158" s="703" t="s">
        <v>159</v>
      </c>
      <c r="BO1158" s="704"/>
      <c r="BP1158" s="704"/>
      <c r="BQ1158" s="704"/>
      <c r="BR1158" s="704"/>
      <c r="BS1158" s="704"/>
      <c r="BT1158" s="704"/>
      <c r="BU1158" s="704"/>
      <c r="BV1158" s="705"/>
    </row>
    <row r="1159" spans="1:74" ht="45" customHeight="1" x14ac:dyDescent="0.25">
      <c r="A1159" s="10">
        <f t="shared" si="17"/>
        <v>1145</v>
      </c>
      <c r="B1159" s="711" t="s">
        <v>159</v>
      </c>
      <c r="C1159" s="711"/>
      <c r="D1159" s="712" t="s">
        <v>212</v>
      </c>
      <c r="E1159" s="712"/>
      <c r="F1159" s="664" t="s">
        <v>162</v>
      </c>
      <c r="G1159" s="665"/>
      <c r="H1159" s="755" t="s">
        <v>162</v>
      </c>
      <c r="I1159" s="667"/>
      <c r="J1159" s="706"/>
      <c r="K1159" s="707"/>
      <c r="L1159" s="706"/>
      <c r="M1159" s="707"/>
      <c r="N1159" s="215"/>
      <c r="O1159" s="216"/>
      <c r="P1159" s="670"/>
      <c r="Q1159" s="671"/>
      <c r="R1159" s="719"/>
      <c r="S1159" s="720"/>
      <c r="T1159" s="721"/>
      <c r="U1159" s="722"/>
      <c r="V1159" s="723"/>
      <c r="W1159" s="724"/>
      <c r="X1159" s="725" t="s">
        <v>159</v>
      </c>
      <c r="Y1159" s="725"/>
      <c r="Z1159" s="725"/>
      <c r="AA1159" s="725"/>
      <c r="AB1159" s="726" t="s">
        <v>159</v>
      </c>
      <c r="AC1159" s="726"/>
      <c r="AD1159" s="726"/>
      <c r="AE1159" s="726"/>
      <c r="AF1159" s="727"/>
      <c r="AG1159" s="728"/>
      <c r="AH1159" s="727"/>
      <c r="AI1159" s="728"/>
      <c r="AJ1159" s="682"/>
      <c r="AK1159" s="683"/>
      <c r="AL1159" s="664" t="s">
        <v>162</v>
      </c>
      <c r="AM1159" s="665"/>
      <c r="AN1159" s="713" t="s">
        <v>162</v>
      </c>
      <c r="AO1159" s="714"/>
      <c r="AP1159" s="729"/>
      <c r="AQ1159" s="730"/>
      <c r="AR1159" s="731"/>
      <c r="AS1159" s="732"/>
      <c r="AT1159" s="733"/>
      <c r="AU1159" s="734"/>
      <c r="AV1159" s="713" t="s">
        <v>162</v>
      </c>
      <c r="AW1159" s="714"/>
      <c r="AX1159" s="692"/>
      <c r="AY1159" s="693"/>
      <c r="AZ1159" s="694"/>
      <c r="BA1159" s="735"/>
      <c r="BB1159" s="736"/>
      <c r="BC1159" s="219"/>
      <c r="BD1159" s="737" t="s">
        <v>162</v>
      </c>
      <c r="BE1159" s="738"/>
      <c r="BF1159" s="739"/>
      <c r="BG1159" s="740"/>
      <c r="BH1159" s="740"/>
      <c r="BI1159" s="741"/>
      <c r="BJ1159" s="742" t="s">
        <v>159</v>
      </c>
      <c r="BK1159" s="743"/>
      <c r="BL1159" s="743"/>
      <c r="BM1159" s="744"/>
      <c r="BN1159" s="703" t="s">
        <v>159</v>
      </c>
      <c r="BO1159" s="704"/>
      <c r="BP1159" s="704"/>
      <c r="BQ1159" s="704"/>
      <c r="BR1159" s="704"/>
      <c r="BS1159" s="704"/>
      <c r="BT1159" s="704"/>
      <c r="BU1159" s="704"/>
      <c r="BV1159" s="705"/>
    </row>
    <row r="1160" spans="1:74" ht="45" customHeight="1" x14ac:dyDescent="0.25">
      <c r="A1160" s="10">
        <f t="shared" si="17"/>
        <v>1146</v>
      </c>
      <c r="B1160" s="662" t="s">
        <v>159</v>
      </c>
      <c r="C1160" s="662"/>
      <c r="D1160" s="663" t="s">
        <v>212</v>
      </c>
      <c r="E1160" s="663"/>
      <c r="F1160" s="664" t="s">
        <v>162</v>
      </c>
      <c r="G1160" s="665"/>
      <c r="H1160" s="754" t="s">
        <v>162</v>
      </c>
      <c r="I1160" s="714"/>
      <c r="J1160" s="340"/>
      <c r="K1160" s="341"/>
      <c r="L1160" s="340"/>
      <c r="M1160" s="341"/>
      <c r="N1160" s="194"/>
      <c r="O1160" s="196"/>
      <c r="P1160" s="717"/>
      <c r="Q1160" s="718"/>
      <c r="R1160" s="672"/>
      <c r="S1160" s="673"/>
      <c r="T1160" s="674"/>
      <c r="U1160" s="675"/>
      <c r="V1160" s="676"/>
      <c r="W1160" s="677"/>
      <c r="X1160" s="678" t="s">
        <v>159</v>
      </c>
      <c r="Y1160" s="678"/>
      <c r="Z1160" s="678"/>
      <c r="AA1160" s="678"/>
      <c r="AB1160" s="679" t="s">
        <v>159</v>
      </c>
      <c r="AC1160" s="679"/>
      <c r="AD1160" s="679"/>
      <c r="AE1160" s="679"/>
      <c r="AF1160" s="680"/>
      <c r="AG1160" s="681"/>
      <c r="AH1160" s="680"/>
      <c r="AI1160" s="681"/>
      <c r="AJ1160" s="682"/>
      <c r="AK1160" s="683"/>
      <c r="AL1160" s="684" t="s">
        <v>162</v>
      </c>
      <c r="AM1160" s="685"/>
      <c r="AN1160" s="666" t="s">
        <v>162</v>
      </c>
      <c r="AO1160" s="667"/>
      <c r="AP1160" s="686"/>
      <c r="AQ1160" s="687"/>
      <c r="AR1160" s="688"/>
      <c r="AS1160" s="689"/>
      <c r="AT1160" s="690"/>
      <c r="AU1160" s="691"/>
      <c r="AV1160" s="666" t="s">
        <v>162</v>
      </c>
      <c r="AW1160" s="667"/>
      <c r="AX1160" s="692"/>
      <c r="AY1160" s="693"/>
      <c r="AZ1160" s="694"/>
      <c r="BA1160" s="682"/>
      <c r="BB1160" s="683"/>
      <c r="BC1160" s="14"/>
      <c r="BD1160" s="695" t="s">
        <v>162</v>
      </c>
      <c r="BE1160" s="696"/>
      <c r="BF1160" s="697"/>
      <c r="BG1160" s="698"/>
      <c r="BH1160" s="698"/>
      <c r="BI1160" s="699"/>
      <c r="BJ1160" s="700" t="s">
        <v>159</v>
      </c>
      <c r="BK1160" s="701"/>
      <c r="BL1160" s="701"/>
      <c r="BM1160" s="702"/>
      <c r="BN1160" s="703" t="s">
        <v>159</v>
      </c>
      <c r="BO1160" s="704"/>
      <c r="BP1160" s="704"/>
      <c r="BQ1160" s="704"/>
      <c r="BR1160" s="704"/>
      <c r="BS1160" s="704"/>
      <c r="BT1160" s="704"/>
      <c r="BU1160" s="704"/>
      <c r="BV1160" s="705"/>
    </row>
    <row r="1161" spans="1:74" ht="45" customHeight="1" x14ac:dyDescent="0.25">
      <c r="A1161" s="10">
        <f t="shared" si="17"/>
        <v>1147</v>
      </c>
      <c r="B1161" s="711" t="s">
        <v>159</v>
      </c>
      <c r="C1161" s="711"/>
      <c r="D1161" s="712" t="s">
        <v>212</v>
      </c>
      <c r="E1161" s="712"/>
      <c r="F1161" s="664" t="s">
        <v>162</v>
      </c>
      <c r="G1161" s="665"/>
      <c r="H1161" s="755" t="s">
        <v>162</v>
      </c>
      <c r="I1161" s="667"/>
      <c r="J1161" s="706"/>
      <c r="K1161" s="707"/>
      <c r="L1161" s="706"/>
      <c r="M1161" s="707"/>
      <c r="N1161" s="215"/>
      <c r="O1161" s="216"/>
      <c r="P1161" s="670"/>
      <c r="Q1161" s="671"/>
      <c r="R1161" s="719"/>
      <c r="S1161" s="720"/>
      <c r="T1161" s="721"/>
      <c r="U1161" s="722"/>
      <c r="V1161" s="723"/>
      <c r="W1161" s="724"/>
      <c r="X1161" s="725" t="s">
        <v>159</v>
      </c>
      <c r="Y1161" s="725"/>
      <c r="Z1161" s="725"/>
      <c r="AA1161" s="725"/>
      <c r="AB1161" s="726" t="s">
        <v>159</v>
      </c>
      <c r="AC1161" s="726"/>
      <c r="AD1161" s="726"/>
      <c r="AE1161" s="726"/>
      <c r="AF1161" s="727"/>
      <c r="AG1161" s="728"/>
      <c r="AH1161" s="727"/>
      <c r="AI1161" s="728"/>
      <c r="AJ1161" s="682"/>
      <c r="AK1161" s="683"/>
      <c r="AL1161" s="664" t="s">
        <v>162</v>
      </c>
      <c r="AM1161" s="665"/>
      <c r="AN1161" s="713" t="s">
        <v>162</v>
      </c>
      <c r="AO1161" s="714"/>
      <c r="AP1161" s="729"/>
      <c r="AQ1161" s="730"/>
      <c r="AR1161" s="731"/>
      <c r="AS1161" s="732"/>
      <c r="AT1161" s="733"/>
      <c r="AU1161" s="734"/>
      <c r="AV1161" s="713" t="s">
        <v>162</v>
      </c>
      <c r="AW1161" s="714"/>
      <c r="AX1161" s="692"/>
      <c r="AY1161" s="693"/>
      <c r="AZ1161" s="694"/>
      <c r="BA1161" s="735"/>
      <c r="BB1161" s="736"/>
      <c r="BC1161" s="219"/>
      <c r="BD1161" s="737" t="s">
        <v>162</v>
      </c>
      <c r="BE1161" s="738"/>
      <c r="BF1161" s="739"/>
      <c r="BG1161" s="740"/>
      <c r="BH1161" s="740"/>
      <c r="BI1161" s="741"/>
      <c r="BJ1161" s="742" t="s">
        <v>159</v>
      </c>
      <c r="BK1161" s="743"/>
      <c r="BL1161" s="743"/>
      <c r="BM1161" s="744"/>
      <c r="BN1161" s="703" t="s">
        <v>159</v>
      </c>
      <c r="BO1161" s="704"/>
      <c r="BP1161" s="704"/>
      <c r="BQ1161" s="704"/>
      <c r="BR1161" s="704"/>
      <c r="BS1161" s="704"/>
      <c r="BT1161" s="704"/>
      <c r="BU1161" s="704"/>
      <c r="BV1161" s="705"/>
    </row>
    <row r="1162" spans="1:74" ht="45" customHeight="1" x14ac:dyDescent="0.25">
      <c r="A1162" s="10">
        <f t="shared" si="17"/>
        <v>1148</v>
      </c>
      <c r="B1162" s="662" t="s">
        <v>159</v>
      </c>
      <c r="C1162" s="662"/>
      <c r="D1162" s="663" t="s">
        <v>212</v>
      </c>
      <c r="E1162" s="663"/>
      <c r="F1162" s="664" t="s">
        <v>162</v>
      </c>
      <c r="G1162" s="665"/>
      <c r="H1162" s="754" t="s">
        <v>162</v>
      </c>
      <c r="I1162" s="714"/>
      <c r="J1162" s="340"/>
      <c r="K1162" s="341"/>
      <c r="L1162" s="340"/>
      <c r="M1162" s="341"/>
      <c r="N1162" s="194"/>
      <c r="O1162" s="196"/>
      <c r="P1162" s="717"/>
      <c r="Q1162" s="718"/>
      <c r="R1162" s="672"/>
      <c r="S1162" s="673"/>
      <c r="T1162" s="674"/>
      <c r="U1162" s="675"/>
      <c r="V1162" s="676"/>
      <c r="W1162" s="677"/>
      <c r="X1162" s="678" t="s">
        <v>159</v>
      </c>
      <c r="Y1162" s="678"/>
      <c r="Z1162" s="678"/>
      <c r="AA1162" s="678"/>
      <c r="AB1162" s="679" t="s">
        <v>159</v>
      </c>
      <c r="AC1162" s="679"/>
      <c r="AD1162" s="679"/>
      <c r="AE1162" s="679"/>
      <c r="AF1162" s="680"/>
      <c r="AG1162" s="681"/>
      <c r="AH1162" s="680"/>
      <c r="AI1162" s="681"/>
      <c r="AJ1162" s="682"/>
      <c r="AK1162" s="683"/>
      <c r="AL1162" s="684" t="s">
        <v>162</v>
      </c>
      <c r="AM1162" s="685"/>
      <c r="AN1162" s="666" t="s">
        <v>162</v>
      </c>
      <c r="AO1162" s="667"/>
      <c r="AP1162" s="686"/>
      <c r="AQ1162" s="687"/>
      <c r="AR1162" s="688"/>
      <c r="AS1162" s="689"/>
      <c r="AT1162" s="690"/>
      <c r="AU1162" s="691"/>
      <c r="AV1162" s="666" t="s">
        <v>162</v>
      </c>
      <c r="AW1162" s="667"/>
      <c r="AX1162" s="692"/>
      <c r="AY1162" s="693"/>
      <c r="AZ1162" s="694"/>
      <c r="BA1162" s="682"/>
      <c r="BB1162" s="683"/>
      <c r="BC1162" s="14"/>
      <c r="BD1162" s="695" t="s">
        <v>162</v>
      </c>
      <c r="BE1162" s="696"/>
      <c r="BF1162" s="708"/>
      <c r="BG1162" s="709"/>
      <c r="BH1162" s="709"/>
      <c r="BI1162" s="710"/>
      <c r="BJ1162" s="700" t="s">
        <v>159</v>
      </c>
      <c r="BK1162" s="701"/>
      <c r="BL1162" s="701"/>
      <c r="BM1162" s="702"/>
      <c r="BN1162" s="703" t="s">
        <v>159</v>
      </c>
      <c r="BO1162" s="704"/>
      <c r="BP1162" s="704"/>
      <c r="BQ1162" s="704"/>
      <c r="BR1162" s="704"/>
      <c r="BS1162" s="704"/>
      <c r="BT1162" s="704"/>
      <c r="BU1162" s="704"/>
      <c r="BV1162" s="705"/>
    </row>
    <row r="1163" spans="1:74" ht="45" customHeight="1" x14ac:dyDescent="0.25">
      <c r="A1163" s="10">
        <f t="shared" si="17"/>
        <v>1149</v>
      </c>
      <c r="B1163" s="711" t="s">
        <v>159</v>
      </c>
      <c r="C1163" s="711"/>
      <c r="D1163" s="712" t="s">
        <v>212</v>
      </c>
      <c r="E1163" s="712"/>
      <c r="F1163" s="664" t="s">
        <v>162</v>
      </c>
      <c r="G1163" s="665"/>
      <c r="H1163" s="755" t="s">
        <v>162</v>
      </c>
      <c r="I1163" s="667"/>
      <c r="J1163" s="706"/>
      <c r="K1163" s="707"/>
      <c r="L1163" s="706"/>
      <c r="M1163" s="707"/>
      <c r="N1163" s="215"/>
      <c r="O1163" s="216"/>
      <c r="P1163" s="670"/>
      <c r="Q1163" s="671"/>
      <c r="R1163" s="719"/>
      <c r="S1163" s="720"/>
      <c r="T1163" s="721"/>
      <c r="U1163" s="722"/>
      <c r="V1163" s="723"/>
      <c r="W1163" s="724"/>
      <c r="X1163" s="725" t="s">
        <v>159</v>
      </c>
      <c r="Y1163" s="725"/>
      <c r="Z1163" s="725"/>
      <c r="AA1163" s="725"/>
      <c r="AB1163" s="726" t="s">
        <v>159</v>
      </c>
      <c r="AC1163" s="726"/>
      <c r="AD1163" s="726"/>
      <c r="AE1163" s="726"/>
      <c r="AF1163" s="727"/>
      <c r="AG1163" s="728"/>
      <c r="AH1163" s="727"/>
      <c r="AI1163" s="728"/>
      <c r="AJ1163" s="682"/>
      <c r="AK1163" s="683"/>
      <c r="AL1163" s="664" t="s">
        <v>162</v>
      </c>
      <c r="AM1163" s="665"/>
      <c r="AN1163" s="713" t="s">
        <v>162</v>
      </c>
      <c r="AO1163" s="714"/>
      <c r="AP1163" s="729"/>
      <c r="AQ1163" s="730"/>
      <c r="AR1163" s="731"/>
      <c r="AS1163" s="732"/>
      <c r="AT1163" s="733"/>
      <c r="AU1163" s="734"/>
      <c r="AV1163" s="713" t="s">
        <v>162</v>
      </c>
      <c r="AW1163" s="714"/>
      <c r="AX1163" s="692"/>
      <c r="AY1163" s="693"/>
      <c r="AZ1163" s="694"/>
      <c r="BA1163" s="735"/>
      <c r="BB1163" s="736"/>
      <c r="BC1163" s="219"/>
      <c r="BD1163" s="737" t="s">
        <v>162</v>
      </c>
      <c r="BE1163" s="738"/>
      <c r="BF1163" s="739"/>
      <c r="BG1163" s="740"/>
      <c r="BH1163" s="740"/>
      <c r="BI1163" s="741"/>
      <c r="BJ1163" s="742" t="s">
        <v>159</v>
      </c>
      <c r="BK1163" s="743"/>
      <c r="BL1163" s="743"/>
      <c r="BM1163" s="744"/>
      <c r="BN1163" s="703" t="s">
        <v>159</v>
      </c>
      <c r="BO1163" s="704"/>
      <c r="BP1163" s="704"/>
      <c r="BQ1163" s="704"/>
      <c r="BR1163" s="704"/>
      <c r="BS1163" s="704"/>
      <c r="BT1163" s="704"/>
      <c r="BU1163" s="704"/>
      <c r="BV1163" s="705"/>
    </row>
    <row r="1164" spans="1:74" ht="45" customHeight="1" x14ac:dyDescent="0.25">
      <c r="A1164" s="10">
        <f t="shared" si="17"/>
        <v>1150</v>
      </c>
      <c r="B1164" s="662" t="s">
        <v>159</v>
      </c>
      <c r="C1164" s="662"/>
      <c r="D1164" s="663" t="s">
        <v>212</v>
      </c>
      <c r="E1164" s="663"/>
      <c r="F1164" s="664" t="s">
        <v>162</v>
      </c>
      <c r="G1164" s="665"/>
      <c r="H1164" s="754" t="s">
        <v>162</v>
      </c>
      <c r="I1164" s="714"/>
      <c r="J1164" s="340"/>
      <c r="K1164" s="341"/>
      <c r="L1164" s="340"/>
      <c r="M1164" s="341"/>
      <c r="N1164" s="194"/>
      <c r="O1164" s="196"/>
      <c r="P1164" s="717"/>
      <c r="Q1164" s="718"/>
      <c r="R1164" s="672"/>
      <c r="S1164" s="673"/>
      <c r="T1164" s="674"/>
      <c r="U1164" s="675"/>
      <c r="V1164" s="676"/>
      <c r="W1164" s="677"/>
      <c r="X1164" s="678" t="s">
        <v>159</v>
      </c>
      <c r="Y1164" s="678"/>
      <c r="Z1164" s="678"/>
      <c r="AA1164" s="678"/>
      <c r="AB1164" s="679" t="s">
        <v>159</v>
      </c>
      <c r="AC1164" s="679"/>
      <c r="AD1164" s="679"/>
      <c r="AE1164" s="679"/>
      <c r="AF1164" s="680"/>
      <c r="AG1164" s="681"/>
      <c r="AH1164" s="680"/>
      <c r="AI1164" s="681"/>
      <c r="AJ1164" s="682"/>
      <c r="AK1164" s="683"/>
      <c r="AL1164" s="684" t="s">
        <v>162</v>
      </c>
      <c r="AM1164" s="685"/>
      <c r="AN1164" s="666" t="s">
        <v>162</v>
      </c>
      <c r="AO1164" s="667"/>
      <c r="AP1164" s="686"/>
      <c r="AQ1164" s="687"/>
      <c r="AR1164" s="688"/>
      <c r="AS1164" s="689"/>
      <c r="AT1164" s="690"/>
      <c r="AU1164" s="691"/>
      <c r="AV1164" s="666" t="s">
        <v>162</v>
      </c>
      <c r="AW1164" s="667"/>
      <c r="AX1164" s="692"/>
      <c r="AY1164" s="693"/>
      <c r="AZ1164" s="694"/>
      <c r="BA1164" s="682"/>
      <c r="BB1164" s="683"/>
      <c r="BC1164" s="14"/>
      <c r="BD1164" s="695" t="s">
        <v>162</v>
      </c>
      <c r="BE1164" s="696"/>
      <c r="BF1164" s="697"/>
      <c r="BG1164" s="698"/>
      <c r="BH1164" s="698"/>
      <c r="BI1164" s="699"/>
      <c r="BJ1164" s="700" t="s">
        <v>159</v>
      </c>
      <c r="BK1164" s="701"/>
      <c r="BL1164" s="701"/>
      <c r="BM1164" s="702"/>
      <c r="BN1164" s="703" t="s">
        <v>159</v>
      </c>
      <c r="BO1164" s="704"/>
      <c r="BP1164" s="704"/>
      <c r="BQ1164" s="704"/>
      <c r="BR1164" s="704"/>
      <c r="BS1164" s="704"/>
      <c r="BT1164" s="704"/>
      <c r="BU1164" s="704"/>
      <c r="BV1164" s="705"/>
    </row>
    <row r="1165" spans="1:74" ht="45" customHeight="1" x14ac:dyDescent="0.25">
      <c r="A1165" s="10">
        <f t="shared" si="17"/>
        <v>1151</v>
      </c>
      <c r="B1165" s="711" t="s">
        <v>159</v>
      </c>
      <c r="C1165" s="711"/>
      <c r="D1165" s="712" t="s">
        <v>212</v>
      </c>
      <c r="E1165" s="712"/>
      <c r="F1165" s="664" t="s">
        <v>162</v>
      </c>
      <c r="G1165" s="665"/>
      <c r="H1165" s="755" t="s">
        <v>162</v>
      </c>
      <c r="I1165" s="667"/>
      <c r="J1165" s="706"/>
      <c r="K1165" s="707"/>
      <c r="L1165" s="706"/>
      <c r="M1165" s="707"/>
      <c r="N1165" s="194"/>
      <c r="O1165" s="196"/>
      <c r="P1165" s="717"/>
      <c r="Q1165" s="718"/>
      <c r="R1165" s="719"/>
      <c r="S1165" s="720"/>
      <c r="T1165" s="721"/>
      <c r="U1165" s="722"/>
      <c r="V1165" s="723"/>
      <c r="W1165" s="724"/>
      <c r="X1165" s="725" t="s">
        <v>159</v>
      </c>
      <c r="Y1165" s="725"/>
      <c r="Z1165" s="725"/>
      <c r="AA1165" s="725"/>
      <c r="AB1165" s="726" t="s">
        <v>159</v>
      </c>
      <c r="AC1165" s="726"/>
      <c r="AD1165" s="726"/>
      <c r="AE1165" s="726"/>
      <c r="AF1165" s="727"/>
      <c r="AG1165" s="728"/>
      <c r="AH1165" s="727"/>
      <c r="AI1165" s="728"/>
      <c r="AJ1165" s="682"/>
      <c r="AK1165" s="683"/>
      <c r="AL1165" s="664" t="s">
        <v>162</v>
      </c>
      <c r="AM1165" s="665"/>
      <c r="AN1165" s="713" t="s">
        <v>162</v>
      </c>
      <c r="AO1165" s="714"/>
      <c r="AP1165" s="729"/>
      <c r="AQ1165" s="730"/>
      <c r="AR1165" s="731"/>
      <c r="AS1165" s="732"/>
      <c r="AT1165" s="690"/>
      <c r="AU1165" s="691"/>
      <c r="AV1165" s="713" t="s">
        <v>162</v>
      </c>
      <c r="AW1165" s="714"/>
      <c r="AX1165" s="692"/>
      <c r="AY1165" s="693"/>
      <c r="AZ1165" s="694"/>
      <c r="BA1165" s="735"/>
      <c r="BB1165" s="736"/>
      <c r="BC1165" s="219"/>
      <c r="BD1165" s="737" t="s">
        <v>162</v>
      </c>
      <c r="BE1165" s="738"/>
      <c r="BF1165" s="739"/>
      <c r="BG1165" s="740"/>
      <c r="BH1165" s="740"/>
      <c r="BI1165" s="741"/>
      <c r="BJ1165" s="742" t="s">
        <v>159</v>
      </c>
      <c r="BK1165" s="743"/>
      <c r="BL1165" s="743"/>
      <c r="BM1165" s="744"/>
      <c r="BN1165" s="703" t="s">
        <v>159</v>
      </c>
      <c r="BO1165" s="704"/>
      <c r="BP1165" s="704"/>
      <c r="BQ1165" s="704"/>
      <c r="BR1165" s="704"/>
      <c r="BS1165" s="704"/>
      <c r="BT1165" s="704"/>
      <c r="BU1165" s="704"/>
      <c r="BV1165" s="705"/>
    </row>
    <row r="1166" spans="1:74" ht="45" customHeight="1" x14ac:dyDescent="0.25">
      <c r="A1166" s="10">
        <f t="shared" si="17"/>
        <v>1152</v>
      </c>
      <c r="B1166" s="662" t="s">
        <v>159</v>
      </c>
      <c r="C1166" s="662"/>
      <c r="D1166" s="663" t="s">
        <v>212</v>
      </c>
      <c r="E1166" s="663"/>
      <c r="F1166" s="664" t="s">
        <v>162</v>
      </c>
      <c r="G1166" s="665"/>
      <c r="H1166" s="754" t="s">
        <v>162</v>
      </c>
      <c r="I1166" s="714"/>
      <c r="J1166" s="340"/>
      <c r="K1166" s="341"/>
      <c r="L1166" s="340"/>
      <c r="M1166" s="341"/>
      <c r="N1166" s="215"/>
      <c r="O1166" s="216"/>
      <c r="P1166" s="670"/>
      <c r="Q1166" s="671"/>
      <c r="R1166" s="672"/>
      <c r="S1166" s="673"/>
      <c r="T1166" s="674"/>
      <c r="U1166" s="675"/>
      <c r="V1166" s="676"/>
      <c r="W1166" s="677"/>
      <c r="X1166" s="678" t="s">
        <v>159</v>
      </c>
      <c r="Y1166" s="678"/>
      <c r="Z1166" s="678"/>
      <c r="AA1166" s="678"/>
      <c r="AB1166" s="679" t="s">
        <v>159</v>
      </c>
      <c r="AC1166" s="679"/>
      <c r="AD1166" s="679"/>
      <c r="AE1166" s="679"/>
      <c r="AF1166" s="680"/>
      <c r="AG1166" s="681"/>
      <c r="AH1166" s="680"/>
      <c r="AI1166" s="681"/>
      <c r="AJ1166" s="682"/>
      <c r="AK1166" s="683"/>
      <c r="AL1166" s="684" t="s">
        <v>162</v>
      </c>
      <c r="AM1166" s="685"/>
      <c r="AN1166" s="666" t="s">
        <v>162</v>
      </c>
      <c r="AO1166" s="667"/>
      <c r="AP1166" s="686"/>
      <c r="AQ1166" s="687"/>
      <c r="AR1166" s="688"/>
      <c r="AS1166" s="689"/>
      <c r="AT1166" s="690"/>
      <c r="AU1166" s="691"/>
      <c r="AV1166" s="666" t="s">
        <v>162</v>
      </c>
      <c r="AW1166" s="667"/>
      <c r="AX1166" s="692"/>
      <c r="AY1166" s="693"/>
      <c r="AZ1166" s="694"/>
      <c r="BA1166" s="682"/>
      <c r="BB1166" s="683"/>
      <c r="BC1166" s="14"/>
      <c r="BD1166" s="695" t="s">
        <v>162</v>
      </c>
      <c r="BE1166" s="696"/>
      <c r="BF1166" s="697"/>
      <c r="BG1166" s="698"/>
      <c r="BH1166" s="698"/>
      <c r="BI1166" s="699"/>
      <c r="BJ1166" s="700" t="s">
        <v>159</v>
      </c>
      <c r="BK1166" s="701"/>
      <c r="BL1166" s="701"/>
      <c r="BM1166" s="702"/>
      <c r="BN1166" s="703" t="s">
        <v>159</v>
      </c>
      <c r="BO1166" s="704"/>
      <c r="BP1166" s="704"/>
      <c r="BQ1166" s="704"/>
      <c r="BR1166" s="704"/>
      <c r="BS1166" s="704"/>
      <c r="BT1166" s="704"/>
      <c r="BU1166" s="704"/>
      <c r="BV1166" s="705"/>
    </row>
    <row r="1167" spans="1:74" ht="45" customHeight="1" x14ac:dyDescent="0.25">
      <c r="A1167" s="10">
        <f t="shared" ref="A1167:A1230" si="18">ROW(A1153)</f>
        <v>1153</v>
      </c>
      <c r="B1167" s="711" t="s">
        <v>159</v>
      </c>
      <c r="C1167" s="711"/>
      <c r="D1167" s="712" t="s">
        <v>212</v>
      </c>
      <c r="E1167" s="712"/>
      <c r="F1167" s="664" t="s">
        <v>162</v>
      </c>
      <c r="G1167" s="665"/>
      <c r="H1167" s="755" t="s">
        <v>162</v>
      </c>
      <c r="I1167" s="667"/>
      <c r="J1167" s="706"/>
      <c r="K1167" s="707"/>
      <c r="L1167" s="706"/>
      <c r="M1167" s="707"/>
      <c r="N1167" s="194"/>
      <c r="O1167" s="196"/>
      <c r="P1167" s="717"/>
      <c r="Q1167" s="718"/>
      <c r="R1167" s="719"/>
      <c r="S1167" s="720"/>
      <c r="T1167" s="721"/>
      <c r="U1167" s="722"/>
      <c r="V1167" s="723"/>
      <c r="W1167" s="724"/>
      <c r="X1167" s="725" t="s">
        <v>159</v>
      </c>
      <c r="Y1167" s="725"/>
      <c r="Z1167" s="725"/>
      <c r="AA1167" s="725"/>
      <c r="AB1167" s="726" t="s">
        <v>159</v>
      </c>
      <c r="AC1167" s="726"/>
      <c r="AD1167" s="726"/>
      <c r="AE1167" s="726"/>
      <c r="AF1167" s="727"/>
      <c r="AG1167" s="728"/>
      <c r="AH1167" s="727"/>
      <c r="AI1167" s="728"/>
      <c r="AJ1167" s="682"/>
      <c r="AK1167" s="683"/>
      <c r="AL1167" s="664" t="s">
        <v>162</v>
      </c>
      <c r="AM1167" s="665"/>
      <c r="AN1167" s="713" t="s">
        <v>162</v>
      </c>
      <c r="AO1167" s="714"/>
      <c r="AP1167" s="729"/>
      <c r="AQ1167" s="730"/>
      <c r="AR1167" s="731"/>
      <c r="AS1167" s="732"/>
      <c r="AT1167" s="690"/>
      <c r="AU1167" s="691"/>
      <c r="AV1167" s="713" t="s">
        <v>162</v>
      </c>
      <c r="AW1167" s="714"/>
      <c r="AX1167" s="692"/>
      <c r="AY1167" s="693"/>
      <c r="AZ1167" s="694"/>
      <c r="BA1167" s="735"/>
      <c r="BB1167" s="736"/>
      <c r="BC1167" s="219"/>
      <c r="BD1167" s="737" t="s">
        <v>162</v>
      </c>
      <c r="BE1167" s="738"/>
      <c r="BF1167" s="739"/>
      <c r="BG1167" s="740"/>
      <c r="BH1167" s="740"/>
      <c r="BI1167" s="741"/>
      <c r="BJ1167" s="742" t="s">
        <v>159</v>
      </c>
      <c r="BK1167" s="743"/>
      <c r="BL1167" s="743"/>
      <c r="BM1167" s="744"/>
      <c r="BN1167" s="703" t="s">
        <v>159</v>
      </c>
      <c r="BO1167" s="704"/>
      <c r="BP1167" s="704"/>
      <c r="BQ1167" s="704"/>
      <c r="BR1167" s="704"/>
      <c r="BS1167" s="704"/>
      <c r="BT1167" s="704"/>
      <c r="BU1167" s="704"/>
      <c r="BV1167" s="705"/>
    </row>
    <row r="1168" spans="1:74" ht="45" customHeight="1" x14ac:dyDescent="0.25">
      <c r="A1168" s="10">
        <f t="shared" si="18"/>
        <v>1154</v>
      </c>
      <c r="B1168" s="662" t="s">
        <v>159</v>
      </c>
      <c r="C1168" s="662"/>
      <c r="D1168" s="663" t="s">
        <v>212</v>
      </c>
      <c r="E1168" s="663"/>
      <c r="F1168" s="664" t="s">
        <v>162</v>
      </c>
      <c r="G1168" s="665"/>
      <c r="H1168" s="754" t="s">
        <v>162</v>
      </c>
      <c r="I1168" s="714"/>
      <c r="J1168" s="340"/>
      <c r="K1168" s="341"/>
      <c r="L1168" s="340"/>
      <c r="M1168" s="341"/>
      <c r="N1168" s="215"/>
      <c r="O1168" s="216"/>
      <c r="P1168" s="670"/>
      <c r="Q1168" s="671"/>
      <c r="R1168" s="672"/>
      <c r="S1168" s="673"/>
      <c r="T1168" s="674"/>
      <c r="U1168" s="675"/>
      <c r="V1168" s="676"/>
      <c r="W1168" s="677"/>
      <c r="X1168" s="678" t="s">
        <v>159</v>
      </c>
      <c r="Y1168" s="678"/>
      <c r="Z1168" s="678"/>
      <c r="AA1168" s="678"/>
      <c r="AB1168" s="679" t="s">
        <v>159</v>
      </c>
      <c r="AC1168" s="679"/>
      <c r="AD1168" s="679"/>
      <c r="AE1168" s="679"/>
      <c r="AF1168" s="680"/>
      <c r="AG1168" s="681"/>
      <c r="AH1168" s="680"/>
      <c r="AI1168" s="681"/>
      <c r="AJ1168" s="682"/>
      <c r="AK1168" s="683"/>
      <c r="AL1168" s="684" t="s">
        <v>162</v>
      </c>
      <c r="AM1168" s="685"/>
      <c r="AN1168" s="666" t="s">
        <v>162</v>
      </c>
      <c r="AO1168" s="667"/>
      <c r="AP1168" s="686"/>
      <c r="AQ1168" s="687"/>
      <c r="AR1168" s="688"/>
      <c r="AS1168" s="689"/>
      <c r="AT1168" s="690"/>
      <c r="AU1168" s="691"/>
      <c r="AV1168" s="666" t="s">
        <v>162</v>
      </c>
      <c r="AW1168" s="667"/>
      <c r="AX1168" s="692"/>
      <c r="AY1168" s="693"/>
      <c r="AZ1168" s="694"/>
      <c r="BA1168" s="682"/>
      <c r="BB1168" s="683"/>
      <c r="BC1168" s="14"/>
      <c r="BD1168" s="695" t="s">
        <v>162</v>
      </c>
      <c r="BE1168" s="696"/>
      <c r="BF1168" s="697"/>
      <c r="BG1168" s="698"/>
      <c r="BH1168" s="698"/>
      <c r="BI1168" s="699"/>
      <c r="BJ1168" s="700" t="s">
        <v>159</v>
      </c>
      <c r="BK1168" s="701"/>
      <c r="BL1168" s="701"/>
      <c r="BM1168" s="702"/>
      <c r="BN1168" s="703" t="s">
        <v>159</v>
      </c>
      <c r="BO1168" s="704"/>
      <c r="BP1168" s="704"/>
      <c r="BQ1168" s="704"/>
      <c r="BR1168" s="704"/>
      <c r="BS1168" s="704"/>
      <c r="BT1168" s="704"/>
      <c r="BU1168" s="704"/>
      <c r="BV1168" s="705"/>
    </row>
    <row r="1169" spans="1:74" ht="45" customHeight="1" x14ac:dyDescent="0.25">
      <c r="A1169" s="10">
        <f t="shared" si="18"/>
        <v>1155</v>
      </c>
      <c r="B1169" s="711" t="s">
        <v>159</v>
      </c>
      <c r="C1169" s="711"/>
      <c r="D1169" s="712" t="s">
        <v>212</v>
      </c>
      <c r="E1169" s="712"/>
      <c r="F1169" s="664" t="s">
        <v>162</v>
      </c>
      <c r="G1169" s="665"/>
      <c r="H1169" s="755" t="s">
        <v>162</v>
      </c>
      <c r="I1169" s="667"/>
      <c r="J1169" s="706"/>
      <c r="K1169" s="707"/>
      <c r="L1169" s="706"/>
      <c r="M1169" s="707"/>
      <c r="N1169" s="194"/>
      <c r="O1169" s="216"/>
      <c r="P1169" s="717"/>
      <c r="Q1169" s="718"/>
      <c r="R1169" s="719"/>
      <c r="S1169" s="720"/>
      <c r="T1169" s="721"/>
      <c r="U1169" s="722"/>
      <c r="V1169" s="723"/>
      <c r="W1169" s="724"/>
      <c r="X1169" s="725" t="s">
        <v>159</v>
      </c>
      <c r="Y1169" s="725"/>
      <c r="Z1169" s="725"/>
      <c r="AA1169" s="725"/>
      <c r="AB1169" s="726" t="s">
        <v>159</v>
      </c>
      <c r="AC1169" s="726"/>
      <c r="AD1169" s="726"/>
      <c r="AE1169" s="726"/>
      <c r="AF1169" s="727"/>
      <c r="AG1169" s="728"/>
      <c r="AH1169" s="727"/>
      <c r="AI1169" s="728"/>
      <c r="AJ1169" s="682"/>
      <c r="AK1169" s="683"/>
      <c r="AL1169" s="664" t="s">
        <v>162</v>
      </c>
      <c r="AM1169" s="665"/>
      <c r="AN1169" s="713" t="s">
        <v>162</v>
      </c>
      <c r="AO1169" s="714"/>
      <c r="AP1169" s="729"/>
      <c r="AQ1169" s="730"/>
      <c r="AR1169" s="731"/>
      <c r="AS1169" s="732"/>
      <c r="AT1169" s="733"/>
      <c r="AU1169" s="734"/>
      <c r="AV1169" s="713" t="s">
        <v>162</v>
      </c>
      <c r="AW1169" s="714"/>
      <c r="AX1169" s="692"/>
      <c r="AY1169" s="693"/>
      <c r="AZ1169" s="694"/>
      <c r="BA1169" s="735"/>
      <c r="BB1169" s="736"/>
      <c r="BC1169" s="219"/>
      <c r="BD1169" s="737" t="s">
        <v>162</v>
      </c>
      <c r="BE1169" s="738"/>
      <c r="BF1169" s="739"/>
      <c r="BG1169" s="740"/>
      <c r="BH1169" s="740"/>
      <c r="BI1169" s="741"/>
      <c r="BJ1169" s="742" t="s">
        <v>159</v>
      </c>
      <c r="BK1169" s="743"/>
      <c r="BL1169" s="743"/>
      <c r="BM1169" s="744"/>
      <c r="BN1169" s="703" t="s">
        <v>159</v>
      </c>
      <c r="BO1169" s="704"/>
      <c r="BP1169" s="704"/>
      <c r="BQ1169" s="704"/>
      <c r="BR1169" s="704"/>
      <c r="BS1169" s="704"/>
      <c r="BT1169" s="704"/>
      <c r="BU1169" s="704"/>
      <c r="BV1169" s="705"/>
    </row>
    <row r="1170" spans="1:74" ht="45" customHeight="1" x14ac:dyDescent="0.25">
      <c r="A1170" s="10">
        <f t="shared" si="18"/>
        <v>1156</v>
      </c>
      <c r="B1170" s="662" t="s">
        <v>159</v>
      </c>
      <c r="C1170" s="662"/>
      <c r="D1170" s="663" t="s">
        <v>212</v>
      </c>
      <c r="E1170" s="663"/>
      <c r="F1170" s="664" t="s">
        <v>162</v>
      </c>
      <c r="G1170" s="665"/>
      <c r="H1170" s="754" t="s">
        <v>162</v>
      </c>
      <c r="I1170" s="714"/>
      <c r="J1170" s="340"/>
      <c r="K1170" s="341"/>
      <c r="L1170" s="340"/>
      <c r="M1170" s="341"/>
      <c r="N1170" s="215"/>
      <c r="O1170" s="196"/>
      <c r="P1170" s="670"/>
      <c r="Q1170" s="671"/>
      <c r="R1170" s="672"/>
      <c r="S1170" s="673"/>
      <c r="T1170" s="674"/>
      <c r="U1170" s="675"/>
      <c r="V1170" s="676"/>
      <c r="W1170" s="677"/>
      <c r="X1170" s="678" t="s">
        <v>159</v>
      </c>
      <c r="Y1170" s="678"/>
      <c r="Z1170" s="678"/>
      <c r="AA1170" s="678"/>
      <c r="AB1170" s="679" t="s">
        <v>159</v>
      </c>
      <c r="AC1170" s="679"/>
      <c r="AD1170" s="679"/>
      <c r="AE1170" s="679"/>
      <c r="AF1170" s="680"/>
      <c r="AG1170" s="681"/>
      <c r="AH1170" s="680"/>
      <c r="AI1170" s="681"/>
      <c r="AJ1170" s="682"/>
      <c r="AK1170" s="683"/>
      <c r="AL1170" s="684" t="s">
        <v>162</v>
      </c>
      <c r="AM1170" s="685"/>
      <c r="AN1170" s="666" t="s">
        <v>162</v>
      </c>
      <c r="AO1170" s="667"/>
      <c r="AP1170" s="686"/>
      <c r="AQ1170" s="687"/>
      <c r="AR1170" s="688"/>
      <c r="AS1170" s="689"/>
      <c r="AT1170" s="690"/>
      <c r="AU1170" s="691"/>
      <c r="AV1170" s="666" t="s">
        <v>162</v>
      </c>
      <c r="AW1170" s="667"/>
      <c r="AX1170" s="692"/>
      <c r="AY1170" s="693"/>
      <c r="AZ1170" s="694"/>
      <c r="BA1170" s="682"/>
      <c r="BB1170" s="683"/>
      <c r="BC1170" s="14"/>
      <c r="BD1170" s="695" t="s">
        <v>162</v>
      </c>
      <c r="BE1170" s="696"/>
      <c r="BF1170" s="708"/>
      <c r="BG1170" s="709"/>
      <c r="BH1170" s="709"/>
      <c r="BI1170" s="710"/>
      <c r="BJ1170" s="700" t="s">
        <v>159</v>
      </c>
      <c r="BK1170" s="701"/>
      <c r="BL1170" s="701"/>
      <c r="BM1170" s="702"/>
      <c r="BN1170" s="703" t="s">
        <v>159</v>
      </c>
      <c r="BO1170" s="704"/>
      <c r="BP1170" s="704"/>
      <c r="BQ1170" s="704"/>
      <c r="BR1170" s="704"/>
      <c r="BS1170" s="704"/>
      <c r="BT1170" s="704"/>
      <c r="BU1170" s="704"/>
      <c r="BV1170" s="705"/>
    </row>
    <row r="1171" spans="1:74" ht="45" customHeight="1" x14ac:dyDescent="0.25">
      <c r="A1171" s="10">
        <f t="shared" si="18"/>
        <v>1157</v>
      </c>
      <c r="B1171" s="711" t="s">
        <v>159</v>
      </c>
      <c r="C1171" s="711"/>
      <c r="D1171" s="712" t="s">
        <v>212</v>
      </c>
      <c r="E1171" s="712"/>
      <c r="F1171" s="664" t="s">
        <v>162</v>
      </c>
      <c r="G1171" s="665"/>
      <c r="H1171" s="755" t="s">
        <v>162</v>
      </c>
      <c r="I1171" s="667"/>
      <c r="J1171" s="706"/>
      <c r="K1171" s="707"/>
      <c r="L1171" s="706"/>
      <c r="M1171" s="707"/>
      <c r="N1171" s="194"/>
      <c r="O1171" s="216"/>
      <c r="P1171" s="717"/>
      <c r="Q1171" s="718"/>
      <c r="R1171" s="719"/>
      <c r="S1171" s="720"/>
      <c r="T1171" s="721"/>
      <c r="U1171" s="722"/>
      <c r="V1171" s="723"/>
      <c r="W1171" s="724"/>
      <c r="X1171" s="725" t="s">
        <v>159</v>
      </c>
      <c r="Y1171" s="725"/>
      <c r="Z1171" s="725"/>
      <c r="AA1171" s="725"/>
      <c r="AB1171" s="726" t="s">
        <v>159</v>
      </c>
      <c r="AC1171" s="726"/>
      <c r="AD1171" s="726"/>
      <c r="AE1171" s="726"/>
      <c r="AF1171" s="727"/>
      <c r="AG1171" s="728"/>
      <c r="AH1171" s="727"/>
      <c r="AI1171" s="728"/>
      <c r="AJ1171" s="682"/>
      <c r="AK1171" s="683"/>
      <c r="AL1171" s="664" t="s">
        <v>162</v>
      </c>
      <c r="AM1171" s="665"/>
      <c r="AN1171" s="713" t="s">
        <v>162</v>
      </c>
      <c r="AO1171" s="714"/>
      <c r="AP1171" s="729"/>
      <c r="AQ1171" s="730"/>
      <c r="AR1171" s="731"/>
      <c r="AS1171" s="732"/>
      <c r="AT1171" s="733"/>
      <c r="AU1171" s="734"/>
      <c r="AV1171" s="713" t="s">
        <v>162</v>
      </c>
      <c r="AW1171" s="714"/>
      <c r="AX1171" s="692"/>
      <c r="AY1171" s="693"/>
      <c r="AZ1171" s="694"/>
      <c r="BA1171" s="735"/>
      <c r="BB1171" s="736"/>
      <c r="BC1171" s="219"/>
      <c r="BD1171" s="737" t="s">
        <v>162</v>
      </c>
      <c r="BE1171" s="738"/>
      <c r="BF1171" s="739"/>
      <c r="BG1171" s="740"/>
      <c r="BH1171" s="740"/>
      <c r="BI1171" s="741"/>
      <c r="BJ1171" s="742" t="s">
        <v>159</v>
      </c>
      <c r="BK1171" s="743"/>
      <c r="BL1171" s="743"/>
      <c r="BM1171" s="744"/>
      <c r="BN1171" s="703" t="s">
        <v>159</v>
      </c>
      <c r="BO1171" s="704"/>
      <c r="BP1171" s="704"/>
      <c r="BQ1171" s="704"/>
      <c r="BR1171" s="704"/>
      <c r="BS1171" s="704"/>
      <c r="BT1171" s="704"/>
      <c r="BU1171" s="704"/>
      <c r="BV1171" s="705"/>
    </row>
    <row r="1172" spans="1:74" ht="45" customHeight="1" x14ac:dyDescent="0.25">
      <c r="A1172" s="10">
        <f t="shared" si="18"/>
        <v>1158</v>
      </c>
      <c r="B1172" s="662" t="s">
        <v>159</v>
      </c>
      <c r="C1172" s="662"/>
      <c r="D1172" s="663" t="s">
        <v>212</v>
      </c>
      <c r="E1172" s="663"/>
      <c r="F1172" s="664" t="s">
        <v>162</v>
      </c>
      <c r="G1172" s="665"/>
      <c r="H1172" s="754" t="s">
        <v>162</v>
      </c>
      <c r="I1172" s="714"/>
      <c r="J1172" s="340"/>
      <c r="K1172" s="341"/>
      <c r="L1172" s="340"/>
      <c r="M1172" s="341"/>
      <c r="N1172" s="215"/>
      <c r="O1172" s="196"/>
      <c r="P1172" s="670"/>
      <c r="Q1172" s="671"/>
      <c r="R1172" s="672"/>
      <c r="S1172" s="673"/>
      <c r="T1172" s="674"/>
      <c r="U1172" s="675"/>
      <c r="V1172" s="676"/>
      <c r="W1172" s="677"/>
      <c r="X1172" s="678" t="s">
        <v>159</v>
      </c>
      <c r="Y1172" s="678"/>
      <c r="Z1172" s="678"/>
      <c r="AA1172" s="678"/>
      <c r="AB1172" s="679" t="s">
        <v>159</v>
      </c>
      <c r="AC1172" s="679"/>
      <c r="AD1172" s="679"/>
      <c r="AE1172" s="679"/>
      <c r="AF1172" s="680"/>
      <c r="AG1172" s="681"/>
      <c r="AH1172" s="680"/>
      <c r="AI1172" s="681"/>
      <c r="AJ1172" s="682"/>
      <c r="AK1172" s="683"/>
      <c r="AL1172" s="684" t="s">
        <v>162</v>
      </c>
      <c r="AM1172" s="685"/>
      <c r="AN1172" s="666" t="s">
        <v>162</v>
      </c>
      <c r="AO1172" s="667"/>
      <c r="AP1172" s="686"/>
      <c r="AQ1172" s="687"/>
      <c r="AR1172" s="688"/>
      <c r="AS1172" s="689"/>
      <c r="AT1172" s="690"/>
      <c r="AU1172" s="691"/>
      <c r="AV1172" s="666" t="s">
        <v>162</v>
      </c>
      <c r="AW1172" s="667"/>
      <c r="AX1172" s="692"/>
      <c r="AY1172" s="693"/>
      <c r="AZ1172" s="694"/>
      <c r="BA1172" s="682"/>
      <c r="BB1172" s="683"/>
      <c r="BC1172" s="14"/>
      <c r="BD1172" s="695" t="s">
        <v>162</v>
      </c>
      <c r="BE1172" s="696"/>
      <c r="BF1172" s="697"/>
      <c r="BG1172" s="698"/>
      <c r="BH1172" s="698"/>
      <c r="BI1172" s="699"/>
      <c r="BJ1172" s="700" t="s">
        <v>159</v>
      </c>
      <c r="BK1172" s="701"/>
      <c r="BL1172" s="701"/>
      <c r="BM1172" s="702"/>
      <c r="BN1172" s="703" t="s">
        <v>159</v>
      </c>
      <c r="BO1172" s="704"/>
      <c r="BP1172" s="704"/>
      <c r="BQ1172" s="704"/>
      <c r="BR1172" s="704"/>
      <c r="BS1172" s="704"/>
      <c r="BT1172" s="704"/>
      <c r="BU1172" s="704"/>
      <c r="BV1172" s="705"/>
    </row>
    <row r="1173" spans="1:74" ht="45" customHeight="1" x14ac:dyDescent="0.25">
      <c r="A1173" s="10">
        <f t="shared" si="18"/>
        <v>1159</v>
      </c>
      <c r="B1173" s="711" t="s">
        <v>159</v>
      </c>
      <c r="C1173" s="711"/>
      <c r="D1173" s="712" t="s">
        <v>212</v>
      </c>
      <c r="E1173" s="712"/>
      <c r="F1173" s="664" t="s">
        <v>162</v>
      </c>
      <c r="G1173" s="665"/>
      <c r="H1173" s="755" t="s">
        <v>162</v>
      </c>
      <c r="I1173" s="667"/>
      <c r="J1173" s="706"/>
      <c r="K1173" s="707"/>
      <c r="L1173" s="706"/>
      <c r="M1173" s="707"/>
      <c r="N1173" s="194"/>
      <c r="O1173" s="216"/>
      <c r="P1173" s="717"/>
      <c r="Q1173" s="718"/>
      <c r="R1173" s="719"/>
      <c r="S1173" s="720"/>
      <c r="T1173" s="721"/>
      <c r="U1173" s="722"/>
      <c r="V1173" s="723"/>
      <c r="W1173" s="724"/>
      <c r="X1173" s="725" t="s">
        <v>159</v>
      </c>
      <c r="Y1173" s="725"/>
      <c r="Z1173" s="725"/>
      <c r="AA1173" s="725"/>
      <c r="AB1173" s="726" t="s">
        <v>159</v>
      </c>
      <c r="AC1173" s="726"/>
      <c r="AD1173" s="726"/>
      <c r="AE1173" s="726"/>
      <c r="AF1173" s="727"/>
      <c r="AG1173" s="728"/>
      <c r="AH1173" s="727"/>
      <c r="AI1173" s="728"/>
      <c r="AJ1173" s="682"/>
      <c r="AK1173" s="683"/>
      <c r="AL1173" s="664" t="s">
        <v>162</v>
      </c>
      <c r="AM1173" s="665"/>
      <c r="AN1173" s="713" t="s">
        <v>162</v>
      </c>
      <c r="AO1173" s="714"/>
      <c r="AP1173" s="729"/>
      <c r="AQ1173" s="730"/>
      <c r="AR1173" s="731"/>
      <c r="AS1173" s="732"/>
      <c r="AT1173" s="733"/>
      <c r="AU1173" s="734"/>
      <c r="AV1173" s="713" t="s">
        <v>162</v>
      </c>
      <c r="AW1173" s="714"/>
      <c r="AX1173" s="692"/>
      <c r="AY1173" s="693"/>
      <c r="AZ1173" s="694"/>
      <c r="BA1173" s="735"/>
      <c r="BB1173" s="736"/>
      <c r="BC1173" s="219"/>
      <c r="BD1173" s="737" t="s">
        <v>162</v>
      </c>
      <c r="BE1173" s="738"/>
      <c r="BF1173" s="739"/>
      <c r="BG1173" s="740"/>
      <c r="BH1173" s="740"/>
      <c r="BI1173" s="741"/>
      <c r="BJ1173" s="742" t="s">
        <v>159</v>
      </c>
      <c r="BK1173" s="743"/>
      <c r="BL1173" s="743"/>
      <c r="BM1173" s="744"/>
      <c r="BN1173" s="703" t="s">
        <v>159</v>
      </c>
      <c r="BO1173" s="704"/>
      <c r="BP1173" s="704"/>
      <c r="BQ1173" s="704"/>
      <c r="BR1173" s="704"/>
      <c r="BS1173" s="704"/>
      <c r="BT1173" s="704"/>
      <c r="BU1173" s="704"/>
      <c r="BV1173" s="705"/>
    </row>
    <row r="1174" spans="1:74" ht="45" customHeight="1" x14ac:dyDescent="0.25">
      <c r="A1174" s="10">
        <f t="shared" si="18"/>
        <v>1160</v>
      </c>
      <c r="B1174" s="662" t="s">
        <v>159</v>
      </c>
      <c r="C1174" s="662"/>
      <c r="D1174" s="663" t="s">
        <v>212</v>
      </c>
      <c r="E1174" s="663"/>
      <c r="F1174" s="664" t="s">
        <v>162</v>
      </c>
      <c r="G1174" s="665"/>
      <c r="H1174" s="754" t="s">
        <v>162</v>
      </c>
      <c r="I1174" s="714"/>
      <c r="J1174" s="340"/>
      <c r="K1174" s="341"/>
      <c r="L1174" s="340"/>
      <c r="M1174" s="341"/>
      <c r="N1174" s="215"/>
      <c r="O1174" s="196"/>
      <c r="P1174" s="670"/>
      <c r="Q1174" s="671"/>
      <c r="R1174" s="672"/>
      <c r="S1174" s="673"/>
      <c r="T1174" s="674"/>
      <c r="U1174" s="675"/>
      <c r="V1174" s="676"/>
      <c r="W1174" s="677"/>
      <c r="X1174" s="678" t="s">
        <v>159</v>
      </c>
      <c r="Y1174" s="678"/>
      <c r="Z1174" s="678"/>
      <c r="AA1174" s="678"/>
      <c r="AB1174" s="679" t="s">
        <v>159</v>
      </c>
      <c r="AC1174" s="679"/>
      <c r="AD1174" s="679"/>
      <c r="AE1174" s="679"/>
      <c r="AF1174" s="680"/>
      <c r="AG1174" s="681"/>
      <c r="AH1174" s="680"/>
      <c r="AI1174" s="681"/>
      <c r="AJ1174" s="682"/>
      <c r="AK1174" s="683"/>
      <c r="AL1174" s="684" t="s">
        <v>162</v>
      </c>
      <c r="AM1174" s="685"/>
      <c r="AN1174" s="666" t="s">
        <v>162</v>
      </c>
      <c r="AO1174" s="667"/>
      <c r="AP1174" s="686"/>
      <c r="AQ1174" s="687"/>
      <c r="AR1174" s="688"/>
      <c r="AS1174" s="689"/>
      <c r="AT1174" s="690"/>
      <c r="AU1174" s="691"/>
      <c r="AV1174" s="666" t="s">
        <v>162</v>
      </c>
      <c r="AW1174" s="667"/>
      <c r="AX1174" s="692"/>
      <c r="AY1174" s="693"/>
      <c r="AZ1174" s="694"/>
      <c r="BA1174" s="682"/>
      <c r="BB1174" s="683"/>
      <c r="BC1174" s="14"/>
      <c r="BD1174" s="695" t="s">
        <v>162</v>
      </c>
      <c r="BE1174" s="696"/>
      <c r="BF1174" s="697"/>
      <c r="BG1174" s="698"/>
      <c r="BH1174" s="698"/>
      <c r="BI1174" s="699"/>
      <c r="BJ1174" s="700" t="s">
        <v>159</v>
      </c>
      <c r="BK1174" s="701"/>
      <c r="BL1174" s="701"/>
      <c r="BM1174" s="702"/>
      <c r="BN1174" s="703" t="s">
        <v>159</v>
      </c>
      <c r="BO1174" s="704"/>
      <c r="BP1174" s="704"/>
      <c r="BQ1174" s="704"/>
      <c r="BR1174" s="704"/>
      <c r="BS1174" s="704"/>
      <c r="BT1174" s="704"/>
      <c r="BU1174" s="704"/>
      <c r="BV1174" s="705"/>
    </row>
    <row r="1175" spans="1:74" ht="45" customHeight="1" x14ac:dyDescent="0.25">
      <c r="A1175" s="10">
        <f t="shared" si="18"/>
        <v>1161</v>
      </c>
      <c r="B1175" s="711" t="s">
        <v>159</v>
      </c>
      <c r="C1175" s="711"/>
      <c r="D1175" s="712" t="s">
        <v>212</v>
      </c>
      <c r="E1175" s="712"/>
      <c r="F1175" s="664" t="s">
        <v>162</v>
      </c>
      <c r="G1175" s="665"/>
      <c r="H1175" s="755" t="s">
        <v>162</v>
      </c>
      <c r="I1175" s="667"/>
      <c r="J1175" s="706"/>
      <c r="K1175" s="707"/>
      <c r="L1175" s="706"/>
      <c r="M1175" s="707"/>
      <c r="N1175" s="194"/>
      <c r="O1175" s="216"/>
      <c r="P1175" s="717"/>
      <c r="Q1175" s="718"/>
      <c r="R1175" s="719"/>
      <c r="S1175" s="720"/>
      <c r="T1175" s="721"/>
      <c r="U1175" s="722"/>
      <c r="V1175" s="723"/>
      <c r="W1175" s="724"/>
      <c r="X1175" s="725" t="s">
        <v>159</v>
      </c>
      <c r="Y1175" s="725"/>
      <c r="Z1175" s="725"/>
      <c r="AA1175" s="725"/>
      <c r="AB1175" s="726" t="s">
        <v>159</v>
      </c>
      <c r="AC1175" s="726"/>
      <c r="AD1175" s="726"/>
      <c r="AE1175" s="726"/>
      <c r="AF1175" s="727"/>
      <c r="AG1175" s="728"/>
      <c r="AH1175" s="727"/>
      <c r="AI1175" s="728"/>
      <c r="AJ1175" s="682"/>
      <c r="AK1175" s="683"/>
      <c r="AL1175" s="664" t="s">
        <v>162</v>
      </c>
      <c r="AM1175" s="665"/>
      <c r="AN1175" s="713" t="s">
        <v>162</v>
      </c>
      <c r="AO1175" s="714"/>
      <c r="AP1175" s="729"/>
      <c r="AQ1175" s="730"/>
      <c r="AR1175" s="731"/>
      <c r="AS1175" s="732"/>
      <c r="AT1175" s="733"/>
      <c r="AU1175" s="734"/>
      <c r="AV1175" s="713" t="s">
        <v>162</v>
      </c>
      <c r="AW1175" s="714"/>
      <c r="AX1175" s="692"/>
      <c r="AY1175" s="693"/>
      <c r="AZ1175" s="694"/>
      <c r="BA1175" s="735"/>
      <c r="BB1175" s="736"/>
      <c r="BC1175" s="219"/>
      <c r="BD1175" s="737" t="s">
        <v>162</v>
      </c>
      <c r="BE1175" s="738"/>
      <c r="BF1175" s="739"/>
      <c r="BG1175" s="740"/>
      <c r="BH1175" s="740"/>
      <c r="BI1175" s="741"/>
      <c r="BJ1175" s="742" t="s">
        <v>159</v>
      </c>
      <c r="BK1175" s="743"/>
      <c r="BL1175" s="743"/>
      <c r="BM1175" s="744"/>
      <c r="BN1175" s="703" t="s">
        <v>159</v>
      </c>
      <c r="BO1175" s="704"/>
      <c r="BP1175" s="704"/>
      <c r="BQ1175" s="704"/>
      <c r="BR1175" s="704"/>
      <c r="BS1175" s="704"/>
      <c r="BT1175" s="704"/>
      <c r="BU1175" s="704"/>
      <c r="BV1175" s="705"/>
    </row>
    <row r="1176" spans="1:74" ht="45" customHeight="1" x14ac:dyDescent="0.25">
      <c r="A1176" s="10">
        <f t="shared" si="18"/>
        <v>1162</v>
      </c>
      <c r="B1176" s="662" t="s">
        <v>159</v>
      </c>
      <c r="C1176" s="662"/>
      <c r="D1176" s="663" t="s">
        <v>212</v>
      </c>
      <c r="E1176" s="663"/>
      <c r="F1176" s="664" t="s">
        <v>162</v>
      </c>
      <c r="G1176" s="665"/>
      <c r="H1176" s="754" t="s">
        <v>162</v>
      </c>
      <c r="I1176" s="714"/>
      <c r="J1176" s="340"/>
      <c r="K1176" s="341"/>
      <c r="L1176" s="340"/>
      <c r="M1176" s="341"/>
      <c r="N1176" s="215"/>
      <c r="O1176" s="196"/>
      <c r="P1176" s="670"/>
      <c r="Q1176" s="671"/>
      <c r="R1176" s="672"/>
      <c r="S1176" s="673"/>
      <c r="T1176" s="674"/>
      <c r="U1176" s="675"/>
      <c r="V1176" s="676"/>
      <c r="W1176" s="677"/>
      <c r="X1176" s="678" t="s">
        <v>159</v>
      </c>
      <c r="Y1176" s="678"/>
      <c r="Z1176" s="678"/>
      <c r="AA1176" s="678"/>
      <c r="AB1176" s="679" t="s">
        <v>159</v>
      </c>
      <c r="AC1176" s="679"/>
      <c r="AD1176" s="679"/>
      <c r="AE1176" s="679"/>
      <c r="AF1176" s="680"/>
      <c r="AG1176" s="681"/>
      <c r="AH1176" s="680"/>
      <c r="AI1176" s="681"/>
      <c r="AJ1176" s="682"/>
      <c r="AK1176" s="683"/>
      <c r="AL1176" s="684" t="s">
        <v>162</v>
      </c>
      <c r="AM1176" s="685"/>
      <c r="AN1176" s="666" t="s">
        <v>162</v>
      </c>
      <c r="AO1176" s="667"/>
      <c r="AP1176" s="686"/>
      <c r="AQ1176" s="687"/>
      <c r="AR1176" s="688"/>
      <c r="AS1176" s="689"/>
      <c r="AT1176" s="690"/>
      <c r="AU1176" s="691"/>
      <c r="AV1176" s="666" t="s">
        <v>162</v>
      </c>
      <c r="AW1176" s="667"/>
      <c r="AX1176" s="692"/>
      <c r="AY1176" s="693"/>
      <c r="AZ1176" s="694"/>
      <c r="BA1176" s="682"/>
      <c r="BB1176" s="683"/>
      <c r="BC1176" s="14"/>
      <c r="BD1176" s="695" t="s">
        <v>162</v>
      </c>
      <c r="BE1176" s="696"/>
      <c r="BF1176" s="708"/>
      <c r="BG1176" s="709"/>
      <c r="BH1176" s="709"/>
      <c r="BI1176" s="710"/>
      <c r="BJ1176" s="700" t="s">
        <v>159</v>
      </c>
      <c r="BK1176" s="701"/>
      <c r="BL1176" s="701"/>
      <c r="BM1176" s="702"/>
      <c r="BN1176" s="703" t="s">
        <v>159</v>
      </c>
      <c r="BO1176" s="704"/>
      <c r="BP1176" s="704"/>
      <c r="BQ1176" s="704"/>
      <c r="BR1176" s="704"/>
      <c r="BS1176" s="704"/>
      <c r="BT1176" s="704"/>
      <c r="BU1176" s="704"/>
      <c r="BV1176" s="705"/>
    </row>
    <row r="1177" spans="1:74" ht="45" customHeight="1" x14ac:dyDescent="0.25">
      <c r="A1177" s="10">
        <f t="shared" si="18"/>
        <v>1163</v>
      </c>
      <c r="B1177" s="711" t="s">
        <v>159</v>
      </c>
      <c r="C1177" s="711"/>
      <c r="D1177" s="712" t="s">
        <v>212</v>
      </c>
      <c r="E1177" s="712"/>
      <c r="F1177" s="664" t="s">
        <v>162</v>
      </c>
      <c r="G1177" s="665"/>
      <c r="H1177" s="755" t="s">
        <v>162</v>
      </c>
      <c r="I1177" s="667"/>
      <c r="J1177" s="706"/>
      <c r="K1177" s="707"/>
      <c r="L1177" s="706"/>
      <c r="M1177" s="707"/>
      <c r="N1177" s="194"/>
      <c r="O1177" s="216"/>
      <c r="P1177" s="717"/>
      <c r="Q1177" s="718"/>
      <c r="R1177" s="719"/>
      <c r="S1177" s="720"/>
      <c r="T1177" s="721"/>
      <c r="U1177" s="722"/>
      <c r="V1177" s="723"/>
      <c r="W1177" s="724"/>
      <c r="X1177" s="725" t="s">
        <v>159</v>
      </c>
      <c r="Y1177" s="725"/>
      <c r="Z1177" s="725"/>
      <c r="AA1177" s="725"/>
      <c r="AB1177" s="726" t="s">
        <v>159</v>
      </c>
      <c r="AC1177" s="726"/>
      <c r="AD1177" s="726"/>
      <c r="AE1177" s="726"/>
      <c r="AF1177" s="727"/>
      <c r="AG1177" s="728"/>
      <c r="AH1177" s="727"/>
      <c r="AI1177" s="728"/>
      <c r="AJ1177" s="682"/>
      <c r="AK1177" s="683"/>
      <c r="AL1177" s="664" t="s">
        <v>162</v>
      </c>
      <c r="AM1177" s="665"/>
      <c r="AN1177" s="713" t="s">
        <v>162</v>
      </c>
      <c r="AO1177" s="714"/>
      <c r="AP1177" s="729"/>
      <c r="AQ1177" s="730"/>
      <c r="AR1177" s="731"/>
      <c r="AS1177" s="732"/>
      <c r="AT1177" s="733"/>
      <c r="AU1177" s="734"/>
      <c r="AV1177" s="713" t="s">
        <v>162</v>
      </c>
      <c r="AW1177" s="714"/>
      <c r="AX1177" s="692"/>
      <c r="AY1177" s="693"/>
      <c r="AZ1177" s="694"/>
      <c r="BA1177" s="735"/>
      <c r="BB1177" s="736"/>
      <c r="BC1177" s="219"/>
      <c r="BD1177" s="737" t="s">
        <v>162</v>
      </c>
      <c r="BE1177" s="738"/>
      <c r="BF1177" s="739"/>
      <c r="BG1177" s="740"/>
      <c r="BH1177" s="740"/>
      <c r="BI1177" s="741"/>
      <c r="BJ1177" s="742" t="s">
        <v>159</v>
      </c>
      <c r="BK1177" s="743"/>
      <c r="BL1177" s="743"/>
      <c r="BM1177" s="744"/>
      <c r="BN1177" s="703" t="s">
        <v>159</v>
      </c>
      <c r="BO1177" s="704"/>
      <c r="BP1177" s="704"/>
      <c r="BQ1177" s="704"/>
      <c r="BR1177" s="704"/>
      <c r="BS1177" s="704"/>
      <c r="BT1177" s="704"/>
      <c r="BU1177" s="704"/>
      <c r="BV1177" s="705"/>
    </row>
    <row r="1178" spans="1:74" ht="45" customHeight="1" x14ac:dyDescent="0.25">
      <c r="A1178" s="10">
        <f t="shared" si="18"/>
        <v>1164</v>
      </c>
      <c r="B1178" s="662" t="s">
        <v>159</v>
      </c>
      <c r="C1178" s="662"/>
      <c r="D1178" s="663" t="s">
        <v>212</v>
      </c>
      <c r="E1178" s="663"/>
      <c r="F1178" s="664" t="s">
        <v>162</v>
      </c>
      <c r="G1178" s="665"/>
      <c r="H1178" s="754" t="s">
        <v>162</v>
      </c>
      <c r="I1178" s="714"/>
      <c r="J1178" s="340"/>
      <c r="K1178" s="341"/>
      <c r="L1178" s="340"/>
      <c r="M1178" s="341"/>
      <c r="N1178" s="215"/>
      <c r="O1178" s="196"/>
      <c r="P1178" s="670"/>
      <c r="Q1178" s="671"/>
      <c r="R1178" s="672"/>
      <c r="S1178" s="673"/>
      <c r="T1178" s="674"/>
      <c r="U1178" s="675"/>
      <c r="V1178" s="676"/>
      <c r="W1178" s="677"/>
      <c r="X1178" s="678" t="s">
        <v>159</v>
      </c>
      <c r="Y1178" s="678"/>
      <c r="Z1178" s="678"/>
      <c r="AA1178" s="678"/>
      <c r="AB1178" s="679" t="s">
        <v>159</v>
      </c>
      <c r="AC1178" s="679"/>
      <c r="AD1178" s="679"/>
      <c r="AE1178" s="679"/>
      <c r="AF1178" s="680"/>
      <c r="AG1178" s="681"/>
      <c r="AH1178" s="680"/>
      <c r="AI1178" s="681"/>
      <c r="AJ1178" s="682"/>
      <c r="AK1178" s="683"/>
      <c r="AL1178" s="684" t="s">
        <v>162</v>
      </c>
      <c r="AM1178" s="685"/>
      <c r="AN1178" s="666" t="s">
        <v>162</v>
      </c>
      <c r="AO1178" s="667"/>
      <c r="AP1178" s="686"/>
      <c r="AQ1178" s="687"/>
      <c r="AR1178" s="688"/>
      <c r="AS1178" s="689"/>
      <c r="AT1178" s="690"/>
      <c r="AU1178" s="691"/>
      <c r="AV1178" s="666" t="s">
        <v>162</v>
      </c>
      <c r="AW1178" s="667"/>
      <c r="AX1178" s="692"/>
      <c r="AY1178" s="693"/>
      <c r="AZ1178" s="694"/>
      <c r="BA1178" s="682"/>
      <c r="BB1178" s="683"/>
      <c r="BC1178" s="14"/>
      <c r="BD1178" s="695" t="s">
        <v>162</v>
      </c>
      <c r="BE1178" s="696"/>
      <c r="BF1178" s="697"/>
      <c r="BG1178" s="698"/>
      <c r="BH1178" s="698"/>
      <c r="BI1178" s="699"/>
      <c r="BJ1178" s="700" t="s">
        <v>159</v>
      </c>
      <c r="BK1178" s="701"/>
      <c r="BL1178" s="701"/>
      <c r="BM1178" s="702"/>
      <c r="BN1178" s="703" t="s">
        <v>159</v>
      </c>
      <c r="BO1178" s="704"/>
      <c r="BP1178" s="704"/>
      <c r="BQ1178" s="704"/>
      <c r="BR1178" s="704"/>
      <c r="BS1178" s="704"/>
      <c r="BT1178" s="704"/>
      <c r="BU1178" s="704"/>
      <c r="BV1178" s="705"/>
    </row>
    <row r="1179" spans="1:74" ht="45" customHeight="1" x14ac:dyDescent="0.25">
      <c r="A1179" s="10">
        <f t="shared" si="18"/>
        <v>1165</v>
      </c>
      <c r="B1179" s="711" t="s">
        <v>159</v>
      </c>
      <c r="C1179" s="711"/>
      <c r="D1179" s="712" t="s">
        <v>212</v>
      </c>
      <c r="E1179" s="712"/>
      <c r="F1179" s="664" t="s">
        <v>162</v>
      </c>
      <c r="G1179" s="665"/>
      <c r="H1179" s="755" t="s">
        <v>162</v>
      </c>
      <c r="I1179" s="667"/>
      <c r="J1179" s="706"/>
      <c r="K1179" s="707"/>
      <c r="L1179" s="706"/>
      <c r="M1179" s="707"/>
      <c r="N1179" s="215"/>
      <c r="O1179" s="216"/>
      <c r="P1179" s="670"/>
      <c r="Q1179" s="671"/>
      <c r="R1179" s="719"/>
      <c r="S1179" s="720"/>
      <c r="T1179" s="721"/>
      <c r="U1179" s="722"/>
      <c r="V1179" s="723"/>
      <c r="W1179" s="724"/>
      <c r="X1179" s="725" t="s">
        <v>159</v>
      </c>
      <c r="Y1179" s="725"/>
      <c r="Z1179" s="725"/>
      <c r="AA1179" s="725"/>
      <c r="AB1179" s="726" t="s">
        <v>159</v>
      </c>
      <c r="AC1179" s="726"/>
      <c r="AD1179" s="726"/>
      <c r="AE1179" s="726"/>
      <c r="AF1179" s="727"/>
      <c r="AG1179" s="728"/>
      <c r="AH1179" s="727"/>
      <c r="AI1179" s="728"/>
      <c r="AJ1179" s="682"/>
      <c r="AK1179" s="683"/>
      <c r="AL1179" s="664" t="s">
        <v>162</v>
      </c>
      <c r="AM1179" s="665"/>
      <c r="AN1179" s="713" t="s">
        <v>162</v>
      </c>
      <c r="AO1179" s="714"/>
      <c r="AP1179" s="729"/>
      <c r="AQ1179" s="730"/>
      <c r="AR1179" s="731"/>
      <c r="AS1179" s="732"/>
      <c r="AT1179" s="690"/>
      <c r="AU1179" s="691"/>
      <c r="AV1179" s="713" t="s">
        <v>162</v>
      </c>
      <c r="AW1179" s="714"/>
      <c r="AX1179" s="692"/>
      <c r="AY1179" s="693"/>
      <c r="AZ1179" s="694"/>
      <c r="BA1179" s="735"/>
      <c r="BB1179" s="736"/>
      <c r="BC1179" s="219"/>
      <c r="BD1179" s="737" t="s">
        <v>162</v>
      </c>
      <c r="BE1179" s="738"/>
      <c r="BF1179" s="739"/>
      <c r="BG1179" s="740"/>
      <c r="BH1179" s="740"/>
      <c r="BI1179" s="741"/>
      <c r="BJ1179" s="742" t="s">
        <v>159</v>
      </c>
      <c r="BK1179" s="743"/>
      <c r="BL1179" s="743"/>
      <c r="BM1179" s="744"/>
      <c r="BN1179" s="703" t="s">
        <v>159</v>
      </c>
      <c r="BO1179" s="704"/>
      <c r="BP1179" s="704"/>
      <c r="BQ1179" s="704"/>
      <c r="BR1179" s="704"/>
      <c r="BS1179" s="704"/>
      <c r="BT1179" s="704"/>
      <c r="BU1179" s="704"/>
      <c r="BV1179" s="705"/>
    </row>
    <row r="1180" spans="1:74" ht="45" customHeight="1" x14ac:dyDescent="0.25">
      <c r="A1180" s="10">
        <f t="shared" si="18"/>
        <v>1166</v>
      </c>
      <c r="B1180" s="662" t="s">
        <v>159</v>
      </c>
      <c r="C1180" s="662"/>
      <c r="D1180" s="663" t="s">
        <v>212</v>
      </c>
      <c r="E1180" s="663"/>
      <c r="F1180" s="664" t="s">
        <v>162</v>
      </c>
      <c r="G1180" s="665"/>
      <c r="H1180" s="754" t="s">
        <v>162</v>
      </c>
      <c r="I1180" s="714"/>
      <c r="J1180" s="340"/>
      <c r="K1180" s="341"/>
      <c r="L1180" s="340"/>
      <c r="M1180" s="341"/>
      <c r="N1180" s="194"/>
      <c r="O1180" s="196"/>
      <c r="P1180" s="717"/>
      <c r="Q1180" s="718"/>
      <c r="R1180" s="672"/>
      <c r="S1180" s="673"/>
      <c r="T1180" s="674"/>
      <c r="U1180" s="675"/>
      <c r="V1180" s="676"/>
      <c r="W1180" s="677"/>
      <c r="X1180" s="678" t="s">
        <v>159</v>
      </c>
      <c r="Y1180" s="678"/>
      <c r="Z1180" s="678"/>
      <c r="AA1180" s="678"/>
      <c r="AB1180" s="679" t="s">
        <v>159</v>
      </c>
      <c r="AC1180" s="679"/>
      <c r="AD1180" s="679"/>
      <c r="AE1180" s="679"/>
      <c r="AF1180" s="680"/>
      <c r="AG1180" s="681"/>
      <c r="AH1180" s="680"/>
      <c r="AI1180" s="681"/>
      <c r="AJ1180" s="682"/>
      <c r="AK1180" s="683"/>
      <c r="AL1180" s="684" t="s">
        <v>162</v>
      </c>
      <c r="AM1180" s="685"/>
      <c r="AN1180" s="666" t="s">
        <v>162</v>
      </c>
      <c r="AO1180" s="667"/>
      <c r="AP1180" s="686"/>
      <c r="AQ1180" s="687"/>
      <c r="AR1180" s="688"/>
      <c r="AS1180" s="689"/>
      <c r="AT1180" s="690"/>
      <c r="AU1180" s="691"/>
      <c r="AV1180" s="666" t="s">
        <v>162</v>
      </c>
      <c r="AW1180" s="667"/>
      <c r="AX1180" s="692"/>
      <c r="AY1180" s="693"/>
      <c r="AZ1180" s="694"/>
      <c r="BA1180" s="682"/>
      <c r="BB1180" s="683"/>
      <c r="BC1180" s="14"/>
      <c r="BD1180" s="695" t="s">
        <v>162</v>
      </c>
      <c r="BE1180" s="696"/>
      <c r="BF1180" s="697"/>
      <c r="BG1180" s="698"/>
      <c r="BH1180" s="698"/>
      <c r="BI1180" s="699"/>
      <c r="BJ1180" s="700" t="s">
        <v>159</v>
      </c>
      <c r="BK1180" s="701"/>
      <c r="BL1180" s="701"/>
      <c r="BM1180" s="702"/>
      <c r="BN1180" s="703" t="s">
        <v>159</v>
      </c>
      <c r="BO1180" s="704"/>
      <c r="BP1180" s="704"/>
      <c r="BQ1180" s="704"/>
      <c r="BR1180" s="704"/>
      <c r="BS1180" s="704"/>
      <c r="BT1180" s="704"/>
      <c r="BU1180" s="704"/>
      <c r="BV1180" s="705"/>
    </row>
    <row r="1181" spans="1:74" ht="45" customHeight="1" x14ac:dyDescent="0.25">
      <c r="A1181" s="10">
        <f t="shared" si="18"/>
        <v>1167</v>
      </c>
      <c r="B1181" s="711" t="s">
        <v>159</v>
      </c>
      <c r="C1181" s="711"/>
      <c r="D1181" s="712" t="s">
        <v>212</v>
      </c>
      <c r="E1181" s="712"/>
      <c r="F1181" s="664" t="s">
        <v>162</v>
      </c>
      <c r="G1181" s="665"/>
      <c r="H1181" s="755" t="s">
        <v>162</v>
      </c>
      <c r="I1181" s="667"/>
      <c r="J1181" s="706"/>
      <c r="K1181" s="707"/>
      <c r="L1181" s="706"/>
      <c r="M1181" s="707"/>
      <c r="N1181" s="215"/>
      <c r="O1181" s="216"/>
      <c r="P1181" s="670"/>
      <c r="Q1181" s="671"/>
      <c r="R1181" s="719"/>
      <c r="S1181" s="720"/>
      <c r="T1181" s="721"/>
      <c r="U1181" s="722"/>
      <c r="V1181" s="723"/>
      <c r="W1181" s="724"/>
      <c r="X1181" s="725" t="s">
        <v>159</v>
      </c>
      <c r="Y1181" s="725"/>
      <c r="Z1181" s="725"/>
      <c r="AA1181" s="725"/>
      <c r="AB1181" s="726" t="s">
        <v>159</v>
      </c>
      <c r="AC1181" s="726"/>
      <c r="AD1181" s="726"/>
      <c r="AE1181" s="726"/>
      <c r="AF1181" s="727"/>
      <c r="AG1181" s="728"/>
      <c r="AH1181" s="727"/>
      <c r="AI1181" s="728"/>
      <c r="AJ1181" s="682"/>
      <c r="AK1181" s="683"/>
      <c r="AL1181" s="664" t="s">
        <v>162</v>
      </c>
      <c r="AM1181" s="665"/>
      <c r="AN1181" s="713" t="s">
        <v>162</v>
      </c>
      <c r="AO1181" s="714"/>
      <c r="AP1181" s="729"/>
      <c r="AQ1181" s="730"/>
      <c r="AR1181" s="731"/>
      <c r="AS1181" s="732"/>
      <c r="AT1181" s="690"/>
      <c r="AU1181" s="691"/>
      <c r="AV1181" s="713" t="s">
        <v>162</v>
      </c>
      <c r="AW1181" s="714"/>
      <c r="AX1181" s="692"/>
      <c r="AY1181" s="693"/>
      <c r="AZ1181" s="694"/>
      <c r="BA1181" s="735"/>
      <c r="BB1181" s="736"/>
      <c r="BC1181" s="219"/>
      <c r="BD1181" s="737" t="s">
        <v>162</v>
      </c>
      <c r="BE1181" s="738"/>
      <c r="BF1181" s="739"/>
      <c r="BG1181" s="740"/>
      <c r="BH1181" s="740"/>
      <c r="BI1181" s="741"/>
      <c r="BJ1181" s="742" t="s">
        <v>159</v>
      </c>
      <c r="BK1181" s="743"/>
      <c r="BL1181" s="743"/>
      <c r="BM1181" s="744"/>
      <c r="BN1181" s="703" t="s">
        <v>159</v>
      </c>
      <c r="BO1181" s="704"/>
      <c r="BP1181" s="704"/>
      <c r="BQ1181" s="704"/>
      <c r="BR1181" s="704"/>
      <c r="BS1181" s="704"/>
      <c r="BT1181" s="704"/>
      <c r="BU1181" s="704"/>
      <c r="BV1181" s="705"/>
    </row>
    <row r="1182" spans="1:74" ht="45" customHeight="1" x14ac:dyDescent="0.25">
      <c r="A1182" s="10">
        <f t="shared" si="18"/>
        <v>1168</v>
      </c>
      <c r="B1182" s="662" t="s">
        <v>159</v>
      </c>
      <c r="C1182" s="662"/>
      <c r="D1182" s="663" t="s">
        <v>212</v>
      </c>
      <c r="E1182" s="663"/>
      <c r="F1182" s="664" t="s">
        <v>162</v>
      </c>
      <c r="G1182" s="665"/>
      <c r="H1182" s="754" t="s">
        <v>162</v>
      </c>
      <c r="I1182" s="714"/>
      <c r="J1182" s="340"/>
      <c r="K1182" s="341"/>
      <c r="L1182" s="340"/>
      <c r="M1182" s="341"/>
      <c r="N1182" s="194"/>
      <c r="O1182" s="196"/>
      <c r="P1182" s="717"/>
      <c r="Q1182" s="718"/>
      <c r="R1182" s="672"/>
      <c r="S1182" s="673"/>
      <c r="T1182" s="674"/>
      <c r="U1182" s="675"/>
      <c r="V1182" s="676"/>
      <c r="W1182" s="677"/>
      <c r="X1182" s="678" t="s">
        <v>159</v>
      </c>
      <c r="Y1182" s="678"/>
      <c r="Z1182" s="678"/>
      <c r="AA1182" s="678"/>
      <c r="AB1182" s="679" t="s">
        <v>159</v>
      </c>
      <c r="AC1182" s="679"/>
      <c r="AD1182" s="679"/>
      <c r="AE1182" s="679"/>
      <c r="AF1182" s="680"/>
      <c r="AG1182" s="681"/>
      <c r="AH1182" s="680"/>
      <c r="AI1182" s="681"/>
      <c r="AJ1182" s="682"/>
      <c r="AK1182" s="683"/>
      <c r="AL1182" s="684" t="s">
        <v>162</v>
      </c>
      <c r="AM1182" s="685"/>
      <c r="AN1182" s="666" t="s">
        <v>162</v>
      </c>
      <c r="AO1182" s="667"/>
      <c r="AP1182" s="686"/>
      <c r="AQ1182" s="687"/>
      <c r="AR1182" s="688"/>
      <c r="AS1182" s="689"/>
      <c r="AT1182" s="690"/>
      <c r="AU1182" s="691"/>
      <c r="AV1182" s="666" t="s">
        <v>162</v>
      </c>
      <c r="AW1182" s="667"/>
      <c r="AX1182" s="692"/>
      <c r="AY1182" s="693"/>
      <c r="AZ1182" s="694"/>
      <c r="BA1182" s="682"/>
      <c r="BB1182" s="683"/>
      <c r="BC1182" s="14"/>
      <c r="BD1182" s="695" t="s">
        <v>162</v>
      </c>
      <c r="BE1182" s="696"/>
      <c r="BF1182" s="697"/>
      <c r="BG1182" s="698"/>
      <c r="BH1182" s="698"/>
      <c r="BI1182" s="699"/>
      <c r="BJ1182" s="700" t="s">
        <v>159</v>
      </c>
      <c r="BK1182" s="701"/>
      <c r="BL1182" s="701"/>
      <c r="BM1182" s="702"/>
      <c r="BN1182" s="703" t="s">
        <v>159</v>
      </c>
      <c r="BO1182" s="704"/>
      <c r="BP1182" s="704"/>
      <c r="BQ1182" s="704"/>
      <c r="BR1182" s="704"/>
      <c r="BS1182" s="704"/>
      <c r="BT1182" s="704"/>
      <c r="BU1182" s="704"/>
      <c r="BV1182" s="705"/>
    </row>
    <row r="1183" spans="1:74" ht="45" customHeight="1" x14ac:dyDescent="0.25">
      <c r="A1183" s="10">
        <f t="shared" si="18"/>
        <v>1169</v>
      </c>
      <c r="B1183" s="711" t="s">
        <v>159</v>
      </c>
      <c r="C1183" s="711"/>
      <c r="D1183" s="712" t="s">
        <v>212</v>
      </c>
      <c r="E1183" s="712"/>
      <c r="F1183" s="664" t="s">
        <v>162</v>
      </c>
      <c r="G1183" s="665"/>
      <c r="H1183" s="755" t="s">
        <v>162</v>
      </c>
      <c r="I1183" s="667"/>
      <c r="J1183" s="706"/>
      <c r="K1183" s="707"/>
      <c r="L1183" s="706"/>
      <c r="M1183" s="707"/>
      <c r="N1183" s="215"/>
      <c r="O1183" s="216"/>
      <c r="P1183" s="670"/>
      <c r="Q1183" s="671"/>
      <c r="R1183" s="719"/>
      <c r="S1183" s="720"/>
      <c r="T1183" s="721"/>
      <c r="U1183" s="722"/>
      <c r="V1183" s="723"/>
      <c r="W1183" s="724"/>
      <c r="X1183" s="725" t="s">
        <v>159</v>
      </c>
      <c r="Y1183" s="725"/>
      <c r="Z1183" s="725"/>
      <c r="AA1183" s="725"/>
      <c r="AB1183" s="726" t="s">
        <v>159</v>
      </c>
      <c r="AC1183" s="726"/>
      <c r="AD1183" s="726"/>
      <c r="AE1183" s="726"/>
      <c r="AF1183" s="727"/>
      <c r="AG1183" s="728"/>
      <c r="AH1183" s="727"/>
      <c r="AI1183" s="728"/>
      <c r="AJ1183" s="682"/>
      <c r="AK1183" s="683"/>
      <c r="AL1183" s="664" t="s">
        <v>162</v>
      </c>
      <c r="AM1183" s="665"/>
      <c r="AN1183" s="713" t="s">
        <v>162</v>
      </c>
      <c r="AO1183" s="714"/>
      <c r="AP1183" s="729"/>
      <c r="AQ1183" s="730"/>
      <c r="AR1183" s="731"/>
      <c r="AS1183" s="732"/>
      <c r="AT1183" s="733"/>
      <c r="AU1183" s="734"/>
      <c r="AV1183" s="713" t="s">
        <v>162</v>
      </c>
      <c r="AW1183" s="714"/>
      <c r="AX1183" s="692"/>
      <c r="AY1183" s="693"/>
      <c r="AZ1183" s="694"/>
      <c r="BA1183" s="735"/>
      <c r="BB1183" s="736"/>
      <c r="BC1183" s="219"/>
      <c r="BD1183" s="737" t="s">
        <v>162</v>
      </c>
      <c r="BE1183" s="738"/>
      <c r="BF1183" s="739"/>
      <c r="BG1183" s="740"/>
      <c r="BH1183" s="740"/>
      <c r="BI1183" s="741"/>
      <c r="BJ1183" s="742" t="s">
        <v>159</v>
      </c>
      <c r="BK1183" s="743"/>
      <c r="BL1183" s="743"/>
      <c r="BM1183" s="744"/>
      <c r="BN1183" s="703" t="s">
        <v>159</v>
      </c>
      <c r="BO1183" s="704"/>
      <c r="BP1183" s="704"/>
      <c r="BQ1183" s="704"/>
      <c r="BR1183" s="704"/>
      <c r="BS1183" s="704"/>
      <c r="BT1183" s="704"/>
      <c r="BU1183" s="704"/>
      <c r="BV1183" s="705"/>
    </row>
    <row r="1184" spans="1:74" ht="45" customHeight="1" x14ac:dyDescent="0.25">
      <c r="A1184" s="10">
        <f t="shared" si="18"/>
        <v>1170</v>
      </c>
      <c r="B1184" s="662" t="s">
        <v>159</v>
      </c>
      <c r="C1184" s="662"/>
      <c r="D1184" s="663" t="s">
        <v>212</v>
      </c>
      <c r="E1184" s="663"/>
      <c r="F1184" s="664" t="s">
        <v>162</v>
      </c>
      <c r="G1184" s="665"/>
      <c r="H1184" s="754" t="s">
        <v>162</v>
      </c>
      <c r="I1184" s="714"/>
      <c r="J1184" s="340"/>
      <c r="K1184" s="341"/>
      <c r="L1184" s="340"/>
      <c r="M1184" s="341"/>
      <c r="N1184" s="194"/>
      <c r="O1184" s="196"/>
      <c r="P1184" s="717"/>
      <c r="Q1184" s="718"/>
      <c r="R1184" s="672"/>
      <c r="S1184" s="673"/>
      <c r="T1184" s="674"/>
      <c r="U1184" s="675"/>
      <c r="V1184" s="676"/>
      <c r="W1184" s="677"/>
      <c r="X1184" s="678" t="s">
        <v>159</v>
      </c>
      <c r="Y1184" s="678"/>
      <c r="Z1184" s="678"/>
      <c r="AA1184" s="678"/>
      <c r="AB1184" s="679" t="s">
        <v>159</v>
      </c>
      <c r="AC1184" s="679"/>
      <c r="AD1184" s="679"/>
      <c r="AE1184" s="679"/>
      <c r="AF1184" s="680"/>
      <c r="AG1184" s="681"/>
      <c r="AH1184" s="680"/>
      <c r="AI1184" s="681"/>
      <c r="AJ1184" s="682"/>
      <c r="AK1184" s="683"/>
      <c r="AL1184" s="684" t="s">
        <v>162</v>
      </c>
      <c r="AM1184" s="685"/>
      <c r="AN1184" s="666" t="s">
        <v>162</v>
      </c>
      <c r="AO1184" s="667"/>
      <c r="AP1184" s="686"/>
      <c r="AQ1184" s="687"/>
      <c r="AR1184" s="688"/>
      <c r="AS1184" s="689"/>
      <c r="AT1184" s="690"/>
      <c r="AU1184" s="691"/>
      <c r="AV1184" s="666" t="s">
        <v>162</v>
      </c>
      <c r="AW1184" s="667"/>
      <c r="AX1184" s="692"/>
      <c r="AY1184" s="693"/>
      <c r="AZ1184" s="694"/>
      <c r="BA1184" s="682"/>
      <c r="BB1184" s="683"/>
      <c r="BC1184" s="14"/>
      <c r="BD1184" s="695" t="s">
        <v>162</v>
      </c>
      <c r="BE1184" s="696"/>
      <c r="BF1184" s="708"/>
      <c r="BG1184" s="709"/>
      <c r="BH1184" s="709"/>
      <c r="BI1184" s="710"/>
      <c r="BJ1184" s="700" t="s">
        <v>159</v>
      </c>
      <c r="BK1184" s="701"/>
      <c r="BL1184" s="701"/>
      <c r="BM1184" s="702"/>
      <c r="BN1184" s="703" t="s">
        <v>159</v>
      </c>
      <c r="BO1184" s="704"/>
      <c r="BP1184" s="704"/>
      <c r="BQ1184" s="704"/>
      <c r="BR1184" s="704"/>
      <c r="BS1184" s="704"/>
      <c r="BT1184" s="704"/>
      <c r="BU1184" s="704"/>
      <c r="BV1184" s="705"/>
    </row>
    <row r="1185" spans="1:74" ht="45" customHeight="1" x14ac:dyDescent="0.25">
      <c r="A1185" s="10">
        <f t="shared" si="18"/>
        <v>1171</v>
      </c>
      <c r="B1185" s="711" t="s">
        <v>159</v>
      </c>
      <c r="C1185" s="711"/>
      <c r="D1185" s="712" t="s">
        <v>212</v>
      </c>
      <c r="E1185" s="712"/>
      <c r="F1185" s="664" t="s">
        <v>162</v>
      </c>
      <c r="G1185" s="665"/>
      <c r="H1185" s="755" t="s">
        <v>162</v>
      </c>
      <c r="I1185" s="667"/>
      <c r="J1185" s="706"/>
      <c r="K1185" s="707"/>
      <c r="L1185" s="706"/>
      <c r="M1185" s="707"/>
      <c r="N1185" s="215"/>
      <c r="O1185" s="216"/>
      <c r="P1185" s="670"/>
      <c r="Q1185" s="671"/>
      <c r="R1185" s="719"/>
      <c r="S1185" s="720"/>
      <c r="T1185" s="721"/>
      <c r="U1185" s="722"/>
      <c r="V1185" s="723"/>
      <c r="W1185" s="724"/>
      <c r="X1185" s="725" t="s">
        <v>159</v>
      </c>
      <c r="Y1185" s="725"/>
      <c r="Z1185" s="725"/>
      <c r="AA1185" s="725"/>
      <c r="AB1185" s="726" t="s">
        <v>159</v>
      </c>
      <c r="AC1185" s="726"/>
      <c r="AD1185" s="726"/>
      <c r="AE1185" s="726"/>
      <c r="AF1185" s="727"/>
      <c r="AG1185" s="728"/>
      <c r="AH1185" s="727"/>
      <c r="AI1185" s="728"/>
      <c r="AJ1185" s="682"/>
      <c r="AK1185" s="683"/>
      <c r="AL1185" s="664" t="s">
        <v>162</v>
      </c>
      <c r="AM1185" s="665"/>
      <c r="AN1185" s="713" t="s">
        <v>162</v>
      </c>
      <c r="AO1185" s="714"/>
      <c r="AP1185" s="729"/>
      <c r="AQ1185" s="730"/>
      <c r="AR1185" s="731"/>
      <c r="AS1185" s="732"/>
      <c r="AT1185" s="733"/>
      <c r="AU1185" s="734"/>
      <c r="AV1185" s="713" t="s">
        <v>162</v>
      </c>
      <c r="AW1185" s="714"/>
      <c r="AX1185" s="692"/>
      <c r="AY1185" s="693"/>
      <c r="AZ1185" s="694"/>
      <c r="BA1185" s="735"/>
      <c r="BB1185" s="736"/>
      <c r="BC1185" s="219"/>
      <c r="BD1185" s="737" t="s">
        <v>162</v>
      </c>
      <c r="BE1185" s="738"/>
      <c r="BF1185" s="739"/>
      <c r="BG1185" s="740"/>
      <c r="BH1185" s="740"/>
      <c r="BI1185" s="741"/>
      <c r="BJ1185" s="742" t="s">
        <v>159</v>
      </c>
      <c r="BK1185" s="743"/>
      <c r="BL1185" s="743"/>
      <c r="BM1185" s="744"/>
      <c r="BN1185" s="703" t="s">
        <v>159</v>
      </c>
      <c r="BO1185" s="704"/>
      <c r="BP1185" s="704"/>
      <c r="BQ1185" s="704"/>
      <c r="BR1185" s="704"/>
      <c r="BS1185" s="704"/>
      <c r="BT1185" s="704"/>
      <c r="BU1185" s="704"/>
      <c r="BV1185" s="705"/>
    </row>
    <row r="1186" spans="1:74" ht="45" customHeight="1" x14ac:dyDescent="0.25">
      <c r="A1186" s="10">
        <f t="shared" si="18"/>
        <v>1172</v>
      </c>
      <c r="B1186" s="662" t="s">
        <v>159</v>
      </c>
      <c r="C1186" s="662"/>
      <c r="D1186" s="663" t="s">
        <v>212</v>
      </c>
      <c r="E1186" s="663"/>
      <c r="F1186" s="664" t="s">
        <v>162</v>
      </c>
      <c r="G1186" s="665"/>
      <c r="H1186" s="754" t="s">
        <v>162</v>
      </c>
      <c r="I1186" s="714"/>
      <c r="J1186" s="340"/>
      <c r="K1186" s="341"/>
      <c r="L1186" s="340"/>
      <c r="M1186" s="341"/>
      <c r="N1186" s="194"/>
      <c r="O1186" s="196"/>
      <c r="P1186" s="717"/>
      <c r="Q1186" s="718"/>
      <c r="R1186" s="672"/>
      <c r="S1186" s="673"/>
      <c r="T1186" s="674"/>
      <c r="U1186" s="675"/>
      <c r="V1186" s="676"/>
      <c r="W1186" s="677"/>
      <c r="X1186" s="678" t="s">
        <v>159</v>
      </c>
      <c r="Y1186" s="678"/>
      <c r="Z1186" s="678"/>
      <c r="AA1186" s="678"/>
      <c r="AB1186" s="679" t="s">
        <v>159</v>
      </c>
      <c r="AC1186" s="679"/>
      <c r="AD1186" s="679"/>
      <c r="AE1186" s="679"/>
      <c r="AF1186" s="680"/>
      <c r="AG1186" s="681"/>
      <c r="AH1186" s="680"/>
      <c r="AI1186" s="681"/>
      <c r="AJ1186" s="682"/>
      <c r="AK1186" s="683"/>
      <c r="AL1186" s="684" t="s">
        <v>162</v>
      </c>
      <c r="AM1186" s="685"/>
      <c r="AN1186" s="666" t="s">
        <v>162</v>
      </c>
      <c r="AO1186" s="667"/>
      <c r="AP1186" s="686"/>
      <c r="AQ1186" s="687"/>
      <c r="AR1186" s="688"/>
      <c r="AS1186" s="689"/>
      <c r="AT1186" s="690"/>
      <c r="AU1186" s="691"/>
      <c r="AV1186" s="666" t="s">
        <v>162</v>
      </c>
      <c r="AW1186" s="667"/>
      <c r="AX1186" s="692"/>
      <c r="AY1186" s="693"/>
      <c r="AZ1186" s="694"/>
      <c r="BA1186" s="682"/>
      <c r="BB1186" s="683"/>
      <c r="BC1186" s="14"/>
      <c r="BD1186" s="695" t="s">
        <v>162</v>
      </c>
      <c r="BE1186" s="696"/>
      <c r="BF1186" s="697"/>
      <c r="BG1186" s="698"/>
      <c r="BH1186" s="698"/>
      <c r="BI1186" s="699"/>
      <c r="BJ1186" s="700" t="s">
        <v>159</v>
      </c>
      <c r="BK1186" s="701"/>
      <c r="BL1186" s="701"/>
      <c r="BM1186" s="702"/>
      <c r="BN1186" s="703" t="s">
        <v>159</v>
      </c>
      <c r="BO1186" s="704"/>
      <c r="BP1186" s="704"/>
      <c r="BQ1186" s="704"/>
      <c r="BR1186" s="704"/>
      <c r="BS1186" s="704"/>
      <c r="BT1186" s="704"/>
      <c r="BU1186" s="704"/>
      <c r="BV1186" s="705"/>
    </row>
    <row r="1187" spans="1:74" ht="45" customHeight="1" x14ac:dyDescent="0.25">
      <c r="A1187" s="10">
        <f t="shared" si="18"/>
        <v>1173</v>
      </c>
      <c r="B1187" s="711" t="s">
        <v>159</v>
      </c>
      <c r="C1187" s="711"/>
      <c r="D1187" s="712" t="s">
        <v>212</v>
      </c>
      <c r="E1187" s="712"/>
      <c r="F1187" s="664" t="s">
        <v>162</v>
      </c>
      <c r="G1187" s="665"/>
      <c r="H1187" s="755" t="s">
        <v>162</v>
      </c>
      <c r="I1187" s="667"/>
      <c r="J1187" s="706"/>
      <c r="K1187" s="707"/>
      <c r="L1187" s="706"/>
      <c r="M1187" s="707"/>
      <c r="N1187" s="215"/>
      <c r="O1187" s="216"/>
      <c r="P1187" s="670"/>
      <c r="Q1187" s="671"/>
      <c r="R1187" s="719"/>
      <c r="S1187" s="720"/>
      <c r="T1187" s="721"/>
      <c r="U1187" s="722"/>
      <c r="V1187" s="723"/>
      <c r="W1187" s="724"/>
      <c r="X1187" s="725" t="s">
        <v>159</v>
      </c>
      <c r="Y1187" s="725"/>
      <c r="Z1187" s="725"/>
      <c r="AA1187" s="725"/>
      <c r="AB1187" s="726" t="s">
        <v>159</v>
      </c>
      <c r="AC1187" s="726"/>
      <c r="AD1187" s="726"/>
      <c r="AE1187" s="726"/>
      <c r="AF1187" s="727"/>
      <c r="AG1187" s="728"/>
      <c r="AH1187" s="727"/>
      <c r="AI1187" s="728"/>
      <c r="AJ1187" s="682"/>
      <c r="AK1187" s="683"/>
      <c r="AL1187" s="664" t="s">
        <v>162</v>
      </c>
      <c r="AM1187" s="665"/>
      <c r="AN1187" s="713" t="s">
        <v>162</v>
      </c>
      <c r="AO1187" s="714"/>
      <c r="AP1187" s="729"/>
      <c r="AQ1187" s="730"/>
      <c r="AR1187" s="731"/>
      <c r="AS1187" s="732"/>
      <c r="AT1187" s="733"/>
      <c r="AU1187" s="734"/>
      <c r="AV1187" s="713" t="s">
        <v>162</v>
      </c>
      <c r="AW1187" s="714"/>
      <c r="AX1187" s="692"/>
      <c r="AY1187" s="693"/>
      <c r="AZ1187" s="694"/>
      <c r="BA1187" s="735"/>
      <c r="BB1187" s="736"/>
      <c r="BC1187" s="219"/>
      <c r="BD1187" s="737" t="s">
        <v>162</v>
      </c>
      <c r="BE1187" s="738"/>
      <c r="BF1187" s="739"/>
      <c r="BG1187" s="740"/>
      <c r="BH1187" s="740"/>
      <c r="BI1187" s="741"/>
      <c r="BJ1187" s="742" t="s">
        <v>159</v>
      </c>
      <c r="BK1187" s="743"/>
      <c r="BL1187" s="743"/>
      <c r="BM1187" s="744"/>
      <c r="BN1187" s="703" t="s">
        <v>159</v>
      </c>
      <c r="BO1187" s="704"/>
      <c r="BP1187" s="704"/>
      <c r="BQ1187" s="704"/>
      <c r="BR1187" s="704"/>
      <c r="BS1187" s="704"/>
      <c r="BT1187" s="704"/>
      <c r="BU1187" s="704"/>
      <c r="BV1187" s="705"/>
    </row>
    <row r="1188" spans="1:74" ht="45" customHeight="1" x14ac:dyDescent="0.25">
      <c r="A1188" s="10">
        <f t="shared" si="18"/>
        <v>1174</v>
      </c>
      <c r="B1188" s="662" t="s">
        <v>159</v>
      </c>
      <c r="C1188" s="662"/>
      <c r="D1188" s="663" t="s">
        <v>212</v>
      </c>
      <c r="E1188" s="663"/>
      <c r="F1188" s="664" t="s">
        <v>162</v>
      </c>
      <c r="G1188" s="665"/>
      <c r="H1188" s="754" t="s">
        <v>162</v>
      </c>
      <c r="I1188" s="714"/>
      <c r="J1188" s="340"/>
      <c r="K1188" s="341"/>
      <c r="L1188" s="340"/>
      <c r="M1188" s="341"/>
      <c r="N1188" s="194"/>
      <c r="O1188" s="196"/>
      <c r="P1188" s="717"/>
      <c r="Q1188" s="718"/>
      <c r="R1188" s="672"/>
      <c r="S1188" s="673"/>
      <c r="T1188" s="674"/>
      <c r="U1188" s="675"/>
      <c r="V1188" s="676"/>
      <c r="W1188" s="677"/>
      <c r="X1188" s="678" t="s">
        <v>159</v>
      </c>
      <c r="Y1188" s="678"/>
      <c r="Z1188" s="678"/>
      <c r="AA1188" s="678"/>
      <c r="AB1188" s="679" t="s">
        <v>159</v>
      </c>
      <c r="AC1188" s="679"/>
      <c r="AD1188" s="679"/>
      <c r="AE1188" s="679"/>
      <c r="AF1188" s="680"/>
      <c r="AG1188" s="681"/>
      <c r="AH1188" s="680"/>
      <c r="AI1188" s="681"/>
      <c r="AJ1188" s="682"/>
      <c r="AK1188" s="683"/>
      <c r="AL1188" s="684" t="s">
        <v>162</v>
      </c>
      <c r="AM1188" s="685"/>
      <c r="AN1188" s="666" t="s">
        <v>162</v>
      </c>
      <c r="AO1188" s="667"/>
      <c r="AP1188" s="686"/>
      <c r="AQ1188" s="687"/>
      <c r="AR1188" s="688"/>
      <c r="AS1188" s="689"/>
      <c r="AT1188" s="690"/>
      <c r="AU1188" s="691"/>
      <c r="AV1188" s="666" t="s">
        <v>162</v>
      </c>
      <c r="AW1188" s="667"/>
      <c r="AX1188" s="692"/>
      <c r="AY1188" s="693"/>
      <c r="AZ1188" s="694"/>
      <c r="BA1188" s="682"/>
      <c r="BB1188" s="683"/>
      <c r="BC1188" s="14"/>
      <c r="BD1188" s="695" t="s">
        <v>162</v>
      </c>
      <c r="BE1188" s="696"/>
      <c r="BF1188" s="697"/>
      <c r="BG1188" s="698"/>
      <c r="BH1188" s="698"/>
      <c r="BI1188" s="699"/>
      <c r="BJ1188" s="700" t="s">
        <v>159</v>
      </c>
      <c r="BK1188" s="701"/>
      <c r="BL1188" s="701"/>
      <c r="BM1188" s="702"/>
      <c r="BN1188" s="703" t="s">
        <v>159</v>
      </c>
      <c r="BO1188" s="704"/>
      <c r="BP1188" s="704"/>
      <c r="BQ1188" s="704"/>
      <c r="BR1188" s="704"/>
      <c r="BS1188" s="704"/>
      <c r="BT1188" s="704"/>
      <c r="BU1188" s="704"/>
      <c r="BV1188" s="705"/>
    </row>
    <row r="1189" spans="1:74" ht="45" customHeight="1" x14ac:dyDescent="0.25">
      <c r="A1189" s="10">
        <f t="shared" si="18"/>
        <v>1175</v>
      </c>
      <c r="B1189" s="711" t="s">
        <v>159</v>
      </c>
      <c r="C1189" s="711"/>
      <c r="D1189" s="712" t="s">
        <v>212</v>
      </c>
      <c r="E1189" s="712"/>
      <c r="F1189" s="664" t="s">
        <v>162</v>
      </c>
      <c r="G1189" s="665"/>
      <c r="H1189" s="755" t="s">
        <v>162</v>
      </c>
      <c r="I1189" s="667"/>
      <c r="J1189" s="706"/>
      <c r="K1189" s="707"/>
      <c r="L1189" s="706"/>
      <c r="M1189" s="707"/>
      <c r="N1189" s="215"/>
      <c r="O1189" s="216"/>
      <c r="P1189" s="670"/>
      <c r="Q1189" s="671"/>
      <c r="R1189" s="719"/>
      <c r="S1189" s="720"/>
      <c r="T1189" s="721"/>
      <c r="U1189" s="722"/>
      <c r="V1189" s="723"/>
      <c r="W1189" s="724"/>
      <c r="X1189" s="725" t="s">
        <v>159</v>
      </c>
      <c r="Y1189" s="725"/>
      <c r="Z1189" s="725"/>
      <c r="AA1189" s="725"/>
      <c r="AB1189" s="726" t="s">
        <v>159</v>
      </c>
      <c r="AC1189" s="726"/>
      <c r="AD1189" s="726"/>
      <c r="AE1189" s="726"/>
      <c r="AF1189" s="727"/>
      <c r="AG1189" s="728"/>
      <c r="AH1189" s="727"/>
      <c r="AI1189" s="728"/>
      <c r="AJ1189" s="682"/>
      <c r="AK1189" s="683"/>
      <c r="AL1189" s="664" t="s">
        <v>162</v>
      </c>
      <c r="AM1189" s="665"/>
      <c r="AN1189" s="713" t="s">
        <v>162</v>
      </c>
      <c r="AO1189" s="714"/>
      <c r="AP1189" s="729"/>
      <c r="AQ1189" s="730"/>
      <c r="AR1189" s="731"/>
      <c r="AS1189" s="732"/>
      <c r="AT1189" s="733"/>
      <c r="AU1189" s="734"/>
      <c r="AV1189" s="713" t="s">
        <v>162</v>
      </c>
      <c r="AW1189" s="714"/>
      <c r="AX1189" s="692"/>
      <c r="AY1189" s="693"/>
      <c r="AZ1189" s="694"/>
      <c r="BA1189" s="735"/>
      <c r="BB1189" s="736"/>
      <c r="BC1189" s="219"/>
      <c r="BD1189" s="737" t="s">
        <v>162</v>
      </c>
      <c r="BE1189" s="738"/>
      <c r="BF1189" s="739"/>
      <c r="BG1189" s="740"/>
      <c r="BH1189" s="740"/>
      <c r="BI1189" s="741"/>
      <c r="BJ1189" s="742" t="s">
        <v>159</v>
      </c>
      <c r="BK1189" s="743"/>
      <c r="BL1189" s="743"/>
      <c r="BM1189" s="744"/>
      <c r="BN1189" s="703" t="s">
        <v>159</v>
      </c>
      <c r="BO1189" s="704"/>
      <c r="BP1189" s="704"/>
      <c r="BQ1189" s="704"/>
      <c r="BR1189" s="704"/>
      <c r="BS1189" s="704"/>
      <c r="BT1189" s="704"/>
      <c r="BU1189" s="704"/>
      <c r="BV1189" s="705"/>
    </row>
    <row r="1190" spans="1:74" ht="45" customHeight="1" x14ac:dyDescent="0.25">
      <c r="A1190" s="10">
        <f t="shared" si="18"/>
        <v>1176</v>
      </c>
      <c r="B1190" s="662" t="s">
        <v>159</v>
      </c>
      <c r="C1190" s="662"/>
      <c r="D1190" s="663" t="s">
        <v>212</v>
      </c>
      <c r="E1190" s="663"/>
      <c r="F1190" s="664" t="s">
        <v>162</v>
      </c>
      <c r="G1190" s="665"/>
      <c r="H1190" s="754" t="s">
        <v>162</v>
      </c>
      <c r="I1190" s="714"/>
      <c r="J1190" s="340"/>
      <c r="K1190" s="341"/>
      <c r="L1190" s="340"/>
      <c r="M1190" s="341"/>
      <c r="N1190" s="194"/>
      <c r="O1190" s="196"/>
      <c r="P1190" s="717"/>
      <c r="Q1190" s="718"/>
      <c r="R1190" s="672"/>
      <c r="S1190" s="673"/>
      <c r="T1190" s="674"/>
      <c r="U1190" s="675"/>
      <c r="V1190" s="676"/>
      <c r="W1190" s="677"/>
      <c r="X1190" s="678" t="s">
        <v>159</v>
      </c>
      <c r="Y1190" s="678"/>
      <c r="Z1190" s="678"/>
      <c r="AA1190" s="678"/>
      <c r="AB1190" s="679" t="s">
        <v>159</v>
      </c>
      <c r="AC1190" s="679"/>
      <c r="AD1190" s="679"/>
      <c r="AE1190" s="679"/>
      <c r="AF1190" s="680"/>
      <c r="AG1190" s="681"/>
      <c r="AH1190" s="680"/>
      <c r="AI1190" s="681"/>
      <c r="AJ1190" s="682"/>
      <c r="AK1190" s="683"/>
      <c r="AL1190" s="684" t="s">
        <v>162</v>
      </c>
      <c r="AM1190" s="685"/>
      <c r="AN1190" s="666" t="s">
        <v>162</v>
      </c>
      <c r="AO1190" s="667"/>
      <c r="AP1190" s="686"/>
      <c r="AQ1190" s="687"/>
      <c r="AR1190" s="688"/>
      <c r="AS1190" s="689"/>
      <c r="AT1190" s="690"/>
      <c r="AU1190" s="691"/>
      <c r="AV1190" s="666" t="s">
        <v>162</v>
      </c>
      <c r="AW1190" s="667"/>
      <c r="AX1190" s="692"/>
      <c r="AY1190" s="693"/>
      <c r="AZ1190" s="694"/>
      <c r="BA1190" s="682"/>
      <c r="BB1190" s="683"/>
      <c r="BC1190" s="14"/>
      <c r="BD1190" s="695" t="s">
        <v>162</v>
      </c>
      <c r="BE1190" s="696"/>
      <c r="BF1190" s="708"/>
      <c r="BG1190" s="709"/>
      <c r="BH1190" s="709"/>
      <c r="BI1190" s="710"/>
      <c r="BJ1190" s="700" t="s">
        <v>159</v>
      </c>
      <c r="BK1190" s="701"/>
      <c r="BL1190" s="701"/>
      <c r="BM1190" s="702"/>
      <c r="BN1190" s="703" t="s">
        <v>159</v>
      </c>
      <c r="BO1190" s="704"/>
      <c r="BP1190" s="704"/>
      <c r="BQ1190" s="704"/>
      <c r="BR1190" s="704"/>
      <c r="BS1190" s="704"/>
      <c r="BT1190" s="704"/>
      <c r="BU1190" s="704"/>
      <c r="BV1190" s="705"/>
    </row>
    <row r="1191" spans="1:74" ht="45" customHeight="1" x14ac:dyDescent="0.25">
      <c r="A1191" s="10">
        <f t="shared" si="18"/>
        <v>1177</v>
      </c>
      <c r="B1191" s="711" t="s">
        <v>159</v>
      </c>
      <c r="C1191" s="711"/>
      <c r="D1191" s="712" t="s">
        <v>212</v>
      </c>
      <c r="E1191" s="712"/>
      <c r="F1191" s="664" t="s">
        <v>162</v>
      </c>
      <c r="G1191" s="665"/>
      <c r="H1191" s="755" t="s">
        <v>162</v>
      </c>
      <c r="I1191" s="667"/>
      <c r="J1191" s="706"/>
      <c r="K1191" s="707"/>
      <c r="L1191" s="706"/>
      <c r="M1191" s="707"/>
      <c r="N1191" s="215"/>
      <c r="O1191" s="216"/>
      <c r="P1191" s="670"/>
      <c r="Q1191" s="671"/>
      <c r="R1191" s="719"/>
      <c r="S1191" s="720"/>
      <c r="T1191" s="721"/>
      <c r="U1191" s="722"/>
      <c r="V1191" s="723"/>
      <c r="W1191" s="724"/>
      <c r="X1191" s="725" t="s">
        <v>159</v>
      </c>
      <c r="Y1191" s="725"/>
      <c r="Z1191" s="725"/>
      <c r="AA1191" s="725"/>
      <c r="AB1191" s="726" t="s">
        <v>159</v>
      </c>
      <c r="AC1191" s="726"/>
      <c r="AD1191" s="726"/>
      <c r="AE1191" s="726"/>
      <c r="AF1191" s="727"/>
      <c r="AG1191" s="728"/>
      <c r="AH1191" s="727"/>
      <c r="AI1191" s="728"/>
      <c r="AJ1191" s="682"/>
      <c r="AK1191" s="683"/>
      <c r="AL1191" s="664" t="s">
        <v>162</v>
      </c>
      <c r="AM1191" s="665"/>
      <c r="AN1191" s="713" t="s">
        <v>162</v>
      </c>
      <c r="AO1191" s="714"/>
      <c r="AP1191" s="729"/>
      <c r="AQ1191" s="730"/>
      <c r="AR1191" s="731"/>
      <c r="AS1191" s="732"/>
      <c r="AT1191" s="733"/>
      <c r="AU1191" s="734"/>
      <c r="AV1191" s="713" t="s">
        <v>162</v>
      </c>
      <c r="AW1191" s="714"/>
      <c r="AX1191" s="692"/>
      <c r="AY1191" s="693"/>
      <c r="AZ1191" s="694"/>
      <c r="BA1191" s="735"/>
      <c r="BB1191" s="736"/>
      <c r="BC1191" s="219"/>
      <c r="BD1191" s="737" t="s">
        <v>162</v>
      </c>
      <c r="BE1191" s="738"/>
      <c r="BF1191" s="739"/>
      <c r="BG1191" s="740"/>
      <c r="BH1191" s="740"/>
      <c r="BI1191" s="741"/>
      <c r="BJ1191" s="742" t="s">
        <v>159</v>
      </c>
      <c r="BK1191" s="743"/>
      <c r="BL1191" s="743"/>
      <c r="BM1191" s="744"/>
      <c r="BN1191" s="703" t="s">
        <v>159</v>
      </c>
      <c r="BO1191" s="704"/>
      <c r="BP1191" s="704"/>
      <c r="BQ1191" s="704"/>
      <c r="BR1191" s="704"/>
      <c r="BS1191" s="704"/>
      <c r="BT1191" s="704"/>
      <c r="BU1191" s="704"/>
      <c r="BV1191" s="705"/>
    </row>
    <row r="1192" spans="1:74" ht="45" customHeight="1" x14ac:dyDescent="0.25">
      <c r="A1192" s="10">
        <f t="shared" si="18"/>
        <v>1178</v>
      </c>
      <c r="B1192" s="662" t="s">
        <v>159</v>
      </c>
      <c r="C1192" s="662"/>
      <c r="D1192" s="663" t="s">
        <v>212</v>
      </c>
      <c r="E1192" s="663"/>
      <c r="F1192" s="664" t="s">
        <v>162</v>
      </c>
      <c r="G1192" s="665"/>
      <c r="H1192" s="754" t="s">
        <v>162</v>
      </c>
      <c r="I1192" s="714"/>
      <c r="J1192" s="340"/>
      <c r="K1192" s="341"/>
      <c r="L1192" s="340"/>
      <c r="M1192" s="341"/>
      <c r="N1192" s="194"/>
      <c r="O1192" s="196"/>
      <c r="P1192" s="717"/>
      <c r="Q1192" s="718"/>
      <c r="R1192" s="672"/>
      <c r="S1192" s="673"/>
      <c r="T1192" s="674"/>
      <c r="U1192" s="675"/>
      <c r="V1192" s="676"/>
      <c r="W1192" s="677"/>
      <c r="X1192" s="678" t="s">
        <v>159</v>
      </c>
      <c r="Y1192" s="678"/>
      <c r="Z1192" s="678"/>
      <c r="AA1192" s="678"/>
      <c r="AB1192" s="679" t="s">
        <v>159</v>
      </c>
      <c r="AC1192" s="679"/>
      <c r="AD1192" s="679"/>
      <c r="AE1192" s="679"/>
      <c r="AF1192" s="680"/>
      <c r="AG1192" s="681"/>
      <c r="AH1192" s="680"/>
      <c r="AI1192" s="681"/>
      <c r="AJ1192" s="682"/>
      <c r="AK1192" s="683"/>
      <c r="AL1192" s="684" t="s">
        <v>162</v>
      </c>
      <c r="AM1192" s="685"/>
      <c r="AN1192" s="666" t="s">
        <v>162</v>
      </c>
      <c r="AO1192" s="667"/>
      <c r="AP1192" s="686"/>
      <c r="AQ1192" s="687"/>
      <c r="AR1192" s="688"/>
      <c r="AS1192" s="689"/>
      <c r="AT1192" s="690"/>
      <c r="AU1192" s="691"/>
      <c r="AV1192" s="666" t="s">
        <v>162</v>
      </c>
      <c r="AW1192" s="667"/>
      <c r="AX1192" s="692"/>
      <c r="AY1192" s="693"/>
      <c r="AZ1192" s="694"/>
      <c r="BA1192" s="682"/>
      <c r="BB1192" s="683"/>
      <c r="BC1192" s="14"/>
      <c r="BD1192" s="695" t="s">
        <v>162</v>
      </c>
      <c r="BE1192" s="696"/>
      <c r="BF1192" s="697"/>
      <c r="BG1192" s="698"/>
      <c r="BH1192" s="698"/>
      <c r="BI1192" s="699"/>
      <c r="BJ1192" s="700" t="s">
        <v>159</v>
      </c>
      <c r="BK1192" s="701"/>
      <c r="BL1192" s="701"/>
      <c r="BM1192" s="702"/>
      <c r="BN1192" s="703" t="s">
        <v>159</v>
      </c>
      <c r="BO1192" s="704"/>
      <c r="BP1192" s="704"/>
      <c r="BQ1192" s="704"/>
      <c r="BR1192" s="704"/>
      <c r="BS1192" s="704"/>
      <c r="BT1192" s="704"/>
      <c r="BU1192" s="704"/>
      <c r="BV1192" s="705"/>
    </row>
    <row r="1193" spans="1:74" ht="45" customHeight="1" x14ac:dyDescent="0.25">
      <c r="A1193" s="10">
        <f t="shared" si="18"/>
        <v>1179</v>
      </c>
      <c r="B1193" s="711" t="s">
        <v>159</v>
      </c>
      <c r="C1193" s="711"/>
      <c r="D1193" s="712" t="s">
        <v>212</v>
      </c>
      <c r="E1193" s="712"/>
      <c r="F1193" s="664" t="s">
        <v>162</v>
      </c>
      <c r="G1193" s="665"/>
      <c r="H1193" s="755" t="s">
        <v>162</v>
      </c>
      <c r="I1193" s="667"/>
      <c r="J1193" s="706"/>
      <c r="K1193" s="707"/>
      <c r="L1193" s="706"/>
      <c r="M1193" s="707"/>
      <c r="N1193" s="194"/>
      <c r="O1193" s="196"/>
      <c r="P1193" s="717"/>
      <c r="Q1193" s="718"/>
      <c r="R1193" s="719"/>
      <c r="S1193" s="720"/>
      <c r="T1193" s="721"/>
      <c r="U1193" s="722"/>
      <c r="V1193" s="723"/>
      <c r="W1193" s="724"/>
      <c r="X1193" s="725" t="s">
        <v>159</v>
      </c>
      <c r="Y1193" s="725"/>
      <c r="Z1193" s="725"/>
      <c r="AA1193" s="725"/>
      <c r="AB1193" s="726" t="s">
        <v>159</v>
      </c>
      <c r="AC1193" s="726"/>
      <c r="AD1193" s="726"/>
      <c r="AE1193" s="726"/>
      <c r="AF1193" s="727"/>
      <c r="AG1193" s="728"/>
      <c r="AH1193" s="727"/>
      <c r="AI1193" s="728"/>
      <c r="AJ1193" s="682"/>
      <c r="AK1193" s="683"/>
      <c r="AL1193" s="664" t="s">
        <v>162</v>
      </c>
      <c r="AM1193" s="665"/>
      <c r="AN1193" s="713" t="s">
        <v>162</v>
      </c>
      <c r="AO1193" s="714"/>
      <c r="AP1193" s="729"/>
      <c r="AQ1193" s="730"/>
      <c r="AR1193" s="731"/>
      <c r="AS1193" s="732"/>
      <c r="AT1193" s="690"/>
      <c r="AU1193" s="691"/>
      <c r="AV1193" s="713" t="s">
        <v>162</v>
      </c>
      <c r="AW1193" s="714"/>
      <c r="AX1193" s="692"/>
      <c r="AY1193" s="693"/>
      <c r="AZ1193" s="694"/>
      <c r="BA1193" s="735"/>
      <c r="BB1193" s="736"/>
      <c r="BC1193" s="219"/>
      <c r="BD1193" s="737" t="s">
        <v>162</v>
      </c>
      <c r="BE1193" s="738"/>
      <c r="BF1193" s="739"/>
      <c r="BG1193" s="740"/>
      <c r="BH1193" s="740"/>
      <c r="BI1193" s="741"/>
      <c r="BJ1193" s="742" t="s">
        <v>159</v>
      </c>
      <c r="BK1193" s="743"/>
      <c r="BL1193" s="743"/>
      <c r="BM1193" s="744"/>
      <c r="BN1193" s="703" t="s">
        <v>159</v>
      </c>
      <c r="BO1193" s="704"/>
      <c r="BP1193" s="704"/>
      <c r="BQ1193" s="704"/>
      <c r="BR1193" s="704"/>
      <c r="BS1193" s="704"/>
      <c r="BT1193" s="704"/>
      <c r="BU1193" s="704"/>
      <c r="BV1193" s="705"/>
    </row>
    <row r="1194" spans="1:74" ht="45" customHeight="1" x14ac:dyDescent="0.25">
      <c r="A1194" s="10">
        <f t="shared" si="18"/>
        <v>1180</v>
      </c>
      <c r="B1194" s="662" t="s">
        <v>159</v>
      </c>
      <c r="C1194" s="662"/>
      <c r="D1194" s="663" t="s">
        <v>212</v>
      </c>
      <c r="E1194" s="663"/>
      <c r="F1194" s="664" t="s">
        <v>162</v>
      </c>
      <c r="G1194" s="665"/>
      <c r="H1194" s="754" t="s">
        <v>162</v>
      </c>
      <c r="I1194" s="714"/>
      <c r="J1194" s="340"/>
      <c r="K1194" s="341"/>
      <c r="L1194" s="340"/>
      <c r="M1194" s="341"/>
      <c r="N1194" s="215"/>
      <c r="O1194" s="216"/>
      <c r="P1194" s="670"/>
      <c r="Q1194" s="671"/>
      <c r="R1194" s="672"/>
      <c r="S1194" s="673"/>
      <c r="T1194" s="674"/>
      <c r="U1194" s="675"/>
      <c r="V1194" s="676"/>
      <c r="W1194" s="677"/>
      <c r="X1194" s="678" t="s">
        <v>159</v>
      </c>
      <c r="Y1194" s="678"/>
      <c r="Z1194" s="678"/>
      <c r="AA1194" s="678"/>
      <c r="AB1194" s="679" t="s">
        <v>159</v>
      </c>
      <c r="AC1194" s="679"/>
      <c r="AD1194" s="679"/>
      <c r="AE1194" s="679"/>
      <c r="AF1194" s="680"/>
      <c r="AG1194" s="681"/>
      <c r="AH1194" s="680"/>
      <c r="AI1194" s="681"/>
      <c r="AJ1194" s="682"/>
      <c r="AK1194" s="683"/>
      <c r="AL1194" s="684" t="s">
        <v>162</v>
      </c>
      <c r="AM1194" s="685"/>
      <c r="AN1194" s="666" t="s">
        <v>162</v>
      </c>
      <c r="AO1194" s="667"/>
      <c r="AP1194" s="686"/>
      <c r="AQ1194" s="687"/>
      <c r="AR1194" s="688"/>
      <c r="AS1194" s="689"/>
      <c r="AT1194" s="690"/>
      <c r="AU1194" s="691"/>
      <c r="AV1194" s="666" t="s">
        <v>162</v>
      </c>
      <c r="AW1194" s="667"/>
      <c r="AX1194" s="692"/>
      <c r="AY1194" s="693"/>
      <c r="AZ1194" s="694"/>
      <c r="BA1194" s="682"/>
      <c r="BB1194" s="683"/>
      <c r="BC1194" s="14"/>
      <c r="BD1194" s="695" t="s">
        <v>162</v>
      </c>
      <c r="BE1194" s="696"/>
      <c r="BF1194" s="697"/>
      <c r="BG1194" s="698"/>
      <c r="BH1194" s="698"/>
      <c r="BI1194" s="699"/>
      <c r="BJ1194" s="700" t="s">
        <v>159</v>
      </c>
      <c r="BK1194" s="701"/>
      <c r="BL1194" s="701"/>
      <c r="BM1194" s="702"/>
      <c r="BN1194" s="703" t="s">
        <v>159</v>
      </c>
      <c r="BO1194" s="704"/>
      <c r="BP1194" s="704"/>
      <c r="BQ1194" s="704"/>
      <c r="BR1194" s="704"/>
      <c r="BS1194" s="704"/>
      <c r="BT1194" s="704"/>
      <c r="BU1194" s="704"/>
      <c r="BV1194" s="705"/>
    </row>
    <row r="1195" spans="1:74" ht="45" customHeight="1" x14ac:dyDescent="0.25">
      <c r="A1195" s="10">
        <f t="shared" si="18"/>
        <v>1181</v>
      </c>
      <c r="B1195" s="711" t="s">
        <v>159</v>
      </c>
      <c r="C1195" s="711"/>
      <c r="D1195" s="712" t="s">
        <v>212</v>
      </c>
      <c r="E1195" s="712"/>
      <c r="F1195" s="664" t="s">
        <v>162</v>
      </c>
      <c r="G1195" s="665"/>
      <c r="H1195" s="755" t="s">
        <v>162</v>
      </c>
      <c r="I1195" s="667"/>
      <c r="J1195" s="706"/>
      <c r="K1195" s="707"/>
      <c r="L1195" s="706"/>
      <c r="M1195" s="707"/>
      <c r="N1195" s="194"/>
      <c r="O1195" s="196"/>
      <c r="P1195" s="717"/>
      <c r="Q1195" s="718"/>
      <c r="R1195" s="719"/>
      <c r="S1195" s="720"/>
      <c r="T1195" s="721"/>
      <c r="U1195" s="722"/>
      <c r="V1195" s="723"/>
      <c r="W1195" s="724"/>
      <c r="X1195" s="725" t="s">
        <v>159</v>
      </c>
      <c r="Y1195" s="725"/>
      <c r="Z1195" s="725"/>
      <c r="AA1195" s="725"/>
      <c r="AB1195" s="726" t="s">
        <v>159</v>
      </c>
      <c r="AC1195" s="726"/>
      <c r="AD1195" s="726"/>
      <c r="AE1195" s="726"/>
      <c r="AF1195" s="727"/>
      <c r="AG1195" s="728"/>
      <c r="AH1195" s="727"/>
      <c r="AI1195" s="728"/>
      <c r="AJ1195" s="682"/>
      <c r="AK1195" s="683"/>
      <c r="AL1195" s="664" t="s">
        <v>162</v>
      </c>
      <c r="AM1195" s="665"/>
      <c r="AN1195" s="713" t="s">
        <v>162</v>
      </c>
      <c r="AO1195" s="714"/>
      <c r="AP1195" s="729"/>
      <c r="AQ1195" s="730"/>
      <c r="AR1195" s="731"/>
      <c r="AS1195" s="732"/>
      <c r="AT1195" s="690"/>
      <c r="AU1195" s="691"/>
      <c r="AV1195" s="713" t="s">
        <v>162</v>
      </c>
      <c r="AW1195" s="714"/>
      <c r="AX1195" s="692"/>
      <c r="AY1195" s="693"/>
      <c r="AZ1195" s="694"/>
      <c r="BA1195" s="735"/>
      <c r="BB1195" s="736"/>
      <c r="BC1195" s="219"/>
      <c r="BD1195" s="737" t="s">
        <v>162</v>
      </c>
      <c r="BE1195" s="738"/>
      <c r="BF1195" s="739"/>
      <c r="BG1195" s="740"/>
      <c r="BH1195" s="740"/>
      <c r="BI1195" s="741"/>
      <c r="BJ1195" s="742" t="s">
        <v>159</v>
      </c>
      <c r="BK1195" s="743"/>
      <c r="BL1195" s="743"/>
      <c r="BM1195" s="744"/>
      <c r="BN1195" s="703" t="s">
        <v>159</v>
      </c>
      <c r="BO1195" s="704"/>
      <c r="BP1195" s="704"/>
      <c r="BQ1195" s="704"/>
      <c r="BR1195" s="704"/>
      <c r="BS1195" s="704"/>
      <c r="BT1195" s="704"/>
      <c r="BU1195" s="704"/>
      <c r="BV1195" s="705"/>
    </row>
    <row r="1196" spans="1:74" ht="45" customHeight="1" x14ac:dyDescent="0.25">
      <c r="A1196" s="10">
        <f t="shared" si="18"/>
        <v>1182</v>
      </c>
      <c r="B1196" s="662" t="s">
        <v>159</v>
      </c>
      <c r="C1196" s="662"/>
      <c r="D1196" s="663" t="s">
        <v>212</v>
      </c>
      <c r="E1196" s="663"/>
      <c r="F1196" s="664" t="s">
        <v>162</v>
      </c>
      <c r="G1196" s="665"/>
      <c r="H1196" s="754" t="s">
        <v>162</v>
      </c>
      <c r="I1196" s="714"/>
      <c r="J1196" s="340"/>
      <c r="K1196" s="341"/>
      <c r="L1196" s="340"/>
      <c r="M1196" s="341"/>
      <c r="N1196" s="215"/>
      <c r="O1196" s="216"/>
      <c r="P1196" s="670"/>
      <c r="Q1196" s="671"/>
      <c r="R1196" s="672"/>
      <c r="S1196" s="673"/>
      <c r="T1196" s="674"/>
      <c r="U1196" s="675"/>
      <c r="V1196" s="676"/>
      <c r="W1196" s="677"/>
      <c r="X1196" s="678" t="s">
        <v>159</v>
      </c>
      <c r="Y1196" s="678"/>
      <c r="Z1196" s="678"/>
      <c r="AA1196" s="678"/>
      <c r="AB1196" s="679" t="s">
        <v>159</v>
      </c>
      <c r="AC1196" s="679"/>
      <c r="AD1196" s="679"/>
      <c r="AE1196" s="679"/>
      <c r="AF1196" s="680"/>
      <c r="AG1196" s="681"/>
      <c r="AH1196" s="680"/>
      <c r="AI1196" s="681"/>
      <c r="AJ1196" s="682"/>
      <c r="AK1196" s="683"/>
      <c r="AL1196" s="684" t="s">
        <v>162</v>
      </c>
      <c r="AM1196" s="685"/>
      <c r="AN1196" s="666" t="s">
        <v>162</v>
      </c>
      <c r="AO1196" s="667"/>
      <c r="AP1196" s="686"/>
      <c r="AQ1196" s="687"/>
      <c r="AR1196" s="688"/>
      <c r="AS1196" s="689"/>
      <c r="AT1196" s="690"/>
      <c r="AU1196" s="691"/>
      <c r="AV1196" s="666" t="s">
        <v>162</v>
      </c>
      <c r="AW1196" s="667"/>
      <c r="AX1196" s="692"/>
      <c r="AY1196" s="693"/>
      <c r="AZ1196" s="694"/>
      <c r="BA1196" s="682"/>
      <c r="BB1196" s="683"/>
      <c r="BC1196" s="14"/>
      <c r="BD1196" s="695" t="s">
        <v>162</v>
      </c>
      <c r="BE1196" s="696"/>
      <c r="BF1196" s="697"/>
      <c r="BG1196" s="698"/>
      <c r="BH1196" s="698"/>
      <c r="BI1196" s="699"/>
      <c r="BJ1196" s="700" t="s">
        <v>159</v>
      </c>
      <c r="BK1196" s="701"/>
      <c r="BL1196" s="701"/>
      <c r="BM1196" s="702"/>
      <c r="BN1196" s="703" t="s">
        <v>159</v>
      </c>
      <c r="BO1196" s="704"/>
      <c r="BP1196" s="704"/>
      <c r="BQ1196" s="704"/>
      <c r="BR1196" s="704"/>
      <c r="BS1196" s="704"/>
      <c r="BT1196" s="704"/>
      <c r="BU1196" s="704"/>
      <c r="BV1196" s="705"/>
    </row>
    <row r="1197" spans="1:74" ht="45" customHeight="1" x14ac:dyDescent="0.25">
      <c r="A1197" s="10">
        <f t="shared" si="18"/>
        <v>1183</v>
      </c>
      <c r="B1197" s="711" t="s">
        <v>159</v>
      </c>
      <c r="C1197" s="711"/>
      <c r="D1197" s="712" t="s">
        <v>212</v>
      </c>
      <c r="E1197" s="712"/>
      <c r="F1197" s="664" t="s">
        <v>162</v>
      </c>
      <c r="G1197" s="665"/>
      <c r="H1197" s="755" t="s">
        <v>162</v>
      </c>
      <c r="I1197" s="667"/>
      <c r="J1197" s="706"/>
      <c r="K1197" s="707"/>
      <c r="L1197" s="706"/>
      <c r="M1197" s="707"/>
      <c r="N1197" s="194"/>
      <c r="O1197" s="216"/>
      <c r="P1197" s="717"/>
      <c r="Q1197" s="718"/>
      <c r="R1197" s="719"/>
      <c r="S1197" s="720"/>
      <c r="T1197" s="721"/>
      <c r="U1197" s="722"/>
      <c r="V1197" s="723"/>
      <c r="W1197" s="724"/>
      <c r="X1197" s="725" t="s">
        <v>159</v>
      </c>
      <c r="Y1197" s="725"/>
      <c r="Z1197" s="725"/>
      <c r="AA1197" s="725"/>
      <c r="AB1197" s="726" t="s">
        <v>159</v>
      </c>
      <c r="AC1197" s="726"/>
      <c r="AD1197" s="726"/>
      <c r="AE1197" s="726"/>
      <c r="AF1197" s="727"/>
      <c r="AG1197" s="728"/>
      <c r="AH1197" s="727"/>
      <c r="AI1197" s="728"/>
      <c r="AJ1197" s="682"/>
      <c r="AK1197" s="683"/>
      <c r="AL1197" s="664" t="s">
        <v>162</v>
      </c>
      <c r="AM1197" s="665"/>
      <c r="AN1197" s="713" t="s">
        <v>162</v>
      </c>
      <c r="AO1197" s="714"/>
      <c r="AP1197" s="729"/>
      <c r="AQ1197" s="730"/>
      <c r="AR1197" s="731"/>
      <c r="AS1197" s="732"/>
      <c r="AT1197" s="733"/>
      <c r="AU1197" s="734"/>
      <c r="AV1197" s="713" t="s">
        <v>162</v>
      </c>
      <c r="AW1197" s="714"/>
      <c r="AX1197" s="692"/>
      <c r="AY1197" s="693"/>
      <c r="AZ1197" s="694"/>
      <c r="BA1197" s="735"/>
      <c r="BB1197" s="736"/>
      <c r="BC1197" s="219"/>
      <c r="BD1197" s="737" t="s">
        <v>162</v>
      </c>
      <c r="BE1197" s="738"/>
      <c r="BF1197" s="739"/>
      <c r="BG1197" s="740"/>
      <c r="BH1197" s="740"/>
      <c r="BI1197" s="741"/>
      <c r="BJ1197" s="742" t="s">
        <v>159</v>
      </c>
      <c r="BK1197" s="743"/>
      <c r="BL1197" s="743"/>
      <c r="BM1197" s="744"/>
      <c r="BN1197" s="703" t="s">
        <v>159</v>
      </c>
      <c r="BO1197" s="704"/>
      <c r="BP1197" s="704"/>
      <c r="BQ1197" s="704"/>
      <c r="BR1197" s="704"/>
      <c r="BS1197" s="704"/>
      <c r="BT1197" s="704"/>
      <c r="BU1197" s="704"/>
      <c r="BV1197" s="705"/>
    </row>
    <row r="1198" spans="1:74" ht="45" customHeight="1" x14ac:dyDescent="0.25">
      <c r="A1198" s="10">
        <f t="shared" si="18"/>
        <v>1184</v>
      </c>
      <c r="B1198" s="662" t="s">
        <v>159</v>
      </c>
      <c r="C1198" s="662"/>
      <c r="D1198" s="663" t="s">
        <v>212</v>
      </c>
      <c r="E1198" s="663"/>
      <c r="F1198" s="664" t="s">
        <v>162</v>
      </c>
      <c r="G1198" s="665"/>
      <c r="H1198" s="754" t="s">
        <v>162</v>
      </c>
      <c r="I1198" s="714"/>
      <c r="J1198" s="340"/>
      <c r="K1198" s="341"/>
      <c r="L1198" s="340"/>
      <c r="M1198" s="341"/>
      <c r="N1198" s="215"/>
      <c r="O1198" s="196"/>
      <c r="P1198" s="670"/>
      <c r="Q1198" s="671"/>
      <c r="R1198" s="672"/>
      <c r="S1198" s="673"/>
      <c r="T1198" s="674"/>
      <c r="U1198" s="675"/>
      <c r="V1198" s="676"/>
      <c r="W1198" s="677"/>
      <c r="X1198" s="678" t="s">
        <v>159</v>
      </c>
      <c r="Y1198" s="678"/>
      <c r="Z1198" s="678"/>
      <c r="AA1198" s="678"/>
      <c r="AB1198" s="679" t="s">
        <v>159</v>
      </c>
      <c r="AC1198" s="679"/>
      <c r="AD1198" s="679"/>
      <c r="AE1198" s="679"/>
      <c r="AF1198" s="680"/>
      <c r="AG1198" s="681"/>
      <c r="AH1198" s="680"/>
      <c r="AI1198" s="681"/>
      <c r="AJ1198" s="682"/>
      <c r="AK1198" s="683"/>
      <c r="AL1198" s="684" t="s">
        <v>162</v>
      </c>
      <c r="AM1198" s="685"/>
      <c r="AN1198" s="666" t="s">
        <v>162</v>
      </c>
      <c r="AO1198" s="667"/>
      <c r="AP1198" s="686"/>
      <c r="AQ1198" s="687"/>
      <c r="AR1198" s="688"/>
      <c r="AS1198" s="689"/>
      <c r="AT1198" s="690"/>
      <c r="AU1198" s="691"/>
      <c r="AV1198" s="666" t="s">
        <v>162</v>
      </c>
      <c r="AW1198" s="667"/>
      <c r="AX1198" s="692"/>
      <c r="AY1198" s="693"/>
      <c r="AZ1198" s="694"/>
      <c r="BA1198" s="682"/>
      <c r="BB1198" s="683"/>
      <c r="BC1198" s="14"/>
      <c r="BD1198" s="695" t="s">
        <v>162</v>
      </c>
      <c r="BE1198" s="696"/>
      <c r="BF1198" s="708"/>
      <c r="BG1198" s="709"/>
      <c r="BH1198" s="709"/>
      <c r="BI1198" s="710"/>
      <c r="BJ1198" s="700" t="s">
        <v>159</v>
      </c>
      <c r="BK1198" s="701"/>
      <c r="BL1198" s="701"/>
      <c r="BM1198" s="702"/>
      <c r="BN1198" s="703" t="s">
        <v>159</v>
      </c>
      <c r="BO1198" s="704"/>
      <c r="BP1198" s="704"/>
      <c r="BQ1198" s="704"/>
      <c r="BR1198" s="704"/>
      <c r="BS1198" s="704"/>
      <c r="BT1198" s="704"/>
      <c r="BU1198" s="704"/>
      <c r="BV1198" s="705"/>
    </row>
    <row r="1199" spans="1:74" ht="45" customHeight="1" x14ac:dyDescent="0.25">
      <c r="A1199" s="10">
        <f t="shared" si="18"/>
        <v>1185</v>
      </c>
      <c r="B1199" s="711" t="s">
        <v>159</v>
      </c>
      <c r="C1199" s="711"/>
      <c r="D1199" s="712" t="s">
        <v>212</v>
      </c>
      <c r="E1199" s="712"/>
      <c r="F1199" s="664" t="s">
        <v>162</v>
      </c>
      <c r="G1199" s="665"/>
      <c r="H1199" s="755" t="s">
        <v>162</v>
      </c>
      <c r="I1199" s="667"/>
      <c r="J1199" s="706"/>
      <c r="K1199" s="707"/>
      <c r="L1199" s="706"/>
      <c r="M1199" s="707"/>
      <c r="N1199" s="194"/>
      <c r="O1199" s="216"/>
      <c r="P1199" s="717"/>
      <c r="Q1199" s="718"/>
      <c r="R1199" s="719"/>
      <c r="S1199" s="720"/>
      <c r="T1199" s="721"/>
      <c r="U1199" s="722"/>
      <c r="V1199" s="723"/>
      <c r="W1199" s="724"/>
      <c r="X1199" s="725" t="s">
        <v>159</v>
      </c>
      <c r="Y1199" s="725"/>
      <c r="Z1199" s="725"/>
      <c r="AA1199" s="725"/>
      <c r="AB1199" s="726" t="s">
        <v>159</v>
      </c>
      <c r="AC1199" s="726"/>
      <c r="AD1199" s="726"/>
      <c r="AE1199" s="726"/>
      <c r="AF1199" s="727"/>
      <c r="AG1199" s="728"/>
      <c r="AH1199" s="727"/>
      <c r="AI1199" s="728"/>
      <c r="AJ1199" s="682"/>
      <c r="AK1199" s="683"/>
      <c r="AL1199" s="664" t="s">
        <v>162</v>
      </c>
      <c r="AM1199" s="665"/>
      <c r="AN1199" s="713" t="s">
        <v>162</v>
      </c>
      <c r="AO1199" s="714"/>
      <c r="AP1199" s="729"/>
      <c r="AQ1199" s="730"/>
      <c r="AR1199" s="731"/>
      <c r="AS1199" s="732"/>
      <c r="AT1199" s="733"/>
      <c r="AU1199" s="734"/>
      <c r="AV1199" s="713" t="s">
        <v>162</v>
      </c>
      <c r="AW1199" s="714"/>
      <c r="AX1199" s="692"/>
      <c r="AY1199" s="693"/>
      <c r="AZ1199" s="694"/>
      <c r="BA1199" s="735"/>
      <c r="BB1199" s="736"/>
      <c r="BC1199" s="219"/>
      <c r="BD1199" s="737" t="s">
        <v>162</v>
      </c>
      <c r="BE1199" s="738"/>
      <c r="BF1199" s="739"/>
      <c r="BG1199" s="740"/>
      <c r="BH1199" s="740"/>
      <c r="BI1199" s="741"/>
      <c r="BJ1199" s="742" t="s">
        <v>159</v>
      </c>
      <c r="BK1199" s="743"/>
      <c r="BL1199" s="743"/>
      <c r="BM1199" s="744"/>
      <c r="BN1199" s="703" t="s">
        <v>159</v>
      </c>
      <c r="BO1199" s="704"/>
      <c r="BP1199" s="704"/>
      <c r="BQ1199" s="704"/>
      <c r="BR1199" s="704"/>
      <c r="BS1199" s="704"/>
      <c r="BT1199" s="704"/>
      <c r="BU1199" s="704"/>
      <c r="BV1199" s="705"/>
    </row>
    <row r="1200" spans="1:74" ht="45" customHeight="1" x14ac:dyDescent="0.25">
      <c r="A1200" s="10">
        <f t="shared" si="18"/>
        <v>1186</v>
      </c>
      <c r="B1200" s="662" t="s">
        <v>159</v>
      </c>
      <c r="C1200" s="662"/>
      <c r="D1200" s="663" t="s">
        <v>212</v>
      </c>
      <c r="E1200" s="663"/>
      <c r="F1200" s="664" t="s">
        <v>162</v>
      </c>
      <c r="G1200" s="665"/>
      <c r="H1200" s="754" t="s">
        <v>162</v>
      </c>
      <c r="I1200" s="714"/>
      <c r="J1200" s="340"/>
      <c r="K1200" s="341"/>
      <c r="L1200" s="340"/>
      <c r="M1200" s="341"/>
      <c r="N1200" s="215"/>
      <c r="O1200" s="196"/>
      <c r="P1200" s="670"/>
      <c r="Q1200" s="671"/>
      <c r="R1200" s="672"/>
      <c r="S1200" s="673"/>
      <c r="T1200" s="674"/>
      <c r="U1200" s="675"/>
      <c r="V1200" s="676"/>
      <c r="W1200" s="677"/>
      <c r="X1200" s="678" t="s">
        <v>159</v>
      </c>
      <c r="Y1200" s="678"/>
      <c r="Z1200" s="678"/>
      <c r="AA1200" s="678"/>
      <c r="AB1200" s="679" t="s">
        <v>159</v>
      </c>
      <c r="AC1200" s="679"/>
      <c r="AD1200" s="679"/>
      <c r="AE1200" s="679"/>
      <c r="AF1200" s="680"/>
      <c r="AG1200" s="681"/>
      <c r="AH1200" s="680"/>
      <c r="AI1200" s="681"/>
      <c r="AJ1200" s="682"/>
      <c r="AK1200" s="683"/>
      <c r="AL1200" s="684" t="s">
        <v>162</v>
      </c>
      <c r="AM1200" s="685"/>
      <c r="AN1200" s="666" t="s">
        <v>162</v>
      </c>
      <c r="AO1200" s="667"/>
      <c r="AP1200" s="686"/>
      <c r="AQ1200" s="687"/>
      <c r="AR1200" s="688"/>
      <c r="AS1200" s="689"/>
      <c r="AT1200" s="690"/>
      <c r="AU1200" s="691"/>
      <c r="AV1200" s="666" t="s">
        <v>162</v>
      </c>
      <c r="AW1200" s="667"/>
      <c r="AX1200" s="692"/>
      <c r="AY1200" s="693"/>
      <c r="AZ1200" s="694"/>
      <c r="BA1200" s="682"/>
      <c r="BB1200" s="683"/>
      <c r="BC1200" s="14"/>
      <c r="BD1200" s="695" t="s">
        <v>162</v>
      </c>
      <c r="BE1200" s="696"/>
      <c r="BF1200" s="697"/>
      <c r="BG1200" s="698"/>
      <c r="BH1200" s="698"/>
      <c r="BI1200" s="699"/>
      <c r="BJ1200" s="700" t="s">
        <v>159</v>
      </c>
      <c r="BK1200" s="701"/>
      <c r="BL1200" s="701"/>
      <c r="BM1200" s="702"/>
      <c r="BN1200" s="703" t="s">
        <v>159</v>
      </c>
      <c r="BO1200" s="704"/>
      <c r="BP1200" s="704"/>
      <c r="BQ1200" s="704"/>
      <c r="BR1200" s="704"/>
      <c r="BS1200" s="704"/>
      <c r="BT1200" s="704"/>
      <c r="BU1200" s="704"/>
      <c r="BV1200" s="705"/>
    </row>
    <row r="1201" spans="1:74" ht="45" customHeight="1" x14ac:dyDescent="0.25">
      <c r="A1201" s="10">
        <f t="shared" si="18"/>
        <v>1187</v>
      </c>
      <c r="B1201" s="711" t="s">
        <v>159</v>
      </c>
      <c r="C1201" s="711"/>
      <c r="D1201" s="712" t="s">
        <v>212</v>
      </c>
      <c r="E1201" s="712"/>
      <c r="F1201" s="664" t="s">
        <v>162</v>
      </c>
      <c r="G1201" s="665"/>
      <c r="H1201" s="755" t="s">
        <v>162</v>
      </c>
      <c r="I1201" s="667"/>
      <c r="J1201" s="706"/>
      <c r="K1201" s="707"/>
      <c r="L1201" s="706"/>
      <c r="M1201" s="707"/>
      <c r="N1201" s="194"/>
      <c r="O1201" s="216"/>
      <c r="P1201" s="717"/>
      <c r="Q1201" s="718"/>
      <c r="R1201" s="719"/>
      <c r="S1201" s="720"/>
      <c r="T1201" s="721"/>
      <c r="U1201" s="722"/>
      <c r="V1201" s="723"/>
      <c r="W1201" s="724"/>
      <c r="X1201" s="725" t="s">
        <v>159</v>
      </c>
      <c r="Y1201" s="725"/>
      <c r="Z1201" s="725"/>
      <c r="AA1201" s="725"/>
      <c r="AB1201" s="726" t="s">
        <v>159</v>
      </c>
      <c r="AC1201" s="726"/>
      <c r="AD1201" s="726"/>
      <c r="AE1201" s="726"/>
      <c r="AF1201" s="727"/>
      <c r="AG1201" s="728"/>
      <c r="AH1201" s="727"/>
      <c r="AI1201" s="728"/>
      <c r="AJ1201" s="682"/>
      <c r="AK1201" s="683"/>
      <c r="AL1201" s="664" t="s">
        <v>162</v>
      </c>
      <c r="AM1201" s="665"/>
      <c r="AN1201" s="713" t="s">
        <v>162</v>
      </c>
      <c r="AO1201" s="714"/>
      <c r="AP1201" s="729"/>
      <c r="AQ1201" s="730"/>
      <c r="AR1201" s="731"/>
      <c r="AS1201" s="732"/>
      <c r="AT1201" s="733"/>
      <c r="AU1201" s="734"/>
      <c r="AV1201" s="713" t="s">
        <v>162</v>
      </c>
      <c r="AW1201" s="714"/>
      <c r="AX1201" s="692"/>
      <c r="AY1201" s="693"/>
      <c r="AZ1201" s="694"/>
      <c r="BA1201" s="735"/>
      <c r="BB1201" s="736"/>
      <c r="BC1201" s="219"/>
      <c r="BD1201" s="737" t="s">
        <v>162</v>
      </c>
      <c r="BE1201" s="738"/>
      <c r="BF1201" s="739"/>
      <c r="BG1201" s="740"/>
      <c r="BH1201" s="740"/>
      <c r="BI1201" s="741"/>
      <c r="BJ1201" s="742" t="s">
        <v>159</v>
      </c>
      <c r="BK1201" s="743"/>
      <c r="BL1201" s="743"/>
      <c r="BM1201" s="744"/>
      <c r="BN1201" s="703" t="s">
        <v>159</v>
      </c>
      <c r="BO1201" s="704"/>
      <c r="BP1201" s="704"/>
      <c r="BQ1201" s="704"/>
      <c r="BR1201" s="704"/>
      <c r="BS1201" s="704"/>
      <c r="BT1201" s="704"/>
      <c r="BU1201" s="704"/>
      <c r="BV1201" s="705"/>
    </row>
    <row r="1202" spans="1:74" ht="45" customHeight="1" x14ac:dyDescent="0.25">
      <c r="A1202" s="10">
        <f t="shared" si="18"/>
        <v>1188</v>
      </c>
      <c r="B1202" s="662" t="s">
        <v>159</v>
      </c>
      <c r="C1202" s="662"/>
      <c r="D1202" s="663" t="s">
        <v>212</v>
      </c>
      <c r="E1202" s="663"/>
      <c r="F1202" s="664" t="s">
        <v>162</v>
      </c>
      <c r="G1202" s="665"/>
      <c r="H1202" s="754" t="s">
        <v>162</v>
      </c>
      <c r="I1202" s="714"/>
      <c r="J1202" s="340"/>
      <c r="K1202" s="341"/>
      <c r="L1202" s="340"/>
      <c r="M1202" s="341"/>
      <c r="N1202" s="215"/>
      <c r="O1202" s="196"/>
      <c r="P1202" s="670"/>
      <c r="Q1202" s="671"/>
      <c r="R1202" s="672"/>
      <c r="S1202" s="673"/>
      <c r="T1202" s="674"/>
      <c r="U1202" s="675"/>
      <c r="V1202" s="676"/>
      <c r="W1202" s="677"/>
      <c r="X1202" s="678" t="s">
        <v>159</v>
      </c>
      <c r="Y1202" s="678"/>
      <c r="Z1202" s="678"/>
      <c r="AA1202" s="678"/>
      <c r="AB1202" s="679" t="s">
        <v>159</v>
      </c>
      <c r="AC1202" s="679"/>
      <c r="AD1202" s="679"/>
      <c r="AE1202" s="679"/>
      <c r="AF1202" s="680"/>
      <c r="AG1202" s="681"/>
      <c r="AH1202" s="680"/>
      <c r="AI1202" s="681"/>
      <c r="AJ1202" s="682"/>
      <c r="AK1202" s="683"/>
      <c r="AL1202" s="684" t="s">
        <v>162</v>
      </c>
      <c r="AM1202" s="685"/>
      <c r="AN1202" s="666" t="s">
        <v>162</v>
      </c>
      <c r="AO1202" s="667"/>
      <c r="AP1202" s="686"/>
      <c r="AQ1202" s="687"/>
      <c r="AR1202" s="688"/>
      <c r="AS1202" s="689"/>
      <c r="AT1202" s="690"/>
      <c r="AU1202" s="691"/>
      <c r="AV1202" s="666" t="s">
        <v>162</v>
      </c>
      <c r="AW1202" s="667"/>
      <c r="AX1202" s="692"/>
      <c r="AY1202" s="693"/>
      <c r="AZ1202" s="694"/>
      <c r="BA1202" s="682"/>
      <c r="BB1202" s="683"/>
      <c r="BC1202" s="14"/>
      <c r="BD1202" s="695" t="s">
        <v>162</v>
      </c>
      <c r="BE1202" s="696"/>
      <c r="BF1202" s="697"/>
      <c r="BG1202" s="698"/>
      <c r="BH1202" s="698"/>
      <c r="BI1202" s="699"/>
      <c r="BJ1202" s="700" t="s">
        <v>159</v>
      </c>
      <c r="BK1202" s="701"/>
      <c r="BL1202" s="701"/>
      <c r="BM1202" s="702"/>
      <c r="BN1202" s="703" t="s">
        <v>159</v>
      </c>
      <c r="BO1202" s="704"/>
      <c r="BP1202" s="704"/>
      <c r="BQ1202" s="704"/>
      <c r="BR1202" s="704"/>
      <c r="BS1202" s="704"/>
      <c r="BT1202" s="704"/>
      <c r="BU1202" s="704"/>
      <c r="BV1202" s="705"/>
    </row>
    <row r="1203" spans="1:74" ht="45" customHeight="1" x14ac:dyDescent="0.25">
      <c r="A1203" s="10">
        <f t="shared" si="18"/>
        <v>1189</v>
      </c>
      <c r="B1203" s="711" t="s">
        <v>159</v>
      </c>
      <c r="C1203" s="711"/>
      <c r="D1203" s="712" t="s">
        <v>212</v>
      </c>
      <c r="E1203" s="712"/>
      <c r="F1203" s="664" t="s">
        <v>162</v>
      </c>
      <c r="G1203" s="665"/>
      <c r="H1203" s="755" t="s">
        <v>162</v>
      </c>
      <c r="I1203" s="667"/>
      <c r="J1203" s="706"/>
      <c r="K1203" s="707"/>
      <c r="L1203" s="706"/>
      <c r="M1203" s="707"/>
      <c r="N1203" s="194"/>
      <c r="O1203" s="216"/>
      <c r="P1203" s="717"/>
      <c r="Q1203" s="718"/>
      <c r="R1203" s="719"/>
      <c r="S1203" s="720"/>
      <c r="T1203" s="721"/>
      <c r="U1203" s="722"/>
      <c r="V1203" s="723"/>
      <c r="W1203" s="724"/>
      <c r="X1203" s="725" t="s">
        <v>159</v>
      </c>
      <c r="Y1203" s="725"/>
      <c r="Z1203" s="725"/>
      <c r="AA1203" s="725"/>
      <c r="AB1203" s="726" t="s">
        <v>159</v>
      </c>
      <c r="AC1203" s="726"/>
      <c r="AD1203" s="726"/>
      <c r="AE1203" s="726"/>
      <c r="AF1203" s="727"/>
      <c r="AG1203" s="728"/>
      <c r="AH1203" s="727"/>
      <c r="AI1203" s="728"/>
      <c r="AJ1203" s="682"/>
      <c r="AK1203" s="683"/>
      <c r="AL1203" s="664" t="s">
        <v>162</v>
      </c>
      <c r="AM1203" s="665"/>
      <c r="AN1203" s="713" t="s">
        <v>162</v>
      </c>
      <c r="AO1203" s="714"/>
      <c r="AP1203" s="729"/>
      <c r="AQ1203" s="730"/>
      <c r="AR1203" s="731"/>
      <c r="AS1203" s="732"/>
      <c r="AT1203" s="733"/>
      <c r="AU1203" s="734"/>
      <c r="AV1203" s="713" t="s">
        <v>162</v>
      </c>
      <c r="AW1203" s="714"/>
      <c r="AX1203" s="692"/>
      <c r="AY1203" s="693"/>
      <c r="AZ1203" s="694"/>
      <c r="BA1203" s="735"/>
      <c r="BB1203" s="736"/>
      <c r="BC1203" s="219"/>
      <c r="BD1203" s="737" t="s">
        <v>162</v>
      </c>
      <c r="BE1203" s="738"/>
      <c r="BF1203" s="739"/>
      <c r="BG1203" s="740"/>
      <c r="BH1203" s="740"/>
      <c r="BI1203" s="741"/>
      <c r="BJ1203" s="742" t="s">
        <v>159</v>
      </c>
      <c r="BK1203" s="743"/>
      <c r="BL1203" s="743"/>
      <c r="BM1203" s="744"/>
      <c r="BN1203" s="703" t="s">
        <v>159</v>
      </c>
      <c r="BO1203" s="704"/>
      <c r="BP1203" s="704"/>
      <c r="BQ1203" s="704"/>
      <c r="BR1203" s="704"/>
      <c r="BS1203" s="704"/>
      <c r="BT1203" s="704"/>
      <c r="BU1203" s="704"/>
      <c r="BV1203" s="705"/>
    </row>
    <row r="1204" spans="1:74" ht="45" customHeight="1" x14ac:dyDescent="0.25">
      <c r="A1204" s="10">
        <f t="shared" si="18"/>
        <v>1190</v>
      </c>
      <c r="B1204" s="662" t="s">
        <v>159</v>
      </c>
      <c r="C1204" s="662"/>
      <c r="D1204" s="663" t="s">
        <v>212</v>
      </c>
      <c r="E1204" s="663"/>
      <c r="F1204" s="664" t="s">
        <v>162</v>
      </c>
      <c r="G1204" s="665"/>
      <c r="H1204" s="754" t="s">
        <v>162</v>
      </c>
      <c r="I1204" s="714"/>
      <c r="J1204" s="340"/>
      <c r="K1204" s="341"/>
      <c r="L1204" s="340"/>
      <c r="M1204" s="341"/>
      <c r="N1204" s="215"/>
      <c r="O1204" s="196"/>
      <c r="P1204" s="670"/>
      <c r="Q1204" s="671"/>
      <c r="R1204" s="672"/>
      <c r="S1204" s="673"/>
      <c r="T1204" s="674"/>
      <c r="U1204" s="675"/>
      <c r="V1204" s="676"/>
      <c r="W1204" s="677"/>
      <c r="X1204" s="678" t="s">
        <v>159</v>
      </c>
      <c r="Y1204" s="678"/>
      <c r="Z1204" s="678"/>
      <c r="AA1204" s="678"/>
      <c r="AB1204" s="679" t="s">
        <v>159</v>
      </c>
      <c r="AC1204" s="679"/>
      <c r="AD1204" s="679"/>
      <c r="AE1204" s="679"/>
      <c r="AF1204" s="680"/>
      <c r="AG1204" s="681"/>
      <c r="AH1204" s="680"/>
      <c r="AI1204" s="681"/>
      <c r="AJ1204" s="682"/>
      <c r="AK1204" s="683"/>
      <c r="AL1204" s="684" t="s">
        <v>162</v>
      </c>
      <c r="AM1204" s="685"/>
      <c r="AN1204" s="666" t="s">
        <v>162</v>
      </c>
      <c r="AO1204" s="667"/>
      <c r="AP1204" s="686"/>
      <c r="AQ1204" s="687"/>
      <c r="AR1204" s="688"/>
      <c r="AS1204" s="689"/>
      <c r="AT1204" s="690"/>
      <c r="AU1204" s="691"/>
      <c r="AV1204" s="666" t="s">
        <v>162</v>
      </c>
      <c r="AW1204" s="667"/>
      <c r="AX1204" s="692"/>
      <c r="AY1204" s="693"/>
      <c r="AZ1204" s="694"/>
      <c r="BA1204" s="682"/>
      <c r="BB1204" s="683"/>
      <c r="BC1204" s="14"/>
      <c r="BD1204" s="695" t="s">
        <v>162</v>
      </c>
      <c r="BE1204" s="696"/>
      <c r="BF1204" s="708"/>
      <c r="BG1204" s="709"/>
      <c r="BH1204" s="709"/>
      <c r="BI1204" s="710"/>
      <c r="BJ1204" s="700" t="s">
        <v>159</v>
      </c>
      <c r="BK1204" s="701"/>
      <c r="BL1204" s="701"/>
      <c r="BM1204" s="702"/>
      <c r="BN1204" s="703" t="s">
        <v>159</v>
      </c>
      <c r="BO1204" s="704"/>
      <c r="BP1204" s="704"/>
      <c r="BQ1204" s="704"/>
      <c r="BR1204" s="704"/>
      <c r="BS1204" s="704"/>
      <c r="BT1204" s="704"/>
      <c r="BU1204" s="704"/>
      <c r="BV1204" s="705"/>
    </row>
    <row r="1205" spans="1:74" ht="45" customHeight="1" x14ac:dyDescent="0.25">
      <c r="A1205" s="10">
        <f t="shared" si="18"/>
        <v>1191</v>
      </c>
      <c r="B1205" s="711" t="s">
        <v>159</v>
      </c>
      <c r="C1205" s="711"/>
      <c r="D1205" s="712" t="s">
        <v>212</v>
      </c>
      <c r="E1205" s="712"/>
      <c r="F1205" s="664" t="s">
        <v>162</v>
      </c>
      <c r="G1205" s="665"/>
      <c r="H1205" s="755" t="s">
        <v>162</v>
      </c>
      <c r="I1205" s="667"/>
      <c r="J1205" s="706"/>
      <c r="K1205" s="707"/>
      <c r="L1205" s="706"/>
      <c r="M1205" s="707"/>
      <c r="N1205" s="194"/>
      <c r="O1205" s="216"/>
      <c r="P1205" s="717"/>
      <c r="Q1205" s="718"/>
      <c r="R1205" s="719"/>
      <c r="S1205" s="720"/>
      <c r="T1205" s="721"/>
      <c r="U1205" s="722"/>
      <c r="V1205" s="723"/>
      <c r="W1205" s="724"/>
      <c r="X1205" s="725" t="s">
        <v>159</v>
      </c>
      <c r="Y1205" s="725"/>
      <c r="Z1205" s="725"/>
      <c r="AA1205" s="725"/>
      <c r="AB1205" s="726" t="s">
        <v>159</v>
      </c>
      <c r="AC1205" s="726"/>
      <c r="AD1205" s="726"/>
      <c r="AE1205" s="726"/>
      <c r="AF1205" s="727"/>
      <c r="AG1205" s="728"/>
      <c r="AH1205" s="727"/>
      <c r="AI1205" s="728"/>
      <c r="AJ1205" s="682"/>
      <c r="AK1205" s="683"/>
      <c r="AL1205" s="664" t="s">
        <v>162</v>
      </c>
      <c r="AM1205" s="665"/>
      <c r="AN1205" s="713" t="s">
        <v>162</v>
      </c>
      <c r="AO1205" s="714"/>
      <c r="AP1205" s="729"/>
      <c r="AQ1205" s="730"/>
      <c r="AR1205" s="731"/>
      <c r="AS1205" s="732"/>
      <c r="AT1205" s="733"/>
      <c r="AU1205" s="734"/>
      <c r="AV1205" s="713" t="s">
        <v>162</v>
      </c>
      <c r="AW1205" s="714"/>
      <c r="AX1205" s="692"/>
      <c r="AY1205" s="693"/>
      <c r="AZ1205" s="694"/>
      <c r="BA1205" s="735"/>
      <c r="BB1205" s="736"/>
      <c r="BC1205" s="219"/>
      <c r="BD1205" s="737" t="s">
        <v>162</v>
      </c>
      <c r="BE1205" s="738"/>
      <c r="BF1205" s="739"/>
      <c r="BG1205" s="740"/>
      <c r="BH1205" s="740"/>
      <c r="BI1205" s="741"/>
      <c r="BJ1205" s="742" t="s">
        <v>159</v>
      </c>
      <c r="BK1205" s="743"/>
      <c r="BL1205" s="743"/>
      <c r="BM1205" s="744"/>
      <c r="BN1205" s="703" t="s">
        <v>159</v>
      </c>
      <c r="BO1205" s="704"/>
      <c r="BP1205" s="704"/>
      <c r="BQ1205" s="704"/>
      <c r="BR1205" s="704"/>
      <c r="BS1205" s="704"/>
      <c r="BT1205" s="704"/>
      <c r="BU1205" s="704"/>
      <c r="BV1205" s="705"/>
    </row>
    <row r="1206" spans="1:74" ht="45" customHeight="1" x14ac:dyDescent="0.25">
      <c r="A1206" s="10">
        <f t="shared" si="18"/>
        <v>1192</v>
      </c>
      <c r="B1206" s="662" t="s">
        <v>159</v>
      </c>
      <c r="C1206" s="662"/>
      <c r="D1206" s="663" t="s">
        <v>212</v>
      </c>
      <c r="E1206" s="663"/>
      <c r="F1206" s="664" t="s">
        <v>162</v>
      </c>
      <c r="G1206" s="665"/>
      <c r="H1206" s="754" t="s">
        <v>162</v>
      </c>
      <c r="I1206" s="714"/>
      <c r="J1206" s="340"/>
      <c r="K1206" s="341"/>
      <c r="L1206" s="340"/>
      <c r="M1206" s="341"/>
      <c r="N1206" s="215"/>
      <c r="O1206" s="196"/>
      <c r="P1206" s="670"/>
      <c r="Q1206" s="671"/>
      <c r="R1206" s="672"/>
      <c r="S1206" s="673"/>
      <c r="T1206" s="674"/>
      <c r="U1206" s="675"/>
      <c r="V1206" s="676"/>
      <c r="W1206" s="677"/>
      <c r="X1206" s="678" t="s">
        <v>159</v>
      </c>
      <c r="Y1206" s="678"/>
      <c r="Z1206" s="678"/>
      <c r="AA1206" s="678"/>
      <c r="AB1206" s="679" t="s">
        <v>159</v>
      </c>
      <c r="AC1206" s="679"/>
      <c r="AD1206" s="679"/>
      <c r="AE1206" s="679"/>
      <c r="AF1206" s="680"/>
      <c r="AG1206" s="681"/>
      <c r="AH1206" s="680"/>
      <c r="AI1206" s="681"/>
      <c r="AJ1206" s="682"/>
      <c r="AK1206" s="683"/>
      <c r="AL1206" s="684" t="s">
        <v>162</v>
      </c>
      <c r="AM1206" s="685"/>
      <c r="AN1206" s="666" t="s">
        <v>162</v>
      </c>
      <c r="AO1206" s="667"/>
      <c r="AP1206" s="686"/>
      <c r="AQ1206" s="687"/>
      <c r="AR1206" s="688"/>
      <c r="AS1206" s="689"/>
      <c r="AT1206" s="690"/>
      <c r="AU1206" s="691"/>
      <c r="AV1206" s="666" t="s">
        <v>162</v>
      </c>
      <c r="AW1206" s="667"/>
      <c r="AX1206" s="692"/>
      <c r="AY1206" s="693"/>
      <c r="AZ1206" s="694"/>
      <c r="BA1206" s="682"/>
      <c r="BB1206" s="683"/>
      <c r="BC1206" s="14"/>
      <c r="BD1206" s="695" t="s">
        <v>162</v>
      </c>
      <c r="BE1206" s="696"/>
      <c r="BF1206" s="697"/>
      <c r="BG1206" s="698"/>
      <c r="BH1206" s="698"/>
      <c r="BI1206" s="699"/>
      <c r="BJ1206" s="700" t="s">
        <v>159</v>
      </c>
      <c r="BK1206" s="701"/>
      <c r="BL1206" s="701"/>
      <c r="BM1206" s="702"/>
      <c r="BN1206" s="703" t="s">
        <v>159</v>
      </c>
      <c r="BO1206" s="704"/>
      <c r="BP1206" s="704"/>
      <c r="BQ1206" s="704"/>
      <c r="BR1206" s="704"/>
      <c r="BS1206" s="704"/>
      <c r="BT1206" s="704"/>
      <c r="BU1206" s="704"/>
      <c r="BV1206" s="705"/>
    </row>
    <row r="1207" spans="1:74" ht="45" customHeight="1" x14ac:dyDescent="0.25">
      <c r="A1207" s="10">
        <f t="shared" si="18"/>
        <v>1193</v>
      </c>
      <c r="B1207" s="662" t="s">
        <v>159</v>
      </c>
      <c r="C1207" s="662"/>
      <c r="D1207" s="663" t="s">
        <v>212</v>
      </c>
      <c r="E1207" s="663"/>
      <c r="F1207" s="664" t="s">
        <v>162</v>
      </c>
      <c r="G1207" s="665"/>
      <c r="H1207" s="755" t="s">
        <v>162</v>
      </c>
      <c r="I1207" s="667"/>
      <c r="J1207" s="706"/>
      <c r="K1207" s="707"/>
      <c r="L1207" s="706"/>
      <c r="M1207" s="707"/>
      <c r="N1207" s="215"/>
      <c r="O1207" s="196"/>
      <c r="P1207" s="670"/>
      <c r="Q1207" s="671"/>
      <c r="R1207" s="672"/>
      <c r="S1207" s="673"/>
      <c r="T1207" s="674"/>
      <c r="U1207" s="675"/>
      <c r="V1207" s="676"/>
      <c r="W1207" s="677"/>
      <c r="X1207" s="678" t="s">
        <v>159</v>
      </c>
      <c r="Y1207" s="678"/>
      <c r="Z1207" s="678"/>
      <c r="AA1207" s="678"/>
      <c r="AB1207" s="679" t="s">
        <v>159</v>
      </c>
      <c r="AC1207" s="679"/>
      <c r="AD1207" s="679"/>
      <c r="AE1207" s="679"/>
      <c r="AF1207" s="680"/>
      <c r="AG1207" s="681"/>
      <c r="AH1207" s="680"/>
      <c r="AI1207" s="681"/>
      <c r="AJ1207" s="682"/>
      <c r="AK1207" s="683"/>
      <c r="AL1207" s="684" t="s">
        <v>162</v>
      </c>
      <c r="AM1207" s="685"/>
      <c r="AN1207" s="666" t="s">
        <v>162</v>
      </c>
      <c r="AO1207" s="667"/>
      <c r="AP1207" s="686"/>
      <c r="AQ1207" s="687"/>
      <c r="AR1207" s="688"/>
      <c r="AS1207" s="689"/>
      <c r="AT1207" s="690"/>
      <c r="AU1207" s="691"/>
      <c r="AV1207" s="666" t="s">
        <v>162</v>
      </c>
      <c r="AW1207" s="667"/>
      <c r="AX1207" s="692"/>
      <c r="AY1207" s="693"/>
      <c r="AZ1207" s="694"/>
      <c r="BA1207" s="682"/>
      <c r="BB1207" s="683"/>
      <c r="BC1207" s="14"/>
      <c r="BD1207" s="695" t="s">
        <v>162</v>
      </c>
      <c r="BE1207" s="696"/>
      <c r="BF1207" s="708"/>
      <c r="BG1207" s="709"/>
      <c r="BH1207" s="709"/>
      <c r="BI1207" s="710"/>
      <c r="BJ1207" s="700" t="s">
        <v>159</v>
      </c>
      <c r="BK1207" s="701"/>
      <c r="BL1207" s="701"/>
      <c r="BM1207" s="702"/>
      <c r="BN1207" s="703" t="s">
        <v>159</v>
      </c>
      <c r="BO1207" s="704"/>
      <c r="BP1207" s="704"/>
      <c r="BQ1207" s="704"/>
      <c r="BR1207" s="704"/>
      <c r="BS1207" s="704"/>
      <c r="BT1207" s="704"/>
      <c r="BU1207" s="704"/>
      <c r="BV1207" s="705"/>
    </row>
    <row r="1208" spans="1:74" ht="45" customHeight="1" x14ac:dyDescent="0.25">
      <c r="A1208" s="10">
        <f t="shared" si="18"/>
        <v>1194</v>
      </c>
      <c r="B1208" s="711" t="s">
        <v>159</v>
      </c>
      <c r="C1208" s="711"/>
      <c r="D1208" s="712" t="s">
        <v>212</v>
      </c>
      <c r="E1208" s="712"/>
      <c r="F1208" s="664" t="s">
        <v>162</v>
      </c>
      <c r="G1208" s="665"/>
      <c r="H1208" s="754" t="s">
        <v>162</v>
      </c>
      <c r="I1208" s="714"/>
      <c r="J1208" s="715"/>
      <c r="K1208" s="716"/>
      <c r="L1208" s="715"/>
      <c r="M1208" s="716"/>
      <c r="N1208" s="194"/>
      <c r="O1208" s="216"/>
      <c r="P1208" s="717"/>
      <c r="Q1208" s="718"/>
      <c r="R1208" s="719"/>
      <c r="S1208" s="720"/>
      <c r="T1208" s="721"/>
      <c r="U1208" s="722"/>
      <c r="V1208" s="723"/>
      <c r="W1208" s="724"/>
      <c r="X1208" s="725" t="s">
        <v>159</v>
      </c>
      <c r="Y1208" s="725"/>
      <c r="Z1208" s="725"/>
      <c r="AA1208" s="725"/>
      <c r="AB1208" s="726" t="s">
        <v>159</v>
      </c>
      <c r="AC1208" s="726"/>
      <c r="AD1208" s="726"/>
      <c r="AE1208" s="726"/>
      <c r="AF1208" s="727"/>
      <c r="AG1208" s="728"/>
      <c r="AH1208" s="727"/>
      <c r="AI1208" s="728"/>
      <c r="AJ1208" s="682"/>
      <c r="AK1208" s="683"/>
      <c r="AL1208" s="664" t="s">
        <v>162</v>
      </c>
      <c r="AM1208" s="665"/>
      <c r="AN1208" s="713" t="s">
        <v>162</v>
      </c>
      <c r="AO1208" s="714"/>
      <c r="AP1208" s="729"/>
      <c r="AQ1208" s="730"/>
      <c r="AR1208" s="731"/>
      <c r="AS1208" s="732"/>
      <c r="AT1208" s="733"/>
      <c r="AU1208" s="734"/>
      <c r="AV1208" s="713" t="s">
        <v>162</v>
      </c>
      <c r="AW1208" s="714"/>
      <c r="AX1208" s="692"/>
      <c r="AY1208" s="693"/>
      <c r="AZ1208" s="694"/>
      <c r="BA1208" s="735"/>
      <c r="BB1208" s="736"/>
      <c r="BC1208" s="219"/>
      <c r="BD1208" s="737" t="s">
        <v>162</v>
      </c>
      <c r="BE1208" s="738"/>
      <c r="BF1208" s="739"/>
      <c r="BG1208" s="740"/>
      <c r="BH1208" s="740"/>
      <c r="BI1208" s="741"/>
      <c r="BJ1208" s="742" t="s">
        <v>159</v>
      </c>
      <c r="BK1208" s="743"/>
      <c r="BL1208" s="743"/>
      <c r="BM1208" s="744"/>
      <c r="BN1208" s="703" t="s">
        <v>159</v>
      </c>
      <c r="BO1208" s="704"/>
      <c r="BP1208" s="704"/>
      <c r="BQ1208" s="704"/>
      <c r="BR1208" s="704"/>
      <c r="BS1208" s="704"/>
      <c r="BT1208" s="704"/>
      <c r="BU1208" s="704"/>
      <c r="BV1208" s="705"/>
    </row>
    <row r="1209" spans="1:74" ht="45" customHeight="1" x14ac:dyDescent="0.25">
      <c r="A1209" s="10">
        <f t="shared" si="18"/>
        <v>1195</v>
      </c>
      <c r="B1209" s="662" t="s">
        <v>159</v>
      </c>
      <c r="C1209" s="662"/>
      <c r="D1209" s="663" t="s">
        <v>212</v>
      </c>
      <c r="E1209" s="663"/>
      <c r="F1209" s="664" t="s">
        <v>162</v>
      </c>
      <c r="G1209" s="665"/>
      <c r="H1209" s="755" t="s">
        <v>162</v>
      </c>
      <c r="I1209" s="667"/>
      <c r="J1209" s="706"/>
      <c r="K1209" s="707"/>
      <c r="L1209" s="706"/>
      <c r="M1209" s="707"/>
      <c r="N1209" s="215"/>
      <c r="O1209" s="196"/>
      <c r="P1209" s="670"/>
      <c r="Q1209" s="671"/>
      <c r="R1209" s="672"/>
      <c r="S1209" s="673"/>
      <c r="T1209" s="674"/>
      <c r="U1209" s="675"/>
      <c r="V1209" s="676"/>
      <c r="W1209" s="677"/>
      <c r="X1209" s="678" t="s">
        <v>159</v>
      </c>
      <c r="Y1209" s="678"/>
      <c r="Z1209" s="678"/>
      <c r="AA1209" s="678"/>
      <c r="AB1209" s="679" t="s">
        <v>159</v>
      </c>
      <c r="AC1209" s="679"/>
      <c r="AD1209" s="679"/>
      <c r="AE1209" s="679"/>
      <c r="AF1209" s="680"/>
      <c r="AG1209" s="681"/>
      <c r="AH1209" s="680"/>
      <c r="AI1209" s="681"/>
      <c r="AJ1209" s="682"/>
      <c r="AK1209" s="683"/>
      <c r="AL1209" s="684" t="s">
        <v>162</v>
      </c>
      <c r="AM1209" s="685"/>
      <c r="AN1209" s="666" t="s">
        <v>162</v>
      </c>
      <c r="AO1209" s="667"/>
      <c r="AP1209" s="686"/>
      <c r="AQ1209" s="687"/>
      <c r="AR1209" s="688"/>
      <c r="AS1209" s="689"/>
      <c r="AT1209" s="690"/>
      <c r="AU1209" s="691"/>
      <c r="AV1209" s="666" t="s">
        <v>162</v>
      </c>
      <c r="AW1209" s="667"/>
      <c r="AX1209" s="692"/>
      <c r="AY1209" s="693"/>
      <c r="AZ1209" s="694"/>
      <c r="BA1209" s="682"/>
      <c r="BB1209" s="683"/>
      <c r="BC1209" s="14"/>
      <c r="BD1209" s="695" t="s">
        <v>162</v>
      </c>
      <c r="BE1209" s="696"/>
      <c r="BF1209" s="697"/>
      <c r="BG1209" s="698"/>
      <c r="BH1209" s="698"/>
      <c r="BI1209" s="699"/>
      <c r="BJ1209" s="700" t="s">
        <v>159</v>
      </c>
      <c r="BK1209" s="701"/>
      <c r="BL1209" s="701"/>
      <c r="BM1209" s="702"/>
      <c r="BN1209" s="703" t="s">
        <v>159</v>
      </c>
      <c r="BO1209" s="704"/>
      <c r="BP1209" s="704"/>
      <c r="BQ1209" s="704"/>
      <c r="BR1209" s="704"/>
      <c r="BS1209" s="704"/>
      <c r="BT1209" s="704"/>
      <c r="BU1209" s="704"/>
      <c r="BV1209" s="705"/>
    </row>
    <row r="1210" spans="1:74" ht="45" customHeight="1" x14ac:dyDescent="0.25">
      <c r="A1210" s="10">
        <f t="shared" si="18"/>
        <v>1196</v>
      </c>
      <c r="B1210" s="662" t="s">
        <v>159</v>
      </c>
      <c r="C1210" s="662"/>
      <c r="D1210" s="663" t="s">
        <v>212</v>
      </c>
      <c r="E1210" s="663"/>
      <c r="F1210" s="664" t="s">
        <v>162</v>
      </c>
      <c r="G1210" s="665"/>
      <c r="H1210" s="754" t="s">
        <v>162</v>
      </c>
      <c r="I1210" s="714"/>
      <c r="J1210" s="715"/>
      <c r="K1210" s="716"/>
      <c r="L1210" s="715"/>
      <c r="M1210" s="716"/>
      <c r="N1210" s="194"/>
      <c r="O1210" s="196"/>
      <c r="P1210" s="717"/>
      <c r="Q1210" s="718"/>
      <c r="R1210" s="672"/>
      <c r="S1210" s="673"/>
      <c r="T1210" s="674"/>
      <c r="U1210" s="675"/>
      <c r="V1210" s="676"/>
      <c r="W1210" s="677"/>
      <c r="X1210" s="678" t="s">
        <v>159</v>
      </c>
      <c r="Y1210" s="678"/>
      <c r="Z1210" s="678"/>
      <c r="AA1210" s="678"/>
      <c r="AB1210" s="679" t="s">
        <v>159</v>
      </c>
      <c r="AC1210" s="679"/>
      <c r="AD1210" s="679"/>
      <c r="AE1210" s="679"/>
      <c r="AF1210" s="680"/>
      <c r="AG1210" s="681"/>
      <c r="AH1210" s="680"/>
      <c r="AI1210" s="681"/>
      <c r="AJ1210" s="682"/>
      <c r="AK1210" s="683"/>
      <c r="AL1210" s="684" t="s">
        <v>162</v>
      </c>
      <c r="AM1210" s="685"/>
      <c r="AN1210" s="666" t="s">
        <v>162</v>
      </c>
      <c r="AO1210" s="667"/>
      <c r="AP1210" s="686"/>
      <c r="AQ1210" s="687"/>
      <c r="AR1210" s="688"/>
      <c r="AS1210" s="689"/>
      <c r="AT1210" s="690"/>
      <c r="AU1210" s="691"/>
      <c r="AV1210" s="666" t="s">
        <v>162</v>
      </c>
      <c r="AW1210" s="667"/>
      <c r="AX1210" s="692"/>
      <c r="AY1210" s="693"/>
      <c r="AZ1210" s="694"/>
      <c r="BA1210" s="682"/>
      <c r="BB1210" s="683"/>
      <c r="BC1210" s="14"/>
      <c r="BD1210" s="695" t="s">
        <v>162</v>
      </c>
      <c r="BE1210" s="696"/>
      <c r="BF1210" s="708"/>
      <c r="BG1210" s="709"/>
      <c r="BH1210" s="709"/>
      <c r="BI1210" s="710"/>
      <c r="BJ1210" s="700" t="s">
        <v>159</v>
      </c>
      <c r="BK1210" s="701"/>
      <c r="BL1210" s="701"/>
      <c r="BM1210" s="702"/>
      <c r="BN1210" s="703" t="s">
        <v>159</v>
      </c>
      <c r="BO1210" s="704"/>
      <c r="BP1210" s="704"/>
      <c r="BQ1210" s="704"/>
      <c r="BR1210" s="704"/>
      <c r="BS1210" s="704"/>
      <c r="BT1210" s="704"/>
      <c r="BU1210" s="704"/>
      <c r="BV1210" s="705"/>
    </row>
    <row r="1211" spans="1:74" ht="45" customHeight="1" x14ac:dyDescent="0.25">
      <c r="A1211" s="10">
        <f t="shared" si="18"/>
        <v>1197</v>
      </c>
      <c r="B1211" s="711" t="s">
        <v>159</v>
      </c>
      <c r="C1211" s="711"/>
      <c r="D1211" s="712" t="s">
        <v>212</v>
      </c>
      <c r="E1211" s="712"/>
      <c r="F1211" s="664" t="s">
        <v>162</v>
      </c>
      <c r="G1211" s="665"/>
      <c r="H1211" s="755" t="s">
        <v>162</v>
      </c>
      <c r="I1211" s="667"/>
      <c r="J1211" s="706"/>
      <c r="K1211" s="707"/>
      <c r="L1211" s="706"/>
      <c r="M1211" s="707"/>
      <c r="N1211" s="215"/>
      <c r="O1211" s="216"/>
      <c r="P1211" s="670"/>
      <c r="Q1211" s="671"/>
      <c r="R1211" s="719"/>
      <c r="S1211" s="720"/>
      <c r="T1211" s="721"/>
      <c r="U1211" s="722"/>
      <c r="V1211" s="723"/>
      <c r="W1211" s="724"/>
      <c r="X1211" s="725" t="s">
        <v>159</v>
      </c>
      <c r="Y1211" s="725"/>
      <c r="Z1211" s="725"/>
      <c r="AA1211" s="725"/>
      <c r="AB1211" s="726" t="s">
        <v>159</v>
      </c>
      <c r="AC1211" s="726"/>
      <c r="AD1211" s="726"/>
      <c r="AE1211" s="726"/>
      <c r="AF1211" s="727"/>
      <c r="AG1211" s="728"/>
      <c r="AH1211" s="727"/>
      <c r="AI1211" s="728"/>
      <c r="AJ1211" s="682"/>
      <c r="AK1211" s="683"/>
      <c r="AL1211" s="664" t="s">
        <v>162</v>
      </c>
      <c r="AM1211" s="665"/>
      <c r="AN1211" s="713" t="s">
        <v>162</v>
      </c>
      <c r="AO1211" s="714"/>
      <c r="AP1211" s="729"/>
      <c r="AQ1211" s="730"/>
      <c r="AR1211" s="731"/>
      <c r="AS1211" s="732"/>
      <c r="AT1211" s="690"/>
      <c r="AU1211" s="691"/>
      <c r="AV1211" s="713" t="s">
        <v>162</v>
      </c>
      <c r="AW1211" s="714"/>
      <c r="AX1211" s="692"/>
      <c r="AY1211" s="693"/>
      <c r="AZ1211" s="694"/>
      <c r="BA1211" s="735"/>
      <c r="BB1211" s="736"/>
      <c r="BC1211" s="219"/>
      <c r="BD1211" s="737" t="s">
        <v>162</v>
      </c>
      <c r="BE1211" s="738"/>
      <c r="BF1211" s="739"/>
      <c r="BG1211" s="740"/>
      <c r="BH1211" s="740"/>
      <c r="BI1211" s="741"/>
      <c r="BJ1211" s="742" t="s">
        <v>159</v>
      </c>
      <c r="BK1211" s="743"/>
      <c r="BL1211" s="743"/>
      <c r="BM1211" s="744"/>
      <c r="BN1211" s="703" t="s">
        <v>159</v>
      </c>
      <c r="BO1211" s="704"/>
      <c r="BP1211" s="704"/>
      <c r="BQ1211" s="704"/>
      <c r="BR1211" s="704"/>
      <c r="BS1211" s="704"/>
      <c r="BT1211" s="704"/>
      <c r="BU1211" s="704"/>
      <c r="BV1211" s="705"/>
    </row>
    <row r="1212" spans="1:74" ht="45" customHeight="1" x14ac:dyDescent="0.25">
      <c r="A1212" s="10">
        <f t="shared" si="18"/>
        <v>1198</v>
      </c>
      <c r="B1212" s="662" t="s">
        <v>159</v>
      </c>
      <c r="C1212" s="662"/>
      <c r="D1212" s="663" t="s">
        <v>212</v>
      </c>
      <c r="E1212" s="663"/>
      <c r="F1212" s="664" t="s">
        <v>162</v>
      </c>
      <c r="G1212" s="665"/>
      <c r="H1212" s="754" t="s">
        <v>162</v>
      </c>
      <c r="I1212" s="714"/>
      <c r="J1212" s="715"/>
      <c r="K1212" s="716"/>
      <c r="L1212" s="715"/>
      <c r="M1212" s="716"/>
      <c r="N1212" s="194"/>
      <c r="O1212" s="196"/>
      <c r="P1212" s="717"/>
      <c r="Q1212" s="718"/>
      <c r="R1212" s="672"/>
      <c r="S1212" s="673"/>
      <c r="T1212" s="674"/>
      <c r="U1212" s="675"/>
      <c r="V1212" s="676"/>
      <c r="W1212" s="677"/>
      <c r="X1212" s="678" t="s">
        <v>159</v>
      </c>
      <c r="Y1212" s="678"/>
      <c r="Z1212" s="678"/>
      <c r="AA1212" s="678"/>
      <c r="AB1212" s="679" t="s">
        <v>159</v>
      </c>
      <c r="AC1212" s="679"/>
      <c r="AD1212" s="679"/>
      <c r="AE1212" s="679"/>
      <c r="AF1212" s="680"/>
      <c r="AG1212" s="681"/>
      <c r="AH1212" s="680"/>
      <c r="AI1212" s="681"/>
      <c r="AJ1212" s="682"/>
      <c r="AK1212" s="683"/>
      <c r="AL1212" s="684" t="s">
        <v>162</v>
      </c>
      <c r="AM1212" s="685"/>
      <c r="AN1212" s="666" t="s">
        <v>162</v>
      </c>
      <c r="AO1212" s="667"/>
      <c r="AP1212" s="686"/>
      <c r="AQ1212" s="687"/>
      <c r="AR1212" s="688"/>
      <c r="AS1212" s="689"/>
      <c r="AT1212" s="690"/>
      <c r="AU1212" s="691"/>
      <c r="AV1212" s="666" t="s">
        <v>162</v>
      </c>
      <c r="AW1212" s="667"/>
      <c r="AX1212" s="692"/>
      <c r="AY1212" s="693"/>
      <c r="AZ1212" s="694"/>
      <c r="BA1212" s="682"/>
      <c r="BB1212" s="683"/>
      <c r="BC1212" s="14"/>
      <c r="BD1212" s="695" t="s">
        <v>162</v>
      </c>
      <c r="BE1212" s="696"/>
      <c r="BF1212" s="697"/>
      <c r="BG1212" s="698"/>
      <c r="BH1212" s="698"/>
      <c r="BI1212" s="699"/>
      <c r="BJ1212" s="700" t="s">
        <v>159</v>
      </c>
      <c r="BK1212" s="701"/>
      <c r="BL1212" s="701"/>
      <c r="BM1212" s="702"/>
      <c r="BN1212" s="703" t="s">
        <v>159</v>
      </c>
      <c r="BO1212" s="704"/>
      <c r="BP1212" s="704"/>
      <c r="BQ1212" s="704"/>
      <c r="BR1212" s="704"/>
      <c r="BS1212" s="704"/>
      <c r="BT1212" s="704"/>
      <c r="BU1212" s="704"/>
      <c r="BV1212" s="705"/>
    </row>
    <row r="1213" spans="1:74" ht="45" customHeight="1" x14ac:dyDescent="0.25">
      <c r="A1213" s="10">
        <f t="shared" si="18"/>
        <v>1199</v>
      </c>
      <c r="B1213" s="711" t="s">
        <v>159</v>
      </c>
      <c r="C1213" s="711"/>
      <c r="D1213" s="712" t="s">
        <v>212</v>
      </c>
      <c r="E1213" s="712"/>
      <c r="F1213" s="664" t="s">
        <v>162</v>
      </c>
      <c r="G1213" s="665"/>
      <c r="H1213" s="755" t="s">
        <v>162</v>
      </c>
      <c r="I1213" s="667"/>
      <c r="J1213" s="706"/>
      <c r="K1213" s="707"/>
      <c r="L1213" s="706"/>
      <c r="M1213" s="707"/>
      <c r="N1213" s="215"/>
      <c r="O1213" s="216"/>
      <c r="P1213" s="670"/>
      <c r="Q1213" s="671"/>
      <c r="R1213" s="719"/>
      <c r="S1213" s="720"/>
      <c r="T1213" s="721"/>
      <c r="U1213" s="722"/>
      <c r="V1213" s="723"/>
      <c r="W1213" s="724"/>
      <c r="X1213" s="725" t="s">
        <v>159</v>
      </c>
      <c r="Y1213" s="725"/>
      <c r="Z1213" s="725"/>
      <c r="AA1213" s="725"/>
      <c r="AB1213" s="726" t="s">
        <v>159</v>
      </c>
      <c r="AC1213" s="726"/>
      <c r="AD1213" s="726"/>
      <c r="AE1213" s="726"/>
      <c r="AF1213" s="727"/>
      <c r="AG1213" s="728"/>
      <c r="AH1213" s="727"/>
      <c r="AI1213" s="728"/>
      <c r="AJ1213" s="682"/>
      <c r="AK1213" s="683"/>
      <c r="AL1213" s="664" t="s">
        <v>162</v>
      </c>
      <c r="AM1213" s="665"/>
      <c r="AN1213" s="713" t="s">
        <v>162</v>
      </c>
      <c r="AO1213" s="714"/>
      <c r="AP1213" s="729"/>
      <c r="AQ1213" s="730"/>
      <c r="AR1213" s="731"/>
      <c r="AS1213" s="732"/>
      <c r="AT1213" s="690"/>
      <c r="AU1213" s="691"/>
      <c r="AV1213" s="713" t="s">
        <v>162</v>
      </c>
      <c r="AW1213" s="714"/>
      <c r="AX1213" s="692"/>
      <c r="AY1213" s="693"/>
      <c r="AZ1213" s="694"/>
      <c r="BA1213" s="735"/>
      <c r="BB1213" s="736"/>
      <c r="BC1213" s="219"/>
      <c r="BD1213" s="737" t="s">
        <v>162</v>
      </c>
      <c r="BE1213" s="738"/>
      <c r="BF1213" s="739"/>
      <c r="BG1213" s="740"/>
      <c r="BH1213" s="740"/>
      <c r="BI1213" s="741"/>
      <c r="BJ1213" s="742" t="s">
        <v>159</v>
      </c>
      <c r="BK1213" s="743"/>
      <c r="BL1213" s="743"/>
      <c r="BM1213" s="744"/>
      <c r="BN1213" s="703" t="s">
        <v>159</v>
      </c>
      <c r="BO1213" s="704"/>
      <c r="BP1213" s="704"/>
      <c r="BQ1213" s="704"/>
      <c r="BR1213" s="704"/>
      <c r="BS1213" s="704"/>
      <c r="BT1213" s="704"/>
      <c r="BU1213" s="704"/>
      <c r="BV1213" s="705"/>
    </row>
    <row r="1214" spans="1:74" ht="45" customHeight="1" x14ac:dyDescent="0.25">
      <c r="A1214" s="10">
        <f t="shared" si="18"/>
        <v>1200</v>
      </c>
      <c r="B1214" s="662" t="s">
        <v>159</v>
      </c>
      <c r="C1214" s="662"/>
      <c r="D1214" s="663" t="s">
        <v>212</v>
      </c>
      <c r="E1214" s="663"/>
      <c r="F1214" s="664" t="s">
        <v>162</v>
      </c>
      <c r="G1214" s="665"/>
      <c r="H1214" s="754" t="s">
        <v>162</v>
      </c>
      <c r="I1214" s="714"/>
      <c r="J1214" s="715"/>
      <c r="K1214" s="716"/>
      <c r="L1214" s="715"/>
      <c r="M1214" s="716"/>
      <c r="N1214" s="194"/>
      <c r="O1214" s="196"/>
      <c r="P1214" s="717"/>
      <c r="Q1214" s="718"/>
      <c r="R1214" s="672"/>
      <c r="S1214" s="673"/>
      <c r="T1214" s="674"/>
      <c r="U1214" s="675"/>
      <c r="V1214" s="676"/>
      <c r="W1214" s="677"/>
      <c r="X1214" s="678" t="s">
        <v>159</v>
      </c>
      <c r="Y1214" s="678"/>
      <c r="Z1214" s="678"/>
      <c r="AA1214" s="678"/>
      <c r="AB1214" s="679" t="s">
        <v>159</v>
      </c>
      <c r="AC1214" s="679"/>
      <c r="AD1214" s="679"/>
      <c r="AE1214" s="679"/>
      <c r="AF1214" s="680"/>
      <c r="AG1214" s="681"/>
      <c r="AH1214" s="680"/>
      <c r="AI1214" s="681"/>
      <c r="AJ1214" s="682"/>
      <c r="AK1214" s="683"/>
      <c r="AL1214" s="684" t="s">
        <v>162</v>
      </c>
      <c r="AM1214" s="685"/>
      <c r="AN1214" s="666" t="s">
        <v>162</v>
      </c>
      <c r="AO1214" s="667"/>
      <c r="AP1214" s="686"/>
      <c r="AQ1214" s="687"/>
      <c r="AR1214" s="688"/>
      <c r="AS1214" s="689"/>
      <c r="AT1214" s="690"/>
      <c r="AU1214" s="691"/>
      <c r="AV1214" s="666" t="s">
        <v>162</v>
      </c>
      <c r="AW1214" s="667"/>
      <c r="AX1214" s="692"/>
      <c r="AY1214" s="693"/>
      <c r="AZ1214" s="694"/>
      <c r="BA1214" s="682"/>
      <c r="BB1214" s="683"/>
      <c r="BC1214" s="14"/>
      <c r="BD1214" s="695" t="s">
        <v>162</v>
      </c>
      <c r="BE1214" s="696"/>
      <c r="BF1214" s="697"/>
      <c r="BG1214" s="698"/>
      <c r="BH1214" s="698"/>
      <c r="BI1214" s="699"/>
      <c r="BJ1214" s="700" t="s">
        <v>159</v>
      </c>
      <c r="BK1214" s="701"/>
      <c r="BL1214" s="701"/>
      <c r="BM1214" s="702"/>
      <c r="BN1214" s="703" t="s">
        <v>159</v>
      </c>
      <c r="BO1214" s="704"/>
      <c r="BP1214" s="704"/>
      <c r="BQ1214" s="704"/>
      <c r="BR1214" s="704"/>
      <c r="BS1214" s="704"/>
      <c r="BT1214" s="704"/>
      <c r="BU1214" s="704"/>
      <c r="BV1214" s="705"/>
    </row>
    <row r="1215" spans="1:74" ht="45" customHeight="1" x14ac:dyDescent="0.25">
      <c r="A1215" s="10">
        <f t="shared" si="18"/>
        <v>1201</v>
      </c>
      <c r="B1215" s="711" t="s">
        <v>159</v>
      </c>
      <c r="C1215" s="711"/>
      <c r="D1215" s="712" t="s">
        <v>212</v>
      </c>
      <c r="E1215" s="712"/>
      <c r="F1215" s="664" t="s">
        <v>162</v>
      </c>
      <c r="G1215" s="665"/>
      <c r="H1215" s="755" t="s">
        <v>162</v>
      </c>
      <c r="I1215" s="667"/>
      <c r="J1215" s="706"/>
      <c r="K1215" s="707"/>
      <c r="L1215" s="706"/>
      <c r="M1215" s="707"/>
      <c r="N1215" s="215"/>
      <c r="O1215" s="216"/>
      <c r="P1215" s="670"/>
      <c r="Q1215" s="671"/>
      <c r="R1215" s="719"/>
      <c r="S1215" s="720"/>
      <c r="T1215" s="721"/>
      <c r="U1215" s="722"/>
      <c r="V1215" s="723"/>
      <c r="W1215" s="724"/>
      <c r="X1215" s="725" t="s">
        <v>159</v>
      </c>
      <c r="Y1215" s="725"/>
      <c r="Z1215" s="725"/>
      <c r="AA1215" s="725"/>
      <c r="AB1215" s="726" t="s">
        <v>159</v>
      </c>
      <c r="AC1215" s="726"/>
      <c r="AD1215" s="726"/>
      <c r="AE1215" s="726"/>
      <c r="AF1215" s="727"/>
      <c r="AG1215" s="728"/>
      <c r="AH1215" s="727"/>
      <c r="AI1215" s="728"/>
      <c r="AJ1215" s="682"/>
      <c r="AK1215" s="683"/>
      <c r="AL1215" s="664" t="s">
        <v>162</v>
      </c>
      <c r="AM1215" s="665"/>
      <c r="AN1215" s="713" t="s">
        <v>162</v>
      </c>
      <c r="AO1215" s="714"/>
      <c r="AP1215" s="729"/>
      <c r="AQ1215" s="730"/>
      <c r="AR1215" s="731"/>
      <c r="AS1215" s="732"/>
      <c r="AT1215" s="733"/>
      <c r="AU1215" s="734"/>
      <c r="AV1215" s="713" t="s">
        <v>162</v>
      </c>
      <c r="AW1215" s="714"/>
      <c r="AX1215" s="692"/>
      <c r="AY1215" s="693"/>
      <c r="AZ1215" s="694"/>
      <c r="BA1215" s="735"/>
      <c r="BB1215" s="736"/>
      <c r="BC1215" s="219"/>
      <c r="BD1215" s="737" t="s">
        <v>162</v>
      </c>
      <c r="BE1215" s="738"/>
      <c r="BF1215" s="739"/>
      <c r="BG1215" s="740"/>
      <c r="BH1215" s="740"/>
      <c r="BI1215" s="741"/>
      <c r="BJ1215" s="742" t="s">
        <v>159</v>
      </c>
      <c r="BK1215" s="743"/>
      <c r="BL1215" s="743"/>
      <c r="BM1215" s="744"/>
      <c r="BN1215" s="703" t="s">
        <v>159</v>
      </c>
      <c r="BO1215" s="704"/>
      <c r="BP1215" s="704"/>
      <c r="BQ1215" s="704"/>
      <c r="BR1215" s="704"/>
      <c r="BS1215" s="704"/>
      <c r="BT1215" s="704"/>
      <c r="BU1215" s="704"/>
      <c r="BV1215" s="705"/>
    </row>
    <row r="1216" spans="1:74" ht="45" customHeight="1" x14ac:dyDescent="0.25">
      <c r="A1216" s="10">
        <f t="shared" si="18"/>
        <v>1202</v>
      </c>
      <c r="B1216" s="662" t="s">
        <v>159</v>
      </c>
      <c r="C1216" s="662"/>
      <c r="D1216" s="663" t="s">
        <v>212</v>
      </c>
      <c r="E1216" s="663"/>
      <c r="F1216" s="664" t="s">
        <v>162</v>
      </c>
      <c r="G1216" s="665"/>
      <c r="H1216" s="754" t="s">
        <v>162</v>
      </c>
      <c r="I1216" s="714"/>
      <c r="J1216" s="715"/>
      <c r="K1216" s="716"/>
      <c r="L1216" s="715"/>
      <c r="M1216" s="716"/>
      <c r="N1216" s="194"/>
      <c r="O1216" s="196"/>
      <c r="P1216" s="717"/>
      <c r="Q1216" s="718"/>
      <c r="R1216" s="672"/>
      <c r="S1216" s="673"/>
      <c r="T1216" s="674"/>
      <c r="U1216" s="675"/>
      <c r="V1216" s="676"/>
      <c r="W1216" s="677"/>
      <c r="X1216" s="678" t="s">
        <v>159</v>
      </c>
      <c r="Y1216" s="678"/>
      <c r="Z1216" s="678"/>
      <c r="AA1216" s="678"/>
      <c r="AB1216" s="679" t="s">
        <v>159</v>
      </c>
      <c r="AC1216" s="679"/>
      <c r="AD1216" s="679"/>
      <c r="AE1216" s="679"/>
      <c r="AF1216" s="680"/>
      <c r="AG1216" s="681"/>
      <c r="AH1216" s="680"/>
      <c r="AI1216" s="681"/>
      <c r="AJ1216" s="682"/>
      <c r="AK1216" s="683"/>
      <c r="AL1216" s="684" t="s">
        <v>162</v>
      </c>
      <c r="AM1216" s="685"/>
      <c r="AN1216" s="666" t="s">
        <v>162</v>
      </c>
      <c r="AO1216" s="667"/>
      <c r="AP1216" s="686"/>
      <c r="AQ1216" s="687"/>
      <c r="AR1216" s="688"/>
      <c r="AS1216" s="689"/>
      <c r="AT1216" s="690"/>
      <c r="AU1216" s="691"/>
      <c r="AV1216" s="666" t="s">
        <v>162</v>
      </c>
      <c r="AW1216" s="667"/>
      <c r="AX1216" s="692"/>
      <c r="AY1216" s="693"/>
      <c r="AZ1216" s="694"/>
      <c r="BA1216" s="682"/>
      <c r="BB1216" s="683"/>
      <c r="BC1216" s="14"/>
      <c r="BD1216" s="695" t="s">
        <v>162</v>
      </c>
      <c r="BE1216" s="696"/>
      <c r="BF1216" s="708"/>
      <c r="BG1216" s="709"/>
      <c r="BH1216" s="709"/>
      <c r="BI1216" s="710"/>
      <c r="BJ1216" s="700" t="s">
        <v>159</v>
      </c>
      <c r="BK1216" s="701"/>
      <c r="BL1216" s="701"/>
      <c r="BM1216" s="702"/>
      <c r="BN1216" s="703" t="s">
        <v>159</v>
      </c>
      <c r="BO1216" s="704"/>
      <c r="BP1216" s="704"/>
      <c r="BQ1216" s="704"/>
      <c r="BR1216" s="704"/>
      <c r="BS1216" s="704"/>
      <c r="BT1216" s="704"/>
      <c r="BU1216" s="704"/>
      <c r="BV1216" s="705"/>
    </row>
    <row r="1217" spans="1:74" ht="45" customHeight="1" x14ac:dyDescent="0.25">
      <c r="A1217" s="10">
        <f t="shared" si="18"/>
        <v>1203</v>
      </c>
      <c r="B1217" s="711" t="s">
        <v>159</v>
      </c>
      <c r="C1217" s="711"/>
      <c r="D1217" s="712" t="s">
        <v>212</v>
      </c>
      <c r="E1217" s="712"/>
      <c r="F1217" s="664" t="s">
        <v>162</v>
      </c>
      <c r="G1217" s="665"/>
      <c r="H1217" s="755" t="s">
        <v>162</v>
      </c>
      <c r="I1217" s="667"/>
      <c r="J1217" s="706"/>
      <c r="K1217" s="707"/>
      <c r="L1217" s="706"/>
      <c r="M1217" s="707"/>
      <c r="N1217" s="215"/>
      <c r="O1217" s="216"/>
      <c r="P1217" s="670"/>
      <c r="Q1217" s="671"/>
      <c r="R1217" s="719"/>
      <c r="S1217" s="720"/>
      <c r="T1217" s="721"/>
      <c r="U1217" s="722"/>
      <c r="V1217" s="723"/>
      <c r="W1217" s="724"/>
      <c r="X1217" s="725" t="s">
        <v>159</v>
      </c>
      <c r="Y1217" s="725"/>
      <c r="Z1217" s="725"/>
      <c r="AA1217" s="725"/>
      <c r="AB1217" s="726" t="s">
        <v>159</v>
      </c>
      <c r="AC1217" s="726"/>
      <c r="AD1217" s="726"/>
      <c r="AE1217" s="726"/>
      <c r="AF1217" s="727"/>
      <c r="AG1217" s="728"/>
      <c r="AH1217" s="727"/>
      <c r="AI1217" s="728"/>
      <c r="AJ1217" s="682"/>
      <c r="AK1217" s="683"/>
      <c r="AL1217" s="664" t="s">
        <v>162</v>
      </c>
      <c r="AM1217" s="665"/>
      <c r="AN1217" s="713" t="s">
        <v>162</v>
      </c>
      <c r="AO1217" s="714"/>
      <c r="AP1217" s="729"/>
      <c r="AQ1217" s="730"/>
      <c r="AR1217" s="731"/>
      <c r="AS1217" s="732"/>
      <c r="AT1217" s="733"/>
      <c r="AU1217" s="734"/>
      <c r="AV1217" s="713" t="s">
        <v>162</v>
      </c>
      <c r="AW1217" s="714"/>
      <c r="AX1217" s="692"/>
      <c r="AY1217" s="693"/>
      <c r="AZ1217" s="694"/>
      <c r="BA1217" s="735"/>
      <c r="BB1217" s="736"/>
      <c r="BC1217" s="219"/>
      <c r="BD1217" s="737" t="s">
        <v>162</v>
      </c>
      <c r="BE1217" s="738"/>
      <c r="BF1217" s="739"/>
      <c r="BG1217" s="740"/>
      <c r="BH1217" s="740"/>
      <c r="BI1217" s="741"/>
      <c r="BJ1217" s="742" t="s">
        <v>159</v>
      </c>
      <c r="BK1217" s="743"/>
      <c r="BL1217" s="743"/>
      <c r="BM1217" s="744"/>
      <c r="BN1217" s="703" t="s">
        <v>159</v>
      </c>
      <c r="BO1217" s="704"/>
      <c r="BP1217" s="704"/>
      <c r="BQ1217" s="704"/>
      <c r="BR1217" s="704"/>
      <c r="BS1217" s="704"/>
      <c r="BT1217" s="704"/>
      <c r="BU1217" s="704"/>
      <c r="BV1217" s="705"/>
    </row>
    <row r="1218" spans="1:74" ht="45" customHeight="1" x14ac:dyDescent="0.25">
      <c r="A1218" s="10">
        <f t="shared" si="18"/>
        <v>1204</v>
      </c>
      <c r="B1218" s="662" t="s">
        <v>159</v>
      </c>
      <c r="C1218" s="662"/>
      <c r="D1218" s="663" t="s">
        <v>212</v>
      </c>
      <c r="E1218" s="663"/>
      <c r="F1218" s="664" t="s">
        <v>162</v>
      </c>
      <c r="G1218" s="665"/>
      <c r="H1218" s="754" t="s">
        <v>162</v>
      </c>
      <c r="I1218" s="714"/>
      <c r="J1218" s="715"/>
      <c r="K1218" s="716"/>
      <c r="L1218" s="715"/>
      <c r="M1218" s="716"/>
      <c r="N1218" s="194"/>
      <c r="O1218" s="196"/>
      <c r="P1218" s="717"/>
      <c r="Q1218" s="718"/>
      <c r="R1218" s="672"/>
      <c r="S1218" s="673"/>
      <c r="T1218" s="674"/>
      <c r="U1218" s="675"/>
      <c r="V1218" s="676"/>
      <c r="W1218" s="677"/>
      <c r="X1218" s="678" t="s">
        <v>159</v>
      </c>
      <c r="Y1218" s="678"/>
      <c r="Z1218" s="678"/>
      <c r="AA1218" s="678"/>
      <c r="AB1218" s="679" t="s">
        <v>159</v>
      </c>
      <c r="AC1218" s="679"/>
      <c r="AD1218" s="679"/>
      <c r="AE1218" s="679"/>
      <c r="AF1218" s="680"/>
      <c r="AG1218" s="681"/>
      <c r="AH1218" s="680"/>
      <c r="AI1218" s="681"/>
      <c r="AJ1218" s="682"/>
      <c r="AK1218" s="683"/>
      <c r="AL1218" s="684" t="s">
        <v>162</v>
      </c>
      <c r="AM1218" s="685"/>
      <c r="AN1218" s="666" t="s">
        <v>162</v>
      </c>
      <c r="AO1218" s="667"/>
      <c r="AP1218" s="686"/>
      <c r="AQ1218" s="687"/>
      <c r="AR1218" s="688"/>
      <c r="AS1218" s="689"/>
      <c r="AT1218" s="690"/>
      <c r="AU1218" s="691"/>
      <c r="AV1218" s="666" t="s">
        <v>162</v>
      </c>
      <c r="AW1218" s="667"/>
      <c r="AX1218" s="692"/>
      <c r="AY1218" s="693"/>
      <c r="AZ1218" s="694"/>
      <c r="BA1218" s="682"/>
      <c r="BB1218" s="683"/>
      <c r="BC1218" s="14"/>
      <c r="BD1218" s="695" t="s">
        <v>162</v>
      </c>
      <c r="BE1218" s="696"/>
      <c r="BF1218" s="697"/>
      <c r="BG1218" s="698"/>
      <c r="BH1218" s="698"/>
      <c r="BI1218" s="699"/>
      <c r="BJ1218" s="700" t="s">
        <v>159</v>
      </c>
      <c r="BK1218" s="701"/>
      <c r="BL1218" s="701"/>
      <c r="BM1218" s="702"/>
      <c r="BN1218" s="703" t="s">
        <v>159</v>
      </c>
      <c r="BO1218" s="704"/>
      <c r="BP1218" s="704"/>
      <c r="BQ1218" s="704"/>
      <c r="BR1218" s="704"/>
      <c r="BS1218" s="704"/>
      <c r="BT1218" s="704"/>
      <c r="BU1218" s="704"/>
      <c r="BV1218" s="705"/>
    </row>
    <row r="1219" spans="1:74" ht="45" customHeight="1" x14ac:dyDescent="0.25">
      <c r="A1219" s="10">
        <f t="shared" si="18"/>
        <v>1205</v>
      </c>
      <c r="B1219" s="711" t="s">
        <v>159</v>
      </c>
      <c r="C1219" s="711"/>
      <c r="D1219" s="712" t="s">
        <v>212</v>
      </c>
      <c r="E1219" s="712"/>
      <c r="F1219" s="664" t="s">
        <v>162</v>
      </c>
      <c r="G1219" s="665"/>
      <c r="H1219" s="755" t="s">
        <v>162</v>
      </c>
      <c r="I1219" s="667"/>
      <c r="J1219" s="706"/>
      <c r="K1219" s="707"/>
      <c r="L1219" s="706"/>
      <c r="M1219" s="707"/>
      <c r="N1219" s="215"/>
      <c r="O1219" s="216"/>
      <c r="P1219" s="670"/>
      <c r="Q1219" s="671"/>
      <c r="R1219" s="719"/>
      <c r="S1219" s="720"/>
      <c r="T1219" s="721"/>
      <c r="U1219" s="722"/>
      <c r="V1219" s="723"/>
      <c r="W1219" s="724"/>
      <c r="X1219" s="725" t="s">
        <v>159</v>
      </c>
      <c r="Y1219" s="725"/>
      <c r="Z1219" s="725"/>
      <c r="AA1219" s="725"/>
      <c r="AB1219" s="726" t="s">
        <v>159</v>
      </c>
      <c r="AC1219" s="726"/>
      <c r="AD1219" s="726"/>
      <c r="AE1219" s="726"/>
      <c r="AF1219" s="727"/>
      <c r="AG1219" s="728"/>
      <c r="AH1219" s="727"/>
      <c r="AI1219" s="728"/>
      <c r="AJ1219" s="682"/>
      <c r="AK1219" s="683"/>
      <c r="AL1219" s="664" t="s">
        <v>162</v>
      </c>
      <c r="AM1219" s="665"/>
      <c r="AN1219" s="713" t="s">
        <v>162</v>
      </c>
      <c r="AO1219" s="714"/>
      <c r="AP1219" s="729"/>
      <c r="AQ1219" s="730"/>
      <c r="AR1219" s="731"/>
      <c r="AS1219" s="732"/>
      <c r="AT1219" s="733"/>
      <c r="AU1219" s="734"/>
      <c r="AV1219" s="713" t="s">
        <v>162</v>
      </c>
      <c r="AW1219" s="714"/>
      <c r="AX1219" s="692"/>
      <c r="AY1219" s="693"/>
      <c r="AZ1219" s="694"/>
      <c r="BA1219" s="735"/>
      <c r="BB1219" s="736"/>
      <c r="BC1219" s="219"/>
      <c r="BD1219" s="737" t="s">
        <v>162</v>
      </c>
      <c r="BE1219" s="738"/>
      <c r="BF1219" s="739"/>
      <c r="BG1219" s="740"/>
      <c r="BH1219" s="740"/>
      <c r="BI1219" s="741"/>
      <c r="BJ1219" s="742" t="s">
        <v>159</v>
      </c>
      <c r="BK1219" s="743"/>
      <c r="BL1219" s="743"/>
      <c r="BM1219" s="744"/>
      <c r="BN1219" s="703" t="s">
        <v>159</v>
      </c>
      <c r="BO1219" s="704"/>
      <c r="BP1219" s="704"/>
      <c r="BQ1219" s="704"/>
      <c r="BR1219" s="704"/>
      <c r="BS1219" s="704"/>
      <c r="BT1219" s="704"/>
      <c r="BU1219" s="704"/>
      <c r="BV1219" s="705"/>
    </row>
    <row r="1220" spans="1:74" ht="45" customHeight="1" x14ac:dyDescent="0.25">
      <c r="A1220" s="10">
        <f t="shared" si="18"/>
        <v>1206</v>
      </c>
      <c r="B1220" s="662" t="s">
        <v>159</v>
      </c>
      <c r="C1220" s="662"/>
      <c r="D1220" s="663" t="s">
        <v>212</v>
      </c>
      <c r="E1220" s="663"/>
      <c r="F1220" s="664" t="s">
        <v>162</v>
      </c>
      <c r="G1220" s="665"/>
      <c r="H1220" s="754" t="s">
        <v>162</v>
      </c>
      <c r="I1220" s="714"/>
      <c r="J1220" s="715"/>
      <c r="K1220" s="716"/>
      <c r="L1220" s="715"/>
      <c r="M1220" s="716"/>
      <c r="N1220" s="194"/>
      <c r="O1220" s="196"/>
      <c r="P1220" s="717"/>
      <c r="Q1220" s="718"/>
      <c r="R1220" s="672"/>
      <c r="S1220" s="673"/>
      <c r="T1220" s="674"/>
      <c r="U1220" s="675"/>
      <c r="V1220" s="676"/>
      <c r="W1220" s="677"/>
      <c r="X1220" s="678" t="s">
        <v>159</v>
      </c>
      <c r="Y1220" s="678"/>
      <c r="Z1220" s="678"/>
      <c r="AA1220" s="678"/>
      <c r="AB1220" s="679" t="s">
        <v>159</v>
      </c>
      <c r="AC1220" s="679"/>
      <c r="AD1220" s="679"/>
      <c r="AE1220" s="679"/>
      <c r="AF1220" s="680"/>
      <c r="AG1220" s="681"/>
      <c r="AH1220" s="680"/>
      <c r="AI1220" s="681"/>
      <c r="AJ1220" s="682"/>
      <c r="AK1220" s="683"/>
      <c r="AL1220" s="684" t="s">
        <v>162</v>
      </c>
      <c r="AM1220" s="685"/>
      <c r="AN1220" s="666" t="s">
        <v>162</v>
      </c>
      <c r="AO1220" s="667"/>
      <c r="AP1220" s="686"/>
      <c r="AQ1220" s="687"/>
      <c r="AR1220" s="688"/>
      <c r="AS1220" s="689"/>
      <c r="AT1220" s="690"/>
      <c r="AU1220" s="691"/>
      <c r="AV1220" s="666" t="s">
        <v>162</v>
      </c>
      <c r="AW1220" s="667"/>
      <c r="AX1220" s="692"/>
      <c r="AY1220" s="693"/>
      <c r="AZ1220" s="694"/>
      <c r="BA1220" s="682"/>
      <c r="BB1220" s="683"/>
      <c r="BC1220" s="14"/>
      <c r="BD1220" s="695" t="s">
        <v>162</v>
      </c>
      <c r="BE1220" s="696"/>
      <c r="BF1220" s="697"/>
      <c r="BG1220" s="698"/>
      <c r="BH1220" s="698"/>
      <c r="BI1220" s="699"/>
      <c r="BJ1220" s="700" t="s">
        <v>159</v>
      </c>
      <c r="BK1220" s="701"/>
      <c r="BL1220" s="701"/>
      <c r="BM1220" s="702"/>
      <c r="BN1220" s="703" t="s">
        <v>159</v>
      </c>
      <c r="BO1220" s="704"/>
      <c r="BP1220" s="704"/>
      <c r="BQ1220" s="704"/>
      <c r="BR1220" s="704"/>
      <c r="BS1220" s="704"/>
      <c r="BT1220" s="704"/>
      <c r="BU1220" s="704"/>
      <c r="BV1220" s="705"/>
    </row>
    <row r="1221" spans="1:74" ht="45" customHeight="1" x14ac:dyDescent="0.25">
      <c r="A1221" s="10">
        <f t="shared" si="18"/>
        <v>1207</v>
      </c>
      <c r="B1221" s="711" t="s">
        <v>159</v>
      </c>
      <c r="C1221" s="711"/>
      <c r="D1221" s="712" t="s">
        <v>212</v>
      </c>
      <c r="E1221" s="712"/>
      <c r="F1221" s="664" t="s">
        <v>162</v>
      </c>
      <c r="G1221" s="665"/>
      <c r="H1221" s="755" t="s">
        <v>162</v>
      </c>
      <c r="I1221" s="667"/>
      <c r="J1221" s="706"/>
      <c r="K1221" s="707"/>
      <c r="L1221" s="706"/>
      <c r="M1221" s="707"/>
      <c r="N1221" s="215"/>
      <c r="O1221" s="216"/>
      <c r="P1221" s="670"/>
      <c r="Q1221" s="671"/>
      <c r="R1221" s="719"/>
      <c r="S1221" s="720"/>
      <c r="T1221" s="721"/>
      <c r="U1221" s="722"/>
      <c r="V1221" s="723"/>
      <c r="W1221" s="724"/>
      <c r="X1221" s="725" t="s">
        <v>159</v>
      </c>
      <c r="Y1221" s="725"/>
      <c r="Z1221" s="725"/>
      <c r="AA1221" s="725"/>
      <c r="AB1221" s="726" t="s">
        <v>159</v>
      </c>
      <c r="AC1221" s="726"/>
      <c r="AD1221" s="726"/>
      <c r="AE1221" s="726"/>
      <c r="AF1221" s="727"/>
      <c r="AG1221" s="728"/>
      <c r="AH1221" s="727"/>
      <c r="AI1221" s="728"/>
      <c r="AJ1221" s="682"/>
      <c r="AK1221" s="683"/>
      <c r="AL1221" s="664" t="s">
        <v>162</v>
      </c>
      <c r="AM1221" s="665"/>
      <c r="AN1221" s="713" t="s">
        <v>162</v>
      </c>
      <c r="AO1221" s="714"/>
      <c r="AP1221" s="729"/>
      <c r="AQ1221" s="730"/>
      <c r="AR1221" s="731"/>
      <c r="AS1221" s="732"/>
      <c r="AT1221" s="733"/>
      <c r="AU1221" s="734"/>
      <c r="AV1221" s="713" t="s">
        <v>162</v>
      </c>
      <c r="AW1221" s="714"/>
      <c r="AX1221" s="692"/>
      <c r="AY1221" s="693"/>
      <c r="AZ1221" s="694"/>
      <c r="BA1221" s="735"/>
      <c r="BB1221" s="736"/>
      <c r="BC1221" s="219"/>
      <c r="BD1221" s="737" t="s">
        <v>162</v>
      </c>
      <c r="BE1221" s="738"/>
      <c r="BF1221" s="739"/>
      <c r="BG1221" s="740"/>
      <c r="BH1221" s="740"/>
      <c r="BI1221" s="741"/>
      <c r="BJ1221" s="742" t="s">
        <v>159</v>
      </c>
      <c r="BK1221" s="743"/>
      <c r="BL1221" s="743"/>
      <c r="BM1221" s="744"/>
      <c r="BN1221" s="703" t="s">
        <v>159</v>
      </c>
      <c r="BO1221" s="704"/>
      <c r="BP1221" s="704"/>
      <c r="BQ1221" s="704"/>
      <c r="BR1221" s="704"/>
      <c r="BS1221" s="704"/>
      <c r="BT1221" s="704"/>
      <c r="BU1221" s="704"/>
      <c r="BV1221" s="705"/>
    </row>
    <row r="1222" spans="1:74" ht="45" customHeight="1" x14ac:dyDescent="0.25">
      <c r="A1222" s="10">
        <f t="shared" si="18"/>
        <v>1208</v>
      </c>
      <c r="B1222" s="662" t="s">
        <v>159</v>
      </c>
      <c r="C1222" s="662"/>
      <c r="D1222" s="663" t="s">
        <v>212</v>
      </c>
      <c r="E1222" s="663"/>
      <c r="F1222" s="664" t="s">
        <v>162</v>
      </c>
      <c r="G1222" s="665"/>
      <c r="H1222" s="754" t="s">
        <v>162</v>
      </c>
      <c r="I1222" s="714"/>
      <c r="J1222" s="715"/>
      <c r="K1222" s="716"/>
      <c r="L1222" s="715"/>
      <c r="M1222" s="716"/>
      <c r="N1222" s="194"/>
      <c r="O1222" s="196"/>
      <c r="P1222" s="717"/>
      <c r="Q1222" s="718"/>
      <c r="R1222" s="672"/>
      <c r="S1222" s="673"/>
      <c r="T1222" s="674"/>
      <c r="U1222" s="675"/>
      <c r="V1222" s="676"/>
      <c r="W1222" s="677"/>
      <c r="X1222" s="678" t="s">
        <v>159</v>
      </c>
      <c r="Y1222" s="678"/>
      <c r="Z1222" s="678"/>
      <c r="AA1222" s="678"/>
      <c r="AB1222" s="679" t="s">
        <v>159</v>
      </c>
      <c r="AC1222" s="679"/>
      <c r="AD1222" s="679"/>
      <c r="AE1222" s="679"/>
      <c r="AF1222" s="680"/>
      <c r="AG1222" s="681"/>
      <c r="AH1222" s="680"/>
      <c r="AI1222" s="681"/>
      <c r="AJ1222" s="682"/>
      <c r="AK1222" s="683"/>
      <c r="AL1222" s="684" t="s">
        <v>162</v>
      </c>
      <c r="AM1222" s="685"/>
      <c r="AN1222" s="666" t="s">
        <v>162</v>
      </c>
      <c r="AO1222" s="667"/>
      <c r="AP1222" s="686"/>
      <c r="AQ1222" s="687"/>
      <c r="AR1222" s="688"/>
      <c r="AS1222" s="689"/>
      <c r="AT1222" s="690"/>
      <c r="AU1222" s="691"/>
      <c r="AV1222" s="666" t="s">
        <v>162</v>
      </c>
      <c r="AW1222" s="667"/>
      <c r="AX1222" s="692"/>
      <c r="AY1222" s="693"/>
      <c r="AZ1222" s="694"/>
      <c r="BA1222" s="682"/>
      <c r="BB1222" s="683"/>
      <c r="BC1222" s="14"/>
      <c r="BD1222" s="695" t="s">
        <v>162</v>
      </c>
      <c r="BE1222" s="696"/>
      <c r="BF1222" s="708"/>
      <c r="BG1222" s="709"/>
      <c r="BH1222" s="709"/>
      <c r="BI1222" s="710"/>
      <c r="BJ1222" s="700" t="s">
        <v>159</v>
      </c>
      <c r="BK1222" s="701"/>
      <c r="BL1222" s="701"/>
      <c r="BM1222" s="702"/>
      <c r="BN1222" s="703" t="s">
        <v>159</v>
      </c>
      <c r="BO1222" s="704"/>
      <c r="BP1222" s="704"/>
      <c r="BQ1222" s="704"/>
      <c r="BR1222" s="704"/>
      <c r="BS1222" s="704"/>
      <c r="BT1222" s="704"/>
      <c r="BU1222" s="704"/>
      <c r="BV1222" s="705"/>
    </row>
    <row r="1223" spans="1:74" ht="45" customHeight="1" x14ac:dyDescent="0.25">
      <c r="A1223" s="10">
        <f t="shared" si="18"/>
        <v>1209</v>
      </c>
      <c r="B1223" s="711" t="s">
        <v>159</v>
      </c>
      <c r="C1223" s="711"/>
      <c r="D1223" s="712" t="s">
        <v>212</v>
      </c>
      <c r="E1223" s="712"/>
      <c r="F1223" s="664" t="s">
        <v>162</v>
      </c>
      <c r="G1223" s="665"/>
      <c r="H1223" s="755" t="s">
        <v>162</v>
      </c>
      <c r="I1223" s="667"/>
      <c r="J1223" s="706"/>
      <c r="K1223" s="707"/>
      <c r="L1223" s="706"/>
      <c r="M1223" s="707"/>
      <c r="N1223" s="215"/>
      <c r="O1223" s="216"/>
      <c r="P1223" s="670"/>
      <c r="Q1223" s="671"/>
      <c r="R1223" s="719"/>
      <c r="S1223" s="720"/>
      <c r="T1223" s="721"/>
      <c r="U1223" s="722"/>
      <c r="V1223" s="723"/>
      <c r="W1223" s="724"/>
      <c r="X1223" s="725" t="s">
        <v>159</v>
      </c>
      <c r="Y1223" s="725"/>
      <c r="Z1223" s="725"/>
      <c r="AA1223" s="725"/>
      <c r="AB1223" s="726" t="s">
        <v>159</v>
      </c>
      <c r="AC1223" s="726"/>
      <c r="AD1223" s="726"/>
      <c r="AE1223" s="726"/>
      <c r="AF1223" s="727"/>
      <c r="AG1223" s="728"/>
      <c r="AH1223" s="727"/>
      <c r="AI1223" s="728"/>
      <c r="AJ1223" s="682"/>
      <c r="AK1223" s="683"/>
      <c r="AL1223" s="664" t="s">
        <v>162</v>
      </c>
      <c r="AM1223" s="665"/>
      <c r="AN1223" s="713" t="s">
        <v>162</v>
      </c>
      <c r="AO1223" s="714"/>
      <c r="AP1223" s="729"/>
      <c r="AQ1223" s="730"/>
      <c r="AR1223" s="731"/>
      <c r="AS1223" s="732"/>
      <c r="AT1223" s="733"/>
      <c r="AU1223" s="734"/>
      <c r="AV1223" s="713" t="s">
        <v>162</v>
      </c>
      <c r="AW1223" s="714"/>
      <c r="AX1223" s="692"/>
      <c r="AY1223" s="693"/>
      <c r="AZ1223" s="694"/>
      <c r="BA1223" s="735"/>
      <c r="BB1223" s="736"/>
      <c r="BC1223" s="219"/>
      <c r="BD1223" s="737" t="s">
        <v>162</v>
      </c>
      <c r="BE1223" s="738"/>
      <c r="BF1223" s="739"/>
      <c r="BG1223" s="740"/>
      <c r="BH1223" s="740"/>
      <c r="BI1223" s="741"/>
      <c r="BJ1223" s="742" t="s">
        <v>159</v>
      </c>
      <c r="BK1223" s="743"/>
      <c r="BL1223" s="743"/>
      <c r="BM1223" s="744"/>
      <c r="BN1223" s="703" t="s">
        <v>159</v>
      </c>
      <c r="BO1223" s="704"/>
      <c r="BP1223" s="704"/>
      <c r="BQ1223" s="704"/>
      <c r="BR1223" s="704"/>
      <c r="BS1223" s="704"/>
      <c r="BT1223" s="704"/>
      <c r="BU1223" s="704"/>
      <c r="BV1223" s="705"/>
    </row>
    <row r="1224" spans="1:74" ht="45" customHeight="1" x14ac:dyDescent="0.25">
      <c r="A1224" s="10">
        <f t="shared" si="18"/>
        <v>1210</v>
      </c>
      <c r="B1224" s="662" t="s">
        <v>159</v>
      </c>
      <c r="C1224" s="662"/>
      <c r="D1224" s="663" t="s">
        <v>212</v>
      </c>
      <c r="E1224" s="663"/>
      <c r="F1224" s="664" t="s">
        <v>162</v>
      </c>
      <c r="G1224" s="665"/>
      <c r="H1224" s="754" t="s">
        <v>162</v>
      </c>
      <c r="I1224" s="714"/>
      <c r="J1224" s="715"/>
      <c r="K1224" s="716"/>
      <c r="L1224" s="715"/>
      <c r="M1224" s="716"/>
      <c r="N1224" s="194"/>
      <c r="O1224" s="196"/>
      <c r="P1224" s="717"/>
      <c r="Q1224" s="718"/>
      <c r="R1224" s="672"/>
      <c r="S1224" s="673"/>
      <c r="T1224" s="674"/>
      <c r="U1224" s="675"/>
      <c r="V1224" s="676"/>
      <c r="W1224" s="677"/>
      <c r="X1224" s="678" t="s">
        <v>159</v>
      </c>
      <c r="Y1224" s="678"/>
      <c r="Z1224" s="678"/>
      <c r="AA1224" s="678"/>
      <c r="AB1224" s="679" t="s">
        <v>159</v>
      </c>
      <c r="AC1224" s="679"/>
      <c r="AD1224" s="679"/>
      <c r="AE1224" s="679"/>
      <c r="AF1224" s="680"/>
      <c r="AG1224" s="681"/>
      <c r="AH1224" s="680"/>
      <c r="AI1224" s="681"/>
      <c r="AJ1224" s="682"/>
      <c r="AK1224" s="683"/>
      <c r="AL1224" s="684" t="s">
        <v>162</v>
      </c>
      <c r="AM1224" s="685"/>
      <c r="AN1224" s="666" t="s">
        <v>162</v>
      </c>
      <c r="AO1224" s="667"/>
      <c r="AP1224" s="686"/>
      <c r="AQ1224" s="687"/>
      <c r="AR1224" s="688"/>
      <c r="AS1224" s="689"/>
      <c r="AT1224" s="690"/>
      <c r="AU1224" s="691"/>
      <c r="AV1224" s="666" t="s">
        <v>162</v>
      </c>
      <c r="AW1224" s="667"/>
      <c r="AX1224" s="692"/>
      <c r="AY1224" s="693"/>
      <c r="AZ1224" s="694"/>
      <c r="BA1224" s="682"/>
      <c r="BB1224" s="683"/>
      <c r="BC1224" s="14"/>
      <c r="BD1224" s="695" t="s">
        <v>162</v>
      </c>
      <c r="BE1224" s="696"/>
      <c r="BF1224" s="697"/>
      <c r="BG1224" s="698"/>
      <c r="BH1224" s="698"/>
      <c r="BI1224" s="699"/>
      <c r="BJ1224" s="700" t="s">
        <v>159</v>
      </c>
      <c r="BK1224" s="701"/>
      <c r="BL1224" s="701"/>
      <c r="BM1224" s="702"/>
      <c r="BN1224" s="703" t="s">
        <v>159</v>
      </c>
      <c r="BO1224" s="704"/>
      <c r="BP1224" s="704"/>
      <c r="BQ1224" s="704"/>
      <c r="BR1224" s="704"/>
      <c r="BS1224" s="704"/>
      <c r="BT1224" s="704"/>
      <c r="BU1224" s="704"/>
      <c r="BV1224" s="705"/>
    </row>
    <row r="1225" spans="1:74" ht="45" customHeight="1" x14ac:dyDescent="0.25">
      <c r="A1225" s="10">
        <f t="shared" si="18"/>
        <v>1211</v>
      </c>
      <c r="B1225" s="711" t="s">
        <v>159</v>
      </c>
      <c r="C1225" s="711"/>
      <c r="D1225" s="712" t="s">
        <v>212</v>
      </c>
      <c r="E1225" s="712"/>
      <c r="F1225" s="664" t="s">
        <v>162</v>
      </c>
      <c r="G1225" s="665"/>
      <c r="H1225" s="755" t="s">
        <v>162</v>
      </c>
      <c r="I1225" s="667"/>
      <c r="J1225" s="706"/>
      <c r="K1225" s="707"/>
      <c r="L1225" s="706"/>
      <c r="M1225" s="707"/>
      <c r="N1225" s="215"/>
      <c r="O1225" s="216"/>
      <c r="P1225" s="670"/>
      <c r="Q1225" s="671"/>
      <c r="R1225" s="719"/>
      <c r="S1225" s="720"/>
      <c r="T1225" s="721"/>
      <c r="U1225" s="722"/>
      <c r="V1225" s="723"/>
      <c r="W1225" s="724"/>
      <c r="X1225" s="725" t="s">
        <v>159</v>
      </c>
      <c r="Y1225" s="725"/>
      <c r="Z1225" s="725"/>
      <c r="AA1225" s="725"/>
      <c r="AB1225" s="726" t="s">
        <v>159</v>
      </c>
      <c r="AC1225" s="726"/>
      <c r="AD1225" s="726"/>
      <c r="AE1225" s="726"/>
      <c r="AF1225" s="727"/>
      <c r="AG1225" s="728"/>
      <c r="AH1225" s="727"/>
      <c r="AI1225" s="728"/>
      <c r="AJ1225" s="682"/>
      <c r="AK1225" s="683"/>
      <c r="AL1225" s="664" t="s">
        <v>162</v>
      </c>
      <c r="AM1225" s="665"/>
      <c r="AN1225" s="713" t="s">
        <v>162</v>
      </c>
      <c r="AO1225" s="714"/>
      <c r="AP1225" s="729"/>
      <c r="AQ1225" s="730"/>
      <c r="AR1225" s="731"/>
      <c r="AS1225" s="732"/>
      <c r="AT1225" s="690"/>
      <c r="AU1225" s="691"/>
      <c r="AV1225" s="713" t="s">
        <v>162</v>
      </c>
      <c r="AW1225" s="714"/>
      <c r="AX1225" s="692"/>
      <c r="AY1225" s="693"/>
      <c r="AZ1225" s="694"/>
      <c r="BA1225" s="735"/>
      <c r="BB1225" s="736"/>
      <c r="BC1225" s="219"/>
      <c r="BD1225" s="737" t="s">
        <v>162</v>
      </c>
      <c r="BE1225" s="738"/>
      <c r="BF1225" s="739"/>
      <c r="BG1225" s="740"/>
      <c r="BH1225" s="740"/>
      <c r="BI1225" s="741"/>
      <c r="BJ1225" s="742" t="s">
        <v>159</v>
      </c>
      <c r="BK1225" s="743"/>
      <c r="BL1225" s="743"/>
      <c r="BM1225" s="744"/>
      <c r="BN1225" s="703" t="s">
        <v>159</v>
      </c>
      <c r="BO1225" s="704"/>
      <c r="BP1225" s="704"/>
      <c r="BQ1225" s="704"/>
      <c r="BR1225" s="704"/>
      <c r="BS1225" s="704"/>
      <c r="BT1225" s="704"/>
      <c r="BU1225" s="704"/>
      <c r="BV1225" s="705"/>
    </row>
    <row r="1226" spans="1:74" ht="45" customHeight="1" x14ac:dyDescent="0.25">
      <c r="A1226" s="10">
        <f t="shared" si="18"/>
        <v>1212</v>
      </c>
      <c r="B1226" s="662" t="s">
        <v>159</v>
      </c>
      <c r="C1226" s="662"/>
      <c r="D1226" s="663" t="s">
        <v>212</v>
      </c>
      <c r="E1226" s="663"/>
      <c r="F1226" s="664" t="s">
        <v>162</v>
      </c>
      <c r="G1226" s="665"/>
      <c r="H1226" s="754" t="s">
        <v>162</v>
      </c>
      <c r="I1226" s="714"/>
      <c r="J1226" s="715"/>
      <c r="K1226" s="716"/>
      <c r="L1226" s="715"/>
      <c r="M1226" s="716"/>
      <c r="N1226" s="194"/>
      <c r="O1226" s="196"/>
      <c r="P1226" s="717"/>
      <c r="Q1226" s="718"/>
      <c r="R1226" s="672"/>
      <c r="S1226" s="673"/>
      <c r="T1226" s="674"/>
      <c r="U1226" s="675"/>
      <c r="V1226" s="676"/>
      <c r="W1226" s="677"/>
      <c r="X1226" s="678" t="s">
        <v>159</v>
      </c>
      <c r="Y1226" s="678"/>
      <c r="Z1226" s="678"/>
      <c r="AA1226" s="678"/>
      <c r="AB1226" s="679" t="s">
        <v>159</v>
      </c>
      <c r="AC1226" s="679"/>
      <c r="AD1226" s="679"/>
      <c r="AE1226" s="679"/>
      <c r="AF1226" s="680"/>
      <c r="AG1226" s="681"/>
      <c r="AH1226" s="680"/>
      <c r="AI1226" s="681"/>
      <c r="AJ1226" s="682"/>
      <c r="AK1226" s="683"/>
      <c r="AL1226" s="684" t="s">
        <v>162</v>
      </c>
      <c r="AM1226" s="685"/>
      <c r="AN1226" s="666" t="s">
        <v>162</v>
      </c>
      <c r="AO1226" s="667"/>
      <c r="AP1226" s="686"/>
      <c r="AQ1226" s="687"/>
      <c r="AR1226" s="688"/>
      <c r="AS1226" s="689"/>
      <c r="AT1226" s="690"/>
      <c r="AU1226" s="691"/>
      <c r="AV1226" s="666" t="s">
        <v>162</v>
      </c>
      <c r="AW1226" s="667"/>
      <c r="AX1226" s="692"/>
      <c r="AY1226" s="693"/>
      <c r="AZ1226" s="694"/>
      <c r="BA1226" s="682"/>
      <c r="BB1226" s="683"/>
      <c r="BC1226" s="14"/>
      <c r="BD1226" s="695" t="s">
        <v>162</v>
      </c>
      <c r="BE1226" s="696"/>
      <c r="BF1226" s="697"/>
      <c r="BG1226" s="698"/>
      <c r="BH1226" s="698"/>
      <c r="BI1226" s="699"/>
      <c r="BJ1226" s="700" t="s">
        <v>159</v>
      </c>
      <c r="BK1226" s="701"/>
      <c r="BL1226" s="701"/>
      <c r="BM1226" s="702"/>
      <c r="BN1226" s="703" t="s">
        <v>159</v>
      </c>
      <c r="BO1226" s="704"/>
      <c r="BP1226" s="704"/>
      <c r="BQ1226" s="704"/>
      <c r="BR1226" s="704"/>
      <c r="BS1226" s="704"/>
      <c r="BT1226" s="704"/>
      <c r="BU1226" s="704"/>
      <c r="BV1226" s="705"/>
    </row>
    <row r="1227" spans="1:74" ht="45" customHeight="1" x14ac:dyDescent="0.25">
      <c r="A1227" s="10">
        <f t="shared" si="18"/>
        <v>1213</v>
      </c>
      <c r="B1227" s="711" t="s">
        <v>159</v>
      </c>
      <c r="C1227" s="711"/>
      <c r="D1227" s="712" t="s">
        <v>212</v>
      </c>
      <c r="E1227" s="712"/>
      <c r="F1227" s="664" t="s">
        <v>162</v>
      </c>
      <c r="G1227" s="665"/>
      <c r="H1227" s="755" t="s">
        <v>162</v>
      </c>
      <c r="I1227" s="667"/>
      <c r="J1227" s="706"/>
      <c r="K1227" s="707"/>
      <c r="L1227" s="706"/>
      <c r="M1227" s="707"/>
      <c r="N1227" s="215"/>
      <c r="O1227" s="216"/>
      <c r="P1227" s="670"/>
      <c r="Q1227" s="671"/>
      <c r="R1227" s="719"/>
      <c r="S1227" s="720"/>
      <c r="T1227" s="721"/>
      <c r="U1227" s="722"/>
      <c r="V1227" s="723"/>
      <c r="W1227" s="724"/>
      <c r="X1227" s="725" t="s">
        <v>159</v>
      </c>
      <c r="Y1227" s="725"/>
      <c r="Z1227" s="725"/>
      <c r="AA1227" s="725"/>
      <c r="AB1227" s="726" t="s">
        <v>159</v>
      </c>
      <c r="AC1227" s="726"/>
      <c r="AD1227" s="726"/>
      <c r="AE1227" s="726"/>
      <c r="AF1227" s="727"/>
      <c r="AG1227" s="728"/>
      <c r="AH1227" s="727"/>
      <c r="AI1227" s="728"/>
      <c r="AJ1227" s="682"/>
      <c r="AK1227" s="683"/>
      <c r="AL1227" s="664" t="s">
        <v>162</v>
      </c>
      <c r="AM1227" s="665"/>
      <c r="AN1227" s="713" t="s">
        <v>162</v>
      </c>
      <c r="AO1227" s="714"/>
      <c r="AP1227" s="729"/>
      <c r="AQ1227" s="730"/>
      <c r="AR1227" s="731"/>
      <c r="AS1227" s="732"/>
      <c r="AT1227" s="690"/>
      <c r="AU1227" s="691"/>
      <c r="AV1227" s="713" t="s">
        <v>162</v>
      </c>
      <c r="AW1227" s="714"/>
      <c r="AX1227" s="692"/>
      <c r="AY1227" s="693"/>
      <c r="AZ1227" s="694"/>
      <c r="BA1227" s="735"/>
      <c r="BB1227" s="736"/>
      <c r="BC1227" s="219"/>
      <c r="BD1227" s="737" t="s">
        <v>162</v>
      </c>
      <c r="BE1227" s="738"/>
      <c r="BF1227" s="739"/>
      <c r="BG1227" s="740"/>
      <c r="BH1227" s="740"/>
      <c r="BI1227" s="741"/>
      <c r="BJ1227" s="742" t="s">
        <v>159</v>
      </c>
      <c r="BK1227" s="743"/>
      <c r="BL1227" s="743"/>
      <c r="BM1227" s="744"/>
      <c r="BN1227" s="703" t="s">
        <v>159</v>
      </c>
      <c r="BO1227" s="704"/>
      <c r="BP1227" s="704"/>
      <c r="BQ1227" s="704"/>
      <c r="BR1227" s="704"/>
      <c r="BS1227" s="704"/>
      <c r="BT1227" s="704"/>
      <c r="BU1227" s="704"/>
      <c r="BV1227" s="705"/>
    </row>
    <row r="1228" spans="1:74" ht="45" customHeight="1" x14ac:dyDescent="0.25">
      <c r="A1228" s="10">
        <f t="shared" si="18"/>
        <v>1214</v>
      </c>
      <c r="B1228" s="662" t="s">
        <v>159</v>
      </c>
      <c r="C1228" s="662"/>
      <c r="D1228" s="663" t="s">
        <v>212</v>
      </c>
      <c r="E1228" s="663"/>
      <c r="F1228" s="664" t="s">
        <v>162</v>
      </c>
      <c r="G1228" s="665"/>
      <c r="H1228" s="754" t="s">
        <v>162</v>
      </c>
      <c r="I1228" s="714"/>
      <c r="J1228" s="715"/>
      <c r="K1228" s="716"/>
      <c r="L1228" s="715"/>
      <c r="M1228" s="716"/>
      <c r="N1228" s="194"/>
      <c r="O1228" s="196"/>
      <c r="P1228" s="717"/>
      <c r="Q1228" s="718"/>
      <c r="R1228" s="672"/>
      <c r="S1228" s="673"/>
      <c r="T1228" s="674"/>
      <c r="U1228" s="675"/>
      <c r="V1228" s="676"/>
      <c r="W1228" s="677"/>
      <c r="X1228" s="678" t="s">
        <v>159</v>
      </c>
      <c r="Y1228" s="678"/>
      <c r="Z1228" s="678"/>
      <c r="AA1228" s="678"/>
      <c r="AB1228" s="679" t="s">
        <v>159</v>
      </c>
      <c r="AC1228" s="679"/>
      <c r="AD1228" s="679"/>
      <c r="AE1228" s="679"/>
      <c r="AF1228" s="680"/>
      <c r="AG1228" s="681"/>
      <c r="AH1228" s="680"/>
      <c r="AI1228" s="681"/>
      <c r="AJ1228" s="682"/>
      <c r="AK1228" s="683"/>
      <c r="AL1228" s="684" t="s">
        <v>162</v>
      </c>
      <c r="AM1228" s="685"/>
      <c r="AN1228" s="666" t="s">
        <v>162</v>
      </c>
      <c r="AO1228" s="667"/>
      <c r="AP1228" s="686"/>
      <c r="AQ1228" s="687"/>
      <c r="AR1228" s="688"/>
      <c r="AS1228" s="689"/>
      <c r="AT1228" s="690"/>
      <c r="AU1228" s="691"/>
      <c r="AV1228" s="666" t="s">
        <v>162</v>
      </c>
      <c r="AW1228" s="667"/>
      <c r="AX1228" s="692"/>
      <c r="AY1228" s="693"/>
      <c r="AZ1228" s="694"/>
      <c r="BA1228" s="682"/>
      <c r="BB1228" s="683"/>
      <c r="BC1228" s="14"/>
      <c r="BD1228" s="695" t="s">
        <v>162</v>
      </c>
      <c r="BE1228" s="696"/>
      <c r="BF1228" s="697"/>
      <c r="BG1228" s="698"/>
      <c r="BH1228" s="698"/>
      <c r="BI1228" s="699"/>
      <c r="BJ1228" s="700" t="s">
        <v>159</v>
      </c>
      <c r="BK1228" s="701"/>
      <c r="BL1228" s="701"/>
      <c r="BM1228" s="702"/>
      <c r="BN1228" s="703" t="s">
        <v>159</v>
      </c>
      <c r="BO1228" s="704"/>
      <c r="BP1228" s="704"/>
      <c r="BQ1228" s="704"/>
      <c r="BR1228" s="704"/>
      <c r="BS1228" s="704"/>
      <c r="BT1228" s="704"/>
      <c r="BU1228" s="704"/>
      <c r="BV1228" s="705"/>
    </row>
    <row r="1229" spans="1:74" ht="45" customHeight="1" x14ac:dyDescent="0.25">
      <c r="A1229" s="10">
        <f t="shared" si="18"/>
        <v>1215</v>
      </c>
      <c r="B1229" s="711" t="s">
        <v>159</v>
      </c>
      <c r="C1229" s="711"/>
      <c r="D1229" s="712" t="s">
        <v>212</v>
      </c>
      <c r="E1229" s="712"/>
      <c r="F1229" s="664" t="s">
        <v>162</v>
      </c>
      <c r="G1229" s="665"/>
      <c r="H1229" s="755" t="s">
        <v>162</v>
      </c>
      <c r="I1229" s="667"/>
      <c r="J1229" s="706"/>
      <c r="K1229" s="707"/>
      <c r="L1229" s="706"/>
      <c r="M1229" s="707"/>
      <c r="N1229" s="215"/>
      <c r="O1229" s="216"/>
      <c r="P1229" s="670"/>
      <c r="Q1229" s="671"/>
      <c r="R1229" s="719"/>
      <c r="S1229" s="720"/>
      <c r="T1229" s="721"/>
      <c r="U1229" s="722"/>
      <c r="V1229" s="723"/>
      <c r="W1229" s="724"/>
      <c r="X1229" s="725" t="s">
        <v>159</v>
      </c>
      <c r="Y1229" s="725"/>
      <c r="Z1229" s="725"/>
      <c r="AA1229" s="725"/>
      <c r="AB1229" s="726" t="s">
        <v>159</v>
      </c>
      <c r="AC1229" s="726"/>
      <c r="AD1229" s="726"/>
      <c r="AE1229" s="726"/>
      <c r="AF1229" s="727"/>
      <c r="AG1229" s="728"/>
      <c r="AH1229" s="727"/>
      <c r="AI1229" s="728"/>
      <c r="AJ1229" s="682"/>
      <c r="AK1229" s="683"/>
      <c r="AL1229" s="664" t="s">
        <v>162</v>
      </c>
      <c r="AM1229" s="665"/>
      <c r="AN1229" s="713" t="s">
        <v>162</v>
      </c>
      <c r="AO1229" s="714"/>
      <c r="AP1229" s="729"/>
      <c r="AQ1229" s="730"/>
      <c r="AR1229" s="731"/>
      <c r="AS1229" s="732"/>
      <c r="AT1229" s="733"/>
      <c r="AU1229" s="734"/>
      <c r="AV1229" s="713" t="s">
        <v>162</v>
      </c>
      <c r="AW1229" s="714"/>
      <c r="AX1229" s="692"/>
      <c r="AY1229" s="693"/>
      <c r="AZ1229" s="694"/>
      <c r="BA1229" s="735"/>
      <c r="BB1229" s="736"/>
      <c r="BC1229" s="219"/>
      <c r="BD1229" s="737" t="s">
        <v>162</v>
      </c>
      <c r="BE1229" s="738"/>
      <c r="BF1229" s="739"/>
      <c r="BG1229" s="740"/>
      <c r="BH1229" s="740"/>
      <c r="BI1229" s="741"/>
      <c r="BJ1229" s="742" t="s">
        <v>159</v>
      </c>
      <c r="BK1229" s="743"/>
      <c r="BL1229" s="743"/>
      <c r="BM1229" s="744"/>
      <c r="BN1229" s="703" t="s">
        <v>159</v>
      </c>
      <c r="BO1229" s="704"/>
      <c r="BP1229" s="704"/>
      <c r="BQ1229" s="704"/>
      <c r="BR1229" s="704"/>
      <c r="BS1229" s="704"/>
      <c r="BT1229" s="704"/>
      <c r="BU1229" s="704"/>
      <c r="BV1229" s="705"/>
    </row>
    <row r="1230" spans="1:74" ht="45" customHeight="1" x14ac:dyDescent="0.25">
      <c r="A1230" s="10">
        <f t="shared" si="18"/>
        <v>1216</v>
      </c>
      <c r="B1230" s="662" t="s">
        <v>159</v>
      </c>
      <c r="C1230" s="662"/>
      <c r="D1230" s="663" t="s">
        <v>212</v>
      </c>
      <c r="E1230" s="663"/>
      <c r="F1230" s="664" t="s">
        <v>162</v>
      </c>
      <c r="G1230" s="665"/>
      <c r="H1230" s="754" t="s">
        <v>162</v>
      </c>
      <c r="I1230" s="714"/>
      <c r="J1230" s="715"/>
      <c r="K1230" s="716"/>
      <c r="L1230" s="715"/>
      <c r="M1230" s="716"/>
      <c r="N1230" s="194"/>
      <c r="O1230" s="196"/>
      <c r="P1230" s="717"/>
      <c r="Q1230" s="718"/>
      <c r="R1230" s="672"/>
      <c r="S1230" s="673"/>
      <c r="T1230" s="674"/>
      <c r="U1230" s="675"/>
      <c r="V1230" s="676"/>
      <c r="W1230" s="677"/>
      <c r="X1230" s="678" t="s">
        <v>159</v>
      </c>
      <c r="Y1230" s="678"/>
      <c r="Z1230" s="678"/>
      <c r="AA1230" s="678"/>
      <c r="AB1230" s="679" t="s">
        <v>159</v>
      </c>
      <c r="AC1230" s="679"/>
      <c r="AD1230" s="679"/>
      <c r="AE1230" s="679"/>
      <c r="AF1230" s="680"/>
      <c r="AG1230" s="681"/>
      <c r="AH1230" s="680"/>
      <c r="AI1230" s="681"/>
      <c r="AJ1230" s="682"/>
      <c r="AK1230" s="683"/>
      <c r="AL1230" s="684" t="s">
        <v>162</v>
      </c>
      <c r="AM1230" s="685"/>
      <c r="AN1230" s="666" t="s">
        <v>162</v>
      </c>
      <c r="AO1230" s="667"/>
      <c r="AP1230" s="686"/>
      <c r="AQ1230" s="687"/>
      <c r="AR1230" s="688"/>
      <c r="AS1230" s="689"/>
      <c r="AT1230" s="690"/>
      <c r="AU1230" s="691"/>
      <c r="AV1230" s="666" t="s">
        <v>162</v>
      </c>
      <c r="AW1230" s="667"/>
      <c r="AX1230" s="692"/>
      <c r="AY1230" s="693"/>
      <c r="AZ1230" s="694"/>
      <c r="BA1230" s="682"/>
      <c r="BB1230" s="683"/>
      <c r="BC1230" s="14"/>
      <c r="BD1230" s="695" t="s">
        <v>162</v>
      </c>
      <c r="BE1230" s="696"/>
      <c r="BF1230" s="708"/>
      <c r="BG1230" s="709"/>
      <c r="BH1230" s="709"/>
      <c r="BI1230" s="710"/>
      <c r="BJ1230" s="700" t="s">
        <v>159</v>
      </c>
      <c r="BK1230" s="701"/>
      <c r="BL1230" s="701"/>
      <c r="BM1230" s="702"/>
      <c r="BN1230" s="703" t="s">
        <v>159</v>
      </c>
      <c r="BO1230" s="704"/>
      <c r="BP1230" s="704"/>
      <c r="BQ1230" s="704"/>
      <c r="BR1230" s="704"/>
      <c r="BS1230" s="704"/>
      <c r="BT1230" s="704"/>
      <c r="BU1230" s="704"/>
      <c r="BV1230" s="705"/>
    </row>
    <row r="1231" spans="1:74" ht="45" customHeight="1" x14ac:dyDescent="0.25">
      <c r="A1231" s="10">
        <f t="shared" ref="A1231:A1294" si="19">ROW(A1217)</f>
        <v>1217</v>
      </c>
      <c r="B1231" s="711" t="s">
        <v>159</v>
      </c>
      <c r="C1231" s="711"/>
      <c r="D1231" s="712" t="s">
        <v>212</v>
      </c>
      <c r="E1231" s="712"/>
      <c r="F1231" s="664" t="s">
        <v>162</v>
      </c>
      <c r="G1231" s="665"/>
      <c r="H1231" s="755" t="s">
        <v>162</v>
      </c>
      <c r="I1231" s="667"/>
      <c r="J1231" s="706"/>
      <c r="K1231" s="707"/>
      <c r="L1231" s="706"/>
      <c r="M1231" s="707"/>
      <c r="N1231" s="215"/>
      <c r="O1231" s="216"/>
      <c r="P1231" s="670"/>
      <c r="Q1231" s="671"/>
      <c r="R1231" s="719"/>
      <c r="S1231" s="720"/>
      <c r="T1231" s="721"/>
      <c r="U1231" s="722"/>
      <c r="V1231" s="723"/>
      <c r="W1231" s="724"/>
      <c r="X1231" s="725" t="s">
        <v>159</v>
      </c>
      <c r="Y1231" s="725"/>
      <c r="Z1231" s="725"/>
      <c r="AA1231" s="725"/>
      <c r="AB1231" s="726" t="s">
        <v>159</v>
      </c>
      <c r="AC1231" s="726"/>
      <c r="AD1231" s="726"/>
      <c r="AE1231" s="726"/>
      <c r="AF1231" s="727"/>
      <c r="AG1231" s="728"/>
      <c r="AH1231" s="727"/>
      <c r="AI1231" s="728"/>
      <c r="AJ1231" s="682"/>
      <c r="AK1231" s="683"/>
      <c r="AL1231" s="664" t="s">
        <v>162</v>
      </c>
      <c r="AM1231" s="665"/>
      <c r="AN1231" s="713" t="s">
        <v>162</v>
      </c>
      <c r="AO1231" s="714"/>
      <c r="AP1231" s="729"/>
      <c r="AQ1231" s="730"/>
      <c r="AR1231" s="731"/>
      <c r="AS1231" s="732"/>
      <c r="AT1231" s="733"/>
      <c r="AU1231" s="734"/>
      <c r="AV1231" s="713" t="s">
        <v>162</v>
      </c>
      <c r="AW1231" s="714"/>
      <c r="AX1231" s="692"/>
      <c r="AY1231" s="693"/>
      <c r="AZ1231" s="694"/>
      <c r="BA1231" s="735"/>
      <c r="BB1231" s="736"/>
      <c r="BC1231" s="219"/>
      <c r="BD1231" s="737" t="s">
        <v>162</v>
      </c>
      <c r="BE1231" s="738"/>
      <c r="BF1231" s="739"/>
      <c r="BG1231" s="740"/>
      <c r="BH1231" s="740"/>
      <c r="BI1231" s="741"/>
      <c r="BJ1231" s="742" t="s">
        <v>159</v>
      </c>
      <c r="BK1231" s="743"/>
      <c r="BL1231" s="743"/>
      <c r="BM1231" s="744"/>
      <c r="BN1231" s="703" t="s">
        <v>159</v>
      </c>
      <c r="BO1231" s="704"/>
      <c r="BP1231" s="704"/>
      <c r="BQ1231" s="704"/>
      <c r="BR1231" s="704"/>
      <c r="BS1231" s="704"/>
      <c r="BT1231" s="704"/>
      <c r="BU1231" s="704"/>
      <c r="BV1231" s="705"/>
    </row>
    <row r="1232" spans="1:74" ht="45" customHeight="1" x14ac:dyDescent="0.25">
      <c r="A1232" s="10">
        <f t="shared" si="19"/>
        <v>1218</v>
      </c>
      <c r="B1232" s="662" t="s">
        <v>159</v>
      </c>
      <c r="C1232" s="662"/>
      <c r="D1232" s="663" t="s">
        <v>212</v>
      </c>
      <c r="E1232" s="663"/>
      <c r="F1232" s="664" t="s">
        <v>162</v>
      </c>
      <c r="G1232" s="665"/>
      <c r="H1232" s="754" t="s">
        <v>162</v>
      </c>
      <c r="I1232" s="714"/>
      <c r="J1232" s="715"/>
      <c r="K1232" s="716"/>
      <c r="L1232" s="715"/>
      <c r="M1232" s="716"/>
      <c r="N1232" s="194"/>
      <c r="O1232" s="196"/>
      <c r="P1232" s="717"/>
      <c r="Q1232" s="718"/>
      <c r="R1232" s="672"/>
      <c r="S1232" s="673"/>
      <c r="T1232" s="674"/>
      <c r="U1232" s="675"/>
      <c r="V1232" s="676"/>
      <c r="W1232" s="677"/>
      <c r="X1232" s="678" t="s">
        <v>159</v>
      </c>
      <c r="Y1232" s="678"/>
      <c r="Z1232" s="678"/>
      <c r="AA1232" s="678"/>
      <c r="AB1232" s="679" t="s">
        <v>159</v>
      </c>
      <c r="AC1232" s="679"/>
      <c r="AD1232" s="679"/>
      <c r="AE1232" s="679"/>
      <c r="AF1232" s="680"/>
      <c r="AG1232" s="681"/>
      <c r="AH1232" s="680"/>
      <c r="AI1232" s="681"/>
      <c r="AJ1232" s="682"/>
      <c r="AK1232" s="683"/>
      <c r="AL1232" s="684" t="s">
        <v>162</v>
      </c>
      <c r="AM1232" s="685"/>
      <c r="AN1232" s="666" t="s">
        <v>162</v>
      </c>
      <c r="AO1232" s="667"/>
      <c r="AP1232" s="686"/>
      <c r="AQ1232" s="687"/>
      <c r="AR1232" s="688"/>
      <c r="AS1232" s="689"/>
      <c r="AT1232" s="690"/>
      <c r="AU1232" s="691"/>
      <c r="AV1232" s="666" t="s">
        <v>162</v>
      </c>
      <c r="AW1232" s="667"/>
      <c r="AX1232" s="692"/>
      <c r="AY1232" s="693"/>
      <c r="AZ1232" s="694"/>
      <c r="BA1232" s="682"/>
      <c r="BB1232" s="683"/>
      <c r="BC1232" s="14"/>
      <c r="BD1232" s="695" t="s">
        <v>162</v>
      </c>
      <c r="BE1232" s="696"/>
      <c r="BF1232" s="697"/>
      <c r="BG1232" s="698"/>
      <c r="BH1232" s="698"/>
      <c r="BI1232" s="699"/>
      <c r="BJ1232" s="700" t="s">
        <v>159</v>
      </c>
      <c r="BK1232" s="701"/>
      <c r="BL1232" s="701"/>
      <c r="BM1232" s="702"/>
      <c r="BN1232" s="703" t="s">
        <v>159</v>
      </c>
      <c r="BO1232" s="704"/>
      <c r="BP1232" s="704"/>
      <c r="BQ1232" s="704"/>
      <c r="BR1232" s="704"/>
      <c r="BS1232" s="704"/>
      <c r="BT1232" s="704"/>
      <c r="BU1232" s="704"/>
      <c r="BV1232" s="705"/>
    </row>
    <row r="1233" spans="1:74" ht="45" customHeight="1" x14ac:dyDescent="0.25">
      <c r="A1233" s="10">
        <f t="shared" si="19"/>
        <v>1219</v>
      </c>
      <c r="B1233" s="711" t="s">
        <v>159</v>
      </c>
      <c r="C1233" s="711"/>
      <c r="D1233" s="712" t="s">
        <v>212</v>
      </c>
      <c r="E1233" s="712"/>
      <c r="F1233" s="664" t="s">
        <v>162</v>
      </c>
      <c r="G1233" s="665"/>
      <c r="H1233" s="755" t="s">
        <v>162</v>
      </c>
      <c r="I1233" s="667"/>
      <c r="J1233" s="706"/>
      <c r="K1233" s="707"/>
      <c r="L1233" s="706"/>
      <c r="M1233" s="707"/>
      <c r="N1233" s="215"/>
      <c r="O1233" s="216"/>
      <c r="P1233" s="670"/>
      <c r="Q1233" s="671"/>
      <c r="R1233" s="719"/>
      <c r="S1233" s="720"/>
      <c r="T1233" s="721"/>
      <c r="U1233" s="722"/>
      <c r="V1233" s="723"/>
      <c r="W1233" s="724"/>
      <c r="X1233" s="725" t="s">
        <v>159</v>
      </c>
      <c r="Y1233" s="725"/>
      <c r="Z1233" s="725"/>
      <c r="AA1233" s="725"/>
      <c r="AB1233" s="726" t="s">
        <v>159</v>
      </c>
      <c r="AC1233" s="726"/>
      <c r="AD1233" s="726"/>
      <c r="AE1233" s="726"/>
      <c r="AF1233" s="727"/>
      <c r="AG1233" s="728"/>
      <c r="AH1233" s="727"/>
      <c r="AI1233" s="728"/>
      <c r="AJ1233" s="682"/>
      <c r="AK1233" s="683"/>
      <c r="AL1233" s="664" t="s">
        <v>162</v>
      </c>
      <c r="AM1233" s="665"/>
      <c r="AN1233" s="713" t="s">
        <v>162</v>
      </c>
      <c r="AO1233" s="714"/>
      <c r="AP1233" s="729"/>
      <c r="AQ1233" s="730"/>
      <c r="AR1233" s="731"/>
      <c r="AS1233" s="732"/>
      <c r="AT1233" s="733"/>
      <c r="AU1233" s="734"/>
      <c r="AV1233" s="713" t="s">
        <v>162</v>
      </c>
      <c r="AW1233" s="714"/>
      <c r="AX1233" s="692"/>
      <c r="AY1233" s="693"/>
      <c r="AZ1233" s="694"/>
      <c r="BA1233" s="735"/>
      <c r="BB1233" s="736"/>
      <c r="BC1233" s="219"/>
      <c r="BD1233" s="737" t="s">
        <v>162</v>
      </c>
      <c r="BE1233" s="738"/>
      <c r="BF1233" s="739"/>
      <c r="BG1233" s="740"/>
      <c r="BH1233" s="740"/>
      <c r="BI1233" s="741"/>
      <c r="BJ1233" s="742" t="s">
        <v>159</v>
      </c>
      <c r="BK1233" s="743"/>
      <c r="BL1233" s="743"/>
      <c r="BM1233" s="744"/>
      <c r="BN1233" s="703" t="s">
        <v>159</v>
      </c>
      <c r="BO1233" s="704"/>
      <c r="BP1233" s="704"/>
      <c r="BQ1233" s="704"/>
      <c r="BR1233" s="704"/>
      <c r="BS1233" s="704"/>
      <c r="BT1233" s="704"/>
      <c r="BU1233" s="704"/>
      <c r="BV1233" s="705"/>
    </row>
    <row r="1234" spans="1:74" ht="45" customHeight="1" x14ac:dyDescent="0.25">
      <c r="A1234" s="10">
        <f t="shared" si="19"/>
        <v>1220</v>
      </c>
      <c r="B1234" s="662" t="s">
        <v>159</v>
      </c>
      <c r="C1234" s="662"/>
      <c r="D1234" s="663" t="s">
        <v>212</v>
      </c>
      <c r="E1234" s="663"/>
      <c r="F1234" s="664" t="s">
        <v>162</v>
      </c>
      <c r="G1234" s="665"/>
      <c r="H1234" s="754" t="s">
        <v>162</v>
      </c>
      <c r="I1234" s="714"/>
      <c r="J1234" s="715"/>
      <c r="K1234" s="716"/>
      <c r="L1234" s="715"/>
      <c r="M1234" s="716"/>
      <c r="N1234" s="194"/>
      <c r="O1234" s="196"/>
      <c r="P1234" s="717"/>
      <c r="Q1234" s="718"/>
      <c r="R1234" s="672"/>
      <c r="S1234" s="673"/>
      <c r="T1234" s="674"/>
      <c r="U1234" s="675"/>
      <c r="V1234" s="676"/>
      <c r="W1234" s="677"/>
      <c r="X1234" s="678" t="s">
        <v>159</v>
      </c>
      <c r="Y1234" s="678"/>
      <c r="Z1234" s="678"/>
      <c r="AA1234" s="678"/>
      <c r="AB1234" s="679" t="s">
        <v>159</v>
      </c>
      <c r="AC1234" s="679"/>
      <c r="AD1234" s="679"/>
      <c r="AE1234" s="679"/>
      <c r="AF1234" s="680"/>
      <c r="AG1234" s="681"/>
      <c r="AH1234" s="680"/>
      <c r="AI1234" s="681"/>
      <c r="AJ1234" s="682"/>
      <c r="AK1234" s="683"/>
      <c r="AL1234" s="684" t="s">
        <v>162</v>
      </c>
      <c r="AM1234" s="685"/>
      <c r="AN1234" s="666" t="s">
        <v>162</v>
      </c>
      <c r="AO1234" s="667"/>
      <c r="AP1234" s="686"/>
      <c r="AQ1234" s="687"/>
      <c r="AR1234" s="688"/>
      <c r="AS1234" s="689"/>
      <c r="AT1234" s="690"/>
      <c r="AU1234" s="691"/>
      <c r="AV1234" s="666" t="s">
        <v>162</v>
      </c>
      <c r="AW1234" s="667"/>
      <c r="AX1234" s="692"/>
      <c r="AY1234" s="693"/>
      <c r="AZ1234" s="694"/>
      <c r="BA1234" s="682"/>
      <c r="BB1234" s="683"/>
      <c r="BC1234" s="14"/>
      <c r="BD1234" s="695" t="s">
        <v>162</v>
      </c>
      <c r="BE1234" s="696"/>
      <c r="BF1234" s="697"/>
      <c r="BG1234" s="698"/>
      <c r="BH1234" s="698"/>
      <c r="BI1234" s="699"/>
      <c r="BJ1234" s="700" t="s">
        <v>159</v>
      </c>
      <c r="BK1234" s="701"/>
      <c r="BL1234" s="701"/>
      <c r="BM1234" s="702"/>
      <c r="BN1234" s="703" t="s">
        <v>159</v>
      </c>
      <c r="BO1234" s="704"/>
      <c r="BP1234" s="704"/>
      <c r="BQ1234" s="704"/>
      <c r="BR1234" s="704"/>
      <c r="BS1234" s="704"/>
      <c r="BT1234" s="704"/>
      <c r="BU1234" s="704"/>
      <c r="BV1234" s="705"/>
    </row>
    <row r="1235" spans="1:74" ht="45" customHeight="1" x14ac:dyDescent="0.25">
      <c r="A1235" s="10">
        <f t="shared" si="19"/>
        <v>1221</v>
      </c>
      <c r="B1235" s="711" t="s">
        <v>159</v>
      </c>
      <c r="C1235" s="711"/>
      <c r="D1235" s="712" t="s">
        <v>212</v>
      </c>
      <c r="E1235" s="712"/>
      <c r="F1235" s="664" t="s">
        <v>162</v>
      </c>
      <c r="G1235" s="665"/>
      <c r="H1235" s="755" t="s">
        <v>162</v>
      </c>
      <c r="I1235" s="667"/>
      <c r="J1235" s="706"/>
      <c r="K1235" s="707"/>
      <c r="L1235" s="706"/>
      <c r="M1235" s="707"/>
      <c r="N1235" s="215"/>
      <c r="O1235" s="216"/>
      <c r="P1235" s="670"/>
      <c r="Q1235" s="671"/>
      <c r="R1235" s="719"/>
      <c r="S1235" s="720"/>
      <c r="T1235" s="721"/>
      <c r="U1235" s="722"/>
      <c r="V1235" s="723"/>
      <c r="W1235" s="724"/>
      <c r="X1235" s="725" t="s">
        <v>159</v>
      </c>
      <c r="Y1235" s="725"/>
      <c r="Z1235" s="725"/>
      <c r="AA1235" s="725"/>
      <c r="AB1235" s="726" t="s">
        <v>159</v>
      </c>
      <c r="AC1235" s="726"/>
      <c r="AD1235" s="726"/>
      <c r="AE1235" s="726"/>
      <c r="AF1235" s="727"/>
      <c r="AG1235" s="728"/>
      <c r="AH1235" s="727"/>
      <c r="AI1235" s="728"/>
      <c r="AJ1235" s="682"/>
      <c r="AK1235" s="683"/>
      <c r="AL1235" s="664" t="s">
        <v>162</v>
      </c>
      <c r="AM1235" s="665"/>
      <c r="AN1235" s="713" t="s">
        <v>162</v>
      </c>
      <c r="AO1235" s="714"/>
      <c r="AP1235" s="729"/>
      <c r="AQ1235" s="730"/>
      <c r="AR1235" s="731"/>
      <c r="AS1235" s="732"/>
      <c r="AT1235" s="733"/>
      <c r="AU1235" s="734"/>
      <c r="AV1235" s="713" t="s">
        <v>162</v>
      </c>
      <c r="AW1235" s="714"/>
      <c r="AX1235" s="692"/>
      <c r="AY1235" s="693"/>
      <c r="AZ1235" s="694"/>
      <c r="BA1235" s="735"/>
      <c r="BB1235" s="736"/>
      <c r="BC1235" s="219"/>
      <c r="BD1235" s="737" t="s">
        <v>162</v>
      </c>
      <c r="BE1235" s="738"/>
      <c r="BF1235" s="739"/>
      <c r="BG1235" s="740"/>
      <c r="BH1235" s="740"/>
      <c r="BI1235" s="741"/>
      <c r="BJ1235" s="742" t="s">
        <v>159</v>
      </c>
      <c r="BK1235" s="743"/>
      <c r="BL1235" s="743"/>
      <c r="BM1235" s="744"/>
      <c r="BN1235" s="703" t="s">
        <v>159</v>
      </c>
      <c r="BO1235" s="704"/>
      <c r="BP1235" s="704"/>
      <c r="BQ1235" s="704"/>
      <c r="BR1235" s="704"/>
      <c r="BS1235" s="704"/>
      <c r="BT1235" s="704"/>
      <c r="BU1235" s="704"/>
      <c r="BV1235" s="705"/>
    </row>
    <row r="1236" spans="1:74" ht="45" customHeight="1" x14ac:dyDescent="0.25">
      <c r="A1236" s="10">
        <f t="shared" si="19"/>
        <v>1222</v>
      </c>
      <c r="B1236" s="662" t="s">
        <v>159</v>
      </c>
      <c r="C1236" s="662"/>
      <c r="D1236" s="663" t="s">
        <v>212</v>
      </c>
      <c r="E1236" s="663"/>
      <c r="F1236" s="664" t="s">
        <v>162</v>
      </c>
      <c r="G1236" s="665"/>
      <c r="H1236" s="754" t="s">
        <v>162</v>
      </c>
      <c r="I1236" s="714"/>
      <c r="J1236" s="715"/>
      <c r="K1236" s="716"/>
      <c r="L1236" s="715"/>
      <c r="M1236" s="716"/>
      <c r="N1236" s="194"/>
      <c r="O1236" s="196"/>
      <c r="P1236" s="717"/>
      <c r="Q1236" s="718"/>
      <c r="R1236" s="672"/>
      <c r="S1236" s="673"/>
      <c r="T1236" s="674"/>
      <c r="U1236" s="675"/>
      <c r="V1236" s="676"/>
      <c r="W1236" s="677"/>
      <c r="X1236" s="678" t="s">
        <v>159</v>
      </c>
      <c r="Y1236" s="678"/>
      <c r="Z1236" s="678"/>
      <c r="AA1236" s="678"/>
      <c r="AB1236" s="679" t="s">
        <v>159</v>
      </c>
      <c r="AC1236" s="679"/>
      <c r="AD1236" s="679"/>
      <c r="AE1236" s="679"/>
      <c r="AF1236" s="680"/>
      <c r="AG1236" s="681"/>
      <c r="AH1236" s="680"/>
      <c r="AI1236" s="681"/>
      <c r="AJ1236" s="682"/>
      <c r="AK1236" s="683"/>
      <c r="AL1236" s="684" t="s">
        <v>162</v>
      </c>
      <c r="AM1236" s="685"/>
      <c r="AN1236" s="666" t="s">
        <v>162</v>
      </c>
      <c r="AO1236" s="667"/>
      <c r="AP1236" s="686"/>
      <c r="AQ1236" s="687"/>
      <c r="AR1236" s="688"/>
      <c r="AS1236" s="689"/>
      <c r="AT1236" s="690"/>
      <c r="AU1236" s="691"/>
      <c r="AV1236" s="666" t="s">
        <v>162</v>
      </c>
      <c r="AW1236" s="667"/>
      <c r="AX1236" s="692"/>
      <c r="AY1236" s="693"/>
      <c r="AZ1236" s="694"/>
      <c r="BA1236" s="682"/>
      <c r="BB1236" s="683"/>
      <c r="BC1236" s="14"/>
      <c r="BD1236" s="695" t="s">
        <v>162</v>
      </c>
      <c r="BE1236" s="696"/>
      <c r="BF1236" s="708"/>
      <c r="BG1236" s="709"/>
      <c r="BH1236" s="709"/>
      <c r="BI1236" s="710"/>
      <c r="BJ1236" s="700" t="s">
        <v>159</v>
      </c>
      <c r="BK1236" s="701"/>
      <c r="BL1236" s="701"/>
      <c r="BM1236" s="702"/>
      <c r="BN1236" s="703" t="s">
        <v>159</v>
      </c>
      <c r="BO1236" s="704"/>
      <c r="BP1236" s="704"/>
      <c r="BQ1236" s="704"/>
      <c r="BR1236" s="704"/>
      <c r="BS1236" s="704"/>
      <c r="BT1236" s="704"/>
      <c r="BU1236" s="704"/>
      <c r="BV1236" s="705"/>
    </row>
    <row r="1237" spans="1:74" ht="45" customHeight="1" x14ac:dyDescent="0.25">
      <c r="A1237" s="10">
        <f t="shared" si="19"/>
        <v>1223</v>
      </c>
      <c r="B1237" s="711" t="s">
        <v>159</v>
      </c>
      <c r="C1237" s="711"/>
      <c r="D1237" s="712" t="s">
        <v>212</v>
      </c>
      <c r="E1237" s="712"/>
      <c r="F1237" s="664" t="s">
        <v>162</v>
      </c>
      <c r="G1237" s="665"/>
      <c r="H1237" s="755" t="s">
        <v>162</v>
      </c>
      <c r="I1237" s="667"/>
      <c r="J1237" s="706"/>
      <c r="K1237" s="707"/>
      <c r="L1237" s="706"/>
      <c r="M1237" s="707"/>
      <c r="N1237" s="215"/>
      <c r="O1237" s="216"/>
      <c r="P1237" s="670"/>
      <c r="Q1237" s="671"/>
      <c r="R1237" s="719"/>
      <c r="S1237" s="720"/>
      <c r="T1237" s="721"/>
      <c r="U1237" s="722"/>
      <c r="V1237" s="723"/>
      <c r="W1237" s="724"/>
      <c r="X1237" s="725" t="s">
        <v>159</v>
      </c>
      <c r="Y1237" s="725"/>
      <c r="Z1237" s="725"/>
      <c r="AA1237" s="725"/>
      <c r="AB1237" s="726" t="s">
        <v>159</v>
      </c>
      <c r="AC1237" s="726"/>
      <c r="AD1237" s="726"/>
      <c r="AE1237" s="726"/>
      <c r="AF1237" s="727"/>
      <c r="AG1237" s="728"/>
      <c r="AH1237" s="727"/>
      <c r="AI1237" s="728"/>
      <c r="AJ1237" s="682"/>
      <c r="AK1237" s="683"/>
      <c r="AL1237" s="664" t="s">
        <v>162</v>
      </c>
      <c r="AM1237" s="665"/>
      <c r="AN1237" s="713" t="s">
        <v>162</v>
      </c>
      <c r="AO1237" s="714"/>
      <c r="AP1237" s="729"/>
      <c r="AQ1237" s="730"/>
      <c r="AR1237" s="731"/>
      <c r="AS1237" s="732"/>
      <c r="AT1237" s="733"/>
      <c r="AU1237" s="734"/>
      <c r="AV1237" s="713" t="s">
        <v>162</v>
      </c>
      <c r="AW1237" s="714"/>
      <c r="AX1237" s="692"/>
      <c r="AY1237" s="693"/>
      <c r="AZ1237" s="694"/>
      <c r="BA1237" s="735"/>
      <c r="BB1237" s="736"/>
      <c r="BC1237" s="219"/>
      <c r="BD1237" s="737" t="s">
        <v>162</v>
      </c>
      <c r="BE1237" s="738"/>
      <c r="BF1237" s="739"/>
      <c r="BG1237" s="740"/>
      <c r="BH1237" s="740"/>
      <c r="BI1237" s="741"/>
      <c r="BJ1237" s="742" t="s">
        <v>159</v>
      </c>
      <c r="BK1237" s="743"/>
      <c r="BL1237" s="743"/>
      <c r="BM1237" s="744"/>
      <c r="BN1237" s="703" t="s">
        <v>159</v>
      </c>
      <c r="BO1237" s="704"/>
      <c r="BP1237" s="704"/>
      <c r="BQ1237" s="704"/>
      <c r="BR1237" s="704"/>
      <c r="BS1237" s="704"/>
      <c r="BT1237" s="704"/>
      <c r="BU1237" s="704"/>
      <c r="BV1237" s="705"/>
    </row>
    <row r="1238" spans="1:74" ht="45" customHeight="1" x14ac:dyDescent="0.25">
      <c r="A1238" s="10">
        <f t="shared" si="19"/>
        <v>1224</v>
      </c>
      <c r="B1238" s="662" t="s">
        <v>159</v>
      </c>
      <c r="C1238" s="662"/>
      <c r="D1238" s="663" t="s">
        <v>212</v>
      </c>
      <c r="E1238" s="663"/>
      <c r="F1238" s="664" t="s">
        <v>162</v>
      </c>
      <c r="G1238" s="665"/>
      <c r="H1238" s="754" t="s">
        <v>162</v>
      </c>
      <c r="I1238" s="714"/>
      <c r="J1238" s="715"/>
      <c r="K1238" s="716"/>
      <c r="L1238" s="715"/>
      <c r="M1238" s="716"/>
      <c r="N1238" s="194"/>
      <c r="O1238" s="196"/>
      <c r="P1238" s="717"/>
      <c r="Q1238" s="718"/>
      <c r="R1238" s="672"/>
      <c r="S1238" s="673"/>
      <c r="T1238" s="674"/>
      <c r="U1238" s="675"/>
      <c r="V1238" s="676"/>
      <c r="W1238" s="677"/>
      <c r="X1238" s="678" t="s">
        <v>159</v>
      </c>
      <c r="Y1238" s="678"/>
      <c r="Z1238" s="678"/>
      <c r="AA1238" s="678"/>
      <c r="AB1238" s="679" t="s">
        <v>159</v>
      </c>
      <c r="AC1238" s="679"/>
      <c r="AD1238" s="679"/>
      <c r="AE1238" s="679"/>
      <c r="AF1238" s="680"/>
      <c r="AG1238" s="681"/>
      <c r="AH1238" s="680"/>
      <c r="AI1238" s="681"/>
      <c r="AJ1238" s="682"/>
      <c r="AK1238" s="683"/>
      <c r="AL1238" s="684" t="s">
        <v>162</v>
      </c>
      <c r="AM1238" s="685"/>
      <c r="AN1238" s="666" t="s">
        <v>162</v>
      </c>
      <c r="AO1238" s="667"/>
      <c r="AP1238" s="686"/>
      <c r="AQ1238" s="687"/>
      <c r="AR1238" s="688"/>
      <c r="AS1238" s="689"/>
      <c r="AT1238" s="690"/>
      <c r="AU1238" s="691"/>
      <c r="AV1238" s="666" t="s">
        <v>162</v>
      </c>
      <c r="AW1238" s="667"/>
      <c r="AX1238" s="692"/>
      <c r="AY1238" s="693"/>
      <c r="AZ1238" s="694"/>
      <c r="BA1238" s="682"/>
      <c r="BB1238" s="683"/>
      <c r="BC1238" s="14"/>
      <c r="BD1238" s="695" t="s">
        <v>162</v>
      </c>
      <c r="BE1238" s="696"/>
      <c r="BF1238" s="697"/>
      <c r="BG1238" s="698"/>
      <c r="BH1238" s="698"/>
      <c r="BI1238" s="699"/>
      <c r="BJ1238" s="700" t="s">
        <v>159</v>
      </c>
      <c r="BK1238" s="701"/>
      <c r="BL1238" s="701"/>
      <c r="BM1238" s="702"/>
      <c r="BN1238" s="703" t="s">
        <v>159</v>
      </c>
      <c r="BO1238" s="704"/>
      <c r="BP1238" s="704"/>
      <c r="BQ1238" s="704"/>
      <c r="BR1238" s="704"/>
      <c r="BS1238" s="704"/>
      <c r="BT1238" s="704"/>
      <c r="BU1238" s="704"/>
      <c r="BV1238" s="705"/>
    </row>
    <row r="1239" spans="1:74" ht="45" customHeight="1" x14ac:dyDescent="0.25">
      <c r="A1239" s="10">
        <f t="shared" si="19"/>
        <v>1225</v>
      </c>
      <c r="B1239" s="711" t="s">
        <v>159</v>
      </c>
      <c r="C1239" s="711"/>
      <c r="D1239" s="712" t="s">
        <v>212</v>
      </c>
      <c r="E1239" s="712"/>
      <c r="F1239" s="664" t="s">
        <v>162</v>
      </c>
      <c r="G1239" s="665"/>
      <c r="H1239" s="755" t="s">
        <v>162</v>
      </c>
      <c r="I1239" s="667"/>
      <c r="J1239" s="706"/>
      <c r="K1239" s="707"/>
      <c r="L1239" s="706"/>
      <c r="M1239" s="707"/>
      <c r="N1239" s="215"/>
      <c r="O1239" s="216"/>
      <c r="P1239" s="670"/>
      <c r="Q1239" s="671"/>
      <c r="R1239" s="719"/>
      <c r="S1239" s="720"/>
      <c r="T1239" s="721"/>
      <c r="U1239" s="722"/>
      <c r="V1239" s="723"/>
      <c r="W1239" s="724"/>
      <c r="X1239" s="725" t="s">
        <v>159</v>
      </c>
      <c r="Y1239" s="725"/>
      <c r="Z1239" s="725"/>
      <c r="AA1239" s="725"/>
      <c r="AB1239" s="726" t="s">
        <v>159</v>
      </c>
      <c r="AC1239" s="726"/>
      <c r="AD1239" s="726"/>
      <c r="AE1239" s="726"/>
      <c r="AF1239" s="727"/>
      <c r="AG1239" s="728"/>
      <c r="AH1239" s="727"/>
      <c r="AI1239" s="728"/>
      <c r="AJ1239" s="682"/>
      <c r="AK1239" s="683"/>
      <c r="AL1239" s="664" t="s">
        <v>162</v>
      </c>
      <c r="AM1239" s="665"/>
      <c r="AN1239" s="713" t="s">
        <v>162</v>
      </c>
      <c r="AO1239" s="714"/>
      <c r="AP1239" s="729"/>
      <c r="AQ1239" s="730"/>
      <c r="AR1239" s="731"/>
      <c r="AS1239" s="732"/>
      <c r="AT1239" s="690"/>
      <c r="AU1239" s="691"/>
      <c r="AV1239" s="713" t="s">
        <v>162</v>
      </c>
      <c r="AW1239" s="714"/>
      <c r="AX1239" s="692"/>
      <c r="AY1239" s="693"/>
      <c r="AZ1239" s="694"/>
      <c r="BA1239" s="735"/>
      <c r="BB1239" s="736"/>
      <c r="BC1239" s="219"/>
      <c r="BD1239" s="737" t="s">
        <v>162</v>
      </c>
      <c r="BE1239" s="738"/>
      <c r="BF1239" s="739"/>
      <c r="BG1239" s="740"/>
      <c r="BH1239" s="740"/>
      <c r="BI1239" s="741"/>
      <c r="BJ1239" s="742" t="s">
        <v>159</v>
      </c>
      <c r="BK1239" s="743"/>
      <c r="BL1239" s="743"/>
      <c r="BM1239" s="744"/>
      <c r="BN1239" s="703" t="s">
        <v>159</v>
      </c>
      <c r="BO1239" s="704"/>
      <c r="BP1239" s="704"/>
      <c r="BQ1239" s="704"/>
      <c r="BR1239" s="704"/>
      <c r="BS1239" s="704"/>
      <c r="BT1239" s="704"/>
      <c r="BU1239" s="704"/>
      <c r="BV1239" s="705"/>
    </row>
    <row r="1240" spans="1:74" ht="45" customHeight="1" x14ac:dyDescent="0.25">
      <c r="A1240" s="10">
        <f t="shared" si="19"/>
        <v>1226</v>
      </c>
      <c r="B1240" s="662" t="s">
        <v>159</v>
      </c>
      <c r="C1240" s="662"/>
      <c r="D1240" s="663" t="s">
        <v>212</v>
      </c>
      <c r="E1240" s="663"/>
      <c r="F1240" s="664" t="s">
        <v>162</v>
      </c>
      <c r="G1240" s="665"/>
      <c r="H1240" s="754" t="s">
        <v>162</v>
      </c>
      <c r="I1240" s="714"/>
      <c r="J1240" s="715"/>
      <c r="K1240" s="716"/>
      <c r="L1240" s="715"/>
      <c r="M1240" s="716"/>
      <c r="N1240" s="194"/>
      <c r="O1240" s="196"/>
      <c r="P1240" s="717"/>
      <c r="Q1240" s="718"/>
      <c r="R1240" s="672"/>
      <c r="S1240" s="673"/>
      <c r="T1240" s="674"/>
      <c r="U1240" s="675"/>
      <c r="V1240" s="676"/>
      <c r="W1240" s="677"/>
      <c r="X1240" s="678" t="s">
        <v>159</v>
      </c>
      <c r="Y1240" s="678"/>
      <c r="Z1240" s="678"/>
      <c r="AA1240" s="678"/>
      <c r="AB1240" s="679" t="s">
        <v>159</v>
      </c>
      <c r="AC1240" s="679"/>
      <c r="AD1240" s="679"/>
      <c r="AE1240" s="679"/>
      <c r="AF1240" s="680"/>
      <c r="AG1240" s="681"/>
      <c r="AH1240" s="680"/>
      <c r="AI1240" s="681"/>
      <c r="AJ1240" s="682"/>
      <c r="AK1240" s="683"/>
      <c r="AL1240" s="684" t="s">
        <v>162</v>
      </c>
      <c r="AM1240" s="685"/>
      <c r="AN1240" s="666" t="s">
        <v>162</v>
      </c>
      <c r="AO1240" s="667"/>
      <c r="AP1240" s="686"/>
      <c r="AQ1240" s="687"/>
      <c r="AR1240" s="688"/>
      <c r="AS1240" s="689"/>
      <c r="AT1240" s="690"/>
      <c r="AU1240" s="691"/>
      <c r="AV1240" s="666" t="s">
        <v>162</v>
      </c>
      <c r="AW1240" s="667"/>
      <c r="AX1240" s="692"/>
      <c r="AY1240" s="693"/>
      <c r="AZ1240" s="694"/>
      <c r="BA1240" s="682"/>
      <c r="BB1240" s="683"/>
      <c r="BC1240" s="14"/>
      <c r="BD1240" s="695" t="s">
        <v>162</v>
      </c>
      <c r="BE1240" s="696"/>
      <c r="BF1240" s="697"/>
      <c r="BG1240" s="698"/>
      <c r="BH1240" s="698"/>
      <c r="BI1240" s="699"/>
      <c r="BJ1240" s="700" t="s">
        <v>159</v>
      </c>
      <c r="BK1240" s="701"/>
      <c r="BL1240" s="701"/>
      <c r="BM1240" s="702"/>
      <c r="BN1240" s="703" t="s">
        <v>159</v>
      </c>
      <c r="BO1240" s="704"/>
      <c r="BP1240" s="704"/>
      <c r="BQ1240" s="704"/>
      <c r="BR1240" s="704"/>
      <c r="BS1240" s="704"/>
      <c r="BT1240" s="704"/>
      <c r="BU1240" s="704"/>
      <c r="BV1240" s="705"/>
    </row>
    <row r="1241" spans="1:74" ht="45" customHeight="1" x14ac:dyDescent="0.25">
      <c r="A1241" s="10">
        <f t="shared" si="19"/>
        <v>1227</v>
      </c>
      <c r="B1241" s="711" t="s">
        <v>159</v>
      </c>
      <c r="C1241" s="711"/>
      <c r="D1241" s="712" t="s">
        <v>212</v>
      </c>
      <c r="E1241" s="712"/>
      <c r="F1241" s="664" t="s">
        <v>162</v>
      </c>
      <c r="G1241" s="665"/>
      <c r="H1241" s="755" t="s">
        <v>162</v>
      </c>
      <c r="I1241" s="667"/>
      <c r="J1241" s="706"/>
      <c r="K1241" s="707"/>
      <c r="L1241" s="706"/>
      <c r="M1241" s="707"/>
      <c r="N1241" s="215"/>
      <c r="O1241" s="216"/>
      <c r="P1241" s="670"/>
      <c r="Q1241" s="671"/>
      <c r="R1241" s="719"/>
      <c r="S1241" s="720"/>
      <c r="T1241" s="721"/>
      <c r="U1241" s="722"/>
      <c r="V1241" s="723"/>
      <c r="W1241" s="724"/>
      <c r="X1241" s="725" t="s">
        <v>159</v>
      </c>
      <c r="Y1241" s="725"/>
      <c r="Z1241" s="725"/>
      <c r="AA1241" s="725"/>
      <c r="AB1241" s="726" t="s">
        <v>159</v>
      </c>
      <c r="AC1241" s="726"/>
      <c r="AD1241" s="726"/>
      <c r="AE1241" s="726"/>
      <c r="AF1241" s="727"/>
      <c r="AG1241" s="728"/>
      <c r="AH1241" s="727"/>
      <c r="AI1241" s="728"/>
      <c r="AJ1241" s="682"/>
      <c r="AK1241" s="683"/>
      <c r="AL1241" s="664" t="s">
        <v>162</v>
      </c>
      <c r="AM1241" s="665"/>
      <c r="AN1241" s="713" t="s">
        <v>162</v>
      </c>
      <c r="AO1241" s="714"/>
      <c r="AP1241" s="729"/>
      <c r="AQ1241" s="730"/>
      <c r="AR1241" s="731"/>
      <c r="AS1241" s="732"/>
      <c r="AT1241" s="690"/>
      <c r="AU1241" s="691"/>
      <c r="AV1241" s="713" t="s">
        <v>162</v>
      </c>
      <c r="AW1241" s="714"/>
      <c r="AX1241" s="692"/>
      <c r="AY1241" s="693"/>
      <c r="AZ1241" s="694"/>
      <c r="BA1241" s="735"/>
      <c r="BB1241" s="736"/>
      <c r="BC1241" s="219"/>
      <c r="BD1241" s="737" t="s">
        <v>162</v>
      </c>
      <c r="BE1241" s="738"/>
      <c r="BF1241" s="739"/>
      <c r="BG1241" s="740"/>
      <c r="BH1241" s="740"/>
      <c r="BI1241" s="741"/>
      <c r="BJ1241" s="742" t="s">
        <v>159</v>
      </c>
      <c r="BK1241" s="743"/>
      <c r="BL1241" s="743"/>
      <c r="BM1241" s="744"/>
      <c r="BN1241" s="703" t="s">
        <v>159</v>
      </c>
      <c r="BO1241" s="704"/>
      <c r="BP1241" s="704"/>
      <c r="BQ1241" s="704"/>
      <c r="BR1241" s="704"/>
      <c r="BS1241" s="704"/>
      <c r="BT1241" s="704"/>
      <c r="BU1241" s="704"/>
      <c r="BV1241" s="705"/>
    </row>
    <row r="1242" spans="1:74" ht="45" customHeight="1" x14ac:dyDescent="0.25">
      <c r="A1242" s="10">
        <f t="shared" si="19"/>
        <v>1228</v>
      </c>
      <c r="B1242" s="662" t="s">
        <v>159</v>
      </c>
      <c r="C1242" s="662"/>
      <c r="D1242" s="663" t="s">
        <v>212</v>
      </c>
      <c r="E1242" s="663"/>
      <c r="F1242" s="664" t="s">
        <v>162</v>
      </c>
      <c r="G1242" s="665"/>
      <c r="H1242" s="754" t="s">
        <v>162</v>
      </c>
      <c r="I1242" s="714"/>
      <c r="J1242" s="715"/>
      <c r="K1242" s="716"/>
      <c r="L1242" s="715"/>
      <c r="M1242" s="716"/>
      <c r="N1242" s="194"/>
      <c r="O1242" s="196"/>
      <c r="P1242" s="717"/>
      <c r="Q1242" s="718"/>
      <c r="R1242" s="672"/>
      <c r="S1242" s="673"/>
      <c r="T1242" s="674"/>
      <c r="U1242" s="675"/>
      <c r="V1242" s="676"/>
      <c r="W1242" s="677"/>
      <c r="X1242" s="678" t="s">
        <v>159</v>
      </c>
      <c r="Y1242" s="678"/>
      <c r="Z1242" s="678"/>
      <c r="AA1242" s="678"/>
      <c r="AB1242" s="679" t="s">
        <v>159</v>
      </c>
      <c r="AC1242" s="679"/>
      <c r="AD1242" s="679"/>
      <c r="AE1242" s="679"/>
      <c r="AF1242" s="680"/>
      <c r="AG1242" s="681"/>
      <c r="AH1242" s="680"/>
      <c r="AI1242" s="681"/>
      <c r="AJ1242" s="682"/>
      <c r="AK1242" s="683"/>
      <c r="AL1242" s="684" t="s">
        <v>162</v>
      </c>
      <c r="AM1242" s="685"/>
      <c r="AN1242" s="666" t="s">
        <v>162</v>
      </c>
      <c r="AO1242" s="667"/>
      <c r="AP1242" s="686"/>
      <c r="AQ1242" s="687"/>
      <c r="AR1242" s="688"/>
      <c r="AS1242" s="689"/>
      <c r="AT1242" s="690"/>
      <c r="AU1242" s="691"/>
      <c r="AV1242" s="666" t="s">
        <v>162</v>
      </c>
      <c r="AW1242" s="667"/>
      <c r="AX1242" s="692"/>
      <c r="AY1242" s="693"/>
      <c r="AZ1242" s="694"/>
      <c r="BA1242" s="682"/>
      <c r="BB1242" s="683"/>
      <c r="BC1242" s="14"/>
      <c r="BD1242" s="695" t="s">
        <v>162</v>
      </c>
      <c r="BE1242" s="696"/>
      <c r="BF1242" s="697"/>
      <c r="BG1242" s="698"/>
      <c r="BH1242" s="698"/>
      <c r="BI1242" s="699"/>
      <c r="BJ1242" s="700" t="s">
        <v>159</v>
      </c>
      <c r="BK1242" s="701"/>
      <c r="BL1242" s="701"/>
      <c r="BM1242" s="702"/>
      <c r="BN1242" s="703" t="s">
        <v>159</v>
      </c>
      <c r="BO1242" s="704"/>
      <c r="BP1242" s="704"/>
      <c r="BQ1242" s="704"/>
      <c r="BR1242" s="704"/>
      <c r="BS1242" s="704"/>
      <c r="BT1242" s="704"/>
      <c r="BU1242" s="704"/>
      <c r="BV1242" s="705"/>
    </row>
    <row r="1243" spans="1:74" ht="45" customHeight="1" x14ac:dyDescent="0.25">
      <c r="A1243" s="10">
        <f t="shared" si="19"/>
        <v>1229</v>
      </c>
      <c r="B1243" s="711" t="s">
        <v>159</v>
      </c>
      <c r="C1243" s="711"/>
      <c r="D1243" s="712" t="s">
        <v>212</v>
      </c>
      <c r="E1243" s="712"/>
      <c r="F1243" s="664" t="s">
        <v>162</v>
      </c>
      <c r="G1243" s="665"/>
      <c r="H1243" s="755" t="s">
        <v>162</v>
      </c>
      <c r="I1243" s="667"/>
      <c r="J1243" s="706"/>
      <c r="K1243" s="707"/>
      <c r="L1243" s="706"/>
      <c r="M1243" s="707"/>
      <c r="N1243" s="215"/>
      <c r="O1243" s="216"/>
      <c r="P1243" s="670"/>
      <c r="Q1243" s="671"/>
      <c r="R1243" s="719"/>
      <c r="S1243" s="720"/>
      <c r="T1243" s="721"/>
      <c r="U1243" s="722"/>
      <c r="V1243" s="723"/>
      <c r="W1243" s="724"/>
      <c r="X1243" s="725" t="s">
        <v>159</v>
      </c>
      <c r="Y1243" s="725"/>
      <c r="Z1243" s="725"/>
      <c r="AA1243" s="725"/>
      <c r="AB1243" s="726" t="s">
        <v>159</v>
      </c>
      <c r="AC1243" s="726"/>
      <c r="AD1243" s="726"/>
      <c r="AE1243" s="726"/>
      <c r="AF1243" s="727"/>
      <c r="AG1243" s="728"/>
      <c r="AH1243" s="727"/>
      <c r="AI1243" s="728"/>
      <c r="AJ1243" s="682"/>
      <c r="AK1243" s="683"/>
      <c r="AL1243" s="664" t="s">
        <v>162</v>
      </c>
      <c r="AM1243" s="665"/>
      <c r="AN1243" s="713" t="s">
        <v>162</v>
      </c>
      <c r="AO1243" s="714"/>
      <c r="AP1243" s="729"/>
      <c r="AQ1243" s="730"/>
      <c r="AR1243" s="731"/>
      <c r="AS1243" s="732"/>
      <c r="AT1243" s="733"/>
      <c r="AU1243" s="734"/>
      <c r="AV1243" s="713" t="s">
        <v>162</v>
      </c>
      <c r="AW1243" s="714"/>
      <c r="AX1243" s="692"/>
      <c r="AY1243" s="693"/>
      <c r="AZ1243" s="694"/>
      <c r="BA1243" s="735"/>
      <c r="BB1243" s="736"/>
      <c r="BC1243" s="219"/>
      <c r="BD1243" s="737" t="s">
        <v>162</v>
      </c>
      <c r="BE1243" s="738"/>
      <c r="BF1243" s="739"/>
      <c r="BG1243" s="740"/>
      <c r="BH1243" s="740"/>
      <c r="BI1243" s="741"/>
      <c r="BJ1243" s="742" t="s">
        <v>159</v>
      </c>
      <c r="BK1243" s="743"/>
      <c r="BL1243" s="743"/>
      <c r="BM1243" s="744"/>
      <c r="BN1243" s="703" t="s">
        <v>159</v>
      </c>
      <c r="BO1243" s="704"/>
      <c r="BP1243" s="704"/>
      <c r="BQ1243" s="704"/>
      <c r="BR1243" s="704"/>
      <c r="BS1243" s="704"/>
      <c r="BT1243" s="704"/>
      <c r="BU1243" s="704"/>
      <c r="BV1243" s="705"/>
    </row>
    <row r="1244" spans="1:74" ht="45" customHeight="1" x14ac:dyDescent="0.25">
      <c r="A1244" s="10">
        <f t="shared" si="19"/>
        <v>1230</v>
      </c>
      <c r="B1244" s="662" t="s">
        <v>159</v>
      </c>
      <c r="C1244" s="662"/>
      <c r="D1244" s="663" t="s">
        <v>212</v>
      </c>
      <c r="E1244" s="663"/>
      <c r="F1244" s="664" t="s">
        <v>162</v>
      </c>
      <c r="G1244" s="665"/>
      <c r="H1244" s="754" t="s">
        <v>162</v>
      </c>
      <c r="I1244" s="714"/>
      <c r="J1244" s="715"/>
      <c r="K1244" s="716"/>
      <c r="L1244" s="715"/>
      <c r="M1244" s="716"/>
      <c r="N1244" s="194"/>
      <c r="O1244" s="196"/>
      <c r="P1244" s="717"/>
      <c r="Q1244" s="718"/>
      <c r="R1244" s="672"/>
      <c r="S1244" s="673"/>
      <c r="T1244" s="674"/>
      <c r="U1244" s="675"/>
      <c r="V1244" s="676"/>
      <c r="W1244" s="677"/>
      <c r="X1244" s="678" t="s">
        <v>159</v>
      </c>
      <c r="Y1244" s="678"/>
      <c r="Z1244" s="678"/>
      <c r="AA1244" s="678"/>
      <c r="AB1244" s="679" t="s">
        <v>159</v>
      </c>
      <c r="AC1244" s="679"/>
      <c r="AD1244" s="679"/>
      <c r="AE1244" s="679"/>
      <c r="AF1244" s="680"/>
      <c r="AG1244" s="681"/>
      <c r="AH1244" s="680"/>
      <c r="AI1244" s="681"/>
      <c r="AJ1244" s="682"/>
      <c r="AK1244" s="683"/>
      <c r="AL1244" s="684" t="s">
        <v>162</v>
      </c>
      <c r="AM1244" s="685"/>
      <c r="AN1244" s="666" t="s">
        <v>162</v>
      </c>
      <c r="AO1244" s="667"/>
      <c r="AP1244" s="686"/>
      <c r="AQ1244" s="687"/>
      <c r="AR1244" s="688"/>
      <c r="AS1244" s="689"/>
      <c r="AT1244" s="690"/>
      <c r="AU1244" s="691"/>
      <c r="AV1244" s="666" t="s">
        <v>162</v>
      </c>
      <c r="AW1244" s="667"/>
      <c r="AX1244" s="692"/>
      <c r="AY1244" s="693"/>
      <c r="AZ1244" s="694"/>
      <c r="BA1244" s="682"/>
      <c r="BB1244" s="683"/>
      <c r="BC1244" s="14"/>
      <c r="BD1244" s="695" t="s">
        <v>162</v>
      </c>
      <c r="BE1244" s="696"/>
      <c r="BF1244" s="708"/>
      <c r="BG1244" s="709"/>
      <c r="BH1244" s="709"/>
      <c r="BI1244" s="710"/>
      <c r="BJ1244" s="700" t="s">
        <v>159</v>
      </c>
      <c r="BK1244" s="701"/>
      <c r="BL1244" s="701"/>
      <c r="BM1244" s="702"/>
      <c r="BN1244" s="703" t="s">
        <v>159</v>
      </c>
      <c r="BO1244" s="704"/>
      <c r="BP1244" s="704"/>
      <c r="BQ1244" s="704"/>
      <c r="BR1244" s="704"/>
      <c r="BS1244" s="704"/>
      <c r="BT1244" s="704"/>
      <c r="BU1244" s="704"/>
      <c r="BV1244" s="705"/>
    </row>
    <row r="1245" spans="1:74" ht="45" customHeight="1" x14ac:dyDescent="0.25">
      <c r="A1245" s="10">
        <f t="shared" si="19"/>
        <v>1231</v>
      </c>
      <c r="B1245" s="711" t="s">
        <v>159</v>
      </c>
      <c r="C1245" s="711"/>
      <c r="D1245" s="712" t="s">
        <v>212</v>
      </c>
      <c r="E1245" s="712"/>
      <c r="F1245" s="664" t="s">
        <v>162</v>
      </c>
      <c r="G1245" s="665"/>
      <c r="H1245" s="755" t="s">
        <v>162</v>
      </c>
      <c r="I1245" s="667"/>
      <c r="J1245" s="706"/>
      <c r="K1245" s="707"/>
      <c r="L1245" s="706"/>
      <c r="M1245" s="707"/>
      <c r="N1245" s="215"/>
      <c r="O1245" s="216"/>
      <c r="P1245" s="670"/>
      <c r="Q1245" s="671"/>
      <c r="R1245" s="719"/>
      <c r="S1245" s="720"/>
      <c r="T1245" s="721"/>
      <c r="U1245" s="722"/>
      <c r="V1245" s="723"/>
      <c r="W1245" s="724"/>
      <c r="X1245" s="725" t="s">
        <v>159</v>
      </c>
      <c r="Y1245" s="725"/>
      <c r="Z1245" s="725"/>
      <c r="AA1245" s="725"/>
      <c r="AB1245" s="726" t="s">
        <v>159</v>
      </c>
      <c r="AC1245" s="726"/>
      <c r="AD1245" s="726"/>
      <c r="AE1245" s="726"/>
      <c r="AF1245" s="727"/>
      <c r="AG1245" s="728"/>
      <c r="AH1245" s="727"/>
      <c r="AI1245" s="728"/>
      <c r="AJ1245" s="682"/>
      <c r="AK1245" s="683"/>
      <c r="AL1245" s="664" t="s">
        <v>162</v>
      </c>
      <c r="AM1245" s="665"/>
      <c r="AN1245" s="713" t="s">
        <v>162</v>
      </c>
      <c r="AO1245" s="714"/>
      <c r="AP1245" s="729"/>
      <c r="AQ1245" s="730"/>
      <c r="AR1245" s="731"/>
      <c r="AS1245" s="732"/>
      <c r="AT1245" s="733"/>
      <c r="AU1245" s="734"/>
      <c r="AV1245" s="713" t="s">
        <v>162</v>
      </c>
      <c r="AW1245" s="714"/>
      <c r="AX1245" s="692"/>
      <c r="AY1245" s="693"/>
      <c r="AZ1245" s="694"/>
      <c r="BA1245" s="735"/>
      <c r="BB1245" s="736"/>
      <c r="BC1245" s="219"/>
      <c r="BD1245" s="737" t="s">
        <v>162</v>
      </c>
      <c r="BE1245" s="738"/>
      <c r="BF1245" s="739"/>
      <c r="BG1245" s="740"/>
      <c r="BH1245" s="740"/>
      <c r="BI1245" s="741"/>
      <c r="BJ1245" s="742" t="s">
        <v>159</v>
      </c>
      <c r="BK1245" s="743"/>
      <c r="BL1245" s="743"/>
      <c r="BM1245" s="744"/>
      <c r="BN1245" s="703" t="s">
        <v>159</v>
      </c>
      <c r="BO1245" s="704"/>
      <c r="BP1245" s="704"/>
      <c r="BQ1245" s="704"/>
      <c r="BR1245" s="704"/>
      <c r="BS1245" s="704"/>
      <c r="BT1245" s="704"/>
      <c r="BU1245" s="704"/>
      <c r="BV1245" s="705"/>
    </row>
    <row r="1246" spans="1:74" ht="45" customHeight="1" x14ac:dyDescent="0.25">
      <c r="A1246" s="10">
        <f t="shared" si="19"/>
        <v>1232</v>
      </c>
      <c r="B1246" s="662" t="s">
        <v>159</v>
      </c>
      <c r="C1246" s="662"/>
      <c r="D1246" s="663" t="s">
        <v>212</v>
      </c>
      <c r="E1246" s="663"/>
      <c r="F1246" s="664" t="s">
        <v>162</v>
      </c>
      <c r="G1246" s="665"/>
      <c r="H1246" s="754" t="s">
        <v>162</v>
      </c>
      <c r="I1246" s="714"/>
      <c r="J1246" s="715"/>
      <c r="K1246" s="716"/>
      <c r="L1246" s="715"/>
      <c r="M1246" s="716"/>
      <c r="N1246" s="194"/>
      <c r="O1246" s="196"/>
      <c r="P1246" s="717"/>
      <c r="Q1246" s="718"/>
      <c r="R1246" s="672"/>
      <c r="S1246" s="673"/>
      <c r="T1246" s="674"/>
      <c r="U1246" s="675"/>
      <c r="V1246" s="676"/>
      <c r="W1246" s="677"/>
      <c r="X1246" s="678" t="s">
        <v>159</v>
      </c>
      <c r="Y1246" s="678"/>
      <c r="Z1246" s="678"/>
      <c r="AA1246" s="678"/>
      <c r="AB1246" s="679" t="s">
        <v>159</v>
      </c>
      <c r="AC1246" s="679"/>
      <c r="AD1246" s="679"/>
      <c r="AE1246" s="679"/>
      <c r="AF1246" s="680"/>
      <c r="AG1246" s="681"/>
      <c r="AH1246" s="680"/>
      <c r="AI1246" s="681"/>
      <c r="AJ1246" s="682"/>
      <c r="AK1246" s="683"/>
      <c r="AL1246" s="684" t="s">
        <v>162</v>
      </c>
      <c r="AM1246" s="685"/>
      <c r="AN1246" s="666" t="s">
        <v>162</v>
      </c>
      <c r="AO1246" s="667"/>
      <c r="AP1246" s="686"/>
      <c r="AQ1246" s="687"/>
      <c r="AR1246" s="688"/>
      <c r="AS1246" s="689"/>
      <c r="AT1246" s="690"/>
      <c r="AU1246" s="691"/>
      <c r="AV1246" s="666" t="s">
        <v>162</v>
      </c>
      <c r="AW1246" s="667"/>
      <c r="AX1246" s="692"/>
      <c r="AY1246" s="693"/>
      <c r="AZ1246" s="694"/>
      <c r="BA1246" s="682"/>
      <c r="BB1246" s="683"/>
      <c r="BC1246" s="14"/>
      <c r="BD1246" s="695" t="s">
        <v>162</v>
      </c>
      <c r="BE1246" s="696"/>
      <c r="BF1246" s="697"/>
      <c r="BG1246" s="698"/>
      <c r="BH1246" s="698"/>
      <c r="BI1246" s="699"/>
      <c r="BJ1246" s="700" t="s">
        <v>159</v>
      </c>
      <c r="BK1246" s="701"/>
      <c r="BL1246" s="701"/>
      <c r="BM1246" s="702"/>
      <c r="BN1246" s="703" t="s">
        <v>159</v>
      </c>
      <c r="BO1246" s="704"/>
      <c r="BP1246" s="704"/>
      <c r="BQ1246" s="704"/>
      <c r="BR1246" s="704"/>
      <c r="BS1246" s="704"/>
      <c r="BT1246" s="704"/>
      <c r="BU1246" s="704"/>
      <c r="BV1246" s="705"/>
    </row>
    <row r="1247" spans="1:74" ht="45" customHeight="1" x14ac:dyDescent="0.25">
      <c r="A1247" s="10">
        <f t="shared" si="19"/>
        <v>1233</v>
      </c>
      <c r="B1247" s="711" t="s">
        <v>159</v>
      </c>
      <c r="C1247" s="711"/>
      <c r="D1247" s="712" t="s">
        <v>212</v>
      </c>
      <c r="E1247" s="712"/>
      <c r="F1247" s="664" t="s">
        <v>162</v>
      </c>
      <c r="G1247" s="665"/>
      <c r="H1247" s="755" t="s">
        <v>162</v>
      </c>
      <c r="I1247" s="667"/>
      <c r="J1247" s="706"/>
      <c r="K1247" s="707"/>
      <c r="L1247" s="706"/>
      <c r="M1247" s="707"/>
      <c r="N1247" s="215"/>
      <c r="O1247" s="216"/>
      <c r="P1247" s="670"/>
      <c r="Q1247" s="671"/>
      <c r="R1247" s="719"/>
      <c r="S1247" s="720"/>
      <c r="T1247" s="721"/>
      <c r="U1247" s="722"/>
      <c r="V1247" s="723"/>
      <c r="W1247" s="724"/>
      <c r="X1247" s="725" t="s">
        <v>159</v>
      </c>
      <c r="Y1247" s="725"/>
      <c r="Z1247" s="725"/>
      <c r="AA1247" s="725"/>
      <c r="AB1247" s="726" t="s">
        <v>159</v>
      </c>
      <c r="AC1247" s="726"/>
      <c r="AD1247" s="726"/>
      <c r="AE1247" s="726"/>
      <c r="AF1247" s="727"/>
      <c r="AG1247" s="728"/>
      <c r="AH1247" s="727"/>
      <c r="AI1247" s="728"/>
      <c r="AJ1247" s="682"/>
      <c r="AK1247" s="683"/>
      <c r="AL1247" s="664" t="s">
        <v>162</v>
      </c>
      <c r="AM1247" s="665"/>
      <c r="AN1247" s="713" t="s">
        <v>162</v>
      </c>
      <c r="AO1247" s="714"/>
      <c r="AP1247" s="729"/>
      <c r="AQ1247" s="730"/>
      <c r="AR1247" s="731"/>
      <c r="AS1247" s="732"/>
      <c r="AT1247" s="733"/>
      <c r="AU1247" s="734"/>
      <c r="AV1247" s="713" t="s">
        <v>162</v>
      </c>
      <c r="AW1247" s="714"/>
      <c r="AX1247" s="692"/>
      <c r="AY1247" s="693"/>
      <c r="AZ1247" s="694"/>
      <c r="BA1247" s="735"/>
      <c r="BB1247" s="736"/>
      <c r="BC1247" s="219"/>
      <c r="BD1247" s="737" t="s">
        <v>162</v>
      </c>
      <c r="BE1247" s="738"/>
      <c r="BF1247" s="739"/>
      <c r="BG1247" s="740"/>
      <c r="BH1247" s="740"/>
      <c r="BI1247" s="741"/>
      <c r="BJ1247" s="742" t="s">
        <v>159</v>
      </c>
      <c r="BK1247" s="743"/>
      <c r="BL1247" s="743"/>
      <c r="BM1247" s="744"/>
      <c r="BN1247" s="703" t="s">
        <v>159</v>
      </c>
      <c r="BO1247" s="704"/>
      <c r="BP1247" s="704"/>
      <c r="BQ1247" s="704"/>
      <c r="BR1247" s="704"/>
      <c r="BS1247" s="704"/>
      <c r="BT1247" s="704"/>
      <c r="BU1247" s="704"/>
      <c r="BV1247" s="705"/>
    </row>
    <row r="1248" spans="1:74" ht="45" customHeight="1" x14ac:dyDescent="0.25">
      <c r="A1248" s="10">
        <f t="shared" si="19"/>
        <v>1234</v>
      </c>
      <c r="B1248" s="662" t="s">
        <v>159</v>
      </c>
      <c r="C1248" s="662"/>
      <c r="D1248" s="663" t="s">
        <v>212</v>
      </c>
      <c r="E1248" s="663"/>
      <c r="F1248" s="664" t="s">
        <v>162</v>
      </c>
      <c r="G1248" s="665"/>
      <c r="H1248" s="754" t="s">
        <v>162</v>
      </c>
      <c r="I1248" s="714"/>
      <c r="J1248" s="715"/>
      <c r="K1248" s="716"/>
      <c r="L1248" s="715"/>
      <c r="M1248" s="716"/>
      <c r="N1248" s="194"/>
      <c r="O1248" s="196"/>
      <c r="P1248" s="717"/>
      <c r="Q1248" s="718"/>
      <c r="R1248" s="672"/>
      <c r="S1248" s="673"/>
      <c r="T1248" s="674"/>
      <c r="U1248" s="675"/>
      <c r="V1248" s="676"/>
      <c r="W1248" s="677"/>
      <c r="X1248" s="678" t="s">
        <v>159</v>
      </c>
      <c r="Y1248" s="678"/>
      <c r="Z1248" s="678"/>
      <c r="AA1248" s="678"/>
      <c r="AB1248" s="679" t="s">
        <v>159</v>
      </c>
      <c r="AC1248" s="679"/>
      <c r="AD1248" s="679"/>
      <c r="AE1248" s="679"/>
      <c r="AF1248" s="680"/>
      <c r="AG1248" s="681"/>
      <c r="AH1248" s="680"/>
      <c r="AI1248" s="681"/>
      <c r="AJ1248" s="682"/>
      <c r="AK1248" s="683"/>
      <c r="AL1248" s="684" t="s">
        <v>162</v>
      </c>
      <c r="AM1248" s="685"/>
      <c r="AN1248" s="666" t="s">
        <v>162</v>
      </c>
      <c r="AO1248" s="667"/>
      <c r="AP1248" s="686"/>
      <c r="AQ1248" s="687"/>
      <c r="AR1248" s="688"/>
      <c r="AS1248" s="689"/>
      <c r="AT1248" s="690"/>
      <c r="AU1248" s="691"/>
      <c r="AV1248" s="666" t="s">
        <v>162</v>
      </c>
      <c r="AW1248" s="667"/>
      <c r="AX1248" s="692"/>
      <c r="AY1248" s="693"/>
      <c r="AZ1248" s="694"/>
      <c r="BA1248" s="682"/>
      <c r="BB1248" s="683"/>
      <c r="BC1248" s="14"/>
      <c r="BD1248" s="695" t="s">
        <v>162</v>
      </c>
      <c r="BE1248" s="696"/>
      <c r="BF1248" s="697"/>
      <c r="BG1248" s="698"/>
      <c r="BH1248" s="698"/>
      <c r="BI1248" s="699"/>
      <c r="BJ1248" s="700" t="s">
        <v>159</v>
      </c>
      <c r="BK1248" s="701"/>
      <c r="BL1248" s="701"/>
      <c r="BM1248" s="702"/>
      <c r="BN1248" s="703" t="s">
        <v>159</v>
      </c>
      <c r="BO1248" s="704"/>
      <c r="BP1248" s="704"/>
      <c r="BQ1248" s="704"/>
      <c r="BR1248" s="704"/>
      <c r="BS1248" s="704"/>
      <c r="BT1248" s="704"/>
      <c r="BU1248" s="704"/>
      <c r="BV1248" s="705"/>
    </row>
    <row r="1249" spans="1:74" ht="45" customHeight="1" x14ac:dyDescent="0.25">
      <c r="A1249" s="10">
        <f t="shared" si="19"/>
        <v>1235</v>
      </c>
      <c r="B1249" s="711" t="s">
        <v>159</v>
      </c>
      <c r="C1249" s="711"/>
      <c r="D1249" s="712" t="s">
        <v>212</v>
      </c>
      <c r="E1249" s="712"/>
      <c r="F1249" s="664" t="s">
        <v>162</v>
      </c>
      <c r="G1249" s="665"/>
      <c r="H1249" s="755" t="s">
        <v>162</v>
      </c>
      <c r="I1249" s="667"/>
      <c r="J1249" s="706"/>
      <c r="K1249" s="707"/>
      <c r="L1249" s="706"/>
      <c r="M1249" s="707"/>
      <c r="N1249" s="215"/>
      <c r="O1249" s="216"/>
      <c r="P1249" s="670"/>
      <c r="Q1249" s="671"/>
      <c r="R1249" s="719"/>
      <c r="S1249" s="720"/>
      <c r="T1249" s="721"/>
      <c r="U1249" s="722"/>
      <c r="V1249" s="723"/>
      <c r="W1249" s="724"/>
      <c r="X1249" s="725" t="s">
        <v>159</v>
      </c>
      <c r="Y1249" s="725"/>
      <c r="Z1249" s="725"/>
      <c r="AA1249" s="725"/>
      <c r="AB1249" s="726" t="s">
        <v>159</v>
      </c>
      <c r="AC1249" s="726"/>
      <c r="AD1249" s="726"/>
      <c r="AE1249" s="726"/>
      <c r="AF1249" s="727"/>
      <c r="AG1249" s="728"/>
      <c r="AH1249" s="727"/>
      <c r="AI1249" s="728"/>
      <c r="AJ1249" s="682"/>
      <c r="AK1249" s="683"/>
      <c r="AL1249" s="664" t="s">
        <v>162</v>
      </c>
      <c r="AM1249" s="665"/>
      <c r="AN1249" s="713" t="s">
        <v>162</v>
      </c>
      <c r="AO1249" s="714"/>
      <c r="AP1249" s="729"/>
      <c r="AQ1249" s="730"/>
      <c r="AR1249" s="731"/>
      <c r="AS1249" s="732"/>
      <c r="AT1249" s="733"/>
      <c r="AU1249" s="734"/>
      <c r="AV1249" s="713" t="s">
        <v>162</v>
      </c>
      <c r="AW1249" s="714"/>
      <c r="AX1249" s="692"/>
      <c r="AY1249" s="693"/>
      <c r="AZ1249" s="694"/>
      <c r="BA1249" s="735"/>
      <c r="BB1249" s="736"/>
      <c r="BC1249" s="219"/>
      <c r="BD1249" s="737" t="s">
        <v>162</v>
      </c>
      <c r="BE1249" s="738"/>
      <c r="BF1249" s="739"/>
      <c r="BG1249" s="740"/>
      <c r="BH1249" s="740"/>
      <c r="BI1249" s="741"/>
      <c r="BJ1249" s="742" t="s">
        <v>159</v>
      </c>
      <c r="BK1249" s="743"/>
      <c r="BL1249" s="743"/>
      <c r="BM1249" s="744"/>
      <c r="BN1249" s="703" t="s">
        <v>159</v>
      </c>
      <c r="BO1249" s="704"/>
      <c r="BP1249" s="704"/>
      <c r="BQ1249" s="704"/>
      <c r="BR1249" s="704"/>
      <c r="BS1249" s="704"/>
      <c r="BT1249" s="704"/>
      <c r="BU1249" s="704"/>
      <c r="BV1249" s="705"/>
    </row>
    <row r="1250" spans="1:74" ht="45" customHeight="1" x14ac:dyDescent="0.25">
      <c r="A1250" s="10">
        <f t="shared" si="19"/>
        <v>1236</v>
      </c>
      <c r="B1250" s="662" t="s">
        <v>159</v>
      </c>
      <c r="C1250" s="662"/>
      <c r="D1250" s="663" t="s">
        <v>212</v>
      </c>
      <c r="E1250" s="663"/>
      <c r="F1250" s="664" t="s">
        <v>162</v>
      </c>
      <c r="G1250" s="665"/>
      <c r="H1250" s="754" t="s">
        <v>162</v>
      </c>
      <c r="I1250" s="714"/>
      <c r="J1250" s="715"/>
      <c r="K1250" s="716"/>
      <c r="L1250" s="715"/>
      <c r="M1250" s="716"/>
      <c r="N1250" s="194"/>
      <c r="O1250" s="196"/>
      <c r="P1250" s="717"/>
      <c r="Q1250" s="718"/>
      <c r="R1250" s="672"/>
      <c r="S1250" s="673"/>
      <c r="T1250" s="674"/>
      <c r="U1250" s="675"/>
      <c r="V1250" s="676"/>
      <c r="W1250" s="677"/>
      <c r="X1250" s="678" t="s">
        <v>159</v>
      </c>
      <c r="Y1250" s="678"/>
      <c r="Z1250" s="678"/>
      <c r="AA1250" s="678"/>
      <c r="AB1250" s="679" t="s">
        <v>159</v>
      </c>
      <c r="AC1250" s="679"/>
      <c r="AD1250" s="679"/>
      <c r="AE1250" s="679"/>
      <c r="AF1250" s="680"/>
      <c r="AG1250" s="681"/>
      <c r="AH1250" s="680"/>
      <c r="AI1250" s="681"/>
      <c r="AJ1250" s="682"/>
      <c r="AK1250" s="683"/>
      <c r="AL1250" s="684" t="s">
        <v>162</v>
      </c>
      <c r="AM1250" s="685"/>
      <c r="AN1250" s="666" t="s">
        <v>162</v>
      </c>
      <c r="AO1250" s="667"/>
      <c r="AP1250" s="686"/>
      <c r="AQ1250" s="687"/>
      <c r="AR1250" s="688"/>
      <c r="AS1250" s="689"/>
      <c r="AT1250" s="690"/>
      <c r="AU1250" s="691"/>
      <c r="AV1250" s="666" t="s">
        <v>162</v>
      </c>
      <c r="AW1250" s="667"/>
      <c r="AX1250" s="692"/>
      <c r="AY1250" s="693"/>
      <c r="AZ1250" s="694"/>
      <c r="BA1250" s="682"/>
      <c r="BB1250" s="683"/>
      <c r="BC1250" s="14"/>
      <c r="BD1250" s="695" t="s">
        <v>162</v>
      </c>
      <c r="BE1250" s="696"/>
      <c r="BF1250" s="708"/>
      <c r="BG1250" s="709"/>
      <c r="BH1250" s="709"/>
      <c r="BI1250" s="710"/>
      <c r="BJ1250" s="700" t="s">
        <v>159</v>
      </c>
      <c r="BK1250" s="701"/>
      <c r="BL1250" s="701"/>
      <c r="BM1250" s="702"/>
      <c r="BN1250" s="703" t="s">
        <v>159</v>
      </c>
      <c r="BO1250" s="704"/>
      <c r="BP1250" s="704"/>
      <c r="BQ1250" s="704"/>
      <c r="BR1250" s="704"/>
      <c r="BS1250" s="704"/>
      <c r="BT1250" s="704"/>
      <c r="BU1250" s="704"/>
      <c r="BV1250" s="705"/>
    </row>
    <row r="1251" spans="1:74" ht="45" customHeight="1" x14ac:dyDescent="0.25">
      <c r="A1251" s="10">
        <f t="shared" si="19"/>
        <v>1237</v>
      </c>
      <c r="B1251" s="711" t="s">
        <v>159</v>
      </c>
      <c r="C1251" s="711"/>
      <c r="D1251" s="712" t="s">
        <v>212</v>
      </c>
      <c r="E1251" s="712"/>
      <c r="F1251" s="664" t="s">
        <v>162</v>
      </c>
      <c r="G1251" s="665"/>
      <c r="H1251" s="755" t="s">
        <v>162</v>
      </c>
      <c r="I1251" s="667"/>
      <c r="J1251" s="706"/>
      <c r="K1251" s="707"/>
      <c r="L1251" s="706"/>
      <c r="M1251" s="707"/>
      <c r="N1251" s="215"/>
      <c r="O1251" s="216"/>
      <c r="P1251" s="670"/>
      <c r="Q1251" s="671"/>
      <c r="R1251" s="719"/>
      <c r="S1251" s="720"/>
      <c r="T1251" s="721"/>
      <c r="U1251" s="722"/>
      <c r="V1251" s="723"/>
      <c r="W1251" s="724"/>
      <c r="X1251" s="725" t="s">
        <v>159</v>
      </c>
      <c r="Y1251" s="725"/>
      <c r="Z1251" s="725"/>
      <c r="AA1251" s="725"/>
      <c r="AB1251" s="726" t="s">
        <v>159</v>
      </c>
      <c r="AC1251" s="726"/>
      <c r="AD1251" s="726"/>
      <c r="AE1251" s="726"/>
      <c r="AF1251" s="727"/>
      <c r="AG1251" s="728"/>
      <c r="AH1251" s="727"/>
      <c r="AI1251" s="728"/>
      <c r="AJ1251" s="682"/>
      <c r="AK1251" s="683"/>
      <c r="AL1251" s="664" t="s">
        <v>162</v>
      </c>
      <c r="AM1251" s="665"/>
      <c r="AN1251" s="713" t="s">
        <v>162</v>
      </c>
      <c r="AO1251" s="714"/>
      <c r="AP1251" s="729"/>
      <c r="AQ1251" s="730"/>
      <c r="AR1251" s="731"/>
      <c r="AS1251" s="732"/>
      <c r="AT1251" s="733"/>
      <c r="AU1251" s="734"/>
      <c r="AV1251" s="713" t="s">
        <v>162</v>
      </c>
      <c r="AW1251" s="714"/>
      <c r="AX1251" s="692"/>
      <c r="AY1251" s="693"/>
      <c r="AZ1251" s="694"/>
      <c r="BA1251" s="735"/>
      <c r="BB1251" s="736"/>
      <c r="BC1251" s="219"/>
      <c r="BD1251" s="737" t="s">
        <v>162</v>
      </c>
      <c r="BE1251" s="738"/>
      <c r="BF1251" s="739"/>
      <c r="BG1251" s="740"/>
      <c r="BH1251" s="740"/>
      <c r="BI1251" s="741"/>
      <c r="BJ1251" s="742" t="s">
        <v>159</v>
      </c>
      <c r="BK1251" s="743"/>
      <c r="BL1251" s="743"/>
      <c r="BM1251" s="744"/>
      <c r="BN1251" s="703" t="s">
        <v>159</v>
      </c>
      <c r="BO1251" s="704"/>
      <c r="BP1251" s="704"/>
      <c r="BQ1251" s="704"/>
      <c r="BR1251" s="704"/>
      <c r="BS1251" s="704"/>
      <c r="BT1251" s="704"/>
      <c r="BU1251" s="704"/>
      <c r="BV1251" s="705"/>
    </row>
    <row r="1252" spans="1:74" ht="45" customHeight="1" x14ac:dyDescent="0.25">
      <c r="A1252" s="10">
        <f t="shared" si="19"/>
        <v>1238</v>
      </c>
      <c r="B1252" s="662" t="s">
        <v>159</v>
      </c>
      <c r="C1252" s="662"/>
      <c r="D1252" s="663" t="s">
        <v>212</v>
      </c>
      <c r="E1252" s="663"/>
      <c r="F1252" s="664" t="s">
        <v>162</v>
      </c>
      <c r="G1252" s="665"/>
      <c r="H1252" s="754" t="s">
        <v>162</v>
      </c>
      <c r="I1252" s="714"/>
      <c r="J1252" s="715"/>
      <c r="K1252" s="716"/>
      <c r="L1252" s="715"/>
      <c r="M1252" s="716"/>
      <c r="N1252" s="194"/>
      <c r="O1252" s="196"/>
      <c r="P1252" s="717"/>
      <c r="Q1252" s="718"/>
      <c r="R1252" s="672"/>
      <c r="S1252" s="673"/>
      <c r="T1252" s="674"/>
      <c r="U1252" s="675"/>
      <c r="V1252" s="676"/>
      <c r="W1252" s="677"/>
      <c r="X1252" s="678" t="s">
        <v>159</v>
      </c>
      <c r="Y1252" s="678"/>
      <c r="Z1252" s="678"/>
      <c r="AA1252" s="678"/>
      <c r="AB1252" s="679" t="s">
        <v>159</v>
      </c>
      <c r="AC1252" s="679"/>
      <c r="AD1252" s="679"/>
      <c r="AE1252" s="679"/>
      <c r="AF1252" s="680"/>
      <c r="AG1252" s="681"/>
      <c r="AH1252" s="680"/>
      <c r="AI1252" s="681"/>
      <c r="AJ1252" s="682"/>
      <c r="AK1252" s="683"/>
      <c r="AL1252" s="684" t="s">
        <v>162</v>
      </c>
      <c r="AM1252" s="685"/>
      <c r="AN1252" s="666" t="s">
        <v>162</v>
      </c>
      <c r="AO1252" s="667"/>
      <c r="AP1252" s="686"/>
      <c r="AQ1252" s="687"/>
      <c r="AR1252" s="688"/>
      <c r="AS1252" s="689"/>
      <c r="AT1252" s="690"/>
      <c r="AU1252" s="691"/>
      <c r="AV1252" s="666" t="s">
        <v>162</v>
      </c>
      <c r="AW1252" s="667"/>
      <c r="AX1252" s="692"/>
      <c r="AY1252" s="693"/>
      <c r="AZ1252" s="694"/>
      <c r="BA1252" s="682"/>
      <c r="BB1252" s="683"/>
      <c r="BC1252" s="14"/>
      <c r="BD1252" s="695" t="s">
        <v>162</v>
      </c>
      <c r="BE1252" s="696"/>
      <c r="BF1252" s="697"/>
      <c r="BG1252" s="698"/>
      <c r="BH1252" s="698"/>
      <c r="BI1252" s="699"/>
      <c r="BJ1252" s="700" t="s">
        <v>159</v>
      </c>
      <c r="BK1252" s="701"/>
      <c r="BL1252" s="701"/>
      <c r="BM1252" s="702"/>
      <c r="BN1252" s="703" t="s">
        <v>159</v>
      </c>
      <c r="BO1252" s="704"/>
      <c r="BP1252" s="704"/>
      <c r="BQ1252" s="704"/>
      <c r="BR1252" s="704"/>
      <c r="BS1252" s="704"/>
      <c r="BT1252" s="704"/>
      <c r="BU1252" s="704"/>
      <c r="BV1252" s="705"/>
    </row>
    <row r="1253" spans="1:74" ht="45" customHeight="1" x14ac:dyDescent="0.25">
      <c r="A1253" s="10">
        <f t="shared" si="19"/>
        <v>1239</v>
      </c>
      <c r="B1253" s="711" t="s">
        <v>159</v>
      </c>
      <c r="C1253" s="711"/>
      <c r="D1253" s="712" t="s">
        <v>212</v>
      </c>
      <c r="E1253" s="712"/>
      <c r="F1253" s="664" t="s">
        <v>162</v>
      </c>
      <c r="G1253" s="665"/>
      <c r="H1253" s="755" t="s">
        <v>162</v>
      </c>
      <c r="I1253" s="667"/>
      <c r="J1253" s="706"/>
      <c r="K1253" s="707"/>
      <c r="L1253" s="706"/>
      <c r="M1253" s="707"/>
      <c r="N1253" s="215"/>
      <c r="O1253" s="216"/>
      <c r="P1253" s="670"/>
      <c r="Q1253" s="671"/>
      <c r="R1253" s="719"/>
      <c r="S1253" s="720"/>
      <c r="T1253" s="721"/>
      <c r="U1253" s="722"/>
      <c r="V1253" s="723"/>
      <c r="W1253" s="724"/>
      <c r="X1253" s="725" t="s">
        <v>159</v>
      </c>
      <c r="Y1253" s="725"/>
      <c r="Z1253" s="725"/>
      <c r="AA1253" s="725"/>
      <c r="AB1253" s="726" t="s">
        <v>159</v>
      </c>
      <c r="AC1253" s="726"/>
      <c r="AD1253" s="726"/>
      <c r="AE1253" s="726"/>
      <c r="AF1253" s="727"/>
      <c r="AG1253" s="728"/>
      <c r="AH1253" s="727"/>
      <c r="AI1253" s="728"/>
      <c r="AJ1253" s="682"/>
      <c r="AK1253" s="683"/>
      <c r="AL1253" s="664" t="s">
        <v>162</v>
      </c>
      <c r="AM1253" s="665"/>
      <c r="AN1253" s="713" t="s">
        <v>162</v>
      </c>
      <c r="AO1253" s="714"/>
      <c r="AP1253" s="729"/>
      <c r="AQ1253" s="730"/>
      <c r="AR1253" s="731"/>
      <c r="AS1253" s="732"/>
      <c r="AT1253" s="690"/>
      <c r="AU1253" s="691"/>
      <c r="AV1253" s="713" t="s">
        <v>162</v>
      </c>
      <c r="AW1253" s="714"/>
      <c r="AX1253" s="692"/>
      <c r="AY1253" s="693"/>
      <c r="AZ1253" s="694"/>
      <c r="BA1253" s="735"/>
      <c r="BB1253" s="736"/>
      <c r="BC1253" s="219"/>
      <c r="BD1253" s="737" t="s">
        <v>162</v>
      </c>
      <c r="BE1253" s="738"/>
      <c r="BF1253" s="739"/>
      <c r="BG1253" s="740"/>
      <c r="BH1253" s="740"/>
      <c r="BI1253" s="741"/>
      <c r="BJ1253" s="742" t="s">
        <v>159</v>
      </c>
      <c r="BK1253" s="743"/>
      <c r="BL1253" s="743"/>
      <c r="BM1253" s="744"/>
      <c r="BN1253" s="703" t="s">
        <v>159</v>
      </c>
      <c r="BO1253" s="704"/>
      <c r="BP1253" s="704"/>
      <c r="BQ1253" s="704"/>
      <c r="BR1253" s="704"/>
      <c r="BS1253" s="704"/>
      <c r="BT1253" s="704"/>
      <c r="BU1253" s="704"/>
      <c r="BV1253" s="705"/>
    </row>
    <row r="1254" spans="1:74" ht="45" customHeight="1" x14ac:dyDescent="0.25">
      <c r="A1254" s="10">
        <f t="shared" si="19"/>
        <v>1240</v>
      </c>
      <c r="B1254" s="662" t="s">
        <v>159</v>
      </c>
      <c r="C1254" s="662"/>
      <c r="D1254" s="663" t="s">
        <v>212</v>
      </c>
      <c r="E1254" s="663"/>
      <c r="F1254" s="664" t="s">
        <v>162</v>
      </c>
      <c r="G1254" s="665"/>
      <c r="H1254" s="754" t="s">
        <v>162</v>
      </c>
      <c r="I1254" s="714"/>
      <c r="J1254" s="715"/>
      <c r="K1254" s="716"/>
      <c r="L1254" s="715"/>
      <c r="M1254" s="716"/>
      <c r="N1254" s="194"/>
      <c r="O1254" s="196"/>
      <c r="P1254" s="717"/>
      <c r="Q1254" s="718"/>
      <c r="R1254" s="672"/>
      <c r="S1254" s="673"/>
      <c r="T1254" s="674"/>
      <c r="U1254" s="675"/>
      <c r="V1254" s="676"/>
      <c r="W1254" s="677"/>
      <c r="X1254" s="678" t="s">
        <v>159</v>
      </c>
      <c r="Y1254" s="678"/>
      <c r="Z1254" s="678"/>
      <c r="AA1254" s="678"/>
      <c r="AB1254" s="679" t="s">
        <v>159</v>
      </c>
      <c r="AC1254" s="679"/>
      <c r="AD1254" s="679"/>
      <c r="AE1254" s="679"/>
      <c r="AF1254" s="680"/>
      <c r="AG1254" s="681"/>
      <c r="AH1254" s="680"/>
      <c r="AI1254" s="681"/>
      <c r="AJ1254" s="682"/>
      <c r="AK1254" s="683"/>
      <c r="AL1254" s="684" t="s">
        <v>162</v>
      </c>
      <c r="AM1254" s="685"/>
      <c r="AN1254" s="666" t="s">
        <v>162</v>
      </c>
      <c r="AO1254" s="667"/>
      <c r="AP1254" s="686"/>
      <c r="AQ1254" s="687"/>
      <c r="AR1254" s="688"/>
      <c r="AS1254" s="689"/>
      <c r="AT1254" s="690"/>
      <c r="AU1254" s="691"/>
      <c r="AV1254" s="666" t="s">
        <v>162</v>
      </c>
      <c r="AW1254" s="667"/>
      <c r="AX1254" s="692"/>
      <c r="AY1254" s="693"/>
      <c r="AZ1254" s="694"/>
      <c r="BA1254" s="682"/>
      <c r="BB1254" s="683"/>
      <c r="BC1254" s="14"/>
      <c r="BD1254" s="695" t="s">
        <v>162</v>
      </c>
      <c r="BE1254" s="696"/>
      <c r="BF1254" s="697"/>
      <c r="BG1254" s="698"/>
      <c r="BH1254" s="698"/>
      <c r="BI1254" s="699"/>
      <c r="BJ1254" s="700" t="s">
        <v>159</v>
      </c>
      <c r="BK1254" s="701"/>
      <c r="BL1254" s="701"/>
      <c r="BM1254" s="702"/>
      <c r="BN1254" s="703" t="s">
        <v>159</v>
      </c>
      <c r="BO1254" s="704"/>
      <c r="BP1254" s="704"/>
      <c r="BQ1254" s="704"/>
      <c r="BR1254" s="704"/>
      <c r="BS1254" s="704"/>
      <c r="BT1254" s="704"/>
      <c r="BU1254" s="704"/>
      <c r="BV1254" s="705"/>
    </row>
    <row r="1255" spans="1:74" ht="45" customHeight="1" x14ac:dyDescent="0.25">
      <c r="A1255" s="10">
        <f t="shared" si="19"/>
        <v>1241</v>
      </c>
      <c r="B1255" s="711" t="s">
        <v>159</v>
      </c>
      <c r="C1255" s="711"/>
      <c r="D1255" s="712" t="s">
        <v>212</v>
      </c>
      <c r="E1255" s="712"/>
      <c r="F1255" s="664" t="s">
        <v>162</v>
      </c>
      <c r="G1255" s="665"/>
      <c r="H1255" s="755" t="s">
        <v>162</v>
      </c>
      <c r="I1255" s="667"/>
      <c r="J1255" s="706"/>
      <c r="K1255" s="707"/>
      <c r="L1255" s="706"/>
      <c r="M1255" s="707"/>
      <c r="N1255" s="215"/>
      <c r="O1255" s="216"/>
      <c r="P1255" s="670"/>
      <c r="Q1255" s="671"/>
      <c r="R1255" s="719"/>
      <c r="S1255" s="720"/>
      <c r="T1255" s="721"/>
      <c r="U1255" s="722"/>
      <c r="V1255" s="723"/>
      <c r="W1255" s="724"/>
      <c r="X1255" s="725" t="s">
        <v>159</v>
      </c>
      <c r="Y1255" s="725"/>
      <c r="Z1255" s="725"/>
      <c r="AA1255" s="725"/>
      <c r="AB1255" s="726" t="s">
        <v>159</v>
      </c>
      <c r="AC1255" s="726"/>
      <c r="AD1255" s="726"/>
      <c r="AE1255" s="726"/>
      <c r="AF1255" s="727"/>
      <c r="AG1255" s="728"/>
      <c r="AH1255" s="727"/>
      <c r="AI1255" s="728"/>
      <c r="AJ1255" s="682"/>
      <c r="AK1255" s="683"/>
      <c r="AL1255" s="664" t="s">
        <v>162</v>
      </c>
      <c r="AM1255" s="665"/>
      <c r="AN1255" s="713" t="s">
        <v>162</v>
      </c>
      <c r="AO1255" s="714"/>
      <c r="AP1255" s="729"/>
      <c r="AQ1255" s="730"/>
      <c r="AR1255" s="731"/>
      <c r="AS1255" s="732"/>
      <c r="AT1255" s="690"/>
      <c r="AU1255" s="691"/>
      <c r="AV1255" s="713" t="s">
        <v>162</v>
      </c>
      <c r="AW1255" s="714"/>
      <c r="AX1255" s="692"/>
      <c r="AY1255" s="693"/>
      <c r="AZ1255" s="694"/>
      <c r="BA1255" s="735"/>
      <c r="BB1255" s="736"/>
      <c r="BC1255" s="219"/>
      <c r="BD1255" s="737" t="s">
        <v>162</v>
      </c>
      <c r="BE1255" s="738"/>
      <c r="BF1255" s="739"/>
      <c r="BG1255" s="740"/>
      <c r="BH1255" s="740"/>
      <c r="BI1255" s="741"/>
      <c r="BJ1255" s="742" t="s">
        <v>159</v>
      </c>
      <c r="BK1255" s="743"/>
      <c r="BL1255" s="743"/>
      <c r="BM1255" s="744"/>
      <c r="BN1255" s="703" t="s">
        <v>159</v>
      </c>
      <c r="BO1255" s="704"/>
      <c r="BP1255" s="704"/>
      <c r="BQ1255" s="704"/>
      <c r="BR1255" s="704"/>
      <c r="BS1255" s="704"/>
      <c r="BT1255" s="704"/>
      <c r="BU1255" s="704"/>
      <c r="BV1255" s="705"/>
    </row>
    <row r="1256" spans="1:74" ht="45" customHeight="1" x14ac:dyDescent="0.25">
      <c r="A1256" s="10">
        <f t="shared" si="19"/>
        <v>1242</v>
      </c>
      <c r="B1256" s="662" t="s">
        <v>159</v>
      </c>
      <c r="C1256" s="662"/>
      <c r="D1256" s="663" t="s">
        <v>212</v>
      </c>
      <c r="E1256" s="663"/>
      <c r="F1256" s="664" t="s">
        <v>162</v>
      </c>
      <c r="G1256" s="665"/>
      <c r="H1256" s="754" t="s">
        <v>162</v>
      </c>
      <c r="I1256" s="714"/>
      <c r="J1256" s="715"/>
      <c r="K1256" s="716"/>
      <c r="L1256" s="715"/>
      <c r="M1256" s="716"/>
      <c r="N1256" s="194"/>
      <c r="O1256" s="196"/>
      <c r="P1256" s="717"/>
      <c r="Q1256" s="718"/>
      <c r="R1256" s="672"/>
      <c r="S1256" s="673"/>
      <c r="T1256" s="674"/>
      <c r="U1256" s="675"/>
      <c r="V1256" s="676"/>
      <c r="W1256" s="677"/>
      <c r="X1256" s="678" t="s">
        <v>159</v>
      </c>
      <c r="Y1256" s="678"/>
      <c r="Z1256" s="678"/>
      <c r="AA1256" s="678"/>
      <c r="AB1256" s="679" t="s">
        <v>159</v>
      </c>
      <c r="AC1256" s="679"/>
      <c r="AD1256" s="679"/>
      <c r="AE1256" s="679"/>
      <c r="AF1256" s="680"/>
      <c r="AG1256" s="681"/>
      <c r="AH1256" s="680"/>
      <c r="AI1256" s="681"/>
      <c r="AJ1256" s="682"/>
      <c r="AK1256" s="683"/>
      <c r="AL1256" s="684" t="s">
        <v>162</v>
      </c>
      <c r="AM1256" s="685"/>
      <c r="AN1256" s="666" t="s">
        <v>162</v>
      </c>
      <c r="AO1256" s="667"/>
      <c r="AP1256" s="686"/>
      <c r="AQ1256" s="687"/>
      <c r="AR1256" s="688"/>
      <c r="AS1256" s="689"/>
      <c r="AT1256" s="690"/>
      <c r="AU1256" s="691"/>
      <c r="AV1256" s="666" t="s">
        <v>162</v>
      </c>
      <c r="AW1256" s="667"/>
      <c r="AX1256" s="692"/>
      <c r="AY1256" s="693"/>
      <c r="AZ1256" s="694"/>
      <c r="BA1256" s="682"/>
      <c r="BB1256" s="683"/>
      <c r="BC1256" s="14"/>
      <c r="BD1256" s="695" t="s">
        <v>162</v>
      </c>
      <c r="BE1256" s="696"/>
      <c r="BF1256" s="697"/>
      <c r="BG1256" s="698"/>
      <c r="BH1256" s="698"/>
      <c r="BI1256" s="699"/>
      <c r="BJ1256" s="700" t="s">
        <v>159</v>
      </c>
      <c r="BK1256" s="701"/>
      <c r="BL1256" s="701"/>
      <c r="BM1256" s="702"/>
      <c r="BN1256" s="703" t="s">
        <v>159</v>
      </c>
      <c r="BO1256" s="704"/>
      <c r="BP1256" s="704"/>
      <c r="BQ1256" s="704"/>
      <c r="BR1256" s="704"/>
      <c r="BS1256" s="704"/>
      <c r="BT1256" s="704"/>
      <c r="BU1256" s="704"/>
      <c r="BV1256" s="705"/>
    </row>
    <row r="1257" spans="1:74" ht="45" customHeight="1" x14ac:dyDescent="0.25">
      <c r="A1257" s="10">
        <f t="shared" si="19"/>
        <v>1243</v>
      </c>
      <c r="B1257" s="711" t="s">
        <v>159</v>
      </c>
      <c r="C1257" s="711"/>
      <c r="D1257" s="712" t="s">
        <v>212</v>
      </c>
      <c r="E1257" s="712"/>
      <c r="F1257" s="664" t="s">
        <v>162</v>
      </c>
      <c r="G1257" s="665"/>
      <c r="H1257" s="755" t="s">
        <v>162</v>
      </c>
      <c r="I1257" s="667"/>
      <c r="J1257" s="706"/>
      <c r="K1257" s="707"/>
      <c r="L1257" s="706"/>
      <c r="M1257" s="707"/>
      <c r="N1257" s="215"/>
      <c r="O1257" s="216"/>
      <c r="P1257" s="670"/>
      <c r="Q1257" s="671"/>
      <c r="R1257" s="719"/>
      <c r="S1257" s="720"/>
      <c r="T1257" s="721"/>
      <c r="U1257" s="722"/>
      <c r="V1257" s="723"/>
      <c r="W1257" s="724"/>
      <c r="X1257" s="725" t="s">
        <v>159</v>
      </c>
      <c r="Y1257" s="725"/>
      <c r="Z1257" s="725"/>
      <c r="AA1257" s="725"/>
      <c r="AB1257" s="726" t="s">
        <v>159</v>
      </c>
      <c r="AC1257" s="726"/>
      <c r="AD1257" s="726"/>
      <c r="AE1257" s="726"/>
      <c r="AF1257" s="727"/>
      <c r="AG1257" s="728"/>
      <c r="AH1257" s="727"/>
      <c r="AI1257" s="728"/>
      <c r="AJ1257" s="682"/>
      <c r="AK1257" s="683"/>
      <c r="AL1257" s="664" t="s">
        <v>162</v>
      </c>
      <c r="AM1257" s="665"/>
      <c r="AN1257" s="713" t="s">
        <v>162</v>
      </c>
      <c r="AO1257" s="714"/>
      <c r="AP1257" s="729"/>
      <c r="AQ1257" s="730"/>
      <c r="AR1257" s="731"/>
      <c r="AS1257" s="732"/>
      <c r="AT1257" s="733"/>
      <c r="AU1257" s="734"/>
      <c r="AV1257" s="713" t="s">
        <v>162</v>
      </c>
      <c r="AW1257" s="714"/>
      <c r="AX1257" s="692"/>
      <c r="AY1257" s="693"/>
      <c r="AZ1257" s="694"/>
      <c r="BA1257" s="735"/>
      <c r="BB1257" s="736"/>
      <c r="BC1257" s="219"/>
      <c r="BD1257" s="737" t="s">
        <v>162</v>
      </c>
      <c r="BE1257" s="738"/>
      <c r="BF1257" s="739"/>
      <c r="BG1257" s="740"/>
      <c r="BH1257" s="740"/>
      <c r="BI1257" s="741"/>
      <c r="BJ1257" s="742" t="s">
        <v>159</v>
      </c>
      <c r="BK1257" s="743"/>
      <c r="BL1257" s="743"/>
      <c r="BM1257" s="744"/>
      <c r="BN1257" s="703" t="s">
        <v>159</v>
      </c>
      <c r="BO1257" s="704"/>
      <c r="BP1257" s="704"/>
      <c r="BQ1257" s="704"/>
      <c r="BR1257" s="704"/>
      <c r="BS1257" s="704"/>
      <c r="BT1257" s="704"/>
      <c r="BU1257" s="704"/>
      <c r="BV1257" s="705"/>
    </row>
    <row r="1258" spans="1:74" ht="45" customHeight="1" x14ac:dyDescent="0.25">
      <c r="A1258" s="10">
        <f t="shared" si="19"/>
        <v>1244</v>
      </c>
      <c r="B1258" s="662" t="s">
        <v>159</v>
      </c>
      <c r="C1258" s="662"/>
      <c r="D1258" s="663" t="s">
        <v>212</v>
      </c>
      <c r="E1258" s="663"/>
      <c r="F1258" s="664" t="s">
        <v>162</v>
      </c>
      <c r="G1258" s="665"/>
      <c r="H1258" s="754" t="s">
        <v>162</v>
      </c>
      <c r="I1258" s="714"/>
      <c r="J1258" s="715"/>
      <c r="K1258" s="716"/>
      <c r="L1258" s="715"/>
      <c r="M1258" s="716"/>
      <c r="N1258" s="194"/>
      <c r="O1258" s="196"/>
      <c r="P1258" s="717"/>
      <c r="Q1258" s="718"/>
      <c r="R1258" s="672"/>
      <c r="S1258" s="673"/>
      <c r="T1258" s="674"/>
      <c r="U1258" s="675"/>
      <c r="V1258" s="676"/>
      <c r="W1258" s="677"/>
      <c r="X1258" s="678" t="s">
        <v>159</v>
      </c>
      <c r="Y1258" s="678"/>
      <c r="Z1258" s="678"/>
      <c r="AA1258" s="678"/>
      <c r="AB1258" s="679" t="s">
        <v>159</v>
      </c>
      <c r="AC1258" s="679"/>
      <c r="AD1258" s="679"/>
      <c r="AE1258" s="679"/>
      <c r="AF1258" s="680"/>
      <c r="AG1258" s="681"/>
      <c r="AH1258" s="680"/>
      <c r="AI1258" s="681"/>
      <c r="AJ1258" s="682"/>
      <c r="AK1258" s="683"/>
      <c r="AL1258" s="684" t="s">
        <v>162</v>
      </c>
      <c r="AM1258" s="685"/>
      <c r="AN1258" s="666" t="s">
        <v>162</v>
      </c>
      <c r="AO1258" s="667"/>
      <c r="AP1258" s="686"/>
      <c r="AQ1258" s="687"/>
      <c r="AR1258" s="688"/>
      <c r="AS1258" s="689"/>
      <c r="AT1258" s="690"/>
      <c r="AU1258" s="691"/>
      <c r="AV1258" s="666" t="s">
        <v>162</v>
      </c>
      <c r="AW1258" s="667"/>
      <c r="AX1258" s="692"/>
      <c r="AY1258" s="693"/>
      <c r="AZ1258" s="694"/>
      <c r="BA1258" s="682"/>
      <c r="BB1258" s="683"/>
      <c r="BC1258" s="14"/>
      <c r="BD1258" s="695" t="s">
        <v>162</v>
      </c>
      <c r="BE1258" s="696"/>
      <c r="BF1258" s="708"/>
      <c r="BG1258" s="709"/>
      <c r="BH1258" s="709"/>
      <c r="BI1258" s="710"/>
      <c r="BJ1258" s="700" t="s">
        <v>159</v>
      </c>
      <c r="BK1258" s="701"/>
      <c r="BL1258" s="701"/>
      <c r="BM1258" s="702"/>
      <c r="BN1258" s="703" t="s">
        <v>159</v>
      </c>
      <c r="BO1258" s="704"/>
      <c r="BP1258" s="704"/>
      <c r="BQ1258" s="704"/>
      <c r="BR1258" s="704"/>
      <c r="BS1258" s="704"/>
      <c r="BT1258" s="704"/>
      <c r="BU1258" s="704"/>
      <c r="BV1258" s="705"/>
    </row>
    <row r="1259" spans="1:74" ht="45" customHeight="1" x14ac:dyDescent="0.25">
      <c r="A1259" s="10">
        <f t="shared" si="19"/>
        <v>1245</v>
      </c>
      <c r="B1259" s="711" t="s">
        <v>159</v>
      </c>
      <c r="C1259" s="711"/>
      <c r="D1259" s="712" t="s">
        <v>212</v>
      </c>
      <c r="E1259" s="712"/>
      <c r="F1259" s="664" t="s">
        <v>162</v>
      </c>
      <c r="G1259" s="665"/>
      <c r="H1259" s="755" t="s">
        <v>162</v>
      </c>
      <c r="I1259" s="667"/>
      <c r="J1259" s="706"/>
      <c r="K1259" s="707"/>
      <c r="L1259" s="706"/>
      <c r="M1259" s="707"/>
      <c r="N1259" s="215"/>
      <c r="O1259" s="216"/>
      <c r="P1259" s="670"/>
      <c r="Q1259" s="671"/>
      <c r="R1259" s="719"/>
      <c r="S1259" s="720"/>
      <c r="T1259" s="721"/>
      <c r="U1259" s="722"/>
      <c r="V1259" s="723"/>
      <c r="W1259" s="724"/>
      <c r="X1259" s="725" t="s">
        <v>159</v>
      </c>
      <c r="Y1259" s="725"/>
      <c r="Z1259" s="725"/>
      <c r="AA1259" s="725"/>
      <c r="AB1259" s="726" t="s">
        <v>159</v>
      </c>
      <c r="AC1259" s="726"/>
      <c r="AD1259" s="726"/>
      <c r="AE1259" s="726"/>
      <c r="AF1259" s="727"/>
      <c r="AG1259" s="728"/>
      <c r="AH1259" s="727"/>
      <c r="AI1259" s="728"/>
      <c r="AJ1259" s="682"/>
      <c r="AK1259" s="683"/>
      <c r="AL1259" s="664" t="s">
        <v>162</v>
      </c>
      <c r="AM1259" s="665"/>
      <c r="AN1259" s="713" t="s">
        <v>162</v>
      </c>
      <c r="AO1259" s="714"/>
      <c r="AP1259" s="729"/>
      <c r="AQ1259" s="730"/>
      <c r="AR1259" s="731"/>
      <c r="AS1259" s="732"/>
      <c r="AT1259" s="733"/>
      <c r="AU1259" s="734"/>
      <c r="AV1259" s="713" t="s">
        <v>162</v>
      </c>
      <c r="AW1259" s="714"/>
      <c r="AX1259" s="692"/>
      <c r="AY1259" s="693"/>
      <c r="AZ1259" s="694"/>
      <c r="BA1259" s="735"/>
      <c r="BB1259" s="736"/>
      <c r="BC1259" s="219"/>
      <c r="BD1259" s="737" t="s">
        <v>162</v>
      </c>
      <c r="BE1259" s="738"/>
      <c r="BF1259" s="739"/>
      <c r="BG1259" s="740"/>
      <c r="BH1259" s="740"/>
      <c r="BI1259" s="741"/>
      <c r="BJ1259" s="742" t="s">
        <v>159</v>
      </c>
      <c r="BK1259" s="743"/>
      <c r="BL1259" s="743"/>
      <c r="BM1259" s="744"/>
      <c r="BN1259" s="703" t="s">
        <v>159</v>
      </c>
      <c r="BO1259" s="704"/>
      <c r="BP1259" s="704"/>
      <c r="BQ1259" s="704"/>
      <c r="BR1259" s="704"/>
      <c r="BS1259" s="704"/>
      <c r="BT1259" s="704"/>
      <c r="BU1259" s="704"/>
      <c r="BV1259" s="705"/>
    </row>
    <row r="1260" spans="1:74" ht="45" customHeight="1" x14ac:dyDescent="0.25">
      <c r="A1260" s="10">
        <f t="shared" si="19"/>
        <v>1246</v>
      </c>
      <c r="B1260" s="662" t="s">
        <v>159</v>
      </c>
      <c r="C1260" s="662"/>
      <c r="D1260" s="663" t="s">
        <v>212</v>
      </c>
      <c r="E1260" s="663"/>
      <c r="F1260" s="664" t="s">
        <v>162</v>
      </c>
      <c r="G1260" s="665"/>
      <c r="H1260" s="754" t="s">
        <v>162</v>
      </c>
      <c r="I1260" s="714"/>
      <c r="J1260" s="715"/>
      <c r="K1260" s="716"/>
      <c r="L1260" s="715"/>
      <c r="M1260" s="716"/>
      <c r="N1260" s="194"/>
      <c r="O1260" s="196"/>
      <c r="P1260" s="717"/>
      <c r="Q1260" s="718"/>
      <c r="R1260" s="672"/>
      <c r="S1260" s="673"/>
      <c r="T1260" s="674"/>
      <c r="U1260" s="675"/>
      <c r="V1260" s="676"/>
      <c r="W1260" s="677"/>
      <c r="X1260" s="678" t="s">
        <v>159</v>
      </c>
      <c r="Y1260" s="678"/>
      <c r="Z1260" s="678"/>
      <c r="AA1260" s="678"/>
      <c r="AB1260" s="679" t="s">
        <v>159</v>
      </c>
      <c r="AC1260" s="679"/>
      <c r="AD1260" s="679"/>
      <c r="AE1260" s="679"/>
      <c r="AF1260" s="680"/>
      <c r="AG1260" s="681"/>
      <c r="AH1260" s="680"/>
      <c r="AI1260" s="681"/>
      <c r="AJ1260" s="682"/>
      <c r="AK1260" s="683"/>
      <c r="AL1260" s="684" t="s">
        <v>162</v>
      </c>
      <c r="AM1260" s="685"/>
      <c r="AN1260" s="666" t="s">
        <v>162</v>
      </c>
      <c r="AO1260" s="667"/>
      <c r="AP1260" s="686"/>
      <c r="AQ1260" s="687"/>
      <c r="AR1260" s="688"/>
      <c r="AS1260" s="689"/>
      <c r="AT1260" s="690"/>
      <c r="AU1260" s="691"/>
      <c r="AV1260" s="666" t="s">
        <v>162</v>
      </c>
      <c r="AW1260" s="667"/>
      <c r="AX1260" s="692"/>
      <c r="AY1260" s="693"/>
      <c r="AZ1260" s="694"/>
      <c r="BA1260" s="682"/>
      <c r="BB1260" s="683"/>
      <c r="BC1260" s="14"/>
      <c r="BD1260" s="695" t="s">
        <v>162</v>
      </c>
      <c r="BE1260" s="696"/>
      <c r="BF1260" s="697"/>
      <c r="BG1260" s="698"/>
      <c r="BH1260" s="698"/>
      <c r="BI1260" s="699"/>
      <c r="BJ1260" s="700" t="s">
        <v>159</v>
      </c>
      <c r="BK1260" s="701"/>
      <c r="BL1260" s="701"/>
      <c r="BM1260" s="702"/>
      <c r="BN1260" s="703" t="s">
        <v>159</v>
      </c>
      <c r="BO1260" s="704"/>
      <c r="BP1260" s="704"/>
      <c r="BQ1260" s="704"/>
      <c r="BR1260" s="704"/>
      <c r="BS1260" s="704"/>
      <c r="BT1260" s="704"/>
      <c r="BU1260" s="704"/>
      <c r="BV1260" s="705"/>
    </row>
    <row r="1261" spans="1:74" ht="45" customHeight="1" x14ac:dyDescent="0.25">
      <c r="A1261" s="10">
        <f t="shared" si="19"/>
        <v>1247</v>
      </c>
      <c r="B1261" s="711" t="s">
        <v>159</v>
      </c>
      <c r="C1261" s="711"/>
      <c r="D1261" s="712" t="s">
        <v>212</v>
      </c>
      <c r="E1261" s="712"/>
      <c r="F1261" s="664" t="s">
        <v>162</v>
      </c>
      <c r="G1261" s="665"/>
      <c r="H1261" s="755" t="s">
        <v>162</v>
      </c>
      <c r="I1261" s="667"/>
      <c r="J1261" s="706"/>
      <c r="K1261" s="707"/>
      <c r="L1261" s="706"/>
      <c r="M1261" s="707"/>
      <c r="N1261" s="215"/>
      <c r="O1261" s="216"/>
      <c r="P1261" s="670"/>
      <c r="Q1261" s="671"/>
      <c r="R1261" s="719"/>
      <c r="S1261" s="720"/>
      <c r="T1261" s="721"/>
      <c r="U1261" s="722"/>
      <c r="V1261" s="723"/>
      <c r="W1261" s="724"/>
      <c r="X1261" s="725" t="s">
        <v>159</v>
      </c>
      <c r="Y1261" s="725"/>
      <c r="Z1261" s="725"/>
      <c r="AA1261" s="725"/>
      <c r="AB1261" s="726" t="s">
        <v>159</v>
      </c>
      <c r="AC1261" s="726"/>
      <c r="AD1261" s="726"/>
      <c r="AE1261" s="726"/>
      <c r="AF1261" s="727"/>
      <c r="AG1261" s="728"/>
      <c r="AH1261" s="727"/>
      <c r="AI1261" s="728"/>
      <c r="AJ1261" s="682"/>
      <c r="AK1261" s="683"/>
      <c r="AL1261" s="664" t="s">
        <v>162</v>
      </c>
      <c r="AM1261" s="665"/>
      <c r="AN1261" s="713" t="s">
        <v>162</v>
      </c>
      <c r="AO1261" s="714"/>
      <c r="AP1261" s="729"/>
      <c r="AQ1261" s="730"/>
      <c r="AR1261" s="731"/>
      <c r="AS1261" s="732"/>
      <c r="AT1261" s="733"/>
      <c r="AU1261" s="734"/>
      <c r="AV1261" s="713" t="s">
        <v>162</v>
      </c>
      <c r="AW1261" s="714"/>
      <c r="AX1261" s="692"/>
      <c r="AY1261" s="693"/>
      <c r="AZ1261" s="694"/>
      <c r="BA1261" s="735"/>
      <c r="BB1261" s="736"/>
      <c r="BC1261" s="219"/>
      <c r="BD1261" s="737" t="s">
        <v>162</v>
      </c>
      <c r="BE1261" s="738"/>
      <c r="BF1261" s="739"/>
      <c r="BG1261" s="740"/>
      <c r="BH1261" s="740"/>
      <c r="BI1261" s="741"/>
      <c r="BJ1261" s="742" t="s">
        <v>159</v>
      </c>
      <c r="BK1261" s="743"/>
      <c r="BL1261" s="743"/>
      <c r="BM1261" s="744"/>
      <c r="BN1261" s="703" t="s">
        <v>159</v>
      </c>
      <c r="BO1261" s="704"/>
      <c r="BP1261" s="704"/>
      <c r="BQ1261" s="704"/>
      <c r="BR1261" s="704"/>
      <c r="BS1261" s="704"/>
      <c r="BT1261" s="704"/>
      <c r="BU1261" s="704"/>
      <c r="BV1261" s="705"/>
    </row>
    <row r="1262" spans="1:74" ht="45" customHeight="1" x14ac:dyDescent="0.25">
      <c r="A1262" s="10">
        <f t="shared" si="19"/>
        <v>1248</v>
      </c>
      <c r="B1262" s="662" t="s">
        <v>159</v>
      </c>
      <c r="C1262" s="662"/>
      <c r="D1262" s="663" t="s">
        <v>212</v>
      </c>
      <c r="E1262" s="663"/>
      <c r="F1262" s="664" t="s">
        <v>162</v>
      </c>
      <c r="G1262" s="665"/>
      <c r="H1262" s="754" t="s">
        <v>162</v>
      </c>
      <c r="I1262" s="714"/>
      <c r="J1262" s="715"/>
      <c r="K1262" s="716"/>
      <c r="L1262" s="715"/>
      <c r="M1262" s="716"/>
      <c r="N1262" s="215"/>
      <c r="O1262" s="216"/>
      <c r="P1262" s="670"/>
      <c r="Q1262" s="671"/>
      <c r="R1262" s="719"/>
      <c r="S1262" s="720"/>
      <c r="T1262" s="721"/>
      <c r="U1262" s="722"/>
      <c r="V1262" s="676"/>
      <c r="W1262" s="677"/>
      <c r="X1262" s="678" t="s">
        <v>159</v>
      </c>
      <c r="Y1262" s="678"/>
      <c r="Z1262" s="678"/>
      <c r="AA1262" s="678"/>
      <c r="AB1262" s="679" t="s">
        <v>159</v>
      </c>
      <c r="AC1262" s="679"/>
      <c r="AD1262" s="679"/>
      <c r="AE1262" s="679"/>
      <c r="AF1262" s="680"/>
      <c r="AG1262" s="681"/>
      <c r="AH1262" s="680"/>
      <c r="AI1262" s="681"/>
      <c r="AJ1262" s="682"/>
      <c r="AK1262" s="683"/>
      <c r="AL1262" s="684" t="s">
        <v>162</v>
      </c>
      <c r="AM1262" s="685"/>
      <c r="AN1262" s="666" t="s">
        <v>162</v>
      </c>
      <c r="AO1262" s="667"/>
      <c r="AP1262" s="686"/>
      <c r="AQ1262" s="687"/>
      <c r="AR1262" s="688"/>
      <c r="AS1262" s="689"/>
      <c r="AT1262" s="690"/>
      <c r="AU1262" s="691"/>
      <c r="AV1262" s="666" t="s">
        <v>162</v>
      </c>
      <c r="AW1262" s="667"/>
      <c r="AX1262" s="692"/>
      <c r="AY1262" s="693"/>
      <c r="AZ1262" s="694"/>
      <c r="BA1262" s="682"/>
      <c r="BB1262" s="683"/>
      <c r="BC1262" s="14"/>
      <c r="BD1262" s="695" t="s">
        <v>162</v>
      </c>
      <c r="BE1262" s="696"/>
      <c r="BF1262" s="697"/>
      <c r="BG1262" s="698"/>
      <c r="BH1262" s="698"/>
      <c r="BI1262" s="699"/>
      <c r="BJ1262" s="700" t="s">
        <v>159</v>
      </c>
      <c r="BK1262" s="701"/>
      <c r="BL1262" s="701"/>
      <c r="BM1262" s="702"/>
      <c r="BN1262" s="703" t="s">
        <v>159</v>
      </c>
      <c r="BO1262" s="704"/>
      <c r="BP1262" s="704"/>
      <c r="BQ1262" s="704"/>
      <c r="BR1262" s="704"/>
      <c r="BS1262" s="704"/>
      <c r="BT1262" s="704"/>
      <c r="BU1262" s="704"/>
      <c r="BV1262" s="705"/>
    </row>
    <row r="1263" spans="1:74" ht="45" customHeight="1" x14ac:dyDescent="0.25">
      <c r="A1263" s="10">
        <f t="shared" si="19"/>
        <v>1249</v>
      </c>
      <c r="B1263" s="711" t="s">
        <v>159</v>
      </c>
      <c r="C1263" s="711"/>
      <c r="D1263" s="712" t="s">
        <v>212</v>
      </c>
      <c r="E1263" s="712"/>
      <c r="F1263" s="664" t="s">
        <v>162</v>
      </c>
      <c r="G1263" s="665"/>
      <c r="H1263" s="755" t="s">
        <v>162</v>
      </c>
      <c r="I1263" s="667"/>
      <c r="J1263" s="706"/>
      <c r="K1263" s="707"/>
      <c r="L1263" s="706"/>
      <c r="M1263" s="707"/>
      <c r="N1263" s="194"/>
      <c r="O1263" s="196"/>
      <c r="P1263" s="717"/>
      <c r="Q1263" s="718"/>
      <c r="R1263" s="672"/>
      <c r="S1263" s="673"/>
      <c r="T1263" s="674"/>
      <c r="U1263" s="675"/>
      <c r="V1263" s="723"/>
      <c r="W1263" s="724"/>
      <c r="X1263" s="725" t="s">
        <v>159</v>
      </c>
      <c r="Y1263" s="725"/>
      <c r="Z1263" s="725"/>
      <c r="AA1263" s="725"/>
      <c r="AB1263" s="726" t="s">
        <v>159</v>
      </c>
      <c r="AC1263" s="726"/>
      <c r="AD1263" s="726"/>
      <c r="AE1263" s="726"/>
      <c r="AF1263" s="727"/>
      <c r="AG1263" s="728"/>
      <c r="AH1263" s="727"/>
      <c r="AI1263" s="728"/>
      <c r="AJ1263" s="682"/>
      <c r="AK1263" s="683"/>
      <c r="AL1263" s="664" t="s">
        <v>162</v>
      </c>
      <c r="AM1263" s="665"/>
      <c r="AN1263" s="713" t="s">
        <v>162</v>
      </c>
      <c r="AO1263" s="714"/>
      <c r="AP1263" s="729"/>
      <c r="AQ1263" s="730"/>
      <c r="AR1263" s="731"/>
      <c r="AS1263" s="732"/>
      <c r="AT1263" s="733"/>
      <c r="AU1263" s="734"/>
      <c r="AV1263" s="713" t="s">
        <v>162</v>
      </c>
      <c r="AW1263" s="714"/>
      <c r="AX1263" s="692"/>
      <c r="AY1263" s="693"/>
      <c r="AZ1263" s="694"/>
      <c r="BA1263" s="735"/>
      <c r="BB1263" s="736"/>
      <c r="BC1263" s="219"/>
      <c r="BD1263" s="737" t="s">
        <v>162</v>
      </c>
      <c r="BE1263" s="738"/>
      <c r="BF1263" s="739"/>
      <c r="BG1263" s="740"/>
      <c r="BH1263" s="740"/>
      <c r="BI1263" s="741"/>
      <c r="BJ1263" s="742" t="s">
        <v>159</v>
      </c>
      <c r="BK1263" s="743"/>
      <c r="BL1263" s="743"/>
      <c r="BM1263" s="744"/>
      <c r="BN1263" s="703" t="s">
        <v>159</v>
      </c>
      <c r="BO1263" s="704"/>
      <c r="BP1263" s="704"/>
      <c r="BQ1263" s="704"/>
      <c r="BR1263" s="704"/>
      <c r="BS1263" s="704"/>
      <c r="BT1263" s="704"/>
      <c r="BU1263" s="704"/>
      <c r="BV1263" s="705"/>
    </row>
    <row r="1264" spans="1:74" ht="45" customHeight="1" x14ac:dyDescent="0.25">
      <c r="A1264" s="10">
        <f t="shared" si="19"/>
        <v>1250</v>
      </c>
      <c r="B1264" s="662" t="s">
        <v>159</v>
      </c>
      <c r="C1264" s="662"/>
      <c r="D1264" s="663" t="s">
        <v>212</v>
      </c>
      <c r="E1264" s="663"/>
      <c r="F1264" s="664" t="s">
        <v>162</v>
      </c>
      <c r="G1264" s="665"/>
      <c r="H1264" s="754" t="s">
        <v>162</v>
      </c>
      <c r="I1264" s="714"/>
      <c r="J1264" s="715"/>
      <c r="K1264" s="716"/>
      <c r="L1264" s="715"/>
      <c r="M1264" s="716"/>
      <c r="N1264" s="215"/>
      <c r="O1264" s="216"/>
      <c r="P1264" s="670"/>
      <c r="Q1264" s="671"/>
      <c r="R1264" s="719"/>
      <c r="S1264" s="720"/>
      <c r="T1264" s="721"/>
      <c r="U1264" s="722"/>
      <c r="V1264" s="676"/>
      <c r="W1264" s="677"/>
      <c r="X1264" s="678" t="s">
        <v>159</v>
      </c>
      <c r="Y1264" s="678"/>
      <c r="Z1264" s="678"/>
      <c r="AA1264" s="678"/>
      <c r="AB1264" s="679" t="s">
        <v>159</v>
      </c>
      <c r="AC1264" s="679"/>
      <c r="AD1264" s="679"/>
      <c r="AE1264" s="679"/>
      <c r="AF1264" s="680"/>
      <c r="AG1264" s="681"/>
      <c r="AH1264" s="680"/>
      <c r="AI1264" s="681"/>
      <c r="AJ1264" s="682"/>
      <c r="AK1264" s="683"/>
      <c r="AL1264" s="684" t="s">
        <v>162</v>
      </c>
      <c r="AM1264" s="685"/>
      <c r="AN1264" s="666" t="s">
        <v>162</v>
      </c>
      <c r="AO1264" s="667"/>
      <c r="AP1264" s="686"/>
      <c r="AQ1264" s="687"/>
      <c r="AR1264" s="688"/>
      <c r="AS1264" s="689"/>
      <c r="AT1264" s="690"/>
      <c r="AU1264" s="691"/>
      <c r="AV1264" s="666" t="s">
        <v>162</v>
      </c>
      <c r="AW1264" s="667"/>
      <c r="AX1264" s="692"/>
      <c r="AY1264" s="693"/>
      <c r="AZ1264" s="694"/>
      <c r="BA1264" s="682"/>
      <c r="BB1264" s="683"/>
      <c r="BC1264" s="14"/>
      <c r="BD1264" s="695" t="s">
        <v>162</v>
      </c>
      <c r="BE1264" s="696"/>
      <c r="BF1264" s="708"/>
      <c r="BG1264" s="709"/>
      <c r="BH1264" s="709"/>
      <c r="BI1264" s="710"/>
      <c r="BJ1264" s="700" t="s">
        <v>159</v>
      </c>
      <c r="BK1264" s="701"/>
      <c r="BL1264" s="701"/>
      <c r="BM1264" s="702"/>
      <c r="BN1264" s="703" t="s">
        <v>159</v>
      </c>
      <c r="BO1264" s="704"/>
      <c r="BP1264" s="704"/>
      <c r="BQ1264" s="704"/>
      <c r="BR1264" s="704"/>
      <c r="BS1264" s="704"/>
      <c r="BT1264" s="704"/>
      <c r="BU1264" s="704"/>
      <c r="BV1264" s="705"/>
    </row>
    <row r="1265" spans="1:74" ht="45" customHeight="1" x14ac:dyDescent="0.25">
      <c r="A1265" s="10">
        <f t="shared" si="19"/>
        <v>1251</v>
      </c>
      <c r="B1265" s="711" t="s">
        <v>159</v>
      </c>
      <c r="C1265" s="711"/>
      <c r="D1265" s="712" t="s">
        <v>212</v>
      </c>
      <c r="E1265" s="712"/>
      <c r="F1265" s="664" t="s">
        <v>162</v>
      </c>
      <c r="G1265" s="665"/>
      <c r="H1265" s="755" t="s">
        <v>162</v>
      </c>
      <c r="I1265" s="667"/>
      <c r="J1265" s="706"/>
      <c r="K1265" s="707"/>
      <c r="L1265" s="706"/>
      <c r="M1265" s="707"/>
      <c r="N1265" s="194"/>
      <c r="O1265" s="196"/>
      <c r="P1265" s="717"/>
      <c r="Q1265" s="718"/>
      <c r="R1265" s="672"/>
      <c r="S1265" s="673"/>
      <c r="T1265" s="674"/>
      <c r="U1265" s="675"/>
      <c r="V1265" s="723"/>
      <c r="W1265" s="724"/>
      <c r="X1265" s="725" t="s">
        <v>159</v>
      </c>
      <c r="Y1265" s="725"/>
      <c r="Z1265" s="725"/>
      <c r="AA1265" s="725"/>
      <c r="AB1265" s="726" t="s">
        <v>159</v>
      </c>
      <c r="AC1265" s="726"/>
      <c r="AD1265" s="726"/>
      <c r="AE1265" s="726"/>
      <c r="AF1265" s="727"/>
      <c r="AG1265" s="728"/>
      <c r="AH1265" s="727"/>
      <c r="AI1265" s="728"/>
      <c r="AJ1265" s="682"/>
      <c r="AK1265" s="683"/>
      <c r="AL1265" s="664" t="s">
        <v>162</v>
      </c>
      <c r="AM1265" s="665"/>
      <c r="AN1265" s="713" t="s">
        <v>162</v>
      </c>
      <c r="AO1265" s="714"/>
      <c r="AP1265" s="729"/>
      <c r="AQ1265" s="730"/>
      <c r="AR1265" s="731"/>
      <c r="AS1265" s="732"/>
      <c r="AT1265" s="733"/>
      <c r="AU1265" s="734"/>
      <c r="AV1265" s="713" t="s">
        <v>162</v>
      </c>
      <c r="AW1265" s="714"/>
      <c r="AX1265" s="692"/>
      <c r="AY1265" s="693"/>
      <c r="AZ1265" s="694"/>
      <c r="BA1265" s="735"/>
      <c r="BB1265" s="736"/>
      <c r="BC1265" s="219"/>
      <c r="BD1265" s="737" t="s">
        <v>162</v>
      </c>
      <c r="BE1265" s="738"/>
      <c r="BF1265" s="739"/>
      <c r="BG1265" s="740"/>
      <c r="BH1265" s="740"/>
      <c r="BI1265" s="741"/>
      <c r="BJ1265" s="742" t="s">
        <v>159</v>
      </c>
      <c r="BK1265" s="743"/>
      <c r="BL1265" s="743"/>
      <c r="BM1265" s="744"/>
      <c r="BN1265" s="703" t="s">
        <v>159</v>
      </c>
      <c r="BO1265" s="704"/>
      <c r="BP1265" s="704"/>
      <c r="BQ1265" s="704"/>
      <c r="BR1265" s="704"/>
      <c r="BS1265" s="704"/>
      <c r="BT1265" s="704"/>
      <c r="BU1265" s="704"/>
      <c r="BV1265" s="705"/>
    </row>
    <row r="1266" spans="1:74" ht="45" customHeight="1" x14ac:dyDescent="0.25">
      <c r="A1266" s="10">
        <f t="shared" si="19"/>
        <v>1252</v>
      </c>
      <c r="B1266" s="662" t="s">
        <v>159</v>
      </c>
      <c r="C1266" s="662"/>
      <c r="D1266" s="663" t="s">
        <v>212</v>
      </c>
      <c r="E1266" s="663"/>
      <c r="F1266" s="664" t="s">
        <v>162</v>
      </c>
      <c r="G1266" s="665"/>
      <c r="H1266" s="754" t="s">
        <v>162</v>
      </c>
      <c r="I1266" s="714"/>
      <c r="J1266" s="715"/>
      <c r="K1266" s="716"/>
      <c r="L1266" s="715"/>
      <c r="M1266" s="716"/>
      <c r="N1266" s="215"/>
      <c r="O1266" s="216"/>
      <c r="P1266" s="670"/>
      <c r="Q1266" s="671"/>
      <c r="R1266" s="719"/>
      <c r="S1266" s="720"/>
      <c r="T1266" s="721"/>
      <c r="U1266" s="722"/>
      <c r="V1266" s="676"/>
      <c r="W1266" s="677"/>
      <c r="X1266" s="678" t="s">
        <v>159</v>
      </c>
      <c r="Y1266" s="678"/>
      <c r="Z1266" s="678"/>
      <c r="AA1266" s="678"/>
      <c r="AB1266" s="679" t="s">
        <v>159</v>
      </c>
      <c r="AC1266" s="679"/>
      <c r="AD1266" s="679"/>
      <c r="AE1266" s="679"/>
      <c r="AF1266" s="680"/>
      <c r="AG1266" s="681"/>
      <c r="AH1266" s="680"/>
      <c r="AI1266" s="681"/>
      <c r="AJ1266" s="682"/>
      <c r="AK1266" s="683"/>
      <c r="AL1266" s="684" t="s">
        <v>162</v>
      </c>
      <c r="AM1266" s="685"/>
      <c r="AN1266" s="666" t="s">
        <v>162</v>
      </c>
      <c r="AO1266" s="667"/>
      <c r="AP1266" s="686"/>
      <c r="AQ1266" s="687"/>
      <c r="AR1266" s="688"/>
      <c r="AS1266" s="689"/>
      <c r="AT1266" s="690"/>
      <c r="AU1266" s="691"/>
      <c r="AV1266" s="666" t="s">
        <v>162</v>
      </c>
      <c r="AW1266" s="667"/>
      <c r="AX1266" s="692"/>
      <c r="AY1266" s="693"/>
      <c r="AZ1266" s="694"/>
      <c r="BA1266" s="682"/>
      <c r="BB1266" s="683"/>
      <c r="BC1266" s="14"/>
      <c r="BD1266" s="695" t="s">
        <v>162</v>
      </c>
      <c r="BE1266" s="696"/>
      <c r="BF1266" s="697"/>
      <c r="BG1266" s="698"/>
      <c r="BH1266" s="698"/>
      <c r="BI1266" s="699"/>
      <c r="BJ1266" s="700" t="s">
        <v>159</v>
      </c>
      <c r="BK1266" s="701"/>
      <c r="BL1266" s="701"/>
      <c r="BM1266" s="702"/>
      <c r="BN1266" s="703" t="s">
        <v>159</v>
      </c>
      <c r="BO1266" s="704"/>
      <c r="BP1266" s="704"/>
      <c r="BQ1266" s="704"/>
      <c r="BR1266" s="704"/>
      <c r="BS1266" s="704"/>
      <c r="BT1266" s="704"/>
      <c r="BU1266" s="704"/>
      <c r="BV1266" s="705"/>
    </row>
    <row r="1267" spans="1:74" ht="45" customHeight="1" x14ac:dyDescent="0.25">
      <c r="A1267" s="10">
        <f t="shared" si="19"/>
        <v>1253</v>
      </c>
      <c r="B1267" s="711" t="s">
        <v>159</v>
      </c>
      <c r="C1267" s="711"/>
      <c r="D1267" s="712" t="s">
        <v>212</v>
      </c>
      <c r="E1267" s="712"/>
      <c r="F1267" s="664" t="s">
        <v>162</v>
      </c>
      <c r="G1267" s="665"/>
      <c r="H1267" s="755" t="s">
        <v>162</v>
      </c>
      <c r="I1267" s="667"/>
      <c r="J1267" s="706"/>
      <c r="K1267" s="707"/>
      <c r="L1267" s="706"/>
      <c r="M1267" s="707"/>
      <c r="N1267" s="194"/>
      <c r="O1267" s="196"/>
      <c r="P1267" s="717"/>
      <c r="Q1267" s="718"/>
      <c r="R1267" s="672"/>
      <c r="S1267" s="673"/>
      <c r="T1267" s="674"/>
      <c r="U1267" s="675"/>
      <c r="V1267" s="723"/>
      <c r="W1267" s="724"/>
      <c r="X1267" s="725" t="s">
        <v>159</v>
      </c>
      <c r="Y1267" s="725"/>
      <c r="Z1267" s="725"/>
      <c r="AA1267" s="725"/>
      <c r="AB1267" s="726" t="s">
        <v>159</v>
      </c>
      <c r="AC1267" s="726"/>
      <c r="AD1267" s="726"/>
      <c r="AE1267" s="726"/>
      <c r="AF1267" s="727"/>
      <c r="AG1267" s="728"/>
      <c r="AH1267" s="727"/>
      <c r="AI1267" s="728"/>
      <c r="AJ1267" s="682"/>
      <c r="AK1267" s="683"/>
      <c r="AL1267" s="664" t="s">
        <v>162</v>
      </c>
      <c r="AM1267" s="665"/>
      <c r="AN1267" s="713" t="s">
        <v>162</v>
      </c>
      <c r="AO1267" s="714"/>
      <c r="AP1267" s="729"/>
      <c r="AQ1267" s="730"/>
      <c r="AR1267" s="731"/>
      <c r="AS1267" s="732"/>
      <c r="AT1267" s="690"/>
      <c r="AU1267" s="691"/>
      <c r="AV1267" s="713" t="s">
        <v>162</v>
      </c>
      <c r="AW1267" s="714"/>
      <c r="AX1267" s="692"/>
      <c r="AY1267" s="693"/>
      <c r="AZ1267" s="694"/>
      <c r="BA1267" s="735"/>
      <c r="BB1267" s="736"/>
      <c r="BC1267" s="219"/>
      <c r="BD1267" s="737" t="s">
        <v>162</v>
      </c>
      <c r="BE1267" s="738"/>
      <c r="BF1267" s="739"/>
      <c r="BG1267" s="740"/>
      <c r="BH1267" s="740"/>
      <c r="BI1267" s="741"/>
      <c r="BJ1267" s="742" t="s">
        <v>159</v>
      </c>
      <c r="BK1267" s="743"/>
      <c r="BL1267" s="743"/>
      <c r="BM1267" s="744"/>
      <c r="BN1267" s="703" t="s">
        <v>159</v>
      </c>
      <c r="BO1267" s="704"/>
      <c r="BP1267" s="704"/>
      <c r="BQ1267" s="704"/>
      <c r="BR1267" s="704"/>
      <c r="BS1267" s="704"/>
      <c r="BT1267" s="704"/>
      <c r="BU1267" s="704"/>
      <c r="BV1267" s="705"/>
    </row>
    <row r="1268" spans="1:74" ht="45" customHeight="1" x14ac:dyDescent="0.25">
      <c r="A1268" s="10">
        <f t="shared" si="19"/>
        <v>1254</v>
      </c>
      <c r="B1268" s="662" t="s">
        <v>159</v>
      </c>
      <c r="C1268" s="662"/>
      <c r="D1268" s="663" t="s">
        <v>212</v>
      </c>
      <c r="E1268" s="663"/>
      <c r="F1268" s="664" t="s">
        <v>162</v>
      </c>
      <c r="G1268" s="665"/>
      <c r="H1268" s="754" t="s">
        <v>162</v>
      </c>
      <c r="I1268" s="714"/>
      <c r="J1268" s="715"/>
      <c r="K1268" s="716"/>
      <c r="L1268" s="715"/>
      <c r="M1268" s="716"/>
      <c r="N1268" s="215"/>
      <c r="O1268" s="216"/>
      <c r="P1268" s="670"/>
      <c r="Q1268" s="671"/>
      <c r="R1268" s="719"/>
      <c r="S1268" s="720"/>
      <c r="T1268" s="721"/>
      <c r="U1268" s="722"/>
      <c r="V1268" s="676"/>
      <c r="W1268" s="677"/>
      <c r="X1268" s="678" t="s">
        <v>159</v>
      </c>
      <c r="Y1268" s="678"/>
      <c r="Z1268" s="678"/>
      <c r="AA1268" s="678"/>
      <c r="AB1268" s="679" t="s">
        <v>159</v>
      </c>
      <c r="AC1268" s="679"/>
      <c r="AD1268" s="679"/>
      <c r="AE1268" s="679"/>
      <c r="AF1268" s="680"/>
      <c r="AG1268" s="681"/>
      <c r="AH1268" s="680"/>
      <c r="AI1268" s="681"/>
      <c r="AJ1268" s="682"/>
      <c r="AK1268" s="683"/>
      <c r="AL1268" s="684" t="s">
        <v>162</v>
      </c>
      <c r="AM1268" s="685"/>
      <c r="AN1268" s="666" t="s">
        <v>162</v>
      </c>
      <c r="AO1268" s="667"/>
      <c r="AP1268" s="686"/>
      <c r="AQ1268" s="687"/>
      <c r="AR1268" s="688"/>
      <c r="AS1268" s="689"/>
      <c r="AT1268" s="690"/>
      <c r="AU1268" s="691"/>
      <c r="AV1268" s="666" t="s">
        <v>162</v>
      </c>
      <c r="AW1268" s="667"/>
      <c r="AX1268" s="692"/>
      <c r="AY1268" s="693"/>
      <c r="AZ1268" s="694"/>
      <c r="BA1268" s="682"/>
      <c r="BB1268" s="683"/>
      <c r="BC1268" s="14"/>
      <c r="BD1268" s="695" t="s">
        <v>162</v>
      </c>
      <c r="BE1268" s="696"/>
      <c r="BF1268" s="697"/>
      <c r="BG1268" s="698"/>
      <c r="BH1268" s="698"/>
      <c r="BI1268" s="699"/>
      <c r="BJ1268" s="700" t="s">
        <v>159</v>
      </c>
      <c r="BK1268" s="701"/>
      <c r="BL1268" s="701"/>
      <c r="BM1268" s="702"/>
      <c r="BN1268" s="703" t="s">
        <v>159</v>
      </c>
      <c r="BO1268" s="704"/>
      <c r="BP1268" s="704"/>
      <c r="BQ1268" s="704"/>
      <c r="BR1268" s="704"/>
      <c r="BS1268" s="704"/>
      <c r="BT1268" s="704"/>
      <c r="BU1268" s="704"/>
      <c r="BV1268" s="705"/>
    </row>
    <row r="1269" spans="1:74" ht="45" customHeight="1" x14ac:dyDescent="0.25">
      <c r="A1269" s="10">
        <f t="shared" si="19"/>
        <v>1255</v>
      </c>
      <c r="B1269" s="711" t="s">
        <v>159</v>
      </c>
      <c r="C1269" s="711"/>
      <c r="D1269" s="712" t="s">
        <v>212</v>
      </c>
      <c r="E1269" s="712"/>
      <c r="F1269" s="664" t="s">
        <v>162</v>
      </c>
      <c r="G1269" s="665"/>
      <c r="H1269" s="755" t="s">
        <v>162</v>
      </c>
      <c r="I1269" s="667"/>
      <c r="J1269" s="706"/>
      <c r="K1269" s="707"/>
      <c r="L1269" s="706"/>
      <c r="M1269" s="707"/>
      <c r="N1269" s="194"/>
      <c r="O1269" s="196"/>
      <c r="P1269" s="717"/>
      <c r="Q1269" s="718"/>
      <c r="R1269" s="672"/>
      <c r="S1269" s="673"/>
      <c r="T1269" s="674"/>
      <c r="U1269" s="675"/>
      <c r="V1269" s="723"/>
      <c r="W1269" s="724"/>
      <c r="X1269" s="725" t="s">
        <v>159</v>
      </c>
      <c r="Y1269" s="725"/>
      <c r="Z1269" s="725"/>
      <c r="AA1269" s="725"/>
      <c r="AB1269" s="726" t="s">
        <v>159</v>
      </c>
      <c r="AC1269" s="726"/>
      <c r="AD1269" s="726"/>
      <c r="AE1269" s="726"/>
      <c r="AF1269" s="727"/>
      <c r="AG1269" s="728"/>
      <c r="AH1269" s="727"/>
      <c r="AI1269" s="728"/>
      <c r="AJ1269" s="682"/>
      <c r="AK1269" s="683"/>
      <c r="AL1269" s="664" t="s">
        <v>162</v>
      </c>
      <c r="AM1269" s="665"/>
      <c r="AN1269" s="713" t="s">
        <v>162</v>
      </c>
      <c r="AO1269" s="714"/>
      <c r="AP1269" s="729"/>
      <c r="AQ1269" s="730"/>
      <c r="AR1269" s="731"/>
      <c r="AS1269" s="732"/>
      <c r="AT1269" s="690"/>
      <c r="AU1269" s="691"/>
      <c r="AV1269" s="713" t="s">
        <v>162</v>
      </c>
      <c r="AW1269" s="714"/>
      <c r="AX1269" s="692"/>
      <c r="AY1269" s="693"/>
      <c r="AZ1269" s="694"/>
      <c r="BA1269" s="735"/>
      <c r="BB1269" s="736"/>
      <c r="BC1269" s="219"/>
      <c r="BD1269" s="737" t="s">
        <v>162</v>
      </c>
      <c r="BE1269" s="738"/>
      <c r="BF1269" s="739"/>
      <c r="BG1269" s="740"/>
      <c r="BH1269" s="740"/>
      <c r="BI1269" s="741"/>
      <c r="BJ1269" s="742" t="s">
        <v>159</v>
      </c>
      <c r="BK1269" s="743"/>
      <c r="BL1269" s="743"/>
      <c r="BM1269" s="744"/>
      <c r="BN1269" s="703" t="s">
        <v>159</v>
      </c>
      <c r="BO1269" s="704"/>
      <c r="BP1269" s="704"/>
      <c r="BQ1269" s="704"/>
      <c r="BR1269" s="704"/>
      <c r="BS1269" s="704"/>
      <c r="BT1269" s="704"/>
      <c r="BU1269" s="704"/>
      <c r="BV1269" s="705"/>
    </row>
    <row r="1270" spans="1:74" ht="45" customHeight="1" x14ac:dyDescent="0.25">
      <c r="A1270" s="10">
        <f t="shared" si="19"/>
        <v>1256</v>
      </c>
      <c r="B1270" s="662" t="s">
        <v>159</v>
      </c>
      <c r="C1270" s="662"/>
      <c r="D1270" s="663" t="s">
        <v>212</v>
      </c>
      <c r="E1270" s="663"/>
      <c r="F1270" s="664" t="s">
        <v>162</v>
      </c>
      <c r="G1270" s="665"/>
      <c r="H1270" s="754" t="s">
        <v>162</v>
      </c>
      <c r="I1270" s="714"/>
      <c r="J1270" s="715"/>
      <c r="K1270" s="716"/>
      <c r="L1270" s="715"/>
      <c r="M1270" s="716"/>
      <c r="N1270" s="215"/>
      <c r="O1270" s="216"/>
      <c r="P1270" s="670"/>
      <c r="Q1270" s="671"/>
      <c r="R1270" s="719"/>
      <c r="S1270" s="720"/>
      <c r="T1270" s="721"/>
      <c r="U1270" s="722"/>
      <c r="V1270" s="676"/>
      <c r="W1270" s="677"/>
      <c r="X1270" s="678" t="s">
        <v>159</v>
      </c>
      <c r="Y1270" s="678"/>
      <c r="Z1270" s="678"/>
      <c r="AA1270" s="678"/>
      <c r="AB1270" s="679" t="s">
        <v>159</v>
      </c>
      <c r="AC1270" s="679"/>
      <c r="AD1270" s="679"/>
      <c r="AE1270" s="679"/>
      <c r="AF1270" s="680"/>
      <c r="AG1270" s="681"/>
      <c r="AH1270" s="680"/>
      <c r="AI1270" s="681"/>
      <c r="AJ1270" s="682"/>
      <c r="AK1270" s="683"/>
      <c r="AL1270" s="684" t="s">
        <v>162</v>
      </c>
      <c r="AM1270" s="685"/>
      <c r="AN1270" s="666" t="s">
        <v>162</v>
      </c>
      <c r="AO1270" s="667"/>
      <c r="AP1270" s="686"/>
      <c r="AQ1270" s="687"/>
      <c r="AR1270" s="688"/>
      <c r="AS1270" s="689"/>
      <c r="AT1270" s="690"/>
      <c r="AU1270" s="691"/>
      <c r="AV1270" s="666" t="s">
        <v>162</v>
      </c>
      <c r="AW1270" s="667"/>
      <c r="AX1270" s="692"/>
      <c r="AY1270" s="693"/>
      <c r="AZ1270" s="694"/>
      <c r="BA1270" s="682"/>
      <c r="BB1270" s="683"/>
      <c r="BC1270" s="14"/>
      <c r="BD1270" s="695" t="s">
        <v>162</v>
      </c>
      <c r="BE1270" s="696"/>
      <c r="BF1270" s="697"/>
      <c r="BG1270" s="698"/>
      <c r="BH1270" s="698"/>
      <c r="BI1270" s="699"/>
      <c r="BJ1270" s="700" t="s">
        <v>159</v>
      </c>
      <c r="BK1270" s="701"/>
      <c r="BL1270" s="701"/>
      <c r="BM1270" s="702"/>
      <c r="BN1270" s="703" t="s">
        <v>159</v>
      </c>
      <c r="BO1270" s="704"/>
      <c r="BP1270" s="704"/>
      <c r="BQ1270" s="704"/>
      <c r="BR1270" s="704"/>
      <c r="BS1270" s="704"/>
      <c r="BT1270" s="704"/>
      <c r="BU1270" s="704"/>
      <c r="BV1270" s="705"/>
    </row>
    <row r="1271" spans="1:74" ht="45" customHeight="1" x14ac:dyDescent="0.25">
      <c r="A1271" s="10">
        <f t="shared" si="19"/>
        <v>1257</v>
      </c>
      <c r="B1271" s="711" t="s">
        <v>159</v>
      </c>
      <c r="C1271" s="711"/>
      <c r="D1271" s="712" t="s">
        <v>212</v>
      </c>
      <c r="E1271" s="712"/>
      <c r="F1271" s="664" t="s">
        <v>162</v>
      </c>
      <c r="G1271" s="665"/>
      <c r="H1271" s="755" t="s">
        <v>162</v>
      </c>
      <c r="I1271" s="667"/>
      <c r="J1271" s="706"/>
      <c r="K1271" s="707"/>
      <c r="L1271" s="706"/>
      <c r="M1271" s="707"/>
      <c r="N1271" s="194"/>
      <c r="O1271" s="196"/>
      <c r="P1271" s="717"/>
      <c r="Q1271" s="718"/>
      <c r="R1271" s="672"/>
      <c r="S1271" s="673"/>
      <c r="T1271" s="674"/>
      <c r="U1271" s="675"/>
      <c r="V1271" s="723"/>
      <c r="W1271" s="724"/>
      <c r="X1271" s="725" t="s">
        <v>159</v>
      </c>
      <c r="Y1271" s="725"/>
      <c r="Z1271" s="725"/>
      <c r="AA1271" s="725"/>
      <c r="AB1271" s="726" t="s">
        <v>159</v>
      </c>
      <c r="AC1271" s="726"/>
      <c r="AD1271" s="726"/>
      <c r="AE1271" s="726"/>
      <c r="AF1271" s="727"/>
      <c r="AG1271" s="728"/>
      <c r="AH1271" s="727"/>
      <c r="AI1271" s="728"/>
      <c r="AJ1271" s="682"/>
      <c r="AK1271" s="683"/>
      <c r="AL1271" s="664" t="s">
        <v>162</v>
      </c>
      <c r="AM1271" s="665"/>
      <c r="AN1271" s="713" t="s">
        <v>162</v>
      </c>
      <c r="AO1271" s="714"/>
      <c r="AP1271" s="729"/>
      <c r="AQ1271" s="730"/>
      <c r="AR1271" s="731"/>
      <c r="AS1271" s="732"/>
      <c r="AT1271" s="733"/>
      <c r="AU1271" s="734"/>
      <c r="AV1271" s="713" t="s">
        <v>162</v>
      </c>
      <c r="AW1271" s="714"/>
      <c r="AX1271" s="692"/>
      <c r="AY1271" s="693"/>
      <c r="AZ1271" s="694"/>
      <c r="BA1271" s="735"/>
      <c r="BB1271" s="736"/>
      <c r="BC1271" s="219"/>
      <c r="BD1271" s="737" t="s">
        <v>162</v>
      </c>
      <c r="BE1271" s="738"/>
      <c r="BF1271" s="739"/>
      <c r="BG1271" s="740"/>
      <c r="BH1271" s="740"/>
      <c r="BI1271" s="741"/>
      <c r="BJ1271" s="742" t="s">
        <v>159</v>
      </c>
      <c r="BK1271" s="743"/>
      <c r="BL1271" s="743"/>
      <c r="BM1271" s="744"/>
      <c r="BN1271" s="703" t="s">
        <v>159</v>
      </c>
      <c r="BO1271" s="704"/>
      <c r="BP1271" s="704"/>
      <c r="BQ1271" s="704"/>
      <c r="BR1271" s="704"/>
      <c r="BS1271" s="704"/>
      <c r="BT1271" s="704"/>
      <c r="BU1271" s="704"/>
      <c r="BV1271" s="705"/>
    </row>
    <row r="1272" spans="1:74" ht="45" customHeight="1" x14ac:dyDescent="0.25">
      <c r="A1272" s="10">
        <f t="shared" si="19"/>
        <v>1258</v>
      </c>
      <c r="B1272" s="662" t="s">
        <v>159</v>
      </c>
      <c r="C1272" s="662"/>
      <c r="D1272" s="663" t="s">
        <v>212</v>
      </c>
      <c r="E1272" s="663"/>
      <c r="F1272" s="664" t="s">
        <v>162</v>
      </c>
      <c r="G1272" s="665"/>
      <c r="H1272" s="754" t="s">
        <v>162</v>
      </c>
      <c r="I1272" s="714"/>
      <c r="J1272" s="715"/>
      <c r="K1272" s="716"/>
      <c r="L1272" s="715"/>
      <c r="M1272" s="716"/>
      <c r="N1272" s="215"/>
      <c r="O1272" s="216"/>
      <c r="P1272" s="670"/>
      <c r="Q1272" s="671"/>
      <c r="R1272" s="719"/>
      <c r="S1272" s="720"/>
      <c r="T1272" s="721"/>
      <c r="U1272" s="722"/>
      <c r="V1272" s="676"/>
      <c r="W1272" s="677"/>
      <c r="X1272" s="678" t="s">
        <v>159</v>
      </c>
      <c r="Y1272" s="678"/>
      <c r="Z1272" s="678"/>
      <c r="AA1272" s="678"/>
      <c r="AB1272" s="679" t="s">
        <v>159</v>
      </c>
      <c r="AC1272" s="679"/>
      <c r="AD1272" s="679"/>
      <c r="AE1272" s="679"/>
      <c r="AF1272" s="680"/>
      <c r="AG1272" s="681"/>
      <c r="AH1272" s="680"/>
      <c r="AI1272" s="681"/>
      <c r="AJ1272" s="682"/>
      <c r="AK1272" s="683"/>
      <c r="AL1272" s="684" t="s">
        <v>162</v>
      </c>
      <c r="AM1272" s="685"/>
      <c r="AN1272" s="666" t="s">
        <v>162</v>
      </c>
      <c r="AO1272" s="667"/>
      <c r="AP1272" s="686"/>
      <c r="AQ1272" s="687"/>
      <c r="AR1272" s="688"/>
      <c r="AS1272" s="689"/>
      <c r="AT1272" s="690"/>
      <c r="AU1272" s="691"/>
      <c r="AV1272" s="666" t="s">
        <v>162</v>
      </c>
      <c r="AW1272" s="667"/>
      <c r="AX1272" s="692"/>
      <c r="AY1272" s="693"/>
      <c r="AZ1272" s="694"/>
      <c r="BA1272" s="682"/>
      <c r="BB1272" s="683"/>
      <c r="BC1272" s="14"/>
      <c r="BD1272" s="695" t="s">
        <v>162</v>
      </c>
      <c r="BE1272" s="696"/>
      <c r="BF1272" s="708"/>
      <c r="BG1272" s="709"/>
      <c r="BH1272" s="709"/>
      <c r="BI1272" s="710"/>
      <c r="BJ1272" s="700" t="s">
        <v>159</v>
      </c>
      <c r="BK1272" s="701"/>
      <c r="BL1272" s="701"/>
      <c r="BM1272" s="702"/>
      <c r="BN1272" s="703" t="s">
        <v>159</v>
      </c>
      <c r="BO1272" s="704"/>
      <c r="BP1272" s="704"/>
      <c r="BQ1272" s="704"/>
      <c r="BR1272" s="704"/>
      <c r="BS1272" s="704"/>
      <c r="BT1272" s="704"/>
      <c r="BU1272" s="704"/>
      <c r="BV1272" s="705"/>
    </row>
    <row r="1273" spans="1:74" ht="45" customHeight="1" x14ac:dyDescent="0.25">
      <c r="A1273" s="10">
        <f t="shared" si="19"/>
        <v>1259</v>
      </c>
      <c r="B1273" s="711" t="s">
        <v>159</v>
      </c>
      <c r="C1273" s="711"/>
      <c r="D1273" s="712" t="s">
        <v>212</v>
      </c>
      <c r="E1273" s="712"/>
      <c r="F1273" s="664" t="s">
        <v>162</v>
      </c>
      <c r="G1273" s="665"/>
      <c r="H1273" s="755" t="s">
        <v>162</v>
      </c>
      <c r="I1273" s="667"/>
      <c r="J1273" s="706"/>
      <c r="K1273" s="707"/>
      <c r="L1273" s="706"/>
      <c r="M1273" s="707"/>
      <c r="N1273" s="194"/>
      <c r="O1273" s="196"/>
      <c r="P1273" s="717"/>
      <c r="Q1273" s="718"/>
      <c r="R1273" s="672"/>
      <c r="S1273" s="673"/>
      <c r="T1273" s="674"/>
      <c r="U1273" s="675"/>
      <c r="V1273" s="723"/>
      <c r="W1273" s="724"/>
      <c r="X1273" s="725" t="s">
        <v>159</v>
      </c>
      <c r="Y1273" s="725"/>
      <c r="Z1273" s="725"/>
      <c r="AA1273" s="725"/>
      <c r="AB1273" s="726" t="s">
        <v>159</v>
      </c>
      <c r="AC1273" s="726"/>
      <c r="AD1273" s="726"/>
      <c r="AE1273" s="726"/>
      <c r="AF1273" s="727"/>
      <c r="AG1273" s="728"/>
      <c r="AH1273" s="727"/>
      <c r="AI1273" s="728"/>
      <c r="AJ1273" s="682"/>
      <c r="AK1273" s="683"/>
      <c r="AL1273" s="664" t="s">
        <v>162</v>
      </c>
      <c r="AM1273" s="665"/>
      <c r="AN1273" s="713" t="s">
        <v>162</v>
      </c>
      <c r="AO1273" s="714"/>
      <c r="AP1273" s="729"/>
      <c r="AQ1273" s="730"/>
      <c r="AR1273" s="731"/>
      <c r="AS1273" s="732"/>
      <c r="AT1273" s="733"/>
      <c r="AU1273" s="734"/>
      <c r="AV1273" s="713" t="s">
        <v>162</v>
      </c>
      <c r="AW1273" s="714"/>
      <c r="AX1273" s="692"/>
      <c r="AY1273" s="693"/>
      <c r="AZ1273" s="694"/>
      <c r="BA1273" s="735"/>
      <c r="BB1273" s="736"/>
      <c r="BC1273" s="219"/>
      <c r="BD1273" s="737" t="s">
        <v>162</v>
      </c>
      <c r="BE1273" s="738"/>
      <c r="BF1273" s="739"/>
      <c r="BG1273" s="740"/>
      <c r="BH1273" s="740"/>
      <c r="BI1273" s="741"/>
      <c r="BJ1273" s="742" t="s">
        <v>159</v>
      </c>
      <c r="BK1273" s="743"/>
      <c r="BL1273" s="743"/>
      <c r="BM1273" s="744"/>
      <c r="BN1273" s="703" t="s">
        <v>159</v>
      </c>
      <c r="BO1273" s="704"/>
      <c r="BP1273" s="704"/>
      <c r="BQ1273" s="704"/>
      <c r="BR1273" s="704"/>
      <c r="BS1273" s="704"/>
      <c r="BT1273" s="704"/>
      <c r="BU1273" s="704"/>
      <c r="BV1273" s="705"/>
    </row>
    <row r="1274" spans="1:74" ht="45" customHeight="1" x14ac:dyDescent="0.25">
      <c r="A1274" s="10">
        <f t="shared" si="19"/>
        <v>1260</v>
      </c>
      <c r="B1274" s="662" t="s">
        <v>159</v>
      </c>
      <c r="C1274" s="662"/>
      <c r="D1274" s="663" t="s">
        <v>212</v>
      </c>
      <c r="E1274" s="663"/>
      <c r="F1274" s="664" t="s">
        <v>162</v>
      </c>
      <c r="G1274" s="665"/>
      <c r="H1274" s="754" t="s">
        <v>162</v>
      </c>
      <c r="I1274" s="714"/>
      <c r="J1274" s="715"/>
      <c r="K1274" s="716"/>
      <c r="L1274" s="715"/>
      <c r="M1274" s="716"/>
      <c r="N1274" s="215"/>
      <c r="O1274" s="216"/>
      <c r="P1274" s="670"/>
      <c r="Q1274" s="671"/>
      <c r="R1274" s="719"/>
      <c r="S1274" s="720"/>
      <c r="T1274" s="721"/>
      <c r="U1274" s="722"/>
      <c r="V1274" s="676"/>
      <c r="W1274" s="677"/>
      <c r="X1274" s="678" t="s">
        <v>159</v>
      </c>
      <c r="Y1274" s="678"/>
      <c r="Z1274" s="678"/>
      <c r="AA1274" s="678"/>
      <c r="AB1274" s="679" t="s">
        <v>159</v>
      </c>
      <c r="AC1274" s="679"/>
      <c r="AD1274" s="679"/>
      <c r="AE1274" s="679"/>
      <c r="AF1274" s="680"/>
      <c r="AG1274" s="681"/>
      <c r="AH1274" s="680"/>
      <c r="AI1274" s="681"/>
      <c r="AJ1274" s="682"/>
      <c r="AK1274" s="683"/>
      <c r="AL1274" s="684" t="s">
        <v>162</v>
      </c>
      <c r="AM1274" s="685"/>
      <c r="AN1274" s="666" t="s">
        <v>162</v>
      </c>
      <c r="AO1274" s="667"/>
      <c r="AP1274" s="686"/>
      <c r="AQ1274" s="687"/>
      <c r="AR1274" s="688"/>
      <c r="AS1274" s="689"/>
      <c r="AT1274" s="690"/>
      <c r="AU1274" s="691"/>
      <c r="AV1274" s="666" t="s">
        <v>162</v>
      </c>
      <c r="AW1274" s="667"/>
      <c r="AX1274" s="692"/>
      <c r="AY1274" s="693"/>
      <c r="AZ1274" s="694"/>
      <c r="BA1274" s="682"/>
      <c r="BB1274" s="683"/>
      <c r="BC1274" s="14"/>
      <c r="BD1274" s="695" t="s">
        <v>162</v>
      </c>
      <c r="BE1274" s="696"/>
      <c r="BF1274" s="697"/>
      <c r="BG1274" s="698"/>
      <c r="BH1274" s="698"/>
      <c r="BI1274" s="699"/>
      <c r="BJ1274" s="700" t="s">
        <v>159</v>
      </c>
      <c r="BK1274" s="701"/>
      <c r="BL1274" s="701"/>
      <c r="BM1274" s="702"/>
      <c r="BN1274" s="703" t="s">
        <v>159</v>
      </c>
      <c r="BO1274" s="704"/>
      <c r="BP1274" s="704"/>
      <c r="BQ1274" s="704"/>
      <c r="BR1274" s="704"/>
      <c r="BS1274" s="704"/>
      <c r="BT1274" s="704"/>
      <c r="BU1274" s="704"/>
      <c r="BV1274" s="705"/>
    </row>
    <row r="1275" spans="1:74" ht="45" customHeight="1" x14ac:dyDescent="0.25">
      <c r="A1275" s="10">
        <f t="shared" si="19"/>
        <v>1261</v>
      </c>
      <c r="B1275" s="711" t="s">
        <v>159</v>
      </c>
      <c r="C1275" s="711"/>
      <c r="D1275" s="712" t="s">
        <v>212</v>
      </c>
      <c r="E1275" s="712"/>
      <c r="F1275" s="664" t="s">
        <v>162</v>
      </c>
      <c r="G1275" s="665"/>
      <c r="H1275" s="755" t="s">
        <v>162</v>
      </c>
      <c r="I1275" s="667"/>
      <c r="J1275" s="706"/>
      <c r="K1275" s="707"/>
      <c r="L1275" s="706"/>
      <c r="M1275" s="707"/>
      <c r="N1275" s="194"/>
      <c r="O1275" s="196"/>
      <c r="P1275" s="717"/>
      <c r="Q1275" s="718"/>
      <c r="R1275" s="672"/>
      <c r="S1275" s="673"/>
      <c r="T1275" s="674"/>
      <c r="U1275" s="675"/>
      <c r="V1275" s="723"/>
      <c r="W1275" s="724"/>
      <c r="X1275" s="725" t="s">
        <v>159</v>
      </c>
      <c r="Y1275" s="725"/>
      <c r="Z1275" s="725"/>
      <c r="AA1275" s="725"/>
      <c r="AB1275" s="726" t="s">
        <v>159</v>
      </c>
      <c r="AC1275" s="726"/>
      <c r="AD1275" s="726"/>
      <c r="AE1275" s="726"/>
      <c r="AF1275" s="727"/>
      <c r="AG1275" s="728"/>
      <c r="AH1275" s="727"/>
      <c r="AI1275" s="728"/>
      <c r="AJ1275" s="682"/>
      <c r="AK1275" s="683"/>
      <c r="AL1275" s="664" t="s">
        <v>162</v>
      </c>
      <c r="AM1275" s="665"/>
      <c r="AN1275" s="713" t="s">
        <v>162</v>
      </c>
      <c r="AO1275" s="714"/>
      <c r="AP1275" s="729"/>
      <c r="AQ1275" s="730"/>
      <c r="AR1275" s="731"/>
      <c r="AS1275" s="732"/>
      <c r="AT1275" s="733"/>
      <c r="AU1275" s="734"/>
      <c r="AV1275" s="713" t="s">
        <v>162</v>
      </c>
      <c r="AW1275" s="714"/>
      <c r="AX1275" s="692"/>
      <c r="AY1275" s="693"/>
      <c r="AZ1275" s="694"/>
      <c r="BA1275" s="735"/>
      <c r="BB1275" s="736"/>
      <c r="BC1275" s="219"/>
      <c r="BD1275" s="737" t="s">
        <v>162</v>
      </c>
      <c r="BE1275" s="738"/>
      <c r="BF1275" s="739"/>
      <c r="BG1275" s="740"/>
      <c r="BH1275" s="740"/>
      <c r="BI1275" s="741"/>
      <c r="BJ1275" s="742" t="s">
        <v>159</v>
      </c>
      <c r="BK1275" s="743"/>
      <c r="BL1275" s="743"/>
      <c r="BM1275" s="744"/>
      <c r="BN1275" s="703" t="s">
        <v>159</v>
      </c>
      <c r="BO1275" s="704"/>
      <c r="BP1275" s="704"/>
      <c r="BQ1275" s="704"/>
      <c r="BR1275" s="704"/>
      <c r="BS1275" s="704"/>
      <c r="BT1275" s="704"/>
      <c r="BU1275" s="704"/>
      <c r="BV1275" s="705"/>
    </row>
    <row r="1276" spans="1:74" ht="45" customHeight="1" x14ac:dyDescent="0.25">
      <c r="A1276" s="10">
        <f t="shared" si="19"/>
        <v>1262</v>
      </c>
      <c r="B1276" s="662" t="s">
        <v>159</v>
      </c>
      <c r="C1276" s="662"/>
      <c r="D1276" s="663" t="s">
        <v>212</v>
      </c>
      <c r="E1276" s="663"/>
      <c r="F1276" s="664" t="s">
        <v>162</v>
      </c>
      <c r="G1276" s="665"/>
      <c r="H1276" s="754" t="s">
        <v>162</v>
      </c>
      <c r="I1276" s="714"/>
      <c r="J1276" s="715"/>
      <c r="K1276" s="716"/>
      <c r="L1276" s="715"/>
      <c r="M1276" s="716"/>
      <c r="N1276" s="194"/>
      <c r="O1276" s="196"/>
      <c r="P1276" s="717"/>
      <c r="Q1276" s="718"/>
      <c r="R1276" s="672"/>
      <c r="S1276" s="673"/>
      <c r="T1276" s="674"/>
      <c r="U1276" s="675"/>
      <c r="V1276" s="676"/>
      <c r="W1276" s="677"/>
      <c r="X1276" s="678" t="s">
        <v>159</v>
      </c>
      <c r="Y1276" s="678"/>
      <c r="Z1276" s="678"/>
      <c r="AA1276" s="678"/>
      <c r="AB1276" s="679" t="s">
        <v>159</v>
      </c>
      <c r="AC1276" s="679"/>
      <c r="AD1276" s="679"/>
      <c r="AE1276" s="679"/>
      <c r="AF1276" s="680"/>
      <c r="AG1276" s="681"/>
      <c r="AH1276" s="680"/>
      <c r="AI1276" s="681"/>
      <c r="AJ1276" s="682"/>
      <c r="AK1276" s="683"/>
      <c r="AL1276" s="684" t="s">
        <v>162</v>
      </c>
      <c r="AM1276" s="685"/>
      <c r="AN1276" s="666" t="s">
        <v>162</v>
      </c>
      <c r="AO1276" s="667"/>
      <c r="AP1276" s="686"/>
      <c r="AQ1276" s="687"/>
      <c r="AR1276" s="688"/>
      <c r="AS1276" s="689"/>
      <c r="AT1276" s="690"/>
      <c r="AU1276" s="691"/>
      <c r="AV1276" s="666" t="s">
        <v>162</v>
      </c>
      <c r="AW1276" s="667"/>
      <c r="AX1276" s="692"/>
      <c r="AY1276" s="693"/>
      <c r="AZ1276" s="694"/>
      <c r="BA1276" s="682"/>
      <c r="BB1276" s="683"/>
      <c r="BC1276" s="14"/>
      <c r="BD1276" s="695" t="s">
        <v>162</v>
      </c>
      <c r="BE1276" s="696"/>
      <c r="BF1276" s="697"/>
      <c r="BG1276" s="698"/>
      <c r="BH1276" s="698"/>
      <c r="BI1276" s="699"/>
      <c r="BJ1276" s="700" t="s">
        <v>159</v>
      </c>
      <c r="BK1276" s="701"/>
      <c r="BL1276" s="701"/>
      <c r="BM1276" s="702"/>
      <c r="BN1276" s="703" t="s">
        <v>159</v>
      </c>
      <c r="BO1276" s="704"/>
      <c r="BP1276" s="704"/>
      <c r="BQ1276" s="704"/>
      <c r="BR1276" s="704"/>
      <c r="BS1276" s="704"/>
      <c r="BT1276" s="704"/>
      <c r="BU1276" s="704"/>
      <c r="BV1276" s="705"/>
    </row>
    <row r="1277" spans="1:74" ht="45" customHeight="1" x14ac:dyDescent="0.25">
      <c r="A1277" s="10">
        <f t="shared" si="19"/>
        <v>1263</v>
      </c>
      <c r="B1277" s="711" t="s">
        <v>159</v>
      </c>
      <c r="C1277" s="711"/>
      <c r="D1277" s="712" t="s">
        <v>212</v>
      </c>
      <c r="E1277" s="712"/>
      <c r="F1277" s="664" t="s">
        <v>162</v>
      </c>
      <c r="G1277" s="665"/>
      <c r="H1277" s="755" t="s">
        <v>162</v>
      </c>
      <c r="I1277" s="667"/>
      <c r="J1277" s="706"/>
      <c r="K1277" s="707"/>
      <c r="L1277" s="706"/>
      <c r="M1277" s="707"/>
      <c r="N1277" s="215"/>
      <c r="O1277" s="216"/>
      <c r="P1277" s="670"/>
      <c r="Q1277" s="671"/>
      <c r="R1277" s="719"/>
      <c r="S1277" s="720"/>
      <c r="T1277" s="721"/>
      <c r="U1277" s="722"/>
      <c r="V1277" s="723"/>
      <c r="W1277" s="724"/>
      <c r="X1277" s="725" t="s">
        <v>159</v>
      </c>
      <c r="Y1277" s="725"/>
      <c r="Z1277" s="725"/>
      <c r="AA1277" s="725"/>
      <c r="AB1277" s="726" t="s">
        <v>159</v>
      </c>
      <c r="AC1277" s="726"/>
      <c r="AD1277" s="726"/>
      <c r="AE1277" s="726"/>
      <c r="AF1277" s="727"/>
      <c r="AG1277" s="728"/>
      <c r="AH1277" s="727"/>
      <c r="AI1277" s="728"/>
      <c r="AJ1277" s="682"/>
      <c r="AK1277" s="683"/>
      <c r="AL1277" s="664" t="s">
        <v>162</v>
      </c>
      <c r="AM1277" s="665"/>
      <c r="AN1277" s="713" t="s">
        <v>162</v>
      </c>
      <c r="AO1277" s="714"/>
      <c r="AP1277" s="729"/>
      <c r="AQ1277" s="730"/>
      <c r="AR1277" s="731"/>
      <c r="AS1277" s="732"/>
      <c r="AT1277" s="733"/>
      <c r="AU1277" s="734"/>
      <c r="AV1277" s="713" t="s">
        <v>162</v>
      </c>
      <c r="AW1277" s="714"/>
      <c r="AX1277" s="692"/>
      <c r="AY1277" s="693"/>
      <c r="AZ1277" s="694"/>
      <c r="BA1277" s="735"/>
      <c r="BB1277" s="736"/>
      <c r="BC1277" s="219"/>
      <c r="BD1277" s="737" t="s">
        <v>162</v>
      </c>
      <c r="BE1277" s="738"/>
      <c r="BF1277" s="739"/>
      <c r="BG1277" s="740"/>
      <c r="BH1277" s="740"/>
      <c r="BI1277" s="741"/>
      <c r="BJ1277" s="742" t="s">
        <v>159</v>
      </c>
      <c r="BK1277" s="743"/>
      <c r="BL1277" s="743"/>
      <c r="BM1277" s="744"/>
      <c r="BN1277" s="703" t="s">
        <v>159</v>
      </c>
      <c r="BO1277" s="704"/>
      <c r="BP1277" s="704"/>
      <c r="BQ1277" s="704"/>
      <c r="BR1277" s="704"/>
      <c r="BS1277" s="704"/>
      <c r="BT1277" s="704"/>
      <c r="BU1277" s="704"/>
      <c r="BV1277" s="705"/>
    </row>
    <row r="1278" spans="1:74" ht="45" customHeight="1" x14ac:dyDescent="0.25">
      <c r="A1278" s="10">
        <f t="shared" si="19"/>
        <v>1264</v>
      </c>
      <c r="B1278" s="662" t="s">
        <v>159</v>
      </c>
      <c r="C1278" s="662"/>
      <c r="D1278" s="663" t="s">
        <v>212</v>
      </c>
      <c r="E1278" s="663"/>
      <c r="F1278" s="664" t="s">
        <v>162</v>
      </c>
      <c r="G1278" s="665"/>
      <c r="H1278" s="754" t="s">
        <v>162</v>
      </c>
      <c r="I1278" s="714"/>
      <c r="J1278" s="715"/>
      <c r="K1278" s="716"/>
      <c r="L1278" s="715"/>
      <c r="M1278" s="716"/>
      <c r="N1278" s="194"/>
      <c r="O1278" s="196"/>
      <c r="P1278" s="717"/>
      <c r="Q1278" s="718"/>
      <c r="R1278" s="672"/>
      <c r="S1278" s="673"/>
      <c r="T1278" s="674"/>
      <c r="U1278" s="675"/>
      <c r="V1278" s="676"/>
      <c r="W1278" s="677"/>
      <c r="X1278" s="678" t="s">
        <v>159</v>
      </c>
      <c r="Y1278" s="678"/>
      <c r="Z1278" s="678"/>
      <c r="AA1278" s="678"/>
      <c r="AB1278" s="679" t="s">
        <v>159</v>
      </c>
      <c r="AC1278" s="679"/>
      <c r="AD1278" s="679"/>
      <c r="AE1278" s="679"/>
      <c r="AF1278" s="680"/>
      <c r="AG1278" s="681"/>
      <c r="AH1278" s="680"/>
      <c r="AI1278" s="681"/>
      <c r="AJ1278" s="682"/>
      <c r="AK1278" s="683"/>
      <c r="AL1278" s="684" t="s">
        <v>162</v>
      </c>
      <c r="AM1278" s="685"/>
      <c r="AN1278" s="666" t="s">
        <v>162</v>
      </c>
      <c r="AO1278" s="667"/>
      <c r="AP1278" s="686"/>
      <c r="AQ1278" s="687"/>
      <c r="AR1278" s="688"/>
      <c r="AS1278" s="689"/>
      <c r="AT1278" s="690"/>
      <c r="AU1278" s="691"/>
      <c r="AV1278" s="666" t="s">
        <v>162</v>
      </c>
      <c r="AW1278" s="667"/>
      <c r="AX1278" s="692"/>
      <c r="AY1278" s="693"/>
      <c r="AZ1278" s="694"/>
      <c r="BA1278" s="682"/>
      <c r="BB1278" s="683"/>
      <c r="BC1278" s="14"/>
      <c r="BD1278" s="695" t="s">
        <v>162</v>
      </c>
      <c r="BE1278" s="696"/>
      <c r="BF1278" s="708"/>
      <c r="BG1278" s="709"/>
      <c r="BH1278" s="709"/>
      <c r="BI1278" s="710"/>
      <c r="BJ1278" s="700" t="s">
        <v>159</v>
      </c>
      <c r="BK1278" s="701"/>
      <c r="BL1278" s="701"/>
      <c r="BM1278" s="702"/>
      <c r="BN1278" s="703" t="s">
        <v>159</v>
      </c>
      <c r="BO1278" s="704"/>
      <c r="BP1278" s="704"/>
      <c r="BQ1278" s="704"/>
      <c r="BR1278" s="704"/>
      <c r="BS1278" s="704"/>
      <c r="BT1278" s="704"/>
      <c r="BU1278" s="704"/>
      <c r="BV1278" s="705"/>
    </row>
    <row r="1279" spans="1:74" ht="45" customHeight="1" x14ac:dyDescent="0.25">
      <c r="A1279" s="10">
        <f t="shared" si="19"/>
        <v>1265</v>
      </c>
      <c r="B1279" s="711" t="s">
        <v>159</v>
      </c>
      <c r="C1279" s="711"/>
      <c r="D1279" s="712" t="s">
        <v>212</v>
      </c>
      <c r="E1279" s="712"/>
      <c r="F1279" s="664" t="s">
        <v>162</v>
      </c>
      <c r="G1279" s="665"/>
      <c r="H1279" s="755" t="s">
        <v>162</v>
      </c>
      <c r="I1279" s="667"/>
      <c r="J1279" s="706"/>
      <c r="K1279" s="707"/>
      <c r="L1279" s="706"/>
      <c r="M1279" s="707"/>
      <c r="N1279" s="215"/>
      <c r="O1279" s="216"/>
      <c r="P1279" s="670"/>
      <c r="Q1279" s="671"/>
      <c r="R1279" s="719"/>
      <c r="S1279" s="720"/>
      <c r="T1279" s="721"/>
      <c r="U1279" s="722"/>
      <c r="V1279" s="723"/>
      <c r="W1279" s="724"/>
      <c r="X1279" s="725" t="s">
        <v>159</v>
      </c>
      <c r="Y1279" s="725"/>
      <c r="Z1279" s="725"/>
      <c r="AA1279" s="725"/>
      <c r="AB1279" s="726" t="s">
        <v>159</v>
      </c>
      <c r="AC1279" s="726"/>
      <c r="AD1279" s="726"/>
      <c r="AE1279" s="726"/>
      <c r="AF1279" s="727"/>
      <c r="AG1279" s="728"/>
      <c r="AH1279" s="727"/>
      <c r="AI1279" s="728"/>
      <c r="AJ1279" s="682"/>
      <c r="AK1279" s="683"/>
      <c r="AL1279" s="664" t="s">
        <v>162</v>
      </c>
      <c r="AM1279" s="665"/>
      <c r="AN1279" s="713" t="s">
        <v>162</v>
      </c>
      <c r="AO1279" s="714"/>
      <c r="AP1279" s="729"/>
      <c r="AQ1279" s="730"/>
      <c r="AR1279" s="731"/>
      <c r="AS1279" s="732"/>
      <c r="AT1279" s="733"/>
      <c r="AU1279" s="734"/>
      <c r="AV1279" s="713" t="s">
        <v>162</v>
      </c>
      <c r="AW1279" s="714"/>
      <c r="AX1279" s="692"/>
      <c r="AY1279" s="693"/>
      <c r="AZ1279" s="694"/>
      <c r="BA1279" s="735"/>
      <c r="BB1279" s="736"/>
      <c r="BC1279" s="219"/>
      <c r="BD1279" s="737" t="s">
        <v>162</v>
      </c>
      <c r="BE1279" s="738"/>
      <c r="BF1279" s="739"/>
      <c r="BG1279" s="740"/>
      <c r="BH1279" s="740"/>
      <c r="BI1279" s="741"/>
      <c r="BJ1279" s="742" t="s">
        <v>159</v>
      </c>
      <c r="BK1279" s="743"/>
      <c r="BL1279" s="743"/>
      <c r="BM1279" s="744"/>
      <c r="BN1279" s="703" t="s">
        <v>159</v>
      </c>
      <c r="BO1279" s="704"/>
      <c r="BP1279" s="704"/>
      <c r="BQ1279" s="704"/>
      <c r="BR1279" s="704"/>
      <c r="BS1279" s="704"/>
      <c r="BT1279" s="704"/>
      <c r="BU1279" s="704"/>
      <c r="BV1279" s="705"/>
    </row>
    <row r="1280" spans="1:74" ht="45" customHeight="1" x14ac:dyDescent="0.25">
      <c r="A1280" s="10">
        <f t="shared" si="19"/>
        <v>1266</v>
      </c>
      <c r="B1280" s="662" t="s">
        <v>159</v>
      </c>
      <c r="C1280" s="662"/>
      <c r="D1280" s="663" t="s">
        <v>212</v>
      </c>
      <c r="E1280" s="663"/>
      <c r="F1280" s="664" t="s">
        <v>162</v>
      </c>
      <c r="G1280" s="665"/>
      <c r="H1280" s="754" t="s">
        <v>162</v>
      </c>
      <c r="I1280" s="714"/>
      <c r="J1280" s="715"/>
      <c r="K1280" s="716"/>
      <c r="L1280" s="715"/>
      <c r="M1280" s="716"/>
      <c r="N1280" s="194"/>
      <c r="O1280" s="196"/>
      <c r="P1280" s="717"/>
      <c r="Q1280" s="718"/>
      <c r="R1280" s="672"/>
      <c r="S1280" s="673"/>
      <c r="T1280" s="674"/>
      <c r="U1280" s="675"/>
      <c r="V1280" s="676"/>
      <c r="W1280" s="677"/>
      <c r="X1280" s="678" t="s">
        <v>159</v>
      </c>
      <c r="Y1280" s="678"/>
      <c r="Z1280" s="678"/>
      <c r="AA1280" s="678"/>
      <c r="AB1280" s="679" t="s">
        <v>159</v>
      </c>
      <c r="AC1280" s="679"/>
      <c r="AD1280" s="679"/>
      <c r="AE1280" s="679"/>
      <c r="AF1280" s="680"/>
      <c r="AG1280" s="681"/>
      <c r="AH1280" s="680"/>
      <c r="AI1280" s="681"/>
      <c r="AJ1280" s="682"/>
      <c r="AK1280" s="683"/>
      <c r="AL1280" s="684" t="s">
        <v>162</v>
      </c>
      <c r="AM1280" s="685"/>
      <c r="AN1280" s="666" t="s">
        <v>162</v>
      </c>
      <c r="AO1280" s="667"/>
      <c r="AP1280" s="686"/>
      <c r="AQ1280" s="687"/>
      <c r="AR1280" s="688"/>
      <c r="AS1280" s="689"/>
      <c r="AT1280" s="690"/>
      <c r="AU1280" s="691"/>
      <c r="AV1280" s="666" t="s">
        <v>162</v>
      </c>
      <c r="AW1280" s="667"/>
      <c r="AX1280" s="692"/>
      <c r="AY1280" s="693"/>
      <c r="AZ1280" s="694"/>
      <c r="BA1280" s="682"/>
      <c r="BB1280" s="683"/>
      <c r="BC1280" s="14"/>
      <c r="BD1280" s="695" t="s">
        <v>162</v>
      </c>
      <c r="BE1280" s="696"/>
      <c r="BF1280" s="697"/>
      <c r="BG1280" s="698"/>
      <c r="BH1280" s="698"/>
      <c r="BI1280" s="699"/>
      <c r="BJ1280" s="700" t="s">
        <v>159</v>
      </c>
      <c r="BK1280" s="701"/>
      <c r="BL1280" s="701"/>
      <c r="BM1280" s="702"/>
      <c r="BN1280" s="703" t="s">
        <v>159</v>
      </c>
      <c r="BO1280" s="704"/>
      <c r="BP1280" s="704"/>
      <c r="BQ1280" s="704"/>
      <c r="BR1280" s="704"/>
      <c r="BS1280" s="704"/>
      <c r="BT1280" s="704"/>
      <c r="BU1280" s="704"/>
      <c r="BV1280" s="705"/>
    </row>
    <row r="1281" spans="1:74" ht="45" customHeight="1" x14ac:dyDescent="0.25">
      <c r="A1281" s="10">
        <f t="shared" si="19"/>
        <v>1267</v>
      </c>
      <c r="B1281" s="711" t="s">
        <v>159</v>
      </c>
      <c r="C1281" s="711"/>
      <c r="D1281" s="712" t="s">
        <v>212</v>
      </c>
      <c r="E1281" s="712"/>
      <c r="F1281" s="664" t="s">
        <v>162</v>
      </c>
      <c r="G1281" s="665"/>
      <c r="H1281" s="755" t="s">
        <v>162</v>
      </c>
      <c r="I1281" s="667"/>
      <c r="J1281" s="706"/>
      <c r="K1281" s="707"/>
      <c r="L1281" s="706"/>
      <c r="M1281" s="707"/>
      <c r="N1281" s="215"/>
      <c r="O1281" s="216"/>
      <c r="P1281" s="670"/>
      <c r="Q1281" s="671"/>
      <c r="R1281" s="719"/>
      <c r="S1281" s="720"/>
      <c r="T1281" s="721"/>
      <c r="U1281" s="722"/>
      <c r="V1281" s="723"/>
      <c r="W1281" s="724"/>
      <c r="X1281" s="725" t="s">
        <v>159</v>
      </c>
      <c r="Y1281" s="725"/>
      <c r="Z1281" s="725"/>
      <c r="AA1281" s="725"/>
      <c r="AB1281" s="726" t="s">
        <v>159</v>
      </c>
      <c r="AC1281" s="726"/>
      <c r="AD1281" s="726"/>
      <c r="AE1281" s="726"/>
      <c r="AF1281" s="727"/>
      <c r="AG1281" s="728"/>
      <c r="AH1281" s="727"/>
      <c r="AI1281" s="728"/>
      <c r="AJ1281" s="682"/>
      <c r="AK1281" s="683"/>
      <c r="AL1281" s="664" t="s">
        <v>162</v>
      </c>
      <c r="AM1281" s="665"/>
      <c r="AN1281" s="713" t="s">
        <v>162</v>
      </c>
      <c r="AO1281" s="714"/>
      <c r="AP1281" s="729"/>
      <c r="AQ1281" s="730"/>
      <c r="AR1281" s="731"/>
      <c r="AS1281" s="732"/>
      <c r="AT1281" s="690"/>
      <c r="AU1281" s="691"/>
      <c r="AV1281" s="713" t="s">
        <v>162</v>
      </c>
      <c r="AW1281" s="714"/>
      <c r="AX1281" s="692"/>
      <c r="AY1281" s="693"/>
      <c r="AZ1281" s="694"/>
      <c r="BA1281" s="735"/>
      <c r="BB1281" s="736"/>
      <c r="BC1281" s="219"/>
      <c r="BD1281" s="737" t="s">
        <v>162</v>
      </c>
      <c r="BE1281" s="738"/>
      <c r="BF1281" s="739"/>
      <c r="BG1281" s="740"/>
      <c r="BH1281" s="740"/>
      <c r="BI1281" s="741"/>
      <c r="BJ1281" s="742" t="s">
        <v>159</v>
      </c>
      <c r="BK1281" s="743"/>
      <c r="BL1281" s="743"/>
      <c r="BM1281" s="744"/>
      <c r="BN1281" s="703" t="s">
        <v>159</v>
      </c>
      <c r="BO1281" s="704"/>
      <c r="BP1281" s="704"/>
      <c r="BQ1281" s="704"/>
      <c r="BR1281" s="704"/>
      <c r="BS1281" s="704"/>
      <c r="BT1281" s="704"/>
      <c r="BU1281" s="704"/>
      <c r="BV1281" s="705"/>
    </row>
    <row r="1282" spans="1:74" ht="45" customHeight="1" x14ac:dyDescent="0.25">
      <c r="A1282" s="10">
        <f t="shared" si="19"/>
        <v>1268</v>
      </c>
      <c r="B1282" s="662" t="s">
        <v>159</v>
      </c>
      <c r="C1282" s="662"/>
      <c r="D1282" s="663" t="s">
        <v>212</v>
      </c>
      <c r="E1282" s="663"/>
      <c r="F1282" s="664" t="s">
        <v>162</v>
      </c>
      <c r="G1282" s="665"/>
      <c r="H1282" s="754" t="s">
        <v>162</v>
      </c>
      <c r="I1282" s="714"/>
      <c r="J1282" s="715"/>
      <c r="K1282" s="716"/>
      <c r="L1282" s="715"/>
      <c r="M1282" s="716"/>
      <c r="N1282" s="194"/>
      <c r="O1282" s="196"/>
      <c r="P1282" s="717"/>
      <c r="Q1282" s="718"/>
      <c r="R1282" s="672"/>
      <c r="S1282" s="673"/>
      <c r="T1282" s="674"/>
      <c r="U1282" s="675"/>
      <c r="V1282" s="676"/>
      <c r="W1282" s="677"/>
      <c r="X1282" s="678" t="s">
        <v>159</v>
      </c>
      <c r="Y1282" s="678"/>
      <c r="Z1282" s="678"/>
      <c r="AA1282" s="678"/>
      <c r="AB1282" s="679" t="s">
        <v>159</v>
      </c>
      <c r="AC1282" s="679"/>
      <c r="AD1282" s="679"/>
      <c r="AE1282" s="679"/>
      <c r="AF1282" s="680"/>
      <c r="AG1282" s="681"/>
      <c r="AH1282" s="680"/>
      <c r="AI1282" s="681"/>
      <c r="AJ1282" s="682"/>
      <c r="AK1282" s="683"/>
      <c r="AL1282" s="684" t="s">
        <v>162</v>
      </c>
      <c r="AM1282" s="685"/>
      <c r="AN1282" s="666" t="s">
        <v>162</v>
      </c>
      <c r="AO1282" s="667"/>
      <c r="AP1282" s="686"/>
      <c r="AQ1282" s="687"/>
      <c r="AR1282" s="688"/>
      <c r="AS1282" s="689"/>
      <c r="AT1282" s="690"/>
      <c r="AU1282" s="691"/>
      <c r="AV1282" s="666" t="s">
        <v>162</v>
      </c>
      <c r="AW1282" s="667"/>
      <c r="AX1282" s="692"/>
      <c r="AY1282" s="693"/>
      <c r="AZ1282" s="694"/>
      <c r="BA1282" s="682"/>
      <c r="BB1282" s="683"/>
      <c r="BC1282" s="14"/>
      <c r="BD1282" s="695" t="s">
        <v>162</v>
      </c>
      <c r="BE1282" s="696"/>
      <c r="BF1282" s="697"/>
      <c r="BG1282" s="698"/>
      <c r="BH1282" s="698"/>
      <c r="BI1282" s="699"/>
      <c r="BJ1282" s="700" t="s">
        <v>159</v>
      </c>
      <c r="BK1282" s="701"/>
      <c r="BL1282" s="701"/>
      <c r="BM1282" s="702"/>
      <c r="BN1282" s="703" t="s">
        <v>159</v>
      </c>
      <c r="BO1282" s="704"/>
      <c r="BP1282" s="704"/>
      <c r="BQ1282" s="704"/>
      <c r="BR1282" s="704"/>
      <c r="BS1282" s="704"/>
      <c r="BT1282" s="704"/>
      <c r="BU1282" s="704"/>
      <c r="BV1282" s="705"/>
    </row>
    <row r="1283" spans="1:74" ht="45" customHeight="1" x14ac:dyDescent="0.25">
      <c r="A1283" s="10">
        <f t="shared" si="19"/>
        <v>1269</v>
      </c>
      <c r="B1283" s="711" t="s">
        <v>159</v>
      </c>
      <c r="C1283" s="711"/>
      <c r="D1283" s="712" t="s">
        <v>212</v>
      </c>
      <c r="E1283" s="712"/>
      <c r="F1283" s="664" t="s">
        <v>162</v>
      </c>
      <c r="G1283" s="665"/>
      <c r="H1283" s="755" t="s">
        <v>162</v>
      </c>
      <c r="I1283" s="667"/>
      <c r="J1283" s="706"/>
      <c r="K1283" s="707"/>
      <c r="L1283" s="706"/>
      <c r="M1283" s="707"/>
      <c r="N1283" s="194"/>
      <c r="O1283" s="196"/>
      <c r="P1283" s="717"/>
      <c r="Q1283" s="718"/>
      <c r="R1283" s="719"/>
      <c r="S1283" s="720"/>
      <c r="T1283" s="721"/>
      <c r="U1283" s="722"/>
      <c r="V1283" s="723"/>
      <c r="W1283" s="724"/>
      <c r="X1283" s="725" t="s">
        <v>159</v>
      </c>
      <c r="Y1283" s="725"/>
      <c r="Z1283" s="725"/>
      <c r="AA1283" s="725"/>
      <c r="AB1283" s="726" t="s">
        <v>159</v>
      </c>
      <c r="AC1283" s="726"/>
      <c r="AD1283" s="726"/>
      <c r="AE1283" s="726"/>
      <c r="AF1283" s="727"/>
      <c r="AG1283" s="728"/>
      <c r="AH1283" s="727"/>
      <c r="AI1283" s="728"/>
      <c r="AJ1283" s="682"/>
      <c r="AK1283" s="683"/>
      <c r="AL1283" s="664" t="s">
        <v>162</v>
      </c>
      <c r="AM1283" s="665"/>
      <c r="AN1283" s="713" t="s">
        <v>162</v>
      </c>
      <c r="AO1283" s="714"/>
      <c r="AP1283" s="729"/>
      <c r="AQ1283" s="730"/>
      <c r="AR1283" s="731"/>
      <c r="AS1283" s="732"/>
      <c r="AT1283" s="690"/>
      <c r="AU1283" s="691"/>
      <c r="AV1283" s="713" t="s">
        <v>162</v>
      </c>
      <c r="AW1283" s="714"/>
      <c r="AX1283" s="692"/>
      <c r="AY1283" s="693"/>
      <c r="AZ1283" s="694"/>
      <c r="BA1283" s="735"/>
      <c r="BB1283" s="736"/>
      <c r="BC1283" s="219"/>
      <c r="BD1283" s="737" t="s">
        <v>162</v>
      </c>
      <c r="BE1283" s="738"/>
      <c r="BF1283" s="739"/>
      <c r="BG1283" s="740"/>
      <c r="BH1283" s="740"/>
      <c r="BI1283" s="741"/>
      <c r="BJ1283" s="742" t="s">
        <v>159</v>
      </c>
      <c r="BK1283" s="743"/>
      <c r="BL1283" s="743"/>
      <c r="BM1283" s="744"/>
      <c r="BN1283" s="703" t="s">
        <v>159</v>
      </c>
      <c r="BO1283" s="704"/>
      <c r="BP1283" s="704"/>
      <c r="BQ1283" s="704"/>
      <c r="BR1283" s="704"/>
      <c r="BS1283" s="704"/>
      <c r="BT1283" s="704"/>
      <c r="BU1283" s="704"/>
      <c r="BV1283" s="705"/>
    </row>
    <row r="1284" spans="1:74" ht="45" customHeight="1" x14ac:dyDescent="0.25">
      <c r="A1284" s="10">
        <f t="shared" si="19"/>
        <v>1270</v>
      </c>
      <c r="B1284" s="662" t="s">
        <v>159</v>
      </c>
      <c r="C1284" s="662"/>
      <c r="D1284" s="663" t="s">
        <v>212</v>
      </c>
      <c r="E1284" s="663"/>
      <c r="F1284" s="664" t="s">
        <v>162</v>
      </c>
      <c r="G1284" s="665"/>
      <c r="H1284" s="754" t="s">
        <v>162</v>
      </c>
      <c r="I1284" s="714"/>
      <c r="J1284" s="715"/>
      <c r="K1284" s="716"/>
      <c r="L1284" s="715"/>
      <c r="M1284" s="716"/>
      <c r="N1284" s="215"/>
      <c r="O1284" s="216"/>
      <c r="P1284" s="670"/>
      <c r="Q1284" s="671"/>
      <c r="R1284" s="672"/>
      <c r="S1284" s="673"/>
      <c r="T1284" s="674"/>
      <c r="U1284" s="675"/>
      <c r="V1284" s="676"/>
      <c r="W1284" s="677"/>
      <c r="X1284" s="678" t="s">
        <v>159</v>
      </c>
      <c r="Y1284" s="678"/>
      <c r="Z1284" s="678"/>
      <c r="AA1284" s="678"/>
      <c r="AB1284" s="679" t="s">
        <v>159</v>
      </c>
      <c r="AC1284" s="679"/>
      <c r="AD1284" s="679"/>
      <c r="AE1284" s="679"/>
      <c r="AF1284" s="680"/>
      <c r="AG1284" s="681"/>
      <c r="AH1284" s="680"/>
      <c r="AI1284" s="681"/>
      <c r="AJ1284" s="682"/>
      <c r="AK1284" s="683"/>
      <c r="AL1284" s="684" t="s">
        <v>162</v>
      </c>
      <c r="AM1284" s="685"/>
      <c r="AN1284" s="666" t="s">
        <v>162</v>
      </c>
      <c r="AO1284" s="667"/>
      <c r="AP1284" s="686"/>
      <c r="AQ1284" s="687"/>
      <c r="AR1284" s="688"/>
      <c r="AS1284" s="689"/>
      <c r="AT1284" s="690"/>
      <c r="AU1284" s="691"/>
      <c r="AV1284" s="666" t="s">
        <v>162</v>
      </c>
      <c r="AW1284" s="667"/>
      <c r="AX1284" s="692"/>
      <c r="AY1284" s="693"/>
      <c r="AZ1284" s="694"/>
      <c r="BA1284" s="682"/>
      <c r="BB1284" s="683"/>
      <c r="BC1284" s="14"/>
      <c r="BD1284" s="695" t="s">
        <v>162</v>
      </c>
      <c r="BE1284" s="696"/>
      <c r="BF1284" s="697"/>
      <c r="BG1284" s="698"/>
      <c r="BH1284" s="698"/>
      <c r="BI1284" s="699"/>
      <c r="BJ1284" s="700" t="s">
        <v>159</v>
      </c>
      <c r="BK1284" s="701"/>
      <c r="BL1284" s="701"/>
      <c r="BM1284" s="702"/>
      <c r="BN1284" s="703" t="s">
        <v>159</v>
      </c>
      <c r="BO1284" s="704"/>
      <c r="BP1284" s="704"/>
      <c r="BQ1284" s="704"/>
      <c r="BR1284" s="704"/>
      <c r="BS1284" s="704"/>
      <c r="BT1284" s="704"/>
      <c r="BU1284" s="704"/>
      <c r="BV1284" s="705"/>
    </row>
    <row r="1285" spans="1:74" ht="45" customHeight="1" x14ac:dyDescent="0.25">
      <c r="A1285" s="10">
        <f t="shared" si="19"/>
        <v>1271</v>
      </c>
      <c r="B1285" s="711" t="s">
        <v>159</v>
      </c>
      <c r="C1285" s="711"/>
      <c r="D1285" s="712" t="s">
        <v>212</v>
      </c>
      <c r="E1285" s="712"/>
      <c r="F1285" s="664" t="s">
        <v>162</v>
      </c>
      <c r="G1285" s="665"/>
      <c r="H1285" s="755" t="s">
        <v>162</v>
      </c>
      <c r="I1285" s="667"/>
      <c r="J1285" s="706"/>
      <c r="K1285" s="707"/>
      <c r="L1285" s="706"/>
      <c r="M1285" s="707"/>
      <c r="N1285" s="194"/>
      <c r="O1285" s="216"/>
      <c r="P1285" s="717"/>
      <c r="Q1285" s="718"/>
      <c r="R1285" s="719"/>
      <c r="S1285" s="720"/>
      <c r="T1285" s="721"/>
      <c r="U1285" s="722"/>
      <c r="V1285" s="723"/>
      <c r="W1285" s="724"/>
      <c r="X1285" s="725" t="s">
        <v>159</v>
      </c>
      <c r="Y1285" s="725"/>
      <c r="Z1285" s="725"/>
      <c r="AA1285" s="725"/>
      <c r="AB1285" s="726" t="s">
        <v>159</v>
      </c>
      <c r="AC1285" s="726"/>
      <c r="AD1285" s="726"/>
      <c r="AE1285" s="726"/>
      <c r="AF1285" s="727"/>
      <c r="AG1285" s="728"/>
      <c r="AH1285" s="727"/>
      <c r="AI1285" s="728"/>
      <c r="AJ1285" s="682"/>
      <c r="AK1285" s="683"/>
      <c r="AL1285" s="664" t="s">
        <v>162</v>
      </c>
      <c r="AM1285" s="665"/>
      <c r="AN1285" s="713" t="s">
        <v>162</v>
      </c>
      <c r="AO1285" s="714"/>
      <c r="AP1285" s="729"/>
      <c r="AQ1285" s="730"/>
      <c r="AR1285" s="731"/>
      <c r="AS1285" s="732"/>
      <c r="AT1285" s="733"/>
      <c r="AU1285" s="734"/>
      <c r="AV1285" s="713" t="s">
        <v>162</v>
      </c>
      <c r="AW1285" s="714"/>
      <c r="AX1285" s="692"/>
      <c r="AY1285" s="693"/>
      <c r="AZ1285" s="694"/>
      <c r="BA1285" s="735"/>
      <c r="BB1285" s="736"/>
      <c r="BC1285" s="219"/>
      <c r="BD1285" s="737" t="s">
        <v>162</v>
      </c>
      <c r="BE1285" s="738"/>
      <c r="BF1285" s="739"/>
      <c r="BG1285" s="740"/>
      <c r="BH1285" s="740"/>
      <c r="BI1285" s="741"/>
      <c r="BJ1285" s="742" t="s">
        <v>159</v>
      </c>
      <c r="BK1285" s="743"/>
      <c r="BL1285" s="743"/>
      <c r="BM1285" s="744"/>
      <c r="BN1285" s="703" t="s">
        <v>159</v>
      </c>
      <c r="BO1285" s="704"/>
      <c r="BP1285" s="704"/>
      <c r="BQ1285" s="704"/>
      <c r="BR1285" s="704"/>
      <c r="BS1285" s="704"/>
      <c r="BT1285" s="704"/>
      <c r="BU1285" s="704"/>
      <c r="BV1285" s="705"/>
    </row>
    <row r="1286" spans="1:74" ht="45" customHeight="1" x14ac:dyDescent="0.25">
      <c r="A1286" s="10">
        <f t="shared" si="19"/>
        <v>1272</v>
      </c>
      <c r="B1286" s="662" t="s">
        <v>159</v>
      </c>
      <c r="C1286" s="662"/>
      <c r="D1286" s="663" t="s">
        <v>212</v>
      </c>
      <c r="E1286" s="663"/>
      <c r="F1286" s="664" t="s">
        <v>162</v>
      </c>
      <c r="G1286" s="665"/>
      <c r="H1286" s="754" t="s">
        <v>162</v>
      </c>
      <c r="I1286" s="714"/>
      <c r="J1286" s="715"/>
      <c r="K1286" s="716"/>
      <c r="L1286" s="715"/>
      <c r="M1286" s="716"/>
      <c r="N1286" s="215"/>
      <c r="O1286" s="196"/>
      <c r="P1286" s="670"/>
      <c r="Q1286" s="671"/>
      <c r="R1286" s="672"/>
      <c r="S1286" s="673"/>
      <c r="T1286" s="674"/>
      <c r="U1286" s="675"/>
      <c r="V1286" s="676"/>
      <c r="W1286" s="677"/>
      <c r="X1286" s="678" t="s">
        <v>159</v>
      </c>
      <c r="Y1286" s="678"/>
      <c r="Z1286" s="678"/>
      <c r="AA1286" s="678"/>
      <c r="AB1286" s="679" t="s">
        <v>159</v>
      </c>
      <c r="AC1286" s="679"/>
      <c r="AD1286" s="679"/>
      <c r="AE1286" s="679"/>
      <c r="AF1286" s="680"/>
      <c r="AG1286" s="681"/>
      <c r="AH1286" s="680"/>
      <c r="AI1286" s="681"/>
      <c r="AJ1286" s="682"/>
      <c r="AK1286" s="683"/>
      <c r="AL1286" s="684" t="s">
        <v>162</v>
      </c>
      <c r="AM1286" s="685"/>
      <c r="AN1286" s="666" t="s">
        <v>162</v>
      </c>
      <c r="AO1286" s="667"/>
      <c r="AP1286" s="686"/>
      <c r="AQ1286" s="687"/>
      <c r="AR1286" s="688"/>
      <c r="AS1286" s="689"/>
      <c r="AT1286" s="690"/>
      <c r="AU1286" s="691"/>
      <c r="AV1286" s="666" t="s">
        <v>162</v>
      </c>
      <c r="AW1286" s="667"/>
      <c r="AX1286" s="692"/>
      <c r="AY1286" s="693"/>
      <c r="AZ1286" s="694"/>
      <c r="BA1286" s="682"/>
      <c r="BB1286" s="683"/>
      <c r="BC1286" s="14"/>
      <c r="BD1286" s="695" t="s">
        <v>162</v>
      </c>
      <c r="BE1286" s="696"/>
      <c r="BF1286" s="708"/>
      <c r="BG1286" s="709"/>
      <c r="BH1286" s="709"/>
      <c r="BI1286" s="710"/>
      <c r="BJ1286" s="700" t="s">
        <v>159</v>
      </c>
      <c r="BK1286" s="701"/>
      <c r="BL1286" s="701"/>
      <c r="BM1286" s="702"/>
      <c r="BN1286" s="703" t="s">
        <v>159</v>
      </c>
      <c r="BO1286" s="704"/>
      <c r="BP1286" s="704"/>
      <c r="BQ1286" s="704"/>
      <c r="BR1286" s="704"/>
      <c r="BS1286" s="704"/>
      <c r="BT1286" s="704"/>
      <c r="BU1286" s="704"/>
      <c r="BV1286" s="705"/>
    </row>
    <row r="1287" spans="1:74" ht="45" customHeight="1" x14ac:dyDescent="0.25">
      <c r="A1287" s="10">
        <f t="shared" si="19"/>
        <v>1273</v>
      </c>
      <c r="B1287" s="711" t="s">
        <v>159</v>
      </c>
      <c r="C1287" s="711"/>
      <c r="D1287" s="712" t="s">
        <v>212</v>
      </c>
      <c r="E1287" s="712"/>
      <c r="F1287" s="664" t="s">
        <v>162</v>
      </c>
      <c r="G1287" s="665"/>
      <c r="H1287" s="755" t="s">
        <v>162</v>
      </c>
      <c r="I1287" s="667"/>
      <c r="J1287" s="706"/>
      <c r="K1287" s="707"/>
      <c r="L1287" s="706"/>
      <c r="M1287" s="707"/>
      <c r="N1287" s="194"/>
      <c r="O1287" s="216"/>
      <c r="P1287" s="717"/>
      <c r="Q1287" s="718"/>
      <c r="R1287" s="719"/>
      <c r="S1287" s="720"/>
      <c r="T1287" s="721"/>
      <c r="U1287" s="722"/>
      <c r="V1287" s="723"/>
      <c r="W1287" s="724"/>
      <c r="X1287" s="725" t="s">
        <v>159</v>
      </c>
      <c r="Y1287" s="725"/>
      <c r="Z1287" s="725"/>
      <c r="AA1287" s="725"/>
      <c r="AB1287" s="726" t="s">
        <v>159</v>
      </c>
      <c r="AC1287" s="726"/>
      <c r="AD1287" s="726"/>
      <c r="AE1287" s="726"/>
      <c r="AF1287" s="727"/>
      <c r="AG1287" s="728"/>
      <c r="AH1287" s="727"/>
      <c r="AI1287" s="728"/>
      <c r="AJ1287" s="682"/>
      <c r="AK1287" s="683"/>
      <c r="AL1287" s="664" t="s">
        <v>162</v>
      </c>
      <c r="AM1287" s="665"/>
      <c r="AN1287" s="713" t="s">
        <v>162</v>
      </c>
      <c r="AO1287" s="714"/>
      <c r="AP1287" s="729"/>
      <c r="AQ1287" s="730"/>
      <c r="AR1287" s="731"/>
      <c r="AS1287" s="732"/>
      <c r="AT1287" s="733"/>
      <c r="AU1287" s="734"/>
      <c r="AV1287" s="713" t="s">
        <v>162</v>
      </c>
      <c r="AW1287" s="714"/>
      <c r="AX1287" s="692"/>
      <c r="AY1287" s="693"/>
      <c r="AZ1287" s="694"/>
      <c r="BA1287" s="735"/>
      <c r="BB1287" s="736"/>
      <c r="BC1287" s="219"/>
      <c r="BD1287" s="737" t="s">
        <v>162</v>
      </c>
      <c r="BE1287" s="738"/>
      <c r="BF1287" s="739"/>
      <c r="BG1287" s="740"/>
      <c r="BH1287" s="740"/>
      <c r="BI1287" s="741"/>
      <c r="BJ1287" s="742" t="s">
        <v>159</v>
      </c>
      <c r="BK1287" s="743"/>
      <c r="BL1287" s="743"/>
      <c r="BM1287" s="744"/>
      <c r="BN1287" s="703" t="s">
        <v>159</v>
      </c>
      <c r="BO1287" s="704"/>
      <c r="BP1287" s="704"/>
      <c r="BQ1287" s="704"/>
      <c r="BR1287" s="704"/>
      <c r="BS1287" s="704"/>
      <c r="BT1287" s="704"/>
      <c r="BU1287" s="704"/>
      <c r="BV1287" s="705"/>
    </row>
    <row r="1288" spans="1:74" ht="45" customHeight="1" x14ac:dyDescent="0.25">
      <c r="A1288" s="10">
        <f t="shared" si="19"/>
        <v>1274</v>
      </c>
      <c r="B1288" s="662" t="s">
        <v>159</v>
      </c>
      <c r="C1288" s="662"/>
      <c r="D1288" s="663" t="s">
        <v>212</v>
      </c>
      <c r="E1288" s="663"/>
      <c r="F1288" s="664" t="s">
        <v>162</v>
      </c>
      <c r="G1288" s="665"/>
      <c r="H1288" s="754" t="s">
        <v>162</v>
      </c>
      <c r="I1288" s="714"/>
      <c r="J1288" s="715"/>
      <c r="K1288" s="716"/>
      <c r="L1288" s="715"/>
      <c r="M1288" s="716"/>
      <c r="N1288" s="215"/>
      <c r="O1288" s="196"/>
      <c r="P1288" s="670"/>
      <c r="Q1288" s="671"/>
      <c r="R1288" s="672"/>
      <c r="S1288" s="673"/>
      <c r="T1288" s="674"/>
      <c r="U1288" s="675"/>
      <c r="V1288" s="676"/>
      <c r="W1288" s="677"/>
      <c r="X1288" s="678" t="s">
        <v>159</v>
      </c>
      <c r="Y1288" s="678"/>
      <c r="Z1288" s="678"/>
      <c r="AA1288" s="678"/>
      <c r="AB1288" s="679" t="s">
        <v>159</v>
      </c>
      <c r="AC1288" s="679"/>
      <c r="AD1288" s="679"/>
      <c r="AE1288" s="679"/>
      <c r="AF1288" s="680"/>
      <c r="AG1288" s="681"/>
      <c r="AH1288" s="680"/>
      <c r="AI1288" s="681"/>
      <c r="AJ1288" s="682"/>
      <c r="AK1288" s="683"/>
      <c r="AL1288" s="684" t="s">
        <v>162</v>
      </c>
      <c r="AM1288" s="685"/>
      <c r="AN1288" s="666" t="s">
        <v>162</v>
      </c>
      <c r="AO1288" s="667"/>
      <c r="AP1288" s="686"/>
      <c r="AQ1288" s="687"/>
      <c r="AR1288" s="688"/>
      <c r="AS1288" s="689"/>
      <c r="AT1288" s="690"/>
      <c r="AU1288" s="691"/>
      <c r="AV1288" s="666" t="s">
        <v>162</v>
      </c>
      <c r="AW1288" s="667"/>
      <c r="AX1288" s="692"/>
      <c r="AY1288" s="693"/>
      <c r="AZ1288" s="694"/>
      <c r="BA1288" s="682"/>
      <c r="BB1288" s="683"/>
      <c r="BC1288" s="14"/>
      <c r="BD1288" s="695" t="s">
        <v>162</v>
      </c>
      <c r="BE1288" s="696"/>
      <c r="BF1288" s="697"/>
      <c r="BG1288" s="698"/>
      <c r="BH1288" s="698"/>
      <c r="BI1288" s="699"/>
      <c r="BJ1288" s="700" t="s">
        <v>159</v>
      </c>
      <c r="BK1288" s="701"/>
      <c r="BL1288" s="701"/>
      <c r="BM1288" s="702"/>
      <c r="BN1288" s="703" t="s">
        <v>159</v>
      </c>
      <c r="BO1288" s="704"/>
      <c r="BP1288" s="704"/>
      <c r="BQ1288" s="704"/>
      <c r="BR1288" s="704"/>
      <c r="BS1288" s="704"/>
      <c r="BT1288" s="704"/>
      <c r="BU1288" s="704"/>
      <c r="BV1288" s="705"/>
    </row>
    <row r="1289" spans="1:74" ht="45" customHeight="1" x14ac:dyDescent="0.25">
      <c r="A1289" s="10">
        <f t="shared" si="19"/>
        <v>1275</v>
      </c>
      <c r="B1289" s="711" t="s">
        <v>159</v>
      </c>
      <c r="C1289" s="711"/>
      <c r="D1289" s="712" t="s">
        <v>212</v>
      </c>
      <c r="E1289" s="712"/>
      <c r="F1289" s="664" t="s">
        <v>162</v>
      </c>
      <c r="G1289" s="665"/>
      <c r="H1289" s="755" t="s">
        <v>162</v>
      </c>
      <c r="I1289" s="667"/>
      <c r="J1289" s="706"/>
      <c r="K1289" s="707"/>
      <c r="L1289" s="706"/>
      <c r="M1289" s="707"/>
      <c r="N1289" s="194"/>
      <c r="O1289" s="216"/>
      <c r="P1289" s="717"/>
      <c r="Q1289" s="718"/>
      <c r="R1289" s="719"/>
      <c r="S1289" s="720"/>
      <c r="T1289" s="721"/>
      <c r="U1289" s="722"/>
      <c r="V1289" s="723"/>
      <c r="W1289" s="724"/>
      <c r="X1289" s="725" t="s">
        <v>159</v>
      </c>
      <c r="Y1289" s="725"/>
      <c r="Z1289" s="725"/>
      <c r="AA1289" s="725"/>
      <c r="AB1289" s="726" t="s">
        <v>159</v>
      </c>
      <c r="AC1289" s="726"/>
      <c r="AD1289" s="726"/>
      <c r="AE1289" s="726"/>
      <c r="AF1289" s="727"/>
      <c r="AG1289" s="728"/>
      <c r="AH1289" s="727"/>
      <c r="AI1289" s="728"/>
      <c r="AJ1289" s="682"/>
      <c r="AK1289" s="683"/>
      <c r="AL1289" s="664" t="s">
        <v>162</v>
      </c>
      <c r="AM1289" s="665"/>
      <c r="AN1289" s="713" t="s">
        <v>162</v>
      </c>
      <c r="AO1289" s="714"/>
      <c r="AP1289" s="729"/>
      <c r="AQ1289" s="730"/>
      <c r="AR1289" s="731"/>
      <c r="AS1289" s="732"/>
      <c r="AT1289" s="733"/>
      <c r="AU1289" s="734"/>
      <c r="AV1289" s="713" t="s">
        <v>162</v>
      </c>
      <c r="AW1289" s="714"/>
      <c r="AX1289" s="692"/>
      <c r="AY1289" s="693"/>
      <c r="AZ1289" s="694"/>
      <c r="BA1289" s="735"/>
      <c r="BB1289" s="736"/>
      <c r="BC1289" s="219"/>
      <c r="BD1289" s="737" t="s">
        <v>162</v>
      </c>
      <c r="BE1289" s="738"/>
      <c r="BF1289" s="739"/>
      <c r="BG1289" s="740"/>
      <c r="BH1289" s="740"/>
      <c r="BI1289" s="741"/>
      <c r="BJ1289" s="742" t="s">
        <v>159</v>
      </c>
      <c r="BK1289" s="743"/>
      <c r="BL1289" s="743"/>
      <c r="BM1289" s="744"/>
      <c r="BN1289" s="703" t="s">
        <v>159</v>
      </c>
      <c r="BO1289" s="704"/>
      <c r="BP1289" s="704"/>
      <c r="BQ1289" s="704"/>
      <c r="BR1289" s="704"/>
      <c r="BS1289" s="704"/>
      <c r="BT1289" s="704"/>
      <c r="BU1289" s="704"/>
      <c r="BV1289" s="705"/>
    </row>
    <row r="1290" spans="1:74" ht="45" customHeight="1" x14ac:dyDescent="0.25">
      <c r="A1290" s="10">
        <f t="shared" si="19"/>
        <v>1276</v>
      </c>
      <c r="B1290" s="662" t="s">
        <v>159</v>
      </c>
      <c r="C1290" s="662"/>
      <c r="D1290" s="663" t="s">
        <v>212</v>
      </c>
      <c r="E1290" s="663"/>
      <c r="F1290" s="664" t="s">
        <v>162</v>
      </c>
      <c r="G1290" s="665"/>
      <c r="H1290" s="754" t="s">
        <v>162</v>
      </c>
      <c r="I1290" s="714"/>
      <c r="J1290" s="715"/>
      <c r="K1290" s="716"/>
      <c r="L1290" s="715"/>
      <c r="M1290" s="716"/>
      <c r="N1290" s="215"/>
      <c r="O1290" s="196"/>
      <c r="P1290" s="670"/>
      <c r="Q1290" s="671"/>
      <c r="R1290" s="672"/>
      <c r="S1290" s="673"/>
      <c r="T1290" s="674"/>
      <c r="U1290" s="675"/>
      <c r="V1290" s="676"/>
      <c r="W1290" s="677"/>
      <c r="X1290" s="678" t="s">
        <v>159</v>
      </c>
      <c r="Y1290" s="678"/>
      <c r="Z1290" s="678"/>
      <c r="AA1290" s="678"/>
      <c r="AB1290" s="679" t="s">
        <v>159</v>
      </c>
      <c r="AC1290" s="679"/>
      <c r="AD1290" s="679"/>
      <c r="AE1290" s="679"/>
      <c r="AF1290" s="680"/>
      <c r="AG1290" s="681"/>
      <c r="AH1290" s="680"/>
      <c r="AI1290" s="681"/>
      <c r="AJ1290" s="682"/>
      <c r="AK1290" s="683"/>
      <c r="AL1290" s="684" t="s">
        <v>162</v>
      </c>
      <c r="AM1290" s="685"/>
      <c r="AN1290" s="666" t="s">
        <v>162</v>
      </c>
      <c r="AO1290" s="667"/>
      <c r="AP1290" s="686"/>
      <c r="AQ1290" s="687"/>
      <c r="AR1290" s="688"/>
      <c r="AS1290" s="689"/>
      <c r="AT1290" s="690"/>
      <c r="AU1290" s="691"/>
      <c r="AV1290" s="666" t="s">
        <v>162</v>
      </c>
      <c r="AW1290" s="667"/>
      <c r="AX1290" s="692"/>
      <c r="AY1290" s="693"/>
      <c r="AZ1290" s="694"/>
      <c r="BA1290" s="682"/>
      <c r="BB1290" s="683"/>
      <c r="BC1290" s="14"/>
      <c r="BD1290" s="695" t="s">
        <v>162</v>
      </c>
      <c r="BE1290" s="696"/>
      <c r="BF1290" s="697"/>
      <c r="BG1290" s="698"/>
      <c r="BH1290" s="698"/>
      <c r="BI1290" s="699"/>
      <c r="BJ1290" s="700" t="s">
        <v>159</v>
      </c>
      <c r="BK1290" s="701"/>
      <c r="BL1290" s="701"/>
      <c r="BM1290" s="702"/>
      <c r="BN1290" s="703" t="s">
        <v>159</v>
      </c>
      <c r="BO1290" s="704"/>
      <c r="BP1290" s="704"/>
      <c r="BQ1290" s="704"/>
      <c r="BR1290" s="704"/>
      <c r="BS1290" s="704"/>
      <c r="BT1290" s="704"/>
      <c r="BU1290" s="704"/>
      <c r="BV1290" s="705"/>
    </row>
    <row r="1291" spans="1:74" ht="45" customHeight="1" x14ac:dyDescent="0.25">
      <c r="A1291" s="10">
        <f t="shared" si="19"/>
        <v>1277</v>
      </c>
      <c r="B1291" s="711" t="s">
        <v>159</v>
      </c>
      <c r="C1291" s="711"/>
      <c r="D1291" s="712" t="s">
        <v>212</v>
      </c>
      <c r="E1291" s="712"/>
      <c r="F1291" s="664" t="s">
        <v>162</v>
      </c>
      <c r="G1291" s="665"/>
      <c r="H1291" s="755" t="s">
        <v>162</v>
      </c>
      <c r="I1291" s="667"/>
      <c r="J1291" s="706"/>
      <c r="K1291" s="707"/>
      <c r="L1291" s="706"/>
      <c r="M1291" s="707"/>
      <c r="N1291" s="194"/>
      <c r="O1291" s="216"/>
      <c r="P1291" s="717"/>
      <c r="Q1291" s="718"/>
      <c r="R1291" s="719"/>
      <c r="S1291" s="720"/>
      <c r="T1291" s="721"/>
      <c r="U1291" s="722"/>
      <c r="V1291" s="723"/>
      <c r="W1291" s="724"/>
      <c r="X1291" s="725" t="s">
        <v>159</v>
      </c>
      <c r="Y1291" s="725"/>
      <c r="Z1291" s="725"/>
      <c r="AA1291" s="725"/>
      <c r="AB1291" s="726" t="s">
        <v>159</v>
      </c>
      <c r="AC1291" s="726"/>
      <c r="AD1291" s="726"/>
      <c r="AE1291" s="726"/>
      <c r="AF1291" s="727"/>
      <c r="AG1291" s="728"/>
      <c r="AH1291" s="727"/>
      <c r="AI1291" s="728"/>
      <c r="AJ1291" s="682"/>
      <c r="AK1291" s="683"/>
      <c r="AL1291" s="664" t="s">
        <v>162</v>
      </c>
      <c r="AM1291" s="665"/>
      <c r="AN1291" s="713" t="s">
        <v>162</v>
      </c>
      <c r="AO1291" s="714"/>
      <c r="AP1291" s="729"/>
      <c r="AQ1291" s="730"/>
      <c r="AR1291" s="731"/>
      <c r="AS1291" s="732"/>
      <c r="AT1291" s="733"/>
      <c r="AU1291" s="734"/>
      <c r="AV1291" s="713" t="s">
        <v>162</v>
      </c>
      <c r="AW1291" s="714"/>
      <c r="AX1291" s="692"/>
      <c r="AY1291" s="693"/>
      <c r="AZ1291" s="694"/>
      <c r="BA1291" s="735"/>
      <c r="BB1291" s="736"/>
      <c r="BC1291" s="219"/>
      <c r="BD1291" s="737" t="s">
        <v>162</v>
      </c>
      <c r="BE1291" s="738"/>
      <c r="BF1291" s="739"/>
      <c r="BG1291" s="740"/>
      <c r="BH1291" s="740"/>
      <c r="BI1291" s="741"/>
      <c r="BJ1291" s="742" t="s">
        <v>159</v>
      </c>
      <c r="BK1291" s="743"/>
      <c r="BL1291" s="743"/>
      <c r="BM1291" s="744"/>
      <c r="BN1291" s="703" t="s">
        <v>159</v>
      </c>
      <c r="BO1291" s="704"/>
      <c r="BP1291" s="704"/>
      <c r="BQ1291" s="704"/>
      <c r="BR1291" s="704"/>
      <c r="BS1291" s="704"/>
      <c r="BT1291" s="704"/>
      <c r="BU1291" s="704"/>
      <c r="BV1291" s="705"/>
    </row>
    <row r="1292" spans="1:74" ht="45" customHeight="1" x14ac:dyDescent="0.25">
      <c r="A1292" s="10">
        <f t="shared" si="19"/>
        <v>1278</v>
      </c>
      <c r="B1292" s="662" t="s">
        <v>159</v>
      </c>
      <c r="C1292" s="662"/>
      <c r="D1292" s="663" t="s">
        <v>212</v>
      </c>
      <c r="E1292" s="663"/>
      <c r="F1292" s="664" t="s">
        <v>162</v>
      </c>
      <c r="G1292" s="665"/>
      <c r="H1292" s="754" t="s">
        <v>162</v>
      </c>
      <c r="I1292" s="714"/>
      <c r="J1292" s="715"/>
      <c r="K1292" s="716"/>
      <c r="L1292" s="715"/>
      <c r="M1292" s="716"/>
      <c r="N1292" s="215"/>
      <c r="O1292" s="196"/>
      <c r="P1292" s="670"/>
      <c r="Q1292" s="671"/>
      <c r="R1292" s="672"/>
      <c r="S1292" s="673"/>
      <c r="T1292" s="674"/>
      <c r="U1292" s="675"/>
      <c r="V1292" s="676"/>
      <c r="W1292" s="677"/>
      <c r="X1292" s="678" t="s">
        <v>159</v>
      </c>
      <c r="Y1292" s="678"/>
      <c r="Z1292" s="678"/>
      <c r="AA1292" s="678"/>
      <c r="AB1292" s="679" t="s">
        <v>159</v>
      </c>
      <c r="AC1292" s="679"/>
      <c r="AD1292" s="679"/>
      <c r="AE1292" s="679"/>
      <c r="AF1292" s="680"/>
      <c r="AG1292" s="681"/>
      <c r="AH1292" s="680"/>
      <c r="AI1292" s="681"/>
      <c r="AJ1292" s="682"/>
      <c r="AK1292" s="683"/>
      <c r="AL1292" s="684" t="s">
        <v>162</v>
      </c>
      <c r="AM1292" s="685"/>
      <c r="AN1292" s="666" t="s">
        <v>162</v>
      </c>
      <c r="AO1292" s="667"/>
      <c r="AP1292" s="686"/>
      <c r="AQ1292" s="687"/>
      <c r="AR1292" s="688"/>
      <c r="AS1292" s="689"/>
      <c r="AT1292" s="690"/>
      <c r="AU1292" s="691"/>
      <c r="AV1292" s="666" t="s">
        <v>162</v>
      </c>
      <c r="AW1292" s="667"/>
      <c r="AX1292" s="692"/>
      <c r="AY1292" s="693"/>
      <c r="AZ1292" s="694"/>
      <c r="BA1292" s="682"/>
      <c r="BB1292" s="683"/>
      <c r="BC1292" s="14"/>
      <c r="BD1292" s="695" t="s">
        <v>162</v>
      </c>
      <c r="BE1292" s="696"/>
      <c r="BF1292" s="708"/>
      <c r="BG1292" s="709"/>
      <c r="BH1292" s="709"/>
      <c r="BI1292" s="710"/>
      <c r="BJ1292" s="700" t="s">
        <v>159</v>
      </c>
      <c r="BK1292" s="701"/>
      <c r="BL1292" s="701"/>
      <c r="BM1292" s="702"/>
      <c r="BN1292" s="703" t="s">
        <v>159</v>
      </c>
      <c r="BO1292" s="704"/>
      <c r="BP1292" s="704"/>
      <c r="BQ1292" s="704"/>
      <c r="BR1292" s="704"/>
      <c r="BS1292" s="704"/>
      <c r="BT1292" s="704"/>
      <c r="BU1292" s="704"/>
      <c r="BV1292" s="705"/>
    </row>
    <row r="1293" spans="1:74" ht="45" customHeight="1" x14ac:dyDescent="0.25">
      <c r="A1293" s="10">
        <f t="shared" si="19"/>
        <v>1279</v>
      </c>
      <c r="B1293" s="711" t="s">
        <v>159</v>
      </c>
      <c r="C1293" s="711"/>
      <c r="D1293" s="712" t="s">
        <v>212</v>
      </c>
      <c r="E1293" s="712"/>
      <c r="F1293" s="664" t="s">
        <v>162</v>
      </c>
      <c r="G1293" s="665"/>
      <c r="H1293" s="755" t="s">
        <v>162</v>
      </c>
      <c r="I1293" s="667"/>
      <c r="J1293" s="706"/>
      <c r="K1293" s="707"/>
      <c r="L1293" s="706"/>
      <c r="M1293" s="707"/>
      <c r="N1293" s="194"/>
      <c r="O1293" s="216"/>
      <c r="P1293" s="717"/>
      <c r="Q1293" s="718"/>
      <c r="R1293" s="719"/>
      <c r="S1293" s="720"/>
      <c r="T1293" s="721"/>
      <c r="U1293" s="722"/>
      <c r="V1293" s="723"/>
      <c r="W1293" s="724"/>
      <c r="X1293" s="725" t="s">
        <v>159</v>
      </c>
      <c r="Y1293" s="725"/>
      <c r="Z1293" s="725"/>
      <c r="AA1293" s="725"/>
      <c r="AB1293" s="726" t="s">
        <v>159</v>
      </c>
      <c r="AC1293" s="726"/>
      <c r="AD1293" s="726"/>
      <c r="AE1293" s="726"/>
      <c r="AF1293" s="727"/>
      <c r="AG1293" s="728"/>
      <c r="AH1293" s="727"/>
      <c r="AI1293" s="728"/>
      <c r="AJ1293" s="682"/>
      <c r="AK1293" s="683"/>
      <c r="AL1293" s="664" t="s">
        <v>162</v>
      </c>
      <c r="AM1293" s="665"/>
      <c r="AN1293" s="713" t="s">
        <v>162</v>
      </c>
      <c r="AO1293" s="714"/>
      <c r="AP1293" s="729"/>
      <c r="AQ1293" s="730"/>
      <c r="AR1293" s="731"/>
      <c r="AS1293" s="732"/>
      <c r="AT1293" s="733"/>
      <c r="AU1293" s="734"/>
      <c r="AV1293" s="713" t="s">
        <v>162</v>
      </c>
      <c r="AW1293" s="714"/>
      <c r="AX1293" s="692"/>
      <c r="AY1293" s="693"/>
      <c r="AZ1293" s="694"/>
      <c r="BA1293" s="735"/>
      <c r="BB1293" s="736"/>
      <c r="BC1293" s="219"/>
      <c r="BD1293" s="737" t="s">
        <v>162</v>
      </c>
      <c r="BE1293" s="738"/>
      <c r="BF1293" s="739"/>
      <c r="BG1293" s="740"/>
      <c r="BH1293" s="740"/>
      <c r="BI1293" s="741"/>
      <c r="BJ1293" s="742" t="s">
        <v>159</v>
      </c>
      <c r="BK1293" s="743"/>
      <c r="BL1293" s="743"/>
      <c r="BM1293" s="744"/>
      <c r="BN1293" s="703" t="s">
        <v>159</v>
      </c>
      <c r="BO1293" s="704"/>
      <c r="BP1293" s="704"/>
      <c r="BQ1293" s="704"/>
      <c r="BR1293" s="704"/>
      <c r="BS1293" s="704"/>
      <c r="BT1293" s="704"/>
      <c r="BU1293" s="704"/>
      <c r="BV1293" s="705"/>
    </row>
    <row r="1294" spans="1:74" ht="45" customHeight="1" x14ac:dyDescent="0.25">
      <c r="A1294" s="10">
        <f t="shared" si="19"/>
        <v>1280</v>
      </c>
      <c r="B1294" s="662" t="s">
        <v>159</v>
      </c>
      <c r="C1294" s="662"/>
      <c r="D1294" s="663" t="s">
        <v>212</v>
      </c>
      <c r="E1294" s="663"/>
      <c r="F1294" s="664" t="s">
        <v>162</v>
      </c>
      <c r="G1294" s="665"/>
      <c r="H1294" s="754" t="s">
        <v>162</v>
      </c>
      <c r="I1294" s="714"/>
      <c r="J1294" s="715"/>
      <c r="K1294" s="716"/>
      <c r="L1294" s="715"/>
      <c r="M1294" s="716"/>
      <c r="N1294" s="215"/>
      <c r="O1294" s="196"/>
      <c r="P1294" s="670"/>
      <c r="Q1294" s="671"/>
      <c r="R1294" s="672"/>
      <c r="S1294" s="673"/>
      <c r="T1294" s="674"/>
      <c r="U1294" s="675"/>
      <c r="V1294" s="676"/>
      <c r="W1294" s="677"/>
      <c r="X1294" s="678" t="s">
        <v>159</v>
      </c>
      <c r="Y1294" s="678"/>
      <c r="Z1294" s="678"/>
      <c r="AA1294" s="678"/>
      <c r="AB1294" s="679" t="s">
        <v>159</v>
      </c>
      <c r="AC1294" s="679"/>
      <c r="AD1294" s="679"/>
      <c r="AE1294" s="679"/>
      <c r="AF1294" s="680"/>
      <c r="AG1294" s="681"/>
      <c r="AH1294" s="680"/>
      <c r="AI1294" s="681"/>
      <c r="AJ1294" s="682"/>
      <c r="AK1294" s="683"/>
      <c r="AL1294" s="684" t="s">
        <v>162</v>
      </c>
      <c r="AM1294" s="685"/>
      <c r="AN1294" s="666" t="s">
        <v>162</v>
      </c>
      <c r="AO1294" s="667"/>
      <c r="AP1294" s="686"/>
      <c r="AQ1294" s="687"/>
      <c r="AR1294" s="688"/>
      <c r="AS1294" s="689"/>
      <c r="AT1294" s="690"/>
      <c r="AU1294" s="691"/>
      <c r="AV1294" s="666" t="s">
        <v>162</v>
      </c>
      <c r="AW1294" s="667"/>
      <c r="AX1294" s="692"/>
      <c r="AY1294" s="693"/>
      <c r="AZ1294" s="694"/>
      <c r="BA1294" s="682"/>
      <c r="BB1294" s="683"/>
      <c r="BC1294" s="14"/>
      <c r="BD1294" s="695" t="s">
        <v>162</v>
      </c>
      <c r="BE1294" s="696"/>
      <c r="BF1294" s="697"/>
      <c r="BG1294" s="698"/>
      <c r="BH1294" s="698"/>
      <c r="BI1294" s="699"/>
      <c r="BJ1294" s="700" t="s">
        <v>159</v>
      </c>
      <c r="BK1294" s="701"/>
      <c r="BL1294" s="701"/>
      <c r="BM1294" s="702"/>
      <c r="BN1294" s="703" t="s">
        <v>159</v>
      </c>
      <c r="BO1294" s="704"/>
      <c r="BP1294" s="704"/>
      <c r="BQ1294" s="704"/>
      <c r="BR1294" s="704"/>
      <c r="BS1294" s="704"/>
      <c r="BT1294" s="704"/>
      <c r="BU1294" s="704"/>
      <c r="BV1294" s="705"/>
    </row>
    <row r="1295" spans="1:74" ht="45" customHeight="1" x14ac:dyDescent="0.25">
      <c r="A1295" s="10">
        <f t="shared" ref="A1295:A1358" si="20">ROW(A1281)</f>
        <v>1281</v>
      </c>
      <c r="B1295" s="711" t="s">
        <v>159</v>
      </c>
      <c r="C1295" s="711"/>
      <c r="D1295" s="712" t="s">
        <v>212</v>
      </c>
      <c r="E1295" s="712"/>
      <c r="F1295" s="664" t="s">
        <v>162</v>
      </c>
      <c r="G1295" s="665"/>
      <c r="H1295" s="755" t="s">
        <v>162</v>
      </c>
      <c r="I1295" s="667"/>
      <c r="J1295" s="706"/>
      <c r="K1295" s="707"/>
      <c r="L1295" s="706"/>
      <c r="M1295" s="707"/>
      <c r="N1295" s="215"/>
      <c r="O1295" s="216"/>
      <c r="P1295" s="670"/>
      <c r="Q1295" s="671"/>
      <c r="R1295" s="719"/>
      <c r="S1295" s="720"/>
      <c r="T1295" s="721"/>
      <c r="U1295" s="722"/>
      <c r="V1295" s="723"/>
      <c r="W1295" s="724"/>
      <c r="X1295" s="725" t="s">
        <v>159</v>
      </c>
      <c r="Y1295" s="725"/>
      <c r="Z1295" s="725"/>
      <c r="AA1295" s="725"/>
      <c r="AB1295" s="726" t="s">
        <v>159</v>
      </c>
      <c r="AC1295" s="726"/>
      <c r="AD1295" s="726"/>
      <c r="AE1295" s="726"/>
      <c r="AF1295" s="727"/>
      <c r="AG1295" s="728"/>
      <c r="AH1295" s="727"/>
      <c r="AI1295" s="728"/>
      <c r="AJ1295" s="682"/>
      <c r="AK1295" s="683"/>
      <c r="AL1295" s="664" t="s">
        <v>162</v>
      </c>
      <c r="AM1295" s="665"/>
      <c r="AN1295" s="713" t="s">
        <v>162</v>
      </c>
      <c r="AO1295" s="714"/>
      <c r="AP1295" s="729"/>
      <c r="AQ1295" s="730"/>
      <c r="AR1295" s="731"/>
      <c r="AS1295" s="732"/>
      <c r="AT1295" s="690"/>
      <c r="AU1295" s="691"/>
      <c r="AV1295" s="713" t="s">
        <v>162</v>
      </c>
      <c r="AW1295" s="714"/>
      <c r="AX1295" s="692"/>
      <c r="AY1295" s="693"/>
      <c r="AZ1295" s="694"/>
      <c r="BA1295" s="735"/>
      <c r="BB1295" s="736"/>
      <c r="BC1295" s="219"/>
      <c r="BD1295" s="737" t="s">
        <v>162</v>
      </c>
      <c r="BE1295" s="738"/>
      <c r="BF1295" s="739"/>
      <c r="BG1295" s="740"/>
      <c r="BH1295" s="740"/>
      <c r="BI1295" s="741"/>
      <c r="BJ1295" s="742" t="s">
        <v>159</v>
      </c>
      <c r="BK1295" s="743"/>
      <c r="BL1295" s="743"/>
      <c r="BM1295" s="744"/>
      <c r="BN1295" s="703" t="s">
        <v>159</v>
      </c>
      <c r="BO1295" s="704"/>
      <c r="BP1295" s="704"/>
      <c r="BQ1295" s="704"/>
      <c r="BR1295" s="704"/>
      <c r="BS1295" s="704"/>
      <c r="BT1295" s="704"/>
      <c r="BU1295" s="704"/>
      <c r="BV1295" s="705"/>
    </row>
    <row r="1296" spans="1:74" ht="45" customHeight="1" x14ac:dyDescent="0.25">
      <c r="A1296" s="10">
        <f t="shared" si="20"/>
        <v>1282</v>
      </c>
      <c r="B1296" s="662" t="s">
        <v>159</v>
      </c>
      <c r="C1296" s="662"/>
      <c r="D1296" s="663" t="s">
        <v>212</v>
      </c>
      <c r="E1296" s="663"/>
      <c r="F1296" s="664" t="s">
        <v>162</v>
      </c>
      <c r="G1296" s="665"/>
      <c r="H1296" s="754" t="s">
        <v>162</v>
      </c>
      <c r="I1296" s="714"/>
      <c r="J1296" s="715"/>
      <c r="K1296" s="716"/>
      <c r="L1296" s="715"/>
      <c r="M1296" s="716"/>
      <c r="N1296" s="194"/>
      <c r="O1296" s="196"/>
      <c r="P1296" s="717"/>
      <c r="Q1296" s="718"/>
      <c r="R1296" s="672"/>
      <c r="S1296" s="673"/>
      <c r="T1296" s="674"/>
      <c r="U1296" s="675"/>
      <c r="V1296" s="676"/>
      <c r="W1296" s="677"/>
      <c r="X1296" s="678" t="s">
        <v>159</v>
      </c>
      <c r="Y1296" s="678"/>
      <c r="Z1296" s="678"/>
      <c r="AA1296" s="678"/>
      <c r="AB1296" s="679" t="s">
        <v>159</v>
      </c>
      <c r="AC1296" s="679"/>
      <c r="AD1296" s="679"/>
      <c r="AE1296" s="679"/>
      <c r="AF1296" s="680"/>
      <c r="AG1296" s="681"/>
      <c r="AH1296" s="680"/>
      <c r="AI1296" s="681"/>
      <c r="AJ1296" s="682"/>
      <c r="AK1296" s="683"/>
      <c r="AL1296" s="684" t="s">
        <v>162</v>
      </c>
      <c r="AM1296" s="685"/>
      <c r="AN1296" s="666" t="s">
        <v>162</v>
      </c>
      <c r="AO1296" s="667"/>
      <c r="AP1296" s="686"/>
      <c r="AQ1296" s="687"/>
      <c r="AR1296" s="688"/>
      <c r="AS1296" s="689"/>
      <c r="AT1296" s="690"/>
      <c r="AU1296" s="691"/>
      <c r="AV1296" s="666" t="s">
        <v>162</v>
      </c>
      <c r="AW1296" s="667"/>
      <c r="AX1296" s="692"/>
      <c r="AY1296" s="693"/>
      <c r="AZ1296" s="694"/>
      <c r="BA1296" s="682"/>
      <c r="BB1296" s="683"/>
      <c r="BC1296" s="14"/>
      <c r="BD1296" s="695" t="s">
        <v>162</v>
      </c>
      <c r="BE1296" s="696"/>
      <c r="BF1296" s="697"/>
      <c r="BG1296" s="698"/>
      <c r="BH1296" s="698"/>
      <c r="BI1296" s="699"/>
      <c r="BJ1296" s="700" t="s">
        <v>159</v>
      </c>
      <c r="BK1296" s="701"/>
      <c r="BL1296" s="701"/>
      <c r="BM1296" s="702"/>
      <c r="BN1296" s="703" t="s">
        <v>159</v>
      </c>
      <c r="BO1296" s="704"/>
      <c r="BP1296" s="704"/>
      <c r="BQ1296" s="704"/>
      <c r="BR1296" s="704"/>
      <c r="BS1296" s="704"/>
      <c r="BT1296" s="704"/>
      <c r="BU1296" s="704"/>
      <c r="BV1296" s="705"/>
    </row>
    <row r="1297" spans="1:74" ht="45" customHeight="1" x14ac:dyDescent="0.25">
      <c r="A1297" s="10">
        <f t="shared" si="20"/>
        <v>1283</v>
      </c>
      <c r="B1297" s="711" t="s">
        <v>159</v>
      </c>
      <c r="C1297" s="711"/>
      <c r="D1297" s="712" t="s">
        <v>212</v>
      </c>
      <c r="E1297" s="712"/>
      <c r="F1297" s="664" t="s">
        <v>162</v>
      </c>
      <c r="G1297" s="665"/>
      <c r="H1297" s="755" t="s">
        <v>162</v>
      </c>
      <c r="I1297" s="667"/>
      <c r="J1297" s="706"/>
      <c r="K1297" s="707"/>
      <c r="L1297" s="706"/>
      <c r="M1297" s="707"/>
      <c r="N1297" s="215"/>
      <c r="O1297" s="216"/>
      <c r="P1297" s="670"/>
      <c r="Q1297" s="671"/>
      <c r="R1297" s="719"/>
      <c r="S1297" s="720"/>
      <c r="T1297" s="721"/>
      <c r="U1297" s="722"/>
      <c r="V1297" s="723"/>
      <c r="W1297" s="724"/>
      <c r="X1297" s="725" t="s">
        <v>159</v>
      </c>
      <c r="Y1297" s="725"/>
      <c r="Z1297" s="725"/>
      <c r="AA1297" s="725"/>
      <c r="AB1297" s="726" t="s">
        <v>159</v>
      </c>
      <c r="AC1297" s="726"/>
      <c r="AD1297" s="726"/>
      <c r="AE1297" s="726"/>
      <c r="AF1297" s="727"/>
      <c r="AG1297" s="728"/>
      <c r="AH1297" s="727"/>
      <c r="AI1297" s="728"/>
      <c r="AJ1297" s="682"/>
      <c r="AK1297" s="683"/>
      <c r="AL1297" s="664" t="s">
        <v>162</v>
      </c>
      <c r="AM1297" s="665"/>
      <c r="AN1297" s="713" t="s">
        <v>162</v>
      </c>
      <c r="AO1297" s="714"/>
      <c r="AP1297" s="729"/>
      <c r="AQ1297" s="730"/>
      <c r="AR1297" s="731"/>
      <c r="AS1297" s="732"/>
      <c r="AT1297" s="690"/>
      <c r="AU1297" s="691"/>
      <c r="AV1297" s="713" t="s">
        <v>162</v>
      </c>
      <c r="AW1297" s="714"/>
      <c r="AX1297" s="692"/>
      <c r="AY1297" s="693"/>
      <c r="AZ1297" s="694"/>
      <c r="BA1297" s="735"/>
      <c r="BB1297" s="736"/>
      <c r="BC1297" s="219"/>
      <c r="BD1297" s="737" t="s">
        <v>162</v>
      </c>
      <c r="BE1297" s="738"/>
      <c r="BF1297" s="739"/>
      <c r="BG1297" s="740"/>
      <c r="BH1297" s="740"/>
      <c r="BI1297" s="741"/>
      <c r="BJ1297" s="742" t="s">
        <v>159</v>
      </c>
      <c r="BK1297" s="743"/>
      <c r="BL1297" s="743"/>
      <c r="BM1297" s="744"/>
      <c r="BN1297" s="703" t="s">
        <v>159</v>
      </c>
      <c r="BO1297" s="704"/>
      <c r="BP1297" s="704"/>
      <c r="BQ1297" s="704"/>
      <c r="BR1297" s="704"/>
      <c r="BS1297" s="704"/>
      <c r="BT1297" s="704"/>
      <c r="BU1297" s="704"/>
      <c r="BV1297" s="705"/>
    </row>
    <row r="1298" spans="1:74" ht="45" customHeight="1" x14ac:dyDescent="0.25">
      <c r="A1298" s="10">
        <f t="shared" si="20"/>
        <v>1284</v>
      </c>
      <c r="B1298" s="662" t="s">
        <v>159</v>
      </c>
      <c r="C1298" s="662"/>
      <c r="D1298" s="663" t="s">
        <v>212</v>
      </c>
      <c r="E1298" s="663"/>
      <c r="F1298" s="664" t="s">
        <v>162</v>
      </c>
      <c r="G1298" s="665"/>
      <c r="H1298" s="754" t="s">
        <v>162</v>
      </c>
      <c r="I1298" s="714"/>
      <c r="J1298" s="715"/>
      <c r="K1298" s="716"/>
      <c r="L1298" s="715"/>
      <c r="M1298" s="716"/>
      <c r="N1298" s="194"/>
      <c r="O1298" s="196"/>
      <c r="P1298" s="717"/>
      <c r="Q1298" s="718"/>
      <c r="R1298" s="672"/>
      <c r="S1298" s="673"/>
      <c r="T1298" s="674"/>
      <c r="U1298" s="675"/>
      <c r="V1298" s="676"/>
      <c r="W1298" s="677"/>
      <c r="X1298" s="678" t="s">
        <v>159</v>
      </c>
      <c r="Y1298" s="678"/>
      <c r="Z1298" s="678"/>
      <c r="AA1298" s="678"/>
      <c r="AB1298" s="679" t="s">
        <v>159</v>
      </c>
      <c r="AC1298" s="679"/>
      <c r="AD1298" s="679"/>
      <c r="AE1298" s="679"/>
      <c r="AF1298" s="680"/>
      <c r="AG1298" s="681"/>
      <c r="AH1298" s="680"/>
      <c r="AI1298" s="681"/>
      <c r="AJ1298" s="682"/>
      <c r="AK1298" s="683"/>
      <c r="AL1298" s="684" t="s">
        <v>162</v>
      </c>
      <c r="AM1298" s="685"/>
      <c r="AN1298" s="666" t="s">
        <v>162</v>
      </c>
      <c r="AO1298" s="667"/>
      <c r="AP1298" s="686"/>
      <c r="AQ1298" s="687"/>
      <c r="AR1298" s="688"/>
      <c r="AS1298" s="689"/>
      <c r="AT1298" s="690"/>
      <c r="AU1298" s="691"/>
      <c r="AV1298" s="666" t="s">
        <v>162</v>
      </c>
      <c r="AW1298" s="667"/>
      <c r="AX1298" s="692"/>
      <c r="AY1298" s="693"/>
      <c r="AZ1298" s="694"/>
      <c r="BA1298" s="682"/>
      <c r="BB1298" s="683"/>
      <c r="BC1298" s="14"/>
      <c r="BD1298" s="695" t="s">
        <v>162</v>
      </c>
      <c r="BE1298" s="696"/>
      <c r="BF1298" s="697"/>
      <c r="BG1298" s="698"/>
      <c r="BH1298" s="698"/>
      <c r="BI1298" s="699"/>
      <c r="BJ1298" s="700" t="s">
        <v>159</v>
      </c>
      <c r="BK1298" s="701"/>
      <c r="BL1298" s="701"/>
      <c r="BM1298" s="702"/>
      <c r="BN1298" s="703" t="s">
        <v>159</v>
      </c>
      <c r="BO1298" s="704"/>
      <c r="BP1298" s="704"/>
      <c r="BQ1298" s="704"/>
      <c r="BR1298" s="704"/>
      <c r="BS1298" s="704"/>
      <c r="BT1298" s="704"/>
      <c r="BU1298" s="704"/>
      <c r="BV1298" s="705"/>
    </row>
    <row r="1299" spans="1:74" ht="45" customHeight="1" x14ac:dyDescent="0.25">
      <c r="A1299" s="10">
        <f t="shared" si="20"/>
        <v>1285</v>
      </c>
      <c r="B1299" s="711" t="s">
        <v>159</v>
      </c>
      <c r="C1299" s="711"/>
      <c r="D1299" s="712" t="s">
        <v>212</v>
      </c>
      <c r="E1299" s="712"/>
      <c r="F1299" s="664" t="s">
        <v>162</v>
      </c>
      <c r="G1299" s="665"/>
      <c r="H1299" s="755" t="s">
        <v>162</v>
      </c>
      <c r="I1299" s="667"/>
      <c r="J1299" s="706"/>
      <c r="K1299" s="707"/>
      <c r="L1299" s="706"/>
      <c r="M1299" s="707"/>
      <c r="N1299" s="215"/>
      <c r="O1299" s="216"/>
      <c r="P1299" s="670"/>
      <c r="Q1299" s="671"/>
      <c r="R1299" s="719"/>
      <c r="S1299" s="720"/>
      <c r="T1299" s="721"/>
      <c r="U1299" s="722"/>
      <c r="V1299" s="723"/>
      <c r="W1299" s="724"/>
      <c r="X1299" s="725" t="s">
        <v>159</v>
      </c>
      <c r="Y1299" s="725"/>
      <c r="Z1299" s="725"/>
      <c r="AA1299" s="725"/>
      <c r="AB1299" s="726" t="s">
        <v>159</v>
      </c>
      <c r="AC1299" s="726"/>
      <c r="AD1299" s="726"/>
      <c r="AE1299" s="726"/>
      <c r="AF1299" s="727"/>
      <c r="AG1299" s="728"/>
      <c r="AH1299" s="727"/>
      <c r="AI1299" s="728"/>
      <c r="AJ1299" s="682"/>
      <c r="AK1299" s="683"/>
      <c r="AL1299" s="664" t="s">
        <v>162</v>
      </c>
      <c r="AM1299" s="665"/>
      <c r="AN1299" s="713" t="s">
        <v>162</v>
      </c>
      <c r="AO1299" s="714"/>
      <c r="AP1299" s="729"/>
      <c r="AQ1299" s="730"/>
      <c r="AR1299" s="731"/>
      <c r="AS1299" s="732"/>
      <c r="AT1299" s="733"/>
      <c r="AU1299" s="734"/>
      <c r="AV1299" s="713" t="s">
        <v>162</v>
      </c>
      <c r="AW1299" s="714"/>
      <c r="AX1299" s="692"/>
      <c r="AY1299" s="693"/>
      <c r="AZ1299" s="694"/>
      <c r="BA1299" s="735"/>
      <c r="BB1299" s="736"/>
      <c r="BC1299" s="219"/>
      <c r="BD1299" s="737" t="s">
        <v>162</v>
      </c>
      <c r="BE1299" s="738"/>
      <c r="BF1299" s="739"/>
      <c r="BG1299" s="740"/>
      <c r="BH1299" s="740"/>
      <c r="BI1299" s="741"/>
      <c r="BJ1299" s="742" t="s">
        <v>159</v>
      </c>
      <c r="BK1299" s="743"/>
      <c r="BL1299" s="743"/>
      <c r="BM1299" s="744"/>
      <c r="BN1299" s="703" t="s">
        <v>159</v>
      </c>
      <c r="BO1299" s="704"/>
      <c r="BP1299" s="704"/>
      <c r="BQ1299" s="704"/>
      <c r="BR1299" s="704"/>
      <c r="BS1299" s="704"/>
      <c r="BT1299" s="704"/>
      <c r="BU1299" s="704"/>
      <c r="BV1299" s="705"/>
    </row>
    <row r="1300" spans="1:74" ht="45" customHeight="1" x14ac:dyDescent="0.25">
      <c r="A1300" s="10">
        <f t="shared" si="20"/>
        <v>1286</v>
      </c>
      <c r="B1300" s="662" t="s">
        <v>159</v>
      </c>
      <c r="C1300" s="662"/>
      <c r="D1300" s="663" t="s">
        <v>212</v>
      </c>
      <c r="E1300" s="663"/>
      <c r="F1300" s="664" t="s">
        <v>162</v>
      </c>
      <c r="G1300" s="665"/>
      <c r="H1300" s="754" t="s">
        <v>162</v>
      </c>
      <c r="I1300" s="714"/>
      <c r="J1300" s="715"/>
      <c r="K1300" s="716"/>
      <c r="L1300" s="715"/>
      <c r="M1300" s="716"/>
      <c r="N1300" s="194"/>
      <c r="O1300" s="196"/>
      <c r="P1300" s="717"/>
      <c r="Q1300" s="718"/>
      <c r="R1300" s="672"/>
      <c r="S1300" s="673"/>
      <c r="T1300" s="674"/>
      <c r="U1300" s="675"/>
      <c r="V1300" s="676"/>
      <c r="W1300" s="677"/>
      <c r="X1300" s="678" t="s">
        <v>159</v>
      </c>
      <c r="Y1300" s="678"/>
      <c r="Z1300" s="678"/>
      <c r="AA1300" s="678"/>
      <c r="AB1300" s="679" t="s">
        <v>159</v>
      </c>
      <c r="AC1300" s="679"/>
      <c r="AD1300" s="679"/>
      <c r="AE1300" s="679"/>
      <c r="AF1300" s="680"/>
      <c r="AG1300" s="681"/>
      <c r="AH1300" s="680"/>
      <c r="AI1300" s="681"/>
      <c r="AJ1300" s="682"/>
      <c r="AK1300" s="683"/>
      <c r="AL1300" s="684" t="s">
        <v>162</v>
      </c>
      <c r="AM1300" s="685"/>
      <c r="AN1300" s="666" t="s">
        <v>162</v>
      </c>
      <c r="AO1300" s="667"/>
      <c r="AP1300" s="686"/>
      <c r="AQ1300" s="687"/>
      <c r="AR1300" s="688"/>
      <c r="AS1300" s="689"/>
      <c r="AT1300" s="690"/>
      <c r="AU1300" s="691"/>
      <c r="AV1300" s="666" t="s">
        <v>162</v>
      </c>
      <c r="AW1300" s="667"/>
      <c r="AX1300" s="692"/>
      <c r="AY1300" s="693"/>
      <c r="AZ1300" s="694"/>
      <c r="BA1300" s="682"/>
      <c r="BB1300" s="683"/>
      <c r="BC1300" s="14"/>
      <c r="BD1300" s="695" t="s">
        <v>162</v>
      </c>
      <c r="BE1300" s="696"/>
      <c r="BF1300" s="708"/>
      <c r="BG1300" s="709"/>
      <c r="BH1300" s="709"/>
      <c r="BI1300" s="710"/>
      <c r="BJ1300" s="700" t="s">
        <v>159</v>
      </c>
      <c r="BK1300" s="701"/>
      <c r="BL1300" s="701"/>
      <c r="BM1300" s="702"/>
      <c r="BN1300" s="703" t="s">
        <v>159</v>
      </c>
      <c r="BO1300" s="704"/>
      <c r="BP1300" s="704"/>
      <c r="BQ1300" s="704"/>
      <c r="BR1300" s="704"/>
      <c r="BS1300" s="704"/>
      <c r="BT1300" s="704"/>
      <c r="BU1300" s="704"/>
      <c r="BV1300" s="705"/>
    </row>
    <row r="1301" spans="1:74" ht="45" customHeight="1" x14ac:dyDescent="0.25">
      <c r="A1301" s="10">
        <f t="shared" si="20"/>
        <v>1287</v>
      </c>
      <c r="B1301" s="711" t="s">
        <v>159</v>
      </c>
      <c r="C1301" s="711"/>
      <c r="D1301" s="712" t="s">
        <v>212</v>
      </c>
      <c r="E1301" s="712"/>
      <c r="F1301" s="664" t="s">
        <v>162</v>
      </c>
      <c r="G1301" s="665"/>
      <c r="H1301" s="755" t="s">
        <v>162</v>
      </c>
      <c r="I1301" s="667"/>
      <c r="J1301" s="706"/>
      <c r="K1301" s="707"/>
      <c r="L1301" s="706"/>
      <c r="M1301" s="707"/>
      <c r="N1301" s="215"/>
      <c r="O1301" s="216"/>
      <c r="P1301" s="670"/>
      <c r="Q1301" s="671"/>
      <c r="R1301" s="719"/>
      <c r="S1301" s="720"/>
      <c r="T1301" s="721"/>
      <c r="U1301" s="722"/>
      <c r="V1301" s="723"/>
      <c r="W1301" s="724"/>
      <c r="X1301" s="725" t="s">
        <v>159</v>
      </c>
      <c r="Y1301" s="725"/>
      <c r="Z1301" s="725"/>
      <c r="AA1301" s="725"/>
      <c r="AB1301" s="726" t="s">
        <v>159</v>
      </c>
      <c r="AC1301" s="726"/>
      <c r="AD1301" s="726"/>
      <c r="AE1301" s="726"/>
      <c r="AF1301" s="727"/>
      <c r="AG1301" s="728"/>
      <c r="AH1301" s="727"/>
      <c r="AI1301" s="728"/>
      <c r="AJ1301" s="682"/>
      <c r="AK1301" s="683"/>
      <c r="AL1301" s="664" t="s">
        <v>162</v>
      </c>
      <c r="AM1301" s="665"/>
      <c r="AN1301" s="713" t="s">
        <v>162</v>
      </c>
      <c r="AO1301" s="714"/>
      <c r="AP1301" s="729"/>
      <c r="AQ1301" s="730"/>
      <c r="AR1301" s="731"/>
      <c r="AS1301" s="732"/>
      <c r="AT1301" s="733"/>
      <c r="AU1301" s="734"/>
      <c r="AV1301" s="713" t="s">
        <v>162</v>
      </c>
      <c r="AW1301" s="714"/>
      <c r="AX1301" s="692"/>
      <c r="AY1301" s="693"/>
      <c r="AZ1301" s="694"/>
      <c r="BA1301" s="735"/>
      <c r="BB1301" s="736"/>
      <c r="BC1301" s="219"/>
      <c r="BD1301" s="737" t="s">
        <v>162</v>
      </c>
      <c r="BE1301" s="738"/>
      <c r="BF1301" s="739"/>
      <c r="BG1301" s="740"/>
      <c r="BH1301" s="740"/>
      <c r="BI1301" s="741"/>
      <c r="BJ1301" s="742" t="s">
        <v>159</v>
      </c>
      <c r="BK1301" s="743"/>
      <c r="BL1301" s="743"/>
      <c r="BM1301" s="744"/>
      <c r="BN1301" s="703" t="s">
        <v>159</v>
      </c>
      <c r="BO1301" s="704"/>
      <c r="BP1301" s="704"/>
      <c r="BQ1301" s="704"/>
      <c r="BR1301" s="704"/>
      <c r="BS1301" s="704"/>
      <c r="BT1301" s="704"/>
      <c r="BU1301" s="704"/>
      <c r="BV1301" s="705"/>
    </row>
    <row r="1302" spans="1:74" ht="45" customHeight="1" x14ac:dyDescent="0.25">
      <c r="A1302" s="10">
        <f t="shared" si="20"/>
        <v>1288</v>
      </c>
      <c r="B1302" s="662" t="s">
        <v>159</v>
      </c>
      <c r="C1302" s="662"/>
      <c r="D1302" s="663" t="s">
        <v>212</v>
      </c>
      <c r="E1302" s="663"/>
      <c r="F1302" s="664" t="s">
        <v>162</v>
      </c>
      <c r="G1302" s="665"/>
      <c r="H1302" s="754" t="s">
        <v>162</v>
      </c>
      <c r="I1302" s="714"/>
      <c r="J1302" s="715"/>
      <c r="K1302" s="716"/>
      <c r="L1302" s="715"/>
      <c r="M1302" s="716"/>
      <c r="N1302" s="194"/>
      <c r="O1302" s="196"/>
      <c r="P1302" s="717"/>
      <c r="Q1302" s="718"/>
      <c r="R1302" s="672"/>
      <c r="S1302" s="673"/>
      <c r="T1302" s="674"/>
      <c r="U1302" s="675"/>
      <c r="V1302" s="676"/>
      <c r="W1302" s="677"/>
      <c r="X1302" s="678" t="s">
        <v>159</v>
      </c>
      <c r="Y1302" s="678"/>
      <c r="Z1302" s="678"/>
      <c r="AA1302" s="678"/>
      <c r="AB1302" s="679" t="s">
        <v>159</v>
      </c>
      <c r="AC1302" s="679"/>
      <c r="AD1302" s="679"/>
      <c r="AE1302" s="679"/>
      <c r="AF1302" s="680"/>
      <c r="AG1302" s="681"/>
      <c r="AH1302" s="680"/>
      <c r="AI1302" s="681"/>
      <c r="AJ1302" s="682"/>
      <c r="AK1302" s="683"/>
      <c r="AL1302" s="684" t="s">
        <v>162</v>
      </c>
      <c r="AM1302" s="685"/>
      <c r="AN1302" s="666" t="s">
        <v>162</v>
      </c>
      <c r="AO1302" s="667"/>
      <c r="AP1302" s="686"/>
      <c r="AQ1302" s="687"/>
      <c r="AR1302" s="688"/>
      <c r="AS1302" s="689"/>
      <c r="AT1302" s="690"/>
      <c r="AU1302" s="691"/>
      <c r="AV1302" s="666" t="s">
        <v>162</v>
      </c>
      <c r="AW1302" s="667"/>
      <c r="AX1302" s="692"/>
      <c r="AY1302" s="693"/>
      <c r="AZ1302" s="694"/>
      <c r="BA1302" s="682"/>
      <c r="BB1302" s="683"/>
      <c r="BC1302" s="14"/>
      <c r="BD1302" s="695" t="s">
        <v>162</v>
      </c>
      <c r="BE1302" s="696"/>
      <c r="BF1302" s="697"/>
      <c r="BG1302" s="698"/>
      <c r="BH1302" s="698"/>
      <c r="BI1302" s="699"/>
      <c r="BJ1302" s="700" t="s">
        <v>159</v>
      </c>
      <c r="BK1302" s="701"/>
      <c r="BL1302" s="701"/>
      <c r="BM1302" s="702"/>
      <c r="BN1302" s="703" t="s">
        <v>159</v>
      </c>
      <c r="BO1302" s="704"/>
      <c r="BP1302" s="704"/>
      <c r="BQ1302" s="704"/>
      <c r="BR1302" s="704"/>
      <c r="BS1302" s="704"/>
      <c r="BT1302" s="704"/>
      <c r="BU1302" s="704"/>
      <c r="BV1302" s="705"/>
    </row>
    <row r="1303" spans="1:74" ht="45" customHeight="1" x14ac:dyDescent="0.25">
      <c r="A1303" s="10">
        <f t="shared" si="20"/>
        <v>1289</v>
      </c>
      <c r="B1303" s="711" t="s">
        <v>159</v>
      </c>
      <c r="C1303" s="711"/>
      <c r="D1303" s="712" t="s">
        <v>212</v>
      </c>
      <c r="E1303" s="712"/>
      <c r="F1303" s="664" t="s">
        <v>162</v>
      </c>
      <c r="G1303" s="665"/>
      <c r="H1303" s="755" t="s">
        <v>162</v>
      </c>
      <c r="I1303" s="667"/>
      <c r="J1303" s="706"/>
      <c r="K1303" s="707"/>
      <c r="L1303" s="706"/>
      <c r="M1303" s="707"/>
      <c r="N1303" s="215"/>
      <c r="O1303" s="216"/>
      <c r="P1303" s="670"/>
      <c r="Q1303" s="671"/>
      <c r="R1303" s="719"/>
      <c r="S1303" s="720"/>
      <c r="T1303" s="721"/>
      <c r="U1303" s="722"/>
      <c r="V1303" s="723"/>
      <c r="W1303" s="724"/>
      <c r="X1303" s="725" t="s">
        <v>159</v>
      </c>
      <c r="Y1303" s="725"/>
      <c r="Z1303" s="725"/>
      <c r="AA1303" s="725"/>
      <c r="AB1303" s="726" t="s">
        <v>159</v>
      </c>
      <c r="AC1303" s="726"/>
      <c r="AD1303" s="726"/>
      <c r="AE1303" s="726"/>
      <c r="AF1303" s="727"/>
      <c r="AG1303" s="728"/>
      <c r="AH1303" s="727"/>
      <c r="AI1303" s="728"/>
      <c r="AJ1303" s="682"/>
      <c r="AK1303" s="683"/>
      <c r="AL1303" s="664" t="s">
        <v>162</v>
      </c>
      <c r="AM1303" s="665"/>
      <c r="AN1303" s="713" t="s">
        <v>162</v>
      </c>
      <c r="AO1303" s="714"/>
      <c r="AP1303" s="729"/>
      <c r="AQ1303" s="730"/>
      <c r="AR1303" s="731"/>
      <c r="AS1303" s="732"/>
      <c r="AT1303" s="733"/>
      <c r="AU1303" s="734"/>
      <c r="AV1303" s="713" t="s">
        <v>162</v>
      </c>
      <c r="AW1303" s="714"/>
      <c r="AX1303" s="692"/>
      <c r="AY1303" s="693"/>
      <c r="AZ1303" s="694"/>
      <c r="BA1303" s="735"/>
      <c r="BB1303" s="736"/>
      <c r="BC1303" s="219"/>
      <c r="BD1303" s="737" t="s">
        <v>162</v>
      </c>
      <c r="BE1303" s="738"/>
      <c r="BF1303" s="739"/>
      <c r="BG1303" s="740"/>
      <c r="BH1303" s="740"/>
      <c r="BI1303" s="741"/>
      <c r="BJ1303" s="742" t="s">
        <v>159</v>
      </c>
      <c r="BK1303" s="743"/>
      <c r="BL1303" s="743"/>
      <c r="BM1303" s="744"/>
      <c r="BN1303" s="703" t="s">
        <v>159</v>
      </c>
      <c r="BO1303" s="704"/>
      <c r="BP1303" s="704"/>
      <c r="BQ1303" s="704"/>
      <c r="BR1303" s="704"/>
      <c r="BS1303" s="704"/>
      <c r="BT1303" s="704"/>
      <c r="BU1303" s="704"/>
      <c r="BV1303" s="705"/>
    </row>
    <row r="1304" spans="1:74" ht="45" customHeight="1" x14ac:dyDescent="0.25">
      <c r="A1304" s="10">
        <f t="shared" si="20"/>
        <v>1290</v>
      </c>
      <c r="B1304" s="662" t="s">
        <v>159</v>
      </c>
      <c r="C1304" s="662"/>
      <c r="D1304" s="663" t="s">
        <v>212</v>
      </c>
      <c r="E1304" s="663"/>
      <c r="F1304" s="664" t="s">
        <v>162</v>
      </c>
      <c r="G1304" s="665"/>
      <c r="H1304" s="754" t="s">
        <v>162</v>
      </c>
      <c r="I1304" s="714"/>
      <c r="J1304" s="715"/>
      <c r="K1304" s="716"/>
      <c r="L1304" s="715"/>
      <c r="M1304" s="716"/>
      <c r="N1304" s="194"/>
      <c r="O1304" s="196"/>
      <c r="P1304" s="717"/>
      <c r="Q1304" s="718"/>
      <c r="R1304" s="672"/>
      <c r="S1304" s="673"/>
      <c r="T1304" s="674"/>
      <c r="U1304" s="675"/>
      <c r="V1304" s="676"/>
      <c r="W1304" s="677"/>
      <c r="X1304" s="678" t="s">
        <v>159</v>
      </c>
      <c r="Y1304" s="678"/>
      <c r="Z1304" s="678"/>
      <c r="AA1304" s="678"/>
      <c r="AB1304" s="679" t="s">
        <v>159</v>
      </c>
      <c r="AC1304" s="679"/>
      <c r="AD1304" s="679"/>
      <c r="AE1304" s="679"/>
      <c r="AF1304" s="680"/>
      <c r="AG1304" s="681"/>
      <c r="AH1304" s="680"/>
      <c r="AI1304" s="681"/>
      <c r="AJ1304" s="682"/>
      <c r="AK1304" s="683"/>
      <c r="AL1304" s="684" t="s">
        <v>162</v>
      </c>
      <c r="AM1304" s="685"/>
      <c r="AN1304" s="666" t="s">
        <v>162</v>
      </c>
      <c r="AO1304" s="667"/>
      <c r="AP1304" s="686"/>
      <c r="AQ1304" s="687"/>
      <c r="AR1304" s="688"/>
      <c r="AS1304" s="689"/>
      <c r="AT1304" s="690"/>
      <c r="AU1304" s="691"/>
      <c r="AV1304" s="666" t="s">
        <v>162</v>
      </c>
      <c r="AW1304" s="667"/>
      <c r="AX1304" s="692"/>
      <c r="AY1304" s="693"/>
      <c r="AZ1304" s="694"/>
      <c r="BA1304" s="682"/>
      <c r="BB1304" s="683"/>
      <c r="BC1304" s="14"/>
      <c r="BD1304" s="695" t="s">
        <v>162</v>
      </c>
      <c r="BE1304" s="696"/>
      <c r="BF1304" s="697"/>
      <c r="BG1304" s="698"/>
      <c r="BH1304" s="698"/>
      <c r="BI1304" s="699"/>
      <c r="BJ1304" s="700" t="s">
        <v>159</v>
      </c>
      <c r="BK1304" s="701"/>
      <c r="BL1304" s="701"/>
      <c r="BM1304" s="702"/>
      <c r="BN1304" s="703" t="s">
        <v>159</v>
      </c>
      <c r="BO1304" s="704"/>
      <c r="BP1304" s="704"/>
      <c r="BQ1304" s="704"/>
      <c r="BR1304" s="704"/>
      <c r="BS1304" s="704"/>
      <c r="BT1304" s="704"/>
      <c r="BU1304" s="704"/>
      <c r="BV1304" s="705"/>
    </row>
    <row r="1305" spans="1:74" ht="45" customHeight="1" x14ac:dyDescent="0.25">
      <c r="A1305" s="10">
        <f t="shared" si="20"/>
        <v>1291</v>
      </c>
      <c r="B1305" s="711" t="s">
        <v>159</v>
      </c>
      <c r="C1305" s="711"/>
      <c r="D1305" s="712" t="s">
        <v>212</v>
      </c>
      <c r="E1305" s="712"/>
      <c r="F1305" s="664" t="s">
        <v>162</v>
      </c>
      <c r="G1305" s="665"/>
      <c r="H1305" s="755" t="s">
        <v>162</v>
      </c>
      <c r="I1305" s="667"/>
      <c r="J1305" s="706"/>
      <c r="K1305" s="707"/>
      <c r="L1305" s="706"/>
      <c r="M1305" s="707"/>
      <c r="N1305" s="215"/>
      <c r="O1305" s="216"/>
      <c r="P1305" s="670"/>
      <c r="Q1305" s="671"/>
      <c r="R1305" s="719"/>
      <c r="S1305" s="720"/>
      <c r="T1305" s="721"/>
      <c r="U1305" s="722"/>
      <c r="V1305" s="723"/>
      <c r="W1305" s="724"/>
      <c r="X1305" s="725" t="s">
        <v>159</v>
      </c>
      <c r="Y1305" s="725"/>
      <c r="Z1305" s="725"/>
      <c r="AA1305" s="725"/>
      <c r="AB1305" s="726" t="s">
        <v>159</v>
      </c>
      <c r="AC1305" s="726"/>
      <c r="AD1305" s="726"/>
      <c r="AE1305" s="726"/>
      <c r="AF1305" s="727"/>
      <c r="AG1305" s="728"/>
      <c r="AH1305" s="727"/>
      <c r="AI1305" s="728"/>
      <c r="AJ1305" s="682"/>
      <c r="AK1305" s="683"/>
      <c r="AL1305" s="664" t="s">
        <v>162</v>
      </c>
      <c r="AM1305" s="665"/>
      <c r="AN1305" s="713" t="s">
        <v>162</v>
      </c>
      <c r="AO1305" s="714"/>
      <c r="AP1305" s="729"/>
      <c r="AQ1305" s="730"/>
      <c r="AR1305" s="731"/>
      <c r="AS1305" s="732"/>
      <c r="AT1305" s="733"/>
      <c r="AU1305" s="734"/>
      <c r="AV1305" s="713" t="s">
        <v>162</v>
      </c>
      <c r="AW1305" s="714"/>
      <c r="AX1305" s="692"/>
      <c r="AY1305" s="693"/>
      <c r="AZ1305" s="694"/>
      <c r="BA1305" s="735"/>
      <c r="BB1305" s="736"/>
      <c r="BC1305" s="219"/>
      <c r="BD1305" s="737" t="s">
        <v>162</v>
      </c>
      <c r="BE1305" s="738"/>
      <c r="BF1305" s="739"/>
      <c r="BG1305" s="740"/>
      <c r="BH1305" s="740"/>
      <c r="BI1305" s="741"/>
      <c r="BJ1305" s="742" t="s">
        <v>159</v>
      </c>
      <c r="BK1305" s="743"/>
      <c r="BL1305" s="743"/>
      <c r="BM1305" s="744"/>
      <c r="BN1305" s="703" t="s">
        <v>159</v>
      </c>
      <c r="BO1305" s="704"/>
      <c r="BP1305" s="704"/>
      <c r="BQ1305" s="704"/>
      <c r="BR1305" s="704"/>
      <c r="BS1305" s="704"/>
      <c r="BT1305" s="704"/>
      <c r="BU1305" s="704"/>
      <c r="BV1305" s="705"/>
    </row>
    <row r="1306" spans="1:74" ht="45" customHeight="1" x14ac:dyDescent="0.25">
      <c r="A1306" s="10">
        <f t="shared" si="20"/>
        <v>1292</v>
      </c>
      <c r="B1306" s="662" t="s">
        <v>159</v>
      </c>
      <c r="C1306" s="662"/>
      <c r="D1306" s="663" t="s">
        <v>212</v>
      </c>
      <c r="E1306" s="663"/>
      <c r="F1306" s="664" t="s">
        <v>162</v>
      </c>
      <c r="G1306" s="665"/>
      <c r="H1306" s="754" t="s">
        <v>162</v>
      </c>
      <c r="I1306" s="714"/>
      <c r="J1306" s="715"/>
      <c r="K1306" s="716"/>
      <c r="L1306" s="715"/>
      <c r="M1306" s="716"/>
      <c r="N1306" s="194"/>
      <c r="O1306" s="196"/>
      <c r="P1306" s="717"/>
      <c r="Q1306" s="718"/>
      <c r="R1306" s="672"/>
      <c r="S1306" s="673"/>
      <c r="T1306" s="674"/>
      <c r="U1306" s="675"/>
      <c r="V1306" s="676"/>
      <c r="W1306" s="677"/>
      <c r="X1306" s="678" t="s">
        <v>159</v>
      </c>
      <c r="Y1306" s="678"/>
      <c r="Z1306" s="678"/>
      <c r="AA1306" s="678"/>
      <c r="AB1306" s="679" t="s">
        <v>159</v>
      </c>
      <c r="AC1306" s="679"/>
      <c r="AD1306" s="679"/>
      <c r="AE1306" s="679"/>
      <c r="AF1306" s="680"/>
      <c r="AG1306" s="681"/>
      <c r="AH1306" s="680"/>
      <c r="AI1306" s="681"/>
      <c r="AJ1306" s="682"/>
      <c r="AK1306" s="683"/>
      <c r="AL1306" s="684" t="s">
        <v>162</v>
      </c>
      <c r="AM1306" s="685"/>
      <c r="AN1306" s="666" t="s">
        <v>162</v>
      </c>
      <c r="AO1306" s="667"/>
      <c r="AP1306" s="686"/>
      <c r="AQ1306" s="687"/>
      <c r="AR1306" s="688"/>
      <c r="AS1306" s="689"/>
      <c r="AT1306" s="690"/>
      <c r="AU1306" s="691"/>
      <c r="AV1306" s="666" t="s">
        <v>162</v>
      </c>
      <c r="AW1306" s="667"/>
      <c r="AX1306" s="692"/>
      <c r="AY1306" s="693"/>
      <c r="AZ1306" s="694"/>
      <c r="BA1306" s="682"/>
      <c r="BB1306" s="683"/>
      <c r="BC1306" s="14"/>
      <c r="BD1306" s="695" t="s">
        <v>162</v>
      </c>
      <c r="BE1306" s="696"/>
      <c r="BF1306" s="708"/>
      <c r="BG1306" s="709"/>
      <c r="BH1306" s="709"/>
      <c r="BI1306" s="710"/>
      <c r="BJ1306" s="700" t="s">
        <v>159</v>
      </c>
      <c r="BK1306" s="701"/>
      <c r="BL1306" s="701"/>
      <c r="BM1306" s="702"/>
      <c r="BN1306" s="703" t="s">
        <v>159</v>
      </c>
      <c r="BO1306" s="704"/>
      <c r="BP1306" s="704"/>
      <c r="BQ1306" s="704"/>
      <c r="BR1306" s="704"/>
      <c r="BS1306" s="704"/>
      <c r="BT1306" s="704"/>
      <c r="BU1306" s="704"/>
      <c r="BV1306" s="705"/>
    </row>
    <row r="1307" spans="1:74" ht="45" customHeight="1" x14ac:dyDescent="0.25">
      <c r="A1307" s="10">
        <f t="shared" si="20"/>
        <v>1293</v>
      </c>
      <c r="B1307" s="711" t="s">
        <v>159</v>
      </c>
      <c r="C1307" s="711"/>
      <c r="D1307" s="712" t="s">
        <v>212</v>
      </c>
      <c r="E1307" s="712"/>
      <c r="F1307" s="664" t="s">
        <v>162</v>
      </c>
      <c r="G1307" s="665"/>
      <c r="H1307" s="755" t="s">
        <v>162</v>
      </c>
      <c r="I1307" s="667"/>
      <c r="J1307" s="706"/>
      <c r="K1307" s="707"/>
      <c r="L1307" s="706"/>
      <c r="M1307" s="707"/>
      <c r="N1307" s="215"/>
      <c r="O1307" s="216"/>
      <c r="P1307" s="670"/>
      <c r="Q1307" s="671"/>
      <c r="R1307" s="719"/>
      <c r="S1307" s="720"/>
      <c r="T1307" s="721"/>
      <c r="U1307" s="722"/>
      <c r="V1307" s="723"/>
      <c r="W1307" s="724"/>
      <c r="X1307" s="725" t="s">
        <v>159</v>
      </c>
      <c r="Y1307" s="725"/>
      <c r="Z1307" s="725"/>
      <c r="AA1307" s="725"/>
      <c r="AB1307" s="726" t="s">
        <v>159</v>
      </c>
      <c r="AC1307" s="726"/>
      <c r="AD1307" s="726"/>
      <c r="AE1307" s="726"/>
      <c r="AF1307" s="727"/>
      <c r="AG1307" s="728"/>
      <c r="AH1307" s="727"/>
      <c r="AI1307" s="728"/>
      <c r="AJ1307" s="682"/>
      <c r="AK1307" s="683"/>
      <c r="AL1307" s="664" t="s">
        <v>162</v>
      </c>
      <c r="AM1307" s="665"/>
      <c r="AN1307" s="713" t="s">
        <v>162</v>
      </c>
      <c r="AO1307" s="714"/>
      <c r="AP1307" s="729"/>
      <c r="AQ1307" s="730"/>
      <c r="AR1307" s="731"/>
      <c r="AS1307" s="732"/>
      <c r="AT1307" s="733"/>
      <c r="AU1307" s="734"/>
      <c r="AV1307" s="713" t="s">
        <v>162</v>
      </c>
      <c r="AW1307" s="714"/>
      <c r="AX1307" s="692"/>
      <c r="AY1307" s="693"/>
      <c r="AZ1307" s="694"/>
      <c r="BA1307" s="735"/>
      <c r="BB1307" s="736"/>
      <c r="BC1307" s="219"/>
      <c r="BD1307" s="737" t="s">
        <v>162</v>
      </c>
      <c r="BE1307" s="738"/>
      <c r="BF1307" s="739"/>
      <c r="BG1307" s="740"/>
      <c r="BH1307" s="740"/>
      <c r="BI1307" s="741"/>
      <c r="BJ1307" s="742" t="s">
        <v>159</v>
      </c>
      <c r="BK1307" s="743"/>
      <c r="BL1307" s="743"/>
      <c r="BM1307" s="744"/>
      <c r="BN1307" s="703" t="s">
        <v>159</v>
      </c>
      <c r="BO1307" s="704"/>
      <c r="BP1307" s="704"/>
      <c r="BQ1307" s="704"/>
      <c r="BR1307" s="704"/>
      <c r="BS1307" s="704"/>
      <c r="BT1307" s="704"/>
      <c r="BU1307" s="704"/>
      <c r="BV1307" s="705"/>
    </row>
    <row r="1308" spans="1:74" ht="45" customHeight="1" x14ac:dyDescent="0.25">
      <c r="A1308" s="10">
        <f t="shared" si="20"/>
        <v>1294</v>
      </c>
      <c r="B1308" s="662" t="s">
        <v>159</v>
      </c>
      <c r="C1308" s="662"/>
      <c r="D1308" s="663" t="s">
        <v>212</v>
      </c>
      <c r="E1308" s="663"/>
      <c r="F1308" s="664" t="s">
        <v>162</v>
      </c>
      <c r="G1308" s="665"/>
      <c r="H1308" s="754" t="s">
        <v>162</v>
      </c>
      <c r="I1308" s="714"/>
      <c r="J1308" s="715"/>
      <c r="K1308" s="716"/>
      <c r="L1308" s="715"/>
      <c r="M1308" s="716"/>
      <c r="N1308" s="194"/>
      <c r="O1308" s="196"/>
      <c r="P1308" s="717"/>
      <c r="Q1308" s="718"/>
      <c r="R1308" s="672"/>
      <c r="S1308" s="673"/>
      <c r="T1308" s="674"/>
      <c r="U1308" s="675"/>
      <c r="V1308" s="676"/>
      <c r="W1308" s="677"/>
      <c r="X1308" s="678" t="s">
        <v>159</v>
      </c>
      <c r="Y1308" s="678"/>
      <c r="Z1308" s="678"/>
      <c r="AA1308" s="678"/>
      <c r="AB1308" s="679" t="s">
        <v>159</v>
      </c>
      <c r="AC1308" s="679"/>
      <c r="AD1308" s="679"/>
      <c r="AE1308" s="679"/>
      <c r="AF1308" s="680"/>
      <c r="AG1308" s="681"/>
      <c r="AH1308" s="680"/>
      <c r="AI1308" s="681"/>
      <c r="AJ1308" s="682"/>
      <c r="AK1308" s="683"/>
      <c r="AL1308" s="684" t="s">
        <v>162</v>
      </c>
      <c r="AM1308" s="685"/>
      <c r="AN1308" s="666" t="s">
        <v>162</v>
      </c>
      <c r="AO1308" s="667"/>
      <c r="AP1308" s="686"/>
      <c r="AQ1308" s="687"/>
      <c r="AR1308" s="688"/>
      <c r="AS1308" s="689"/>
      <c r="AT1308" s="690"/>
      <c r="AU1308" s="691"/>
      <c r="AV1308" s="666" t="s">
        <v>162</v>
      </c>
      <c r="AW1308" s="667"/>
      <c r="AX1308" s="692"/>
      <c r="AY1308" s="693"/>
      <c r="AZ1308" s="694"/>
      <c r="BA1308" s="682"/>
      <c r="BB1308" s="683"/>
      <c r="BC1308" s="14"/>
      <c r="BD1308" s="695" t="s">
        <v>162</v>
      </c>
      <c r="BE1308" s="696"/>
      <c r="BF1308" s="697"/>
      <c r="BG1308" s="698"/>
      <c r="BH1308" s="698"/>
      <c r="BI1308" s="699"/>
      <c r="BJ1308" s="700" t="s">
        <v>159</v>
      </c>
      <c r="BK1308" s="701"/>
      <c r="BL1308" s="701"/>
      <c r="BM1308" s="702"/>
      <c r="BN1308" s="703" t="s">
        <v>159</v>
      </c>
      <c r="BO1308" s="704"/>
      <c r="BP1308" s="704"/>
      <c r="BQ1308" s="704"/>
      <c r="BR1308" s="704"/>
      <c r="BS1308" s="704"/>
      <c r="BT1308" s="704"/>
      <c r="BU1308" s="704"/>
      <c r="BV1308" s="705"/>
    </row>
    <row r="1309" spans="1:74" ht="45" customHeight="1" x14ac:dyDescent="0.25">
      <c r="A1309" s="10">
        <f t="shared" si="20"/>
        <v>1295</v>
      </c>
      <c r="B1309" s="711" t="s">
        <v>159</v>
      </c>
      <c r="C1309" s="711"/>
      <c r="D1309" s="712" t="s">
        <v>212</v>
      </c>
      <c r="E1309" s="712"/>
      <c r="F1309" s="664" t="s">
        <v>162</v>
      </c>
      <c r="G1309" s="665"/>
      <c r="H1309" s="755" t="s">
        <v>162</v>
      </c>
      <c r="I1309" s="667"/>
      <c r="J1309" s="706"/>
      <c r="K1309" s="707"/>
      <c r="L1309" s="706"/>
      <c r="M1309" s="707"/>
      <c r="N1309" s="194"/>
      <c r="O1309" s="196"/>
      <c r="P1309" s="717"/>
      <c r="Q1309" s="718"/>
      <c r="R1309" s="719"/>
      <c r="S1309" s="720"/>
      <c r="T1309" s="721"/>
      <c r="U1309" s="722"/>
      <c r="V1309" s="723"/>
      <c r="W1309" s="724"/>
      <c r="X1309" s="725" t="s">
        <v>159</v>
      </c>
      <c r="Y1309" s="725"/>
      <c r="Z1309" s="725"/>
      <c r="AA1309" s="725"/>
      <c r="AB1309" s="726" t="s">
        <v>159</v>
      </c>
      <c r="AC1309" s="726"/>
      <c r="AD1309" s="726"/>
      <c r="AE1309" s="726"/>
      <c r="AF1309" s="727"/>
      <c r="AG1309" s="728"/>
      <c r="AH1309" s="727"/>
      <c r="AI1309" s="728"/>
      <c r="AJ1309" s="682"/>
      <c r="AK1309" s="683"/>
      <c r="AL1309" s="664" t="s">
        <v>162</v>
      </c>
      <c r="AM1309" s="665"/>
      <c r="AN1309" s="713" t="s">
        <v>162</v>
      </c>
      <c r="AO1309" s="714"/>
      <c r="AP1309" s="729"/>
      <c r="AQ1309" s="730"/>
      <c r="AR1309" s="731"/>
      <c r="AS1309" s="732"/>
      <c r="AT1309" s="690"/>
      <c r="AU1309" s="691"/>
      <c r="AV1309" s="713" t="s">
        <v>162</v>
      </c>
      <c r="AW1309" s="714"/>
      <c r="AX1309" s="692"/>
      <c r="AY1309" s="693"/>
      <c r="AZ1309" s="694"/>
      <c r="BA1309" s="735"/>
      <c r="BB1309" s="736"/>
      <c r="BC1309" s="219"/>
      <c r="BD1309" s="737" t="s">
        <v>162</v>
      </c>
      <c r="BE1309" s="738"/>
      <c r="BF1309" s="739"/>
      <c r="BG1309" s="740"/>
      <c r="BH1309" s="740"/>
      <c r="BI1309" s="741"/>
      <c r="BJ1309" s="742" t="s">
        <v>159</v>
      </c>
      <c r="BK1309" s="743"/>
      <c r="BL1309" s="743"/>
      <c r="BM1309" s="744"/>
      <c r="BN1309" s="703" t="s">
        <v>159</v>
      </c>
      <c r="BO1309" s="704"/>
      <c r="BP1309" s="704"/>
      <c r="BQ1309" s="704"/>
      <c r="BR1309" s="704"/>
      <c r="BS1309" s="704"/>
      <c r="BT1309" s="704"/>
      <c r="BU1309" s="704"/>
      <c r="BV1309" s="705"/>
    </row>
    <row r="1310" spans="1:74" ht="45" customHeight="1" x14ac:dyDescent="0.25">
      <c r="A1310" s="10">
        <f t="shared" si="20"/>
        <v>1296</v>
      </c>
      <c r="B1310" s="662" t="s">
        <v>159</v>
      </c>
      <c r="C1310" s="662"/>
      <c r="D1310" s="663" t="s">
        <v>212</v>
      </c>
      <c r="E1310" s="663"/>
      <c r="F1310" s="664" t="s">
        <v>162</v>
      </c>
      <c r="G1310" s="665"/>
      <c r="H1310" s="754" t="s">
        <v>162</v>
      </c>
      <c r="I1310" s="714"/>
      <c r="J1310" s="715"/>
      <c r="K1310" s="716"/>
      <c r="L1310" s="715"/>
      <c r="M1310" s="716"/>
      <c r="N1310" s="215"/>
      <c r="O1310" s="216"/>
      <c r="P1310" s="670"/>
      <c r="Q1310" s="671"/>
      <c r="R1310" s="672"/>
      <c r="S1310" s="673"/>
      <c r="T1310" s="674"/>
      <c r="U1310" s="675"/>
      <c r="V1310" s="676"/>
      <c r="W1310" s="677"/>
      <c r="X1310" s="678" t="s">
        <v>159</v>
      </c>
      <c r="Y1310" s="678"/>
      <c r="Z1310" s="678"/>
      <c r="AA1310" s="678"/>
      <c r="AB1310" s="679" t="s">
        <v>159</v>
      </c>
      <c r="AC1310" s="679"/>
      <c r="AD1310" s="679"/>
      <c r="AE1310" s="679"/>
      <c r="AF1310" s="680"/>
      <c r="AG1310" s="681"/>
      <c r="AH1310" s="680"/>
      <c r="AI1310" s="681"/>
      <c r="AJ1310" s="682"/>
      <c r="AK1310" s="683"/>
      <c r="AL1310" s="684" t="s">
        <v>162</v>
      </c>
      <c r="AM1310" s="685"/>
      <c r="AN1310" s="666" t="s">
        <v>162</v>
      </c>
      <c r="AO1310" s="667"/>
      <c r="AP1310" s="686"/>
      <c r="AQ1310" s="687"/>
      <c r="AR1310" s="688"/>
      <c r="AS1310" s="689"/>
      <c r="AT1310" s="690"/>
      <c r="AU1310" s="691"/>
      <c r="AV1310" s="666" t="s">
        <v>162</v>
      </c>
      <c r="AW1310" s="667"/>
      <c r="AX1310" s="692"/>
      <c r="AY1310" s="693"/>
      <c r="AZ1310" s="694"/>
      <c r="BA1310" s="682"/>
      <c r="BB1310" s="683"/>
      <c r="BC1310" s="14"/>
      <c r="BD1310" s="695" t="s">
        <v>162</v>
      </c>
      <c r="BE1310" s="696"/>
      <c r="BF1310" s="697"/>
      <c r="BG1310" s="698"/>
      <c r="BH1310" s="698"/>
      <c r="BI1310" s="699"/>
      <c r="BJ1310" s="700" t="s">
        <v>159</v>
      </c>
      <c r="BK1310" s="701"/>
      <c r="BL1310" s="701"/>
      <c r="BM1310" s="702"/>
      <c r="BN1310" s="703" t="s">
        <v>159</v>
      </c>
      <c r="BO1310" s="704"/>
      <c r="BP1310" s="704"/>
      <c r="BQ1310" s="704"/>
      <c r="BR1310" s="704"/>
      <c r="BS1310" s="704"/>
      <c r="BT1310" s="704"/>
      <c r="BU1310" s="704"/>
      <c r="BV1310" s="705"/>
    </row>
    <row r="1311" spans="1:74" ht="45" customHeight="1" x14ac:dyDescent="0.25">
      <c r="A1311" s="10">
        <f t="shared" si="20"/>
        <v>1297</v>
      </c>
      <c r="B1311" s="711" t="s">
        <v>159</v>
      </c>
      <c r="C1311" s="711"/>
      <c r="D1311" s="712" t="s">
        <v>212</v>
      </c>
      <c r="E1311" s="712"/>
      <c r="F1311" s="664" t="s">
        <v>162</v>
      </c>
      <c r="G1311" s="665"/>
      <c r="H1311" s="755" t="s">
        <v>162</v>
      </c>
      <c r="I1311" s="667"/>
      <c r="J1311" s="706"/>
      <c r="K1311" s="707"/>
      <c r="L1311" s="706"/>
      <c r="M1311" s="707"/>
      <c r="N1311" s="194"/>
      <c r="O1311" s="196"/>
      <c r="P1311" s="717"/>
      <c r="Q1311" s="718"/>
      <c r="R1311" s="719"/>
      <c r="S1311" s="720"/>
      <c r="T1311" s="721"/>
      <c r="U1311" s="722"/>
      <c r="V1311" s="723"/>
      <c r="W1311" s="724"/>
      <c r="X1311" s="725" t="s">
        <v>159</v>
      </c>
      <c r="Y1311" s="725"/>
      <c r="Z1311" s="725"/>
      <c r="AA1311" s="725"/>
      <c r="AB1311" s="726" t="s">
        <v>159</v>
      </c>
      <c r="AC1311" s="726"/>
      <c r="AD1311" s="726"/>
      <c r="AE1311" s="726"/>
      <c r="AF1311" s="727"/>
      <c r="AG1311" s="728"/>
      <c r="AH1311" s="727"/>
      <c r="AI1311" s="728"/>
      <c r="AJ1311" s="682"/>
      <c r="AK1311" s="683"/>
      <c r="AL1311" s="664" t="s">
        <v>162</v>
      </c>
      <c r="AM1311" s="665"/>
      <c r="AN1311" s="713" t="s">
        <v>162</v>
      </c>
      <c r="AO1311" s="714"/>
      <c r="AP1311" s="729"/>
      <c r="AQ1311" s="730"/>
      <c r="AR1311" s="731"/>
      <c r="AS1311" s="732"/>
      <c r="AT1311" s="690"/>
      <c r="AU1311" s="691"/>
      <c r="AV1311" s="713" t="s">
        <v>162</v>
      </c>
      <c r="AW1311" s="714"/>
      <c r="AX1311" s="692"/>
      <c r="AY1311" s="693"/>
      <c r="AZ1311" s="694"/>
      <c r="BA1311" s="735"/>
      <c r="BB1311" s="736"/>
      <c r="BC1311" s="219"/>
      <c r="BD1311" s="737" t="s">
        <v>162</v>
      </c>
      <c r="BE1311" s="738"/>
      <c r="BF1311" s="739"/>
      <c r="BG1311" s="740"/>
      <c r="BH1311" s="740"/>
      <c r="BI1311" s="741"/>
      <c r="BJ1311" s="742" t="s">
        <v>159</v>
      </c>
      <c r="BK1311" s="743"/>
      <c r="BL1311" s="743"/>
      <c r="BM1311" s="744"/>
      <c r="BN1311" s="703" t="s">
        <v>159</v>
      </c>
      <c r="BO1311" s="704"/>
      <c r="BP1311" s="704"/>
      <c r="BQ1311" s="704"/>
      <c r="BR1311" s="704"/>
      <c r="BS1311" s="704"/>
      <c r="BT1311" s="704"/>
      <c r="BU1311" s="704"/>
      <c r="BV1311" s="705"/>
    </row>
    <row r="1312" spans="1:74" ht="45" customHeight="1" x14ac:dyDescent="0.25">
      <c r="A1312" s="10">
        <f t="shared" si="20"/>
        <v>1298</v>
      </c>
      <c r="B1312" s="662" t="s">
        <v>159</v>
      </c>
      <c r="C1312" s="662"/>
      <c r="D1312" s="663" t="s">
        <v>212</v>
      </c>
      <c r="E1312" s="663"/>
      <c r="F1312" s="664" t="s">
        <v>162</v>
      </c>
      <c r="G1312" s="665"/>
      <c r="H1312" s="754" t="s">
        <v>162</v>
      </c>
      <c r="I1312" s="714"/>
      <c r="J1312" s="715"/>
      <c r="K1312" s="716"/>
      <c r="L1312" s="715"/>
      <c r="M1312" s="716"/>
      <c r="N1312" s="215"/>
      <c r="O1312" s="216"/>
      <c r="P1312" s="670"/>
      <c r="Q1312" s="671"/>
      <c r="R1312" s="672"/>
      <c r="S1312" s="673"/>
      <c r="T1312" s="674"/>
      <c r="U1312" s="675"/>
      <c r="V1312" s="676"/>
      <c r="W1312" s="677"/>
      <c r="X1312" s="678" t="s">
        <v>159</v>
      </c>
      <c r="Y1312" s="678"/>
      <c r="Z1312" s="678"/>
      <c r="AA1312" s="678"/>
      <c r="AB1312" s="679" t="s">
        <v>159</v>
      </c>
      <c r="AC1312" s="679"/>
      <c r="AD1312" s="679"/>
      <c r="AE1312" s="679"/>
      <c r="AF1312" s="680"/>
      <c r="AG1312" s="681"/>
      <c r="AH1312" s="680"/>
      <c r="AI1312" s="681"/>
      <c r="AJ1312" s="682"/>
      <c r="AK1312" s="683"/>
      <c r="AL1312" s="684" t="s">
        <v>162</v>
      </c>
      <c r="AM1312" s="685"/>
      <c r="AN1312" s="666" t="s">
        <v>162</v>
      </c>
      <c r="AO1312" s="667"/>
      <c r="AP1312" s="686"/>
      <c r="AQ1312" s="687"/>
      <c r="AR1312" s="688"/>
      <c r="AS1312" s="689"/>
      <c r="AT1312" s="690"/>
      <c r="AU1312" s="691"/>
      <c r="AV1312" s="666" t="s">
        <v>162</v>
      </c>
      <c r="AW1312" s="667"/>
      <c r="AX1312" s="692"/>
      <c r="AY1312" s="693"/>
      <c r="AZ1312" s="694"/>
      <c r="BA1312" s="682"/>
      <c r="BB1312" s="683"/>
      <c r="BC1312" s="14"/>
      <c r="BD1312" s="695" t="s">
        <v>162</v>
      </c>
      <c r="BE1312" s="696"/>
      <c r="BF1312" s="697"/>
      <c r="BG1312" s="698"/>
      <c r="BH1312" s="698"/>
      <c r="BI1312" s="699"/>
      <c r="BJ1312" s="700" t="s">
        <v>159</v>
      </c>
      <c r="BK1312" s="701"/>
      <c r="BL1312" s="701"/>
      <c r="BM1312" s="702"/>
      <c r="BN1312" s="703" t="s">
        <v>159</v>
      </c>
      <c r="BO1312" s="704"/>
      <c r="BP1312" s="704"/>
      <c r="BQ1312" s="704"/>
      <c r="BR1312" s="704"/>
      <c r="BS1312" s="704"/>
      <c r="BT1312" s="704"/>
      <c r="BU1312" s="704"/>
      <c r="BV1312" s="705"/>
    </row>
    <row r="1313" spans="1:74" ht="45" customHeight="1" x14ac:dyDescent="0.25">
      <c r="A1313" s="10">
        <f t="shared" si="20"/>
        <v>1299</v>
      </c>
      <c r="B1313" s="711" t="s">
        <v>159</v>
      </c>
      <c r="C1313" s="711"/>
      <c r="D1313" s="712" t="s">
        <v>212</v>
      </c>
      <c r="E1313" s="712"/>
      <c r="F1313" s="664" t="s">
        <v>162</v>
      </c>
      <c r="G1313" s="665"/>
      <c r="H1313" s="755" t="s">
        <v>162</v>
      </c>
      <c r="I1313" s="667"/>
      <c r="J1313" s="706"/>
      <c r="K1313" s="707"/>
      <c r="L1313" s="706"/>
      <c r="M1313" s="707"/>
      <c r="N1313" s="194"/>
      <c r="O1313" s="216"/>
      <c r="P1313" s="717"/>
      <c r="Q1313" s="718"/>
      <c r="R1313" s="719"/>
      <c r="S1313" s="720"/>
      <c r="T1313" s="721"/>
      <c r="U1313" s="722"/>
      <c r="V1313" s="723"/>
      <c r="W1313" s="724"/>
      <c r="X1313" s="725" t="s">
        <v>159</v>
      </c>
      <c r="Y1313" s="725"/>
      <c r="Z1313" s="725"/>
      <c r="AA1313" s="725"/>
      <c r="AB1313" s="726" t="s">
        <v>159</v>
      </c>
      <c r="AC1313" s="726"/>
      <c r="AD1313" s="726"/>
      <c r="AE1313" s="726"/>
      <c r="AF1313" s="727"/>
      <c r="AG1313" s="728"/>
      <c r="AH1313" s="727"/>
      <c r="AI1313" s="728"/>
      <c r="AJ1313" s="682"/>
      <c r="AK1313" s="683"/>
      <c r="AL1313" s="664" t="s">
        <v>162</v>
      </c>
      <c r="AM1313" s="665"/>
      <c r="AN1313" s="713" t="s">
        <v>162</v>
      </c>
      <c r="AO1313" s="714"/>
      <c r="AP1313" s="729"/>
      <c r="AQ1313" s="730"/>
      <c r="AR1313" s="731"/>
      <c r="AS1313" s="732"/>
      <c r="AT1313" s="733"/>
      <c r="AU1313" s="734"/>
      <c r="AV1313" s="713" t="s">
        <v>162</v>
      </c>
      <c r="AW1313" s="714"/>
      <c r="AX1313" s="692"/>
      <c r="AY1313" s="693"/>
      <c r="AZ1313" s="694"/>
      <c r="BA1313" s="735"/>
      <c r="BB1313" s="736"/>
      <c r="BC1313" s="219"/>
      <c r="BD1313" s="737" t="s">
        <v>162</v>
      </c>
      <c r="BE1313" s="738"/>
      <c r="BF1313" s="739"/>
      <c r="BG1313" s="740"/>
      <c r="BH1313" s="740"/>
      <c r="BI1313" s="741"/>
      <c r="BJ1313" s="742" t="s">
        <v>159</v>
      </c>
      <c r="BK1313" s="743"/>
      <c r="BL1313" s="743"/>
      <c r="BM1313" s="744"/>
      <c r="BN1313" s="703" t="s">
        <v>159</v>
      </c>
      <c r="BO1313" s="704"/>
      <c r="BP1313" s="704"/>
      <c r="BQ1313" s="704"/>
      <c r="BR1313" s="704"/>
      <c r="BS1313" s="704"/>
      <c r="BT1313" s="704"/>
      <c r="BU1313" s="704"/>
      <c r="BV1313" s="705"/>
    </row>
    <row r="1314" spans="1:74" ht="45" customHeight="1" x14ac:dyDescent="0.25">
      <c r="A1314" s="10">
        <f t="shared" si="20"/>
        <v>1300</v>
      </c>
      <c r="B1314" s="662" t="s">
        <v>159</v>
      </c>
      <c r="C1314" s="662"/>
      <c r="D1314" s="663" t="s">
        <v>212</v>
      </c>
      <c r="E1314" s="663"/>
      <c r="F1314" s="664" t="s">
        <v>162</v>
      </c>
      <c r="G1314" s="665"/>
      <c r="H1314" s="754" t="s">
        <v>162</v>
      </c>
      <c r="I1314" s="714"/>
      <c r="J1314" s="715"/>
      <c r="K1314" s="716"/>
      <c r="L1314" s="715"/>
      <c r="M1314" s="716"/>
      <c r="N1314" s="215"/>
      <c r="O1314" s="196"/>
      <c r="P1314" s="670"/>
      <c r="Q1314" s="671"/>
      <c r="R1314" s="672"/>
      <c r="S1314" s="673"/>
      <c r="T1314" s="674"/>
      <c r="U1314" s="675"/>
      <c r="V1314" s="676"/>
      <c r="W1314" s="677"/>
      <c r="X1314" s="678" t="s">
        <v>159</v>
      </c>
      <c r="Y1314" s="678"/>
      <c r="Z1314" s="678"/>
      <c r="AA1314" s="678"/>
      <c r="AB1314" s="679" t="s">
        <v>159</v>
      </c>
      <c r="AC1314" s="679"/>
      <c r="AD1314" s="679"/>
      <c r="AE1314" s="679"/>
      <c r="AF1314" s="680"/>
      <c r="AG1314" s="681"/>
      <c r="AH1314" s="680"/>
      <c r="AI1314" s="681"/>
      <c r="AJ1314" s="682"/>
      <c r="AK1314" s="683"/>
      <c r="AL1314" s="684" t="s">
        <v>162</v>
      </c>
      <c r="AM1314" s="685"/>
      <c r="AN1314" s="666" t="s">
        <v>162</v>
      </c>
      <c r="AO1314" s="667"/>
      <c r="AP1314" s="686"/>
      <c r="AQ1314" s="687"/>
      <c r="AR1314" s="688"/>
      <c r="AS1314" s="689"/>
      <c r="AT1314" s="690"/>
      <c r="AU1314" s="691"/>
      <c r="AV1314" s="666" t="s">
        <v>162</v>
      </c>
      <c r="AW1314" s="667"/>
      <c r="AX1314" s="692"/>
      <c r="AY1314" s="693"/>
      <c r="AZ1314" s="694"/>
      <c r="BA1314" s="682"/>
      <c r="BB1314" s="683"/>
      <c r="BC1314" s="14"/>
      <c r="BD1314" s="695" t="s">
        <v>162</v>
      </c>
      <c r="BE1314" s="696"/>
      <c r="BF1314" s="708"/>
      <c r="BG1314" s="709"/>
      <c r="BH1314" s="709"/>
      <c r="BI1314" s="710"/>
      <c r="BJ1314" s="700" t="s">
        <v>159</v>
      </c>
      <c r="BK1314" s="701"/>
      <c r="BL1314" s="701"/>
      <c r="BM1314" s="702"/>
      <c r="BN1314" s="703" t="s">
        <v>159</v>
      </c>
      <c r="BO1314" s="704"/>
      <c r="BP1314" s="704"/>
      <c r="BQ1314" s="704"/>
      <c r="BR1314" s="704"/>
      <c r="BS1314" s="704"/>
      <c r="BT1314" s="704"/>
      <c r="BU1314" s="704"/>
      <c r="BV1314" s="705"/>
    </row>
    <row r="1315" spans="1:74" ht="45" customHeight="1" x14ac:dyDescent="0.25">
      <c r="A1315" s="10">
        <f t="shared" si="20"/>
        <v>1301</v>
      </c>
      <c r="B1315" s="711" t="s">
        <v>159</v>
      </c>
      <c r="C1315" s="711"/>
      <c r="D1315" s="712" t="s">
        <v>212</v>
      </c>
      <c r="E1315" s="712"/>
      <c r="F1315" s="664" t="s">
        <v>162</v>
      </c>
      <c r="G1315" s="665"/>
      <c r="H1315" s="755" t="s">
        <v>162</v>
      </c>
      <c r="I1315" s="667"/>
      <c r="J1315" s="706"/>
      <c r="K1315" s="707"/>
      <c r="L1315" s="706"/>
      <c r="M1315" s="707"/>
      <c r="N1315" s="194"/>
      <c r="O1315" s="216"/>
      <c r="P1315" s="717"/>
      <c r="Q1315" s="718"/>
      <c r="R1315" s="719"/>
      <c r="S1315" s="720"/>
      <c r="T1315" s="721"/>
      <c r="U1315" s="722"/>
      <c r="V1315" s="723"/>
      <c r="W1315" s="724"/>
      <c r="X1315" s="725" t="s">
        <v>159</v>
      </c>
      <c r="Y1315" s="725"/>
      <c r="Z1315" s="725"/>
      <c r="AA1315" s="725"/>
      <c r="AB1315" s="726" t="s">
        <v>159</v>
      </c>
      <c r="AC1315" s="726"/>
      <c r="AD1315" s="726"/>
      <c r="AE1315" s="726"/>
      <c r="AF1315" s="727"/>
      <c r="AG1315" s="728"/>
      <c r="AH1315" s="727"/>
      <c r="AI1315" s="728"/>
      <c r="AJ1315" s="682"/>
      <c r="AK1315" s="683"/>
      <c r="AL1315" s="664" t="s">
        <v>162</v>
      </c>
      <c r="AM1315" s="665"/>
      <c r="AN1315" s="713" t="s">
        <v>162</v>
      </c>
      <c r="AO1315" s="714"/>
      <c r="AP1315" s="729"/>
      <c r="AQ1315" s="730"/>
      <c r="AR1315" s="731"/>
      <c r="AS1315" s="732"/>
      <c r="AT1315" s="733"/>
      <c r="AU1315" s="734"/>
      <c r="AV1315" s="713" t="s">
        <v>162</v>
      </c>
      <c r="AW1315" s="714"/>
      <c r="AX1315" s="692"/>
      <c r="AY1315" s="693"/>
      <c r="AZ1315" s="694"/>
      <c r="BA1315" s="735"/>
      <c r="BB1315" s="736"/>
      <c r="BC1315" s="219"/>
      <c r="BD1315" s="737" t="s">
        <v>162</v>
      </c>
      <c r="BE1315" s="738"/>
      <c r="BF1315" s="739"/>
      <c r="BG1315" s="740"/>
      <c r="BH1315" s="740"/>
      <c r="BI1315" s="741"/>
      <c r="BJ1315" s="742" t="s">
        <v>159</v>
      </c>
      <c r="BK1315" s="743"/>
      <c r="BL1315" s="743"/>
      <c r="BM1315" s="744"/>
      <c r="BN1315" s="703" t="s">
        <v>159</v>
      </c>
      <c r="BO1315" s="704"/>
      <c r="BP1315" s="704"/>
      <c r="BQ1315" s="704"/>
      <c r="BR1315" s="704"/>
      <c r="BS1315" s="704"/>
      <c r="BT1315" s="704"/>
      <c r="BU1315" s="704"/>
      <c r="BV1315" s="705"/>
    </row>
    <row r="1316" spans="1:74" ht="45" customHeight="1" x14ac:dyDescent="0.25">
      <c r="A1316" s="10">
        <f t="shared" si="20"/>
        <v>1302</v>
      </c>
      <c r="B1316" s="662" t="s">
        <v>159</v>
      </c>
      <c r="C1316" s="662"/>
      <c r="D1316" s="663" t="s">
        <v>212</v>
      </c>
      <c r="E1316" s="663"/>
      <c r="F1316" s="664" t="s">
        <v>162</v>
      </c>
      <c r="G1316" s="665"/>
      <c r="H1316" s="754" t="s">
        <v>162</v>
      </c>
      <c r="I1316" s="714"/>
      <c r="J1316" s="715"/>
      <c r="K1316" s="716"/>
      <c r="L1316" s="715"/>
      <c r="M1316" s="716"/>
      <c r="N1316" s="215"/>
      <c r="O1316" s="196"/>
      <c r="P1316" s="670"/>
      <c r="Q1316" s="671"/>
      <c r="R1316" s="672"/>
      <c r="S1316" s="673"/>
      <c r="T1316" s="674"/>
      <c r="U1316" s="675"/>
      <c r="V1316" s="676"/>
      <c r="W1316" s="677"/>
      <c r="X1316" s="678" t="s">
        <v>159</v>
      </c>
      <c r="Y1316" s="678"/>
      <c r="Z1316" s="678"/>
      <c r="AA1316" s="678"/>
      <c r="AB1316" s="679" t="s">
        <v>159</v>
      </c>
      <c r="AC1316" s="679"/>
      <c r="AD1316" s="679"/>
      <c r="AE1316" s="679"/>
      <c r="AF1316" s="680"/>
      <c r="AG1316" s="681"/>
      <c r="AH1316" s="680"/>
      <c r="AI1316" s="681"/>
      <c r="AJ1316" s="682"/>
      <c r="AK1316" s="683"/>
      <c r="AL1316" s="684" t="s">
        <v>162</v>
      </c>
      <c r="AM1316" s="685"/>
      <c r="AN1316" s="666" t="s">
        <v>162</v>
      </c>
      <c r="AO1316" s="667"/>
      <c r="AP1316" s="686"/>
      <c r="AQ1316" s="687"/>
      <c r="AR1316" s="688"/>
      <c r="AS1316" s="689"/>
      <c r="AT1316" s="690"/>
      <c r="AU1316" s="691"/>
      <c r="AV1316" s="666" t="s">
        <v>162</v>
      </c>
      <c r="AW1316" s="667"/>
      <c r="AX1316" s="692"/>
      <c r="AY1316" s="693"/>
      <c r="AZ1316" s="694"/>
      <c r="BA1316" s="682"/>
      <c r="BB1316" s="683"/>
      <c r="BC1316" s="14"/>
      <c r="BD1316" s="695" t="s">
        <v>162</v>
      </c>
      <c r="BE1316" s="696"/>
      <c r="BF1316" s="697"/>
      <c r="BG1316" s="698"/>
      <c r="BH1316" s="698"/>
      <c r="BI1316" s="699"/>
      <c r="BJ1316" s="700" t="s">
        <v>159</v>
      </c>
      <c r="BK1316" s="701"/>
      <c r="BL1316" s="701"/>
      <c r="BM1316" s="702"/>
      <c r="BN1316" s="703" t="s">
        <v>159</v>
      </c>
      <c r="BO1316" s="704"/>
      <c r="BP1316" s="704"/>
      <c r="BQ1316" s="704"/>
      <c r="BR1316" s="704"/>
      <c r="BS1316" s="704"/>
      <c r="BT1316" s="704"/>
      <c r="BU1316" s="704"/>
      <c r="BV1316" s="705"/>
    </row>
    <row r="1317" spans="1:74" ht="45" customHeight="1" x14ac:dyDescent="0.25">
      <c r="A1317" s="10">
        <f t="shared" si="20"/>
        <v>1303</v>
      </c>
      <c r="B1317" s="711" t="s">
        <v>159</v>
      </c>
      <c r="C1317" s="711"/>
      <c r="D1317" s="712" t="s">
        <v>212</v>
      </c>
      <c r="E1317" s="712"/>
      <c r="F1317" s="664" t="s">
        <v>162</v>
      </c>
      <c r="G1317" s="665"/>
      <c r="H1317" s="755" t="s">
        <v>162</v>
      </c>
      <c r="I1317" s="667"/>
      <c r="J1317" s="706"/>
      <c r="K1317" s="707"/>
      <c r="L1317" s="706"/>
      <c r="M1317" s="707"/>
      <c r="N1317" s="194"/>
      <c r="O1317" s="216"/>
      <c r="P1317" s="717"/>
      <c r="Q1317" s="718"/>
      <c r="R1317" s="719"/>
      <c r="S1317" s="720"/>
      <c r="T1317" s="721"/>
      <c r="U1317" s="722"/>
      <c r="V1317" s="723"/>
      <c r="W1317" s="724"/>
      <c r="X1317" s="725" t="s">
        <v>159</v>
      </c>
      <c r="Y1317" s="725"/>
      <c r="Z1317" s="725"/>
      <c r="AA1317" s="725"/>
      <c r="AB1317" s="726" t="s">
        <v>159</v>
      </c>
      <c r="AC1317" s="726"/>
      <c r="AD1317" s="726"/>
      <c r="AE1317" s="726"/>
      <c r="AF1317" s="727"/>
      <c r="AG1317" s="728"/>
      <c r="AH1317" s="727"/>
      <c r="AI1317" s="728"/>
      <c r="AJ1317" s="682"/>
      <c r="AK1317" s="683"/>
      <c r="AL1317" s="664" t="s">
        <v>162</v>
      </c>
      <c r="AM1317" s="665"/>
      <c r="AN1317" s="713" t="s">
        <v>162</v>
      </c>
      <c r="AO1317" s="714"/>
      <c r="AP1317" s="729"/>
      <c r="AQ1317" s="730"/>
      <c r="AR1317" s="731"/>
      <c r="AS1317" s="732"/>
      <c r="AT1317" s="733"/>
      <c r="AU1317" s="734"/>
      <c r="AV1317" s="713" t="s">
        <v>162</v>
      </c>
      <c r="AW1317" s="714"/>
      <c r="AX1317" s="692"/>
      <c r="AY1317" s="693"/>
      <c r="AZ1317" s="694"/>
      <c r="BA1317" s="735"/>
      <c r="BB1317" s="736"/>
      <c r="BC1317" s="219"/>
      <c r="BD1317" s="737" t="s">
        <v>162</v>
      </c>
      <c r="BE1317" s="738"/>
      <c r="BF1317" s="739"/>
      <c r="BG1317" s="740"/>
      <c r="BH1317" s="740"/>
      <c r="BI1317" s="741"/>
      <c r="BJ1317" s="742" t="s">
        <v>159</v>
      </c>
      <c r="BK1317" s="743"/>
      <c r="BL1317" s="743"/>
      <c r="BM1317" s="744"/>
      <c r="BN1317" s="703" t="s">
        <v>159</v>
      </c>
      <c r="BO1317" s="704"/>
      <c r="BP1317" s="704"/>
      <c r="BQ1317" s="704"/>
      <c r="BR1317" s="704"/>
      <c r="BS1317" s="704"/>
      <c r="BT1317" s="704"/>
      <c r="BU1317" s="704"/>
      <c r="BV1317" s="705"/>
    </row>
    <row r="1318" spans="1:74" ht="45" customHeight="1" x14ac:dyDescent="0.25">
      <c r="A1318" s="10">
        <f t="shared" si="20"/>
        <v>1304</v>
      </c>
      <c r="B1318" s="662" t="s">
        <v>159</v>
      </c>
      <c r="C1318" s="662"/>
      <c r="D1318" s="663" t="s">
        <v>212</v>
      </c>
      <c r="E1318" s="663"/>
      <c r="F1318" s="664" t="s">
        <v>162</v>
      </c>
      <c r="G1318" s="665"/>
      <c r="H1318" s="754" t="s">
        <v>162</v>
      </c>
      <c r="I1318" s="714"/>
      <c r="J1318" s="715"/>
      <c r="K1318" s="716"/>
      <c r="L1318" s="715"/>
      <c r="M1318" s="716"/>
      <c r="N1318" s="215"/>
      <c r="O1318" s="196"/>
      <c r="P1318" s="670"/>
      <c r="Q1318" s="671"/>
      <c r="R1318" s="672"/>
      <c r="S1318" s="673"/>
      <c r="T1318" s="674"/>
      <c r="U1318" s="675"/>
      <c r="V1318" s="676"/>
      <c r="W1318" s="677"/>
      <c r="X1318" s="678" t="s">
        <v>159</v>
      </c>
      <c r="Y1318" s="678"/>
      <c r="Z1318" s="678"/>
      <c r="AA1318" s="678"/>
      <c r="AB1318" s="679" t="s">
        <v>159</v>
      </c>
      <c r="AC1318" s="679"/>
      <c r="AD1318" s="679"/>
      <c r="AE1318" s="679"/>
      <c r="AF1318" s="680"/>
      <c r="AG1318" s="681"/>
      <c r="AH1318" s="680"/>
      <c r="AI1318" s="681"/>
      <c r="AJ1318" s="682"/>
      <c r="AK1318" s="683"/>
      <c r="AL1318" s="684" t="s">
        <v>162</v>
      </c>
      <c r="AM1318" s="685"/>
      <c r="AN1318" s="666" t="s">
        <v>162</v>
      </c>
      <c r="AO1318" s="667"/>
      <c r="AP1318" s="686"/>
      <c r="AQ1318" s="687"/>
      <c r="AR1318" s="688"/>
      <c r="AS1318" s="689"/>
      <c r="AT1318" s="690"/>
      <c r="AU1318" s="691"/>
      <c r="AV1318" s="666" t="s">
        <v>162</v>
      </c>
      <c r="AW1318" s="667"/>
      <c r="AX1318" s="692"/>
      <c r="AY1318" s="693"/>
      <c r="AZ1318" s="694"/>
      <c r="BA1318" s="682"/>
      <c r="BB1318" s="683"/>
      <c r="BC1318" s="14"/>
      <c r="BD1318" s="695" t="s">
        <v>162</v>
      </c>
      <c r="BE1318" s="696"/>
      <c r="BF1318" s="697"/>
      <c r="BG1318" s="698"/>
      <c r="BH1318" s="698"/>
      <c r="BI1318" s="699"/>
      <c r="BJ1318" s="700" t="s">
        <v>159</v>
      </c>
      <c r="BK1318" s="701"/>
      <c r="BL1318" s="701"/>
      <c r="BM1318" s="702"/>
      <c r="BN1318" s="703" t="s">
        <v>159</v>
      </c>
      <c r="BO1318" s="704"/>
      <c r="BP1318" s="704"/>
      <c r="BQ1318" s="704"/>
      <c r="BR1318" s="704"/>
      <c r="BS1318" s="704"/>
      <c r="BT1318" s="704"/>
      <c r="BU1318" s="704"/>
      <c r="BV1318" s="705"/>
    </row>
    <row r="1319" spans="1:74" ht="45" customHeight="1" x14ac:dyDescent="0.25">
      <c r="A1319" s="10">
        <f t="shared" si="20"/>
        <v>1305</v>
      </c>
      <c r="B1319" s="711" t="s">
        <v>159</v>
      </c>
      <c r="C1319" s="711"/>
      <c r="D1319" s="712" t="s">
        <v>212</v>
      </c>
      <c r="E1319" s="712"/>
      <c r="F1319" s="664" t="s">
        <v>162</v>
      </c>
      <c r="G1319" s="665"/>
      <c r="H1319" s="755" t="s">
        <v>162</v>
      </c>
      <c r="I1319" s="667"/>
      <c r="J1319" s="706"/>
      <c r="K1319" s="707"/>
      <c r="L1319" s="706"/>
      <c r="M1319" s="707"/>
      <c r="N1319" s="194"/>
      <c r="O1319" s="216"/>
      <c r="P1319" s="717"/>
      <c r="Q1319" s="718"/>
      <c r="R1319" s="719"/>
      <c r="S1319" s="720"/>
      <c r="T1319" s="721"/>
      <c r="U1319" s="722"/>
      <c r="V1319" s="723"/>
      <c r="W1319" s="724"/>
      <c r="X1319" s="725" t="s">
        <v>159</v>
      </c>
      <c r="Y1319" s="725"/>
      <c r="Z1319" s="725"/>
      <c r="AA1319" s="725"/>
      <c r="AB1319" s="726" t="s">
        <v>159</v>
      </c>
      <c r="AC1319" s="726"/>
      <c r="AD1319" s="726"/>
      <c r="AE1319" s="726"/>
      <c r="AF1319" s="727"/>
      <c r="AG1319" s="728"/>
      <c r="AH1319" s="727"/>
      <c r="AI1319" s="728"/>
      <c r="AJ1319" s="682"/>
      <c r="AK1319" s="683"/>
      <c r="AL1319" s="664" t="s">
        <v>162</v>
      </c>
      <c r="AM1319" s="665"/>
      <c r="AN1319" s="713" t="s">
        <v>162</v>
      </c>
      <c r="AO1319" s="714"/>
      <c r="AP1319" s="729"/>
      <c r="AQ1319" s="730"/>
      <c r="AR1319" s="731"/>
      <c r="AS1319" s="732"/>
      <c r="AT1319" s="733"/>
      <c r="AU1319" s="734"/>
      <c r="AV1319" s="713" t="s">
        <v>162</v>
      </c>
      <c r="AW1319" s="714"/>
      <c r="AX1319" s="692"/>
      <c r="AY1319" s="693"/>
      <c r="AZ1319" s="694"/>
      <c r="BA1319" s="735"/>
      <c r="BB1319" s="736"/>
      <c r="BC1319" s="219"/>
      <c r="BD1319" s="737" t="s">
        <v>162</v>
      </c>
      <c r="BE1319" s="738"/>
      <c r="BF1319" s="739"/>
      <c r="BG1319" s="740"/>
      <c r="BH1319" s="740"/>
      <c r="BI1319" s="741"/>
      <c r="BJ1319" s="742" t="s">
        <v>159</v>
      </c>
      <c r="BK1319" s="743"/>
      <c r="BL1319" s="743"/>
      <c r="BM1319" s="744"/>
      <c r="BN1319" s="703" t="s">
        <v>159</v>
      </c>
      <c r="BO1319" s="704"/>
      <c r="BP1319" s="704"/>
      <c r="BQ1319" s="704"/>
      <c r="BR1319" s="704"/>
      <c r="BS1319" s="704"/>
      <c r="BT1319" s="704"/>
      <c r="BU1319" s="704"/>
      <c r="BV1319" s="705"/>
    </row>
    <row r="1320" spans="1:74" ht="45" customHeight="1" x14ac:dyDescent="0.25">
      <c r="A1320" s="10">
        <f t="shared" si="20"/>
        <v>1306</v>
      </c>
      <c r="B1320" s="662" t="s">
        <v>159</v>
      </c>
      <c r="C1320" s="662"/>
      <c r="D1320" s="663" t="s">
        <v>212</v>
      </c>
      <c r="E1320" s="663"/>
      <c r="F1320" s="664" t="s">
        <v>162</v>
      </c>
      <c r="G1320" s="665"/>
      <c r="H1320" s="754" t="s">
        <v>162</v>
      </c>
      <c r="I1320" s="714"/>
      <c r="J1320" s="715"/>
      <c r="K1320" s="716"/>
      <c r="L1320" s="715"/>
      <c r="M1320" s="716"/>
      <c r="N1320" s="215"/>
      <c r="O1320" s="196"/>
      <c r="P1320" s="670"/>
      <c r="Q1320" s="671"/>
      <c r="R1320" s="672"/>
      <c r="S1320" s="673"/>
      <c r="T1320" s="674"/>
      <c r="U1320" s="675"/>
      <c r="V1320" s="676"/>
      <c r="W1320" s="677"/>
      <c r="X1320" s="678" t="s">
        <v>159</v>
      </c>
      <c r="Y1320" s="678"/>
      <c r="Z1320" s="678"/>
      <c r="AA1320" s="678"/>
      <c r="AB1320" s="679" t="s">
        <v>159</v>
      </c>
      <c r="AC1320" s="679"/>
      <c r="AD1320" s="679"/>
      <c r="AE1320" s="679"/>
      <c r="AF1320" s="680"/>
      <c r="AG1320" s="681"/>
      <c r="AH1320" s="680"/>
      <c r="AI1320" s="681"/>
      <c r="AJ1320" s="682"/>
      <c r="AK1320" s="683"/>
      <c r="AL1320" s="684" t="s">
        <v>162</v>
      </c>
      <c r="AM1320" s="685"/>
      <c r="AN1320" s="666" t="s">
        <v>162</v>
      </c>
      <c r="AO1320" s="667"/>
      <c r="AP1320" s="686"/>
      <c r="AQ1320" s="687"/>
      <c r="AR1320" s="688"/>
      <c r="AS1320" s="689"/>
      <c r="AT1320" s="690"/>
      <c r="AU1320" s="691"/>
      <c r="AV1320" s="666" t="s">
        <v>162</v>
      </c>
      <c r="AW1320" s="667"/>
      <c r="AX1320" s="692"/>
      <c r="AY1320" s="693"/>
      <c r="AZ1320" s="694"/>
      <c r="BA1320" s="682"/>
      <c r="BB1320" s="683"/>
      <c r="BC1320" s="14"/>
      <c r="BD1320" s="695" t="s">
        <v>162</v>
      </c>
      <c r="BE1320" s="696"/>
      <c r="BF1320" s="708"/>
      <c r="BG1320" s="709"/>
      <c r="BH1320" s="709"/>
      <c r="BI1320" s="710"/>
      <c r="BJ1320" s="700" t="s">
        <v>159</v>
      </c>
      <c r="BK1320" s="701"/>
      <c r="BL1320" s="701"/>
      <c r="BM1320" s="702"/>
      <c r="BN1320" s="703" t="s">
        <v>159</v>
      </c>
      <c r="BO1320" s="704"/>
      <c r="BP1320" s="704"/>
      <c r="BQ1320" s="704"/>
      <c r="BR1320" s="704"/>
      <c r="BS1320" s="704"/>
      <c r="BT1320" s="704"/>
      <c r="BU1320" s="704"/>
      <c r="BV1320" s="705"/>
    </row>
    <row r="1321" spans="1:74" ht="45" customHeight="1" x14ac:dyDescent="0.25">
      <c r="A1321" s="10">
        <f t="shared" si="20"/>
        <v>1307</v>
      </c>
      <c r="B1321" s="711" t="s">
        <v>159</v>
      </c>
      <c r="C1321" s="711"/>
      <c r="D1321" s="712" t="s">
        <v>212</v>
      </c>
      <c r="E1321" s="712"/>
      <c r="F1321" s="664" t="s">
        <v>162</v>
      </c>
      <c r="G1321" s="665"/>
      <c r="H1321" s="755" t="s">
        <v>162</v>
      </c>
      <c r="I1321" s="667"/>
      <c r="J1321" s="706"/>
      <c r="K1321" s="707"/>
      <c r="L1321" s="706"/>
      <c r="M1321" s="707"/>
      <c r="N1321" s="194"/>
      <c r="O1321" s="216"/>
      <c r="P1321" s="717"/>
      <c r="Q1321" s="718"/>
      <c r="R1321" s="719"/>
      <c r="S1321" s="720"/>
      <c r="T1321" s="721"/>
      <c r="U1321" s="722"/>
      <c r="V1321" s="723"/>
      <c r="W1321" s="724"/>
      <c r="X1321" s="725" t="s">
        <v>159</v>
      </c>
      <c r="Y1321" s="725"/>
      <c r="Z1321" s="725"/>
      <c r="AA1321" s="725"/>
      <c r="AB1321" s="726" t="s">
        <v>159</v>
      </c>
      <c r="AC1321" s="726"/>
      <c r="AD1321" s="726"/>
      <c r="AE1321" s="726"/>
      <c r="AF1321" s="727"/>
      <c r="AG1321" s="728"/>
      <c r="AH1321" s="727"/>
      <c r="AI1321" s="728"/>
      <c r="AJ1321" s="682"/>
      <c r="AK1321" s="683"/>
      <c r="AL1321" s="664" t="s">
        <v>162</v>
      </c>
      <c r="AM1321" s="665"/>
      <c r="AN1321" s="713" t="s">
        <v>162</v>
      </c>
      <c r="AO1321" s="714"/>
      <c r="AP1321" s="729"/>
      <c r="AQ1321" s="730"/>
      <c r="AR1321" s="731"/>
      <c r="AS1321" s="732"/>
      <c r="AT1321" s="733"/>
      <c r="AU1321" s="734"/>
      <c r="AV1321" s="713" t="s">
        <v>162</v>
      </c>
      <c r="AW1321" s="714"/>
      <c r="AX1321" s="692"/>
      <c r="AY1321" s="693"/>
      <c r="AZ1321" s="694"/>
      <c r="BA1321" s="735"/>
      <c r="BB1321" s="736"/>
      <c r="BC1321" s="219"/>
      <c r="BD1321" s="737" t="s">
        <v>162</v>
      </c>
      <c r="BE1321" s="738"/>
      <c r="BF1321" s="739"/>
      <c r="BG1321" s="740"/>
      <c r="BH1321" s="740"/>
      <c r="BI1321" s="741"/>
      <c r="BJ1321" s="742" t="s">
        <v>159</v>
      </c>
      <c r="BK1321" s="743"/>
      <c r="BL1321" s="743"/>
      <c r="BM1321" s="744"/>
      <c r="BN1321" s="703" t="s">
        <v>159</v>
      </c>
      <c r="BO1321" s="704"/>
      <c r="BP1321" s="704"/>
      <c r="BQ1321" s="704"/>
      <c r="BR1321" s="704"/>
      <c r="BS1321" s="704"/>
      <c r="BT1321" s="704"/>
      <c r="BU1321" s="704"/>
      <c r="BV1321" s="705"/>
    </row>
    <row r="1322" spans="1:74" ht="45" customHeight="1" x14ac:dyDescent="0.25">
      <c r="A1322" s="10">
        <f t="shared" si="20"/>
        <v>1308</v>
      </c>
      <c r="B1322" s="662" t="s">
        <v>159</v>
      </c>
      <c r="C1322" s="662"/>
      <c r="D1322" s="663" t="s">
        <v>212</v>
      </c>
      <c r="E1322" s="663"/>
      <c r="F1322" s="664" t="s">
        <v>162</v>
      </c>
      <c r="G1322" s="665"/>
      <c r="H1322" s="754" t="s">
        <v>162</v>
      </c>
      <c r="I1322" s="714"/>
      <c r="J1322" s="715"/>
      <c r="K1322" s="716"/>
      <c r="L1322" s="715"/>
      <c r="M1322" s="716"/>
      <c r="N1322" s="194"/>
      <c r="O1322" s="196"/>
      <c r="P1322" s="717"/>
      <c r="Q1322" s="718"/>
      <c r="R1322" s="672"/>
      <c r="S1322" s="673"/>
      <c r="T1322" s="674"/>
      <c r="U1322" s="675"/>
      <c r="V1322" s="676"/>
      <c r="W1322" s="677"/>
      <c r="X1322" s="678" t="s">
        <v>159</v>
      </c>
      <c r="Y1322" s="678"/>
      <c r="Z1322" s="678"/>
      <c r="AA1322" s="678"/>
      <c r="AB1322" s="679" t="s">
        <v>159</v>
      </c>
      <c r="AC1322" s="679"/>
      <c r="AD1322" s="679"/>
      <c r="AE1322" s="679"/>
      <c r="AF1322" s="680"/>
      <c r="AG1322" s="681"/>
      <c r="AH1322" s="680"/>
      <c r="AI1322" s="681"/>
      <c r="AJ1322" s="682"/>
      <c r="AK1322" s="683"/>
      <c r="AL1322" s="684" t="s">
        <v>162</v>
      </c>
      <c r="AM1322" s="685"/>
      <c r="AN1322" s="666" t="s">
        <v>162</v>
      </c>
      <c r="AO1322" s="667"/>
      <c r="AP1322" s="686"/>
      <c r="AQ1322" s="687"/>
      <c r="AR1322" s="688"/>
      <c r="AS1322" s="689"/>
      <c r="AT1322" s="690"/>
      <c r="AU1322" s="691"/>
      <c r="AV1322" s="666" t="s">
        <v>162</v>
      </c>
      <c r="AW1322" s="667"/>
      <c r="AX1322" s="692"/>
      <c r="AY1322" s="693"/>
      <c r="AZ1322" s="694"/>
      <c r="BA1322" s="682"/>
      <c r="BB1322" s="683"/>
      <c r="BC1322" s="14"/>
      <c r="BD1322" s="695" t="s">
        <v>162</v>
      </c>
      <c r="BE1322" s="696"/>
      <c r="BF1322" s="708"/>
      <c r="BG1322" s="709"/>
      <c r="BH1322" s="709"/>
      <c r="BI1322" s="710"/>
      <c r="BJ1322" s="700" t="s">
        <v>159</v>
      </c>
      <c r="BK1322" s="701"/>
      <c r="BL1322" s="701"/>
      <c r="BM1322" s="702"/>
      <c r="BN1322" s="703" t="s">
        <v>159</v>
      </c>
      <c r="BO1322" s="704"/>
      <c r="BP1322" s="704"/>
      <c r="BQ1322" s="704"/>
      <c r="BR1322" s="704"/>
      <c r="BS1322" s="704"/>
      <c r="BT1322" s="704"/>
      <c r="BU1322" s="704"/>
      <c r="BV1322" s="705"/>
    </row>
    <row r="1323" spans="1:74" ht="45" customHeight="1" x14ac:dyDescent="0.25">
      <c r="A1323" s="10">
        <f t="shared" si="20"/>
        <v>1309</v>
      </c>
      <c r="B1323" s="711" t="s">
        <v>159</v>
      </c>
      <c r="C1323" s="711"/>
      <c r="D1323" s="712" t="s">
        <v>212</v>
      </c>
      <c r="E1323" s="712"/>
      <c r="F1323" s="664" t="s">
        <v>162</v>
      </c>
      <c r="G1323" s="665"/>
      <c r="H1323" s="755" t="s">
        <v>162</v>
      </c>
      <c r="I1323" s="667"/>
      <c r="J1323" s="706"/>
      <c r="K1323" s="707"/>
      <c r="L1323" s="706"/>
      <c r="M1323" s="707"/>
      <c r="N1323" s="215"/>
      <c r="O1323" s="216"/>
      <c r="P1323" s="670"/>
      <c r="Q1323" s="671"/>
      <c r="R1323" s="719"/>
      <c r="S1323" s="720"/>
      <c r="T1323" s="721"/>
      <c r="U1323" s="722"/>
      <c r="V1323" s="723"/>
      <c r="W1323" s="724"/>
      <c r="X1323" s="725" t="s">
        <v>159</v>
      </c>
      <c r="Y1323" s="725"/>
      <c r="Z1323" s="725"/>
      <c r="AA1323" s="725"/>
      <c r="AB1323" s="726" t="s">
        <v>159</v>
      </c>
      <c r="AC1323" s="726"/>
      <c r="AD1323" s="726"/>
      <c r="AE1323" s="726"/>
      <c r="AF1323" s="727"/>
      <c r="AG1323" s="728"/>
      <c r="AH1323" s="727"/>
      <c r="AI1323" s="728"/>
      <c r="AJ1323" s="682"/>
      <c r="AK1323" s="683"/>
      <c r="AL1323" s="664" t="s">
        <v>162</v>
      </c>
      <c r="AM1323" s="665"/>
      <c r="AN1323" s="713" t="s">
        <v>162</v>
      </c>
      <c r="AO1323" s="714"/>
      <c r="AP1323" s="729"/>
      <c r="AQ1323" s="730"/>
      <c r="AR1323" s="731"/>
      <c r="AS1323" s="732"/>
      <c r="AT1323" s="690"/>
      <c r="AU1323" s="691"/>
      <c r="AV1323" s="713" t="s">
        <v>162</v>
      </c>
      <c r="AW1323" s="714"/>
      <c r="AX1323" s="692"/>
      <c r="AY1323" s="693"/>
      <c r="AZ1323" s="694"/>
      <c r="BA1323" s="735"/>
      <c r="BB1323" s="736"/>
      <c r="BC1323" s="219"/>
      <c r="BD1323" s="737" t="s">
        <v>162</v>
      </c>
      <c r="BE1323" s="738"/>
      <c r="BF1323" s="739"/>
      <c r="BG1323" s="740"/>
      <c r="BH1323" s="740"/>
      <c r="BI1323" s="741"/>
      <c r="BJ1323" s="742" t="s">
        <v>159</v>
      </c>
      <c r="BK1323" s="743"/>
      <c r="BL1323" s="743"/>
      <c r="BM1323" s="744"/>
      <c r="BN1323" s="703" t="s">
        <v>159</v>
      </c>
      <c r="BO1323" s="704"/>
      <c r="BP1323" s="704"/>
      <c r="BQ1323" s="704"/>
      <c r="BR1323" s="704"/>
      <c r="BS1323" s="704"/>
      <c r="BT1323" s="704"/>
      <c r="BU1323" s="704"/>
      <c r="BV1323" s="705"/>
    </row>
    <row r="1324" spans="1:74" ht="45" customHeight="1" x14ac:dyDescent="0.25">
      <c r="A1324" s="10">
        <f t="shared" si="20"/>
        <v>1310</v>
      </c>
      <c r="B1324" s="662" t="s">
        <v>159</v>
      </c>
      <c r="C1324" s="662"/>
      <c r="D1324" s="663" t="s">
        <v>212</v>
      </c>
      <c r="E1324" s="663"/>
      <c r="F1324" s="664" t="s">
        <v>162</v>
      </c>
      <c r="G1324" s="665"/>
      <c r="H1324" s="754" t="s">
        <v>162</v>
      </c>
      <c r="I1324" s="714"/>
      <c r="J1324" s="715"/>
      <c r="K1324" s="716"/>
      <c r="L1324" s="715"/>
      <c r="M1324" s="716"/>
      <c r="N1324" s="194"/>
      <c r="O1324" s="196"/>
      <c r="P1324" s="717"/>
      <c r="Q1324" s="718"/>
      <c r="R1324" s="672"/>
      <c r="S1324" s="673"/>
      <c r="T1324" s="674"/>
      <c r="U1324" s="675"/>
      <c r="V1324" s="676"/>
      <c r="W1324" s="677"/>
      <c r="X1324" s="678" t="s">
        <v>159</v>
      </c>
      <c r="Y1324" s="678"/>
      <c r="Z1324" s="678"/>
      <c r="AA1324" s="678"/>
      <c r="AB1324" s="679" t="s">
        <v>159</v>
      </c>
      <c r="AC1324" s="679"/>
      <c r="AD1324" s="679"/>
      <c r="AE1324" s="679"/>
      <c r="AF1324" s="680"/>
      <c r="AG1324" s="681"/>
      <c r="AH1324" s="680"/>
      <c r="AI1324" s="681"/>
      <c r="AJ1324" s="682"/>
      <c r="AK1324" s="683"/>
      <c r="AL1324" s="684" t="s">
        <v>162</v>
      </c>
      <c r="AM1324" s="685"/>
      <c r="AN1324" s="666" t="s">
        <v>162</v>
      </c>
      <c r="AO1324" s="667"/>
      <c r="AP1324" s="686"/>
      <c r="AQ1324" s="687"/>
      <c r="AR1324" s="688"/>
      <c r="AS1324" s="689"/>
      <c r="AT1324" s="690"/>
      <c r="AU1324" s="691"/>
      <c r="AV1324" s="666" t="s">
        <v>162</v>
      </c>
      <c r="AW1324" s="667"/>
      <c r="AX1324" s="692"/>
      <c r="AY1324" s="693"/>
      <c r="AZ1324" s="694"/>
      <c r="BA1324" s="682"/>
      <c r="BB1324" s="683"/>
      <c r="BC1324" s="14"/>
      <c r="BD1324" s="695" t="s">
        <v>162</v>
      </c>
      <c r="BE1324" s="696"/>
      <c r="BF1324" s="697"/>
      <c r="BG1324" s="698"/>
      <c r="BH1324" s="698"/>
      <c r="BI1324" s="699"/>
      <c r="BJ1324" s="700" t="s">
        <v>159</v>
      </c>
      <c r="BK1324" s="701"/>
      <c r="BL1324" s="701"/>
      <c r="BM1324" s="702"/>
      <c r="BN1324" s="703" t="s">
        <v>159</v>
      </c>
      <c r="BO1324" s="704"/>
      <c r="BP1324" s="704"/>
      <c r="BQ1324" s="704"/>
      <c r="BR1324" s="704"/>
      <c r="BS1324" s="704"/>
      <c r="BT1324" s="704"/>
      <c r="BU1324" s="704"/>
      <c r="BV1324" s="705"/>
    </row>
    <row r="1325" spans="1:74" ht="45" customHeight="1" x14ac:dyDescent="0.25">
      <c r="A1325" s="10">
        <f t="shared" si="20"/>
        <v>1311</v>
      </c>
      <c r="B1325" s="711" t="s">
        <v>159</v>
      </c>
      <c r="C1325" s="711"/>
      <c r="D1325" s="712" t="s">
        <v>212</v>
      </c>
      <c r="E1325" s="712"/>
      <c r="F1325" s="664" t="s">
        <v>162</v>
      </c>
      <c r="G1325" s="665"/>
      <c r="H1325" s="755" t="s">
        <v>162</v>
      </c>
      <c r="I1325" s="667"/>
      <c r="J1325" s="706"/>
      <c r="K1325" s="707"/>
      <c r="L1325" s="706"/>
      <c r="M1325" s="707"/>
      <c r="N1325" s="215"/>
      <c r="O1325" s="216"/>
      <c r="P1325" s="670"/>
      <c r="Q1325" s="671"/>
      <c r="R1325" s="719"/>
      <c r="S1325" s="720"/>
      <c r="T1325" s="721"/>
      <c r="U1325" s="722"/>
      <c r="V1325" s="723"/>
      <c r="W1325" s="724"/>
      <c r="X1325" s="725" t="s">
        <v>159</v>
      </c>
      <c r="Y1325" s="725"/>
      <c r="Z1325" s="725"/>
      <c r="AA1325" s="725"/>
      <c r="AB1325" s="726" t="s">
        <v>159</v>
      </c>
      <c r="AC1325" s="726"/>
      <c r="AD1325" s="726"/>
      <c r="AE1325" s="726"/>
      <c r="AF1325" s="727"/>
      <c r="AG1325" s="728"/>
      <c r="AH1325" s="727"/>
      <c r="AI1325" s="728"/>
      <c r="AJ1325" s="682"/>
      <c r="AK1325" s="683"/>
      <c r="AL1325" s="664" t="s">
        <v>162</v>
      </c>
      <c r="AM1325" s="665"/>
      <c r="AN1325" s="713" t="s">
        <v>162</v>
      </c>
      <c r="AO1325" s="714"/>
      <c r="AP1325" s="729"/>
      <c r="AQ1325" s="730"/>
      <c r="AR1325" s="731"/>
      <c r="AS1325" s="732"/>
      <c r="AT1325" s="690"/>
      <c r="AU1325" s="691"/>
      <c r="AV1325" s="713" t="s">
        <v>162</v>
      </c>
      <c r="AW1325" s="714"/>
      <c r="AX1325" s="692"/>
      <c r="AY1325" s="693"/>
      <c r="AZ1325" s="694"/>
      <c r="BA1325" s="735"/>
      <c r="BB1325" s="736"/>
      <c r="BC1325" s="219"/>
      <c r="BD1325" s="737" t="s">
        <v>162</v>
      </c>
      <c r="BE1325" s="738"/>
      <c r="BF1325" s="739"/>
      <c r="BG1325" s="740"/>
      <c r="BH1325" s="740"/>
      <c r="BI1325" s="741"/>
      <c r="BJ1325" s="742" t="s">
        <v>159</v>
      </c>
      <c r="BK1325" s="743"/>
      <c r="BL1325" s="743"/>
      <c r="BM1325" s="744"/>
      <c r="BN1325" s="703" t="s">
        <v>159</v>
      </c>
      <c r="BO1325" s="704"/>
      <c r="BP1325" s="704"/>
      <c r="BQ1325" s="704"/>
      <c r="BR1325" s="704"/>
      <c r="BS1325" s="704"/>
      <c r="BT1325" s="704"/>
      <c r="BU1325" s="704"/>
      <c r="BV1325" s="705"/>
    </row>
    <row r="1326" spans="1:74" ht="45" customHeight="1" x14ac:dyDescent="0.25">
      <c r="A1326" s="10">
        <f t="shared" si="20"/>
        <v>1312</v>
      </c>
      <c r="B1326" s="662" t="s">
        <v>159</v>
      </c>
      <c r="C1326" s="662"/>
      <c r="D1326" s="663" t="s">
        <v>212</v>
      </c>
      <c r="E1326" s="663"/>
      <c r="F1326" s="664" t="s">
        <v>162</v>
      </c>
      <c r="G1326" s="665"/>
      <c r="H1326" s="754" t="s">
        <v>162</v>
      </c>
      <c r="I1326" s="714"/>
      <c r="J1326" s="715"/>
      <c r="K1326" s="716"/>
      <c r="L1326" s="715"/>
      <c r="M1326" s="716"/>
      <c r="N1326" s="194"/>
      <c r="O1326" s="196"/>
      <c r="P1326" s="717"/>
      <c r="Q1326" s="718"/>
      <c r="R1326" s="672"/>
      <c r="S1326" s="673"/>
      <c r="T1326" s="674"/>
      <c r="U1326" s="675"/>
      <c r="V1326" s="676"/>
      <c r="W1326" s="677"/>
      <c r="X1326" s="678" t="s">
        <v>159</v>
      </c>
      <c r="Y1326" s="678"/>
      <c r="Z1326" s="678"/>
      <c r="AA1326" s="678"/>
      <c r="AB1326" s="679" t="s">
        <v>159</v>
      </c>
      <c r="AC1326" s="679"/>
      <c r="AD1326" s="679"/>
      <c r="AE1326" s="679"/>
      <c r="AF1326" s="680"/>
      <c r="AG1326" s="681"/>
      <c r="AH1326" s="680"/>
      <c r="AI1326" s="681"/>
      <c r="AJ1326" s="682"/>
      <c r="AK1326" s="683"/>
      <c r="AL1326" s="684" t="s">
        <v>162</v>
      </c>
      <c r="AM1326" s="685"/>
      <c r="AN1326" s="666" t="s">
        <v>162</v>
      </c>
      <c r="AO1326" s="667"/>
      <c r="AP1326" s="686"/>
      <c r="AQ1326" s="687"/>
      <c r="AR1326" s="688"/>
      <c r="AS1326" s="689"/>
      <c r="AT1326" s="690"/>
      <c r="AU1326" s="691"/>
      <c r="AV1326" s="666" t="s">
        <v>162</v>
      </c>
      <c r="AW1326" s="667"/>
      <c r="AX1326" s="692"/>
      <c r="AY1326" s="693"/>
      <c r="AZ1326" s="694"/>
      <c r="BA1326" s="682"/>
      <c r="BB1326" s="683"/>
      <c r="BC1326" s="14"/>
      <c r="BD1326" s="695" t="s">
        <v>162</v>
      </c>
      <c r="BE1326" s="696"/>
      <c r="BF1326" s="697"/>
      <c r="BG1326" s="698"/>
      <c r="BH1326" s="698"/>
      <c r="BI1326" s="699"/>
      <c r="BJ1326" s="700" t="s">
        <v>159</v>
      </c>
      <c r="BK1326" s="701"/>
      <c r="BL1326" s="701"/>
      <c r="BM1326" s="702"/>
      <c r="BN1326" s="703" t="s">
        <v>159</v>
      </c>
      <c r="BO1326" s="704"/>
      <c r="BP1326" s="704"/>
      <c r="BQ1326" s="704"/>
      <c r="BR1326" s="704"/>
      <c r="BS1326" s="704"/>
      <c r="BT1326" s="704"/>
      <c r="BU1326" s="704"/>
      <c r="BV1326" s="705"/>
    </row>
    <row r="1327" spans="1:74" ht="45" customHeight="1" x14ac:dyDescent="0.25">
      <c r="A1327" s="10">
        <f t="shared" si="20"/>
        <v>1313</v>
      </c>
      <c r="B1327" s="711" t="s">
        <v>159</v>
      </c>
      <c r="C1327" s="711"/>
      <c r="D1327" s="712" t="s">
        <v>212</v>
      </c>
      <c r="E1327" s="712"/>
      <c r="F1327" s="664" t="s">
        <v>162</v>
      </c>
      <c r="G1327" s="665"/>
      <c r="H1327" s="755" t="s">
        <v>162</v>
      </c>
      <c r="I1327" s="667"/>
      <c r="J1327" s="706"/>
      <c r="K1327" s="707"/>
      <c r="L1327" s="706"/>
      <c r="M1327" s="707"/>
      <c r="N1327" s="215"/>
      <c r="O1327" s="216"/>
      <c r="P1327" s="670"/>
      <c r="Q1327" s="671"/>
      <c r="R1327" s="719"/>
      <c r="S1327" s="720"/>
      <c r="T1327" s="721"/>
      <c r="U1327" s="722"/>
      <c r="V1327" s="723"/>
      <c r="W1327" s="724"/>
      <c r="X1327" s="725" t="s">
        <v>159</v>
      </c>
      <c r="Y1327" s="725"/>
      <c r="Z1327" s="725"/>
      <c r="AA1327" s="725"/>
      <c r="AB1327" s="726" t="s">
        <v>159</v>
      </c>
      <c r="AC1327" s="726"/>
      <c r="AD1327" s="726"/>
      <c r="AE1327" s="726"/>
      <c r="AF1327" s="727"/>
      <c r="AG1327" s="728"/>
      <c r="AH1327" s="727"/>
      <c r="AI1327" s="728"/>
      <c r="AJ1327" s="682"/>
      <c r="AK1327" s="683"/>
      <c r="AL1327" s="664" t="s">
        <v>162</v>
      </c>
      <c r="AM1327" s="665"/>
      <c r="AN1327" s="713" t="s">
        <v>162</v>
      </c>
      <c r="AO1327" s="714"/>
      <c r="AP1327" s="729"/>
      <c r="AQ1327" s="730"/>
      <c r="AR1327" s="731"/>
      <c r="AS1327" s="732"/>
      <c r="AT1327" s="733"/>
      <c r="AU1327" s="734"/>
      <c r="AV1327" s="713" t="s">
        <v>162</v>
      </c>
      <c r="AW1327" s="714"/>
      <c r="AX1327" s="692"/>
      <c r="AY1327" s="693"/>
      <c r="AZ1327" s="694"/>
      <c r="BA1327" s="735"/>
      <c r="BB1327" s="736"/>
      <c r="BC1327" s="219"/>
      <c r="BD1327" s="737" t="s">
        <v>162</v>
      </c>
      <c r="BE1327" s="738"/>
      <c r="BF1327" s="739"/>
      <c r="BG1327" s="740"/>
      <c r="BH1327" s="740"/>
      <c r="BI1327" s="741"/>
      <c r="BJ1327" s="742" t="s">
        <v>159</v>
      </c>
      <c r="BK1327" s="743"/>
      <c r="BL1327" s="743"/>
      <c r="BM1327" s="744"/>
      <c r="BN1327" s="703" t="s">
        <v>159</v>
      </c>
      <c r="BO1327" s="704"/>
      <c r="BP1327" s="704"/>
      <c r="BQ1327" s="704"/>
      <c r="BR1327" s="704"/>
      <c r="BS1327" s="704"/>
      <c r="BT1327" s="704"/>
      <c r="BU1327" s="704"/>
      <c r="BV1327" s="705"/>
    </row>
    <row r="1328" spans="1:74" ht="45" customHeight="1" x14ac:dyDescent="0.25">
      <c r="A1328" s="10">
        <f t="shared" si="20"/>
        <v>1314</v>
      </c>
      <c r="B1328" s="662" t="s">
        <v>159</v>
      </c>
      <c r="C1328" s="662"/>
      <c r="D1328" s="663" t="s">
        <v>212</v>
      </c>
      <c r="E1328" s="663"/>
      <c r="F1328" s="664" t="s">
        <v>162</v>
      </c>
      <c r="G1328" s="665"/>
      <c r="H1328" s="754" t="s">
        <v>162</v>
      </c>
      <c r="I1328" s="714"/>
      <c r="J1328" s="715"/>
      <c r="K1328" s="716"/>
      <c r="L1328" s="715"/>
      <c r="M1328" s="716"/>
      <c r="N1328" s="194"/>
      <c r="O1328" s="196"/>
      <c r="P1328" s="717"/>
      <c r="Q1328" s="718"/>
      <c r="R1328" s="672"/>
      <c r="S1328" s="673"/>
      <c r="T1328" s="674"/>
      <c r="U1328" s="675"/>
      <c r="V1328" s="676"/>
      <c r="W1328" s="677"/>
      <c r="X1328" s="678" t="s">
        <v>159</v>
      </c>
      <c r="Y1328" s="678"/>
      <c r="Z1328" s="678"/>
      <c r="AA1328" s="678"/>
      <c r="AB1328" s="679" t="s">
        <v>159</v>
      </c>
      <c r="AC1328" s="679"/>
      <c r="AD1328" s="679"/>
      <c r="AE1328" s="679"/>
      <c r="AF1328" s="680"/>
      <c r="AG1328" s="681"/>
      <c r="AH1328" s="680"/>
      <c r="AI1328" s="681"/>
      <c r="AJ1328" s="682"/>
      <c r="AK1328" s="683"/>
      <c r="AL1328" s="684" t="s">
        <v>162</v>
      </c>
      <c r="AM1328" s="685"/>
      <c r="AN1328" s="666" t="s">
        <v>162</v>
      </c>
      <c r="AO1328" s="667"/>
      <c r="AP1328" s="686"/>
      <c r="AQ1328" s="687"/>
      <c r="AR1328" s="688"/>
      <c r="AS1328" s="689"/>
      <c r="AT1328" s="690"/>
      <c r="AU1328" s="691"/>
      <c r="AV1328" s="666" t="s">
        <v>162</v>
      </c>
      <c r="AW1328" s="667"/>
      <c r="AX1328" s="692"/>
      <c r="AY1328" s="693"/>
      <c r="AZ1328" s="694"/>
      <c r="BA1328" s="682"/>
      <c r="BB1328" s="683"/>
      <c r="BC1328" s="14"/>
      <c r="BD1328" s="695" t="s">
        <v>162</v>
      </c>
      <c r="BE1328" s="696"/>
      <c r="BF1328" s="708"/>
      <c r="BG1328" s="709"/>
      <c r="BH1328" s="709"/>
      <c r="BI1328" s="710"/>
      <c r="BJ1328" s="700" t="s">
        <v>159</v>
      </c>
      <c r="BK1328" s="701"/>
      <c r="BL1328" s="701"/>
      <c r="BM1328" s="702"/>
      <c r="BN1328" s="703" t="s">
        <v>159</v>
      </c>
      <c r="BO1328" s="704"/>
      <c r="BP1328" s="704"/>
      <c r="BQ1328" s="704"/>
      <c r="BR1328" s="704"/>
      <c r="BS1328" s="704"/>
      <c r="BT1328" s="704"/>
      <c r="BU1328" s="704"/>
      <c r="BV1328" s="705"/>
    </row>
    <row r="1329" spans="1:74" ht="45" customHeight="1" x14ac:dyDescent="0.25">
      <c r="A1329" s="10">
        <f t="shared" si="20"/>
        <v>1315</v>
      </c>
      <c r="B1329" s="711" t="s">
        <v>159</v>
      </c>
      <c r="C1329" s="711"/>
      <c r="D1329" s="712" t="s">
        <v>212</v>
      </c>
      <c r="E1329" s="712"/>
      <c r="F1329" s="664" t="s">
        <v>162</v>
      </c>
      <c r="G1329" s="665"/>
      <c r="H1329" s="755" t="s">
        <v>162</v>
      </c>
      <c r="I1329" s="667"/>
      <c r="J1329" s="706"/>
      <c r="K1329" s="707"/>
      <c r="L1329" s="706"/>
      <c r="M1329" s="707"/>
      <c r="N1329" s="215"/>
      <c r="O1329" s="216"/>
      <c r="P1329" s="670"/>
      <c r="Q1329" s="671"/>
      <c r="R1329" s="719"/>
      <c r="S1329" s="720"/>
      <c r="T1329" s="721"/>
      <c r="U1329" s="722"/>
      <c r="V1329" s="723"/>
      <c r="W1329" s="724"/>
      <c r="X1329" s="725" t="s">
        <v>159</v>
      </c>
      <c r="Y1329" s="725"/>
      <c r="Z1329" s="725"/>
      <c r="AA1329" s="725"/>
      <c r="AB1329" s="726" t="s">
        <v>159</v>
      </c>
      <c r="AC1329" s="726"/>
      <c r="AD1329" s="726"/>
      <c r="AE1329" s="726"/>
      <c r="AF1329" s="727"/>
      <c r="AG1329" s="728"/>
      <c r="AH1329" s="727"/>
      <c r="AI1329" s="728"/>
      <c r="AJ1329" s="682"/>
      <c r="AK1329" s="683"/>
      <c r="AL1329" s="664" t="s">
        <v>162</v>
      </c>
      <c r="AM1329" s="665"/>
      <c r="AN1329" s="713" t="s">
        <v>162</v>
      </c>
      <c r="AO1329" s="714"/>
      <c r="AP1329" s="729"/>
      <c r="AQ1329" s="730"/>
      <c r="AR1329" s="731"/>
      <c r="AS1329" s="732"/>
      <c r="AT1329" s="733"/>
      <c r="AU1329" s="734"/>
      <c r="AV1329" s="713" t="s">
        <v>162</v>
      </c>
      <c r="AW1329" s="714"/>
      <c r="AX1329" s="692"/>
      <c r="AY1329" s="693"/>
      <c r="AZ1329" s="694"/>
      <c r="BA1329" s="735"/>
      <c r="BB1329" s="736"/>
      <c r="BC1329" s="219"/>
      <c r="BD1329" s="737" t="s">
        <v>162</v>
      </c>
      <c r="BE1329" s="738"/>
      <c r="BF1329" s="739"/>
      <c r="BG1329" s="740"/>
      <c r="BH1329" s="740"/>
      <c r="BI1329" s="741"/>
      <c r="BJ1329" s="742" t="s">
        <v>159</v>
      </c>
      <c r="BK1329" s="743"/>
      <c r="BL1329" s="743"/>
      <c r="BM1329" s="744"/>
      <c r="BN1329" s="703" t="s">
        <v>159</v>
      </c>
      <c r="BO1329" s="704"/>
      <c r="BP1329" s="704"/>
      <c r="BQ1329" s="704"/>
      <c r="BR1329" s="704"/>
      <c r="BS1329" s="704"/>
      <c r="BT1329" s="704"/>
      <c r="BU1329" s="704"/>
      <c r="BV1329" s="705"/>
    </row>
    <row r="1330" spans="1:74" ht="45" customHeight="1" x14ac:dyDescent="0.25">
      <c r="A1330" s="10">
        <f t="shared" si="20"/>
        <v>1316</v>
      </c>
      <c r="B1330" s="662" t="s">
        <v>159</v>
      </c>
      <c r="C1330" s="662"/>
      <c r="D1330" s="663" t="s">
        <v>212</v>
      </c>
      <c r="E1330" s="663"/>
      <c r="F1330" s="664" t="s">
        <v>162</v>
      </c>
      <c r="G1330" s="665"/>
      <c r="H1330" s="754" t="s">
        <v>162</v>
      </c>
      <c r="I1330" s="714"/>
      <c r="J1330" s="715"/>
      <c r="K1330" s="716"/>
      <c r="L1330" s="715"/>
      <c r="M1330" s="716"/>
      <c r="N1330" s="194"/>
      <c r="O1330" s="196"/>
      <c r="P1330" s="717"/>
      <c r="Q1330" s="718"/>
      <c r="R1330" s="672"/>
      <c r="S1330" s="673"/>
      <c r="T1330" s="674"/>
      <c r="U1330" s="675"/>
      <c r="V1330" s="676"/>
      <c r="W1330" s="677"/>
      <c r="X1330" s="678" t="s">
        <v>159</v>
      </c>
      <c r="Y1330" s="678"/>
      <c r="Z1330" s="678"/>
      <c r="AA1330" s="678"/>
      <c r="AB1330" s="679" t="s">
        <v>159</v>
      </c>
      <c r="AC1330" s="679"/>
      <c r="AD1330" s="679"/>
      <c r="AE1330" s="679"/>
      <c r="AF1330" s="680"/>
      <c r="AG1330" s="681"/>
      <c r="AH1330" s="680"/>
      <c r="AI1330" s="681"/>
      <c r="AJ1330" s="682"/>
      <c r="AK1330" s="683"/>
      <c r="AL1330" s="684" t="s">
        <v>162</v>
      </c>
      <c r="AM1330" s="685"/>
      <c r="AN1330" s="666" t="s">
        <v>162</v>
      </c>
      <c r="AO1330" s="667"/>
      <c r="AP1330" s="686"/>
      <c r="AQ1330" s="687"/>
      <c r="AR1330" s="688"/>
      <c r="AS1330" s="689"/>
      <c r="AT1330" s="690"/>
      <c r="AU1330" s="691"/>
      <c r="AV1330" s="666" t="s">
        <v>162</v>
      </c>
      <c r="AW1330" s="667"/>
      <c r="AX1330" s="692"/>
      <c r="AY1330" s="693"/>
      <c r="AZ1330" s="694"/>
      <c r="BA1330" s="682"/>
      <c r="BB1330" s="683"/>
      <c r="BC1330" s="14"/>
      <c r="BD1330" s="695" t="s">
        <v>162</v>
      </c>
      <c r="BE1330" s="696"/>
      <c r="BF1330" s="697"/>
      <c r="BG1330" s="698"/>
      <c r="BH1330" s="698"/>
      <c r="BI1330" s="699"/>
      <c r="BJ1330" s="700" t="s">
        <v>159</v>
      </c>
      <c r="BK1330" s="701"/>
      <c r="BL1330" s="701"/>
      <c r="BM1330" s="702"/>
      <c r="BN1330" s="703" t="s">
        <v>159</v>
      </c>
      <c r="BO1330" s="704"/>
      <c r="BP1330" s="704"/>
      <c r="BQ1330" s="704"/>
      <c r="BR1330" s="704"/>
      <c r="BS1330" s="704"/>
      <c r="BT1330" s="704"/>
      <c r="BU1330" s="704"/>
      <c r="BV1330" s="705"/>
    </row>
    <row r="1331" spans="1:74" ht="45" customHeight="1" x14ac:dyDescent="0.25">
      <c r="A1331" s="10">
        <f t="shared" si="20"/>
        <v>1317</v>
      </c>
      <c r="B1331" s="711" t="s">
        <v>159</v>
      </c>
      <c r="C1331" s="711"/>
      <c r="D1331" s="712" t="s">
        <v>212</v>
      </c>
      <c r="E1331" s="712"/>
      <c r="F1331" s="664" t="s">
        <v>162</v>
      </c>
      <c r="G1331" s="665"/>
      <c r="H1331" s="755" t="s">
        <v>162</v>
      </c>
      <c r="I1331" s="667"/>
      <c r="J1331" s="706"/>
      <c r="K1331" s="707"/>
      <c r="L1331" s="706"/>
      <c r="M1331" s="707"/>
      <c r="N1331" s="215"/>
      <c r="O1331" s="216"/>
      <c r="P1331" s="670"/>
      <c r="Q1331" s="671"/>
      <c r="R1331" s="719"/>
      <c r="S1331" s="720"/>
      <c r="T1331" s="721"/>
      <c r="U1331" s="722"/>
      <c r="V1331" s="723"/>
      <c r="W1331" s="724"/>
      <c r="X1331" s="725" t="s">
        <v>159</v>
      </c>
      <c r="Y1331" s="725"/>
      <c r="Z1331" s="725"/>
      <c r="AA1331" s="725"/>
      <c r="AB1331" s="726" t="s">
        <v>159</v>
      </c>
      <c r="AC1331" s="726"/>
      <c r="AD1331" s="726"/>
      <c r="AE1331" s="726"/>
      <c r="AF1331" s="727"/>
      <c r="AG1331" s="728"/>
      <c r="AH1331" s="727"/>
      <c r="AI1331" s="728"/>
      <c r="AJ1331" s="682"/>
      <c r="AK1331" s="683"/>
      <c r="AL1331" s="664" t="s">
        <v>162</v>
      </c>
      <c r="AM1331" s="665"/>
      <c r="AN1331" s="713" t="s">
        <v>162</v>
      </c>
      <c r="AO1331" s="714"/>
      <c r="AP1331" s="729"/>
      <c r="AQ1331" s="730"/>
      <c r="AR1331" s="731"/>
      <c r="AS1331" s="732"/>
      <c r="AT1331" s="733"/>
      <c r="AU1331" s="734"/>
      <c r="AV1331" s="713" t="s">
        <v>162</v>
      </c>
      <c r="AW1331" s="714"/>
      <c r="AX1331" s="692"/>
      <c r="AY1331" s="693"/>
      <c r="AZ1331" s="694"/>
      <c r="BA1331" s="735"/>
      <c r="BB1331" s="736"/>
      <c r="BC1331" s="219"/>
      <c r="BD1331" s="737" t="s">
        <v>162</v>
      </c>
      <c r="BE1331" s="738"/>
      <c r="BF1331" s="739"/>
      <c r="BG1331" s="740"/>
      <c r="BH1331" s="740"/>
      <c r="BI1331" s="741"/>
      <c r="BJ1331" s="742" t="s">
        <v>159</v>
      </c>
      <c r="BK1331" s="743"/>
      <c r="BL1331" s="743"/>
      <c r="BM1331" s="744"/>
      <c r="BN1331" s="703" t="s">
        <v>159</v>
      </c>
      <c r="BO1331" s="704"/>
      <c r="BP1331" s="704"/>
      <c r="BQ1331" s="704"/>
      <c r="BR1331" s="704"/>
      <c r="BS1331" s="704"/>
      <c r="BT1331" s="704"/>
      <c r="BU1331" s="704"/>
      <c r="BV1331" s="705"/>
    </row>
    <row r="1332" spans="1:74" ht="45" customHeight="1" x14ac:dyDescent="0.25">
      <c r="A1332" s="10">
        <f t="shared" si="20"/>
        <v>1318</v>
      </c>
      <c r="B1332" s="662" t="s">
        <v>159</v>
      </c>
      <c r="C1332" s="662"/>
      <c r="D1332" s="663" t="s">
        <v>212</v>
      </c>
      <c r="E1332" s="663"/>
      <c r="F1332" s="664" t="s">
        <v>162</v>
      </c>
      <c r="G1332" s="665"/>
      <c r="H1332" s="754" t="s">
        <v>162</v>
      </c>
      <c r="I1332" s="714"/>
      <c r="J1332" s="715"/>
      <c r="K1332" s="716"/>
      <c r="L1332" s="715"/>
      <c r="M1332" s="716"/>
      <c r="N1332" s="194"/>
      <c r="O1332" s="196"/>
      <c r="P1332" s="717"/>
      <c r="Q1332" s="718"/>
      <c r="R1332" s="672"/>
      <c r="S1332" s="673"/>
      <c r="T1332" s="674"/>
      <c r="U1332" s="675"/>
      <c r="V1332" s="676"/>
      <c r="W1332" s="677"/>
      <c r="X1332" s="678" t="s">
        <v>159</v>
      </c>
      <c r="Y1332" s="678"/>
      <c r="Z1332" s="678"/>
      <c r="AA1332" s="678"/>
      <c r="AB1332" s="679" t="s">
        <v>159</v>
      </c>
      <c r="AC1332" s="679"/>
      <c r="AD1332" s="679"/>
      <c r="AE1332" s="679"/>
      <c r="AF1332" s="680"/>
      <c r="AG1332" s="681"/>
      <c r="AH1332" s="680"/>
      <c r="AI1332" s="681"/>
      <c r="AJ1332" s="682"/>
      <c r="AK1332" s="683"/>
      <c r="AL1332" s="684" t="s">
        <v>162</v>
      </c>
      <c r="AM1332" s="685"/>
      <c r="AN1332" s="666" t="s">
        <v>162</v>
      </c>
      <c r="AO1332" s="667"/>
      <c r="AP1332" s="686"/>
      <c r="AQ1332" s="687"/>
      <c r="AR1332" s="688"/>
      <c r="AS1332" s="689"/>
      <c r="AT1332" s="690"/>
      <c r="AU1332" s="691"/>
      <c r="AV1332" s="666" t="s">
        <v>162</v>
      </c>
      <c r="AW1332" s="667"/>
      <c r="AX1332" s="692"/>
      <c r="AY1332" s="693"/>
      <c r="AZ1332" s="694"/>
      <c r="BA1332" s="682"/>
      <c r="BB1332" s="683"/>
      <c r="BC1332" s="14"/>
      <c r="BD1332" s="695" t="s">
        <v>162</v>
      </c>
      <c r="BE1332" s="696"/>
      <c r="BF1332" s="697"/>
      <c r="BG1332" s="698"/>
      <c r="BH1332" s="698"/>
      <c r="BI1332" s="699"/>
      <c r="BJ1332" s="700" t="s">
        <v>159</v>
      </c>
      <c r="BK1332" s="701"/>
      <c r="BL1332" s="701"/>
      <c r="BM1332" s="702"/>
      <c r="BN1332" s="703" t="s">
        <v>159</v>
      </c>
      <c r="BO1332" s="704"/>
      <c r="BP1332" s="704"/>
      <c r="BQ1332" s="704"/>
      <c r="BR1332" s="704"/>
      <c r="BS1332" s="704"/>
      <c r="BT1332" s="704"/>
      <c r="BU1332" s="704"/>
      <c r="BV1332" s="705"/>
    </row>
    <row r="1333" spans="1:74" ht="45" customHeight="1" x14ac:dyDescent="0.25">
      <c r="A1333" s="10">
        <f t="shared" si="20"/>
        <v>1319</v>
      </c>
      <c r="B1333" s="711" t="s">
        <v>159</v>
      </c>
      <c r="C1333" s="711"/>
      <c r="D1333" s="712" t="s">
        <v>212</v>
      </c>
      <c r="E1333" s="712"/>
      <c r="F1333" s="664" t="s">
        <v>162</v>
      </c>
      <c r="G1333" s="665"/>
      <c r="H1333" s="755" t="s">
        <v>162</v>
      </c>
      <c r="I1333" s="667"/>
      <c r="J1333" s="706"/>
      <c r="K1333" s="707"/>
      <c r="L1333" s="706"/>
      <c r="M1333" s="707"/>
      <c r="N1333" s="215"/>
      <c r="O1333" s="216"/>
      <c r="P1333" s="670"/>
      <c r="Q1333" s="671"/>
      <c r="R1333" s="719"/>
      <c r="S1333" s="720"/>
      <c r="T1333" s="721"/>
      <c r="U1333" s="722"/>
      <c r="V1333" s="723"/>
      <c r="W1333" s="724"/>
      <c r="X1333" s="725" t="s">
        <v>159</v>
      </c>
      <c r="Y1333" s="725"/>
      <c r="Z1333" s="725"/>
      <c r="AA1333" s="725"/>
      <c r="AB1333" s="726" t="s">
        <v>159</v>
      </c>
      <c r="AC1333" s="726"/>
      <c r="AD1333" s="726"/>
      <c r="AE1333" s="726"/>
      <c r="AF1333" s="727"/>
      <c r="AG1333" s="728"/>
      <c r="AH1333" s="727"/>
      <c r="AI1333" s="728"/>
      <c r="AJ1333" s="682"/>
      <c r="AK1333" s="683"/>
      <c r="AL1333" s="664" t="s">
        <v>162</v>
      </c>
      <c r="AM1333" s="665"/>
      <c r="AN1333" s="713" t="s">
        <v>162</v>
      </c>
      <c r="AO1333" s="714"/>
      <c r="AP1333" s="729"/>
      <c r="AQ1333" s="730"/>
      <c r="AR1333" s="731"/>
      <c r="AS1333" s="732"/>
      <c r="AT1333" s="733"/>
      <c r="AU1333" s="734"/>
      <c r="AV1333" s="713" t="s">
        <v>162</v>
      </c>
      <c r="AW1333" s="714"/>
      <c r="AX1333" s="692"/>
      <c r="AY1333" s="693"/>
      <c r="AZ1333" s="694"/>
      <c r="BA1333" s="735"/>
      <c r="BB1333" s="736"/>
      <c r="BC1333" s="219"/>
      <c r="BD1333" s="737" t="s">
        <v>162</v>
      </c>
      <c r="BE1333" s="738"/>
      <c r="BF1333" s="739"/>
      <c r="BG1333" s="740"/>
      <c r="BH1333" s="740"/>
      <c r="BI1333" s="741"/>
      <c r="BJ1333" s="742" t="s">
        <v>159</v>
      </c>
      <c r="BK1333" s="743"/>
      <c r="BL1333" s="743"/>
      <c r="BM1333" s="744"/>
      <c r="BN1333" s="703" t="s">
        <v>159</v>
      </c>
      <c r="BO1333" s="704"/>
      <c r="BP1333" s="704"/>
      <c r="BQ1333" s="704"/>
      <c r="BR1333" s="704"/>
      <c r="BS1333" s="704"/>
      <c r="BT1333" s="704"/>
      <c r="BU1333" s="704"/>
      <c r="BV1333" s="705"/>
    </row>
    <row r="1334" spans="1:74" ht="45" customHeight="1" x14ac:dyDescent="0.25">
      <c r="A1334" s="10">
        <f t="shared" si="20"/>
        <v>1320</v>
      </c>
      <c r="B1334" s="662" t="s">
        <v>159</v>
      </c>
      <c r="C1334" s="662"/>
      <c r="D1334" s="663" t="s">
        <v>212</v>
      </c>
      <c r="E1334" s="663"/>
      <c r="F1334" s="664" t="s">
        <v>162</v>
      </c>
      <c r="G1334" s="665"/>
      <c r="H1334" s="754" t="s">
        <v>162</v>
      </c>
      <c r="I1334" s="714"/>
      <c r="J1334" s="715"/>
      <c r="K1334" s="716"/>
      <c r="L1334" s="715"/>
      <c r="M1334" s="716"/>
      <c r="N1334" s="194"/>
      <c r="O1334" s="196"/>
      <c r="P1334" s="717"/>
      <c r="Q1334" s="718"/>
      <c r="R1334" s="672"/>
      <c r="S1334" s="673"/>
      <c r="T1334" s="674"/>
      <c r="U1334" s="675"/>
      <c r="V1334" s="676"/>
      <c r="W1334" s="677"/>
      <c r="X1334" s="678" t="s">
        <v>159</v>
      </c>
      <c r="Y1334" s="678"/>
      <c r="Z1334" s="678"/>
      <c r="AA1334" s="678"/>
      <c r="AB1334" s="679" t="s">
        <v>159</v>
      </c>
      <c r="AC1334" s="679"/>
      <c r="AD1334" s="679"/>
      <c r="AE1334" s="679"/>
      <c r="AF1334" s="680"/>
      <c r="AG1334" s="681"/>
      <c r="AH1334" s="680"/>
      <c r="AI1334" s="681"/>
      <c r="AJ1334" s="682"/>
      <c r="AK1334" s="683"/>
      <c r="AL1334" s="684" t="s">
        <v>162</v>
      </c>
      <c r="AM1334" s="685"/>
      <c r="AN1334" s="666" t="s">
        <v>162</v>
      </c>
      <c r="AO1334" s="667"/>
      <c r="AP1334" s="686"/>
      <c r="AQ1334" s="687"/>
      <c r="AR1334" s="688"/>
      <c r="AS1334" s="689"/>
      <c r="AT1334" s="690"/>
      <c r="AU1334" s="691"/>
      <c r="AV1334" s="666" t="s">
        <v>162</v>
      </c>
      <c r="AW1334" s="667"/>
      <c r="AX1334" s="692"/>
      <c r="AY1334" s="693"/>
      <c r="AZ1334" s="694"/>
      <c r="BA1334" s="682"/>
      <c r="BB1334" s="683"/>
      <c r="BC1334" s="14"/>
      <c r="BD1334" s="695" t="s">
        <v>162</v>
      </c>
      <c r="BE1334" s="696"/>
      <c r="BF1334" s="708"/>
      <c r="BG1334" s="709"/>
      <c r="BH1334" s="709"/>
      <c r="BI1334" s="710"/>
      <c r="BJ1334" s="700" t="s">
        <v>159</v>
      </c>
      <c r="BK1334" s="701"/>
      <c r="BL1334" s="701"/>
      <c r="BM1334" s="702"/>
      <c r="BN1334" s="703" t="s">
        <v>159</v>
      </c>
      <c r="BO1334" s="704"/>
      <c r="BP1334" s="704"/>
      <c r="BQ1334" s="704"/>
      <c r="BR1334" s="704"/>
      <c r="BS1334" s="704"/>
      <c r="BT1334" s="704"/>
      <c r="BU1334" s="704"/>
      <c r="BV1334" s="705"/>
    </row>
    <row r="1335" spans="1:74" ht="45" customHeight="1" x14ac:dyDescent="0.25">
      <c r="A1335" s="10">
        <f t="shared" si="20"/>
        <v>1321</v>
      </c>
      <c r="B1335" s="711" t="s">
        <v>159</v>
      </c>
      <c r="C1335" s="711"/>
      <c r="D1335" s="712" t="s">
        <v>212</v>
      </c>
      <c r="E1335" s="712"/>
      <c r="F1335" s="664" t="s">
        <v>162</v>
      </c>
      <c r="G1335" s="665"/>
      <c r="H1335" s="755" t="s">
        <v>162</v>
      </c>
      <c r="I1335" s="667"/>
      <c r="J1335" s="706"/>
      <c r="K1335" s="707"/>
      <c r="L1335" s="706"/>
      <c r="M1335" s="707"/>
      <c r="N1335" s="215"/>
      <c r="O1335" s="216"/>
      <c r="P1335" s="670"/>
      <c r="Q1335" s="671"/>
      <c r="R1335" s="719"/>
      <c r="S1335" s="720"/>
      <c r="T1335" s="721"/>
      <c r="U1335" s="722"/>
      <c r="V1335" s="723"/>
      <c r="W1335" s="724"/>
      <c r="X1335" s="725" t="s">
        <v>159</v>
      </c>
      <c r="Y1335" s="725"/>
      <c r="Z1335" s="725"/>
      <c r="AA1335" s="725"/>
      <c r="AB1335" s="726" t="s">
        <v>159</v>
      </c>
      <c r="AC1335" s="726"/>
      <c r="AD1335" s="726"/>
      <c r="AE1335" s="726"/>
      <c r="AF1335" s="727"/>
      <c r="AG1335" s="728"/>
      <c r="AH1335" s="727"/>
      <c r="AI1335" s="728"/>
      <c r="AJ1335" s="682"/>
      <c r="AK1335" s="683"/>
      <c r="AL1335" s="664" t="s">
        <v>162</v>
      </c>
      <c r="AM1335" s="665"/>
      <c r="AN1335" s="713" t="s">
        <v>162</v>
      </c>
      <c r="AO1335" s="714"/>
      <c r="AP1335" s="729"/>
      <c r="AQ1335" s="730"/>
      <c r="AR1335" s="731"/>
      <c r="AS1335" s="732"/>
      <c r="AT1335" s="733"/>
      <c r="AU1335" s="734"/>
      <c r="AV1335" s="713" t="s">
        <v>162</v>
      </c>
      <c r="AW1335" s="714"/>
      <c r="AX1335" s="692"/>
      <c r="AY1335" s="693"/>
      <c r="AZ1335" s="694"/>
      <c r="BA1335" s="735"/>
      <c r="BB1335" s="736"/>
      <c r="BC1335" s="219"/>
      <c r="BD1335" s="737" t="s">
        <v>162</v>
      </c>
      <c r="BE1335" s="738"/>
      <c r="BF1335" s="739"/>
      <c r="BG1335" s="740"/>
      <c r="BH1335" s="740"/>
      <c r="BI1335" s="741"/>
      <c r="BJ1335" s="742" t="s">
        <v>159</v>
      </c>
      <c r="BK1335" s="743"/>
      <c r="BL1335" s="743"/>
      <c r="BM1335" s="744"/>
      <c r="BN1335" s="703" t="s">
        <v>159</v>
      </c>
      <c r="BO1335" s="704"/>
      <c r="BP1335" s="704"/>
      <c r="BQ1335" s="704"/>
      <c r="BR1335" s="704"/>
      <c r="BS1335" s="704"/>
      <c r="BT1335" s="704"/>
      <c r="BU1335" s="704"/>
      <c r="BV1335" s="705"/>
    </row>
    <row r="1336" spans="1:74" ht="45" customHeight="1" x14ac:dyDescent="0.25">
      <c r="A1336" s="10">
        <f t="shared" si="20"/>
        <v>1322</v>
      </c>
      <c r="B1336" s="662" t="s">
        <v>159</v>
      </c>
      <c r="C1336" s="662"/>
      <c r="D1336" s="663" t="s">
        <v>212</v>
      </c>
      <c r="E1336" s="663"/>
      <c r="F1336" s="664" t="s">
        <v>162</v>
      </c>
      <c r="G1336" s="665"/>
      <c r="H1336" s="754" t="s">
        <v>162</v>
      </c>
      <c r="I1336" s="714"/>
      <c r="J1336" s="715"/>
      <c r="K1336" s="716"/>
      <c r="L1336" s="715"/>
      <c r="M1336" s="716"/>
      <c r="N1336" s="194"/>
      <c r="O1336" s="196"/>
      <c r="P1336" s="717"/>
      <c r="Q1336" s="718"/>
      <c r="R1336" s="672"/>
      <c r="S1336" s="673"/>
      <c r="T1336" s="674"/>
      <c r="U1336" s="675"/>
      <c r="V1336" s="676"/>
      <c r="W1336" s="677"/>
      <c r="X1336" s="678" t="s">
        <v>159</v>
      </c>
      <c r="Y1336" s="678"/>
      <c r="Z1336" s="678"/>
      <c r="AA1336" s="678"/>
      <c r="AB1336" s="679" t="s">
        <v>159</v>
      </c>
      <c r="AC1336" s="679"/>
      <c r="AD1336" s="679"/>
      <c r="AE1336" s="679"/>
      <c r="AF1336" s="680"/>
      <c r="AG1336" s="681"/>
      <c r="AH1336" s="680"/>
      <c r="AI1336" s="681"/>
      <c r="AJ1336" s="682"/>
      <c r="AK1336" s="683"/>
      <c r="AL1336" s="684" t="s">
        <v>162</v>
      </c>
      <c r="AM1336" s="685"/>
      <c r="AN1336" s="666" t="s">
        <v>162</v>
      </c>
      <c r="AO1336" s="667"/>
      <c r="AP1336" s="686"/>
      <c r="AQ1336" s="687"/>
      <c r="AR1336" s="688"/>
      <c r="AS1336" s="689"/>
      <c r="AT1336" s="690"/>
      <c r="AU1336" s="691"/>
      <c r="AV1336" s="666" t="s">
        <v>162</v>
      </c>
      <c r="AW1336" s="667"/>
      <c r="AX1336" s="692"/>
      <c r="AY1336" s="693"/>
      <c r="AZ1336" s="694"/>
      <c r="BA1336" s="682"/>
      <c r="BB1336" s="683"/>
      <c r="BC1336" s="14"/>
      <c r="BD1336" s="695" t="s">
        <v>162</v>
      </c>
      <c r="BE1336" s="696"/>
      <c r="BF1336" s="697"/>
      <c r="BG1336" s="698"/>
      <c r="BH1336" s="698"/>
      <c r="BI1336" s="699"/>
      <c r="BJ1336" s="700" t="s">
        <v>159</v>
      </c>
      <c r="BK1336" s="701"/>
      <c r="BL1336" s="701"/>
      <c r="BM1336" s="702"/>
      <c r="BN1336" s="703" t="s">
        <v>159</v>
      </c>
      <c r="BO1336" s="704"/>
      <c r="BP1336" s="704"/>
      <c r="BQ1336" s="704"/>
      <c r="BR1336" s="704"/>
      <c r="BS1336" s="704"/>
      <c r="BT1336" s="704"/>
      <c r="BU1336" s="704"/>
      <c r="BV1336" s="705"/>
    </row>
    <row r="1337" spans="1:74" ht="45" customHeight="1" x14ac:dyDescent="0.25">
      <c r="A1337" s="10">
        <f t="shared" si="20"/>
        <v>1323</v>
      </c>
      <c r="B1337" s="711" t="s">
        <v>159</v>
      </c>
      <c r="C1337" s="711"/>
      <c r="D1337" s="712" t="s">
        <v>212</v>
      </c>
      <c r="E1337" s="712"/>
      <c r="F1337" s="664" t="s">
        <v>162</v>
      </c>
      <c r="G1337" s="665"/>
      <c r="H1337" s="755" t="s">
        <v>162</v>
      </c>
      <c r="I1337" s="667"/>
      <c r="J1337" s="706"/>
      <c r="K1337" s="707"/>
      <c r="L1337" s="706"/>
      <c r="M1337" s="707"/>
      <c r="N1337" s="194"/>
      <c r="O1337" s="196"/>
      <c r="P1337" s="717"/>
      <c r="Q1337" s="718"/>
      <c r="R1337" s="719"/>
      <c r="S1337" s="720"/>
      <c r="T1337" s="721"/>
      <c r="U1337" s="722"/>
      <c r="V1337" s="723"/>
      <c r="W1337" s="724"/>
      <c r="X1337" s="725" t="s">
        <v>159</v>
      </c>
      <c r="Y1337" s="725"/>
      <c r="Z1337" s="725"/>
      <c r="AA1337" s="725"/>
      <c r="AB1337" s="726" t="s">
        <v>159</v>
      </c>
      <c r="AC1337" s="726"/>
      <c r="AD1337" s="726"/>
      <c r="AE1337" s="726"/>
      <c r="AF1337" s="727"/>
      <c r="AG1337" s="728"/>
      <c r="AH1337" s="727"/>
      <c r="AI1337" s="728"/>
      <c r="AJ1337" s="682"/>
      <c r="AK1337" s="683"/>
      <c r="AL1337" s="664" t="s">
        <v>162</v>
      </c>
      <c r="AM1337" s="665"/>
      <c r="AN1337" s="713" t="s">
        <v>162</v>
      </c>
      <c r="AO1337" s="714"/>
      <c r="AP1337" s="729"/>
      <c r="AQ1337" s="730"/>
      <c r="AR1337" s="731"/>
      <c r="AS1337" s="732"/>
      <c r="AT1337" s="690"/>
      <c r="AU1337" s="691"/>
      <c r="AV1337" s="713" t="s">
        <v>162</v>
      </c>
      <c r="AW1337" s="714"/>
      <c r="AX1337" s="692"/>
      <c r="AY1337" s="693"/>
      <c r="AZ1337" s="694"/>
      <c r="BA1337" s="735"/>
      <c r="BB1337" s="736"/>
      <c r="BC1337" s="219"/>
      <c r="BD1337" s="737" t="s">
        <v>162</v>
      </c>
      <c r="BE1337" s="738"/>
      <c r="BF1337" s="739"/>
      <c r="BG1337" s="740"/>
      <c r="BH1337" s="740"/>
      <c r="BI1337" s="741"/>
      <c r="BJ1337" s="742" t="s">
        <v>159</v>
      </c>
      <c r="BK1337" s="743"/>
      <c r="BL1337" s="743"/>
      <c r="BM1337" s="744"/>
      <c r="BN1337" s="703" t="s">
        <v>159</v>
      </c>
      <c r="BO1337" s="704"/>
      <c r="BP1337" s="704"/>
      <c r="BQ1337" s="704"/>
      <c r="BR1337" s="704"/>
      <c r="BS1337" s="704"/>
      <c r="BT1337" s="704"/>
      <c r="BU1337" s="704"/>
      <c r="BV1337" s="705"/>
    </row>
    <row r="1338" spans="1:74" ht="45" customHeight="1" x14ac:dyDescent="0.25">
      <c r="A1338" s="10">
        <f t="shared" si="20"/>
        <v>1324</v>
      </c>
      <c r="B1338" s="662" t="s">
        <v>159</v>
      </c>
      <c r="C1338" s="662"/>
      <c r="D1338" s="663" t="s">
        <v>212</v>
      </c>
      <c r="E1338" s="663"/>
      <c r="F1338" s="664" t="s">
        <v>162</v>
      </c>
      <c r="G1338" s="665"/>
      <c r="H1338" s="754" t="s">
        <v>162</v>
      </c>
      <c r="I1338" s="714"/>
      <c r="J1338" s="715"/>
      <c r="K1338" s="716"/>
      <c r="L1338" s="715"/>
      <c r="M1338" s="716"/>
      <c r="N1338" s="215"/>
      <c r="O1338" s="216"/>
      <c r="P1338" s="670"/>
      <c r="Q1338" s="671"/>
      <c r="R1338" s="672"/>
      <c r="S1338" s="673"/>
      <c r="T1338" s="674"/>
      <c r="U1338" s="675"/>
      <c r="V1338" s="676"/>
      <c r="W1338" s="677"/>
      <c r="X1338" s="678" t="s">
        <v>159</v>
      </c>
      <c r="Y1338" s="678"/>
      <c r="Z1338" s="678"/>
      <c r="AA1338" s="678"/>
      <c r="AB1338" s="679" t="s">
        <v>159</v>
      </c>
      <c r="AC1338" s="679"/>
      <c r="AD1338" s="679"/>
      <c r="AE1338" s="679"/>
      <c r="AF1338" s="680"/>
      <c r="AG1338" s="681"/>
      <c r="AH1338" s="680"/>
      <c r="AI1338" s="681"/>
      <c r="AJ1338" s="682"/>
      <c r="AK1338" s="683"/>
      <c r="AL1338" s="684" t="s">
        <v>162</v>
      </c>
      <c r="AM1338" s="685"/>
      <c r="AN1338" s="666" t="s">
        <v>162</v>
      </c>
      <c r="AO1338" s="667"/>
      <c r="AP1338" s="686"/>
      <c r="AQ1338" s="687"/>
      <c r="AR1338" s="688"/>
      <c r="AS1338" s="689"/>
      <c r="AT1338" s="690"/>
      <c r="AU1338" s="691"/>
      <c r="AV1338" s="666" t="s">
        <v>162</v>
      </c>
      <c r="AW1338" s="667"/>
      <c r="AX1338" s="692"/>
      <c r="AY1338" s="693"/>
      <c r="AZ1338" s="694"/>
      <c r="BA1338" s="682"/>
      <c r="BB1338" s="683"/>
      <c r="BC1338" s="14"/>
      <c r="BD1338" s="695" t="s">
        <v>162</v>
      </c>
      <c r="BE1338" s="696"/>
      <c r="BF1338" s="697"/>
      <c r="BG1338" s="698"/>
      <c r="BH1338" s="698"/>
      <c r="BI1338" s="699"/>
      <c r="BJ1338" s="700" t="s">
        <v>159</v>
      </c>
      <c r="BK1338" s="701"/>
      <c r="BL1338" s="701"/>
      <c r="BM1338" s="702"/>
      <c r="BN1338" s="703" t="s">
        <v>159</v>
      </c>
      <c r="BO1338" s="704"/>
      <c r="BP1338" s="704"/>
      <c r="BQ1338" s="704"/>
      <c r="BR1338" s="704"/>
      <c r="BS1338" s="704"/>
      <c r="BT1338" s="704"/>
      <c r="BU1338" s="704"/>
      <c r="BV1338" s="705"/>
    </row>
    <row r="1339" spans="1:74" ht="45" customHeight="1" x14ac:dyDescent="0.25">
      <c r="A1339" s="10">
        <f t="shared" si="20"/>
        <v>1325</v>
      </c>
      <c r="B1339" s="711" t="s">
        <v>159</v>
      </c>
      <c r="C1339" s="711"/>
      <c r="D1339" s="712" t="s">
        <v>212</v>
      </c>
      <c r="E1339" s="712"/>
      <c r="F1339" s="664" t="s">
        <v>162</v>
      </c>
      <c r="G1339" s="665"/>
      <c r="H1339" s="755" t="s">
        <v>162</v>
      </c>
      <c r="I1339" s="667"/>
      <c r="J1339" s="706"/>
      <c r="K1339" s="707"/>
      <c r="L1339" s="706"/>
      <c r="M1339" s="707"/>
      <c r="N1339" s="194"/>
      <c r="O1339" s="196"/>
      <c r="P1339" s="717"/>
      <c r="Q1339" s="718"/>
      <c r="R1339" s="719"/>
      <c r="S1339" s="720"/>
      <c r="T1339" s="721"/>
      <c r="U1339" s="722"/>
      <c r="V1339" s="723"/>
      <c r="W1339" s="724"/>
      <c r="X1339" s="725" t="s">
        <v>159</v>
      </c>
      <c r="Y1339" s="725"/>
      <c r="Z1339" s="725"/>
      <c r="AA1339" s="725"/>
      <c r="AB1339" s="726" t="s">
        <v>159</v>
      </c>
      <c r="AC1339" s="726"/>
      <c r="AD1339" s="726"/>
      <c r="AE1339" s="726"/>
      <c r="AF1339" s="727"/>
      <c r="AG1339" s="728"/>
      <c r="AH1339" s="727"/>
      <c r="AI1339" s="728"/>
      <c r="AJ1339" s="682"/>
      <c r="AK1339" s="683"/>
      <c r="AL1339" s="664" t="s">
        <v>162</v>
      </c>
      <c r="AM1339" s="665"/>
      <c r="AN1339" s="713" t="s">
        <v>162</v>
      </c>
      <c r="AO1339" s="714"/>
      <c r="AP1339" s="729"/>
      <c r="AQ1339" s="730"/>
      <c r="AR1339" s="731"/>
      <c r="AS1339" s="732"/>
      <c r="AT1339" s="690"/>
      <c r="AU1339" s="691"/>
      <c r="AV1339" s="713" t="s">
        <v>162</v>
      </c>
      <c r="AW1339" s="714"/>
      <c r="AX1339" s="692"/>
      <c r="AY1339" s="693"/>
      <c r="AZ1339" s="694"/>
      <c r="BA1339" s="735"/>
      <c r="BB1339" s="736"/>
      <c r="BC1339" s="219"/>
      <c r="BD1339" s="737" t="s">
        <v>162</v>
      </c>
      <c r="BE1339" s="738"/>
      <c r="BF1339" s="739"/>
      <c r="BG1339" s="740"/>
      <c r="BH1339" s="740"/>
      <c r="BI1339" s="741"/>
      <c r="BJ1339" s="742" t="s">
        <v>159</v>
      </c>
      <c r="BK1339" s="743"/>
      <c r="BL1339" s="743"/>
      <c r="BM1339" s="744"/>
      <c r="BN1339" s="703" t="s">
        <v>159</v>
      </c>
      <c r="BO1339" s="704"/>
      <c r="BP1339" s="704"/>
      <c r="BQ1339" s="704"/>
      <c r="BR1339" s="704"/>
      <c r="BS1339" s="704"/>
      <c r="BT1339" s="704"/>
      <c r="BU1339" s="704"/>
      <c r="BV1339" s="705"/>
    </row>
    <row r="1340" spans="1:74" ht="45" customHeight="1" x14ac:dyDescent="0.25">
      <c r="A1340" s="10">
        <f t="shared" si="20"/>
        <v>1326</v>
      </c>
      <c r="B1340" s="662" t="s">
        <v>159</v>
      </c>
      <c r="C1340" s="662"/>
      <c r="D1340" s="663" t="s">
        <v>212</v>
      </c>
      <c r="E1340" s="663"/>
      <c r="F1340" s="664" t="s">
        <v>162</v>
      </c>
      <c r="G1340" s="665"/>
      <c r="H1340" s="754" t="s">
        <v>162</v>
      </c>
      <c r="I1340" s="714"/>
      <c r="J1340" s="715"/>
      <c r="K1340" s="716"/>
      <c r="L1340" s="715"/>
      <c r="M1340" s="716"/>
      <c r="N1340" s="215"/>
      <c r="O1340" s="216"/>
      <c r="P1340" s="670"/>
      <c r="Q1340" s="671"/>
      <c r="R1340" s="672"/>
      <c r="S1340" s="673"/>
      <c r="T1340" s="674"/>
      <c r="U1340" s="675"/>
      <c r="V1340" s="676"/>
      <c r="W1340" s="677"/>
      <c r="X1340" s="678" t="s">
        <v>159</v>
      </c>
      <c r="Y1340" s="678"/>
      <c r="Z1340" s="678"/>
      <c r="AA1340" s="678"/>
      <c r="AB1340" s="679" t="s">
        <v>159</v>
      </c>
      <c r="AC1340" s="679"/>
      <c r="AD1340" s="679"/>
      <c r="AE1340" s="679"/>
      <c r="AF1340" s="680"/>
      <c r="AG1340" s="681"/>
      <c r="AH1340" s="680"/>
      <c r="AI1340" s="681"/>
      <c r="AJ1340" s="682"/>
      <c r="AK1340" s="683"/>
      <c r="AL1340" s="684" t="s">
        <v>162</v>
      </c>
      <c r="AM1340" s="685"/>
      <c r="AN1340" s="666" t="s">
        <v>162</v>
      </c>
      <c r="AO1340" s="667"/>
      <c r="AP1340" s="686"/>
      <c r="AQ1340" s="687"/>
      <c r="AR1340" s="688"/>
      <c r="AS1340" s="689"/>
      <c r="AT1340" s="690"/>
      <c r="AU1340" s="691"/>
      <c r="AV1340" s="666" t="s">
        <v>162</v>
      </c>
      <c r="AW1340" s="667"/>
      <c r="AX1340" s="692"/>
      <c r="AY1340" s="693"/>
      <c r="AZ1340" s="694"/>
      <c r="BA1340" s="682"/>
      <c r="BB1340" s="683"/>
      <c r="BC1340" s="14"/>
      <c r="BD1340" s="695" t="s">
        <v>162</v>
      </c>
      <c r="BE1340" s="696"/>
      <c r="BF1340" s="697"/>
      <c r="BG1340" s="698"/>
      <c r="BH1340" s="698"/>
      <c r="BI1340" s="699"/>
      <c r="BJ1340" s="700" t="s">
        <v>159</v>
      </c>
      <c r="BK1340" s="701"/>
      <c r="BL1340" s="701"/>
      <c r="BM1340" s="702"/>
      <c r="BN1340" s="703" t="s">
        <v>159</v>
      </c>
      <c r="BO1340" s="704"/>
      <c r="BP1340" s="704"/>
      <c r="BQ1340" s="704"/>
      <c r="BR1340" s="704"/>
      <c r="BS1340" s="704"/>
      <c r="BT1340" s="704"/>
      <c r="BU1340" s="704"/>
      <c r="BV1340" s="705"/>
    </row>
    <row r="1341" spans="1:74" ht="45" customHeight="1" x14ac:dyDescent="0.25">
      <c r="A1341" s="10">
        <f t="shared" si="20"/>
        <v>1327</v>
      </c>
      <c r="B1341" s="711" t="s">
        <v>159</v>
      </c>
      <c r="C1341" s="711"/>
      <c r="D1341" s="712" t="s">
        <v>212</v>
      </c>
      <c r="E1341" s="712"/>
      <c r="F1341" s="664" t="s">
        <v>162</v>
      </c>
      <c r="G1341" s="665"/>
      <c r="H1341" s="755" t="s">
        <v>162</v>
      </c>
      <c r="I1341" s="667"/>
      <c r="J1341" s="706"/>
      <c r="K1341" s="707"/>
      <c r="L1341" s="706"/>
      <c r="M1341" s="707"/>
      <c r="N1341" s="194"/>
      <c r="O1341" s="216"/>
      <c r="P1341" s="717"/>
      <c r="Q1341" s="718"/>
      <c r="R1341" s="719"/>
      <c r="S1341" s="720"/>
      <c r="T1341" s="721"/>
      <c r="U1341" s="722"/>
      <c r="V1341" s="723"/>
      <c r="W1341" s="724"/>
      <c r="X1341" s="725" t="s">
        <v>159</v>
      </c>
      <c r="Y1341" s="725"/>
      <c r="Z1341" s="725"/>
      <c r="AA1341" s="725"/>
      <c r="AB1341" s="726" t="s">
        <v>159</v>
      </c>
      <c r="AC1341" s="726"/>
      <c r="AD1341" s="726"/>
      <c r="AE1341" s="726"/>
      <c r="AF1341" s="727"/>
      <c r="AG1341" s="728"/>
      <c r="AH1341" s="727"/>
      <c r="AI1341" s="728"/>
      <c r="AJ1341" s="682"/>
      <c r="AK1341" s="683"/>
      <c r="AL1341" s="664" t="s">
        <v>162</v>
      </c>
      <c r="AM1341" s="665"/>
      <c r="AN1341" s="713" t="s">
        <v>162</v>
      </c>
      <c r="AO1341" s="714"/>
      <c r="AP1341" s="729"/>
      <c r="AQ1341" s="730"/>
      <c r="AR1341" s="731"/>
      <c r="AS1341" s="732"/>
      <c r="AT1341" s="733"/>
      <c r="AU1341" s="734"/>
      <c r="AV1341" s="713" t="s">
        <v>162</v>
      </c>
      <c r="AW1341" s="714"/>
      <c r="AX1341" s="692"/>
      <c r="AY1341" s="693"/>
      <c r="AZ1341" s="694"/>
      <c r="BA1341" s="735"/>
      <c r="BB1341" s="736"/>
      <c r="BC1341" s="219"/>
      <c r="BD1341" s="737" t="s">
        <v>162</v>
      </c>
      <c r="BE1341" s="738"/>
      <c r="BF1341" s="739"/>
      <c r="BG1341" s="740"/>
      <c r="BH1341" s="740"/>
      <c r="BI1341" s="741"/>
      <c r="BJ1341" s="742" t="s">
        <v>159</v>
      </c>
      <c r="BK1341" s="743"/>
      <c r="BL1341" s="743"/>
      <c r="BM1341" s="744"/>
      <c r="BN1341" s="703" t="s">
        <v>159</v>
      </c>
      <c r="BO1341" s="704"/>
      <c r="BP1341" s="704"/>
      <c r="BQ1341" s="704"/>
      <c r="BR1341" s="704"/>
      <c r="BS1341" s="704"/>
      <c r="BT1341" s="704"/>
      <c r="BU1341" s="704"/>
      <c r="BV1341" s="705"/>
    </row>
    <row r="1342" spans="1:74" ht="45" customHeight="1" x14ac:dyDescent="0.25">
      <c r="A1342" s="10">
        <f t="shared" si="20"/>
        <v>1328</v>
      </c>
      <c r="B1342" s="662" t="s">
        <v>159</v>
      </c>
      <c r="C1342" s="662"/>
      <c r="D1342" s="663" t="s">
        <v>212</v>
      </c>
      <c r="E1342" s="663"/>
      <c r="F1342" s="664" t="s">
        <v>162</v>
      </c>
      <c r="G1342" s="665"/>
      <c r="H1342" s="754" t="s">
        <v>162</v>
      </c>
      <c r="I1342" s="714"/>
      <c r="J1342" s="715"/>
      <c r="K1342" s="716"/>
      <c r="L1342" s="715"/>
      <c r="M1342" s="716"/>
      <c r="N1342" s="215"/>
      <c r="O1342" s="196"/>
      <c r="P1342" s="670"/>
      <c r="Q1342" s="671"/>
      <c r="R1342" s="672"/>
      <c r="S1342" s="673"/>
      <c r="T1342" s="674"/>
      <c r="U1342" s="675"/>
      <c r="V1342" s="676"/>
      <c r="W1342" s="677"/>
      <c r="X1342" s="678" t="s">
        <v>159</v>
      </c>
      <c r="Y1342" s="678"/>
      <c r="Z1342" s="678"/>
      <c r="AA1342" s="678"/>
      <c r="AB1342" s="679" t="s">
        <v>159</v>
      </c>
      <c r="AC1342" s="679"/>
      <c r="AD1342" s="679"/>
      <c r="AE1342" s="679"/>
      <c r="AF1342" s="680"/>
      <c r="AG1342" s="681"/>
      <c r="AH1342" s="680"/>
      <c r="AI1342" s="681"/>
      <c r="AJ1342" s="682"/>
      <c r="AK1342" s="683"/>
      <c r="AL1342" s="684" t="s">
        <v>162</v>
      </c>
      <c r="AM1342" s="685"/>
      <c r="AN1342" s="666" t="s">
        <v>162</v>
      </c>
      <c r="AO1342" s="667"/>
      <c r="AP1342" s="686"/>
      <c r="AQ1342" s="687"/>
      <c r="AR1342" s="688"/>
      <c r="AS1342" s="689"/>
      <c r="AT1342" s="690"/>
      <c r="AU1342" s="691"/>
      <c r="AV1342" s="666" t="s">
        <v>162</v>
      </c>
      <c r="AW1342" s="667"/>
      <c r="AX1342" s="692"/>
      <c r="AY1342" s="693"/>
      <c r="AZ1342" s="694"/>
      <c r="BA1342" s="682"/>
      <c r="BB1342" s="683"/>
      <c r="BC1342" s="14"/>
      <c r="BD1342" s="695" t="s">
        <v>162</v>
      </c>
      <c r="BE1342" s="696"/>
      <c r="BF1342" s="708"/>
      <c r="BG1342" s="709"/>
      <c r="BH1342" s="709"/>
      <c r="BI1342" s="710"/>
      <c r="BJ1342" s="700" t="s">
        <v>159</v>
      </c>
      <c r="BK1342" s="701"/>
      <c r="BL1342" s="701"/>
      <c r="BM1342" s="702"/>
      <c r="BN1342" s="703" t="s">
        <v>159</v>
      </c>
      <c r="BO1342" s="704"/>
      <c r="BP1342" s="704"/>
      <c r="BQ1342" s="704"/>
      <c r="BR1342" s="704"/>
      <c r="BS1342" s="704"/>
      <c r="BT1342" s="704"/>
      <c r="BU1342" s="704"/>
      <c r="BV1342" s="705"/>
    </row>
    <row r="1343" spans="1:74" ht="45" customHeight="1" x14ac:dyDescent="0.25">
      <c r="A1343" s="10">
        <f t="shared" si="20"/>
        <v>1329</v>
      </c>
      <c r="B1343" s="711" t="s">
        <v>159</v>
      </c>
      <c r="C1343" s="711"/>
      <c r="D1343" s="712" t="s">
        <v>212</v>
      </c>
      <c r="E1343" s="712"/>
      <c r="F1343" s="664" t="s">
        <v>162</v>
      </c>
      <c r="G1343" s="665"/>
      <c r="H1343" s="755" t="s">
        <v>162</v>
      </c>
      <c r="I1343" s="667"/>
      <c r="J1343" s="706"/>
      <c r="K1343" s="707"/>
      <c r="L1343" s="706"/>
      <c r="M1343" s="707"/>
      <c r="N1343" s="194"/>
      <c r="O1343" s="216"/>
      <c r="P1343" s="717"/>
      <c r="Q1343" s="718"/>
      <c r="R1343" s="719"/>
      <c r="S1343" s="720"/>
      <c r="T1343" s="721"/>
      <c r="U1343" s="722"/>
      <c r="V1343" s="723"/>
      <c r="W1343" s="724"/>
      <c r="X1343" s="725" t="s">
        <v>159</v>
      </c>
      <c r="Y1343" s="725"/>
      <c r="Z1343" s="725"/>
      <c r="AA1343" s="725"/>
      <c r="AB1343" s="726" t="s">
        <v>159</v>
      </c>
      <c r="AC1343" s="726"/>
      <c r="AD1343" s="726"/>
      <c r="AE1343" s="726"/>
      <c r="AF1343" s="727"/>
      <c r="AG1343" s="728"/>
      <c r="AH1343" s="727"/>
      <c r="AI1343" s="728"/>
      <c r="AJ1343" s="682"/>
      <c r="AK1343" s="683"/>
      <c r="AL1343" s="664" t="s">
        <v>162</v>
      </c>
      <c r="AM1343" s="665"/>
      <c r="AN1343" s="713" t="s">
        <v>162</v>
      </c>
      <c r="AO1343" s="714"/>
      <c r="AP1343" s="729"/>
      <c r="AQ1343" s="730"/>
      <c r="AR1343" s="731"/>
      <c r="AS1343" s="732"/>
      <c r="AT1343" s="733"/>
      <c r="AU1343" s="734"/>
      <c r="AV1343" s="713" t="s">
        <v>162</v>
      </c>
      <c r="AW1343" s="714"/>
      <c r="AX1343" s="692"/>
      <c r="AY1343" s="693"/>
      <c r="AZ1343" s="694"/>
      <c r="BA1343" s="735"/>
      <c r="BB1343" s="736"/>
      <c r="BC1343" s="219"/>
      <c r="BD1343" s="737" t="s">
        <v>162</v>
      </c>
      <c r="BE1343" s="738"/>
      <c r="BF1343" s="739"/>
      <c r="BG1343" s="740"/>
      <c r="BH1343" s="740"/>
      <c r="BI1343" s="741"/>
      <c r="BJ1343" s="742" t="s">
        <v>159</v>
      </c>
      <c r="BK1343" s="743"/>
      <c r="BL1343" s="743"/>
      <c r="BM1343" s="744"/>
      <c r="BN1343" s="703" t="s">
        <v>159</v>
      </c>
      <c r="BO1343" s="704"/>
      <c r="BP1343" s="704"/>
      <c r="BQ1343" s="704"/>
      <c r="BR1343" s="704"/>
      <c r="BS1343" s="704"/>
      <c r="BT1343" s="704"/>
      <c r="BU1343" s="704"/>
      <c r="BV1343" s="705"/>
    </row>
    <row r="1344" spans="1:74" ht="45" customHeight="1" x14ac:dyDescent="0.25">
      <c r="A1344" s="10">
        <f t="shared" si="20"/>
        <v>1330</v>
      </c>
      <c r="B1344" s="662" t="s">
        <v>159</v>
      </c>
      <c r="C1344" s="662"/>
      <c r="D1344" s="663" t="s">
        <v>212</v>
      </c>
      <c r="E1344" s="663"/>
      <c r="F1344" s="664" t="s">
        <v>162</v>
      </c>
      <c r="G1344" s="665"/>
      <c r="H1344" s="754" t="s">
        <v>162</v>
      </c>
      <c r="I1344" s="714"/>
      <c r="J1344" s="715"/>
      <c r="K1344" s="716"/>
      <c r="L1344" s="715"/>
      <c r="M1344" s="716"/>
      <c r="N1344" s="215"/>
      <c r="O1344" s="196"/>
      <c r="P1344" s="670"/>
      <c r="Q1344" s="671"/>
      <c r="R1344" s="672"/>
      <c r="S1344" s="673"/>
      <c r="T1344" s="674"/>
      <c r="U1344" s="675"/>
      <c r="V1344" s="676"/>
      <c r="W1344" s="677"/>
      <c r="X1344" s="678" t="s">
        <v>159</v>
      </c>
      <c r="Y1344" s="678"/>
      <c r="Z1344" s="678"/>
      <c r="AA1344" s="678"/>
      <c r="AB1344" s="679" t="s">
        <v>159</v>
      </c>
      <c r="AC1344" s="679"/>
      <c r="AD1344" s="679"/>
      <c r="AE1344" s="679"/>
      <c r="AF1344" s="680"/>
      <c r="AG1344" s="681"/>
      <c r="AH1344" s="680"/>
      <c r="AI1344" s="681"/>
      <c r="AJ1344" s="682"/>
      <c r="AK1344" s="683"/>
      <c r="AL1344" s="684" t="s">
        <v>162</v>
      </c>
      <c r="AM1344" s="685"/>
      <c r="AN1344" s="666" t="s">
        <v>162</v>
      </c>
      <c r="AO1344" s="667"/>
      <c r="AP1344" s="686"/>
      <c r="AQ1344" s="687"/>
      <c r="AR1344" s="688"/>
      <c r="AS1344" s="689"/>
      <c r="AT1344" s="690"/>
      <c r="AU1344" s="691"/>
      <c r="AV1344" s="666" t="s">
        <v>162</v>
      </c>
      <c r="AW1344" s="667"/>
      <c r="AX1344" s="692"/>
      <c r="AY1344" s="693"/>
      <c r="AZ1344" s="694"/>
      <c r="BA1344" s="682"/>
      <c r="BB1344" s="683"/>
      <c r="BC1344" s="14"/>
      <c r="BD1344" s="695" t="s">
        <v>162</v>
      </c>
      <c r="BE1344" s="696"/>
      <c r="BF1344" s="697"/>
      <c r="BG1344" s="698"/>
      <c r="BH1344" s="698"/>
      <c r="BI1344" s="699"/>
      <c r="BJ1344" s="700" t="s">
        <v>159</v>
      </c>
      <c r="BK1344" s="701"/>
      <c r="BL1344" s="701"/>
      <c r="BM1344" s="702"/>
      <c r="BN1344" s="703" t="s">
        <v>159</v>
      </c>
      <c r="BO1344" s="704"/>
      <c r="BP1344" s="704"/>
      <c r="BQ1344" s="704"/>
      <c r="BR1344" s="704"/>
      <c r="BS1344" s="704"/>
      <c r="BT1344" s="704"/>
      <c r="BU1344" s="704"/>
      <c r="BV1344" s="705"/>
    </row>
    <row r="1345" spans="1:74" ht="45" customHeight="1" x14ac:dyDescent="0.25">
      <c r="A1345" s="10">
        <f t="shared" si="20"/>
        <v>1331</v>
      </c>
      <c r="B1345" s="711" t="s">
        <v>159</v>
      </c>
      <c r="C1345" s="711"/>
      <c r="D1345" s="712" t="s">
        <v>212</v>
      </c>
      <c r="E1345" s="712"/>
      <c r="F1345" s="664" t="s">
        <v>162</v>
      </c>
      <c r="G1345" s="665"/>
      <c r="H1345" s="755" t="s">
        <v>162</v>
      </c>
      <c r="I1345" s="667"/>
      <c r="J1345" s="706"/>
      <c r="K1345" s="707"/>
      <c r="L1345" s="706"/>
      <c r="M1345" s="707"/>
      <c r="N1345" s="194"/>
      <c r="O1345" s="216"/>
      <c r="P1345" s="717"/>
      <c r="Q1345" s="718"/>
      <c r="R1345" s="719"/>
      <c r="S1345" s="720"/>
      <c r="T1345" s="721"/>
      <c r="U1345" s="722"/>
      <c r="V1345" s="723"/>
      <c r="W1345" s="724"/>
      <c r="X1345" s="725" t="s">
        <v>159</v>
      </c>
      <c r="Y1345" s="725"/>
      <c r="Z1345" s="725"/>
      <c r="AA1345" s="725"/>
      <c r="AB1345" s="726" t="s">
        <v>159</v>
      </c>
      <c r="AC1345" s="726"/>
      <c r="AD1345" s="726"/>
      <c r="AE1345" s="726"/>
      <c r="AF1345" s="727"/>
      <c r="AG1345" s="728"/>
      <c r="AH1345" s="727"/>
      <c r="AI1345" s="728"/>
      <c r="AJ1345" s="682"/>
      <c r="AK1345" s="683"/>
      <c r="AL1345" s="664" t="s">
        <v>162</v>
      </c>
      <c r="AM1345" s="665"/>
      <c r="AN1345" s="713" t="s">
        <v>162</v>
      </c>
      <c r="AO1345" s="714"/>
      <c r="AP1345" s="729"/>
      <c r="AQ1345" s="730"/>
      <c r="AR1345" s="731"/>
      <c r="AS1345" s="732"/>
      <c r="AT1345" s="733"/>
      <c r="AU1345" s="734"/>
      <c r="AV1345" s="713" t="s">
        <v>162</v>
      </c>
      <c r="AW1345" s="714"/>
      <c r="AX1345" s="692"/>
      <c r="AY1345" s="693"/>
      <c r="AZ1345" s="694"/>
      <c r="BA1345" s="735"/>
      <c r="BB1345" s="736"/>
      <c r="BC1345" s="219"/>
      <c r="BD1345" s="737" t="s">
        <v>162</v>
      </c>
      <c r="BE1345" s="738"/>
      <c r="BF1345" s="739"/>
      <c r="BG1345" s="740"/>
      <c r="BH1345" s="740"/>
      <c r="BI1345" s="741"/>
      <c r="BJ1345" s="742" t="s">
        <v>159</v>
      </c>
      <c r="BK1345" s="743"/>
      <c r="BL1345" s="743"/>
      <c r="BM1345" s="744"/>
      <c r="BN1345" s="703" t="s">
        <v>159</v>
      </c>
      <c r="BO1345" s="704"/>
      <c r="BP1345" s="704"/>
      <c r="BQ1345" s="704"/>
      <c r="BR1345" s="704"/>
      <c r="BS1345" s="704"/>
      <c r="BT1345" s="704"/>
      <c r="BU1345" s="704"/>
      <c r="BV1345" s="705"/>
    </row>
    <row r="1346" spans="1:74" ht="45" customHeight="1" x14ac:dyDescent="0.25">
      <c r="A1346" s="10">
        <f t="shared" si="20"/>
        <v>1332</v>
      </c>
      <c r="B1346" s="662" t="s">
        <v>159</v>
      </c>
      <c r="C1346" s="662"/>
      <c r="D1346" s="663" t="s">
        <v>212</v>
      </c>
      <c r="E1346" s="663"/>
      <c r="F1346" s="664" t="s">
        <v>162</v>
      </c>
      <c r="G1346" s="665"/>
      <c r="H1346" s="754" t="s">
        <v>162</v>
      </c>
      <c r="I1346" s="714"/>
      <c r="J1346" s="715"/>
      <c r="K1346" s="716"/>
      <c r="L1346" s="715"/>
      <c r="M1346" s="716"/>
      <c r="N1346" s="215"/>
      <c r="O1346" s="196"/>
      <c r="P1346" s="670"/>
      <c r="Q1346" s="671"/>
      <c r="R1346" s="672"/>
      <c r="S1346" s="673"/>
      <c r="T1346" s="674"/>
      <c r="U1346" s="675"/>
      <c r="V1346" s="676"/>
      <c r="W1346" s="677"/>
      <c r="X1346" s="678" t="s">
        <v>159</v>
      </c>
      <c r="Y1346" s="678"/>
      <c r="Z1346" s="678"/>
      <c r="AA1346" s="678"/>
      <c r="AB1346" s="679" t="s">
        <v>159</v>
      </c>
      <c r="AC1346" s="679"/>
      <c r="AD1346" s="679"/>
      <c r="AE1346" s="679"/>
      <c r="AF1346" s="680"/>
      <c r="AG1346" s="681"/>
      <c r="AH1346" s="680"/>
      <c r="AI1346" s="681"/>
      <c r="AJ1346" s="682"/>
      <c r="AK1346" s="683"/>
      <c r="AL1346" s="684" t="s">
        <v>162</v>
      </c>
      <c r="AM1346" s="685"/>
      <c r="AN1346" s="666" t="s">
        <v>162</v>
      </c>
      <c r="AO1346" s="667"/>
      <c r="AP1346" s="686"/>
      <c r="AQ1346" s="687"/>
      <c r="AR1346" s="688"/>
      <c r="AS1346" s="689"/>
      <c r="AT1346" s="690"/>
      <c r="AU1346" s="691"/>
      <c r="AV1346" s="666" t="s">
        <v>162</v>
      </c>
      <c r="AW1346" s="667"/>
      <c r="AX1346" s="692"/>
      <c r="AY1346" s="693"/>
      <c r="AZ1346" s="694"/>
      <c r="BA1346" s="682"/>
      <c r="BB1346" s="683"/>
      <c r="BC1346" s="14"/>
      <c r="BD1346" s="695" t="s">
        <v>162</v>
      </c>
      <c r="BE1346" s="696"/>
      <c r="BF1346" s="697"/>
      <c r="BG1346" s="698"/>
      <c r="BH1346" s="698"/>
      <c r="BI1346" s="699"/>
      <c r="BJ1346" s="700" t="s">
        <v>159</v>
      </c>
      <c r="BK1346" s="701"/>
      <c r="BL1346" s="701"/>
      <c r="BM1346" s="702"/>
      <c r="BN1346" s="703" t="s">
        <v>159</v>
      </c>
      <c r="BO1346" s="704"/>
      <c r="BP1346" s="704"/>
      <c r="BQ1346" s="704"/>
      <c r="BR1346" s="704"/>
      <c r="BS1346" s="704"/>
      <c r="BT1346" s="704"/>
      <c r="BU1346" s="704"/>
      <c r="BV1346" s="705"/>
    </row>
    <row r="1347" spans="1:74" ht="45" customHeight="1" x14ac:dyDescent="0.25">
      <c r="A1347" s="10">
        <f t="shared" si="20"/>
        <v>1333</v>
      </c>
      <c r="B1347" s="711" t="s">
        <v>159</v>
      </c>
      <c r="C1347" s="711"/>
      <c r="D1347" s="712" t="s">
        <v>212</v>
      </c>
      <c r="E1347" s="712"/>
      <c r="F1347" s="664" t="s">
        <v>162</v>
      </c>
      <c r="G1347" s="665"/>
      <c r="H1347" s="755" t="s">
        <v>162</v>
      </c>
      <c r="I1347" s="667"/>
      <c r="J1347" s="706"/>
      <c r="K1347" s="707"/>
      <c r="L1347" s="706"/>
      <c r="M1347" s="707"/>
      <c r="N1347" s="194"/>
      <c r="O1347" s="216"/>
      <c r="P1347" s="717"/>
      <c r="Q1347" s="718"/>
      <c r="R1347" s="719"/>
      <c r="S1347" s="720"/>
      <c r="T1347" s="721"/>
      <c r="U1347" s="722"/>
      <c r="V1347" s="723"/>
      <c r="W1347" s="724"/>
      <c r="X1347" s="725" t="s">
        <v>159</v>
      </c>
      <c r="Y1347" s="725"/>
      <c r="Z1347" s="725"/>
      <c r="AA1347" s="725"/>
      <c r="AB1347" s="726" t="s">
        <v>159</v>
      </c>
      <c r="AC1347" s="726"/>
      <c r="AD1347" s="726"/>
      <c r="AE1347" s="726"/>
      <c r="AF1347" s="727"/>
      <c r="AG1347" s="728"/>
      <c r="AH1347" s="727"/>
      <c r="AI1347" s="728"/>
      <c r="AJ1347" s="682"/>
      <c r="AK1347" s="683"/>
      <c r="AL1347" s="664" t="s">
        <v>162</v>
      </c>
      <c r="AM1347" s="665"/>
      <c r="AN1347" s="713" t="s">
        <v>162</v>
      </c>
      <c r="AO1347" s="714"/>
      <c r="AP1347" s="729"/>
      <c r="AQ1347" s="730"/>
      <c r="AR1347" s="731"/>
      <c r="AS1347" s="732"/>
      <c r="AT1347" s="733"/>
      <c r="AU1347" s="734"/>
      <c r="AV1347" s="713" t="s">
        <v>162</v>
      </c>
      <c r="AW1347" s="714"/>
      <c r="AX1347" s="692"/>
      <c r="AY1347" s="693"/>
      <c r="AZ1347" s="694"/>
      <c r="BA1347" s="735"/>
      <c r="BB1347" s="736"/>
      <c r="BC1347" s="219"/>
      <c r="BD1347" s="737" t="s">
        <v>162</v>
      </c>
      <c r="BE1347" s="738"/>
      <c r="BF1347" s="739"/>
      <c r="BG1347" s="740"/>
      <c r="BH1347" s="740"/>
      <c r="BI1347" s="741"/>
      <c r="BJ1347" s="742" t="s">
        <v>159</v>
      </c>
      <c r="BK1347" s="743"/>
      <c r="BL1347" s="743"/>
      <c r="BM1347" s="744"/>
      <c r="BN1347" s="703" t="s">
        <v>159</v>
      </c>
      <c r="BO1347" s="704"/>
      <c r="BP1347" s="704"/>
      <c r="BQ1347" s="704"/>
      <c r="BR1347" s="704"/>
      <c r="BS1347" s="704"/>
      <c r="BT1347" s="704"/>
      <c r="BU1347" s="704"/>
      <c r="BV1347" s="705"/>
    </row>
    <row r="1348" spans="1:74" ht="45" customHeight="1" x14ac:dyDescent="0.25">
      <c r="A1348" s="10">
        <f t="shared" si="20"/>
        <v>1334</v>
      </c>
      <c r="B1348" s="662" t="s">
        <v>159</v>
      </c>
      <c r="C1348" s="662"/>
      <c r="D1348" s="663" t="s">
        <v>212</v>
      </c>
      <c r="E1348" s="663"/>
      <c r="F1348" s="664" t="s">
        <v>162</v>
      </c>
      <c r="G1348" s="665"/>
      <c r="H1348" s="754" t="s">
        <v>162</v>
      </c>
      <c r="I1348" s="714"/>
      <c r="J1348" s="715"/>
      <c r="K1348" s="716"/>
      <c r="L1348" s="715"/>
      <c r="M1348" s="716"/>
      <c r="N1348" s="215"/>
      <c r="O1348" s="196"/>
      <c r="P1348" s="670"/>
      <c r="Q1348" s="671"/>
      <c r="R1348" s="672"/>
      <c r="S1348" s="673"/>
      <c r="T1348" s="674"/>
      <c r="U1348" s="675"/>
      <c r="V1348" s="676"/>
      <c r="W1348" s="677"/>
      <c r="X1348" s="678" t="s">
        <v>159</v>
      </c>
      <c r="Y1348" s="678"/>
      <c r="Z1348" s="678"/>
      <c r="AA1348" s="678"/>
      <c r="AB1348" s="679" t="s">
        <v>159</v>
      </c>
      <c r="AC1348" s="679"/>
      <c r="AD1348" s="679"/>
      <c r="AE1348" s="679"/>
      <c r="AF1348" s="680"/>
      <c r="AG1348" s="681"/>
      <c r="AH1348" s="680"/>
      <c r="AI1348" s="681"/>
      <c r="AJ1348" s="682"/>
      <c r="AK1348" s="683"/>
      <c r="AL1348" s="684" t="s">
        <v>162</v>
      </c>
      <c r="AM1348" s="685"/>
      <c r="AN1348" s="666" t="s">
        <v>162</v>
      </c>
      <c r="AO1348" s="667"/>
      <c r="AP1348" s="686"/>
      <c r="AQ1348" s="687"/>
      <c r="AR1348" s="688"/>
      <c r="AS1348" s="689"/>
      <c r="AT1348" s="690"/>
      <c r="AU1348" s="691"/>
      <c r="AV1348" s="666" t="s">
        <v>162</v>
      </c>
      <c r="AW1348" s="667"/>
      <c r="AX1348" s="692"/>
      <c r="AY1348" s="693"/>
      <c r="AZ1348" s="694"/>
      <c r="BA1348" s="682"/>
      <c r="BB1348" s="683"/>
      <c r="BC1348" s="14"/>
      <c r="BD1348" s="695" t="s">
        <v>162</v>
      </c>
      <c r="BE1348" s="696"/>
      <c r="BF1348" s="708"/>
      <c r="BG1348" s="709"/>
      <c r="BH1348" s="709"/>
      <c r="BI1348" s="710"/>
      <c r="BJ1348" s="700" t="s">
        <v>159</v>
      </c>
      <c r="BK1348" s="701"/>
      <c r="BL1348" s="701"/>
      <c r="BM1348" s="702"/>
      <c r="BN1348" s="703" t="s">
        <v>159</v>
      </c>
      <c r="BO1348" s="704"/>
      <c r="BP1348" s="704"/>
      <c r="BQ1348" s="704"/>
      <c r="BR1348" s="704"/>
      <c r="BS1348" s="704"/>
      <c r="BT1348" s="704"/>
      <c r="BU1348" s="704"/>
      <c r="BV1348" s="705"/>
    </row>
    <row r="1349" spans="1:74" ht="45" customHeight="1" x14ac:dyDescent="0.25">
      <c r="A1349" s="10">
        <f t="shared" si="20"/>
        <v>1335</v>
      </c>
      <c r="B1349" s="711" t="s">
        <v>159</v>
      </c>
      <c r="C1349" s="711"/>
      <c r="D1349" s="712" t="s">
        <v>212</v>
      </c>
      <c r="E1349" s="712"/>
      <c r="F1349" s="664" t="s">
        <v>162</v>
      </c>
      <c r="G1349" s="665"/>
      <c r="H1349" s="755" t="s">
        <v>162</v>
      </c>
      <c r="I1349" s="667"/>
      <c r="J1349" s="706"/>
      <c r="K1349" s="707"/>
      <c r="L1349" s="706"/>
      <c r="M1349" s="707"/>
      <c r="N1349" s="194"/>
      <c r="O1349" s="216"/>
      <c r="P1349" s="717"/>
      <c r="Q1349" s="718"/>
      <c r="R1349" s="719"/>
      <c r="S1349" s="720"/>
      <c r="T1349" s="721"/>
      <c r="U1349" s="722"/>
      <c r="V1349" s="723"/>
      <c r="W1349" s="724"/>
      <c r="X1349" s="725" t="s">
        <v>159</v>
      </c>
      <c r="Y1349" s="725"/>
      <c r="Z1349" s="725"/>
      <c r="AA1349" s="725"/>
      <c r="AB1349" s="726" t="s">
        <v>159</v>
      </c>
      <c r="AC1349" s="726"/>
      <c r="AD1349" s="726"/>
      <c r="AE1349" s="726"/>
      <c r="AF1349" s="727"/>
      <c r="AG1349" s="728"/>
      <c r="AH1349" s="727"/>
      <c r="AI1349" s="728"/>
      <c r="AJ1349" s="682"/>
      <c r="AK1349" s="683"/>
      <c r="AL1349" s="664" t="s">
        <v>162</v>
      </c>
      <c r="AM1349" s="665"/>
      <c r="AN1349" s="713" t="s">
        <v>162</v>
      </c>
      <c r="AO1349" s="714"/>
      <c r="AP1349" s="729"/>
      <c r="AQ1349" s="730"/>
      <c r="AR1349" s="731"/>
      <c r="AS1349" s="732"/>
      <c r="AT1349" s="733"/>
      <c r="AU1349" s="734"/>
      <c r="AV1349" s="713" t="s">
        <v>162</v>
      </c>
      <c r="AW1349" s="714"/>
      <c r="AX1349" s="692"/>
      <c r="AY1349" s="693"/>
      <c r="AZ1349" s="694"/>
      <c r="BA1349" s="735"/>
      <c r="BB1349" s="736"/>
      <c r="BC1349" s="219"/>
      <c r="BD1349" s="737" t="s">
        <v>162</v>
      </c>
      <c r="BE1349" s="738"/>
      <c r="BF1349" s="739"/>
      <c r="BG1349" s="740"/>
      <c r="BH1349" s="740"/>
      <c r="BI1349" s="741"/>
      <c r="BJ1349" s="742" t="s">
        <v>159</v>
      </c>
      <c r="BK1349" s="743"/>
      <c r="BL1349" s="743"/>
      <c r="BM1349" s="744"/>
      <c r="BN1349" s="703" t="s">
        <v>159</v>
      </c>
      <c r="BO1349" s="704"/>
      <c r="BP1349" s="704"/>
      <c r="BQ1349" s="704"/>
      <c r="BR1349" s="704"/>
      <c r="BS1349" s="704"/>
      <c r="BT1349" s="704"/>
      <c r="BU1349" s="704"/>
      <c r="BV1349" s="705"/>
    </row>
    <row r="1350" spans="1:74" ht="45" customHeight="1" x14ac:dyDescent="0.25">
      <c r="A1350" s="10">
        <f t="shared" si="20"/>
        <v>1336</v>
      </c>
      <c r="B1350" s="662" t="s">
        <v>159</v>
      </c>
      <c r="C1350" s="662"/>
      <c r="D1350" s="663" t="s">
        <v>212</v>
      </c>
      <c r="E1350" s="663"/>
      <c r="F1350" s="664" t="s">
        <v>162</v>
      </c>
      <c r="G1350" s="665"/>
      <c r="H1350" s="754" t="s">
        <v>162</v>
      </c>
      <c r="I1350" s="714"/>
      <c r="J1350" s="715"/>
      <c r="K1350" s="716"/>
      <c r="L1350" s="715"/>
      <c r="M1350" s="716"/>
      <c r="N1350" s="215"/>
      <c r="O1350" s="196"/>
      <c r="P1350" s="670"/>
      <c r="Q1350" s="671"/>
      <c r="R1350" s="672"/>
      <c r="S1350" s="673"/>
      <c r="T1350" s="674"/>
      <c r="U1350" s="675"/>
      <c r="V1350" s="676"/>
      <c r="W1350" s="677"/>
      <c r="X1350" s="678" t="s">
        <v>159</v>
      </c>
      <c r="Y1350" s="678"/>
      <c r="Z1350" s="678"/>
      <c r="AA1350" s="678"/>
      <c r="AB1350" s="679" t="s">
        <v>159</v>
      </c>
      <c r="AC1350" s="679"/>
      <c r="AD1350" s="679"/>
      <c r="AE1350" s="679"/>
      <c r="AF1350" s="680"/>
      <c r="AG1350" s="681"/>
      <c r="AH1350" s="680"/>
      <c r="AI1350" s="681"/>
      <c r="AJ1350" s="682"/>
      <c r="AK1350" s="683"/>
      <c r="AL1350" s="684" t="s">
        <v>162</v>
      </c>
      <c r="AM1350" s="685"/>
      <c r="AN1350" s="666" t="s">
        <v>162</v>
      </c>
      <c r="AO1350" s="667"/>
      <c r="AP1350" s="686"/>
      <c r="AQ1350" s="687"/>
      <c r="AR1350" s="688"/>
      <c r="AS1350" s="689"/>
      <c r="AT1350" s="690"/>
      <c r="AU1350" s="691"/>
      <c r="AV1350" s="666" t="s">
        <v>162</v>
      </c>
      <c r="AW1350" s="667"/>
      <c r="AX1350" s="692"/>
      <c r="AY1350" s="693"/>
      <c r="AZ1350" s="694"/>
      <c r="BA1350" s="682"/>
      <c r="BB1350" s="683"/>
      <c r="BC1350" s="14"/>
      <c r="BD1350" s="695" t="s">
        <v>162</v>
      </c>
      <c r="BE1350" s="696"/>
      <c r="BF1350" s="697"/>
      <c r="BG1350" s="698"/>
      <c r="BH1350" s="698"/>
      <c r="BI1350" s="699"/>
      <c r="BJ1350" s="700" t="s">
        <v>159</v>
      </c>
      <c r="BK1350" s="701"/>
      <c r="BL1350" s="701"/>
      <c r="BM1350" s="702"/>
      <c r="BN1350" s="703" t="s">
        <v>159</v>
      </c>
      <c r="BO1350" s="704"/>
      <c r="BP1350" s="704"/>
      <c r="BQ1350" s="704"/>
      <c r="BR1350" s="704"/>
      <c r="BS1350" s="704"/>
      <c r="BT1350" s="704"/>
      <c r="BU1350" s="704"/>
      <c r="BV1350" s="705"/>
    </row>
    <row r="1351" spans="1:74" ht="45" customHeight="1" x14ac:dyDescent="0.25">
      <c r="A1351" s="10">
        <f t="shared" si="20"/>
        <v>1337</v>
      </c>
      <c r="B1351" s="711" t="s">
        <v>159</v>
      </c>
      <c r="C1351" s="711"/>
      <c r="D1351" s="712" t="s">
        <v>212</v>
      </c>
      <c r="E1351" s="712"/>
      <c r="F1351" s="664" t="s">
        <v>162</v>
      </c>
      <c r="G1351" s="665"/>
      <c r="H1351" s="755" t="s">
        <v>162</v>
      </c>
      <c r="I1351" s="667"/>
      <c r="J1351" s="706"/>
      <c r="K1351" s="707"/>
      <c r="L1351" s="706"/>
      <c r="M1351" s="707"/>
      <c r="N1351" s="215"/>
      <c r="O1351" s="216"/>
      <c r="P1351" s="670"/>
      <c r="Q1351" s="671"/>
      <c r="R1351" s="719"/>
      <c r="S1351" s="720"/>
      <c r="T1351" s="721"/>
      <c r="U1351" s="722"/>
      <c r="V1351" s="723"/>
      <c r="W1351" s="724"/>
      <c r="X1351" s="725" t="s">
        <v>159</v>
      </c>
      <c r="Y1351" s="725"/>
      <c r="Z1351" s="725"/>
      <c r="AA1351" s="725"/>
      <c r="AB1351" s="726" t="s">
        <v>159</v>
      </c>
      <c r="AC1351" s="726"/>
      <c r="AD1351" s="726"/>
      <c r="AE1351" s="726"/>
      <c r="AF1351" s="727"/>
      <c r="AG1351" s="728"/>
      <c r="AH1351" s="727"/>
      <c r="AI1351" s="728"/>
      <c r="AJ1351" s="682"/>
      <c r="AK1351" s="683"/>
      <c r="AL1351" s="664" t="s">
        <v>162</v>
      </c>
      <c r="AM1351" s="665"/>
      <c r="AN1351" s="713" t="s">
        <v>162</v>
      </c>
      <c r="AO1351" s="714"/>
      <c r="AP1351" s="729"/>
      <c r="AQ1351" s="730"/>
      <c r="AR1351" s="731"/>
      <c r="AS1351" s="732"/>
      <c r="AT1351" s="690"/>
      <c r="AU1351" s="691"/>
      <c r="AV1351" s="713" t="s">
        <v>162</v>
      </c>
      <c r="AW1351" s="714"/>
      <c r="AX1351" s="692"/>
      <c r="AY1351" s="693"/>
      <c r="AZ1351" s="694"/>
      <c r="BA1351" s="735"/>
      <c r="BB1351" s="736"/>
      <c r="BC1351" s="219"/>
      <c r="BD1351" s="695" t="s">
        <v>162</v>
      </c>
      <c r="BE1351" s="696"/>
      <c r="BF1351" s="739"/>
      <c r="BG1351" s="740"/>
      <c r="BH1351" s="740"/>
      <c r="BI1351" s="741"/>
      <c r="BJ1351" s="742" t="s">
        <v>159</v>
      </c>
      <c r="BK1351" s="743"/>
      <c r="BL1351" s="743"/>
      <c r="BM1351" s="744"/>
      <c r="BN1351" s="703" t="s">
        <v>159</v>
      </c>
      <c r="BO1351" s="704"/>
      <c r="BP1351" s="704"/>
      <c r="BQ1351" s="704"/>
      <c r="BR1351" s="704"/>
      <c r="BS1351" s="704"/>
      <c r="BT1351" s="704"/>
      <c r="BU1351" s="704"/>
      <c r="BV1351" s="705"/>
    </row>
    <row r="1352" spans="1:74" ht="45" customHeight="1" x14ac:dyDescent="0.25">
      <c r="A1352" s="10">
        <f t="shared" si="20"/>
        <v>1338</v>
      </c>
      <c r="B1352" s="662" t="s">
        <v>159</v>
      </c>
      <c r="C1352" s="662"/>
      <c r="D1352" s="663" t="s">
        <v>212</v>
      </c>
      <c r="E1352" s="663"/>
      <c r="F1352" s="664" t="s">
        <v>162</v>
      </c>
      <c r="G1352" s="665"/>
      <c r="H1352" s="754" t="s">
        <v>162</v>
      </c>
      <c r="I1352" s="714"/>
      <c r="J1352" s="715"/>
      <c r="K1352" s="716"/>
      <c r="L1352" s="715"/>
      <c r="M1352" s="716"/>
      <c r="N1352" s="194"/>
      <c r="O1352" s="196"/>
      <c r="P1352" s="717"/>
      <c r="Q1352" s="718"/>
      <c r="R1352" s="672"/>
      <c r="S1352" s="673"/>
      <c r="T1352" s="674"/>
      <c r="U1352" s="675"/>
      <c r="V1352" s="676"/>
      <c r="W1352" s="677"/>
      <c r="X1352" s="678" t="s">
        <v>159</v>
      </c>
      <c r="Y1352" s="678"/>
      <c r="Z1352" s="678"/>
      <c r="AA1352" s="678"/>
      <c r="AB1352" s="679" t="s">
        <v>159</v>
      </c>
      <c r="AC1352" s="679"/>
      <c r="AD1352" s="679"/>
      <c r="AE1352" s="679"/>
      <c r="AF1352" s="680"/>
      <c r="AG1352" s="681"/>
      <c r="AH1352" s="680"/>
      <c r="AI1352" s="681"/>
      <c r="AJ1352" s="682"/>
      <c r="AK1352" s="683"/>
      <c r="AL1352" s="684" t="s">
        <v>162</v>
      </c>
      <c r="AM1352" s="685"/>
      <c r="AN1352" s="666" t="s">
        <v>162</v>
      </c>
      <c r="AO1352" s="667"/>
      <c r="AP1352" s="686"/>
      <c r="AQ1352" s="687"/>
      <c r="AR1352" s="688"/>
      <c r="AS1352" s="689"/>
      <c r="AT1352" s="690"/>
      <c r="AU1352" s="691"/>
      <c r="AV1352" s="666" t="s">
        <v>162</v>
      </c>
      <c r="AW1352" s="667"/>
      <c r="AX1352" s="692"/>
      <c r="AY1352" s="693"/>
      <c r="AZ1352" s="694"/>
      <c r="BA1352" s="682"/>
      <c r="BB1352" s="683"/>
      <c r="BC1352" s="14"/>
      <c r="BD1352" s="737" t="s">
        <v>162</v>
      </c>
      <c r="BE1352" s="738"/>
      <c r="BF1352" s="697"/>
      <c r="BG1352" s="698"/>
      <c r="BH1352" s="698"/>
      <c r="BI1352" s="699"/>
      <c r="BJ1352" s="700" t="s">
        <v>159</v>
      </c>
      <c r="BK1352" s="701"/>
      <c r="BL1352" s="701"/>
      <c r="BM1352" s="702"/>
      <c r="BN1352" s="703" t="s">
        <v>159</v>
      </c>
      <c r="BO1352" s="704"/>
      <c r="BP1352" s="704"/>
      <c r="BQ1352" s="704"/>
      <c r="BR1352" s="704"/>
      <c r="BS1352" s="704"/>
      <c r="BT1352" s="704"/>
      <c r="BU1352" s="704"/>
      <c r="BV1352" s="705"/>
    </row>
    <row r="1353" spans="1:74" ht="45" customHeight="1" x14ac:dyDescent="0.25">
      <c r="A1353" s="10">
        <f t="shared" si="20"/>
        <v>1339</v>
      </c>
      <c r="B1353" s="711" t="s">
        <v>159</v>
      </c>
      <c r="C1353" s="711"/>
      <c r="D1353" s="712" t="s">
        <v>212</v>
      </c>
      <c r="E1353" s="712"/>
      <c r="F1353" s="664" t="s">
        <v>162</v>
      </c>
      <c r="G1353" s="665"/>
      <c r="H1353" s="755" t="s">
        <v>162</v>
      </c>
      <c r="I1353" s="667"/>
      <c r="J1353" s="706"/>
      <c r="K1353" s="707"/>
      <c r="L1353" s="706"/>
      <c r="M1353" s="707"/>
      <c r="N1353" s="215"/>
      <c r="O1353" s="216"/>
      <c r="P1353" s="670"/>
      <c r="Q1353" s="671"/>
      <c r="R1353" s="719"/>
      <c r="S1353" s="720"/>
      <c r="T1353" s="721"/>
      <c r="U1353" s="722"/>
      <c r="V1353" s="723"/>
      <c r="W1353" s="724"/>
      <c r="X1353" s="725" t="s">
        <v>159</v>
      </c>
      <c r="Y1353" s="725"/>
      <c r="Z1353" s="725"/>
      <c r="AA1353" s="725"/>
      <c r="AB1353" s="726" t="s">
        <v>159</v>
      </c>
      <c r="AC1353" s="726"/>
      <c r="AD1353" s="726"/>
      <c r="AE1353" s="726"/>
      <c r="AF1353" s="727"/>
      <c r="AG1353" s="728"/>
      <c r="AH1353" s="727"/>
      <c r="AI1353" s="728"/>
      <c r="AJ1353" s="682"/>
      <c r="AK1353" s="683"/>
      <c r="AL1353" s="664" t="s">
        <v>162</v>
      </c>
      <c r="AM1353" s="665"/>
      <c r="AN1353" s="713" t="s">
        <v>162</v>
      </c>
      <c r="AO1353" s="714"/>
      <c r="AP1353" s="729"/>
      <c r="AQ1353" s="730"/>
      <c r="AR1353" s="731"/>
      <c r="AS1353" s="732"/>
      <c r="AT1353" s="690"/>
      <c r="AU1353" s="691"/>
      <c r="AV1353" s="713" t="s">
        <v>162</v>
      </c>
      <c r="AW1353" s="714"/>
      <c r="AX1353" s="692"/>
      <c r="AY1353" s="693"/>
      <c r="AZ1353" s="694"/>
      <c r="BA1353" s="735"/>
      <c r="BB1353" s="736"/>
      <c r="BC1353" s="219"/>
      <c r="BD1353" s="695" t="s">
        <v>162</v>
      </c>
      <c r="BE1353" s="696"/>
      <c r="BF1353" s="739"/>
      <c r="BG1353" s="740"/>
      <c r="BH1353" s="740"/>
      <c r="BI1353" s="741"/>
      <c r="BJ1353" s="742" t="s">
        <v>159</v>
      </c>
      <c r="BK1353" s="743"/>
      <c r="BL1353" s="743"/>
      <c r="BM1353" s="744"/>
      <c r="BN1353" s="703" t="s">
        <v>159</v>
      </c>
      <c r="BO1353" s="704"/>
      <c r="BP1353" s="704"/>
      <c r="BQ1353" s="704"/>
      <c r="BR1353" s="704"/>
      <c r="BS1353" s="704"/>
      <c r="BT1353" s="704"/>
      <c r="BU1353" s="704"/>
      <c r="BV1353" s="705"/>
    </row>
    <row r="1354" spans="1:74" ht="45" customHeight="1" x14ac:dyDescent="0.25">
      <c r="A1354" s="10">
        <f t="shared" si="20"/>
        <v>1340</v>
      </c>
      <c r="B1354" s="662" t="s">
        <v>159</v>
      </c>
      <c r="C1354" s="662"/>
      <c r="D1354" s="663" t="s">
        <v>212</v>
      </c>
      <c r="E1354" s="663"/>
      <c r="F1354" s="664" t="s">
        <v>162</v>
      </c>
      <c r="G1354" s="665"/>
      <c r="H1354" s="754" t="s">
        <v>162</v>
      </c>
      <c r="I1354" s="714"/>
      <c r="J1354" s="715"/>
      <c r="K1354" s="716"/>
      <c r="L1354" s="715"/>
      <c r="M1354" s="716"/>
      <c r="N1354" s="194"/>
      <c r="O1354" s="196"/>
      <c r="P1354" s="717"/>
      <c r="Q1354" s="718"/>
      <c r="R1354" s="672"/>
      <c r="S1354" s="673"/>
      <c r="T1354" s="674"/>
      <c r="U1354" s="675"/>
      <c r="V1354" s="676"/>
      <c r="W1354" s="677"/>
      <c r="X1354" s="678" t="s">
        <v>159</v>
      </c>
      <c r="Y1354" s="678"/>
      <c r="Z1354" s="678"/>
      <c r="AA1354" s="678"/>
      <c r="AB1354" s="679" t="s">
        <v>159</v>
      </c>
      <c r="AC1354" s="679"/>
      <c r="AD1354" s="679"/>
      <c r="AE1354" s="679"/>
      <c r="AF1354" s="680"/>
      <c r="AG1354" s="681"/>
      <c r="AH1354" s="680"/>
      <c r="AI1354" s="681"/>
      <c r="AJ1354" s="682"/>
      <c r="AK1354" s="683"/>
      <c r="AL1354" s="684" t="s">
        <v>162</v>
      </c>
      <c r="AM1354" s="685"/>
      <c r="AN1354" s="666" t="s">
        <v>162</v>
      </c>
      <c r="AO1354" s="667"/>
      <c r="AP1354" s="686"/>
      <c r="AQ1354" s="687"/>
      <c r="AR1354" s="688"/>
      <c r="AS1354" s="689"/>
      <c r="AT1354" s="690"/>
      <c r="AU1354" s="691"/>
      <c r="AV1354" s="666" t="s">
        <v>162</v>
      </c>
      <c r="AW1354" s="667"/>
      <c r="AX1354" s="692"/>
      <c r="AY1354" s="693"/>
      <c r="AZ1354" s="694"/>
      <c r="BA1354" s="682"/>
      <c r="BB1354" s="683"/>
      <c r="BC1354" s="14"/>
      <c r="BD1354" s="695" t="s">
        <v>162</v>
      </c>
      <c r="BE1354" s="696"/>
      <c r="BF1354" s="697"/>
      <c r="BG1354" s="698"/>
      <c r="BH1354" s="698"/>
      <c r="BI1354" s="699"/>
      <c r="BJ1354" s="700" t="s">
        <v>159</v>
      </c>
      <c r="BK1354" s="701"/>
      <c r="BL1354" s="701"/>
      <c r="BM1354" s="702"/>
      <c r="BN1354" s="703" t="s">
        <v>159</v>
      </c>
      <c r="BO1354" s="704"/>
      <c r="BP1354" s="704"/>
      <c r="BQ1354" s="704"/>
      <c r="BR1354" s="704"/>
      <c r="BS1354" s="704"/>
      <c r="BT1354" s="704"/>
      <c r="BU1354" s="704"/>
      <c r="BV1354" s="705"/>
    </row>
    <row r="1355" spans="1:74" ht="45" customHeight="1" x14ac:dyDescent="0.25">
      <c r="A1355" s="10">
        <f t="shared" si="20"/>
        <v>1341</v>
      </c>
      <c r="B1355" s="711" t="s">
        <v>159</v>
      </c>
      <c r="C1355" s="711"/>
      <c r="D1355" s="712" t="s">
        <v>212</v>
      </c>
      <c r="E1355" s="712"/>
      <c r="F1355" s="664" t="s">
        <v>162</v>
      </c>
      <c r="G1355" s="665"/>
      <c r="H1355" s="755" t="s">
        <v>162</v>
      </c>
      <c r="I1355" s="667"/>
      <c r="J1355" s="706"/>
      <c r="K1355" s="707"/>
      <c r="L1355" s="706"/>
      <c r="M1355" s="707"/>
      <c r="N1355" s="215"/>
      <c r="O1355" s="216"/>
      <c r="P1355" s="670"/>
      <c r="Q1355" s="671"/>
      <c r="R1355" s="719"/>
      <c r="S1355" s="720"/>
      <c r="T1355" s="721"/>
      <c r="U1355" s="722"/>
      <c r="V1355" s="723"/>
      <c r="W1355" s="724"/>
      <c r="X1355" s="725" t="s">
        <v>159</v>
      </c>
      <c r="Y1355" s="725"/>
      <c r="Z1355" s="725"/>
      <c r="AA1355" s="725"/>
      <c r="AB1355" s="726" t="s">
        <v>159</v>
      </c>
      <c r="AC1355" s="726"/>
      <c r="AD1355" s="726"/>
      <c r="AE1355" s="726"/>
      <c r="AF1355" s="727"/>
      <c r="AG1355" s="728"/>
      <c r="AH1355" s="727"/>
      <c r="AI1355" s="728"/>
      <c r="AJ1355" s="682"/>
      <c r="AK1355" s="683"/>
      <c r="AL1355" s="664" t="s">
        <v>162</v>
      </c>
      <c r="AM1355" s="665"/>
      <c r="AN1355" s="713" t="s">
        <v>162</v>
      </c>
      <c r="AO1355" s="714"/>
      <c r="AP1355" s="729"/>
      <c r="AQ1355" s="730"/>
      <c r="AR1355" s="731"/>
      <c r="AS1355" s="732"/>
      <c r="AT1355" s="733"/>
      <c r="AU1355" s="734"/>
      <c r="AV1355" s="713" t="s">
        <v>162</v>
      </c>
      <c r="AW1355" s="714"/>
      <c r="AX1355" s="692"/>
      <c r="AY1355" s="693"/>
      <c r="AZ1355" s="694"/>
      <c r="BA1355" s="735"/>
      <c r="BB1355" s="736"/>
      <c r="BC1355" s="219"/>
      <c r="BD1355" s="737" t="s">
        <v>162</v>
      </c>
      <c r="BE1355" s="738"/>
      <c r="BF1355" s="739"/>
      <c r="BG1355" s="740"/>
      <c r="BH1355" s="740"/>
      <c r="BI1355" s="741"/>
      <c r="BJ1355" s="742" t="s">
        <v>159</v>
      </c>
      <c r="BK1355" s="743"/>
      <c r="BL1355" s="743"/>
      <c r="BM1355" s="744"/>
      <c r="BN1355" s="703" t="s">
        <v>159</v>
      </c>
      <c r="BO1355" s="704"/>
      <c r="BP1355" s="704"/>
      <c r="BQ1355" s="704"/>
      <c r="BR1355" s="704"/>
      <c r="BS1355" s="704"/>
      <c r="BT1355" s="704"/>
      <c r="BU1355" s="704"/>
      <c r="BV1355" s="705"/>
    </row>
    <row r="1356" spans="1:74" ht="45" customHeight="1" x14ac:dyDescent="0.25">
      <c r="A1356" s="10">
        <f t="shared" si="20"/>
        <v>1342</v>
      </c>
      <c r="B1356" s="662" t="s">
        <v>159</v>
      </c>
      <c r="C1356" s="662"/>
      <c r="D1356" s="663" t="s">
        <v>212</v>
      </c>
      <c r="E1356" s="663"/>
      <c r="F1356" s="664" t="s">
        <v>162</v>
      </c>
      <c r="G1356" s="665"/>
      <c r="H1356" s="754" t="s">
        <v>162</v>
      </c>
      <c r="I1356" s="714"/>
      <c r="J1356" s="715"/>
      <c r="K1356" s="716"/>
      <c r="L1356" s="715"/>
      <c r="M1356" s="716"/>
      <c r="N1356" s="194"/>
      <c r="O1356" s="196"/>
      <c r="P1356" s="717"/>
      <c r="Q1356" s="718"/>
      <c r="R1356" s="672"/>
      <c r="S1356" s="673"/>
      <c r="T1356" s="674"/>
      <c r="U1356" s="675"/>
      <c r="V1356" s="676"/>
      <c r="W1356" s="677"/>
      <c r="X1356" s="678" t="s">
        <v>159</v>
      </c>
      <c r="Y1356" s="678"/>
      <c r="Z1356" s="678"/>
      <c r="AA1356" s="678"/>
      <c r="AB1356" s="679" t="s">
        <v>159</v>
      </c>
      <c r="AC1356" s="679"/>
      <c r="AD1356" s="679"/>
      <c r="AE1356" s="679"/>
      <c r="AF1356" s="680"/>
      <c r="AG1356" s="681"/>
      <c r="AH1356" s="680"/>
      <c r="AI1356" s="681"/>
      <c r="AJ1356" s="682"/>
      <c r="AK1356" s="683"/>
      <c r="AL1356" s="684" t="s">
        <v>162</v>
      </c>
      <c r="AM1356" s="685"/>
      <c r="AN1356" s="666" t="s">
        <v>162</v>
      </c>
      <c r="AO1356" s="667"/>
      <c r="AP1356" s="686"/>
      <c r="AQ1356" s="687"/>
      <c r="AR1356" s="688"/>
      <c r="AS1356" s="689"/>
      <c r="AT1356" s="690"/>
      <c r="AU1356" s="691"/>
      <c r="AV1356" s="666" t="s">
        <v>162</v>
      </c>
      <c r="AW1356" s="667"/>
      <c r="AX1356" s="692"/>
      <c r="AY1356" s="693"/>
      <c r="AZ1356" s="694"/>
      <c r="BA1356" s="682"/>
      <c r="BB1356" s="683"/>
      <c r="BC1356" s="14"/>
      <c r="BD1356" s="695" t="s">
        <v>162</v>
      </c>
      <c r="BE1356" s="696"/>
      <c r="BF1356" s="708"/>
      <c r="BG1356" s="709"/>
      <c r="BH1356" s="709"/>
      <c r="BI1356" s="710"/>
      <c r="BJ1356" s="700" t="s">
        <v>159</v>
      </c>
      <c r="BK1356" s="701"/>
      <c r="BL1356" s="701"/>
      <c r="BM1356" s="702"/>
      <c r="BN1356" s="703" t="s">
        <v>159</v>
      </c>
      <c r="BO1356" s="704"/>
      <c r="BP1356" s="704"/>
      <c r="BQ1356" s="704"/>
      <c r="BR1356" s="704"/>
      <c r="BS1356" s="704"/>
      <c r="BT1356" s="704"/>
      <c r="BU1356" s="704"/>
      <c r="BV1356" s="705"/>
    </row>
    <row r="1357" spans="1:74" ht="45" customHeight="1" x14ac:dyDescent="0.25">
      <c r="A1357" s="10">
        <f t="shared" si="20"/>
        <v>1343</v>
      </c>
      <c r="B1357" s="711" t="s">
        <v>159</v>
      </c>
      <c r="C1357" s="711"/>
      <c r="D1357" s="712" t="s">
        <v>212</v>
      </c>
      <c r="E1357" s="712"/>
      <c r="F1357" s="664" t="s">
        <v>162</v>
      </c>
      <c r="G1357" s="665"/>
      <c r="H1357" s="755" t="s">
        <v>162</v>
      </c>
      <c r="I1357" s="667"/>
      <c r="J1357" s="706"/>
      <c r="K1357" s="707"/>
      <c r="L1357" s="706"/>
      <c r="M1357" s="707"/>
      <c r="N1357" s="215"/>
      <c r="O1357" s="216"/>
      <c r="P1357" s="670"/>
      <c r="Q1357" s="671"/>
      <c r="R1357" s="719"/>
      <c r="S1357" s="720"/>
      <c r="T1357" s="721"/>
      <c r="U1357" s="722"/>
      <c r="V1357" s="723"/>
      <c r="W1357" s="724"/>
      <c r="X1357" s="725" t="s">
        <v>159</v>
      </c>
      <c r="Y1357" s="725"/>
      <c r="Z1357" s="725"/>
      <c r="AA1357" s="725"/>
      <c r="AB1357" s="726" t="s">
        <v>159</v>
      </c>
      <c r="AC1357" s="726"/>
      <c r="AD1357" s="726"/>
      <c r="AE1357" s="726"/>
      <c r="AF1357" s="727"/>
      <c r="AG1357" s="728"/>
      <c r="AH1357" s="727"/>
      <c r="AI1357" s="728"/>
      <c r="AJ1357" s="682"/>
      <c r="AK1357" s="683"/>
      <c r="AL1357" s="664" t="s">
        <v>162</v>
      </c>
      <c r="AM1357" s="665"/>
      <c r="AN1357" s="713" t="s">
        <v>162</v>
      </c>
      <c r="AO1357" s="714"/>
      <c r="AP1357" s="729"/>
      <c r="AQ1357" s="730"/>
      <c r="AR1357" s="731"/>
      <c r="AS1357" s="732"/>
      <c r="AT1357" s="733"/>
      <c r="AU1357" s="734"/>
      <c r="AV1357" s="713" t="s">
        <v>162</v>
      </c>
      <c r="AW1357" s="714"/>
      <c r="AX1357" s="692"/>
      <c r="AY1357" s="693"/>
      <c r="AZ1357" s="694"/>
      <c r="BA1357" s="735"/>
      <c r="BB1357" s="736"/>
      <c r="BC1357" s="219"/>
      <c r="BD1357" s="737" t="s">
        <v>162</v>
      </c>
      <c r="BE1357" s="738"/>
      <c r="BF1357" s="739"/>
      <c r="BG1357" s="740"/>
      <c r="BH1357" s="740"/>
      <c r="BI1357" s="741"/>
      <c r="BJ1357" s="742" t="s">
        <v>159</v>
      </c>
      <c r="BK1357" s="743"/>
      <c r="BL1357" s="743"/>
      <c r="BM1357" s="744"/>
      <c r="BN1357" s="703" t="s">
        <v>159</v>
      </c>
      <c r="BO1357" s="704"/>
      <c r="BP1357" s="704"/>
      <c r="BQ1357" s="704"/>
      <c r="BR1357" s="704"/>
      <c r="BS1357" s="704"/>
      <c r="BT1357" s="704"/>
      <c r="BU1357" s="704"/>
      <c r="BV1357" s="705"/>
    </row>
    <row r="1358" spans="1:74" ht="45" customHeight="1" x14ac:dyDescent="0.25">
      <c r="A1358" s="10">
        <f t="shared" si="20"/>
        <v>1344</v>
      </c>
      <c r="B1358" s="662" t="s">
        <v>159</v>
      </c>
      <c r="C1358" s="662"/>
      <c r="D1358" s="663" t="s">
        <v>212</v>
      </c>
      <c r="E1358" s="663"/>
      <c r="F1358" s="664" t="s">
        <v>162</v>
      </c>
      <c r="G1358" s="665"/>
      <c r="H1358" s="754" t="s">
        <v>162</v>
      </c>
      <c r="I1358" s="714"/>
      <c r="J1358" s="715"/>
      <c r="K1358" s="716"/>
      <c r="L1358" s="715"/>
      <c r="M1358" s="716"/>
      <c r="N1358" s="194"/>
      <c r="O1358" s="196"/>
      <c r="P1358" s="717"/>
      <c r="Q1358" s="718"/>
      <c r="R1358" s="672"/>
      <c r="S1358" s="673"/>
      <c r="T1358" s="674"/>
      <c r="U1358" s="675"/>
      <c r="V1358" s="676"/>
      <c r="W1358" s="677"/>
      <c r="X1358" s="678" t="s">
        <v>159</v>
      </c>
      <c r="Y1358" s="678"/>
      <c r="Z1358" s="678"/>
      <c r="AA1358" s="678"/>
      <c r="AB1358" s="679" t="s">
        <v>159</v>
      </c>
      <c r="AC1358" s="679"/>
      <c r="AD1358" s="679"/>
      <c r="AE1358" s="679"/>
      <c r="AF1358" s="680"/>
      <c r="AG1358" s="681"/>
      <c r="AH1358" s="680"/>
      <c r="AI1358" s="681"/>
      <c r="AJ1358" s="682"/>
      <c r="AK1358" s="683"/>
      <c r="AL1358" s="684" t="s">
        <v>162</v>
      </c>
      <c r="AM1358" s="685"/>
      <c r="AN1358" s="666" t="s">
        <v>162</v>
      </c>
      <c r="AO1358" s="667"/>
      <c r="AP1358" s="686"/>
      <c r="AQ1358" s="687"/>
      <c r="AR1358" s="688"/>
      <c r="AS1358" s="689"/>
      <c r="AT1358" s="690"/>
      <c r="AU1358" s="691"/>
      <c r="AV1358" s="666" t="s">
        <v>162</v>
      </c>
      <c r="AW1358" s="667"/>
      <c r="AX1358" s="692"/>
      <c r="AY1358" s="693"/>
      <c r="AZ1358" s="694"/>
      <c r="BA1358" s="682"/>
      <c r="BB1358" s="683"/>
      <c r="BC1358" s="14"/>
      <c r="BD1358" s="695" t="s">
        <v>162</v>
      </c>
      <c r="BE1358" s="696"/>
      <c r="BF1358" s="697"/>
      <c r="BG1358" s="698"/>
      <c r="BH1358" s="698"/>
      <c r="BI1358" s="699"/>
      <c r="BJ1358" s="700" t="s">
        <v>159</v>
      </c>
      <c r="BK1358" s="701"/>
      <c r="BL1358" s="701"/>
      <c r="BM1358" s="702"/>
      <c r="BN1358" s="703" t="s">
        <v>159</v>
      </c>
      <c r="BO1358" s="704"/>
      <c r="BP1358" s="704"/>
      <c r="BQ1358" s="704"/>
      <c r="BR1358" s="704"/>
      <c r="BS1358" s="704"/>
      <c r="BT1358" s="704"/>
      <c r="BU1358" s="704"/>
      <c r="BV1358" s="705"/>
    </row>
    <row r="1359" spans="1:74" ht="45" customHeight="1" x14ac:dyDescent="0.25">
      <c r="A1359" s="10">
        <f t="shared" ref="A1359:A1422" si="21">ROW(A1345)</f>
        <v>1345</v>
      </c>
      <c r="B1359" s="711" t="s">
        <v>159</v>
      </c>
      <c r="C1359" s="711"/>
      <c r="D1359" s="712" t="s">
        <v>212</v>
      </c>
      <c r="E1359" s="712"/>
      <c r="F1359" s="664" t="s">
        <v>162</v>
      </c>
      <c r="G1359" s="665"/>
      <c r="H1359" s="755" t="s">
        <v>162</v>
      </c>
      <c r="I1359" s="667"/>
      <c r="J1359" s="706"/>
      <c r="K1359" s="707"/>
      <c r="L1359" s="706"/>
      <c r="M1359" s="707"/>
      <c r="N1359" s="215"/>
      <c r="O1359" s="216"/>
      <c r="P1359" s="670"/>
      <c r="Q1359" s="671"/>
      <c r="R1359" s="719"/>
      <c r="S1359" s="720"/>
      <c r="T1359" s="721"/>
      <c r="U1359" s="722"/>
      <c r="V1359" s="723"/>
      <c r="W1359" s="724"/>
      <c r="X1359" s="725" t="s">
        <v>159</v>
      </c>
      <c r="Y1359" s="725"/>
      <c r="Z1359" s="725"/>
      <c r="AA1359" s="725"/>
      <c r="AB1359" s="726" t="s">
        <v>159</v>
      </c>
      <c r="AC1359" s="726"/>
      <c r="AD1359" s="726"/>
      <c r="AE1359" s="726"/>
      <c r="AF1359" s="727"/>
      <c r="AG1359" s="728"/>
      <c r="AH1359" s="727"/>
      <c r="AI1359" s="728"/>
      <c r="AJ1359" s="682"/>
      <c r="AK1359" s="683"/>
      <c r="AL1359" s="664" t="s">
        <v>162</v>
      </c>
      <c r="AM1359" s="665"/>
      <c r="AN1359" s="713" t="s">
        <v>162</v>
      </c>
      <c r="AO1359" s="714"/>
      <c r="AP1359" s="729"/>
      <c r="AQ1359" s="730"/>
      <c r="AR1359" s="731"/>
      <c r="AS1359" s="732"/>
      <c r="AT1359" s="733"/>
      <c r="AU1359" s="734"/>
      <c r="AV1359" s="713" t="s">
        <v>162</v>
      </c>
      <c r="AW1359" s="714"/>
      <c r="AX1359" s="692"/>
      <c r="AY1359" s="693"/>
      <c r="AZ1359" s="694"/>
      <c r="BA1359" s="735"/>
      <c r="BB1359" s="736"/>
      <c r="BC1359" s="219"/>
      <c r="BD1359" s="737" t="s">
        <v>162</v>
      </c>
      <c r="BE1359" s="738"/>
      <c r="BF1359" s="739"/>
      <c r="BG1359" s="740"/>
      <c r="BH1359" s="740"/>
      <c r="BI1359" s="741"/>
      <c r="BJ1359" s="742" t="s">
        <v>159</v>
      </c>
      <c r="BK1359" s="743"/>
      <c r="BL1359" s="743"/>
      <c r="BM1359" s="744"/>
      <c r="BN1359" s="703" t="s">
        <v>159</v>
      </c>
      <c r="BO1359" s="704"/>
      <c r="BP1359" s="704"/>
      <c r="BQ1359" s="704"/>
      <c r="BR1359" s="704"/>
      <c r="BS1359" s="704"/>
      <c r="BT1359" s="704"/>
      <c r="BU1359" s="704"/>
      <c r="BV1359" s="705"/>
    </row>
    <row r="1360" spans="1:74" ht="45" customHeight="1" x14ac:dyDescent="0.25">
      <c r="A1360" s="10">
        <f t="shared" si="21"/>
        <v>1346</v>
      </c>
      <c r="B1360" s="662" t="s">
        <v>159</v>
      </c>
      <c r="C1360" s="662"/>
      <c r="D1360" s="663" t="s">
        <v>212</v>
      </c>
      <c r="E1360" s="663"/>
      <c r="F1360" s="664" t="s">
        <v>162</v>
      </c>
      <c r="G1360" s="665"/>
      <c r="H1360" s="754" t="s">
        <v>162</v>
      </c>
      <c r="I1360" s="714"/>
      <c r="J1360" s="715"/>
      <c r="K1360" s="716"/>
      <c r="L1360" s="715"/>
      <c r="M1360" s="716"/>
      <c r="N1360" s="194"/>
      <c r="O1360" s="196"/>
      <c r="P1360" s="717"/>
      <c r="Q1360" s="718"/>
      <c r="R1360" s="672"/>
      <c r="S1360" s="673"/>
      <c r="T1360" s="674"/>
      <c r="U1360" s="675"/>
      <c r="V1360" s="676"/>
      <c r="W1360" s="677"/>
      <c r="X1360" s="678" t="s">
        <v>159</v>
      </c>
      <c r="Y1360" s="678"/>
      <c r="Z1360" s="678"/>
      <c r="AA1360" s="678"/>
      <c r="AB1360" s="679" t="s">
        <v>159</v>
      </c>
      <c r="AC1360" s="679"/>
      <c r="AD1360" s="679"/>
      <c r="AE1360" s="679"/>
      <c r="AF1360" s="680"/>
      <c r="AG1360" s="681"/>
      <c r="AH1360" s="680"/>
      <c r="AI1360" s="681"/>
      <c r="AJ1360" s="682"/>
      <c r="AK1360" s="683"/>
      <c r="AL1360" s="684" t="s">
        <v>162</v>
      </c>
      <c r="AM1360" s="685"/>
      <c r="AN1360" s="666" t="s">
        <v>162</v>
      </c>
      <c r="AO1360" s="667"/>
      <c r="AP1360" s="686"/>
      <c r="AQ1360" s="687"/>
      <c r="AR1360" s="688"/>
      <c r="AS1360" s="689"/>
      <c r="AT1360" s="690"/>
      <c r="AU1360" s="691"/>
      <c r="AV1360" s="666" t="s">
        <v>162</v>
      </c>
      <c r="AW1360" s="667"/>
      <c r="AX1360" s="692"/>
      <c r="AY1360" s="693"/>
      <c r="AZ1360" s="694"/>
      <c r="BA1360" s="682"/>
      <c r="BB1360" s="683"/>
      <c r="BC1360" s="14"/>
      <c r="BD1360" s="695" t="s">
        <v>162</v>
      </c>
      <c r="BE1360" s="696"/>
      <c r="BF1360" s="697"/>
      <c r="BG1360" s="698"/>
      <c r="BH1360" s="698"/>
      <c r="BI1360" s="699"/>
      <c r="BJ1360" s="700" t="s">
        <v>159</v>
      </c>
      <c r="BK1360" s="701"/>
      <c r="BL1360" s="701"/>
      <c r="BM1360" s="702"/>
      <c r="BN1360" s="703" t="s">
        <v>159</v>
      </c>
      <c r="BO1360" s="704"/>
      <c r="BP1360" s="704"/>
      <c r="BQ1360" s="704"/>
      <c r="BR1360" s="704"/>
      <c r="BS1360" s="704"/>
      <c r="BT1360" s="704"/>
      <c r="BU1360" s="704"/>
      <c r="BV1360" s="705"/>
    </row>
    <row r="1361" spans="1:74" ht="45" customHeight="1" x14ac:dyDescent="0.25">
      <c r="A1361" s="10">
        <f t="shared" si="21"/>
        <v>1347</v>
      </c>
      <c r="B1361" s="711" t="s">
        <v>159</v>
      </c>
      <c r="C1361" s="711"/>
      <c r="D1361" s="712" t="s">
        <v>212</v>
      </c>
      <c r="E1361" s="712"/>
      <c r="F1361" s="664" t="s">
        <v>162</v>
      </c>
      <c r="G1361" s="665"/>
      <c r="H1361" s="755" t="s">
        <v>162</v>
      </c>
      <c r="I1361" s="667"/>
      <c r="J1361" s="706"/>
      <c r="K1361" s="707"/>
      <c r="L1361" s="706"/>
      <c r="M1361" s="707"/>
      <c r="N1361" s="215"/>
      <c r="O1361" s="216"/>
      <c r="P1361" s="670"/>
      <c r="Q1361" s="671"/>
      <c r="R1361" s="719"/>
      <c r="S1361" s="720"/>
      <c r="T1361" s="721"/>
      <c r="U1361" s="722"/>
      <c r="V1361" s="723"/>
      <c r="W1361" s="724"/>
      <c r="X1361" s="725" t="s">
        <v>159</v>
      </c>
      <c r="Y1361" s="725"/>
      <c r="Z1361" s="725"/>
      <c r="AA1361" s="725"/>
      <c r="AB1361" s="726" t="s">
        <v>159</v>
      </c>
      <c r="AC1361" s="726"/>
      <c r="AD1361" s="726"/>
      <c r="AE1361" s="726"/>
      <c r="AF1361" s="727"/>
      <c r="AG1361" s="728"/>
      <c r="AH1361" s="727"/>
      <c r="AI1361" s="728"/>
      <c r="AJ1361" s="682"/>
      <c r="AK1361" s="683"/>
      <c r="AL1361" s="664" t="s">
        <v>162</v>
      </c>
      <c r="AM1361" s="665"/>
      <c r="AN1361" s="713" t="s">
        <v>162</v>
      </c>
      <c r="AO1361" s="714"/>
      <c r="AP1361" s="729"/>
      <c r="AQ1361" s="730"/>
      <c r="AR1361" s="731"/>
      <c r="AS1361" s="732"/>
      <c r="AT1361" s="733"/>
      <c r="AU1361" s="734"/>
      <c r="AV1361" s="713" t="s">
        <v>162</v>
      </c>
      <c r="AW1361" s="714"/>
      <c r="AX1361" s="692"/>
      <c r="AY1361" s="693"/>
      <c r="AZ1361" s="694"/>
      <c r="BA1361" s="735"/>
      <c r="BB1361" s="736"/>
      <c r="BC1361" s="219"/>
      <c r="BD1361" s="737" t="s">
        <v>162</v>
      </c>
      <c r="BE1361" s="738"/>
      <c r="BF1361" s="739"/>
      <c r="BG1361" s="740"/>
      <c r="BH1361" s="740"/>
      <c r="BI1361" s="741"/>
      <c r="BJ1361" s="742" t="s">
        <v>159</v>
      </c>
      <c r="BK1361" s="743"/>
      <c r="BL1361" s="743"/>
      <c r="BM1361" s="744"/>
      <c r="BN1361" s="703" t="s">
        <v>159</v>
      </c>
      <c r="BO1361" s="704"/>
      <c r="BP1361" s="704"/>
      <c r="BQ1361" s="704"/>
      <c r="BR1361" s="704"/>
      <c r="BS1361" s="704"/>
      <c r="BT1361" s="704"/>
      <c r="BU1361" s="704"/>
      <c r="BV1361" s="705"/>
    </row>
    <row r="1362" spans="1:74" ht="45" customHeight="1" x14ac:dyDescent="0.25">
      <c r="A1362" s="10">
        <f t="shared" si="21"/>
        <v>1348</v>
      </c>
      <c r="B1362" s="662" t="s">
        <v>159</v>
      </c>
      <c r="C1362" s="662"/>
      <c r="D1362" s="663" t="s">
        <v>212</v>
      </c>
      <c r="E1362" s="663"/>
      <c r="F1362" s="664" t="s">
        <v>162</v>
      </c>
      <c r="G1362" s="665"/>
      <c r="H1362" s="754" t="s">
        <v>162</v>
      </c>
      <c r="I1362" s="714"/>
      <c r="J1362" s="715"/>
      <c r="K1362" s="716"/>
      <c r="L1362" s="715"/>
      <c r="M1362" s="716"/>
      <c r="N1362" s="194"/>
      <c r="O1362" s="196"/>
      <c r="P1362" s="717"/>
      <c r="Q1362" s="718"/>
      <c r="R1362" s="672"/>
      <c r="S1362" s="673"/>
      <c r="T1362" s="674"/>
      <c r="U1362" s="675"/>
      <c r="V1362" s="676"/>
      <c r="W1362" s="677"/>
      <c r="X1362" s="678" t="s">
        <v>159</v>
      </c>
      <c r="Y1362" s="678"/>
      <c r="Z1362" s="678"/>
      <c r="AA1362" s="678"/>
      <c r="AB1362" s="679" t="s">
        <v>159</v>
      </c>
      <c r="AC1362" s="679"/>
      <c r="AD1362" s="679"/>
      <c r="AE1362" s="679"/>
      <c r="AF1362" s="680"/>
      <c r="AG1362" s="681"/>
      <c r="AH1362" s="680"/>
      <c r="AI1362" s="681"/>
      <c r="AJ1362" s="682"/>
      <c r="AK1362" s="683"/>
      <c r="AL1362" s="684" t="s">
        <v>162</v>
      </c>
      <c r="AM1362" s="685"/>
      <c r="AN1362" s="666" t="s">
        <v>162</v>
      </c>
      <c r="AO1362" s="667"/>
      <c r="AP1362" s="686"/>
      <c r="AQ1362" s="687"/>
      <c r="AR1362" s="688"/>
      <c r="AS1362" s="689"/>
      <c r="AT1362" s="690"/>
      <c r="AU1362" s="691"/>
      <c r="AV1362" s="666" t="s">
        <v>162</v>
      </c>
      <c r="AW1362" s="667"/>
      <c r="AX1362" s="692"/>
      <c r="AY1362" s="693"/>
      <c r="AZ1362" s="694"/>
      <c r="BA1362" s="682"/>
      <c r="BB1362" s="683"/>
      <c r="BC1362" s="14"/>
      <c r="BD1362" s="695" t="s">
        <v>162</v>
      </c>
      <c r="BE1362" s="696"/>
      <c r="BF1362" s="708"/>
      <c r="BG1362" s="709"/>
      <c r="BH1362" s="709"/>
      <c r="BI1362" s="710"/>
      <c r="BJ1362" s="700" t="s">
        <v>159</v>
      </c>
      <c r="BK1362" s="701"/>
      <c r="BL1362" s="701"/>
      <c r="BM1362" s="702"/>
      <c r="BN1362" s="703" t="s">
        <v>159</v>
      </c>
      <c r="BO1362" s="704"/>
      <c r="BP1362" s="704"/>
      <c r="BQ1362" s="704"/>
      <c r="BR1362" s="704"/>
      <c r="BS1362" s="704"/>
      <c r="BT1362" s="704"/>
      <c r="BU1362" s="704"/>
      <c r="BV1362" s="705"/>
    </row>
    <row r="1363" spans="1:74" ht="45" customHeight="1" x14ac:dyDescent="0.25">
      <c r="A1363" s="10">
        <f t="shared" si="21"/>
        <v>1349</v>
      </c>
      <c r="B1363" s="711" t="s">
        <v>159</v>
      </c>
      <c r="C1363" s="711"/>
      <c r="D1363" s="712" t="s">
        <v>212</v>
      </c>
      <c r="E1363" s="712"/>
      <c r="F1363" s="664" t="s">
        <v>162</v>
      </c>
      <c r="G1363" s="665"/>
      <c r="H1363" s="755" t="s">
        <v>162</v>
      </c>
      <c r="I1363" s="667"/>
      <c r="J1363" s="706"/>
      <c r="K1363" s="707"/>
      <c r="L1363" s="706"/>
      <c r="M1363" s="707"/>
      <c r="N1363" s="215"/>
      <c r="O1363" s="216"/>
      <c r="P1363" s="670"/>
      <c r="Q1363" s="671"/>
      <c r="R1363" s="719"/>
      <c r="S1363" s="720"/>
      <c r="T1363" s="721"/>
      <c r="U1363" s="722"/>
      <c r="V1363" s="723"/>
      <c r="W1363" s="724"/>
      <c r="X1363" s="725" t="s">
        <v>159</v>
      </c>
      <c r="Y1363" s="725"/>
      <c r="Z1363" s="725"/>
      <c r="AA1363" s="725"/>
      <c r="AB1363" s="726" t="s">
        <v>159</v>
      </c>
      <c r="AC1363" s="726"/>
      <c r="AD1363" s="726"/>
      <c r="AE1363" s="726"/>
      <c r="AF1363" s="727"/>
      <c r="AG1363" s="728"/>
      <c r="AH1363" s="727"/>
      <c r="AI1363" s="728"/>
      <c r="AJ1363" s="682"/>
      <c r="AK1363" s="683"/>
      <c r="AL1363" s="664" t="s">
        <v>162</v>
      </c>
      <c r="AM1363" s="665"/>
      <c r="AN1363" s="713" t="s">
        <v>162</v>
      </c>
      <c r="AO1363" s="714"/>
      <c r="AP1363" s="729"/>
      <c r="AQ1363" s="730"/>
      <c r="AR1363" s="731"/>
      <c r="AS1363" s="732"/>
      <c r="AT1363" s="733"/>
      <c r="AU1363" s="734"/>
      <c r="AV1363" s="713" t="s">
        <v>162</v>
      </c>
      <c r="AW1363" s="714"/>
      <c r="AX1363" s="692"/>
      <c r="AY1363" s="693"/>
      <c r="AZ1363" s="694"/>
      <c r="BA1363" s="735"/>
      <c r="BB1363" s="736"/>
      <c r="BC1363" s="219"/>
      <c r="BD1363" s="737" t="s">
        <v>162</v>
      </c>
      <c r="BE1363" s="738"/>
      <c r="BF1363" s="739"/>
      <c r="BG1363" s="740"/>
      <c r="BH1363" s="740"/>
      <c r="BI1363" s="741"/>
      <c r="BJ1363" s="742" t="s">
        <v>159</v>
      </c>
      <c r="BK1363" s="743"/>
      <c r="BL1363" s="743"/>
      <c r="BM1363" s="744"/>
      <c r="BN1363" s="703" t="s">
        <v>159</v>
      </c>
      <c r="BO1363" s="704"/>
      <c r="BP1363" s="704"/>
      <c r="BQ1363" s="704"/>
      <c r="BR1363" s="704"/>
      <c r="BS1363" s="704"/>
      <c r="BT1363" s="704"/>
      <c r="BU1363" s="704"/>
      <c r="BV1363" s="705"/>
    </row>
    <row r="1364" spans="1:74" ht="45" customHeight="1" x14ac:dyDescent="0.25">
      <c r="A1364" s="10">
        <f t="shared" si="21"/>
        <v>1350</v>
      </c>
      <c r="B1364" s="662" t="s">
        <v>159</v>
      </c>
      <c r="C1364" s="662"/>
      <c r="D1364" s="663" t="s">
        <v>212</v>
      </c>
      <c r="E1364" s="663"/>
      <c r="F1364" s="664" t="s">
        <v>162</v>
      </c>
      <c r="G1364" s="665"/>
      <c r="H1364" s="754" t="s">
        <v>162</v>
      </c>
      <c r="I1364" s="714"/>
      <c r="J1364" s="715"/>
      <c r="K1364" s="716"/>
      <c r="L1364" s="715"/>
      <c r="M1364" s="716"/>
      <c r="N1364" s="194"/>
      <c r="O1364" s="196"/>
      <c r="P1364" s="717"/>
      <c r="Q1364" s="718"/>
      <c r="R1364" s="672"/>
      <c r="S1364" s="673"/>
      <c r="T1364" s="674"/>
      <c r="U1364" s="675"/>
      <c r="V1364" s="676"/>
      <c r="W1364" s="677"/>
      <c r="X1364" s="678" t="s">
        <v>159</v>
      </c>
      <c r="Y1364" s="678"/>
      <c r="Z1364" s="678"/>
      <c r="AA1364" s="678"/>
      <c r="AB1364" s="679" t="s">
        <v>159</v>
      </c>
      <c r="AC1364" s="679"/>
      <c r="AD1364" s="679"/>
      <c r="AE1364" s="679"/>
      <c r="AF1364" s="680"/>
      <c r="AG1364" s="681"/>
      <c r="AH1364" s="680"/>
      <c r="AI1364" s="681"/>
      <c r="AJ1364" s="682"/>
      <c r="AK1364" s="683"/>
      <c r="AL1364" s="684" t="s">
        <v>162</v>
      </c>
      <c r="AM1364" s="685"/>
      <c r="AN1364" s="666" t="s">
        <v>162</v>
      </c>
      <c r="AO1364" s="667"/>
      <c r="AP1364" s="686"/>
      <c r="AQ1364" s="687"/>
      <c r="AR1364" s="688"/>
      <c r="AS1364" s="689"/>
      <c r="AT1364" s="690"/>
      <c r="AU1364" s="691"/>
      <c r="AV1364" s="666" t="s">
        <v>162</v>
      </c>
      <c r="AW1364" s="667"/>
      <c r="AX1364" s="692"/>
      <c r="AY1364" s="693"/>
      <c r="AZ1364" s="694"/>
      <c r="BA1364" s="682"/>
      <c r="BB1364" s="683"/>
      <c r="BC1364" s="14"/>
      <c r="BD1364" s="695" t="s">
        <v>162</v>
      </c>
      <c r="BE1364" s="696"/>
      <c r="BF1364" s="697"/>
      <c r="BG1364" s="698"/>
      <c r="BH1364" s="698"/>
      <c r="BI1364" s="699"/>
      <c r="BJ1364" s="700" t="s">
        <v>159</v>
      </c>
      <c r="BK1364" s="701"/>
      <c r="BL1364" s="701"/>
      <c r="BM1364" s="702"/>
      <c r="BN1364" s="703" t="s">
        <v>159</v>
      </c>
      <c r="BO1364" s="704"/>
      <c r="BP1364" s="704"/>
      <c r="BQ1364" s="704"/>
      <c r="BR1364" s="704"/>
      <c r="BS1364" s="704"/>
      <c r="BT1364" s="704"/>
      <c r="BU1364" s="704"/>
      <c r="BV1364" s="705"/>
    </row>
    <row r="1365" spans="1:74" ht="45" customHeight="1" x14ac:dyDescent="0.25">
      <c r="A1365" s="10">
        <f t="shared" si="21"/>
        <v>1351</v>
      </c>
      <c r="B1365" s="711" t="s">
        <v>159</v>
      </c>
      <c r="C1365" s="711"/>
      <c r="D1365" s="712" t="s">
        <v>212</v>
      </c>
      <c r="E1365" s="712"/>
      <c r="F1365" s="664" t="s">
        <v>162</v>
      </c>
      <c r="G1365" s="665"/>
      <c r="H1365" s="755" t="s">
        <v>162</v>
      </c>
      <c r="I1365" s="667"/>
      <c r="J1365" s="706"/>
      <c r="K1365" s="707"/>
      <c r="L1365" s="706"/>
      <c r="M1365" s="707"/>
      <c r="N1365" s="194"/>
      <c r="O1365" s="196"/>
      <c r="P1365" s="717"/>
      <c r="Q1365" s="718"/>
      <c r="R1365" s="719"/>
      <c r="S1365" s="720"/>
      <c r="T1365" s="721"/>
      <c r="U1365" s="722"/>
      <c r="V1365" s="723"/>
      <c r="W1365" s="724"/>
      <c r="X1365" s="725" t="s">
        <v>159</v>
      </c>
      <c r="Y1365" s="725"/>
      <c r="Z1365" s="725"/>
      <c r="AA1365" s="725"/>
      <c r="AB1365" s="726" t="s">
        <v>159</v>
      </c>
      <c r="AC1365" s="726"/>
      <c r="AD1365" s="726"/>
      <c r="AE1365" s="726"/>
      <c r="AF1365" s="727"/>
      <c r="AG1365" s="728"/>
      <c r="AH1365" s="727"/>
      <c r="AI1365" s="728"/>
      <c r="AJ1365" s="682"/>
      <c r="AK1365" s="683"/>
      <c r="AL1365" s="664" t="s">
        <v>162</v>
      </c>
      <c r="AM1365" s="665"/>
      <c r="AN1365" s="713" t="s">
        <v>162</v>
      </c>
      <c r="AO1365" s="714"/>
      <c r="AP1365" s="729"/>
      <c r="AQ1365" s="730"/>
      <c r="AR1365" s="731"/>
      <c r="AS1365" s="732"/>
      <c r="AT1365" s="690"/>
      <c r="AU1365" s="691"/>
      <c r="AV1365" s="713" t="s">
        <v>162</v>
      </c>
      <c r="AW1365" s="714"/>
      <c r="AX1365" s="692"/>
      <c r="AY1365" s="693"/>
      <c r="AZ1365" s="694"/>
      <c r="BA1365" s="735"/>
      <c r="BB1365" s="736"/>
      <c r="BC1365" s="219"/>
      <c r="BD1365" s="737" t="s">
        <v>162</v>
      </c>
      <c r="BE1365" s="738"/>
      <c r="BF1365" s="739"/>
      <c r="BG1365" s="740"/>
      <c r="BH1365" s="740"/>
      <c r="BI1365" s="741"/>
      <c r="BJ1365" s="742" t="s">
        <v>159</v>
      </c>
      <c r="BK1365" s="743"/>
      <c r="BL1365" s="743"/>
      <c r="BM1365" s="744"/>
      <c r="BN1365" s="703" t="s">
        <v>159</v>
      </c>
      <c r="BO1365" s="704"/>
      <c r="BP1365" s="704"/>
      <c r="BQ1365" s="704"/>
      <c r="BR1365" s="704"/>
      <c r="BS1365" s="704"/>
      <c r="BT1365" s="704"/>
      <c r="BU1365" s="704"/>
      <c r="BV1365" s="705"/>
    </row>
    <row r="1366" spans="1:74" ht="45" customHeight="1" x14ac:dyDescent="0.25">
      <c r="A1366" s="10">
        <f t="shared" si="21"/>
        <v>1352</v>
      </c>
      <c r="B1366" s="662" t="s">
        <v>159</v>
      </c>
      <c r="C1366" s="662"/>
      <c r="D1366" s="663" t="s">
        <v>212</v>
      </c>
      <c r="E1366" s="663"/>
      <c r="F1366" s="664" t="s">
        <v>162</v>
      </c>
      <c r="G1366" s="665"/>
      <c r="H1366" s="754" t="s">
        <v>162</v>
      </c>
      <c r="I1366" s="714"/>
      <c r="J1366" s="715"/>
      <c r="K1366" s="716"/>
      <c r="L1366" s="715"/>
      <c r="M1366" s="716"/>
      <c r="N1366" s="215"/>
      <c r="O1366" s="216"/>
      <c r="P1366" s="670"/>
      <c r="Q1366" s="671"/>
      <c r="R1366" s="672"/>
      <c r="S1366" s="673"/>
      <c r="T1366" s="674"/>
      <c r="U1366" s="675"/>
      <c r="V1366" s="676"/>
      <c r="W1366" s="677"/>
      <c r="X1366" s="678" t="s">
        <v>159</v>
      </c>
      <c r="Y1366" s="678"/>
      <c r="Z1366" s="678"/>
      <c r="AA1366" s="678"/>
      <c r="AB1366" s="679" t="s">
        <v>159</v>
      </c>
      <c r="AC1366" s="679"/>
      <c r="AD1366" s="679"/>
      <c r="AE1366" s="679"/>
      <c r="AF1366" s="680"/>
      <c r="AG1366" s="681"/>
      <c r="AH1366" s="680"/>
      <c r="AI1366" s="681"/>
      <c r="AJ1366" s="682"/>
      <c r="AK1366" s="683"/>
      <c r="AL1366" s="684" t="s">
        <v>162</v>
      </c>
      <c r="AM1366" s="685"/>
      <c r="AN1366" s="666" t="s">
        <v>162</v>
      </c>
      <c r="AO1366" s="667"/>
      <c r="AP1366" s="686"/>
      <c r="AQ1366" s="687"/>
      <c r="AR1366" s="688"/>
      <c r="AS1366" s="689"/>
      <c r="AT1366" s="690"/>
      <c r="AU1366" s="691"/>
      <c r="AV1366" s="666" t="s">
        <v>162</v>
      </c>
      <c r="AW1366" s="667"/>
      <c r="AX1366" s="692"/>
      <c r="AY1366" s="693"/>
      <c r="AZ1366" s="694"/>
      <c r="BA1366" s="682"/>
      <c r="BB1366" s="683"/>
      <c r="BC1366" s="14"/>
      <c r="BD1366" s="695" t="s">
        <v>162</v>
      </c>
      <c r="BE1366" s="696"/>
      <c r="BF1366" s="697"/>
      <c r="BG1366" s="698"/>
      <c r="BH1366" s="698"/>
      <c r="BI1366" s="699"/>
      <c r="BJ1366" s="700" t="s">
        <v>159</v>
      </c>
      <c r="BK1366" s="701"/>
      <c r="BL1366" s="701"/>
      <c r="BM1366" s="702"/>
      <c r="BN1366" s="703" t="s">
        <v>159</v>
      </c>
      <c r="BO1366" s="704"/>
      <c r="BP1366" s="704"/>
      <c r="BQ1366" s="704"/>
      <c r="BR1366" s="704"/>
      <c r="BS1366" s="704"/>
      <c r="BT1366" s="704"/>
      <c r="BU1366" s="704"/>
      <c r="BV1366" s="705"/>
    </row>
    <row r="1367" spans="1:74" ht="45" customHeight="1" x14ac:dyDescent="0.25">
      <c r="A1367" s="10">
        <f t="shared" si="21"/>
        <v>1353</v>
      </c>
      <c r="B1367" s="711" t="s">
        <v>159</v>
      </c>
      <c r="C1367" s="711"/>
      <c r="D1367" s="712" t="s">
        <v>212</v>
      </c>
      <c r="E1367" s="712"/>
      <c r="F1367" s="664" t="s">
        <v>162</v>
      </c>
      <c r="G1367" s="665"/>
      <c r="H1367" s="755" t="s">
        <v>162</v>
      </c>
      <c r="I1367" s="667"/>
      <c r="J1367" s="706"/>
      <c r="K1367" s="707"/>
      <c r="L1367" s="706"/>
      <c r="M1367" s="707"/>
      <c r="N1367" s="194"/>
      <c r="O1367" s="196"/>
      <c r="P1367" s="717"/>
      <c r="Q1367" s="718"/>
      <c r="R1367" s="719"/>
      <c r="S1367" s="720"/>
      <c r="T1367" s="721"/>
      <c r="U1367" s="722"/>
      <c r="V1367" s="723"/>
      <c r="W1367" s="724"/>
      <c r="X1367" s="725" t="s">
        <v>159</v>
      </c>
      <c r="Y1367" s="725"/>
      <c r="Z1367" s="725"/>
      <c r="AA1367" s="725"/>
      <c r="AB1367" s="726" t="s">
        <v>159</v>
      </c>
      <c r="AC1367" s="726"/>
      <c r="AD1367" s="726"/>
      <c r="AE1367" s="726"/>
      <c r="AF1367" s="727"/>
      <c r="AG1367" s="728"/>
      <c r="AH1367" s="727"/>
      <c r="AI1367" s="728"/>
      <c r="AJ1367" s="682"/>
      <c r="AK1367" s="683"/>
      <c r="AL1367" s="664" t="s">
        <v>162</v>
      </c>
      <c r="AM1367" s="665"/>
      <c r="AN1367" s="713" t="s">
        <v>162</v>
      </c>
      <c r="AO1367" s="714"/>
      <c r="AP1367" s="729"/>
      <c r="AQ1367" s="730"/>
      <c r="AR1367" s="731"/>
      <c r="AS1367" s="732"/>
      <c r="AT1367" s="690"/>
      <c r="AU1367" s="691"/>
      <c r="AV1367" s="713" t="s">
        <v>162</v>
      </c>
      <c r="AW1367" s="714"/>
      <c r="AX1367" s="692"/>
      <c r="AY1367" s="693"/>
      <c r="AZ1367" s="694"/>
      <c r="BA1367" s="735"/>
      <c r="BB1367" s="736"/>
      <c r="BC1367" s="219"/>
      <c r="BD1367" s="737" t="s">
        <v>162</v>
      </c>
      <c r="BE1367" s="738"/>
      <c r="BF1367" s="739"/>
      <c r="BG1367" s="740"/>
      <c r="BH1367" s="740"/>
      <c r="BI1367" s="741"/>
      <c r="BJ1367" s="742" t="s">
        <v>159</v>
      </c>
      <c r="BK1367" s="743"/>
      <c r="BL1367" s="743"/>
      <c r="BM1367" s="744"/>
      <c r="BN1367" s="703" t="s">
        <v>159</v>
      </c>
      <c r="BO1367" s="704"/>
      <c r="BP1367" s="704"/>
      <c r="BQ1367" s="704"/>
      <c r="BR1367" s="704"/>
      <c r="BS1367" s="704"/>
      <c r="BT1367" s="704"/>
      <c r="BU1367" s="704"/>
      <c r="BV1367" s="705"/>
    </row>
    <row r="1368" spans="1:74" ht="45" customHeight="1" x14ac:dyDescent="0.25">
      <c r="A1368" s="10">
        <f t="shared" si="21"/>
        <v>1354</v>
      </c>
      <c r="B1368" s="662" t="s">
        <v>159</v>
      </c>
      <c r="C1368" s="662"/>
      <c r="D1368" s="663" t="s">
        <v>212</v>
      </c>
      <c r="E1368" s="663"/>
      <c r="F1368" s="664" t="s">
        <v>162</v>
      </c>
      <c r="G1368" s="665"/>
      <c r="H1368" s="754" t="s">
        <v>162</v>
      </c>
      <c r="I1368" s="714"/>
      <c r="J1368" s="715"/>
      <c r="K1368" s="716"/>
      <c r="L1368" s="715"/>
      <c r="M1368" s="716"/>
      <c r="N1368" s="215"/>
      <c r="O1368" s="216"/>
      <c r="P1368" s="670"/>
      <c r="Q1368" s="671"/>
      <c r="R1368" s="672"/>
      <c r="S1368" s="673"/>
      <c r="T1368" s="674"/>
      <c r="U1368" s="675"/>
      <c r="V1368" s="676"/>
      <c r="W1368" s="677"/>
      <c r="X1368" s="678" t="s">
        <v>159</v>
      </c>
      <c r="Y1368" s="678"/>
      <c r="Z1368" s="678"/>
      <c r="AA1368" s="678"/>
      <c r="AB1368" s="679" t="s">
        <v>159</v>
      </c>
      <c r="AC1368" s="679"/>
      <c r="AD1368" s="679"/>
      <c r="AE1368" s="679"/>
      <c r="AF1368" s="680"/>
      <c r="AG1368" s="681"/>
      <c r="AH1368" s="680"/>
      <c r="AI1368" s="681"/>
      <c r="AJ1368" s="682"/>
      <c r="AK1368" s="683"/>
      <c r="AL1368" s="684" t="s">
        <v>162</v>
      </c>
      <c r="AM1368" s="685"/>
      <c r="AN1368" s="666" t="s">
        <v>162</v>
      </c>
      <c r="AO1368" s="667"/>
      <c r="AP1368" s="686"/>
      <c r="AQ1368" s="687"/>
      <c r="AR1368" s="688"/>
      <c r="AS1368" s="689"/>
      <c r="AT1368" s="690"/>
      <c r="AU1368" s="691"/>
      <c r="AV1368" s="666" t="s">
        <v>162</v>
      </c>
      <c r="AW1368" s="667"/>
      <c r="AX1368" s="692"/>
      <c r="AY1368" s="693"/>
      <c r="AZ1368" s="694"/>
      <c r="BA1368" s="682"/>
      <c r="BB1368" s="683"/>
      <c r="BC1368" s="14"/>
      <c r="BD1368" s="695" t="s">
        <v>162</v>
      </c>
      <c r="BE1368" s="696"/>
      <c r="BF1368" s="697"/>
      <c r="BG1368" s="698"/>
      <c r="BH1368" s="698"/>
      <c r="BI1368" s="699"/>
      <c r="BJ1368" s="700" t="s">
        <v>159</v>
      </c>
      <c r="BK1368" s="701"/>
      <c r="BL1368" s="701"/>
      <c r="BM1368" s="702"/>
      <c r="BN1368" s="703" t="s">
        <v>159</v>
      </c>
      <c r="BO1368" s="704"/>
      <c r="BP1368" s="704"/>
      <c r="BQ1368" s="704"/>
      <c r="BR1368" s="704"/>
      <c r="BS1368" s="704"/>
      <c r="BT1368" s="704"/>
      <c r="BU1368" s="704"/>
      <c r="BV1368" s="705"/>
    </row>
    <row r="1369" spans="1:74" ht="45" customHeight="1" x14ac:dyDescent="0.25">
      <c r="A1369" s="10">
        <f t="shared" si="21"/>
        <v>1355</v>
      </c>
      <c r="B1369" s="711" t="s">
        <v>159</v>
      </c>
      <c r="C1369" s="711"/>
      <c r="D1369" s="712" t="s">
        <v>212</v>
      </c>
      <c r="E1369" s="712"/>
      <c r="F1369" s="664" t="s">
        <v>162</v>
      </c>
      <c r="G1369" s="665"/>
      <c r="H1369" s="755" t="s">
        <v>162</v>
      </c>
      <c r="I1369" s="667"/>
      <c r="J1369" s="706"/>
      <c r="K1369" s="707"/>
      <c r="L1369" s="706"/>
      <c r="M1369" s="707"/>
      <c r="N1369" s="194"/>
      <c r="O1369" s="216"/>
      <c r="P1369" s="717"/>
      <c r="Q1369" s="718"/>
      <c r="R1369" s="719"/>
      <c r="S1369" s="720"/>
      <c r="T1369" s="721"/>
      <c r="U1369" s="722"/>
      <c r="V1369" s="723"/>
      <c r="W1369" s="724"/>
      <c r="X1369" s="725" t="s">
        <v>159</v>
      </c>
      <c r="Y1369" s="725"/>
      <c r="Z1369" s="725"/>
      <c r="AA1369" s="725"/>
      <c r="AB1369" s="726" t="s">
        <v>159</v>
      </c>
      <c r="AC1369" s="726"/>
      <c r="AD1369" s="726"/>
      <c r="AE1369" s="726"/>
      <c r="AF1369" s="727"/>
      <c r="AG1369" s="728"/>
      <c r="AH1369" s="727"/>
      <c r="AI1369" s="728"/>
      <c r="AJ1369" s="682"/>
      <c r="AK1369" s="683"/>
      <c r="AL1369" s="664" t="s">
        <v>162</v>
      </c>
      <c r="AM1369" s="665"/>
      <c r="AN1369" s="713" t="s">
        <v>162</v>
      </c>
      <c r="AO1369" s="714"/>
      <c r="AP1369" s="729"/>
      <c r="AQ1369" s="730"/>
      <c r="AR1369" s="731"/>
      <c r="AS1369" s="732"/>
      <c r="AT1369" s="733"/>
      <c r="AU1369" s="734"/>
      <c r="AV1369" s="713" t="s">
        <v>162</v>
      </c>
      <c r="AW1369" s="714"/>
      <c r="AX1369" s="692"/>
      <c r="AY1369" s="693"/>
      <c r="AZ1369" s="694"/>
      <c r="BA1369" s="735"/>
      <c r="BB1369" s="736"/>
      <c r="BC1369" s="219"/>
      <c r="BD1369" s="737" t="s">
        <v>162</v>
      </c>
      <c r="BE1369" s="738"/>
      <c r="BF1369" s="739"/>
      <c r="BG1369" s="740"/>
      <c r="BH1369" s="740"/>
      <c r="BI1369" s="741"/>
      <c r="BJ1369" s="742" t="s">
        <v>159</v>
      </c>
      <c r="BK1369" s="743"/>
      <c r="BL1369" s="743"/>
      <c r="BM1369" s="744"/>
      <c r="BN1369" s="703" t="s">
        <v>159</v>
      </c>
      <c r="BO1369" s="704"/>
      <c r="BP1369" s="704"/>
      <c r="BQ1369" s="704"/>
      <c r="BR1369" s="704"/>
      <c r="BS1369" s="704"/>
      <c r="BT1369" s="704"/>
      <c r="BU1369" s="704"/>
      <c r="BV1369" s="705"/>
    </row>
    <row r="1370" spans="1:74" ht="45" customHeight="1" x14ac:dyDescent="0.25">
      <c r="A1370" s="10">
        <f t="shared" si="21"/>
        <v>1356</v>
      </c>
      <c r="B1370" s="662" t="s">
        <v>159</v>
      </c>
      <c r="C1370" s="662"/>
      <c r="D1370" s="663" t="s">
        <v>212</v>
      </c>
      <c r="E1370" s="663"/>
      <c r="F1370" s="664" t="s">
        <v>162</v>
      </c>
      <c r="G1370" s="665"/>
      <c r="H1370" s="754" t="s">
        <v>162</v>
      </c>
      <c r="I1370" s="714"/>
      <c r="J1370" s="715"/>
      <c r="K1370" s="716"/>
      <c r="L1370" s="715"/>
      <c r="M1370" s="716"/>
      <c r="N1370" s="215"/>
      <c r="O1370" s="196"/>
      <c r="P1370" s="670"/>
      <c r="Q1370" s="671"/>
      <c r="R1370" s="672"/>
      <c r="S1370" s="673"/>
      <c r="T1370" s="674"/>
      <c r="U1370" s="675"/>
      <c r="V1370" s="676"/>
      <c r="W1370" s="677"/>
      <c r="X1370" s="678" t="s">
        <v>159</v>
      </c>
      <c r="Y1370" s="678"/>
      <c r="Z1370" s="678"/>
      <c r="AA1370" s="678"/>
      <c r="AB1370" s="679" t="s">
        <v>159</v>
      </c>
      <c r="AC1370" s="679"/>
      <c r="AD1370" s="679"/>
      <c r="AE1370" s="679"/>
      <c r="AF1370" s="680"/>
      <c r="AG1370" s="681"/>
      <c r="AH1370" s="680"/>
      <c r="AI1370" s="681"/>
      <c r="AJ1370" s="682"/>
      <c r="AK1370" s="683"/>
      <c r="AL1370" s="684" t="s">
        <v>162</v>
      </c>
      <c r="AM1370" s="685"/>
      <c r="AN1370" s="666" t="s">
        <v>162</v>
      </c>
      <c r="AO1370" s="667"/>
      <c r="AP1370" s="686"/>
      <c r="AQ1370" s="687"/>
      <c r="AR1370" s="688"/>
      <c r="AS1370" s="689"/>
      <c r="AT1370" s="690"/>
      <c r="AU1370" s="691"/>
      <c r="AV1370" s="666" t="s">
        <v>162</v>
      </c>
      <c r="AW1370" s="667"/>
      <c r="AX1370" s="692"/>
      <c r="AY1370" s="693"/>
      <c r="AZ1370" s="694"/>
      <c r="BA1370" s="682"/>
      <c r="BB1370" s="683"/>
      <c r="BC1370" s="14"/>
      <c r="BD1370" s="695" t="s">
        <v>162</v>
      </c>
      <c r="BE1370" s="696"/>
      <c r="BF1370" s="708"/>
      <c r="BG1370" s="709"/>
      <c r="BH1370" s="709"/>
      <c r="BI1370" s="710"/>
      <c r="BJ1370" s="700" t="s">
        <v>159</v>
      </c>
      <c r="BK1370" s="701"/>
      <c r="BL1370" s="701"/>
      <c r="BM1370" s="702"/>
      <c r="BN1370" s="703" t="s">
        <v>159</v>
      </c>
      <c r="BO1370" s="704"/>
      <c r="BP1370" s="704"/>
      <c r="BQ1370" s="704"/>
      <c r="BR1370" s="704"/>
      <c r="BS1370" s="704"/>
      <c r="BT1370" s="704"/>
      <c r="BU1370" s="704"/>
      <c r="BV1370" s="705"/>
    </row>
    <row r="1371" spans="1:74" ht="45" customHeight="1" x14ac:dyDescent="0.25">
      <c r="A1371" s="10">
        <f t="shared" si="21"/>
        <v>1357</v>
      </c>
      <c r="B1371" s="711" t="s">
        <v>159</v>
      </c>
      <c r="C1371" s="711"/>
      <c r="D1371" s="712" t="s">
        <v>212</v>
      </c>
      <c r="E1371" s="712"/>
      <c r="F1371" s="664" t="s">
        <v>162</v>
      </c>
      <c r="G1371" s="665"/>
      <c r="H1371" s="755" t="s">
        <v>162</v>
      </c>
      <c r="I1371" s="667"/>
      <c r="J1371" s="706"/>
      <c r="K1371" s="707"/>
      <c r="L1371" s="706"/>
      <c r="M1371" s="707"/>
      <c r="N1371" s="194"/>
      <c r="O1371" s="216"/>
      <c r="P1371" s="717"/>
      <c r="Q1371" s="718"/>
      <c r="R1371" s="719"/>
      <c r="S1371" s="720"/>
      <c r="T1371" s="721"/>
      <c r="U1371" s="722"/>
      <c r="V1371" s="723"/>
      <c r="W1371" s="724"/>
      <c r="X1371" s="725" t="s">
        <v>159</v>
      </c>
      <c r="Y1371" s="725"/>
      <c r="Z1371" s="725"/>
      <c r="AA1371" s="725"/>
      <c r="AB1371" s="726" t="s">
        <v>159</v>
      </c>
      <c r="AC1371" s="726"/>
      <c r="AD1371" s="726"/>
      <c r="AE1371" s="726"/>
      <c r="AF1371" s="727"/>
      <c r="AG1371" s="728"/>
      <c r="AH1371" s="727"/>
      <c r="AI1371" s="728"/>
      <c r="AJ1371" s="682"/>
      <c r="AK1371" s="683"/>
      <c r="AL1371" s="664" t="s">
        <v>162</v>
      </c>
      <c r="AM1371" s="665"/>
      <c r="AN1371" s="713" t="s">
        <v>162</v>
      </c>
      <c r="AO1371" s="714"/>
      <c r="AP1371" s="729"/>
      <c r="AQ1371" s="730"/>
      <c r="AR1371" s="731"/>
      <c r="AS1371" s="732"/>
      <c r="AT1371" s="733"/>
      <c r="AU1371" s="734"/>
      <c r="AV1371" s="713" t="s">
        <v>162</v>
      </c>
      <c r="AW1371" s="714"/>
      <c r="AX1371" s="692"/>
      <c r="AY1371" s="693"/>
      <c r="AZ1371" s="694"/>
      <c r="BA1371" s="735"/>
      <c r="BB1371" s="736"/>
      <c r="BC1371" s="219"/>
      <c r="BD1371" s="737" t="s">
        <v>162</v>
      </c>
      <c r="BE1371" s="738"/>
      <c r="BF1371" s="739"/>
      <c r="BG1371" s="740"/>
      <c r="BH1371" s="740"/>
      <c r="BI1371" s="741"/>
      <c r="BJ1371" s="742" t="s">
        <v>159</v>
      </c>
      <c r="BK1371" s="743"/>
      <c r="BL1371" s="743"/>
      <c r="BM1371" s="744"/>
      <c r="BN1371" s="703" t="s">
        <v>159</v>
      </c>
      <c r="BO1371" s="704"/>
      <c r="BP1371" s="704"/>
      <c r="BQ1371" s="704"/>
      <c r="BR1371" s="704"/>
      <c r="BS1371" s="704"/>
      <c r="BT1371" s="704"/>
      <c r="BU1371" s="704"/>
      <c r="BV1371" s="705"/>
    </row>
    <row r="1372" spans="1:74" ht="45" customHeight="1" x14ac:dyDescent="0.25">
      <c r="A1372" s="10">
        <f t="shared" si="21"/>
        <v>1358</v>
      </c>
      <c r="B1372" s="662" t="s">
        <v>159</v>
      </c>
      <c r="C1372" s="662"/>
      <c r="D1372" s="663" t="s">
        <v>212</v>
      </c>
      <c r="E1372" s="663"/>
      <c r="F1372" s="664" t="s">
        <v>162</v>
      </c>
      <c r="G1372" s="665"/>
      <c r="H1372" s="754" t="s">
        <v>162</v>
      </c>
      <c r="I1372" s="714"/>
      <c r="J1372" s="715"/>
      <c r="K1372" s="716"/>
      <c r="L1372" s="715"/>
      <c r="M1372" s="716"/>
      <c r="N1372" s="215"/>
      <c r="O1372" s="196"/>
      <c r="P1372" s="670"/>
      <c r="Q1372" s="671"/>
      <c r="R1372" s="672"/>
      <c r="S1372" s="673"/>
      <c r="T1372" s="674"/>
      <c r="U1372" s="675"/>
      <c r="V1372" s="676"/>
      <c r="W1372" s="677"/>
      <c r="X1372" s="678" t="s">
        <v>159</v>
      </c>
      <c r="Y1372" s="678"/>
      <c r="Z1372" s="678"/>
      <c r="AA1372" s="678"/>
      <c r="AB1372" s="679" t="s">
        <v>159</v>
      </c>
      <c r="AC1372" s="679"/>
      <c r="AD1372" s="679"/>
      <c r="AE1372" s="679"/>
      <c r="AF1372" s="680"/>
      <c r="AG1372" s="681"/>
      <c r="AH1372" s="680"/>
      <c r="AI1372" s="681"/>
      <c r="AJ1372" s="682"/>
      <c r="AK1372" s="683"/>
      <c r="AL1372" s="684" t="s">
        <v>162</v>
      </c>
      <c r="AM1372" s="685"/>
      <c r="AN1372" s="666" t="s">
        <v>162</v>
      </c>
      <c r="AO1372" s="667"/>
      <c r="AP1372" s="686"/>
      <c r="AQ1372" s="687"/>
      <c r="AR1372" s="688"/>
      <c r="AS1372" s="689"/>
      <c r="AT1372" s="690"/>
      <c r="AU1372" s="691"/>
      <c r="AV1372" s="666" t="s">
        <v>162</v>
      </c>
      <c r="AW1372" s="667"/>
      <c r="AX1372" s="692"/>
      <c r="AY1372" s="693"/>
      <c r="AZ1372" s="694"/>
      <c r="BA1372" s="682"/>
      <c r="BB1372" s="683"/>
      <c r="BC1372" s="14"/>
      <c r="BD1372" s="695" t="s">
        <v>162</v>
      </c>
      <c r="BE1372" s="696"/>
      <c r="BF1372" s="697"/>
      <c r="BG1372" s="698"/>
      <c r="BH1372" s="698"/>
      <c r="BI1372" s="699"/>
      <c r="BJ1372" s="700" t="s">
        <v>159</v>
      </c>
      <c r="BK1372" s="701"/>
      <c r="BL1372" s="701"/>
      <c r="BM1372" s="702"/>
      <c r="BN1372" s="703" t="s">
        <v>159</v>
      </c>
      <c r="BO1372" s="704"/>
      <c r="BP1372" s="704"/>
      <c r="BQ1372" s="704"/>
      <c r="BR1372" s="704"/>
      <c r="BS1372" s="704"/>
      <c r="BT1372" s="704"/>
      <c r="BU1372" s="704"/>
      <c r="BV1372" s="705"/>
    </row>
    <row r="1373" spans="1:74" ht="45" customHeight="1" x14ac:dyDescent="0.25">
      <c r="A1373" s="10">
        <f t="shared" si="21"/>
        <v>1359</v>
      </c>
      <c r="B1373" s="711" t="s">
        <v>159</v>
      </c>
      <c r="C1373" s="711"/>
      <c r="D1373" s="712" t="s">
        <v>212</v>
      </c>
      <c r="E1373" s="712"/>
      <c r="F1373" s="664" t="s">
        <v>162</v>
      </c>
      <c r="G1373" s="665"/>
      <c r="H1373" s="755" t="s">
        <v>162</v>
      </c>
      <c r="I1373" s="667"/>
      <c r="J1373" s="706"/>
      <c r="K1373" s="707"/>
      <c r="L1373" s="706"/>
      <c r="M1373" s="707"/>
      <c r="N1373" s="194"/>
      <c r="O1373" s="216"/>
      <c r="P1373" s="717"/>
      <c r="Q1373" s="718"/>
      <c r="R1373" s="719"/>
      <c r="S1373" s="720"/>
      <c r="T1373" s="721"/>
      <c r="U1373" s="722"/>
      <c r="V1373" s="723"/>
      <c r="W1373" s="724"/>
      <c r="X1373" s="725" t="s">
        <v>159</v>
      </c>
      <c r="Y1373" s="725"/>
      <c r="Z1373" s="725"/>
      <c r="AA1373" s="725"/>
      <c r="AB1373" s="726" t="s">
        <v>159</v>
      </c>
      <c r="AC1373" s="726"/>
      <c r="AD1373" s="726"/>
      <c r="AE1373" s="726"/>
      <c r="AF1373" s="727"/>
      <c r="AG1373" s="728"/>
      <c r="AH1373" s="727"/>
      <c r="AI1373" s="728"/>
      <c r="AJ1373" s="682"/>
      <c r="AK1373" s="683"/>
      <c r="AL1373" s="664" t="s">
        <v>162</v>
      </c>
      <c r="AM1373" s="665"/>
      <c r="AN1373" s="713" t="s">
        <v>162</v>
      </c>
      <c r="AO1373" s="714"/>
      <c r="AP1373" s="729"/>
      <c r="AQ1373" s="730"/>
      <c r="AR1373" s="731"/>
      <c r="AS1373" s="732"/>
      <c r="AT1373" s="733"/>
      <c r="AU1373" s="734"/>
      <c r="AV1373" s="713" t="s">
        <v>162</v>
      </c>
      <c r="AW1373" s="714"/>
      <c r="AX1373" s="692"/>
      <c r="AY1373" s="693"/>
      <c r="AZ1373" s="694"/>
      <c r="BA1373" s="735"/>
      <c r="BB1373" s="736"/>
      <c r="BC1373" s="219"/>
      <c r="BD1373" s="737" t="s">
        <v>162</v>
      </c>
      <c r="BE1373" s="738"/>
      <c r="BF1373" s="739"/>
      <c r="BG1373" s="740"/>
      <c r="BH1373" s="740"/>
      <c r="BI1373" s="741"/>
      <c r="BJ1373" s="742" t="s">
        <v>159</v>
      </c>
      <c r="BK1373" s="743"/>
      <c r="BL1373" s="743"/>
      <c r="BM1373" s="744"/>
      <c r="BN1373" s="703" t="s">
        <v>159</v>
      </c>
      <c r="BO1373" s="704"/>
      <c r="BP1373" s="704"/>
      <c r="BQ1373" s="704"/>
      <c r="BR1373" s="704"/>
      <c r="BS1373" s="704"/>
      <c r="BT1373" s="704"/>
      <c r="BU1373" s="704"/>
      <c r="BV1373" s="705"/>
    </row>
    <row r="1374" spans="1:74" ht="45" customHeight="1" x14ac:dyDescent="0.25">
      <c r="A1374" s="10">
        <f t="shared" si="21"/>
        <v>1360</v>
      </c>
      <c r="B1374" s="662" t="s">
        <v>159</v>
      </c>
      <c r="C1374" s="662"/>
      <c r="D1374" s="663" t="s">
        <v>212</v>
      </c>
      <c r="E1374" s="663"/>
      <c r="F1374" s="664" t="s">
        <v>162</v>
      </c>
      <c r="G1374" s="665"/>
      <c r="H1374" s="754" t="s">
        <v>162</v>
      </c>
      <c r="I1374" s="714"/>
      <c r="J1374" s="715"/>
      <c r="K1374" s="716"/>
      <c r="L1374" s="715"/>
      <c r="M1374" s="716"/>
      <c r="N1374" s="215"/>
      <c r="O1374" s="196"/>
      <c r="P1374" s="670"/>
      <c r="Q1374" s="671"/>
      <c r="R1374" s="672"/>
      <c r="S1374" s="673"/>
      <c r="T1374" s="674"/>
      <c r="U1374" s="675"/>
      <c r="V1374" s="676"/>
      <c r="W1374" s="677"/>
      <c r="X1374" s="678" t="s">
        <v>159</v>
      </c>
      <c r="Y1374" s="678"/>
      <c r="Z1374" s="678"/>
      <c r="AA1374" s="678"/>
      <c r="AB1374" s="679" t="s">
        <v>159</v>
      </c>
      <c r="AC1374" s="679"/>
      <c r="AD1374" s="679"/>
      <c r="AE1374" s="679"/>
      <c r="AF1374" s="680"/>
      <c r="AG1374" s="681"/>
      <c r="AH1374" s="680"/>
      <c r="AI1374" s="681"/>
      <c r="AJ1374" s="682"/>
      <c r="AK1374" s="683"/>
      <c r="AL1374" s="684" t="s">
        <v>162</v>
      </c>
      <c r="AM1374" s="685"/>
      <c r="AN1374" s="666" t="s">
        <v>162</v>
      </c>
      <c r="AO1374" s="667"/>
      <c r="AP1374" s="686"/>
      <c r="AQ1374" s="687"/>
      <c r="AR1374" s="688"/>
      <c r="AS1374" s="689"/>
      <c r="AT1374" s="690"/>
      <c r="AU1374" s="691"/>
      <c r="AV1374" s="666" t="s">
        <v>162</v>
      </c>
      <c r="AW1374" s="667"/>
      <c r="AX1374" s="692"/>
      <c r="AY1374" s="693"/>
      <c r="AZ1374" s="694"/>
      <c r="BA1374" s="682"/>
      <c r="BB1374" s="683"/>
      <c r="BC1374" s="14"/>
      <c r="BD1374" s="695" t="s">
        <v>162</v>
      </c>
      <c r="BE1374" s="696"/>
      <c r="BF1374" s="697"/>
      <c r="BG1374" s="698"/>
      <c r="BH1374" s="698"/>
      <c r="BI1374" s="699"/>
      <c r="BJ1374" s="700" t="s">
        <v>159</v>
      </c>
      <c r="BK1374" s="701"/>
      <c r="BL1374" s="701"/>
      <c r="BM1374" s="702"/>
      <c r="BN1374" s="703" t="s">
        <v>159</v>
      </c>
      <c r="BO1374" s="704"/>
      <c r="BP1374" s="704"/>
      <c r="BQ1374" s="704"/>
      <c r="BR1374" s="704"/>
      <c r="BS1374" s="704"/>
      <c r="BT1374" s="704"/>
      <c r="BU1374" s="704"/>
      <c r="BV1374" s="705"/>
    </row>
    <row r="1375" spans="1:74" ht="45" customHeight="1" x14ac:dyDescent="0.25">
      <c r="A1375" s="10">
        <f t="shared" si="21"/>
        <v>1361</v>
      </c>
      <c r="B1375" s="711" t="s">
        <v>159</v>
      </c>
      <c r="C1375" s="711"/>
      <c r="D1375" s="712" t="s">
        <v>212</v>
      </c>
      <c r="E1375" s="712"/>
      <c r="F1375" s="664" t="s">
        <v>162</v>
      </c>
      <c r="G1375" s="665"/>
      <c r="H1375" s="755" t="s">
        <v>162</v>
      </c>
      <c r="I1375" s="667"/>
      <c r="J1375" s="706"/>
      <c r="K1375" s="707"/>
      <c r="L1375" s="706"/>
      <c r="M1375" s="707"/>
      <c r="N1375" s="194"/>
      <c r="O1375" s="216"/>
      <c r="P1375" s="717"/>
      <c r="Q1375" s="718"/>
      <c r="R1375" s="719"/>
      <c r="S1375" s="720"/>
      <c r="T1375" s="721"/>
      <c r="U1375" s="722"/>
      <c r="V1375" s="723"/>
      <c r="W1375" s="724"/>
      <c r="X1375" s="725" t="s">
        <v>159</v>
      </c>
      <c r="Y1375" s="725"/>
      <c r="Z1375" s="725"/>
      <c r="AA1375" s="725"/>
      <c r="AB1375" s="726" t="s">
        <v>159</v>
      </c>
      <c r="AC1375" s="726"/>
      <c r="AD1375" s="726"/>
      <c r="AE1375" s="726"/>
      <c r="AF1375" s="727"/>
      <c r="AG1375" s="728"/>
      <c r="AH1375" s="727"/>
      <c r="AI1375" s="728"/>
      <c r="AJ1375" s="682"/>
      <c r="AK1375" s="683"/>
      <c r="AL1375" s="664" t="s">
        <v>162</v>
      </c>
      <c r="AM1375" s="665"/>
      <c r="AN1375" s="713" t="s">
        <v>162</v>
      </c>
      <c r="AO1375" s="714"/>
      <c r="AP1375" s="729"/>
      <c r="AQ1375" s="730"/>
      <c r="AR1375" s="731"/>
      <c r="AS1375" s="732"/>
      <c r="AT1375" s="733"/>
      <c r="AU1375" s="734"/>
      <c r="AV1375" s="713" t="s">
        <v>162</v>
      </c>
      <c r="AW1375" s="714"/>
      <c r="AX1375" s="692"/>
      <c r="AY1375" s="693"/>
      <c r="AZ1375" s="694"/>
      <c r="BA1375" s="735"/>
      <c r="BB1375" s="736"/>
      <c r="BC1375" s="219"/>
      <c r="BD1375" s="737" t="s">
        <v>162</v>
      </c>
      <c r="BE1375" s="738"/>
      <c r="BF1375" s="739"/>
      <c r="BG1375" s="740"/>
      <c r="BH1375" s="740"/>
      <c r="BI1375" s="741"/>
      <c r="BJ1375" s="742" t="s">
        <v>159</v>
      </c>
      <c r="BK1375" s="743"/>
      <c r="BL1375" s="743"/>
      <c r="BM1375" s="744"/>
      <c r="BN1375" s="703" t="s">
        <v>159</v>
      </c>
      <c r="BO1375" s="704"/>
      <c r="BP1375" s="704"/>
      <c r="BQ1375" s="704"/>
      <c r="BR1375" s="704"/>
      <c r="BS1375" s="704"/>
      <c r="BT1375" s="704"/>
      <c r="BU1375" s="704"/>
      <c r="BV1375" s="705"/>
    </row>
    <row r="1376" spans="1:74" ht="45" customHeight="1" x14ac:dyDescent="0.25">
      <c r="A1376" s="10">
        <f t="shared" si="21"/>
        <v>1362</v>
      </c>
      <c r="B1376" s="662" t="s">
        <v>159</v>
      </c>
      <c r="C1376" s="662"/>
      <c r="D1376" s="663" t="s">
        <v>212</v>
      </c>
      <c r="E1376" s="663"/>
      <c r="F1376" s="664" t="s">
        <v>162</v>
      </c>
      <c r="G1376" s="665"/>
      <c r="H1376" s="754" t="s">
        <v>162</v>
      </c>
      <c r="I1376" s="714"/>
      <c r="J1376" s="715"/>
      <c r="K1376" s="716"/>
      <c r="L1376" s="715"/>
      <c r="M1376" s="716"/>
      <c r="N1376" s="215"/>
      <c r="O1376" s="196"/>
      <c r="P1376" s="670"/>
      <c r="Q1376" s="671"/>
      <c r="R1376" s="672"/>
      <c r="S1376" s="673"/>
      <c r="T1376" s="674"/>
      <c r="U1376" s="675"/>
      <c r="V1376" s="676"/>
      <c r="W1376" s="677"/>
      <c r="X1376" s="678" t="s">
        <v>159</v>
      </c>
      <c r="Y1376" s="678"/>
      <c r="Z1376" s="678"/>
      <c r="AA1376" s="678"/>
      <c r="AB1376" s="679" t="s">
        <v>159</v>
      </c>
      <c r="AC1376" s="679"/>
      <c r="AD1376" s="679"/>
      <c r="AE1376" s="679"/>
      <c r="AF1376" s="680"/>
      <c r="AG1376" s="681"/>
      <c r="AH1376" s="680"/>
      <c r="AI1376" s="681"/>
      <c r="AJ1376" s="682"/>
      <c r="AK1376" s="683"/>
      <c r="AL1376" s="684" t="s">
        <v>162</v>
      </c>
      <c r="AM1376" s="685"/>
      <c r="AN1376" s="666" t="s">
        <v>162</v>
      </c>
      <c r="AO1376" s="667"/>
      <c r="AP1376" s="686"/>
      <c r="AQ1376" s="687"/>
      <c r="AR1376" s="688"/>
      <c r="AS1376" s="689"/>
      <c r="AT1376" s="690"/>
      <c r="AU1376" s="691"/>
      <c r="AV1376" s="666" t="s">
        <v>162</v>
      </c>
      <c r="AW1376" s="667"/>
      <c r="AX1376" s="692"/>
      <c r="AY1376" s="693"/>
      <c r="AZ1376" s="694"/>
      <c r="BA1376" s="682"/>
      <c r="BB1376" s="683"/>
      <c r="BC1376" s="14"/>
      <c r="BD1376" s="695" t="s">
        <v>162</v>
      </c>
      <c r="BE1376" s="696"/>
      <c r="BF1376" s="708"/>
      <c r="BG1376" s="709"/>
      <c r="BH1376" s="709"/>
      <c r="BI1376" s="710"/>
      <c r="BJ1376" s="700" t="s">
        <v>159</v>
      </c>
      <c r="BK1376" s="701"/>
      <c r="BL1376" s="701"/>
      <c r="BM1376" s="702"/>
      <c r="BN1376" s="703" t="s">
        <v>159</v>
      </c>
      <c r="BO1376" s="704"/>
      <c r="BP1376" s="704"/>
      <c r="BQ1376" s="704"/>
      <c r="BR1376" s="704"/>
      <c r="BS1376" s="704"/>
      <c r="BT1376" s="704"/>
      <c r="BU1376" s="704"/>
      <c r="BV1376" s="705"/>
    </row>
    <row r="1377" spans="1:74" ht="45" customHeight="1" x14ac:dyDescent="0.25">
      <c r="A1377" s="10">
        <f t="shared" si="21"/>
        <v>1363</v>
      </c>
      <c r="B1377" s="711" t="s">
        <v>159</v>
      </c>
      <c r="C1377" s="711"/>
      <c r="D1377" s="712" t="s">
        <v>212</v>
      </c>
      <c r="E1377" s="712"/>
      <c r="F1377" s="664" t="s">
        <v>162</v>
      </c>
      <c r="G1377" s="665"/>
      <c r="H1377" s="755" t="s">
        <v>162</v>
      </c>
      <c r="I1377" s="667"/>
      <c r="J1377" s="706"/>
      <c r="K1377" s="707"/>
      <c r="L1377" s="706"/>
      <c r="M1377" s="707"/>
      <c r="N1377" s="194"/>
      <c r="O1377" s="216"/>
      <c r="P1377" s="717"/>
      <c r="Q1377" s="718"/>
      <c r="R1377" s="719"/>
      <c r="S1377" s="720"/>
      <c r="T1377" s="721"/>
      <c r="U1377" s="722"/>
      <c r="V1377" s="723"/>
      <c r="W1377" s="724"/>
      <c r="X1377" s="725" t="s">
        <v>159</v>
      </c>
      <c r="Y1377" s="725"/>
      <c r="Z1377" s="725"/>
      <c r="AA1377" s="725"/>
      <c r="AB1377" s="726" t="s">
        <v>159</v>
      </c>
      <c r="AC1377" s="726"/>
      <c r="AD1377" s="726"/>
      <c r="AE1377" s="726"/>
      <c r="AF1377" s="727"/>
      <c r="AG1377" s="728"/>
      <c r="AH1377" s="727"/>
      <c r="AI1377" s="728"/>
      <c r="AJ1377" s="682"/>
      <c r="AK1377" s="683"/>
      <c r="AL1377" s="664" t="s">
        <v>162</v>
      </c>
      <c r="AM1377" s="665"/>
      <c r="AN1377" s="713" t="s">
        <v>162</v>
      </c>
      <c r="AO1377" s="714"/>
      <c r="AP1377" s="729"/>
      <c r="AQ1377" s="730"/>
      <c r="AR1377" s="731"/>
      <c r="AS1377" s="732"/>
      <c r="AT1377" s="733"/>
      <c r="AU1377" s="734"/>
      <c r="AV1377" s="713" t="s">
        <v>162</v>
      </c>
      <c r="AW1377" s="714"/>
      <c r="AX1377" s="692"/>
      <c r="AY1377" s="693"/>
      <c r="AZ1377" s="694"/>
      <c r="BA1377" s="735"/>
      <c r="BB1377" s="736"/>
      <c r="BC1377" s="219"/>
      <c r="BD1377" s="737" t="s">
        <v>162</v>
      </c>
      <c r="BE1377" s="738"/>
      <c r="BF1377" s="739"/>
      <c r="BG1377" s="740"/>
      <c r="BH1377" s="740"/>
      <c r="BI1377" s="741"/>
      <c r="BJ1377" s="742" t="s">
        <v>159</v>
      </c>
      <c r="BK1377" s="743"/>
      <c r="BL1377" s="743"/>
      <c r="BM1377" s="744"/>
      <c r="BN1377" s="703" t="s">
        <v>159</v>
      </c>
      <c r="BO1377" s="704"/>
      <c r="BP1377" s="704"/>
      <c r="BQ1377" s="704"/>
      <c r="BR1377" s="704"/>
      <c r="BS1377" s="704"/>
      <c r="BT1377" s="704"/>
      <c r="BU1377" s="704"/>
      <c r="BV1377" s="705"/>
    </row>
    <row r="1378" spans="1:74" ht="45" customHeight="1" x14ac:dyDescent="0.25">
      <c r="A1378" s="10">
        <f t="shared" si="21"/>
        <v>1364</v>
      </c>
      <c r="B1378" s="662" t="s">
        <v>159</v>
      </c>
      <c r="C1378" s="662"/>
      <c r="D1378" s="663" t="s">
        <v>212</v>
      </c>
      <c r="E1378" s="663"/>
      <c r="F1378" s="664" t="s">
        <v>162</v>
      </c>
      <c r="G1378" s="665"/>
      <c r="H1378" s="754" t="s">
        <v>162</v>
      </c>
      <c r="I1378" s="714"/>
      <c r="J1378" s="715"/>
      <c r="K1378" s="716"/>
      <c r="L1378" s="715"/>
      <c r="M1378" s="716"/>
      <c r="N1378" s="215"/>
      <c r="O1378" s="196"/>
      <c r="P1378" s="670"/>
      <c r="Q1378" s="671"/>
      <c r="R1378" s="672"/>
      <c r="S1378" s="673"/>
      <c r="T1378" s="674"/>
      <c r="U1378" s="675"/>
      <c r="V1378" s="676"/>
      <c r="W1378" s="677"/>
      <c r="X1378" s="678" t="s">
        <v>159</v>
      </c>
      <c r="Y1378" s="678"/>
      <c r="Z1378" s="678"/>
      <c r="AA1378" s="678"/>
      <c r="AB1378" s="679" t="s">
        <v>159</v>
      </c>
      <c r="AC1378" s="679"/>
      <c r="AD1378" s="679"/>
      <c r="AE1378" s="679"/>
      <c r="AF1378" s="680"/>
      <c r="AG1378" s="681"/>
      <c r="AH1378" s="680"/>
      <c r="AI1378" s="681"/>
      <c r="AJ1378" s="682"/>
      <c r="AK1378" s="683"/>
      <c r="AL1378" s="684" t="s">
        <v>162</v>
      </c>
      <c r="AM1378" s="685"/>
      <c r="AN1378" s="666" t="s">
        <v>162</v>
      </c>
      <c r="AO1378" s="667"/>
      <c r="AP1378" s="686"/>
      <c r="AQ1378" s="687"/>
      <c r="AR1378" s="688"/>
      <c r="AS1378" s="689"/>
      <c r="AT1378" s="690"/>
      <c r="AU1378" s="691"/>
      <c r="AV1378" s="666" t="s">
        <v>162</v>
      </c>
      <c r="AW1378" s="667"/>
      <c r="AX1378" s="692"/>
      <c r="AY1378" s="693"/>
      <c r="AZ1378" s="694"/>
      <c r="BA1378" s="682"/>
      <c r="BB1378" s="683"/>
      <c r="BC1378" s="14"/>
      <c r="BD1378" s="695" t="s">
        <v>162</v>
      </c>
      <c r="BE1378" s="696"/>
      <c r="BF1378" s="697"/>
      <c r="BG1378" s="698"/>
      <c r="BH1378" s="698"/>
      <c r="BI1378" s="699"/>
      <c r="BJ1378" s="700" t="s">
        <v>159</v>
      </c>
      <c r="BK1378" s="701"/>
      <c r="BL1378" s="701"/>
      <c r="BM1378" s="702"/>
      <c r="BN1378" s="703" t="s">
        <v>159</v>
      </c>
      <c r="BO1378" s="704"/>
      <c r="BP1378" s="704"/>
      <c r="BQ1378" s="704"/>
      <c r="BR1378" s="704"/>
      <c r="BS1378" s="704"/>
      <c r="BT1378" s="704"/>
      <c r="BU1378" s="704"/>
      <c r="BV1378" s="705"/>
    </row>
    <row r="1379" spans="1:74" ht="45" customHeight="1" x14ac:dyDescent="0.25">
      <c r="A1379" s="10">
        <f t="shared" si="21"/>
        <v>1365</v>
      </c>
      <c r="B1379" s="711" t="s">
        <v>159</v>
      </c>
      <c r="C1379" s="711"/>
      <c r="D1379" s="712" t="s">
        <v>212</v>
      </c>
      <c r="E1379" s="712"/>
      <c r="F1379" s="664" t="s">
        <v>162</v>
      </c>
      <c r="G1379" s="665"/>
      <c r="H1379" s="755" t="s">
        <v>162</v>
      </c>
      <c r="I1379" s="667"/>
      <c r="J1379" s="706"/>
      <c r="K1379" s="707"/>
      <c r="L1379" s="706"/>
      <c r="M1379" s="707"/>
      <c r="N1379" s="215"/>
      <c r="O1379" s="216"/>
      <c r="P1379" s="670"/>
      <c r="Q1379" s="671"/>
      <c r="R1379" s="719"/>
      <c r="S1379" s="720"/>
      <c r="T1379" s="721"/>
      <c r="U1379" s="722"/>
      <c r="V1379" s="723"/>
      <c r="W1379" s="724"/>
      <c r="X1379" s="725" t="s">
        <v>159</v>
      </c>
      <c r="Y1379" s="725"/>
      <c r="Z1379" s="725"/>
      <c r="AA1379" s="725"/>
      <c r="AB1379" s="726" t="s">
        <v>159</v>
      </c>
      <c r="AC1379" s="726"/>
      <c r="AD1379" s="726"/>
      <c r="AE1379" s="726"/>
      <c r="AF1379" s="727"/>
      <c r="AG1379" s="728"/>
      <c r="AH1379" s="727"/>
      <c r="AI1379" s="728"/>
      <c r="AJ1379" s="682"/>
      <c r="AK1379" s="683"/>
      <c r="AL1379" s="664" t="s">
        <v>162</v>
      </c>
      <c r="AM1379" s="665"/>
      <c r="AN1379" s="713" t="s">
        <v>162</v>
      </c>
      <c r="AO1379" s="714"/>
      <c r="AP1379" s="729"/>
      <c r="AQ1379" s="730"/>
      <c r="AR1379" s="731"/>
      <c r="AS1379" s="732"/>
      <c r="AT1379" s="690"/>
      <c r="AU1379" s="691"/>
      <c r="AV1379" s="713" t="s">
        <v>162</v>
      </c>
      <c r="AW1379" s="714"/>
      <c r="AX1379" s="692"/>
      <c r="AY1379" s="693"/>
      <c r="AZ1379" s="694"/>
      <c r="BA1379" s="735"/>
      <c r="BB1379" s="736"/>
      <c r="BC1379" s="219"/>
      <c r="BD1379" s="737" t="s">
        <v>162</v>
      </c>
      <c r="BE1379" s="738"/>
      <c r="BF1379" s="739"/>
      <c r="BG1379" s="740"/>
      <c r="BH1379" s="740"/>
      <c r="BI1379" s="741"/>
      <c r="BJ1379" s="742" t="s">
        <v>159</v>
      </c>
      <c r="BK1379" s="743"/>
      <c r="BL1379" s="743"/>
      <c r="BM1379" s="744"/>
      <c r="BN1379" s="703" t="s">
        <v>159</v>
      </c>
      <c r="BO1379" s="704"/>
      <c r="BP1379" s="704"/>
      <c r="BQ1379" s="704"/>
      <c r="BR1379" s="704"/>
      <c r="BS1379" s="704"/>
      <c r="BT1379" s="704"/>
      <c r="BU1379" s="704"/>
      <c r="BV1379" s="705"/>
    </row>
    <row r="1380" spans="1:74" ht="45" customHeight="1" x14ac:dyDescent="0.25">
      <c r="A1380" s="10">
        <f t="shared" si="21"/>
        <v>1366</v>
      </c>
      <c r="B1380" s="662" t="s">
        <v>159</v>
      </c>
      <c r="C1380" s="662"/>
      <c r="D1380" s="663" t="s">
        <v>212</v>
      </c>
      <c r="E1380" s="663"/>
      <c r="F1380" s="664" t="s">
        <v>162</v>
      </c>
      <c r="G1380" s="665"/>
      <c r="H1380" s="754" t="s">
        <v>162</v>
      </c>
      <c r="I1380" s="714"/>
      <c r="J1380" s="715"/>
      <c r="K1380" s="716"/>
      <c r="L1380" s="715"/>
      <c r="M1380" s="716"/>
      <c r="N1380" s="194"/>
      <c r="O1380" s="196"/>
      <c r="P1380" s="717"/>
      <c r="Q1380" s="718"/>
      <c r="R1380" s="672"/>
      <c r="S1380" s="673"/>
      <c r="T1380" s="674"/>
      <c r="U1380" s="675"/>
      <c r="V1380" s="676"/>
      <c r="W1380" s="677"/>
      <c r="X1380" s="678" t="s">
        <v>159</v>
      </c>
      <c r="Y1380" s="678"/>
      <c r="Z1380" s="678"/>
      <c r="AA1380" s="678"/>
      <c r="AB1380" s="679" t="s">
        <v>159</v>
      </c>
      <c r="AC1380" s="679"/>
      <c r="AD1380" s="679"/>
      <c r="AE1380" s="679"/>
      <c r="AF1380" s="680"/>
      <c r="AG1380" s="681"/>
      <c r="AH1380" s="680"/>
      <c r="AI1380" s="681"/>
      <c r="AJ1380" s="682"/>
      <c r="AK1380" s="683"/>
      <c r="AL1380" s="684" t="s">
        <v>162</v>
      </c>
      <c r="AM1380" s="685"/>
      <c r="AN1380" s="666" t="s">
        <v>162</v>
      </c>
      <c r="AO1380" s="667"/>
      <c r="AP1380" s="686"/>
      <c r="AQ1380" s="687"/>
      <c r="AR1380" s="688"/>
      <c r="AS1380" s="689"/>
      <c r="AT1380" s="690"/>
      <c r="AU1380" s="691"/>
      <c r="AV1380" s="666" t="s">
        <v>162</v>
      </c>
      <c r="AW1380" s="667"/>
      <c r="AX1380" s="692"/>
      <c r="AY1380" s="693"/>
      <c r="AZ1380" s="694"/>
      <c r="BA1380" s="682"/>
      <c r="BB1380" s="683"/>
      <c r="BC1380" s="14"/>
      <c r="BD1380" s="695" t="s">
        <v>162</v>
      </c>
      <c r="BE1380" s="696"/>
      <c r="BF1380" s="697"/>
      <c r="BG1380" s="698"/>
      <c r="BH1380" s="698"/>
      <c r="BI1380" s="699"/>
      <c r="BJ1380" s="700" t="s">
        <v>159</v>
      </c>
      <c r="BK1380" s="701"/>
      <c r="BL1380" s="701"/>
      <c r="BM1380" s="702"/>
      <c r="BN1380" s="703" t="s">
        <v>159</v>
      </c>
      <c r="BO1380" s="704"/>
      <c r="BP1380" s="704"/>
      <c r="BQ1380" s="704"/>
      <c r="BR1380" s="704"/>
      <c r="BS1380" s="704"/>
      <c r="BT1380" s="704"/>
      <c r="BU1380" s="704"/>
      <c r="BV1380" s="705"/>
    </row>
    <row r="1381" spans="1:74" ht="45" customHeight="1" x14ac:dyDescent="0.25">
      <c r="A1381" s="10">
        <f t="shared" si="21"/>
        <v>1367</v>
      </c>
      <c r="B1381" s="711" t="s">
        <v>159</v>
      </c>
      <c r="C1381" s="711"/>
      <c r="D1381" s="712" t="s">
        <v>212</v>
      </c>
      <c r="E1381" s="712"/>
      <c r="F1381" s="664" t="s">
        <v>162</v>
      </c>
      <c r="G1381" s="665"/>
      <c r="H1381" s="755" t="s">
        <v>162</v>
      </c>
      <c r="I1381" s="667"/>
      <c r="J1381" s="706"/>
      <c r="K1381" s="707"/>
      <c r="L1381" s="706"/>
      <c r="M1381" s="707"/>
      <c r="N1381" s="215"/>
      <c r="O1381" s="216"/>
      <c r="P1381" s="670"/>
      <c r="Q1381" s="671"/>
      <c r="R1381" s="719"/>
      <c r="S1381" s="720"/>
      <c r="T1381" s="721"/>
      <c r="U1381" s="722"/>
      <c r="V1381" s="723"/>
      <c r="W1381" s="724"/>
      <c r="X1381" s="725" t="s">
        <v>159</v>
      </c>
      <c r="Y1381" s="725"/>
      <c r="Z1381" s="725"/>
      <c r="AA1381" s="725"/>
      <c r="AB1381" s="726" t="s">
        <v>159</v>
      </c>
      <c r="AC1381" s="726"/>
      <c r="AD1381" s="726"/>
      <c r="AE1381" s="726"/>
      <c r="AF1381" s="727"/>
      <c r="AG1381" s="728"/>
      <c r="AH1381" s="727"/>
      <c r="AI1381" s="728"/>
      <c r="AJ1381" s="682"/>
      <c r="AK1381" s="683"/>
      <c r="AL1381" s="664" t="s">
        <v>162</v>
      </c>
      <c r="AM1381" s="665"/>
      <c r="AN1381" s="713" t="s">
        <v>162</v>
      </c>
      <c r="AO1381" s="714"/>
      <c r="AP1381" s="729"/>
      <c r="AQ1381" s="730"/>
      <c r="AR1381" s="731"/>
      <c r="AS1381" s="732"/>
      <c r="AT1381" s="690"/>
      <c r="AU1381" s="691"/>
      <c r="AV1381" s="713" t="s">
        <v>162</v>
      </c>
      <c r="AW1381" s="714"/>
      <c r="AX1381" s="692"/>
      <c r="AY1381" s="693"/>
      <c r="AZ1381" s="694"/>
      <c r="BA1381" s="735"/>
      <c r="BB1381" s="736"/>
      <c r="BC1381" s="219"/>
      <c r="BD1381" s="737" t="s">
        <v>162</v>
      </c>
      <c r="BE1381" s="738"/>
      <c r="BF1381" s="739"/>
      <c r="BG1381" s="740"/>
      <c r="BH1381" s="740"/>
      <c r="BI1381" s="741"/>
      <c r="BJ1381" s="742" t="s">
        <v>159</v>
      </c>
      <c r="BK1381" s="743"/>
      <c r="BL1381" s="743"/>
      <c r="BM1381" s="744"/>
      <c r="BN1381" s="703" t="s">
        <v>159</v>
      </c>
      <c r="BO1381" s="704"/>
      <c r="BP1381" s="704"/>
      <c r="BQ1381" s="704"/>
      <c r="BR1381" s="704"/>
      <c r="BS1381" s="704"/>
      <c r="BT1381" s="704"/>
      <c r="BU1381" s="704"/>
      <c r="BV1381" s="705"/>
    </row>
    <row r="1382" spans="1:74" ht="45" customHeight="1" x14ac:dyDescent="0.25">
      <c r="A1382" s="10">
        <f t="shared" si="21"/>
        <v>1368</v>
      </c>
      <c r="B1382" s="662" t="s">
        <v>159</v>
      </c>
      <c r="C1382" s="662"/>
      <c r="D1382" s="663" t="s">
        <v>212</v>
      </c>
      <c r="E1382" s="663"/>
      <c r="F1382" s="664" t="s">
        <v>162</v>
      </c>
      <c r="G1382" s="665"/>
      <c r="H1382" s="754" t="s">
        <v>162</v>
      </c>
      <c r="I1382" s="714"/>
      <c r="J1382" s="715"/>
      <c r="K1382" s="716"/>
      <c r="L1382" s="715"/>
      <c r="M1382" s="716"/>
      <c r="N1382" s="194"/>
      <c r="O1382" s="196"/>
      <c r="P1382" s="717"/>
      <c r="Q1382" s="718"/>
      <c r="R1382" s="672"/>
      <c r="S1382" s="673"/>
      <c r="T1382" s="674"/>
      <c r="U1382" s="675"/>
      <c r="V1382" s="676"/>
      <c r="W1382" s="677"/>
      <c r="X1382" s="678" t="s">
        <v>159</v>
      </c>
      <c r="Y1382" s="678"/>
      <c r="Z1382" s="678"/>
      <c r="AA1382" s="678"/>
      <c r="AB1382" s="679" t="s">
        <v>159</v>
      </c>
      <c r="AC1382" s="679"/>
      <c r="AD1382" s="679"/>
      <c r="AE1382" s="679"/>
      <c r="AF1382" s="680"/>
      <c r="AG1382" s="681"/>
      <c r="AH1382" s="680"/>
      <c r="AI1382" s="681"/>
      <c r="AJ1382" s="682"/>
      <c r="AK1382" s="683"/>
      <c r="AL1382" s="684" t="s">
        <v>162</v>
      </c>
      <c r="AM1382" s="685"/>
      <c r="AN1382" s="666" t="s">
        <v>162</v>
      </c>
      <c r="AO1382" s="667"/>
      <c r="AP1382" s="686"/>
      <c r="AQ1382" s="687"/>
      <c r="AR1382" s="688"/>
      <c r="AS1382" s="689"/>
      <c r="AT1382" s="690"/>
      <c r="AU1382" s="691"/>
      <c r="AV1382" s="666" t="s">
        <v>162</v>
      </c>
      <c r="AW1382" s="667"/>
      <c r="AX1382" s="692"/>
      <c r="AY1382" s="693"/>
      <c r="AZ1382" s="694"/>
      <c r="BA1382" s="682"/>
      <c r="BB1382" s="683"/>
      <c r="BC1382" s="14"/>
      <c r="BD1382" s="695" t="s">
        <v>162</v>
      </c>
      <c r="BE1382" s="696"/>
      <c r="BF1382" s="697"/>
      <c r="BG1382" s="698"/>
      <c r="BH1382" s="698"/>
      <c r="BI1382" s="699"/>
      <c r="BJ1382" s="700" t="s">
        <v>159</v>
      </c>
      <c r="BK1382" s="701"/>
      <c r="BL1382" s="701"/>
      <c r="BM1382" s="702"/>
      <c r="BN1382" s="703" t="s">
        <v>159</v>
      </c>
      <c r="BO1382" s="704"/>
      <c r="BP1382" s="704"/>
      <c r="BQ1382" s="704"/>
      <c r="BR1382" s="704"/>
      <c r="BS1382" s="704"/>
      <c r="BT1382" s="704"/>
      <c r="BU1382" s="704"/>
      <c r="BV1382" s="705"/>
    </row>
    <row r="1383" spans="1:74" ht="45" customHeight="1" x14ac:dyDescent="0.25">
      <c r="A1383" s="10">
        <f t="shared" si="21"/>
        <v>1369</v>
      </c>
      <c r="B1383" s="711" t="s">
        <v>159</v>
      </c>
      <c r="C1383" s="711"/>
      <c r="D1383" s="712" t="s">
        <v>212</v>
      </c>
      <c r="E1383" s="712"/>
      <c r="F1383" s="664" t="s">
        <v>162</v>
      </c>
      <c r="G1383" s="665"/>
      <c r="H1383" s="755" t="s">
        <v>162</v>
      </c>
      <c r="I1383" s="667"/>
      <c r="J1383" s="706"/>
      <c r="K1383" s="707"/>
      <c r="L1383" s="706"/>
      <c r="M1383" s="707"/>
      <c r="N1383" s="215"/>
      <c r="O1383" s="216"/>
      <c r="P1383" s="670"/>
      <c r="Q1383" s="671"/>
      <c r="R1383" s="719"/>
      <c r="S1383" s="720"/>
      <c r="T1383" s="721"/>
      <c r="U1383" s="722"/>
      <c r="V1383" s="723"/>
      <c r="W1383" s="724"/>
      <c r="X1383" s="725" t="s">
        <v>159</v>
      </c>
      <c r="Y1383" s="725"/>
      <c r="Z1383" s="725"/>
      <c r="AA1383" s="725"/>
      <c r="AB1383" s="726" t="s">
        <v>159</v>
      </c>
      <c r="AC1383" s="726"/>
      <c r="AD1383" s="726"/>
      <c r="AE1383" s="726"/>
      <c r="AF1383" s="727"/>
      <c r="AG1383" s="728"/>
      <c r="AH1383" s="727"/>
      <c r="AI1383" s="728"/>
      <c r="AJ1383" s="682"/>
      <c r="AK1383" s="683"/>
      <c r="AL1383" s="664" t="s">
        <v>162</v>
      </c>
      <c r="AM1383" s="665"/>
      <c r="AN1383" s="713" t="s">
        <v>162</v>
      </c>
      <c r="AO1383" s="714"/>
      <c r="AP1383" s="729"/>
      <c r="AQ1383" s="730"/>
      <c r="AR1383" s="731"/>
      <c r="AS1383" s="732"/>
      <c r="AT1383" s="733"/>
      <c r="AU1383" s="734"/>
      <c r="AV1383" s="713" t="s">
        <v>162</v>
      </c>
      <c r="AW1383" s="714"/>
      <c r="AX1383" s="692"/>
      <c r="AY1383" s="693"/>
      <c r="AZ1383" s="694"/>
      <c r="BA1383" s="735"/>
      <c r="BB1383" s="736"/>
      <c r="BC1383" s="219"/>
      <c r="BD1383" s="737" t="s">
        <v>162</v>
      </c>
      <c r="BE1383" s="738"/>
      <c r="BF1383" s="739"/>
      <c r="BG1383" s="740"/>
      <c r="BH1383" s="740"/>
      <c r="BI1383" s="741"/>
      <c r="BJ1383" s="742" t="s">
        <v>159</v>
      </c>
      <c r="BK1383" s="743"/>
      <c r="BL1383" s="743"/>
      <c r="BM1383" s="744"/>
      <c r="BN1383" s="703" t="s">
        <v>159</v>
      </c>
      <c r="BO1383" s="704"/>
      <c r="BP1383" s="704"/>
      <c r="BQ1383" s="704"/>
      <c r="BR1383" s="704"/>
      <c r="BS1383" s="704"/>
      <c r="BT1383" s="704"/>
      <c r="BU1383" s="704"/>
      <c r="BV1383" s="705"/>
    </row>
    <row r="1384" spans="1:74" ht="45" customHeight="1" x14ac:dyDescent="0.25">
      <c r="A1384" s="10">
        <f t="shared" si="21"/>
        <v>1370</v>
      </c>
      <c r="B1384" s="662" t="s">
        <v>159</v>
      </c>
      <c r="C1384" s="662"/>
      <c r="D1384" s="663" t="s">
        <v>212</v>
      </c>
      <c r="E1384" s="663"/>
      <c r="F1384" s="664" t="s">
        <v>162</v>
      </c>
      <c r="G1384" s="665"/>
      <c r="H1384" s="754" t="s">
        <v>162</v>
      </c>
      <c r="I1384" s="714"/>
      <c r="J1384" s="715"/>
      <c r="K1384" s="716"/>
      <c r="L1384" s="715"/>
      <c r="M1384" s="716"/>
      <c r="N1384" s="194"/>
      <c r="O1384" s="196"/>
      <c r="P1384" s="717"/>
      <c r="Q1384" s="718"/>
      <c r="R1384" s="672"/>
      <c r="S1384" s="673"/>
      <c r="T1384" s="674"/>
      <c r="U1384" s="675"/>
      <c r="V1384" s="676"/>
      <c r="W1384" s="677"/>
      <c r="X1384" s="678" t="s">
        <v>159</v>
      </c>
      <c r="Y1384" s="678"/>
      <c r="Z1384" s="678"/>
      <c r="AA1384" s="678"/>
      <c r="AB1384" s="679" t="s">
        <v>159</v>
      </c>
      <c r="AC1384" s="679"/>
      <c r="AD1384" s="679"/>
      <c r="AE1384" s="679"/>
      <c r="AF1384" s="680"/>
      <c r="AG1384" s="681"/>
      <c r="AH1384" s="680"/>
      <c r="AI1384" s="681"/>
      <c r="AJ1384" s="682"/>
      <c r="AK1384" s="683"/>
      <c r="AL1384" s="684" t="s">
        <v>162</v>
      </c>
      <c r="AM1384" s="685"/>
      <c r="AN1384" s="666" t="s">
        <v>162</v>
      </c>
      <c r="AO1384" s="667"/>
      <c r="AP1384" s="686"/>
      <c r="AQ1384" s="687"/>
      <c r="AR1384" s="688"/>
      <c r="AS1384" s="689"/>
      <c r="AT1384" s="690"/>
      <c r="AU1384" s="691"/>
      <c r="AV1384" s="666" t="s">
        <v>162</v>
      </c>
      <c r="AW1384" s="667"/>
      <c r="AX1384" s="692"/>
      <c r="AY1384" s="693"/>
      <c r="AZ1384" s="694"/>
      <c r="BA1384" s="682"/>
      <c r="BB1384" s="683"/>
      <c r="BC1384" s="14"/>
      <c r="BD1384" s="695" t="s">
        <v>162</v>
      </c>
      <c r="BE1384" s="696"/>
      <c r="BF1384" s="708"/>
      <c r="BG1384" s="709"/>
      <c r="BH1384" s="709"/>
      <c r="BI1384" s="710"/>
      <c r="BJ1384" s="700" t="s">
        <v>159</v>
      </c>
      <c r="BK1384" s="701"/>
      <c r="BL1384" s="701"/>
      <c r="BM1384" s="702"/>
      <c r="BN1384" s="703" t="s">
        <v>159</v>
      </c>
      <c r="BO1384" s="704"/>
      <c r="BP1384" s="704"/>
      <c r="BQ1384" s="704"/>
      <c r="BR1384" s="704"/>
      <c r="BS1384" s="704"/>
      <c r="BT1384" s="704"/>
      <c r="BU1384" s="704"/>
      <c r="BV1384" s="705"/>
    </row>
    <row r="1385" spans="1:74" ht="45" customHeight="1" x14ac:dyDescent="0.25">
      <c r="A1385" s="10">
        <f t="shared" si="21"/>
        <v>1371</v>
      </c>
      <c r="B1385" s="711" t="s">
        <v>159</v>
      </c>
      <c r="C1385" s="711"/>
      <c r="D1385" s="712" t="s">
        <v>212</v>
      </c>
      <c r="E1385" s="712"/>
      <c r="F1385" s="664" t="s">
        <v>162</v>
      </c>
      <c r="G1385" s="665"/>
      <c r="H1385" s="755" t="s">
        <v>162</v>
      </c>
      <c r="I1385" s="667"/>
      <c r="J1385" s="706"/>
      <c r="K1385" s="707"/>
      <c r="L1385" s="706"/>
      <c r="M1385" s="707"/>
      <c r="N1385" s="215"/>
      <c r="O1385" s="216"/>
      <c r="P1385" s="670"/>
      <c r="Q1385" s="671"/>
      <c r="R1385" s="719"/>
      <c r="S1385" s="720"/>
      <c r="T1385" s="721"/>
      <c r="U1385" s="722"/>
      <c r="V1385" s="723"/>
      <c r="W1385" s="724"/>
      <c r="X1385" s="725" t="s">
        <v>159</v>
      </c>
      <c r="Y1385" s="725"/>
      <c r="Z1385" s="725"/>
      <c r="AA1385" s="725"/>
      <c r="AB1385" s="726" t="s">
        <v>159</v>
      </c>
      <c r="AC1385" s="726"/>
      <c r="AD1385" s="726"/>
      <c r="AE1385" s="726"/>
      <c r="AF1385" s="727"/>
      <c r="AG1385" s="728"/>
      <c r="AH1385" s="727"/>
      <c r="AI1385" s="728"/>
      <c r="AJ1385" s="682"/>
      <c r="AK1385" s="683"/>
      <c r="AL1385" s="664" t="s">
        <v>162</v>
      </c>
      <c r="AM1385" s="665"/>
      <c r="AN1385" s="713" t="s">
        <v>162</v>
      </c>
      <c r="AO1385" s="714"/>
      <c r="AP1385" s="729"/>
      <c r="AQ1385" s="730"/>
      <c r="AR1385" s="731"/>
      <c r="AS1385" s="732"/>
      <c r="AT1385" s="733"/>
      <c r="AU1385" s="734"/>
      <c r="AV1385" s="713" t="s">
        <v>162</v>
      </c>
      <c r="AW1385" s="714"/>
      <c r="AX1385" s="692"/>
      <c r="AY1385" s="693"/>
      <c r="AZ1385" s="694"/>
      <c r="BA1385" s="735"/>
      <c r="BB1385" s="736"/>
      <c r="BC1385" s="219"/>
      <c r="BD1385" s="737" t="s">
        <v>162</v>
      </c>
      <c r="BE1385" s="738"/>
      <c r="BF1385" s="739"/>
      <c r="BG1385" s="740"/>
      <c r="BH1385" s="740"/>
      <c r="BI1385" s="741"/>
      <c r="BJ1385" s="742" t="s">
        <v>159</v>
      </c>
      <c r="BK1385" s="743"/>
      <c r="BL1385" s="743"/>
      <c r="BM1385" s="744"/>
      <c r="BN1385" s="703" t="s">
        <v>159</v>
      </c>
      <c r="BO1385" s="704"/>
      <c r="BP1385" s="704"/>
      <c r="BQ1385" s="704"/>
      <c r="BR1385" s="704"/>
      <c r="BS1385" s="704"/>
      <c r="BT1385" s="704"/>
      <c r="BU1385" s="704"/>
      <c r="BV1385" s="705"/>
    </row>
    <row r="1386" spans="1:74" ht="45" customHeight="1" x14ac:dyDescent="0.25">
      <c r="A1386" s="10">
        <f t="shared" si="21"/>
        <v>1372</v>
      </c>
      <c r="B1386" s="662" t="s">
        <v>159</v>
      </c>
      <c r="C1386" s="662"/>
      <c r="D1386" s="663" t="s">
        <v>212</v>
      </c>
      <c r="E1386" s="663"/>
      <c r="F1386" s="664" t="s">
        <v>162</v>
      </c>
      <c r="G1386" s="665"/>
      <c r="H1386" s="754" t="s">
        <v>162</v>
      </c>
      <c r="I1386" s="714"/>
      <c r="J1386" s="715"/>
      <c r="K1386" s="716"/>
      <c r="L1386" s="715"/>
      <c r="M1386" s="716"/>
      <c r="N1386" s="194"/>
      <c r="O1386" s="196"/>
      <c r="P1386" s="717"/>
      <c r="Q1386" s="718"/>
      <c r="R1386" s="672"/>
      <c r="S1386" s="673"/>
      <c r="T1386" s="674"/>
      <c r="U1386" s="675"/>
      <c r="V1386" s="676"/>
      <c r="W1386" s="677"/>
      <c r="X1386" s="678" t="s">
        <v>159</v>
      </c>
      <c r="Y1386" s="678"/>
      <c r="Z1386" s="678"/>
      <c r="AA1386" s="678"/>
      <c r="AB1386" s="679" t="s">
        <v>159</v>
      </c>
      <c r="AC1386" s="679"/>
      <c r="AD1386" s="679"/>
      <c r="AE1386" s="679"/>
      <c r="AF1386" s="680"/>
      <c r="AG1386" s="681"/>
      <c r="AH1386" s="680"/>
      <c r="AI1386" s="681"/>
      <c r="AJ1386" s="682"/>
      <c r="AK1386" s="683"/>
      <c r="AL1386" s="684" t="s">
        <v>162</v>
      </c>
      <c r="AM1386" s="685"/>
      <c r="AN1386" s="666" t="s">
        <v>162</v>
      </c>
      <c r="AO1386" s="667"/>
      <c r="AP1386" s="686"/>
      <c r="AQ1386" s="687"/>
      <c r="AR1386" s="688"/>
      <c r="AS1386" s="689"/>
      <c r="AT1386" s="690"/>
      <c r="AU1386" s="691"/>
      <c r="AV1386" s="666" t="s">
        <v>162</v>
      </c>
      <c r="AW1386" s="667"/>
      <c r="AX1386" s="692"/>
      <c r="AY1386" s="693"/>
      <c r="AZ1386" s="694"/>
      <c r="BA1386" s="682"/>
      <c r="BB1386" s="683"/>
      <c r="BC1386" s="14"/>
      <c r="BD1386" s="695" t="s">
        <v>162</v>
      </c>
      <c r="BE1386" s="696"/>
      <c r="BF1386" s="697"/>
      <c r="BG1386" s="698"/>
      <c r="BH1386" s="698"/>
      <c r="BI1386" s="699"/>
      <c r="BJ1386" s="700" t="s">
        <v>159</v>
      </c>
      <c r="BK1386" s="701"/>
      <c r="BL1386" s="701"/>
      <c r="BM1386" s="702"/>
      <c r="BN1386" s="703" t="s">
        <v>159</v>
      </c>
      <c r="BO1386" s="704"/>
      <c r="BP1386" s="704"/>
      <c r="BQ1386" s="704"/>
      <c r="BR1386" s="704"/>
      <c r="BS1386" s="704"/>
      <c r="BT1386" s="704"/>
      <c r="BU1386" s="704"/>
      <c r="BV1386" s="705"/>
    </row>
    <row r="1387" spans="1:74" ht="45" customHeight="1" x14ac:dyDescent="0.25">
      <c r="A1387" s="10">
        <f t="shared" si="21"/>
        <v>1373</v>
      </c>
      <c r="B1387" s="711" t="s">
        <v>159</v>
      </c>
      <c r="C1387" s="711"/>
      <c r="D1387" s="712" t="s">
        <v>212</v>
      </c>
      <c r="E1387" s="712"/>
      <c r="F1387" s="664" t="s">
        <v>162</v>
      </c>
      <c r="G1387" s="665"/>
      <c r="H1387" s="755" t="s">
        <v>162</v>
      </c>
      <c r="I1387" s="667"/>
      <c r="J1387" s="706"/>
      <c r="K1387" s="707"/>
      <c r="L1387" s="706"/>
      <c r="M1387" s="707"/>
      <c r="N1387" s="215"/>
      <c r="O1387" s="216"/>
      <c r="P1387" s="670"/>
      <c r="Q1387" s="671"/>
      <c r="R1387" s="719"/>
      <c r="S1387" s="720"/>
      <c r="T1387" s="721"/>
      <c r="U1387" s="722"/>
      <c r="V1387" s="723"/>
      <c r="W1387" s="724"/>
      <c r="X1387" s="725" t="s">
        <v>159</v>
      </c>
      <c r="Y1387" s="725"/>
      <c r="Z1387" s="725"/>
      <c r="AA1387" s="725"/>
      <c r="AB1387" s="726" t="s">
        <v>159</v>
      </c>
      <c r="AC1387" s="726"/>
      <c r="AD1387" s="726"/>
      <c r="AE1387" s="726"/>
      <c r="AF1387" s="727"/>
      <c r="AG1387" s="728"/>
      <c r="AH1387" s="727"/>
      <c r="AI1387" s="728"/>
      <c r="AJ1387" s="682"/>
      <c r="AK1387" s="683"/>
      <c r="AL1387" s="664" t="s">
        <v>162</v>
      </c>
      <c r="AM1387" s="665"/>
      <c r="AN1387" s="713" t="s">
        <v>162</v>
      </c>
      <c r="AO1387" s="714"/>
      <c r="AP1387" s="729"/>
      <c r="AQ1387" s="730"/>
      <c r="AR1387" s="731"/>
      <c r="AS1387" s="732"/>
      <c r="AT1387" s="733"/>
      <c r="AU1387" s="734"/>
      <c r="AV1387" s="713" t="s">
        <v>162</v>
      </c>
      <c r="AW1387" s="714"/>
      <c r="AX1387" s="692"/>
      <c r="AY1387" s="693"/>
      <c r="AZ1387" s="694"/>
      <c r="BA1387" s="735"/>
      <c r="BB1387" s="736"/>
      <c r="BC1387" s="219"/>
      <c r="BD1387" s="737" t="s">
        <v>162</v>
      </c>
      <c r="BE1387" s="738"/>
      <c r="BF1387" s="739"/>
      <c r="BG1387" s="740"/>
      <c r="BH1387" s="740"/>
      <c r="BI1387" s="741"/>
      <c r="BJ1387" s="742" t="s">
        <v>159</v>
      </c>
      <c r="BK1387" s="743"/>
      <c r="BL1387" s="743"/>
      <c r="BM1387" s="744"/>
      <c r="BN1387" s="703" t="s">
        <v>159</v>
      </c>
      <c r="BO1387" s="704"/>
      <c r="BP1387" s="704"/>
      <c r="BQ1387" s="704"/>
      <c r="BR1387" s="704"/>
      <c r="BS1387" s="704"/>
      <c r="BT1387" s="704"/>
      <c r="BU1387" s="704"/>
      <c r="BV1387" s="705"/>
    </row>
    <row r="1388" spans="1:74" ht="45" customHeight="1" x14ac:dyDescent="0.25">
      <c r="A1388" s="10">
        <f t="shared" si="21"/>
        <v>1374</v>
      </c>
      <c r="B1388" s="662" t="s">
        <v>159</v>
      </c>
      <c r="C1388" s="662"/>
      <c r="D1388" s="663" t="s">
        <v>212</v>
      </c>
      <c r="E1388" s="663"/>
      <c r="F1388" s="664" t="s">
        <v>162</v>
      </c>
      <c r="G1388" s="665"/>
      <c r="H1388" s="754" t="s">
        <v>162</v>
      </c>
      <c r="I1388" s="714"/>
      <c r="J1388" s="715"/>
      <c r="K1388" s="716"/>
      <c r="L1388" s="715"/>
      <c r="M1388" s="716"/>
      <c r="N1388" s="194"/>
      <c r="O1388" s="196"/>
      <c r="P1388" s="717"/>
      <c r="Q1388" s="718"/>
      <c r="R1388" s="672"/>
      <c r="S1388" s="673"/>
      <c r="T1388" s="674"/>
      <c r="U1388" s="675"/>
      <c r="V1388" s="676"/>
      <c r="W1388" s="677"/>
      <c r="X1388" s="678" t="s">
        <v>159</v>
      </c>
      <c r="Y1388" s="678"/>
      <c r="Z1388" s="678"/>
      <c r="AA1388" s="678"/>
      <c r="AB1388" s="679" t="s">
        <v>159</v>
      </c>
      <c r="AC1388" s="679"/>
      <c r="AD1388" s="679"/>
      <c r="AE1388" s="679"/>
      <c r="AF1388" s="680"/>
      <c r="AG1388" s="681"/>
      <c r="AH1388" s="680"/>
      <c r="AI1388" s="681"/>
      <c r="AJ1388" s="682"/>
      <c r="AK1388" s="683"/>
      <c r="AL1388" s="684" t="s">
        <v>162</v>
      </c>
      <c r="AM1388" s="685"/>
      <c r="AN1388" s="666" t="s">
        <v>162</v>
      </c>
      <c r="AO1388" s="667"/>
      <c r="AP1388" s="686"/>
      <c r="AQ1388" s="687"/>
      <c r="AR1388" s="688"/>
      <c r="AS1388" s="689"/>
      <c r="AT1388" s="690"/>
      <c r="AU1388" s="691"/>
      <c r="AV1388" s="666" t="s">
        <v>162</v>
      </c>
      <c r="AW1388" s="667"/>
      <c r="AX1388" s="692"/>
      <c r="AY1388" s="693"/>
      <c r="AZ1388" s="694"/>
      <c r="BA1388" s="682"/>
      <c r="BB1388" s="683"/>
      <c r="BC1388" s="14"/>
      <c r="BD1388" s="695" t="s">
        <v>162</v>
      </c>
      <c r="BE1388" s="696"/>
      <c r="BF1388" s="697"/>
      <c r="BG1388" s="698"/>
      <c r="BH1388" s="698"/>
      <c r="BI1388" s="699"/>
      <c r="BJ1388" s="700" t="s">
        <v>159</v>
      </c>
      <c r="BK1388" s="701"/>
      <c r="BL1388" s="701"/>
      <c r="BM1388" s="702"/>
      <c r="BN1388" s="703" t="s">
        <v>159</v>
      </c>
      <c r="BO1388" s="704"/>
      <c r="BP1388" s="704"/>
      <c r="BQ1388" s="704"/>
      <c r="BR1388" s="704"/>
      <c r="BS1388" s="704"/>
      <c r="BT1388" s="704"/>
      <c r="BU1388" s="704"/>
      <c r="BV1388" s="705"/>
    </row>
    <row r="1389" spans="1:74" ht="45" customHeight="1" x14ac:dyDescent="0.25">
      <c r="A1389" s="10">
        <f t="shared" si="21"/>
        <v>1375</v>
      </c>
      <c r="B1389" s="711" t="s">
        <v>159</v>
      </c>
      <c r="C1389" s="711"/>
      <c r="D1389" s="712" t="s">
        <v>212</v>
      </c>
      <c r="E1389" s="712"/>
      <c r="F1389" s="664" t="s">
        <v>162</v>
      </c>
      <c r="G1389" s="665"/>
      <c r="H1389" s="755" t="s">
        <v>162</v>
      </c>
      <c r="I1389" s="667"/>
      <c r="J1389" s="706"/>
      <c r="K1389" s="707"/>
      <c r="L1389" s="706"/>
      <c r="M1389" s="707"/>
      <c r="N1389" s="215"/>
      <c r="O1389" s="216"/>
      <c r="P1389" s="670"/>
      <c r="Q1389" s="671"/>
      <c r="R1389" s="719"/>
      <c r="S1389" s="720"/>
      <c r="T1389" s="721"/>
      <c r="U1389" s="722"/>
      <c r="V1389" s="723"/>
      <c r="W1389" s="724"/>
      <c r="X1389" s="725" t="s">
        <v>159</v>
      </c>
      <c r="Y1389" s="725"/>
      <c r="Z1389" s="725"/>
      <c r="AA1389" s="725"/>
      <c r="AB1389" s="726" t="s">
        <v>159</v>
      </c>
      <c r="AC1389" s="726"/>
      <c r="AD1389" s="726"/>
      <c r="AE1389" s="726"/>
      <c r="AF1389" s="727"/>
      <c r="AG1389" s="728"/>
      <c r="AH1389" s="727"/>
      <c r="AI1389" s="728"/>
      <c r="AJ1389" s="682"/>
      <c r="AK1389" s="683"/>
      <c r="AL1389" s="664" t="s">
        <v>162</v>
      </c>
      <c r="AM1389" s="665"/>
      <c r="AN1389" s="713" t="s">
        <v>162</v>
      </c>
      <c r="AO1389" s="714"/>
      <c r="AP1389" s="729"/>
      <c r="AQ1389" s="730"/>
      <c r="AR1389" s="731"/>
      <c r="AS1389" s="732"/>
      <c r="AT1389" s="733"/>
      <c r="AU1389" s="734"/>
      <c r="AV1389" s="713" t="s">
        <v>162</v>
      </c>
      <c r="AW1389" s="714"/>
      <c r="AX1389" s="692"/>
      <c r="AY1389" s="693"/>
      <c r="AZ1389" s="694"/>
      <c r="BA1389" s="735"/>
      <c r="BB1389" s="736"/>
      <c r="BC1389" s="219"/>
      <c r="BD1389" s="737" t="s">
        <v>162</v>
      </c>
      <c r="BE1389" s="738"/>
      <c r="BF1389" s="739"/>
      <c r="BG1389" s="740"/>
      <c r="BH1389" s="740"/>
      <c r="BI1389" s="741"/>
      <c r="BJ1389" s="742" t="s">
        <v>159</v>
      </c>
      <c r="BK1389" s="743"/>
      <c r="BL1389" s="743"/>
      <c r="BM1389" s="744"/>
      <c r="BN1389" s="703" t="s">
        <v>159</v>
      </c>
      <c r="BO1389" s="704"/>
      <c r="BP1389" s="704"/>
      <c r="BQ1389" s="704"/>
      <c r="BR1389" s="704"/>
      <c r="BS1389" s="704"/>
      <c r="BT1389" s="704"/>
      <c r="BU1389" s="704"/>
      <c r="BV1389" s="705"/>
    </row>
    <row r="1390" spans="1:74" ht="45" customHeight="1" x14ac:dyDescent="0.25">
      <c r="A1390" s="10">
        <f t="shared" si="21"/>
        <v>1376</v>
      </c>
      <c r="B1390" s="662" t="s">
        <v>159</v>
      </c>
      <c r="C1390" s="662"/>
      <c r="D1390" s="663" t="s">
        <v>212</v>
      </c>
      <c r="E1390" s="663"/>
      <c r="F1390" s="664" t="s">
        <v>162</v>
      </c>
      <c r="G1390" s="665"/>
      <c r="H1390" s="754" t="s">
        <v>162</v>
      </c>
      <c r="I1390" s="714"/>
      <c r="J1390" s="715"/>
      <c r="K1390" s="716"/>
      <c r="L1390" s="715"/>
      <c r="M1390" s="716"/>
      <c r="N1390" s="194"/>
      <c r="O1390" s="196"/>
      <c r="P1390" s="717"/>
      <c r="Q1390" s="718"/>
      <c r="R1390" s="672"/>
      <c r="S1390" s="673"/>
      <c r="T1390" s="674"/>
      <c r="U1390" s="675"/>
      <c r="V1390" s="676"/>
      <c r="W1390" s="677"/>
      <c r="X1390" s="678" t="s">
        <v>159</v>
      </c>
      <c r="Y1390" s="678"/>
      <c r="Z1390" s="678"/>
      <c r="AA1390" s="678"/>
      <c r="AB1390" s="679" t="s">
        <v>159</v>
      </c>
      <c r="AC1390" s="679"/>
      <c r="AD1390" s="679"/>
      <c r="AE1390" s="679"/>
      <c r="AF1390" s="680"/>
      <c r="AG1390" s="681"/>
      <c r="AH1390" s="680"/>
      <c r="AI1390" s="681"/>
      <c r="AJ1390" s="682"/>
      <c r="AK1390" s="683"/>
      <c r="AL1390" s="684" t="s">
        <v>162</v>
      </c>
      <c r="AM1390" s="685"/>
      <c r="AN1390" s="666" t="s">
        <v>162</v>
      </c>
      <c r="AO1390" s="667"/>
      <c r="AP1390" s="686"/>
      <c r="AQ1390" s="687"/>
      <c r="AR1390" s="688"/>
      <c r="AS1390" s="689"/>
      <c r="AT1390" s="690"/>
      <c r="AU1390" s="691"/>
      <c r="AV1390" s="666" t="s">
        <v>162</v>
      </c>
      <c r="AW1390" s="667"/>
      <c r="AX1390" s="692"/>
      <c r="AY1390" s="693"/>
      <c r="AZ1390" s="694"/>
      <c r="BA1390" s="682"/>
      <c r="BB1390" s="683"/>
      <c r="BC1390" s="14"/>
      <c r="BD1390" s="695" t="s">
        <v>162</v>
      </c>
      <c r="BE1390" s="696"/>
      <c r="BF1390" s="708"/>
      <c r="BG1390" s="709"/>
      <c r="BH1390" s="709"/>
      <c r="BI1390" s="710"/>
      <c r="BJ1390" s="700" t="s">
        <v>159</v>
      </c>
      <c r="BK1390" s="701"/>
      <c r="BL1390" s="701"/>
      <c r="BM1390" s="702"/>
      <c r="BN1390" s="703" t="s">
        <v>159</v>
      </c>
      <c r="BO1390" s="704"/>
      <c r="BP1390" s="704"/>
      <c r="BQ1390" s="704"/>
      <c r="BR1390" s="704"/>
      <c r="BS1390" s="704"/>
      <c r="BT1390" s="704"/>
      <c r="BU1390" s="704"/>
      <c r="BV1390" s="705"/>
    </row>
    <row r="1391" spans="1:74" ht="45" customHeight="1" x14ac:dyDescent="0.25">
      <c r="A1391" s="10">
        <f t="shared" si="21"/>
        <v>1377</v>
      </c>
      <c r="B1391" s="711" t="s">
        <v>159</v>
      </c>
      <c r="C1391" s="711"/>
      <c r="D1391" s="712" t="s">
        <v>212</v>
      </c>
      <c r="E1391" s="712"/>
      <c r="F1391" s="664" t="s">
        <v>162</v>
      </c>
      <c r="G1391" s="665"/>
      <c r="H1391" s="755" t="s">
        <v>162</v>
      </c>
      <c r="I1391" s="667"/>
      <c r="J1391" s="706"/>
      <c r="K1391" s="707"/>
      <c r="L1391" s="706"/>
      <c r="M1391" s="707"/>
      <c r="N1391" s="215"/>
      <c r="O1391" s="216"/>
      <c r="P1391" s="670"/>
      <c r="Q1391" s="671"/>
      <c r="R1391" s="719"/>
      <c r="S1391" s="720"/>
      <c r="T1391" s="721"/>
      <c r="U1391" s="722"/>
      <c r="V1391" s="723"/>
      <c r="W1391" s="724"/>
      <c r="X1391" s="725" t="s">
        <v>159</v>
      </c>
      <c r="Y1391" s="725"/>
      <c r="Z1391" s="725"/>
      <c r="AA1391" s="725"/>
      <c r="AB1391" s="726" t="s">
        <v>159</v>
      </c>
      <c r="AC1391" s="726"/>
      <c r="AD1391" s="726"/>
      <c r="AE1391" s="726"/>
      <c r="AF1391" s="727"/>
      <c r="AG1391" s="728"/>
      <c r="AH1391" s="727"/>
      <c r="AI1391" s="728"/>
      <c r="AJ1391" s="682"/>
      <c r="AK1391" s="683"/>
      <c r="AL1391" s="664" t="s">
        <v>162</v>
      </c>
      <c r="AM1391" s="665"/>
      <c r="AN1391" s="713" t="s">
        <v>162</v>
      </c>
      <c r="AO1391" s="714"/>
      <c r="AP1391" s="729"/>
      <c r="AQ1391" s="730"/>
      <c r="AR1391" s="731"/>
      <c r="AS1391" s="732"/>
      <c r="AT1391" s="733"/>
      <c r="AU1391" s="734"/>
      <c r="AV1391" s="713" t="s">
        <v>162</v>
      </c>
      <c r="AW1391" s="714"/>
      <c r="AX1391" s="692"/>
      <c r="AY1391" s="693"/>
      <c r="AZ1391" s="694"/>
      <c r="BA1391" s="735"/>
      <c r="BB1391" s="736"/>
      <c r="BC1391" s="219"/>
      <c r="BD1391" s="737" t="s">
        <v>162</v>
      </c>
      <c r="BE1391" s="738"/>
      <c r="BF1391" s="739"/>
      <c r="BG1391" s="740"/>
      <c r="BH1391" s="740"/>
      <c r="BI1391" s="741"/>
      <c r="BJ1391" s="742" t="s">
        <v>159</v>
      </c>
      <c r="BK1391" s="743"/>
      <c r="BL1391" s="743"/>
      <c r="BM1391" s="744"/>
      <c r="BN1391" s="703" t="s">
        <v>159</v>
      </c>
      <c r="BO1391" s="704"/>
      <c r="BP1391" s="704"/>
      <c r="BQ1391" s="704"/>
      <c r="BR1391" s="704"/>
      <c r="BS1391" s="704"/>
      <c r="BT1391" s="704"/>
      <c r="BU1391" s="704"/>
      <c r="BV1391" s="705"/>
    </row>
    <row r="1392" spans="1:74" ht="45" customHeight="1" x14ac:dyDescent="0.25">
      <c r="A1392" s="10">
        <f t="shared" si="21"/>
        <v>1378</v>
      </c>
      <c r="B1392" s="662" t="s">
        <v>159</v>
      </c>
      <c r="C1392" s="662"/>
      <c r="D1392" s="663" t="s">
        <v>212</v>
      </c>
      <c r="E1392" s="663"/>
      <c r="F1392" s="664" t="s">
        <v>162</v>
      </c>
      <c r="G1392" s="665"/>
      <c r="H1392" s="754" t="s">
        <v>162</v>
      </c>
      <c r="I1392" s="714"/>
      <c r="J1392" s="715"/>
      <c r="K1392" s="716"/>
      <c r="L1392" s="715"/>
      <c r="M1392" s="716"/>
      <c r="N1392" s="194"/>
      <c r="O1392" s="196"/>
      <c r="P1392" s="717"/>
      <c r="Q1392" s="718"/>
      <c r="R1392" s="672"/>
      <c r="S1392" s="673"/>
      <c r="T1392" s="674"/>
      <c r="U1392" s="675"/>
      <c r="V1392" s="676"/>
      <c r="W1392" s="677"/>
      <c r="X1392" s="678" t="s">
        <v>159</v>
      </c>
      <c r="Y1392" s="678"/>
      <c r="Z1392" s="678"/>
      <c r="AA1392" s="678"/>
      <c r="AB1392" s="679" t="s">
        <v>159</v>
      </c>
      <c r="AC1392" s="679"/>
      <c r="AD1392" s="679"/>
      <c r="AE1392" s="679"/>
      <c r="AF1392" s="680"/>
      <c r="AG1392" s="681"/>
      <c r="AH1392" s="680"/>
      <c r="AI1392" s="681"/>
      <c r="AJ1392" s="682"/>
      <c r="AK1392" s="683"/>
      <c r="AL1392" s="684" t="s">
        <v>162</v>
      </c>
      <c r="AM1392" s="685"/>
      <c r="AN1392" s="666" t="s">
        <v>162</v>
      </c>
      <c r="AO1392" s="667"/>
      <c r="AP1392" s="686"/>
      <c r="AQ1392" s="687"/>
      <c r="AR1392" s="688"/>
      <c r="AS1392" s="689"/>
      <c r="AT1392" s="690"/>
      <c r="AU1392" s="691"/>
      <c r="AV1392" s="666" t="s">
        <v>162</v>
      </c>
      <c r="AW1392" s="667"/>
      <c r="AX1392" s="692"/>
      <c r="AY1392" s="693"/>
      <c r="AZ1392" s="694"/>
      <c r="BA1392" s="682"/>
      <c r="BB1392" s="683"/>
      <c r="BC1392" s="14"/>
      <c r="BD1392" s="695" t="s">
        <v>162</v>
      </c>
      <c r="BE1392" s="696"/>
      <c r="BF1392" s="697"/>
      <c r="BG1392" s="698"/>
      <c r="BH1392" s="698"/>
      <c r="BI1392" s="699"/>
      <c r="BJ1392" s="700" t="s">
        <v>159</v>
      </c>
      <c r="BK1392" s="701"/>
      <c r="BL1392" s="701"/>
      <c r="BM1392" s="702"/>
      <c r="BN1392" s="703" t="s">
        <v>159</v>
      </c>
      <c r="BO1392" s="704"/>
      <c r="BP1392" s="704"/>
      <c r="BQ1392" s="704"/>
      <c r="BR1392" s="704"/>
      <c r="BS1392" s="704"/>
      <c r="BT1392" s="704"/>
      <c r="BU1392" s="704"/>
      <c r="BV1392" s="705"/>
    </row>
    <row r="1393" spans="1:74" ht="45" customHeight="1" x14ac:dyDescent="0.25">
      <c r="A1393" s="10">
        <f t="shared" si="21"/>
        <v>1379</v>
      </c>
      <c r="B1393" s="711" t="s">
        <v>159</v>
      </c>
      <c r="C1393" s="711"/>
      <c r="D1393" s="712" t="s">
        <v>212</v>
      </c>
      <c r="E1393" s="712"/>
      <c r="F1393" s="664" t="s">
        <v>162</v>
      </c>
      <c r="G1393" s="665"/>
      <c r="H1393" s="755" t="s">
        <v>162</v>
      </c>
      <c r="I1393" s="667"/>
      <c r="J1393" s="706"/>
      <c r="K1393" s="707"/>
      <c r="L1393" s="706"/>
      <c r="M1393" s="707"/>
      <c r="N1393" s="194"/>
      <c r="O1393" s="196"/>
      <c r="P1393" s="717"/>
      <c r="Q1393" s="718"/>
      <c r="R1393" s="719"/>
      <c r="S1393" s="720"/>
      <c r="T1393" s="721"/>
      <c r="U1393" s="722"/>
      <c r="V1393" s="723"/>
      <c r="W1393" s="724"/>
      <c r="X1393" s="725" t="s">
        <v>159</v>
      </c>
      <c r="Y1393" s="725"/>
      <c r="Z1393" s="725"/>
      <c r="AA1393" s="725"/>
      <c r="AB1393" s="726" t="s">
        <v>159</v>
      </c>
      <c r="AC1393" s="726"/>
      <c r="AD1393" s="726"/>
      <c r="AE1393" s="726"/>
      <c r="AF1393" s="727"/>
      <c r="AG1393" s="728"/>
      <c r="AH1393" s="727"/>
      <c r="AI1393" s="728"/>
      <c r="AJ1393" s="682"/>
      <c r="AK1393" s="683"/>
      <c r="AL1393" s="664" t="s">
        <v>162</v>
      </c>
      <c r="AM1393" s="665"/>
      <c r="AN1393" s="713" t="s">
        <v>162</v>
      </c>
      <c r="AO1393" s="714"/>
      <c r="AP1393" s="729"/>
      <c r="AQ1393" s="730"/>
      <c r="AR1393" s="731"/>
      <c r="AS1393" s="732"/>
      <c r="AT1393" s="690"/>
      <c r="AU1393" s="691"/>
      <c r="AV1393" s="713" t="s">
        <v>162</v>
      </c>
      <c r="AW1393" s="714"/>
      <c r="AX1393" s="692"/>
      <c r="AY1393" s="693"/>
      <c r="AZ1393" s="694"/>
      <c r="BA1393" s="735"/>
      <c r="BB1393" s="736"/>
      <c r="BC1393" s="219"/>
      <c r="BD1393" s="737" t="s">
        <v>162</v>
      </c>
      <c r="BE1393" s="738"/>
      <c r="BF1393" s="739"/>
      <c r="BG1393" s="740"/>
      <c r="BH1393" s="740"/>
      <c r="BI1393" s="741"/>
      <c r="BJ1393" s="742" t="s">
        <v>159</v>
      </c>
      <c r="BK1393" s="743"/>
      <c r="BL1393" s="743"/>
      <c r="BM1393" s="744"/>
      <c r="BN1393" s="703" t="s">
        <v>159</v>
      </c>
      <c r="BO1393" s="704"/>
      <c r="BP1393" s="704"/>
      <c r="BQ1393" s="704"/>
      <c r="BR1393" s="704"/>
      <c r="BS1393" s="704"/>
      <c r="BT1393" s="704"/>
      <c r="BU1393" s="704"/>
      <c r="BV1393" s="705"/>
    </row>
    <row r="1394" spans="1:74" ht="45" customHeight="1" x14ac:dyDescent="0.25">
      <c r="A1394" s="10">
        <f t="shared" si="21"/>
        <v>1380</v>
      </c>
      <c r="B1394" s="662" t="s">
        <v>159</v>
      </c>
      <c r="C1394" s="662"/>
      <c r="D1394" s="663" t="s">
        <v>212</v>
      </c>
      <c r="E1394" s="663"/>
      <c r="F1394" s="664" t="s">
        <v>162</v>
      </c>
      <c r="G1394" s="665"/>
      <c r="H1394" s="754" t="s">
        <v>162</v>
      </c>
      <c r="I1394" s="714"/>
      <c r="J1394" s="715"/>
      <c r="K1394" s="716"/>
      <c r="L1394" s="715"/>
      <c r="M1394" s="716"/>
      <c r="N1394" s="215"/>
      <c r="O1394" s="216"/>
      <c r="P1394" s="670"/>
      <c r="Q1394" s="671"/>
      <c r="R1394" s="672"/>
      <c r="S1394" s="673"/>
      <c r="T1394" s="674"/>
      <c r="U1394" s="675"/>
      <c r="V1394" s="676"/>
      <c r="W1394" s="677"/>
      <c r="X1394" s="678" t="s">
        <v>159</v>
      </c>
      <c r="Y1394" s="678"/>
      <c r="Z1394" s="678"/>
      <c r="AA1394" s="678"/>
      <c r="AB1394" s="679" t="s">
        <v>159</v>
      </c>
      <c r="AC1394" s="679"/>
      <c r="AD1394" s="679"/>
      <c r="AE1394" s="679"/>
      <c r="AF1394" s="680"/>
      <c r="AG1394" s="681"/>
      <c r="AH1394" s="680"/>
      <c r="AI1394" s="681"/>
      <c r="AJ1394" s="682"/>
      <c r="AK1394" s="683"/>
      <c r="AL1394" s="684" t="s">
        <v>162</v>
      </c>
      <c r="AM1394" s="685"/>
      <c r="AN1394" s="666" t="s">
        <v>162</v>
      </c>
      <c r="AO1394" s="667"/>
      <c r="AP1394" s="686"/>
      <c r="AQ1394" s="687"/>
      <c r="AR1394" s="688"/>
      <c r="AS1394" s="689"/>
      <c r="AT1394" s="690"/>
      <c r="AU1394" s="691"/>
      <c r="AV1394" s="666" t="s">
        <v>162</v>
      </c>
      <c r="AW1394" s="667"/>
      <c r="AX1394" s="692"/>
      <c r="AY1394" s="693"/>
      <c r="AZ1394" s="694"/>
      <c r="BA1394" s="682"/>
      <c r="BB1394" s="683"/>
      <c r="BC1394" s="14"/>
      <c r="BD1394" s="695" t="s">
        <v>162</v>
      </c>
      <c r="BE1394" s="696"/>
      <c r="BF1394" s="697"/>
      <c r="BG1394" s="698"/>
      <c r="BH1394" s="698"/>
      <c r="BI1394" s="699"/>
      <c r="BJ1394" s="700" t="s">
        <v>159</v>
      </c>
      <c r="BK1394" s="701"/>
      <c r="BL1394" s="701"/>
      <c r="BM1394" s="702"/>
      <c r="BN1394" s="703" t="s">
        <v>159</v>
      </c>
      <c r="BO1394" s="704"/>
      <c r="BP1394" s="704"/>
      <c r="BQ1394" s="704"/>
      <c r="BR1394" s="704"/>
      <c r="BS1394" s="704"/>
      <c r="BT1394" s="704"/>
      <c r="BU1394" s="704"/>
      <c r="BV1394" s="705"/>
    </row>
    <row r="1395" spans="1:74" ht="45" customHeight="1" x14ac:dyDescent="0.25">
      <c r="A1395" s="10">
        <f t="shared" si="21"/>
        <v>1381</v>
      </c>
      <c r="B1395" s="711" t="s">
        <v>159</v>
      </c>
      <c r="C1395" s="711"/>
      <c r="D1395" s="712" t="s">
        <v>212</v>
      </c>
      <c r="E1395" s="712"/>
      <c r="F1395" s="664" t="s">
        <v>162</v>
      </c>
      <c r="G1395" s="665"/>
      <c r="H1395" s="755" t="s">
        <v>162</v>
      </c>
      <c r="I1395" s="667"/>
      <c r="J1395" s="706"/>
      <c r="K1395" s="707"/>
      <c r="L1395" s="706"/>
      <c r="M1395" s="707"/>
      <c r="N1395" s="194"/>
      <c r="O1395" s="196"/>
      <c r="P1395" s="717"/>
      <c r="Q1395" s="718"/>
      <c r="R1395" s="719"/>
      <c r="S1395" s="720"/>
      <c r="T1395" s="721"/>
      <c r="U1395" s="722"/>
      <c r="V1395" s="723"/>
      <c r="W1395" s="724"/>
      <c r="X1395" s="725" t="s">
        <v>159</v>
      </c>
      <c r="Y1395" s="725"/>
      <c r="Z1395" s="725"/>
      <c r="AA1395" s="725"/>
      <c r="AB1395" s="726" t="s">
        <v>159</v>
      </c>
      <c r="AC1395" s="726"/>
      <c r="AD1395" s="726"/>
      <c r="AE1395" s="726"/>
      <c r="AF1395" s="727"/>
      <c r="AG1395" s="728"/>
      <c r="AH1395" s="727"/>
      <c r="AI1395" s="728"/>
      <c r="AJ1395" s="682"/>
      <c r="AK1395" s="683"/>
      <c r="AL1395" s="664" t="s">
        <v>162</v>
      </c>
      <c r="AM1395" s="665"/>
      <c r="AN1395" s="713" t="s">
        <v>162</v>
      </c>
      <c r="AO1395" s="714"/>
      <c r="AP1395" s="729"/>
      <c r="AQ1395" s="730"/>
      <c r="AR1395" s="731"/>
      <c r="AS1395" s="732"/>
      <c r="AT1395" s="690"/>
      <c r="AU1395" s="691"/>
      <c r="AV1395" s="713" t="s">
        <v>162</v>
      </c>
      <c r="AW1395" s="714"/>
      <c r="AX1395" s="692"/>
      <c r="AY1395" s="693"/>
      <c r="AZ1395" s="694"/>
      <c r="BA1395" s="735"/>
      <c r="BB1395" s="736"/>
      <c r="BC1395" s="219"/>
      <c r="BD1395" s="737" t="s">
        <v>162</v>
      </c>
      <c r="BE1395" s="738"/>
      <c r="BF1395" s="739"/>
      <c r="BG1395" s="740"/>
      <c r="BH1395" s="740"/>
      <c r="BI1395" s="741"/>
      <c r="BJ1395" s="742" t="s">
        <v>159</v>
      </c>
      <c r="BK1395" s="743"/>
      <c r="BL1395" s="743"/>
      <c r="BM1395" s="744"/>
      <c r="BN1395" s="703" t="s">
        <v>159</v>
      </c>
      <c r="BO1395" s="704"/>
      <c r="BP1395" s="704"/>
      <c r="BQ1395" s="704"/>
      <c r="BR1395" s="704"/>
      <c r="BS1395" s="704"/>
      <c r="BT1395" s="704"/>
      <c r="BU1395" s="704"/>
      <c r="BV1395" s="705"/>
    </row>
    <row r="1396" spans="1:74" ht="45" customHeight="1" x14ac:dyDescent="0.25">
      <c r="A1396" s="10">
        <f t="shared" si="21"/>
        <v>1382</v>
      </c>
      <c r="B1396" s="662" t="s">
        <v>159</v>
      </c>
      <c r="C1396" s="662"/>
      <c r="D1396" s="663" t="s">
        <v>212</v>
      </c>
      <c r="E1396" s="663"/>
      <c r="F1396" s="664" t="s">
        <v>162</v>
      </c>
      <c r="G1396" s="665"/>
      <c r="H1396" s="754" t="s">
        <v>162</v>
      </c>
      <c r="I1396" s="714"/>
      <c r="J1396" s="715"/>
      <c r="K1396" s="716"/>
      <c r="L1396" s="715"/>
      <c r="M1396" s="716"/>
      <c r="N1396" s="215"/>
      <c r="O1396" s="216"/>
      <c r="P1396" s="670"/>
      <c r="Q1396" s="671"/>
      <c r="R1396" s="672"/>
      <c r="S1396" s="673"/>
      <c r="T1396" s="674"/>
      <c r="U1396" s="675"/>
      <c r="V1396" s="676"/>
      <c r="W1396" s="677"/>
      <c r="X1396" s="678" t="s">
        <v>159</v>
      </c>
      <c r="Y1396" s="678"/>
      <c r="Z1396" s="678"/>
      <c r="AA1396" s="678"/>
      <c r="AB1396" s="679" t="s">
        <v>159</v>
      </c>
      <c r="AC1396" s="679"/>
      <c r="AD1396" s="679"/>
      <c r="AE1396" s="679"/>
      <c r="AF1396" s="680"/>
      <c r="AG1396" s="681"/>
      <c r="AH1396" s="680"/>
      <c r="AI1396" s="681"/>
      <c r="AJ1396" s="682"/>
      <c r="AK1396" s="683"/>
      <c r="AL1396" s="684" t="s">
        <v>162</v>
      </c>
      <c r="AM1396" s="685"/>
      <c r="AN1396" s="666" t="s">
        <v>162</v>
      </c>
      <c r="AO1396" s="667"/>
      <c r="AP1396" s="686"/>
      <c r="AQ1396" s="687"/>
      <c r="AR1396" s="688"/>
      <c r="AS1396" s="689"/>
      <c r="AT1396" s="690"/>
      <c r="AU1396" s="691"/>
      <c r="AV1396" s="666" t="s">
        <v>162</v>
      </c>
      <c r="AW1396" s="667"/>
      <c r="AX1396" s="692"/>
      <c r="AY1396" s="693"/>
      <c r="AZ1396" s="694"/>
      <c r="BA1396" s="682"/>
      <c r="BB1396" s="683"/>
      <c r="BC1396" s="14"/>
      <c r="BD1396" s="695" t="s">
        <v>162</v>
      </c>
      <c r="BE1396" s="696"/>
      <c r="BF1396" s="697"/>
      <c r="BG1396" s="698"/>
      <c r="BH1396" s="698"/>
      <c r="BI1396" s="699"/>
      <c r="BJ1396" s="700" t="s">
        <v>159</v>
      </c>
      <c r="BK1396" s="701"/>
      <c r="BL1396" s="701"/>
      <c r="BM1396" s="702"/>
      <c r="BN1396" s="703" t="s">
        <v>159</v>
      </c>
      <c r="BO1396" s="704"/>
      <c r="BP1396" s="704"/>
      <c r="BQ1396" s="704"/>
      <c r="BR1396" s="704"/>
      <c r="BS1396" s="704"/>
      <c r="BT1396" s="704"/>
      <c r="BU1396" s="704"/>
      <c r="BV1396" s="705"/>
    </row>
    <row r="1397" spans="1:74" ht="45" customHeight="1" x14ac:dyDescent="0.25">
      <c r="A1397" s="10">
        <f t="shared" si="21"/>
        <v>1383</v>
      </c>
      <c r="B1397" s="711" t="s">
        <v>159</v>
      </c>
      <c r="C1397" s="711"/>
      <c r="D1397" s="712" t="s">
        <v>212</v>
      </c>
      <c r="E1397" s="712"/>
      <c r="F1397" s="664" t="s">
        <v>162</v>
      </c>
      <c r="G1397" s="665"/>
      <c r="H1397" s="755" t="s">
        <v>162</v>
      </c>
      <c r="I1397" s="667"/>
      <c r="J1397" s="706"/>
      <c r="K1397" s="707"/>
      <c r="L1397" s="706"/>
      <c r="M1397" s="707"/>
      <c r="N1397" s="194"/>
      <c r="O1397" s="216"/>
      <c r="P1397" s="717"/>
      <c r="Q1397" s="718"/>
      <c r="R1397" s="719"/>
      <c r="S1397" s="720"/>
      <c r="T1397" s="721"/>
      <c r="U1397" s="722"/>
      <c r="V1397" s="723"/>
      <c r="W1397" s="724"/>
      <c r="X1397" s="725" t="s">
        <v>159</v>
      </c>
      <c r="Y1397" s="725"/>
      <c r="Z1397" s="725"/>
      <c r="AA1397" s="725"/>
      <c r="AB1397" s="726" t="s">
        <v>159</v>
      </c>
      <c r="AC1397" s="726"/>
      <c r="AD1397" s="726"/>
      <c r="AE1397" s="726"/>
      <c r="AF1397" s="727"/>
      <c r="AG1397" s="728"/>
      <c r="AH1397" s="727"/>
      <c r="AI1397" s="728"/>
      <c r="AJ1397" s="682"/>
      <c r="AK1397" s="683"/>
      <c r="AL1397" s="664" t="s">
        <v>162</v>
      </c>
      <c r="AM1397" s="665"/>
      <c r="AN1397" s="713" t="s">
        <v>162</v>
      </c>
      <c r="AO1397" s="714"/>
      <c r="AP1397" s="729"/>
      <c r="AQ1397" s="730"/>
      <c r="AR1397" s="731"/>
      <c r="AS1397" s="732"/>
      <c r="AT1397" s="733"/>
      <c r="AU1397" s="734"/>
      <c r="AV1397" s="713" t="s">
        <v>162</v>
      </c>
      <c r="AW1397" s="714"/>
      <c r="AX1397" s="692"/>
      <c r="AY1397" s="693"/>
      <c r="AZ1397" s="694"/>
      <c r="BA1397" s="735"/>
      <c r="BB1397" s="736"/>
      <c r="BC1397" s="219"/>
      <c r="BD1397" s="737" t="s">
        <v>162</v>
      </c>
      <c r="BE1397" s="738"/>
      <c r="BF1397" s="739"/>
      <c r="BG1397" s="740"/>
      <c r="BH1397" s="740"/>
      <c r="BI1397" s="741"/>
      <c r="BJ1397" s="742" t="s">
        <v>159</v>
      </c>
      <c r="BK1397" s="743"/>
      <c r="BL1397" s="743"/>
      <c r="BM1397" s="744"/>
      <c r="BN1397" s="703" t="s">
        <v>159</v>
      </c>
      <c r="BO1397" s="704"/>
      <c r="BP1397" s="704"/>
      <c r="BQ1397" s="704"/>
      <c r="BR1397" s="704"/>
      <c r="BS1397" s="704"/>
      <c r="BT1397" s="704"/>
      <c r="BU1397" s="704"/>
      <c r="BV1397" s="705"/>
    </row>
    <row r="1398" spans="1:74" ht="45" customHeight="1" x14ac:dyDescent="0.25">
      <c r="A1398" s="10">
        <f t="shared" si="21"/>
        <v>1384</v>
      </c>
      <c r="B1398" s="662" t="s">
        <v>159</v>
      </c>
      <c r="C1398" s="662"/>
      <c r="D1398" s="663" t="s">
        <v>212</v>
      </c>
      <c r="E1398" s="663"/>
      <c r="F1398" s="664" t="s">
        <v>162</v>
      </c>
      <c r="G1398" s="665"/>
      <c r="H1398" s="754" t="s">
        <v>162</v>
      </c>
      <c r="I1398" s="714"/>
      <c r="J1398" s="715"/>
      <c r="K1398" s="716"/>
      <c r="L1398" s="715"/>
      <c r="M1398" s="716"/>
      <c r="N1398" s="215"/>
      <c r="O1398" s="196"/>
      <c r="P1398" s="670"/>
      <c r="Q1398" s="671"/>
      <c r="R1398" s="672"/>
      <c r="S1398" s="673"/>
      <c r="T1398" s="674"/>
      <c r="U1398" s="675"/>
      <c r="V1398" s="676"/>
      <c r="W1398" s="677"/>
      <c r="X1398" s="678" t="s">
        <v>159</v>
      </c>
      <c r="Y1398" s="678"/>
      <c r="Z1398" s="678"/>
      <c r="AA1398" s="678"/>
      <c r="AB1398" s="679" t="s">
        <v>159</v>
      </c>
      <c r="AC1398" s="679"/>
      <c r="AD1398" s="679"/>
      <c r="AE1398" s="679"/>
      <c r="AF1398" s="680"/>
      <c r="AG1398" s="681"/>
      <c r="AH1398" s="680"/>
      <c r="AI1398" s="681"/>
      <c r="AJ1398" s="682"/>
      <c r="AK1398" s="683"/>
      <c r="AL1398" s="684" t="s">
        <v>162</v>
      </c>
      <c r="AM1398" s="685"/>
      <c r="AN1398" s="666" t="s">
        <v>162</v>
      </c>
      <c r="AO1398" s="667"/>
      <c r="AP1398" s="686"/>
      <c r="AQ1398" s="687"/>
      <c r="AR1398" s="688"/>
      <c r="AS1398" s="689"/>
      <c r="AT1398" s="690"/>
      <c r="AU1398" s="691"/>
      <c r="AV1398" s="666" t="s">
        <v>162</v>
      </c>
      <c r="AW1398" s="667"/>
      <c r="AX1398" s="692"/>
      <c r="AY1398" s="693"/>
      <c r="AZ1398" s="694"/>
      <c r="BA1398" s="682"/>
      <c r="BB1398" s="683"/>
      <c r="BC1398" s="14"/>
      <c r="BD1398" s="695" t="s">
        <v>162</v>
      </c>
      <c r="BE1398" s="696"/>
      <c r="BF1398" s="708"/>
      <c r="BG1398" s="709"/>
      <c r="BH1398" s="709"/>
      <c r="BI1398" s="710"/>
      <c r="BJ1398" s="700" t="s">
        <v>159</v>
      </c>
      <c r="BK1398" s="701"/>
      <c r="BL1398" s="701"/>
      <c r="BM1398" s="702"/>
      <c r="BN1398" s="703" t="s">
        <v>159</v>
      </c>
      <c r="BO1398" s="704"/>
      <c r="BP1398" s="704"/>
      <c r="BQ1398" s="704"/>
      <c r="BR1398" s="704"/>
      <c r="BS1398" s="704"/>
      <c r="BT1398" s="704"/>
      <c r="BU1398" s="704"/>
      <c r="BV1398" s="705"/>
    </row>
    <row r="1399" spans="1:74" ht="45" customHeight="1" x14ac:dyDescent="0.25">
      <c r="A1399" s="10">
        <f t="shared" si="21"/>
        <v>1385</v>
      </c>
      <c r="B1399" s="711" t="s">
        <v>159</v>
      </c>
      <c r="C1399" s="711"/>
      <c r="D1399" s="712" t="s">
        <v>212</v>
      </c>
      <c r="E1399" s="712"/>
      <c r="F1399" s="664" t="s">
        <v>162</v>
      </c>
      <c r="G1399" s="665"/>
      <c r="H1399" s="755" t="s">
        <v>162</v>
      </c>
      <c r="I1399" s="667"/>
      <c r="J1399" s="706"/>
      <c r="K1399" s="707"/>
      <c r="L1399" s="706"/>
      <c r="M1399" s="707"/>
      <c r="N1399" s="194"/>
      <c r="O1399" s="216"/>
      <c r="P1399" s="717"/>
      <c r="Q1399" s="718"/>
      <c r="R1399" s="719"/>
      <c r="S1399" s="720"/>
      <c r="T1399" s="721"/>
      <c r="U1399" s="722"/>
      <c r="V1399" s="723"/>
      <c r="W1399" s="724"/>
      <c r="X1399" s="725" t="s">
        <v>159</v>
      </c>
      <c r="Y1399" s="725"/>
      <c r="Z1399" s="725"/>
      <c r="AA1399" s="725"/>
      <c r="AB1399" s="726" t="s">
        <v>159</v>
      </c>
      <c r="AC1399" s="726"/>
      <c r="AD1399" s="726"/>
      <c r="AE1399" s="726"/>
      <c r="AF1399" s="727"/>
      <c r="AG1399" s="728"/>
      <c r="AH1399" s="727"/>
      <c r="AI1399" s="728"/>
      <c r="AJ1399" s="682"/>
      <c r="AK1399" s="683"/>
      <c r="AL1399" s="664" t="s">
        <v>162</v>
      </c>
      <c r="AM1399" s="665"/>
      <c r="AN1399" s="713" t="s">
        <v>162</v>
      </c>
      <c r="AO1399" s="714"/>
      <c r="AP1399" s="729"/>
      <c r="AQ1399" s="730"/>
      <c r="AR1399" s="731"/>
      <c r="AS1399" s="732"/>
      <c r="AT1399" s="733"/>
      <c r="AU1399" s="734"/>
      <c r="AV1399" s="713" t="s">
        <v>162</v>
      </c>
      <c r="AW1399" s="714"/>
      <c r="AX1399" s="692"/>
      <c r="AY1399" s="693"/>
      <c r="AZ1399" s="694"/>
      <c r="BA1399" s="735"/>
      <c r="BB1399" s="736"/>
      <c r="BC1399" s="219"/>
      <c r="BD1399" s="737" t="s">
        <v>162</v>
      </c>
      <c r="BE1399" s="738"/>
      <c r="BF1399" s="739"/>
      <c r="BG1399" s="740"/>
      <c r="BH1399" s="740"/>
      <c r="BI1399" s="741"/>
      <c r="BJ1399" s="742" t="s">
        <v>159</v>
      </c>
      <c r="BK1399" s="743"/>
      <c r="BL1399" s="743"/>
      <c r="BM1399" s="744"/>
      <c r="BN1399" s="703" t="s">
        <v>159</v>
      </c>
      <c r="BO1399" s="704"/>
      <c r="BP1399" s="704"/>
      <c r="BQ1399" s="704"/>
      <c r="BR1399" s="704"/>
      <c r="BS1399" s="704"/>
      <c r="BT1399" s="704"/>
      <c r="BU1399" s="704"/>
      <c r="BV1399" s="705"/>
    </row>
    <row r="1400" spans="1:74" ht="45" customHeight="1" x14ac:dyDescent="0.25">
      <c r="A1400" s="10">
        <f t="shared" si="21"/>
        <v>1386</v>
      </c>
      <c r="B1400" s="662" t="s">
        <v>159</v>
      </c>
      <c r="C1400" s="662"/>
      <c r="D1400" s="663" t="s">
        <v>212</v>
      </c>
      <c r="E1400" s="663"/>
      <c r="F1400" s="664" t="s">
        <v>162</v>
      </c>
      <c r="G1400" s="665"/>
      <c r="H1400" s="754" t="s">
        <v>162</v>
      </c>
      <c r="I1400" s="714"/>
      <c r="J1400" s="715"/>
      <c r="K1400" s="716"/>
      <c r="L1400" s="715"/>
      <c r="M1400" s="716"/>
      <c r="N1400" s="215"/>
      <c r="O1400" s="196"/>
      <c r="P1400" s="670"/>
      <c r="Q1400" s="671"/>
      <c r="R1400" s="672"/>
      <c r="S1400" s="673"/>
      <c r="T1400" s="674"/>
      <c r="U1400" s="675"/>
      <c r="V1400" s="676"/>
      <c r="W1400" s="677"/>
      <c r="X1400" s="678" t="s">
        <v>159</v>
      </c>
      <c r="Y1400" s="678"/>
      <c r="Z1400" s="678"/>
      <c r="AA1400" s="678"/>
      <c r="AB1400" s="679" t="s">
        <v>159</v>
      </c>
      <c r="AC1400" s="679"/>
      <c r="AD1400" s="679"/>
      <c r="AE1400" s="679"/>
      <c r="AF1400" s="680"/>
      <c r="AG1400" s="681"/>
      <c r="AH1400" s="680"/>
      <c r="AI1400" s="681"/>
      <c r="AJ1400" s="682"/>
      <c r="AK1400" s="683"/>
      <c r="AL1400" s="684" t="s">
        <v>162</v>
      </c>
      <c r="AM1400" s="685"/>
      <c r="AN1400" s="666" t="s">
        <v>162</v>
      </c>
      <c r="AO1400" s="667"/>
      <c r="AP1400" s="686"/>
      <c r="AQ1400" s="687"/>
      <c r="AR1400" s="688"/>
      <c r="AS1400" s="689"/>
      <c r="AT1400" s="690"/>
      <c r="AU1400" s="691"/>
      <c r="AV1400" s="666" t="s">
        <v>162</v>
      </c>
      <c r="AW1400" s="667"/>
      <c r="AX1400" s="692"/>
      <c r="AY1400" s="693"/>
      <c r="AZ1400" s="694"/>
      <c r="BA1400" s="682"/>
      <c r="BB1400" s="683"/>
      <c r="BC1400" s="14"/>
      <c r="BD1400" s="695" t="s">
        <v>162</v>
      </c>
      <c r="BE1400" s="696"/>
      <c r="BF1400" s="697"/>
      <c r="BG1400" s="698"/>
      <c r="BH1400" s="698"/>
      <c r="BI1400" s="699"/>
      <c r="BJ1400" s="700" t="s">
        <v>159</v>
      </c>
      <c r="BK1400" s="701"/>
      <c r="BL1400" s="701"/>
      <c r="BM1400" s="702"/>
      <c r="BN1400" s="703" t="s">
        <v>159</v>
      </c>
      <c r="BO1400" s="704"/>
      <c r="BP1400" s="704"/>
      <c r="BQ1400" s="704"/>
      <c r="BR1400" s="704"/>
      <c r="BS1400" s="704"/>
      <c r="BT1400" s="704"/>
      <c r="BU1400" s="704"/>
      <c r="BV1400" s="705"/>
    </row>
    <row r="1401" spans="1:74" ht="45" customHeight="1" x14ac:dyDescent="0.25">
      <c r="A1401" s="10">
        <f t="shared" si="21"/>
        <v>1387</v>
      </c>
      <c r="B1401" s="711" t="s">
        <v>159</v>
      </c>
      <c r="C1401" s="711"/>
      <c r="D1401" s="712" t="s">
        <v>212</v>
      </c>
      <c r="E1401" s="712"/>
      <c r="F1401" s="664" t="s">
        <v>162</v>
      </c>
      <c r="G1401" s="665"/>
      <c r="H1401" s="755" t="s">
        <v>162</v>
      </c>
      <c r="I1401" s="667"/>
      <c r="J1401" s="706"/>
      <c r="K1401" s="707"/>
      <c r="L1401" s="706"/>
      <c r="M1401" s="707"/>
      <c r="N1401" s="194"/>
      <c r="O1401" s="216"/>
      <c r="P1401" s="717"/>
      <c r="Q1401" s="718"/>
      <c r="R1401" s="719"/>
      <c r="S1401" s="720"/>
      <c r="T1401" s="721"/>
      <c r="U1401" s="722"/>
      <c r="V1401" s="723"/>
      <c r="W1401" s="724"/>
      <c r="X1401" s="725" t="s">
        <v>159</v>
      </c>
      <c r="Y1401" s="725"/>
      <c r="Z1401" s="725"/>
      <c r="AA1401" s="725"/>
      <c r="AB1401" s="726" t="s">
        <v>159</v>
      </c>
      <c r="AC1401" s="726"/>
      <c r="AD1401" s="726"/>
      <c r="AE1401" s="726"/>
      <c r="AF1401" s="727"/>
      <c r="AG1401" s="728"/>
      <c r="AH1401" s="727"/>
      <c r="AI1401" s="728"/>
      <c r="AJ1401" s="682"/>
      <c r="AK1401" s="683"/>
      <c r="AL1401" s="664" t="s">
        <v>162</v>
      </c>
      <c r="AM1401" s="665"/>
      <c r="AN1401" s="713" t="s">
        <v>162</v>
      </c>
      <c r="AO1401" s="714"/>
      <c r="AP1401" s="729"/>
      <c r="AQ1401" s="730"/>
      <c r="AR1401" s="731"/>
      <c r="AS1401" s="732"/>
      <c r="AT1401" s="733"/>
      <c r="AU1401" s="734"/>
      <c r="AV1401" s="713" t="s">
        <v>162</v>
      </c>
      <c r="AW1401" s="714"/>
      <c r="AX1401" s="692"/>
      <c r="AY1401" s="693"/>
      <c r="AZ1401" s="694"/>
      <c r="BA1401" s="735"/>
      <c r="BB1401" s="736"/>
      <c r="BC1401" s="219"/>
      <c r="BD1401" s="737" t="s">
        <v>162</v>
      </c>
      <c r="BE1401" s="738"/>
      <c r="BF1401" s="739"/>
      <c r="BG1401" s="740"/>
      <c r="BH1401" s="740"/>
      <c r="BI1401" s="741"/>
      <c r="BJ1401" s="742" t="s">
        <v>159</v>
      </c>
      <c r="BK1401" s="743"/>
      <c r="BL1401" s="743"/>
      <c r="BM1401" s="744"/>
      <c r="BN1401" s="703" t="s">
        <v>159</v>
      </c>
      <c r="BO1401" s="704"/>
      <c r="BP1401" s="704"/>
      <c r="BQ1401" s="704"/>
      <c r="BR1401" s="704"/>
      <c r="BS1401" s="704"/>
      <c r="BT1401" s="704"/>
      <c r="BU1401" s="704"/>
      <c r="BV1401" s="705"/>
    </row>
    <row r="1402" spans="1:74" ht="45" customHeight="1" x14ac:dyDescent="0.25">
      <c r="A1402" s="10">
        <f t="shared" si="21"/>
        <v>1388</v>
      </c>
      <c r="B1402" s="662" t="s">
        <v>159</v>
      </c>
      <c r="C1402" s="662"/>
      <c r="D1402" s="663" t="s">
        <v>212</v>
      </c>
      <c r="E1402" s="663"/>
      <c r="F1402" s="664" t="s">
        <v>162</v>
      </c>
      <c r="G1402" s="665"/>
      <c r="H1402" s="754" t="s">
        <v>162</v>
      </c>
      <c r="I1402" s="714"/>
      <c r="J1402" s="340"/>
      <c r="K1402" s="341"/>
      <c r="L1402" s="340"/>
      <c r="M1402" s="341"/>
      <c r="N1402" s="215"/>
      <c r="O1402" s="196"/>
      <c r="P1402" s="670"/>
      <c r="Q1402" s="671"/>
      <c r="R1402" s="672"/>
      <c r="S1402" s="673"/>
      <c r="T1402" s="674"/>
      <c r="U1402" s="675"/>
      <c r="V1402" s="676"/>
      <c r="W1402" s="677"/>
      <c r="X1402" s="678" t="s">
        <v>159</v>
      </c>
      <c r="Y1402" s="678"/>
      <c r="Z1402" s="678"/>
      <c r="AA1402" s="678"/>
      <c r="AB1402" s="679" t="s">
        <v>159</v>
      </c>
      <c r="AC1402" s="679"/>
      <c r="AD1402" s="679"/>
      <c r="AE1402" s="679"/>
      <c r="AF1402" s="680"/>
      <c r="AG1402" s="681"/>
      <c r="AH1402" s="680"/>
      <c r="AI1402" s="681"/>
      <c r="AJ1402" s="682"/>
      <c r="AK1402" s="683"/>
      <c r="AL1402" s="684" t="s">
        <v>162</v>
      </c>
      <c r="AM1402" s="685"/>
      <c r="AN1402" s="666" t="s">
        <v>162</v>
      </c>
      <c r="AO1402" s="667"/>
      <c r="AP1402" s="686"/>
      <c r="AQ1402" s="687"/>
      <c r="AR1402" s="688"/>
      <c r="AS1402" s="689"/>
      <c r="AT1402" s="690"/>
      <c r="AU1402" s="691"/>
      <c r="AV1402" s="666" t="s">
        <v>162</v>
      </c>
      <c r="AW1402" s="667"/>
      <c r="AX1402" s="692"/>
      <c r="AY1402" s="693"/>
      <c r="AZ1402" s="694"/>
      <c r="BA1402" s="682"/>
      <c r="BB1402" s="683"/>
      <c r="BC1402" s="14"/>
      <c r="BD1402" s="695" t="s">
        <v>162</v>
      </c>
      <c r="BE1402" s="696"/>
      <c r="BF1402" s="697"/>
      <c r="BG1402" s="698"/>
      <c r="BH1402" s="698"/>
      <c r="BI1402" s="699"/>
      <c r="BJ1402" s="700" t="s">
        <v>159</v>
      </c>
      <c r="BK1402" s="701"/>
      <c r="BL1402" s="701"/>
      <c r="BM1402" s="702"/>
      <c r="BN1402" s="703" t="s">
        <v>159</v>
      </c>
      <c r="BO1402" s="704"/>
      <c r="BP1402" s="704"/>
      <c r="BQ1402" s="704"/>
      <c r="BR1402" s="704"/>
      <c r="BS1402" s="704"/>
      <c r="BT1402" s="704"/>
      <c r="BU1402" s="704"/>
      <c r="BV1402" s="705"/>
    </row>
    <row r="1403" spans="1:74" ht="45" customHeight="1" x14ac:dyDescent="0.25">
      <c r="A1403" s="10">
        <f t="shared" si="21"/>
        <v>1389</v>
      </c>
      <c r="B1403" s="711" t="s">
        <v>159</v>
      </c>
      <c r="C1403" s="711"/>
      <c r="D1403" s="712" t="s">
        <v>212</v>
      </c>
      <c r="E1403" s="712"/>
      <c r="F1403" s="664" t="s">
        <v>162</v>
      </c>
      <c r="G1403" s="665"/>
      <c r="H1403" s="755" t="s">
        <v>162</v>
      </c>
      <c r="I1403" s="667"/>
      <c r="J1403" s="706"/>
      <c r="K1403" s="707"/>
      <c r="L1403" s="706"/>
      <c r="M1403" s="707"/>
      <c r="N1403" s="194"/>
      <c r="O1403" s="216"/>
      <c r="P1403" s="717"/>
      <c r="Q1403" s="718"/>
      <c r="R1403" s="719"/>
      <c r="S1403" s="720"/>
      <c r="T1403" s="721"/>
      <c r="U1403" s="722"/>
      <c r="V1403" s="723"/>
      <c r="W1403" s="724"/>
      <c r="X1403" s="725" t="s">
        <v>159</v>
      </c>
      <c r="Y1403" s="725"/>
      <c r="Z1403" s="725"/>
      <c r="AA1403" s="725"/>
      <c r="AB1403" s="726" t="s">
        <v>159</v>
      </c>
      <c r="AC1403" s="726"/>
      <c r="AD1403" s="726"/>
      <c r="AE1403" s="726"/>
      <c r="AF1403" s="727"/>
      <c r="AG1403" s="728"/>
      <c r="AH1403" s="727"/>
      <c r="AI1403" s="728"/>
      <c r="AJ1403" s="682"/>
      <c r="AK1403" s="683"/>
      <c r="AL1403" s="664" t="s">
        <v>162</v>
      </c>
      <c r="AM1403" s="665"/>
      <c r="AN1403" s="713" t="s">
        <v>162</v>
      </c>
      <c r="AO1403" s="714"/>
      <c r="AP1403" s="729"/>
      <c r="AQ1403" s="730"/>
      <c r="AR1403" s="731"/>
      <c r="AS1403" s="732"/>
      <c r="AT1403" s="733"/>
      <c r="AU1403" s="734"/>
      <c r="AV1403" s="713" t="s">
        <v>162</v>
      </c>
      <c r="AW1403" s="714"/>
      <c r="AX1403" s="692"/>
      <c r="AY1403" s="693"/>
      <c r="AZ1403" s="694"/>
      <c r="BA1403" s="735"/>
      <c r="BB1403" s="736"/>
      <c r="BC1403" s="219"/>
      <c r="BD1403" s="737" t="s">
        <v>162</v>
      </c>
      <c r="BE1403" s="738"/>
      <c r="BF1403" s="739"/>
      <c r="BG1403" s="740"/>
      <c r="BH1403" s="740"/>
      <c r="BI1403" s="741"/>
      <c r="BJ1403" s="742" t="s">
        <v>159</v>
      </c>
      <c r="BK1403" s="743"/>
      <c r="BL1403" s="743"/>
      <c r="BM1403" s="744"/>
      <c r="BN1403" s="703" t="s">
        <v>159</v>
      </c>
      <c r="BO1403" s="704"/>
      <c r="BP1403" s="704"/>
      <c r="BQ1403" s="704"/>
      <c r="BR1403" s="704"/>
      <c r="BS1403" s="704"/>
      <c r="BT1403" s="704"/>
      <c r="BU1403" s="704"/>
      <c r="BV1403" s="705"/>
    </row>
    <row r="1404" spans="1:74" ht="45" customHeight="1" x14ac:dyDescent="0.25">
      <c r="A1404" s="10">
        <f t="shared" si="21"/>
        <v>1390</v>
      </c>
      <c r="B1404" s="662" t="s">
        <v>159</v>
      </c>
      <c r="C1404" s="662"/>
      <c r="D1404" s="663" t="s">
        <v>212</v>
      </c>
      <c r="E1404" s="663"/>
      <c r="F1404" s="664" t="s">
        <v>162</v>
      </c>
      <c r="G1404" s="665"/>
      <c r="H1404" s="754" t="s">
        <v>162</v>
      </c>
      <c r="I1404" s="714"/>
      <c r="J1404" s="340"/>
      <c r="K1404" s="341"/>
      <c r="L1404" s="340"/>
      <c r="M1404" s="341"/>
      <c r="N1404" s="215"/>
      <c r="O1404" s="196"/>
      <c r="P1404" s="670"/>
      <c r="Q1404" s="671"/>
      <c r="R1404" s="672"/>
      <c r="S1404" s="673"/>
      <c r="T1404" s="674"/>
      <c r="U1404" s="675"/>
      <c r="V1404" s="676"/>
      <c r="W1404" s="677"/>
      <c r="X1404" s="678" t="s">
        <v>159</v>
      </c>
      <c r="Y1404" s="678"/>
      <c r="Z1404" s="678"/>
      <c r="AA1404" s="678"/>
      <c r="AB1404" s="679" t="s">
        <v>159</v>
      </c>
      <c r="AC1404" s="679"/>
      <c r="AD1404" s="679"/>
      <c r="AE1404" s="679"/>
      <c r="AF1404" s="680"/>
      <c r="AG1404" s="681"/>
      <c r="AH1404" s="680"/>
      <c r="AI1404" s="681"/>
      <c r="AJ1404" s="682"/>
      <c r="AK1404" s="683"/>
      <c r="AL1404" s="684" t="s">
        <v>162</v>
      </c>
      <c r="AM1404" s="685"/>
      <c r="AN1404" s="666" t="s">
        <v>162</v>
      </c>
      <c r="AO1404" s="667"/>
      <c r="AP1404" s="686"/>
      <c r="AQ1404" s="687"/>
      <c r="AR1404" s="688"/>
      <c r="AS1404" s="689"/>
      <c r="AT1404" s="690"/>
      <c r="AU1404" s="691"/>
      <c r="AV1404" s="666" t="s">
        <v>162</v>
      </c>
      <c r="AW1404" s="667"/>
      <c r="AX1404" s="692"/>
      <c r="AY1404" s="693"/>
      <c r="AZ1404" s="694"/>
      <c r="BA1404" s="682"/>
      <c r="BB1404" s="683"/>
      <c r="BC1404" s="14"/>
      <c r="BD1404" s="695" t="s">
        <v>162</v>
      </c>
      <c r="BE1404" s="696"/>
      <c r="BF1404" s="708"/>
      <c r="BG1404" s="709"/>
      <c r="BH1404" s="709"/>
      <c r="BI1404" s="710"/>
      <c r="BJ1404" s="700" t="s">
        <v>159</v>
      </c>
      <c r="BK1404" s="701"/>
      <c r="BL1404" s="701"/>
      <c r="BM1404" s="702"/>
      <c r="BN1404" s="703" t="s">
        <v>159</v>
      </c>
      <c r="BO1404" s="704"/>
      <c r="BP1404" s="704"/>
      <c r="BQ1404" s="704"/>
      <c r="BR1404" s="704"/>
      <c r="BS1404" s="704"/>
      <c r="BT1404" s="704"/>
      <c r="BU1404" s="704"/>
      <c r="BV1404" s="705"/>
    </row>
    <row r="1405" spans="1:74" ht="45" customHeight="1" x14ac:dyDescent="0.25">
      <c r="A1405" s="10">
        <f t="shared" si="21"/>
        <v>1391</v>
      </c>
      <c r="B1405" s="711" t="s">
        <v>159</v>
      </c>
      <c r="C1405" s="711"/>
      <c r="D1405" s="712" t="s">
        <v>212</v>
      </c>
      <c r="E1405" s="712"/>
      <c r="F1405" s="664" t="s">
        <v>162</v>
      </c>
      <c r="G1405" s="665"/>
      <c r="H1405" s="755" t="s">
        <v>162</v>
      </c>
      <c r="I1405" s="667"/>
      <c r="J1405" s="706"/>
      <c r="K1405" s="707"/>
      <c r="L1405" s="706"/>
      <c r="M1405" s="707"/>
      <c r="N1405" s="194"/>
      <c r="O1405" s="216"/>
      <c r="P1405" s="717"/>
      <c r="Q1405" s="718"/>
      <c r="R1405" s="719"/>
      <c r="S1405" s="720"/>
      <c r="T1405" s="721"/>
      <c r="U1405" s="722"/>
      <c r="V1405" s="723"/>
      <c r="W1405" s="724"/>
      <c r="X1405" s="725" t="s">
        <v>159</v>
      </c>
      <c r="Y1405" s="725"/>
      <c r="Z1405" s="725"/>
      <c r="AA1405" s="725"/>
      <c r="AB1405" s="726" t="s">
        <v>159</v>
      </c>
      <c r="AC1405" s="726"/>
      <c r="AD1405" s="726"/>
      <c r="AE1405" s="726"/>
      <c r="AF1405" s="727"/>
      <c r="AG1405" s="728"/>
      <c r="AH1405" s="727"/>
      <c r="AI1405" s="728"/>
      <c r="AJ1405" s="682"/>
      <c r="AK1405" s="683"/>
      <c r="AL1405" s="664" t="s">
        <v>162</v>
      </c>
      <c r="AM1405" s="665"/>
      <c r="AN1405" s="713" t="s">
        <v>162</v>
      </c>
      <c r="AO1405" s="714"/>
      <c r="AP1405" s="729"/>
      <c r="AQ1405" s="730"/>
      <c r="AR1405" s="731"/>
      <c r="AS1405" s="732"/>
      <c r="AT1405" s="733"/>
      <c r="AU1405" s="734"/>
      <c r="AV1405" s="713" t="s">
        <v>162</v>
      </c>
      <c r="AW1405" s="714"/>
      <c r="AX1405" s="692"/>
      <c r="AY1405" s="693"/>
      <c r="AZ1405" s="694"/>
      <c r="BA1405" s="735"/>
      <c r="BB1405" s="736"/>
      <c r="BC1405" s="219"/>
      <c r="BD1405" s="737" t="s">
        <v>162</v>
      </c>
      <c r="BE1405" s="738"/>
      <c r="BF1405" s="739"/>
      <c r="BG1405" s="740"/>
      <c r="BH1405" s="740"/>
      <c r="BI1405" s="741"/>
      <c r="BJ1405" s="742" t="s">
        <v>159</v>
      </c>
      <c r="BK1405" s="743"/>
      <c r="BL1405" s="743"/>
      <c r="BM1405" s="744"/>
      <c r="BN1405" s="703" t="s">
        <v>159</v>
      </c>
      <c r="BO1405" s="704"/>
      <c r="BP1405" s="704"/>
      <c r="BQ1405" s="704"/>
      <c r="BR1405" s="704"/>
      <c r="BS1405" s="704"/>
      <c r="BT1405" s="704"/>
      <c r="BU1405" s="704"/>
      <c r="BV1405" s="705"/>
    </row>
    <row r="1406" spans="1:74" ht="45" customHeight="1" x14ac:dyDescent="0.25">
      <c r="A1406" s="10">
        <f t="shared" si="21"/>
        <v>1392</v>
      </c>
      <c r="B1406" s="662" t="s">
        <v>159</v>
      </c>
      <c r="C1406" s="662"/>
      <c r="D1406" s="663" t="s">
        <v>212</v>
      </c>
      <c r="E1406" s="663"/>
      <c r="F1406" s="664" t="s">
        <v>162</v>
      </c>
      <c r="G1406" s="665"/>
      <c r="H1406" s="754" t="s">
        <v>162</v>
      </c>
      <c r="I1406" s="714"/>
      <c r="J1406" s="340"/>
      <c r="K1406" s="341"/>
      <c r="L1406" s="340"/>
      <c r="M1406" s="341"/>
      <c r="N1406" s="215"/>
      <c r="O1406" s="196"/>
      <c r="P1406" s="670"/>
      <c r="Q1406" s="671"/>
      <c r="R1406" s="672"/>
      <c r="S1406" s="673"/>
      <c r="T1406" s="674"/>
      <c r="U1406" s="675"/>
      <c r="V1406" s="676"/>
      <c r="W1406" s="677"/>
      <c r="X1406" s="678" t="s">
        <v>159</v>
      </c>
      <c r="Y1406" s="678"/>
      <c r="Z1406" s="678"/>
      <c r="AA1406" s="678"/>
      <c r="AB1406" s="679" t="s">
        <v>159</v>
      </c>
      <c r="AC1406" s="679"/>
      <c r="AD1406" s="679"/>
      <c r="AE1406" s="679"/>
      <c r="AF1406" s="680"/>
      <c r="AG1406" s="681"/>
      <c r="AH1406" s="680"/>
      <c r="AI1406" s="681"/>
      <c r="AJ1406" s="682"/>
      <c r="AK1406" s="683"/>
      <c r="AL1406" s="684" t="s">
        <v>162</v>
      </c>
      <c r="AM1406" s="685"/>
      <c r="AN1406" s="666" t="s">
        <v>162</v>
      </c>
      <c r="AO1406" s="667"/>
      <c r="AP1406" s="686"/>
      <c r="AQ1406" s="687"/>
      <c r="AR1406" s="688"/>
      <c r="AS1406" s="689"/>
      <c r="AT1406" s="690"/>
      <c r="AU1406" s="691"/>
      <c r="AV1406" s="666" t="s">
        <v>162</v>
      </c>
      <c r="AW1406" s="667"/>
      <c r="AX1406" s="692"/>
      <c r="AY1406" s="693"/>
      <c r="AZ1406" s="694"/>
      <c r="BA1406" s="682"/>
      <c r="BB1406" s="683"/>
      <c r="BC1406" s="14"/>
      <c r="BD1406" s="695" t="s">
        <v>162</v>
      </c>
      <c r="BE1406" s="696"/>
      <c r="BF1406" s="697"/>
      <c r="BG1406" s="698"/>
      <c r="BH1406" s="698"/>
      <c r="BI1406" s="699"/>
      <c r="BJ1406" s="700" t="s">
        <v>159</v>
      </c>
      <c r="BK1406" s="701"/>
      <c r="BL1406" s="701"/>
      <c r="BM1406" s="702"/>
      <c r="BN1406" s="703" t="s">
        <v>159</v>
      </c>
      <c r="BO1406" s="704"/>
      <c r="BP1406" s="704"/>
      <c r="BQ1406" s="704"/>
      <c r="BR1406" s="704"/>
      <c r="BS1406" s="704"/>
      <c r="BT1406" s="704"/>
      <c r="BU1406" s="704"/>
      <c r="BV1406" s="705"/>
    </row>
    <row r="1407" spans="1:74" ht="45" customHeight="1" x14ac:dyDescent="0.25">
      <c r="A1407" s="10">
        <f t="shared" si="21"/>
        <v>1393</v>
      </c>
      <c r="B1407" s="662" t="s">
        <v>159</v>
      </c>
      <c r="C1407" s="662"/>
      <c r="D1407" s="663" t="s">
        <v>212</v>
      </c>
      <c r="E1407" s="663"/>
      <c r="F1407" s="664" t="s">
        <v>162</v>
      </c>
      <c r="G1407" s="665"/>
      <c r="H1407" s="755" t="s">
        <v>162</v>
      </c>
      <c r="I1407" s="667"/>
      <c r="J1407" s="706"/>
      <c r="K1407" s="707"/>
      <c r="L1407" s="706"/>
      <c r="M1407" s="707"/>
      <c r="N1407" s="215"/>
      <c r="O1407" s="196"/>
      <c r="P1407" s="670"/>
      <c r="Q1407" s="671"/>
      <c r="R1407" s="672"/>
      <c r="S1407" s="673"/>
      <c r="T1407" s="674"/>
      <c r="U1407" s="675"/>
      <c r="V1407" s="676"/>
      <c r="W1407" s="677"/>
      <c r="X1407" s="678" t="s">
        <v>159</v>
      </c>
      <c r="Y1407" s="678"/>
      <c r="Z1407" s="678"/>
      <c r="AA1407" s="678"/>
      <c r="AB1407" s="679" t="s">
        <v>159</v>
      </c>
      <c r="AC1407" s="679"/>
      <c r="AD1407" s="679"/>
      <c r="AE1407" s="679"/>
      <c r="AF1407" s="680"/>
      <c r="AG1407" s="681"/>
      <c r="AH1407" s="680"/>
      <c r="AI1407" s="681"/>
      <c r="AJ1407" s="682"/>
      <c r="AK1407" s="683"/>
      <c r="AL1407" s="684" t="s">
        <v>162</v>
      </c>
      <c r="AM1407" s="685"/>
      <c r="AN1407" s="666" t="s">
        <v>162</v>
      </c>
      <c r="AO1407" s="667"/>
      <c r="AP1407" s="686"/>
      <c r="AQ1407" s="687"/>
      <c r="AR1407" s="688"/>
      <c r="AS1407" s="689"/>
      <c r="AT1407" s="690"/>
      <c r="AU1407" s="691"/>
      <c r="AV1407" s="666" t="s">
        <v>162</v>
      </c>
      <c r="AW1407" s="667"/>
      <c r="AX1407" s="692"/>
      <c r="AY1407" s="693"/>
      <c r="AZ1407" s="694"/>
      <c r="BA1407" s="682"/>
      <c r="BB1407" s="683"/>
      <c r="BC1407" s="14"/>
      <c r="BD1407" s="695" t="s">
        <v>162</v>
      </c>
      <c r="BE1407" s="696"/>
      <c r="BF1407" s="708"/>
      <c r="BG1407" s="709"/>
      <c r="BH1407" s="709"/>
      <c r="BI1407" s="710"/>
      <c r="BJ1407" s="700" t="s">
        <v>159</v>
      </c>
      <c r="BK1407" s="701"/>
      <c r="BL1407" s="701"/>
      <c r="BM1407" s="702"/>
      <c r="BN1407" s="703" t="s">
        <v>159</v>
      </c>
      <c r="BO1407" s="704"/>
      <c r="BP1407" s="704"/>
      <c r="BQ1407" s="704"/>
      <c r="BR1407" s="704"/>
      <c r="BS1407" s="704"/>
      <c r="BT1407" s="704"/>
      <c r="BU1407" s="704"/>
      <c r="BV1407" s="705"/>
    </row>
    <row r="1408" spans="1:74" ht="45" customHeight="1" x14ac:dyDescent="0.25">
      <c r="A1408" s="10">
        <f t="shared" si="21"/>
        <v>1394</v>
      </c>
      <c r="B1408" s="711" t="s">
        <v>159</v>
      </c>
      <c r="C1408" s="711"/>
      <c r="D1408" s="712" t="s">
        <v>212</v>
      </c>
      <c r="E1408" s="712"/>
      <c r="F1408" s="664" t="s">
        <v>162</v>
      </c>
      <c r="G1408" s="665"/>
      <c r="H1408" s="754" t="s">
        <v>162</v>
      </c>
      <c r="I1408" s="714"/>
      <c r="J1408" s="340"/>
      <c r="K1408" s="341"/>
      <c r="L1408" s="340"/>
      <c r="M1408" s="341"/>
      <c r="N1408" s="194"/>
      <c r="O1408" s="216"/>
      <c r="P1408" s="717"/>
      <c r="Q1408" s="718"/>
      <c r="R1408" s="719"/>
      <c r="S1408" s="720"/>
      <c r="T1408" s="721"/>
      <c r="U1408" s="722"/>
      <c r="V1408" s="723"/>
      <c r="W1408" s="724"/>
      <c r="X1408" s="725" t="s">
        <v>159</v>
      </c>
      <c r="Y1408" s="725"/>
      <c r="Z1408" s="725"/>
      <c r="AA1408" s="725"/>
      <c r="AB1408" s="726" t="s">
        <v>159</v>
      </c>
      <c r="AC1408" s="726"/>
      <c r="AD1408" s="726"/>
      <c r="AE1408" s="726"/>
      <c r="AF1408" s="727"/>
      <c r="AG1408" s="728"/>
      <c r="AH1408" s="727"/>
      <c r="AI1408" s="728"/>
      <c r="AJ1408" s="682"/>
      <c r="AK1408" s="683"/>
      <c r="AL1408" s="664" t="s">
        <v>162</v>
      </c>
      <c r="AM1408" s="665"/>
      <c r="AN1408" s="713" t="s">
        <v>162</v>
      </c>
      <c r="AO1408" s="714"/>
      <c r="AP1408" s="729"/>
      <c r="AQ1408" s="730"/>
      <c r="AR1408" s="731"/>
      <c r="AS1408" s="732"/>
      <c r="AT1408" s="733"/>
      <c r="AU1408" s="734"/>
      <c r="AV1408" s="713" t="s">
        <v>162</v>
      </c>
      <c r="AW1408" s="714"/>
      <c r="AX1408" s="692"/>
      <c r="AY1408" s="693"/>
      <c r="AZ1408" s="694"/>
      <c r="BA1408" s="735"/>
      <c r="BB1408" s="736"/>
      <c r="BC1408" s="219"/>
      <c r="BD1408" s="737" t="s">
        <v>162</v>
      </c>
      <c r="BE1408" s="738"/>
      <c r="BF1408" s="739"/>
      <c r="BG1408" s="740"/>
      <c r="BH1408" s="740"/>
      <c r="BI1408" s="741"/>
      <c r="BJ1408" s="742" t="s">
        <v>159</v>
      </c>
      <c r="BK1408" s="743"/>
      <c r="BL1408" s="743"/>
      <c r="BM1408" s="744"/>
      <c r="BN1408" s="703" t="s">
        <v>159</v>
      </c>
      <c r="BO1408" s="704"/>
      <c r="BP1408" s="704"/>
      <c r="BQ1408" s="704"/>
      <c r="BR1408" s="704"/>
      <c r="BS1408" s="704"/>
      <c r="BT1408" s="704"/>
      <c r="BU1408" s="704"/>
      <c r="BV1408" s="705"/>
    </row>
    <row r="1409" spans="1:74" ht="45" customHeight="1" x14ac:dyDescent="0.25">
      <c r="A1409" s="10">
        <f t="shared" si="21"/>
        <v>1395</v>
      </c>
      <c r="B1409" s="662" t="s">
        <v>159</v>
      </c>
      <c r="C1409" s="662"/>
      <c r="D1409" s="663" t="s">
        <v>212</v>
      </c>
      <c r="E1409" s="663"/>
      <c r="F1409" s="664" t="s">
        <v>162</v>
      </c>
      <c r="G1409" s="665"/>
      <c r="H1409" s="755" t="s">
        <v>162</v>
      </c>
      <c r="I1409" s="667"/>
      <c r="J1409" s="706"/>
      <c r="K1409" s="707"/>
      <c r="L1409" s="706"/>
      <c r="M1409" s="707"/>
      <c r="N1409" s="215"/>
      <c r="O1409" s="196"/>
      <c r="P1409" s="670"/>
      <c r="Q1409" s="671"/>
      <c r="R1409" s="672"/>
      <c r="S1409" s="673"/>
      <c r="T1409" s="674"/>
      <c r="U1409" s="675"/>
      <c r="V1409" s="676"/>
      <c r="W1409" s="677"/>
      <c r="X1409" s="678" t="s">
        <v>159</v>
      </c>
      <c r="Y1409" s="678"/>
      <c r="Z1409" s="678"/>
      <c r="AA1409" s="678"/>
      <c r="AB1409" s="679" t="s">
        <v>159</v>
      </c>
      <c r="AC1409" s="679"/>
      <c r="AD1409" s="679"/>
      <c r="AE1409" s="679"/>
      <c r="AF1409" s="680"/>
      <c r="AG1409" s="681"/>
      <c r="AH1409" s="680"/>
      <c r="AI1409" s="681"/>
      <c r="AJ1409" s="682"/>
      <c r="AK1409" s="683"/>
      <c r="AL1409" s="684" t="s">
        <v>162</v>
      </c>
      <c r="AM1409" s="685"/>
      <c r="AN1409" s="666" t="s">
        <v>162</v>
      </c>
      <c r="AO1409" s="667"/>
      <c r="AP1409" s="686"/>
      <c r="AQ1409" s="687"/>
      <c r="AR1409" s="688"/>
      <c r="AS1409" s="689"/>
      <c r="AT1409" s="690"/>
      <c r="AU1409" s="691"/>
      <c r="AV1409" s="666" t="s">
        <v>162</v>
      </c>
      <c r="AW1409" s="667"/>
      <c r="AX1409" s="692"/>
      <c r="AY1409" s="693"/>
      <c r="AZ1409" s="694"/>
      <c r="BA1409" s="682"/>
      <c r="BB1409" s="683"/>
      <c r="BC1409" s="14"/>
      <c r="BD1409" s="695" t="s">
        <v>162</v>
      </c>
      <c r="BE1409" s="696"/>
      <c r="BF1409" s="697"/>
      <c r="BG1409" s="698"/>
      <c r="BH1409" s="698"/>
      <c r="BI1409" s="699"/>
      <c r="BJ1409" s="700" t="s">
        <v>159</v>
      </c>
      <c r="BK1409" s="701"/>
      <c r="BL1409" s="701"/>
      <c r="BM1409" s="702"/>
      <c r="BN1409" s="703" t="s">
        <v>159</v>
      </c>
      <c r="BO1409" s="704"/>
      <c r="BP1409" s="704"/>
      <c r="BQ1409" s="704"/>
      <c r="BR1409" s="704"/>
      <c r="BS1409" s="704"/>
      <c r="BT1409" s="704"/>
      <c r="BU1409" s="704"/>
      <c r="BV1409" s="705"/>
    </row>
    <row r="1410" spans="1:74" ht="45" customHeight="1" x14ac:dyDescent="0.25">
      <c r="A1410" s="10">
        <f t="shared" si="21"/>
        <v>1396</v>
      </c>
      <c r="B1410" s="662" t="s">
        <v>159</v>
      </c>
      <c r="C1410" s="662"/>
      <c r="D1410" s="663" t="s">
        <v>212</v>
      </c>
      <c r="E1410" s="663"/>
      <c r="F1410" s="664" t="s">
        <v>162</v>
      </c>
      <c r="G1410" s="665"/>
      <c r="H1410" s="754" t="s">
        <v>162</v>
      </c>
      <c r="I1410" s="714"/>
      <c r="J1410" s="340"/>
      <c r="K1410" s="341"/>
      <c r="L1410" s="340"/>
      <c r="M1410" s="341"/>
      <c r="N1410" s="194"/>
      <c r="O1410" s="196"/>
      <c r="P1410" s="717"/>
      <c r="Q1410" s="718"/>
      <c r="R1410" s="672"/>
      <c r="S1410" s="673"/>
      <c r="T1410" s="674"/>
      <c r="U1410" s="675"/>
      <c r="V1410" s="676"/>
      <c r="W1410" s="677"/>
      <c r="X1410" s="678" t="s">
        <v>159</v>
      </c>
      <c r="Y1410" s="678"/>
      <c r="Z1410" s="678"/>
      <c r="AA1410" s="678"/>
      <c r="AB1410" s="679" t="s">
        <v>159</v>
      </c>
      <c r="AC1410" s="679"/>
      <c r="AD1410" s="679"/>
      <c r="AE1410" s="679"/>
      <c r="AF1410" s="680"/>
      <c r="AG1410" s="681"/>
      <c r="AH1410" s="680"/>
      <c r="AI1410" s="681"/>
      <c r="AJ1410" s="682"/>
      <c r="AK1410" s="683"/>
      <c r="AL1410" s="684" t="s">
        <v>162</v>
      </c>
      <c r="AM1410" s="685"/>
      <c r="AN1410" s="666" t="s">
        <v>162</v>
      </c>
      <c r="AO1410" s="667"/>
      <c r="AP1410" s="686"/>
      <c r="AQ1410" s="687"/>
      <c r="AR1410" s="688"/>
      <c r="AS1410" s="689"/>
      <c r="AT1410" s="690"/>
      <c r="AU1410" s="691"/>
      <c r="AV1410" s="666" t="s">
        <v>162</v>
      </c>
      <c r="AW1410" s="667"/>
      <c r="AX1410" s="692"/>
      <c r="AY1410" s="693"/>
      <c r="AZ1410" s="694"/>
      <c r="BA1410" s="682"/>
      <c r="BB1410" s="683"/>
      <c r="BC1410" s="14"/>
      <c r="BD1410" s="695" t="s">
        <v>162</v>
      </c>
      <c r="BE1410" s="696"/>
      <c r="BF1410" s="708"/>
      <c r="BG1410" s="709"/>
      <c r="BH1410" s="709"/>
      <c r="BI1410" s="710"/>
      <c r="BJ1410" s="700" t="s">
        <v>159</v>
      </c>
      <c r="BK1410" s="701"/>
      <c r="BL1410" s="701"/>
      <c r="BM1410" s="702"/>
      <c r="BN1410" s="703" t="s">
        <v>159</v>
      </c>
      <c r="BO1410" s="704"/>
      <c r="BP1410" s="704"/>
      <c r="BQ1410" s="704"/>
      <c r="BR1410" s="704"/>
      <c r="BS1410" s="704"/>
      <c r="BT1410" s="704"/>
      <c r="BU1410" s="704"/>
      <c r="BV1410" s="705"/>
    </row>
    <row r="1411" spans="1:74" ht="45" customHeight="1" x14ac:dyDescent="0.25">
      <c r="A1411" s="10">
        <f t="shared" si="21"/>
        <v>1397</v>
      </c>
      <c r="B1411" s="711" t="s">
        <v>159</v>
      </c>
      <c r="C1411" s="711"/>
      <c r="D1411" s="712" t="s">
        <v>212</v>
      </c>
      <c r="E1411" s="712"/>
      <c r="F1411" s="664" t="s">
        <v>162</v>
      </c>
      <c r="G1411" s="665"/>
      <c r="H1411" s="755" t="s">
        <v>162</v>
      </c>
      <c r="I1411" s="667"/>
      <c r="J1411" s="706"/>
      <c r="K1411" s="707"/>
      <c r="L1411" s="706"/>
      <c r="M1411" s="707"/>
      <c r="N1411" s="215"/>
      <c r="O1411" s="216"/>
      <c r="P1411" s="670"/>
      <c r="Q1411" s="671"/>
      <c r="R1411" s="719"/>
      <c r="S1411" s="720"/>
      <c r="T1411" s="721"/>
      <c r="U1411" s="722"/>
      <c r="V1411" s="723"/>
      <c r="W1411" s="724"/>
      <c r="X1411" s="725" t="s">
        <v>159</v>
      </c>
      <c r="Y1411" s="725"/>
      <c r="Z1411" s="725"/>
      <c r="AA1411" s="725"/>
      <c r="AB1411" s="726" t="s">
        <v>159</v>
      </c>
      <c r="AC1411" s="726"/>
      <c r="AD1411" s="726"/>
      <c r="AE1411" s="726"/>
      <c r="AF1411" s="727"/>
      <c r="AG1411" s="728"/>
      <c r="AH1411" s="727"/>
      <c r="AI1411" s="728"/>
      <c r="AJ1411" s="682"/>
      <c r="AK1411" s="683"/>
      <c r="AL1411" s="664" t="s">
        <v>162</v>
      </c>
      <c r="AM1411" s="665"/>
      <c r="AN1411" s="713" t="s">
        <v>162</v>
      </c>
      <c r="AO1411" s="714"/>
      <c r="AP1411" s="729"/>
      <c r="AQ1411" s="730"/>
      <c r="AR1411" s="731"/>
      <c r="AS1411" s="732"/>
      <c r="AT1411" s="690"/>
      <c r="AU1411" s="691"/>
      <c r="AV1411" s="713" t="s">
        <v>162</v>
      </c>
      <c r="AW1411" s="714"/>
      <c r="AX1411" s="692"/>
      <c r="AY1411" s="693"/>
      <c r="AZ1411" s="694"/>
      <c r="BA1411" s="735"/>
      <c r="BB1411" s="736"/>
      <c r="BC1411" s="219"/>
      <c r="BD1411" s="737" t="s">
        <v>162</v>
      </c>
      <c r="BE1411" s="738"/>
      <c r="BF1411" s="739"/>
      <c r="BG1411" s="740"/>
      <c r="BH1411" s="740"/>
      <c r="BI1411" s="741"/>
      <c r="BJ1411" s="742" t="s">
        <v>159</v>
      </c>
      <c r="BK1411" s="743"/>
      <c r="BL1411" s="743"/>
      <c r="BM1411" s="744"/>
      <c r="BN1411" s="703" t="s">
        <v>159</v>
      </c>
      <c r="BO1411" s="704"/>
      <c r="BP1411" s="704"/>
      <c r="BQ1411" s="704"/>
      <c r="BR1411" s="704"/>
      <c r="BS1411" s="704"/>
      <c r="BT1411" s="704"/>
      <c r="BU1411" s="704"/>
      <c r="BV1411" s="705"/>
    </row>
    <row r="1412" spans="1:74" ht="45" customHeight="1" x14ac:dyDescent="0.25">
      <c r="A1412" s="10">
        <f t="shared" si="21"/>
        <v>1398</v>
      </c>
      <c r="B1412" s="662" t="s">
        <v>159</v>
      </c>
      <c r="C1412" s="662"/>
      <c r="D1412" s="663" t="s">
        <v>212</v>
      </c>
      <c r="E1412" s="663"/>
      <c r="F1412" s="664" t="s">
        <v>162</v>
      </c>
      <c r="G1412" s="665"/>
      <c r="H1412" s="754" t="s">
        <v>162</v>
      </c>
      <c r="I1412" s="714"/>
      <c r="J1412" s="340"/>
      <c r="K1412" s="341"/>
      <c r="L1412" s="340"/>
      <c r="M1412" s="341"/>
      <c r="N1412" s="194"/>
      <c r="O1412" s="196"/>
      <c r="P1412" s="717"/>
      <c r="Q1412" s="718"/>
      <c r="R1412" s="672"/>
      <c r="S1412" s="673"/>
      <c r="T1412" s="674"/>
      <c r="U1412" s="675"/>
      <c r="V1412" s="676"/>
      <c r="W1412" s="677"/>
      <c r="X1412" s="678" t="s">
        <v>159</v>
      </c>
      <c r="Y1412" s="678"/>
      <c r="Z1412" s="678"/>
      <c r="AA1412" s="678"/>
      <c r="AB1412" s="679" t="s">
        <v>159</v>
      </c>
      <c r="AC1412" s="679"/>
      <c r="AD1412" s="679"/>
      <c r="AE1412" s="679"/>
      <c r="AF1412" s="680"/>
      <c r="AG1412" s="681"/>
      <c r="AH1412" s="680"/>
      <c r="AI1412" s="681"/>
      <c r="AJ1412" s="682"/>
      <c r="AK1412" s="683"/>
      <c r="AL1412" s="684" t="s">
        <v>162</v>
      </c>
      <c r="AM1412" s="685"/>
      <c r="AN1412" s="666" t="s">
        <v>162</v>
      </c>
      <c r="AO1412" s="667"/>
      <c r="AP1412" s="686"/>
      <c r="AQ1412" s="687"/>
      <c r="AR1412" s="688"/>
      <c r="AS1412" s="689"/>
      <c r="AT1412" s="690"/>
      <c r="AU1412" s="691"/>
      <c r="AV1412" s="666" t="s">
        <v>162</v>
      </c>
      <c r="AW1412" s="667"/>
      <c r="AX1412" s="692"/>
      <c r="AY1412" s="693"/>
      <c r="AZ1412" s="694"/>
      <c r="BA1412" s="682"/>
      <c r="BB1412" s="683"/>
      <c r="BC1412" s="14"/>
      <c r="BD1412" s="695" t="s">
        <v>162</v>
      </c>
      <c r="BE1412" s="696"/>
      <c r="BF1412" s="697"/>
      <c r="BG1412" s="698"/>
      <c r="BH1412" s="698"/>
      <c r="BI1412" s="699"/>
      <c r="BJ1412" s="700" t="s">
        <v>159</v>
      </c>
      <c r="BK1412" s="701"/>
      <c r="BL1412" s="701"/>
      <c r="BM1412" s="702"/>
      <c r="BN1412" s="703" t="s">
        <v>159</v>
      </c>
      <c r="BO1412" s="704"/>
      <c r="BP1412" s="704"/>
      <c r="BQ1412" s="704"/>
      <c r="BR1412" s="704"/>
      <c r="BS1412" s="704"/>
      <c r="BT1412" s="704"/>
      <c r="BU1412" s="704"/>
      <c r="BV1412" s="705"/>
    </row>
    <row r="1413" spans="1:74" ht="45" customHeight="1" x14ac:dyDescent="0.25">
      <c r="A1413" s="10">
        <f t="shared" si="21"/>
        <v>1399</v>
      </c>
      <c r="B1413" s="711" t="s">
        <v>159</v>
      </c>
      <c r="C1413" s="711"/>
      <c r="D1413" s="712" t="s">
        <v>212</v>
      </c>
      <c r="E1413" s="712"/>
      <c r="F1413" s="664" t="s">
        <v>162</v>
      </c>
      <c r="G1413" s="665"/>
      <c r="H1413" s="755" t="s">
        <v>162</v>
      </c>
      <c r="I1413" s="667"/>
      <c r="J1413" s="706"/>
      <c r="K1413" s="707"/>
      <c r="L1413" s="706"/>
      <c r="M1413" s="707"/>
      <c r="N1413" s="215"/>
      <c r="O1413" s="216"/>
      <c r="P1413" s="670"/>
      <c r="Q1413" s="671"/>
      <c r="R1413" s="719"/>
      <c r="S1413" s="720"/>
      <c r="T1413" s="721"/>
      <c r="U1413" s="722"/>
      <c r="V1413" s="723"/>
      <c r="W1413" s="724"/>
      <c r="X1413" s="725" t="s">
        <v>159</v>
      </c>
      <c r="Y1413" s="725"/>
      <c r="Z1413" s="725"/>
      <c r="AA1413" s="725"/>
      <c r="AB1413" s="726" t="s">
        <v>159</v>
      </c>
      <c r="AC1413" s="726"/>
      <c r="AD1413" s="726"/>
      <c r="AE1413" s="726"/>
      <c r="AF1413" s="727"/>
      <c r="AG1413" s="728"/>
      <c r="AH1413" s="727"/>
      <c r="AI1413" s="728"/>
      <c r="AJ1413" s="682"/>
      <c r="AK1413" s="683"/>
      <c r="AL1413" s="664" t="s">
        <v>162</v>
      </c>
      <c r="AM1413" s="665"/>
      <c r="AN1413" s="713" t="s">
        <v>162</v>
      </c>
      <c r="AO1413" s="714"/>
      <c r="AP1413" s="729"/>
      <c r="AQ1413" s="730"/>
      <c r="AR1413" s="731"/>
      <c r="AS1413" s="732"/>
      <c r="AT1413" s="690"/>
      <c r="AU1413" s="691"/>
      <c r="AV1413" s="713" t="s">
        <v>162</v>
      </c>
      <c r="AW1413" s="714"/>
      <c r="AX1413" s="692"/>
      <c r="AY1413" s="693"/>
      <c r="AZ1413" s="694"/>
      <c r="BA1413" s="735"/>
      <c r="BB1413" s="736"/>
      <c r="BC1413" s="219"/>
      <c r="BD1413" s="737" t="s">
        <v>162</v>
      </c>
      <c r="BE1413" s="738"/>
      <c r="BF1413" s="739"/>
      <c r="BG1413" s="740"/>
      <c r="BH1413" s="740"/>
      <c r="BI1413" s="741"/>
      <c r="BJ1413" s="742" t="s">
        <v>159</v>
      </c>
      <c r="BK1413" s="743"/>
      <c r="BL1413" s="743"/>
      <c r="BM1413" s="744"/>
      <c r="BN1413" s="703" t="s">
        <v>159</v>
      </c>
      <c r="BO1413" s="704"/>
      <c r="BP1413" s="704"/>
      <c r="BQ1413" s="704"/>
      <c r="BR1413" s="704"/>
      <c r="BS1413" s="704"/>
      <c r="BT1413" s="704"/>
      <c r="BU1413" s="704"/>
      <c r="BV1413" s="705"/>
    </row>
    <row r="1414" spans="1:74" ht="45" customHeight="1" x14ac:dyDescent="0.25">
      <c r="A1414" s="10">
        <f t="shared" si="21"/>
        <v>1400</v>
      </c>
      <c r="B1414" s="662" t="s">
        <v>159</v>
      </c>
      <c r="C1414" s="662"/>
      <c r="D1414" s="663" t="s">
        <v>212</v>
      </c>
      <c r="E1414" s="663"/>
      <c r="F1414" s="664" t="s">
        <v>162</v>
      </c>
      <c r="G1414" s="665"/>
      <c r="H1414" s="754" t="s">
        <v>162</v>
      </c>
      <c r="I1414" s="714"/>
      <c r="J1414" s="340"/>
      <c r="K1414" s="341"/>
      <c r="L1414" s="340"/>
      <c r="M1414" s="341"/>
      <c r="N1414" s="194"/>
      <c r="O1414" s="196"/>
      <c r="P1414" s="717"/>
      <c r="Q1414" s="718"/>
      <c r="R1414" s="672"/>
      <c r="S1414" s="673"/>
      <c r="T1414" s="674"/>
      <c r="U1414" s="675"/>
      <c r="V1414" s="676"/>
      <c r="W1414" s="677"/>
      <c r="X1414" s="678" t="s">
        <v>159</v>
      </c>
      <c r="Y1414" s="678"/>
      <c r="Z1414" s="678"/>
      <c r="AA1414" s="678"/>
      <c r="AB1414" s="679" t="s">
        <v>159</v>
      </c>
      <c r="AC1414" s="679"/>
      <c r="AD1414" s="679"/>
      <c r="AE1414" s="679"/>
      <c r="AF1414" s="680"/>
      <c r="AG1414" s="681"/>
      <c r="AH1414" s="680"/>
      <c r="AI1414" s="681"/>
      <c r="AJ1414" s="682"/>
      <c r="AK1414" s="683"/>
      <c r="AL1414" s="684" t="s">
        <v>162</v>
      </c>
      <c r="AM1414" s="685"/>
      <c r="AN1414" s="666" t="s">
        <v>162</v>
      </c>
      <c r="AO1414" s="667"/>
      <c r="AP1414" s="686"/>
      <c r="AQ1414" s="687"/>
      <c r="AR1414" s="688"/>
      <c r="AS1414" s="689"/>
      <c r="AT1414" s="690"/>
      <c r="AU1414" s="691"/>
      <c r="AV1414" s="666" t="s">
        <v>162</v>
      </c>
      <c r="AW1414" s="667"/>
      <c r="AX1414" s="692"/>
      <c r="AY1414" s="693"/>
      <c r="AZ1414" s="694"/>
      <c r="BA1414" s="682"/>
      <c r="BB1414" s="683"/>
      <c r="BC1414" s="14"/>
      <c r="BD1414" s="695" t="s">
        <v>162</v>
      </c>
      <c r="BE1414" s="696"/>
      <c r="BF1414" s="697"/>
      <c r="BG1414" s="698"/>
      <c r="BH1414" s="698"/>
      <c r="BI1414" s="699"/>
      <c r="BJ1414" s="700" t="s">
        <v>159</v>
      </c>
      <c r="BK1414" s="701"/>
      <c r="BL1414" s="701"/>
      <c r="BM1414" s="702"/>
      <c r="BN1414" s="703" t="s">
        <v>159</v>
      </c>
      <c r="BO1414" s="704"/>
      <c r="BP1414" s="704"/>
      <c r="BQ1414" s="704"/>
      <c r="BR1414" s="704"/>
      <c r="BS1414" s="704"/>
      <c r="BT1414" s="704"/>
      <c r="BU1414" s="704"/>
      <c r="BV1414" s="705"/>
    </row>
    <row r="1415" spans="1:74" ht="45" customHeight="1" x14ac:dyDescent="0.25">
      <c r="A1415" s="10">
        <f t="shared" si="21"/>
        <v>1401</v>
      </c>
      <c r="B1415" s="711" t="s">
        <v>159</v>
      </c>
      <c r="C1415" s="711"/>
      <c r="D1415" s="712" t="s">
        <v>212</v>
      </c>
      <c r="E1415" s="712"/>
      <c r="F1415" s="664" t="s">
        <v>162</v>
      </c>
      <c r="G1415" s="665"/>
      <c r="H1415" s="755" t="s">
        <v>162</v>
      </c>
      <c r="I1415" s="667"/>
      <c r="J1415" s="706"/>
      <c r="K1415" s="707"/>
      <c r="L1415" s="706"/>
      <c r="M1415" s="707"/>
      <c r="N1415" s="215"/>
      <c r="O1415" s="216"/>
      <c r="P1415" s="670"/>
      <c r="Q1415" s="671"/>
      <c r="R1415" s="719"/>
      <c r="S1415" s="720"/>
      <c r="T1415" s="721"/>
      <c r="U1415" s="722"/>
      <c r="V1415" s="723"/>
      <c r="W1415" s="724"/>
      <c r="X1415" s="725" t="s">
        <v>159</v>
      </c>
      <c r="Y1415" s="725"/>
      <c r="Z1415" s="725"/>
      <c r="AA1415" s="725"/>
      <c r="AB1415" s="726" t="s">
        <v>159</v>
      </c>
      <c r="AC1415" s="726"/>
      <c r="AD1415" s="726"/>
      <c r="AE1415" s="726"/>
      <c r="AF1415" s="727"/>
      <c r="AG1415" s="728"/>
      <c r="AH1415" s="727"/>
      <c r="AI1415" s="728"/>
      <c r="AJ1415" s="682"/>
      <c r="AK1415" s="683"/>
      <c r="AL1415" s="664" t="s">
        <v>162</v>
      </c>
      <c r="AM1415" s="665"/>
      <c r="AN1415" s="713" t="s">
        <v>162</v>
      </c>
      <c r="AO1415" s="714"/>
      <c r="AP1415" s="729"/>
      <c r="AQ1415" s="730"/>
      <c r="AR1415" s="731"/>
      <c r="AS1415" s="732"/>
      <c r="AT1415" s="733"/>
      <c r="AU1415" s="734"/>
      <c r="AV1415" s="713" t="s">
        <v>162</v>
      </c>
      <c r="AW1415" s="714"/>
      <c r="AX1415" s="692"/>
      <c r="AY1415" s="693"/>
      <c r="AZ1415" s="694"/>
      <c r="BA1415" s="735"/>
      <c r="BB1415" s="736"/>
      <c r="BC1415" s="219"/>
      <c r="BD1415" s="737" t="s">
        <v>162</v>
      </c>
      <c r="BE1415" s="738"/>
      <c r="BF1415" s="739"/>
      <c r="BG1415" s="740"/>
      <c r="BH1415" s="740"/>
      <c r="BI1415" s="741"/>
      <c r="BJ1415" s="742" t="s">
        <v>159</v>
      </c>
      <c r="BK1415" s="743"/>
      <c r="BL1415" s="743"/>
      <c r="BM1415" s="744"/>
      <c r="BN1415" s="703" t="s">
        <v>159</v>
      </c>
      <c r="BO1415" s="704"/>
      <c r="BP1415" s="704"/>
      <c r="BQ1415" s="704"/>
      <c r="BR1415" s="704"/>
      <c r="BS1415" s="704"/>
      <c r="BT1415" s="704"/>
      <c r="BU1415" s="704"/>
      <c r="BV1415" s="705"/>
    </row>
    <row r="1416" spans="1:74" ht="45" customHeight="1" x14ac:dyDescent="0.25">
      <c r="A1416" s="10">
        <f t="shared" si="21"/>
        <v>1402</v>
      </c>
      <c r="B1416" s="662" t="s">
        <v>159</v>
      </c>
      <c r="C1416" s="662"/>
      <c r="D1416" s="663" t="s">
        <v>212</v>
      </c>
      <c r="E1416" s="663"/>
      <c r="F1416" s="664" t="s">
        <v>162</v>
      </c>
      <c r="G1416" s="665"/>
      <c r="H1416" s="754" t="s">
        <v>162</v>
      </c>
      <c r="I1416" s="714"/>
      <c r="J1416" s="340"/>
      <c r="K1416" s="341"/>
      <c r="L1416" s="340"/>
      <c r="M1416" s="341"/>
      <c r="N1416" s="194"/>
      <c r="O1416" s="196"/>
      <c r="P1416" s="717"/>
      <c r="Q1416" s="718"/>
      <c r="R1416" s="672"/>
      <c r="S1416" s="673"/>
      <c r="T1416" s="674"/>
      <c r="U1416" s="675"/>
      <c r="V1416" s="676"/>
      <c r="W1416" s="677"/>
      <c r="X1416" s="678" t="s">
        <v>159</v>
      </c>
      <c r="Y1416" s="678"/>
      <c r="Z1416" s="678"/>
      <c r="AA1416" s="678"/>
      <c r="AB1416" s="679" t="s">
        <v>159</v>
      </c>
      <c r="AC1416" s="679"/>
      <c r="AD1416" s="679"/>
      <c r="AE1416" s="679"/>
      <c r="AF1416" s="680"/>
      <c r="AG1416" s="681"/>
      <c r="AH1416" s="680"/>
      <c r="AI1416" s="681"/>
      <c r="AJ1416" s="682"/>
      <c r="AK1416" s="683"/>
      <c r="AL1416" s="684" t="s">
        <v>162</v>
      </c>
      <c r="AM1416" s="685"/>
      <c r="AN1416" s="666" t="s">
        <v>162</v>
      </c>
      <c r="AO1416" s="667"/>
      <c r="AP1416" s="686"/>
      <c r="AQ1416" s="687"/>
      <c r="AR1416" s="688"/>
      <c r="AS1416" s="689"/>
      <c r="AT1416" s="690"/>
      <c r="AU1416" s="691"/>
      <c r="AV1416" s="666" t="s">
        <v>162</v>
      </c>
      <c r="AW1416" s="667"/>
      <c r="AX1416" s="692"/>
      <c r="AY1416" s="693"/>
      <c r="AZ1416" s="694"/>
      <c r="BA1416" s="682"/>
      <c r="BB1416" s="683"/>
      <c r="BC1416" s="14"/>
      <c r="BD1416" s="695" t="s">
        <v>162</v>
      </c>
      <c r="BE1416" s="696"/>
      <c r="BF1416" s="708"/>
      <c r="BG1416" s="709"/>
      <c r="BH1416" s="709"/>
      <c r="BI1416" s="710"/>
      <c r="BJ1416" s="700" t="s">
        <v>159</v>
      </c>
      <c r="BK1416" s="701"/>
      <c r="BL1416" s="701"/>
      <c r="BM1416" s="702"/>
      <c r="BN1416" s="703" t="s">
        <v>159</v>
      </c>
      <c r="BO1416" s="704"/>
      <c r="BP1416" s="704"/>
      <c r="BQ1416" s="704"/>
      <c r="BR1416" s="704"/>
      <c r="BS1416" s="704"/>
      <c r="BT1416" s="704"/>
      <c r="BU1416" s="704"/>
      <c r="BV1416" s="705"/>
    </row>
    <row r="1417" spans="1:74" ht="45" customHeight="1" x14ac:dyDescent="0.25">
      <c r="A1417" s="10">
        <f t="shared" si="21"/>
        <v>1403</v>
      </c>
      <c r="B1417" s="711" t="s">
        <v>159</v>
      </c>
      <c r="C1417" s="711"/>
      <c r="D1417" s="712" t="s">
        <v>212</v>
      </c>
      <c r="E1417" s="712"/>
      <c r="F1417" s="664" t="s">
        <v>162</v>
      </c>
      <c r="G1417" s="665"/>
      <c r="H1417" s="755" t="s">
        <v>162</v>
      </c>
      <c r="I1417" s="667"/>
      <c r="J1417" s="706"/>
      <c r="K1417" s="707"/>
      <c r="L1417" s="706"/>
      <c r="M1417" s="707"/>
      <c r="N1417" s="215"/>
      <c r="O1417" s="216"/>
      <c r="P1417" s="670"/>
      <c r="Q1417" s="671"/>
      <c r="R1417" s="719"/>
      <c r="S1417" s="720"/>
      <c r="T1417" s="721"/>
      <c r="U1417" s="722"/>
      <c r="V1417" s="723"/>
      <c r="W1417" s="724"/>
      <c r="X1417" s="725" t="s">
        <v>159</v>
      </c>
      <c r="Y1417" s="725"/>
      <c r="Z1417" s="725"/>
      <c r="AA1417" s="725"/>
      <c r="AB1417" s="726" t="s">
        <v>159</v>
      </c>
      <c r="AC1417" s="726"/>
      <c r="AD1417" s="726"/>
      <c r="AE1417" s="726"/>
      <c r="AF1417" s="727"/>
      <c r="AG1417" s="728"/>
      <c r="AH1417" s="727"/>
      <c r="AI1417" s="728"/>
      <c r="AJ1417" s="682"/>
      <c r="AK1417" s="683"/>
      <c r="AL1417" s="664" t="s">
        <v>162</v>
      </c>
      <c r="AM1417" s="665"/>
      <c r="AN1417" s="713" t="s">
        <v>162</v>
      </c>
      <c r="AO1417" s="714"/>
      <c r="AP1417" s="729"/>
      <c r="AQ1417" s="730"/>
      <c r="AR1417" s="731"/>
      <c r="AS1417" s="732"/>
      <c r="AT1417" s="733"/>
      <c r="AU1417" s="734"/>
      <c r="AV1417" s="713" t="s">
        <v>162</v>
      </c>
      <c r="AW1417" s="714"/>
      <c r="AX1417" s="692"/>
      <c r="AY1417" s="693"/>
      <c r="AZ1417" s="694"/>
      <c r="BA1417" s="735"/>
      <c r="BB1417" s="736"/>
      <c r="BC1417" s="219"/>
      <c r="BD1417" s="737" t="s">
        <v>162</v>
      </c>
      <c r="BE1417" s="738"/>
      <c r="BF1417" s="739"/>
      <c r="BG1417" s="740"/>
      <c r="BH1417" s="740"/>
      <c r="BI1417" s="741"/>
      <c r="BJ1417" s="742" t="s">
        <v>159</v>
      </c>
      <c r="BK1417" s="743"/>
      <c r="BL1417" s="743"/>
      <c r="BM1417" s="744"/>
      <c r="BN1417" s="703" t="s">
        <v>159</v>
      </c>
      <c r="BO1417" s="704"/>
      <c r="BP1417" s="704"/>
      <c r="BQ1417" s="704"/>
      <c r="BR1417" s="704"/>
      <c r="BS1417" s="704"/>
      <c r="BT1417" s="704"/>
      <c r="BU1417" s="704"/>
      <c r="BV1417" s="705"/>
    </row>
    <row r="1418" spans="1:74" ht="45" customHeight="1" x14ac:dyDescent="0.25">
      <c r="A1418" s="10">
        <f t="shared" si="21"/>
        <v>1404</v>
      </c>
      <c r="B1418" s="662" t="s">
        <v>159</v>
      </c>
      <c r="C1418" s="662"/>
      <c r="D1418" s="663" t="s">
        <v>212</v>
      </c>
      <c r="E1418" s="663"/>
      <c r="F1418" s="664" t="s">
        <v>162</v>
      </c>
      <c r="G1418" s="665"/>
      <c r="H1418" s="754" t="s">
        <v>162</v>
      </c>
      <c r="I1418" s="714"/>
      <c r="J1418" s="340"/>
      <c r="K1418" s="341"/>
      <c r="L1418" s="340"/>
      <c r="M1418" s="341"/>
      <c r="N1418" s="194"/>
      <c r="O1418" s="196"/>
      <c r="P1418" s="717"/>
      <c r="Q1418" s="718"/>
      <c r="R1418" s="672"/>
      <c r="S1418" s="673"/>
      <c r="T1418" s="674"/>
      <c r="U1418" s="675"/>
      <c r="V1418" s="676"/>
      <c r="W1418" s="677"/>
      <c r="X1418" s="678" t="s">
        <v>159</v>
      </c>
      <c r="Y1418" s="678"/>
      <c r="Z1418" s="678"/>
      <c r="AA1418" s="678"/>
      <c r="AB1418" s="679" t="s">
        <v>159</v>
      </c>
      <c r="AC1418" s="679"/>
      <c r="AD1418" s="679"/>
      <c r="AE1418" s="679"/>
      <c r="AF1418" s="680"/>
      <c r="AG1418" s="681"/>
      <c r="AH1418" s="680"/>
      <c r="AI1418" s="681"/>
      <c r="AJ1418" s="682"/>
      <c r="AK1418" s="683"/>
      <c r="AL1418" s="684" t="s">
        <v>162</v>
      </c>
      <c r="AM1418" s="685"/>
      <c r="AN1418" s="666" t="s">
        <v>162</v>
      </c>
      <c r="AO1418" s="667"/>
      <c r="AP1418" s="686"/>
      <c r="AQ1418" s="687"/>
      <c r="AR1418" s="688"/>
      <c r="AS1418" s="689"/>
      <c r="AT1418" s="690"/>
      <c r="AU1418" s="691"/>
      <c r="AV1418" s="666" t="s">
        <v>162</v>
      </c>
      <c r="AW1418" s="667"/>
      <c r="AX1418" s="692"/>
      <c r="AY1418" s="693"/>
      <c r="AZ1418" s="694"/>
      <c r="BA1418" s="682"/>
      <c r="BB1418" s="683"/>
      <c r="BC1418" s="14"/>
      <c r="BD1418" s="695" t="s">
        <v>162</v>
      </c>
      <c r="BE1418" s="696"/>
      <c r="BF1418" s="697"/>
      <c r="BG1418" s="698"/>
      <c r="BH1418" s="698"/>
      <c r="BI1418" s="699"/>
      <c r="BJ1418" s="700" t="s">
        <v>159</v>
      </c>
      <c r="BK1418" s="701"/>
      <c r="BL1418" s="701"/>
      <c r="BM1418" s="702"/>
      <c r="BN1418" s="703" t="s">
        <v>159</v>
      </c>
      <c r="BO1418" s="704"/>
      <c r="BP1418" s="704"/>
      <c r="BQ1418" s="704"/>
      <c r="BR1418" s="704"/>
      <c r="BS1418" s="704"/>
      <c r="BT1418" s="704"/>
      <c r="BU1418" s="704"/>
      <c r="BV1418" s="705"/>
    </row>
    <row r="1419" spans="1:74" ht="45" customHeight="1" x14ac:dyDescent="0.25">
      <c r="A1419" s="10">
        <f t="shared" si="21"/>
        <v>1405</v>
      </c>
      <c r="B1419" s="711" t="s">
        <v>159</v>
      </c>
      <c r="C1419" s="711"/>
      <c r="D1419" s="712" t="s">
        <v>212</v>
      </c>
      <c r="E1419" s="712"/>
      <c r="F1419" s="664" t="s">
        <v>162</v>
      </c>
      <c r="G1419" s="665"/>
      <c r="H1419" s="755" t="s">
        <v>162</v>
      </c>
      <c r="I1419" s="667"/>
      <c r="J1419" s="706"/>
      <c r="K1419" s="707"/>
      <c r="L1419" s="706"/>
      <c r="M1419" s="707"/>
      <c r="N1419" s="215"/>
      <c r="O1419" s="216"/>
      <c r="P1419" s="670"/>
      <c r="Q1419" s="671"/>
      <c r="R1419" s="719"/>
      <c r="S1419" s="720"/>
      <c r="T1419" s="721"/>
      <c r="U1419" s="722"/>
      <c r="V1419" s="723"/>
      <c r="W1419" s="724"/>
      <c r="X1419" s="725" t="s">
        <v>159</v>
      </c>
      <c r="Y1419" s="725"/>
      <c r="Z1419" s="725"/>
      <c r="AA1419" s="725"/>
      <c r="AB1419" s="726" t="s">
        <v>159</v>
      </c>
      <c r="AC1419" s="726"/>
      <c r="AD1419" s="726"/>
      <c r="AE1419" s="726"/>
      <c r="AF1419" s="727"/>
      <c r="AG1419" s="728"/>
      <c r="AH1419" s="727"/>
      <c r="AI1419" s="728"/>
      <c r="AJ1419" s="682"/>
      <c r="AK1419" s="683"/>
      <c r="AL1419" s="664" t="s">
        <v>162</v>
      </c>
      <c r="AM1419" s="665"/>
      <c r="AN1419" s="713" t="s">
        <v>162</v>
      </c>
      <c r="AO1419" s="714"/>
      <c r="AP1419" s="729"/>
      <c r="AQ1419" s="730"/>
      <c r="AR1419" s="731"/>
      <c r="AS1419" s="732"/>
      <c r="AT1419" s="733"/>
      <c r="AU1419" s="734"/>
      <c r="AV1419" s="713" t="s">
        <v>162</v>
      </c>
      <c r="AW1419" s="714"/>
      <c r="AX1419" s="692"/>
      <c r="AY1419" s="693"/>
      <c r="AZ1419" s="694"/>
      <c r="BA1419" s="735"/>
      <c r="BB1419" s="736"/>
      <c r="BC1419" s="219"/>
      <c r="BD1419" s="737" t="s">
        <v>162</v>
      </c>
      <c r="BE1419" s="738"/>
      <c r="BF1419" s="739"/>
      <c r="BG1419" s="740"/>
      <c r="BH1419" s="740"/>
      <c r="BI1419" s="741"/>
      <c r="BJ1419" s="742" t="s">
        <v>159</v>
      </c>
      <c r="BK1419" s="743"/>
      <c r="BL1419" s="743"/>
      <c r="BM1419" s="744"/>
      <c r="BN1419" s="703" t="s">
        <v>159</v>
      </c>
      <c r="BO1419" s="704"/>
      <c r="BP1419" s="704"/>
      <c r="BQ1419" s="704"/>
      <c r="BR1419" s="704"/>
      <c r="BS1419" s="704"/>
      <c r="BT1419" s="704"/>
      <c r="BU1419" s="704"/>
      <c r="BV1419" s="705"/>
    </row>
    <row r="1420" spans="1:74" ht="45" customHeight="1" x14ac:dyDescent="0.25">
      <c r="A1420" s="10">
        <f t="shared" si="21"/>
        <v>1406</v>
      </c>
      <c r="B1420" s="662" t="s">
        <v>159</v>
      </c>
      <c r="C1420" s="662"/>
      <c r="D1420" s="663" t="s">
        <v>212</v>
      </c>
      <c r="E1420" s="663"/>
      <c r="F1420" s="664" t="s">
        <v>162</v>
      </c>
      <c r="G1420" s="665"/>
      <c r="H1420" s="754" t="s">
        <v>162</v>
      </c>
      <c r="I1420" s="714"/>
      <c r="J1420" s="340"/>
      <c r="K1420" s="341"/>
      <c r="L1420" s="340"/>
      <c r="M1420" s="341"/>
      <c r="N1420" s="194"/>
      <c r="O1420" s="196"/>
      <c r="P1420" s="717"/>
      <c r="Q1420" s="718"/>
      <c r="R1420" s="672"/>
      <c r="S1420" s="673"/>
      <c r="T1420" s="674"/>
      <c r="U1420" s="675"/>
      <c r="V1420" s="676"/>
      <c r="W1420" s="677"/>
      <c r="X1420" s="678" t="s">
        <v>159</v>
      </c>
      <c r="Y1420" s="678"/>
      <c r="Z1420" s="678"/>
      <c r="AA1420" s="678"/>
      <c r="AB1420" s="679" t="s">
        <v>159</v>
      </c>
      <c r="AC1420" s="679"/>
      <c r="AD1420" s="679"/>
      <c r="AE1420" s="679"/>
      <c r="AF1420" s="680"/>
      <c r="AG1420" s="681"/>
      <c r="AH1420" s="680"/>
      <c r="AI1420" s="681"/>
      <c r="AJ1420" s="682"/>
      <c r="AK1420" s="683"/>
      <c r="AL1420" s="684" t="s">
        <v>162</v>
      </c>
      <c r="AM1420" s="685"/>
      <c r="AN1420" s="666" t="s">
        <v>162</v>
      </c>
      <c r="AO1420" s="667"/>
      <c r="AP1420" s="686"/>
      <c r="AQ1420" s="687"/>
      <c r="AR1420" s="688"/>
      <c r="AS1420" s="689"/>
      <c r="AT1420" s="690"/>
      <c r="AU1420" s="691"/>
      <c r="AV1420" s="666" t="s">
        <v>162</v>
      </c>
      <c r="AW1420" s="667"/>
      <c r="AX1420" s="692"/>
      <c r="AY1420" s="693"/>
      <c r="AZ1420" s="694"/>
      <c r="BA1420" s="682"/>
      <c r="BB1420" s="683"/>
      <c r="BC1420" s="14"/>
      <c r="BD1420" s="695" t="s">
        <v>162</v>
      </c>
      <c r="BE1420" s="696"/>
      <c r="BF1420" s="697"/>
      <c r="BG1420" s="698"/>
      <c r="BH1420" s="698"/>
      <c r="BI1420" s="699"/>
      <c r="BJ1420" s="700" t="s">
        <v>159</v>
      </c>
      <c r="BK1420" s="701"/>
      <c r="BL1420" s="701"/>
      <c r="BM1420" s="702"/>
      <c r="BN1420" s="703" t="s">
        <v>159</v>
      </c>
      <c r="BO1420" s="704"/>
      <c r="BP1420" s="704"/>
      <c r="BQ1420" s="704"/>
      <c r="BR1420" s="704"/>
      <c r="BS1420" s="704"/>
      <c r="BT1420" s="704"/>
      <c r="BU1420" s="704"/>
      <c r="BV1420" s="705"/>
    </row>
    <row r="1421" spans="1:74" ht="45" customHeight="1" x14ac:dyDescent="0.25">
      <c r="A1421" s="10">
        <f t="shared" si="21"/>
        <v>1407</v>
      </c>
      <c r="B1421" s="711" t="s">
        <v>159</v>
      </c>
      <c r="C1421" s="711"/>
      <c r="D1421" s="712" t="s">
        <v>212</v>
      </c>
      <c r="E1421" s="712"/>
      <c r="F1421" s="664" t="s">
        <v>162</v>
      </c>
      <c r="G1421" s="665"/>
      <c r="H1421" s="755" t="s">
        <v>162</v>
      </c>
      <c r="I1421" s="667"/>
      <c r="J1421" s="706"/>
      <c r="K1421" s="707"/>
      <c r="L1421" s="706"/>
      <c r="M1421" s="707"/>
      <c r="N1421" s="215"/>
      <c r="O1421" s="216"/>
      <c r="P1421" s="670"/>
      <c r="Q1421" s="671"/>
      <c r="R1421" s="719"/>
      <c r="S1421" s="720"/>
      <c r="T1421" s="721"/>
      <c r="U1421" s="722"/>
      <c r="V1421" s="723"/>
      <c r="W1421" s="724"/>
      <c r="X1421" s="725" t="s">
        <v>159</v>
      </c>
      <c r="Y1421" s="725"/>
      <c r="Z1421" s="725"/>
      <c r="AA1421" s="725"/>
      <c r="AB1421" s="726" t="s">
        <v>159</v>
      </c>
      <c r="AC1421" s="726"/>
      <c r="AD1421" s="726"/>
      <c r="AE1421" s="726"/>
      <c r="AF1421" s="727"/>
      <c r="AG1421" s="728"/>
      <c r="AH1421" s="727"/>
      <c r="AI1421" s="728"/>
      <c r="AJ1421" s="682"/>
      <c r="AK1421" s="683"/>
      <c r="AL1421" s="664" t="s">
        <v>162</v>
      </c>
      <c r="AM1421" s="665"/>
      <c r="AN1421" s="713" t="s">
        <v>162</v>
      </c>
      <c r="AO1421" s="714"/>
      <c r="AP1421" s="729"/>
      <c r="AQ1421" s="730"/>
      <c r="AR1421" s="731"/>
      <c r="AS1421" s="732"/>
      <c r="AT1421" s="733"/>
      <c r="AU1421" s="734"/>
      <c r="AV1421" s="713" t="s">
        <v>162</v>
      </c>
      <c r="AW1421" s="714"/>
      <c r="AX1421" s="692"/>
      <c r="AY1421" s="693"/>
      <c r="AZ1421" s="694"/>
      <c r="BA1421" s="735"/>
      <c r="BB1421" s="736"/>
      <c r="BC1421" s="219"/>
      <c r="BD1421" s="737" t="s">
        <v>162</v>
      </c>
      <c r="BE1421" s="738"/>
      <c r="BF1421" s="739"/>
      <c r="BG1421" s="740"/>
      <c r="BH1421" s="740"/>
      <c r="BI1421" s="741"/>
      <c r="BJ1421" s="742" t="s">
        <v>159</v>
      </c>
      <c r="BK1421" s="743"/>
      <c r="BL1421" s="743"/>
      <c r="BM1421" s="744"/>
      <c r="BN1421" s="703" t="s">
        <v>159</v>
      </c>
      <c r="BO1421" s="704"/>
      <c r="BP1421" s="704"/>
      <c r="BQ1421" s="704"/>
      <c r="BR1421" s="704"/>
      <c r="BS1421" s="704"/>
      <c r="BT1421" s="704"/>
      <c r="BU1421" s="704"/>
      <c r="BV1421" s="705"/>
    </row>
    <row r="1422" spans="1:74" ht="45" customHeight="1" x14ac:dyDescent="0.25">
      <c r="A1422" s="10">
        <f t="shared" si="21"/>
        <v>1408</v>
      </c>
      <c r="B1422" s="662" t="s">
        <v>159</v>
      </c>
      <c r="C1422" s="662"/>
      <c r="D1422" s="663" t="s">
        <v>212</v>
      </c>
      <c r="E1422" s="663"/>
      <c r="F1422" s="664" t="s">
        <v>162</v>
      </c>
      <c r="G1422" s="665"/>
      <c r="H1422" s="754" t="s">
        <v>162</v>
      </c>
      <c r="I1422" s="714"/>
      <c r="J1422" s="340"/>
      <c r="K1422" s="341"/>
      <c r="L1422" s="340"/>
      <c r="M1422" s="341"/>
      <c r="N1422" s="194"/>
      <c r="O1422" s="196"/>
      <c r="P1422" s="717"/>
      <c r="Q1422" s="718"/>
      <c r="R1422" s="672"/>
      <c r="S1422" s="673"/>
      <c r="T1422" s="674"/>
      <c r="U1422" s="675"/>
      <c r="V1422" s="676"/>
      <c r="W1422" s="677"/>
      <c r="X1422" s="678" t="s">
        <v>159</v>
      </c>
      <c r="Y1422" s="678"/>
      <c r="Z1422" s="678"/>
      <c r="AA1422" s="678"/>
      <c r="AB1422" s="679" t="s">
        <v>159</v>
      </c>
      <c r="AC1422" s="679"/>
      <c r="AD1422" s="679"/>
      <c r="AE1422" s="679"/>
      <c r="AF1422" s="680"/>
      <c r="AG1422" s="681"/>
      <c r="AH1422" s="680"/>
      <c r="AI1422" s="681"/>
      <c r="AJ1422" s="682"/>
      <c r="AK1422" s="683"/>
      <c r="AL1422" s="684" t="s">
        <v>162</v>
      </c>
      <c r="AM1422" s="685"/>
      <c r="AN1422" s="666" t="s">
        <v>162</v>
      </c>
      <c r="AO1422" s="667"/>
      <c r="AP1422" s="686"/>
      <c r="AQ1422" s="687"/>
      <c r="AR1422" s="688"/>
      <c r="AS1422" s="689"/>
      <c r="AT1422" s="690"/>
      <c r="AU1422" s="691"/>
      <c r="AV1422" s="666" t="s">
        <v>162</v>
      </c>
      <c r="AW1422" s="667"/>
      <c r="AX1422" s="692"/>
      <c r="AY1422" s="693"/>
      <c r="AZ1422" s="694"/>
      <c r="BA1422" s="682"/>
      <c r="BB1422" s="683"/>
      <c r="BC1422" s="14"/>
      <c r="BD1422" s="695" t="s">
        <v>162</v>
      </c>
      <c r="BE1422" s="696"/>
      <c r="BF1422" s="708"/>
      <c r="BG1422" s="709"/>
      <c r="BH1422" s="709"/>
      <c r="BI1422" s="710"/>
      <c r="BJ1422" s="700" t="s">
        <v>159</v>
      </c>
      <c r="BK1422" s="701"/>
      <c r="BL1422" s="701"/>
      <c r="BM1422" s="702"/>
      <c r="BN1422" s="703" t="s">
        <v>159</v>
      </c>
      <c r="BO1422" s="704"/>
      <c r="BP1422" s="704"/>
      <c r="BQ1422" s="704"/>
      <c r="BR1422" s="704"/>
      <c r="BS1422" s="704"/>
      <c r="BT1422" s="704"/>
      <c r="BU1422" s="704"/>
      <c r="BV1422" s="705"/>
    </row>
    <row r="1423" spans="1:74" ht="45" customHeight="1" x14ac:dyDescent="0.25">
      <c r="A1423" s="10">
        <f t="shared" ref="A1423:A1486" si="22">ROW(A1409)</f>
        <v>1409</v>
      </c>
      <c r="B1423" s="711" t="s">
        <v>159</v>
      </c>
      <c r="C1423" s="711"/>
      <c r="D1423" s="712" t="s">
        <v>212</v>
      </c>
      <c r="E1423" s="712"/>
      <c r="F1423" s="664" t="s">
        <v>162</v>
      </c>
      <c r="G1423" s="665"/>
      <c r="H1423" s="755" t="s">
        <v>162</v>
      </c>
      <c r="I1423" s="667"/>
      <c r="J1423" s="706"/>
      <c r="K1423" s="707"/>
      <c r="L1423" s="706"/>
      <c r="M1423" s="707"/>
      <c r="N1423" s="215"/>
      <c r="O1423" s="216"/>
      <c r="P1423" s="670"/>
      <c r="Q1423" s="671"/>
      <c r="R1423" s="719"/>
      <c r="S1423" s="720"/>
      <c r="T1423" s="721"/>
      <c r="U1423" s="722"/>
      <c r="V1423" s="723"/>
      <c r="W1423" s="724"/>
      <c r="X1423" s="725" t="s">
        <v>159</v>
      </c>
      <c r="Y1423" s="725"/>
      <c r="Z1423" s="725"/>
      <c r="AA1423" s="725"/>
      <c r="AB1423" s="726" t="s">
        <v>159</v>
      </c>
      <c r="AC1423" s="726"/>
      <c r="AD1423" s="726"/>
      <c r="AE1423" s="726"/>
      <c r="AF1423" s="727"/>
      <c r="AG1423" s="728"/>
      <c r="AH1423" s="727"/>
      <c r="AI1423" s="728"/>
      <c r="AJ1423" s="682"/>
      <c r="AK1423" s="683"/>
      <c r="AL1423" s="664" t="s">
        <v>162</v>
      </c>
      <c r="AM1423" s="665"/>
      <c r="AN1423" s="713" t="s">
        <v>162</v>
      </c>
      <c r="AO1423" s="714"/>
      <c r="AP1423" s="729"/>
      <c r="AQ1423" s="730"/>
      <c r="AR1423" s="731"/>
      <c r="AS1423" s="732"/>
      <c r="AT1423" s="733"/>
      <c r="AU1423" s="734"/>
      <c r="AV1423" s="713" t="s">
        <v>162</v>
      </c>
      <c r="AW1423" s="714"/>
      <c r="AX1423" s="692"/>
      <c r="AY1423" s="693"/>
      <c r="AZ1423" s="694"/>
      <c r="BA1423" s="735"/>
      <c r="BB1423" s="736"/>
      <c r="BC1423" s="219"/>
      <c r="BD1423" s="737" t="s">
        <v>162</v>
      </c>
      <c r="BE1423" s="738"/>
      <c r="BF1423" s="739"/>
      <c r="BG1423" s="740"/>
      <c r="BH1423" s="740"/>
      <c r="BI1423" s="741"/>
      <c r="BJ1423" s="742" t="s">
        <v>159</v>
      </c>
      <c r="BK1423" s="743"/>
      <c r="BL1423" s="743"/>
      <c r="BM1423" s="744"/>
      <c r="BN1423" s="703" t="s">
        <v>159</v>
      </c>
      <c r="BO1423" s="704"/>
      <c r="BP1423" s="704"/>
      <c r="BQ1423" s="704"/>
      <c r="BR1423" s="704"/>
      <c r="BS1423" s="704"/>
      <c r="BT1423" s="704"/>
      <c r="BU1423" s="704"/>
      <c r="BV1423" s="705"/>
    </row>
    <row r="1424" spans="1:74" ht="45" customHeight="1" x14ac:dyDescent="0.25">
      <c r="A1424" s="10">
        <f t="shared" si="22"/>
        <v>1410</v>
      </c>
      <c r="B1424" s="662" t="s">
        <v>159</v>
      </c>
      <c r="C1424" s="662"/>
      <c r="D1424" s="663" t="s">
        <v>212</v>
      </c>
      <c r="E1424" s="663"/>
      <c r="F1424" s="664" t="s">
        <v>162</v>
      </c>
      <c r="G1424" s="665"/>
      <c r="H1424" s="754" t="s">
        <v>162</v>
      </c>
      <c r="I1424" s="714"/>
      <c r="J1424" s="340"/>
      <c r="K1424" s="341"/>
      <c r="L1424" s="340"/>
      <c r="M1424" s="341"/>
      <c r="N1424" s="194"/>
      <c r="O1424" s="196"/>
      <c r="P1424" s="717"/>
      <c r="Q1424" s="718"/>
      <c r="R1424" s="672"/>
      <c r="S1424" s="673"/>
      <c r="T1424" s="674"/>
      <c r="U1424" s="675"/>
      <c r="V1424" s="676"/>
      <c r="W1424" s="677"/>
      <c r="X1424" s="678" t="s">
        <v>159</v>
      </c>
      <c r="Y1424" s="678"/>
      <c r="Z1424" s="678"/>
      <c r="AA1424" s="678"/>
      <c r="AB1424" s="679" t="s">
        <v>159</v>
      </c>
      <c r="AC1424" s="679"/>
      <c r="AD1424" s="679"/>
      <c r="AE1424" s="679"/>
      <c r="AF1424" s="680"/>
      <c r="AG1424" s="681"/>
      <c r="AH1424" s="680"/>
      <c r="AI1424" s="681"/>
      <c r="AJ1424" s="682"/>
      <c r="AK1424" s="683"/>
      <c r="AL1424" s="684" t="s">
        <v>162</v>
      </c>
      <c r="AM1424" s="685"/>
      <c r="AN1424" s="666" t="s">
        <v>162</v>
      </c>
      <c r="AO1424" s="667"/>
      <c r="AP1424" s="686"/>
      <c r="AQ1424" s="687"/>
      <c r="AR1424" s="688"/>
      <c r="AS1424" s="689"/>
      <c r="AT1424" s="690"/>
      <c r="AU1424" s="691"/>
      <c r="AV1424" s="666" t="s">
        <v>162</v>
      </c>
      <c r="AW1424" s="667"/>
      <c r="AX1424" s="692"/>
      <c r="AY1424" s="693"/>
      <c r="AZ1424" s="694"/>
      <c r="BA1424" s="682"/>
      <c r="BB1424" s="683"/>
      <c r="BC1424" s="14"/>
      <c r="BD1424" s="695" t="s">
        <v>162</v>
      </c>
      <c r="BE1424" s="696"/>
      <c r="BF1424" s="697"/>
      <c r="BG1424" s="698"/>
      <c r="BH1424" s="698"/>
      <c r="BI1424" s="699"/>
      <c r="BJ1424" s="700" t="s">
        <v>159</v>
      </c>
      <c r="BK1424" s="701"/>
      <c r="BL1424" s="701"/>
      <c r="BM1424" s="702"/>
      <c r="BN1424" s="703" t="s">
        <v>159</v>
      </c>
      <c r="BO1424" s="704"/>
      <c r="BP1424" s="704"/>
      <c r="BQ1424" s="704"/>
      <c r="BR1424" s="704"/>
      <c r="BS1424" s="704"/>
      <c r="BT1424" s="704"/>
      <c r="BU1424" s="704"/>
      <c r="BV1424" s="705"/>
    </row>
    <row r="1425" spans="1:74" ht="45" customHeight="1" x14ac:dyDescent="0.25">
      <c r="A1425" s="10">
        <f t="shared" si="22"/>
        <v>1411</v>
      </c>
      <c r="B1425" s="711" t="s">
        <v>159</v>
      </c>
      <c r="C1425" s="711"/>
      <c r="D1425" s="712" t="s">
        <v>212</v>
      </c>
      <c r="E1425" s="712"/>
      <c r="F1425" s="664" t="s">
        <v>162</v>
      </c>
      <c r="G1425" s="665"/>
      <c r="H1425" s="755" t="s">
        <v>162</v>
      </c>
      <c r="I1425" s="667"/>
      <c r="J1425" s="706"/>
      <c r="K1425" s="707"/>
      <c r="L1425" s="706"/>
      <c r="M1425" s="707"/>
      <c r="N1425" s="215"/>
      <c r="O1425" s="216"/>
      <c r="P1425" s="670"/>
      <c r="Q1425" s="671"/>
      <c r="R1425" s="719"/>
      <c r="S1425" s="720"/>
      <c r="T1425" s="721"/>
      <c r="U1425" s="722"/>
      <c r="V1425" s="723"/>
      <c r="W1425" s="724"/>
      <c r="X1425" s="725" t="s">
        <v>159</v>
      </c>
      <c r="Y1425" s="725"/>
      <c r="Z1425" s="725"/>
      <c r="AA1425" s="725"/>
      <c r="AB1425" s="726" t="s">
        <v>159</v>
      </c>
      <c r="AC1425" s="726"/>
      <c r="AD1425" s="726"/>
      <c r="AE1425" s="726"/>
      <c r="AF1425" s="727"/>
      <c r="AG1425" s="728"/>
      <c r="AH1425" s="727"/>
      <c r="AI1425" s="728"/>
      <c r="AJ1425" s="682"/>
      <c r="AK1425" s="683"/>
      <c r="AL1425" s="664" t="s">
        <v>162</v>
      </c>
      <c r="AM1425" s="665"/>
      <c r="AN1425" s="713" t="s">
        <v>162</v>
      </c>
      <c r="AO1425" s="714"/>
      <c r="AP1425" s="729"/>
      <c r="AQ1425" s="730"/>
      <c r="AR1425" s="731"/>
      <c r="AS1425" s="732"/>
      <c r="AT1425" s="690"/>
      <c r="AU1425" s="691"/>
      <c r="AV1425" s="713" t="s">
        <v>162</v>
      </c>
      <c r="AW1425" s="714"/>
      <c r="AX1425" s="692"/>
      <c r="AY1425" s="693"/>
      <c r="AZ1425" s="694"/>
      <c r="BA1425" s="735"/>
      <c r="BB1425" s="736"/>
      <c r="BC1425" s="219"/>
      <c r="BD1425" s="737" t="s">
        <v>162</v>
      </c>
      <c r="BE1425" s="738"/>
      <c r="BF1425" s="739"/>
      <c r="BG1425" s="740"/>
      <c r="BH1425" s="740"/>
      <c r="BI1425" s="741"/>
      <c r="BJ1425" s="742" t="s">
        <v>159</v>
      </c>
      <c r="BK1425" s="743"/>
      <c r="BL1425" s="743"/>
      <c r="BM1425" s="744"/>
      <c r="BN1425" s="703" t="s">
        <v>159</v>
      </c>
      <c r="BO1425" s="704"/>
      <c r="BP1425" s="704"/>
      <c r="BQ1425" s="704"/>
      <c r="BR1425" s="704"/>
      <c r="BS1425" s="704"/>
      <c r="BT1425" s="704"/>
      <c r="BU1425" s="704"/>
      <c r="BV1425" s="705"/>
    </row>
    <row r="1426" spans="1:74" ht="45" customHeight="1" x14ac:dyDescent="0.25">
      <c r="A1426" s="10">
        <f t="shared" si="22"/>
        <v>1412</v>
      </c>
      <c r="B1426" s="662" t="s">
        <v>159</v>
      </c>
      <c r="C1426" s="662"/>
      <c r="D1426" s="663" t="s">
        <v>212</v>
      </c>
      <c r="E1426" s="663"/>
      <c r="F1426" s="664" t="s">
        <v>162</v>
      </c>
      <c r="G1426" s="665"/>
      <c r="H1426" s="754" t="s">
        <v>162</v>
      </c>
      <c r="I1426" s="714"/>
      <c r="J1426" s="340"/>
      <c r="K1426" s="341"/>
      <c r="L1426" s="340"/>
      <c r="M1426" s="341"/>
      <c r="N1426" s="194"/>
      <c r="O1426" s="196"/>
      <c r="P1426" s="717"/>
      <c r="Q1426" s="718"/>
      <c r="R1426" s="672"/>
      <c r="S1426" s="673"/>
      <c r="T1426" s="674"/>
      <c r="U1426" s="675"/>
      <c r="V1426" s="676"/>
      <c r="W1426" s="677"/>
      <c r="X1426" s="678" t="s">
        <v>159</v>
      </c>
      <c r="Y1426" s="678"/>
      <c r="Z1426" s="678"/>
      <c r="AA1426" s="678"/>
      <c r="AB1426" s="679" t="s">
        <v>159</v>
      </c>
      <c r="AC1426" s="679"/>
      <c r="AD1426" s="679"/>
      <c r="AE1426" s="679"/>
      <c r="AF1426" s="680"/>
      <c r="AG1426" s="681"/>
      <c r="AH1426" s="680"/>
      <c r="AI1426" s="681"/>
      <c r="AJ1426" s="682"/>
      <c r="AK1426" s="683"/>
      <c r="AL1426" s="684" t="s">
        <v>162</v>
      </c>
      <c r="AM1426" s="685"/>
      <c r="AN1426" s="666" t="s">
        <v>162</v>
      </c>
      <c r="AO1426" s="667"/>
      <c r="AP1426" s="686"/>
      <c r="AQ1426" s="687"/>
      <c r="AR1426" s="688"/>
      <c r="AS1426" s="689"/>
      <c r="AT1426" s="690"/>
      <c r="AU1426" s="691"/>
      <c r="AV1426" s="666" t="s">
        <v>162</v>
      </c>
      <c r="AW1426" s="667"/>
      <c r="AX1426" s="692"/>
      <c r="AY1426" s="693"/>
      <c r="AZ1426" s="694"/>
      <c r="BA1426" s="682"/>
      <c r="BB1426" s="683"/>
      <c r="BC1426" s="14"/>
      <c r="BD1426" s="695" t="s">
        <v>162</v>
      </c>
      <c r="BE1426" s="696"/>
      <c r="BF1426" s="697"/>
      <c r="BG1426" s="698"/>
      <c r="BH1426" s="698"/>
      <c r="BI1426" s="699"/>
      <c r="BJ1426" s="700" t="s">
        <v>159</v>
      </c>
      <c r="BK1426" s="701"/>
      <c r="BL1426" s="701"/>
      <c r="BM1426" s="702"/>
      <c r="BN1426" s="703" t="s">
        <v>159</v>
      </c>
      <c r="BO1426" s="704"/>
      <c r="BP1426" s="704"/>
      <c r="BQ1426" s="704"/>
      <c r="BR1426" s="704"/>
      <c r="BS1426" s="704"/>
      <c r="BT1426" s="704"/>
      <c r="BU1426" s="704"/>
      <c r="BV1426" s="705"/>
    </row>
    <row r="1427" spans="1:74" ht="45" customHeight="1" x14ac:dyDescent="0.25">
      <c r="A1427" s="10">
        <f t="shared" si="22"/>
        <v>1413</v>
      </c>
      <c r="B1427" s="711" t="s">
        <v>159</v>
      </c>
      <c r="C1427" s="711"/>
      <c r="D1427" s="712" t="s">
        <v>212</v>
      </c>
      <c r="E1427" s="712"/>
      <c r="F1427" s="664" t="s">
        <v>162</v>
      </c>
      <c r="G1427" s="665"/>
      <c r="H1427" s="755" t="s">
        <v>162</v>
      </c>
      <c r="I1427" s="667"/>
      <c r="J1427" s="706"/>
      <c r="K1427" s="707"/>
      <c r="L1427" s="706"/>
      <c r="M1427" s="707"/>
      <c r="N1427" s="215"/>
      <c r="O1427" s="216"/>
      <c r="P1427" s="670"/>
      <c r="Q1427" s="671"/>
      <c r="R1427" s="719"/>
      <c r="S1427" s="720"/>
      <c r="T1427" s="721"/>
      <c r="U1427" s="722"/>
      <c r="V1427" s="723"/>
      <c r="W1427" s="724"/>
      <c r="X1427" s="725" t="s">
        <v>159</v>
      </c>
      <c r="Y1427" s="725"/>
      <c r="Z1427" s="725"/>
      <c r="AA1427" s="725"/>
      <c r="AB1427" s="726" t="s">
        <v>159</v>
      </c>
      <c r="AC1427" s="726"/>
      <c r="AD1427" s="726"/>
      <c r="AE1427" s="726"/>
      <c r="AF1427" s="727"/>
      <c r="AG1427" s="728"/>
      <c r="AH1427" s="727"/>
      <c r="AI1427" s="728"/>
      <c r="AJ1427" s="682"/>
      <c r="AK1427" s="683"/>
      <c r="AL1427" s="664" t="s">
        <v>162</v>
      </c>
      <c r="AM1427" s="665"/>
      <c r="AN1427" s="713" t="s">
        <v>162</v>
      </c>
      <c r="AO1427" s="714"/>
      <c r="AP1427" s="729"/>
      <c r="AQ1427" s="730"/>
      <c r="AR1427" s="731"/>
      <c r="AS1427" s="732"/>
      <c r="AT1427" s="690"/>
      <c r="AU1427" s="691"/>
      <c r="AV1427" s="713" t="s">
        <v>162</v>
      </c>
      <c r="AW1427" s="714"/>
      <c r="AX1427" s="692"/>
      <c r="AY1427" s="693"/>
      <c r="AZ1427" s="694"/>
      <c r="BA1427" s="735"/>
      <c r="BB1427" s="736"/>
      <c r="BC1427" s="219"/>
      <c r="BD1427" s="737" t="s">
        <v>162</v>
      </c>
      <c r="BE1427" s="738"/>
      <c r="BF1427" s="739"/>
      <c r="BG1427" s="740"/>
      <c r="BH1427" s="740"/>
      <c r="BI1427" s="741"/>
      <c r="BJ1427" s="742" t="s">
        <v>159</v>
      </c>
      <c r="BK1427" s="743"/>
      <c r="BL1427" s="743"/>
      <c r="BM1427" s="744"/>
      <c r="BN1427" s="703" t="s">
        <v>159</v>
      </c>
      <c r="BO1427" s="704"/>
      <c r="BP1427" s="704"/>
      <c r="BQ1427" s="704"/>
      <c r="BR1427" s="704"/>
      <c r="BS1427" s="704"/>
      <c r="BT1427" s="704"/>
      <c r="BU1427" s="704"/>
      <c r="BV1427" s="705"/>
    </row>
    <row r="1428" spans="1:74" ht="45" customHeight="1" x14ac:dyDescent="0.25">
      <c r="A1428" s="10">
        <f t="shared" si="22"/>
        <v>1414</v>
      </c>
      <c r="B1428" s="662" t="s">
        <v>159</v>
      </c>
      <c r="C1428" s="662"/>
      <c r="D1428" s="663" t="s">
        <v>212</v>
      </c>
      <c r="E1428" s="663"/>
      <c r="F1428" s="664" t="s">
        <v>162</v>
      </c>
      <c r="G1428" s="665"/>
      <c r="H1428" s="754" t="s">
        <v>162</v>
      </c>
      <c r="I1428" s="714"/>
      <c r="J1428" s="340"/>
      <c r="K1428" s="341"/>
      <c r="L1428" s="340"/>
      <c r="M1428" s="341"/>
      <c r="N1428" s="194"/>
      <c r="O1428" s="196"/>
      <c r="P1428" s="717"/>
      <c r="Q1428" s="718"/>
      <c r="R1428" s="672"/>
      <c r="S1428" s="673"/>
      <c r="T1428" s="674"/>
      <c r="U1428" s="675"/>
      <c r="V1428" s="676"/>
      <c r="W1428" s="677"/>
      <c r="X1428" s="678" t="s">
        <v>159</v>
      </c>
      <c r="Y1428" s="678"/>
      <c r="Z1428" s="678"/>
      <c r="AA1428" s="678"/>
      <c r="AB1428" s="679" t="s">
        <v>159</v>
      </c>
      <c r="AC1428" s="679"/>
      <c r="AD1428" s="679"/>
      <c r="AE1428" s="679"/>
      <c r="AF1428" s="680"/>
      <c r="AG1428" s="681"/>
      <c r="AH1428" s="680"/>
      <c r="AI1428" s="681"/>
      <c r="AJ1428" s="682"/>
      <c r="AK1428" s="683"/>
      <c r="AL1428" s="684" t="s">
        <v>162</v>
      </c>
      <c r="AM1428" s="685"/>
      <c r="AN1428" s="666" t="s">
        <v>162</v>
      </c>
      <c r="AO1428" s="667"/>
      <c r="AP1428" s="686"/>
      <c r="AQ1428" s="687"/>
      <c r="AR1428" s="688"/>
      <c r="AS1428" s="689"/>
      <c r="AT1428" s="690"/>
      <c r="AU1428" s="691"/>
      <c r="AV1428" s="666" t="s">
        <v>162</v>
      </c>
      <c r="AW1428" s="667"/>
      <c r="AX1428" s="692"/>
      <c r="AY1428" s="693"/>
      <c r="AZ1428" s="694"/>
      <c r="BA1428" s="682"/>
      <c r="BB1428" s="683"/>
      <c r="BC1428" s="14"/>
      <c r="BD1428" s="695" t="s">
        <v>162</v>
      </c>
      <c r="BE1428" s="696"/>
      <c r="BF1428" s="697"/>
      <c r="BG1428" s="698"/>
      <c r="BH1428" s="698"/>
      <c r="BI1428" s="699"/>
      <c r="BJ1428" s="700" t="s">
        <v>159</v>
      </c>
      <c r="BK1428" s="701"/>
      <c r="BL1428" s="701"/>
      <c r="BM1428" s="702"/>
      <c r="BN1428" s="703" t="s">
        <v>159</v>
      </c>
      <c r="BO1428" s="704"/>
      <c r="BP1428" s="704"/>
      <c r="BQ1428" s="704"/>
      <c r="BR1428" s="704"/>
      <c r="BS1428" s="704"/>
      <c r="BT1428" s="704"/>
      <c r="BU1428" s="704"/>
      <c r="BV1428" s="705"/>
    </row>
    <row r="1429" spans="1:74" ht="45" customHeight="1" x14ac:dyDescent="0.25">
      <c r="A1429" s="10">
        <f t="shared" si="22"/>
        <v>1415</v>
      </c>
      <c r="B1429" s="711" t="s">
        <v>159</v>
      </c>
      <c r="C1429" s="711"/>
      <c r="D1429" s="712" t="s">
        <v>212</v>
      </c>
      <c r="E1429" s="712"/>
      <c r="F1429" s="664" t="s">
        <v>162</v>
      </c>
      <c r="G1429" s="665"/>
      <c r="H1429" s="755" t="s">
        <v>162</v>
      </c>
      <c r="I1429" s="667"/>
      <c r="J1429" s="706"/>
      <c r="K1429" s="707"/>
      <c r="L1429" s="706"/>
      <c r="M1429" s="707"/>
      <c r="N1429" s="215"/>
      <c r="O1429" s="216"/>
      <c r="P1429" s="670"/>
      <c r="Q1429" s="671"/>
      <c r="R1429" s="719"/>
      <c r="S1429" s="720"/>
      <c r="T1429" s="721"/>
      <c r="U1429" s="722"/>
      <c r="V1429" s="723"/>
      <c r="W1429" s="724"/>
      <c r="X1429" s="725" t="s">
        <v>159</v>
      </c>
      <c r="Y1429" s="725"/>
      <c r="Z1429" s="725"/>
      <c r="AA1429" s="725"/>
      <c r="AB1429" s="726" t="s">
        <v>159</v>
      </c>
      <c r="AC1429" s="726"/>
      <c r="AD1429" s="726"/>
      <c r="AE1429" s="726"/>
      <c r="AF1429" s="727"/>
      <c r="AG1429" s="728"/>
      <c r="AH1429" s="727"/>
      <c r="AI1429" s="728"/>
      <c r="AJ1429" s="682"/>
      <c r="AK1429" s="683"/>
      <c r="AL1429" s="664" t="s">
        <v>162</v>
      </c>
      <c r="AM1429" s="665"/>
      <c r="AN1429" s="713" t="s">
        <v>162</v>
      </c>
      <c r="AO1429" s="714"/>
      <c r="AP1429" s="729"/>
      <c r="AQ1429" s="730"/>
      <c r="AR1429" s="731"/>
      <c r="AS1429" s="732"/>
      <c r="AT1429" s="733"/>
      <c r="AU1429" s="734"/>
      <c r="AV1429" s="713" t="s">
        <v>162</v>
      </c>
      <c r="AW1429" s="714"/>
      <c r="AX1429" s="692"/>
      <c r="AY1429" s="693"/>
      <c r="AZ1429" s="694"/>
      <c r="BA1429" s="735"/>
      <c r="BB1429" s="736"/>
      <c r="BC1429" s="219"/>
      <c r="BD1429" s="737" t="s">
        <v>162</v>
      </c>
      <c r="BE1429" s="738"/>
      <c r="BF1429" s="739"/>
      <c r="BG1429" s="740"/>
      <c r="BH1429" s="740"/>
      <c r="BI1429" s="741"/>
      <c r="BJ1429" s="742" t="s">
        <v>159</v>
      </c>
      <c r="BK1429" s="743"/>
      <c r="BL1429" s="743"/>
      <c r="BM1429" s="744"/>
      <c r="BN1429" s="703" t="s">
        <v>159</v>
      </c>
      <c r="BO1429" s="704"/>
      <c r="BP1429" s="704"/>
      <c r="BQ1429" s="704"/>
      <c r="BR1429" s="704"/>
      <c r="BS1429" s="704"/>
      <c r="BT1429" s="704"/>
      <c r="BU1429" s="704"/>
      <c r="BV1429" s="705"/>
    </row>
    <row r="1430" spans="1:74" ht="45" customHeight="1" x14ac:dyDescent="0.25">
      <c r="A1430" s="10">
        <f t="shared" si="22"/>
        <v>1416</v>
      </c>
      <c r="B1430" s="662" t="s">
        <v>159</v>
      </c>
      <c r="C1430" s="662"/>
      <c r="D1430" s="663" t="s">
        <v>212</v>
      </c>
      <c r="E1430" s="663"/>
      <c r="F1430" s="664" t="s">
        <v>162</v>
      </c>
      <c r="G1430" s="665"/>
      <c r="H1430" s="754" t="s">
        <v>162</v>
      </c>
      <c r="I1430" s="714"/>
      <c r="J1430" s="340"/>
      <c r="K1430" s="341"/>
      <c r="L1430" s="340"/>
      <c r="M1430" s="341"/>
      <c r="N1430" s="194"/>
      <c r="O1430" s="196"/>
      <c r="P1430" s="717"/>
      <c r="Q1430" s="718"/>
      <c r="R1430" s="672"/>
      <c r="S1430" s="673"/>
      <c r="T1430" s="674"/>
      <c r="U1430" s="675"/>
      <c r="V1430" s="676"/>
      <c r="W1430" s="677"/>
      <c r="X1430" s="678" t="s">
        <v>159</v>
      </c>
      <c r="Y1430" s="678"/>
      <c r="Z1430" s="678"/>
      <c r="AA1430" s="678"/>
      <c r="AB1430" s="679" t="s">
        <v>159</v>
      </c>
      <c r="AC1430" s="679"/>
      <c r="AD1430" s="679"/>
      <c r="AE1430" s="679"/>
      <c r="AF1430" s="680"/>
      <c r="AG1430" s="681"/>
      <c r="AH1430" s="680"/>
      <c r="AI1430" s="681"/>
      <c r="AJ1430" s="682"/>
      <c r="AK1430" s="683"/>
      <c r="AL1430" s="684" t="s">
        <v>162</v>
      </c>
      <c r="AM1430" s="685"/>
      <c r="AN1430" s="666" t="s">
        <v>162</v>
      </c>
      <c r="AO1430" s="667"/>
      <c r="AP1430" s="686"/>
      <c r="AQ1430" s="687"/>
      <c r="AR1430" s="688"/>
      <c r="AS1430" s="689"/>
      <c r="AT1430" s="690"/>
      <c r="AU1430" s="691"/>
      <c r="AV1430" s="666" t="s">
        <v>162</v>
      </c>
      <c r="AW1430" s="667"/>
      <c r="AX1430" s="692"/>
      <c r="AY1430" s="693"/>
      <c r="AZ1430" s="694"/>
      <c r="BA1430" s="682"/>
      <c r="BB1430" s="683"/>
      <c r="BC1430" s="14"/>
      <c r="BD1430" s="695" t="s">
        <v>162</v>
      </c>
      <c r="BE1430" s="696"/>
      <c r="BF1430" s="708"/>
      <c r="BG1430" s="709"/>
      <c r="BH1430" s="709"/>
      <c r="BI1430" s="710"/>
      <c r="BJ1430" s="700" t="s">
        <v>159</v>
      </c>
      <c r="BK1430" s="701"/>
      <c r="BL1430" s="701"/>
      <c r="BM1430" s="702"/>
      <c r="BN1430" s="703" t="s">
        <v>159</v>
      </c>
      <c r="BO1430" s="704"/>
      <c r="BP1430" s="704"/>
      <c r="BQ1430" s="704"/>
      <c r="BR1430" s="704"/>
      <c r="BS1430" s="704"/>
      <c r="BT1430" s="704"/>
      <c r="BU1430" s="704"/>
      <c r="BV1430" s="705"/>
    </row>
    <row r="1431" spans="1:74" ht="45" customHeight="1" x14ac:dyDescent="0.25">
      <c r="A1431" s="10">
        <f t="shared" si="22"/>
        <v>1417</v>
      </c>
      <c r="B1431" s="711" t="s">
        <v>159</v>
      </c>
      <c r="C1431" s="711"/>
      <c r="D1431" s="712" t="s">
        <v>212</v>
      </c>
      <c r="E1431" s="712"/>
      <c r="F1431" s="664" t="s">
        <v>162</v>
      </c>
      <c r="G1431" s="665"/>
      <c r="H1431" s="755" t="s">
        <v>162</v>
      </c>
      <c r="I1431" s="667"/>
      <c r="J1431" s="706"/>
      <c r="K1431" s="707"/>
      <c r="L1431" s="706"/>
      <c r="M1431" s="707"/>
      <c r="N1431" s="215"/>
      <c r="O1431" s="216"/>
      <c r="P1431" s="670"/>
      <c r="Q1431" s="671"/>
      <c r="R1431" s="719"/>
      <c r="S1431" s="720"/>
      <c r="T1431" s="721"/>
      <c r="U1431" s="722"/>
      <c r="V1431" s="723"/>
      <c r="W1431" s="724"/>
      <c r="X1431" s="725" t="s">
        <v>159</v>
      </c>
      <c r="Y1431" s="725"/>
      <c r="Z1431" s="725"/>
      <c r="AA1431" s="725"/>
      <c r="AB1431" s="726" t="s">
        <v>159</v>
      </c>
      <c r="AC1431" s="726"/>
      <c r="AD1431" s="726"/>
      <c r="AE1431" s="726"/>
      <c r="AF1431" s="727"/>
      <c r="AG1431" s="728"/>
      <c r="AH1431" s="727"/>
      <c r="AI1431" s="728"/>
      <c r="AJ1431" s="682"/>
      <c r="AK1431" s="683"/>
      <c r="AL1431" s="664" t="s">
        <v>162</v>
      </c>
      <c r="AM1431" s="665"/>
      <c r="AN1431" s="713" t="s">
        <v>162</v>
      </c>
      <c r="AO1431" s="714"/>
      <c r="AP1431" s="729"/>
      <c r="AQ1431" s="730"/>
      <c r="AR1431" s="731"/>
      <c r="AS1431" s="732"/>
      <c r="AT1431" s="733"/>
      <c r="AU1431" s="734"/>
      <c r="AV1431" s="713" t="s">
        <v>162</v>
      </c>
      <c r="AW1431" s="714"/>
      <c r="AX1431" s="692"/>
      <c r="AY1431" s="693"/>
      <c r="AZ1431" s="694"/>
      <c r="BA1431" s="735"/>
      <c r="BB1431" s="736"/>
      <c r="BC1431" s="219"/>
      <c r="BD1431" s="737" t="s">
        <v>162</v>
      </c>
      <c r="BE1431" s="738"/>
      <c r="BF1431" s="739"/>
      <c r="BG1431" s="740"/>
      <c r="BH1431" s="740"/>
      <c r="BI1431" s="741"/>
      <c r="BJ1431" s="742" t="s">
        <v>159</v>
      </c>
      <c r="BK1431" s="743"/>
      <c r="BL1431" s="743"/>
      <c r="BM1431" s="744"/>
      <c r="BN1431" s="703" t="s">
        <v>159</v>
      </c>
      <c r="BO1431" s="704"/>
      <c r="BP1431" s="704"/>
      <c r="BQ1431" s="704"/>
      <c r="BR1431" s="704"/>
      <c r="BS1431" s="704"/>
      <c r="BT1431" s="704"/>
      <c r="BU1431" s="704"/>
      <c r="BV1431" s="705"/>
    </row>
    <row r="1432" spans="1:74" ht="45" customHeight="1" x14ac:dyDescent="0.25">
      <c r="A1432" s="10">
        <f t="shared" si="22"/>
        <v>1418</v>
      </c>
      <c r="B1432" s="662" t="s">
        <v>159</v>
      </c>
      <c r="C1432" s="662"/>
      <c r="D1432" s="663" t="s">
        <v>212</v>
      </c>
      <c r="E1432" s="663"/>
      <c r="F1432" s="664" t="s">
        <v>162</v>
      </c>
      <c r="G1432" s="665"/>
      <c r="H1432" s="754" t="s">
        <v>162</v>
      </c>
      <c r="I1432" s="714"/>
      <c r="J1432" s="340"/>
      <c r="K1432" s="341"/>
      <c r="L1432" s="340"/>
      <c r="M1432" s="341"/>
      <c r="N1432" s="194"/>
      <c r="O1432" s="196"/>
      <c r="P1432" s="717"/>
      <c r="Q1432" s="718"/>
      <c r="R1432" s="672"/>
      <c r="S1432" s="673"/>
      <c r="T1432" s="674"/>
      <c r="U1432" s="675"/>
      <c r="V1432" s="676"/>
      <c r="W1432" s="677"/>
      <c r="X1432" s="678" t="s">
        <v>159</v>
      </c>
      <c r="Y1432" s="678"/>
      <c r="Z1432" s="678"/>
      <c r="AA1432" s="678"/>
      <c r="AB1432" s="679" t="s">
        <v>159</v>
      </c>
      <c r="AC1432" s="679"/>
      <c r="AD1432" s="679"/>
      <c r="AE1432" s="679"/>
      <c r="AF1432" s="680"/>
      <c r="AG1432" s="681"/>
      <c r="AH1432" s="680"/>
      <c r="AI1432" s="681"/>
      <c r="AJ1432" s="682"/>
      <c r="AK1432" s="683"/>
      <c r="AL1432" s="684" t="s">
        <v>162</v>
      </c>
      <c r="AM1432" s="685"/>
      <c r="AN1432" s="666" t="s">
        <v>162</v>
      </c>
      <c r="AO1432" s="667"/>
      <c r="AP1432" s="686"/>
      <c r="AQ1432" s="687"/>
      <c r="AR1432" s="688"/>
      <c r="AS1432" s="689"/>
      <c r="AT1432" s="690"/>
      <c r="AU1432" s="691"/>
      <c r="AV1432" s="666" t="s">
        <v>162</v>
      </c>
      <c r="AW1432" s="667"/>
      <c r="AX1432" s="692"/>
      <c r="AY1432" s="693"/>
      <c r="AZ1432" s="694"/>
      <c r="BA1432" s="682"/>
      <c r="BB1432" s="683"/>
      <c r="BC1432" s="14"/>
      <c r="BD1432" s="695" t="s">
        <v>162</v>
      </c>
      <c r="BE1432" s="696"/>
      <c r="BF1432" s="697"/>
      <c r="BG1432" s="698"/>
      <c r="BH1432" s="698"/>
      <c r="BI1432" s="699"/>
      <c r="BJ1432" s="700" t="s">
        <v>159</v>
      </c>
      <c r="BK1432" s="701"/>
      <c r="BL1432" s="701"/>
      <c r="BM1432" s="702"/>
      <c r="BN1432" s="703" t="s">
        <v>159</v>
      </c>
      <c r="BO1432" s="704"/>
      <c r="BP1432" s="704"/>
      <c r="BQ1432" s="704"/>
      <c r="BR1432" s="704"/>
      <c r="BS1432" s="704"/>
      <c r="BT1432" s="704"/>
      <c r="BU1432" s="704"/>
      <c r="BV1432" s="705"/>
    </row>
    <row r="1433" spans="1:74" ht="45" customHeight="1" x14ac:dyDescent="0.25">
      <c r="A1433" s="10">
        <f t="shared" si="22"/>
        <v>1419</v>
      </c>
      <c r="B1433" s="711" t="s">
        <v>159</v>
      </c>
      <c r="C1433" s="711"/>
      <c r="D1433" s="712" t="s">
        <v>212</v>
      </c>
      <c r="E1433" s="712"/>
      <c r="F1433" s="664" t="s">
        <v>162</v>
      </c>
      <c r="G1433" s="665"/>
      <c r="H1433" s="755" t="s">
        <v>162</v>
      </c>
      <c r="I1433" s="667"/>
      <c r="J1433" s="706"/>
      <c r="K1433" s="707"/>
      <c r="L1433" s="706"/>
      <c r="M1433" s="707"/>
      <c r="N1433" s="215"/>
      <c r="O1433" s="216"/>
      <c r="P1433" s="670"/>
      <c r="Q1433" s="671"/>
      <c r="R1433" s="719"/>
      <c r="S1433" s="720"/>
      <c r="T1433" s="721"/>
      <c r="U1433" s="722"/>
      <c r="V1433" s="723"/>
      <c r="W1433" s="724"/>
      <c r="X1433" s="725" t="s">
        <v>159</v>
      </c>
      <c r="Y1433" s="725"/>
      <c r="Z1433" s="725"/>
      <c r="AA1433" s="725"/>
      <c r="AB1433" s="726" t="s">
        <v>159</v>
      </c>
      <c r="AC1433" s="726"/>
      <c r="AD1433" s="726"/>
      <c r="AE1433" s="726"/>
      <c r="AF1433" s="727"/>
      <c r="AG1433" s="728"/>
      <c r="AH1433" s="727"/>
      <c r="AI1433" s="728"/>
      <c r="AJ1433" s="682"/>
      <c r="AK1433" s="683"/>
      <c r="AL1433" s="664" t="s">
        <v>162</v>
      </c>
      <c r="AM1433" s="665"/>
      <c r="AN1433" s="713" t="s">
        <v>162</v>
      </c>
      <c r="AO1433" s="714"/>
      <c r="AP1433" s="729"/>
      <c r="AQ1433" s="730"/>
      <c r="AR1433" s="731"/>
      <c r="AS1433" s="732"/>
      <c r="AT1433" s="733"/>
      <c r="AU1433" s="734"/>
      <c r="AV1433" s="713" t="s">
        <v>162</v>
      </c>
      <c r="AW1433" s="714"/>
      <c r="AX1433" s="692"/>
      <c r="AY1433" s="693"/>
      <c r="AZ1433" s="694"/>
      <c r="BA1433" s="735"/>
      <c r="BB1433" s="736"/>
      <c r="BC1433" s="219"/>
      <c r="BD1433" s="737" t="s">
        <v>162</v>
      </c>
      <c r="BE1433" s="738"/>
      <c r="BF1433" s="739"/>
      <c r="BG1433" s="740"/>
      <c r="BH1433" s="740"/>
      <c r="BI1433" s="741"/>
      <c r="BJ1433" s="742" t="s">
        <v>159</v>
      </c>
      <c r="BK1433" s="743"/>
      <c r="BL1433" s="743"/>
      <c r="BM1433" s="744"/>
      <c r="BN1433" s="703" t="s">
        <v>159</v>
      </c>
      <c r="BO1433" s="704"/>
      <c r="BP1433" s="704"/>
      <c r="BQ1433" s="704"/>
      <c r="BR1433" s="704"/>
      <c r="BS1433" s="704"/>
      <c r="BT1433" s="704"/>
      <c r="BU1433" s="704"/>
      <c r="BV1433" s="705"/>
    </row>
    <row r="1434" spans="1:74" ht="45" customHeight="1" x14ac:dyDescent="0.25">
      <c r="A1434" s="10">
        <f t="shared" si="22"/>
        <v>1420</v>
      </c>
      <c r="B1434" s="662" t="s">
        <v>159</v>
      </c>
      <c r="C1434" s="662"/>
      <c r="D1434" s="663" t="s">
        <v>212</v>
      </c>
      <c r="E1434" s="663"/>
      <c r="F1434" s="664" t="s">
        <v>162</v>
      </c>
      <c r="G1434" s="665"/>
      <c r="H1434" s="754" t="s">
        <v>162</v>
      </c>
      <c r="I1434" s="714"/>
      <c r="J1434" s="340"/>
      <c r="K1434" s="341"/>
      <c r="L1434" s="340"/>
      <c r="M1434" s="341"/>
      <c r="N1434" s="194"/>
      <c r="O1434" s="196"/>
      <c r="P1434" s="717"/>
      <c r="Q1434" s="718"/>
      <c r="R1434" s="672"/>
      <c r="S1434" s="673"/>
      <c r="T1434" s="674"/>
      <c r="U1434" s="675"/>
      <c r="V1434" s="676"/>
      <c r="W1434" s="677"/>
      <c r="X1434" s="678" t="s">
        <v>159</v>
      </c>
      <c r="Y1434" s="678"/>
      <c r="Z1434" s="678"/>
      <c r="AA1434" s="678"/>
      <c r="AB1434" s="679" t="s">
        <v>159</v>
      </c>
      <c r="AC1434" s="679"/>
      <c r="AD1434" s="679"/>
      <c r="AE1434" s="679"/>
      <c r="AF1434" s="680"/>
      <c r="AG1434" s="681"/>
      <c r="AH1434" s="680"/>
      <c r="AI1434" s="681"/>
      <c r="AJ1434" s="682"/>
      <c r="AK1434" s="683"/>
      <c r="AL1434" s="684" t="s">
        <v>162</v>
      </c>
      <c r="AM1434" s="685"/>
      <c r="AN1434" s="666" t="s">
        <v>162</v>
      </c>
      <c r="AO1434" s="667"/>
      <c r="AP1434" s="686"/>
      <c r="AQ1434" s="687"/>
      <c r="AR1434" s="688"/>
      <c r="AS1434" s="689"/>
      <c r="AT1434" s="690"/>
      <c r="AU1434" s="691"/>
      <c r="AV1434" s="666" t="s">
        <v>162</v>
      </c>
      <c r="AW1434" s="667"/>
      <c r="AX1434" s="692"/>
      <c r="AY1434" s="693"/>
      <c r="AZ1434" s="694"/>
      <c r="BA1434" s="682"/>
      <c r="BB1434" s="683"/>
      <c r="BC1434" s="14"/>
      <c r="BD1434" s="695" t="s">
        <v>162</v>
      </c>
      <c r="BE1434" s="696"/>
      <c r="BF1434" s="697"/>
      <c r="BG1434" s="698"/>
      <c r="BH1434" s="698"/>
      <c r="BI1434" s="699"/>
      <c r="BJ1434" s="700" t="s">
        <v>159</v>
      </c>
      <c r="BK1434" s="701"/>
      <c r="BL1434" s="701"/>
      <c r="BM1434" s="702"/>
      <c r="BN1434" s="703" t="s">
        <v>159</v>
      </c>
      <c r="BO1434" s="704"/>
      <c r="BP1434" s="704"/>
      <c r="BQ1434" s="704"/>
      <c r="BR1434" s="704"/>
      <c r="BS1434" s="704"/>
      <c r="BT1434" s="704"/>
      <c r="BU1434" s="704"/>
      <c r="BV1434" s="705"/>
    </row>
    <row r="1435" spans="1:74" ht="45" customHeight="1" x14ac:dyDescent="0.25">
      <c r="A1435" s="10">
        <f t="shared" si="22"/>
        <v>1421</v>
      </c>
      <c r="B1435" s="711" t="s">
        <v>159</v>
      </c>
      <c r="C1435" s="711"/>
      <c r="D1435" s="712" t="s">
        <v>212</v>
      </c>
      <c r="E1435" s="712"/>
      <c r="F1435" s="664" t="s">
        <v>162</v>
      </c>
      <c r="G1435" s="665"/>
      <c r="H1435" s="755" t="s">
        <v>162</v>
      </c>
      <c r="I1435" s="667"/>
      <c r="J1435" s="706"/>
      <c r="K1435" s="707"/>
      <c r="L1435" s="706"/>
      <c r="M1435" s="707"/>
      <c r="N1435" s="215"/>
      <c r="O1435" s="216"/>
      <c r="P1435" s="670"/>
      <c r="Q1435" s="671"/>
      <c r="R1435" s="719"/>
      <c r="S1435" s="720"/>
      <c r="T1435" s="721"/>
      <c r="U1435" s="722"/>
      <c r="V1435" s="723"/>
      <c r="W1435" s="724"/>
      <c r="X1435" s="725" t="s">
        <v>159</v>
      </c>
      <c r="Y1435" s="725"/>
      <c r="Z1435" s="725"/>
      <c r="AA1435" s="725"/>
      <c r="AB1435" s="726" t="s">
        <v>159</v>
      </c>
      <c r="AC1435" s="726"/>
      <c r="AD1435" s="726"/>
      <c r="AE1435" s="726"/>
      <c r="AF1435" s="727"/>
      <c r="AG1435" s="728"/>
      <c r="AH1435" s="727"/>
      <c r="AI1435" s="728"/>
      <c r="AJ1435" s="682"/>
      <c r="AK1435" s="683"/>
      <c r="AL1435" s="664" t="s">
        <v>162</v>
      </c>
      <c r="AM1435" s="665"/>
      <c r="AN1435" s="713" t="s">
        <v>162</v>
      </c>
      <c r="AO1435" s="714"/>
      <c r="AP1435" s="729"/>
      <c r="AQ1435" s="730"/>
      <c r="AR1435" s="731"/>
      <c r="AS1435" s="732"/>
      <c r="AT1435" s="733"/>
      <c r="AU1435" s="734"/>
      <c r="AV1435" s="713" t="s">
        <v>162</v>
      </c>
      <c r="AW1435" s="714"/>
      <c r="AX1435" s="692"/>
      <c r="AY1435" s="693"/>
      <c r="AZ1435" s="694"/>
      <c r="BA1435" s="735"/>
      <c r="BB1435" s="736"/>
      <c r="BC1435" s="219"/>
      <c r="BD1435" s="737" t="s">
        <v>162</v>
      </c>
      <c r="BE1435" s="738"/>
      <c r="BF1435" s="739"/>
      <c r="BG1435" s="740"/>
      <c r="BH1435" s="740"/>
      <c r="BI1435" s="741"/>
      <c r="BJ1435" s="742" t="s">
        <v>159</v>
      </c>
      <c r="BK1435" s="743"/>
      <c r="BL1435" s="743"/>
      <c r="BM1435" s="744"/>
      <c r="BN1435" s="703" t="s">
        <v>159</v>
      </c>
      <c r="BO1435" s="704"/>
      <c r="BP1435" s="704"/>
      <c r="BQ1435" s="704"/>
      <c r="BR1435" s="704"/>
      <c r="BS1435" s="704"/>
      <c r="BT1435" s="704"/>
      <c r="BU1435" s="704"/>
      <c r="BV1435" s="705"/>
    </row>
    <row r="1436" spans="1:74" ht="45" customHeight="1" x14ac:dyDescent="0.25">
      <c r="A1436" s="10">
        <f t="shared" si="22"/>
        <v>1422</v>
      </c>
      <c r="B1436" s="662" t="s">
        <v>159</v>
      </c>
      <c r="C1436" s="662"/>
      <c r="D1436" s="663" t="s">
        <v>212</v>
      </c>
      <c r="E1436" s="663"/>
      <c r="F1436" s="664" t="s">
        <v>162</v>
      </c>
      <c r="G1436" s="665"/>
      <c r="H1436" s="754" t="s">
        <v>162</v>
      </c>
      <c r="I1436" s="714"/>
      <c r="J1436" s="340"/>
      <c r="K1436" s="341"/>
      <c r="L1436" s="340"/>
      <c r="M1436" s="341"/>
      <c r="N1436" s="194"/>
      <c r="O1436" s="196"/>
      <c r="P1436" s="717"/>
      <c r="Q1436" s="718"/>
      <c r="R1436" s="672"/>
      <c r="S1436" s="673"/>
      <c r="T1436" s="674"/>
      <c r="U1436" s="675"/>
      <c r="V1436" s="676"/>
      <c r="W1436" s="677"/>
      <c r="X1436" s="678" t="s">
        <v>159</v>
      </c>
      <c r="Y1436" s="678"/>
      <c r="Z1436" s="678"/>
      <c r="AA1436" s="678"/>
      <c r="AB1436" s="679" t="s">
        <v>159</v>
      </c>
      <c r="AC1436" s="679"/>
      <c r="AD1436" s="679"/>
      <c r="AE1436" s="679"/>
      <c r="AF1436" s="680"/>
      <c r="AG1436" s="681"/>
      <c r="AH1436" s="680"/>
      <c r="AI1436" s="681"/>
      <c r="AJ1436" s="682"/>
      <c r="AK1436" s="683"/>
      <c r="AL1436" s="684" t="s">
        <v>162</v>
      </c>
      <c r="AM1436" s="685"/>
      <c r="AN1436" s="666" t="s">
        <v>162</v>
      </c>
      <c r="AO1436" s="667"/>
      <c r="AP1436" s="686"/>
      <c r="AQ1436" s="687"/>
      <c r="AR1436" s="688"/>
      <c r="AS1436" s="689"/>
      <c r="AT1436" s="690"/>
      <c r="AU1436" s="691"/>
      <c r="AV1436" s="666" t="s">
        <v>162</v>
      </c>
      <c r="AW1436" s="667"/>
      <c r="AX1436" s="692"/>
      <c r="AY1436" s="693"/>
      <c r="AZ1436" s="694"/>
      <c r="BA1436" s="682"/>
      <c r="BB1436" s="683"/>
      <c r="BC1436" s="14"/>
      <c r="BD1436" s="695" t="s">
        <v>162</v>
      </c>
      <c r="BE1436" s="696"/>
      <c r="BF1436" s="708"/>
      <c r="BG1436" s="709"/>
      <c r="BH1436" s="709"/>
      <c r="BI1436" s="710"/>
      <c r="BJ1436" s="700" t="s">
        <v>159</v>
      </c>
      <c r="BK1436" s="701"/>
      <c r="BL1436" s="701"/>
      <c r="BM1436" s="702"/>
      <c r="BN1436" s="703" t="s">
        <v>159</v>
      </c>
      <c r="BO1436" s="704"/>
      <c r="BP1436" s="704"/>
      <c r="BQ1436" s="704"/>
      <c r="BR1436" s="704"/>
      <c r="BS1436" s="704"/>
      <c r="BT1436" s="704"/>
      <c r="BU1436" s="704"/>
      <c r="BV1436" s="705"/>
    </row>
    <row r="1437" spans="1:74" ht="45" customHeight="1" x14ac:dyDescent="0.25">
      <c r="A1437" s="10">
        <f t="shared" si="22"/>
        <v>1423</v>
      </c>
      <c r="B1437" s="711" t="s">
        <v>159</v>
      </c>
      <c r="C1437" s="711"/>
      <c r="D1437" s="712" t="s">
        <v>212</v>
      </c>
      <c r="E1437" s="712"/>
      <c r="F1437" s="664" t="s">
        <v>162</v>
      </c>
      <c r="G1437" s="665"/>
      <c r="H1437" s="755" t="s">
        <v>162</v>
      </c>
      <c r="I1437" s="667"/>
      <c r="J1437" s="706"/>
      <c r="K1437" s="707"/>
      <c r="L1437" s="706"/>
      <c r="M1437" s="707"/>
      <c r="N1437" s="215"/>
      <c r="O1437" s="216"/>
      <c r="P1437" s="670"/>
      <c r="Q1437" s="671"/>
      <c r="R1437" s="719"/>
      <c r="S1437" s="720"/>
      <c r="T1437" s="721"/>
      <c r="U1437" s="722"/>
      <c r="V1437" s="723"/>
      <c r="W1437" s="724"/>
      <c r="X1437" s="725" t="s">
        <v>159</v>
      </c>
      <c r="Y1437" s="725"/>
      <c r="Z1437" s="725"/>
      <c r="AA1437" s="725"/>
      <c r="AB1437" s="726" t="s">
        <v>159</v>
      </c>
      <c r="AC1437" s="726"/>
      <c r="AD1437" s="726"/>
      <c r="AE1437" s="726"/>
      <c r="AF1437" s="727"/>
      <c r="AG1437" s="728"/>
      <c r="AH1437" s="727"/>
      <c r="AI1437" s="728"/>
      <c r="AJ1437" s="682"/>
      <c r="AK1437" s="683"/>
      <c r="AL1437" s="664" t="s">
        <v>162</v>
      </c>
      <c r="AM1437" s="665"/>
      <c r="AN1437" s="713" t="s">
        <v>162</v>
      </c>
      <c r="AO1437" s="714"/>
      <c r="AP1437" s="729"/>
      <c r="AQ1437" s="730"/>
      <c r="AR1437" s="731"/>
      <c r="AS1437" s="732"/>
      <c r="AT1437" s="733"/>
      <c r="AU1437" s="734"/>
      <c r="AV1437" s="713" t="s">
        <v>162</v>
      </c>
      <c r="AW1437" s="714"/>
      <c r="AX1437" s="692"/>
      <c r="AY1437" s="693"/>
      <c r="AZ1437" s="694"/>
      <c r="BA1437" s="735"/>
      <c r="BB1437" s="736"/>
      <c r="BC1437" s="219"/>
      <c r="BD1437" s="737" t="s">
        <v>162</v>
      </c>
      <c r="BE1437" s="738"/>
      <c r="BF1437" s="739"/>
      <c r="BG1437" s="740"/>
      <c r="BH1437" s="740"/>
      <c r="BI1437" s="741"/>
      <c r="BJ1437" s="742" t="s">
        <v>159</v>
      </c>
      <c r="BK1437" s="743"/>
      <c r="BL1437" s="743"/>
      <c r="BM1437" s="744"/>
      <c r="BN1437" s="703" t="s">
        <v>159</v>
      </c>
      <c r="BO1437" s="704"/>
      <c r="BP1437" s="704"/>
      <c r="BQ1437" s="704"/>
      <c r="BR1437" s="704"/>
      <c r="BS1437" s="704"/>
      <c r="BT1437" s="704"/>
      <c r="BU1437" s="704"/>
      <c r="BV1437" s="705"/>
    </row>
    <row r="1438" spans="1:74" ht="45" customHeight="1" x14ac:dyDescent="0.25">
      <c r="A1438" s="10">
        <f t="shared" si="22"/>
        <v>1424</v>
      </c>
      <c r="B1438" s="662" t="s">
        <v>159</v>
      </c>
      <c r="C1438" s="662"/>
      <c r="D1438" s="663" t="s">
        <v>212</v>
      </c>
      <c r="E1438" s="663"/>
      <c r="F1438" s="664" t="s">
        <v>162</v>
      </c>
      <c r="G1438" s="665"/>
      <c r="H1438" s="754" t="s">
        <v>162</v>
      </c>
      <c r="I1438" s="714"/>
      <c r="J1438" s="340"/>
      <c r="K1438" s="341"/>
      <c r="L1438" s="340"/>
      <c r="M1438" s="341"/>
      <c r="N1438" s="194"/>
      <c r="O1438" s="196"/>
      <c r="P1438" s="717"/>
      <c r="Q1438" s="718"/>
      <c r="R1438" s="672"/>
      <c r="S1438" s="673"/>
      <c r="T1438" s="674"/>
      <c r="U1438" s="675"/>
      <c r="V1438" s="676"/>
      <c r="W1438" s="677"/>
      <c r="X1438" s="678" t="s">
        <v>159</v>
      </c>
      <c r="Y1438" s="678"/>
      <c r="Z1438" s="678"/>
      <c r="AA1438" s="678"/>
      <c r="AB1438" s="679" t="s">
        <v>159</v>
      </c>
      <c r="AC1438" s="679"/>
      <c r="AD1438" s="679"/>
      <c r="AE1438" s="679"/>
      <c r="AF1438" s="680"/>
      <c r="AG1438" s="681"/>
      <c r="AH1438" s="680"/>
      <c r="AI1438" s="681"/>
      <c r="AJ1438" s="682"/>
      <c r="AK1438" s="683"/>
      <c r="AL1438" s="684" t="s">
        <v>162</v>
      </c>
      <c r="AM1438" s="685"/>
      <c r="AN1438" s="666" t="s">
        <v>162</v>
      </c>
      <c r="AO1438" s="667"/>
      <c r="AP1438" s="686"/>
      <c r="AQ1438" s="687"/>
      <c r="AR1438" s="688"/>
      <c r="AS1438" s="689"/>
      <c r="AT1438" s="690"/>
      <c r="AU1438" s="691"/>
      <c r="AV1438" s="666" t="s">
        <v>162</v>
      </c>
      <c r="AW1438" s="667"/>
      <c r="AX1438" s="692"/>
      <c r="AY1438" s="693"/>
      <c r="AZ1438" s="694"/>
      <c r="BA1438" s="682"/>
      <c r="BB1438" s="683"/>
      <c r="BC1438" s="14"/>
      <c r="BD1438" s="695" t="s">
        <v>162</v>
      </c>
      <c r="BE1438" s="696"/>
      <c r="BF1438" s="697"/>
      <c r="BG1438" s="698"/>
      <c r="BH1438" s="698"/>
      <c r="BI1438" s="699"/>
      <c r="BJ1438" s="700" t="s">
        <v>159</v>
      </c>
      <c r="BK1438" s="701"/>
      <c r="BL1438" s="701"/>
      <c r="BM1438" s="702"/>
      <c r="BN1438" s="703" t="s">
        <v>159</v>
      </c>
      <c r="BO1438" s="704"/>
      <c r="BP1438" s="704"/>
      <c r="BQ1438" s="704"/>
      <c r="BR1438" s="704"/>
      <c r="BS1438" s="704"/>
      <c r="BT1438" s="704"/>
      <c r="BU1438" s="704"/>
      <c r="BV1438" s="705"/>
    </row>
    <row r="1439" spans="1:74" ht="45" customHeight="1" x14ac:dyDescent="0.25">
      <c r="A1439" s="10">
        <f t="shared" si="22"/>
        <v>1425</v>
      </c>
      <c r="B1439" s="711" t="s">
        <v>159</v>
      </c>
      <c r="C1439" s="711"/>
      <c r="D1439" s="712" t="s">
        <v>212</v>
      </c>
      <c r="E1439" s="712"/>
      <c r="F1439" s="664" t="s">
        <v>162</v>
      </c>
      <c r="G1439" s="665"/>
      <c r="H1439" s="755" t="s">
        <v>162</v>
      </c>
      <c r="I1439" s="667"/>
      <c r="J1439" s="706"/>
      <c r="K1439" s="707"/>
      <c r="L1439" s="706"/>
      <c r="M1439" s="707"/>
      <c r="N1439" s="215"/>
      <c r="O1439" s="216"/>
      <c r="P1439" s="670"/>
      <c r="Q1439" s="671"/>
      <c r="R1439" s="719"/>
      <c r="S1439" s="720"/>
      <c r="T1439" s="721"/>
      <c r="U1439" s="722"/>
      <c r="V1439" s="723"/>
      <c r="W1439" s="724"/>
      <c r="X1439" s="725" t="s">
        <v>159</v>
      </c>
      <c r="Y1439" s="725"/>
      <c r="Z1439" s="725"/>
      <c r="AA1439" s="725"/>
      <c r="AB1439" s="726" t="s">
        <v>159</v>
      </c>
      <c r="AC1439" s="726"/>
      <c r="AD1439" s="726"/>
      <c r="AE1439" s="726"/>
      <c r="AF1439" s="727"/>
      <c r="AG1439" s="728"/>
      <c r="AH1439" s="727"/>
      <c r="AI1439" s="728"/>
      <c r="AJ1439" s="682"/>
      <c r="AK1439" s="683"/>
      <c r="AL1439" s="664" t="s">
        <v>162</v>
      </c>
      <c r="AM1439" s="665"/>
      <c r="AN1439" s="713" t="s">
        <v>162</v>
      </c>
      <c r="AO1439" s="714"/>
      <c r="AP1439" s="729"/>
      <c r="AQ1439" s="730"/>
      <c r="AR1439" s="731"/>
      <c r="AS1439" s="732"/>
      <c r="AT1439" s="690"/>
      <c r="AU1439" s="691"/>
      <c r="AV1439" s="713" t="s">
        <v>162</v>
      </c>
      <c r="AW1439" s="714"/>
      <c r="AX1439" s="692"/>
      <c r="AY1439" s="693"/>
      <c r="AZ1439" s="694"/>
      <c r="BA1439" s="735"/>
      <c r="BB1439" s="736"/>
      <c r="BC1439" s="219"/>
      <c r="BD1439" s="737" t="s">
        <v>162</v>
      </c>
      <c r="BE1439" s="738"/>
      <c r="BF1439" s="739"/>
      <c r="BG1439" s="740"/>
      <c r="BH1439" s="740"/>
      <c r="BI1439" s="741"/>
      <c r="BJ1439" s="742" t="s">
        <v>159</v>
      </c>
      <c r="BK1439" s="743"/>
      <c r="BL1439" s="743"/>
      <c r="BM1439" s="744"/>
      <c r="BN1439" s="703" t="s">
        <v>159</v>
      </c>
      <c r="BO1439" s="704"/>
      <c r="BP1439" s="704"/>
      <c r="BQ1439" s="704"/>
      <c r="BR1439" s="704"/>
      <c r="BS1439" s="704"/>
      <c r="BT1439" s="704"/>
      <c r="BU1439" s="704"/>
      <c r="BV1439" s="705"/>
    </row>
    <row r="1440" spans="1:74" ht="45" customHeight="1" x14ac:dyDescent="0.25">
      <c r="A1440" s="10">
        <f t="shared" si="22"/>
        <v>1426</v>
      </c>
      <c r="B1440" s="662" t="s">
        <v>159</v>
      </c>
      <c r="C1440" s="662"/>
      <c r="D1440" s="663" t="s">
        <v>212</v>
      </c>
      <c r="E1440" s="663"/>
      <c r="F1440" s="664" t="s">
        <v>162</v>
      </c>
      <c r="G1440" s="665"/>
      <c r="H1440" s="754" t="s">
        <v>162</v>
      </c>
      <c r="I1440" s="714"/>
      <c r="J1440" s="340"/>
      <c r="K1440" s="341"/>
      <c r="L1440" s="340"/>
      <c r="M1440" s="341"/>
      <c r="N1440" s="194"/>
      <c r="O1440" s="196"/>
      <c r="P1440" s="717"/>
      <c r="Q1440" s="718"/>
      <c r="R1440" s="672"/>
      <c r="S1440" s="673"/>
      <c r="T1440" s="674"/>
      <c r="U1440" s="675"/>
      <c r="V1440" s="676"/>
      <c r="W1440" s="677"/>
      <c r="X1440" s="678" t="s">
        <v>159</v>
      </c>
      <c r="Y1440" s="678"/>
      <c r="Z1440" s="678"/>
      <c r="AA1440" s="678"/>
      <c r="AB1440" s="679" t="s">
        <v>159</v>
      </c>
      <c r="AC1440" s="679"/>
      <c r="AD1440" s="679"/>
      <c r="AE1440" s="679"/>
      <c r="AF1440" s="680"/>
      <c r="AG1440" s="681"/>
      <c r="AH1440" s="680"/>
      <c r="AI1440" s="681"/>
      <c r="AJ1440" s="682"/>
      <c r="AK1440" s="683"/>
      <c r="AL1440" s="684" t="s">
        <v>162</v>
      </c>
      <c r="AM1440" s="685"/>
      <c r="AN1440" s="666" t="s">
        <v>162</v>
      </c>
      <c r="AO1440" s="667"/>
      <c r="AP1440" s="686"/>
      <c r="AQ1440" s="687"/>
      <c r="AR1440" s="688"/>
      <c r="AS1440" s="689"/>
      <c r="AT1440" s="690"/>
      <c r="AU1440" s="691"/>
      <c r="AV1440" s="666" t="s">
        <v>162</v>
      </c>
      <c r="AW1440" s="667"/>
      <c r="AX1440" s="692"/>
      <c r="AY1440" s="693"/>
      <c r="AZ1440" s="694"/>
      <c r="BA1440" s="682"/>
      <c r="BB1440" s="683"/>
      <c r="BC1440" s="14"/>
      <c r="BD1440" s="695" t="s">
        <v>162</v>
      </c>
      <c r="BE1440" s="696"/>
      <c r="BF1440" s="697"/>
      <c r="BG1440" s="698"/>
      <c r="BH1440" s="698"/>
      <c r="BI1440" s="699"/>
      <c r="BJ1440" s="700" t="s">
        <v>159</v>
      </c>
      <c r="BK1440" s="701"/>
      <c r="BL1440" s="701"/>
      <c r="BM1440" s="702"/>
      <c r="BN1440" s="703" t="s">
        <v>159</v>
      </c>
      <c r="BO1440" s="704"/>
      <c r="BP1440" s="704"/>
      <c r="BQ1440" s="704"/>
      <c r="BR1440" s="704"/>
      <c r="BS1440" s="704"/>
      <c r="BT1440" s="704"/>
      <c r="BU1440" s="704"/>
      <c r="BV1440" s="705"/>
    </row>
    <row r="1441" spans="1:74" ht="45" customHeight="1" x14ac:dyDescent="0.25">
      <c r="A1441" s="10">
        <f t="shared" si="22"/>
        <v>1427</v>
      </c>
      <c r="B1441" s="711" t="s">
        <v>159</v>
      </c>
      <c r="C1441" s="711"/>
      <c r="D1441" s="712" t="s">
        <v>212</v>
      </c>
      <c r="E1441" s="712"/>
      <c r="F1441" s="664" t="s">
        <v>162</v>
      </c>
      <c r="G1441" s="665"/>
      <c r="H1441" s="755" t="s">
        <v>162</v>
      </c>
      <c r="I1441" s="667"/>
      <c r="J1441" s="706"/>
      <c r="K1441" s="707"/>
      <c r="L1441" s="706"/>
      <c r="M1441" s="707"/>
      <c r="N1441" s="215"/>
      <c r="O1441" s="216"/>
      <c r="P1441" s="670"/>
      <c r="Q1441" s="671"/>
      <c r="R1441" s="719"/>
      <c r="S1441" s="720"/>
      <c r="T1441" s="721"/>
      <c r="U1441" s="722"/>
      <c r="V1441" s="723"/>
      <c r="W1441" s="724"/>
      <c r="X1441" s="725" t="s">
        <v>159</v>
      </c>
      <c r="Y1441" s="725"/>
      <c r="Z1441" s="725"/>
      <c r="AA1441" s="725"/>
      <c r="AB1441" s="726" t="s">
        <v>159</v>
      </c>
      <c r="AC1441" s="726"/>
      <c r="AD1441" s="726"/>
      <c r="AE1441" s="726"/>
      <c r="AF1441" s="727"/>
      <c r="AG1441" s="728"/>
      <c r="AH1441" s="727"/>
      <c r="AI1441" s="728"/>
      <c r="AJ1441" s="682"/>
      <c r="AK1441" s="683"/>
      <c r="AL1441" s="664" t="s">
        <v>162</v>
      </c>
      <c r="AM1441" s="665"/>
      <c r="AN1441" s="713" t="s">
        <v>162</v>
      </c>
      <c r="AO1441" s="714"/>
      <c r="AP1441" s="729"/>
      <c r="AQ1441" s="730"/>
      <c r="AR1441" s="731"/>
      <c r="AS1441" s="732"/>
      <c r="AT1441" s="690"/>
      <c r="AU1441" s="691"/>
      <c r="AV1441" s="713" t="s">
        <v>162</v>
      </c>
      <c r="AW1441" s="714"/>
      <c r="AX1441" s="692"/>
      <c r="AY1441" s="693"/>
      <c r="AZ1441" s="694"/>
      <c r="BA1441" s="735"/>
      <c r="BB1441" s="736"/>
      <c r="BC1441" s="219"/>
      <c r="BD1441" s="737" t="s">
        <v>162</v>
      </c>
      <c r="BE1441" s="738"/>
      <c r="BF1441" s="739"/>
      <c r="BG1441" s="740"/>
      <c r="BH1441" s="740"/>
      <c r="BI1441" s="741"/>
      <c r="BJ1441" s="742" t="s">
        <v>159</v>
      </c>
      <c r="BK1441" s="743"/>
      <c r="BL1441" s="743"/>
      <c r="BM1441" s="744"/>
      <c r="BN1441" s="703" t="s">
        <v>159</v>
      </c>
      <c r="BO1441" s="704"/>
      <c r="BP1441" s="704"/>
      <c r="BQ1441" s="704"/>
      <c r="BR1441" s="704"/>
      <c r="BS1441" s="704"/>
      <c r="BT1441" s="704"/>
      <c r="BU1441" s="704"/>
      <c r="BV1441" s="705"/>
    </row>
    <row r="1442" spans="1:74" ht="45" customHeight="1" x14ac:dyDescent="0.25">
      <c r="A1442" s="10">
        <f t="shared" si="22"/>
        <v>1428</v>
      </c>
      <c r="B1442" s="662" t="s">
        <v>159</v>
      </c>
      <c r="C1442" s="662"/>
      <c r="D1442" s="663" t="s">
        <v>212</v>
      </c>
      <c r="E1442" s="663"/>
      <c r="F1442" s="664" t="s">
        <v>162</v>
      </c>
      <c r="G1442" s="665"/>
      <c r="H1442" s="754" t="s">
        <v>162</v>
      </c>
      <c r="I1442" s="714"/>
      <c r="J1442" s="340"/>
      <c r="K1442" s="341"/>
      <c r="L1442" s="340"/>
      <c r="M1442" s="341"/>
      <c r="N1442" s="194"/>
      <c r="O1442" s="196"/>
      <c r="P1442" s="717"/>
      <c r="Q1442" s="718"/>
      <c r="R1442" s="672"/>
      <c r="S1442" s="673"/>
      <c r="T1442" s="674"/>
      <c r="U1442" s="675"/>
      <c r="V1442" s="676"/>
      <c r="W1442" s="677"/>
      <c r="X1442" s="678" t="s">
        <v>159</v>
      </c>
      <c r="Y1442" s="678"/>
      <c r="Z1442" s="678"/>
      <c r="AA1442" s="678"/>
      <c r="AB1442" s="679" t="s">
        <v>159</v>
      </c>
      <c r="AC1442" s="679"/>
      <c r="AD1442" s="679"/>
      <c r="AE1442" s="679"/>
      <c r="AF1442" s="680"/>
      <c r="AG1442" s="681"/>
      <c r="AH1442" s="680"/>
      <c r="AI1442" s="681"/>
      <c r="AJ1442" s="682"/>
      <c r="AK1442" s="683"/>
      <c r="AL1442" s="684" t="s">
        <v>162</v>
      </c>
      <c r="AM1442" s="685"/>
      <c r="AN1442" s="666" t="s">
        <v>162</v>
      </c>
      <c r="AO1442" s="667"/>
      <c r="AP1442" s="686"/>
      <c r="AQ1442" s="687"/>
      <c r="AR1442" s="688"/>
      <c r="AS1442" s="689"/>
      <c r="AT1442" s="690"/>
      <c r="AU1442" s="691"/>
      <c r="AV1442" s="666" t="s">
        <v>162</v>
      </c>
      <c r="AW1442" s="667"/>
      <c r="AX1442" s="692"/>
      <c r="AY1442" s="693"/>
      <c r="AZ1442" s="694"/>
      <c r="BA1442" s="682"/>
      <c r="BB1442" s="683"/>
      <c r="BC1442" s="14"/>
      <c r="BD1442" s="695" t="s">
        <v>162</v>
      </c>
      <c r="BE1442" s="696"/>
      <c r="BF1442" s="697"/>
      <c r="BG1442" s="698"/>
      <c r="BH1442" s="698"/>
      <c r="BI1442" s="699"/>
      <c r="BJ1442" s="700" t="s">
        <v>159</v>
      </c>
      <c r="BK1442" s="701"/>
      <c r="BL1442" s="701"/>
      <c r="BM1442" s="702"/>
      <c r="BN1442" s="703" t="s">
        <v>159</v>
      </c>
      <c r="BO1442" s="704"/>
      <c r="BP1442" s="704"/>
      <c r="BQ1442" s="704"/>
      <c r="BR1442" s="704"/>
      <c r="BS1442" s="704"/>
      <c r="BT1442" s="704"/>
      <c r="BU1442" s="704"/>
      <c r="BV1442" s="705"/>
    </row>
    <row r="1443" spans="1:74" ht="45" customHeight="1" x14ac:dyDescent="0.25">
      <c r="A1443" s="10">
        <f t="shared" si="22"/>
        <v>1429</v>
      </c>
      <c r="B1443" s="711" t="s">
        <v>159</v>
      </c>
      <c r="C1443" s="711"/>
      <c r="D1443" s="712" t="s">
        <v>212</v>
      </c>
      <c r="E1443" s="712"/>
      <c r="F1443" s="664" t="s">
        <v>162</v>
      </c>
      <c r="G1443" s="665"/>
      <c r="H1443" s="755" t="s">
        <v>162</v>
      </c>
      <c r="I1443" s="667"/>
      <c r="J1443" s="706"/>
      <c r="K1443" s="707"/>
      <c r="L1443" s="706"/>
      <c r="M1443" s="707"/>
      <c r="N1443" s="215"/>
      <c r="O1443" s="216"/>
      <c r="P1443" s="670"/>
      <c r="Q1443" s="671"/>
      <c r="R1443" s="719"/>
      <c r="S1443" s="720"/>
      <c r="T1443" s="721"/>
      <c r="U1443" s="722"/>
      <c r="V1443" s="723"/>
      <c r="W1443" s="724"/>
      <c r="X1443" s="725" t="s">
        <v>159</v>
      </c>
      <c r="Y1443" s="725"/>
      <c r="Z1443" s="725"/>
      <c r="AA1443" s="725"/>
      <c r="AB1443" s="726" t="s">
        <v>159</v>
      </c>
      <c r="AC1443" s="726"/>
      <c r="AD1443" s="726"/>
      <c r="AE1443" s="726"/>
      <c r="AF1443" s="727"/>
      <c r="AG1443" s="728"/>
      <c r="AH1443" s="727"/>
      <c r="AI1443" s="728"/>
      <c r="AJ1443" s="682"/>
      <c r="AK1443" s="683"/>
      <c r="AL1443" s="664" t="s">
        <v>162</v>
      </c>
      <c r="AM1443" s="665"/>
      <c r="AN1443" s="713" t="s">
        <v>162</v>
      </c>
      <c r="AO1443" s="714"/>
      <c r="AP1443" s="729"/>
      <c r="AQ1443" s="730"/>
      <c r="AR1443" s="731"/>
      <c r="AS1443" s="732"/>
      <c r="AT1443" s="733"/>
      <c r="AU1443" s="734"/>
      <c r="AV1443" s="713" t="s">
        <v>162</v>
      </c>
      <c r="AW1443" s="714"/>
      <c r="AX1443" s="692"/>
      <c r="AY1443" s="693"/>
      <c r="AZ1443" s="694"/>
      <c r="BA1443" s="735"/>
      <c r="BB1443" s="736"/>
      <c r="BC1443" s="219"/>
      <c r="BD1443" s="737" t="s">
        <v>162</v>
      </c>
      <c r="BE1443" s="738"/>
      <c r="BF1443" s="739"/>
      <c r="BG1443" s="740"/>
      <c r="BH1443" s="740"/>
      <c r="BI1443" s="741"/>
      <c r="BJ1443" s="742" t="s">
        <v>159</v>
      </c>
      <c r="BK1443" s="743"/>
      <c r="BL1443" s="743"/>
      <c r="BM1443" s="744"/>
      <c r="BN1443" s="703" t="s">
        <v>159</v>
      </c>
      <c r="BO1443" s="704"/>
      <c r="BP1443" s="704"/>
      <c r="BQ1443" s="704"/>
      <c r="BR1443" s="704"/>
      <c r="BS1443" s="704"/>
      <c r="BT1443" s="704"/>
      <c r="BU1443" s="704"/>
      <c r="BV1443" s="705"/>
    </row>
    <row r="1444" spans="1:74" ht="45" customHeight="1" x14ac:dyDescent="0.25">
      <c r="A1444" s="10">
        <f t="shared" si="22"/>
        <v>1430</v>
      </c>
      <c r="B1444" s="662" t="s">
        <v>159</v>
      </c>
      <c r="C1444" s="662"/>
      <c r="D1444" s="663" t="s">
        <v>212</v>
      </c>
      <c r="E1444" s="663"/>
      <c r="F1444" s="664" t="s">
        <v>162</v>
      </c>
      <c r="G1444" s="665"/>
      <c r="H1444" s="754" t="s">
        <v>162</v>
      </c>
      <c r="I1444" s="714"/>
      <c r="J1444" s="340"/>
      <c r="K1444" s="341"/>
      <c r="L1444" s="340"/>
      <c r="M1444" s="341"/>
      <c r="N1444" s="194"/>
      <c r="O1444" s="196"/>
      <c r="P1444" s="717"/>
      <c r="Q1444" s="718"/>
      <c r="R1444" s="672"/>
      <c r="S1444" s="673"/>
      <c r="T1444" s="674"/>
      <c r="U1444" s="675"/>
      <c r="V1444" s="676"/>
      <c r="W1444" s="677"/>
      <c r="X1444" s="678" t="s">
        <v>159</v>
      </c>
      <c r="Y1444" s="678"/>
      <c r="Z1444" s="678"/>
      <c r="AA1444" s="678"/>
      <c r="AB1444" s="679" t="s">
        <v>159</v>
      </c>
      <c r="AC1444" s="679"/>
      <c r="AD1444" s="679"/>
      <c r="AE1444" s="679"/>
      <c r="AF1444" s="680"/>
      <c r="AG1444" s="681"/>
      <c r="AH1444" s="680"/>
      <c r="AI1444" s="681"/>
      <c r="AJ1444" s="682"/>
      <c r="AK1444" s="683"/>
      <c r="AL1444" s="684" t="s">
        <v>162</v>
      </c>
      <c r="AM1444" s="685"/>
      <c r="AN1444" s="666" t="s">
        <v>162</v>
      </c>
      <c r="AO1444" s="667"/>
      <c r="AP1444" s="686"/>
      <c r="AQ1444" s="687"/>
      <c r="AR1444" s="688"/>
      <c r="AS1444" s="689"/>
      <c r="AT1444" s="690"/>
      <c r="AU1444" s="691"/>
      <c r="AV1444" s="666" t="s">
        <v>162</v>
      </c>
      <c r="AW1444" s="667"/>
      <c r="AX1444" s="692"/>
      <c r="AY1444" s="693"/>
      <c r="AZ1444" s="694"/>
      <c r="BA1444" s="682"/>
      <c r="BB1444" s="683"/>
      <c r="BC1444" s="14"/>
      <c r="BD1444" s="695" t="s">
        <v>162</v>
      </c>
      <c r="BE1444" s="696"/>
      <c r="BF1444" s="708"/>
      <c r="BG1444" s="709"/>
      <c r="BH1444" s="709"/>
      <c r="BI1444" s="710"/>
      <c r="BJ1444" s="700" t="s">
        <v>159</v>
      </c>
      <c r="BK1444" s="701"/>
      <c r="BL1444" s="701"/>
      <c r="BM1444" s="702"/>
      <c r="BN1444" s="703" t="s">
        <v>159</v>
      </c>
      <c r="BO1444" s="704"/>
      <c r="BP1444" s="704"/>
      <c r="BQ1444" s="704"/>
      <c r="BR1444" s="704"/>
      <c r="BS1444" s="704"/>
      <c r="BT1444" s="704"/>
      <c r="BU1444" s="704"/>
      <c r="BV1444" s="705"/>
    </row>
    <row r="1445" spans="1:74" ht="45" customHeight="1" x14ac:dyDescent="0.25">
      <c r="A1445" s="10">
        <f t="shared" si="22"/>
        <v>1431</v>
      </c>
      <c r="B1445" s="711" t="s">
        <v>159</v>
      </c>
      <c r="C1445" s="711"/>
      <c r="D1445" s="712" t="s">
        <v>212</v>
      </c>
      <c r="E1445" s="712"/>
      <c r="F1445" s="664" t="s">
        <v>162</v>
      </c>
      <c r="G1445" s="665"/>
      <c r="H1445" s="755" t="s">
        <v>162</v>
      </c>
      <c r="I1445" s="667"/>
      <c r="J1445" s="706"/>
      <c r="K1445" s="707"/>
      <c r="L1445" s="706"/>
      <c r="M1445" s="707"/>
      <c r="N1445" s="215"/>
      <c r="O1445" s="216"/>
      <c r="P1445" s="670"/>
      <c r="Q1445" s="671"/>
      <c r="R1445" s="719"/>
      <c r="S1445" s="720"/>
      <c r="T1445" s="721"/>
      <c r="U1445" s="722"/>
      <c r="V1445" s="723"/>
      <c r="W1445" s="724"/>
      <c r="X1445" s="725" t="s">
        <v>159</v>
      </c>
      <c r="Y1445" s="725"/>
      <c r="Z1445" s="725"/>
      <c r="AA1445" s="725"/>
      <c r="AB1445" s="726" t="s">
        <v>159</v>
      </c>
      <c r="AC1445" s="726"/>
      <c r="AD1445" s="726"/>
      <c r="AE1445" s="726"/>
      <c r="AF1445" s="727"/>
      <c r="AG1445" s="728"/>
      <c r="AH1445" s="727"/>
      <c r="AI1445" s="728"/>
      <c r="AJ1445" s="682"/>
      <c r="AK1445" s="683"/>
      <c r="AL1445" s="664" t="s">
        <v>162</v>
      </c>
      <c r="AM1445" s="665"/>
      <c r="AN1445" s="713" t="s">
        <v>162</v>
      </c>
      <c r="AO1445" s="714"/>
      <c r="AP1445" s="729"/>
      <c r="AQ1445" s="730"/>
      <c r="AR1445" s="731"/>
      <c r="AS1445" s="732"/>
      <c r="AT1445" s="733"/>
      <c r="AU1445" s="734"/>
      <c r="AV1445" s="713" t="s">
        <v>162</v>
      </c>
      <c r="AW1445" s="714"/>
      <c r="AX1445" s="692"/>
      <c r="AY1445" s="693"/>
      <c r="AZ1445" s="694"/>
      <c r="BA1445" s="735"/>
      <c r="BB1445" s="736"/>
      <c r="BC1445" s="219"/>
      <c r="BD1445" s="737" t="s">
        <v>162</v>
      </c>
      <c r="BE1445" s="738"/>
      <c r="BF1445" s="739"/>
      <c r="BG1445" s="740"/>
      <c r="BH1445" s="740"/>
      <c r="BI1445" s="741"/>
      <c r="BJ1445" s="742" t="s">
        <v>159</v>
      </c>
      <c r="BK1445" s="743"/>
      <c r="BL1445" s="743"/>
      <c r="BM1445" s="744"/>
      <c r="BN1445" s="703" t="s">
        <v>159</v>
      </c>
      <c r="BO1445" s="704"/>
      <c r="BP1445" s="704"/>
      <c r="BQ1445" s="704"/>
      <c r="BR1445" s="704"/>
      <c r="BS1445" s="704"/>
      <c r="BT1445" s="704"/>
      <c r="BU1445" s="704"/>
      <c r="BV1445" s="705"/>
    </row>
    <row r="1446" spans="1:74" ht="45" customHeight="1" x14ac:dyDescent="0.25">
      <c r="A1446" s="10">
        <f t="shared" si="22"/>
        <v>1432</v>
      </c>
      <c r="B1446" s="662" t="s">
        <v>159</v>
      </c>
      <c r="C1446" s="662"/>
      <c r="D1446" s="663" t="s">
        <v>212</v>
      </c>
      <c r="E1446" s="663"/>
      <c r="F1446" s="664" t="s">
        <v>162</v>
      </c>
      <c r="G1446" s="665"/>
      <c r="H1446" s="754" t="s">
        <v>162</v>
      </c>
      <c r="I1446" s="714"/>
      <c r="J1446" s="340"/>
      <c r="K1446" s="341"/>
      <c r="L1446" s="340"/>
      <c r="M1446" s="341"/>
      <c r="N1446" s="194"/>
      <c r="O1446" s="196"/>
      <c r="P1446" s="717"/>
      <c r="Q1446" s="718"/>
      <c r="R1446" s="672"/>
      <c r="S1446" s="673"/>
      <c r="T1446" s="674"/>
      <c r="U1446" s="675"/>
      <c r="V1446" s="676"/>
      <c r="W1446" s="677"/>
      <c r="X1446" s="678" t="s">
        <v>159</v>
      </c>
      <c r="Y1446" s="678"/>
      <c r="Z1446" s="678"/>
      <c r="AA1446" s="678"/>
      <c r="AB1446" s="679" t="s">
        <v>159</v>
      </c>
      <c r="AC1446" s="679"/>
      <c r="AD1446" s="679"/>
      <c r="AE1446" s="679"/>
      <c r="AF1446" s="680"/>
      <c r="AG1446" s="681"/>
      <c r="AH1446" s="680"/>
      <c r="AI1446" s="681"/>
      <c r="AJ1446" s="682"/>
      <c r="AK1446" s="683"/>
      <c r="AL1446" s="684" t="s">
        <v>162</v>
      </c>
      <c r="AM1446" s="685"/>
      <c r="AN1446" s="666" t="s">
        <v>162</v>
      </c>
      <c r="AO1446" s="667"/>
      <c r="AP1446" s="686"/>
      <c r="AQ1446" s="687"/>
      <c r="AR1446" s="688"/>
      <c r="AS1446" s="689"/>
      <c r="AT1446" s="690"/>
      <c r="AU1446" s="691"/>
      <c r="AV1446" s="666" t="s">
        <v>162</v>
      </c>
      <c r="AW1446" s="667"/>
      <c r="AX1446" s="692"/>
      <c r="AY1446" s="693"/>
      <c r="AZ1446" s="694"/>
      <c r="BA1446" s="682"/>
      <c r="BB1446" s="683"/>
      <c r="BC1446" s="14"/>
      <c r="BD1446" s="695" t="s">
        <v>162</v>
      </c>
      <c r="BE1446" s="696"/>
      <c r="BF1446" s="697"/>
      <c r="BG1446" s="698"/>
      <c r="BH1446" s="698"/>
      <c r="BI1446" s="699"/>
      <c r="BJ1446" s="700" t="s">
        <v>159</v>
      </c>
      <c r="BK1446" s="701"/>
      <c r="BL1446" s="701"/>
      <c r="BM1446" s="702"/>
      <c r="BN1446" s="703" t="s">
        <v>159</v>
      </c>
      <c r="BO1446" s="704"/>
      <c r="BP1446" s="704"/>
      <c r="BQ1446" s="704"/>
      <c r="BR1446" s="704"/>
      <c r="BS1446" s="704"/>
      <c r="BT1446" s="704"/>
      <c r="BU1446" s="704"/>
      <c r="BV1446" s="705"/>
    </row>
    <row r="1447" spans="1:74" ht="45" customHeight="1" x14ac:dyDescent="0.25">
      <c r="A1447" s="10">
        <f t="shared" si="22"/>
        <v>1433</v>
      </c>
      <c r="B1447" s="711" t="s">
        <v>159</v>
      </c>
      <c r="C1447" s="711"/>
      <c r="D1447" s="712" t="s">
        <v>212</v>
      </c>
      <c r="E1447" s="712"/>
      <c r="F1447" s="664" t="s">
        <v>162</v>
      </c>
      <c r="G1447" s="665"/>
      <c r="H1447" s="755" t="s">
        <v>162</v>
      </c>
      <c r="I1447" s="667"/>
      <c r="J1447" s="706"/>
      <c r="K1447" s="707"/>
      <c r="L1447" s="706"/>
      <c r="M1447" s="707"/>
      <c r="N1447" s="215"/>
      <c r="O1447" s="216"/>
      <c r="P1447" s="670"/>
      <c r="Q1447" s="671"/>
      <c r="R1447" s="719"/>
      <c r="S1447" s="720"/>
      <c r="T1447" s="721"/>
      <c r="U1447" s="722"/>
      <c r="V1447" s="723"/>
      <c r="W1447" s="724"/>
      <c r="X1447" s="725" t="s">
        <v>159</v>
      </c>
      <c r="Y1447" s="725"/>
      <c r="Z1447" s="725"/>
      <c r="AA1447" s="725"/>
      <c r="AB1447" s="726" t="s">
        <v>159</v>
      </c>
      <c r="AC1447" s="726"/>
      <c r="AD1447" s="726"/>
      <c r="AE1447" s="726"/>
      <c r="AF1447" s="727"/>
      <c r="AG1447" s="728"/>
      <c r="AH1447" s="727"/>
      <c r="AI1447" s="728"/>
      <c r="AJ1447" s="682"/>
      <c r="AK1447" s="683"/>
      <c r="AL1447" s="664" t="s">
        <v>162</v>
      </c>
      <c r="AM1447" s="665"/>
      <c r="AN1447" s="713" t="s">
        <v>162</v>
      </c>
      <c r="AO1447" s="714"/>
      <c r="AP1447" s="729"/>
      <c r="AQ1447" s="730"/>
      <c r="AR1447" s="731"/>
      <c r="AS1447" s="732"/>
      <c r="AT1447" s="733"/>
      <c r="AU1447" s="734"/>
      <c r="AV1447" s="713" t="s">
        <v>162</v>
      </c>
      <c r="AW1447" s="714"/>
      <c r="AX1447" s="692"/>
      <c r="AY1447" s="693"/>
      <c r="AZ1447" s="694"/>
      <c r="BA1447" s="735"/>
      <c r="BB1447" s="736"/>
      <c r="BC1447" s="219"/>
      <c r="BD1447" s="737" t="s">
        <v>162</v>
      </c>
      <c r="BE1447" s="738"/>
      <c r="BF1447" s="739"/>
      <c r="BG1447" s="740"/>
      <c r="BH1447" s="740"/>
      <c r="BI1447" s="741"/>
      <c r="BJ1447" s="742" t="s">
        <v>159</v>
      </c>
      <c r="BK1447" s="743"/>
      <c r="BL1447" s="743"/>
      <c r="BM1447" s="744"/>
      <c r="BN1447" s="703" t="s">
        <v>159</v>
      </c>
      <c r="BO1447" s="704"/>
      <c r="BP1447" s="704"/>
      <c r="BQ1447" s="704"/>
      <c r="BR1447" s="704"/>
      <c r="BS1447" s="704"/>
      <c r="BT1447" s="704"/>
      <c r="BU1447" s="704"/>
      <c r="BV1447" s="705"/>
    </row>
    <row r="1448" spans="1:74" ht="45" customHeight="1" x14ac:dyDescent="0.25">
      <c r="A1448" s="10">
        <f t="shared" si="22"/>
        <v>1434</v>
      </c>
      <c r="B1448" s="662" t="s">
        <v>159</v>
      </c>
      <c r="C1448" s="662"/>
      <c r="D1448" s="663" t="s">
        <v>212</v>
      </c>
      <c r="E1448" s="663"/>
      <c r="F1448" s="664" t="s">
        <v>162</v>
      </c>
      <c r="G1448" s="665"/>
      <c r="H1448" s="754" t="s">
        <v>162</v>
      </c>
      <c r="I1448" s="714"/>
      <c r="J1448" s="340"/>
      <c r="K1448" s="341"/>
      <c r="L1448" s="340"/>
      <c r="M1448" s="341"/>
      <c r="N1448" s="194"/>
      <c r="O1448" s="196"/>
      <c r="P1448" s="717"/>
      <c r="Q1448" s="718"/>
      <c r="R1448" s="672"/>
      <c r="S1448" s="673"/>
      <c r="T1448" s="674"/>
      <c r="U1448" s="675"/>
      <c r="V1448" s="676"/>
      <c r="W1448" s="677"/>
      <c r="X1448" s="678" t="s">
        <v>159</v>
      </c>
      <c r="Y1448" s="678"/>
      <c r="Z1448" s="678"/>
      <c r="AA1448" s="678"/>
      <c r="AB1448" s="679" t="s">
        <v>159</v>
      </c>
      <c r="AC1448" s="679"/>
      <c r="AD1448" s="679"/>
      <c r="AE1448" s="679"/>
      <c r="AF1448" s="680"/>
      <c r="AG1448" s="681"/>
      <c r="AH1448" s="680"/>
      <c r="AI1448" s="681"/>
      <c r="AJ1448" s="682"/>
      <c r="AK1448" s="683"/>
      <c r="AL1448" s="684" t="s">
        <v>162</v>
      </c>
      <c r="AM1448" s="685"/>
      <c r="AN1448" s="666" t="s">
        <v>162</v>
      </c>
      <c r="AO1448" s="667"/>
      <c r="AP1448" s="686"/>
      <c r="AQ1448" s="687"/>
      <c r="AR1448" s="688"/>
      <c r="AS1448" s="689"/>
      <c r="AT1448" s="690"/>
      <c r="AU1448" s="691"/>
      <c r="AV1448" s="666" t="s">
        <v>162</v>
      </c>
      <c r="AW1448" s="667"/>
      <c r="AX1448" s="692"/>
      <c r="AY1448" s="693"/>
      <c r="AZ1448" s="694"/>
      <c r="BA1448" s="682"/>
      <c r="BB1448" s="683"/>
      <c r="BC1448" s="14"/>
      <c r="BD1448" s="695" t="s">
        <v>162</v>
      </c>
      <c r="BE1448" s="696"/>
      <c r="BF1448" s="697"/>
      <c r="BG1448" s="698"/>
      <c r="BH1448" s="698"/>
      <c r="BI1448" s="699"/>
      <c r="BJ1448" s="700" t="s">
        <v>159</v>
      </c>
      <c r="BK1448" s="701"/>
      <c r="BL1448" s="701"/>
      <c r="BM1448" s="702"/>
      <c r="BN1448" s="703" t="s">
        <v>159</v>
      </c>
      <c r="BO1448" s="704"/>
      <c r="BP1448" s="704"/>
      <c r="BQ1448" s="704"/>
      <c r="BR1448" s="704"/>
      <c r="BS1448" s="704"/>
      <c r="BT1448" s="704"/>
      <c r="BU1448" s="704"/>
      <c r="BV1448" s="705"/>
    </row>
    <row r="1449" spans="1:74" ht="45" customHeight="1" x14ac:dyDescent="0.25">
      <c r="A1449" s="10">
        <f t="shared" si="22"/>
        <v>1435</v>
      </c>
      <c r="B1449" s="711" t="s">
        <v>159</v>
      </c>
      <c r="C1449" s="711"/>
      <c r="D1449" s="712" t="s">
        <v>212</v>
      </c>
      <c r="E1449" s="712"/>
      <c r="F1449" s="664" t="s">
        <v>162</v>
      </c>
      <c r="G1449" s="665"/>
      <c r="H1449" s="755" t="s">
        <v>162</v>
      </c>
      <c r="I1449" s="667"/>
      <c r="J1449" s="706"/>
      <c r="K1449" s="707"/>
      <c r="L1449" s="706"/>
      <c r="M1449" s="707"/>
      <c r="N1449" s="215"/>
      <c r="O1449" s="216"/>
      <c r="P1449" s="670"/>
      <c r="Q1449" s="671"/>
      <c r="R1449" s="719"/>
      <c r="S1449" s="720"/>
      <c r="T1449" s="721"/>
      <c r="U1449" s="722"/>
      <c r="V1449" s="723"/>
      <c r="W1449" s="724"/>
      <c r="X1449" s="725" t="s">
        <v>159</v>
      </c>
      <c r="Y1449" s="725"/>
      <c r="Z1449" s="725"/>
      <c r="AA1449" s="725"/>
      <c r="AB1449" s="726" t="s">
        <v>159</v>
      </c>
      <c r="AC1449" s="726"/>
      <c r="AD1449" s="726"/>
      <c r="AE1449" s="726"/>
      <c r="AF1449" s="727"/>
      <c r="AG1449" s="728"/>
      <c r="AH1449" s="727"/>
      <c r="AI1449" s="728"/>
      <c r="AJ1449" s="682"/>
      <c r="AK1449" s="683"/>
      <c r="AL1449" s="664" t="s">
        <v>162</v>
      </c>
      <c r="AM1449" s="665"/>
      <c r="AN1449" s="713" t="s">
        <v>162</v>
      </c>
      <c r="AO1449" s="714"/>
      <c r="AP1449" s="729"/>
      <c r="AQ1449" s="730"/>
      <c r="AR1449" s="731"/>
      <c r="AS1449" s="732"/>
      <c r="AT1449" s="733"/>
      <c r="AU1449" s="734"/>
      <c r="AV1449" s="713" t="s">
        <v>162</v>
      </c>
      <c r="AW1449" s="714"/>
      <c r="AX1449" s="692"/>
      <c r="AY1449" s="693"/>
      <c r="AZ1449" s="694"/>
      <c r="BA1449" s="735"/>
      <c r="BB1449" s="736"/>
      <c r="BC1449" s="219"/>
      <c r="BD1449" s="737" t="s">
        <v>162</v>
      </c>
      <c r="BE1449" s="738"/>
      <c r="BF1449" s="739"/>
      <c r="BG1449" s="740"/>
      <c r="BH1449" s="740"/>
      <c r="BI1449" s="741"/>
      <c r="BJ1449" s="742" t="s">
        <v>159</v>
      </c>
      <c r="BK1449" s="743"/>
      <c r="BL1449" s="743"/>
      <c r="BM1449" s="744"/>
      <c r="BN1449" s="703" t="s">
        <v>159</v>
      </c>
      <c r="BO1449" s="704"/>
      <c r="BP1449" s="704"/>
      <c r="BQ1449" s="704"/>
      <c r="BR1449" s="704"/>
      <c r="BS1449" s="704"/>
      <c r="BT1449" s="704"/>
      <c r="BU1449" s="704"/>
      <c r="BV1449" s="705"/>
    </row>
    <row r="1450" spans="1:74" ht="45" customHeight="1" x14ac:dyDescent="0.25">
      <c r="A1450" s="10">
        <f t="shared" si="22"/>
        <v>1436</v>
      </c>
      <c r="B1450" s="662" t="s">
        <v>159</v>
      </c>
      <c r="C1450" s="662"/>
      <c r="D1450" s="663" t="s">
        <v>212</v>
      </c>
      <c r="E1450" s="663"/>
      <c r="F1450" s="664" t="s">
        <v>162</v>
      </c>
      <c r="G1450" s="665"/>
      <c r="H1450" s="754" t="s">
        <v>162</v>
      </c>
      <c r="I1450" s="714"/>
      <c r="J1450" s="340"/>
      <c r="K1450" s="341"/>
      <c r="L1450" s="340"/>
      <c r="M1450" s="341"/>
      <c r="N1450" s="194"/>
      <c r="O1450" s="196"/>
      <c r="P1450" s="717"/>
      <c r="Q1450" s="718"/>
      <c r="R1450" s="672"/>
      <c r="S1450" s="673"/>
      <c r="T1450" s="674"/>
      <c r="U1450" s="675"/>
      <c r="V1450" s="676"/>
      <c r="W1450" s="677"/>
      <c r="X1450" s="678" t="s">
        <v>159</v>
      </c>
      <c r="Y1450" s="678"/>
      <c r="Z1450" s="678"/>
      <c r="AA1450" s="678"/>
      <c r="AB1450" s="679" t="s">
        <v>159</v>
      </c>
      <c r="AC1450" s="679"/>
      <c r="AD1450" s="679"/>
      <c r="AE1450" s="679"/>
      <c r="AF1450" s="680"/>
      <c r="AG1450" s="681"/>
      <c r="AH1450" s="680"/>
      <c r="AI1450" s="681"/>
      <c r="AJ1450" s="682"/>
      <c r="AK1450" s="683"/>
      <c r="AL1450" s="684" t="s">
        <v>162</v>
      </c>
      <c r="AM1450" s="685"/>
      <c r="AN1450" s="666" t="s">
        <v>162</v>
      </c>
      <c r="AO1450" s="667"/>
      <c r="AP1450" s="686"/>
      <c r="AQ1450" s="687"/>
      <c r="AR1450" s="688"/>
      <c r="AS1450" s="689"/>
      <c r="AT1450" s="690"/>
      <c r="AU1450" s="691"/>
      <c r="AV1450" s="666" t="s">
        <v>162</v>
      </c>
      <c r="AW1450" s="667"/>
      <c r="AX1450" s="692"/>
      <c r="AY1450" s="693"/>
      <c r="AZ1450" s="694"/>
      <c r="BA1450" s="682"/>
      <c r="BB1450" s="683"/>
      <c r="BC1450" s="14"/>
      <c r="BD1450" s="695" t="s">
        <v>162</v>
      </c>
      <c r="BE1450" s="696"/>
      <c r="BF1450" s="708"/>
      <c r="BG1450" s="709"/>
      <c r="BH1450" s="709"/>
      <c r="BI1450" s="710"/>
      <c r="BJ1450" s="700" t="s">
        <v>159</v>
      </c>
      <c r="BK1450" s="701"/>
      <c r="BL1450" s="701"/>
      <c r="BM1450" s="702"/>
      <c r="BN1450" s="703" t="s">
        <v>159</v>
      </c>
      <c r="BO1450" s="704"/>
      <c r="BP1450" s="704"/>
      <c r="BQ1450" s="704"/>
      <c r="BR1450" s="704"/>
      <c r="BS1450" s="704"/>
      <c r="BT1450" s="704"/>
      <c r="BU1450" s="704"/>
      <c r="BV1450" s="705"/>
    </row>
    <row r="1451" spans="1:74" ht="45" customHeight="1" x14ac:dyDescent="0.25">
      <c r="A1451" s="10">
        <f t="shared" si="22"/>
        <v>1437</v>
      </c>
      <c r="B1451" s="711" t="s">
        <v>159</v>
      </c>
      <c r="C1451" s="711"/>
      <c r="D1451" s="712" t="s">
        <v>212</v>
      </c>
      <c r="E1451" s="712"/>
      <c r="F1451" s="664" t="s">
        <v>162</v>
      </c>
      <c r="G1451" s="665"/>
      <c r="H1451" s="755" t="s">
        <v>162</v>
      </c>
      <c r="I1451" s="667"/>
      <c r="J1451" s="706"/>
      <c r="K1451" s="707"/>
      <c r="L1451" s="706"/>
      <c r="M1451" s="707"/>
      <c r="N1451" s="215"/>
      <c r="O1451" s="216"/>
      <c r="P1451" s="670"/>
      <c r="Q1451" s="671"/>
      <c r="R1451" s="719"/>
      <c r="S1451" s="720"/>
      <c r="T1451" s="721"/>
      <c r="U1451" s="722"/>
      <c r="V1451" s="723"/>
      <c r="W1451" s="724"/>
      <c r="X1451" s="725" t="s">
        <v>159</v>
      </c>
      <c r="Y1451" s="725"/>
      <c r="Z1451" s="725"/>
      <c r="AA1451" s="725"/>
      <c r="AB1451" s="726" t="s">
        <v>159</v>
      </c>
      <c r="AC1451" s="726"/>
      <c r="AD1451" s="726"/>
      <c r="AE1451" s="726"/>
      <c r="AF1451" s="727"/>
      <c r="AG1451" s="728"/>
      <c r="AH1451" s="727"/>
      <c r="AI1451" s="728"/>
      <c r="AJ1451" s="682"/>
      <c r="AK1451" s="683"/>
      <c r="AL1451" s="664" t="s">
        <v>162</v>
      </c>
      <c r="AM1451" s="665"/>
      <c r="AN1451" s="713" t="s">
        <v>162</v>
      </c>
      <c r="AO1451" s="714"/>
      <c r="AP1451" s="729"/>
      <c r="AQ1451" s="730"/>
      <c r="AR1451" s="731"/>
      <c r="AS1451" s="732"/>
      <c r="AT1451" s="733"/>
      <c r="AU1451" s="734"/>
      <c r="AV1451" s="713" t="s">
        <v>162</v>
      </c>
      <c r="AW1451" s="714"/>
      <c r="AX1451" s="692"/>
      <c r="AY1451" s="693"/>
      <c r="AZ1451" s="694"/>
      <c r="BA1451" s="735"/>
      <c r="BB1451" s="736"/>
      <c r="BC1451" s="219"/>
      <c r="BD1451" s="737" t="s">
        <v>162</v>
      </c>
      <c r="BE1451" s="738"/>
      <c r="BF1451" s="739"/>
      <c r="BG1451" s="740"/>
      <c r="BH1451" s="740"/>
      <c r="BI1451" s="741"/>
      <c r="BJ1451" s="742" t="s">
        <v>159</v>
      </c>
      <c r="BK1451" s="743"/>
      <c r="BL1451" s="743"/>
      <c r="BM1451" s="744"/>
      <c r="BN1451" s="703" t="s">
        <v>159</v>
      </c>
      <c r="BO1451" s="704"/>
      <c r="BP1451" s="704"/>
      <c r="BQ1451" s="704"/>
      <c r="BR1451" s="704"/>
      <c r="BS1451" s="704"/>
      <c r="BT1451" s="704"/>
      <c r="BU1451" s="704"/>
      <c r="BV1451" s="705"/>
    </row>
    <row r="1452" spans="1:74" ht="45" customHeight="1" x14ac:dyDescent="0.25">
      <c r="A1452" s="10">
        <f t="shared" si="22"/>
        <v>1438</v>
      </c>
      <c r="B1452" s="662" t="s">
        <v>159</v>
      </c>
      <c r="C1452" s="662"/>
      <c r="D1452" s="663" t="s">
        <v>212</v>
      </c>
      <c r="E1452" s="663"/>
      <c r="F1452" s="664" t="s">
        <v>162</v>
      </c>
      <c r="G1452" s="665"/>
      <c r="H1452" s="754" t="s">
        <v>162</v>
      </c>
      <c r="I1452" s="714"/>
      <c r="J1452" s="340"/>
      <c r="K1452" s="341"/>
      <c r="L1452" s="340"/>
      <c r="M1452" s="341"/>
      <c r="N1452" s="194"/>
      <c r="O1452" s="196"/>
      <c r="P1452" s="717"/>
      <c r="Q1452" s="718"/>
      <c r="R1452" s="672"/>
      <c r="S1452" s="673"/>
      <c r="T1452" s="674"/>
      <c r="U1452" s="675"/>
      <c r="V1452" s="676"/>
      <c r="W1452" s="677"/>
      <c r="X1452" s="678" t="s">
        <v>159</v>
      </c>
      <c r="Y1452" s="678"/>
      <c r="Z1452" s="678"/>
      <c r="AA1452" s="678"/>
      <c r="AB1452" s="679" t="s">
        <v>159</v>
      </c>
      <c r="AC1452" s="679"/>
      <c r="AD1452" s="679"/>
      <c r="AE1452" s="679"/>
      <c r="AF1452" s="680"/>
      <c r="AG1452" s="681"/>
      <c r="AH1452" s="680"/>
      <c r="AI1452" s="681"/>
      <c r="AJ1452" s="682"/>
      <c r="AK1452" s="683"/>
      <c r="AL1452" s="684" t="s">
        <v>162</v>
      </c>
      <c r="AM1452" s="685"/>
      <c r="AN1452" s="666" t="s">
        <v>162</v>
      </c>
      <c r="AO1452" s="667"/>
      <c r="AP1452" s="686"/>
      <c r="AQ1452" s="687"/>
      <c r="AR1452" s="688"/>
      <c r="AS1452" s="689"/>
      <c r="AT1452" s="690"/>
      <c r="AU1452" s="691"/>
      <c r="AV1452" s="666" t="s">
        <v>162</v>
      </c>
      <c r="AW1452" s="667"/>
      <c r="AX1452" s="692"/>
      <c r="AY1452" s="693"/>
      <c r="AZ1452" s="694"/>
      <c r="BA1452" s="682"/>
      <c r="BB1452" s="683"/>
      <c r="BC1452" s="14"/>
      <c r="BD1452" s="695" t="s">
        <v>162</v>
      </c>
      <c r="BE1452" s="696"/>
      <c r="BF1452" s="697"/>
      <c r="BG1452" s="698"/>
      <c r="BH1452" s="698"/>
      <c r="BI1452" s="699"/>
      <c r="BJ1452" s="700" t="s">
        <v>159</v>
      </c>
      <c r="BK1452" s="701"/>
      <c r="BL1452" s="701"/>
      <c r="BM1452" s="702"/>
      <c r="BN1452" s="703" t="s">
        <v>159</v>
      </c>
      <c r="BO1452" s="704"/>
      <c r="BP1452" s="704"/>
      <c r="BQ1452" s="704"/>
      <c r="BR1452" s="704"/>
      <c r="BS1452" s="704"/>
      <c r="BT1452" s="704"/>
      <c r="BU1452" s="704"/>
      <c r="BV1452" s="705"/>
    </row>
    <row r="1453" spans="1:74" ht="45" customHeight="1" x14ac:dyDescent="0.25">
      <c r="A1453" s="10">
        <f t="shared" si="22"/>
        <v>1439</v>
      </c>
      <c r="B1453" s="711" t="s">
        <v>159</v>
      </c>
      <c r="C1453" s="711"/>
      <c r="D1453" s="712" t="s">
        <v>212</v>
      </c>
      <c r="E1453" s="712"/>
      <c r="F1453" s="664" t="s">
        <v>162</v>
      </c>
      <c r="G1453" s="665"/>
      <c r="H1453" s="755" t="s">
        <v>162</v>
      </c>
      <c r="I1453" s="667"/>
      <c r="J1453" s="706"/>
      <c r="K1453" s="707"/>
      <c r="L1453" s="706"/>
      <c r="M1453" s="707"/>
      <c r="N1453" s="215"/>
      <c r="O1453" s="216"/>
      <c r="P1453" s="670"/>
      <c r="Q1453" s="671"/>
      <c r="R1453" s="719"/>
      <c r="S1453" s="720"/>
      <c r="T1453" s="721"/>
      <c r="U1453" s="722"/>
      <c r="V1453" s="723"/>
      <c r="W1453" s="724"/>
      <c r="X1453" s="725" t="s">
        <v>159</v>
      </c>
      <c r="Y1453" s="725"/>
      <c r="Z1453" s="725"/>
      <c r="AA1453" s="725"/>
      <c r="AB1453" s="726" t="s">
        <v>159</v>
      </c>
      <c r="AC1453" s="726"/>
      <c r="AD1453" s="726"/>
      <c r="AE1453" s="726"/>
      <c r="AF1453" s="727"/>
      <c r="AG1453" s="728"/>
      <c r="AH1453" s="727"/>
      <c r="AI1453" s="728"/>
      <c r="AJ1453" s="682"/>
      <c r="AK1453" s="683"/>
      <c r="AL1453" s="664" t="s">
        <v>162</v>
      </c>
      <c r="AM1453" s="665"/>
      <c r="AN1453" s="713" t="s">
        <v>162</v>
      </c>
      <c r="AO1453" s="714"/>
      <c r="AP1453" s="729"/>
      <c r="AQ1453" s="730"/>
      <c r="AR1453" s="731"/>
      <c r="AS1453" s="732"/>
      <c r="AT1453" s="690"/>
      <c r="AU1453" s="691"/>
      <c r="AV1453" s="713" t="s">
        <v>162</v>
      </c>
      <c r="AW1453" s="714"/>
      <c r="AX1453" s="692"/>
      <c r="AY1453" s="693"/>
      <c r="AZ1453" s="694"/>
      <c r="BA1453" s="735"/>
      <c r="BB1453" s="736"/>
      <c r="BC1453" s="219"/>
      <c r="BD1453" s="737" t="s">
        <v>162</v>
      </c>
      <c r="BE1453" s="738"/>
      <c r="BF1453" s="739"/>
      <c r="BG1453" s="740"/>
      <c r="BH1453" s="740"/>
      <c r="BI1453" s="741"/>
      <c r="BJ1453" s="742" t="s">
        <v>159</v>
      </c>
      <c r="BK1453" s="743"/>
      <c r="BL1453" s="743"/>
      <c r="BM1453" s="744"/>
      <c r="BN1453" s="703" t="s">
        <v>159</v>
      </c>
      <c r="BO1453" s="704"/>
      <c r="BP1453" s="704"/>
      <c r="BQ1453" s="704"/>
      <c r="BR1453" s="704"/>
      <c r="BS1453" s="704"/>
      <c r="BT1453" s="704"/>
      <c r="BU1453" s="704"/>
      <c r="BV1453" s="705"/>
    </row>
    <row r="1454" spans="1:74" ht="45" customHeight="1" x14ac:dyDescent="0.25">
      <c r="A1454" s="10">
        <f t="shared" si="22"/>
        <v>1440</v>
      </c>
      <c r="B1454" s="662" t="s">
        <v>159</v>
      </c>
      <c r="C1454" s="662"/>
      <c r="D1454" s="663" t="s">
        <v>212</v>
      </c>
      <c r="E1454" s="663"/>
      <c r="F1454" s="664" t="s">
        <v>162</v>
      </c>
      <c r="G1454" s="665"/>
      <c r="H1454" s="754" t="s">
        <v>162</v>
      </c>
      <c r="I1454" s="714"/>
      <c r="J1454" s="340"/>
      <c r="K1454" s="341"/>
      <c r="L1454" s="340"/>
      <c r="M1454" s="341"/>
      <c r="N1454" s="194"/>
      <c r="O1454" s="196"/>
      <c r="P1454" s="717"/>
      <c r="Q1454" s="718"/>
      <c r="R1454" s="672"/>
      <c r="S1454" s="673"/>
      <c r="T1454" s="674"/>
      <c r="U1454" s="675"/>
      <c r="V1454" s="676"/>
      <c r="W1454" s="677"/>
      <c r="X1454" s="678" t="s">
        <v>159</v>
      </c>
      <c r="Y1454" s="678"/>
      <c r="Z1454" s="678"/>
      <c r="AA1454" s="678"/>
      <c r="AB1454" s="679" t="s">
        <v>159</v>
      </c>
      <c r="AC1454" s="679"/>
      <c r="AD1454" s="679"/>
      <c r="AE1454" s="679"/>
      <c r="AF1454" s="680"/>
      <c r="AG1454" s="681"/>
      <c r="AH1454" s="680"/>
      <c r="AI1454" s="681"/>
      <c r="AJ1454" s="682"/>
      <c r="AK1454" s="683"/>
      <c r="AL1454" s="684" t="s">
        <v>162</v>
      </c>
      <c r="AM1454" s="685"/>
      <c r="AN1454" s="666" t="s">
        <v>162</v>
      </c>
      <c r="AO1454" s="667"/>
      <c r="AP1454" s="686"/>
      <c r="AQ1454" s="687"/>
      <c r="AR1454" s="688"/>
      <c r="AS1454" s="689"/>
      <c r="AT1454" s="690"/>
      <c r="AU1454" s="691"/>
      <c r="AV1454" s="666" t="s">
        <v>162</v>
      </c>
      <c r="AW1454" s="667"/>
      <c r="AX1454" s="692"/>
      <c r="AY1454" s="693"/>
      <c r="AZ1454" s="694"/>
      <c r="BA1454" s="682"/>
      <c r="BB1454" s="683"/>
      <c r="BC1454" s="14"/>
      <c r="BD1454" s="695" t="s">
        <v>162</v>
      </c>
      <c r="BE1454" s="696"/>
      <c r="BF1454" s="697"/>
      <c r="BG1454" s="698"/>
      <c r="BH1454" s="698"/>
      <c r="BI1454" s="699"/>
      <c r="BJ1454" s="700" t="s">
        <v>159</v>
      </c>
      <c r="BK1454" s="701"/>
      <c r="BL1454" s="701"/>
      <c r="BM1454" s="702"/>
      <c r="BN1454" s="703" t="s">
        <v>159</v>
      </c>
      <c r="BO1454" s="704"/>
      <c r="BP1454" s="704"/>
      <c r="BQ1454" s="704"/>
      <c r="BR1454" s="704"/>
      <c r="BS1454" s="704"/>
      <c r="BT1454" s="704"/>
      <c r="BU1454" s="704"/>
      <c r="BV1454" s="705"/>
    </row>
    <row r="1455" spans="1:74" ht="45" customHeight="1" x14ac:dyDescent="0.25">
      <c r="A1455" s="10">
        <f t="shared" si="22"/>
        <v>1441</v>
      </c>
      <c r="B1455" s="711" t="s">
        <v>159</v>
      </c>
      <c r="C1455" s="711"/>
      <c r="D1455" s="712" t="s">
        <v>212</v>
      </c>
      <c r="E1455" s="712"/>
      <c r="F1455" s="664" t="s">
        <v>162</v>
      </c>
      <c r="G1455" s="665"/>
      <c r="H1455" s="755" t="s">
        <v>162</v>
      </c>
      <c r="I1455" s="667"/>
      <c r="J1455" s="706"/>
      <c r="K1455" s="707"/>
      <c r="L1455" s="706"/>
      <c r="M1455" s="707"/>
      <c r="N1455" s="215"/>
      <c r="O1455" s="216"/>
      <c r="P1455" s="670"/>
      <c r="Q1455" s="671"/>
      <c r="R1455" s="719"/>
      <c r="S1455" s="720"/>
      <c r="T1455" s="721"/>
      <c r="U1455" s="722"/>
      <c r="V1455" s="723"/>
      <c r="W1455" s="724"/>
      <c r="X1455" s="725" t="s">
        <v>159</v>
      </c>
      <c r="Y1455" s="725"/>
      <c r="Z1455" s="725"/>
      <c r="AA1455" s="725"/>
      <c r="AB1455" s="726" t="s">
        <v>159</v>
      </c>
      <c r="AC1455" s="726"/>
      <c r="AD1455" s="726"/>
      <c r="AE1455" s="726"/>
      <c r="AF1455" s="727"/>
      <c r="AG1455" s="728"/>
      <c r="AH1455" s="727"/>
      <c r="AI1455" s="728"/>
      <c r="AJ1455" s="682"/>
      <c r="AK1455" s="683"/>
      <c r="AL1455" s="664" t="s">
        <v>162</v>
      </c>
      <c r="AM1455" s="665"/>
      <c r="AN1455" s="713" t="s">
        <v>162</v>
      </c>
      <c r="AO1455" s="714"/>
      <c r="AP1455" s="729"/>
      <c r="AQ1455" s="730"/>
      <c r="AR1455" s="731"/>
      <c r="AS1455" s="732"/>
      <c r="AT1455" s="690"/>
      <c r="AU1455" s="691"/>
      <c r="AV1455" s="713" t="s">
        <v>162</v>
      </c>
      <c r="AW1455" s="714"/>
      <c r="AX1455" s="692"/>
      <c r="AY1455" s="693"/>
      <c r="AZ1455" s="694"/>
      <c r="BA1455" s="735"/>
      <c r="BB1455" s="736"/>
      <c r="BC1455" s="219"/>
      <c r="BD1455" s="737" t="s">
        <v>162</v>
      </c>
      <c r="BE1455" s="738"/>
      <c r="BF1455" s="739"/>
      <c r="BG1455" s="740"/>
      <c r="BH1455" s="740"/>
      <c r="BI1455" s="741"/>
      <c r="BJ1455" s="742" t="s">
        <v>159</v>
      </c>
      <c r="BK1455" s="743"/>
      <c r="BL1455" s="743"/>
      <c r="BM1455" s="744"/>
      <c r="BN1455" s="703" t="s">
        <v>159</v>
      </c>
      <c r="BO1455" s="704"/>
      <c r="BP1455" s="704"/>
      <c r="BQ1455" s="704"/>
      <c r="BR1455" s="704"/>
      <c r="BS1455" s="704"/>
      <c r="BT1455" s="704"/>
      <c r="BU1455" s="704"/>
      <c r="BV1455" s="705"/>
    </row>
    <row r="1456" spans="1:74" ht="45" customHeight="1" x14ac:dyDescent="0.25">
      <c r="A1456" s="10">
        <f t="shared" si="22"/>
        <v>1442</v>
      </c>
      <c r="B1456" s="662" t="s">
        <v>159</v>
      </c>
      <c r="C1456" s="662"/>
      <c r="D1456" s="663" t="s">
        <v>212</v>
      </c>
      <c r="E1456" s="663"/>
      <c r="F1456" s="664" t="s">
        <v>162</v>
      </c>
      <c r="G1456" s="665"/>
      <c r="H1456" s="754" t="s">
        <v>162</v>
      </c>
      <c r="I1456" s="714"/>
      <c r="J1456" s="340"/>
      <c r="K1456" s="341"/>
      <c r="L1456" s="340"/>
      <c r="M1456" s="341"/>
      <c r="N1456" s="194"/>
      <c r="O1456" s="196"/>
      <c r="P1456" s="717"/>
      <c r="Q1456" s="718"/>
      <c r="R1456" s="672"/>
      <c r="S1456" s="673"/>
      <c r="T1456" s="674"/>
      <c r="U1456" s="675"/>
      <c r="V1456" s="676"/>
      <c r="W1456" s="677"/>
      <c r="X1456" s="678" t="s">
        <v>159</v>
      </c>
      <c r="Y1456" s="678"/>
      <c r="Z1456" s="678"/>
      <c r="AA1456" s="678"/>
      <c r="AB1456" s="679" t="s">
        <v>159</v>
      </c>
      <c r="AC1456" s="679"/>
      <c r="AD1456" s="679"/>
      <c r="AE1456" s="679"/>
      <c r="AF1456" s="680"/>
      <c r="AG1456" s="681"/>
      <c r="AH1456" s="680"/>
      <c r="AI1456" s="681"/>
      <c r="AJ1456" s="682"/>
      <c r="AK1456" s="683"/>
      <c r="AL1456" s="684" t="s">
        <v>162</v>
      </c>
      <c r="AM1456" s="685"/>
      <c r="AN1456" s="666" t="s">
        <v>162</v>
      </c>
      <c r="AO1456" s="667"/>
      <c r="AP1456" s="686"/>
      <c r="AQ1456" s="687"/>
      <c r="AR1456" s="688"/>
      <c r="AS1456" s="689"/>
      <c r="AT1456" s="690"/>
      <c r="AU1456" s="691"/>
      <c r="AV1456" s="666" t="s">
        <v>162</v>
      </c>
      <c r="AW1456" s="667"/>
      <c r="AX1456" s="692"/>
      <c r="AY1456" s="693"/>
      <c r="AZ1456" s="694"/>
      <c r="BA1456" s="682"/>
      <c r="BB1456" s="683"/>
      <c r="BC1456" s="14"/>
      <c r="BD1456" s="695" t="s">
        <v>162</v>
      </c>
      <c r="BE1456" s="696"/>
      <c r="BF1456" s="697"/>
      <c r="BG1456" s="698"/>
      <c r="BH1456" s="698"/>
      <c r="BI1456" s="699"/>
      <c r="BJ1456" s="700" t="s">
        <v>159</v>
      </c>
      <c r="BK1456" s="701"/>
      <c r="BL1456" s="701"/>
      <c r="BM1456" s="702"/>
      <c r="BN1456" s="703" t="s">
        <v>159</v>
      </c>
      <c r="BO1456" s="704"/>
      <c r="BP1456" s="704"/>
      <c r="BQ1456" s="704"/>
      <c r="BR1456" s="704"/>
      <c r="BS1456" s="704"/>
      <c r="BT1456" s="704"/>
      <c r="BU1456" s="704"/>
      <c r="BV1456" s="705"/>
    </row>
    <row r="1457" spans="1:74" ht="45" customHeight="1" x14ac:dyDescent="0.25">
      <c r="A1457" s="10">
        <f t="shared" si="22"/>
        <v>1443</v>
      </c>
      <c r="B1457" s="711" t="s">
        <v>159</v>
      </c>
      <c r="C1457" s="711"/>
      <c r="D1457" s="712" t="s">
        <v>212</v>
      </c>
      <c r="E1457" s="712"/>
      <c r="F1457" s="664" t="s">
        <v>162</v>
      </c>
      <c r="G1457" s="665"/>
      <c r="H1457" s="755" t="s">
        <v>162</v>
      </c>
      <c r="I1457" s="667"/>
      <c r="J1457" s="706"/>
      <c r="K1457" s="707"/>
      <c r="L1457" s="706"/>
      <c r="M1457" s="707"/>
      <c r="N1457" s="215"/>
      <c r="O1457" s="216"/>
      <c r="P1457" s="670"/>
      <c r="Q1457" s="671"/>
      <c r="R1457" s="719"/>
      <c r="S1457" s="720"/>
      <c r="T1457" s="721"/>
      <c r="U1457" s="722"/>
      <c r="V1457" s="723"/>
      <c r="W1457" s="724"/>
      <c r="X1457" s="725" t="s">
        <v>159</v>
      </c>
      <c r="Y1457" s="725"/>
      <c r="Z1457" s="725"/>
      <c r="AA1457" s="725"/>
      <c r="AB1457" s="726" t="s">
        <v>159</v>
      </c>
      <c r="AC1457" s="726"/>
      <c r="AD1457" s="726"/>
      <c r="AE1457" s="726"/>
      <c r="AF1457" s="727"/>
      <c r="AG1457" s="728"/>
      <c r="AH1457" s="727"/>
      <c r="AI1457" s="728"/>
      <c r="AJ1457" s="682"/>
      <c r="AK1457" s="683"/>
      <c r="AL1457" s="664" t="s">
        <v>162</v>
      </c>
      <c r="AM1457" s="665"/>
      <c r="AN1457" s="713" t="s">
        <v>162</v>
      </c>
      <c r="AO1457" s="714"/>
      <c r="AP1457" s="729"/>
      <c r="AQ1457" s="730"/>
      <c r="AR1457" s="731"/>
      <c r="AS1457" s="732"/>
      <c r="AT1457" s="733"/>
      <c r="AU1457" s="734"/>
      <c r="AV1457" s="713" t="s">
        <v>162</v>
      </c>
      <c r="AW1457" s="714"/>
      <c r="AX1457" s="692"/>
      <c r="AY1457" s="693"/>
      <c r="AZ1457" s="694"/>
      <c r="BA1457" s="735"/>
      <c r="BB1457" s="736"/>
      <c r="BC1457" s="219"/>
      <c r="BD1457" s="737" t="s">
        <v>162</v>
      </c>
      <c r="BE1457" s="738"/>
      <c r="BF1457" s="739"/>
      <c r="BG1457" s="740"/>
      <c r="BH1457" s="740"/>
      <c r="BI1457" s="741"/>
      <c r="BJ1457" s="742" t="s">
        <v>159</v>
      </c>
      <c r="BK1457" s="743"/>
      <c r="BL1457" s="743"/>
      <c r="BM1457" s="744"/>
      <c r="BN1457" s="703" t="s">
        <v>159</v>
      </c>
      <c r="BO1457" s="704"/>
      <c r="BP1457" s="704"/>
      <c r="BQ1457" s="704"/>
      <c r="BR1457" s="704"/>
      <c r="BS1457" s="704"/>
      <c r="BT1457" s="704"/>
      <c r="BU1457" s="704"/>
      <c r="BV1457" s="705"/>
    </row>
    <row r="1458" spans="1:74" ht="45" customHeight="1" x14ac:dyDescent="0.25">
      <c r="A1458" s="10">
        <f t="shared" si="22"/>
        <v>1444</v>
      </c>
      <c r="B1458" s="662" t="s">
        <v>159</v>
      </c>
      <c r="C1458" s="662"/>
      <c r="D1458" s="663" t="s">
        <v>212</v>
      </c>
      <c r="E1458" s="663"/>
      <c r="F1458" s="664" t="s">
        <v>162</v>
      </c>
      <c r="G1458" s="665"/>
      <c r="H1458" s="754" t="s">
        <v>162</v>
      </c>
      <c r="I1458" s="714"/>
      <c r="J1458" s="340"/>
      <c r="K1458" s="341"/>
      <c r="L1458" s="340"/>
      <c r="M1458" s="341"/>
      <c r="N1458" s="194"/>
      <c r="O1458" s="196"/>
      <c r="P1458" s="717"/>
      <c r="Q1458" s="718"/>
      <c r="R1458" s="672"/>
      <c r="S1458" s="673"/>
      <c r="T1458" s="674"/>
      <c r="U1458" s="675"/>
      <c r="V1458" s="676"/>
      <c r="W1458" s="677"/>
      <c r="X1458" s="678" t="s">
        <v>159</v>
      </c>
      <c r="Y1458" s="678"/>
      <c r="Z1458" s="678"/>
      <c r="AA1458" s="678"/>
      <c r="AB1458" s="679" t="s">
        <v>159</v>
      </c>
      <c r="AC1458" s="679"/>
      <c r="AD1458" s="679"/>
      <c r="AE1458" s="679"/>
      <c r="AF1458" s="680"/>
      <c r="AG1458" s="681"/>
      <c r="AH1458" s="680"/>
      <c r="AI1458" s="681"/>
      <c r="AJ1458" s="682"/>
      <c r="AK1458" s="683"/>
      <c r="AL1458" s="684" t="s">
        <v>162</v>
      </c>
      <c r="AM1458" s="685"/>
      <c r="AN1458" s="666" t="s">
        <v>162</v>
      </c>
      <c r="AO1458" s="667"/>
      <c r="AP1458" s="686"/>
      <c r="AQ1458" s="687"/>
      <c r="AR1458" s="688"/>
      <c r="AS1458" s="689"/>
      <c r="AT1458" s="690"/>
      <c r="AU1458" s="691"/>
      <c r="AV1458" s="666" t="s">
        <v>162</v>
      </c>
      <c r="AW1458" s="667"/>
      <c r="AX1458" s="692"/>
      <c r="AY1458" s="693"/>
      <c r="AZ1458" s="694"/>
      <c r="BA1458" s="682"/>
      <c r="BB1458" s="683"/>
      <c r="BC1458" s="14"/>
      <c r="BD1458" s="695" t="s">
        <v>162</v>
      </c>
      <c r="BE1458" s="696"/>
      <c r="BF1458" s="708"/>
      <c r="BG1458" s="709"/>
      <c r="BH1458" s="709"/>
      <c r="BI1458" s="710"/>
      <c r="BJ1458" s="700" t="s">
        <v>159</v>
      </c>
      <c r="BK1458" s="701"/>
      <c r="BL1458" s="701"/>
      <c r="BM1458" s="702"/>
      <c r="BN1458" s="703" t="s">
        <v>159</v>
      </c>
      <c r="BO1458" s="704"/>
      <c r="BP1458" s="704"/>
      <c r="BQ1458" s="704"/>
      <c r="BR1458" s="704"/>
      <c r="BS1458" s="704"/>
      <c r="BT1458" s="704"/>
      <c r="BU1458" s="704"/>
      <c r="BV1458" s="705"/>
    </row>
    <row r="1459" spans="1:74" ht="45" customHeight="1" x14ac:dyDescent="0.25">
      <c r="A1459" s="10">
        <f t="shared" si="22"/>
        <v>1445</v>
      </c>
      <c r="B1459" s="711" t="s">
        <v>159</v>
      </c>
      <c r="C1459" s="711"/>
      <c r="D1459" s="712" t="s">
        <v>212</v>
      </c>
      <c r="E1459" s="712"/>
      <c r="F1459" s="664" t="s">
        <v>162</v>
      </c>
      <c r="G1459" s="665"/>
      <c r="H1459" s="755" t="s">
        <v>162</v>
      </c>
      <c r="I1459" s="667"/>
      <c r="J1459" s="706"/>
      <c r="K1459" s="707"/>
      <c r="L1459" s="706"/>
      <c r="M1459" s="707"/>
      <c r="N1459" s="215"/>
      <c r="O1459" s="216"/>
      <c r="P1459" s="670"/>
      <c r="Q1459" s="671"/>
      <c r="R1459" s="719"/>
      <c r="S1459" s="720"/>
      <c r="T1459" s="721"/>
      <c r="U1459" s="722"/>
      <c r="V1459" s="723"/>
      <c r="W1459" s="724"/>
      <c r="X1459" s="725" t="s">
        <v>159</v>
      </c>
      <c r="Y1459" s="725"/>
      <c r="Z1459" s="725"/>
      <c r="AA1459" s="725"/>
      <c r="AB1459" s="726" t="s">
        <v>159</v>
      </c>
      <c r="AC1459" s="726"/>
      <c r="AD1459" s="726"/>
      <c r="AE1459" s="726"/>
      <c r="AF1459" s="727"/>
      <c r="AG1459" s="728"/>
      <c r="AH1459" s="727"/>
      <c r="AI1459" s="728"/>
      <c r="AJ1459" s="682"/>
      <c r="AK1459" s="683"/>
      <c r="AL1459" s="664" t="s">
        <v>162</v>
      </c>
      <c r="AM1459" s="665"/>
      <c r="AN1459" s="713" t="s">
        <v>162</v>
      </c>
      <c r="AO1459" s="714"/>
      <c r="AP1459" s="729"/>
      <c r="AQ1459" s="730"/>
      <c r="AR1459" s="731"/>
      <c r="AS1459" s="732"/>
      <c r="AT1459" s="733"/>
      <c r="AU1459" s="734"/>
      <c r="AV1459" s="713" t="s">
        <v>162</v>
      </c>
      <c r="AW1459" s="714"/>
      <c r="AX1459" s="692"/>
      <c r="AY1459" s="693"/>
      <c r="AZ1459" s="694"/>
      <c r="BA1459" s="735"/>
      <c r="BB1459" s="736"/>
      <c r="BC1459" s="219"/>
      <c r="BD1459" s="737" t="s">
        <v>162</v>
      </c>
      <c r="BE1459" s="738"/>
      <c r="BF1459" s="739"/>
      <c r="BG1459" s="740"/>
      <c r="BH1459" s="740"/>
      <c r="BI1459" s="741"/>
      <c r="BJ1459" s="742" t="s">
        <v>159</v>
      </c>
      <c r="BK1459" s="743"/>
      <c r="BL1459" s="743"/>
      <c r="BM1459" s="744"/>
      <c r="BN1459" s="703" t="s">
        <v>159</v>
      </c>
      <c r="BO1459" s="704"/>
      <c r="BP1459" s="704"/>
      <c r="BQ1459" s="704"/>
      <c r="BR1459" s="704"/>
      <c r="BS1459" s="704"/>
      <c r="BT1459" s="704"/>
      <c r="BU1459" s="704"/>
      <c r="BV1459" s="705"/>
    </row>
    <row r="1460" spans="1:74" ht="45" customHeight="1" x14ac:dyDescent="0.25">
      <c r="A1460" s="10">
        <f t="shared" si="22"/>
        <v>1446</v>
      </c>
      <c r="B1460" s="662" t="s">
        <v>159</v>
      </c>
      <c r="C1460" s="662"/>
      <c r="D1460" s="663" t="s">
        <v>212</v>
      </c>
      <c r="E1460" s="663"/>
      <c r="F1460" s="664" t="s">
        <v>162</v>
      </c>
      <c r="G1460" s="665"/>
      <c r="H1460" s="754" t="s">
        <v>162</v>
      </c>
      <c r="I1460" s="714"/>
      <c r="J1460" s="340"/>
      <c r="K1460" s="341"/>
      <c r="L1460" s="340"/>
      <c r="M1460" s="341"/>
      <c r="N1460" s="194"/>
      <c r="O1460" s="196"/>
      <c r="P1460" s="717"/>
      <c r="Q1460" s="718"/>
      <c r="R1460" s="672"/>
      <c r="S1460" s="673"/>
      <c r="T1460" s="674"/>
      <c r="U1460" s="675"/>
      <c r="V1460" s="676"/>
      <c r="W1460" s="677"/>
      <c r="X1460" s="678" t="s">
        <v>159</v>
      </c>
      <c r="Y1460" s="678"/>
      <c r="Z1460" s="678"/>
      <c r="AA1460" s="678"/>
      <c r="AB1460" s="679" t="s">
        <v>159</v>
      </c>
      <c r="AC1460" s="679"/>
      <c r="AD1460" s="679"/>
      <c r="AE1460" s="679"/>
      <c r="AF1460" s="680"/>
      <c r="AG1460" s="681"/>
      <c r="AH1460" s="680"/>
      <c r="AI1460" s="681"/>
      <c r="AJ1460" s="682"/>
      <c r="AK1460" s="683"/>
      <c r="AL1460" s="684" t="s">
        <v>162</v>
      </c>
      <c r="AM1460" s="685"/>
      <c r="AN1460" s="666" t="s">
        <v>162</v>
      </c>
      <c r="AO1460" s="667"/>
      <c r="AP1460" s="686"/>
      <c r="AQ1460" s="687"/>
      <c r="AR1460" s="688"/>
      <c r="AS1460" s="689"/>
      <c r="AT1460" s="690"/>
      <c r="AU1460" s="691"/>
      <c r="AV1460" s="666" t="s">
        <v>162</v>
      </c>
      <c r="AW1460" s="667"/>
      <c r="AX1460" s="692"/>
      <c r="AY1460" s="693"/>
      <c r="AZ1460" s="694"/>
      <c r="BA1460" s="682"/>
      <c r="BB1460" s="683"/>
      <c r="BC1460" s="14"/>
      <c r="BD1460" s="695" t="s">
        <v>162</v>
      </c>
      <c r="BE1460" s="696"/>
      <c r="BF1460" s="697"/>
      <c r="BG1460" s="698"/>
      <c r="BH1460" s="698"/>
      <c r="BI1460" s="699"/>
      <c r="BJ1460" s="700" t="s">
        <v>159</v>
      </c>
      <c r="BK1460" s="701"/>
      <c r="BL1460" s="701"/>
      <c r="BM1460" s="702"/>
      <c r="BN1460" s="703" t="s">
        <v>159</v>
      </c>
      <c r="BO1460" s="704"/>
      <c r="BP1460" s="704"/>
      <c r="BQ1460" s="704"/>
      <c r="BR1460" s="704"/>
      <c r="BS1460" s="704"/>
      <c r="BT1460" s="704"/>
      <c r="BU1460" s="704"/>
      <c r="BV1460" s="705"/>
    </row>
    <row r="1461" spans="1:74" ht="45" customHeight="1" x14ac:dyDescent="0.25">
      <c r="A1461" s="10">
        <f t="shared" si="22"/>
        <v>1447</v>
      </c>
      <c r="B1461" s="711" t="s">
        <v>159</v>
      </c>
      <c r="C1461" s="711"/>
      <c r="D1461" s="712" t="s">
        <v>212</v>
      </c>
      <c r="E1461" s="712"/>
      <c r="F1461" s="664" t="s">
        <v>162</v>
      </c>
      <c r="G1461" s="665"/>
      <c r="H1461" s="755" t="s">
        <v>162</v>
      </c>
      <c r="I1461" s="667"/>
      <c r="J1461" s="706"/>
      <c r="K1461" s="707"/>
      <c r="L1461" s="706"/>
      <c r="M1461" s="707"/>
      <c r="N1461" s="215"/>
      <c r="O1461" s="216"/>
      <c r="P1461" s="670"/>
      <c r="Q1461" s="671"/>
      <c r="R1461" s="719"/>
      <c r="S1461" s="720"/>
      <c r="T1461" s="721"/>
      <c r="U1461" s="722"/>
      <c r="V1461" s="723"/>
      <c r="W1461" s="724"/>
      <c r="X1461" s="725" t="s">
        <v>159</v>
      </c>
      <c r="Y1461" s="725"/>
      <c r="Z1461" s="725"/>
      <c r="AA1461" s="725"/>
      <c r="AB1461" s="726" t="s">
        <v>159</v>
      </c>
      <c r="AC1461" s="726"/>
      <c r="AD1461" s="726"/>
      <c r="AE1461" s="726"/>
      <c r="AF1461" s="727"/>
      <c r="AG1461" s="728"/>
      <c r="AH1461" s="727"/>
      <c r="AI1461" s="728"/>
      <c r="AJ1461" s="682"/>
      <c r="AK1461" s="683"/>
      <c r="AL1461" s="664" t="s">
        <v>162</v>
      </c>
      <c r="AM1461" s="665"/>
      <c r="AN1461" s="713" t="s">
        <v>162</v>
      </c>
      <c r="AO1461" s="714"/>
      <c r="AP1461" s="729"/>
      <c r="AQ1461" s="730"/>
      <c r="AR1461" s="731"/>
      <c r="AS1461" s="732"/>
      <c r="AT1461" s="733"/>
      <c r="AU1461" s="734"/>
      <c r="AV1461" s="713" t="s">
        <v>162</v>
      </c>
      <c r="AW1461" s="714"/>
      <c r="AX1461" s="692"/>
      <c r="AY1461" s="693"/>
      <c r="AZ1461" s="694"/>
      <c r="BA1461" s="735"/>
      <c r="BB1461" s="736"/>
      <c r="BC1461" s="219"/>
      <c r="BD1461" s="737" t="s">
        <v>162</v>
      </c>
      <c r="BE1461" s="738"/>
      <c r="BF1461" s="739"/>
      <c r="BG1461" s="740"/>
      <c r="BH1461" s="740"/>
      <c r="BI1461" s="741"/>
      <c r="BJ1461" s="742" t="s">
        <v>159</v>
      </c>
      <c r="BK1461" s="743"/>
      <c r="BL1461" s="743"/>
      <c r="BM1461" s="744"/>
      <c r="BN1461" s="703" t="s">
        <v>159</v>
      </c>
      <c r="BO1461" s="704"/>
      <c r="BP1461" s="704"/>
      <c r="BQ1461" s="704"/>
      <c r="BR1461" s="704"/>
      <c r="BS1461" s="704"/>
      <c r="BT1461" s="704"/>
      <c r="BU1461" s="704"/>
      <c r="BV1461" s="705"/>
    </row>
    <row r="1462" spans="1:74" ht="45" customHeight="1" x14ac:dyDescent="0.25">
      <c r="A1462" s="10">
        <f t="shared" si="22"/>
        <v>1448</v>
      </c>
      <c r="B1462" s="662" t="s">
        <v>159</v>
      </c>
      <c r="C1462" s="662"/>
      <c r="D1462" s="663" t="s">
        <v>212</v>
      </c>
      <c r="E1462" s="663"/>
      <c r="F1462" s="664" t="s">
        <v>162</v>
      </c>
      <c r="G1462" s="665"/>
      <c r="H1462" s="754" t="s">
        <v>162</v>
      </c>
      <c r="I1462" s="714"/>
      <c r="J1462" s="340"/>
      <c r="K1462" s="341"/>
      <c r="L1462" s="340"/>
      <c r="M1462" s="341"/>
      <c r="N1462" s="215"/>
      <c r="O1462" s="216"/>
      <c r="P1462" s="670"/>
      <c r="Q1462" s="671"/>
      <c r="R1462" s="719"/>
      <c r="S1462" s="720"/>
      <c r="T1462" s="721"/>
      <c r="U1462" s="722"/>
      <c r="V1462" s="676"/>
      <c r="W1462" s="677"/>
      <c r="X1462" s="678" t="s">
        <v>159</v>
      </c>
      <c r="Y1462" s="678"/>
      <c r="Z1462" s="678"/>
      <c r="AA1462" s="678"/>
      <c r="AB1462" s="679" t="s">
        <v>159</v>
      </c>
      <c r="AC1462" s="679"/>
      <c r="AD1462" s="679"/>
      <c r="AE1462" s="679"/>
      <c r="AF1462" s="680"/>
      <c r="AG1462" s="681"/>
      <c r="AH1462" s="680"/>
      <c r="AI1462" s="681"/>
      <c r="AJ1462" s="682"/>
      <c r="AK1462" s="683"/>
      <c r="AL1462" s="684" t="s">
        <v>162</v>
      </c>
      <c r="AM1462" s="685"/>
      <c r="AN1462" s="666" t="s">
        <v>162</v>
      </c>
      <c r="AO1462" s="667"/>
      <c r="AP1462" s="686"/>
      <c r="AQ1462" s="687"/>
      <c r="AR1462" s="688"/>
      <c r="AS1462" s="689"/>
      <c r="AT1462" s="690"/>
      <c r="AU1462" s="691"/>
      <c r="AV1462" s="666" t="s">
        <v>162</v>
      </c>
      <c r="AW1462" s="667"/>
      <c r="AX1462" s="692"/>
      <c r="AY1462" s="693"/>
      <c r="AZ1462" s="694"/>
      <c r="BA1462" s="682"/>
      <c r="BB1462" s="683"/>
      <c r="BC1462" s="14"/>
      <c r="BD1462" s="695" t="s">
        <v>162</v>
      </c>
      <c r="BE1462" s="696"/>
      <c r="BF1462" s="697"/>
      <c r="BG1462" s="698"/>
      <c r="BH1462" s="698"/>
      <c r="BI1462" s="699"/>
      <c r="BJ1462" s="700" t="s">
        <v>159</v>
      </c>
      <c r="BK1462" s="701"/>
      <c r="BL1462" s="701"/>
      <c r="BM1462" s="702"/>
      <c r="BN1462" s="703" t="s">
        <v>159</v>
      </c>
      <c r="BO1462" s="704"/>
      <c r="BP1462" s="704"/>
      <c r="BQ1462" s="704"/>
      <c r="BR1462" s="704"/>
      <c r="BS1462" s="704"/>
      <c r="BT1462" s="704"/>
      <c r="BU1462" s="704"/>
      <c r="BV1462" s="705"/>
    </row>
    <row r="1463" spans="1:74" ht="45" customHeight="1" x14ac:dyDescent="0.25">
      <c r="A1463" s="10">
        <f t="shared" si="22"/>
        <v>1449</v>
      </c>
      <c r="B1463" s="711" t="s">
        <v>159</v>
      </c>
      <c r="C1463" s="711"/>
      <c r="D1463" s="712" t="s">
        <v>212</v>
      </c>
      <c r="E1463" s="712"/>
      <c r="F1463" s="664" t="s">
        <v>162</v>
      </c>
      <c r="G1463" s="665"/>
      <c r="H1463" s="755" t="s">
        <v>162</v>
      </c>
      <c r="I1463" s="667"/>
      <c r="J1463" s="706"/>
      <c r="K1463" s="707"/>
      <c r="L1463" s="706"/>
      <c r="M1463" s="707"/>
      <c r="N1463" s="194"/>
      <c r="O1463" s="196"/>
      <c r="P1463" s="717"/>
      <c r="Q1463" s="718"/>
      <c r="R1463" s="672"/>
      <c r="S1463" s="673"/>
      <c r="T1463" s="674"/>
      <c r="U1463" s="675"/>
      <c r="V1463" s="723"/>
      <c r="W1463" s="724"/>
      <c r="X1463" s="725" t="s">
        <v>159</v>
      </c>
      <c r="Y1463" s="725"/>
      <c r="Z1463" s="725"/>
      <c r="AA1463" s="725"/>
      <c r="AB1463" s="726" t="s">
        <v>159</v>
      </c>
      <c r="AC1463" s="726"/>
      <c r="AD1463" s="726"/>
      <c r="AE1463" s="726"/>
      <c r="AF1463" s="727"/>
      <c r="AG1463" s="728"/>
      <c r="AH1463" s="727"/>
      <c r="AI1463" s="728"/>
      <c r="AJ1463" s="682"/>
      <c r="AK1463" s="683"/>
      <c r="AL1463" s="664" t="s">
        <v>162</v>
      </c>
      <c r="AM1463" s="665"/>
      <c r="AN1463" s="713" t="s">
        <v>162</v>
      </c>
      <c r="AO1463" s="714"/>
      <c r="AP1463" s="729"/>
      <c r="AQ1463" s="730"/>
      <c r="AR1463" s="731"/>
      <c r="AS1463" s="732"/>
      <c r="AT1463" s="733"/>
      <c r="AU1463" s="734"/>
      <c r="AV1463" s="713" t="s">
        <v>162</v>
      </c>
      <c r="AW1463" s="714"/>
      <c r="AX1463" s="692"/>
      <c r="AY1463" s="693"/>
      <c r="AZ1463" s="694"/>
      <c r="BA1463" s="735"/>
      <c r="BB1463" s="736"/>
      <c r="BC1463" s="219"/>
      <c r="BD1463" s="737" t="s">
        <v>162</v>
      </c>
      <c r="BE1463" s="738"/>
      <c r="BF1463" s="739"/>
      <c r="BG1463" s="740"/>
      <c r="BH1463" s="740"/>
      <c r="BI1463" s="741"/>
      <c r="BJ1463" s="742" t="s">
        <v>159</v>
      </c>
      <c r="BK1463" s="743"/>
      <c r="BL1463" s="743"/>
      <c r="BM1463" s="744"/>
      <c r="BN1463" s="703" t="s">
        <v>159</v>
      </c>
      <c r="BO1463" s="704"/>
      <c r="BP1463" s="704"/>
      <c r="BQ1463" s="704"/>
      <c r="BR1463" s="704"/>
      <c r="BS1463" s="704"/>
      <c r="BT1463" s="704"/>
      <c r="BU1463" s="704"/>
      <c r="BV1463" s="705"/>
    </row>
    <row r="1464" spans="1:74" ht="45" customHeight="1" x14ac:dyDescent="0.25">
      <c r="A1464" s="10">
        <f t="shared" si="22"/>
        <v>1450</v>
      </c>
      <c r="B1464" s="662" t="s">
        <v>159</v>
      </c>
      <c r="C1464" s="662"/>
      <c r="D1464" s="663" t="s">
        <v>212</v>
      </c>
      <c r="E1464" s="663"/>
      <c r="F1464" s="664" t="s">
        <v>162</v>
      </c>
      <c r="G1464" s="665"/>
      <c r="H1464" s="754" t="s">
        <v>162</v>
      </c>
      <c r="I1464" s="714"/>
      <c r="J1464" s="340"/>
      <c r="K1464" s="341"/>
      <c r="L1464" s="340"/>
      <c r="M1464" s="341"/>
      <c r="N1464" s="215"/>
      <c r="O1464" s="216"/>
      <c r="P1464" s="670"/>
      <c r="Q1464" s="671"/>
      <c r="R1464" s="719"/>
      <c r="S1464" s="720"/>
      <c r="T1464" s="721"/>
      <c r="U1464" s="722"/>
      <c r="V1464" s="676"/>
      <c r="W1464" s="677"/>
      <c r="X1464" s="678" t="s">
        <v>159</v>
      </c>
      <c r="Y1464" s="678"/>
      <c r="Z1464" s="678"/>
      <c r="AA1464" s="678"/>
      <c r="AB1464" s="679" t="s">
        <v>159</v>
      </c>
      <c r="AC1464" s="679"/>
      <c r="AD1464" s="679"/>
      <c r="AE1464" s="679"/>
      <c r="AF1464" s="680"/>
      <c r="AG1464" s="681"/>
      <c r="AH1464" s="680"/>
      <c r="AI1464" s="681"/>
      <c r="AJ1464" s="682"/>
      <c r="AK1464" s="683"/>
      <c r="AL1464" s="684" t="s">
        <v>162</v>
      </c>
      <c r="AM1464" s="685"/>
      <c r="AN1464" s="666" t="s">
        <v>162</v>
      </c>
      <c r="AO1464" s="667"/>
      <c r="AP1464" s="686"/>
      <c r="AQ1464" s="687"/>
      <c r="AR1464" s="688"/>
      <c r="AS1464" s="689"/>
      <c r="AT1464" s="690"/>
      <c r="AU1464" s="691"/>
      <c r="AV1464" s="666" t="s">
        <v>162</v>
      </c>
      <c r="AW1464" s="667"/>
      <c r="AX1464" s="692"/>
      <c r="AY1464" s="693"/>
      <c r="AZ1464" s="694"/>
      <c r="BA1464" s="682"/>
      <c r="BB1464" s="683"/>
      <c r="BC1464" s="14"/>
      <c r="BD1464" s="695" t="s">
        <v>162</v>
      </c>
      <c r="BE1464" s="696"/>
      <c r="BF1464" s="708"/>
      <c r="BG1464" s="709"/>
      <c r="BH1464" s="709"/>
      <c r="BI1464" s="710"/>
      <c r="BJ1464" s="700" t="s">
        <v>159</v>
      </c>
      <c r="BK1464" s="701"/>
      <c r="BL1464" s="701"/>
      <c r="BM1464" s="702"/>
      <c r="BN1464" s="703" t="s">
        <v>159</v>
      </c>
      <c r="BO1464" s="704"/>
      <c r="BP1464" s="704"/>
      <c r="BQ1464" s="704"/>
      <c r="BR1464" s="704"/>
      <c r="BS1464" s="704"/>
      <c r="BT1464" s="704"/>
      <c r="BU1464" s="704"/>
      <c r="BV1464" s="705"/>
    </row>
    <row r="1465" spans="1:74" ht="45" customHeight="1" x14ac:dyDescent="0.25">
      <c r="A1465" s="10">
        <f t="shared" si="22"/>
        <v>1451</v>
      </c>
      <c r="B1465" s="711" t="s">
        <v>159</v>
      </c>
      <c r="C1465" s="711"/>
      <c r="D1465" s="712" t="s">
        <v>212</v>
      </c>
      <c r="E1465" s="712"/>
      <c r="F1465" s="664" t="s">
        <v>162</v>
      </c>
      <c r="G1465" s="665"/>
      <c r="H1465" s="755" t="s">
        <v>162</v>
      </c>
      <c r="I1465" s="667"/>
      <c r="J1465" s="706"/>
      <c r="K1465" s="707"/>
      <c r="L1465" s="706"/>
      <c r="M1465" s="707"/>
      <c r="N1465" s="194"/>
      <c r="O1465" s="196"/>
      <c r="P1465" s="717"/>
      <c r="Q1465" s="718"/>
      <c r="R1465" s="672"/>
      <c r="S1465" s="673"/>
      <c r="T1465" s="674"/>
      <c r="U1465" s="675"/>
      <c r="V1465" s="723"/>
      <c r="W1465" s="724"/>
      <c r="X1465" s="725" t="s">
        <v>159</v>
      </c>
      <c r="Y1465" s="725"/>
      <c r="Z1465" s="725"/>
      <c r="AA1465" s="725"/>
      <c r="AB1465" s="726" t="s">
        <v>159</v>
      </c>
      <c r="AC1465" s="726"/>
      <c r="AD1465" s="726"/>
      <c r="AE1465" s="726"/>
      <c r="AF1465" s="727"/>
      <c r="AG1465" s="728"/>
      <c r="AH1465" s="727"/>
      <c r="AI1465" s="728"/>
      <c r="AJ1465" s="682"/>
      <c r="AK1465" s="683"/>
      <c r="AL1465" s="664" t="s">
        <v>162</v>
      </c>
      <c r="AM1465" s="665"/>
      <c r="AN1465" s="713" t="s">
        <v>162</v>
      </c>
      <c r="AO1465" s="714"/>
      <c r="AP1465" s="729"/>
      <c r="AQ1465" s="730"/>
      <c r="AR1465" s="731"/>
      <c r="AS1465" s="732"/>
      <c r="AT1465" s="733"/>
      <c r="AU1465" s="734"/>
      <c r="AV1465" s="713" t="s">
        <v>162</v>
      </c>
      <c r="AW1465" s="714"/>
      <c r="AX1465" s="692"/>
      <c r="AY1465" s="693"/>
      <c r="AZ1465" s="694"/>
      <c r="BA1465" s="735"/>
      <c r="BB1465" s="736"/>
      <c r="BC1465" s="219"/>
      <c r="BD1465" s="737" t="s">
        <v>162</v>
      </c>
      <c r="BE1465" s="738"/>
      <c r="BF1465" s="739"/>
      <c r="BG1465" s="740"/>
      <c r="BH1465" s="740"/>
      <c r="BI1465" s="741"/>
      <c r="BJ1465" s="742" t="s">
        <v>159</v>
      </c>
      <c r="BK1465" s="743"/>
      <c r="BL1465" s="743"/>
      <c r="BM1465" s="744"/>
      <c r="BN1465" s="703" t="s">
        <v>159</v>
      </c>
      <c r="BO1465" s="704"/>
      <c r="BP1465" s="704"/>
      <c r="BQ1465" s="704"/>
      <c r="BR1465" s="704"/>
      <c r="BS1465" s="704"/>
      <c r="BT1465" s="704"/>
      <c r="BU1465" s="704"/>
      <c r="BV1465" s="705"/>
    </row>
    <row r="1466" spans="1:74" ht="45" customHeight="1" x14ac:dyDescent="0.25">
      <c r="A1466" s="10">
        <f t="shared" si="22"/>
        <v>1452</v>
      </c>
      <c r="B1466" s="662" t="s">
        <v>159</v>
      </c>
      <c r="C1466" s="662"/>
      <c r="D1466" s="663" t="s">
        <v>212</v>
      </c>
      <c r="E1466" s="663"/>
      <c r="F1466" s="664" t="s">
        <v>162</v>
      </c>
      <c r="G1466" s="665"/>
      <c r="H1466" s="754" t="s">
        <v>162</v>
      </c>
      <c r="I1466" s="714"/>
      <c r="J1466" s="340"/>
      <c r="K1466" s="341"/>
      <c r="L1466" s="340"/>
      <c r="M1466" s="341"/>
      <c r="N1466" s="215"/>
      <c r="O1466" s="216"/>
      <c r="P1466" s="670"/>
      <c r="Q1466" s="671"/>
      <c r="R1466" s="719"/>
      <c r="S1466" s="720"/>
      <c r="T1466" s="721"/>
      <c r="U1466" s="722"/>
      <c r="V1466" s="676"/>
      <c r="W1466" s="677"/>
      <c r="X1466" s="678" t="s">
        <v>159</v>
      </c>
      <c r="Y1466" s="678"/>
      <c r="Z1466" s="678"/>
      <c r="AA1466" s="678"/>
      <c r="AB1466" s="679" t="s">
        <v>159</v>
      </c>
      <c r="AC1466" s="679"/>
      <c r="AD1466" s="679"/>
      <c r="AE1466" s="679"/>
      <c r="AF1466" s="680"/>
      <c r="AG1466" s="681"/>
      <c r="AH1466" s="680"/>
      <c r="AI1466" s="681"/>
      <c r="AJ1466" s="682"/>
      <c r="AK1466" s="683"/>
      <c r="AL1466" s="684" t="s">
        <v>162</v>
      </c>
      <c r="AM1466" s="685"/>
      <c r="AN1466" s="666" t="s">
        <v>162</v>
      </c>
      <c r="AO1466" s="667"/>
      <c r="AP1466" s="686"/>
      <c r="AQ1466" s="687"/>
      <c r="AR1466" s="688"/>
      <c r="AS1466" s="689"/>
      <c r="AT1466" s="690"/>
      <c r="AU1466" s="691"/>
      <c r="AV1466" s="666" t="s">
        <v>162</v>
      </c>
      <c r="AW1466" s="667"/>
      <c r="AX1466" s="692"/>
      <c r="AY1466" s="693"/>
      <c r="AZ1466" s="694"/>
      <c r="BA1466" s="682"/>
      <c r="BB1466" s="683"/>
      <c r="BC1466" s="14"/>
      <c r="BD1466" s="695" t="s">
        <v>162</v>
      </c>
      <c r="BE1466" s="696"/>
      <c r="BF1466" s="697"/>
      <c r="BG1466" s="698"/>
      <c r="BH1466" s="698"/>
      <c r="BI1466" s="699"/>
      <c r="BJ1466" s="700" t="s">
        <v>159</v>
      </c>
      <c r="BK1466" s="701"/>
      <c r="BL1466" s="701"/>
      <c r="BM1466" s="702"/>
      <c r="BN1466" s="703" t="s">
        <v>159</v>
      </c>
      <c r="BO1466" s="704"/>
      <c r="BP1466" s="704"/>
      <c r="BQ1466" s="704"/>
      <c r="BR1466" s="704"/>
      <c r="BS1466" s="704"/>
      <c r="BT1466" s="704"/>
      <c r="BU1466" s="704"/>
      <c r="BV1466" s="705"/>
    </row>
    <row r="1467" spans="1:74" ht="45" customHeight="1" x14ac:dyDescent="0.25">
      <c r="A1467" s="10">
        <f t="shared" si="22"/>
        <v>1453</v>
      </c>
      <c r="B1467" s="711" t="s">
        <v>159</v>
      </c>
      <c r="C1467" s="711"/>
      <c r="D1467" s="712" t="s">
        <v>212</v>
      </c>
      <c r="E1467" s="712"/>
      <c r="F1467" s="664" t="s">
        <v>162</v>
      </c>
      <c r="G1467" s="665"/>
      <c r="H1467" s="755" t="s">
        <v>162</v>
      </c>
      <c r="I1467" s="667"/>
      <c r="J1467" s="706"/>
      <c r="K1467" s="707"/>
      <c r="L1467" s="706"/>
      <c r="M1467" s="707"/>
      <c r="N1467" s="194"/>
      <c r="O1467" s="196"/>
      <c r="P1467" s="717"/>
      <c r="Q1467" s="718"/>
      <c r="R1467" s="672"/>
      <c r="S1467" s="673"/>
      <c r="T1467" s="674"/>
      <c r="U1467" s="675"/>
      <c r="V1467" s="723"/>
      <c r="W1467" s="724"/>
      <c r="X1467" s="725" t="s">
        <v>159</v>
      </c>
      <c r="Y1467" s="725"/>
      <c r="Z1467" s="725"/>
      <c r="AA1467" s="725"/>
      <c r="AB1467" s="726" t="s">
        <v>159</v>
      </c>
      <c r="AC1467" s="726"/>
      <c r="AD1467" s="726"/>
      <c r="AE1467" s="726"/>
      <c r="AF1467" s="727"/>
      <c r="AG1467" s="728"/>
      <c r="AH1467" s="727"/>
      <c r="AI1467" s="728"/>
      <c r="AJ1467" s="682"/>
      <c r="AK1467" s="683"/>
      <c r="AL1467" s="664" t="s">
        <v>162</v>
      </c>
      <c r="AM1467" s="665"/>
      <c r="AN1467" s="713" t="s">
        <v>162</v>
      </c>
      <c r="AO1467" s="714"/>
      <c r="AP1467" s="729"/>
      <c r="AQ1467" s="730"/>
      <c r="AR1467" s="731"/>
      <c r="AS1467" s="732"/>
      <c r="AT1467" s="690"/>
      <c r="AU1467" s="691"/>
      <c r="AV1467" s="713" t="s">
        <v>162</v>
      </c>
      <c r="AW1467" s="714"/>
      <c r="AX1467" s="692"/>
      <c r="AY1467" s="693"/>
      <c r="AZ1467" s="694"/>
      <c r="BA1467" s="735"/>
      <c r="BB1467" s="736"/>
      <c r="BC1467" s="219"/>
      <c r="BD1467" s="737" t="s">
        <v>162</v>
      </c>
      <c r="BE1467" s="738"/>
      <c r="BF1467" s="739"/>
      <c r="BG1467" s="740"/>
      <c r="BH1467" s="740"/>
      <c r="BI1467" s="741"/>
      <c r="BJ1467" s="742" t="s">
        <v>159</v>
      </c>
      <c r="BK1467" s="743"/>
      <c r="BL1467" s="743"/>
      <c r="BM1467" s="744"/>
      <c r="BN1467" s="703" t="s">
        <v>159</v>
      </c>
      <c r="BO1467" s="704"/>
      <c r="BP1467" s="704"/>
      <c r="BQ1467" s="704"/>
      <c r="BR1467" s="704"/>
      <c r="BS1467" s="704"/>
      <c r="BT1467" s="704"/>
      <c r="BU1467" s="704"/>
      <c r="BV1467" s="705"/>
    </row>
    <row r="1468" spans="1:74" ht="45" customHeight="1" x14ac:dyDescent="0.25">
      <c r="A1468" s="10">
        <f t="shared" si="22"/>
        <v>1454</v>
      </c>
      <c r="B1468" s="662" t="s">
        <v>159</v>
      </c>
      <c r="C1468" s="662"/>
      <c r="D1468" s="663" t="s">
        <v>212</v>
      </c>
      <c r="E1468" s="663"/>
      <c r="F1468" s="664" t="s">
        <v>162</v>
      </c>
      <c r="G1468" s="665"/>
      <c r="H1468" s="754" t="s">
        <v>162</v>
      </c>
      <c r="I1468" s="714"/>
      <c r="J1468" s="340"/>
      <c r="K1468" s="341"/>
      <c r="L1468" s="340"/>
      <c r="M1468" s="341"/>
      <c r="N1468" s="215"/>
      <c r="O1468" s="216"/>
      <c r="P1468" s="670"/>
      <c r="Q1468" s="671"/>
      <c r="R1468" s="719"/>
      <c r="S1468" s="720"/>
      <c r="T1468" s="721"/>
      <c r="U1468" s="722"/>
      <c r="V1468" s="676"/>
      <c r="W1468" s="677"/>
      <c r="X1468" s="678" t="s">
        <v>159</v>
      </c>
      <c r="Y1468" s="678"/>
      <c r="Z1468" s="678"/>
      <c r="AA1468" s="678"/>
      <c r="AB1468" s="679" t="s">
        <v>159</v>
      </c>
      <c r="AC1468" s="679"/>
      <c r="AD1468" s="679"/>
      <c r="AE1468" s="679"/>
      <c r="AF1468" s="680"/>
      <c r="AG1468" s="681"/>
      <c r="AH1468" s="680"/>
      <c r="AI1468" s="681"/>
      <c r="AJ1468" s="682"/>
      <c r="AK1468" s="683"/>
      <c r="AL1468" s="684" t="s">
        <v>162</v>
      </c>
      <c r="AM1468" s="685"/>
      <c r="AN1468" s="666" t="s">
        <v>162</v>
      </c>
      <c r="AO1468" s="667"/>
      <c r="AP1468" s="686"/>
      <c r="AQ1468" s="687"/>
      <c r="AR1468" s="688"/>
      <c r="AS1468" s="689"/>
      <c r="AT1468" s="690"/>
      <c r="AU1468" s="691"/>
      <c r="AV1468" s="666" t="s">
        <v>162</v>
      </c>
      <c r="AW1468" s="667"/>
      <c r="AX1468" s="692"/>
      <c r="AY1468" s="693"/>
      <c r="AZ1468" s="694"/>
      <c r="BA1468" s="682"/>
      <c r="BB1468" s="683"/>
      <c r="BC1468" s="14"/>
      <c r="BD1468" s="695" t="s">
        <v>162</v>
      </c>
      <c r="BE1468" s="696"/>
      <c r="BF1468" s="697"/>
      <c r="BG1468" s="698"/>
      <c r="BH1468" s="698"/>
      <c r="BI1468" s="699"/>
      <c r="BJ1468" s="700" t="s">
        <v>159</v>
      </c>
      <c r="BK1468" s="701"/>
      <c r="BL1468" s="701"/>
      <c r="BM1468" s="702"/>
      <c r="BN1468" s="703" t="s">
        <v>159</v>
      </c>
      <c r="BO1468" s="704"/>
      <c r="BP1468" s="704"/>
      <c r="BQ1468" s="704"/>
      <c r="BR1468" s="704"/>
      <c r="BS1468" s="704"/>
      <c r="BT1468" s="704"/>
      <c r="BU1468" s="704"/>
      <c r="BV1468" s="705"/>
    </row>
    <row r="1469" spans="1:74" ht="45" customHeight="1" x14ac:dyDescent="0.25">
      <c r="A1469" s="10">
        <f t="shared" si="22"/>
        <v>1455</v>
      </c>
      <c r="B1469" s="711" t="s">
        <v>159</v>
      </c>
      <c r="C1469" s="711"/>
      <c r="D1469" s="712" t="s">
        <v>212</v>
      </c>
      <c r="E1469" s="712"/>
      <c r="F1469" s="664" t="s">
        <v>162</v>
      </c>
      <c r="G1469" s="665"/>
      <c r="H1469" s="755" t="s">
        <v>162</v>
      </c>
      <c r="I1469" s="667"/>
      <c r="J1469" s="706"/>
      <c r="K1469" s="707"/>
      <c r="L1469" s="706"/>
      <c r="M1469" s="707"/>
      <c r="N1469" s="194"/>
      <c r="O1469" s="196"/>
      <c r="P1469" s="717"/>
      <c r="Q1469" s="718"/>
      <c r="R1469" s="672"/>
      <c r="S1469" s="673"/>
      <c r="T1469" s="674"/>
      <c r="U1469" s="675"/>
      <c r="V1469" s="723"/>
      <c r="W1469" s="724"/>
      <c r="X1469" s="725" t="s">
        <v>159</v>
      </c>
      <c r="Y1469" s="725"/>
      <c r="Z1469" s="725"/>
      <c r="AA1469" s="725"/>
      <c r="AB1469" s="726" t="s">
        <v>159</v>
      </c>
      <c r="AC1469" s="726"/>
      <c r="AD1469" s="726"/>
      <c r="AE1469" s="726"/>
      <c r="AF1469" s="727"/>
      <c r="AG1469" s="728"/>
      <c r="AH1469" s="727"/>
      <c r="AI1469" s="728"/>
      <c r="AJ1469" s="682"/>
      <c r="AK1469" s="683"/>
      <c r="AL1469" s="664" t="s">
        <v>162</v>
      </c>
      <c r="AM1469" s="665"/>
      <c r="AN1469" s="713" t="s">
        <v>162</v>
      </c>
      <c r="AO1469" s="714"/>
      <c r="AP1469" s="729"/>
      <c r="AQ1469" s="730"/>
      <c r="AR1469" s="731"/>
      <c r="AS1469" s="732"/>
      <c r="AT1469" s="690"/>
      <c r="AU1469" s="691"/>
      <c r="AV1469" s="713" t="s">
        <v>162</v>
      </c>
      <c r="AW1469" s="714"/>
      <c r="AX1469" s="692"/>
      <c r="AY1469" s="693"/>
      <c r="AZ1469" s="694"/>
      <c r="BA1469" s="735"/>
      <c r="BB1469" s="736"/>
      <c r="BC1469" s="219"/>
      <c r="BD1469" s="737" t="s">
        <v>162</v>
      </c>
      <c r="BE1469" s="738"/>
      <c r="BF1469" s="739"/>
      <c r="BG1469" s="740"/>
      <c r="BH1469" s="740"/>
      <c r="BI1469" s="741"/>
      <c r="BJ1469" s="742" t="s">
        <v>159</v>
      </c>
      <c r="BK1469" s="743"/>
      <c r="BL1469" s="743"/>
      <c r="BM1469" s="744"/>
      <c r="BN1469" s="703" t="s">
        <v>159</v>
      </c>
      <c r="BO1469" s="704"/>
      <c r="BP1469" s="704"/>
      <c r="BQ1469" s="704"/>
      <c r="BR1469" s="704"/>
      <c r="BS1469" s="704"/>
      <c r="BT1469" s="704"/>
      <c r="BU1469" s="704"/>
      <c r="BV1469" s="705"/>
    </row>
    <row r="1470" spans="1:74" ht="45" customHeight="1" x14ac:dyDescent="0.25">
      <c r="A1470" s="10">
        <f t="shared" si="22"/>
        <v>1456</v>
      </c>
      <c r="B1470" s="662" t="s">
        <v>159</v>
      </c>
      <c r="C1470" s="662"/>
      <c r="D1470" s="663" t="s">
        <v>212</v>
      </c>
      <c r="E1470" s="663"/>
      <c r="F1470" s="664" t="s">
        <v>162</v>
      </c>
      <c r="G1470" s="665"/>
      <c r="H1470" s="754" t="s">
        <v>162</v>
      </c>
      <c r="I1470" s="714"/>
      <c r="J1470" s="340"/>
      <c r="K1470" s="341"/>
      <c r="L1470" s="340"/>
      <c r="M1470" s="341"/>
      <c r="N1470" s="215"/>
      <c r="O1470" s="216"/>
      <c r="P1470" s="670"/>
      <c r="Q1470" s="671"/>
      <c r="R1470" s="719"/>
      <c r="S1470" s="720"/>
      <c r="T1470" s="721"/>
      <c r="U1470" s="722"/>
      <c r="V1470" s="676"/>
      <c r="W1470" s="677"/>
      <c r="X1470" s="678" t="s">
        <v>159</v>
      </c>
      <c r="Y1470" s="678"/>
      <c r="Z1470" s="678"/>
      <c r="AA1470" s="678"/>
      <c r="AB1470" s="679" t="s">
        <v>159</v>
      </c>
      <c r="AC1470" s="679"/>
      <c r="AD1470" s="679"/>
      <c r="AE1470" s="679"/>
      <c r="AF1470" s="680"/>
      <c r="AG1470" s="681"/>
      <c r="AH1470" s="680"/>
      <c r="AI1470" s="681"/>
      <c r="AJ1470" s="682"/>
      <c r="AK1470" s="683"/>
      <c r="AL1470" s="684" t="s">
        <v>162</v>
      </c>
      <c r="AM1470" s="685"/>
      <c r="AN1470" s="666" t="s">
        <v>162</v>
      </c>
      <c r="AO1470" s="667"/>
      <c r="AP1470" s="686"/>
      <c r="AQ1470" s="687"/>
      <c r="AR1470" s="688"/>
      <c r="AS1470" s="689"/>
      <c r="AT1470" s="690"/>
      <c r="AU1470" s="691"/>
      <c r="AV1470" s="666" t="s">
        <v>162</v>
      </c>
      <c r="AW1470" s="667"/>
      <c r="AX1470" s="692"/>
      <c r="AY1470" s="693"/>
      <c r="AZ1470" s="694"/>
      <c r="BA1470" s="682"/>
      <c r="BB1470" s="683"/>
      <c r="BC1470" s="14"/>
      <c r="BD1470" s="695" t="s">
        <v>162</v>
      </c>
      <c r="BE1470" s="696"/>
      <c r="BF1470" s="697"/>
      <c r="BG1470" s="698"/>
      <c r="BH1470" s="698"/>
      <c r="BI1470" s="699"/>
      <c r="BJ1470" s="700" t="s">
        <v>159</v>
      </c>
      <c r="BK1470" s="701"/>
      <c r="BL1470" s="701"/>
      <c r="BM1470" s="702"/>
      <c r="BN1470" s="703" t="s">
        <v>159</v>
      </c>
      <c r="BO1470" s="704"/>
      <c r="BP1470" s="704"/>
      <c r="BQ1470" s="704"/>
      <c r="BR1470" s="704"/>
      <c r="BS1470" s="704"/>
      <c r="BT1470" s="704"/>
      <c r="BU1470" s="704"/>
      <c r="BV1470" s="705"/>
    </row>
    <row r="1471" spans="1:74" ht="45" customHeight="1" x14ac:dyDescent="0.25">
      <c r="A1471" s="10">
        <f t="shared" si="22"/>
        <v>1457</v>
      </c>
      <c r="B1471" s="711" t="s">
        <v>159</v>
      </c>
      <c r="C1471" s="711"/>
      <c r="D1471" s="712" t="s">
        <v>212</v>
      </c>
      <c r="E1471" s="712"/>
      <c r="F1471" s="664" t="s">
        <v>162</v>
      </c>
      <c r="G1471" s="665"/>
      <c r="H1471" s="755" t="s">
        <v>162</v>
      </c>
      <c r="I1471" s="667"/>
      <c r="J1471" s="706"/>
      <c r="K1471" s="707"/>
      <c r="L1471" s="706"/>
      <c r="M1471" s="707"/>
      <c r="N1471" s="194"/>
      <c r="O1471" s="196"/>
      <c r="P1471" s="717"/>
      <c r="Q1471" s="718"/>
      <c r="R1471" s="672"/>
      <c r="S1471" s="673"/>
      <c r="T1471" s="674"/>
      <c r="U1471" s="675"/>
      <c r="V1471" s="723"/>
      <c r="W1471" s="724"/>
      <c r="X1471" s="725" t="s">
        <v>159</v>
      </c>
      <c r="Y1471" s="725"/>
      <c r="Z1471" s="725"/>
      <c r="AA1471" s="725"/>
      <c r="AB1471" s="726" t="s">
        <v>159</v>
      </c>
      <c r="AC1471" s="726"/>
      <c r="AD1471" s="726"/>
      <c r="AE1471" s="726"/>
      <c r="AF1471" s="727"/>
      <c r="AG1471" s="728"/>
      <c r="AH1471" s="727"/>
      <c r="AI1471" s="728"/>
      <c r="AJ1471" s="682"/>
      <c r="AK1471" s="683"/>
      <c r="AL1471" s="664" t="s">
        <v>162</v>
      </c>
      <c r="AM1471" s="665"/>
      <c r="AN1471" s="713" t="s">
        <v>162</v>
      </c>
      <c r="AO1471" s="714"/>
      <c r="AP1471" s="729"/>
      <c r="AQ1471" s="730"/>
      <c r="AR1471" s="731"/>
      <c r="AS1471" s="732"/>
      <c r="AT1471" s="733"/>
      <c r="AU1471" s="734"/>
      <c r="AV1471" s="713" t="s">
        <v>162</v>
      </c>
      <c r="AW1471" s="714"/>
      <c r="AX1471" s="692"/>
      <c r="AY1471" s="693"/>
      <c r="AZ1471" s="694"/>
      <c r="BA1471" s="735"/>
      <c r="BB1471" s="736"/>
      <c r="BC1471" s="219"/>
      <c r="BD1471" s="737" t="s">
        <v>162</v>
      </c>
      <c r="BE1471" s="738"/>
      <c r="BF1471" s="739"/>
      <c r="BG1471" s="740"/>
      <c r="BH1471" s="740"/>
      <c r="BI1471" s="741"/>
      <c r="BJ1471" s="742" t="s">
        <v>159</v>
      </c>
      <c r="BK1471" s="743"/>
      <c r="BL1471" s="743"/>
      <c r="BM1471" s="744"/>
      <c r="BN1471" s="703" t="s">
        <v>159</v>
      </c>
      <c r="BO1471" s="704"/>
      <c r="BP1471" s="704"/>
      <c r="BQ1471" s="704"/>
      <c r="BR1471" s="704"/>
      <c r="BS1471" s="704"/>
      <c r="BT1471" s="704"/>
      <c r="BU1471" s="704"/>
      <c r="BV1471" s="705"/>
    </row>
    <row r="1472" spans="1:74" ht="45" customHeight="1" x14ac:dyDescent="0.25">
      <c r="A1472" s="10">
        <f t="shared" si="22"/>
        <v>1458</v>
      </c>
      <c r="B1472" s="662" t="s">
        <v>159</v>
      </c>
      <c r="C1472" s="662"/>
      <c r="D1472" s="663" t="s">
        <v>212</v>
      </c>
      <c r="E1472" s="663"/>
      <c r="F1472" s="664" t="s">
        <v>162</v>
      </c>
      <c r="G1472" s="665"/>
      <c r="H1472" s="754" t="s">
        <v>162</v>
      </c>
      <c r="I1472" s="714"/>
      <c r="J1472" s="340"/>
      <c r="K1472" s="341"/>
      <c r="L1472" s="340"/>
      <c r="M1472" s="341"/>
      <c r="N1472" s="215"/>
      <c r="O1472" s="216"/>
      <c r="P1472" s="670"/>
      <c r="Q1472" s="671"/>
      <c r="R1472" s="719"/>
      <c r="S1472" s="720"/>
      <c r="T1472" s="721"/>
      <c r="U1472" s="722"/>
      <c r="V1472" s="676"/>
      <c r="W1472" s="677"/>
      <c r="X1472" s="678" t="s">
        <v>159</v>
      </c>
      <c r="Y1472" s="678"/>
      <c r="Z1472" s="678"/>
      <c r="AA1472" s="678"/>
      <c r="AB1472" s="679" t="s">
        <v>159</v>
      </c>
      <c r="AC1472" s="679"/>
      <c r="AD1472" s="679"/>
      <c r="AE1472" s="679"/>
      <c r="AF1472" s="680"/>
      <c r="AG1472" s="681"/>
      <c r="AH1472" s="680"/>
      <c r="AI1472" s="681"/>
      <c r="AJ1472" s="682"/>
      <c r="AK1472" s="683"/>
      <c r="AL1472" s="684" t="s">
        <v>162</v>
      </c>
      <c r="AM1472" s="685"/>
      <c r="AN1472" s="666" t="s">
        <v>162</v>
      </c>
      <c r="AO1472" s="667"/>
      <c r="AP1472" s="686"/>
      <c r="AQ1472" s="687"/>
      <c r="AR1472" s="688"/>
      <c r="AS1472" s="689"/>
      <c r="AT1472" s="690"/>
      <c r="AU1472" s="691"/>
      <c r="AV1472" s="666" t="s">
        <v>162</v>
      </c>
      <c r="AW1472" s="667"/>
      <c r="AX1472" s="692"/>
      <c r="AY1472" s="693"/>
      <c r="AZ1472" s="694"/>
      <c r="BA1472" s="682"/>
      <c r="BB1472" s="683"/>
      <c r="BC1472" s="14"/>
      <c r="BD1472" s="695" t="s">
        <v>162</v>
      </c>
      <c r="BE1472" s="696"/>
      <c r="BF1472" s="708"/>
      <c r="BG1472" s="709"/>
      <c r="BH1472" s="709"/>
      <c r="BI1472" s="710"/>
      <c r="BJ1472" s="700" t="s">
        <v>159</v>
      </c>
      <c r="BK1472" s="701"/>
      <c r="BL1472" s="701"/>
      <c r="BM1472" s="702"/>
      <c r="BN1472" s="703" t="s">
        <v>159</v>
      </c>
      <c r="BO1472" s="704"/>
      <c r="BP1472" s="704"/>
      <c r="BQ1472" s="704"/>
      <c r="BR1472" s="704"/>
      <c r="BS1472" s="704"/>
      <c r="BT1472" s="704"/>
      <c r="BU1472" s="704"/>
      <c r="BV1472" s="705"/>
    </row>
    <row r="1473" spans="1:74" ht="45" customHeight="1" x14ac:dyDescent="0.25">
      <c r="A1473" s="10">
        <f t="shared" si="22"/>
        <v>1459</v>
      </c>
      <c r="B1473" s="711" t="s">
        <v>159</v>
      </c>
      <c r="C1473" s="711"/>
      <c r="D1473" s="712" t="s">
        <v>212</v>
      </c>
      <c r="E1473" s="712"/>
      <c r="F1473" s="664" t="s">
        <v>162</v>
      </c>
      <c r="G1473" s="665"/>
      <c r="H1473" s="755" t="s">
        <v>162</v>
      </c>
      <c r="I1473" s="667"/>
      <c r="J1473" s="706"/>
      <c r="K1473" s="707"/>
      <c r="L1473" s="706"/>
      <c r="M1473" s="707"/>
      <c r="N1473" s="194"/>
      <c r="O1473" s="196"/>
      <c r="P1473" s="717"/>
      <c r="Q1473" s="718"/>
      <c r="R1473" s="672"/>
      <c r="S1473" s="673"/>
      <c r="T1473" s="674"/>
      <c r="U1473" s="675"/>
      <c r="V1473" s="723"/>
      <c r="W1473" s="724"/>
      <c r="X1473" s="725" t="s">
        <v>159</v>
      </c>
      <c r="Y1473" s="725"/>
      <c r="Z1473" s="725"/>
      <c r="AA1473" s="725"/>
      <c r="AB1473" s="726" t="s">
        <v>159</v>
      </c>
      <c r="AC1473" s="726"/>
      <c r="AD1473" s="726"/>
      <c r="AE1473" s="726"/>
      <c r="AF1473" s="727"/>
      <c r="AG1473" s="728"/>
      <c r="AH1473" s="727"/>
      <c r="AI1473" s="728"/>
      <c r="AJ1473" s="682"/>
      <c r="AK1473" s="683"/>
      <c r="AL1473" s="664" t="s">
        <v>162</v>
      </c>
      <c r="AM1473" s="665"/>
      <c r="AN1473" s="713" t="s">
        <v>162</v>
      </c>
      <c r="AO1473" s="714"/>
      <c r="AP1473" s="729"/>
      <c r="AQ1473" s="730"/>
      <c r="AR1473" s="731"/>
      <c r="AS1473" s="732"/>
      <c r="AT1473" s="733"/>
      <c r="AU1473" s="734"/>
      <c r="AV1473" s="713" t="s">
        <v>162</v>
      </c>
      <c r="AW1473" s="714"/>
      <c r="AX1473" s="692"/>
      <c r="AY1473" s="693"/>
      <c r="AZ1473" s="694"/>
      <c r="BA1473" s="735"/>
      <c r="BB1473" s="736"/>
      <c r="BC1473" s="219"/>
      <c r="BD1473" s="737" t="s">
        <v>162</v>
      </c>
      <c r="BE1473" s="738"/>
      <c r="BF1473" s="739"/>
      <c r="BG1473" s="740"/>
      <c r="BH1473" s="740"/>
      <c r="BI1473" s="741"/>
      <c r="BJ1473" s="742" t="s">
        <v>159</v>
      </c>
      <c r="BK1473" s="743"/>
      <c r="BL1473" s="743"/>
      <c r="BM1473" s="744"/>
      <c r="BN1473" s="703" t="s">
        <v>159</v>
      </c>
      <c r="BO1473" s="704"/>
      <c r="BP1473" s="704"/>
      <c r="BQ1473" s="704"/>
      <c r="BR1473" s="704"/>
      <c r="BS1473" s="704"/>
      <c r="BT1473" s="704"/>
      <c r="BU1473" s="704"/>
      <c r="BV1473" s="705"/>
    </row>
    <row r="1474" spans="1:74" ht="45" customHeight="1" x14ac:dyDescent="0.25">
      <c r="A1474" s="10">
        <f t="shared" si="22"/>
        <v>1460</v>
      </c>
      <c r="B1474" s="662" t="s">
        <v>159</v>
      </c>
      <c r="C1474" s="662"/>
      <c r="D1474" s="663" t="s">
        <v>212</v>
      </c>
      <c r="E1474" s="663"/>
      <c r="F1474" s="664" t="s">
        <v>162</v>
      </c>
      <c r="G1474" s="665"/>
      <c r="H1474" s="754" t="s">
        <v>162</v>
      </c>
      <c r="I1474" s="714"/>
      <c r="J1474" s="340"/>
      <c r="K1474" s="341"/>
      <c r="L1474" s="340"/>
      <c r="M1474" s="341"/>
      <c r="N1474" s="215"/>
      <c r="O1474" s="216"/>
      <c r="P1474" s="670"/>
      <c r="Q1474" s="671"/>
      <c r="R1474" s="719"/>
      <c r="S1474" s="720"/>
      <c r="T1474" s="721"/>
      <c r="U1474" s="722"/>
      <c r="V1474" s="676"/>
      <c r="W1474" s="677"/>
      <c r="X1474" s="678" t="s">
        <v>159</v>
      </c>
      <c r="Y1474" s="678"/>
      <c r="Z1474" s="678"/>
      <c r="AA1474" s="678"/>
      <c r="AB1474" s="679" t="s">
        <v>159</v>
      </c>
      <c r="AC1474" s="679"/>
      <c r="AD1474" s="679"/>
      <c r="AE1474" s="679"/>
      <c r="AF1474" s="680"/>
      <c r="AG1474" s="681"/>
      <c r="AH1474" s="680"/>
      <c r="AI1474" s="681"/>
      <c r="AJ1474" s="682"/>
      <c r="AK1474" s="683"/>
      <c r="AL1474" s="684" t="s">
        <v>162</v>
      </c>
      <c r="AM1474" s="685"/>
      <c r="AN1474" s="666" t="s">
        <v>162</v>
      </c>
      <c r="AO1474" s="667"/>
      <c r="AP1474" s="686"/>
      <c r="AQ1474" s="687"/>
      <c r="AR1474" s="688"/>
      <c r="AS1474" s="689"/>
      <c r="AT1474" s="690"/>
      <c r="AU1474" s="691"/>
      <c r="AV1474" s="666" t="s">
        <v>162</v>
      </c>
      <c r="AW1474" s="667"/>
      <c r="AX1474" s="692"/>
      <c r="AY1474" s="693"/>
      <c r="AZ1474" s="694"/>
      <c r="BA1474" s="682"/>
      <c r="BB1474" s="683"/>
      <c r="BC1474" s="14"/>
      <c r="BD1474" s="695" t="s">
        <v>162</v>
      </c>
      <c r="BE1474" s="696"/>
      <c r="BF1474" s="697"/>
      <c r="BG1474" s="698"/>
      <c r="BH1474" s="698"/>
      <c r="BI1474" s="699"/>
      <c r="BJ1474" s="700" t="s">
        <v>159</v>
      </c>
      <c r="BK1474" s="701"/>
      <c r="BL1474" s="701"/>
      <c r="BM1474" s="702"/>
      <c r="BN1474" s="703" t="s">
        <v>159</v>
      </c>
      <c r="BO1474" s="704"/>
      <c r="BP1474" s="704"/>
      <c r="BQ1474" s="704"/>
      <c r="BR1474" s="704"/>
      <c r="BS1474" s="704"/>
      <c r="BT1474" s="704"/>
      <c r="BU1474" s="704"/>
      <c r="BV1474" s="705"/>
    </row>
    <row r="1475" spans="1:74" ht="45" customHeight="1" x14ac:dyDescent="0.25">
      <c r="A1475" s="10">
        <f t="shared" si="22"/>
        <v>1461</v>
      </c>
      <c r="B1475" s="711" t="s">
        <v>159</v>
      </c>
      <c r="C1475" s="711"/>
      <c r="D1475" s="712" t="s">
        <v>212</v>
      </c>
      <c r="E1475" s="712"/>
      <c r="F1475" s="664" t="s">
        <v>162</v>
      </c>
      <c r="G1475" s="665"/>
      <c r="H1475" s="755" t="s">
        <v>162</v>
      </c>
      <c r="I1475" s="667"/>
      <c r="J1475" s="706"/>
      <c r="K1475" s="707"/>
      <c r="L1475" s="706"/>
      <c r="M1475" s="707"/>
      <c r="N1475" s="194"/>
      <c r="O1475" s="196"/>
      <c r="P1475" s="717"/>
      <c r="Q1475" s="718"/>
      <c r="R1475" s="672"/>
      <c r="S1475" s="673"/>
      <c r="T1475" s="674"/>
      <c r="U1475" s="675"/>
      <c r="V1475" s="723"/>
      <c r="W1475" s="724"/>
      <c r="X1475" s="725" t="s">
        <v>159</v>
      </c>
      <c r="Y1475" s="725"/>
      <c r="Z1475" s="725"/>
      <c r="AA1475" s="725"/>
      <c r="AB1475" s="726" t="s">
        <v>159</v>
      </c>
      <c r="AC1475" s="726"/>
      <c r="AD1475" s="726"/>
      <c r="AE1475" s="726"/>
      <c r="AF1475" s="727"/>
      <c r="AG1475" s="728"/>
      <c r="AH1475" s="727"/>
      <c r="AI1475" s="728"/>
      <c r="AJ1475" s="682"/>
      <c r="AK1475" s="683"/>
      <c r="AL1475" s="664" t="s">
        <v>162</v>
      </c>
      <c r="AM1475" s="665"/>
      <c r="AN1475" s="713" t="s">
        <v>162</v>
      </c>
      <c r="AO1475" s="714"/>
      <c r="AP1475" s="729"/>
      <c r="AQ1475" s="730"/>
      <c r="AR1475" s="731"/>
      <c r="AS1475" s="732"/>
      <c r="AT1475" s="733"/>
      <c r="AU1475" s="734"/>
      <c r="AV1475" s="713" t="s">
        <v>162</v>
      </c>
      <c r="AW1475" s="714"/>
      <c r="AX1475" s="692"/>
      <c r="AY1475" s="693"/>
      <c r="AZ1475" s="694"/>
      <c r="BA1475" s="735"/>
      <c r="BB1475" s="736"/>
      <c r="BC1475" s="219"/>
      <c r="BD1475" s="737" t="s">
        <v>162</v>
      </c>
      <c r="BE1475" s="738"/>
      <c r="BF1475" s="739"/>
      <c r="BG1475" s="740"/>
      <c r="BH1475" s="740"/>
      <c r="BI1475" s="741"/>
      <c r="BJ1475" s="742" t="s">
        <v>159</v>
      </c>
      <c r="BK1475" s="743"/>
      <c r="BL1475" s="743"/>
      <c r="BM1475" s="744"/>
      <c r="BN1475" s="703" t="s">
        <v>159</v>
      </c>
      <c r="BO1475" s="704"/>
      <c r="BP1475" s="704"/>
      <c r="BQ1475" s="704"/>
      <c r="BR1475" s="704"/>
      <c r="BS1475" s="704"/>
      <c r="BT1475" s="704"/>
      <c r="BU1475" s="704"/>
      <c r="BV1475" s="705"/>
    </row>
    <row r="1476" spans="1:74" ht="45" customHeight="1" x14ac:dyDescent="0.25">
      <c r="A1476" s="10">
        <f t="shared" si="22"/>
        <v>1462</v>
      </c>
      <c r="B1476" s="662" t="s">
        <v>159</v>
      </c>
      <c r="C1476" s="662"/>
      <c r="D1476" s="663" t="s">
        <v>212</v>
      </c>
      <c r="E1476" s="663"/>
      <c r="F1476" s="664" t="s">
        <v>162</v>
      </c>
      <c r="G1476" s="665"/>
      <c r="H1476" s="754" t="s">
        <v>162</v>
      </c>
      <c r="I1476" s="714"/>
      <c r="J1476" s="340"/>
      <c r="K1476" s="341"/>
      <c r="L1476" s="340"/>
      <c r="M1476" s="341"/>
      <c r="N1476" s="194"/>
      <c r="O1476" s="196"/>
      <c r="P1476" s="717"/>
      <c r="Q1476" s="718"/>
      <c r="R1476" s="672"/>
      <c r="S1476" s="673"/>
      <c r="T1476" s="674"/>
      <c r="U1476" s="675"/>
      <c r="V1476" s="676"/>
      <c r="W1476" s="677"/>
      <c r="X1476" s="678" t="s">
        <v>159</v>
      </c>
      <c r="Y1476" s="678"/>
      <c r="Z1476" s="678"/>
      <c r="AA1476" s="678"/>
      <c r="AB1476" s="679" t="s">
        <v>159</v>
      </c>
      <c r="AC1476" s="679"/>
      <c r="AD1476" s="679"/>
      <c r="AE1476" s="679"/>
      <c r="AF1476" s="680"/>
      <c r="AG1476" s="681"/>
      <c r="AH1476" s="680"/>
      <c r="AI1476" s="681"/>
      <c r="AJ1476" s="682"/>
      <c r="AK1476" s="683"/>
      <c r="AL1476" s="684" t="s">
        <v>162</v>
      </c>
      <c r="AM1476" s="685"/>
      <c r="AN1476" s="666" t="s">
        <v>162</v>
      </c>
      <c r="AO1476" s="667"/>
      <c r="AP1476" s="686"/>
      <c r="AQ1476" s="687"/>
      <c r="AR1476" s="688"/>
      <c r="AS1476" s="689"/>
      <c r="AT1476" s="690"/>
      <c r="AU1476" s="691"/>
      <c r="AV1476" s="666" t="s">
        <v>162</v>
      </c>
      <c r="AW1476" s="667"/>
      <c r="AX1476" s="692"/>
      <c r="AY1476" s="693"/>
      <c r="AZ1476" s="694"/>
      <c r="BA1476" s="682"/>
      <c r="BB1476" s="683"/>
      <c r="BC1476" s="14"/>
      <c r="BD1476" s="695" t="s">
        <v>162</v>
      </c>
      <c r="BE1476" s="696"/>
      <c r="BF1476" s="697"/>
      <c r="BG1476" s="698"/>
      <c r="BH1476" s="698"/>
      <c r="BI1476" s="699"/>
      <c r="BJ1476" s="700" t="s">
        <v>159</v>
      </c>
      <c r="BK1476" s="701"/>
      <c r="BL1476" s="701"/>
      <c r="BM1476" s="702"/>
      <c r="BN1476" s="703" t="s">
        <v>159</v>
      </c>
      <c r="BO1476" s="704"/>
      <c r="BP1476" s="704"/>
      <c r="BQ1476" s="704"/>
      <c r="BR1476" s="704"/>
      <c r="BS1476" s="704"/>
      <c r="BT1476" s="704"/>
      <c r="BU1476" s="704"/>
      <c r="BV1476" s="705"/>
    </row>
    <row r="1477" spans="1:74" ht="45" customHeight="1" x14ac:dyDescent="0.25">
      <c r="A1477" s="10">
        <f t="shared" si="22"/>
        <v>1463</v>
      </c>
      <c r="B1477" s="711" t="s">
        <v>159</v>
      </c>
      <c r="C1477" s="711"/>
      <c r="D1477" s="712" t="s">
        <v>212</v>
      </c>
      <c r="E1477" s="712"/>
      <c r="F1477" s="664" t="s">
        <v>162</v>
      </c>
      <c r="G1477" s="665"/>
      <c r="H1477" s="755" t="s">
        <v>162</v>
      </c>
      <c r="I1477" s="667"/>
      <c r="J1477" s="706"/>
      <c r="K1477" s="707"/>
      <c r="L1477" s="706"/>
      <c r="M1477" s="707"/>
      <c r="N1477" s="215"/>
      <c r="O1477" s="216"/>
      <c r="P1477" s="670"/>
      <c r="Q1477" s="671"/>
      <c r="R1477" s="719"/>
      <c r="S1477" s="720"/>
      <c r="T1477" s="721"/>
      <c r="U1477" s="722"/>
      <c r="V1477" s="723"/>
      <c r="W1477" s="724"/>
      <c r="X1477" s="725" t="s">
        <v>159</v>
      </c>
      <c r="Y1477" s="725"/>
      <c r="Z1477" s="725"/>
      <c r="AA1477" s="725"/>
      <c r="AB1477" s="726" t="s">
        <v>159</v>
      </c>
      <c r="AC1477" s="726"/>
      <c r="AD1477" s="726"/>
      <c r="AE1477" s="726"/>
      <c r="AF1477" s="727"/>
      <c r="AG1477" s="728"/>
      <c r="AH1477" s="727"/>
      <c r="AI1477" s="728"/>
      <c r="AJ1477" s="682"/>
      <c r="AK1477" s="683"/>
      <c r="AL1477" s="664" t="s">
        <v>162</v>
      </c>
      <c r="AM1477" s="665"/>
      <c r="AN1477" s="713" t="s">
        <v>162</v>
      </c>
      <c r="AO1477" s="714"/>
      <c r="AP1477" s="729"/>
      <c r="AQ1477" s="730"/>
      <c r="AR1477" s="731"/>
      <c r="AS1477" s="732"/>
      <c r="AT1477" s="733"/>
      <c r="AU1477" s="734"/>
      <c r="AV1477" s="713" t="s">
        <v>162</v>
      </c>
      <c r="AW1477" s="714"/>
      <c r="AX1477" s="692"/>
      <c r="AY1477" s="693"/>
      <c r="AZ1477" s="694"/>
      <c r="BA1477" s="735"/>
      <c r="BB1477" s="736"/>
      <c r="BC1477" s="219"/>
      <c r="BD1477" s="737" t="s">
        <v>162</v>
      </c>
      <c r="BE1477" s="738"/>
      <c r="BF1477" s="739"/>
      <c r="BG1477" s="740"/>
      <c r="BH1477" s="740"/>
      <c r="BI1477" s="741"/>
      <c r="BJ1477" s="742" t="s">
        <v>159</v>
      </c>
      <c r="BK1477" s="743"/>
      <c r="BL1477" s="743"/>
      <c r="BM1477" s="744"/>
      <c r="BN1477" s="703" t="s">
        <v>159</v>
      </c>
      <c r="BO1477" s="704"/>
      <c r="BP1477" s="704"/>
      <c r="BQ1477" s="704"/>
      <c r="BR1477" s="704"/>
      <c r="BS1477" s="704"/>
      <c r="BT1477" s="704"/>
      <c r="BU1477" s="704"/>
      <c r="BV1477" s="705"/>
    </row>
    <row r="1478" spans="1:74" ht="45" customHeight="1" x14ac:dyDescent="0.25">
      <c r="A1478" s="10">
        <f t="shared" si="22"/>
        <v>1464</v>
      </c>
      <c r="B1478" s="662" t="s">
        <v>159</v>
      </c>
      <c r="C1478" s="662"/>
      <c r="D1478" s="663" t="s">
        <v>212</v>
      </c>
      <c r="E1478" s="663"/>
      <c r="F1478" s="664" t="s">
        <v>162</v>
      </c>
      <c r="G1478" s="665"/>
      <c r="H1478" s="754" t="s">
        <v>162</v>
      </c>
      <c r="I1478" s="714"/>
      <c r="J1478" s="340"/>
      <c r="K1478" s="341"/>
      <c r="L1478" s="340"/>
      <c r="M1478" s="341"/>
      <c r="N1478" s="194"/>
      <c r="O1478" s="196"/>
      <c r="P1478" s="717"/>
      <c r="Q1478" s="718"/>
      <c r="R1478" s="672"/>
      <c r="S1478" s="673"/>
      <c r="T1478" s="674"/>
      <c r="U1478" s="675"/>
      <c r="V1478" s="676"/>
      <c r="W1478" s="677"/>
      <c r="X1478" s="678" t="s">
        <v>159</v>
      </c>
      <c r="Y1478" s="678"/>
      <c r="Z1478" s="678"/>
      <c r="AA1478" s="678"/>
      <c r="AB1478" s="679" t="s">
        <v>159</v>
      </c>
      <c r="AC1478" s="679"/>
      <c r="AD1478" s="679"/>
      <c r="AE1478" s="679"/>
      <c r="AF1478" s="680"/>
      <c r="AG1478" s="681"/>
      <c r="AH1478" s="680"/>
      <c r="AI1478" s="681"/>
      <c r="AJ1478" s="682"/>
      <c r="AK1478" s="683"/>
      <c r="AL1478" s="684" t="s">
        <v>162</v>
      </c>
      <c r="AM1478" s="685"/>
      <c r="AN1478" s="666" t="s">
        <v>162</v>
      </c>
      <c r="AO1478" s="667"/>
      <c r="AP1478" s="686"/>
      <c r="AQ1478" s="687"/>
      <c r="AR1478" s="688"/>
      <c r="AS1478" s="689"/>
      <c r="AT1478" s="690"/>
      <c r="AU1478" s="691"/>
      <c r="AV1478" s="666" t="s">
        <v>162</v>
      </c>
      <c r="AW1478" s="667"/>
      <c r="AX1478" s="692"/>
      <c r="AY1478" s="693"/>
      <c r="AZ1478" s="694"/>
      <c r="BA1478" s="682"/>
      <c r="BB1478" s="683"/>
      <c r="BC1478" s="14"/>
      <c r="BD1478" s="695" t="s">
        <v>162</v>
      </c>
      <c r="BE1478" s="696"/>
      <c r="BF1478" s="708"/>
      <c r="BG1478" s="709"/>
      <c r="BH1478" s="709"/>
      <c r="BI1478" s="710"/>
      <c r="BJ1478" s="700" t="s">
        <v>159</v>
      </c>
      <c r="BK1478" s="701"/>
      <c r="BL1478" s="701"/>
      <c r="BM1478" s="702"/>
      <c r="BN1478" s="703" t="s">
        <v>159</v>
      </c>
      <c r="BO1478" s="704"/>
      <c r="BP1478" s="704"/>
      <c r="BQ1478" s="704"/>
      <c r="BR1478" s="704"/>
      <c r="BS1478" s="704"/>
      <c r="BT1478" s="704"/>
      <c r="BU1478" s="704"/>
      <c r="BV1478" s="705"/>
    </row>
    <row r="1479" spans="1:74" ht="45" customHeight="1" x14ac:dyDescent="0.25">
      <c r="A1479" s="10">
        <f t="shared" si="22"/>
        <v>1465</v>
      </c>
      <c r="B1479" s="711" t="s">
        <v>159</v>
      </c>
      <c r="C1479" s="711"/>
      <c r="D1479" s="712" t="s">
        <v>212</v>
      </c>
      <c r="E1479" s="712"/>
      <c r="F1479" s="664" t="s">
        <v>162</v>
      </c>
      <c r="G1479" s="665"/>
      <c r="H1479" s="755" t="s">
        <v>162</v>
      </c>
      <c r="I1479" s="667"/>
      <c r="J1479" s="706"/>
      <c r="K1479" s="707"/>
      <c r="L1479" s="706"/>
      <c r="M1479" s="707"/>
      <c r="N1479" s="215"/>
      <c r="O1479" s="216"/>
      <c r="P1479" s="670"/>
      <c r="Q1479" s="671"/>
      <c r="R1479" s="719"/>
      <c r="S1479" s="720"/>
      <c r="T1479" s="721"/>
      <c r="U1479" s="722"/>
      <c r="V1479" s="723"/>
      <c r="W1479" s="724"/>
      <c r="X1479" s="725" t="s">
        <v>159</v>
      </c>
      <c r="Y1479" s="725"/>
      <c r="Z1479" s="725"/>
      <c r="AA1479" s="725"/>
      <c r="AB1479" s="726" t="s">
        <v>159</v>
      </c>
      <c r="AC1479" s="726"/>
      <c r="AD1479" s="726"/>
      <c r="AE1479" s="726"/>
      <c r="AF1479" s="727"/>
      <c r="AG1479" s="728"/>
      <c r="AH1479" s="727"/>
      <c r="AI1479" s="728"/>
      <c r="AJ1479" s="682"/>
      <c r="AK1479" s="683"/>
      <c r="AL1479" s="664" t="s">
        <v>162</v>
      </c>
      <c r="AM1479" s="665"/>
      <c r="AN1479" s="713" t="s">
        <v>162</v>
      </c>
      <c r="AO1479" s="714"/>
      <c r="AP1479" s="729"/>
      <c r="AQ1479" s="730"/>
      <c r="AR1479" s="731"/>
      <c r="AS1479" s="732"/>
      <c r="AT1479" s="733"/>
      <c r="AU1479" s="734"/>
      <c r="AV1479" s="713" t="s">
        <v>162</v>
      </c>
      <c r="AW1479" s="714"/>
      <c r="AX1479" s="692"/>
      <c r="AY1479" s="693"/>
      <c r="AZ1479" s="694"/>
      <c r="BA1479" s="735"/>
      <c r="BB1479" s="736"/>
      <c r="BC1479" s="219"/>
      <c r="BD1479" s="737" t="s">
        <v>162</v>
      </c>
      <c r="BE1479" s="738"/>
      <c r="BF1479" s="739"/>
      <c r="BG1479" s="740"/>
      <c r="BH1479" s="740"/>
      <c r="BI1479" s="741"/>
      <c r="BJ1479" s="742" t="s">
        <v>159</v>
      </c>
      <c r="BK1479" s="743"/>
      <c r="BL1479" s="743"/>
      <c r="BM1479" s="744"/>
      <c r="BN1479" s="703" t="s">
        <v>159</v>
      </c>
      <c r="BO1479" s="704"/>
      <c r="BP1479" s="704"/>
      <c r="BQ1479" s="704"/>
      <c r="BR1479" s="704"/>
      <c r="BS1479" s="704"/>
      <c r="BT1479" s="704"/>
      <c r="BU1479" s="704"/>
      <c r="BV1479" s="705"/>
    </row>
    <row r="1480" spans="1:74" ht="45" customHeight="1" x14ac:dyDescent="0.25">
      <c r="A1480" s="10">
        <f t="shared" si="22"/>
        <v>1466</v>
      </c>
      <c r="B1480" s="662" t="s">
        <v>159</v>
      </c>
      <c r="C1480" s="662"/>
      <c r="D1480" s="663" t="s">
        <v>212</v>
      </c>
      <c r="E1480" s="663"/>
      <c r="F1480" s="664" t="s">
        <v>162</v>
      </c>
      <c r="G1480" s="665"/>
      <c r="H1480" s="754" t="s">
        <v>162</v>
      </c>
      <c r="I1480" s="714"/>
      <c r="J1480" s="340"/>
      <c r="K1480" s="341"/>
      <c r="L1480" s="340"/>
      <c r="M1480" s="341"/>
      <c r="N1480" s="194"/>
      <c r="O1480" s="196"/>
      <c r="P1480" s="717"/>
      <c r="Q1480" s="718"/>
      <c r="R1480" s="672"/>
      <c r="S1480" s="673"/>
      <c r="T1480" s="674"/>
      <c r="U1480" s="675"/>
      <c r="V1480" s="676"/>
      <c r="W1480" s="677"/>
      <c r="X1480" s="678" t="s">
        <v>159</v>
      </c>
      <c r="Y1480" s="678"/>
      <c r="Z1480" s="678"/>
      <c r="AA1480" s="678"/>
      <c r="AB1480" s="679" t="s">
        <v>159</v>
      </c>
      <c r="AC1480" s="679"/>
      <c r="AD1480" s="679"/>
      <c r="AE1480" s="679"/>
      <c r="AF1480" s="680"/>
      <c r="AG1480" s="681"/>
      <c r="AH1480" s="680"/>
      <c r="AI1480" s="681"/>
      <c r="AJ1480" s="682"/>
      <c r="AK1480" s="683"/>
      <c r="AL1480" s="684" t="s">
        <v>162</v>
      </c>
      <c r="AM1480" s="685"/>
      <c r="AN1480" s="666" t="s">
        <v>162</v>
      </c>
      <c r="AO1480" s="667"/>
      <c r="AP1480" s="686"/>
      <c r="AQ1480" s="687"/>
      <c r="AR1480" s="688"/>
      <c r="AS1480" s="689"/>
      <c r="AT1480" s="690"/>
      <c r="AU1480" s="691"/>
      <c r="AV1480" s="666" t="s">
        <v>162</v>
      </c>
      <c r="AW1480" s="667"/>
      <c r="AX1480" s="692"/>
      <c r="AY1480" s="693"/>
      <c r="AZ1480" s="694"/>
      <c r="BA1480" s="682"/>
      <c r="BB1480" s="683"/>
      <c r="BC1480" s="14"/>
      <c r="BD1480" s="695" t="s">
        <v>162</v>
      </c>
      <c r="BE1480" s="696"/>
      <c r="BF1480" s="697"/>
      <c r="BG1480" s="698"/>
      <c r="BH1480" s="698"/>
      <c r="BI1480" s="699"/>
      <c r="BJ1480" s="700" t="s">
        <v>159</v>
      </c>
      <c r="BK1480" s="701"/>
      <c r="BL1480" s="701"/>
      <c r="BM1480" s="702"/>
      <c r="BN1480" s="703" t="s">
        <v>159</v>
      </c>
      <c r="BO1480" s="704"/>
      <c r="BP1480" s="704"/>
      <c r="BQ1480" s="704"/>
      <c r="BR1480" s="704"/>
      <c r="BS1480" s="704"/>
      <c r="BT1480" s="704"/>
      <c r="BU1480" s="704"/>
      <c r="BV1480" s="705"/>
    </row>
    <row r="1481" spans="1:74" ht="45" customHeight="1" x14ac:dyDescent="0.25">
      <c r="A1481" s="10">
        <f t="shared" si="22"/>
        <v>1467</v>
      </c>
      <c r="B1481" s="711" t="s">
        <v>159</v>
      </c>
      <c r="C1481" s="711"/>
      <c r="D1481" s="712" t="s">
        <v>212</v>
      </c>
      <c r="E1481" s="712"/>
      <c r="F1481" s="664" t="s">
        <v>162</v>
      </c>
      <c r="G1481" s="665"/>
      <c r="H1481" s="755" t="s">
        <v>162</v>
      </c>
      <c r="I1481" s="667"/>
      <c r="J1481" s="706"/>
      <c r="K1481" s="707"/>
      <c r="L1481" s="706"/>
      <c r="M1481" s="707"/>
      <c r="N1481" s="215"/>
      <c r="O1481" s="216"/>
      <c r="P1481" s="670"/>
      <c r="Q1481" s="671"/>
      <c r="R1481" s="719"/>
      <c r="S1481" s="720"/>
      <c r="T1481" s="721"/>
      <c r="U1481" s="722"/>
      <c r="V1481" s="723"/>
      <c r="W1481" s="724"/>
      <c r="X1481" s="725" t="s">
        <v>159</v>
      </c>
      <c r="Y1481" s="725"/>
      <c r="Z1481" s="725"/>
      <c r="AA1481" s="725"/>
      <c r="AB1481" s="726" t="s">
        <v>159</v>
      </c>
      <c r="AC1481" s="726"/>
      <c r="AD1481" s="726"/>
      <c r="AE1481" s="726"/>
      <c r="AF1481" s="727"/>
      <c r="AG1481" s="728"/>
      <c r="AH1481" s="727"/>
      <c r="AI1481" s="728"/>
      <c r="AJ1481" s="682"/>
      <c r="AK1481" s="683"/>
      <c r="AL1481" s="664" t="s">
        <v>162</v>
      </c>
      <c r="AM1481" s="665"/>
      <c r="AN1481" s="713" t="s">
        <v>162</v>
      </c>
      <c r="AO1481" s="714"/>
      <c r="AP1481" s="729"/>
      <c r="AQ1481" s="730"/>
      <c r="AR1481" s="731"/>
      <c r="AS1481" s="732"/>
      <c r="AT1481" s="690"/>
      <c r="AU1481" s="691"/>
      <c r="AV1481" s="713" t="s">
        <v>162</v>
      </c>
      <c r="AW1481" s="714"/>
      <c r="AX1481" s="692"/>
      <c r="AY1481" s="693"/>
      <c r="AZ1481" s="694"/>
      <c r="BA1481" s="735"/>
      <c r="BB1481" s="736"/>
      <c r="BC1481" s="219"/>
      <c r="BD1481" s="737" t="s">
        <v>162</v>
      </c>
      <c r="BE1481" s="738"/>
      <c r="BF1481" s="739"/>
      <c r="BG1481" s="740"/>
      <c r="BH1481" s="740"/>
      <c r="BI1481" s="741"/>
      <c r="BJ1481" s="742" t="s">
        <v>159</v>
      </c>
      <c r="BK1481" s="743"/>
      <c r="BL1481" s="743"/>
      <c r="BM1481" s="744"/>
      <c r="BN1481" s="703" t="s">
        <v>159</v>
      </c>
      <c r="BO1481" s="704"/>
      <c r="BP1481" s="704"/>
      <c r="BQ1481" s="704"/>
      <c r="BR1481" s="704"/>
      <c r="BS1481" s="704"/>
      <c r="BT1481" s="704"/>
      <c r="BU1481" s="704"/>
      <c r="BV1481" s="705"/>
    </row>
    <row r="1482" spans="1:74" ht="45" customHeight="1" x14ac:dyDescent="0.25">
      <c r="A1482" s="10">
        <f t="shared" si="22"/>
        <v>1468</v>
      </c>
      <c r="B1482" s="662" t="s">
        <v>159</v>
      </c>
      <c r="C1482" s="662"/>
      <c r="D1482" s="663" t="s">
        <v>212</v>
      </c>
      <c r="E1482" s="663"/>
      <c r="F1482" s="664" t="s">
        <v>162</v>
      </c>
      <c r="G1482" s="665"/>
      <c r="H1482" s="754" t="s">
        <v>162</v>
      </c>
      <c r="I1482" s="714"/>
      <c r="J1482" s="340"/>
      <c r="K1482" s="341"/>
      <c r="L1482" s="340"/>
      <c r="M1482" s="341"/>
      <c r="N1482" s="194"/>
      <c r="O1482" s="196"/>
      <c r="P1482" s="717"/>
      <c r="Q1482" s="718"/>
      <c r="R1482" s="672"/>
      <c r="S1482" s="673"/>
      <c r="T1482" s="674"/>
      <c r="U1482" s="675"/>
      <c r="V1482" s="676"/>
      <c r="W1482" s="677"/>
      <c r="X1482" s="678" t="s">
        <v>159</v>
      </c>
      <c r="Y1482" s="678"/>
      <c r="Z1482" s="678"/>
      <c r="AA1482" s="678"/>
      <c r="AB1482" s="679" t="s">
        <v>159</v>
      </c>
      <c r="AC1482" s="679"/>
      <c r="AD1482" s="679"/>
      <c r="AE1482" s="679"/>
      <c r="AF1482" s="680"/>
      <c r="AG1482" s="681"/>
      <c r="AH1482" s="680"/>
      <c r="AI1482" s="681"/>
      <c r="AJ1482" s="682"/>
      <c r="AK1482" s="683"/>
      <c r="AL1482" s="684" t="s">
        <v>162</v>
      </c>
      <c r="AM1482" s="685"/>
      <c r="AN1482" s="666" t="s">
        <v>162</v>
      </c>
      <c r="AO1482" s="667"/>
      <c r="AP1482" s="686"/>
      <c r="AQ1482" s="687"/>
      <c r="AR1482" s="688"/>
      <c r="AS1482" s="689"/>
      <c r="AT1482" s="690"/>
      <c r="AU1482" s="691"/>
      <c r="AV1482" s="666" t="s">
        <v>162</v>
      </c>
      <c r="AW1482" s="667"/>
      <c r="AX1482" s="692"/>
      <c r="AY1482" s="693"/>
      <c r="AZ1482" s="694"/>
      <c r="BA1482" s="682"/>
      <c r="BB1482" s="683"/>
      <c r="BC1482" s="14"/>
      <c r="BD1482" s="695" t="s">
        <v>162</v>
      </c>
      <c r="BE1482" s="696"/>
      <c r="BF1482" s="697"/>
      <c r="BG1482" s="698"/>
      <c r="BH1482" s="698"/>
      <c r="BI1482" s="699"/>
      <c r="BJ1482" s="700" t="s">
        <v>159</v>
      </c>
      <c r="BK1482" s="701"/>
      <c r="BL1482" s="701"/>
      <c r="BM1482" s="702"/>
      <c r="BN1482" s="703" t="s">
        <v>159</v>
      </c>
      <c r="BO1482" s="704"/>
      <c r="BP1482" s="704"/>
      <c r="BQ1482" s="704"/>
      <c r="BR1482" s="704"/>
      <c r="BS1482" s="704"/>
      <c r="BT1482" s="704"/>
      <c r="BU1482" s="704"/>
      <c r="BV1482" s="705"/>
    </row>
    <row r="1483" spans="1:74" ht="45" customHeight="1" x14ac:dyDescent="0.25">
      <c r="A1483" s="10">
        <f t="shared" si="22"/>
        <v>1469</v>
      </c>
      <c r="B1483" s="711" t="s">
        <v>159</v>
      </c>
      <c r="C1483" s="711"/>
      <c r="D1483" s="712" t="s">
        <v>212</v>
      </c>
      <c r="E1483" s="712"/>
      <c r="F1483" s="664" t="s">
        <v>162</v>
      </c>
      <c r="G1483" s="665"/>
      <c r="H1483" s="755" t="s">
        <v>162</v>
      </c>
      <c r="I1483" s="667"/>
      <c r="J1483" s="706"/>
      <c r="K1483" s="707"/>
      <c r="L1483" s="706"/>
      <c r="M1483" s="707"/>
      <c r="N1483" s="194"/>
      <c r="O1483" s="196"/>
      <c r="P1483" s="717"/>
      <c r="Q1483" s="718"/>
      <c r="R1483" s="719"/>
      <c r="S1483" s="720"/>
      <c r="T1483" s="721"/>
      <c r="U1483" s="722"/>
      <c r="V1483" s="723"/>
      <c r="W1483" s="724"/>
      <c r="X1483" s="725" t="s">
        <v>159</v>
      </c>
      <c r="Y1483" s="725"/>
      <c r="Z1483" s="725"/>
      <c r="AA1483" s="725"/>
      <c r="AB1483" s="726" t="s">
        <v>159</v>
      </c>
      <c r="AC1483" s="726"/>
      <c r="AD1483" s="726"/>
      <c r="AE1483" s="726"/>
      <c r="AF1483" s="727"/>
      <c r="AG1483" s="728"/>
      <c r="AH1483" s="727"/>
      <c r="AI1483" s="728"/>
      <c r="AJ1483" s="682"/>
      <c r="AK1483" s="683"/>
      <c r="AL1483" s="664" t="s">
        <v>162</v>
      </c>
      <c r="AM1483" s="665"/>
      <c r="AN1483" s="713" t="s">
        <v>162</v>
      </c>
      <c r="AO1483" s="714"/>
      <c r="AP1483" s="729"/>
      <c r="AQ1483" s="730"/>
      <c r="AR1483" s="731"/>
      <c r="AS1483" s="732"/>
      <c r="AT1483" s="690"/>
      <c r="AU1483" s="691"/>
      <c r="AV1483" s="713" t="s">
        <v>162</v>
      </c>
      <c r="AW1483" s="714"/>
      <c r="AX1483" s="692"/>
      <c r="AY1483" s="693"/>
      <c r="AZ1483" s="694"/>
      <c r="BA1483" s="735"/>
      <c r="BB1483" s="736"/>
      <c r="BC1483" s="219"/>
      <c r="BD1483" s="737" t="s">
        <v>162</v>
      </c>
      <c r="BE1483" s="738"/>
      <c r="BF1483" s="739"/>
      <c r="BG1483" s="740"/>
      <c r="BH1483" s="740"/>
      <c r="BI1483" s="741"/>
      <c r="BJ1483" s="742" t="s">
        <v>159</v>
      </c>
      <c r="BK1483" s="743"/>
      <c r="BL1483" s="743"/>
      <c r="BM1483" s="744"/>
      <c r="BN1483" s="703" t="s">
        <v>159</v>
      </c>
      <c r="BO1483" s="704"/>
      <c r="BP1483" s="704"/>
      <c r="BQ1483" s="704"/>
      <c r="BR1483" s="704"/>
      <c r="BS1483" s="704"/>
      <c r="BT1483" s="704"/>
      <c r="BU1483" s="704"/>
      <c r="BV1483" s="705"/>
    </row>
    <row r="1484" spans="1:74" ht="45" customHeight="1" x14ac:dyDescent="0.25">
      <c r="A1484" s="10">
        <f t="shared" si="22"/>
        <v>1470</v>
      </c>
      <c r="B1484" s="662" t="s">
        <v>159</v>
      </c>
      <c r="C1484" s="662"/>
      <c r="D1484" s="663" t="s">
        <v>212</v>
      </c>
      <c r="E1484" s="663"/>
      <c r="F1484" s="664" t="s">
        <v>162</v>
      </c>
      <c r="G1484" s="665"/>
      <c r="H1484" s="754" t="s">
        <v>162</v>
      </c>
      <c r="I1484" s="714"/>
      <c r="J1484" s="340"/>
      <c r="K1484" s="341"/>
      <c r="L1484" s="340"/>
      <c r="M1484" s="341"/>
      <c r="N1484" s="215"/>
      <c r="O1484" s="216"/>
      <c r="P1484" s="670"/>
      <c r="Q1484" s="671"/>
      <c r="R1484" s="672"/>
      <c r="S1484" s="673"/>
      <c r="T1484" s="674"/>
      <c r="U1484" s="675"/>
      <c r="V1484" s="676"/>
      <c r="W1484" s="677"/>
      <c r="X1484" s="678" t="s">
        <v>159</v>
      </c>
      <c r="Y1484" s="678"/>
      <c r="Z1484" s="678"/>
      <c r="AA1484" s="678"/>
      <c r="AB1484" s="679" t="s">
        <v>159</v>
      </c>
      <c r="AC1484" s="679"/>
      <c r="AD1484" s="679"/>
      <c r="AE1484" s="679"/>
      <c r="AF1484" s="680"/>
      <c r="AG1484" s="681"/>
      <c r="AH1484" s="680"/>
      <c r="AI1484" s="681"/>
      <c r="AJ1484" s="682"/>
      <c r="AK1484" s="683"/>
      <c r="AL1484" s="684" t="s">
        <v>162</v>
      </c>
      <c r="AM1484" s="685"/>
      <c r="AN1484" s="666" t="s">
        <v>162</v>
      </c>
      <c r="AO1484" s="667"/>
      <c r="AP1484" s="686"/>
      <c r="AQ1484" s="687"/>
      <c r="AR1484" s="688"/>
      <c r="AS1484" s="689"/>
      <c r="AT1484" s="690"/>
      <c r="AU1484" s="691"/>
      <c r="AV1484" s="666" t="s">
        <v>162</v>
      </c>
      <c r="AW1484" s="667"/>
      <c r="AX1484" s="692"/>
      <c r="AY1484" s="693"/>
      <c r="AZ1484" s="694"/>
      <c r="BA1484" s="682"/>
      <c r="BB1484" s="683"/>
      <c r="BC1484" s="14"/>
      <c r="BD1484" s="695" t="s">
        <v>162</v>
      </c>
      <c r="BE1484" s="696"/>
      <c r="BF1484" s="697"/>
      <c r="BG1484" s="698"/>
      <c r="BH1484" s="698"/>
      <c r="BI1484" s="699"/>
      <c r="BJ1484" s="700" t="s">
        <v>159</v>
      </c>
      <c r="BK1484" s="701"/>
      <c r="BL1484" s="701"/>
      <c r="BM1484" s="702"/>
      <c r="BN1484" s="703" t="s">
        <v>159</v>
      </c>
      <c r="BO1484" s="704"/>
      <c r="BP1484" s="704"/>
      <c r="BQ1484" s="704"/>
      <c r="BR1484" s="704"/>
      <c r="BS1484" s="704"/>
      <c r="BT1484" s="704"/>
      <c r="BU1484" s="704"/>
      <c r="BV1484" s="705"/>
    </row>
    <row r="1485" spans="1:74" ht="45" customHeight="1" x14ac:dyDescent="0.25">
      <c r="A1485" s="10">
        <f t="shared" si="22"/>
        <v>1471</v>
      </c>
      <c r="B1485" s="711" t="s">
        <v>159</v>
      </c>
      <c r="C1485" s="711"/>
      <c r="D1485" s="712" t="s">
        <v>212</v>
      </c>
      <c r="E1485" s="712"/>
      <c r="F1485" s="664" t="s">
        <v>162</v>
      </c>
      <c r="G1485" s="665"/>
      <c r="H1485" s="755" t="s">
        <v>162</v>
      </c>
      <c r="I1485" s="667"/>
      <c r="J1485" s="706"/>
      <c r="K1485" s="707"/>
      <c r="L1485" s="706"/>
      <c r="M1485" s="707"/>
      <c r="N1485" s="194"/>
      <c r="O1485" s="216"/>
      <c r="P1485" s="717"/>
      <c r="Q1485" s="718"/>
      <c r="R1485" s="719"/>
      <c r="S1485" s="720"/>
      <c r="T1485" s="721"/>
      <c r="U1485" s="722"/>
      <c r="V1485" s="723"/>
      <c r="W1485" s="724"/>
      <c r="X1485" s="725" t="s">
        <v>159</v>
      </c>
      <c r="Y1485" s="725"/>
      <c r="Z1485" s="725"/>
      <c r="AA1485" s="725"/>
      <c r="AB1485" s="726" t="s">
        <v>159</v>
      </c>
      <c r="AC1485" s="726"/>
      <c r="AD1485" s="726"/>
      <c r="AE1485" s="726"/>
      <c r="AF1485" s="727"/>
      <c r="AG1485" s="728"/>
      <c r="AH1485" s="727"/>
      <c r="AI1485" s="728"/>
      <c r="AJ1485" s="682"/>
      <c r="AK1485" s="683"/>
      <c r="AL1485" s="664" t="s">
        <v>162</v>
      </c>
      <c r="AM1485" s="665"/>
      <c r="AN1485" s="713" t="s">
        <v>162</v>
      </c>
      <c r="AO1485" s="714"/>
      <c r="AP1485" s="729"/>
      <c r="AQ1485" s="730"/>
      <c r="AR1485" s="731"/>
      <c r="AS1485" s="732"/>
      <c r="AT1485" s="733"/>
      <c r="AU1485" s="734"/>
      <c r="AV1485" s="713" t="s">
        <v>162</v>
      </c>
      <c r="AW1485" s="714"/>
      <c r="AX1485" s="692"/>
      <c r="AY1485" s="693"/>
      <c r="AZ1485" s="694"/>
      <c r="BA1485" s="735"/>
      <c r="BB1485" s="736"/>
      <c r="BC1485" s="219"/>
      <c r="BD1485" s="737" t="s">
        <v>162</v>
      </c>
      <c r="BE1485" s="738"/>
      <c r="BF1485" s="739"/>
      <c r="BG1485" s="740"/>
      <c r="BH1485" s="740"/>
      <c r="BI1485" s="741"/>
      <c r="BJ1485" s="742" t="s">
        <v>159</v>
      </c>
      <c r="BK1485" s="743"/>
      <c r="BL1485" s="743"/>
      <c r="BM1485" s="744"/>
      <c r="BN1485" s="703" t="s">
        <v>159</v>
      </c>
      <c r="BO1485" s="704"/>
      <c r="BP1485" s="704"/>
      <c r="BQ1485" s="704"/>
      <c r="BR1485" s="704"/>
      <c r="BS1485" s="704"/>
      <c r="BT1485" s="704"/>
      <c r="BU1485" s="704"/>
      <c r="BV1485" s="705"/>
    </row>
    <row r="1486" spans="1:74" ht="45" customHeight="1" x14ac:dyDescent="0.25">
      <c r="A1486" s="10">
        <f t="shared" si="22"/>
        <v>1472</v>
      </c>
      <c r="B1486" s="662" t="s">
        <v>159</v>
      </c>
      <c r="C1486" s="662"/>
      <c r="D1486" s="663" t="s">
        <v>212</v>
      </c>
      <c r="E1486" s="663"/>
      <c r="F1486" s="664" t="s">
        <v>162</v>
      </c>
      <c r="G1486" s="665"/>
      <c r="H1486" s="754" t="s">
        <v>162</v>
      </c>
      <c r="I1486" s="714"/>
      <c r="J1486" s="340"/>
      <c r="K1486" s="341"/>
      <c r="L1486" s="340"/>
      <c r="M1486" s="341"/>
      <c r="N1486" s="215"/>
      <c r="O1486" s="196"/>
      <c r="P1486" s="670"/>
      <c r="Q1486" s="671"/>
      <c r="R1486" s="672"/>
      <c r="S1486" s="673"/>
      <c r="T1486" s="674"/>
      <c r="U1486" s="675"/>
      <c r="V1486" s="676"/>
      <c r="W1486" s="677"/>
      <c r="X1486" s="678" t="s">
        <v>159</v>
      </c>
      <c r="Y1486" s="678"/>
      <c r="Z1486" s="678"/>
      <c r="AA1486" s="678"/>
      <c r="AB1486" s="679" t="s">
        <v>159</v>
      </c>
      <c r="AC1486" s="679"/>
      <c r="AD1486" s="679"/>
      <c r="AE1486" s="679"/>
      <c r="AF1486" s="680"/>
      <c r="AG1486" s="681"/>
      <c r="AH1486" s="680"/>
      <c r="AI1486" s="681"/>
      <c r="AJ1486" s="682"/>
      <c r="AK1486" s="683"/>
      <c r="AL1486" s="684" t="s">
        <v>162</v>
      </c>
      <c r="AM1486" s="685"/>
      <c r="AN1486" s="666" t="s">
        <v>162</v>
      </c>
      <c r="AO1486" s="667"/>
      <c r="AP1486" s="686"/>
      <c r="AQ1486" s="687"/>
      <c r="AR1486" s="688"/>
      <c r="AS1486" s="689"/>
      <c r="AT1486" s="690"/>
      <c r="AU1486" s="691"/>
      <c r="AV1486" s="666" t="s">
        <v>162</v>
      </c>
      <c r="AW1486" s="667"/>
      <c r="AX1486" s="692"/>
      <c r="AY1486" s="693"/>
      <c r="AZ1486" s="694"/>
      <c r="BA1486" s="682"/>
      <c r="BB1486" s="683"/>
      <c r="BC1486" s="14"/>
      <c r="BD1486" s="695" t="s">
        <v>162</v>
      </c>
      <c r="BE1486" s="696"/>
      <c r="BF1486" s="708"/>
      <c r="BG1486" s="709"/>
      <c r="BH1486" s="709"/>
      <c r="BI1486" s="710"/>
      <c r="BJ1486" s="700" t="s">
        <v>159</v>
      </c>
      <c r="BK1486" s="701"/>
      <c r="BL1486" s="701"/>
      <c r="BM1486" s="702"/>
      <c r="BN1486" s="703" t="s">
        <v>159</v>
      </c>
      <c r="BO1486" s="704"/>
      <c r="BP1486" s="704"/>
      <c r="BQ1486" s="704"/>
      <c r="BR1486" s="704"/>
      <c r="BS1486" s="704"/>
      <c r="BT1486" s="704"/>
      <c r="BU1486" s="704"/>
      <c r="BV1486" s="705"/>
    </row>
    <row r="1487" spans="1:74" ht="45" customHeight="1" x14ac:dyDescent="0.25">
      <c r="A1487" s="10">
        <f t="shared" ref="A1487:A1550" si="23">ROW(A1473)</f>
        <v>1473</v>
      </c>
      <c r="B1487" s="711" t="s">
        <v>159</v>
      </c>
      <c r="C1487" s="711"/>
      <c r="D1487" s="712" t="s">
        <v>212</v>
      </c>
      <c r="E1487" s="712"/>
      <c r="F1487" s="664" t="s">
        <v>162</v>
      </c>
      <c r="G1487" s="665"/>
      <c r="H1487" s="755" t="s">
        <v>162</v>
      </c>
      <c r="I1487" s="667"/>
      <c r="J1487" s="706"/>
      <c r="K1487" s="707"/>
      <c r="L1487" s="706"/>
      <c r="M1487" s="707"/>
      <c r="N1487" s="194"/>
      <c r="O1487" s="216"/>
      <c r="P1487" s="717"/>
      <c r="Q1487" s="718"/>
      <c r="R1487" s="719"/>
      <c r="S1487" s="720"/>
      <c r="T1487" s="721"/>
      <c r="U1487" s="722"/>
      <c r="V1487" s="723"/>
      <c r="W1487" s="724"/>
      <c r="X1487" s="725" t="s">
        <v>159</v>
      </c>
      <c r="Y1487" s="725"/>
      <c r="Z1487" s="725"/>
      <c r="AA1487" s="725"/>
      <c r="AB1487" s="726" t="s">
        <v>159</v>
      </c>
      <c r="AC1487" s="726"/>
      <c r="AD1487" s="726"/>
      <c r="AE1487" s="726"/>
      <c r="AF1487" s="727"/>
      <c r="AG1487" s="728"/>
      <c r="AH1487" s="727"/>
      <c r="AI1487" s="728"/>
      <c r="AJ1487" s="682"/>
      <c r="AK1487" s="683"/>
      <c r="AL1487" s="664" t="s">
        <v>162</v>
      </c>
      <c r="AM1487" s="665"/>
      <c r="AN1487" s="713" t="s">
        <v>162</v>
      </c>
      <c r="AO1487" s="714"/>
      <c r="AP1487" s="729"/>
      <c r="AQ1487" s="730"/>
      <c r="AR1487" s="731"/>
      <c r="AS1487" s="732"/>
      <c r="AT1487" s="733"/>
      <c r="AU1487" s="734"/>
      <c r="AV1487" s="713" t="s">
        <v>162</v>
      </c>
      <c r="AW1487" s="714"/>
      <c r="AX1487" s="692"/>
      <c r="AY1487" s="693"/>
      <c r="AZ1487" s="694"/>
      <c r="BA1487" s="735"/>
      <c r="BB1487" s="736"/>
      <c r="BC1487" s="219"/>
      <c r="BD1487" s="737" t="s">
        <v>162</v>
      </c>
      <c r="BE1487" s="738"/>
      <c r="BF1487" s="739"/>
      <c r="BG1487" s="740"/>
      <c r="BH1487" s="740"/>
      <c r="BI1487" s="741"/>
      <c r="BJ1487" s="742" t="s">
        <v>159</v>
      </c>
      <c r="BK1487" s="743"/>
      <c r="BL1487" s="743"/>
      <c r="BM1487" s="744"/>
      <c r="BN1487" s="703" t="s">
        <v>159</v>
      </c>
      <c r="BO1487" s="704"/>
      <c r="BP1487" s="704"/>
      <c r="BQ1487" s="704"/>
      <c r="BR1487" s="704"/>
      <c r="BS1487" s="704"/>
      <c r="BT1487" s="704"/>
      <c r="BU1487" s="704"/>
      <c r="BV1487" s="705"/>
    </row>
    <row r="1488" spans="1:74" ht="45" customHeight="1" x14ac:dyDescent="0.25">
      <c r="A1488" s="10">
        <f t="shared" si="23"/>
        <v>1474</v>
      </c>
      <c r="B1488" s="662" t="s">
        <v>159</v>
      </c>
      <c r="C1488" s="662"/>
      <c r="D1488" s="663" t="s">
        <v>212</v>
      </c>
      <c r="E1488" s="663"/>
      <c r="F1488" s="664" t="s">
        <v>162</v>
      </c>
      <c r="G1488" s="665"/>
      <c r="H1488" s="754" t="s">
        <v>162</v>
      </c>
      <c r="I1488" s="714"/>
      <c r="J1488" s="340"/>
      <c r="K1488" s="341"/>
      <c r="L1488" s="340"/>
      <c r="M1488" s="341"/>
      <c r="N1488" s="215"/>
      <c r="O1488" s="196"/>
      <c r="P1488" s="670"/>
      <c r="Q1488" s="671"/>
      <c r="R1488" s="672"/>
      <c r="S1488" s="673"/>
      <c r="T1488" s="674"/>
      <c r="U1488" s="675"/>
      <c r="V1488" s="676"/>
      <c r="W1488" s="677"/>
      <c r="X1488" s="678" t="s">
        <v>159</v>
      </c>
      <c r="Y1488" s="678"/>
      <c r="Z1488" s="678"/>
      <c r="AA1488" s="678"/>
      <c r="AB1488" s="679" t="s">
        <v>159</v>
      </c>
      <c r="AC1488" s="679"/>
      <c r="AD1488" s="679"/>
      <c r="AE1488" s="679"/>
      <c r="AF1488" s="680"/>
      <c r="AG1488" s="681"/>
      <c r="AH1488" s="680"/>
      <c r="AI1488" s="681"/>
      <c r="AJ1488" s="682"/>
      <c r="AK1488" s="683"/>
      <c r="AL1488" s="684" t="s">
        <v>162</v>
      </c>
      <c r="AM1488" s="685"/>
      <c r="AN1488" s="666" t="s">
        <v>162</v>
      </c>
      <c r="AO1488" s="667"/>
      <c r="AP1488" s="686"/>
      <c r="AQ1488" s="687"/>
      <c r="AR1488" s="688"/>
      <c r="AS1488" s="689"/>
      <c r="AT1488" s="690"/>
      <c r="AU1488" s="691"/>
      <c r="AV1488" s="666" t="s">
        <v>162</v>
      </c>
      <c r="AW1488" s="667"/>
      <c r="AX1488" s="692"/>
      <c r="AY1488" s="693"/>
      <c r="AZ1488" s="694"/>
      <c r="BA1488" s="682"/>
      <c r="BB1488" s="683"/>
      <c r="BC1488" s="14"/>
      <c r="BD1488" s="695" t="s">
        <v>162</v>
      </c>
      <c r="BE1488" s="696"/>
      <c r="BF1488" s="697"/>
      <c r="BG1488" s="698"/>
      <c r="BH1488" s="698"/>
      <c r="BI1488" s="699"/>
      <c r="BJ1488" s="700" t="s">
        <v>159</v>
      </c>
      <c r="BK1488" s="701"/>
      <c r="BL1488" s="701"/>
      <c r="BM1488" s="702"/>
      <c r="BN1488" s="703" t="s">
        <v>159</v>
      </c>
      <c r="BO1488" s="704"/>
      <c r="BP1488" s="704"/>
      <c r="BQ1488" s="704"/>
      <c r="BR1488" s="704"/>
      <c r="BS1488" s="704"/>
      <c r="BT1488" s="704"/>
      <c r="BU1488" s="704"/>
      <c r="BV1488" s="705"/>
    </row>
    <row r="1489" spans="1:74" ht="45" customHeight="1" x14ac:dyDescent="0.25">
      <c r="A1489" s="10">
        <f t="shared" si="23"/>
        <v>1475</v>
      </c>
      <c r="B1489" s="711" t="s">
        <v>159</v>
      </c>
      <c r="C1489" s="711"/>
      <c r="D1489" s="712" t="s">
        <v>212</v>
      </c>
      <c r="E1489" s="712"/>
      <c r="F1489" s="664" t="s">
        <v>162</v>
      </c>
      <c r="G1489" s="665"/>
      <c r="H1489" s="755" t="s">
        <v>162</v>
      </c>
      <c r="I1489" s="667"/>
      <c r="J1489" s="706"/>
      <c r="K1489" s="707"/>
      <c r="L1489" s="706"/>
      <c r="M1489" s="707"/>
      <c r="N1489" s="194"/>
      <c r="O1489" s="216"/>
      <c r="P1489" s="717"/>
      <c r="Q1489" s="718"/>
      <c r="R1489" s="719"/>
      <c r="S1489" s="720"/>
      <c r="T1489" s="721"/>
      <c r="U1489" s="722"/>
      <c r="V1489" s="723"/>
      <c r="W1489" s="724"/>
      <c r="X1489" s="725" t="s">
        <v>159</v>
      </c>
      <c r="Y1489" s="725"/>
      <c r="Z1489" s="725"/>
      <c r="AA1489" s="725"/>
      <c r="AB1489" s="726" t="s">
        <v>159</v>
      </c>
      <c r="AC1489" s="726"/>
      <c r="AD1489" s="726"/>
      <c r="AE1489" s="726"/>
      <c r="AF1489" s="727"/>
      <c r="AG1489" s="728"/>
      <c r="AH1489" s="727"/>
      <c r="AI1489" s="728"/>
      <c r="AJ1489" s="682"/>
      <c r="AK1489" s="683"/>
      <c r="AL1489" s="664" t="s">
        <v>162</v>
      </c>
      <c r="AM1489" s="665"/>
      <c r="AN1489" s="713" t="s">
        <v>162</v>
      </c>
      <c r="AO1489" s="714"/>
      <c r="AP1489" s="729"/>
      <c r="AQ1489" s="730"/>
      <c r="AR1489" s="731"/>
      <c r="AS1489" s="732"/>
      <c r="AT1489" s="733"/>
      <c r="AU1489" s="734"/>
      <c r="AV1489" s="713" t="s">
        <v>162</v>
      </c>
      <c r="AW1489" s="714"/>
      <c r="AX1489" s="692"/>
      <c r="AY1489" s="693"/>
      <c r="AZ1489" s="694"/>
      <c r="BA1489" s="735"/>
      <c r="BB1489" s="736"/>
      <c r="BC1489" s="219"/>
      <c r="BD1489" s="737" t="s">
        <v>162</v>
      </c>
      <c r="BE1489" s="738"/>
      <c r="BF1489" s="739"/>
      <c r="BG1489" s="740"/>
      <c r="BH1489" s="740"/>
      <c r="BI1489" s="741"/>
      <c r="BJ1489" s="742" t="s">
        <v>159</v>
      </c>
      <c r="BK1489" s="743"/>
      <c r="BL1489" s="743"/>
      <c r="BM1489" s="744"/>
      <c r="BN1489" s="703" t="s">
        <v>159</v>
      </c>
      <c r="BO1489" s="704"/>
      <c r="BP1489" s="704"/>
      <c r="BQ1489" s="704"/>
      <c r="BR1489" s="704"/>
      <c r="BS1489" s="704"/>
      <c r="BT1489" s="704"/>
      <c r="BU1489" s="704"/>
      <c r="BV1489" s="705"/>
    </row>
    <row r="1490" spans="1:74" ht="45" customHeight="1" x14ac:dyDescent="0.25">
      <c r="A1490" s="10">
        <f t="shared" si="23"/>
        <v>1476</v>
      </c>
      <c r="B1490" s="662" t="s">
        <v>159</v>
      </c>
      <c r="C1490" s="662"/>
      <c r="D1490" s="663" t="s">
        <v>212</v>
      </c>
      <c r="E1490" s="663"/>
      <c r="F1490" s="664" t="s">
        <v>162</v>
      </c>
      <c r="G1490" s="665"/>
      <c r="H1490" s="754" t="s">
        <v>162</v>
      </c>
      <c r="I1490" s="714"/>
      <c r="J1490" s="340"/>
      <c r="K1490" s="341"/>
      <c r="L1490" s="340"/>
      <c r="M1490" s="341"/>
      <c r="N1490" s="215"/>
      <c r="O1490" s="196"/>
      <c r="P1490" s="670"/>
      <c r="Q1490" s="671"/>
      <c r="R1490" s="672"/>
      <c r="S1490" s="673"/>
      <c r="T1490" s="674"/>
      <c r="U1490" s="675"/>
      <c r="V1490" s="676"/>
      <c r="W1490" s="677"/>
      <c r="X1490" s="678" t="s">
        <v>159</v>
      </c>
      <c r="Y1490" s="678"/>
      <c r="Z1490" s="678"/>
      <c r="AA1490" s="678"/>
      <c r="AB1490" s="679" t="s">
        <v>159</v>
      </c>
      <c r="AC1490" s="679"/>
      <c r="AD1490" s="679"/>
      <c r="AE1490" s="679"/>
      <c r="AF1490" s="680"/>
      <c r="AG1490" s="681"/>
      <c r="AH1490" s="680"/>
      <c r="AI1490" s="681"/>
      <c r="AJ1490" s="682"/>
      <c r="AK1490" s="683"/>
      <c r="AL1490" s="684" t="s">
        <v>162</v>
      </c>
      <c r="AM1490" s="685"/>
      <c r="AN1490" s="666" t="s">
        <v>162</v>
      </c>
      <c r="AO1490" s="667"/>
      <c r="AP1490" s="686"/>
      <c r="AQ1490" s="687"/>
      <c r="AR1490" s="688"/>
      <c r="AS1490" s="689"/>
      <c r="AT1490" s="690"/>
      <c r="AU1490" s="691"/>
      <c r="AV1490" s="666" t="s">
        <v>162</v>
      </c>
      <c r="AW1490" s="667"/>
      <c r="AX1490" s="692"/>
      <c r="AY1490" s="693"/>
      <c r="AZ1490" s="694"/>
      <c r="BA1490" s="682"/>
      <c r="BB1490" s="683"/>
      <c r="BC1490" s="14"/>
      <c r="BD1490" s="695" t="s">
        <v>162</v>
      </c>
      <c r="BE1490" s="696"/>
      <c r="BF1490" s="697"/>
      <c r="BG1490" s="698"/>
      <c r="BH1490" s="698"/>
      <c r="BI1490" s="699"/>
      <c r="BJ1490" s="700" t="s">
        <v>159</v>
      </c>
      <c r="BK1490" s="701"/>
      <c r="BL1490" s="701"/>
      <c r="BM1490" s="702"/>
      <c r="BN1490" s="703" t="s">
        <v>159</v>
      </c>
      <c r="BO1490" s="704"/>
      <c r="BP1490" s="704"/>
      <c r="BQ1490" s="704"/>
      <c r="BR1490" s="704"/>
      <c r="BS1490" s="704"/>
      <c r="BT1490" s="704"/>
      <c r="BU1490" s="704"/>
      <c r="BV1490" s="705"/>
    </row>
    <row r="1491" spans="1:74" ht="45" customHeight="1" x14ac:dyDescent="0.25">
      <c r="A1491" s="10">
        <f t="shared" si="23"/>
        <v>1477</v>
      </c>
      <c r="B1491" s="711" t="s">
        <v>159</v>
      </c>
      <c r="C1491" s="711"/>
      <c r="D1491" s="712" t="s">
        <v>212</v>
      </c>
      <c r="E1491" s="712"/>
      <c r="F1491" s="664" t="s">
        <v>162</v>
      </c>
      <c r="G1491" s="665"/>
      <c r="H1491" s="755" t="s">
        <v>162</v>
      </c>
      <c r="I1491" s="667"/>
      <c r="J1491" s="706"/>
      <c r="K1491" s="707"/>
      <c r="L1491" s="706"/>
      <c r="M1491" s="707"/>
      <c r="N1491" s="194"/>
      <c r="O1491" s="216"/>
      <c r="P1491" s="717"/>
      <c r="Q1491" s="718"/>
      <c r="R1491" s="719"/>
      <c r="S1491" s="720"/>
      <c r="T1491" s="721"/>
      <c r="U1491" s="722"/>
      <c r="V1491" s="723"/>
      <c r="W1491" s="724"/>
      <c r="X1491" s="725" t="s">
        <v>159</v>
      </c>
      <c r="Y1491" s="725"/>
      <c r="Z1491" s="725"/>
      <c r="AA1491" s="725"/>
      <c r="AB1491" s="726" t="s">
        <v>159</v>
      </c>
      <c r="AC1491" s="726"/>
      <c r="AD1491" s="726"/>
      <c r="AE1491" s="726"/>
      <c r="AF1491" s="727"/>
      <c r="AG1491" s="728"/>
      <c r="AH1491" s="727"/>
      <c r="AI1491" s="728"/>
      <c r="AJ1491" s="682"/>
      <c r="AK1491" s="683"/>
      <c r="AL1491" s="664" t="s">
        <v>162</v>
      </c>
      <c r="AM1491" s="665"/>
      <c r="AN1491" s="713" t="s">
        <v>162</v>
      </c>
      <c r="AO1491" s="714"/>
      <c r="AP1491" s="729"/>
      <c r="AQ1491" s="730"/>
      <c r="AR1491" s="731"/>
      <c r="AS1491" s="732"/>
      <c r="AT1491" s="733"/>
      <c r="AU1491" s="734"/>
      <c r="AV1491" s="713" t="s">
        <v>162</v>
      </c>
      <c r="AW1491" s="714"/>
      <c r="AX1491" s="692"/>
      <c r="AY1491" s="693"/>
      <c r="AZ1491" s="694"/>
      <c r="BA1491" s="735"/>
      <c r="BB1491" s="736"/>
      <c r="BC1491" s="219"/>
      <c r="BD1491" s="737" t="s">
        <v>162</v>
      </c>
      <c r="BE1491" s="738"/>
      <c r="BF1491" s="739"/>
      <c r="BG1491" s="740"/>
      <c r="BH1491" s="740"/>
      <c r="BI1491" s="741"/>
      <c r="BJ1491" s="742" t="s">
        <v>159</v>
      </c>
      <c r="BK1491" s="743"/>
      <c r="BL1491" s="743"/>
      <c r="BM1491" s="744"/>
      <c r="BN1491" s="703" t="s">
        <v>159</v>
      </c>
      <c r="BO1491" s="704"/>
      <c r="BP1491" s="704"/>
      <c r="BQ1491" s="704"/>
      <c r="BR1491" s="704"/>
      <c r="BS1491" s="704"/>
      <c r="BT1491" s="704"/>
      <c r="BU1491" s="704"/>
      <c r="BV1491" s="705"/>
    </row>
    <row r="1492" spans="1:74" ht="45" customHeight="1" x14ac:dyDescent="0.25">
      <c r="A1492" s="10">
        <f t="shared" si="23"/>
        <v>1478</v>
      </c>
      <c r="B1492" s="662" t="s">
        <v>159</v>
      </c>
      <c r="C1492" s="662"/>
      <c r="D1492" s="663" t="s">
        <v>212</v>
      </c>
      <c r="E1492" s="663"/>
      <c r="F1492" s="664" t="s">
        <v>162</v>
      </c>
      <c r="G1492" s="665"/>
      <c r="H1492" s="754" t="s">
        <v>162</v>
      </c>
      <c r="I1492" s="714"/>
      <c r="J1492" s="340"/>
      <c r="K1492" s="341"/>
      <c r="L1492" s="340"/>
      <c r="M1492" s="341"/>
      <c r="N1492" s="215"/>
      <c r="O1492" s="196"/>
      <c r="P1492" s="670"/>
      <c r="Q1492" s="671"/>
      <c r="R1492" s="672"/>
      <c r="S1492" s="673"/>
      <c r="T1492" s="674"/>
      <c r="U1492" s="675"/>
      <c r="V1492" s="676"/>
      <c r="W1492" s="677"/>
      <c r="X1492" s="678" t="s">
        <v>159</v>
      </c>
      <c r="Y1492" s="678"/>
      <c r="Z1492" s="678"/>
      <c r="AA1492" s="678"/>
      <c r="AB1492" s="679" t="s">
        <v>159</v>
      </c>
      <c r="AC1492" s="679"/>
      <c r="AD1492" s="679"/>
      <c r="AE1492" s="679"/>
      <c r="AF1492" s="680"/>
      <c r="AG1492" s="681"/>
      <c r="AH1492" s="680"/>
      <c r="AI1492" s="681"/>
      <c r="AJ1492" s="682"/>
      <c r="AK1492" s="683"/>
      <c r="AL1492" s="684" t="s">
        <v>162</v>
      </c>
      <c r="AM1492" s="685"/>
      <c r="AN1492" s="666" t="s">
        <v>162</v>
      </c>
      <c r="AO1492" s="667"/>
      <c r="AP1492" s="686"/>
      <c r="AQ1492" s="687"/>
      <c r="AR1492" s="688"/>
      <c r="AS1492" s="689"/>
      <c r="AT1492" s="690"/>
      <c r="AU1492" s="691"/>
      <c r="AV1492" s="666" t="s">
        <v>162</v>
      </c>
      <c r="AW1492" s="667"/>
      <c r="AX1492" s="692"/>
      <c r="AY1492" s="693"/>
      <c r="AZ1492" s="694"/>
      <c r="BA1492" s="682"/>
      <c r="BB1492" s="683"/>
      <c r="BC1492" s="14"/>
      <c r="BD1492" s="695" t="s">
        <v>162</v>
      </c>
      <c r="BE1492" s="696"/>
      <c r="BF1492" s="708"/>
      <c r="BG1492" s="709"/>
      <c r="BH1492" s="709"/>
      <c r="BI1492" s="710"/>
      <c r="BJ1492" s="700" t="s">
        <v>159</v>
      </c>
      <c r="BK1492" s="701"/>
      <c r="BL1492" s="701"/>
      <c r="BM1492" s="702"/>
      <c r="BN1492" s="703" t="s">
        <v>159</v>
      </c>
      <c r="BO1492" s="704"/>
      <c r="BP1492" s="704"/>
      <c r="BQ1492" s="704"/>
      <c r="BR1492" s="704"/>
      <c r="BS1492" s="704"/>
      <c r="BT1492" s="704"/>
      <c r="BU1492" s="704"/>
      <c r="BV1492" s="705"/>
    </row>
    <row r="1493" spans="1:74" ht="45" customHeight="1" x14ac:dyDescent="0.25">
      <c r="A1493" s="10">
        <f t="shared" si="23"/>
        <v>1479</v>
      </c>
      <c r="B1493" s="711" t="s">
        <v>159</v>
      </c>
      <c r="C1493" s="711"/>
      <c r="D1493" s="712" t="s">
        <v>212</v>
      </c>
      <c r="E1493" s="712"/>
      <c r="F1493" s="664" t="s">
        <v>162</v>
      </c>
      <c r="G1493" s="665"/>
      <c r="H1493" s="755" t="s">
        <v>162</v>
      </c>
      <c r="I1493" s="667"/>
      <c r="J1493" s="706"/>
      <c r="K1493" s="707"/>
      <c r="L1493" s="706"/>
      <c r="M1493" s="707"/>
      <c r="N1493" s="194"/>
      <c r="O1493" s="216"/>
      <c r="P1493" s="717"/>
      <c r="Q1493" s="718"/>
      <c r="R1493" s="719"/>
      <c r="S1493" s="720"/>
      <c r="T1493" s="721"/>
      <c r="U1493" s="722"/>
      <c r="V1493" s="723"/>
      <c r="W1493" s="724"/>
      <c r="X1493" s="725" t="s">
        <v>159</v>
      </c>
      <c r="Y1493" s="725"/>
      <c r="Z1493" s="725"/>
      <c r="AA1493" s="725"/>
      <c r="AB1493" s="726" t="s">
        <v>159</v>
      </c>
      <c r="AC1493" s="726"/>
      <c r="AD1493" s="726"/>
      <c r="AE1493" s="726"/>
      <c r="AF1493" s="727"/>
      <c r="AG1493" s="728"/>
      <c r="AH1493" s="727"/>
      <c r="AI1493" s="728"/>
      <c r="AJ1493" s="682"/>
      <c r="AK1493" s="683"/>
      <c r="AL1493" s="664" t="s">
        <v>162</v>
      </c>
      <c r="AM1493" s="665"/>
      <c r="AN1493" s="713" t="s">
        <v>162</v>
      </c>
      <c r="AO1493" s="714"/>
      <c r="AP1493" s="729"/>
      <c r="AQ1493" s="730"/>
      <c r="AR1493" s="731"/>
      <c r="AS1493" s="732"/>
      <c r="AT1493" s="733"/>
      <c r="AU1493" s="734"/>
      <c r="AV1493" s="713" t="s">
        <v>162</v>
      </c>
      <c r="AW1493" s="714"/>
      <c r="AX1493" s="692"/>
      <c r="AY1493" s="693"/>
      <c r="AZ1493" s="694"/>
      <c r="BA1493" s="735"/>
      <c r="BB1493" s="736"/>
      <c r="BC1493" s="219"/>
      <c r="BD1493" s="737" t="s">
        <v>162</v>
      </c>
      <c r="BE1493" s="738"/>
      <c r="BF1493" s="739"/>
      <c r="BG1493" s="740"/>
      <c r="BH1493" s="740"/>
      <c r="BI1493" s="741"/>
      <c r="BJ1493" s="742" t="s">
        <v>159</v>
      </c>
      <c r="BK1493" s="743"/>
      <c r="BL1493" s="743"/>
      <c r="BM1493" s="744"/>
      <c r="BN1493" s="703" t="s">
        <v>159</v>
      </c>
      <c r="BO1493" s="704"/>
      <c r="BP1493" s="704"/>
      <c r="BQ1493" s="704"/>
      <c r="BR1493" s="704"/>
      <c r="BS1493" s="704"/>
      <c r="BT1493" s="704"/>
      <c r="BU1493" s="704"/>
      <c r="BV1493" s="705"/>
    </row>
    <row r="1494" spans="1:74" ht="45" customHeight="1" x14ac:dyDescent="0.25">
      <c r="A1494" s="10">
        <f t="shared" si="23"/>
        <v>1480</v>
      </c>
      <c r="B1494" s="662" t="s">
        <v>159</v>
      </c>
      <c r="C1494" s="662"/>
      <c r="D1494" s="663" t="s">
        <v>212</v>
      </c>
      <c r="E1494" s="663"/>
      <c r="F1494" s="664" t="s">
        <v>162</v>
      </c>
      <c r="G1494" s="665"/>
      <c r="H1494" s="754" t="s">
        <v>162</v>
      </c>
      <c r="I1494" s="714"/>
      <c r="J1494" s="340"/>
      <c r="K1494" s="341"/>
      <c r="L1494" s="340"/>
      <c r="M1494" s="341"/>
      <c r="N1494" s="215"/>
      <c r="O1494" s="196"/>
      <c r="P1494" s="670"/>
      <c r="Q1494" s="671"/>
      <c r="R1494" s="672"/>
      <c r="S1494" s="673"/>
      <c r="T1494" s="674"/>
      <c r="U1494" s="675"/>
      <c r="V1494" s="676"/>
      <c r="W1494" s="677"/>
      <c r="X1494" s="678" t="s">
        <v>159</v>
      </c>
      <c r="Y1494" s="678"/>
      <c r="Z1494" s="678"/>
      <c r="AA1494" s="678"/>
      <c r="AB1494" s="679" t="s">
        <v>159</v>
      </c>
      <c r="AC1494" s="679"/>
      <c r="AD1494" s="679"/>
      <c r="AE1494" s="679"/>
      <c r="AF1494" s="680"/>
      <c r="AG1494" s="681"/>
      <c r="AH1494" s="680"/>
      <c r="AI1494" s="681"/>
      <c r="AJ1494" s="682"/>
      <c r="AK1494" s="683"/>
      <c r="AL1494" s="684" t="s">
        <v>162</v>
      </c>
      <c r="AM1494" s="685"/>
      <c r="AN1494" s="666" t="s">
        <v>162</v>
      </c>
      <c r="AO1494" s="667"/>
      <c r="AP1494" s="686"/>
      <c r="AQ1494" s="687"/>
      <c r="AR1494" s="688"/>
      <c r="AS1494" s="689"/>
      <c r="AT1494" s="690"/>
      <c r="AU1494" s="691"/>
      <c r="AV1494" s="666" t="s">
        <v>162</v>
      </c>
      <c r="AW1494" s="667"/>
      <c r="AX1494" s="692"/>
      <c r="AY1494" s="693"/>
      <c r="AZ1494" s="694"/>
      <c r="BA1494" s="682"/>
      <c r="BB1494" s="683"/>
      <c r="BC1494" s="14"/>
      <c r="BD1494" s="695" t="s">
        <v>162</v>
      </c>
      <c r="BE1494" s="696"/>
      <c r="BF1494" s="697"/>
      <c r="BG1494" s="698"/>
      <c r="BH1494" s="698"/>
      <c r="BI1494" s="699"/>
      <c r="BJ1494" s="700" t="s">
        <v>159</v>
      </c>
      <c r="BK1494" s="701"/>
      <c r="BL1494" s="701"/>
      <c r="BM1494" s="702"/>
      <c r="BN1494" s="703" t="s">
        <v>159</v>
      </c>
      <c r="BO1494" s="704"/>
      <c r="BP1494" s="704"/>
      <c r="BQ1494" s="704"/>
      <c r="BR1494" s="704"/>
      <c r="BS1494" s="704"/>
      <c r="BT1494" s="704"/>
      <c r="BU1494" s="704"/>
      <c r="BV1494" s="705"/>
    </row>
    <row r="1495" spans="1:74" ht="45" customHeight="1" x14ac:dyDescent="0.25">
      <c r="A1495" s="10">
        <f t="shared" si="23"/>
        <v>1481</v>
      </c>
      <c r="B1495" s="711" t="s">
        <v>159</v>
      </c>
      <c r="C1495" s="711"/>
      <c r="D1495" s="712" t="s">
        <v>212</v>
      </c>
      <c r="E1495" s="712"/>
      <c r="F1495" s="664" t="s">
        <v>162</v>
      </c>
      <c r="G1495" s="665"/>
      <c r="H1495" s="755" t="s">
        <v>162</v>
      </c>
      <c r="I1495" s="667"/>
      <c r="J1495" s="706"/>
      <c r="K1495" s="707"/>
      <c r="L1495" s="706"/>
      <c r="M1495" s="707"/>
      <c r="N1495" s="215"/>
      <c r="O1495" s="216"/>
      <c r="P1495" s="670"/>
      <c r="Q1495" s="671"/>
      <c r="R1495" s="719"/>
      <c r="S1495" s="720"/>
      <c r="T1495" s="721"/>
      <c r="U1495" s="722"/>
      <c r="V1495" s="723"/>
      <c r="W1495" s="724"/>
      <c r="X1495" s="725" t="s">
        <v>159</v>
      </c>
      <c r="Y1495" s="725"/>
      <c r="Z1495" s="725"/>
      <c r="AA1495" s="725"/>
      <c r="AB1495" s="726" t="s">
        <v>159</v>
      </c>
      <c r="AC1495" s="726"/>
      <c r="AD1495" s="726"/>
      <c r="AE1495" s="726"/>
      <c r="AF1495" s="727"/>
      <c r="AG1495" s="728"/>
      <c r="AH1495" s="727"/>
      <c r="AI1495" s="728"/>
      <c r="AJ1495" s="682"/>
      <c r="AK1495" s="683"/>
      <c r="AL1495" s="664" t="s">
        <v>162</v>
      </c>
      <c r="AM1495" s="665"/>
      <c r="AN1495" s="713" t="s">
        <v>162</v>
      </c>
      <c r="AO1495" s="714"/>
      <c r="AP1495" s="729"/>
      <c r="AQ1495" s="730"/>
      <c r="AR1495" s="731"/>
      <c r="AS1495" s="732"/>
      <c r="AT1495" s="690"/>
      <c r="AU1495" s="691"/>
      <c r="AV1495" s="713" t="s">
        <v>162</v>
      </c>
      <c r="AW1495" s="714"/>
      <c r="AX1495" s="692"/>
      <c r="AY1495" s="693"/>
      <c r="AZ1495" s="694"/>
      <c r="BA1495" s="735"/>
      <c r="BB1495" s="736"/>
      <c r="BC1495" s="219"/>
      <c r="BD1495" s="737" t="s">
        <v>162</v>
      </c>
      <c r="BE1495" s="738"/>
      <c r="BF1495" s="739"/>
      <c r="BG1495" s="740"/>
      <c r="BH1495" s="740"/>
      <c r="BI1495" s="741"/>
      <c r="BJ1495" s="742" t="s">
        <v>159</v>
      </c>
      <c r="BK1495" s="743"/>
      <c r="BL1495" s="743"/>
      <c r="BM1495" s="744"/>
      <c r="BN1495" s="703" t="s">
        <v>159</v>
      </c>
      <c r="BO1495" s="704"/>
      <c r="BP1495" s="704"/>
      <c r="BQ1495" s="704"/>
      <c r="BR1495" s="704"/>
      <c r="BS1495" s="704"/>
      <c r="BT1495" s="704"/>
      <c r="BU1495" s="704"/>
      <c r="BV1495" s="705"/>
    </row>
    <row r="1496" spans="1:74" ht="45" customHeight="1" x14ac:dyDescent="0.25">
      <c r="A1496" s="10">
        <f t="shared" si="23"/>
        <v>1482</v>
      </c>
      <c r="B1496" s="662" t="s">
        <v>159</v>
      </c>
      <c r="C1496" s="662"/>
      <c r="D1496" s="663" t="s">
        <v>212</v>
      </c>
      <c r="E1496" s="663"/>
      <c r="F1496" s="664" t="s">
        <v>162</v>
      </c>
      <c r="G1496" s="665"/>
      <c r="H1496" s="754" t="s">
        <v>162</v>
      </c>
      <c r="I1496" s="714"/>
      <c r="J1496" s="340"/>
      <c r="K1496" s="341"/>
      <c r="L1496" s="340"/>
      <c r="M1496" s="341"/>
      <c r="N1496" s="194"/>
      <c r="O1496" s="196"/>
      <c r="P1496" s="717"/>
      <c r="Q1496" s="718"/>
      <c r="R1496" s="672"/>
      <c r="S1496" s="673"/>
      <c r="T1496" s="674"/>
      <c r="U1496" s="675"/>
      <c r="V1496" s="676"/>
      <c r="W1496" s="677"/>
      <c r="X1496" s="678" t="s">
        <v>159</v>
      </c>
      <c r="Y1496" s="678"/>
      <c r="Z1496" s="678"/>
      <c r="AA1496" s="678"/>
      <c r="AB1496" s="679" t="s">
        <v>159</v>
      </c>
      <c r="AC1496" s="679"/>
      <c r="AD1496" s="679"/>
      <c r="AE1496" s="679"/>
      <c r="AF1496" s="680"/>
      <c r="AG1496" s="681"/>
      <c r="AH1496" s="680"/>
      <c r="AI1496" s="681"/>
      <c r="AJ1496" s="682"/>
      <c r="AK1496" s="683"/>
      <c r="AL1496" s="684" t="s">
        <v>162</v>
      </c>
      <c r="AM1496" s="685"/>
      <c r="AN1496" s="666" t="s">
        <v>162</v>
      </c>
      <c r="AO1496" s="667"/>
      <c r="AP1496" s="686"/>
      <c r="AQ1496" s="687"/>
      <c r="AR1496" s="688"/>
      <c r="AS1496" s="689"/>
      <c r="AT1496" s="690"/>
      <c r="AU1496" s="691"/>
      <c r="AV1496" s="666" t="s">
        <v>162</v>
      </c>
      <c r="AW1496" s="667"/>
      <c r="AX1496" s="692"/>
      <c r="AY1496" s="693"/>
      <c r="AZ1496" s="694"/>
      <c r="BA1496" s="682"/>
      <c r="BB1496" s="683"/>
      <c r="BC1496" s="14"/>
      <c r="BD1496" s="695" t="s">
        <v>162</v>
      </c>
      <c r="BE1496" s="696"/>
      <c r="BF1496" s="697"/>
      <c r="BG1496" s="698"/>
      <c r="BH1496" s="698"/>
      <c r="BI1496" s="699"/>
      <c r="BJ1496" s="700" t="s">
        <v>159</v>
      </c>
      <c r="BK1496" s="701"/>
      <c r="BL1496" s="701"/>
      <c r="BM1496" s="702"/>
      <c r="BN1496" s="703" t="s">
        <v>159</v>
      </c>
      <c r="BO1496" s="704"/>
      <c r="BP1496" s="704"/>
      <c r="BQ1496" s="704"/>
      <c r="BR1496" s="704"/>
      <c r="BS1496" s="704"/>
      <c r="BT1496" s="704"/>
      <c r="BU1496" s="704"/>
      <c r="BV1496" s="705"/>
    </row>
    <row r="1497" spans="1:74" ht="45" customHeight="1" x14ac:dyDescent="0.25">
      <c r="A1497" s="10">
        <f t="shared" si="23"/>
        <v>1483</v>
      </c>
      <c r="B1497" s="711" t="s">
        <v>159</v>
      </c>
      <c r="C1497" s="711"/>
      <c r="D1497" s="712" t="s">
        <v>212</v>
      </c>
      <c r="E1497" s="712"/>
      <c r="F1497" s="664" t="s">
        <v>162</v>
      </c>
      <c r="G1497" s="665"/>
      <c r="H1497" s="755" t="s">
        <v>162</v>
      </c>
      <c r="I1497" s="667"/>
      <c r="J1497" s="706"/>
      <c r="K1497" s="707"/>
      <c r="L1497" s="706"/>
      <c r="M1497" s="707"/>
      <c r="N1497" s="215"/>
      <c r="O1497" s="216"/>
      <c r="P1497" s="670"/>
      <c r="Q1497" s="671"/>
      <c r="R1497" s="719"/>
      <c r="S1497" s="720"/>
      <c r="T1497" s="721"/>
      <c r="U1497" s="722"/>
      <c r="V1497" s="723"/>
      <c r="W1497" s="724"/>
      <c r="X1497" s="725" t="s">
        <v>159</v>
      </c>
      <c r="Y1497" s="725"/>
      <c r="Z1497" s="725"/>
      <c r="AA1497" s="725"/>
      <c r="AB1497" s="726" t="s">
        <v>159</v>
      </c>
      <c r="AC1497" s="726"/>
      <c r="AD1497" s="726"/>
      <c r="AE1497" s="726"/>
      <c r="AF1497" s="727"/>
      <c r="AG1497" s="728"/>
      <c r="AH1497" s="727"/>
      <c r="AI1497" s="728"/>
      <c r="AJ1497" s="682"/>
      <c r="AK1497" s="683"/>
      <c r="AL1497" s="664" t="s">
        <v>162</v>
      </c>
      <c r="AM1497" s="665"/>
      <c r="AN1497" s="713" t="s">
        <v>162</v>
      </c>
      <c r="AO1497" s="714"/>
      <c r="AP1497" s="729"/>
      <c r="AQ1497" s="730"/>
      <c r="AR1497" s="731"/>
      <c r="AS1497" s="732"/>
      <c r="AT1497" s="690"/>
      <c r="AU1497" s="691"/>
      <c r="AV1497" s="713" t="s">
        <v>162</v>
      </c>
      <c r="AW1497" s="714"/>
      <c r="AX1497" s="692"/>
      <c r="AY1497" s="693"/>
      <c r="AZ1497" s="694"/>
      <c r="BA1497" s="735"/>
      <c r="BB1497" s="736"/>
      <c r="BC1497" s="219"/>
      <c r="BD1497" s="737" t="s">
        <v>162</v>
      </c>
      <c r="BE1497" s="738"/>
      <c r="BF1497" s="739"/>
      <c r="BG1497" s="740"/>
      <c r="BH1497" s="740"/>
      <c r="BI1497" s="741"/>
      <c r="BJ1497" s="742" t="s">
        <v>159</v>
      </c>
      <c r="BK1497" s="743"/>
      <c r="BL1497" s="743"/>
      <c r="BM1497" s="744"/>
      <c r="BN1497" s="703" t="s">
        <v>159</v>
      </c>
      <c r="BO1497" s="704"/>
      <c r="BP1497" s="704"/>
      <c r="BQ1497" s="704"/>
      <c r="BR1497" s="704"/>
      <c r="BS1497" s="704"/>
      <c r="BT1497" s="704"/>
      <c r="BU1497" s="704"/>
      <c r="BV1497" s="705"/>
    </row>
    <row r="1498" spans="1:74" ht="45" customHeight="1" x14ac:dyDescent="0.25">
      <c r="A1498" s="10">
        <f t="shared" si="23"/>
        <v>1484</v>
      </c>
      <c r="B1498" s="662" t="s">
        <v>159</v>
      </c>
      <c r="C1498" s="662"/>
      <c r="D1498" s="663" t="s">
        <v>212</v>
      </c>
      <c r="E1498" s="663"/>
      <c r="F1498" s="664" t="s">
        <v>162</v>
      </c>
      <c r="G1498" s="665"/>
      <c r="H1498" s="754" t="s">
        <v>162</v>
      </c>
      <c r="I1498" s="714"/>
      <c r="J1498" s="340"/>
      <c r="K1498" s="341"/>
      <c r="L1498" s="340"/>
      <c r="M1498" s="341"/>
      <c r="N1498" s="194"/>
      <c r="O1498" s="196"/>
      <c r="P1498" s="717"/>
      <c r="Q1498" s="718"/>
      <c r="R1498" s="672"/>
      <c r="S1498" s="673"/>
      <c r="T1498" s="674"/>
      <c r="U1498" s="675"/>
      <c r="V1498" s="676"/>
      <c r="W1498" s="677"/>
      <c r="X1498" s="678" t="s">
        <v>159</v>
      </c>
      <c r="Y1498" s="678"/>
      <c r="Z1498" s="678"/>
      <c r="AA1498" s="678"/>
      <c r="AB1498" s="679" t="s">
        <v>159</v>
      </c>
      <c r="AC1498" s="679"/>
      <c r="AD1498" s="679"/>
      <c r="AE1498" s="679"/>
      <c r="AF1498" s="680"/>
      <c r="AG1498" s="681"/>
      <c r="AH1498" s="680"/>
      <c r="AI1498" s="681"/>
      <c r="AJ1498" s="682"/>
      <c r="AK1498" s="683"/>
      <c r="AL1498" s="684" t="s">
        <v>162</v>
      </c>
      <c r="AM1498" s="685"/>
      <c r="AN1498" s="666" t="s">
        <v>162</v>
      </c>
      <c r="AO1498" s="667"/>
      <c r="AP1498" s="686"/>
      <c r="AQ1498" s="687"/>
      <c r="AR1498" s="688"/>
      <c r="AS1498" s="689"/>
      <c r="AT1498" s="690"/>
      <c r="AU1498" s="691"/>
      <c r="AV1498" s="666" t="s">
        <v>162</v>
      </c>
      <c r="AW1498" s="667"/>
      <c r="AX1498" s="692"/>
      <c r="AY1498" s="693"/>
      <c r="AZ1498" s="694"/>
      <c r="BA1498" s="682"/>
      <c r="BB1498" s="683"/>
      <c r="BC1498" s="14"/>
      <c r="BD1498" s="695" t="s">
        <v>162</v>
      </c>
      <c r="BE1498" s="696"/>
      <c r="BF1498" s="697"/>
      <c r="BG1498" s="698"/>
      <c r="BH1498" s="698"/>
      <c r="BI1498" s="699"/>
      <c r="BJ1498" s="700" t="s">
        <v>159</v>
      </c>
      <c r="BK1498" s="701"/>
      <c r="BL1498" s="701"/>
      <c r="BM1498" s="702"/>
      <c r="BN1498" s="703" t="s">
        <v>159</v>
      </c>
      <c r="BO1498" s="704"/>
      <c r="BP1498" s="704"/>
      <c r="BQ1498" s="704"/>
      <c r="BR1498" s="704"/>
      <c r="BS1498" s="704"/>
      <c r="BT1498" s="704"/>
      <c r="BU1498" s="704"/>
      <c r="BV1498" s="705"/>
    </row>
    <row r="1499" spans="1:74" ht="45" customHeight="1" x14ac:dyDescent="0.25">
      <c r="A1499" s="10">
        <f t="shared" si="23"/>
        <v>1485</v>
      </c>
      <c r="B1499" s="711" t="s">
        <v>159</v>
      </c>
      <c r="C1499" s="711"/>
      <c r="D1499" s="712" t="s">
        <v>212</v>
      </c>
      <c r="E1499" s="712"/>
      <c r="F1499" s="664" t="s">
        <v>162</v>
      </c>
      <c r="G1499" s="665"/>
      <c r="H1499" s="755" t="s">
        <v>162</v>
      </c>
      <c r="I1499" s="667"/>
      <c r="J1499" s="706"/>
      <c r="K1499" s="707"/>
      <c r="L1499" s="706"/>
      <c r="M1499" s="707"/>
      <c r="N1499" s="215"/>
      <c r="O1499" s="216"/>
      <c r="P1499" s="670"/>
      <c r="Q1499" s="671"/>
      <c r="R1499" s="719"/>
      <c r="S1499" s="720"/>
      <c r="T1499" s="721"/>
      <c r="U1499" s="722"/>
      <c r="V1499" s="723"/>
      <c r="W1499" s="724"/>
      <c r="X1499" s="725" t="s">
        <v>159</v>
      </c>
      <c r="Y1499" s="725"/>
      <c r="Z1499" s="725"/>
      <c r="AA1499" s="725"/>
      <c r="AB1499" s="726" t="s">
        <v>159</v>
      </c>
      <c r="AC1499" s="726"/>
      <c r="AD1499" s="726"/>
      <c r="AE1499" s="726"/>
      <c r="AF1499" s="727"/>
      <c r="AG1499" s="728"/>
      <c r="AH1499" s="727"/>
      <c r="AI1499" s="728"/>
      <c r="AJ1499" s="682"/>
      <c r="AK1499" s="683"/>
      <c r="AL1499" s="664" t="s">
        <v>162</v>
      </c>
      <c r="AM1499" s="665"/>
      <c r="AN1499" s="713" t="s">
        <v>162</v>
      </c>
      <c r="AO1499" s="714"/>
      <c r="AP1499" s="729"/>
      <c r="AQ1499" s="730"/>
      <c r="AR1499" s="731"/>
      <c r="AS1499" s="732"/>
      <c r="AT1499" s="733"/>
      <c r="AU1499" s="734"/>
      <c r="AV1499" s="713" t="s">
        <v>162</v>
      </c>
      <c r="AW1499" s="714"/>
      <c r="AX1499" s="692"/>
      <c r="AY1499" s="693"/>
      <c r="AZ1499" s="694"/>
      <c r="BA1499" s="735"/>
      <c r="BB1499" s="736"/>
      <c r="BC1499" s="219"/>
      <c r="BD1499" s="737" t="s">
        <v>162</v>
      </c>
      <c r="BE1499" s="738"/>
      <c r="BF1499" s="739"/>
      <c r="BG1499" s="740"/>
      <c r="BH1499" s="740"/>
      <c r="BI1499" s="741"/>
      <c r="BJ1499" s="742" t="s">
        <v>159</v>
      </c>
      <c r="BK1499" s="743"/>
      <c r="BL1499" s="743"/>
      <c r="BM1499" s="744"/>
      <c r="BN1499" s="703" t="s">
        <v>159</v>
      </c>
      <c r="BO1499" s="704"/>
      <c r="BP1499" s="704"/>
      <c r="BQ1499" s="704"/>
      <c r="BR1499" s="704"/>
      <c r="BS1499" s="704"/>
      <c r="BT1499" s="704"/>
      <c r="BU1499" s="704"/>
      <c r="BV1499" s="705"/>
    </row>
    <row r="1500" spans="1:74" ht="45" customHeight="1" x14ac:dyDescent="0.25">
      <c r="A1500" s="10">
        <f t="shared" si="23"/>
        <v>1486</v>
      </c>
      <c r="B1500" s="662" t="s">
        <v>159</v>
      </c>
      <c r="C1500" s="662"/>
      <c r="D1500" s="663" t="s">
        <v>212</v>
      </c>
      <c r="E1500" s="663"/>
      <c r="F1500" s="664" t="s">
        <v>162</v>
      </c>
      <c r="G1500" s="665"/>
      <c r="H1500" s="754" t="s">
        <v>162</v>
      </c>
      <c r="I1500" s="714"/>
      <c r="J1500" s="340"/>
      <c r="K1500" s="341"/>
      <c r="L1500" s="340"/>
      <c r="M1500" s="341"/>
      <c r="N1500" s="194"/>
      <c r="O1500" s="196"/>
      <c r="P1500" s="717"/>
      <c r="Q1500" s="718"/>
      <c r="R1500" s="672"/>
      <c r="S1500" s="673"/>
      <c r="T1500" s="674"/>
      <c r="U1500" s="675"/>
      <c r="V1500" s="676"/>
      <c r="W1500" s="677"/>
      <c r="X1500" s="678" t="s">
        <v>159</v>
      </c>
      <c r="Y1500" s="678"/>
      <c r="Z1500" s="678"/>
      <c r="AA1500" s="678"/>
      <c r="AB1500" s="679" t="s">
        <v>159</v>
      </c>
      <c r="AC1500" s="679"/>
      <c r="AD1500" s="679"/>
      <c r="AE1500" s="679"/>
      <c r="AF1500" s="680"/>
      <c r="AG1500" s="681"/>
      <c r="AH1500" s="680"/>
      <c r="AI1500" s="681"/>
      <c r="AJ1500" s="682"/>
      <c r="AK1500" s="683"/>
      <c r="AL1500" s="684" t="s">
        <v>162</v>
      </c>
      <c r="AM1500" s="685"/>
      <c r="AN1500" s="666" t="s">
        <v>162</v>
      </c>
      <c r="AO1500" s="667"/>
      <c r="AP1500" s="686"/>
      <c r="AQ1500" s="687"/>
      <c r="AR1500" s="688"/>
      <c r="AS1500" s="689"/>
      <c r="AT1500" s="690"/>
      <c r="AU1500" s="691"/>
      <c r="AV1500" s="666" t="s">
        <v>162</v>
      </c>
      <c r="AW1500" s="667"/>
      <c r="AX1500" s="692"/>
      <c r="AY1500" s="693"/>
      <c r="AZ1500" s="694"/>
      <c r="BA1500" s="682"/>
      <c r="BB1500" s="683"/>
      <c r="BC1500" s="14"/>
      <c r="BD1500" s="695" t="s">
        <v>162</v>
      </c>
      <c r="BE1500" s="696"/>
      <c r="BF1500" s="708"/>
      <c r="BG1500" s="709"/>
      <c r="BH1500" s="709"/>
      <c r="BI1500" s="710"/>
      <c r="BJ1500" s="700" t="s">
        <v>159</v>
      </c>
      <c r="BK1500" s="701"/>
      <c r="BL1500" s="701"/>
      <c r="BM1500" s="702"/>
      <c r="BN1500" s="703" t="s">
        <v>159</v>
      </c>
      <c r="BO1500" s="704"/>
      <c r="BP1500" s="704"/>
      <c r="BQ1500" s="704"/>
      <c r="BR1500" s="704"/>
      <c r="BS1500" s="704"/>
      <c r="BT1500" s="704"/>
      <c r="BU1500" s="704"/>
      <c r="BV1500" s="705"/>
    </row>
    <row r="1501" spans="1:74" ht="45" customHeight="1" x14ac:dyDescent="0.25">
      <c r="A1501" s="10">
        <f t="shared" si="23"/>
        <v>1487</v>
      </c>
      <c r="B1501" s="711" t="s">
        <v>159</v>
      </c>
      <c r="C1501" s="711"/>
      <c r="D1501" s="712" t="s">
        <v>212</v>
      </c>
      <c r="E1501" s="712"/>
      <c r="F1501" s="664" t="s">
        <v>162</v>
      </c>
      <c r="G1501" s="665"/>
      <c r="H1501" s="755" t="s">
        <v>162</v>
      </c>
      <c r="I1501" s="667"/>
      <c r="J1501" s="706"/>
      <c r="K1501" s="707"/>
      <c r="L1501" s="706"/>
      <c r="M1501" s="707"/>
      <c r="N1501" s="215"/>
      <c r="O1501" s="216"/>
      <c r="P1501" s="670"/>
      <c r="Q1501" s="671"/>
      <c r="R1501" s="719"/>
      <c r="S1501" s="720"/>
      <c r="T1501" s="721"/>
      <c r="U1501" s="722"/>
      <c r="V1501" s="723"/>
      <c r="W1501" s="724"/>
      <c r="X1501" s="725" t="s">
        <v>159</v>
      </c>
      <c r="Y1501" s="725"/>
      <c r="Z1501" s="725"/>
      <c r="AA1501" s="725"/>
      <c r="AB1501" s="726" t="s">
        <v>159</v>
      </c>
      <c r="AC1501" s="726"/>
      <c r="AD1501" s="726"/>
      <c r="AE1501" s="726"/>
      <c r="AF1501" s="727"/>
      <c r="AG1501" s="728"/>
      <c r="AH1501" s="727"/>
      <c r="AI1501" s="728"/>
      <c r="AJ1501" s="682"/>
      <c r="AK1501" s="683"/>
      <c r="AL1501" s="664" t="s">
        <v>162</v>
      </c>
      <c r="AM1501" s="665"/>
      <c r="AN1501" s="713" t="s">
        <v>162</v>
      </c>
      <c r="AO1501" s="714"/>
      <c r="AP1501" s="729"/>
      <c r="AQ1501" s="730"/>
      <c r="AR1501" s="731"/>
      <c r="AS1501" s="732"/>
      <c r="AT1501" s="733"/>
      <c r="AU1501" s="734"/>
      <c r="AV1501" s="713" t="s">
        <v>162</v>
      </c>
      <c r="AW1501" s="714"/>
      <c r="AX1501" s="692"/>
      <c r="AY1501" s="693"/>
      <c r="AZ1501" s="694"/>
      <c r="BA1501" s="735"/>
      <c r="BB1501" s="736"/>
      <c r="BC1501" s="219"/>
      <c r="BD1501" s="737" t="s">
        <v>162</v>
      </c>
      <c r="BE1501" s="738"/>
      <c r="BF1501" s="739"/>
      <c r="BG1501" s="740"/>
      <c r="BH1501" s="740"/>
      <c r="BI1501" s="741"/>
      <c r="BJ1501" s="742" t="s">
        <v>159</v>
      </c>
      <c r="BK1501" s="743"/>
      <c r="BL1501" s="743"/>
      <c r="BM1501" s="744"/>
      <c r="BN1501" s="703" t="s">
        <v>159</v>
      </c>
      <c r="BO1501" s="704"/>
      <c r="BP1501" s="704"/>
      <c r="BQ1501" s="704"/>
      <c r="BR1501" s="704"/>
      <c r="BS1501" s="704"/>
      <c r="BT1501" s="704"/>
      <c r="BU1501" s="704"/>
      <c r="BV1501" s="705"/>
    </row>
    <row r="1502" spans="1:74" ht="45" customHeight="1" x14ac:dyDescent="0.25">
      <c r="A1502" s="10">
        <f t="shared" si="23"/>
        <v>1488</v>
      </c>
      <c r="B1502" s="662" t="s">
        <v>159</v>
      </c>
      <c r="C1502" s="662"/>
      <c r="D1502" s="663" t="s">
        <v>212</v>
      </c>
      <c r="E1502" s="663"/>
      <c r="F1502" s="664" t="s">
        <v>162</v>
      </c>
      <c r="G1502" s="665"/>
      <c r="H1502" s="754" t="s">
        <v>162</v>
      </c>
      <c r="I1502" s="714"/>
      <c r="J1502" s="340"/>
      <c r="K1502" s="341"/>
      <c r="L1502" s="340"/>
      <c r="M1502" s="341"/>
      <c r="N1502" s="194"/>
      <c r="O1502" s="196"/>
      <c r="P1502" s="717"/>
      <c r="Q1502" s="718"/>
      <c r="R1502" s="672"/>
      <c r="S1502" s="673"/>
      <c r="T1502" s="674"/>
      <c r="U1502" s="675"/>
      <c r="V1502" s="676"/>
      <c r="W1502" s="677"/>
      <c r="X1502" s="678" t="s">
        <v>159</v>
      </c>
      <c r="Y1502" s="678"/>
      <c r="Z1502" s="678"/>
      <c r="AA1502" s="678"/>
      <c r="AB1502" s="679" t="s">
        <v>159</v>
      </c>
      <c r="AC1502" s="679"/>
      <c r="AD1502" s="679"/>
      <c r="AE1502" s="679"/>
      <c r="AF1502" s="680"/>
      <c r="AG1502" s="681"/>
      <c r="AH1502" s="680"/>
      <c r="AI1502" s="681"/>
      <c r="AJ1502" s="682"/>
      <c r="AK1502" s="683"/>
      <c r="AL1502" s="684" t="s">
        <v>162</v>
      </c>
      <c r="AM1502" s="685"/>
      <c r="AN1502" s="666" t="s">
        <v>162</v>
      </c>
      <c r="AO1502" s="667"/>
      <c r="AP1502" s="686"/>
      <c r="AQ1502" s="687"/>
      <c r="AR1502" s="688"/>
      <c r="AS1502" s="689"/>
      <c r="AT1502" s="690"/>
      <c r="AU1502" s="691"/>
      <c r="AV1502" s="666" t="s">
        <v>162</v>
      </c>
      <c r="AW1502" s="667"/>
      <c r="AX1502" s="692"/>
      <c r="AY1502" s="693"/>
      <c r="AZ1502" s="694"/>
      <c r="BA1502" s="682"/>
      <c r="BB1502" s="683"/>
      <c r="BC1502" s="14"/>
      <c r="BD1502" s="695" t="s">
        <v>162</v>
      </c>
      <c r="BE1502" s="696"/>
      <c r="BF1502" s="697"/>
      <c r="BG1502" s="698"/>
      <c r="BH1502" s="698"/>
      <c r="BI1502" s="699"/>
      <c r="BJ1502" s="700" t="s">
        <v>159</v>
      </c>
      <c r="BK1502" s="701"/>
      <c r="BL1502" s="701"/>
      <c r="BM1502" s="702"/>
      <c r="BN1502" s="703" t="s">
        <v>159</v>
      </c>
      <c r="BO1502" s="704"/>
      <c r="BP1502" s="704"/>
      <c r="BQ1502" s="704"/>
      <c r="BR1502" s="704"/>
      <c r="BS1502" s="704"/>
      <c r="BT1502" s="704"/>
      <c r="BU1502" s="704"/>
      <c r="BV1502" s="705"/>
    </row>
    <row r="1503" spans="1:74" ht="45" customHeight="1" x14ac:dyDescent="0.25">
      <c r="A1503" s="10">
        <f t="shared" si="23"/>
        <v>1489</v>
      </c>
      <c r="B1503" s="711" t="s">
        <v>159</v>
      </c>
      <c r="C1503" s="711"/>
      <c r="D1503" s="712" t="s">
        <v>212</v>
      </c>
      <c r="E1503" s="712"/>
      <c r="F1503" s="664" t="s">
        <v>162</v>
      </c>
      <c r="G1503" s="665"/>
      <c r="H1503" s="755" t="s">
        <v>162</v>
      </c>
      <c r="I1503" s="667"/>
      <c r="J1503" s="706"/>
      <c r="K1503" s="707"/>
      <c r="L1503" s="706"/>
      <c r="M1503" s="707"/>
      <c r="N1503" s="215"/>
      <c r="O1503" s="216"/>
      <c r="P1503" s="670"/>
      <c r="Q1503" s="671"/>
      <c r="R1503" s="719"/>
      <c r="S1503" s="720"/>
      <c r="T1503" s="721"/>
      <c r="U1503" s="722"/>
      <c r="V1503" s="723"/>
      <c r="W1503" s="724"/>
      <c r="X1503" s="725" t="s">
        <v>159</v>
      </c>
      <c r="Y1503" s="725"/>
      <c r="Z1503" s="725"/>
      <c r="AA1503" s="725"/>
      <c r="AB1503" s="726" t="s">
        <v>159</v>
      </c>
      <c r="AC1503" s="726"/>
      <c r="AD1503" s="726"/>
      <c r="AE1503" s="726"/>
      <c r="AF1503" s="727"/>
      <c r="AG1503" s="728"/>
      <c r="AH1503" s="727"/>
      <c r="AI1503" s="728"/>
      <c r="AJ1503" s="682"/>
      <c r="AK1503" s="683"/>
      <c r="AL1503" s="664" t="s">
        <v>162</v>
      </c>
      <c r="AM1503" s="665"/>
      <c r="AN1503" s="713" t="s">
        <v>162</v>
      </c>
      <c r="AO1503" s="714"/>
      <c r="AP1503" s="729"/>
      <c r="AQ1503" s="730"/>
      <c r="AR1503" s="731"/>
      <c r="AS1503" s="732"/>
      <c r="AT1503" s="733"/>
      <c r="AU1503" s="734"/>
      <c r="AV1503" s="713" t="s">
        <v>162</v>
      </c>
      <c r="AW1503" s="714"/>
      <c r="AX1503" s="692"/>
      <c r="AY1503" s="693"/>
      <c r="AZ1503" s="694"/>
      <c r="BA1503" s="735"/>
      <c r="BB1503" s="736"/>
      <c r="BC1503" s="219"/>
      <c r="BD1503" s="737" t="s">
        <v>162</v>
      </c>
      <c r="BE1503" s="738"/>
      <c r="BF1503" s="739"/>
      <c r="BG1503" s="740"/>
      <c r="BH1503" s="740"/>
      <c r="BI1503" s="741"/>
      <c r="BJ1503" s="742" t="s">
        <v>159</v>
      </c>
      <c r="BK1503" s="743"/>
      <c r="BL1503" s="743"/>
      <c r="BM1503" s="744"/>
      <c r="BN1503" s="703" t="s">
        <v>159</v>
      </c>
      <c r="BO1503" s="704"/>
      <c r="BP1503" s="704"/>
      <c r="BQ1503" s="704"/>
      <c r="BR1503" s="704"/>
      <c r="BS1503" s="704"/>
      <c r="BT1503" s="704"/>
      <c r="BU1503" s="704"/>
      <c r="BV1503" s="705"/>
    </row>
    <row r="1504" spans="1:74" ht="45" customHeight="1" x14ac:dyDescent="0.25">
      <c r="A1504" s="10">
        <f t="shared" si="23"/>
        <v>1490</v>
      </c>
      <c r="B1504" s="662" t="s">
        <v>159</v>
      </c>
      <c r="C1504" s="662"/>
      <c r="D1504" s="663" t="s">
        <v>212</v>
      </c>
      <c r="E1504" s="663"/>
      <c r="F1504" s="664" t="s">
        <v>162</v>
      </c>
      <c r="G1504" s="665"/>
      <c r="H1504" s="754" t="s">
        <v>162</v>
      </c>
      <c r="I1504" s="714"/>
      <c r="J1504" s="340"/>
      <c r="K1504" s="341"/>
      <c r="L1504" s="340"/>
      <c r="M1504" s="341"/>
      <c r="N1504" s="194"/>
      <c r="O1504" s="196"/>
      <c r="P1504" s="717"/>
      <c r="Q1504" s="718"/>
      <c r="R1504" s="672"/>
      <c r="S1504" s="673"/>
      <c r="T1504" s="674"/>
      <c r="U1504" s="675"/>
      <c r="V1504" s="676"/>
      <c r="W1504" s="677"/>
      <c r="X1504" s="678" t="s">
        <v>159</v>
      </c>
      <c r="Y1504" s="678"/>
      <c r="Z1504" s="678"/>
      <c r="AA1504" s="678"/>
      <c r="AB1504" s="679" t="s">
        <v>159</v>
      </c>
      <c r="AC1504" s="679"/>
      <c r="AD1504" s="679"/>
      <c r="AE1504" s="679"/>
      <c r="AF1504" s="680"/>
      <c r="AG1504" s="681"/>
      <c r="AH1504" s="680"/>
      <c r="AI1504" s="681"/>
      <c r="AJ1504" s="682"/>
      <c r="AK1504" s="683"/>
      <c r="AL1504" s="684" t="s">
        <v>162</v>
      </c>
      <c r="AM1504" s="685"/>
      <c r="AN1504" s="666" t="s">
        <v>162</v>
      </c>
      <c r="AO1504" s="667"/>
      <c r="AP1504" s="686"/>
      <c r="AQ1504" s="687"/>
      <c r="AR1504" s="688"/>
      <c r="AS1504" s="689"/>
      <c r="AT1504" s="690"/>
      <c r="AU1504" s="691"/>
      <c r="AV1504" s="666" t="s">
        <v>162</v>
      </c>
      <c r="AW1504" s="667"/>
      <c r="AX1504" s="692"/>
      <c r="AY1504" s="693"/>
      <c r="AZ1504" s="694"/>
      <c r="BA1504" s="682"/>
      <c r="BB1504" s="683"/>
      <c r="BC1504" s="14"/>
      <c r="BD1504" s="695" t="s">
        <v>162</v>
      </c>
      <c r="BE1504" s="696"/>
      <c r="BF1504" s="697"/>
      <c r="BG1504" s="698"/>
      <c r="BH1504" s="698"/>
      <c r="BI1504" s="699"/>
      <c r="BJ1504" s="700" t="s">
        <v>159</v>
      </c>
      <c r="BK1504" s="701"/>
      <c r="BL1504" s="701"/>
      <c r="BM1504" s="702"/>
      <c r="BN1504" s="703" t="s">
        <v>159</v>
      </c>
      <c r="BO1504" s="704"/>
      <c r="BP1504" s="704"/>
      <c r="BQ1504" s="704"/>
      <c r="BR1504" s="704"/>
      <c r="BS1504" s="704"/>
      <c r="BT1504" s="704"/>
      <c r="BU1504" s="704"/>
      <c r="BV1504" s="705"/>
    </row>
    <row r="1505" spans="1:74" ht="45" customHeight="1" x14ac:dyDescent="0.25">
      <c r="A1505" s="10">
        <f t="shared" si="23"/>
        <v>1491</v>
      </c>
      <c r="B1505" s="711" t="s">
        <v>159</v>
      </c>
      <c r="C1505" s="711"/>
      <c r="D1505" s="712" t="s">
        <v>212</v>
      </c>
      <c r="E1505" s="712"/>
      <c r="F1505" s="664" t="s">
        <v>162</v>
      </c>
      <c r="G1505" s="665"/>
      <c r="H1505" s="713" t="s">
        <v>162</v>
      </c>
      <c r="I1505" s="714"/>
      <c r="J1505" s="715"/>
      <c r="K1505" s="716"/>
      <c r="L1505" s="715"/>
      <c r="M1505" s="716"/>
      <c r="N1505" s="215"/>
      <c r="O1505" s="216"/>
      <c r="P1505" s="670"/>
      <c r="Q1505" s="671"/>
      <c r="R1505" s="719"/>
      <c r="S1505" s="720"/>
      <c r="T1505" s="721"/>
      <c r="U1505" s="722"/>
      <c r="V1505" s="723"/>
      <c r="W1505" s="724"/>
      <c r="X1505" s="725" t="s">
        <v>159</v>
      </c>
      <c r="Y1505" s="725"/>
      <c r="Z1505" s="725"/>
      <c r="AA1505" s="725"/>
      <c r="AB1505" s="726" t="s">
        <v>159</v>
      </c>
      <c r="AC1505" s="726"/>
      <c r="AD1505" s="726"/>
      <c r="AE1505" s="726"/>
      <c r="AF1505" s="727"/>
      <c r="AG1505" s="728"/>
      <c r="AH1505" s="727"/>
      <c r="AI1505" s="728"/>
      <c r="AJ1505" s="682"/>
      <c r="AK1505" s="683"/>
      <c r="AL1505" s="664" t="s">
        <v>162</v>
      </c>
      <c r="AM1505" s="665"/>
      <c r="AN1505" s="713" t="s">
        <v>162</v>
      </c>
      <c r="AO1505" s="714"/>
      <c r="AP1505" s="729"/>
      <c r="AQ1505" s="730"/>
      <c r="AR1505" s="731"/>
      <c r="AS1505" s="732"/>
      <c r="AT1505" s="733"/>
      <c r="AU1505" s="734"/>
      <c r="AV1505" s="713" t="s">
        <v>162</v>
      </c>
      <c r="AW1505" s="714"/>
      <c r="AX1505" s="692"/>
      <c r="AY1505" s="693"/>
      <c r="AZ1505" s="694"/>
      <c r="BA1505" s="735"/>
      <c r="BB1505" s="736"/>
      <c r="BC1505" s="219"/>
      <c r="BD1505" s="737" t="s">
        <v>162</v>
      </c>
      <c r="BE1505" s="738"/>
      <c r="BF1505" s="739"/>
      <c r="BG1505" s="740"/>
      <c r="BH1505" s="740"/>
      <c r="BI1505" s="741"/>
      <c r="BJ1505" s="742" t="s">
        <v>159</v>
      </c>
      <c r="BK1505" s="743"/>
      <c r="BL1505" s="743"/>
      <c r="BM1505" s="744"/>
      <c r="BN1505" s="703" t="s">
        <v>159</v>
      </c>
      <c r="BO1505" s="704"/>
      <c r="BP1505" s="704"/>
      <c r="BQ1505" s="704"/>
      <c r="BR1505" s="704"/>
      <c r="BS1505" s="704"/>
      <c r="BT1505" s="704"/>
      <c r="BU1505" s="704"/>
      <c r="BV1505" s="705"/>
    </row>
    <row r="1506" spans="1:74" ht="45" customHeight="1" x14ac:dyDescent="0.25">
      <c r="A1506" s="10">
        <f t="shared" si="23"/>
        <v>1492</v>
      </c>
      <c r="B1506" s="662" t="s">
        <v>159</v>
      </c>
      <c r="C1506" s="662"/>
      <c r="D1506" s="663" t="s">
        <v>212</v>
      </c>
      <c r="E1506" s="663"/>
      <c r="F1506" s="664" t="s">
        <v>162</v>
      </c>
      <c r="G1506" s="665"/>
      <c r="H1506" s="666" t="s">
        <v>162</v>
      </c>
      <c r="I1506" s="667"/>
      <c r="J1506" s="706"/>
      <c r="K1506" s="707"/>
      <c r="L1506" s="706"/>
      <c r="M1506" s="707"/>
      <c r="N1506" s="194"/>
      <c r="O1506" s="196"/>
      <c r="P1506" s="717"/>
      <c r="Q1506" s="718"/>
      <c r="R1506" s="672"/>
      <c r="S1506" s="673"/>
      <c r="T1506" s="674"/>
      <c r="U1506" s="675"/>
      <c r="V1506" s="676"/>
      <c r="W1506" s="677"/>
      <c r="X1506" s="678" t="s">
        <v>159</v>
      </c>
      <c r="Y1506" s="678"/>
      <c r="Z1506" s="678"/>
      <c r="AA1506" s="678"/>
      <c r="AB1506" s="679" t="s">
        <v>159</v>
      </c>
      <c r="AC1506" s="679"/>
      <c r="AD1506" s="679"/>
      <c r="AE1506" s="679"/>
      <c r="AF1506" s="680"/>
      <c r="AG1506" s="681"/>
      <c r="AH1506" s="680"/>
      <c r="AI1506" s="681"/>
      <c r="AJ1506" s="682"/>
      <c r="AK1506" s="683"/>
      <c r="AL1506" s="684" t="s">
        <v>162</v>
      </c>
      <c r="AM1506" s="685"/>
      <c r="AN1506" s="666" t="s">
        <v>162</v>
      </c>
      <c r="AO1506" s="667"/>
      <c r="AP1506" s="686"/>
      <c r="AQ1506" s="687"/>
      <c r="AR1506" s="688"/>
      <c r="AS1506" s="689"/>
      <c r="AT1506" s="690"/>
      <c r="AU1506" s="691"/>
      <c r="AV1506" s="666" t="s">
        <v>162</v>
      </c>
      <c r="AW1506" s="667"/>
      <c r="AX1506" s="692"/>
      <c r="AY1506" s="693"/>
      <c r="AZ1506" s="694"/>
      <c r="BA1506" s="682"/>
      <c r="BB1506" s="683"/>
      <c r="BC1506" s="14"/>
      <c r="BD1506" s="695" t="s">
        <v>162</v>
      </c>
      <c r="BE1506" s="696"/>
      <c r="BF1506" s="708"/>
      <c r="BG1506" s="709"/>
      <c r="BH1506" s="709"/>
      <c r="BI1506" s="710"/>
      <c r="BJ1506" s="700" t="s">
        <v>159</v>
      </c>
      <c r="BK1506" s="701"/>
      <c r="BL1506" s="701"/>
      <c r="BM1506" s="702"/>
      <c r="BN1506" s="703" t="s">
        <v>159</v>
      </c>
      <c r="BO1506" s="704"/>
      <c r="BP1506" s="704"/>
      <c r="BQ1506" s="704"/>
      <c r="BR1506" s="704"/>
      <c r="BS1506" s="704"/>
      <c r="BT1506" s="704"/>
      <c r="BU1506" s="704"/>
      <c r="BV1506" s="705"/>
    </row>
    <row r="1507" spans="1:74" ht="45" customHeight="1" x14ac:dyDescent="0.25">
      <c r="A1507" s="10">
        <f t="shared" si="23"/>
        <v>1493</v>
      </c>
      <c r="B1507" s="711" t="s">
        <v>159</v>
      </c>
      <c r="C1507" s="711"/>
      <c r="D1507" s="712" t="s">
        <v>212</v>
      </c>
      <c r="E1507" s="712"/>
      <c r="F1507" s="664" t="s">
        <v>162</v>
      </c>
      <c r="G1507" s="665"/>
      <c r="H1507" s="713" t="s">
        <v>162</v>
      </c>
      <c r="I1507" s="714"/>
      <c r="J1507" s="715"/>
      <c r="K1507" s="716"/>
      <c r="L1507" s="715"/>
      <c r="M1507" s="716"/>
      <c r="N1507" s="215"/>
      <c r="O1507" s="216"/>
      <c r="P1507" s="670"/>
      <c r="Q1507" s="671"/>
      <c r="R1507" s="719"/>
      <c r="S1507" s="720"/>
      <c r="T1507" s="721"/>
      <c r="U1507" s="722"/>
      <c r="V1507" s="723"/>
      <c r="W1507" s="724"/>
      <c r="X1507" s="725" t="s">
        <v>159</v>
      </c>
      <c r="Y1507" s="725"/>
      <c r="Z1507" s="725"/>
      <c r="AA1507" s="725"/>
      <c r="AB1507" s="726" t="s">
        <v>159</v>
      </c>
      <c r="AC1507" s="726"/>
      <c r="AD1507" s="726"/>
      <c r="AE1507" s="726"/>
      <c r="AF1507" s="727"/>
      <c r="AG1507" s="728"/>
      <c r="AH1507" s="727"/>
      <c r="AI1507" s="728"/>
      <c r="AJ1507" s="682"/>
      <c r="AK1507" s="683"/>
      <c r="AL1507" s="664" t="s">
        <v>162</v>
      </c>
      <c r="AM1507" s="665"/>
      <c r="AN1507" s="713" t="s">
        <v>162</v>
      </c>
      <c r="AO1507" s="714"/>
      <c r="AP1507" s="729"/>
      <c r="AQ1507" s="730"/>
      <c r="AR1507" s="731"/>
      <c r="AS1507" s="732"/>
      <c r="AT1507" s="733"/>
      <c r="AU1507" s="734"/>
      <c r="AV1507" s="713" t="s">
        <v>162</v>
      </c>
      <c r="AW1507" s="714"/>
      <c r="AX1507" s="692"/>
      <c r="AY1507" s="693"/>
      <c r="AZ1507" s="694"/>
      <c r="BA1507" s="735"/>
      <c r="BB1507" s="736"/>
      <c r="BC1507" s="219"/>
      <c r="BD1507" s="737" t="s">
        <v>162</v>
      </c>
      <c r="BE1507" s="738"/>
      <c r="BF1507" s="739"/>
      <c r="BG1507" s="740"/>
      <c r="BH1507" s="740"/>
      <c r="BI1507" s="741"/>
      <c r="BJ1507" s="742" t="s">
        <v>159</v>
      </c>
      <c r="BK1507" s="743"/>
      <c r="BL1507" s="743"/>
      <c r="BM1507" s="744"/>
      <c r="BN1507" s="703" t="s">
        <v>159</v>
      </c>
      <c r="BO1507" s="704"/>
      <c r="BP1507" s="704"/>
      <c r="BQ1507" s="704"/>
      <c r="BR1507" s="704"/>
      <c r="BS1507" s="704"/>
      <c r="BT1507" s="704"/>
      <c r="BU1507" s="704"/>
      <c r="BV1507" s="705"/>
    </row>
    <row r="1508" spans="1:74" ht="45" customHeight="1" x14ac:dyDescent="0.25">
      <c r="A1508" s="10">
        <f t="shared" si="23"/>
        <v>1494</v>
      </c>
      <c r="B1508" s="662" t="s">
        <v>159</v>
      </c>
      <c r="C1508" s="662"/>
      <c r="D1508" s="663" t="s">
        <v>212</v>
      </c>
      <c r="E1508" s="663"/>
      <c r="F1508" s="664" t="s">
        <v>162</v>
      </c>
      <c r="G1508" s="665"/>
      <c r="H1508" s="666" t="s">
        <v>162</v>
      </c>
      <c r="I1508" s="667"/>
      <c r="J1508" s="706"/>
      <c r="K1508" s="707"/>
      <c r="L1508" s="706"/>
      <c r="M1508" s="707"/>
      <c r="N1508" s="194"/>
      <c r="O1508" s="196"/>
      <c r="P1508" s="717"/>
      <c r="Q1508" s="718"/>
      <c r="R1508" s="672"/>
      <c r="S1508" s="673"/>
      <c r="T1508" s="674"/>
      <c r="U1508" s="675"/>
      <c r="V1508" s="676"/>
      <c r="W1508" s="677"/>
      <c r="X1508" s="678" t="s">
        <v>159</v>
      </c>
      <c r="Y1508" s="678"/>
      <c r="Z1508" s="678"/>
      <c r="AA1508" s="678"/>
      <c r="AB1508" s="679" t="s">
        <v>159</v>
      </c>
      <c r="AC1508" s="679"/>
      <c r="AD1508" s="679"/>
      <c r="AE1508" s="679"/>
      <c r="AF1508" s="680"/>
      <c r="AG1508" s="681"/>
      <c r="AH1508" s="680"/>
      <c r="AI1508" s="681"/>
      <c r="AJ1508" s="682"/>
      <c r="AK1508" s="683"/>
      <c r="AL1508" s="684" t="s">
        <v>162</v>
      </c>
      <c r="AM1508" s="685"/>
      <c r="AN1508" s="666" t="s">
        <v>162</v>
      </c>
      <c r="AO1508" s="667"/>
      <c r="AP1508" s="686"/>
      <c r="AQ1508" s="687"/>
      <c r="AR1508" s="688"/>
      <c r="AS1508" s="689"/>
      <c r="AT1508" s="690"/>
      <c r="AU1508" s="691"/>
      <c r="AV1508" s="666" t="s">
        <v>162</v>
      </c>
      <c r="AW1508" s="667"/>
      <c r="AX1508" s="692"/>
      <c r="AY1508" s="693"/>
      <c r="AZ1508" s="694"/>
      <c r="BA1508" s="682"/>
      <c r="BB1508" s="683"/>
      <c r="BC1508" s="14"/>
      <c r="BD1508" s="695" t="s">
        <v>162</v>
      </c>
      <c r="BE1508" s="696"/>
      <c r="BF1508" s="697"/>
      <c r="BG1508" s="698"/>
      <c r="BH1508" s="698"/>
      <c r="BI1508" s="699"/>
      <c r="BJ1508" s="700" t="s">
        <v>159</v>
      </c>
      <c r="BK1508" s="701"/>
      <c r="BL1508" s="701"/>
      <c r="BM1508" s="702"/>
      <c r="BN1508" s="703" t="s">
        <v>159</v>
      </c>
      <c r="BO1508" s="704"/>
      <c r="BP1508" s="704"/>
      <c r="BQ1508" s="704"/>
      <c r="BR1508" s="704"/>
      <c r="BS1508" s="704"/>
      <c r="BT1508" s="704"/>
      <c r="BU1508" s="704"/>
      <c r="BV1508" s="705"/>
    </row>
    <row r="1509" spans="1:74" ht="45" customHeight="1" x14ac:dyDescent="0.25">
      <c r="A1509" s="10">
        <f t="shared" si="23"/>
        <v>1495</v>
      </c>
      <c r="B1509" s="711" t="s">
        <v>159</v>
      </c>
      <c r="C1509" s="711"/>
      <c r="D1509" s="712" t="s">
        <v>212</v>
      </c>
      <c r="E1509" s="712"/>
      <c r="F1509" s="664" t="s">
        <v>162</v>
      </c>
      <c r="G1509" s="665"/>
      <c r="H1509" s="713" t="s">
        <v>162</v>
      </c>
      <c r="I1509" s="714"/>
      <c r="J1509" s="715"/>
      <c r="K1509" s="716"/>
      <c r="L1509" s="715"/>
      <c r="M1509" s="716"/>
      <c r="N1509" s="194"/>
      <c r="O1509" s="196"/>
      <c r="P1509" s="717"/>
      <c r="Q1509" s="718"/>
      <c r="R1509" s="719"/>
      <c r="S1509" s="720"/>
      <c r="T1509" s="721"/>
      <c r="U1509" s="722"/>
      <c r="V1509" s="723"/>
      <c r="W1509" s="724"/>
      <c r="X1509" s="725" t="s">
        <v>159</v>
      </c>
      <c r="Y1509" s="725"/>
      <c r="Z1509" s="725"/>
      <c r="AA1509" s="725"/>
      <c r="AB1509" s="726" t="s">
        <v>159</v>
      </c>
      <c r="AC1509" s="726"/>
      <c r="AD1509" s="726"/>
      <c r="AE1509" s="726"/>
      <c r="AF1509" s="727"/>
      <c r="AG1509" s="728"/>
      <c r="AH1509" s="727"/>
      <c r="AI1509" s="728"/>
      <c r="AJ1509" s="682"/>
      <c r="AK1509" s="683"/>
      <c r="AL1509" s="664" t="s">
        <v>162</v>
      </c>
      <c r="AM1509" s="665"/>
      <c r="AN1509" s="713" t="s">
        <v>162</v>
      </c>
      <c r="AO1509" s="714"/>
      <c r="AP1509" s="729"/>
      <c r="AQ1509" s="730"/>
      <c r="AR1509" s="731"/>
      <c r="AS1509" s="732"/>
      <c r="AT1509" s="690"/>
      <c r="AU1509" s="691"/>
      <c r="AV1509" s="713" t="s">
        <v>162</v>
      </c>
      <c r="AW1509" s="714"/>
      <c r="AX1509" s="692"/>
      <c r="AY1509" s="693"/>
      <c r="AZ1509" s="694"/>
      <c r="BA1509" s="735"/>
      <c r="BB1509" s="736"/>
      <c r="BC1509" s="219"/>
      <c r="BD1509" s="737" t="s">
        <v>162</v>
      </c>
      <c r="BE1509" s="738"/>
      <c r="BF1509" s="739"/>
      <c r="BG1509" s="740"/>
      <c r="BH1509" s="740"/>
      <c r="BI1509" s="741"/>
      <c r="BJ1509" s="742" t="s">
        <v>159</v>
      </c>
      <c r="BK1509" s="743"/>
      <c r="BL1509" s="743"/>
      <c r="BM1509" s="744"/>
      <c r="BN1509" s="703" t="s">
        <v>159</v>
      </c>
      <c r="BO1509" s="704"/>
      <c r="BP1509" s="704"/>
      <c r="BQ1509" s="704"/>
      <c r="BR1509" s="704"/>
      <c r="BS1509" s="704"/>
      <c r="BT1509" s="704"/>
      <c r="BU1509" s="704"/>
      <c r="BV1509" s="705"/>
    </row>
    <row r="1510" spans="1:74" ht="45" customHeight="1" x14ac:dyDescent="0.25">
      <c r="A1510" s="10">
        <f t="shared" si="23"/>
        <v>1496</v>
      </c>
      <c r="B1510" s="662" t="s">
        <v>159</v>
      </c>
      <c r="C1510" s="662"/>
      <c r="D1510" s="663" t="s">
        <v>212</v>
      </c>
      <c r="E1510" s="663"/>
      <c r="F1510" s="664" t="s">
        <v>162</v>
      </c>
      <c r="G1510" s="665"/>
      <c r="H1510" s="666" t="s">
        <v>162</v>
      </c>
      <c r="I1510" s="667"/>
      <c r="J1510" s="706"/>
      <c r="K1510" s="707"/>
      <c r="L1510" s="706"/>
      <c r="M1510" s="707"/>
      <c r="N1510" s="215"/>
      <c r="O1510" s="216"/>
      <c r="P1510" s="670"/>
      <c r="Q1510" s="671"/>
      <c r="R1510" s="672"/>
      <c r="S1510" s="673"/>
      <c r="T1510" s="674"/>
      <c r="U1510" s="675"/>
      <c r="V1510" s="676"/>
      <c r="W1510" s="677"/>
      <c r="X1510" s="678" t="s">
        <v>159</v>
      </c>
      <c r="Y1510" s="678"/>
      <c r="Z1510" s="678"/>
      <c r="AA1510" s="678"/>
      <c r="AB1510" s="679" t="s">
        <v>159</v>
      </c>
      <c r="AC1510" s="679"/>
      <c r="AD1510" s="679"/>
      <c r="AE1510" s="679"/>
      <c r="AF1510" s="680"/>
      <c r="AG1510" s="681"/>
      <c r="AH1510" s="680"/>
      <c r="AI1510" s="681"/>
      <c r="AJ1510" s="682"/>
      <c r="AK1510" s="683"/>
      <c r="AL1510" s="684" t="s">
        <v>162</v>
      </c>
      <c r="AM1510" s="685"/>
      <c r="AN1510" s="666" t="s">
        <v>162</v>
      </c>
      <c r="AO1510" s="667"/>
      <c r="AP1510" s="686"/>
      <c r="AQ1510" s="687"/>
      <c r="AR1510" s="688"/>
      <c r="AS1510" s="689"/>
      <c r="AT1510" s="690"/>
      <c r="AU1510" s="691"/>
      <c r="AV1510" s="666" t="s">
        <v>162</v>
      </c>
      <c r="AW1510" s="667"/>
      <c r="AX1510" s="692"/>
      <c r="AY1510" s="693"/>
      <c r="AZ1510" s="694"/>
      <c r="BA1510" s="682"/>
      <c r="BB1510" s="683"/>
      <c r="BC1510" s="14"/>
      <c r="BD1510" s="695" t="s">
        <v>162</v>
      </c>
      <c r="BE1510" s="696"/>
      <c r="BF1510" s="697"/>
      <c r="BG1510" s="698"/>
      <c r="BH1510" s="698"/>
      <c r="BI1510" s="699"/>
      <c r="BJ1510" s="700" t="s">
        <v>159</v>
      </c>
      <c r="BK1510" s="701"/>
      <c r="BL1510" s="701"/>
      <c r="BM1510" s="702"/>
      <c r="BN1510" s="703" t="s">
        <v>159</v>
      </c>
      <c r="BO1510" s="704"/>
      <c r="BP1510" s="704"/>
      <c r="BQ1510" s="704"/>
      <c r="BR1510" s="704"/>
      <c r="BS1510" s="704"/>
      <c r="BT1510" s="704"/>
      <c r="BU1510" s="704"/>
      <c r="BV1510" s="705"/>
    </row>
    <row r="1511" spans="1:74" ht="45" customHeight="1" x14ac:dyDescent="0.25">
      <c r="A1511" s="10">
        <f t="shared" si="23"/>
        <v>1497</v>
      </c>
      <c r="B1511" s="711" t="s">
        <v>159</v>
      </c>
      <c r="C1511" s="711"/>
      <c r="D1511" s="712" t="s">
        <v>212</v>
      </c>
      <c r="E1511" s="712"/>
      <c r="F1511" s="664" t="s">
        <v>162</v>
      </c>
      <c r="G1511" s="665"/>
      <c r="H1511" s="713" t="s">
        <v>162</v>
      </c>
      <c r="I1511" s="714"/>
      <c r="J1511" s="715"/>
      <c r="K1511" s="716"/>
      <c r="L1511" s="715"/>
      <c r="M1511" s="716"/>
      <c r="N1511" s="194"/>
      <c r="O1511" s="196"/>
      <c r="P1511" s="717"/>
      <c r="Q1511" s="718"/>
      <c r="R1511" s="719"/>
      <c r="S1511" s="720"/>
      <c r="T1511" s="721"/>
      <c r="U1511" s="722"/>
      <c r="V1511" s="723"/>
      <c r="W1511" s="724"/>
      <c r="X1511" s="725" t="s">
        <v>159</v>
      </c>
      <c r="Y1511" s="725"/>
      <c r="Z1511" s="725"/>
      <c r="AA1511" s="725"/>
      <c r="AB1511" s="726" t="s">
        <v>159</v>
      </c>
      <c r="AC1511" s="726"/>
      <c r="AD1511" s="726"/>
      <c r="AE1511" s="726"/>
      <c r="AF1511" s="727"/>
      <c r="AG1511" s="728"/>
      <c r="AH1511" s="727"/>
      <c r="AI1511" s="728"/>
      <c r="AJ1511" s="682"/>
      <c r="AK1511" s="683"/>
      <c r="AL1511" s="664" t="s">
        <v>162</v>
      </c>
      <c r="AM1511" s="665"/>
      <c r="AN1511" s="713" t="s">
        <v>162</v>
      </c>
      <c r="AO1511" s="714"/>
      <c r="AP1511" s="729"/>
      <c r="AQ1511" s="730"/>
      <c r="AR1511" s="731"/>
      <c r="AS1511" s="732"/>
      <c r="AT1511" s="690"/>
      <c r="AU1511" s="691"/>
      <c r="AV1511" s="713" t="s">
        <v>162</v>
      </c>
      <c r="AW1511" s="714"/>
      <c r="AX1511" s="692"/>
      <c r="AY1511" s="693"/>
      <c r="AZ1511" s="694"/>
      <c r="BA1511" s="735"/>
      <c r="BB1511" s="736"/>
      <c r="BC1511" s="219"/>
      <c r="BD1511" s="737" t="s">
        <v>162</v>
      </c>
      <c r="BE1511" s="738"/>
      <c r="BF1511" s="739"/>
      <c r="BG1511" s="740"/>
      <c r="BH1511" s="740"/>
      <c r="BI1511" s="741"/>
      <c r="BJ1511" s="742" t="s">
        <v>159</v>
      </c>
      <c r="BK1511" s="743"/>
      <c r="BL1511" s="743"/>
      <c r="BM1511" s="744"/>
      <c r="BN1511" s="703" t="s">
        <v>159</v>
      </c>
      <c r="BO1511" s="704"/>
      <c r="BP1511" s="704"/>
      <c r="BQ1511" s="704"/>
      <c r="BR1511" s="704"/>
      <c r="BS1511" s="704"/>
      <c r="BT1511" s="704"/>
      <c r="BU1511" s="704"/>
      <c r="BV1511" s="705"/>
    </row>
    <row r="1512" spans="1:74" ht="45" customHeight="1" x14ac:dyDescent="0.25">
      <c r="A1512" s="10">
        <f t="shared" si="23"/>
        <v>1498</v>
      </c>
      <c r="B1512" s="662" t="s">
        <v>159</v>
      </c>
      <c r="C1512" s="662"/>
      <c r="D1512" s="663" t="s">
        <v>212</v>
      </c>
      <c r="E1512" s="663"/>
      <c r="F1512" s="664" t="s">
        <v>162</v>
      </c>
      <c r="G1512" s="665"/>
      <c r="H1512" s="666" t="s">
        <v>162</v>
      </c>
      <c r="I1512" s="667"/>
      <c r="J1512" s="706"/>
      <c r="K1512" s="707"/>
      <c r="L1512" s="706"/>
      <c r="M1512" s="707"/>
      <c r="N1512" s="215"/>
      <c r="O1512" s="216"/>
      <c r="P1512" s="670"/>
      <c r="Q1512" s="671"/>
      <c r="R1512" s="672"/>
      <c r="S1512" s="673"/>
      <c r="T1512" s="674"/>
      <c r="U1512" s="675"/>
      <c r="V1512" s="676"/>
      <c r="W1512" s="677"/>
      <c r="X1512" s="678" t="s">
        <v>159</v>
      </c>
      <c r="Y1512" s="678"/>
      <c r="Z1512" s="678"/>
      <c r="AA1512" s="678"/>
      <c r="AB1512" s="679" t="s">
        <v>159</v>
      </c>
      <c r="AC1512" s="679"/>
      <c r="AD1512" s="679"/>
      <c r="AE1512" s="679"/>
      <c r="AF1512" s="680"/>
      <c r="AG1512" s="681"/>
      <c r="AH1512" s="680"/>
      <c r="AI1512" s="681"/>
      <c r="AJ1512" s="682"/>
      <c r="AK1512" s="683"/>
      <c r="AL1512" s="684" t="s">
        <v>162</v>
      </c>
      <c r="AM1512" s="685"/>
      <c r="AN1512" s="666" t="s">
        <v>162</v>
      </c>
      <c r="AO1512" s="667"/>
      <c r="AP1512" s="686"/>
      <c r="AQ1512" s="687"/>
      <c r="AR1512" s="688"/>
      <c r="AS1512" s="689"/>
      <c r="AT1512" s="690"/>
      <c r="AU1512" s="691"/>
      <c r="AV1512" s="666" t="s">
        <v>162</v>
      </c>
      <c r="AW1512" s="667"/>
      <c r="AX1512" s="692"/>
      <c r="AY1512" s="693"/>
      <c r="AZ1512" s="694"/>
      <c r="BA1512" s="682"/>
      <c r="BB1512" s="683"/>
      <c r="BC1512" s="14"/>
      <c r="BD1512" s="695" t="s">
        <v>162</v>
      </c>
      <c r="BE1512" s="696"/>
      <c r="BF1512" s="697"/>
      <c r="BG1512" s="698"/>
      <c r="BH1512" s="698"/>
      <c r="BI1512" s="699"/>
      <c r="BJ1512" s="700" t="s">
        <v>159</v>
      </c>
      <c r="BK1512" s="701"/>
      <c r="BL1512" s="701"/>
      <c r="BM1512" s="702"/>
      <c r="BN1512" s="703" t="s">
        <v>159</v>
      </c>
      <c r="BO1512" s="704"/>
      <c r="BP1512" s="704"/>
      <c r="BQ1512" s="704"/>
      <c r="BR1512" s="704"/>
      <c r="BS1512" s="704"/>
      <c r="BT1512" s="704"/>
      <c r="BU1512" s="704"/>
      <c r="BV1512" s="705"/>
    </row>
    <row r="1513" spans="1:74" ht="45" customHeight="1" x14ac:dyDescent="0.25">
      <c r="A1513" s="10">
        <f t="shared" si="23"/>
        <v>1499</v>
      </c>
      <c r="B1513" s="711" t="s">
        <v>159</v>
      </c>
      <c r="C1513" s="711"/>
      <c r="D1513" s="712" t="s">
        <v>212</v>
      </c>
      <c r="E1513" s="712"/>
      <c r="F1513" s="664" t="s">
        <v>162</v>
      </c>
      <c r="G1513" s="665"/>
      <c r="H1513" s="713" t="s">
        <v>162</v>
      </c>
      <c r="I1513" s="714"/>
      <c r="J1513" s="715"/>
      <c r="K1513" s="716"/>
      <c r="L1513" s="715"/>
      <c r="M1513" s="716"/>
      <c r="N1513" s="194"/>
      <c r="O1513" s="216"/>
      <c r="P1513" s="717"/>
      <c r="Q1513" s="718"/>
      <c r="R1513" s="719"/>
      <c r="S1513" s="720"/>
      <c r="T1513" s="721"/>
      <c r="U1513" s="722"/>
      <c r="V1513" s="723"/>
      <c r="W1513" s="724"/>
      <c r="X1513" s="725" t="s">
        <v>159</v>
      </c>
      <c r="Y1513" s="725"/>
      <c r="Z1513" s="725"/>
      <c r="AA1513" s="725"/>
      <c r="AB1513" s="726" t="s">
        <v>159</v>
      </c>
      <c r="AC1513" s="726"/>
      <c r="AD1513" s="726"/>
      <c r="AE1513" s="726"/>
      <c r="AF1513" s="727"/>
      <c r="AG1513" s="728"/>
      <c r="AH1513" s="727"/>
      <c r="AI1513" s="728"/>
      <c r="AJ1513" s="682"/>
      <c r="AK1513" s="683"/>
      <c r="AL1513" s="664" t="s">
        <v>162</v>
      </c>
      <c r="AM1513" s="665"/>
      <c r="AN1513" s="713" t="s">
        <v>162</v>
      </c>
      <c r="AO1513" s="714"/>
      <c r="AP1513" s="729"/>
      <c r="AQ1513" s="730"/>
      <c r="AR1513" s="731"/>
      <c r="AS1513" s="732"/>
      <c r="AT1513" s="733"/>
      <c r="AU1513" s="734"/>
      <c r="AV1513" s="713" t="s">
        <v>162</v>
      </c>
      <c r="AW1513" s="714"/>
      <c r="AX1513" s="692"/>
      <c r="AY1513" s="693"/>
      <c r="AZ1513" s="694"/>
      <c r="BA1513" s="735"/>
      <c r="BB1513" s="736"/>
      <c r="BC1513" s="219"/>
      <c r="BD1513" s="737" t="s">
        <v>162</v>
      </c>
      <c r="BE1513" s="738"/>
      <c r="BF1513" s="739"/>
      <c r="BG1513" s="740"/>
      <c r="BH1513" s="740"/>
      <c r="BI1513" s="741"/>
      <c r="BJ1513" s="742" t="s">
        <v>159</v>
      </c>
      <c r="BK1513" s="743"/>
      <c r="BL1513" s="743"/>
      <c r="BM1513" s="744"/>
      <c r="BN1513" s="703" t="s">
        <v>159</v>
      </c>
      <c r="BO1513" s="704"/>
      <c r="BP1513" s="704"/>
      <c r="BQ1513" s="704"/>
      <c r="BR1513" s="704"/>
      <c r="BS1513" s="704"/>
      <c r="BT1513" s="704"/>
      <c r="BU1513" s="704"/>
      <c r="BV1513" s="705"/>
    </row>
    <row r="1514" spans="1:74" ht="45" customHeight="1" x14ac:dyDescent="0.25">
      <c r="A1514" s="10">
        <f t="shared" si="23"/>
        <v>1500</v>
      </c>
      <c r="B1514" s="662" t="s">
        <v>159</v>
      </c>
      <c r="C1514" s="662"/>
      <c r="D1514" s="663" t="s">
        <v>212</v>
      </c>
      <c r="E1514" s="663"/>
      <c r="F1514" s="664" t="s">
        <v>162</v>
      </c>
      <c r="G1514" s="665"/>
      <c r="H1514" s="666" t="s">
        <v>162</v>
      </c>
      <c r="I1514" s="667"/>
      <c r="J1514" s="706"/>
      <c r="K1514" s="707"/>
      <c r="L1514" s="706"/>
      <c r="M1514" s="707"/>
      <c r="N1514" s="215"/>
      <c r="O1514" s="196"/>
      <c r="P1514" s="670"/>
      <c r="Q1514" s="671"/>
      <c r="R1514" s="672"/>
      <c r="S1514" s="673"/>
      <c r="T1514" s="674"/>
      <c r="U1514" s="675"/>
      <c r="V1514" s="676"/>
      <c r="W1514" s="677"/>
      <c r="X1514" s="678" t="s">
        <v>159</v>
      </c>
      <c r="Y1514" s="678"/>
      <c r="Z1514" s="678"/>
      <c r="AA1514" s="678"/>
      <c r="AB1514" s="679" t="s">
        <v>159</v>
      </c>
      <c r="AC1514" s="679"/>
      <c r="AD1514" s="679"/>
      <c r="AE1514" s="679"/>
      <c r="AF1514" s="680"/>
      <c r="AG1514" s="681"/>
      <c r="AH1514" s="680"/>
      <c r="AI1514" s="681"/>
      <c r="AJ1514" s="682"/>
      <c r="AK1514" s="683"/>
      <c r="AL1514" s="684" t="s">
        <v>162</v>
      </c>
      <c r="AM1514" s="685"/>
      <c r="AN1514" s="666" t="s">
        <v>162</v>
      </c>
      <c r="AO1514" s="667"/>
      <c r="AP1514" s="686"/>
      <c r="AQ1514" s="687"/>
      <c r="AR1514" s="688"/>
      <c r="AS1514" s="689"/>
      <c r="AT1514" s="690"/>
      <c r="AU1514" s="691"/>
      <c r="AV1514" s="666" t="s">
        <v>162</v>
      </c>
      <c r="AW1514" s="667"/>
      <c r="AX1514" s="692"/>
      <c r="AY1514" s="693"/>
      <c r="AZ1514" s="694"/>
      <c r="BA1514" s="682"/>
      <c r="BB1514" s="683"/>
      <c r="BC1514" s="14"/>
      <c r="BD1514" s="695" t="s">
        <v>162</v>
      </c>
      <c r="BE1514" s="696"/>
      <c r="BF1514" s="708"/>
      <c r="BG1514" s="709"/>
      <c r="BH1514" s="709"/>
      <c r="BI1514" s="710"/>
      <c r="BJ1514" s="700" t="s">
        <v>159</v>
      </c>
      <c r="BK1514" s="701"/>
      <c r="BL1514" s="701"/>
      <c r="BM1514" s="702"/>
      <c r="BN1514" s="703" t="s">
        <v>159</v>
      </c>
      <c r="BO1514" s="704"/>
      <c r="BP1514" s="704"/>
      <c r="BQ1514" s="704"/>
      <c r="BR1514" s="704"/>
      <c r="BS1514" s="704"/>
      <c r="BT1514" s="704"/>
      <c r="BU1514" s="704"/>
      <c r="BV1514" s="705"/>
    </row>
    <row r="1515" spans="1:74" ht="45" customHeight="1" x14ac:dyDescent="0.25">
      <c r="A1515" s="10">
        <f t="shared" si="23"/>
        <v>1501</v>
      </c>
      <c r="B1515" s="711" t="s">
        <v>159</v>
      </c>
      <c r="C1515" s="711"/>
      <c r="D1515" s="712" t="s">
        <v>212</v>
      </c>
      <c r="E1515" s="712"/>
      <c r="F1515" s="664" t="s">
        <v>162</v>
      </c>
      <c r="G1515" s="665"/>
      <c r="H1515" s="713" t="s">
        <v>162</v>
      </c>
      <c r="I1515" s="714"/>
      <c r="J1515" s="715"/>
      <c r="K1515" s="716"/>
      <c r="L1515" s="715"/>
      <c r="M1515" s="716"/>
      <c r="N1515" s="194"/>
      <c r="O1515" s="216"/>
      <c r="P1515" s="717"/>
      <c r="Q1515" s="718"/>
      <c r="R1515" s="719"/>
      <c r="S1515" s="720"/>
      <c r="T1515" s="721"/>
      <c r="U1515" s="722"/>
      <c r="V1515" s="723"/>
      <c r="W1515" s="724"/>
      <c r="X1515" s="725" t="s">
        <v>159</v>
      </c>
      <c r="Y1515" s="725"/>
      <c r="Z1515" s="725"/>
      <c r="AA1515" s="725"/>
      <c r="AB1515" s="726" t="s">
        <v>159</v>
      </c>
      <c r="AC1515" s="726"/>
      <c r="AD1515" s="726"/>
      <c r="AE1515" s="726"/>
      <c r="AF1515" s="727"/>
      <c r="AG1515" s="728"/>
      <c r="AH1515" s="727"/>
      <c r="AI1515" s="728"/>
      <c r="AJ1515" s="682"/>
      <c r="AK1515" s="683"/>
      <c r="AL1515" s="664" t="s">
        <v>162</v>
      </c>
      <c r="AM1515" s="665"/>
      <c r="AN1515" s="713" t="s">
        <v>162</v>
      </c>
      <c r="AO1515" s="714"/>
      <c r="AP1515" s="729"/>
      <c r="AQ1515" s="730"/>
      <c r="AR1515" s="731"/>
      <c r="AS1515" s="732"/>
      <c r="AT1515" s="733"/>
      <c r="AU1515" s="734"/>
      <c r="AV1515" s="713" t="s">
        <v>162</v>
      </c>
      <c r="AW1515" s="714"/>
      <c r="AX1515" s="692"/>
      <c r="AY1515" s="693"/>
      <c r="AZ1515" s="694"/>
      <c r="BA1515" s="735"/>
      <c r="BB1515" s="736"/>
      <c r="BC1515" s="219"/>
      <c r="BD1515" s="737" t="s">
        <v>162</v>
      </c>
      <c r="BE1515" s="738"/>
      <c r="BF1515" s="739"/>
      <c r="BG1515" s="740"/>
      <c r="BH1515" s="740"/>
      <c r="BI1515" s="741"/>
      <c r="BJ1515" s="742" t="s">
        <v>159</v>
      </c>
      <c r="BK1515" s="743"/>
      <c r="BL1515" s="743"/>
      <c r="BM1515" s="744"/>
      <c r="BN1515" s="703" t="s">
        <v>159</v>
      </c>
      <c r="BO1515" s="704"/>
      <c r="BP1515" s="704"/>
      <c r="BQ1515" s="704"/>
      <c r="BR1515" s="704"/>
      <c r="BS1515" s="704"/>
      <c r="BT1515" s="704"/>
      <c r="BU1515" s="704"/>
      <c r="BV1515" s="705"/>
    </row>
    <row r="1516" spans="1:74" ht="45" customHeight="1" x14ac:dyDescent="0.25">
      <c r="A1516" s="10">
        <f t="shared" si="23"/>
        <v>1502</v>
      </c>
      <c r="B1516" s="662" t="s">
        <v>159</v>
      </c>
      <c r="C1516" s="662"/>
      <c r="D1516" s="663" t="s">
        <v>212</v>
      </c>
      <c r="E1516" s="663"/>
      <c r="F1516" s="664" t="s">
        <v>162</v>
      </c>
      <c r="G1516" s="665"/>
      <c r="H1516" s="666" t="s">
        <v>162</v>
      </c>
      <c r="I1516" s="667"/>
      <c r="J1516" s="706"/>
      <c r="K1516" s="707"/>
      <c r="L1516" s="706"/>
      <c r="M1516" s="707"/>
      <c r="N1516" s="215"/>
      <c r="O1516" s="196"/>
      <c r="P1516" s="670"/>
      <c r="Q1516" s="671"/>
      <c r="R1516" s="672"/>
      <c r="S1516" s="673"/>
      <c r="T1516" s="674"/>
      <c r="U1516" s="675"/>
      <c r="V1516" s="676"/>
      <c r="W1516" s="677"/>
      <c r="X1516" s="678" t="s">
        <v>159</v>
      </c>
      <c r="Y1516" s="678"/>
      <c r="Z1516" s="678"/>
      <c r="AA1516" s="678"/>
      <c r="AB1516" s="679" t="s">
        <v>159</v>
      </c>
      <c r="AC1516" s="679"/>
      <c r="AD1516" s="679"/>
      <c r="AE1516" s="679"/>
      <c r="AF1516" s="680"/>
      <c r="AG1516" s="681"/>
      <c r="AH1516" s="680"/>
      <c r="AI1516" s="681"/>
      <c r="AJ1516" s="682"/>
      <c r="AK1516" s="683"/>
      <c r="AL1516" s="684" t="s">
        <v>162</v>
      </c>
      <c r="AM1516" s="685"/>
      <c r="AN1516" s="666" t="s">
        <v>162</v>
      </c>
      <c r="AO1516" s="667"/>
      <c r="AP1516" s="686"/>
      <c r="AQ1516" s="687"/>
      <c r="AR1516" s="688"/>
      <c r="AS1516" s="689"/>
      <c r="AT1516" s="690"/>
      <c r="AU1516" s="691"/>
      <c r="AV1516" s="666" t="s">
        <v>162</v>
      </c>
      <c r="AW1516" s="667"/>
      <c r="AX1516" s="692"/>
      <c r="AY1516" s="693"/>
      <c r="AZ1516" s="694"/>
      <c r="BA1516" s="682"/>
      <c r="BB1516" s="683"/>
      <c r="BC1516" s="14"/>
      <c r="BD1516" s="695" t="s">
        <v>162</v>
      </c>
      <c r="BE1516" s="696"/>
      <c r="BF1516" s="697"/>
      <c r="BG1516" s="698"/>
      <c r="BH1516" s="698"/>
      <c r="BI1516" s="699"/>
      <c r="BJ1516" s="700" t="s">
        <v>159</v>
      </c>
      <c r="BK1516" s="701"/>
      <c r="BL1516" s="701"/>
      <c r="BM1516" s="702"/>
      <c r="BN1516" s="703" t="s">
        <v>159</v>
      </c>
      <c r="BO1516" s="704"/>
      <c r="BP1516" s="704"/>
      <c r="BQ1516" s="704"/>
      <c r="BR1516" s="704"/>
      <c r="BS1516" s="704"/>
      <c r="BT1516" s="704"/>
      <c r="BU1516" s="704"/>
      <c r="BV1516" s="705"/>
    </row>
    <row r="1517" spans="1:74" ht="45" customHeight="1" x14ac:dyDescent="0.25">
      <c r="A1517" s="10">
        <f t="shared" si="23"/>
        <v>1503</v>
      </c>
      <c r="B1517" s="711" t="s">
        <v>159</v>
      </c>
      <c r="C1517" s="711"/>
      <c r="D1517" s="712" t="s">
        <v>212</v>
      </c>
      <c r="E1517" s="712"/>
      <c r="F1517" s="664" t="s">
        <v>162</v>
      </c>
      <c r="G1517" s="665"/>
      <c r="H1517" s="713" t="s">
        <v>162</v>
      </c>
      <c r="I1517" s="714"/>
      <c r="J1517" s="715"/>
      <c r="K1517" s="716"/>
      <c r="L1517" s="715"/>
      <c r="M1517" s="716"/>
      <c r="N1517" s="194"/>
      <c r="O1517" s="216"/>
      <c r="P1517" s="717"/>
      <c r="Q1517" s="718"/>
      <c r="R1517" s="719"/>
      <c r="S1517" s="720"/>
      <c r="T1517" s="721"/>
      <c r="U1517" s="722"/>
      <c r="V1517" s="723"/>
      <c r="W1517" s="724"/>
      <c r="X1517" s="725" t="s">
        <v>159</v>
      </c>
      <c r="Y1517" s="725"/>
      <c r="Z1517" s="725"/>
      <c r="AA1517" s="725"/>
      <c r="AB1517" s="726" t="s">
        <v>159</v>
      </c>
      <c r="AC1517" s="726"/>
      <c r="AD1517" s="726"/>
      <c r="AE1517" s="726"/>
      <c r="AF1517" s="727"/>
      <c r="AG1517" s="728"/>
      <c r="AH1517" s="727"/>
      <c r="AI1517" s="728"/>
      <c r="AJ1517" s="682"/>
      <c r="AK1517" s="683"/>
      <c r="AL1517" s="664" t="s">
        <v>162</v>
      </c>
      <c r="AM1517" s="665"/>
      <c r="AN1517" s="713" t="s">
        <v>162</v>
      </c>
      <c r="AO1517" s="714"/>
      <c r="AP1517" s="729"/>
      <c r="AQ1517" s="730"/>
      <c r="AR1517" s="731"/>
      <c r="AS1517" s="732"/>
      <c r="AT1517" s="733"/>
      <c r="AU1517" s="734"/>
      <c r="AV1517" s="713" t="s">
        <v>162</v>
      </c>
      <c r="AW1517" s="714"/>
      <c r="AX1517" s="692"/>
      <c r="AY1517" s="693"/>
      <c r="AZ1517" s="694"/>
      <c r="BA1517" s="735"/>
      <c r="BB1517" s="736"/>
      <c r="BC1517" s="219"/>
      <c r="BD1517" s="737" t="s">
        <v>162</v>
      </c>
      <c r="BE1517" s="738"/>
      <c r="BF1517" s="739"/>
      <c r="BG1517" s="740"/>
      <c r="BH1517" s="740"/>
      <c r="BI1517" s="741"/>
      <c r="BJ1517" s="742" t="s">
        <v>159</v>
      </c>
      <c r="BK1517" s="743"/>
      <c r="BL1517" s="743"/>
      <c r="BM1517" s="744"/>
      <c r="BN1517" s="703" t="s">
        <v>159</v>
      </c>
      <c r="BO1517" s="704"/>
      <c r="BP1517" s="704"/>
      <c r="BQ1517" s="704"/>
      <c r="BR1517" s="704"/>
      <c r="BS1517" s="704"/>
      <c r="BT1517" s="704"/>
      <c r="BU1517" s="704"/>
      <c r="BV1517" s="705"/>
    </row>
    <row r="1518" spans="1:74" ht="45" customHeight="1" x14ac:dyDescent="0.25">
      <c r="A1518" s="10">
        <f t="shared" si="23"/>
        <v>1504</v>
      </c>
      <c r="B1518" s="662" t="s">
        <v>159</v>
      </c>
      <c r="C1518" s="662"/>
      <c r="D1518" s="663" t="s">
        <v>212</v>
      </c>
      <c r="E1518" s="663"/>
      <c r="F1518" s="664" t="s">
        <v>162</v>
      </c>
      <c r="G1518" s="665"/>
      <c r="H1518" s="666" t="s">
        <v>162</v>
      </c>
      <c r="I1518" s="667"/>
      <c r="J1518" s="706"/>
      <c r="K1518" s="707"/>
      <c r="L1518" s="706"/>
      <c r="M1518" s="707"/>
      <c r="N1518" s="215"/>
      <c r="O1518" s="196"/>
      <c r="P1518" s="670"/>
      <c r="Q1518" s="671"/>
      <c r="R1518" s="672"/>
      <c r="S1518" s="673"/>
      <c r="T1518" s="674"/>
      <c r="U1518" s="675"/>
      <c r="V1518" s="676"/>
      <c r="W1518" s="677"/>
      <c r="X1518" s="678" t="s">
        <v>159</v>
      </c>
      <c r="Y1518" s="678"/>
      <c r="Z1518" s="678"/>
      <c r="AA1518" s="678"/>
      <c r="AB1518" s="679" t="s">
        <v>159</v>
      </c>
      <c r="AC1518" s="679"/>
      <c r="AD1518" s="679"/>
      <c r="AE1518" s="679"/>
      <c r="AF1518" s="680"/>
      <c r="AG1518" s="681"/>
      <c r="AH1518" s="680"/>
      <c r="AI1518" s="681"/>
      <c r="AJ1518" s="682"/>
      <c r="AK1518" s="683"/>
      <c r="AL1518" s="684" t="s">
        <v>162</v>
      </c>
      <c r="AM1518" s="685"/>
      <c r="AN1518" s="666" t="s">
        <v>162</v>
      </c>
      <c r="AO1518" s="667"/>
      <c r="AP1518" s="686"/>
      <c r="AQ1518" s="687"/>
      <c r="AR1518" s="688"/>
      <c r="AS1518" s="689"/>
      <c r="AT1518" s="690"/>
      <c r="AU1518" s="691"/>
      <c r="AV1518" s="666" t="s">
        <v>162</v>
      </c>
      <c r="AW1518" s="667"/>
      <c r="AX1518" s="692"/>
      <c r="AY1518" s="693"/>
      <c r="AZ1518" s="694"/>
      <c r="BA1518" s="682"/>
      <c r="BB1518" s="683"/>
      <c r="BC1518" s="14"/>
      <c r="BD1518" s="695" t="s">
        <v>162</v>
      </c>
      <c r="BE1518" s="696"/>
      <c r="BF1518" s="697"/>
      <c r="BG1518" s="698"/>
      <c r="BH1518" s="698"/>
      <c r="BI1518" s="699"/>
      <c r="BJ1518" s="700" t="s">
        <v>159</v>
      </c>
      <c r="BK1518" s="701"/>
      <c r="BL1518" s="701"/>
      <c r="BM1518" s="702"/>
      <c r="BN1518" s="703" t="s">
        <v>159</v>
      </c>
      <c r="BO1518" s="704"/>
      <c r="BP1518" s="704"/>
      <c r="BQ1518" s="704"/>
      <c r="BR1518" s="704"/>
      <c r="BS1518" s="704"/>
      <c r="BT1518" s="704"/>
      <c r="BU1518" s="704"/>
      <c r="BV1518" s="705"/>
    </row>
    <row r="1519" spans="1:74" ht="45" customHeight="1" x14ac:dyDescent="0.25">
      <c r="A1519" s="10">
        <f t="shared" si="23"/>
        <v>1505</v>
      </c>
      <c r="B1519" s="711" t="s">
        <v>159</v>
      </c>
      <c r="C1519" s="711"/>
      <c r="D1519" s="712" t="s">
        <v>212</v>
      </c>
      <c r="E1519" s="712"/>
      <c r="F1519" s="664" t="s">
        <v>162</v>
      </c>
      <c r="G1519" s="665"/>
      <c r="H1519" s="713" t="s">
        <v>162</v>
      </c>
      <c r="I1519" s="714"/>
      <c r="J1519" s="715"/>
      <c r="K1519" s="716"/>
      <c r="L1519" s="715"/>
      <c r="M1519" s="716"/>
      <c r="N1519" s="194"/>
      <c r="O1519" s="216"/>
      <c r="P1519" s="717"/>
      <c r="Q1519" s="718"/>
      <c r="R1519" s="719"/>
      <c r="S1519" s="720"/>
      <c r="T1519" s="721"/>
      <c r="U1519" s="722"/>
      <c r="V1519" s="723"/>
      <c r="W1519" s="724"/>
      <c r="X1519" s="725" t="s">
        <v>159</v>
      </c>
      <c r="Y1519" s="725"/>
      <c r="Z1519" s="725"/>
      <c r="AA1519" s="725"/>
      <c r="AB1519" s="726" t="s">
        <v>159</v>
      </c>
      <c r="AC1519" s="726"/>
      <c r="AD1519" s="726"/>
      <c r="AE1519" s="726"/>
      <c r="AF1519" s="727"/>
      <c r="AG1519" s="728"/>
      <c r="AH1519" s="727"/>
      <c r="AI1519" s="728"/>
      <c r="AJ1519" s="682"/>
      <c r="AK1519" s="683"/>
      <c r="AL1519" s="664" t="s">
        <v>162</v>
      </c>
      <c r="AM1519" s="665"/>
      <c r="AN1519" s="713" t="s">
        <v>162</v>
      </c>
      <c r="AO1519" s="714"/>
      <c r="AP1519" s="729"/>
      <c r="AQ1519" s="730"/>
      <c r="AR1519" s="731"/>
      <c r="AS1519" s="732"/>
      <c r="AT1519" s="733"/>
      <c r="AU1519" s="734"/>
      <c r="AV1519" s="713" t="s">
        <v>162</v>
      </c>
      <c r="AW1519" s="714"/>
      <c r="AX1519" s="692"/>
      <c r="AY1519" s="693"/>
      <c r="AZ1519" s="694"/>
      <c r="BA1519" s="735"/>
      <c r="BB1519" s="736"/>
      <c r="BC1519" s="219"/>
      <c r="BD1519" s="737" t="s">
        <v>162</v>
      </c>
      <c r="BE1519" s="738"/>
      <c r="BF1519" s="739"/>
      <c r="BG1519" s="740"/>
      <c r="BH1519" s="740"/>
      <c r="BI1519" s="741"/>
      <c r="BJ1519" s="742" t="s">
        <v>159</v>
      </c>
      <c r="BK1519" s="743"/>
      <c r="BL1519" s="743"/>
      <c r="BM1519" s="744"/>
      <c r="BN1519" s="703" t="s">
        <v>159</v>
      </c>
      <c r="BO1519" s="704"/>
      <c r="BP1519" s="704"/>
      <c r="BQ1519" s="704"/>
      <c r="BR1519" s="704"/>
      <c r="BS1519" s="704"/>
      <c r="BT1519" s="704"/>
      <c r="BU1519" s="704"/>
      <c r="BV1519" s="705"/>
    </row>
    <row r="1520" spans="1:74" ht="45" customHeight="1" x14ac:dyDescent="0.25">
      <c r="A1520" s="10">
        <f t="shared" si="23"/>
        <v>1506</v>
      </c>
      <c r="B1520" s="662" t="s">
        <v>159</v>
      </c>
      <c r="C1520" s="662"/>
      <c r="D1520" s="663" t="s">
        <v>212</v>
      </c>
      <c r="E1520" s="663"/>
      <c r="F1520" s="664" t="s">
        <v>162</v>
      </c>
      <c r="G1520" s="665"/>
      <c r="H1520" s="666" t="s">
        <v>162</v>
      </c>
      <c r="I1520" s="667"/>
      <c r="J1520" s="706"/>
      <c r="K1520" s="707"/>
      <c r="L1520" s="706"/>
      <c r="M1520" s="707"/>
      <c r="N1520" s="215"/>
      <c r="O1520" s="196"/>
      <c r="P1520" s="670"/>
      <c r="Q1520" s="671"/>
      <c r="R1520" s="672"/>
      <c r="S1520" s="673"/>
      <c r="T1520" s="674"/>
      <c r="U1520" s="675"/>
      <c r="V1520" s="676"/>
      <c r="W1520" s="677"/>
      <c r="X1520" s="678" t="s">
        <v>159</v>
      </c>
      <c r="Y1520" s="678"/>
      <c r="Z1520" s="678"/>
      <c r="AA1520" s="678"/>
      <c r="AB1520" s="679" t="s">
        <v>159</v>
      </c>
      <c r="AC1520" s="679"/>
      <c r="AD1520" s="679"/>
      <c r="AE1520" s="679"/>
      <c r="AF1520" s="680"/>
      <c r="AG1520" s="681"/>
      <c r="AH1520" s="680"/>
      <c r="AI1520" s="681"/>
      <c r="AJ1520" s="682"/>
      <c r="AK1520" s="683"/>
      <c r="AL1520" s="684" t="s">
        <v>162</v>
      </c>
      <c r="AM1520" s="685"/>
      <c r="AN1520" s="666" t="s">
        <v>162</v>
      </c>
      <c r="AO1520" s="667"/>
      <c r="AP1520" s="686"/>
      <c r="AQ1520" s="687"/>
      <c r="AR1520" s="688"/>
      <c r="AS1520" s="689"/>
      <c r="AT1520" s="690"/>
      <c r="AU1520" s="691"/>
      <c r="AV1520" s="666" t="s">
        <v>162</v>
      </c>
      <c r="AW1520" s="667"/>
      <c r="AX1520" s="692"/>
      <c r="AY1520" s="693"/>
      <c r="AZ1520" s="694"/>
      <c r="BA1520" s="682"/>
      <c r="BB1520" s="683"/>
      <c r="BC1520" s="14"/>
      <c r="BD1520" s="695" t="s">
        <v>162</v>
      </c>
      <c r="BE1520" s="696"/>
      <c r="BF1520" s="708"/>
      <c r="BG1520" s="709"/>
      <c r="BH1520" s="709"/>
      <c r="BI1520" s="710"/>
      <c r="BJ1520" s="700" t="s">
        <v>159</v>
      </c>
      <c r="BK1520" s="701"/>
      <c r="BL1520" s="701"/>
      <c r="BM1520" s="702"/>
      <c r="BN1520" s="703" t="s">
        <v>159</v>
      </c>
      <c r="BO1520" s="704"/>
      <c r="BP1520" s="704"/>
      <c r="BQ1520" s="704"/>
      <c r="BR1520" s="704"/>
      <c r="BS1520" s="704"/>
      <c r="BT1520" s="704"/>
      <c r="BU1520" s="704"/>
      <c r="BV1520" s="705"/>
    </row>
    <row r="1521" spans="1:74" ht="45" customHeight="1" x14ac:dyDescent="0.25">
      <c r="A1521" s="10">
        <f t="shared" si="23"/>
        <v>1507</v>
      </c>
      <c r="B1521" s="711" t="s">
        <v>159</v>
      </c>
      <c r="C1521" s="711"/>
      <c r="D1521" s="712" t="s">
        <v>212</v>
      </c>
      <c r="E1521" s="712"/>
      <c r="F1521" s="664" t="s">
        <v>162</v>
      </c>
      <c r="G1521" s="665"/>
      <c r="H1521" s="713" t="s">
        <v>162</v>
      </c>
      <c r="I1521" s="714"/>
      <c r="J1521" s="715"/>
      <c r="K1521" s="716"/>
      <c r="L1521" s="715"/>
      <c r="M1521" s="716"/>
      <c r="N1521" s="194"/>
      <c r="O1521" s="216"/>
      <c r="P1521" s="717"/>
      <c r="Q1521" s="718"/>
      <c r="R1521" s="719"/>
      <c r="S1521" s="720"/>
      <c r="T1521" s="721"/>
      <c r="U1521" s="722"/>
      <c r="V1521" s="723"/>
      <c r="W1521" s="724"/>
      <c r="X1521" s="725" t="s">
        <v>159</v>
      </c>
      <c r="Y1521" s="725"/>
      <c r="Z1521" s="725"/>
      <c r="AA1521" s="725"/>
      <c r="AB1521" s="726" t="s">
        <v>159</v>
      </c>
      <c r="AC1521" s="726"/>
      <c r="AD1521" s="726"/>
      <c r="AE1521" s="726"/>
      <c r="AF1521" s="727"/>
      <c r="AG1521" s="728"/>
      <c r="AH1521" s="727"/>
      <c r="AI1521" s="728"/>
      <c r="AJ1521" s="682"/>
      <c r="AK1521" s="683"/>
      <c r="AL1521" s="664" t="s">
        <v>162</v>
      </c>
      <c r="AM1521" s="665"/>
      <c r="AN1521" s="713" t="s">
        <v>162</v>
      </c>
      <c r="AO1521" s="714"/>
      <c r="AP1521" s="729"/>
      <c r="AQ1521" s="730"/>
      <c r="AR1521" s="731"/>
      <c r="AS1521" s="732"/>
      <c r="AT1521" s="733"/>
      <c r="AU1521" s="734"/>
      <c r="AV1521" s="713" t="s">
        <v>162</v>
      </c>
      <c r="AW1521" s="714"/>
      <c r="AX1521" s="692"/>
      <c r="AY1521" s="693"/>
      <c r="AZ1521" s="694"/>
      <c r="BA1521" s="735"/>
      <c r="BB1521" s="736"/>
      <c r="BC1521" s="219"/>
      <c r="BD1521" s="737" t="s">
        <v>162</v>
      </c>
      <c r="BE1521" s="738"/>
      <c r="BF1521" s="739"/>
      <c r="BG1521" s="740"/>
      <c r="BH1521" s="740"/>
      <c r="BI1521" s="741"/>
      <c r="BJ1521" s="742" t="s">
        <v>159</v>
      </c>
      <c r="BK1521" s="743"/>
      <c r="BL1521" s="743"/>
      <c r="BM1521" s="744"/>
      <c r="BN1521" s="703" t="s">
        <v>159</v>
      </c>
      <c r="BO1521" s="704"/>
      <c r="BP1521" s="704"/>
      <c r="BQ1521" s="704"/>
      <c r="BR1521" s="704"/>
      <c r="BS1521" s="704"/>
      <c r="BT1521" s="704"/>
      <c r="BU1521" s="704"/>
      <c r="BV1521" s="705"/>
    </row>
    <row r="1522" spans="1:74" ht="45" customHeight="1" x14ac:dyDescent="0.25">
      <c r="A1522" s="10">
        <f t="shared" si="23"/>
        <v>1508</v>
      </c>
      <c r="B1522" s="662" t="s">
        <v>159</v>
      </c>
      <c r="C1522" s="662"/>
      <c r="D1522" s="663" t="s">
        <v>212</v>
      </c>
      <c r="E1522" s="663"/>
      <c r="F1522" s="664" t="s">
        <v>162</v>
      </c>
      <c r="G1522" s="665"/>
      <c r="H1522" s="666" t="s">
        <v>162</v>
      </c>
      <c r="I1522" s="667"/>
      <c r="J1522" s="706"/>
      <c r="K1522" s="707"/>
      <c r="L1522" s="706"/>
      <c r="M1522" s="707"/>
      <c r="N1522" s="194"/>
      <c r="O1522" s="196"/>
      <c r="P1522" s="717"/>
      <c r="Q1522" s="718"/>
      <c r="R1522" s="672"/>
      <c r="S1522" s="673"/>
      <c r="T1522" s="674"/>
      <c r="U1522" s="675"/>
      <c r="V1522" s="676"/>
      <c r="W1522" s="677"/>
      <c r="X1522" s="678" t="s">
        <v>159</v>
      </c>
      <c r="Y1522" s="678"/>
      <c r="Z1522" s="678"/>
      <c r="AA1522" s="678"/>
      <c r="AB1522" s="679" t="s">
        <v>159</v>
      </c>
      <c r="AC1522" s="679"/>
      <c r="AD1522" s="679"/>
      <c r="AE1522" s="679"/>
      <c r="AF1522" s="680"/>
      <c r="AG1522" s="681"/>
      <c r="AH1522" s="680"/>
      <c r="AI1522" s="681"/>
      <c r="AJ1522" s="682"/>
      <c r="AK1522" s="683"/>
      <c r="AL1522" s="684" t="s">
        <v>162</v>
      </c>
      <c r="AM1522" s="685"/>
      <c r="AN1522" s="666" t="s">
        <v>162</v>
      </c>
      <c r="AO1522" s="667"/>
      <c r="AP1522" s="686"/>
      <c r="AQ1522" s="687"/>
      <c r="AR1522" s="688"/>
      <c r="AS1522" s="689"/>
      <c r="AT1522" s="690"/>
      <c r="AU1522" s="691"/>
      <c r="AV1522" s="666" t="s">
        <v>162</v>
      </c>
      <c r="AW1522" s="667"/>
      <c r="AX1522" s="692"/>
      <c r="AY1522" s="693"/>
      <c r="AZ1522" s="694"/>
      <c r="BA1522" s="682"/>
      <c r="BB1522" s="683"/>
      <c r="BC1522" s="14"/>
      <c r="BD1522" s="695" t="s">
        <v>162</v>
      </c>
      <c r="BE1522" s="696"/>
      <c r="BF1522" s="708"/>
      <c r="BG1522" s="709"/>
      <c r="BH1522" s="709"/>
      <c r="BI1522" s="710"/>
      <c r="BJ1522" s="700" t="s">
        <v>159</v>
      </c>
      <c r="BK1522" s="701"/>
      <c r="BL1522" s="701"/>
      <c r="BM1522" s="702"/>
      <c r="BN1522" s="703" t="s">
        <v>159</v>
      </c>
      <c r="BO1522" s="704"/>
      <c r="BP1522" s="704"/>
      <c r="BQ1522" s="704"/>
      <c r="BR1522" s="704"/>
      <c r="BS1522" s="704"/>
      <c r="BT1522" s="704"/>
      <c r="BU1522" s="704"/>
      <c r="BV1522" s="705"/>
    </row>
    <row r="1523" spans="1:74" ht="45" customHeight="1" x14ac:dyDescent="0.25">
      <c r="A1523" s="10">
        <f t="shared" si="23"/>
        <v>1509</v>
      </c>
      <c r="B1523" s="711" t="s">
        <v>159</v>
      </c>
      <c r="C1523" s="711"/>
      <c r="D1523" s="712" t="s">
        <v>212</v>
      </c>
      <c r="E1523" s="712"/>
      <c r="F1523" s="664" t="s">
        <v>162</v>
      </c>
      <c r="G1523" s="665"/>
      <c r="H1523" s="713" t="s">
        <v>162</v>
      </c>
      <c r="I1523" s="714"/>
      <c r="J1523" s="715"/>
      <c r="K1523" s="716"/>
      <c r="L1523" s="715"/>
      <c r="M1523" s="716"/>
      <c r="N1523" s="215"/>
      <c r="O1523" s="216"/>
      <c r="P1523" s="670"/>
      <c r="Q1523" s="671"/>
      <c r="R1523" s="719"/>
      <c r="S1523" s="720"/>
      <c r="T1523" s="721"/>
      <c r="U1523" s="722"/>
      <c r="V1523" s="723"/>
      <c r="W1523" s="724"/>
      <c r="X1523" s="725" t="s">
        <v>159</v>
      </c>
      <c r="Y1523" s="725"/>
      <c r="Z1523" s="725"/>
      <c r="AA1523" s="725"/>
      <c r="AB1523" s="726" t="s">
        <v>159</v>
      </c>
      <c r="AC1523" s="726"/>
      <c r="AD1523" s="726"/>
      <c r="AE1523" s="726"/>
      <c r="AF1523" s="727"/>
      <c r="AG1523" s="728"/>
      <c r="AH1523" s="727"/>
      <c r="AI1523" s="728"/>
      <c r="AJ1523" s="682"/>
      <c r="AK1523" s="683"/>
      <c r="AL1523" s="664" t="s">
        <v>162</v>
      </c>
      <c r="AM1523" s="665"/>
      <c r="AN1523" s="713" t="s">
        <v>162</v>
      </c>
      <c r="AO1523" s="714"/>
      <c r="AP1523" s="729"/>
      <c r="AQ1523" s="730"/>
      <c r="AR1523" s="731"/>
      <c r="AS1523" s="732"/>
      <c r="AT1523" s="690"/>
      <c r="AU1523" s="691"/>
      <c r="AV1523" s="713" t="s">
        <v>162</v>
      </c>
      <c r="AW1523" s="714"/>
      <c r="AX1523" s="692"/>
      <c r="AY1523" s="693"/>
      <c r="AZ1523" s="694"/>
      <c r="BA1523" s="735"/>
      <c r="BB1523" s="736"/>
      <c r="BC1523" s="219"/>
      <c r="BD1523" s="737" t="s">
        <v>162</v>
      </c>
      <c r="BE1523" s="738"/>
      <c r="BF1523" s="739"/>
      <c r="BG1523" s="740"/>
      <c r="BH1523" s="740"/>
      <c r="BI1523" s="741"/>
      <c r="BJ1523" s="742" t="s">
        <v>159</v>
      </c>
      <c r="BK1523" s="743"/>
      <c r="BL1523" s="743"/>
      <c r="BM1523" s="744"/>
      <c r="BN1523" s="703" t="s">
        <v>159</v>
      </c>
      <c r="BO1523" s="704"/>
      <c r="BP1523" s="704"/>
      <c r="BQ1523" s="704"/>
      <c r="BR1523" s="704"/>
      <c r="BS1523" s="704"/>
      <c r="BT1523" s="704"/>
      <c r="BU1523" s="704"/>
      <c r="BV1523" s="705"/>
    </row>
    <row r="1524" spans="1:74" ht="45" customHeight="1" x14ac:dyDescent="0.25">
      <c r="A1524" s="10">
        <f t="shared" si="23"/>
        <v>1510</v>
      </c>
      <c r="B1524" s="662" t="s">
        <v>159</v>
      </c>
      <c r="C1524" s="662"/>
      <c r="D1524" s="663" t="s">
        <v>212</v>
      </c>
      <c r="E1524" s="663"/>
      <c r="F1524" s="664" t="s">
        <v>162</v>
      </c>
      <c r="G1524" s="665"/>
      <c r="H1524" s="666" t="s">
        <v>162</v>
      </c>
      <c r="I1524" s="667"/>
      <c r="J1524" s="706"/>
      <c r="K1524" s="707"/>
      <c r="L1524" s="706"/>
      <c r="M1524" s="707"/>
      <c r="N1524" s="194"/>
      <c r="O1524" s="196"/>
      <c r="P1524" s="717"/>
      <c r="Q1524" s="718"/>
      <c r="R1524" s="672"/>
      <c r="S1524" s="673"/>
      <c r="T1524" s="674"/>
      <c r="U1524" s="675"/>
      <c r="V1524" s="676"/>
      <c r="W1524" s="677"/>
      <c r="X1524" s="678" t="s">
        <v>159</v>
      </c>
      <c r="Y1524" s="678"/>
      <c r="Z1524" s="678"/>
      <c r="AA1524" s="678"/>
      <c r="AB1524" s="679" t="s">
        <v>159</v>
      </c>
      <c r="AC1524" s="679"/>
      <c r="AD1524" s="679"/>
      <c r="AE1524" s="679"/>
      <c r="AF1524" s="680"/>
      <c r="AG1524" s="681"/>
      <c r="AH1524" s="680"/>
      <c r="AI1524" s="681"/>
      <c r="AJ1524" s="682"/>
      <c r="AK1524" s="683"/>
      <c r="AL1524" s="684" t="s">
        <v>162</v>
      </c>
      <c r="AM1524" s="685"/>
      <c r="AN1524" s="666" t="s">
        <v>162</v>
      </c>
      <c r="AO1524" s="667"/>
      <c r="AP1524" s="686"/>
      <c r="AQ1524" s="687"/>
      <c r="AR1524" s="688"/>
      <c r="AS1524" s="689"/>
      <c r="AT1524" s="690"/>
      <c r="AU1524" s="691"/>
      <c r="AV1524" s="666" t="s">
        <v>162</v>
      </c>
      <c r="AW1524" s="667"/>
      <c r="AX1524" s="692"/>
      <c r="AY1524" s="693"/>
      <c r="AZ1524" s="694"/>
      <c r="BA1524" s="682"/>
      <c r="BB1524" s="683"/>
      <c r="BC1524" s="14"/>
      <c r="BD1524" s="695" t="s">
        <v>162</v>
      </c>
      <c r="BE1524" s="696"/>
      <c r="BF1524" s="697"/>
      <c r="BG1524" s="698"/>
      <c r="BH1524" s="698"/>
      <c r="BI1524" s="699"/>
      <c r="BJ1524" s="700" t="s">
        <v>159</v>
      </c>
      <c r="BK1524" s="701"/>
      <c r="BL1524" s="701"/>
      <c r="BM1524" s="702"/>
      <c r="BN1524" s="703" t="s">
        <v>159</v>
      </c>
      <c r="BO1524" s="704"/>
      <c r="BP1524" s="704"/>
      <c r="BQ1524" s="704"/>
      <c r="BR1524" s="704"/>
      <c r="BS1524" s="704"/>
      <c r="BT1524" s="704"/>
      <c r="BU1524" s="704"/>
      <c r="BV1524" s="705"/>
    </row>
    <row r="1525" spans="1:74" ht="45" customHeight="1" x14ac:dyDescent="0.25">
      <c r="A1525" s="10">
        <f t="shared" si="23"/>
        <v>1511</v>
      </c>
      <c r="B1525" s="711" t="s">
        <v>159</v>
      </c>
      <c r="C1525" s="711"/>
      <c r="D1525" s="712" t="s">
        <v>212</v>
      </c>
      <c r="E1525" s="712"/>
      <c r="F1525" s="664" t="s">
        <v>162</v>
      </c>
      <c r="G1525" s="665"/>
      <c r="H1525" s="713" t="s">
        <v>162</v>
      </c>
      <c r="I1525" s="714"/>
      <c r="J1525" s="715"/>
      <c r="K1525" s="716"/>
      <c r="L1525" s="715"/>
      <c r="M1525" s="716"/>
      <c r="N1525" s="215"/>
      <c r="O1525" s="216"/>
      <c r="P1525" s="670"/>
      <c r="Q1525" s="671"/>
      <c r="R1525" s="719"/>
      <c r="S1525" s="720"/>
      <c r="T1525" s="721"/>
      <c r="U1525" s="722"/>
      <c r="V1525" s="723"/>
      <c r="W1525" s="724"/>
      <c r="X1525" s="725" t="s">
        <v>159</v>
      </c>
      <c r="Y1525" s="725"/>
      <c r="Z1525" s="725"/>
      <c r="AA1525" s="725"/>
      <c r="AB1525" s="726" t="s">
        <v>159</v>
      </c>
      <c r="AC1525" s="726"/>
      <c r="AD1525" s="726"/>
      <c r="AE1525" s="726"/>
      <c r="AF1525" s="727"/>
      <c r="AG1525" s="728"/>
      <c r="AH1525" s="727"/>
      <c r="AI1525" s="728"/>
      <c r="AJ1525" s="682"/>
      <c r="AK1525" s="683"/>
      <c r="AL1525" s="664" t="s">
        <v>162</v>
      </c>
      <c r="AM1525" s="665"/>
      <c r="AN1525" s="713" t="s">
        <v>162</v>
      </c>
      <c r="AO1525" s="714"/>
      <c r="AP1525" s="729"/>
      <c r="AQ1525" s="730"/>
      <c r="AR1525" s="731"/>
      <c r="AS1525" s="732"/>
      <c r="AT1525" s="690"/>
      <c r="AU1525" s="691"/>
      <c r="AV1525" s="713" t="s">
        <v>162</v>
      </c>
      <c r="AW1525" s="714"/>
      <c r="AX1525" s="692"/>
      <c r="AY1525" s="693"/>
      <c r="AZ1525" s="694"/>
      <c r="BA1525" s="735"/>
      <c r="BB1525" s="736"/>
      <c r="BC1525" s="219"/>
      <c r="BD1525" s="737" t="s">
        <v>162</v>
      </c>
      <c r="BE1525" s="738"/>
      <c r="BF1525" s="739"/>
      <c r="BG1525" s="740"/>
      <c r="BH1525" s="740"/>
      <c r="BI1525" s="741"/>
      <c r="BJ1525" s="742" t="s">
        <v>159</v>
      </c>
      <c r="BK1525" s="743"/>
      <c r="BL1525" s="743"/>
      <c r="BM1525" s="744"/>
      <c r="BN1525" s="703" t="s">
        <v>159</v>
      </c>
      <c r="BO1525" s="704"/>
      <c r="BP1525" s="704"/>
      <c r="BQ1525" s="704"/>
      <c r="BR1525" s="704"/>
      <c r="BS1525" s="704"/>
      <c r="BT1525" s="704"/>
      <c r="BU1525" s="704"/>
      <c r="BV1525" s="705"/>
    </row>
    <row r="1526" spans="1:74" ht="45" customHeight="1" x14ac:dyDescent="0.25">
      <c r="A1526" s="10">
        <f t="shared" si="23"/>
        <v>1512</v>
      </c>
      <c r="B1526" s="662" t="s">
        <v>159</v>
      </c>
      <c r="C1526" s="662"/>
      <c r="D1526" s="663" t="s">
        <v>212</v>
      </c>
      <c r="E1526" s="663"/>
      <c r="F1526" s="664" t="s">
        <v>162</v>
      </c>
      <c r="G1526" s="665"/>
      <c r="H1526" s="666" t="s">
        <v>162</v>
      </c>
      <c r="I1526" s="667"/>
      <c r="J1526" s="706"/>
      <c r="K1526" s="707"/>
      <c r="L1526" s="706"/>
      <c r="M1526" s="707"/>
      <c r="N1526" s="194"/>
      <c r="O1526" s="196"/>
      <c r="P1526" s="717"/>
      <c r="Q1526" s="718"/>
      <c r="R1526" s="672"/>
      <c r="S1526" s="673"/>
      <c r="T1526" s="674"/>
      <c r="U1526" s="675"/>
      <c r="V1526" s="676"/>
      <c r="W1526" s="677"/>
      <c r="X1526" s="678" t="s">
        <v>159</v>
      </c>
      <c r="Y1526" s="678"/>
      <c r="Z1526" s="678"/>
      <c r="AA1526" s="678"/>
      <c r="AB1526" s="679" t="s">
        <v>159</v>
      </c>
      <c r="AC1526" s="679"/>
      <c r="AD1526" s="679"/>
      <c r="AE1526" s="679"/>
      <c r="AF1526" s="680"/>
      <c r="AG1526" s="681"/>
      <c r="AH1526" s="680"/>
      <c r="AI1526" s="681"/>
      <c r="AJ1526" s="682"/>
      <c r="AK1526" s="683"/>
      <c r="AL1526" s="684" t="s">
        <v>162</v>
      </c>
      <c r="AM1526" s="685"/>
      <c r="AN1526" s="666" t="s">
        <v>162</v>
      </c>
      <c r="AO1526" s="667"/>
      <c r="AP1526" s="686"/>
      <c r="AQ1526" s="687"/>
      <c r="AR1526" s="688"/>
      <c r="AS1526" s="689"/>
      <c r="AT1526" s="690"/>
      <c r="AU1526" s="691"/>
      <c r="AV1526" s="666" t="s">
        <v>162</v>
      </c>
      <c r="AW1526" s="667"/>
      <c r="AX1526" s="692"/>
      <c r="AY1526" s="693"/>
      <c r="AZ1526" s="694"/>
      <c r="BA1526" s="682"/>
      <c r="BB1526" s="683"/>
      <c r="BC1526" s="14"/>
      <c r="BD1526" s="695" t="s">
        <v>162</v>
      </c>
      <c r="BE1526" s="696"/>
      <c r="BF1526" s="697"/>
      <c r="BG1526" s="698"/>
      <c r="BH1526" s="698"/>
      <c r="BI1526" s="699"/>
      <c r="BJ1526" s="700" t="s">
        <v>159</v>
      </c>
      <c r="BK1526" s="701"/>
      <c r="BL1526" s="701"/>
      <c r="BM1526" s="702"/>
      <c r="BN1526" s="703" t="s">
        <v>159</v>
      </c>
      <c r="BO1526" s="704"/>
      <c r="BP1526" s="704"/>
      <c r="BQ1526" s="704"/>
      <c r="BR1526" s="704"/>
      <c r="BS1526" s="704"/>
      <c r="BT1526" s="704"/>
      <c r="BU1526" s="704"/>
      <c r="BV1526" s="705"/>
    </row>
    <row r="1527" spans="1:74" ht="45" customHeight="1" x14ac:dyDescent="0.25">
      <c r="A1527" s="10">
        <f t="shared" si="23"/>
        <v>1513</v>
      </c>
      <c r="B1527" s="711" t="s">
        <v>159</v>
      </c>
      <c r="C1527" s="711"/>
      <c r="D1527" s="712" t="s">
        <v>212</v>
      </c>
      <c r="E1527" s="712"/>
      <c r="F1527" s="664" t="s">
        <v>162</v>
      </c>
      <c r="G1527" s="665"/>
      <c r="H1527" s="713" t="s">
        <v>162</v>
      </c>
      <c r="I1527" s="714"/>
      <c r="J1527" s="715"/>
      <c r="K1527" s="716"/>
      <c r="L1527" s="715"/>
      <c r="M1527" s="716"/>
      <c r="N1527" s="215"/>
      <c r="O1527" s="216"/>
      <c r="P1527" s="670"/>
      <c r="Q1527" s="671"/>
      <c r="R1527" s="719"/>
      <c r="S1527" s="720"/>
      <c r="T1527" s="721"/>
      <c r="U1527" s="722"/>
      <c r="V1527" s="723"/>
      <c r="W1527" s="724"/>
      <c r="X1527" s="725" t="s">
        <v>159</v>
      </c>
      <c r="Y1527" s="725"/>
      <c r="Z1527" s="725"/>
      <c r="AA1527" s="725"/>
      <c r="AB1527" s="726" t="s">
        <v>159</v>
      </c>
      <c r="AC1527" s="726"/>
      <c r="AD1527" s="726"/>
      <c r="AE1527" s="726"/>
      <c r="AF1527" s="727"/>
      <c r="AG1527" s="728"/>
      <c r="AH1527" s="727"/>
      <c r="AI1527" s="728"/>
      <c r="AJ1527" s="682"/>
      <c r="AK1527" s="683"/>
      <c r="AL1527" s="664" t="s">
        <v>162</v>
      </c>
      <c r="AM1527" s="665"/>
      <c r="AN1527" s="713" t="s">
        <v>162</v>
      </c>
      <c r="AO1527" s="714"/>
      <c r="AP1527" s="729"/>
      <c r="AQ1527" s="730"/>
      <c r="AR1527" s="731"/>
      <c r="AS1527" s="732"/>
      <c r="AT1527" s="733"/>
      <c r="AU1527" s="734"/>
      <c r="AV1527" s="713" t="s">
        <v>162</v>
      </c>
      <c r="AW1527" s="714"/>
      <c r="AX1527" s="692"/>
      <c r="AY1527" s="693"/>
      <c r="AZ1527" s="694"/>
      <c r="BA1527" s="735"/>
      <c r="BB1527" s="736"/>
      <c r="BC1527" s="219"/>
      <c r="BD1527" s="737" t="s">
        <v>162</v>
      </c>
      <c r="BE1527" s="738"/>
      <c r="BF1527" s="739"/>
      <c r="BG1527" s="740"/>
      <c r="BH1527" s="740"/>
      <c r="BI1527" s="741"/>
      <c r="BJ1527" s="742" t="s">
        <v>159</v>
      </c>
      <c r="BK1527" s="743"/>
      <c r="BL1527" s="743"/>
      <c r="BM1527" s="744"/>
      <c r="BN1527" s="703" t="s">
        <v>159</v>
      </c>
      <c r="BO1527" s="704"/>
      <c r="BP1527" s="704"/>
      <c r="BQ1527" s="704"/>
      <c r="BR1527" s="704"/>
      <c r="BS1527" s="704"/>
      <c r="BT1527" s="704"/>
      <c r="BU1527" s="704"/>
      <c r="BV1527" s="705"/>
    </row>
    <row r="1528" spans="1:74" ht="45" customHeight="1" x14ac:dyDescent="0.25">
      <c r="A1528" s="10">
        <f t="shared" si="23"/>
        <v>1514</v>
      </c>
      <c r="B1528" s="662" t="s">
        <v>159</v>
      </c>
      <c r="C1528" s="662"/>
      <c r="D1528" s="663" t="s">
        <v>212</v>
      </c>
      <c r="E1528" s="663"/>
      <c r="F1528" s="664" t="s">
        <v>162</v>
      </c>
      <c r="G1528" s="665"/>
      <c r="H1528" s="666" t="s">
        <v>162</v>
      </c>
      <c r="I1528" s="667"/>
      <c r="J1528" s="706"/>
      <c r="K1528" s="707"/>
      <c r="L1528" s="706"/>
      <c r="M1528" s="707"/>
      <c r="N1528" s="194"/>
      <c r="O1528" s="196"/>
      <c r="P1528" s="717"/>
      <c r="Q1528" s="718"/>
      <c r="R1528" s="672"/>
      <c r="S1528" s="673"/>
      <c r="T1528" s="674"/>
      <c r="U1528" s="675"/>
      <c r="V1528" s="676"/>
      <c r="W1528" s="677"/>
      <c r="X1528" s="678" t="s">
        <v>159</v>
      </c>
      <c r="Y1528" s="678"/>
      <c r="Z1528" s="678"/>
      <c r="AA1528" s="678"/>
      <c r="AB1528" s="679" t="s">
        <v>159</v>
      </c>
      <c r="AC1528" s="679"/>
      <c r="AD1528" s="679"/>
      <c r="AE1528" s="679"/>
      <c r="AF1528" s="680"/>
      <c r="AG1528" s="681"/>
      <c r="AH1528" s="680"/>
      <c r="AI1528" s="681"/>
      <c r="AJ1528" s="682"/>
      <c r="AK1528" s="683"/>
      <c r="AL1528" s="684" t="s">
        <v>162</v>
      </c>
      <c r="AM1528" s="685"/>
      <c r="AN1528" s="666" t="s">
        <v>162</v>
      </c>
      <c r="AO1528" s="667"/>
      <c r="AP1528" s="686"/>
      <c r="AQ1528" s="687"/>
      <c r="AR1528" s="688"/>
      <c r="AS1528" s="689"/>
      <c r="AT1528" s="690"/>
      <c r="AU1528" s="691"/>
      <c r="AV1528" s="666" t="s">
        <v>162</v>
      </c>
      <c r="AW1528" s="667"/>
      <c r="AX1528" s="692"/>
      <c r="AY1528" s="693"/>
      <c r="AZ1528" s="694"/>
      <c r="BA1528" s="682"/>
      <c r="BB1528" s="683"/>
      <c r="BC1528" s="14"/>
      <c r="BD1528" s="695" t="s">
        <v>162</v>
      </c>
      <c r="BE1528" s="696"/>
      <c r="BF1528" s="708"/>
      <c r="BG1528" s="709"/>
      <c r="BH1528" s="709"/>
      <c r="BI1528" s="710"/>
      <c r="BJ1528" s="700" t="s">
        <v>159</v>
      </c>
      <c r="BK1528" s="701"/>
      <c r="BL1528" s="701"/>
      <c r="BM1528" s="702"/>
      <c r="BN1528" s="703" t="s">
        <v>159</v>
      </c>
      <c r="BO1528" s="704"/>
      <c r="BP1528" s="704"/>
      <c r="BQ1528" s="704"/>
      <c r="BR1528" s="704"/>
      <c r="BS1528" s="704"/>
      <c r="BT1528" s="704"/>
      <c r="BU1528" s="704"/>
      <c r="BV1528" s="705"/>
    </row>
    <row r="1529" spans="1:74" ht="45" customHeight="1" x14ac:dyDescent="0.25">
      <c r="A1529" s="10">
        <f t="shared" si="23"/>
        <v>1515</v>
      </c>
      <c r="B1529" s="711" t="s">
        <v>159</v>
      </c>
      <c r="C1529" s="711"/>
      <c r="D1529" s="712" t="s">
        <v>212</v>
      </c>
      <c r="E1529" s="712"/>
      <c r="F1529" s="664" t="s">
        <v>162</v>
      </c>
      <c r="G1529" s="665"/>
      <c r="H1529" s="713" t="s">
        <v>162</v>
      </c>
      <c r="I1529" s="714"/>
      <c r="J1529" s="715"/>
      <c r="K1529" s="716"/>
      <c r="L1529" s="715"/>
      <c r="M1529" s="716"/>
      <c r="N1529" s="215"/>
      <c r="O1529" s="216"/>
      <c r="P1529" s="670"/>
      <c r="Q1529" s="671"/>
      <c r="R1529" s="719"/>
      <c r="S1529" s="720"/>
      <c r="T1529" s="721"/>
      <c r="U1529" s="722"/>
      <c r="V1529" s="723"/>
      <c r="W1529" s="724"/>
      <c r="X1529" s="725" t="s">
        <v>159</v>
      </c>
      <c r="Y1529" s="725"/>
      <c r="Z1529" s="725"/>
      <c r="AA1529" s="725"/>
      <c r="AB1529" s="726" t="s">
        <v>159</v>
      </c>
      <c r="AC1529" s="726"/>
      <c r="AD1529" s="726"/>
      <c r="AE1529" s="726"/>
      <c r="AF1529" s="727"/>
      <c r="AG1529" s="728"/>
      <c r="AH1529" s="727"/>
      <c r="AI1529" s="728"/>
      <c r="AJ1529" s="682"/>
      <c r="AK1529" s="683"/>
      <c r="AL1529" s="664" t="s">
        <v>162</v>
      </c>
      <c r="AM1529" s="665"/>
      <c r="AN1529" s="713" t="s">
        <v>162</v>
      </c>
      <c r="AO1529" s="714"/>
      <c r="AP1529" s="729"/>
      <c r="AQ1529" s="730"/>
      <c r="AR1529" s="731"/>
      <c r="AS1529" s="732"/>
      <c r="AT1529" s="733"/>
      <c r="AU1529" s="734"/>
      <c r="AV1529" s="713" t="s">
        <v>162</v>
      </c>
      <c r="AW1529" s="714"/>
      <c r="AX1529" s="692"/>
      <c r="AY1529" s="693"/>
      <c r="AZ1529" s="694"/>
      <c r="BA1529" s="735"/>
      <c r="BB1529" s="736"/>
      <c r="BC1529" s="219"/>
      <c r="BD1529" s="737" t="s">
        <v>162</v>
      </c>
      <c r="BE1529" s="738"/>
      <c r="BF1529" s="739"/>
      <c r="BG1529" s="740"/>
      <c r="BH1529" s="740"/>
      <c r="BI1529" s="741"/>
      <c r="BJ1529" s="742" t="s">
        <v>159</v>
      </c>
      <c r="BK1529" s="743"/>
      <c r="BL1529" s="743"/>
      <c r="BM1529" s="744"/>
      <c r="BN1529" s="703" t="s">
        <v>159</v>
      </c>
      <c r="BO1529" s="704"/>
      <c r="BP1529" s="704"/>
      <c r="BQ1529" s="704"/>
      <c r="BR1529" s="704"/>
      <c r="BS1529" s="704"/>
      <c r="BT1529" s="704"/>
      <c r="BU1529" s="704"/>
      <c r="BV1529" s="705"/>
    </row>
    <row r="1530" spans="1:74" ht="45" customHeight="1" x14ac:dyDescent="0.25">
      <c r="A1530" s="10">
        <f t="shared" si="23"/>
        <v>1516</v>
      </c>
      <c r="B1530" s="662" t="s">
        <v>159</v>
      </c>
      <c r="C1530" s="662"/>
      <c r="D1530" s="663" t="s">
        <v>212</v>
      </c>
      <c r="E1530" s="663"/>
      <c r="F1530" s="664" t="s">
        <v>162</v>
      </c>
      <c r="G1530" s="665"/>
      <c r="H1530" s="666" t="s">
        <v>162</v>
      </c>
      <c r="I1530" s="667"/>
      <c r="J1530" s="706"/>
      <c r="K1530" s="707"/>
      <c r="L1530" s="706"/>
      <c r="M1530" s="707"/>
      <c r="N1530" s="194"/>
      <c r="O1530" s="196"/>
      <c r="P1530" s="717"/>
      <c r="Q1530" s="718"/>
      <c r="R1530" s="672"/>
      <c r="S1530" s="673"/>
      <c r="T1530" s="674"/>
      <c r="U1530" s="675"/>
      <c r="V1530" s="676"/>
      <c r="W1530" s="677"/>
      <c r="X1530" s="678" t="s">
        <v>159</v>
      </c>
      <c r="Y1530" s="678"/>
      <c r="Z1530" s="678"/>
      <c r="AA1530" s="678"/>
      <c r="AB1530" s="679" t="s">
        <v>159</v>
      </c>
      <c r="AC1530" s="679"/>
      <c r="AD1530" s="679"/>
      <c r="AE1530" s="679"/>
      <c r="AF1530" s="680"/>
      <c r="AG1530" s="681"/>
      <c r="AH1530" s="680"/>
      <c r="AI1530" s="681"/>
      <c r="AJ1530" s="682"/>
      <c r="AK1530" s="683"/>
      <c r="AL1530" s="684" t="s">
        <v>162</v>
      </c>
      <c r="AM1530" s="685"/>
      <c r="AN1530" s="666" t="s">
        <v>162</v>
      </c>
      <c r="AO1530" s="667"/>
      <c r="AP1530" s="686"/>
      <c r="AQ1530" s="687"/>
      <c r="AR1530" s="688"/>
      <c r="AS1530" s="689"/>
      <c r="AT1530" s="690"/>
      <c r="AU1530" s="691"/>
      <c r="AV1530" s="666" t="s">
        <v>162</v>
      </c>
      <c r="AW1530" s="667"/>
      <c r="AX1530" s="692"/>
      <c r="AY1530" s="693"/>
      <c r="AZ1530" s="694"/>
      <c r="BA1530" s="682"/>
      <c r="BB1530" s="683"/>
      <c r="BC1530" s="14"/>
      <c r="BD1530" s="695" t="s">
        <v>162</v>
      </c>
      <c r="BE1530" s="696"/>
      <c r="BF1530" s="697"/>
      <c r="BG1530" s="698"/>
      <c r="BH1530" s="698"/>
      <c r="BI1530" s="699"/>
      <c r="BJ1530" s="700" t="s">
        <v>159</v>
      </c>
      <c r="BK1530" s="701"/>
      <c r="BL1530" s="701"/>
      <c r="BM1530" s="702"/>
      <c r="BN1530" s="703" t="s">
        <v>159</v>
      </c>
      <c r="BO1530" s="704"/>
      <c r="BP1530" s="704"/>
      <c r="BQ1530" s="704"/>
      <c r="BR1530" s="704"/>
      <c r="BS1530" s="704"/>
      <c r="BT1530" s="704"/>
      <c r="BU1530" s="704"/>
      <c r="BV1530" s="705"/>
    </row>
    <row r="1531" spans="1:74" ht="45" customHeight="1" x14ac:dyDescent="0.25">
      <c r="A1531" s="10">
        <f t="shared" si="23"/>
        <v>1517</v>
      </c>
      <c r="B1531" s="711" t="s">
        <v>159</v>
      </c>
      <c r="C1531" s="711"/>
      <c r="D1531" s="712" t="s">
        <v>212</v>
      </c>
      <c r="E1531" s="712"/>
      <c r="F1531" s="664" t="s">
        <v>162</v>
      </c>
      <c r="G1531" s="665"/>
      <c r="H1531" s="713" t="s">
        <v>162</v>
      </c>
      <c r="I1531" s="714"/>
      <c r="J1531" s="715"/>
      <c r="K1531" s="716"/>
      <c r="L1531" s="715"/>
      <c r="M1531" s="716"/>
      <c r="N1531" s="215"/>
      <c r="O1531" s="216"/>
      <c r="P1531" s="670"/>
      <c r="Q1531" s="671"/>
      <c r="R1531" s="719"/>
      <c r="S1531" s="720"/>
      <c r="T1531" s="721"/>
      <c r="U1531" s="722"/>
      <c r="V1531" s="723"/>
      <c r="W1531" s="724"/>
      <c r="X1531" s="725" t="s">
        <v>159</v>
      </c>
      <c r="Y1531" s="725"/>
      <c r="Z1531" s="725"/>
      <c r="AA1531" s="725"/>
      <c r="AB1531" s="726" t="s">
        <v>159</v>
      </c>
      <c r="AC1531" s="726"/>
      <c r="AD1531" s="726"/>
      <c r="AE1531" s="726"/>
      <c r="AF1531" s="727"/>
      <c r="AG1531" s="728"/>
      <c r="AH1531" s="727"/>
      <c r="AI1531" s="728"/>
      <c r="AJ1531" s="682"/>
      <c r="AK1531" s="683"/>
      <c r="AL1531" s="664" t="s">
        <v>162</v>
      </c>
      <c r="AM1531" s="665"/>
      <c r="AN1531" s="713" t="s">
        <v>162</v>
      </c>
      <c r="AO1531" s="714"/>
      <c r="AP1531" s="729"/>
      <c r="AQ1531" s="730"/>
      <c r="AR1531" s="731"/>
      <c r="AS1531" s="732"/>
      <c r="AT1531" s="733"/>
      <c r="AU1531" s="734"/>
      <c r="AV1531" s="713" t="s">
        <v>162</v>
      </c>
      <c r="AW1531" s="714"/>
      <c r="AX1531" s="692"/>
      <c r="AY1531" s="693"/>
      <c r="AZ1531" s="694"/>
      <c r="BA1531" s="735"/>
      <c r="BB1531" s="736"/>
      <c r="BC1531" s="219"/>
      <c r="BD1531" s="737" t="s">
        <v>162</v>
      </c>
      <c r="BE1531" s="738"/>
      <c r="BF1531" s="739"/>
      <c r="BG1531" s="740"/>
      <c r="BH1531" s="740"/>
      <c r="BI1531" s="741"/>
      <c r="BJ1531" s="742" t="s">
        <v>159</v>
      </c>
      <c r="BK1531" s="743"/>
      <c r="BL1531" s="743"/>
      <c r="BM1531" s="744"/>
      <c r="BN1531" s="703" t="s">
        <v>159</v>
      </c>
      <c r="BO1531" s="704"/>
      <c r="BP1531" s="704"/>
      <c r="BQ1531" s="704"/>
      <c r="BR1531" s="704"/>
      <c r="BS1531" s="704"/>
      <c r="BT1531" s="704"/>
      <c r="BU1531" s="704"/>
      <c r="BV1531" s="705"/>
    </row>
    <row r="1532" spans="1:74" ht="45" customHeight="1" x14ac:dyDescent="0.25">
      <c r="A1532" s="10">
        <f t="shared" si="23"/>
        <v>1518</v>
      </c>
      <c r="B1532" s="662" t="s">
        <v>159</v>
      </c>
      <c r="C1532" s="662"/>
      <c r="D1532" s="663" t="s">
        <v>212</v>
      </c>
      <c r="E1532" s="663"/>
      <c r="F1532" s="664" t="s">
        <v>162</v>
      </c>
      <c r="G1532" s="665"/>
      <c r="H1532" s="666" t="s">
        <v>162</v>
      </c>
      <c r="I1532" s="667"/>
      <c r="J1532" s="706"/>
      <c r="K1532" s="707"/>
      <c r="L1532" s="706"/>
      <c r="M1532" s="707"/>
      <c r="N1532" s="194"/>
      <c r="O1532" s="196"/>
      <c r="P1532" s="717"/>
      <c r="Q1532" s="718"/>
      <c r="R1532" s="672"/>
      <c r="S1532" s="673"/>
      <c r="T1532" s="674"/>
      <c r="U1532" s="675"/>
      <c r="V1532" s="676"/>
      <c r="W1532" s="677"/>
      <c r="X1532" s="678" t="s">
        <v>159</v>
      </c>
      <c r="Y1532" s="678"/>
      <c r="Z1532" s="678"/>
      <c r="AA1532" s="678"/>
      <c r="AB1532" s="679" t="s">
        <v>159</v>
      </c>
      <c r="AC1532" s="679"/>
      <c r="AD1532" s="679"/>
      <c r="AE1532" s="679"/>
      <c r="AF1532" s="680"/>
      <c r="AG1532" s="681"/>
      <c r="AH1532" s="680"/>
      <c r="AI1532" s="681"/>
      <c r="AJ1532" s="682"/>
      <c r="AK1532" s="683"/>
      <c r="AL1532" s="684" t="s">
        <v>162</v>
      </c>
      <c r="AM1532" s="685"/>
      <c r="AN1532" s="666" t="s">
        <v>162</v>
      </c>
      <c r="AO1532" s="667"/>
      <c r="AP1532" s="686"/>
      <c r="AQ1532" s="687"/>
      <c r="AR1532" s="688"/>
      <c r="AS1532" s="689"/>
      <c r="AT1532" s="690"/>
      <c r="AU1532" s="691"/>
      <c r="AV1532" s="666" t="s">
        <v>162</v>
      </c>
      <c r="AW1532" s="667"/>
      <c r="AX1532" s="692"/>
      <c r="AY1532" s="693"/>
      <c r="AZ1532" s="694"/>
      <c r="BA1532" s="682"/>
      <c r="BB1532" s="683"/>
      <c r="BC1532" s="14"/>
      <c r="BD1532" s="695" t="s">
        <v>162</v>
      </c>
      <c r="BE1532" s="696"/>
      <c r="BF1532" s="697"/>
      <c r="BG1532" s="698"/>
      <c r="BH1532" s="698"/>
      <c r="BI1532" s="699"/>
      <c r="BJ1532" s="700" t="s">
        <v>159</v>
      </c>
      <c r="BK1532" s="701"/>
      <c r="BL1532" s="701"/>
      <c r="BM1532" s="702"/>
      <c r="BN1532" s="703" t="s">
        <v>159</v>
      </c>
      <c r="BO1532" s="704"/>
      <c r="BP1532" s="704"/>
      <c r="BQ1532" s="704"/>
      <c r="BR1532" s="704"/>
      <c r="BS1532" s="704"/>
      <c r="BT1532" s="704"/>
      <c r="BU1532" s="704"/>
      <c r="BV1532" s="705"/>
    </row>
    <row r="1533" spans="1:74" ht="45" customHeight="1" x14ac:dyDescent="0.25">
      <c r="A1533" s="10">
        <f t="shared" si="23"/>
        <v>1519</v>
      </c>
      <c r="B1533" s="711" t="s">
        <v>159</v>
      </c>
      <c r="C1533" s="711"/>
      <c r="D1533" s="712" t="s">
        <v>212</v>
      </c>
      <c r="E1533" s="712"/>
      <c r="F1533" s="664" t="s">
        <v>162</v>
      </c>
      <c r="G1533" s="665"/>
      <c r="H1533" s="713" t="s">
        <v>162</v>
      </c>
      <c r="I1533" s="714"/>
      <c r="J1533" s="715"/>
      <c r="K1533" s="716"/>
      <c r="L1533" s="715"/>
      <c r="M1533" s="716"/>
      <c r="N1533" s="215"/>
      <c r="O1533" s="216"/>
      <c r="P1533" s="670"/>
      <c r="Q1533" s="671"/>
      <c r="R1533" s="719"/>
      <c r="S1533" s="720"/>
      <c r="T1533" s="721"/>
      <c r="U1533" s="722"/>
      <c r="V1533" s="723"/>
      <c r="W1533" s="724"/>
      <c r="X1533" s="725" t="s">
        <v>159</v>
      </c>
      <c r="Y1533" s="725"/>
      <c r="Z1533" s="725"/>
      <c r="AA1533" s="725"/>
      <c r="AB1533" s="726" t="s">
        <v>159</v>
      </c>
      <c r="AC1533" s="726"/>
      <c r="AD1533" s="726"/>
      <c r="AE1533" s="726"/>
      <c r="AF1533" s="727"/>
      <c r="AG1533" s="728"/>
      <c r="AH1533" s="727"/>
      <c r="AI1533" s="728"/>
      <c r="AJ1533" s="682"/>
      <c r="AK1533" s="683"/>
      <c r="AL1533" s="664" t="s">
        <v>162</v>
      </c>
      <c r="AM1533" s="665"/>
      <c r="AN1533" s="713" t="s">
        <v>162</v>
      </c>
      <c r="AO1533" s="714"/>
      <c r="AP1533" s="729"/>
      <c r="AQ1533" s="730"/>
      <c r="AR1533" s="731"/>
      <c r="AS1533" s="732"/>
      <c r="AT1533" s="733"/>
      <c r="AU1533" s="734"/>
      <c r="AV1533" s="713" t="s">
        <v>162</v>
      </c>
      <c r="AW1533" s="714"/>
      <c r="AX1533" s="692"/>
      <c r="AY1533" s="693"/>
      <c r="AZ1533" s="694"/>
      <c r="BA1533" s="735"/>
      <c r="BB1533" s="736"/>
      <c r="BC1533" s="219"/>
      <c r="BD1533" s="737" t="s">
        <v>162</v>
      </c>
      <c r="BE1533" s="738"/>
      <c r="BF1533" s="739"/>
      <c r="BG1533" s="740"/>
      <c r="BH1533" s="740"/>
      <c r="BI1533" s="741"/>
      <c r="BJ1533" s="742" t="s">
        <v>159</v>
      </c>
      <c r="BK1533" s="743"/>
      <c r="BL1533" s="743"/>
      <c r="BM1533" s="744"/>
      <c r="BN1533" s="703" t="s">
        <v>159</v>
      </c>
      <c r="BO1533" s="704"/>
      <c r="BP1533" s="704"/>
      <c r="BQ1533" s="704"/>
      <c r="BR1533" s="704"/>
      <c r="BS1533" s="704"/>
      <c r="BT1533" s="704"/>
      <c r="BU1533" s="704"/>
      <c r="BV1533" s="705"/>
    </row>
    <row r="1534" spans="1:74" ht="45" customHeight="1" x14ac:dyDescent="0.25">
      <c r="A1534" s="10">
        <f t="shared" si="23"/>
        <v>1520</v>
      </c>
      <c r="B1534" s="662" t="s">
        <v>159</v>
      </c>
      <c r="C1534" s="662"/>
      <c r="D1534" s="663" t="s">
        <v>212</v>
      </c>
      <c r="E1534" s="663"/>
      <c r="F1534" s="664" t="s">
        <v>162</v>
      </c>
      <c r="G1534" s="665"/>
      <c r="H1534" s="666" t="s">
        <v>162</v>
      </c>
      <c r="I1534" s="667"/>
      <c r="J1534" s="706"/>
      <c r="K1534" s="707"/>
      <c r="L1534" s="706"/>
      <c r="M1534" s="707"/>
      <c r="N1534" s="194"/>
      <c r="O1534" s="196"/>
      <c r="P1534" s="717"/>
      <c r="Q1534" s="718"/>
      <c r="R1534" s="672"/>
      <c r="S1534" s="673"/>
      <c r="T1534" s="674"/>
      <c r="U1534" s="675"/>
      <c r="V1534" s="676"/>
      <c r="W1534" s="677"/>
      <c r="X1534" s="678" t="s">
        <v>159</v>
      </c>
      <c r="Y1534" s="678"/>
      <c r="Z1534" s="678"/>
      <c r="AA1534" s="678"/>
      <c r="AB1534" s="679" t="s">
        <v>159</v>
      </c>
      <c r="AC1534" s="679"/>
      <c r="AD1534" s="679"/>
      <c r="AE1534" s="679"/>
      <c r="AF1534" s="680"/>
      <c r="AG1534" s="681"/>
      <c r="AH1534" s="680"/>
      <c r="AI1534" s="681"/>
      <c r="AJ1534" s="682"/>
      <c r="AK1534" s="683"/>
      <c r="AL1534" s="684" t="s">
        <v>162</v>
      </c>
      <c r="AM1534" s="685"/>
      <c r="AN1534" s="666" t="s">
        <v>162</v>
      </c>
      <c r="AO1534" s="667"/>
      <c r="AP1534" s="686"/>
      <c r="AQ1534" s="687"/>
      <c r="AR1534" s="688"/>
      <c r="AS1534" s="689"/>
      <c r="AT1534" s="690"/>
      <c r="AU1534" s="691"/>
      <c r="AV1534" s="666" t="s">
        <v>162</v>
      </c>
      <c r="AW1534" s="667"/>
      <c r="AX1534" s="692"/>
      <c r="AY1534" s="693"/>
      <c r="AZ1534" s="694"/>
      <c r="BA1534" s="682"/>
      <c r="BB1534" s="683"/>
      <c r="BC1534" s="14"/>
      <c r="BD1534" s="695" t="s">
        <v>162</v>
      </c>
      <c r="BE1534" s="696"/>
      <c r="BF1534" s="708"/>
      <c r="BG1534" s="709"/>
      <c r="BH1534" s="709"/>
      <c r="BI1534" s="710"/>
      <c r="BJ1534" s="700" t="s">
        <v>159</v>
      </c>
      <c r="BK1534" s="701"/>
      <c r="BL1534" s="701"/>
      <c r="BM1534" s="702"/>
      <c r="BN1534" s="703" t="s">
        <v>159</v>
      </c>
      <c r="BO1534" s="704"/>
      <c r="BP1534" s="704"/>
      <c r="BQ1534" s="704"/>
      <c r="BR1534" s="704"/>
      <c r="BS1534" s="704"/>
      <c r="BT1534" s="704"/>
      <c r="BU1534" s="704"/>
      <c r="BV1534" s="705"/>
    </row>
    <row r="1535" spans="1:74" ht="45" customHeight="1" x14ac:dyDescent="0.25">
      <c r="A1535" s="10">
        <f t="shared" si="23"/>
        <v>1521</v>
      </c>
      <c r="B1535" s="711" t="s">
        <v>159</v>
      </c>
      <c r="C1535" s="711"/>
      <c r="D1535" s="712" t="s">
        <v>212</v>
      </c>
      <c r="E1535" s="712"/>
      <c r="F1535" s="664" t="s">
        <v>162</v>
      </c>
      <c r="G1535" s="665"/>
      <c r="H1535" s="713" t="s">
        <v>162</v>
      </c>
      <c r="I1535" s="714"/>
      <c r="J1535" s="715"/>
      <c r="K1535" s="716"/>
      <c r="L1535" s="715"/>
      <c r="M1535" s="716"/>
      <c r="N1535" s="215"/>
      <c r="O1535" s="216"/>
      <c r="P1535" s="670"/>
      <c r="Q1535" s="671"/>
      <c r="R1535" s="719"/>
      <c r="S1535" s="720"/>
      <c r="T1535" s="721"/>
      <c r="U1535" s="722"/>
      <c r="V1535" s="723"/>
      <c r="W1535" s="724"/>
      <c r="X1535" s="725" t="s">
        <v>159</v>
      </c>
      <c r="Y1535" s="725"/>
      <c r="Z1535" s="725"/>
      <c r="AA1535" s="725"/>
      <c r="AB1535" s="726" t="s">
        <v>159</v>
      </c>
      <c r="AC1535" s="726"/>
      <c r="AD1535" s="726"/>
      <c r="AE1535" s="726"/>
      <c r="AF1535" s="727"/>
      <c r="AG1535" s="728"/>
      <c r="AH1535" s="727"/>
      <c r="AI1535" s="728"/>
      <c r="AJ1535" s="682"/>
      <c r="AK1535" s="683"/>
      <c r="AL1535" s="664" t="s">
        <v>162</v>
      </c>
      <c r="AM1535" s="665"/>
      <c r="AN1535" s="713" t="s">
        <v>162</v>
      </c>
      <c r="AO1535" s="714"/>
      <c r="AP1535" s="729"/>
      <c r="AQ1535" s="730"/>
      <c r="AR1535" s="731"/>
      <c r="AS1535" s="732"/>
      <c r="AT1535" s="733"/>
      <c r="AU1535" s="734"/>
      <c r="AV1535" s="713" t="s">
        <v>162</v>
      </c>
      <c r="AW1535" s="714"/>
      <c r="AX1535" s="692"/>
      <c r="AY1535" s="693"/>
      <c r="AZ1535" s="694"/>
      <c r="BA1535" s="735"/>
      <c r="BB1535" s="736"/>
      <c r="BC1535" s="219"/>
      <c r="BD1535" s="737" t="s">
        <v>162</v>
      </c>
      <c r="BE1535" s="738"/>
      <c r="BF1535" s="739"/>
      <c r="BG1535" s="740"/>
      <c r="BH1535" s="740"/>
      <c r="BI1535" s="741"/>
      <c r="BJ1535" s="742" t="s">
        <v>159</v>
      </c>
      <c r="BK1535" s="743"/>
      <c r="BL1535" s="743"/>
      <c r="BM1535" s="744"/>
      <c r="BN1535" s="703" t="s">
        <v>159</v>
      </c>
      <c r="BO1535" s="704"/>
      <c r="BP1535" s="704"/>
      <c r="BQ1535" s="704"/>
      <c r="BR1535" s="704"/>
      <c r="BS1535" s="704"/>
      <c r="BT1535" s="704"/>
      <c r="BU1535" s="704"/>
      <c r="BV1535" s="705"/>
    </row>
    <row r="1536" spans="1:74" ht="45" customHeight="1" x14ac:dyDescent="0.25">
      <c r="A1536" s="10">
        <f t="shared" si="23"/>
        <v>1522</v>
      </c>
      <c r="B1536" s="662" t="s">
        <v>159</v>
      </c>
      <c r="C1536" s="662"/>
      <c r="D1536" s="663" t="s">
        <v>212</v>
      </c>
      <c r="E1536" s="663"/>
      <c r="F1536" s="664" t="s">
        <v>162</v>
      </c>
      <c r="G1536" s="665"/>
      <c r="H1536" s="666" t="s">
        <v>162</v>
      </c>
      <c r="I1536" s="667"/>
      <c r="J1536" s="706"/>
      <c r="K1536" s="707"/>
      <c r="L1536" s="706"/>
      <c r="M1536" s="707"/>
      <c r="N1536" s="194"/>
      <c r="O1536" s="196"/>
      <c r="P1536" s="717"/>
      <c r="Q1536" s="718"/>
      <c r="R1536" s="672"/>
      <c r="S1536" s="673"/>
      <c r="T1536" s="674"/>
      <c r="U1536" s="675"/>
      <c r="V1536" s="676"/>
      <c r="W1536" s="677"/>
      <c r="X1536" s="678" t="s">
        <v>159</v>
      </c>
      <c r="Y1536" s="678"/>
      <c r="Z1536" s="678"/>
      <c r="AA1536" s="678"/>
      <c r="AB1536" s="679" t="s">
        <v>159</v>
      </c>
      <c r="AC1536" s="679"/>
      <c r="AD1536" s="679"/>
      <c r="AE1536" s="679"/>
      <c r="AF1536" s="680"/>
      <c r="AG1536" s="681"/>
      <c r="AH1536" s="680"/>
      <c r="AI1536" s="681"/>
      <c r="AJ1536" s="682"/>
      <c r="AK1536" s="683"/>
      <c r="AL1536" s="684" t="s">
        <v>162</v>
      </c>
      <c r="AM1536" s="685"/>
      <c r="AN1536" s="666" t="s">
        <v>162</v>
      </c>
      <c r="AO1536" s="667"/>
      <c r="AP1536" s="686"/>
      <c r="AQ1536" s="687"/>
      <c r="AR1536" s="688"/>
      <c r="AS1536" s="689"/>
      <c r="AT1536" s="690"/>
      <c r="AU1536" s="691"/>
      <c r="AV1536" s="666" t="s">
        <v>162</v>
      </c>
      <c r="AW1536" s="667"/>
      <c r="AX1536" s="692"/>
      <c r="AY1536" s="693"/>
      <c r="AZ1536" s="694"/>
      <c r="BA1536" s="682"/>
      <c r="BB1536" s="683"/>
      <c r="BC1536" s="14"/>
      <c r="BD1536" s="695" t="s">
        <v>162</v>
      </c>
      <c r="BE1536" s="696"/>
      <c r="BF1536" s="697"/>
      <c r="BG1536" s="698"/>
      <c r="BH1536" s="698"/>
      <c r="BI1536" s="699"/>
      <c r="BJ1536" s="700" t="s">
        <v>159</v>
      </c>
      <c r="BK1536" s="701"/>
      <c r="BL1536" s="701"/>
      <c r="BM1536" s="702"/>
      <c r="BN1536" s="703" t="s">
        <v>159</v>
      </c>
      <c r="BO1536" s="704"/>
      <c r="BP1536" s="704"/>
      <c r="BQ1536" s="704"/>
      <c r="BR1536" s="704"/>
      <c r="BS1536" s="704"/>
      <c r="BT1536" s="704"/>
      <c r="BU1536" s="704"/>
      <c r="BV1536" s="705"/>
    </row>
    <row r="1537" spans="1:74" ht="45" customHeight="1" x14ac:dyDescent="0.25">
      <c r="A1537" s="10">
        <f t="shared" si="23"/>
        <v>1523</v>
      </c>
      <c r="B1537" s="711" t="s">
        <v>159</v>
      </c>
      <c r="C1537" s="711"/>
      <c r="D1537" s="712" t="s">
        <v>212</v>
      </c>
      <c r="E1537" s="712"/>
      <c r="F1537" s="664" t="s">
        <v>162</v>
      </c>
      <c r="G1537" s="665"/>
      <c r="H1537" s="713" t="s">
        <v>162</v>
      </c>
      <c r="I1537" s="714"/>
      <c r="J1537" s="715"/>
      <c r="K1537" s="716"/>
      <c r="L1537" s="715"/>
      <c r="M1537" s="716"/>
      <c r="N1537" s="194"/>
      <c r="O1537" s="196"/>
      <c r="P1537" s="717"/>
      <c r="Q1537" s="718"/>
      <c r="R1537" s="719"/>
      <c r="S1537" s="720"/>
      <c r="T1537" s="721"/>
      <c r="U1537" s="722"/>
      <c r="V1537" s="723"/>
      <c r="W1537" s="724"/>
      <c r="X1537" s="725" t="s">
        <v>159</v>
      </c>
      <c r="Y1537" s="725"/>
      <c r="Z1537" s="725"/>
      <c r="AA1537" s="725"/>
      <c r="AB1537" s="726" t="s">
        <v>159</v>
      </c>
      <c r="AC1537" s="726"/>
      <c r="AD1537" s="726"/>
      <c r="AE1537" s="726"/>
      <c r="AF1537" s="727"/>
      <c r="AG1537" s="728"/>
      <c r="AH1537" s="727"/>
      <c r="AI1537" s="728"/>
      <c r="AJ1537" s="682"/>
      <c r="AK1537" s="683"/>
      <c r="AL1537" s="664" t="s">
        <v>162</v>
      </c>
      <c r="AM1537" s="665"/>
      <c r="AN1537" s="713" t="s">
        <v>162</v>
      </c>
      <c r="AO1537" s="714"/>
      <c r="AP1537" s="729"/>
      <c r="AQ1537" s="730"/>
      <c r="AR1537" s="731"/>
      <c r="AS1537" s="732"/>
      <c r="AT1537" s="690"/>
      <c r="AU1537" s="691"/>
      <c r="AV1537" s="713" t="s">
        <v>162</v>
      </c>
      <c r="AW1537" s="714"/>
      <c r="AX1537" s="692"/>
      <c r="AY1537" s="693"/>
      <c r="AZ1537" s="694"/>
      <c r="BA1537" s="735"/>
      <c r="BB1537" s="736"/>
      <c r="BC1537" s="219"/>
      <c r="BD1537" s="737" t="s">
        <v>162</v>
      </c>
      <c r="BE1537" s="738"/>
      <c r="BF1537" s="739"/>
      <c r="BG1537" s="740"/>
      <c r="BH1537" s="740"/>
      <c r="BI1537" s="741"/>
      <c r="BJ1537" s="742" t="s">
        <v>159</v>
      </c>
      <c r="BK1537" s="743"/>
      <c r="BL1537" s="743"/>
      <c r="BM1537" s="744"/>
      <c r="BN1537" s="703" t="s">
        <v>159</v>
      </c>
      <c r="BO1537" s="704"/>
      <c r="BP1537" s="704"/>
      <c r="BQ1537" s="704"/>
      <c r="BR1537" s="704"/>
      <c r="BS1537" s="704"/>
      <c r="BT1537" s="704"/>
      <c r="BU1537" s="704"/>
      <c r="BV1537" s="705"/>
    </row>
    <row r="1538" spans="1:74" ht="45" customHeight="1" x14ac:dyDescent="0.25">
      <c r="A1538" s="10">
        <f t="shared" si="23"/>
        <v>1524</v>
      </c>
      <c r="B1538" s="662" t="s">
        <v>159</v>
      </c>
      <c r="C1538" s="662"/>
      <c r="D1538" s="663" t="s">
        <v>212</v>
      </c>
      <c r="E1538" s="663"/>
      <c r="F1538" s="664" t="s">
        <v>162</v>
      </c>
      <c r="G1538" s="665"/>
      <c r="H1538" s="666" t="s">
        <v>162</v>
      </c>
      <c r="I1538" s="667"/>
      <c r="J1538" s="706"/>
      <c r="K1538" s="707"/>
      <c r="L1538" s="706"/>
      <c r="M1538" s="707"/>
      <c r="N1538" s="215"/>
      <c r="O1538" s="216"/>
      <c r="P1538" s="670"/>
      <c r="Q1538" s="671"/>
      <c r="R1538" s="672"/>
      <c r="S1538" s="673"/>
      <c r="T1538" s="674"/>
      <c r="U1538" s="675"/>
      <c r="V1538" s="676"/>
      <c r="W1538" s="677"/>
      <c r="X1538" s="678" t="s">
        <v>159</v>
      </c>
      <c r="Y1538" s="678"/>
      <c r="Z1538" s="678"/>
      <c r="AA1538" s="678"/>
      <c r="AB1538" s="679" t="s">
        <v>159</v>
      </c>
      <c r="AC1538" s="679"/>
      <c r="AD1538" s="679"/>
      <c r="AE1538" s="679"/>
      <c r="AF1538" s="680"/>
      <c r="AG1538" s="681"/>
      <c r="AH1538" s="680"/>
      <c r="AI1538" s="681"/>
      <c r="AJ1538" s="682"/>
      <c r="AK1538" s="683"/>
      <c r="AL1538" s="684" t="s">
        <v>162</v>
      </c>
      <c r="AM1538" s="685"/>
      <c r="AN1538" s="666" t="s">
        <v>162</v>
      </c>
      <c r="AO1538" s="667"/>
      <c r="AP1538" s="686"/>
      <c r="AQ1538" s="687"/>
      <c r="AR1538" s="688"/>
      <c r="AS1538" s="689"/>
      <c r="AT1538" s="690"/>
      <c r="AU1538" s="691"/>
      <c r="AV1538" s="666" t="s">
        <v>162</v>
      </c>
      <c r="AW1538" s="667"/>
      <c r="AX1538" s="692"/>
      <c r="AY1538" s="693"/>
      <c r="AZ1538" s="694"/>
      <c r="BA1538" s="682"/>
      <c r="BB1538" s="683"/>
      <c r="BC1538" s="14"/>
      <c r="BD1538" s="695" t="s">
        <v>162</v>
      </c>
      <c r="BE1538" s="696"/>
      <c r="BF1538" s="697"/>
      <c r="BG1538" s="698"/>
      <c r="BH1538" s="698"/>
      <c r="BI1538" s="699"/>
      <c r="BJ1538" s="700" t="s">
        <v>159</v>
      </c>
      <c r="BK1538" s="701"/>
      <c r="BL1538" s="701"/>
      <c r="BM1538" s="702"/>
      <c r="BN1538" s="703" t="s">
        <v>159</v>
      </c>
      <c r="BO1538" s="704"/>
      <c r="BP1538" s="704"/>
      <c r="BQ1538" s="704"/>
      <c r="BR1538" s="704"/>
      <c r="BS1538" s="704"/>
      <c r="BT1538" s="704"/>
      <c r="BU1538" s="704"/>
      <c r="BV1538" s="705"/>
    </row>
    <row r="1539" spans="1:74" ht="45" customHeight="1" x14ac:dyDescent="0.25">
      <c r="A1539" s="10">
        <f t="shared" si="23"/>
        <v>1525</v>
      </c>
      <c r="B1539" s="711" t="s">
        <v>159</v>
      </c>
      <c r="C1539" s="711"/>
      <c r="D1539" s="712" t="s">
        <v>212</v>
      </c>
      <c r="E1539" s="712"/>
      <c r="F1539" s="664" t="s">
        <v>162</v>
      </c>
      <c r="G1539" s="665"/>
      <c r="H1539" s="713" t="s">
        <v>162</v>
      </c>
      <c r="I1539" s="714"/>
      <c r="J1539" s="715"/>
      <c r="K1539" s="716"/>
      <c r="L1539" s="715"/>
      <c r="M1539" s="716"/>
      <c r="N1539" s="194"/>
      <c r="O1539" s="196"/>
      <c r="P1539" s="717"/>
      <c r="Q1539" s="718"/>
      <c r="R1539" s="719"/>
      <c r="S1539" s="720"/>
      <c r="T1539" s="721"/>
      <c r="U1539" s="722"/>
      <c r="V1539" s="723"/>
      <c r="W1539" s="724"/>
      <c r="X1539" s="725" t="s">
        <v>159</v>
      </c>
      <c r="Y1539" s="725"/>
      <c r="Z1539" s="725"/>
      <c r="AA1539" s="725"/>
      <c r="AB1539" s="726" t="s">
        <v>159</v>
      </c>
      <c r="AC1539" s="726"/>
      <c r="AD1539" s="726"/>
      <c r="AE1539" s="726"/>
      <c r="AF1539" s="727"/>
      <c r="AG1539" s="728"/>
      <c r="AH1539" s="727"/>
      <c r="AI1539" s="728"/>
      <c r="AJ1539" s="682"/>
      <c r="AK1539" s="683"/>
      <c r="AL1539" s="664" t="s">
        <v>162</v>
      </c>
      <c r="AM1539" s="665"/>
      <c r="AN1539" s="713" t="s">
        <v>162</v>
      </c>
      <c r="AO1539" s="714"/>
      <c r="AP1539" s="729"/>
      <c r="AQ1539" s="730"/>
      <c r="AR1539" s="731"/>
      <c r="AS1539" s="732"/>
      <c r="AT1539" s="690"/>
      <c r="AU1539" s="691"/>
      <c r="AV1539" s="713" t="s">
        <v>162</v>
      </c>
      <c r="AW1539" s="714"/>
      <c r="AX1539" s="692"/>
      <c r="AY1539" s="693"/>
      <c r="AZ1539" s="694"/>
      <c r="BA1539" s="735"/>
      <c r="BB1539" s="736"/>
      <c r="BC1539" s="219"/>
      <c r="BD1539" s="737" t="s">
        <v>162</v>
      </c>
      <c r="BE1539" s="738"/>
      <c r="BF1539" s="739"/>
      <c r="BG1539" s="740"/>
      <c r="BH1539" s="740"/>
      <c r="BI1539" s="741"/>
      <c r="BJ1539" s="742" t="s">
        <v>159</v>
      </c>
      <c r="BK1539" s="743"/>
      <c r="BL1539" s="743"/>
      <c r="BM1539" s="744"/>
      <c r="BN1539" s="703" t="s">
        <v>159</v>
      </c>
      <c r="BO1539" s="704"/>
      <c r="BP1539" s="704"/>
      <c r="BQ1539" s="704"/>
      <c r="BR1539" s="704"/>
      <c r="BS1539" s="704"/>
      <c r="BT1539" s="704"/>
      <c r="BU1539" s="704"/>
      <c r="BV1539" s="705"/>
    </row>
    <row r="1540" spans="1:74" ht="45" customHeight="1" x14ac:dyDescent="0.25">
      <c r="A1540" s="10">
        <f t="shared" si="23"/>
        <v>1526</v>
      </c>
      <c r="B1540" s="662" t="s">
        <v>159</v>
      </c>
      <c r="C1540" s="662"/>
      <c r="D1540" s="663" t="s">
        <v>212</v>
      </c>
      <c r="E1540" s="663"/>
      <c r="F1540" s="664" t="s">
        <v>162</v>
      </c>
      <c r="G1540" s="665"/>
      <c r="H1540" s="666" t="s">
        <v>162</v>
      </c>
      <c r="I1540" s="667"/>
      <c r="J1540" s="706"/>
      <c r="K1540" s="707"/>
      <c r="L1540" s="706"/>
      <c r="M1540" s="707"/>
      <c r="N1540" s="215"/>
      <c r="O1540" s="216"/>
      <c r="P1540" s="670"/>
      <c r="Q1540" s="671"/>
      <c r="R1540" s="672"/>
      <c r="S1540" s="673"/>
      <c r="T1540" s="674"/>
      <c r="U1540" s="675"/>
      <c r="V1540" s="676"/>
      <c r="W1540" s="677"/>
      <c r="X1540" s="678" t="s">
        <v>159</v>
      </c>
      <c r="Y1540" s="678"/>
      <c r="Z1540" s="678"/>
      <c r="AA1540" s="678"/>
      <c r="AB1540" s="679" t="s">
        <v>159</v>
      </c>
      <c r="AC1540" s="679"/>
      <c r="AD1540" s="679"/>
      <c r="AE1540" s="679"/>
      <c r="AF1540" s="680"/>
      <c r="AG1540" s="681"/>
      <c r="AH1540" s="680"/>
      <c r="AI1540" s="681"/>
      <c r="AJ1540" s="682"/>
      <c r="AK1540" s="683"/>
      <c r="AL1540" s="684" t="s">
        <v>162</v>
      </c>
      <c r="AM1540" s="685"/>
      <c r="AN1540" s="666" t="s">
        <v>162</v>
      </c>
      <c r="AO1540" s="667"/>
      <c r="AP1540" s="686"/>
      <c r="AQ1540" s="687"/>
      <c r="AR1540" s="688"/>
      <c r="AS1540" s="689"/>
      <c r="AT1540" s="690"/>
      <c r="AU1540" s="691"/>
      <c r="AV1540" s="666" t="s">
        <v>162</v>
      </c>
      <c r="AW1540" s="667"/>
      <c r="AX1540" s="692"/>
      <c r="AY1540" s="693"/>
      <c r="AZ1540" s="694"/>
      <c r="BA1540" s="682"/>
      <c r="BB1540" s="683"/>
      <c r="BC1540" s="14"/>
      <c r="BD1540" s="695" t="s">
        <v>162</v>
      </c>
      <c r="BE1540" s="696"/>
      <c r="BF1540" s="697"/>
      <c r="BG1540" s="698"/>
      <c r="BH1540" s="698"/>
      <c r="BI1540" s="699"/>
      <c r="BJ1540" s="700" t="s">
        <v>159</v>
      </c>
      <c r="BK1540" s="701"/>
      <c r="BL1540" s="701"/>
      <c r="BM1540" s="702"/>
      <c r="BN1540" s="703" t="s">
        <v>159</v>
      </c>
      <c r="BO1540" s="704"/>
      <c r="BP1540" s="704"/>
      <c r="BQ1540" s="704"/>
      <c r="BR1540" s="704"/>
      <c r="BS1540" s="704"/>
      <c r="BT1540" s="704"/>
      <c r="BU1540" s="704"/>
      <c r="BV1540" s="705"/>
    </row>
    <row r="1541" spans="1:74" ht="45" customHeight="1" x14ac:dyDescent="0.25">
      <c r="A1541" s="10">
        <f t="shared" si="23"/>
        <v>1527</v>
      </c>
      <c r="B1541" s="711" t="s">
        <v>159</v>
      </c>
      <c r="C1541" s="711"/>
      <c r="D1541" s="712" t="s">
        <v>212</v>
      </c>
      <c r="E1541" s="712"/>
      <c r="F1541" s="664" t="s">
        <v>162</v>
      </c>
      <c r="G1541" s="665"/>
      <c r="H1541" s="713" t="s">
        <v>162</v>
      </c>
      <c r="I1541" s="714"/>
      <c r="J1541" s="715"/>
      <c r="K1541" s="716"/>
      <c r="L1541" s="715"/>
      <c r="M1541" s="716"/>
      <c r="N1541" s="194"/>
      <c r="O1541" s="216"/>
      <c r="P1541" s="717"/>
      <c r="Q1541" s="718"/>
      <c r="R1541" s="719"/>
      <c r="S1541" s="720"/>
      <c r="T1541" s="721"/>
      <c r="U1541" s="722"/>
      <c r="V1541" s="723"/>
      <c r="W1541" s="724"/>
      <c r="X1541" s="725" t="s">
        <v>159</v>
      </c>
      <c r="Y1541" s="725"/>
      <c r="Z1541" s="725"/>
      <c r="AA1541" s="725"/>
      <c r="AB1541" s="726" t="s">
        <v>159</v>
      </c>
      <c r="AC1541" s="726"/>
      <c r="AD1541" s="726"/>
      <c r="AE1541" s="726"/>
      <c r="AF1541" s="727"/>
      <c r="AG1541" s="728"/>
      <c r="AH1541" s="727"/>
      <c r="AI1541" s="728"/>
      <c r="AJ1541" s="682"/>
      <c r="AK1541" s="683"/>
      <c r="AL1541" s="664" t="s">
        <v>162</v>
      </c>
      <c r="AM1541" s="665"/>
      <c r="AN1541" s="713" t="s">
        <v>162</v>
      </c>
      <c r="AO1541" s="714"/>
      <c r="AP1541" s="729"/>
      <c r="AQ1541" s="730"/>
      <c r="AR1541" s="731"/>
      <c r="AS1541" s="732"/>
      <c r="AT1541" s="733"/>
      <c r="AU1541" s="734"/>
      <c r="AV1541" s="713" t="s">
        <v>162</v>
      </c>
      <c r="AW1541" s="714"/>
      <c r="AX1541" s="692"/>
      <c r="AY1541" s="693"/>
      <c r="AZ1541" s="694"/>
      <c r="BA1541" s="735"/>
      <c r="BB1541" s="736"/>
      <c r="BC1541" s="219"/>
      <c r="BD1541" s="737" t="s">
        <v>162</v>
      </c>
      <c r="BE1541" s="738"/>
      <c r="BF1541" s="739"/>
      <c r="BG1541" s="740"/>
      <c r="BH1541" s="740"/>
      <c r="BI1541" s="741"/>
      <c r="BJ1541" s="742" t="s">
        <v>159</v>
      </c>
      <c r="BK1541" s="743"/>
      <c r="BL1541" s="743"/>
      <c r="BM1541" s="744"/>
      <c r="BN1541" s="703" t="s">
        <v>159</v>
      </c>
      <c r="BO1541" s="704"/>
      <c r="BP1541" s="704"/>
      <c r="BQ1541" s="704"/>
      <c r="BR1541" s="704"/>
      <c r="BS1541" s="704"/>
      <c r="BT1541" s="704"/>
      <c r="BU1541" s="704"/>
      <c r="BV1541" s="705"/>
    </row>
    <row r="1542" spans="1:74" ht="45" customHeight="1" x14ac:dyDescent="0.25">
      <c r="A1542" s="10">
        <f t="shared" si="23"/>
        <v>1528</v>
      </c>
      <c r="B1542" s="662" t="s">
        <v>159</v>
      </c>
      <c r="C1542" s="662"/>
      <c r="D1542" s="663" t="s">
        <v>212</v>
      </c>
      <c r="E1542" s="663"/>
      <c r="F1542" s="664" t="s">
        <v>162</v>
      </c>
      <c r="G1542" s="665"/>
      <c r="H1542" s="666" t="s">
        <v>162</v>
      </c>
      <c r="I1542" s="667"/>
      <c r="J1542" s="706"/>
      <c r="K1542" s="707"/>
      <c r="L1542" s="706"/>
      <c r="M1542" s="707"/>
      <c r="N1542" s="215"/>
      <c r="O1542" s="196"/>
      <c r="P1542" s="670"/>
      <c r="Q1542" s="671"/>
      <c r="R1542" s="672"/>
      <c r="S1542" s="673"/>
      <c r="T1542" s="674"/>
      <c r="U1542" s="675"/>
      <c r="V1542" s="676"/>
      <c r="W1542" s="677"/>
      <c r="X1542" s="678" t="s">
        <v>159</v>
      </c>
      <c r="Y1542" s="678"/>
      <c r="Z1542" s="678"/>
      <c r="AA1542" s="678"/>
      <c r="AB1542" s="679" t="s">
        <v>159</v>
      </c>
      <c r="AC1542" s="679"/>
      <c r="AD1542" s="679"/>
      <c r="AE1542" s="679"/>
      <c r="AF1542" s="680"/>
      <c r="AG1542" s="681"/>
      <c r="AH1542" s="680"/>
      <c r="AI1542" s="681"/>
      <c r="AJ1542" s="682"/>
      <c r="AK1542" s="683"/>
      <c r="AL1542" s="684" t="s">
        <v>162</v>
      </c>
      <c r="AM1542" s="685"/>
      <c r="AN1542" s="666" t="s">
        <v>162</v>
      </c>
      <c r="AO1542" s="667"/>
      <c r="AP1542" s="686"/>
      <c r="AQ1542" s="687"/>
      <c r="AR1542" s="688"/>
      <c r="AS1542" s="689"/>
      <c r="AT1542" s="690"/>
      <c r="AU1542" s="691"/>
      <c r="AV1542" s="666" t="s">
        <v>162</v>
      </c>
      <c r="AW1542" s="667"/>
      <c r="AX1542" s="692"/>
      <c r="AY1542" s="693"/>
      <c r="AZ1542" s="694"/>
      <c r="BA1542" s="682"/>
      <c r="BB1542" s="683"/>
      <c r="BC1542" s="14"/>
      <c r="BD1542" s="695" t="s">
        <v>162</v>
      </c>
      <c r="BE1542" s="696"/>
      <c r="BF1542" s="708"/>
      <c r="BG1542" s="709"/>
      <c r="BH1542" s="709"/>
      <c r="BI1542" s="710"/>
      <c r="BJ1542" s="700" t="s">
        <v>159</v>
      </c>
      <c r="BK1542" s="701"/>
      <c r="BL1542" s="701"/>
      <c r="BM1542" s="702"/>
      <c r="BN1542" s="703" t="s">
        <v>159</v>
      </c>
      <c r="BO1542" s="704"/>
      <c r="BP1542" s="704"/>
      <c r="BQ1542" s="704"/>
      <c r="BR1542" s="704"/>
      <c r="BS1542" s="704"/>
      <c r="BT1542" s="704"/>
      <c r="BU1542" s="704"/>
      <c r="BV1542" s="705"/>
    </row>
    <row r="1543" spans="1:74" ht="45" customHeight="1" x14ac:dyDescent="0.25">
      <c r="A1543" s="10">
        <f t="shared" si="23"/>
        <v>1529</v>
      </c>
      <c r="B1543" s="711" t="s">
        <v>159</v>
      </c>
      <c r="C1543" s="711"/>
      <c r="D1543" s="712" t="s">
        <v>212</v>
      </c>
      <c r="E1543" s="712"/>
      <c r="F1543" s="664" t="s">
        <v>162</v>
      </c>
      <c r="G1543" s="665"/>
      <c r="H1543" s="713" t="s">
        <v>162</v>
      </c>
      <c r="I1543" s="714"/>
      <c r="J1543" s="715"/>
      <c r="K1543" s="716"/>
      <c r="L1543" s="715"/>
      <c r="M1543" s="716"/>
      <c r="N1543" s="194"/>
      <c r="O1543" s="216"/>
      <c r="P1543" s="717"/>
      <c r="Q1543" s="718"/>
      <c r="R1543" s="719"/>
      <c r="S1543" s="720"/>
      <c r="T1543" s="721"/>
      <c r="U1543" s="722"/>
      <c r="V1543" s="723"/>
      <c r="W1543" s="724"/>
      <c r="X1543" s="725" t="s">
        <v>159</v>
      </c>
      <c r="Y1543" s="725"/>
      <c r="Z1543" s="725"/>
      <c r="AA1543" s="725"/>
      <c r="AB1543" s="726" t="s">
        <v>159</v>
      </c>
      <c r="AC1543" s="726"/>
      <c r="AD1543" s="726"/>
      <c r="AE1543" s="726"/>
      <c r="AF1543" s="727"/>
      <c r="AG1543" s="728"/>
      <c r="AH1543" s="727"/>
      <c r="AI1543" s="728"/>
      <c r="AJ1543" s="682"/>
      <c r="AK1543" s="683"/>
      <c r="AL1543" s="664" t="s">
        <v>162</v>
      </c>
      <c r="AM1543" s="665"/>
      <c r="AN1543" s="713" t="s">
        <v>162</v>
      </c>
      <c r="AO1543" s="714"/>
      <c r="AP1543" s="729"/>
      <c r="AQ1543" s="730"/>
      <c r="AR1543" s="731"/>
      <c r="AS1543" s="732"/>
      <c r="AT1543" s="733"/>
      <c r="AU1543" s="734"/>
      <c r="AV1543" s="713" t="s">
        <v>162</v>
      </c>
      <c r="AW1543" s="714"/>
      <c r="AX1543" s="692"/>
      <c r="AY1543" s="693"/>
      <c r="AZ1543" s="694"/>
      <c r="BA1543" s="735"/>
      <c r="BB1543" s="736"/>
      <c r="BC1543" s="219"/>
      <c r="BD1543" s="737" t="s">
        <v>162</v>
      </c>
      <c r="BE1543" s="738"/>
      <c r="BF1543" s="739"/>
      <c r="BG1543" s="740"/>
      <c r="BH1543" s="740"/>
      <c r="BI1543" s="741"/>
      <c r="BJ1543" s="742" t="s">
        <v>159</v>
      </c>
      <c r="BK1543" s="743"/>
      <c r="BL1543" s="743"/>
      <c r="BM1543" s="744"/>
      <c r="BN1543" s="703" t="s">
        <v>159</v>
      </c>
      <c r="BO1543" s="704"/>
      <c r="BP1543" s="704"/>
      <c r="BQ1543" s="704"/>
      <c r="BR1543" s="704"/>
      <c r="BS1543" s="704"/>
      <c r="BT1543" s="704"/>
      <c r="BU1543" s="704"/>
      <c r="BV1543" s="705"/>
    </row>
    <row r="1544" spans="1:74" ht="45" customHeight="1" x14ac:dyDescent="0.25">
      <c r="A1544" s="10">
        <f t="shared" si="23"/>
        <v>1530</v>
      </c>
      <c r="B1544" s="662" t="s">
        <v>159</v>
      </c>
      <c r="C1544" s="662"/>
      <c r="D1544" s="663" t="s">
        <v>212</v>
      </c>
      <c r="E1544" s="663"/>
      <c r="F1544" s="664" t="s">
        <v>162</v>
      </c>
      <c r="G1544" s="665"/>
      <c r="H1544" s="666" t="s">
        <v>162</v>
      </c>
      <c r="I1544" s="667"/>
      <c r="J1544" s="706"/>
      <c r="K1544" s="707"/>
      <c r="L1544" s="706"/>
      <c r="M1544" s="707"/>
      <c r="N1544" s="215"/>
      <c r="O1544" s="196"/>
      <c r="P1544" s="670"/>
      <c r="Q1544" s="671"/>
      <c r="R1544" s="672"/>
      <c r="S1544" s="673"/>
      <c r="T1544" s="674"/>
      <c r="U1544" s="675"/>
      <c r="V1544" s="676"/>
      <c r="W1544" s="677"/>
      <c r="X1544" s="678" t="s">
        <v>159</v>
      </c>
      <c r="Y1544" s="678"/>
      <c r="Z1544" s="678"/>
      <c r="AA1544" s="678"/>
      <c r="AB1544" s="679" t="s">
        <v>159</v>
      </c>
      <c r="AC1544" s="679"/>
      <c r="AD1544" s="679"/>
      <c r="AE1544" s="679"/>
      <c r="AF1544" s="680"/>
      <c r="AG1544" s="681"/>
      <c r="AH1544" s="680"/>
      <c r="AI1544" s="681"/>
      <c r="AJ1544" s="682"/>
      <c r="AK1544" s="683"/>
      <c r="AL1544" s="684" t="s">
        <v>162</v>
      </c>
      <c r="AM1544" s="685"/>
      <c r="AN1544" s="666" t="s">
        <v>162</v>
      </c>
      <c r="AO1544" s="667"/>
      <c r="AP1544" s="686"/>
      <c r="AQ1544" s="687"/>
      <c r="AR1544" s="688"/>
      <c r="AS1544" s="689"/>
      <c r="AT1544" s="690"/>
      <c r="AU1544" s="691"/>
      <c r="AV1544" s="666" t="s">
        <v>162</v>
      </c>
      <c r="AW1544" s="667"/>
      <c r="AX1544" s="692"/>
      <c r="AY1544" s="693"/>
      <c r="AZ1544" s="694"/>
      <c r="BA1544" s="682"/>
      <c r="BB1544" s="683"/>
      <c r="BC1544" s="14"/>
      <c r="BD1544" s="695" t="s">
        <v>162</v>
      </c>
      <c r="BE1544" s="696"/>
      <c r="BF1544" s="697"/>
      <c r="BG1544" s="698"/>
      <c r="BH1544" s="698"/>
      <c r="BI1544" s="699"/>
      <c r="BJ1544" s="700" t="s">
        <v>159</v>
      </c>
      <c r="BK1544" s="701"/>
      <c r="BL1544" s="701"/>
      <c r="BM1544" s="702"/>
      <c r="BN1544" s="703" t="s">
        <v>159</v>
      </c>
      <c r="BO1544" s="704"/>
      <c r="BP1544" s="704"/>
      <c r="BQ1544" s="704"/>
      <c r="BR1544" s="704"/>
      <c r="BS1544" s="704"/>
      <c r="BT1544" s="704"/>
      <c r="BU1544" s="704"/>
      <c r="BV1544" s="705"/>
    </row>
    <row r="1545" spans="1:74" ht="45" customHeight="1" x14ac:dyDescent="0.25">
      <c r="A1545" s="10">
        <f t="shared" si="23"/>
        <v>1531</v>
      </c>
      <c r="B1545" s="711" t="s">
        <v>159</v>
      </c>
      <c r="C1545" s="711"/>
      <c r="D1545" s="712" t="s">
        <v>212</v>
      </c>
      <c r="E1545" s="712"/>
      <c r="F1545" s="664" t="s">
        <v>162</v>
      </c>
      <c r="G1545" s="665"/>
      <c r="H1545" s="713" t="s">
        <v>162</v>
      </c>
      <c r="I1545" s="714"/>
      <c r="J1545" s="715"/>
      <c r="K1545" s="716"/>
      <c r="L1545" s="715"/>
      <c r="M1545" s="716"/>
      <c r="N1545" s="194"/>
      <c r="O1545" s="216"/>
      <c r="P1545" s="717"/>
      <c r="Q1545" s="718"/>
      <c r="R1545" s="719"/>
      <c r="S1545" s="720"/>
      <c r="T1545" s="721"/>
      <c r="U1545" s="722"/>
      <c r="V1545" s="723"/>
      <c r="W1545" s="724"/>
      <c r="X1545" s="725" t="s">
        <v>159</v>
      </c>
      <c r="Y1545" s="725"/>
      <c r="Z1545" s="725"/>
      <c r="AA1545" s="725"/>
      <c r="AB1545" s="726" t="s">
        <v>159</v>
      </c>
      <c r="AC1545" s="726"/>
      <c r="AD1545" s="726"/>
      <c r="AE1545" s="726"/>
      <c r="AF1545" s="727"/>
      <c r="AG1545" s="728"/>
      <c r="AH1545" s="727"/>
      <c r="AI1545" s="728"/>
      <c r="AJ1545" s="682"/>
      <c r="AK1545" s="683"/>
      <c r="AL1545" s="664" t="s">
        <v>162</v>
      </c>
      <c r="AM1545" s="665"/>
      <c r="AN1545" s="713" t="s">
        <v>162</v>
      </c>
      <c r="AO1545" s="714"/>
      <c r="AP1545" s="729"/>
      <c r="AQ1545" s="730"/>
      <c r="AR1545" s="731"/>
      <c r="AS1545" s="732"/>
      <c r="AT1545" s="733"/>
      <c r="AU1545" s="734"/>
      <c r="AV1545" s="713" t="s">
        <v>162</v>
      </c>
      <c r="AW1545" s="714"/>
      <c r="AX1545" s="692"/>
      <c r="AY1545" s="693"/>
      <c r="AZ1545" s="694"/>
      <c r="BA1545" s="735"/>
      <c r="BB1545" s="736"/>
      <c r="BC1545" s="219"/>
      <c r="BD1545" s="737" t="s">
        <v>162</v>
      </c>
      <c r="BE1545" s="738"/>
      <c r="BF1545" s="739"/>
      <c r="BG1545" s="740"/>
      <c r="BH1545" s="740"/>
      <c r="BI1545" s="741"/>
      <c r="BJ1545" s="742" t="s">
        <v>159</v>
      </c>
      <c r="BK1545" s="743"/>
      <c r="BL1545" s="743"/>
      <c r="BM1545" s="744"/>
      <c r="BN1545" s="703" t="s">
        <v>159</v>
      </c>
      <c r="BO1545" s="704"/>
      <c r="BP1545" s="704"/>
      <c r="BQ1545" s="704"/>
      <c r="BR1545" s="704"/>
      <c r="BS1545" s="704"/>
      <c r="BT1545" s="704"/>
      <c r="BU1545" s="704"/>
      <c r="BV1545" s="705"/>
    </row>
    <row r="1546" spans="1:74" ht="45" customHeight="1" x14ac:dyDescent="0.25">
      <c r="A1546" s="10">
        <f t="shared" si="23"/>
        <v>1532</v>
      </c>
      <c r="B1546" s="662" t="s">
        <v>159</v>
      </c>
      <c r="C1546" s="662"/>
      <c r="D1546" s="663" t="s">
        <v>212</v>
      </c>
      <c r="E1546" s="663"/>
      <c r="F1546" s="664" t="s">
        <v>162</v>
      </c>
      <c r="G1546" s="665"/>
      <c r="H1546" s="666" t="s">
        <v>162</v>
      </c>
      <c r="I1546" s="667"/>
      <c r="J1546" s="706"/>
      <c r="K1546" s="707"/>
      <c r="L1546" s="706"/>
      <c r="M1546" s="707"/>
      <c r="N1546" s="215"/>
      <c r="O1546" s="196"/>
      <c r="P1546" s="670"/>
      <c r="Q1546" s="671"/>
      <c r="R1546" s="672"/>
      <c r="S1546" s="673"/>
      <c r="T1546" s="674"/>
      <c r="U1546" s="675"/>
      <c r="V1546" s="676"/>
      <c r="W1546" s="677"/>
      <c r="X1546" s="678" t="s">
        <v>159</v>
      </c>
      <c r="Y1546" s="678"/>
      <c r="Z1546" s="678"/>
      <c r="AA1546" s="678"/>
      <c r="AB1546" s="679" t="s">
        <v>159</v>
      </c>
      <c r="AC1546" s="679"/>
      <c r="AD1546" s="679"/>
      <c r="AE1546" s="679"/>
      <c r="AF1546" s="680"/>
      <c r="AG1546" s="681"/>
      <c r="AH1546" s="680"/>
      <c r="AI1546" s="681"/>
      <c r="AJ1546" s="682"/>
      <c r="AK1546" s="683"/>
      <c r="AL1546" s="684" t="s">
        <v>162</v>
      </c>
      <c r="AM1546" s="685"/>
      <c r="AN1546" s="666" t="s">
        <v>162</v>
      </c>
      <c r="AO1546" s="667"/>
      <c r="AP1546" s="686"/>
      <c r="AQ1546" s="687"/>
      <c r="AR1546" s="688"/>
      <c r="AS1546" s="689"/>
      <c r="AT1546" s="690"/>
      <c r="AU1546" s="691"/>
      <c r="AV1546" s="666" t="s">
        <v>162</v>
      </c>
      <c r="AW1546" s="667"/>
      <c r="AX1546" s="692"/>
      <c r="AY1546" s="693"/>
      <c r="AZ1546" s="694"/>
      <c r="BA1546" s="682"/>
      <c r="BB1546" s="683"/>
      <c r="BC1546" s="14"/>
      <c r="BD1546" s="695" t="s">
        <v>162</v>
      </c>
      <c r="BE1546" s="696"/>
      <c r="BF1546" s="697"/>
      <c r="BG1546" s="698"/>
      <c r="BH1546" s="698"/>
      <c r="BI1546" s="699"/>
      <c r="BJ1546" s="700" t="s">
        <v>159</v>
      </c>
      <c r="BK1546" s="701"/>
      <c r="BL1546" s="701"/>
      <c r="BM1546" s="702"/>
      <c r="BN1546" s="703" t="s">
        <v>159</v>
      </c>
      <c r="BO1546" s="704"/>
      <c r="BP1546" s="704"/>
      <c r="BQ1546" s="704"/>
      <c r="BR1546" s="704"/>
      <c r="BS1546" s="704"/>
      <c r="BT1546" s="704"/>
      <c r="BU1546" s="704"/>
      <c r="BV1546" s="705"/>
    </row>
    <row r="1547" spans="1:74" ht="45" customHeight="1" x14ac:dyDescent="0.25">
      <c r="A1547" s="10">
        <f t="shared" si="23"/>
        <v>1533</v>
      </c>
      <c r="B1547" s="711" t="s">
        <v>159</v>
      </c>
      <c r="C1547" s="711"/>
      <c r="D1547" s="712" t="s">
        <v>212</v>
      </c>
      <c r="E1547" s="712"/>
      <c r="F1547" s="664" t="s">
        <v>162</v>
      </c>
      <c r="G1547" s="665"/>
      <c r="H1547" s="713" t="s">
        <v>162</v>
      </c>
      <c r="I1547" s="714"/>
      <c r="J1547" s="715"/>
      <c r="K1547" s="716"/>
      <c r="L1547" s="715"/>
      <c r="M1547" s="716"/>
      <c r="N1547" s="194"/>
      <c r="O1547" s="216"/>
      <c r="P1547" s="717"/>
      <c r="Q1547" s="718"/>
      <c r="R1547" s="719"/>
      <c r="S1547" s="720"/>
      <c r="T1547" s="721"/>
      <c r="U1547" s="722"/>
      <c r="V1547" s="723"/>
      <c r="W1547" s="724"/>
      <c r="X1547" s="725" t="s">
        <v>159</v>
      </c>
      <c r="Y1547" s="725"/>
      <c r="Z1547" s="725"/>
      <c r="AA1547" s="725"/>
      <c r="AB1547" s="726" t="s">
        <v>159</v>
      </c>
      <c r="AC1547" s="726"/>
      <c r="AD1547" s="726"/>
      <c r="AE1547" s="726"/>
      <c r="AF1547" s="727"/>
      <c r="AG1547" s="728"/>
      <c r="AH1547" s="727"/>
      <c r="AI1547" s="728"/>
      <c r="AJ1547" s="682"/>
      <c r="AK1547" s="683"/>
      <c r="AL1547" s="664" t="s">
        <v>162</v>
      </c>
      <c r="AM1547" s="665"/>
      <c r="AN1547" s="713" t="s">
        <v>162</v>
      </c>
      <c r="AO1547" s="714"/>
      <c r="AP1547" s="729"/>
      <c r="AQ1547" s="730"/>
      <c r="AR1547" s="731"/>
      <c r="AS1547" s="732"/>
      <c r="AT1547" s="733"/>
      <c r="AU1547" s="734"/>
      <c r="AV1547" s="713" t="s">
        <v>162</v>
      </c>
      <c r="AW1547" s="714"/>
      <c r="AX1547" s="692"/>
      <c r="AY1547" s="693"/>
      <c r="AZ1547" s="694"/>
      <c r="BA1547" s="735"/>
      <c r="BB1547" s="736"/>
      <c r="BC1547" s="219"/>
      <c r="BD1547" s="737" t="s">
        <v>162</v>
      </c>
      <c r="BE1547" s="738"/>
      <c r="BF1547" s="739"/>
      <c r="BG1547" s="740"/>
      <c r="BH1547" s="740"/>
      <c r="BI1547" s="741"/>
      <c r="BJ1547" s="742" t="s">
        <v>159</v>
      </c>
      <c r="BK1547" s="743"/>
      <c r="BL1547" s="743"/>
      <c r="BM1547" s="744"/>
      <c r="BN1547" s="703" t="s">
        <v>159</v>
      </c>
      <c r="BO1547" s="704"/>
      <c r="BP1547" s="704"/>
      <c r="BQ1547" s="704"/>
      <c r="BR1547" s="704"/>
      <c r="BS1547" s="704"/>
      <c r="BT1547" s="704"/>
      <c r="BU1547" s="704"/>
      <c r="BV1547" s="705"/>
    </row>
    <row r="1548" spans="1:74" ht="45" customHeight="1" x14ac:dyDescent="0.25">
      <c r="A1548" s="10">
        <f t="shared" si="23"/>
        <v>1534</v>
      </c>
      <c r="B1548" s="662" t="s">
        <v>159</v>
      </c>
      <c r="C1548" s="662"/>
      <c r="D1548" s="663" t="s">
        <v>212</v>
      </c>
      <c r="E1548" s="663"/>
      <c r="F1548" s="664" t="s">
        <v>162</v>
      </c>
      <c r="G1548" s="665"/>
      <c r="H1548" s="666" t="s">
        <v>162</v>
      </c>
      <c r="I1548" s="667"/>
      <c r="J1548" s="706"/>
      <c r="K1548" s="707"/>
      <c r="L1548" s="706"/>
      <c r="M1548" s="707"/>
      <c r="N1548" s="215"/>
      <c r="O1548" s="196"/>
      <c r="P1548" s="670"/>
      <c r="Q1548" s="671"/>
      <c r="R1548" s="672"/>
      <c r="S1548" s="673"/>
      <c r="T1548" s="674"/>
      <c r="U1548" s="675"/>
      <c r="V1548" s="676"/>
      <c r="W1548" s="677"/>
      <c r="X1548" s="678" t="s">
        <v>159</v>
      </c>
      <c r="Y1548" s="678"/>
      <c r="Z1548" s="678"/>
      <c r="AA1548" s="678"/>
      <c r="AB1548" s="679" t="s">
        <v>159</v>
      </c>
      <c r="AC1548" s="679"/>
      <c r="AD1548" s="679"/>
      <c r="AE1548" s="679"/>
      <c r="AF1548" s="680"/>
      <c r="AG1548" s="681"/>
      <c r="AH1548" s="680"/>
      <c r="AI1548" s="681"/>
      <c r="AJ1548" s="682"/>
      <c r="AK1548" s="683"/>
      <c r="AL1548" s="684" t="s">
        <v>162</v>
      </c>
      <c r="AM1548" s="685"/>
      <c r="AN1548" s="666" t="s">
        <v>162</v>
      </c>
      <c r="AO1548" s="667"/>
      <c r="AP1548" s="686"/>
      <c r="AQ1548" s="687"/>
      <c r="AR1548" s="688"/>
      <c r="AS1548" s="689"/>
      <c r="AT1548" s="690"/>
      <c r="AU1548" s="691"/>
      <c r="AV1548" s="666" t="s">
        <v>162</v>
      </c>
      <c r="AW1548" s="667"/>
      <c r="AX1548" s="692"/>
      <c r="AY1548" s="693"/>
      <c r="AZ1548" s="694"/>
      <c r="BA1548" s="682"/>
      <c r="BB1548" s="683"/>
      <c r="BC1548" s="14"/>
      <c r="BD1548" s="695" t="s">
        <v>162</v>
      </c>
      <c r="BE1548" s="696"/>
      <c r="BF1548" s="708"/>
      <c r="BG1548" s="709"/>
      <c r="BH1548" s="709"/>
      <c r="BI1548" s="710"/>
      <c r="BJ1548" s="700" t="s">
        <v>159</v>
      </c>
      <c r="BK1548" s="701"/>
      <c r="BL1548" s="701"/>
      <c r="BM1548" s="702"/>
      <c r="BN1548" s="703" t="s">
        <v>159</v>
      </c>
      <c r="BO1548" s="704"/>
      <c r="BP1548" s="704"/>
      <c r="BQ1548" s="704"/>
      <c r="BR1548" s="704"/>
      <c r="BS1548" s="704"/>
      <c r="BT1548" s="704"/>
      <c r="BU1548" s="704"/>
      <c r="BV1548" s="705"/>
    </row>
    <row r="1549" spans="1:74" ht="45" customHeight="1" x14ac:dyDescent="0.25">
      <c r="A1549" s="10">
        <f t="shared" si="23"/>
        <v>1535</v>
      </c>
      <c r="B1549" s="711" t="s">
        <v>159</v>
      </c>
      <c r="C1549" s="711"/>
      <c r="D1549" s="712" t="s">
        <v>212</v>
      </c>
      <c r="E1549" s="712"/>
      <c r="F1549" s="664" t="s">
        <v>162</v>
      </c>
      <c r="G1549" s="665"/>
      <c r="H1549" s="713" t="s">
        <v>162</v>
      </c>
      <c r="I1549" s="714"/>
      <c r="J1549" s="715"/>
      <c r="K1549" s="716"/>
      <c r="L1549" s="715"/>
      <c r="M1549" s="716"/>
      <c r="N1549" s="194"/>
      <c r="O1549" s="216"/>
      <c r="P1549" s="717"/>
      <c r="Q1549" s="718"/>
      <c r="R1549" s="719"/>
      <c r="S1549" s="720"/>
      <c r="T1549" s="721"/>
      <c r="U1549" s="722"/>
      <c r="V1549" s="723"/>
      <c r="W1549" s="724"/>
      <c r="X1549" s="725" t="s">
        <v>159</v>
      </c>
      <c r="Y1549" s="725"/>
      <c r="Z1549" s="725"/>
      <c r="AA1549" s="725"/>
      <c r="AB1549" s="726" t="s">
        <v>159</v>
      </c>
      <c r="AC1549" s="726"/>
      <c r="AD1549" s="726"/>
      <c r="AE1549" s="726"/>
      <c r="AF1549" s="727"/>
      <c r="AG1549" s="728"/>
      <c r="AH1549" s="727"/>
      <c r="AI1549" s="728"/>
      <c r="AJ1549" s="682"/>
      <c r="AK1549" s="683"/>
      <c r="AL1549" s="664" t="s">
        <v>162</v>
      </c>
      <c r="AM1549" s="665"/>
      <c r="AN1549" s="713" t="s">
        <v>162</v>
      </c>
      <c r="AO1549" s="714"/>
      <c r="AP1549" s="729"/>
      <c r="AQ1549" s="730"/>
      <c r="AR1549" s="731"/>
      <c r="AS1549" s="732"/>
      <c r="AT1549" s="733"/>
      <c r="AU1549" s="734"/>
      <c r="AV1549" s="713" t="s">
        <v>162</v>
      </c>
      <c r="AW1549" s="714"/>
      <c r="AX1549" s="692"/>
      <c r="AY1549" s="693"/>
      <c r="AZ1549" s="694"/>
      <c r="BA1549" s="735"/>
      <c r="BB1549" s="736"/>
      <c r="BC1549" s="219"/>
      <c r="BD1549" s="737" t="s">
        <v>162</v>
      </c>
      <c r="BE1549" s="738"/>
      <c r="BF1549" s="739"/>
      <c r="BG1549" s="740"/>
      <c r="BH1549" s="740"/>
      <c r="BI1549" s="741"/>
      <c r="BJ1549" s="742" t="s">
        <v>159</v>
      </c>
      <c r="BK1549" s="743"/>
      <c r="BL1549" s="743"/>
      <c r="BM1549" s="744"/>
      <c r="BN1549" s="703" t="s">
        <v>159</v>
      </c>
      <c r="BO1549" s="704"/>
      <c r="BP1549" s="704"/>
      <c r="BQ1549" s="704"/>
      <c r="BR1549" s="704"/>
      <c r="BS1549" s="704"/>
      <c r="BT1549" s="704"/>
      <c r="BU1549" s="704"/>
      <c r="BV1549" s="705"/>
    </row>
    <row r="1550" spans="1:74" ht="45" customHeight="1" x14ac:dyDescent="0.25">
      <c r="A1550" s="10">
        <f t="shared" si="23"/>
        <v>1536</v>
      </c>
      <c r="B1550" s="662" t="s">
        <v>159</v>
      </c>
      <c r="C1550" s="662"/>
      <c r="D1550" s="663" t="s">
        <v>212</v>
      </c>
      <c r="E1550" s="663"/>
      <c r="F1550" s="664" t="s">
        <v>162</v>
      </c>
      <c r="G1550" s="665"/>
      <c r="H1550" s="666" t="s">
        <v>162</v>
      </c>
      <c r="I1550" s="667"/>
      <c r="J1550" s="706"/>
      <c r="K1550" s="707"/>
      <c r="L1550" s="706"/>
      <c r="M1550" s="707"/>
      <c r="N1550" s="215"/>
      <c r="O1550" s="196"/>
      <c r="P1550" s="670"/>
      <c r="Q1550" s="671"/>
      <c r="R1550" s="672"/>
      <c r="S1550" s="673"/>
      <c r="T1550" s="674"/>
      <c r="U1550" s="675"/>
      <c r="V1550" s="676"/>
      <c r="W1550" s="677"/>
      <c r="X1550" s="678" t="s">
        <v>159</v>
      </c>
      <c r="Y1550" s="678"/>
      <c r="Z1550" s="678"/>
      <c r="AA1550" s="678"/>
      <c r="AB1550" s="679" t="s">
        <v>159</v>
      </c>
      <c r="AC1550" s="679"/>
      <c r="AD1550" s="679"/>
      <c r="AE1550" s="679"/>
      <c r="AF1550" s="680"/>
      <c r="AG1550" s="681"/>
      <c r="AH1550" s="680"/>
      <c r="AI1550" s="681"/>
      <c r="AJ1550" s="682"/>
      <c r="AK1550" s="683"/>
      <c r="AL1550" s="684" t="s">
        <v>162</v>
      </c>
      <c r="AM1550" s="685"/>
      <c r="AN1550" s="666" t="s">
        <v>162</v>
      </c>
      <c r="AO1550" s="667"/>
      <c r="AP1550" s="686"/>
      <c r="AQ1550" s="687"/>
      <c r="AR1550" s="688"/>
      <c r="AS1550" s="689"/>
      <c r="AT1550" s="690"/>
      <c r="AU1550" s="691"/>
      <c r="AV1550" s="666" t="s">
        <v>162</v>
      </c>
      <c r="AW1550" s="667"/>
      <c r="AX1550" s="692"/>
      <c r="AY1550" s="693"/>
      <c r="AZ1550" s="694"/>
      <c r="BA1550" s="682"/>
      <c r="BB1550" s="683"/>
      <c r="BC1550" s="14"/>
      <c r="BD1550" s="695" t="s">
        <v>162</v>
      </c>
      <c r="BE1550" s="696"/>
      <c r="BF1550" s="697"/>
      <c r="BG1550" s="698"/>
      <c r="BH1550" s="698"/>
      <c r="BI1550" s="699"/>
      <c r="BJ1550" s="700" t="s">
        <v>159</v>
      </c>
      <c r="BK1550" s="701"/>
      <c r="BL1550" s="701"/>
      <c r="BM1550" s="702"/>
      <c r="BN1550" s="703" t="s">
        <v>159</v>
      </c>
      <c r="BO1550" s="704"/>
      <c r="BP1550" s="704"/>
      <c r="BQ1550" s="704"/>
      <c r="BR1550" s="704"/>
      <c r="BS1550" s="704"/>
      <c r="BT1550" s="704"/>
      <c r="BU1550" s="704"/>
      <c r="BV1550" s="705"/>
    </row>
    <row r="1551" spans="1:74" ht="45" customHeight="1" x14ac:dyDescent="0.25">
      <c r="A1551" s="10">
        <f t="shared" ref="A1551:A1614" si="24">ROW(A1537)</f>
        <v>1537</v>
      </c>
      <c r="B1551" s="711" t="s">
        <v>159</v>
      </c>
      <c r="C1551" s="711"/>
      <c r="D1551" s="712" t="s">
        <v>212</v>
      </c>
      <c r="E1551" s="712"/>
      <c r="F1551" s="664" t="s">
        <v>162</v>
      </c>
      <c r="G1551" s="665"/>
      <c r="H1551" s="713" t="s">
        <v>162</v>
      </c>
      <c r="I1551" s="714"/>
      <c r="J1551" s="715"/>
      <c r="K1551" s="716"/>
      <c r="L1551" s="715"/>
      <c r="M1551" s="716"/>
      <c r="N1551" s="215"/>
      <c r="O1551" s="216"/>
      <c r="P1551" s="670"/>
      <c r="Q1551" s="671"/>
      <c r="R1551" s="719"/>
      <c r="S1551" s="720"/>
      <c r="T1551" s="721"/>
      <c r="U1551" s="722"/>
      <c r="V1551" s="723"/>
      <c r="W1551" s="724"/>
      <c r="X1551" s="725" t="s">
        <v>159</v>
      </c>
      <c r="Y1551" s="725"/>
      <c r="Z1551" s="725"/>
      <c r="AA1551" s="725"/>
      <c r="AB1551" s="726" t="s">
        <v>159</v>
      </c>
      <c r="AC1551" s="726"/>
      <c r="AD1551" s="726"/>
      <c r="AE1551" s="726"/>
      <c r="AF1551" s="727"/>
      <c r="AG1551" s="728"/>
      <c r="AH1551" s="727"/>
      <c r="AI1551" s="728"/>
      <c r="AJ1551" s="682"/>
      <c r="AK1551" s="683"/>
      <c r="AL1551" s="664" t="s">
        <v>162</v>
      </c>
      <c r="AM1551" s="665"/>
      <c r="AN1551" s="713" t="s">
        <v>162</v>
      </c>
      <c r="AO1551" s="714"/>
      <c r="AP1551" s="729"/>
      <c r="AQ1551" s="730"/>
      <c r="AR1551" s="731"/>
      <c r="AS1551" s="732"/>
      <c r="AT1551" s="690"/>
      <c r="AU1551" s="691"/>
      <c r="AV1551" s="713" t="s">
        <v>162</v>
      </c>
      <c r="AW1551" s="714"/>
      <c r="AX1551" s="692"/>
      <c r="AY1551" s="693"/>
      <c r="AZ1551" s="694"/>
      <c r="BA1551" s="735"/>
      <c r="BB1551" s="736"/>
      <c r="BC1551" s="219"/>
      <c r="BD1551" s="695" t="s">
        <v>162</v>
      </c>
      <c r="BE1551" s="696"/>
      <c r="BF1551" s="739"/>
      <c r="BG1551" s="740"/>
      <c r="BH1551" s="740"/>
      <c r="BI1551" s="741"/>
      <c r="BJ1551" s="742" t="s">
        <v>159</v>
      </c>
      <c r="BK1551" s="743"/>
      <c r="BL1551" s="743"/>
      <c r="BM1551" s="744"/>
      <c r="BN1551" s="703" t="s">
        <v>159</v>
      </c>
      <c r="BO1551" s="704"/>
      <c r="BP1551" s="704"/>
      <c r="BQ1551" s="704"/>
      <c r="BR1551" s="704"/>
      <c r="BS1551" s="704"/>
      <c r="BT1551" s="704"/>
      <c r="BU1551" s="704"/>
      <c r="BV1551" s="705"/>
    </row>
    <row r="1552" spans="1:74" ht="45" customHeight="1" x14ac:dyDescent="0.25">
      <c r="A1552" s="10">
        <f t="shared" si="24"/>
        <v>1538</v>
      </c>
      <c r="B1552" s="662" t="s">
        <v>159</v>
      </c>
      <c r="C1552" s="662"/>
      <c r="D1552" s="663" t="s">
        <v>212</v>
      </c>
      <c r="E1552" s="663"/>
      <c r="F1552" s="664" t="s">
        <v>162</v>
      </c>
      <c r="G1552" s="665"/>
      <c r="H1552" s="666" t="s">
        <v>162</v>
      </c>
      <c r="I1552" s="667"/>
      <c r="J1552" s="706"/>
      <c r="K1552" s="707"/>
      <c r="L1552" s="706"/>
      <c r="M1552" s="707"/>
      <c r="N1552" s="194"/>
      <c r="O1552" s="196"/>
      <c r="P1552" s="717"/>
      <c r="Q1552" s="718"/>
      <c r="R1552" s="672"/>
      <c r="S1552" s="673"/>
      <c r="T1552" s="674"/>
      <c r="U1552" s="675"/>
      <c r="V1552" s="676"/>
      <c r="W1552" s="677"/>
      <c r="X1552" s="678" t="s">
        <v>159</v>
      </c>
      <c r="Y1552" s="678"/>
      <c r="Z1552" s="678"/>
      <c r="AA1552" s="678"/>
      <c r="AB1552" s="679" t="s">
        <v>159</v>
      </c>
      <c r="AC1552" s="679"/>
      <c r="AD1552" s="679"/>
      <c r="AE1552" s="679"/>
      <c r="AF1552" s="680"/>
      <c r="AG1552" s="681"/>
      <c r="AH1552" s="680"/>
      <c r="AI1552" s="681"/>
      <c r="AJ1552" s="682"/>
      <c r="AK1552" s="683"/>
      <c r="AL1552" s="684" t="s">
        <v>162</v>
      </c>
      <c r="AM1552" s="685"/>
      <c r="AN1552" s="666" t="s">
        <v>162</v>
      </c>
      <c r="AO1552" s="667"/>
      <c r="AP1552" s="686"/>
      <c r="AQ1552" s="687"/>
      <c r="AR1552" s="688"/>
      <c r="AS1552" s="689"/>
      <c r="AT1552" s="690"/>
      <c r="AU1552" s="691"/>
      <c r="AV1552" s="666" t="s">
        <v>162</v>
      </c>
      <c r="AW1552" s="667"/>
      <c r="AX1552" s="692"/>
      <c r="AY1552" s="693"/>
      <c r="AZ1552" s="694"/>
      <c r="BA1552" s="682"/>
      <c r="BB1552" s="683"/>
      <c r="BC1552" s="14"/>
      <c r="BD1552" s="737" t="s">
        <v>162</v>
      </c>
      <c r="BE1552" s="738"/>
      <c r="BF1552" s="697"/>
      <c r="BG1552" s="698"/>
      <c r="BH1552" s="698"/>
      <c r="BI1552" s="699"/>
      <c r="BJ1552" s="700" t="s">
        <v>159</v>
      </c>
      <c r="BK1552" s="701"/>
      <c r="BL1552" s="701"/>
      <c r="BM1552" s="702"/>
      <c r="BN1552" s="703" t="s">
        <v>159</v>
      </c>
      <c r="BO1552" s="704"/>
      <c r="BP1552" s="704"/>
      <c r="BQ1552" s="704"/>
      <c r="BR1552" s="704"/>
      <c r="BS1552" s="704"/>
      <c r="BT1552" s="704"/>
      <c r="BU1552" s="704"/>
      <c r="BV1552" s="705"/>
    </row>
    <row r="1553" spans="1:74" ht="45" customHeight="1" x14ac:dyDescent="0.25">
      <c r="A1553" s="10">
        <f t="shared" si="24"/>
        <v>1539</v>
      </c>
      <c r="B1553" s="711" t="s">
        <v>159</v>
      </c>
      <c r="C1553" s="711"/>
      <c r="D1553" s="712" t="s">
        <v>212</v>
      </c>
      <c r="E1553" s="712"/>
      <c r="F1553" s="664" t="s">
        <v>162</v>
      </c>
      <c r="G1553" s="665"/>
      <c r="H1553" s="713" t="s">
        <v>162</v>
      </c>
      <c r="I1553" s="714"/>
      <c r="J1553" s="715"/>
      <c r="K1553" s="716"/>
      <c r="L1553" s="715"/>
      <c r="M1553" s="716"/>
      <c r="N1553" s="215"/>
      <c r="O1553" s="216"/>
      <c r="P1553" s="670"/>
      <c r="Q1553" s="671"/>
      <c r="R1553" s="719"/>
      <c r="S1553" s="720"/>
      <c r="T1553" s="721"/>
      <c r="U1553" s="722"/>
      <c r="V1553" s="723"/>
      <c r="W1553" s="724"/>
      <c r="X1553" s="725" t="s">
        <v>159</v>
      </c>
      <c r="Y1553" s="725"/>
      <c r="Z1553" s="725"/>
      <c r="AA1553" s="725"/>
      <c r="AB1553" s="726" t="s">
        <v>159</v>
      </c>
      <c r="AC1553" s="726"/>
      <c r="AD1553" s="726"/>
      <c r="AE1553" s="726"/>
      <c r="AF1553" s="727"/>
      <c r="AG1553" s="728"/>
      <c r="AH1553" s="727"/>
      <c r="AI1553" s="728"/>
      <c r="AJ1553" s="682"/>
      <c r="AK1553" s="683"/>
      <c r="AL1553" s="664" t="s">
        <v>162</v>
      </c>
      <c r="AM1553" s="665"/>
      <c r="AN1553" s="713" t="s">
        <v>162</v>
      </c>
      <c r="AO1553" s="714"/>
      <c r="AP1553" s="729"/>
      <c r="AQ1553" s="730"/>
      <c r="AR1553" s="731"/>
      <c r="AS1553" s="732"/>
      <c r="AT1553" s="690"/>
      <c r="AU1553" s="691"/>
      <c r="AV1553" s="713" t="s">
        <v>162</v>
      </c>
      <c r="AW1553" s="714"/>
      <c r="AX1553" s="692"/>
      <c r="AY1553" s="693"/>
      <c r="AZ1553" s="694"/>
      <c r="BA1553" s="735"/>
      <c r="BB1553" s="736"/>
      <c r="BC1553" s="219"/>
      <c r="BD1553" s="695" t="s">
        <v>162</v>
      </c>
      <c r="BE1553" s="696"/>
      <c r="BF1553" s="739"/>
      <c r="BG1553" s="740"/>
      <c r="BH1553" s="740"/>
      <c r="BI1553" s="741"/>
      <c r="BJ1553" s="742" t="s">
        <v>159</v>
      </c>
      <c r="BK1553" s="743"/>
      <c r="BL1553" s="743"/>
      <c r="BM1553" s="744"/>
      <c r="BN1553" s="703" t="s">
        <v>159</v>
      </c>
      <c r="BO1553" s="704"/>
      <c r="BP1553" s="704"/>
      <c r="BQ1553" s="704"/>
      <c r="BR1553" s="704"/>
      <c r="BS1553" s="704"/>
      <c r="BT1553" s="704"/>
      <c r="BU1553" s="704"/>
      <c r="BV1553" s="705"/>
    </row>
    <row r="1554" spans="1:74" ht="45" customHeight="1" x14ac:dyDescent="0.25">
      <c r="A1554" s="10">
        <f t="shared" si="24"/>
        <v>1540</v>
      </c>
      <c r="B1554" s="662" t="s">
        <v>159</v>
      </c>
      <c r="C1554" s="662"/>
      <c r="D1554" s="663" t="s">
        <v>212</v>
      </c>
      <c r="E1554" s="663"/>
      <c r="F1554" s="664" t="s">
        <v>162</v>
      </c>
      <c r="G1554" s="665"/>
      <c r="H1554" s="666" t="s">
        <v>162</v>
      </c>
      <c r="I1554" s="667"/>
      <c r="J1554" s="706"/>
      <c r="K1554" s="707"/>
      <c r="L1554" s="706"/>
      <c r="M1554" s="707"/>
      <c r="N1554" s="194"/>
      <c r="O1554" s="196"/>
      <c r="P1554" s="717"/>
      <c r="Q1554" s="718"/>
      <c r="R1554" s="672"/>
      <c r="S1554" s="673"/>
      <c r="T1554" s="674"/>
      <c r="U1554" s="675"/>
      <c r="V1554" s="676"/>
      <c r="W1554" s="677"/>
      <c r="X1554" s="678" t="s">
        <v>159</v>
      </c>
      <c r="Y1554" s="678"/>
      <c r="Z1554" s="678"/>
      <c r="AA1554" s="678"/>
      <c r="AB1554" s="679" t="s">
        <v>159</v>
      </c>
      <c r="AC1554" s="679"/>
      <c r="AD1554" s="679"/>
      <c r="AE1554" s="679"/>
      <c r="AF1554" s="680"/>
      <c r="AG1554" s="681"/>
      <c r="AH1554" s="680"/>
      <c r="AI1554" s="681"/>
      <c r="AJ1554" s="682"/>
      <c r="AK1554" s="683"/>
      <c r="AL1554" s="684" t="s">
        <v>162</v>
      </c>
      <c r="AM1554" s="685"/>
      <c r="AN1554" s="666" t="s">
        <v>162</v>
      </c>
      <c r="AO1554" s="667"/>
      <c r="AP1554" s="686"/>
      <c r="AQ1554" s="687"/>
      <c r="AR1554" s="688"/>
      <c r="AS1554" s="689"/>
      <c r="AT1554" s="690"/>
      <c r="AU1554" s="691"/>
      <c r="AV1554" s="666" t="s">
        <v>162</v>
      </c>
      <c r="AW1554" s="667"/>
      <c r="AX1554" s="692"/>
      <c r="AY1554" s="693"/>
      <c r="AZ1554" s="694"/>
      <c r="BA1554" s="682"/>
      <c r="BB1554" s="683"/>
      <c r="BC1554" s="14"/>
      <c r="BD1554" s="695" t="s">
        <v>162</v>
      </c>
      <c r="BE1554" s="696"/>
      <c r="BF1554" s="697"/>
      <c r="BG1554" s="698"/>
      <c r="BH1554" s="698"/>
      <c r="BI1554" s="699"/>
      <c r="BJ1554" s="700" t="s">
        <v>159</v>
      </c>
      <c r="BK1554" s="701"/>
      <c r="BL1554" s="701"/>
      <c r="BM1554" s="702"/>
      <c r="BN1554" s="703" t="s">
        <v>159</v>
      </c>
      <c r="BO1554" s="704"/>
      <c r="BP1554" s="704"/>
      <c r="BQ1554" s="704"/>
      <c r="BR1554" s="704"/>
      <c r="BS1554" s="704"/>
      <c r="BT1554" s="704"/>
      <c r="BU1554" s="704"/>
      <c r="BV1554" s="705"/>
    </row>
    <row r="1555" spans="1:74" ht="45" customHeight="1" x14ac:dyDescent="0.25">
      <c r="A1555" s="10">
        <f t="shared" si="24"/>
        <v>1541</v>
      </c>
      <c r="B1555" s="711" t="s">
        <v>159</v>
      </c>
      <c r="C1555" s="711"/>
      <c r="D1555" s="712" t="s">
        <v>212</v>
      </c>
      <c r="E1555" s="712"/>
      <c r="F1555" s="664" t="s">
        <v>162</v>
      </c>
      <c r="G1555" s="665"/>
      <c r="H1555" s="713" t="s">
        <v>162</v>
      </c>
      <c r="I1555" s="714"/>
      <c r="J1555" s="715"/>
      <c r="K1555" s="716"/>
      <c r="L1555" s="715"/>
      <c r="M1555" s="716"/>
      <c r="N1555" s="215"/>
      <c r="O1555" s="216"/>
      <c r="P1555" s="670"/>
      <c r="Q1555" s="671"/>
      <c r="R1555" s="719"/>
      <c r="S1555" s="720"/>
      <c r="T1555" s="721"/>
      <c r="U1555" s="722"/>
      <c r="V1555" s="723"/>
      <c r="W1555" s="724"/>
      <c r="X1555" s="725" t="s">
        <v>159</v>
      </c>
      <c r="Y1555" s="725"/>
      <c r="Z1555" s="725"/>
      <c r="AA1555" s="725"/>
      <c r="AB1555" s="726" t="s">
        <v>159</v>
      </c>
      <c r="AC1555" s="726"/>
      <c r="AD1555" s="726"/>
      <c r="AE1555" s="726"/>
      <c r="AF1555" s="727"/>
      <c r="AG1555" s="728"/>
      <c r="AH1555" s="727"/>
      <c r="AI1555" s="728"/>
      <c r="AJ1555" s="682"/>
      <c r="AK1555" s="683"/>
      <c r="AL1555" s="664" t="s">
        <v>162</v>
      </c>
      <c r="AM1555" s="665"/>
      <c r="AN1555" s="713" t="s">
        <v>162</v>
      </c>
      <c r="AO1555" s="714"/>
      <c r="AP1555" s="729"/>
      <c r="AQ1555" s="730"/>
      <c r="AR1555" s="731"/>
      <c r="AS1555" s="732"/>
      <c r="AT1555" s="733"/>
      <c r="AU1555" s="734"/>
      <c r="AV1555" s="713" t="s">
        <v>162</v>
      </c>
      <c r="AW1555" s="714"/>
      <c r="AX1555" s="692"/>
      <c r="AY1555" s="693"/>
      <c r="AZ1555" s="694"/>
      <c r="BA1555" s="735"/>
      <c r="BB1555" s="736"/>
      <c r="BC1555" s="219"/>
      <c r="BD1555" s="737" t="s">
        <v>162</v>
      </c>
      <c r="BE1555" s="738"/>
      <c r="BF1555" s="739"/>
      <c r="BG1555" s="740"/>
      <c r="BH1555" s="740"/>
      <c r="BI1555" s="741"/>
      <c r="BJ1555" s="742" t="s">
        <v>159</v>
      </c>
      <c r="BK1555" s="743"/>
      <c r="BL1555" s="743"/>
      <c r="BM1555" s="744"/>
      <c r="BN1555" s="703" t="s">
        <v>159</v>
      </c>
      <c r="BO1555" s="704"/>
      <c r="BP1555" s="704"/>
      <c r="BQ1555" s="704"/>
      <c r="BR1555" s="704"/>
      <c r="BS1555" s="704"/>
      <c r="BT1555" s="704"/>
      <c r="BU1555" s="704"/>
      <c r="BV1555" s="705"/>
    </row>
    <row r="1556" spans="1:74" ht="45" customHeight="1" x14ac:dyDescent="0.25">
      <c r="A1556" s="10">
        <f t="shared" si="24"/>
        <v>1542</v>
      </c>
      <c r="B1556" s="662" t="s">
        <v>159</v>
      </c>
      <c r="C1556" s="662"/>
      <c r="D1556" s="663" t="s">
        <v>212</v>
      </c>
      <c r="E1556" s="663"/>
      <c r="F1556" s="664" t="s">
        <v>162</v>
      </c>
      <c r="G1556" s="665"/>
      <c r="H1556" s="666" t="s">
        <v>162</v>
      </c>
      <c r="I1556" s="667"/>
      <c r="J1556" s="706"/>
      <c r="K1556" s="707"/>
      <c r="L1556" s="706"/>
      <c r="M1556" s="707"/>
      <c r="N1556" s="194"/>
      <c r="O1556" s="196"/>
      <c r="P1556" s="717"/>
      <c r="Q1556" s="718"/>
      <c r="R1556" s="672"/>
      <c r="S1556" s="673"/>
      <c r="T1556" s="674"/>
      <c r="U1556" s="675"/>
      <c r="V1556" s="676"/>
      <c r="W1556" s="677"/>
      <c r="X1556" s="678" t="s">
        <v>159</v>
      </c>
      <c r="Y1556" s="678"/>
      <c r="Z1556" s="678"/>
      <c r="AA1556" s="678"/>
      <c r="AB1556" s="679" t="s">
        <v>159</v>
      </c>
      <c r="AC1556" s="679"/>
      <c r="AD1556" s="679"/>
      <c r="AE1556" s="679"/>
      <c r="AF1556" s="680"/>
      <c r="AG1556" s="681"/>
      <c r="AH1556" s="680"/>
      <c r="AI1556" s="681"/>
      <c r="AJ1556" s="682"/>
      <c r="AK1556" s="683"/>
      <c r="AL1556" s="684" t="s">
        <v>162</v>
      </c>
      <c r="AM1556" s="685"/>
      <c r="AN1556" s="666" t="s">
        <v>162</v>
      </c>
      <c r="AO1556" s="667"/>
      <c r="AP1556" s="686"/>
      <c r="AQ1556" s="687"/>
      <c r="AR1556" s="688"/>
      <c r="AS1556" s="689"/>
      <c r="AT1556" s="690"/>
      <c r="AU1556" s="691"/>
      <c r="AV1556" s="666" t="s">
        <v>162</v>
      </c>
      <c r="AW1556" s="667"/>
      <c r="AX1556" s="692"/>
      <c r="AY1556" s="693"/>
      <c r="AZ1556" s="694"/>
      <c r="BA1556" s="682"/>
      <c r="BB1556" s="683"/>
      <c r="BC1556" s="14"/>
      <c r="BD1556" s="695" t="s">
        <v>162</v>
      </c>
      <c r="BE1556" s="696"/>
      <c r="BF1556" s="708"/>
      <c r="BG1556" s="709"/>
      <c r="BH1556" s="709"/>
      <c r="BI1556" s="710"/>
      <c r="BJ1556" s="700" t="s">
        <v>159</v>
      </c>
      <c r="BK1556" s="701"/>
      <c r="BL1556" s="701"/>
      <c r="BM1556" s="702"/>
      <c r="BN1556" s="703" t="s">
        <v>159</v>
      </c>
      <c r="BO1556" s="704"/>
      <c r="BP1556" s="704"/>
      <c r="BQ1556" s="704"/>
      <c r="BR1556" s="704"/>
      <c r="BS1556" s="704"/>
      <c r="BT1556" s="704"/>
      <c r="BU1556" s="704"/>
      <c r="BV1556" s="705"/>
    </row>
    <row r="1557" spans="1:74" ht="45" customHeight="1" x14ac:dyDescent="0.25">
      <c r="A1557" s="10">
        <f t="shared" si="24"/>
        <v>1543</v>
      </c>
      <c r="B1557" s="711" t="s">
        <v>159</v>
      </c>
      <c r="C1557" s="711"/>
      <c r="D1557" s="712" t="s">
        <v>212</v>
      </c>
      <c r="E1557" s="712"/>
      <c r="F1557" s="664" t="s">
        <v>162</v>
      </c>
      <c r="G1557" s="665"/>
      <c r="H1557" s="713" t="s">
        <v>162</v>
      </c>
      <c r="I1557" s="714"/>
      <c r="J1557" s="715"/>
      <c r="K1557" s="716"/>
      <c r="L1557" s="715"/>
      <c r="M1557" s="716"/>
      <c r="N1557" s="215"/>
      <c r="O1557" s="216"/>
      <c r="P1557" s="670"/>
      <c r="Q1557" s="671"/>
      <c r="R1557" s="719"/>
      <c r="S1557" s="720"/>
      <c r="T1557" s="721"/>
      <c r="U1557" s="722"/>
      <c r="V1557" s="723"/>
      <c r="W1557" s="724"/>
      <c r="X1557" s="725" t="s">
        <v>159</v>
      </c>
      <c r="Y1557" s="725"/>
      <c r="Z1557" s="725"/>
      <c r="AA1557" s="725"/>
      <c r="AB1557" s="726" t="s">
        <v>159</v>
      </c>
      <c r="AC1557" s="726"/>
      <c r="AD1557" s="726"/>
      <c r="AE1557" s="726"/>
      <c r="AF1557" s="727"/>
      <c r="AG1557" s="728"/>
      <c r="AH1557" s="727"/>
      <c r="AI1557" s="728"/>
      <c r="AJ1557" s="682"/>
      <c r="AK1557" s="683"/>
      <c r="AL1557" s="664" t="s">
        <v>162</v>
      </c>
      <c r="AM1557" s="665"/>
      <c r="AN1557" s="713" t="s">
        <v>162</v>
      </c>
      <c r="AO1557" s="714"/>
      <c r="AP1557" s="729"/>
      <c r="AQ1557" s="730"/>
      <c r="AR1557" s="731"/>
      <c r="AS1557" s="732"/>
      <c r="AT1557" s="733"/>
      <c r="AU1557" s="734"/>
      <c r="AV1557" s="713" t="s">
        <v>162</v>
      </c>
      <c r="AW1557" s="714"/>
      <c r="AX1557" s="692"/>
      <c r="AY1557" s="693"/>
      <c r="AZ1557" s="694"/>
      <c r="BA1557" s="735"/>
      <c r="BB1557" s="736"/>
      <c r="BC1557" s="219"/>
      <c r="BD1557" s="737" t="s">
        <v>162</v>
      </c>
      <c r="BE1557" s="738"/>
      <c r="BF1557" s="739"/>
      <c r="BG1557" s="740"/>
      <c r="BH1557" s="740"/>
      <c r="BI1557" s="741"/>
      <c r="BJ1557" s="742" t="s">
        <v>159</v>
      </c>
      <c r="BK1557" s="743"/>
      <c r="BL1557" s="743"/>
      <c r="BM1557" s="744"/>
      <c r="BN1557" s="703" t="s">
        <v>159</v>
      </c>
      <c r="BO1557" s="704"/>
      <c r="BP1557" s="704"/>
      <c r="BQ1557" s="704"/>
      <c r="BR1557" s="704"/>
      <c r="BS1557" s="704"/>
      <c r="BT1557" s="704"/>
      <c r="BU1557" s="704"/>
      <c r="BV1557" s="705"/>
    </row>
    <row r="1558" spans="1:74" ht="45" customHeight="1" x14ac:dyDescent="0.25">
      <c r="A1558" s="10">
        <f t="shared" si="24"/>
        <v>1544</v>
      </c>
      <c r="B1558" s="662" t="s">
        <v>159</v>
      </c>
      <c r="C1558" s="662"/>
      <c r="D1558" s="663" t="s">
        <v>212</v>
      </c>
      <c r="E1558" s="663"/>
      <c r="F1558" s="664" t="s">
        <v>162</v>
      </c>
      <c r="G1558" s="665"/>
      <c r="H1558" s="666" t="s">
        <v>162</v>
      </c>
      <c r="I1558" s="667"/>
      <c r="J1558" s="706"/>
      <c r="K1558" s="707"/>
      <c r="L1558" s="706"/>
      <c r="M1558" s="707"/>
      <c r="N1558" s="194"/>
      <c r="O1558" s="196"/>
      <c r="P1558" s="717"/>
      <c r="Q1558" s="718"/>
      <c r="R1558" s="672"/>
      <c r="S1558" s="673"/>
      <c r="T1558" s="674"/>
      <c r="U1558" s="675"/>
      <c r="V1558" s="676"/>
      <c r="W1558" s="677"/>
      <c r="X1558" s="678" t="s">
        <v>159</v>
      </c>
      <c r="Y1558" s="678"/>
      <c r="Z1558" s="678"/>
      <c r="AA1558" s="678"/>
      <c r="AB1558" s="679" t="s">
        <v>159</v>
      </c>
      <c r="AC1558" s="679"/>
      <c r="AD1558" s="679"/>
      <c r="AE1558" s="679"/>
      <c r="AF1558" s="680"/>
      <c r="AG1558" s="681"/>
      <c r="AH1558" s="680"/>
      <c r="AI1558" s="681"/>
      <c r="AJ1558" s="682"/>
      <c r="AK1558" s="683"/>
      <c r="AL1558" s="684" t="s">
        <v>162</v>
      </c>
      <c r="AM1558" s="685"/>
      <c r="AN1558" s="666" t="s">
        <v>162</v>
      </c>
      <c r="AO1558" s="667"/>
      <c r="AP1558" s="686"/>
      <c r="AQ1558" s="687"/>
      <c r="AR1558" s="688"/>
      <c r="AS1558" s="689"/>
      <c r="AT1558" s="690"/>
      <c r="AU1558" s="691"/>
      <c r="AV1558" s="666" t="s">
        <v>162</v>
      </c>
      <c r="AW1558" s="667"/>
      <c r="AX1558" s="692"/>
      <c r="AY1558" s="693"/>
      <c r="AZ1558" s="694"/>
      <c r="BA1558" s="682"/>
      <c r="BB1558" s="683"/>
      <c r="BC1558" s="14"/>
      <c r="BD1558" s="695" t="s">
        <v>162</v>
      </c>
      <c r="BE1558" s="696"/>
      <c r="BF1558" s="697"/>
      <c r="BG1558" s="698"/>
      <c r="BH1558" s="698"/>
      <c r="BI1558" s="699"/>
      <c r="BJ1558" s="700" t="s">
        <v>159</v>
      </c>
      <c r="BK1558" s="701"/>
      <c r="BL1558" s="701"/>
      <c r="BM1558" s="702"/>
      <c r="BN1558" s="703" t="s">
        <v>159</v>
      </c>
      <c r="BO1558" s="704"/>
      <c r="BP1558" s="704"/>
      <c r="BQ1558" s="704"/>
      <c r="BR1558" s="704"/>
      <c r="BS1558" s="704"/>
      <c r="BT1558" s="704"/>
      <c r="BU1558" s="704"/>
      <c r="BV1558" s="705"/>
    </row>
    <row r="1559" spans="1:74" ht="45" customHeight="1" x14ac:dyDescent="0.25">
      <c r="A1559" s="10">
        <f t="shared" si="24"/>
        <v>1545</v>
      </c>
      <c r="B1559" s="711" t="s">
        <v>159</v>
      </c>
      <c r="C1559" s="711"/>
      <c r="D1559" s="712" t="s">
        <v>212</v>
      </c>
      <c r="E1559" s="712"/>
      <c r="F1559" s="664" t="s">
        <v>162</v>
      </c>
      <c r="G1559" s="665"/>
      <c r="H1559" s="713" t="s">
        <v>162</v>
      </c>
      <c r="I1559" s="714"/>
      <c r="J1559" s="715"/>
      <c r="K1559" s="716"/>
      <c r="L1559" s="715"/>
      <c r="M1559" s="716"/>
      <c r="N1559" s="215"/>
      <c r="O1559" s="216"/>
      <c r="P1559" s="670"/>
      <c r="Q1559" s="671"/>
      <c r="R1559" s="719"/>
      <c r="S1559" s="720"/>
      <c r="T1559" s="721"/>
      <c r="U1559" s="722"/>
      <c r="V1559" s="723"/>
      <c r="W1559" s="724"/>
      <c r="X1559" s="725" t="s">
        <v>159</v>
      </c>
      <c r="Y1559" s="725"/>
      <c r="Z1559" s="725"/>
      <c r="AA1559" s="725"/>
      <c r="AB1559" s="726" t="s">
        <v>159</v>
      </c>
      <c r="AC1559" s="726"/>
      <c r="AD1559" s="726"/>
      <c r="AE1559" s="726"/>
      <c r="AF1559" s="727"/>
      <c r="AG1559" s="728"/>
      <c r="AH1559" s="727"/>
      <c r="AI1559" s="728"/>
      <c r="AJ1559" s="682"/>
      <c r="AK1559" s="683"/>
      <c r="AL1559" s="664" t="s">
        <v>162</v>
      </c>
      <c r="AM1559" s="665"/>
      <c r="AN1559" s="713" t="s">
        <v>162</v>
      </c>
      <c r="AO1559" s="714"/>
      <c r="AP1559" s="729"/>
      <c r="AQ1559" s="730"/>
      <c r="AR1559" s="731"/>
      <c r="AS1559" s="732"/>
      <c r="AT1559" s="733"/>
      <c r="AU1559" s="734"/>
      <c r="AV1559" s="713" t="s">
        <v>162</v>
      </c>
      <c r="AW1559" s="714"/>
      <c r="AX1559" s="692"/>
      <c r="AY1559" s="693"/>
      <c r="AZ1559" s="694"/>
      <c r="BA1559" s="735"/>
      <c r="BB1559" s="736"/>
      <c r="BC1559" s="219"/>
      <c r="BD1559" s="737" t="s">
        <v>162</v>
      </c>
      <c r="BE1559" s="738"/>
      <c r="BF1559" s="739"/>
      <c r="BG1559" s="740"/>
      <c r="BH1559" s="740"/>
      <c r="BI1559" s="741"/>
      <c r="BJ1559" s="742" t="s">
        <v>159</v>
      </c>
      <c r="BK1559" s="743"/>
      <c r="BL1559" s="743"/>
      <c r="BM1559" s="744"/>
      <c r="BN1559" s="703" t="s">
        <v>159</v>
      </c>
      <c r="BO1559" s="704"/>
      <c r="BP1559" s="704"/>
      <c r="BQ1559" s="704"/>
      <c r="BR1559" s="704"/>
      <c r="BS1559" s="704"/>
      <c r="BT1559" s="704"/>
      <c r="BU1559" s="704"/>
      <c r="BV1559" s="705"/>
    </row>
    <row r="1560" spans="1:74" ht="45" customHeight="1" x14ac:dyDescent="0.25">
      <c r="A1560" s="10">
        <f t="shared" si="24"/>
        <v>1546</v>
      </c>
      <c r="B1560" s="662" t="s">
        <v>159</v>
      </c>
      <c r="C1560" s="662"/>
      <c r="D1560" s="663" t="s">
        <v>212</v>
      </c>
      <c r="E1560" s="663"/>
      <c r="F1560" s="664" t="s">
        <v>162</v>
      </c>
      <c r="G1560" s="665"/>
      <c r="H1560" s="666" t="s">
        <v>162</v>
      </c>
      <c r="I1560" s="667"/>
      <c r="J1560" s="706"/>
      <c r="K1560" s="707"/>
      <c r="L1560" s="706"/>
      <c r="M1560" s="707"/>
      <c r="N1560" s="194"/>
      <c r="O1560" s="196"/>
      <c r="P1560" s="717"/>
      <c r="Q1560" s="718"/>
      <c r="R1560" s="672"/>
      <c r="S1560" s="673"/>
      <c r="T1560" s="674"/>
      <c r="U1560" s="675"/>
      <c r="V1560" s="676"/>
      <c r="W1560" s="677"/>
      <c r="X1560" s="678" t="s">
        <v>159</v>
      </c>
      <c r="Y1560" s="678"/>
      <c r="Z1560" s="678"/>
      <c r="AA1560" s="678"/>
      <c r="AB1560" s="679" t="s">
        <v>159</v>
      </c>
      <c r="AC1560" s="679"/>
      <c r="AD1560" s="679"/>
      <c r="AE1560" s="679"/>
      <c r="AF1560" s="680"/>
      <c r="AG1560" s="681"/>
      <c r="AH1560" s="680"/>
      <c r="AI1560" s="681"/>
      <c r="AJ1560" s="682"/>
      <c r="AK1560" s="683"/>
      <c r="AL1560" s="684" t="s">
        <v>162</v>
      </c>
      <c r="AM1560" s="685"/>
      <c r="AN1560" s="666" t="s">
        <v>162</v>
      </c>
      <c r="AO1560" s="667"/>
      <c r="AP1560" s="686"/>
      <c r="AQ1560" s="687"/>
      <c r="AR1560" s="688"/>
      <c r="AS1560" s="689"/>
      <c r="AT1560" s="690"/>
      <c r="AU1560" s="691"/>
      <c r="AV1560" s="666" t="s">
        <v>162</v>
      </c>
      <c r="AW1560" s="667"/>
      <c r="AX1560" s="692"/>
      <c r="AY1560" s="693"/>
      <c r="AZ1560" s="694"/>
      <c r="BA1560" s="682"/>
      <c r="BB1560" s="683"/>
      <c r="BC1560" s="14"/>
      <c r="BD1560" s="695" t="s">
        <v>162</v>
      </c>
      <c r="BE1560" s="696"/>
      <c r="BF1560" s="697"/>
      <c r="BG1560" s="698"/>
      <c r="BH1560" s="698"/>
      <c r="BI1560" s="699"/>
      <c r="BJ1560" s="700" t="s">
        <v>159</v>
      </c>
      <c r="BK1560" s="701"/>
      <c r="BL1560" s="701"/>
      <c r="BM1560" s="702"/>
      <c r="BN1560" s="703" t="s">
        <v>159</v>
      </c>
      <c r="BO1560" s="704"/>
      <c r="BP1560" s="704"/>
      <c r="BQ1560" s="704"/>
      <c r="BR1560" s="704"/>
      <c r="BS1560" s="704"/>
      <c r="BT1560" s="704"/>
      <c r="BU1560" s="704"/>
      <c r="BV1560" s="705"/>
    </row>
    <row r="1561" spans="1:74" ht="45" customHeight="1" x14ac:dyDescent="0.25">
      <c r="A1561" s="10">
        <f t="shared" si="24"/>
        <v>1547</v>
      </c>
      <c r="B1561" s="711" t="s">
        <v>159</v>
      </c>
      <c r="C1561" s="711"/>
      <c r="D1561" s="712" t="s">
        <v>212</v>
      </c>
      <c r="E1561" s="712"/>
      <c r="F1561" s="664" t="s">
        <v>162</v>
      </c>
      <c r="G1561" s="665"/>
      <c r="H1561" s="713" t="s">
        <v>162</v>
      </c>
      <c r="I1561" s="714"/>
      <c r="J1561" s="715"/>
      <c r="K1561" s="716"/>
      <c r="L1561" s="715"/>
      <c r="M1561" s="716"/>
      <c r="N1561" s="215"/>
      <c r="O1561" s="216"/>
      <c r="P1561" s="670"/>
      <c r="Q1561" s="671"/>
      <c r="R1561" s="719"/>
      <c r="S1561" s="720"/>
      <c r="T1561" s="721"/>
      <c r="U1561" s="722"/>
      <c r="V1561" s="723"/>
      <c r="W1561" s="724"/>
      <c r="X1561" s="725" t="s">
        <v>159</v>
      </c>
      <c r="Y1561" s="725"/>
      <c r="Z1561" s="725"/>
      <c r="AA1561" s="725"/>
      <c r="AB1561" s="726" t="s">
        <v>159</v>
      </c>
      <c r="AC1561" s="726"/>
      <c r="AD1561" s="726"/>
      <c r="AE1561" s="726"/>
      <c r="AF1561" s="727"/>
      <c r="AG1561" s="728"/>
      <c r="AH1561" s="727"/>
      <c r="AI1561" s="728"/>
      <c r="AJ1561" s="682"/>
      <c r="AK1561" s="683"/>
      <c r="AL1561" s="664" t="s">
        <v>162</v>
      </c>
      <c r="AM1561" s="665"/>
      <c r="AN1561" s="713" t="s">
        <v>162</v>
      </c>
      <c r="AO1561" s="714"/>
      <c r="AP1561" s="729"/>
      <c r="AQ1561" s="730"/>
      <c r="AR1561" s="731"/>
      <c r="AS1561" s="732"/>
      <c r="AT1561" s="733"/>
      <c r="AU1561" s="734"/>
      <c r="AV1561" s="713" t="s">
        <v>162</v>
      </c>
      <c r="AW1561" s="714"/>
      <c r="AX1561" s="692"/>
      <c r="AY1561" s="693"/>
      <c r="AZ1561" s="694"/>
      <c r="BA1561" s="735"/>
      <c r="BB1561" s="736"/>
      <c r="BC1561" s="219"/>
      <c r="BD1561" s="737" t="s">
        <v>162</v>
      </c>
      <c r="BE1561" s="738"/>
      <c r="BF1561" s="739"/>
      <c r="BG1561" s="740"/>
      <c r="BH1561" s="740"/>
      <c r="BI1561" s="741"/>
      <c r="BJ1561" s="742" t="s">
        <v>159</v>
      </c>
      <c r="BK1561" s="743"/>
      <c r="BL1561" s="743"/>
      <c r="BM1561" s="744"/>
      <c r="BN1561" s="703" t="s">
        <v>159</v>
      </c>
      <c r="BO1561" s="704"/>
      <c r="BP1561" s="704"/>
      <c r="BQ1561" s="704"/>
      <c r="BR1561" s="704"/>
      <c r="BS1561" s="704"/>
      <c r="BT1561" s="704"/>
      <c r="BU1561" s="704"/>
      <c r="BV1561" s="705"/>
    </row>
    <row r="1562" spans="1:74" ht="45" customHeight="1" x14ac:dyDescent="0.25">
      <c r="A1562" s="10">
        <f t="shared" si="24"/>
        <v>1548</v>
      </c>
      <c r="B1562" s="662" t="s">
        <v>159</v>
      </c>
      <c r="C1562" s="662"/>
      <c r="D1562" s="663" t="s">
        <v>212</v>
      </c>
      <c r="E1562" s="663"/>
      <c r="F1562" s="664" t="s">
        <v>162</v>
      </c>
      <c r="G1562" s="665"/>
      <c r="H1562" s="666" t="s">
        <v>162</v>
      </c>
      <c r="I1562" s="667"/>
      <c r="J1562" s="706"/>
      <c r="K1562" s="707"/>
      <c r="L1562" s="706"/>
      <c r="M1562" s="707"/>
      <c r="N1562" s="194"/>
      <c r="O1562" s="196"/>
      <c r="P1562" s="717"/>
      <c r="Q1562" s="718"/>
      <c r="R1562" s="672"/>
      <c r="S1562" s="673"/>
      <c r="T1562" s="674"/>
      <c r="U1562" s="675"/>
      <c r="V1562" s="676"/>
      <c r="W1562" s="677"/>
      <c r="X1562" s="678" t="s">
        <v>159</v>
      </c>
      <c r="Y1562" s="678"/>
      <c r="Z1562" s="678"/>
      <c r="AA1562" s="678"/>
      <c r="AB1562" s="679" t="s">
        <v>159</v>
      </c>
      <c r="AC1562" s="679"/>
      <c r="AD1562" s="679"/>
      <c r="AE1562" s="679"/>
      <c r="AF1562" s="680"/>
      <c r="AG1562" s="681"/>
      <c r="AH1562" s="680"/>
      <c r="AI1562" s="681"/>
      <c r="AJ1562" s="682"/>
      <c r="AK1562" s="683"/>
      <c r="AL1562" s="684" t="s">
        <v>162</v>
      </c>
      <c r="AM1562" s="685"/>
      <c r="AN1562" s="666" t="s">
        <v>162</v>
      </c>
      <c r="AO1562" s="667"/>
      <c r="AP1562" s="686"/>
      <c r="AQ1562" s="687"/>
      <c r="AR1562" s="688"/>
      <c r="AS1562" s="689"/>
      <c r="AT1562" s="690"/>
      <c r="AU1562" s="691"/>
      <c r="AV1562" s="666" t="s">
        <v>162</v>
      </c>
      <c r="AW1562" s="667"/>
      <c r="AX1562" s="692"/>
      <c r="AY1562" s="693"/>
      <c r="AZ1562" s="694"/>
      <c r="BA1562" s="682"/>
      <c r="BB1562" s="683"/>
      <c r="BC1562" s="14"/>
      <c r="BD1562" s="695" t="s">
        <v>162</v>
      </c>
      <c r="BE1562" s="696"/>
      <c r="BF1562" s="708"/>
      <c r="BG1562" s="709"/>
      <c r="BH1562" s="709"/>
      <c r="BI1562" s="710"/>
      <c r="BJ1562" s="700" t="s">
        <v>159</v>
      </c>
      <c r="BK1562" s="701"/>
      <c r="BL1562" s="701"/>
      <c r="BM1562" s="702"/>
      <c r="BN1562" s="703" t="s">
        <v>159</v>
      </c>
      <c r="BO1562" s="704"/>
      <c r="BP1562" s="704"/>
      <c r="BQ1562" s="704"/>
      <c r="BR1562" s="704"/>
      <c r="BS1562" s="704"/>
      <c r="BT1562" s="704"/>
      <c r="BU1562" s="704"/>
      <c r="BV1562" s="705"/>
    </row>
    <row r="1563" spans="1:74" ht="45" customHeight="1" x14ac:dyDescent="0.25">
      <c r="A1563" s="10">
        <f t="shared" si="24"/>
        <v>1549</v>
      </c>
      <c r="B1563" s="711" t="s">
        <v>159</v>
      </c>
      <c r="C1563" s="711"/>
      <c r="D1563" s="712" t="s">
        <v>212</v>
      </c>
      <c r="E1563" s="712"/>
      <c r="F1563" s="664" t="s">
        <v>162</v>
      </c>
      <c r="G1563" s="665"/>
      <c r="H1563" s="713" t="s">
        <v>162</v>
      </c>
      <c r="I1563" s="714"/>
      <c r="J1563" s="715"/>
      <c r="K1563" s="716"/>
      <c r="L1563" s="715"/>
      <c r="M1563" s="716"/>
      <c r="N1563" s="215"/>
      <c r="O1563" s="216"/>
      <c r="P1563" s="670"/>
      <c r="Q1563" s="671"/>
      <c r="R1563" s="719"/>
      <c r="S1563" s="720"/>
      <c r="T1563" s="721"/>
      <c r="U1563" s="722"/>
      <c r="V1563" s="723"/>
      <c r="W1563" s="724"/>
      <c r="X1563" s="725" t="s">
        <v>159</v>
      </c>
      <c r="Y1563" s="725"/>
      <c r="Z1563" s="725"/>
      <c r="AA1563" s="725"/>
      <c r="AB1563" s="726" t="s">
        <v>159</v>
      </c>
      <c r="AC1563" s="726"/>
      <c r="AD1563" s="726"/>
      <c r="AE1563" s="726"/>
      <c r="AF1563" s="727"/>
      <c r="AG1563" s="728"/>
      <c r="AH1563" s="727"/>
      <c r="AI1563" s="728"/>
      <c r="AJ1563" s="682"/>
      <c r="AK1563" s="683"/>
      <c r="AL1563" s="664" t="s">
        <v>162</v>
      </c>
      <c r="AM1563" s="665"/>
      <c r="AN1563" s="713" t="s">
        <v>162</v>
      </c>
      <c r="AO1563" s="714"/>
      <c r="AP1563" s="729"/>
      <c r="AQ1563" s="730"/>
      <c r="AR1563" s="731"/>
      <c r="AS1563" s="732"/>
      <c r="AT1563" s="733"/>
      <c r="AU1563" s="734"/>
      <c r="AV1563" s="713" t="s">
        <v>162</v>
      </c>
      <c r="AW1563" s="714"/>
      <c r="AX1563" s="692"/>
      <c r="AY1563" s="693"/>
      <c r="AZ1563" s="694"/>
      <c r="BA1563" s="735"/>
      <c r="BB1563" s="736"/>
      <c r="BC1563" s="219"/>
      <c r="BD1563" s="737" t="s">
        <v>162</v>
      </c>
      <c r="BE1563" s="738"/>
      <c r="BF1563" s="739"/>
      <c r="BG1563" s="740"/>
      <c r="BH1563" s="740"/>
      <c r="BI1563" s="741"/>
      <c r="BJ1563" s="742" t="s">
        <v>159</v>
      </c>
      <c r="BK1563" s="743"/>
      <c r="BL1563" s="743"/>
      <c r="BM1563" s="744"/>
      <c r="BN1563" s="703" t="s">
        <v>159</v>
      </c>
      <c r="BO1563" s="704"/>
      <c r="BP1563" s="704"/>
      <c r="BQ1563" s="704"/>
      <c r="BR1563" s="704"/>
      <c r="BS1563" s="704"/>
      <c r="BT1563" s="704"/>
      <c r="BU1563" s="704"/>
      <c r="BV1563" s="705"/>
    </row>
    <row r="1564" spans="1:74" ht="45" customHeight="1" x14ac:dyDescent="0.25">
      <c r="A1564" s="10">
        <f t="shared" si="24"/>
        <v>1550</v>
      </c>
      <c r="B1564" s="662" t="s">
        <v>159</v>
      </c>
      <c r="C1564" s="662"/>
      <c r="D1564" s="663" t="s">
        <v>212</v>
      </c>
      <c r="E1564" s="663"/>
      <c r="F1564" s="664" t="s">
        <v>162</v>
      </c>
      <c r="G1564" s="665"/>
      <c r="H1564" s="666" t="s">
        <v>162</v>
      </c>
      <c r="I1564" s="667"/>
      <c r="J1564" s="706"/>
      <c r="K1564" s="707"/>
      <c r="L1564" s="706"/>
      <c r="M1564" s="707"/>
      <c r="N1564" s="194"/>
      <c r="O1564" s="196"/>
      <c r="P1564" s="717"/>
      <c r="Q1564" s="718"/>
      <c r="R1564" s="672"/>
      <c r="S1564" s="673"/>
      <c r="T1564" s="674"/>
      <c r="U1564" s="675"/>
      <c r="V1564" s="676"/>
      <c r="W1564" s="677"/>
      <c r="X1564" s="678" t="s">
        <v>159</v>
      </c>
      <c r="Y1564" s="678"/>
      <c r="Z1564" s="678"/>
      <c r="AA1564" s="678"/>
      <c r="AB1564" s="679" t="s">
        <v>159</v>
      </c>
      <c r="AC1564" s="679"/>
      <c r="AD1564" s="679"/>
      <c r="AE1564" s="679"/>
      <c r="AF1564" s="680"/>
      <c r="AG1564" s="681"/>
      <c r="AH1564" s="680"/>
      <c r="AI1564" s="681"/>
      <c r="AJ1564" s="682"/>
      <c r="AK1564" s="683"/>
      <c r="AL1564" s="684" t="s">
        <v>162</v>
      </c>
      <c r="AM1564" s="685"/>
      <c r="AN1564" s="666" t="s">
        <v>162</v>
      </c>
      <c r="AO1564" s="667"/>
      <c r="AP1564" s="686"/>
      <c r="AQ1564" s="687"/>
      <c r="AR1564" s="688"/>
      <c r="AS1564" s="689"/>
      <c r="AT1564" s="690"/>
      <c r="AU1564" s="691"/>
      <c r="AV1564" s="666" t="s">
        <v>162</v>
      </c>
      <c r="AW1564" s="667"/>
      <c r="AX1564" s="692"/>
      <c r="AY1564" s="693"/>
      <c r="AZ1564" s="694"/>
      <c r="BA1564" s="682"/>
      <c r="BB1564" s="683"/>
      <c r="BC1564" s="14"/>
      <c r="BD1564" s="695" t="s">
        <v>162</v>
      </c>
      <c r="BE1564" s="696"/>
      <c r="BF1564" s="697"/>
      <c r="BG1564" s="698"/>
      <c r="BH1564" s="698"/>
      <c r="BI1564" s="699"/>
      <c r="BJ1564" s="700" t="s">
        <v>159</v>
      </c>
      <c r="BK1564" s="701"/>
      <c r="BL1564" s="701"/>
      <c r="BM1564" s="702"/>
      <c r="BN1564" s="703" t="s">
        <v>159</v>
      </c>
      <c r="BO1564" s="704"/>
      <c r="BP1564" s="704"/>
      <c r="BQ1564" s="704"/>
      <c r="BR1564" s="704"/>
      <c r="BS1564" s="704"/>
      <c r="BT1564" s="704"/>
      <c r="BU1564" s="704"/>
      <c r="BV1564" s="705"/>
    </row>
    <row r="1565" spans="1:74" ht="45" customHeight="1" x14ac:dyDescent="0.25">
      <c r="A1565" s="10">
        <f t="shared" si="24"/>
        <v>1551</v>
      </c>
      <c r="B1565" s="711" t="s">
        <v>159</v>
      </c>
      <c r="C1565" s="711"/>
      <c r="D1565" s="712" t="s">
        <v>212</v>
      </c>
      <c r="E1565" s="712"/>
      <c r="F1565" s="664" t="s">
        <v>162</v>
      </c>
      <c r="G1565" s="665"/>
      <c r="H1565" s="713" t="s">
        <v>162</v>
      </c>
      <c r="I1565" s="714"/>
      <c r="J1565" s="715"/>
      <c r="K1565" s="716"/>
      <c r="L1565" s="715"/>
      <c r="M1565" s="716"/>
      <c r="N1565" s="194"/>
      <c r="O1565" s="196"/>
      <c r="P1565" s="717"/>
      <c r="Q1565" s="718"/>
      <c r="R1565" s="719"/>
      <c r="S1565" s="720"/>
      <c r="T1565" s="721"/>
      <c r="U1565" s="722"/>
      <c r="V1565" s="723"/>
      <c r="W1565" s="724"/>
      <c r="X1565" s="725" t="s">
        <v>159</v>
      </c>
      <c r="Y1565" s="725"/>
      <c r="Z1565" s="725"/>
      <c r="AA1565" s="725"/>
      <c r="AB1565" s="726" t="s">
        <v>159</v>
      </c>
      <c r="AC1565" s="726"/>
      <c r="AD1565" s="726"/>
      <c r="AE1565" s="726"/>
      <c r="AF1565" s="727"/>
      <c r="AG1565" s="728"/>
      <c r="AH1565" s="727"/>
      <c r="AI1565" s="728"/>
      <c r="AJ1565" s="682"/>
      <c r="AK1565" s="683"/>
      <c r="AL1565" s="664" t="s">
        <v>162</v>
      </c>
      <c r="AM1565" s="665"/>
      <c r="AN1565" s="713" t="s">
        <v>162</v>
      </c>
      <c r="AO1565" s="714"/>
      <c r="AP1565" s="729"/>
      <c r="AQ1565" s="730"/>
      <c r="AR1565" s="731"/>
      <c r="AS1565" s="732"/>
      <c r="AT1565" s="690"/>
      <c r="AU1565" s="691"/>
      <c r="AV1565" s="713" t="s">
        <v>162</v>
      </c>
      <c r="AW1565" s="714"/>
      <c r="AX1565" s="692"/>
      <c r="AY1565" s="693"/>
      <c r="AZ1565" s="694"/>
      <c r="BA1565" s="735"/>
      <c r="BB1565" s="736"/>
      <c r="BC1565" s="219"/>
      <c r="BD1565" s="737" t="s">
        <v>162</v>
      </c>
      <c r="BE1565" s="738"/>
      <c r="BF1565" s="739"/>
      <c r="BG1565" s="740"/>
      <c r="BH1565" s="740"/>
      <c r="BI1565" s="741"/>
      <c r="BJ1565" s="742" t="s">
        <v>159</v>
      </c>
      <c r="BK1565" s="743"/>
      <c r="BL1565" s="743"/>
      <c r="BM1565" s="744"/>
      <c r="BN1565" s="703" t="s">
        <v>159</v>
      </c>
      <c r="BO1565" s="704"/>
      <c r="BP1565" s="704"/>
      <c r="BQ1565" s="704"/>
      <c r="BR1565" s="704"/>
      <c r="BS1565" s="704"/>
      <c r="BT1565" s="704"/>
      <c r="BU1565" s="704"/>
      <c r="BV1565" s="705"/>
    </row>
    <row r="1566" spans="1:74" ht="45" customHeight="1" x14ac:dyDescent="0.25">
      <c r="A1566" s="10">
        <f t="shared" si="24"/>
        <v>1552</v>
      </c>
      <c r="B1566" s="662" t="s">
        <v>159</v>
      </c>
      <c r="C1566" s="662"/>
      <c r="D1566" s="663" t="s">
        <v>212</v>
      </c>
      <c r="E1566" s="663"/>
      <c r="F1566" s="664" t="s">
        <v>162</v>
      </c>
      <c r="G1566" s="665"/>
      <c r="H1566" s="666" t="s">
        <v>162</v>
      </c>
      <c r="I1566" s="667"/>
      <c r="J1566" s="706"/>
      <c r="K1566" s="707"/>
      <c r="L1566" s="706"/>
      <c r="M1566" s="707"/>
      <c r="N1566" s="215"/>
      <c r="O1566" s="216"/>
      <c r="P1566" s="670"/>
      <c r="Q1566" s="671"/>
      <c r="R1566" s="672"/>
      <c r="S1566" s="673"/>
      <c r="T1566" s="674"/>
      <c r="U1566" s="675"/>
      <c r="V1566" s="676"/>
      <c r="W1566" s="677"/>
      <c r="X1566" s="678" t="s">
        <v>159</v>
      </c>
      <c r="Y1566" s="678"/>
      <c r="Z1566" s="678"/>
      <c r="AA1566" s="678"/>
      <c r="AB1566" s="679" t="s">
        <v>159</v>
      </c>
      <c r="AC1566" s="679"/>
      <c r="AD1566" s="679"/>
      <c r="AE1566" s="679"/>
      <c r="AF1566" s="680"/>
      <c r="AG1566" s="681"/>
      <c r="AH1566" s="680"/>
      <c r="AI1566" s="681"/>
      <c r="AJ1566" s="682"/>
      <c r="AK1566" s="683"/>
      <c r="AL1566" s="684" t="s">
        <v>162</v>
      </c>
      <c r="AM1566" s="685"/>
      <c r="AN1566" s="666" t="s">
        <v>162</v>
      </c>
      <c r="AO1566" s="667"/>
      <c r="AP1566" s="686"/>
      <c r="AQ1566" s="687"/>
      <c r="AR1566" s="688"/>
      <c r="AS1566" s="689"/>
      <c r="AT1566" s="690"/>
      <c r="AU1566" s="691"/>
      <c r="AV1566" s="666" t="s">
        <v>162</v>
      </c>
      <c r="AW1566" s="667"/>
      <c r="AX1566" s="692"/>
      <c r="AY1566" s="693"/>
      <c r="AZ1566" s="694"/>
      <c r="BA1566" s="682"/>
      <c r="BB1566" s="683"/>
      <c r="BC1566" s="14"/>
      <c r="BD1566" s="695" t="s">
        <v>162</v>
      </c>
      <c r="BE1566" s="696"/>
      <c r="BF1566" s="697"/>
      <c r="BG1566" s="698"/>
      <c r="BH1566" s="698"/>
      <c r="BI1566" s="699"/>
      <c r="BJ1566" s="700" t="s">
        <v>159</v>
      </c>
      <c r="BK1566" s="701"/>
      <c r="BL1566" s="701"/>
      <c r="BM1566" s="702"/>
      <c r="BN1566" s="703" t="s">
        <v>159</v>
      </c>
      <c r="BO1566" s="704"/>
      <c r="BP1566" s="704"/>
      <c r="BQ1566" s="704"/>
      <c r="BR1566" s="704"/>
      <c r="BS1566" s="704"/>
      <c r="BT1566" s="704"/>
      <c r="BU1566" s="704"/>
      <c r="BV1566" s="705"/>
    </row>
    <row r="1567" spans="1:74" ht="45" customHeight="1" x14ac:dyDescent="0.25">
      <c r="A1567" s="10">
        <f t="shared" si="24"/>
        <v>1553</v>
      </c>
      <c r="B1567" s="711" t="s">
        <v>159</v>
      </c>
      <c r="C1567" s="711"/>
      <c r="D1567" s="712" t="s">
        <v>212</v>
      </c>
      <c r="E1567" s="712"/>
      <c r="F1567" s="664" t="s">
        <v>162</v>
      </c>
      <c r="G1567" s="665"/>
      <c r="H1567" s="713" t="s">
        <v>162</v>
      </c>
      <c r="I1567" s="714"/>
      <c r="J1567" s="715"/>
      <c r="K1567" s="716"/>
      <c r="L1567" s="715"/>
      <c r="M1567" s="716"/>
      <c r="N1567" s="194"/>
      <c r="O1567" s="196"/>
      <c r="P1567" s="717"/>
      <c r="Q1567" s="718"/>
      <c r="R1567" s="719"/>
      <c r="S1567" s="720"/>
      <c r="T1567" s="721"/>
      <c r="U1567" s="722"/>
      <c r="V1567" s="723"/>
      <c r="W1567" s="724"/>
      <c r="X1567" s="725" t="s">
        <v>159</v>
      </c>
      <c r="Y1567" s="725"/>
      <c r="Z1567" s="725"/>
      <c r="AA1567" s="725"/>
      <c r="AB1567" s="726" t="s">
        <v>159</v>
      </c>
      <c r="AC1567" s="726"/>
      <c r="AD1567" s="726"/>
      <c r="AE1567" s="726"/>
      <c r="AF1567" s="727"/>
      <c r="AG1567" s="728"/>
      <c r="AH1567" s="727"/>
      <c r="AI1567" s="728"/>
      <c r="AJ1567" s="682"/>
      <c r="AK1567" s="683"/>
      <c r="AL1567" s="664" t="s">
        <v>162</v>
      </c>
      <c r="AM1567" s="665"/>
      <c r="AN1567" s="713" t="s">
        <v>162</v>
      </c>
      <c r="AO1567" s="714"/>
      <c r="AP1567" s="729"/>
      <c r="AQ1567" s="730"/>
      <c r="AR1567" s="731"/>
      <c r="AS1567" s="732"/>
      <c r="AT1567" s="690"/>
      <c r="AU1567" s="691"/>
      <c r="AV1567" s="713" t="s">
        <v>162</v>
      </c>
      <c r="AW1567" s="714"/>
      <c r="AX1567" s="692"/>
      <c r="AY1567" s="693"/>
      <c r="AZ1567" s="694"/>
      <c r="BA1567" s="735"/>
      <c r="BB1567" s="736"/>
      <c r="BC1567" s="219"/>
      <c r="BD1567" s="737" t="s">
        <v>162</v>
      </c>
      <c r="BE1567" s="738"/>
      <c r="BF1567" s="739"/>
      <c r="BG1567" s="740"/>
      <c r="BH1567" s="740"/>
      <c r="BI1567" s="741"/>
      <c r="BJ1567" s="742" t="s">
        <v>159</v>
      </c>
      <c r="BK1567" s="743"/>
      <c r="BL1567" s="743"/>
      <c r="BM1567" s="744"/>
      <c r="BN1567" s="703" t="s">
        <v>159</v>
      </c>
      <c r="BO1567" s="704"/>
      <c r="BP1567" s="704"/>
      <c r="BQ1567" s="704"/>
      <c r="BR1567" s="704"/>
      <c r="BS1567" s="704"/>
      <c r="BT1567" s="704"/>
      <c r="BU1567" s="704"/>
      <c r="BV1567" s="705"/>
    </row>
    <row r="1568" spans="1:74" ht="45" customHeight="1" x14ac:dyDescent="0.25">
      <c r="A1568" s="10">
        <f t="shared" si="24"/>
        <v>1554</v>
      </c>
      <c r="B1568" s="662" t="s">
        <v>159</v>
      </c>
      <c r="C1568" s="662"/>
      <c r="D1568" s="663" t="s">
        <v>212</v>
      </c>
      <c r="E1568" s="663"/>
      <c r="F1568" s="664" t="s">
        <v>162</v>
      </c>
      <c r="G1568" s="665"/>
      <c r="H1568" s="666" t="s">
        <v>162</v>
      </c>
      <c r="I1568" s="667"/>
      <c r="J1568" s="706"/>
      <c r="K1568" s="707"/>
      <c r="L1568" s="706"/>
      <c r="M1568" s="707"/>
      <c r="N1568" s="215"/>
      <c r="O1568" s="216"/>
      <c r="P1568" s="670"/>
      <c r="Q1568" s="671"/>
      <c r="R1568" s="672"/>
      <c r="S1568" s="673"/>
      <c r="T1568" s="674"/>
      <c r="U1568" s="675"/>
      <c r="V1568" s="676"/>
      <c r="W1568" s="677"/>
      <c r="X1568" s="678" t="s">
        <v>159</v>
      </c>
      <c r="Y1568" s="678"/>
      <c r="Z1568" s="678"/>
      <c r="AA1568" s="678"/>
      <c r="AB1568" s="679" t="s">
        <v>159</v>
      </c>
      <c r="AC1568" s="679"/>
      <c r="AD1568" s="679"/>
      <c r="AE1568" s="679"/>
      <c r="AF1568" s="680"/>
      <c r="AG1568" s="681"/>
      <c r="AH1568" s="680"/>
      <c r="AI1568" s="681"/>
      <c r="AJ1568" s="682"/>
      <c r="AK1568" s="683"/>
      <c r="AL1568" s="684" t="s">
        <v>162</v>
      </c>
      <c r="AM1568" s="685"/>
      <c r="AN1568" s="666" t="s">
        <v>162</v>
      </c>
      <c r="AO1568" s="667"/>
      <c r="AP1568" s="686"/>
      <c r="AQ1568" s="687"/>
      <c r="AR1568" s="688"/>
      <c r="AS1568" s="689"/>
      <c r="AT1568" s="690"/>
      <c r="AU1568" s="691"/>
      <c r="AV1568" s="666" t="s">
        <v>162</v>
      </c>
      <c r="AW1568" s="667"/>
      <c r="AX1568" s="692"/>
      <c r="AY1568" s="693"/>
      <c r="AZ1568" s="694"/>
      <c r="BA1568" s="682"/>
      <c r="BB1568" s="683"/>
      <c r="BC1568" s="14"/>
      <c r="BD1568" s="695" t="s">
        <v>162</v>
      </c>
      <c r="BE1568" s="696"/>
      <c r="BF1568" s="697"/>
      <c r="BG1568" s="698"/>
      <c r="BH1568" s="698"/>
      <c r="BI1568" s="699"/>
      <c r="BJ1568" s="700" t="s">
        <v>159</v>
      </c>
      <c r="BK1568" s="701"/>
      <c r="BL1568" s="701"/>
      <c r="BM1568" s="702"/>
      <c r="BN1568" s="703" t="s">
        <v>159</v>
      </c>
      <c r="BO1568" s="704"/>
      <c r="BP1568" s="704"/>
      <c r="BQ1568" s="704"/>
      <c r="BR1568" s="704"/>
      <c r="BS1568" s="704"/>
      <c r="BT1568" s="704"/>
      <c r="BU1568" s="704"/>
      <c r="BV1568" s="705"/>
    </row>
    <row r="1569" spans="1:74" ht="45" customHeight="1" x14ac:dyDescent="0.25">
      <c r="A1569" s="10">
        <f t="shared" si="24"/>
        <v>1555</v>
      </c>
      <c r="B1569" s="711" t="s">
        <v>159</v>
      </c>
      <c r="C1569" s="711"/>
      <c r="D1569" s="712" t="s">
        <v>212</v>
      </c>
      <c r="E1569" s="712"/>
      <c r="F1569" s="664" t="s">
        <v>162</v>
      </c>
      <c r="G1569" s="665"/>
      <c r="H1569" s="713" t="s">
        <v>162</v>
      </c>
      <c r="I1569" s="714"/>
      <c r="J1569" s="715"/>
      <c r="K1569" s="716"/>
      <c r="L1569" s="715"/>
      <c r="M1569" s="716"/>
      <c r="N1569" s="194"/>
      <c r="O1569" s="216"/>
      <c r="P1569" s="717"/>
      <c r="Q1569" s="718"/>
      <c r="R1569" s="719"/>
      <c r="S1569" s="720"/>
      <c r="T1569" s="721"/>
      <c r="U1569" s="722"/>
      <c r="V1569" s="723"/>
      <c r="W1569" s="724"/>
      <c r="X1569" s="725" t="s">
        <v>159</v>
      </c>
      <c r="Y1569" s="725"/>
      <c r="Z1569" s="725"/>
      <c r="AA1569" s="725"/>
      <c r="AB1569" s="726" t="s">
        <v>159</v>
      </c>
      <c r="AC1569" s="726"/>
      <c r="AD1569" s="726"/>
      <c r="AE1569" s="726"/>
      <c r="AF1569" s="727"/>
      <c r="AG1569" s="728"/>
      <c r="AH1569" s="727"/>
      <c r="AI1569" s="728"/>
      <c r="AJ1569" s="682"/>
      <c r="AK1569" s="683"/>
      <c r="AL1569" s="664" t="s">
        <v>162</v>
      </c>
      <c r="AM1569" s="665"/>
      <c r="AN1569" s="713" t="s">
        <v>162</v>
      </c>
      <c r="AO1569" s="714"/>
      <c r="AP1569" s="729"/>
      <c r="AQ1569" s="730"/>
      <c r="AR1569" s="731"/>
      <c r="AS1569" s="732"/>
      <c r="AT1569" s="733"/>
      <c r="AU1569" s="734"/>
      <c r="AV1569" s="713" t="s">
        <v>162</v>
      </c>
      <c r="AW1569" s="714"/>
      <c r="AX1569" s="692"/>
      <c r="AY1569" s="693"/>
      <c r="AZ1569" s="694"/>
      <c r="BA1569" s="735"/>
      <c r="BB1569" s="736"/>
      <c r="BC1569" s="219"/>
      <c r="BD1569" s="737" t="s">
        <v>162</v>
      </c>
      <c r="BE1569" s="738"/>
      <c r="BF1569" s="739"/>
      <c r="BG1569" s="740"/>
      <c r="BH1569" s="740"/>
      <c r="BI1569" s="741"/>
      <c r="BJ1569" s="742" t="s">
        <v>159</v>
      </c>
      <c r="BK1569" s="743"/>
      <c r="BL1569" s="743"/>
      <c r="BM1569" s="744"/>
      <c r="BN1569" s="703" t="s">
        <v>159</v>
      </c>
      <c r="BO1569" s="704"/>
      <c r="BP1569" s="704"/>
      <c r="BQ1569" s="704"/>
      <c r="BR1569" s="704"/>
      <c r="BS1569" s="704"/>
      <c r="BT1569" s="704"/>
      <c r="BU1569" s="704"/>
      <c r="BV1569" s="705"/>
    </row>
    <row r="1570" spans="1:74" ht="45" customHeight="1" x14ac:dyDescent="0.25">
      <c r="A1570" s="10">
        <f t="shared" si="24"/>
        <v>1556</v>
      </c>
      <c r="B1570" s="662" t="s">
        <v>159</v>
      </c>
      <c r="C1570" s="662"/>
      <c r="D1570" s="663" t="s">
        <v>212</v>
      </c>
      <c r="E1570" s="663"/>
      <c r="F1570" s="664" t="s">
        <v>162</v>
      </c>
      <c r="G1570" s="665"/>
      <c r="H1570" s="666" t="s">
        <v>162</v>
      </c>
      <c r="I1570" s="667"/>
      <c r="J1570" s="706"/>
      <c r="K1570" s="707"/>
      <c r="L1570" s="706"/>
      <c r="M1570" s="707"/>
      <c r="N1570" s="215"/>
      <c r="O1570" s="196"/>
      <c r="P1570" s="670"/>
      <c r="Q1570" s="671"/>
      <c r="R1570" s="672"/>
      <c r="S1570" s="673"/>
      <c r="T1570" s="674"/>
      <c r="U1570" s="675"/>
      <c r="V1570" s="676"/>
      <c r="W1570" s="677"/>
      <c r="X1570" s="678" t="s">
        <v>159</v>
      </c>
      <c r="Y1570" s="678"/>
      <c r="Z1570" s="678"/>
      <c r="AA1570" s="678"/>
      <c r="AB1570" s="679" t="s">
        <v>159</v>
      </c>
      <c r="AC1570" s="679"/>
      <c r="AD1570" s="679"/>
      <c r="AE1570" s="679"/>
      <c r="AF1570" s="680"/>
      <c r="AG1570" s="681"/>
      <c r="AH1570" s="680"/>
      <c r="AI1570" s="681"/>
      <c r="AJ1570" s="682"/>
      <c r="AK1570" s="683"/>
      <c r="AL1570" s="684" t="s">
        <v>162</v>
      </c>
      <c r="AM1570" s="685"/>
      <c r="AN1570" s="666" t="s">
        <v>162</v>
      </c>
      <c r="AO1570" s="667"/>
      <c r="AP1570" s="686"/>
      <c r="AQ1570" s="687"/>
      <c r="AR1570" s="688"/>
      <c r="AS1570" s="689"/>
      <c r="AT1570" s="690"/>
      <c r="AU1570" s="691"/>
      <c r="AV1570" s="666" t="s">
        <v>162</v>
      </c>
      <c r="AW1570" s="667"/>
      <c r="AX1570" s="692"/>
      <c r="AY1570" s="693"/>
      <c r="AZ1570" s="694"/>
      <c r="BA1570" s="682"/>
      <c r="BB1570" s="683"/>
      <c r="BC1570" s="14"/>
      <c r="BD1570" s="695" t="s">
        <v>162</v>
      </c>
      <c r="BE1570" s="696"/>
      <c r="BF1570" s="708"/>
      <c r="BG1570" s="709"/>
      <c r="BH1570" s="709"/>
      <c r="BI1570" s="710"/>
      <c r="BJ1570" s="700" t="s">
        <v>159</v>
      </c>
      <c r="BK1570" s="701"/>
      <c r="BL1570" s="701"/>
      <c r="BM1570" s="702"/>
      <c r="BN1570" s="703" t="s">
        <v>159</v>
      </c>
      <c r="BO1570" s="704"/>
      <c r="BP1570" s="704"/>
      <c r="BQ1570" s="704"/>
      <c r="BR1570" s="704"/>
      <c r="BS1570" s="704"/>
      <c r="BT1570" s="704"/>
      <c r="BU1570" s="704"/>
      <c r="BV1570" s="705"/>
    </row>
    <row r="1571" spans="1:74" ht="45" customHeight="1" x14ac:dyDescent="0.25">
      <c r="A1571" s="10">
        <f t="shared" si="24"/>
        <v>1557</v>
      </c>
      <c r="B1571" s="711" t="s">
        <v>159</v>
      </c>
      <c r="C1571" s="711"/>
      <c r="D1571" s="712" t="s">
        <v>212</v>
      </c>
      <c r="E1571" s="712"/>
      <c r="F1571" s="664" t="s">
        <v>162</v>
      </c>
      <c r="G1571" s="665"/>
      <c r="H1571" s="713" t="s">
        <v>162</v>
      </c>
      <c r="I1571" s="714"/>
      <c r="J1571" s="715"/>
      <c r="K1571" s="716"/>
      <c r="L1571" s="715"/>
      <c r="M1571" s="716"/>
      <c r="N1571" s="194"/>
      <c r="O1571" s="216"/>
      <c r="P1571" s="717"/>
      <c r="Q1571" s="718"/>
      <c r="R1571" s="719"/>
      <c r="S1571" s="720"/>
      <c r="T1571" s="721"/>
      <c r="U1571" s="722"/>
      <c r="V1571" s="723"/>
      <c r="W1571" s="724"/>
      <c r="X1571" s="725" t="s">
        <v>159</v>
      </c>
      <c r="Y1571" s="725"/>
      <c r="Z1571" s="725"/>
      <c r="AA1571" s="725"/>
      <c r="AB1571" s="726" t="s">
        <v>159</v>
      </c>
      <c r="AC1571" s="726"/>
      <c r="AD1571" s="726"/>
      <c r="AE1571" s="726"/>
      <c r="AF1571" s="727"/>
      <c r="AG1571" s="728"/>
      <c r="AH1571" s="727"/>
      <c r="AI1571" s="728"/>
      <c r="AJ1571" s="682"/>
      <c r="AK1571" s="683"/>
      <c r="AL1571" s="664" t="s">
        <v>162</v>
      </c>
      <c r="AM1571" s="665"/>
      <c r="AN1571" s="713" t="s">
        <v>162</v>
      </c>
      <c r="AO1571" s="714"/>
      <c r="AP1571" s="729"/>
      <c r="AQ1571" s="730"/>
      <c r="AR1571" s="731"/>
      <c r="AS1571" s="732"/>
      <c r="AT1571" s="733"/>
      <c r="AU1571" s="734"/>
      <c r="AV1571" s="713" t="s">
        <v>162</v>
      </c>
      <c r="AW1571" s="714"/>
      <c r="AX1571" s="692"/>
      <c r="AY1571" s="693"/>
      <c r="AZ1571" s="694"/>
      <c r="BA1571" s="735"/>
      <c r="BB1571" s="736"/>
      <c r="BC1571" s="219"/>
      <c r="BD1571" s="737" t="s">
        <v>162</v>
      </c>
      <c r="BE1571" s="738"/>
      <c r="BF1571" s="739"/>
      <c r="BG1571" s="740"/>
      <c r="BH1571" s="740"/>
      <c r="BI1571" s="741"/>
      <c r="BJ1571" s="742" t="s">
        <v>159</v>
      </c>
      <c r="BK1571" s="743"/>
      <c r="BL1571" s="743"/>
      <c r="BM1571" s="744"/>
      <c r="BN1571" s="703" t="s">
        <v>159</v>
      </c>
      <c r="BO1571" s="704"/>
      <c r="BP1571" s="704"/>
      <c r="BQ1571" s="704"/>
      <c r="BR1571" s="704"/>
      <c r="BS1571" s="704"/>
      <c r="BT1571" s="704"/>
      <c r="BU1571" s="704"/>
      <c r="BV1571" s="705"/>
    </row>
    <row r="1572" spans="1:74" ht="45" customHeight="1" x14ac:dyDescent="0.25">
      <c r="A1572" s="10">
        <f t="shared" si="24"/>
        <v>1558</v>
      </c>
      <c r="B1572" s="662" t="s">
        <v>159</v>
      </c>
      <c r="C1572" s="662"/>
      <c r="D1572" s="663" t="s">
        <v>212</v>
      </c>
      <c r="E1572" s="663"/>
      <c r="F1572" s="664" t="s">
        <v>162</v>
      </c>
      <c r="G1572" s="665"/>
      <c r="H1572" s="666" t="s">
        <v>162</v>
      </c>
      <c r="I1572" s="667"/>
      <c r="J1572" s="706"/>
      <c r="K1572" s="707"/>
      <c r="L1572" s="706"/>
      <c r="M1572" s="707"/>
      <c r="N1572" s="215"/>
      <c r="O1572" s="196"/>
      <c r="P1572" s="670"/>
      <c r="Q1572" s="671"/>
      <c r="R1572" s="672"/>
      <c r="S1572" s="673"/>
      <c r="T1572" s="674"/>
      <c r="U1572" s="675"/>
      <c r="V1572" s="676"/>
      <c r="W1572" s="677"/>
      <c r="X1572" s="678" t="s">
        <v>159</v>
      </c>
      <c r="Y1572" s="678"/>
      <c r="Z1572" s="678"/>
      <c r="AA1572" s="678"/>
      <c r="AB1572" s="679" t="s">
        <v>159</v>
      </c>
      <c r="AC1572" s="679"/>
      <c r="AD1572" s="679"/>
      <c r="AE1572" s="679"/>
      <c r="AF1572" s="680"/>
      <c r="AG1572" s="681"/>
      <c r="AH1572" s="680"/>
      <c r="AI1572" s="681"/>
      <c r="AJ1572" s="682"/>
      <c r="AK1572" s="683"/>
      <c r="AL1572" s="684" t="s">
        <v>162</v>
      </c>
      <c r="AM1572" s="685"/>
      <c r="AN1572" s="666" t="s">
        <v>162</v>
      </c>
      <c r="AO1572" s="667"/>
      <c r="AP1572" s="686"/>
      <c r="AQ1572" s="687"/>
      <c r="AR1572" s="688"/>
      <c r="AS1572" s="689"/>
      <c r="AT1572" s="690"/>
      <c r="AU1572" s="691"/>
      <c r="AV1572" s="666" t="s">
        <v>162</v>
      </c>
      <c r="AW1572" s="667"/>
      <c r="AX1572" s="692"/>
      <c r="AY1572" s="693"/>
      <c r="AZ1572" s="694"/>
      <c r="BA1572" s="682"/>
      <c r="BB1572" s="683"/>
      <c r="BC1572" s="14"/>
      <c r="BD1572" s="695" t="s">
        <v>162</v>
      </c>
      <c r="BE1572" s="696"/>
      <c r="BF1572" s="697"/>
      <c r="BG1572" s="698"/>
      <c r="BH1572" s="698"/>
      <c r="BI1572" s="699"/>
      <c r="BJ1572" s="700" t="s">
        <v>159</v>
      </c>
      <c r="BK1572" s="701"/>
      <c r="BL1572" s="701"/>
      <c r="BM1572" s="702"/>
      <c r="BN1572" s="703" t="s">
        <v>159</v>
      </c>
      <c r="BO1572" s="704"/>
      <c r="BP1572" s="704"/>
      <c r="BQ1572" s="704"/>
      <c r="BR1572" s="704"/>
      <c r="BS1572" s="704"/>
      <c r="BT1572" s="704"/>
      <c r="BU1572" s="704"/>
      <c r="BV1572" s="705"/>
    </row>
    <row r="1573" spans="1:74" ht="45" customHeight="1" x14ac:dyDescent="0.25">
      <c r="A1573" s="10">
        <f t="shared" si="24"/>
        <v>1559</v>
      </c>
      <c r="B1573" s="711" t="s">
        <v>159</v>
      </c>
      <c r="C1573" s="711"/>
      <c r="D1573" s="712" t="s">
        <v>212</v>
      </c>
      <c r="E1573" s="712"/>
      <c r="F1573" s="664" t="s">
        <v>162</v>
      </c>
      <c r="G1573" s="665"/>
      <c r="H1573" s="713" t="s">
        <v>162</v>
      </c>
      <c r="I1573" s="714"/>
      <c r="J1573" s="715"/>
      <c r="K1573" s="716"/>
      <c r="L1573" s="715"/>
      <c r="M1573" s="716"/>
      <c r="N1573" s="194"/>
      <c r="O1573" s="216"/>
      <c r="P1573" s="717"/>
      <c r="Q1573" s="718"/>
      <c r="R1573" s="719"/>
      <c r="S1573" s="720"/>
      <c r="T1573" s="721"/>
      <c r="U1573" s="722"/>
      <c r="V1573" s="723"/>
      <c r="W1573" s="724"/>
      <c r="X1573" s="725" t="s">
        <v>159</v>
      </c>
      <c r="Y1573" s="725"/>
      <c r="Z1573" s="725"/>
      <c r="AA1573" s="725"/>
      <c r="AB1573" s="726" t="s">
        <v>159</v>
      </c>
      <c r="AC1573" s="726"/>
      <c r="AD1573" s="726"/>
      <c r="AE1573" s="726"/>
      <c r="AF1573" s="727"/>
      <c r="AG1573" s="728"/>
      <c r="AH1573" s="727"/>
      <c r="AI1573" s="728"/>
      <c r="AJ1573" s="682"/>
      <c r="AK1573" s="683"/>
      <c r="AL1573" s="664" t="s">
        <v>162</v>
      </c>
      <c r="AM1573" s="665"/>
      <c r="AN1573" s="713" t="s">
        <v>162</v>
      </c>
      <c r="AO1573" s="714"/>
      <c r="AP1573" s="729"/>
      <c r="AQ1573" s="730"/>
      <c r="AR1573" s="731"/>
      <c r="AS1573" s="732"/>
      <c r="AT1573" s="733"/>
      <c r="AU1573" s="734"/>
      <c r="AV1573" s="713" t="s">
        <v>162</v>
      </c>
      <c r="AW1573" s="714"/>
      <c r="AX1573" s="692"/>
      <c r="AY1573" s="693"/>
      <c r="AZ1573" s="694"/>
      <c r="BA1573" s="735"/>
      <c r="BB1573" s="736"/>
      <c r="BC1573" s="219"/>
      <c r="BD1573" s="737" t="s">
        <v>162</v>
      </c>
      <c r="BE1573" s="738"/>
      <c r="BF1573" s="739"/>
      <c r="BG1573" s="740"/>
      <c r="BH1573" s="740"/>
      <c r="BI1573" s="741"/>
      <c r="BJ1573" s="742" t="s">
        <v>159</v>
      </c>
      <c r="BK1573" s="743"/>
      <c r="BL1573" s="743"/>
      <c r="BM1573" s="744"/>
      <c r="BN1573" s="703" t="s">
        <v>159</v>
      </c>
      <c r="BO1573" s="704"/>
      <c r="BP1573" s="704"/>
      <c r="BQ1573" s="704"/>
      <c r="BR1573" s="704"/>
      <c r="BS1573" s="704"/>
      <c r="BT1573" s="704"/>
      <c r="BU1573" s="704"/>
      <c r="BV1573" s="705"/>
    </row>
    <row r="1574" spans="1:74" ht="45" customHeight="1" x14ac:dyDescent="0.25">
      <c r="A1574" s="10">
        <f t="shared" si="24"/>
        <v>1560</v>
      </c>
      <c r="B1574" s="662" t="s">
        <v>159</v>
      </c>
      <c r="C1574" s="662"/>
      <c r="D1574" s="663" t="s">
        <v>212</v>
      </c>
      <c r="E1574" s="663"/>
      <c r="F1574" s="664" t="s">
        <v>162</v>
      </c>
      <c r="G1574" s="665"/>
      <c r="H1574" s="666" t="s">
        <v>162</v>
      </c>
      <c r="I1574" s="667"/>
      <c r="J1574" s="706"/>
      <c r="K1574" s="707"/>
      <c r="L1574" s="706"/>
      <c r="M1574" s="707"/>
      <c r="N1574" s="215"/>
      <c r="O1574" s="196"/>
      <c r="P1574" s="670"/>
      <c r="Q1574" s="671"/>
      <c r="R1574" s="672"/>
      <c r="S1574" s="673"/>
      <c r="T1574" s="674"/>
      <c r="U1574" s="675"/>
      <c r="V1574" s="676"/>
      <c r="W1574" s="677"/>
      <c r="X1574" s="678" t="s">
        <v>159</v>
      </c>
      <c r="Y1574" s="678"/>
      <c r="Z1574" s="678"/>
      <c r="AA1574" s="678"/>
      <c r="AB1574" s="679" t="s">
        <v>159</v>
      </c>
      <c r="AC1574" s="679"/>
      <c r="AD1574" s="679"/>
      <c r="AE1574" s="679"/>
      <c r="AF1574" s="680"/>
      <c r="AG1574" s="681"/>
      <c r="AH1574" s="680"/>
      <c r="AI1574" s="681"/>
      <c r="AJ1574" s="682"/>
      <c r="AK1574" s="683"/>
      <c r="AL1574" s="684" t="s">
        <v>162</v>
      </c>
      <c r="AM1574" s="685"/>
      <c r="AN1574" s="666" t="s">
        <v>162</v>
      </c>
      <c r="AO1574" s="667"/>
      <c r="AP1574" s="686"/>
      <c r="AQ1574" s="687"/>
      <c r="AR1574" s="688"/>
      <c r="AS1574" s="689"/>
      <c r="AT1574" s="690"/>
      <c r="AU1574" s="691"/>
      <c r="AV1574" s="666" t="s">
        <v>162</v>
      </c>
      <c r="AW1574" s="667"/>
      <c r="AX1574" s="692"/>
      <c r="AY1574" s="693"/>
      <c r="AZ1574" s="694"/>
      <c r="BA1574" s="682"/>
      <c r="BB1574" s="683"/>
      <c r="BC1574" s="14"/>
      <c r="BD1574" s="695" t="s">
        <v>162</v>
      </c>
      <c r="BE1574" s="696"/>
      <c r="BF1574" s="697"/>
      <c r="BG1574" s="698"/>
      <c r="BH1574" s="698"/>
      <c r="BI1574" s="699"/>
      <c r="BJ1574" s="700" t="s">
        <v>159</v>
      </c>
      <c r="BK1574" s="701"/>
      <c r="BL1574" s="701"/>
      <c r="BM1574" s="702"/>
      <c r="BN1574" s="703" t="s">
        <v>159</v>
      </c>
      <c r="BO1574" s="704"/>
      <c r="BP1574" s="704"/>
      <c r="BQ1574" s="704"/>
      <c r="BR1574" s="704"/>
      <c r="BS1574" s="704"/>
      <c r="BT1574" s="704"/>
      <c r="BU1574" s="704"/>
      <c r="BV1574" s="705"/>
    </row>
    <row r="1575" spans="1:74" ht="45" customHeight="1" x14ac:dyDescent="0.25">
      <c r="A1575" s="10">
        <f t="shared" si="24"/>
        <v>1561</v>
      </c>
      <c r="B1575" s="711" t="s">
        <v>159</v>
      </c>
      <c r="C1575" s="711"/>
      <c r="D1575" s="712" t="s">
        <v>212</v>
      </c>
      <c r="E1575" s="712"/>
      <c r="F1575" s="664" t="s">
        <v>162</v>
      </c>
      <c r="G1575" s="665"/>
      <c r="H1575" s="713" t="s">
        <v>162</v>
      </c>
      <c r="I1575" s="714"/>
      <c r="J1575" s="715"/>
      <c r="K1575" s="716"/>
      <c r="L1575" s="715"/>
      <c r="M1575" s="716"/>
      <c r="N1575" s="194"/>
      <c r="O1575" s="216"/>
      <c r="P1575" s="717"/>
      <c r="Q1575" s="718"/>
      <c r="R1575" s="719"/>
      <c r="S1575" s="720"/>
      <c r="T1575" s="721"/>
      <c r="U1575" s="722"/>
      <c r="V1575" s="723"/>
      <c r="W1575" s="724"/>
      <c r="X1575" s="725" t="s">
        <v>159</v>
      </c>
      <c r="Y1575" s="725"/>
      <c r="Z1575" s="725"/>
      <c r="AA1575" s="725"/>
      <c r="AB1575" s="726" t="s">
        <v>159</v>
      </c>
      <c r="AC1575" s="726"/>
      <c r="AD1575" s="726"/>
      <c r="AE1575" s="726"/>
      <c r="AF1575" s="727"/>
      <c r="AG1575" s="728"/>
      <c r="AH1575" s="727"/>
      <c r="AI1575" s="728"/>
      <c r="AJ1575" s="682"/>
      <c r="AK1575" s="683"/>
      <c r="AL1575" s="664" t="s">
        <v>162</v>
      </c>
      <c r="AM1575" s="665"/>
      <c r="AN1575" s="713" t="s">
        <v>162</v>
      </c>
      <c r="AO1575" s="714"/>
      <c r="AP1575" s="729"/>
      <c r="AQ1575" s="730"/>
      <c r="AR1575" s="731"/>
      <c r="AS1575" s="732"/>
      <c r="AT1575" s="733"/>
      <c r="AU1575" s="734"/>
      <c r="AV1575" s="713" t="s">
        <v>162</v>
      </c>
      <c r="AW1575" s="714"/>
      <c r="AX1575" s="692"/>
      <c r="AY1575" s="693"/>
      <c r="AZ1575" s="694"/>
      <c r="BA1575" s="735"/>
      <c r="BB1575" s="736"/>
      <c r="BC1575" s="219"/>
      <c r="BD1575" s="737" t="s">
        <v>162</v>
      </c>
      <c r="BE1575" s="738"/>
      <c r="BF1575" s="739"/>
      <c r="BG1575" s="740"/>
      <c r="BH1575" s="740"/>
      <c r="BI1575" s="741"/>
      <c r="BJ1575" s="742" t="s">
        <v>159</v>
      </c>
      <c r="BK1575" s="743"/>
      <c r="BL1575" s="743"/>
      <c r="BM1575" s="744"/>
      <c r="BN1575" s="703" t="s">
        <v>159</v>
      </c>
      <c r="BO1575" s="704"/>
      <c r="BP1575" s="704"/>
      <c r="BQ1575" s="704"/>
      <c r="BR1575" s="704"/>
      <c r="BS1575" s="704"/>
      <c r="BT1575" s="704"/>
      <c r="BU1575" s="704"/>
      <c r="BV1575" s="705"/>
    </row>
    <row r="1576" spans="1:74" ht="45" customHeight="1" x14ac:dyDescent="0.25">
      <c r="A1576" s="10">
        <f t="shared" si="24"/>
        <v>1562</v>
      </c>
      <c r="B1576" s="662" t="s">
        <v>159</v>
      </c>
      <c r="C1576" s="662"/>
      <c r="D1576" s="663" t="s">
        <v>212</v>
      </c>
      <c r="E1576" s="663"/>
      <c r="F1576" s="664" t="s">
        <v>162</v>
      </c>
      <c r="G1576" s="665"/>
      <c r="H1576" s="666" t="s">
        <v>162</v>
      </c>
      <c r="I1576" s="667"/>
      <c r="J1576" s="706"/>
      <c r="K1576" s="707"/>
      <c r="L1576" s="706"/>
      <c r="M1576" s="707"/>
      <c r="N1576" s="215"/>
      <c r="O1576" s="196"/>
      <c r="P1576" s="670"/>
      <c r="Q1576" s="671"/>
      <c r="R1576" s="672"/>
      <c r="S1576" s="673"/>
      <c r="T1576" s="674"/>
      <c r="U1576" s="675"/>
      <c r="V1576" s="676"/>
      <c r="W1576" s="677"/>
      <c r="X1576" s="678" t="s">
        <v>159</v>
      </c>
      <c r="Y1576" s="678"/>
      <c r="Z1576" s="678"/>
      <c r="AA1576" s="678"/>
      <c r="AB1576" s="679" t="s">
        <v>159</v>
      </c>
      <c r="AC1576" s="679"/>
      <c r="AD1576" s="679"/>
      <c r="AE1576" s="679"/>
      <c r="AF1576" s="680"/>
      <c r="AG1576" s="681"/>
      <c r="AH1576" s="680"/>
      <c r="AI1576" s="681"/>
      <c r="AJ1576" s="682"/>
      <c r="AK1576" s="683"/>
      <c r="AL1576" s="684" t="s">
        <v>162</v>
      </c>
      <c r="AM1576" s="685"/>
      <c r="AN1576" s="666" t="s">
        <v>162</v>
      </c>
      <c r="AO1576" s="667"/>
      <c r="AP1576" s="686"/>
      <c r="AQ1576" s="687"/>
      <c r="AR1576" s="688"/>
      <c r="AS1576" s="689"/>
      <c r="AT1576" s="690"/>
      <c r="AU1576" s="691"/>
      <c r="AV1576" s="666" t="s">
        <v>162</v>
      </c>
      <c r="AW1576" s="667"/>
      <c r="AX1576" s="692"/>
      <c r="AY1576" s="693"/>
      <c r="AZ1576" s="694"/>
      <c r="BA1576" s="682"/>
      <c r="BB1576" s="683"/>
      <c r="BC1576" s="14"/>
      <c r="BD1576" s="695" t="s">
        <v>162</v>
      </c>
      <c r="BE1576" s="696"/>
      <c r="BF1576" s="708"/>
      <c r="BG1576" s="709"/>
      <c r="BH1576" s="709"/>
      <c r="BI1576" s="710"/>
      <c r="BJ1576" s="700" t="s">
        <v>159</v>
      </c>
      <c r="BK1576" s="701"/>
      <c r="BL1576" s="701"/>
      <c r="BM1576" s="702"/>
      <c r="BN1576" s="703" t="s">
        <v>159</v>
      </c>
      <c r="BO1576" s="704"/>
      <c r="BP1576" s="704"/>
      <c r="BQ1576" s="704"/>
      <c r="BR1576" s="704"/>
      <c r="BS1576" s="704"/>
      <c r="BT1576" s="704"/>
      <c r="BU1576" s="704"/>
      <c r="BV1576" s="705"/>
    </row>
    <row r="1577" spans="1:74" ht="45" customHeight="1" x14ac:dyDescent="0.25">
      <c r="A1577" s="10">
        <f t="shared" si="24"/>
        <v>1563</v>
      </c>
      <c r="B1577" s="711" t="s">
        <v>159</v>
      </c>
      <c r="C1577" s="711"/>
      <c r="D1577" s="712" t="s">
        <v>212</v>
      </c>
      <c r="E1577" s="712"/>
      <c r="F1577" s="664" t="s">
        <v>162</v>
      </c>
      <c r="G1577" s="665"/>
      <c r="H1577" s="713" t="s">
        <v>162</v>
      </c>
      <c r="I1577" s="714"/>
      <c r="J1577" s="715"/>
      <c r="K1577" s="716"/>
      <c r="L1577" s="715"/>
      <c r="M1577" s="716"/>
      <c r="N1577" s="194"/>
      <c r="O1577" s="216"/>
      <c r="P1577" s="717"/>
      <c r="Q1577" s="718"/>
      <c r="R1577" s="719"/>
      <c r="S1577" s="720"/>
      <c r="T1577" s="721"/>
      <c r="U1577" s="722"/>
      <c r="V1577" s="723"/>
      <c r="W1577" s="724"/>
      <c r="X1577" s="725" t="s">
        <v>159</v>
      </c>
      <c r="Y1577" s="725"/>
      <c r="Z1577" s="725"/>
      <c r="AA1577" s="725"/>
      <c r="AB1577" s="726" t="s">
        <v>159</v>
      </c>
      <c r="AC1577" s="726"/>
      <c r="AD1577" s="726"/>
      <c r="AE1577" s="726"/>
      <c r="AF1577" s="727"/>
      <c r="AG1577" s="728"/>
      <c r="AH1577" s="727"/>
      <c r="AI1577" s="728"/>
      <c r="AJ1577" s="682"/>
      <c r="AK1577" s="683"/>
      <c r="AL1577" s="664" t="s">
        <v>162</v>
      </c>
      <c r="AM1577" s="665"/>
      <c r="AN1577" s="713" t="s">
        <v>162</v>
      </c>
      <c r="AO1577" s="714"/>
      <c r="AP1577" s="729"/>
      <c r="AQ1577" s="730"/>
      <c r="AR1577" s="731"/>
      <c r="AS1577" s="732"/>
      <c r="AT1577" s="733"/>
      <c r="AU1577" s="734"/>
      <c r="AV1577" s="713" t="s">
        <v>162</v>
      </c>
      <c r="AW1577" s="714"/>
      <c r="AX1577" s="692"/>
      <c r="AY1577" s="693"/>
      <c r="AZ1577" s="694"/>
      <c r="BA1577" s="735"/>
      <c r="BB1577" s="736"/>
      <c r="BC1577" s="219"/>
      <c r="BD1577" s="737" t="s">
        <v>162</v>
      </c>
      <c r="BE1577" s="738"/>
      <c r="BF1577" s="739"/>
      <c r="BG1577" s="740"/>
      <c r="BH1577" s="740"/>
      <c r="BI1577" s="741"/>
      <c r="BJ1577" s="742" t="s">
        <v>159</v>
      </c>
      <c r="BK1577" s="743"/>
      <c r="BL1577" s="743"/>
      <c r="BM1577" s="744"/>
      <c r="BN1577" s="703" t="s">
        <v>159</v>
      </c>
      <c r="BO1577" s="704"/>
      <c r="BP1577" s="704"/>
      <c r="BQ1577" s="704"/>
      <c r="BR1577" s="704"/>
      <c r="BS1577" s="704"/>
      <c r="BT1577" s="704"/>
      <c r="BU1577" s="704"/>
      <c r="BV1577" s="705"/>
    </row>
    <row r="1578" spans="1:74" ht="45" customHeight="1" x14ac:dyDescent="0.25">
      <c r="A1578" s="10">
        <f t="shared" si="24"/>
        <v>1564</v>
      </c>
      <c r="B1578" s="662" t="s">
        <v>159</v>
      </c>
      <c r="C1578" s="662"/>
      <c r="D1578" s="663" t="s">
        <v>212</v>
      </c>
      <c r="E1578" s="663"/>
      <c r="F1578" s="664" t="s">
        <v>162</v>
      </c>
      <c r="G1578" s="665"/>
      <c r="H1578" s="666" t="s">
        <v>162</v>
      </c>
      <c r="I1578" s="667"/>
      <c r="J1578" s="706"/>
      <c r="K1578" s="707"/>
      <c r="L1578" s="706"/>
      <c r="M1578" s="707"/>
      <c r="N1578" s="215"/>
      <c r="O1578" s="196"/>
      <c r="P1578" s="670"/>
      <c r="Q1578" s="671"/>
      <c r="R1578" s="672"/>
      <c r="S1578" s="673"/>
      <c r="T1578" s="674"/>
      <c r="U1578" s="675"/>
      <c r="V1578" s="676"/>
      <c r="W1578" s="677"/>
      <c r="X1578" s="678" t="s">
        <v>159</v>
      </c>
      <c r="Y1578" s="678"/>
      <c r="Z1578" s="678"/>
      <c r="AA1578" s="678"/>
      <c r="AB1578" s="679" t="s">
        <v>159</v>
      </c>
      <c r="AC1578" s="679"/>
      <c r="AD1578" s="679"/>
      <c r="AE1578" s="679"/>
      <c r="AF1578" s="680"/>
      <c r="AG1578" s="681"/>
      <c r="AH1578" s="680"/>
      <c r="AI1578" s="681"/>
      <c r="AJ1578" s="682"/>
      <c r="AK1578" s="683"/>
      <c r="AL1578" s="684" t="s">
        <v>162</v>
      </c>
      <c r="AM1578" s="685"/>
      <c r="AN1578" s="666" t="s">
        <v>162</v>
      </c>
      <c r="AO1578" s="667"/>
      <c r="AP1578" s="686"/>
      <c r="AQ1578" s="687"/>
      <c r="AR1578" s="688"/>
      <c r="AS1578" s="689"/>
      <c r="AT1578" s="690"/>
      <c r="AU1578" s="691"/>
      <c r="AV1578" s="666" t="s">
        <v>162</v>
      </c>
      <c r="AW1578" s="667"/>
      <c r="AX1578" s="692"/>
      <c r="AY1578" s="693"/>
      <c r="AZ1578" s="694"/>
      <c r="BA1578" s="682"/>
      <c r="BB1578" s="683"/>
      <c r="BC1578" s="14"/>
      <c r="BD1578" s="695" t="s">
        <v>162</v>
      </c>
      <c r="BE1578" s="696"/>
      <c r="BF1578" s="697"/>
      <c r="BG1578" s="698"/>
      <c r="BH1578" s="698"/>
      <c r="BI1578" s="699"/>
      <c r="BJ1578" s="700" t="s">
        <v>159</v>
      </c>
      <c r="BK1578" s="701"/>
      <c r="BL1578" s="701"/>
      <c r="BM1578" s="702"/>
      <c r="BN1578" s="703" t="s">
        <v>159</v>
      </c>
      <c r="BO1578" s="704"/>
      <c r="BP1578" s="704"/>
      <c r="BQ1578" s="704"/>
      <c r="BR1578" s="704"/>
      <c r="BS1578" s="704"/>
      <c r="BT1578" s="704"/>
      <c r="BU1578" s="704"/>
      <c r="BV1578" s="705"/>
    </row>
    <row r="1579" spans="1:74" ht="45" customHeight="1" x14ac:dyDescent="0.25">
      <c r="A1579" s="10">
        <f t="shared" si="24"/>
        <v>1565</v>
      </c>
      <c r="B1579" s="711" t="s">
        <v>159</v>
      </c>
      <c r="C1579" s="711"/>
      <c r="D1579" s="712" t="s">
        <v>212</v>
      </c>
      <c r="E1579" s="712"/>
      <c r="F1579" s="664" t="s">
        <v>162</v>
      </c>
      <c r="G1579" s="665"/>
      <c r="H1579" s="713" t="s">
        <v>162</v>
      </c>
      <c r="I1579" s="714"/>
      <c r="J1579" s="715"/>
      <c r="K1579" s="716"/>
      <c r="L1579" s="715"/>
      <c r="M1579" s="716"/>
      <c r="N1579" s="215"/>
      <c r="O1579" s="216"/>
      <c r="P1579" s="670"/>
      <c r="Q1579" s="671"/>
      <c r="R1579" s="719"/>
      <c r="S1579" s="720"/>
      <c r="T1579" s="721"/>
      <c r="U1579" s="722"/>
      <c r="V1579" s="723"/>
      <c r="W1579" s="724"/>
      <c r="X1579" s="725" t="s">
        <v>159</v>
      </c>
      <c r="Y1579" s="725"/>
      <c r="Z1579" s="725"/>
      <c r="AA1579" s="725"/>
      <c r="AB1579" s="726" t="s">
        <v>159</v>
      </c>
      <c r="AC1579" s="726"/>
      <c r="AD1579" s="726"/>
      <c r="AE1579" s="726"/>
      <c r="AF1579" s="727"/>
      <c r="AG1579" s="728"/>
      <c r="AH1579" s="727"/>
      <c r="AI1579" s="728"/>
      <c r="AJ1579" s="682"/>
      <c r="AK1579" s="683"/>
      <c r="AL1579" s="664" t="s">
        <v>162</v>
      </c>
      <c r="AM1579" s="665"/>
      <c r="AN1579" s="713" t="s">
        <v>162</v>
      </c>
      <c r="AO1579" s="714"/>
      <c r="AP1579" s="729"/>
      <c r="AQ1579" s="730"/>
      <c r="AR1579" s="731"/>
      <c r="AS1579" s="732"/>
      <c r="AT1579" s="690"/>
      <c r="AU1579" s="691"/>
      <c r="AV1579" s="713" t="s">
        <v>162</v>
      </c>
      <c r="AW1579" s="714"/>
      <c r="AX1579" s="692"/>
      <c r="AY1579" s="693"/>
      <c r="AZ1579" s="694"/>
      <c r="BA1579" s="735"/>
      <c r="BB1579" s="736"/>
      <c r="BC1579" s="219"/>
      <c r="BD1579" s="737" t="s">
        <v>162</v>
      </c>
      <c r="BE1579" s="738"/>
      <c r="BF1579" s="739"/>
      <c r="BG1579" s="740"/>
      <c r="BH1579" s="740"/>
      <c r="BI1579" s="741"/>
      <c r="BJ1579" s="742" t="s">
        <v>159</v>
      </c>
      <c r="BK1579" s="743"/>
      <c r="BL1579" s="743"/>
      <c r="BM1579" s="744"/>
      <c r="BN1579" s="703" t="s">
        <v>159</v>
      </c>
      <c r="BO1579" s="704"/>
      <c r="BP1579" s="704"/>
      <c r="BQ1579" s="704"/>
      <c r="BR1579" s="704"/>
      <c r="BS1579" s="704"/>
      <c r="BT1579" s="704"/>
      <c r="BU1579" s="704"/>
      <c r="BV1579" s="705"/>
    </row>
    <row r="1580" spans="1:74" ht="45" customHeight="1" x14ac:dyDescent="0.25">
      <c r="A1580" s="10">
        <f t="shared" si="24"/>
        <v>1566</v>
      </c>
      <c r="B1580" s="662" t="s">
        <v>159</v>
      </c>
      <c r="C1580" s="662"/>
      <c r="D1580" s="663" t="s">
        <v>212</v>
      </c>
      <c r="E1580" s="663"/>
      <c r="F1580" s="664" t="s">
        <v>162</v>
      </c>
      <c r="G1580" s="665"/>
      <c r="H1580" s="666" t="s">
        <v>162</v>
      </c>
      <c r="I1580" s="667"/>
      <c r="J1580" s="706"/>
      <c r="K1580" s="707"/>
      <c r="L1580" s="706"/>
      <c r="M1580" s="707"/>
      <c r="N1580" s="194"/>
      <c r="O1580" s="196"/>
      <c r="P1580" s="717"/>
      <c r="Q1580" s="718"/>
      <c r="R1580" s="672"/>
      <c r="S1580" s="673"/>
      <c r="T1580" s="674"/>
      <c r="U1580" s="675"/>
      <c r="V1580" s="676"/>
      <c r="W1580" s="677"/>
      <c r="X1580" s="678" t="s">
        <v>159</v>
      </c>
      <c r="Y1580" s="678"/>
      <c r="Z1580" s="678"/>
      <c r="AA1580" s="678"/>
      <c r="AB1580" s="679" t="s">
        <v>159</v>
      </c>
      <c r="AC1580" s="679"/>
      <c r="AD1580" s="679"/>
      <c r="AE1580" s="679"/>
      <c r="AF1580" s="680"/>
      <c r="AG1580" s="681"/>
      <c r="AH1580" s="680"/>
      <c r="AI1580" s="681"/>
      <c r="AJ1580" s="682"/>
      <c r="AK1580" s="683"/>
      <c r="AL1580" s="684" t="s">
        <v>162</v>
      </c>
      <c r="AM1580" s="685"/>
      <c r="AN1580" s="666" t="s">
        <v>162</v>
      </c>
      <c r="AO1580" s="667"/>
      <c r="AP1580" s="686"/>
      <c r="AQ1580" s="687"/>
      <c r="AR1580" s="688"/>
      <c r="AS1580" s="689"/>
      <c r="AT1580" s="690"/>
      <c r="AU1580" s="691"/>
      <c r="AV1580" s="666" t="s">
        <v>162</v>
      </c>
      <c r="AW1580" s="667"/>
      <c r="AX1580" s="692"/>
      <c r="AY1580" s="693"/>
      <c r="AZ1580" s="694"/>
      <c r="BA1580" s="682"/>
      <c r="BB1580" s="683"/>
      <c r="BC1580" s="14"/>
      <c r="BD1580" s="695" t="s">
        <v>162</v>
      </c>
      <c r="BE1580" s="696"/>
      <c r="BF1580" s="697"/>
      <c r="BG1580" s="698"/>
      <c r="BH1580" s="698"/>
      <c r="BI1580" s="699"/>
      <c r="BJ1580" s="700" t="s">
        <v>159</v>
      </c>
      <c r="BK1580" s="701"/>
      <c r="BL1580" s="701"/>
      <c r="BM1580" s="702"/>
      <c r="BN1580" s="703" t="s">
        <v>159</v>
      </c>
      <c r="BO1580" s="704"/>
      <c r="BP1580" s="704"/>
      <c r="BQ1580" s="704"/>
      <c r="BR1580" s="704"/>
      <c r="BS1580" s="704"/>
      <c r="BT1580" s="704"/>
      <c r="BU1580" s="704"/>
      <c r="BV1580" s="705"/>
    </row>
    <row r="1581" spans="1:74" ht="45" customHeight="1" x14ac:dyDescent="0.25">
      <c r="A1581" s="10">
        <f t="shared" si="24"/>
        <v>1567</v>
      </c>
      <c r="B1581" s="711" t="s">
        <v>159</v>
      </c>
      <c r="C1581" s="711"/>
      <c r="D1581" s="712" t="s">
        <v>212</v>
      </c>
      <c r="E1581" s="712"/>
      <c r="F1581" s="664" t="s">
        <v>162</v>
      </c>
      <c r="G1581" s="665"/>
      <c r="H1581" s="713" t="s">
        <v>162</v>
      </c>
      <c r="I1581" s="714"/>
      <c r="J1581" s="715"/>
      <c r="K1581" s="716"/>
      <c r="L1581" s="715"/>
      <c r="M1581" s="716"/>
      <c r="N1581" s="215"/>
      <c r="O1581" s="216"/>
      <c r="P1581" s="670"/>
      <c r="Q1581" s="671"/>
      <c r="R1581" s="719"/>
      <c r="S1581" s="720"/>
      <c r="T1581" s="721"/>
      <c r="U1581" s="722"/>
      <c r="V1581" s="723"/>
      <c r="W1581" s="724"/>
      <c r="X1581" s="725" t="s">
        <v>159</v>
      </c>
      <c r="Y1581" s="725"/>
      <c r="Z1581" s="725"/>
      <c r="AA1581" s="725"/>
      <c r="AB1581" s="726" t="s">
        <v>159</v>
      </c>
      <c r="AC1581" s="726"/>
      <c r="AD1581" s="726"/>
      <c r="AE1581" s="726"/>
      <c r="AF1581" s="727"/>
      <c r="AG1581" s="728"/>
      <c r="AH1581" s="727"/>
      <c r="AI1581" s="728"/>
      <c r="AJ1581" s="682"/>
      <c r="AK1581" s="683"/>
      <c r="AL1581" s="664" t="s">
        <v>162</v>
      </c>
      <c r="AM1581" s="665"/>
      <c r="AN1581" s="713" t="s">
        <v>162</v>
      </c>
      <c r="AO1581" s="714"/>
      <c r="AP1581" s="729"/>
      <c r="AQ1581" s="730"/>
      <c r="AR1581" s="731"/>
      <c r="AS1581" s="732"/>
      <c r="AT1581" s="690"/>
      <c r="AU1581" s="691"/>
      <c r="AV1581" s="713" t="s">
        <v>162</v>
      </c>
      <c r="AW1581" s="714"/>
      <c r="AX1581" s="692"/>
      <c r="AY1581" s="693"/>
      <c r="AZ1581" s="694"/>
      <c r="BA1581" s="735"/>
      <c r="BB1581" s="736"/>
      <c r="BC1581" s="219"/>
      <c r="BD1581" s="737" t="s">
        <v>162</v>
      </c>
      <c r="BE1581" s="738"/>
      <c r="BF1581" s="739"/>
      <c r="BG1581" s="740"/>
      <c r="BH1581" s="740"/>
      <c r="BI1581" s="741"/>
      <c r="BJ1581" s="742" t="s">
        <v>159</v>
      </c>
      <c r="BK1581" s="743"/>
      <c r="BL1581" s="743"/>
      <c r="BM1581" s="744"/>
      <c r="BN1581" s="703" t="s">
        <v>159</v>
      </c>
      <c r="BO1581" s="704"/>
      <c r="BP1581" s="704"/>
      <c r="BQ1581" s="704"/>
      <c r="BR1581" s="704"/>
      <c r="BS1581" s="704"/>
      <c r="BT1581" s="704"/>
      <c r="BU1581" s="704"/>
      <c r="BV1581" s="705"/>
    </row>
    <row r="1582" spans="1:74" ht="45" customHeight="1" x14ac:dyDescent="0.25">
      <c r="A1582" s="10">
        <f t="shared" si="24"/>
        <v>1568</v>
      </c>
      <c r="B1582" s="662" t="s">
        <v>159</v>
      </c>
      <c r="C1582" s="662"/>
      <c r="D1582" s="663" t="s">
        <v>212</v>
      </c>
      <c r="E1582" s="663"/>
      <c r="F1582" s="664" t="s">
        <v>162</v>
      </c>
      <c r="G1582" s="665"/>
      <c r="H1582" s="666" t="s">
        <v>162</v>
      </c>
      <c r="I1582" s="667"/>
      <c r="J1582" s="706"/>
      <c r="K1582" s="707"/>
      <c r="L1582" s="706"/>
      <c r="M1582" s="707"/>
      <c r="N1582" s="194"/>
      <c r="O1582" s="196"/>
      <c r="P1582" s="717"/>
      <c r="Q1582" s="718"/>
      <c r="R1582" s="672"/>
      <c r="S1582" s="673"/>
      <c r="T1582" s="674"/>
      <c r="U1582" s="675"/>
      <c r="V1582" s="676"/>
      <c r="W1582" s="677"/>
      <c r="X1582" s="678" t="s">
        <v>159</v>
      </c>
      <c r="Y1582" s="678"/>
      <c r="Z1582" s="678"/>
      <c r="AA1582" s="678"/>
      <c r="AB1582" s="679" t="s">
        <v>159</v>
      </c>
      <c r="AC1582" s="679"/>
      <c r="AD1582" s="679"/>
      <c r="AE1582" s="679"/>
      <c r="AF1582" s="680"/>
      <c r="AG1582" s="681"/>
      <c r="AH1582" s="680"/>
      <c r="AI1582" s="681"/>
      <c r="AJ1582" s="682"/>
      <c r="AK1582" s="683"/>
      <c r="AL1582" s="684" t="s">
        <v>162</v>
      </c>
      <c r="AM1582" s="685"/>
      <c r="AN1582" s="666" t="s">
        <v>162</v>
      </c>
      <c r="AO1582" s="667"/>
      <c r="AP1582" s="686"/>
      <c r="AQ1582" s="687"/>
      <c r="AR1582" s="688"/>
      <c r="AS1582" s="689"/>
      <c r="AT1582" s="690"/>
      <c r="AU1582" s="691"/>
      <c r="AV1582" s="666" t="s">
        <v>162</v>
      </c>
      <c r="AW1582" s="667"/>
      <c r="AX1582" s="692"/>
      <c r="AY1582" s="693"/>
      <c r="AZ1582" s="694"/>
      <c r="BA1582" s="682"/>
      <c r="BB1582" s="683"/>
      <c r="BC1582" s="14"/>
      <c r="BD1582" s="695" t="s">
        <v>162</v>
      </c>
      <c r="BE1582" s="696"/>
      <c r="BF1582" s="697"/>
      <c r="BG1582" s="698"/>
      <c r="BH1582" s="698"/>
      <c r="BI1582" s="699"/>
      <c r="BJ1582" s="700" t="s">
        <v>159</v>
      </c>
      <c r="BK1582" s="701"/>
      <c r="BL1582" s="701"/>
      <c r="BM1582" s="702"/>
      <c r="BN1582" s="703" t="s">
        <v>159</v>
      </c>
      <c r="BO1582" s="704"/>
      <c r="BP1582" s="704"/>
      <c r="BQ1582" s="704"/>
      <c r="BR1582" s="704"/>
      <c r="BS1582" s="704"/>
      <c r="BT1582" s="704"/>
      <c r="BU1582" s="704"/>
      <c r="BV1582" s="705"/>
    </row>
    <row r="1583" spans="1:74" ht="45" customHeight="1" x14ac:dyDescent="0.25">
      <c r="A1583" s="10">
        <f t="shared" si="24"/>
        <v>1569</v>
      </c>
      <c r="B1583" s="711" t="s">
        <v>159</v>
      </c>
      <c r="C1583" s="711"/>
      <c r="D1583" s="712" t="s">
        <v>212</v>
      </c>
      <c r="E1583" s="712"/>
      <c r="F1583" s="664" t="s">
        <v>162</v>
      </c>
      <c r="G1583" s="665"/>
      <c r="H1583" s="713" t="s">
        <v>162</v>
      </c>
      <c r="I1583" s="714"/>
      <c r="J1583" s="715"/>
      <c r="K1583" s="716"/>
      <c r="L1583" s="715"/>
      <c r="M1583" s="716"/>
      <c r="N1583" s="215"/>
      <c r="O1583" s="216"/>
      <c r="P1583" s="670"/>
      <c r="Q1583" s="671"/>
      <c r="R1583" s="719"/>
      <c r="S1583" s="720"/>
      <c r="T1583" s="721"/>
      <c r="U1583" s="722"/>
      <c r="V1583" s="723"/>
      <c r="W1583" s="724"/>
      <c r="X1583" s="725" t="s">
        <v>159</v>
      </c>
      <c r="Y1583" s="725"/>
      <c r="Z1583" s="725"/>
      <c r="AA1583" s="725"/>
      <c r="AB1583" s="726" t="s">
        <v>159</v>
      </c>
      <c r="AC1583" s="726"/>
      <c r="AD1583" s="726"/>
      <c r="AE1583" s="726"/>
      <c r="AF1583" s="727"/>
      <c r="AG1583" s="728"/>
      <c r="AH1583" s="727"/>
      <c r="AI1583" s="728"/>
      <c r="AJ1583" s="682"/>
      <c r="AK1583" s="683"/>
      <c r="AL1583" s="664" t="s">
        <v>162</v>
      </c>
      <c r="AM1583" s="665"/>
      <c r="AN1583" s="713" t="s">
        <v>162</v>
      </c>
      <c r="AO1583" s="714"/>
      <c r="AP1583" s="729"/>
      <c r="AQ1583" s="730"/>
      <c r="AR1583" s="731"/>
      <c r="AS1583" s="732"/>
      <c r="AT1583" s="733"/>
      <c r="AU1583" s="734"/>
      <c r="AV1583" s="713" t="s">
        <v>162</v>
      </c>
      <c r="AW1583" s="714"/>
      <c r="AX1583" s="692"/>
      <c r="AY1583" s="693"/>
      <c r="AZ1583" s="694"/>
      <c r="BA1583" s="735"/>
      <c r="BB1583" s="736"/>
      <c r="BC1583" s="219"/>
      <c r="BD1583" s="737" t="s">
        <v>162</v>
      </c>
      <c r="BE1583" s="738"/>
      <c r="BF1583" s="739"/>
      <c r="BG1583" s="740"/>
      <c r="BH1583" s="740"/>
      <c r="BI1583" s="741"/>
      <c r="BJ1583" s="742" t="s">
        <v>159</v>
      </c>
      <c r="BK1583" s="743"/>
      <c r="BL1583" s="743"/>
      <c r="BM1583" s="744"/>
      <c r="BN1583" s="703" t="s">
        <v>159</v>
      </c>
      <c r="BO1583" s="704"/>
      <c r="BP1583" s="704"/>
      <c r="BQ1583" s="704"/>
      <c r="BR1583" s="704"/>
      <c r="BS1583" s="704"/>
      <c r="BT1583" s="704"/>
      <c r="BU1583" s="704"/>
      <c r="BV1583" s="705"/>
    </row>
    <row r="1584" spans="1:74" ht="45" customHeight="1" x14ac:dyDescent="0.25">
      <c r="A1584" s="10">
        <f t="shared" si="24"/>
        <v>1570</v>
      </c>
      <c r="B1584" s="662" t="s">
        <v>159</v>
      </c>
      <c r="C1584" s="662"/>
      <c r="D1584" s="663" t="s">
        <v>212</v>
      </c>
      <c r="E1584" s="663"/>
      <c r="F1584" s="664" t="s">
        <v>162</v>
      </c>
      <c r="G1584" s="665"/>
      <c r="H1584" s="666" t="s">
        <v>162</v>
      </c>
      <c r="I1584" s="667"/>
      <c r="J1584" s="706"/>
      <c r="K1584" s="707"/>
      <c r="L1584" s="706"/>
      <c r="M1584" s="707"/>
      <c r="N1584" s="194"/>
      <c r="O1584" s="196"/>
      <c r="P1584" s="717"/>
      <c r="Q1584" s="718"/>
      <c r="R1584" s="672"/>
      <c r="S1584" s="673"/>
      <c r="T1584" s="674"/>
      <c r="U1584" s="675"/>
      <c r="V1584" s="676"/>
      <c r="W1584" s="677"/>
      <c r="X1584" s="678" t="s">
        <v>159</v>
      </c>
      <c r="Y1584" s="678"/>
      <c r="Z1584" s="678"/>
      <c r="AA1584" s="678"/>
      <c r="AB1584" s="679" t="s">
        <v>159</v>
      </c>
      <c r="AC1584" s="679"/>
      <c r="AD1584" s="679"/>
      <c r="AE1584" s="679"/>
      <c r="AF1584" s="680"/>
      <c r="AG1584" s="681"/>
      <c r="AH1584" s="680"/>
      <c r="AI1584" s="681"/>
      <c r="AJ1584" s="682"/>
      <c r="AK1584" s="683"/>
      <c r="AL1584" s="684" t="s">
        <v>162</v>
      </c>
      <c r="AM1584" s="685"/>
      <c r="AN1584" s="666" t="s">
        <v>162</v>
      </c>
      <c r="AO1584" s="667"/>
      <c r="AP1584" s="686"/>
      <c r="AQ1584" s="687"/>
      <c r="AR1584" s="688"/>
      <c r="AS1584" s="689"/>
      <c r="AT1584" s="690"/>
      <c r="AU1584" s="691"/>
      <c r="AV1584" s="666" t="s">
        <v>162</v>
      </c>
      <c r="AW1584" s="667"/>
      <c r="AX1584" s="692"/>
      <c r="AY1584" s="693"/>
      <c r="AZ1584" s="694"/>
      <c r="BA1584" s="682"/>
      <c r="BB1584" s="683"/>
      <c r="BC1584" s="14"/>
      <c r="BD1584" s="695" t="s">
        <v>162</v>
      </c>
      <c r="BE1584" s="696"/>
      <c r="BF1584" s="708"/>
      <c r="BG1584" s="709"/>
      <c r="BH1584" s="709"/>
      <c r="BI1584" s="710"/>
      <c r="BJ1584" s="700" t="s">
        <v>159</v>
      </c>
      <c r="BK1584" s="701"/>
      <c r="BL1584" s="701"/>
      <c r="BM1584" s="702"/>
      <c r="BN1584" s="703" t="s">
        <v>159</v>
      </c>
      <c r="BO1584" s="704"/>
      <c r="BP1584" s="704"/>
      <c r="BQ1584" s="704"/>
      <c r="BR1584" s="704"/>
      <c r="BS1584" s="704"/>
      <c r="BT1584" s="704"/>
      <c r="BU1584" s="704"/>
      <c r="BV1584" s="705"/>
    </row>
    <row r="1585" spans="1:74" ht="45" customHeight="1" x14ac:dyDescent="0.25">
      <c r="A1585" s="10">
        <f t="shared" si="24"/>
        <v>1571</v>
      </c>
      <c r="B1585" s="711" t="s">
        <v>159</v>
      </c>
      <c r="C1585" s="711"/>
      <c r="D1585" s="712" t="s">
        <v>212</v>
      </c>
      <c r="E1585" s="712"/>
      <c r="F1585" s="664" t="s">
        <v>162</v>
      </c>
      <c r="G1585" s="665"/>
      <c r="H1585" s="713" t="s">
        <v>162</v>
      </c>
      <c r="I1585" s="714"/>
      <c r="J1585" s="715"/>
      <c r="K1585" s="716"/>
      <c r="L1585" s="715"/>
      <c r="M1585" s="716"/>
      <c r="N1585" s="215"/>
      <c r="O1585" s="216"/>
      <c r="P1585" s="670"/>
      <c r="Q1585" s="671"/>
      <c r="R1585" s="719"/>
      <c r="S1585" s="720"/>
      <c r="T1585" s="721"/>
      <c r="U1585" s="722"/>
      <c r="V1585" s="723"/>
      <c r="W1585" s="724"/>
      <c r="X1585" s="725" t="s">
        <v>159</v>
      </c>
      <c r="Y1585" s="725"/>
      <c r="Z1585" s="725"/>
      <c r="AA1585" s="725"/>
      <c r="AB1585" s="726" t="s">
        <v>159</v>
      </c>
      <c r="AC1585" s="726"/>
      <c r="AD1585" s="726"/>
      <c r="AE1585" s="726"/>
      <c r="AF1585" s="727"/>
      <c r="AG1585" s="728"/>
      <c r="AH1585" s="727"/>
      <c r="AI1585" s="728"/>
      <c r="AJ1585" s="682"/>
      <c r="AK1585" s="683"/>
      <c r="AL1585" s="664" t="s">
        <v>162</v>
      </c>
      <c r="AM1585" s="665"/>
      <c r="AN1585" s="713" t="s">
        <v>162</v>
      </c>
      <c r="AO1585" s="714"/>
      <c r="AP1585" s="729"/>
      <c r="AQ1585" s="730"/>
      <c r="AR1585" s="731"/>
      <c r="AS1585" s="732"/>
      <c r="AT1585" s="733"/>
      <c r="AU1585" s="734"/>
      <c r="AV1585" s="713" t="s">
        <v>162</v>
      </c>
      <c r="AW1585" s="714"/>
      <c r="AX1585" s="692"/>
      <c r="AY1585" s="693"/>
      <c r="AZ1585" s="694"/>
      <c r="BA1585" s="735"/>
      <c r="BB1585" s="736"/>
      <c r="BC1585" s="219"/>
      <c r="BD1585" s="737" t="s">
        <v>162</v>
      </c>
      <c r="BE1585" s="738"/>
      <c r="BF1585" s="739"/>
      <c r="BG1585" s="740"/>
      <c r="BH1585" s="740"/>
      <c r="BI1585" s="741"/>
      <c r="BJ1585" s="742" t="s">
        <v>159</v>
      </c>
      <c r="BK1585" s="743"/>
      <c r="BL1585" s="743"/>
      <c r="BM1585" s="744"/>
      <c r="BN1585" s="703" t="s">
        <v>159</v>
      </c>
      <c r="BO1585" s="704"/>
      <c r="BP1585" s="704"/>
      <c r="BQ1585" s="704"/>
      <c r="BR1585" s="704"/>
      <c r="BS1585" s="704"/>
      <c r="BT1585" s="704"/>
      <c r="BU1585" s="704"/>
      <c r="BV1585" s="705"/>
    </row>
    <row r="1586" spans="1:74" ht="45" customHeight="1" x14ac:dyDescent="0.25">
      <c r="A1586" s="10">
        <f t="shared" si="24"/>
        <v>1572</v>
      </c>
      <c r="B1586" s="662" t="s">
        <v>159</v>
      </c>
      <c r="C1586" s="662"/>
      <c r="D1586" s="663" t="s">
        <v>212</v>
      </c>
      <c r="E1586" s="663"/>
      <c r="F1586" s="664" t="s">
        <v>162</v>
      </c>
      <c r="G1586" s="665"/>
      <c r="H1586" s="666" t="s">
        <v>162</v>
      </c>
      <c r="I1586" s="667"/>
      <c r="J1586" s="706"/>
      <c r="K1586" s="707"/>
      <c r="L1586" s="706"/>
      <c r="M1586" s="707"/>
      <c r="N1586" s="194"/>
      <c r="O1586" s="196"/>
      <c r="P1586" s="717"/>
      <c r="Q1586" s="718"/>
      <c r="R1586" s="672"/>
      <c r="S1586" s="673"/>
      <c r="T1586" s="674"/>
      <c r="U1586" s="675"/>
      <c r="V1586" s="676"/>
      <c r="W1586" s="677"/>
      <c r="X1586" s="678" t="s">
        <v>159</v>
      </c>
      <c r="Y1586" s="678"/>
      <c r="Z1586" s="678"/>
      <c r="AA1586" s="678"/>
      <c r="AB1586" s="679" t="s">
        <v>159</v>
      </c>
      <c r="AC1586" s="679"/>
      <c r="AD1586" s="679"/>
      <c r="AE1586" s="679"/>
      <c r="AF1586" s="680"/>
      <c r="AG1586" s="681"/>
      <c r="AH1586" s="680"/>
      <c r="AI1586" s="681"/>
      <c r="AJ1586" s="682"/>
      <c r="AK1586" s="683"/>
      <c r="AL1586" s="684" t="s">
        <v>162</v>
      </c>
      <c r="AM1586" s="685"/>
      <c r="AN1586" s="666" t="s">
        <v>162</v>
      </c>
      <c r="AO1586" s="667"/>
      <c r="AP1586" s="686"/>
      <c r="AQ1586" s="687"/>
      <c r="AR1586" s="688"/>
      <c r="AS1586" s="689"/>
      <c r="AT1586" s="690"/>
      <c r="AU1586" s="691"/>
      <c r="AV1586" s="666" t="s">
        <v>162</v>
      </c>
      <c r="AW1586" s="667"/>
      <c r="AX1586" s="692"/>
      <c r="AY1586" s="693"/>
      <c r="AZ1586" s="694"/>
      <c r="BA1586" s="682"/>
      <c r="BB1586" s="683"/>
      <c r="BC1586" s="14"/>
      <c r="BD1586" s="695" t="s">
        <v>162</v>
      </c>
      <c r="BE1586" s="696"/>
      <c r="BF1586" s="697"/>
      <c r="BG1586" s="698"/>
      <c r="BH1586" s="698"/>
      <c r="BI1586" s="699"/>
      <c r="BJ1586" s="700" t="s">
        <v>159</v>
      </c>
      <c r="BK1586" s="701"/>
      <c r="BL1586" s="701"/>
      <c r="BM1586" s="702"/>
      <c r="BN1586" s="703" t="s">
        <v>159</v>
      </c>
      <c r="BO1586" s="704"/>
      <c r="BP1586" s="704"/>
      <c r="BQ1586" s="704"/>
      <c r="BR1586" s="704"/>
      <c r="BS1586" s="704"/>
      <c r="BT1586" s="704"/>
      <c r="BU1586" s="704"/>
      <c r="BV1586" s="705"/>
    </row>
    <row r="1587" spans="1:74" ht="45" customHeight="1" x14ac:dyDescent="0.25">
      <c r="A1587" s="10">
        <f t="shared" si="24"/>
        <v>1573</v>
      </c>
      <c r="B1587" s="711" t="s">
        <v>159</v>
      </c>
      <c r="C1587" s="711"/>
      <c r="D1587" s="712" t="s">
        <v>212</v>
      </c>
      <c r="E1587" s="712"/>
      <c r="F1587" s="664" t="s">
        <v>162</v>
      </c>
      <c r="G1587" s="665"/>
      <c r="H1587" s="713" t="s">
        <v>162</v>
      </c>
      <c r="I1587" s="714"/>
      <c r="J1587" s="715"/>
      <c r="K1587" s="716"/>
      <c r="L1587" s="715"/>
      <c r="M1587" s="716"/>
      <c r="N1587" s="215"/>
      <c r="O1587" s="216"/>
      <c r="P1587" s="670"/>
      <c r="Q1587" s="671"/>
      <c r="R1587" s="719"/>
      <c r="S1587" s="720"/>
      <c r="T1587" s="721"/>
      <c r="U1587" s="722"/>
      <c r="V1587" s="723"/>
      <c r="W1587" s="724"/>
      <c r="X1587" s="725" t="s">
        <v>159</v>
      </c>
      <c r="Y1587" s="725"/>
      <c r="Z1587" s="725"/>
      <c r="AA1587" s="725"/>
      <c r="AB1587" s="726" t="s">
        <v>159</v>
      </c>
      <c r="AC1587" s="726"/>
      <c r="AD1587" s="726"/>
      <c r="AE1587" s="726"/>
      <c r="AF1587" s="727"/>
      <c r="AG1587" s="728"/>
      <c r="AH1587" s="727"/>
      <c r="AI1587" s="728"/>
      <c r="AJ1587" s="682"/>
      <c r="AK1587" s="683"/>
      <c r="AL1587" s="664" t="s">
        <v>162</v>
      </c>
      <c r="AM1587" s="665"/>
      <c r="AN1587" s="713" t="s">
        <v>162</v>
      </c>
      <c r="AO1587" s="714"/>
      <c r="AP1587" s="729"/>
      <c r="AQ1587" s="730"/>
      <c r="AR1587" s="731"/>
      <c r="AS1587" s="732"/>
      <c r="AT1587" s="733"/>
      <c r="AU1587" s="734"/>
      <c r="AV1587" s="713" t="s">
        <v>162</v>
      </c>
      <c r="AW1587" s="714"/>
      <c r="AX1587" s="692"/>
      <c r="AY1587" s="693"/>
      <c r="AZ1587" s="694"/>
      <c r="BA1587" s="735"/>
      <c r="BB1587" s="736"/>
      <c r="BC1587" s="219"/>
      <c r="BD1587" s="737" t="s">
        <v>162</v>
      </c>
      <c r="BE1587" s="738"/>
      <c r="BF1587" s="739"/>
      <c r="BG1587" s="740"/>
      <c r="BH1587" s="740"/>
      <c r="BI1587" s="741"/>
      <c r="BJ1587" s="742" t="s">
        <v>159</v>
      </c>
      <c r="BK1587" s="743"/>
      <c r="BL1587" s="743"/>
      <c r="BM1587" s="744"/>
      <c r="BN1587" s="703" t="s">
        <v>159</v>
      </c>
      <c r="BO1587" s="704"/>
      <c r="BP1587" s="704"/>
      <c r="BQ1587" s="704"/>
      <c r="BR1587" s="704"/>
      <c r="BS1587" s="704"/>
      <c r="BT1587" s="704"/>
      <c r="BU1587" s="704"/>
      <c r="BV1587" s="705"/>
    </row>
    <row r="1588" spans="1:74" ht="45" customHeight="1" x14ac:dyDescent="0.25">
      <c r="A1588" s="10">
        <f t="shared" si="24"/>
        <v>1574</v>
      </c>
      <c r="B1588" s="662" t="s">
        <v>159</v>
      </c>
      <c r="C1588" s="662"/>
      <c r="D1588" s="663" t="s">
        <v>212</v>
      </c>
      <c r="E1588" s="663"/>
      <c r="F1588" s="664" t="s">
        <v>162</v>
      </c>
      <c r="G1588" s="665"/>
      <c r="H1588" s="666" t="s">
        <v>162</v>
      </c>
      <c r="I1588" s="667"/>
      <c r="J1588" s="706"/>
      <c r="K1588" s="707"/>
      <c r="L1588" s="706"/>
      <c r="M1588" s="707"/>
      <c r="N1588" s="194"/>
      <c r="O1588" s="196"/>
      <c r="P1588" s="717"/>
      <c r="Q1588" s="718"/>
      <c r="R1588" s="672"/>
      <c r="S1588" s="673"/>
      <c r="T1588" s="674"/>
      <c r="U1588" s="675"/>
      <c r="V1588" s="676"/>
      <c r="W1588" s="677"/>
      <c r="X1588" s="678" t="s">
        <v>159</v>
      </c>
      <c r="Y1588" s="678"/>
      <c r="Z1588" s="678"/>
      <c r="AA1588" s="678"/>
      <c r="AB1588" s="679" t="s">
        <v>159</v>
      </c>
      <c r="AC1588" s="679"/>
      <c r="AD1588" s="679"/>
      <c r="AE1588" s="679"/>
      <c r="AF1588" s="680"/>
      <c r="AG1588" s="681"/>
      <c r="AH1588" s="680"/>
      <c r="AI1588" s="681"/>
      <c r="AJ1588" s="682"/>
      <c r="AK1588" s="683"/>
      <c r="AL1588" s="684" t="s">
        <v>162</v>
      </c>
      <c r="AM1588" s="685"/>
      <c r="AN1588" s="666" t="s">
        <v>162</v>
      </c>
      <c r="AO1588" s="667"/>
      <c r="AP1588" s="686"/>
      <c r="AQ1588" s="687"/>
      <c r="AR1588" s="688"/>
      <c r="AS1588" s="689"/>
      <c r="AT1588" s="690"/>
      <c r="AU1588" s="691"/>
      <c r="AV1588" s="666" t="s">
        <v>162</v>
      </c>
      <c r="AW1588" s="667"/>
      <c r="AX1588" s="692"/>
      <c r="AY1588" s="693"/>
      <c r="AZ1588" s="694"/>
      <c r="BA1588" s="682"/>
      <c r="BB1588" s="683"/>
      <c r="BC1588" s="14"/>
      <c r="BD1588" s="695" t="s">
        <v>162</v>
      </c>
      <c r="BE1588" s="696"/>
      <c r="BF1588" s="697"/>
      <c r="BG1588" s="698"/>
      <c r="BH1588" s="698"/>
      <c r="BI1588" s="699"/>
      <c r="BJ1588" s="700" t="s">
        <v>159</v>
      </c>
      <c r="BK1588" s="701"/>
      <c r="BL1588" s="701"/>
      <c r="BM1588" s="702"/>
      <c r="BN1588" s="703" t="s">
        <v>159</v>
      </c>
      <c r="BO1588" s="704"/>
      <c r="BP1588" s="704"/>
      <c r="BQ1588" s="704"/>
      <c r="BR1588" s="704"/>
      <c r="BS1588" s="704"/>
      <c r="BT1588" s="704"/>
      <c r="BU1588" s="704"/>
      <c r="BV1588" s="705"/>
    </row>
    <row r="1589" spans="1:74" ht="45" customHeight="1" x14ac:dyDescent="0.25">
      <c r="A1589" s="10">
        <f t="shared" si="24"/>
        <v>1575</v>
      </c>
      <c r="B1589" s="711" t="s">
        <v>159</v>
      </c>
      <c r="C1589" s="711"/>
      <c r="D1589" s="712" t="s">
        <v>212</v>
      </c>
      <c r="E1589" s="712"/>
      <c r="F1589" s="664" t="s">
        <v>162</v>
      </c>
      <c r="G1589" s="665"/>
      <c r="H1589" s="713" t="s">
        <v>162</v>
      </c>
      <c r="I1589" s="714"/>
      <c r="J1589" s="715"/>
      <c r="K1589" s="716"/>
      <c r="L1589" s="715"/>
      <c r="M1589" s="716"/>
      <c r="N1589" s="215"/>
      <c r="O1589" s="216"/>
      <c r="P1589" s="670"/>
      <c r="Q1589" s="671"/>
      <c r="R1589" s="719"/>
      <c r="S1589" s="720"/>
      <c r="T1589" s="721"/>
      <c r="U1589" s="722"/>
      <c r="V1589" s="723"/>
      <c r="W1589" s="724"/>
      <c r="X1589" s="725" t="s">
        <v>159</v>
      </c>
      <c r="Y1589" s="725"/>
      <c r="Z1589" s="725"/>
      <c r="AA1589" s="725"/>
      <c r="AB1589" s="726" t="s">
        <v>159</v>
      </c>
      <c r="AC1589" s="726"/>
      <c r="AD1589" s="726"/>
      <c r="AE1589" s="726"/>
      <c r="AF1589" s="727"/>
      <c r="AG1589" s="728"/>
      <c r="AH1589" s="727"/>
      <c r="AI1589" s="728"/>
      <c r="AJ1589" s="682"/>
      <c r="AK1589" s="683"/>
      <c r="AL1589" s="664" t="s">
        <v>162</v>
      </c>
      <c r="AM1589" s="665"/>
      <c r="AN1589" s="713" t="s">
        <v>162</v>
      </c>
      <c r="AO1589" s="714"/>
      <c r="AP1589" s="729"/>
      <c r="AQ1589" s="730"/>
      <c r="AR1589" s="731"/>
      <c r="AS1589" s="732"/>
      <c r="AT1589" s="733"/>
      <c r="AU1589" s="734"/>
      <c r="AV1589" s="713" t="s">
        <v>162</v>
      </c>
      <c r="AW1589" s="714"/>
      <c r="AX1589" s="692"/>
      <c r="AY1589" s="693"/>
      <c r="AZ1589" s="694"/>
      <c r="BA1589" s="735"/>
      <c r="BB1589" s="736"/>
      <c r="BC1589" s="219"/>
      <c r="BD1589" s="737" t="s">
        <v>162</v>
      </c>
      <c r="BE1589" s="738"/>
      <c r="BF1589" s="739"/>
      <c r="BG1589" s="740"/>
      <c r="BH1589" s="740"/>
      <c r="BI1589" s="741"/>
      <c r="BJ1589" s="742" t="s">
        <v>159</v>
      </c>
      <c r="BK1589" s="743"/>
      <c r="BL1589" s="743"/>
      <c r="BM1589" s="744"/>
      <c r="BN1589" s="703" t="s">
        <v>159</v>
      </c>
      <c r="BO1589" s="704"/>
      <c r="BP1589" s="704"/>
      <c r="BQ1589" s="704"/>
      <c r="BR1589" s="704"/>
      <c r="BS1589" s="704"/>
      <c r="BT1589" s="704"/>
      <c r="BU1589" s="704"/>
      <c r="BV1589" s="705"/>
    </row>
    <row r="1590" spans="1:74" ht="45" customHeight="1" x14ac:dyDescent="0.25">
      <c r="A1590" s="10">
        <f t="shared" si="24"/>
        <v>1576</v>
      </c>
      <c r="B1590" s="662" t="s">
        <v>159</v>
      </c>
      <c r="C1590" s="662"/>
      <c r="D1590" s="663" t="s">
        <v>212</v>
      </c>
      <c r="E1590" s="663"/>
      <c r="F1590" s="664" t="s">
        <v>162</v>
      </c>
      <c r="G1590" s="665"/>
      <c r="H1590" s="666" t="s">
        <v>162</v>
      </c>
      <c r="I1590" s="667"/>
      <c r="J1590" s="706"/>
      <c r="K1590" s="707"/>
      <c r="L1590" s="706"/>
      <c r="M1590" s="707"/>
      <c r="N1590" s="194"/>
      <c r="O1590" s="196"/>
      <c r="P1590" s="717"/>
      <c r="Q1590" s="718"/>
      <c r="R1590" s="672"/>
      <c r="S1590" s="673"/>
      <c r="T1590" s="674"/>
      <c r="U1590" s="675"/>
      <c r="V1590" s="676"/>
      <c r="W1590" s="677"/>
      <c r="X1590" s="678" t="s">
        <v>159</v>
      </c>
      <c r="Y1590" s="678"/>
      <c r="Z1590" s="678"/>
      <c r="AA1590" s="678"/>
      <c r="AB1590" s="679" t="s">
        <v>159</v>
      </c>
      <c r="AC1590" s="679"/>
      <c r="AD1590" s="679"/>
      <c r="AE1590" s="679"/>
      <c r="AF1590" s="680"/>
      <c r="AG1590" s="681"/>
      <c r="AH1590" s="680"/>
      <c r="AI1590" s="681"/>
      <c r="AJ1590" s="682"/>
      <c r="AK1590" s="683"/>
      <c r="AL1590" s="684" t="s">
        <v>162</v>
      </c>
      <c r="AM1590" s="685"/>
      <c r="AN1590" s="666" t="s">
        <v>162</v>
      </c>
      <c r="AO1590" s="667"/>
      <c r="AP1590" s="686"/>
      <c r="AQ1590" s="687"/>
      <c r="AR1590" s="688"/>
      <c r="AS1590" s="689"/>
      <c r="AT1590" s="690"/>
      <c r="AU1590" s="691"/>
      <c r="AV1590" s="666" t="s">
        <v>162</v>
      </c>
      <c r="AW1590" s="667"/>
      <c r="AX1590" s="692"/>
      <c r="AY1590" s="693"/>
      <c r="AZ1590" s="694"/>
      <c r="BA1590" s="682"/>
      <c r="BB1590" s="683"/>
      <c r="BC1590" s="14"/>
      <c r="BD1590" s="695" t="s">
        <v>162</v>
      </c>
      <c r="BE1590" s="696"/>
      <c r="BF1590" s="708"/>
      <c r="BG1590" s="709"/>
      <c r="BH1590" s="709"/>
      <c r="BI1590" s="710"/>
      <c r="BJ1590" s="700" t="s">
        <v>159</v>
      </c>
      <c r="BK1590" s="701"/>
      <c r="BL1590" s="701"/>
      <c r="BM1590" s="702"/>
      <c r="BN1590" s="703" t="s">
        <v>159</v>
      </c>
      <c r="BO1590" s="704"/>
      <c r="BP1590" s="704"/>
      <c r="BQ1590" s="704"/>
      <c r="BR1590" s="704"/>
      <c r="BS1590" s="704"/>
      <c r="BT1590" s="704"/>
      <c r="BU1590" s="704"/>
      <c r="BV1590" s="705"/>
    </row>
    <row r="1591" spans="1:74" ht="45" customHeight="1" x14ac:dyDescent="0.25">
      <c r="A1591" s="10">
        <f t="shared" si="24"/>
        <v>1577</v>
      </c>
      <c r="B1591" s="711" t="s">
        <v>159</v>
      </c>
      <c r="C1591" s="711"/>
      <c r="D1591" s="712" t="s">
        <v>212</v>
      </c>
      <c r="E1591" s="712"/>
      <c r="F1591" s="664" t="s">
        <v>162</v>
      </c>
      <c r="G1591" s="665"/>
      <c r="H1591" s="713" t="s">
        <v>162</v>
      </c>
      <c r="I1591" s="714"/>
      <c r="J1591" s="715"/>
      <c r="K1591" s="716"/>
      <c r="L1591" s="715"/>
      <c r="M1591" s="716"/>
      <c r="N1591" s="215"/>
      <c r="O1591" s="216"/>
      <c r="P1591" s="670"/>
      <c r="Q1591" s="671"/>
      <c r="R1591" s="719"/>
      <c r="S1591" s="720"/>
      <c r="T1591" s="721"/>
      <c r="U1591" s="722"/>
      <c r="V1591" s="723"/>
      <c r="W1591" s="724"/>
      <c r="X1591" s="725" t="s">
        <v>159</v>
      </c>
      <c r="Y1591" s="725"/>
      <c r="Z1591" s="725"/>
      <c r="AA1591" s="725"/>
      <c r="AB1591" s="726" t="s">
        <v>159</v>
      </c>
      <c r="AC1591" s="726"/>
      <c r="AD1591" s="726"/>
      <c r="AE1591" s="726"/>
      <c r="AF1591" s="727"/>
      <c r="AG1591" s="728"/>
      <c r="AH1591" s="727"/>
      <c r="AI1591" s="728"/>
      <c r="AJ1591" s="682"/>
      <c r="AK1591" s="683"/>
      <c r="AL1591" s="664" t="s">
        <v>162</v>
      </c>
      <c r="AM1591" s="665"/>
      <c r="AN1591" s="713" t="s">
        <v>162</v>
      </c>
      <c r="AO1591" s="714"/>
      <c r="AP1591" s="729"/>
      <c r="AQ1591" s="730"/>
      <c r="AR1591" s="731"/>
      <c r="AS1591" s="732"/>
      <c r="AT1591" s="733"/>
      <c r="AU1591" s="734"/>
      <c r="AV1591" s="713" t="s">
        <v>162</v>
      </c>
      <c r="AW1591" s="714"/>
      <c r="AX1591" s="692"/>
      <c r="AY1591" s="693"/>
      <c r="AZ1591" s="694"/>
      <c r="BA1591" s="735"/>
      <c r="BB1591" s="736"/>
      <c r="BC1591" s="219"/>
      <c r="BD1591" s="737" t="s">
        <v>162</v>
      </c>
      <c r="BE1591" s="738"/>
      <c r="BF1591" s="739"/>
      <c r="BG1591" s="740"/>
      <c r="BH1591" s="740"/>
      <c r="BI1591" s="741"/>
      <c r="BJ1591" s="742" t="s">
        <v>159</v>
      </c>
      <c r="BK1591" s="743"/>
      <c r="BL1591" s="743"/>
      <c r="BM1591" s="744"/>
      <c r="BN1591" s="703" t="s">
        <v>159</v>
      </c>
      <c r="BO1591" s="704"/>
      <c r="BP1591" s="704"/>
      <c r="BQ1591" s="704"/>
      <c r="BR1591" s="704"/>
      <c r="BS1591" s="704"/>
      <c r="BT1591" s="704"/>
      <c r="BU1591" s="704"/>
      <c r="BV1591" s="705"/>
    </row>
    <row r="1592" spans="1:74" ht="45" customHeight="1" x14ac:dyDescent="0.25">
      <c r="A1592" s="10">
        <f t="shared" si="24"/>
        <v>1578</v>
      </c>
      <c r="B1592" s="662" t="s">
        <v>159</v>
      </c>
      <c r="C1592" s="662"/>
      <c r="D1592" s="663" t="s">
        <v>212</v>
      </c>
      <c r="E1592" s="663"/>
      <c r="F1592" s="664" t="s">
        <v>162</v>
      </c>
      <c r="G1592" s="665"/>
      <c r="H1592" s="666" t="s">
        <v>162</v>
      </c>
      <c r="I1592" s="667"/>
      <c r="J1592" s="706"/>
      <c r="K1592" s="707"/>
      <c r="L1592" s="706"/>
      <c r="M1592" s="707"/>
      <c r="N1592" s="194"/>
      <c r="O1592" s="196"/>
      <c r="P1592" s="717"/>
      <c r="Q1592" s="718"/>
      <c r="R1592" s="672"/>
      <c r="S1592" s="673"/>
      <c r="T1592" s="674"/>
      <c r="U1592" s="675"/>
      <c r="V1592" s="676"/>
      <c r="W1592" s="677"/>
      <c r="X1592" s="678" t="s">
        <v>159</v>
      </c>
      <c r="Y1592" s="678"/>
      <c r="Z1592" s="678"/>
      <c r="AA1592" s="678"/>
      <c r="AB1592" s="679" t="s">
        <v>159</v>
      </c>
      <c r="AC1592" s="679"/>
      <c r="AD1592" s="679"/>
      <c r="AE1592" s="679"/>
      <c r="AF1592" s="680"/>
      <c r="AG1592" s="681"/>
      <c r="AH1592" s="680"/>
      <c r="AI1592" s="681"/>
      <c r="AJ1592" s="682"/>
      <c r="AK1592" s="683"/>
      <c r="AL1592" s="684" t="s">
        <v>162</v>
      </c>
      <c r="AM1592" s="685"/>
      <c r="AN1592" s="666" t="s">
        <v>162</v>
      </c>
      <c r="AO1592" s="667"/>
      <c r="AP1592" s="686"/>
      <c r="AQ1592" s="687"/>
      <c r="AR1592" s="688"/>
      <c r="AS1592" s="689"/>
      <c r="AT1592" s="690"/>
      <c r="AU1592" s="691"/>
      <c r="AV1592" s="666" t="s">
        <v>162</v>
      </c>
      <c r="AW1592" s="667"/>
      <c r="AX1592" s="692"/>
      <c r="AY1592" s="693"/>
      <c r="AZ1592" s="694"/>
      <c r="BA1592" s="682"/>
      <c r="BB1592" s="683"/>
      <c r="BC1592" s="14"/>
      <c r="BD1592" s="695" t="s">
        <v>162</v>
      </c>
      <c r="BE1592" s="696"/>
      <c r="BF1592" s="697"/>
      <c r="BG1592" s="698"/>
      <c r="BH1592" s="698"/>
      <c r="BI1592" s="699"/>
      <c r="BJ1592" s="700" t="s">
        <v>159</v>
      </c>
      <c r="BK1592" s="701"/>
      <c r="BL1592" s="701"/>
      <c r="BM1592" s="702"/>
      <c r="BN1592" s="703" t="s">
        <v>159</v>
      </c>
      <c r="BO1592" s="704"/>
      <c r="BP1592" s="704"/>
      <c r="BQ1592" s="704"/>
      <c r="BR1592" s="704"/>
      <c r="BS1592" s="704"/>
      <c r="BT1592" s="704"/>
      <c r="BU1592" s="704"/>
      <c r="BV1592" s="705"/>
    </row>
    <row r="1593" spans="1:74" ht="45" customHeight="1" x14ac:dyDescent="0.25">
      <c r="A1593" s="10">
        <f t="shared" si="24"/>
        <v>1579</v>
      </c>
      <c r="B1593" s="711" t="s">
        <v>159</v>
      </c>
      <c r="C1593" s="711"/>
      <c r="D1593" s="712" t="s">
        <v>212</v>
      </c>
      <c r="E1593" s="712"/>
      <c r="F1593" s="664" t="s">
        <v>162</v>
      </c>
      <c r="G1593" s="665"/>
      <c r="H1593" s="713" t="s">
        <v>162</v>
      </c>
      <c r="I1593" s="714"/>
      <c r="J1593" s="715"/>
      <c r="K1593" s="716"/>
      <c r="L1593" s="715"/>
      <c r="M1593" s="716"/>
      <c r="N1593" s="194"/>
      <c r="O1593" s="196"/>
      <c r="P1593" s="717"/>
      <c r="Q1593" s="718"/>
      <c r="R1593" s="719"/>
      <c r="S1593" s="720"/>
      <c r="T1593" s="721"/>
      <c r="U1593" s="722"/>
      <c r="V1593" s="723"/>
      <c r="W1593" s="724"/>
      <c r="X1593" s="725" t="s">
        <v>159</v>
      </c>
      <c r="Y1593" s="725"/>
      <c r="Z1593" s="725"/>
      <c r="AA1593" s="725"/>
      <c r="AB1593" s="726" t="s">
        <v>159</v>
      </c>
      <c r="AC1593" s="726"/>
      <c r="AD1593" s="726"/>
      <c r="AE1593" s="726"/>
      <c r="AF1593" s="727"/>
      <c r="AG1593" s="728"/>
      <c r="AH1593" s="727"/>
      <c r="AI1593" s="728"/>
      <c r="AJ1593" s="682"/>
      <c r="AK1593" s="683"/>
      <c r="AL1593" s="664" t="s">
        <v>162</v>
      </c>
      <c r="AM1593" s="665"/>
      <c r="AN1593" s="713" t="s">
        <v>162</v>
      </c>
      <c r="AO1593" s="714"/>
      <c r="AP1593" s="729"/>
      <c r="AQ1593" s="730"/>
      <c r="AR1593" s="731"/>
      <c r="AS1593" s="732"/>
      <c r="AT1593" s="690"/>
      <c r="AU1593" s="691"/>
      <c r="AV1593" s="713" t="s">
        <v>162</v>
      </c>
      <c r="AW1593" s="714"/>
      <c r="AX1593" s="692"/>
      <c r="AY1593" s="693"/>
      <c r="AZ1593" s="694"/>
      <c r="BA1593" s="735"/>
      <c r="BB1593" s="736"/>
      <c r="BC1593" s="219"/>
      <c r="BD1593" s="737" t="s">
        <v>162</v>
      </c>
      <c r="BE1593" s="738"/>
      <c r="BF1593" s="739"/>
      <c r="BG1593" s="740"/>
      <c r="BH1593" s="740"/>
      <c r="BI1593" s="741"/>
      <c r="BJ1593" s="742" t="s">
        <v>159</v>
      </c>
      <c r="BK1593" s="743"/>
      <c r="BL1593" s="743"/>
      <c r="BM1593" s="744"/>
      <c r="BN1593" s="703" t="s">
        <v>159</v>
      </c>
      <c r="BO1593" s="704"/>
      <c r="BP1593" s="704"/>
      <c r="BQ1593" s="704"/>
      <c r="BR1593" s="704"/>
      <c r="BS1593" s="704"/>
      <c r="BT1593" s="704"/>
      <c r="BU1593" s="704"/>
      <c r="BV1593" s="705"/>
    </row>
    <row r="1594" spans="1:74" ht="45" customHeight="1" x14ac:dyDescent="0.25">
      <c r="A1594" s="10">
        <f t="shared" si="24"/>
        <v>1580</v>
      </c>
      <c r="B1594" s="662" t="s">
        <v>159</v>
      </c>
      <c r="C1594" s="662"/>
      <c r="D1594" s="663" t="s">
        <v>212</v>
      </c>
      <c r="E1594" s="663"/>
      <c r="F1594" s="664" t="s">
        <v>162</v>
      </c>
      <c r="G1594" s="665"/>
      <c r="H1594" s="666" t="s">
        <v>162</v>
      </c>
      <c r="I1594" s="667"/>
      <c r="J1594" s="706"/>
      <c r="K1594" s="707"/>
      <c r="L1594" s="706"/>
      <c r="M1594" s="707"/>
      <c r="N1594" s="215"/>
      <c r="O1594" s="216"/>
      <c r="P1594" s="670"/>
      <c r="Q1594" s="671"/>
      <c r="R1594" s="672"/>
      <c r="S1594" s="673"/>
      <c r="T1594" s="674"/>
      <c r="U1594" s="675"/>
      <c r="V1594" s="676"/>
      <c r="W1594" s="677"/>
      <c r="X1594" s="678" t="s">
        <v>159</v>
      </c>
      <c r="Y1594" s="678"/>
      <c r="Z1594" s="678"/>
      <c r="AA1594" s="678"/>
      <c r="AB1594" s="679" t="s">
        <v>159</v>
      </c>
      <c r="AC1594" s="679"/>
      <c r="AD1594" s="679"/>
      <c r="AE1594" s="679"/>
      <c r="AF1594" s="680"/>
      <c r="AG1594" s="681"/>
      <c r="AH1594" s="680"/>
      <c r="AI1594" s="681"/>
      <c r="AJ1594" s="682"/>
      <c r="AK1594" s="683"/>
      <c r="AL1594" s="684" t="s">
        <v>162</v>
      </c>
      <c r="AM1594" s="685"/>
      <c r="AN1594" s="666" t="s">
        <v>162</v>
      </c>
      <c r="AO1594" s="667"/>
      <c r="AP1594" s="686"/>
      <c r="AQ1594" s="687"/>
      <c r="AR1594" s="688"/>
      <c r="AS1594" s="689"/>
      <c r="AT1594" s="690"/>
      <c r="AU1594" s="691"/>
      <c r="AV1594" s="666" t="s">
        <v>162</v>
      </c>
      <c r="AW1594" s="667"/>
      <c r="AX1594" s="692"/>
      <c r="AY1594" s="693"/>
      <c r="AZ1594" s="694"/>
      <c r="BA1594" s="682"/>
      <c r="BB1594" s="683"/>
      <c r="BC1594" s="14"/>
      <c r="BD1594" s="695" t="s">
        <v>162</v>
      </c>
      <c r="BE1594" s="696"/>
      <c r="BF1594" s="697"/>
      <c r="BG1594" s="698"/>
      <c r="BH1594" s="698"/>
      <c r="BI1594" s="699"/>
      <c r="BJ1594" s="700" t="s">
        <v>159</v>
      </c>
      <c r="BK1594" s="701"/>
      <c r="BL1594" s="701"/>
      <c r="BM1594" s="702"/>
      <c r="BN1594" s="703" t="s">
        <v>159</v>
      </c>
      <c r="BO1594" s="704"/>
      <c r="BP1594" s="704"/>
      <c r="BQ1594" s="704"/>
      <c r="BR1594" s="704"/>
      <c r="BS1594" s="704"/>
      <c r="BT1594" s="704"/>
      <c r="BU1594" s="704"/>
      <c r="BV1594" s="705"/>
    </row>
    <row r="1595" spans="1:74" ht="45" customHeight="1" x14ac:dyDescent="0.25">
      <c r="A1595" s="10">
        <f t="shared" si="24"/>
        <v>1581</v>
      </c>
      <c r="B1595" s="711" t="s">
        <v>159</v>
      </c>
      <c r="C1595" s="711"/>
      <c r="D1595" s="712" t="s">
        <v>212</v>
      </c>
      <c r="E1595" s="712"/>
      <c r="F1595" s="664" t="s">
        <v>162</v>
      </c>
      <c r="G1595" s="665"/>
      <c r="H1595" s="713" t="s">
        <v>162</v>
      </c>
      <c r="I1595" s="714"/>
      <c r="J1595" s="715"/>
      <c r="K1595" s="716"/>
      <c r="L1595" s="715"/>
      <c r="M1595" s="716"/>
      <c r="N1595" s="194"/>
      <c r="O1595" s="196"/>
      <c r="P1595" s="717"/>
      <c r="Q1595" s="718"/>
      <c r="R1595" s="719"/>
      <c r="S1595" s="720"/>
      <c r="T1595" s="721"/>
      <c r="U1595" s="722"/>
      <c r="V1595" s="723"/>
      <c r="W1595" s="724"/>
      <c r="X1595" s="725" t="s">
        <v>159</v>
      </c>
      <c r="Y1595" s="725"/>
      <c r="Z1595" s="725"/>
      <c r="AA1595" s="725"/>
      <c r="AB1595" s="726" t="s">
        <v>159</v>
      </c>
      <c r="AC1595" s="726"/>
      <c r="AD1595" s="726"/>
      <c r="AE1595" s="726"/>
      <c r="AF1595" s="727"/>
      <c r="AG1595" s="728"/>
      <c r="AH1595" s="727"/>
      <c r="AI1595" s="728"/>
      <c r="AJ1595" s="682"/>
      <c r="AK1595" s="683"/>
      <c r="AL1595" s="664" t="s">
        <v>162</v>
      </c>
      <c r="AM1595" s="665"/>
      <c r="AN1595" s="713" t="s">
        <v>162</v>
      </c>
      <c r="AO1595" s="714"/>
      <c r="AP1595" s="729"/>
      <c r="AQ1595" s="730"/>
      <c r="AR1595" s="731"/>
      <c r="AS1595" s="732"/>
      <c r="AT1595" s="690"/>
      <c r="AU1595" s="691"/>
      <c r="AV1595" s="713" t="s">
        <v>162</v>
      </c>
      <c r="AW1595" s="714"/>
      <c r="AX1595" s="692"/>
      <c r="AY1595" s="693"/>
      <c r="AZ1595" s="694"/>
      <c r="BA1595" s="735"/>
      <c r="BB1595" s="736"/>
      <c r="BC1595" s="219"/>
      <c r="BD1595" s="737" t="s">
        <v>162</v>
      </c>
      <c r="BE1595" s="738"/>
      <c r="BF1595" s="739"/>
      <c r="BG1595" s="740"/>
      <c r="BH1595" s="740"/>
      <c r="BI1595" s="741"/>
      <c r="BJ1595" s="742" t="s">
        <v>159</v>
      </c>
      <c r="BK1595" s="743"/>
      <c r="BL1595" s="743"/>
      <c r="BM1595" s="744"/>
      <c r="BN1595" s="703" t="s">
        <v>159</v>
      </c>
      <c r="BO1595" s="704"/>
      <c r="BP1595" s="704"/>
      <c r="BQ1595" s="704"/>
      <c r="BR1595" s="704"/>
      <c r="BS1595" s="704"/>
      <c r="BT1595" s="704"/>
      <c r="BU1595" s="704"/>
      <c r="BV1595" s="705"/>
    </row>
    <row r="1596" spans="1:74" ht="45" customHeight="1" x14ac:dyDescent="0.25">
      <c r="A1596" s="10">
        <f t="shared" si="24"/>
        <v>1582</v>
      </c>
      <c r="B1596" s="662" t="s">
        <v>159</v>
      </c>
      <c r="C1596" s="662"/>
      <c r="D1596" s="663" t="s">
        <v>212</v>
      </c>
      <c r="E1596" s="663"/>
      <c r="F1596" s="664" t="s">
        <v>162</v>
      </c>
      <c r="G1596" s="665"/>
      <c r="H1596" s="666" t="s">
        <v>162</v>
      </c>
      <c r="I1596" s="667"/>
      <c r="J1596" s="706"/>
      <c r="K1596" s="707"/>
      <c r="L1596" s="706"/>
      <c r="M1596" s="707"/>
      <c r="N1596" s="215"/>
      <c r="O1596" s="216"/>
      <c r="P1596" s="670"/>
      <c r="Q1596" s="671"/>
      <c r="R1596" s="672"/>
      <c r="S1596" s="673"/>
      <c r="T1596" s="674"/>
      <c r="U1596" s="675"/>
      <c r="V1596" s="676"/>
      <c r="W1596" s="677"/>
      <c r="X1596" s="678" t="s">
        <v>159</v>
      </c>
      <c r="Y1596" s="678"/>
      <c r="Z1596" s="678"/>
      <c r="AA1596" s="678"/>
      <c r="AB1596" s="679" t="s">
        <v>159</v>
      </c>
      <c r="AC1596" s="679"/>
      <c r="AD1596" s="679"/>
      <c r="AE1596" s="679"/>
      <c r="AF1596" s="680"/>
      <c r="AG1596" s="681"/>
      <c r="AH1596" s="680"/>
      <c r="AI1596" s="681"/>
      <c r="AJ1596" s="682"/>
      <c r="AK1596" s="683"/>
      <c r="AL1596" s="684" t="s">
        <v>162</v>
      </c>
      <c r="AM1596" s="685"/>
      <c r="AN1596" s="666" t="s">
        <v>162</v>
      </c>
      <c r="AO1596" s="667"/>
      <c r="AP1596" s="686"/>
      <c r="AQ1596" s="687"/>
      <c r="AR1596" s="688"/>
      <c r="AS1596" s="689"/>
      <c r="AT1596" s="690"/>
      <c r="AU1596" s="691"/>
      <c r="AV1596" s="666" t="s">
        <v>162</v>
      </c>
      <c r="AW1596" s="667"/>
      <c r="AX1596" s="692"/>
      <c r="AY1596" s="693"/>
      <c r="AZ1596" s="694"/>
      <c r="BA1596" s="682"/>
      <c r="BB1596" s="683"/>
      <c r="BC1596" s="14"/>
      <c r="BD1596" s="695" t="s">
        <v>162</v>
      </c>
      <c r="BE1596" s="696"/>
      <c r="BF1596" s="697"/>
      <c r="BG1596" s="698"/>
      <c r="BH1596" s="698"/>
      <c r="BI1596" s="699"/>
      <c r="BJ1596" s="700" t="s">
        <v>159</v>
      </c>
      <c r="BK1596" s="701"/>
      <c r="BL1596" s="701"/>
      <c r="BM1596" s="702"/>
      <c r="BN1596" s="703" t="s">
        <v>159</v>
      </c>
      <c r="BO1596" s="704"/>
      <c r="BP1596" s="704"/>
      <c r="BQ1596" s="704"/>
      <c r="BR1596" s="704"/>
      <c r="BS1596" s="704"/>
      <c r="BT1596" s="704"/>
      <c r="BU1596" s="704"/>
      <c r="BV1596" s="705"/>
    </row>
    <row r="1597" spans="1:74" ht="45" customHeight="1" x14ac:dyDescent="0.25">
      <c r="A1597" s="10">
        <f t="shared" si="24"/>
        <v>1583</v>
      </c>
      <c r="B1597" s="711" t="s">
        <v>159</v>
      </c>
      <c r="C1597" s="711"/>
      <c r="D1597" s="712" t="s">
        <v>212</v>
      </c>
      <c r="E1597" s="712"/>
      <c r="F1597" s="664" t="s">
        <v>162</v>
      </c>
      <c r="G1597" s="665"/>
      <c r="H1597" s="713" t="s">
        <v>162</v>
      </c>
      <c r="I1597" s="714"/>
      <c r="J1597" s="715"/>
      <c r="K1597" s="716"/>
      <c r="L1597" s="715"/>
      <c r="M1597" s="716"/>
      <c r="N1597" s="194"/>
      <c r="O1597" s="216"/>
      <c r="P1597" s="717"/>
      <c r="Q1597" s="718"/>
      <c r="R1597" s="719"/>
      <c r="S1597" s="720"/>
      <c r="T1597" s="721"/>
      <c r="U1597" s="722"/>
      <c r="V1597" s="723"/>
      <c r="W1597" s="724"/>
      <c r="X1597" s="725" t="s">
        <v>159</v>
      </c>
      <c r="Y1597" s="725"/>
      <c r="Z1597" s="725"/>
      <c r="AA1597" s="725"/>
      <c r="AB1597" s="726" t="s">
        <v>159</v>
      </c>
      <c r="AC1597" s="726"/>
      <c r="AD1597" s="726"/>
      <c r="AE1597" s="726"/>
      <c r="AF1597" s="727"/>
      <c r="AG1597" s="728"/>
      <c r="AH1597" s="727"/>
      <c r="AI1597" s="728"/>
      <c r="AJ1597" s="682"/>
      <c r="AK1597" s="683"/>
      <c r="AL1597" s="664" t="s">
        <v>162</v>
      </c>
      <c r="AM1597" s="665"/>
      <c r="AN1597" s="713" t="s">
        <v>162</v>
      </c>
      <c r="AO1597" s="714"/>
      <c r="AP1597" s="729"/>
      <c r="AQ1597" s="730"/>
      <c r="AR1597" s="731"/>
      <c r="AS1597" s="732"/>
      <c r="AT1597" s="733"/>
      <c r="AU1597" s="734"/>
      <c r="AV1597" s="713" t="s">
        <v>162</v>
      </c>
      <c r="AW1597" s="714"/>
      <c r="AX1597" s="692"/>
      <c r="AY1597" s="693"/>
      <c r="AZ1597" s="694"/>
      <c r="BA1597" s="735"/>
      <c r="BB1597" s="736"/>
      <c r="BC1597" s="219"/>
      <c r="BD1597" s="737" t="s">
        <v>162</v>
      </c>
      <c r="BE1597" s="738"/>
      <c r="BF1597" s="739"/>
      <c r="BG1597" s="740"/>
      <c r="BH1597" s="740"/>
      <c r="BI1597" s="741"/>
      <c r="BJ1597" s="742" t="s">
        <v>159</v>
      </c>
      <c r="BK1597" s="743"/>
      <c r="BL1597" s="743"/>
      <c r="BM1597" s="744"/>
      <c r="BN1597" s="703" t="s">
        <v>159</v>
      </c>
      <c r="BO1597" s="704"/>
      <c r="BP1597" s="704"/>
      <c r="BQ1597" s="704"/>
      <c r="BR1597" s="704"/>
      <c r="BS1597" s="704"/>
      <c r="BT1597" s="704"/>
      <c r="BU1597" s="704"/>
      <c r="BV1597" s="705"/>
    </row>
    <row r="1598" spans="1:74" ht="45" customHeight="1" x14ac:dyDescent="0.25">
      <c r="A1598" s="10">
        <f t="shared" si="24"/>
        <v>1584</v>
      </c>
      <c r="B1598" s="662" t="s">
        <v>159</v>
      </c>
      <c r="C1598" s="662"/>
      <c r="D1598" s="663" t="s">
        <v>212</v>
      </c>
      <c r="E1598" s="663"/>
      <c r="F1598" s="664" t="s">
        <v>162</v>
      </c>
      <c r="G1598" s="665"/>
      <c r="H1598" s="666" t="s">
        <v>162</v>
      </c>
      <c r="I1598" s="667"/>
      <c r="J1598" s="706"/>
      <c r="K1598" s="707"/>
      <c r="L1598" s="706"/>
      <c r="M1598" s="707"/>
      <c r="N1598" s="215"/>
      <c r="O1598" s="196"/>
      <c r="P1598" s="670"/>
      <c r="Q1598" s="671"/>
      <c r="R1598" s="672"/>
      <c r="S1598" s="673"/>
      <c r="T1598" s="674"/>
      <c r="U1598" s="675"/>
      <c r="V1598" s="676"/>
      <c r="W1598" s="677"/>
      <c r="X1598" s="678" t="s">
        <v>159</v>
      </c>
      <c r="Y1598" s="678"/>
      <c r="Z1598" s="678"/>
      <c r="AA1598" s="678"/>
      <c r="AB1598" s="679" t="s">
        <v>159</v>
      </c>
      <c r="AC1598" s="679"/>
      <c r="AD1598" s="679"/>
      <c r="AE1598" s="679"/>
      <c r="AF1598" s="680"/>
      <c r="AG1598" s="681"/>
      <c r="AH1598" s="680"/>
      <c r="AI1598" s="681"/>
      <c r="AJ1598" s="682"/>
      <c r="AK1598" s="683"/>
      <c r="AL1598" s="684" t="s">
        <v>162</v>
      </c>
      <c r="AM1598" s="685"/>
      <c r="AN1598" s="666" t="s">
        <v>162</v>
      </c>
      <c r="AO1598" s="667"/>
      <c r="AP1598" s="686"/>
      <c r="AQ1598" s="687"/>
      <c r="AR1598" s="688"/>
      <c r="AS1598" s="689"/>
      <c r="AT1598" s="690"/>
      <c r="AU1598" s="691"/>
      <c r="AV1598" s="666" t="s">
        <v>162</v>
      </c>
      <c r="AW1598" s="667"/>
      <c r="AX1598" s="692"/>
      <c r="AY1598" s="693"/>
      <c r="AZ1598" s="694"/>
      <c r="BA1598" s="682"/>
      <c r="BB1598" s="683"/>
      <c r="BC1598" s="14"/>
      <c r="BD1598" s="695" t="s">
        <v>162</v>
      </c>
      <c r="BE1598" s="696"/>
      <c r="BF1598" s="708"/>
      <c r="BG1598" s="709"/>
      <c r="BH1598" s="709"/>
      <c r="BI1598" s="710"/>
      <c r="BJ1598" s="700" t="s">
        <v>159</v>
      </c>
      <c r="BK1598" s="701"/>
      <c r="BL1598" s="701"/>
      <c r="BM1598" s="702"/>
      <c r="BN1598" s="703" t="s">
        <v>159</v>
      </c>
      <c r="BO1598" s="704"/>
      <c r="BP1598" s="704"/>
      <c r="BQ1598" s="704"/>
      <c r="BR1598" s="704"/>
      <c r="BS1598" s="704"/>
      <c r="BT1598" s="704"/>
      <c r="BU1598" s="704"/>
      <c r="BV1598" s="705"/>
    </row>
    <row r="1599" spans="1:74" ht="45" customHeight="1" x14ac:dyDescent="0.25">
      <c r="A1599" s="10">
        <f t="shared" si="24"/>
        <v>1585</v>
      </c>
      <c r="B1599" s="711" t="s">
        <v>159</v>
      </c>
      <c r="C1599" s="711"/>
      <c r="D1599" s="712" t="s">
        <v>212</v>
      </c>
      <c r="E1599" s="712"/>
      <c r="F1599" s="664" t="s">
        <v>162</v>
      </c>
      <c r="G1599" s="665"/>
      <c r="H1599" s="713" t="s">
        <v>162</v>
      </c>
      <c r="I1599" s="714"/>
      <c r="J1599" s="715"/>
      <c r="K1599" s="716"/>
      <c r="L1599" s="715"/>
      <c r="M1599" s="716"/>
      <c r="N1599" s="194"/>
      <c r="O1599" s="216"/>
      <c r="P1599" s="717"/>
      <c r="Q1599" s="718"/>
      <c r="R1599" s="719"/>
      <c r="S1599" s="720"/>
      <c r="T1599" s="721"/>
      <c r="U1599" s="722"/>
      <c r="V1599" s="723"/>
      <c r="W1599" s="724"/>
      <c r="X1599" s="725" t="s">
        <v>159</v>
      </c>
      <c r="Y1599" s="725"/>
      <c r="Z1599" s="725"/>
      <c r="AA1599" s="725"/>
      <c r="AB1599" s="726" t="s">
        <v>159</v>
      </c>
      <c r="AC1599" s="726"/>
      <c r="AD1599" s="726"/>
      <c r="AE1599" s="726"/>
      <c r="AF1599" s="727"/>
      <c r="AG1599" s="728"/>
      <c r="AH1599" s="727"/>
      <c r="AI1599" s="728"/>
      <c r="AJ1599" s="682"/>
      <c r="AK1599" s="683"/>
      <c r="AL1599" s="664" t="s">
        <v>162</v>
      </c>
      <c r="AM1599" s="665"/>
      <c r="AN1599" s="713" t="s">
        <v>162</v>
      </c>
      <c r="AO1599" s="714"/>
      <c r="AP1599" s="729"/>
      <c r="AQ1599" s="730"/>
      <c r="AR1599" s="731"/>
      <c r="AS1599" s="732"/>
      <c r="AT1599" s="733"/>
      <c r="AU1599" s="734"/>
      <c r="AV1599" s="713" t="s">
        <v>162</v>
      </c>
      <c r="AW1599" s="714"/>
      <c r="AX1599" s="692"/>
      <c r="AY1599" s="693"/>
      <c r="AZ1599" s="694"/>
      <c r="BA1599" s="735"/>
      <c r="BB1599" s="736"/>
      <c r="BC1599" s="219"/>
      <c r="BD1599" s="737" t="s">
        <v>162</v>
      </c>
      <c r="BE1599" s="738"/>
      <c r="BF1599" s="739"/>
      <c r="BG1599" s="740"/>
      <c r="BH1599" s="740"/>
      <c r="BI1599" s="741"/>
      <c r="BJ1599" s="742" t="s">
        <v>159</v>
      </c>
      <c r="BK1599" s="743"/>
      <c r="BL1599" s="743"/>
      <c r="BM1599" s="744"/>
      <c r="BN1599" s="703" t="s">
        <v>159</v>
      </c>
      <c r="BO1599" s="704"/>
      <c r="BP1599" s="704"/>
      <c r="BQ1599" s="704"/>
      <c r="BR1599" s="704"/>
      <c r="BS1599" s="704"/>
      <c r="BT1599" s="704"/>
      <c r="BU1599" s="704"/>
      <c r="BV1599" s="705"/>
    </row>
    <row r="1600" spans="1:74" ht="45" customHeight="1" x14ac:dyDescent="0.25">
      <c r="A1600" s="10">
        <f t="shared" si="24"/>
        <v>1586</v>
      </c>
      <c r="B1600" s="662" t="s">
        <v>159</v>
      </c>
      <c r="C1600" s="662"/>
      <c r="D1600" s="663" t="s">
        <v>212</v>
      </c>
      <c r="E1600" s="663"/>
      <c r="F1600" s="664" t="s">
        <v>162</v>
      </c>
      <c r="G1600" s="665"/>
      <c r="H1600" s="666" t="s">
        <v>162</v>
      </c>
      <c r="I1600" s="667"/>
      <c r="J1600" s="706"/>
      <c r="K1600" s="707"/>
      <c r="L1600" s="706"/>
      <c r="M1600" s="707"/>
      <c r="N1600" s="215"/>
      <c r="O1600" s="196"/>
      <c r="P1600" s="670"/>
      <c r="Q1600" s="671"/>
      <c r="R1600" s="672"/>
      <c r="S1600" s="673"/>
      <c r="T1600" s="674"/>
      <c r="U1600" s="675"/>
      <c r="V1600" s="676"/>
      <c r="W1600" s="677"/>
      <c r="X1600" s="678" t="s">
        <v>159</v>
      </c>
      <c r="Y1600" s="678"/>
      <c r="Z1600" s="678"/>
      <c r="AA1600" s="678"/>
      <c r="AB1600" s="679" t="s">
        <v>159</v>
      </c>
      <c r="AC1600" s="679"/>
      <c r="AD1600" s="679"/>
      <c r="AE1600" s="679"/>
      <c r="AF1600" s="680"/>
      <c r="AG1600" s="681"/>
      <c r="AH1600" s="680"/>
      <c r="AI1600" s="681"/>
      <c r="AJ1600" s="682"/>
      <c r="AK1600" s="683"/>
      <c r="AL1600" s="684" t="s">
        <v>162</v>
      </c>
      <c r="AM1600" s="685"/>
      <c r="AN1600" s="666" t="s">
        <v>162</v>
      </c>
      <c r="AO1600" s="667"/>
      <c r="AP1600" s="686"/>
      <c r="AQ1600" s="687"/>
      <c r="AR1600" s="688"/>
      <c r="AS1600" s="689"/>
      <c r="AT1600" s="690"/>
      <c r="AU1600" s="691"/>
      <c r="AV1600" s="666" t="s">
        <v>162</v>
      </c>
      <c r="AW1600" s="667"/>
      <c r="AX1600" s="692"/>
      <c r="AY1600" s="693"/>
      <c r="AZ1600" s="694"/>
      <c r="BA1600" s="682"/>
      <c r="BB1600" s="683"/>
      <c r="BC1600" s="14"/>
      <c r="BD1600" s="695" t="s">
        <v>162</v>
      </c>
      <c r="BE1600" s="696"/>
      <c r="BF1600" s="697"/>
      <c r="BG1600" s="698"/>
      <c r="BH1600" s="698"/>
      <c r="BI1600" s="699"/>
      <c r="BJ1600" s="700" t="s">
        <v>159</v>
      </c>
      <c r="BK1600" s="701"/>
      <c r="BL1600" s="701"/>
      <c r="BM1600" s="702"/>
      <c r="BN1600" s="703" t="s">
        <v>159</v>
      </c>
      <c r="BO1600" s="704"/>
      <c r="BP1600" s="704"/>
      <c r="BQ1600" s="704"/>
      <c r="BR1600" s="704"/>
      <c r="BS1600" s="704"/>
      <c r="BT1600" s="704"/>
      <c r="BU1600" s="704"/>
      <c r="BV1600" s="705"/>
    </row>
    <row r="1601" spans="1:74" ht="45" customHeight="1" x14ac:dyDescent="0.25">
      <c r="A1601" s="10">
        <f t="shared" si="24"/>
        <v>1587</v>
      </c>
      <c r="B1601" s="711" t="s">
        <v>159</v>
      </c>
      <c r="C1601" s="711"/>
      <c r="D1601" s="712" t="s">
        <v>212</v>
      </c>
      <c r="E1601" s="712"/>
      <c r="F1601" s="664" t="s">
        <v>162</v>
      </c>
      <c r="G1601" s="665"/>
      <c r="H1601" s="713" t="s">
        <v>162</v>
      </c>
      <c r="I1601" s="714"/>
      <c r="J1601" s="715"/>
      <c r="K1601" s="716"/>
      <c r="L1601" s="715"/>
      <c r="M1601" s="716"/>
      <c r="N1601" s="194"/>
      <c r="O1601" s="216"/>
      <c r="P1601" s="717"/>
      <c r="Q1601" s="718"/>
      <c r="R1601" s="719"/>
      <c r="S1601" s="720"/>
      <c r="T1601" s="721"/>
      <c r="U1601" s="722"/>
      <c r="V1601" s="723"/>
      <c r="W1601" s="724"/>
      <c r="X1601" s="725" t="s">
        <v>159</v>
      </c>
      <c r="Y1601" s="725"/>
      <c r="Z1601" s="725"/>
      <c r="AA1601" s="725"/>
      <c r="AB1601" s="726" t="s">
        <v>159</v>
      </c>
      <c r="AC1601" s="726"/>
      <c r="AD1601" s="726"/>
      <c r="AE1601" s="726"/>
      <c r="AF1601" s="727"/>
      <c r="AG1601" s="728"/>
      <c r="AH1601" s="727"/>
      <c r="AI1601" s="728"/>
      <c r="AJ1601" s="682"/>
      <c r="AK1601" s="683"/>
      <c r="AL1601" s="664" t="s">
        <v>162</v>
      </c>
      <c r="AM1601" s="665"/>
      <c r="AN1601" s="713" t="s">
        <v>162</v>
      </c>
      <c r="AO1601" s="714"/>
      <c r="AP1601" s="729"/>
      <c r="AQ1601" s="730"/>
      <c r="AR1601" s="731"/>
      <c r="AS1601" s="732"/>
      <c r="AT1601" s="733"/>
      <c r="AU1601" s="734"/>
      <c r="AV1601" s="713" t="s">
        <v>162</v>
      </c>
      <c r="AW1601" s="714"/>
      <c r="AX1601" s="692"/>
      <c r="AY1601" s="693"/>
      <c r="AZ1601" s="694"/>
      <c r="BA1601" s="735"/>
      <c r="BB1601" s="736"/>
      <c r="BC1601" s="219"/>
      <c r="BD1601" s="737" t="s">
        <v>162</v>
      </c>
      <c r="BE1601" s="738"/>
      <c r="BF1601" s="739"/>
      <c r="BG1601" s="740"/>
      <c r="BH1601" s="740"/>
      <c r="BI1601" s="741"/>
      <c r="BJ1601" s="742" t="s">
        <v>159</v>
      </c>
      <c r="BK1601" s="743"/>
      <c r="BL1601" s="743"/>
      <c r="BM1601" s="744"/>
      <c r="BN1601" s="703" t="s">
        <v>159</v>
      </c>
      <c r="BO1601" s="704"/>
      <c r="BP1601" s="704"/>
      <c r="BQ1601" s="704"/>
      <c r="BR1601" s="704"/>
      <c r="BS1601" s="704"/>
      <c r="BT1601" s="704"/>
      <c r="BU1601" s="704"/>
      <c r="BV1601" s="705"/>
    </row>
    <row r="1602" spans="1:74" ht="45" customHeight="1" x14ac:dyDescent="0.25">
      <c r="A1602" s="10">
        <f t="shared" si="24"/>
        <v>1588</v>
      </c>
      <c r="B1602" s="662" t="s">
        <v>159</v>
      </c>
      <c r="C1602" s="662"/>
      <c r="D1602" s="663" t="s">
        <v>212</v>
      </c>
      <c r="E1602" s="663"/>
      <c r="F1602" s="664" t="s">
        <v>162</v>
      </c>
      <c r="G1602" s="665"/>
      <c r="H1602" s="666" t="s">
        <v>162</v>
      </c>
      <c r="I1602" s="667"/>
      <c r="J1602" s="706"/>
      <c r="K1602" s="707"/>
      <c r="L1602" s="706"/>
      <c r="M1602" s="707"/>
      <c r="N1602" s="215"/>
      <c r="O1602" s="196"/>
      <c r="P1602" s="670"/>
      <c r="Q1602" s="671"/>
      <c r="R1602" s="672"/>
      <c r="S1602" s="673"/>
      <c r="T1602" s="674"/>
      <c r="U1602" s="675"/>
      <c r="V1602" s="676"/>
      <c r="W1602" s="677"/>
      <c r="X1602" s="678" t="s">
        <v>159</v>
      </c>
      <c r="Y1602" s="678"/>
      <c r="Z1602" s="678"/>
      <c r="AA1602" s="678"/>
      <c r="AB1602" s="679" t="s">
        <v>159</v>
      </c>
      <c r="AC1602" s="679"/>
      <c r="AD1602" s="679"/>
      <c r="AE1602" s="679"/>
      <c r="AF1602" s="680"/>
      <c r="AG1602" s="681"/>
      <c r="AH1602" s="680"/>
      <c r="AI1602" s="681"/>
      <c r="AJ1602" s="682"/>
      <c r="AK1602" s="683"/>
      <c r="AL1602" s="684" t="s">
        <v>162</v>
      </c>
      <c r="AM1602" s="685"/>
      <c r="AN1602" s="666" t="s">
        <v>162</v>
      </c>
      <c r="AO1602" s="667"/>
      <c r="AP1602" s="686"/>
      <c r="AQ1602" s="687"/>
      <c r="AR1602" s="688"/>
      <c r="AS1602" s="689"/>
      <c r="AT1602" s="690"/>
      <c r="AU1602" s="691"/>
      <c r="AV1602" s="666" t="s">
        <v>162</v>
      </c>
      <c r="AW1602" s="667"/>
      <c r="AX1602" s="692"/>
      <c r="AY1602" s="693"/>
      <c r="AZ1602" s="694"/>
      <c r="BA1602" s="682"/>
      <c r="BB1602" s="683"/>
      <c r="BC1602" s="14"/>
      <c r="BD1602" s="695" t="s">
        <v>162</v>
      </c>
      <c r="BE1602" s="696"/>
      <c r="BF1602" s="697"/>
      <c r="BG1602" s="698"/>
      <c r="BH1602" s="698"/>
      <c r="BI1602" s="699"/>
      <c r="BJ1602" s="700" t="s">
        <v>159</v>
      </c>
      <c r="BK1602" s="701"/>
      <c r="BL1602" s="701"/>
      <c r="BM1602" s="702"/>
      <c r="BN1602" s="703" t="s">
        <v>159</v>
      </c>
      <c r="BO1602" s="704"/>
      <c r="BP1602" s="704"/>
      <c r="BQ1602" s="704"/>
      <c r="BR1602" s="704"/>
      <c r="BS1602" s="704"/>
      <c r="BT1602" s="704"/>
      <c r="BU1602" s="704"/>
      <c r="BV1602" s="705"/>
    </row>
    <row r="1603" spans="1:74" ht="45" customHeight="1" x14ac:dyDescent="0.25">
      <c r="A1603" s="10">
        <f t="shared" si="24"/>
        <v>1589</v>
      </c>
      <c r="B1603" s="711" t="s">
        <v>159</v>
      </c>
      <c r="C1603" s="711"/>
      <c r="D1603" s="712" t="s">
        <v>212</v>
      </c>
      <c r="E1603" s="712"/>
      <c r="F1603" s="664" t="s">
        <v>162</v>
      </c>
      <c r="G1603" s="665"/>
      <c r="H1603" s="713" t="s">
        <v>162</v>
      </c>
      <c r="I1603" s="714"/>
      <c r="J1603" s="715"/>
      <c r="K1603" s="716"/>
      <c r="L1603" s="715"/>
      <c r="M1603" s="716"/>
      <c r="N1603" s="194"/>
      <c r="O1603" s="216"/>
      <c r="P1603" s="717"/>
      <c r="Q1603" s="718"/>
      <c r="R1603" s="719"/>
      <c r="S1603" s="720"/>
      <c r="T1603" s="721"/>
      <c r="U1603" s="722"/>
      <c r="V1603" s="723"/>
      <c r="W1603" s="724"/>
      <c r="X1603" s="725" t="s">
        <v>159</v>
      </c>
      <c r="Y1603" s="725"/>
      <c r="Z1603" s="725"/>
      <c r="AA1603" s="725"/>
      <c r="AB1603" s="726" t="s">
        <v>159</v>
      </c>
      <c r="AC1603" s="726"/>
      <c r="AD1603" s="726"/>
      <c r="AE1603" s="726"/>
      <c r="AF1603" s="727"/>
      <c r="AG1603" s="728"/>
      <c r="AH1603" s="727"/>
      <c r="AI1603" s="728"/>
      <c r="AJ1603" s="682"/>
      <c r="AK1603" s="683"/>
      <c r="AL1603" s="664" t="s">
        <v>162</v>
      </c>
      <c r="AM1603" s="665"/>
      <c r="AN1603" s="713" t="s">
        <v>162</v>
      </c>
      <c r="AO1603" s="714"/>
      <c r="AP1603" s="729"/>
      <c r="AQ1603" s="730"/>
      <c r="AR1603" s="731"/>
      <c r="AS1603" s="732"/>
      <c r="AT1603" s="733"/>
      <c r="AU1603" s="734"/>
      <c r="AV1603" s="713" t="s">
        <v>162</v>
      </c>
      <c r="AW1603" s="714"/>
      <c r="AX1603" s="692"/>
      <c r="AY1603" s="693"/>
      <c r="AZ1603" s="694"/>
      <c r="BA1603" s="735"/>
      <c r="BB1603" s="736"/>
      <c r="BC1603" s="219"/>
      <c r="BD1603" s="737" t="s">
        <v>162</v>
      </c>
      <c r="BE1603" s="738"/>
      <c r="BF1603" s="739"/>
      <c r="BG1603" s="740"/>
      <c r="BH1603" s="740"/>
      <c r="BI1603" s="741"/>
      <c r="BJ1603" s="742" t="s">
        <v>159</v>
      </c>
      <c r="BK1603" s="743"/>
      <c r="BL1603" s="743"/>
      <c r="BM1603" s="744"/>
      <c r="BN1603" s="703" t="s">
        <v>159</v>
      </c>
      <c r="BO1603" s="704"/>
      <c r="BP1603" s="704"/>
      <c r="BQ1603" s="704"/>
      <c r="BR1603" s="704"/>
      <c r="BS1603" s="704"/>
      <c r="BT1603" s="704"/>
      <c r="BU1603" s="704"/>
      <c r="BV1603" s="705"/>
    </row>
    <row r="1604" spans="1:74" ht="45" customHeight="1" x14ac:dyDescent="0.25">
      <c r="A1604" s="10">
        <f t="shared" si="24"/>
        <v>1590</v>
      </c>
      <c r="B1604" s="662" t="s">
        <v>159</v>
      </c>
      <c r="C1604" s="662"/>
      <c r="D1604" s="663" t="s">
        <v>212</v>
      </c>
      <c r="E1604" s="663"/>
      <c r="F1604" s="664" t="s">
        <v>162</v>
      </c>
      <c r="G1604" s="665"/>
      <c r="H1604" s="666" t="s">
        <v>162</v>
      </c>
      <c r="I1604" s="667"/>
      <c r="J1604" s="706"/>
      <c r="K1604" s="707"/>
      <c r="L1604" s="706"/>
      <c r="M1604" s="707"/>
      <c r="N1604" s="215"/>
      <c r="O1604" s="196"/>
      <c r="P1604" s="670"/>
      <c r="Q1604" s="671"/>
      <c r="R1604" s="672"/>
      <c r="S1604" s="673"/>
      <c r="T1604" s="674"/>
      <c r="U1604" s="675"/>
      <c r="V1604" s="676"/>
      <c r="W1604" s="677"/>
      <c r="X1604" s="678" t="s">
        <v>159</v>
      </c>
      <c r="Y1604" s="678"/>
      <c r="Z1604" s="678"/>
      <c r="AA1604" s="678"/>
      <c r="AB1604" s="679" t="s">
        <v>159</v>
      </c>
      <c r="AC1604" s="679"/>
      <c r="AD1604" s="679"/>
      <c r="AE1604" s="679"/>
      <c r="AF1604" s="680"/>
      <c r="AG1604" s="681"/>
      <c r="AH1604" s="680"/>
      <c r="AI1604" s="681"/>
      <c r="AJ1604" s="682"/>
      <c r="AK1604" s="683"/>
      <c r="AL1604" s="684" t="s">
        <v>162</v>
      </c>
      <c r="AM1604" s="685"/>
      <c r="AN1604" s="666" t="s">
        <v>162</v>
      </c>
      <c r="AO1604" s="667"/>
      <c r="AP1604" s="686"/>
      <c r="AQ1604" s="687"/>
      <c r="AR1604" s="688"/>
      <c r="AS1604" s="689"/>
      <c r="AT1604" s="690"/>
      <c r="AU1604" s="691"/>
      <c r="AV1604" s="666" t="s">
        <v>162</v>
      </c>
      <c r="AW1604" s="667"/>
      <c r="AX1604" s="692"/>
      <c r="AY1604" s="693"/>
      <c r="AZ1604" s="694"/>
      <c r="BA1604" s="682"/>
      <c r="BB1604" s="683"/>
      <c r="BC1604" s="14"/>
      <c r="BD1604" s="695" t="s">
        <v>162</v>
      </c>
      <c r="BE1604" s="696"/>
      <c r="BF1604" s="708"/>
      <c r="BG1604" s="709"/>
      <c r="BH1604" s="709"/>
      <c r="BI1604" s="710"/>
      <c r="BJ1604" s="700" t="s">
        <v>159</v>
      </c>
      <c r="BK1604" s="701"/>
      <c r="BL1604" s="701"/>
      <c r="BM1604" s="702"/>
      <c r="BN1604" s="703" t="s">
        <v>159</v>
      </c>
      <c r="BO1604" s="704"/>
      <c r="BP1604" s="704"/>
      <c r="BQ1604" s="704"/>
      <c r="BR1604" s="704"/>
      <c r="BS1604" s="704"/>
      <c r="BT1604" s="704"/>
      <c r="BU1604" s="704"/>
      <c r="BV1604" s="705"/>
    </row>
    <row r="1605" spans="1:74" ht="45" customHeight="1" x14ac:dyDescent="0.25">
      <c r="A1605" s="10">
        <f t="shared" si="24"/>
        <v>1591</v>
      </c>
      <c r="B1605" s="711" t="s">
        <v>159</v>
      </c>
      <c r="C1605" s="711"/>
      <c r="D1605" s="712" t="s">
        <v>212</v>
      </c>
      <c r="E1605" s="712"/>
      <c r="F1605" s="664" t="s">
        <v>162</v>
      </c>
      <c r="G1605" s="665"/>
      <c r="H1605" s="713" t="s">
        <v>162</v>
      </c>
      <c r="I1605" s="714"/>
      <c r="J1605" s="715"/>
      <c r="K1605" s="716"/>
      <c r="L1605" s="715"/>
      <c r="M1605" s="716"/>
      <c r="N1605" s="194"/>
      <c r="O1605" s="216"/>
      <c r="P1605" s="717"/>
      <c r="Q1605" s="718"/>
      <c r="R1605" s="719"/>
      <c r="S1605" s="720"/>
      <c r="T1605" s="721"/>
      <c r="U1605" s="722"/>
      <c r="V1605" s="723"/>
      <c r="W1605" s="724"/>
      <c r="X1605" s="725" t="s">
        <v>159</v>
      </c>
      <c r="Y1605" s="725"/>
      <c r="Z1605" s="725"/>
      <c r="AA1605" s="725"/>
      <c r="AB1605" s="726" t="s">
        <v>159</v>
      </c>
      <c r="AC1605" s="726"/>
      <c r="AD1605" s="726"/>
      <c r="AE1605" s="726"/>
      <c r="AF1605" s="727"/>
      <c r="AG1605" s="728"/>
      <c r="AH1605" s="727"/>
      <c r="AI1605" s="728"/>
      <c r="AJ1605" s="682"/>
      <c r="AK1605" s="683"/>
      <c r="AL1605" s="664" t="s">
        <v>162</v>
      </c>
      <c r="AM1605" s="665"/>
      <c r="AN1605" s="713" t="s">
        <v>162</v>
      </c>
      <c r="AO1605" s="714"/>
      <c r="AP1605" s="729"/>
      <c r="AQ1605" s="730"/>
      <c r="AR1605" s="731"/>
      <c r="AS1605" s="732"/>
      <c r="AT1605" s="733"/>
      <c r="AU1605" s="734"/>
      <c r="AV1605" s="713" t="s">
        <v>162</v>
      </c>
      <c r="AW1605" s="714"/>
      <c r="AX1605" s="692"/>
      <c r="AY1605" s="693"/>
      <c r="AZ1605" s="694"/>
      <c r="BA1605" s="735"/>
      <c r="BB1605" s="736"/>
      <c r="BC1605" s="219"/>
      <c r="BD1605" s="737" t="s">
        <v>162</v>
      </c>
      <c r="BE1605" s="738"/>
      <c r="BF1605" s="739"/>
      <c r="BG1605" s="740"/>
      <c r="BH1605" s="740"/>
      <c r="BI1605" s="741"/>
      <c r="BJ1605" s="742" t="s">
        <v>159</v>
      </c>
      <c r="BK1605" s="743"/>
      <c r="BL1605" s="743"/>
      <c r="BM1605" s="744"/>
      <c r="BN1605" s="703" t="s">
        <v>159</v>
      </c>
      <c r="BO1605" s="704"/>
      <c r="BP1605" s="704"/>
      <c r="BQ1605" s="704"/>
      <c r="BR1605" s="704"/>
      <c r="BS1605" s="704"/>
      <c r="BT1605" s="704"/>
      <c r="BU1605" s="704"/>
      <c r="BV1605" s="705"/>
    </row>
    <row r="1606" spans="1:74" ht="45" customHeight="1" x14ac:dyDescent="0.25">
      <c r="A1606" s="10">
        <f t="shared" si="24"/>
        <v>1592</v>
      </c>
      <c r="B1606" s="662" t="s">
        <v>159</v>
      </c>
      <c r="C1606" s="662"/>
      <c r="D1606" s="663" t="s">
        <v>212</v>
      </c>
      <c r="E1606" s="663"/>
      <c r="F1606" s="664" t="s">
        <v>162</v>
      </c>
      <c r="G1606" s="665"/>
      <c r="H1606" s="666" t="s">
        <v>162</v>
      </c>
      <c r="I1606" s="667"/>
      <c r="J1606" s="706"/>
      <c r="K1606" s="707"/>
      <c r="L1606" s="706"/>
      <c r="M1606" s="707"/>
      <c r="N1606" s="215"/>
      <c r="O1606" s="196"/>
      <c r="P1606" s="670"/>
      <c r="Q1606" s="671"/>
      <c r="R1606" s="672"/>
      <c r="S1606" s="673"/>
      <c r="T1606" s="674"/>
      <c r="U1606" s="675"/>
      <c r="V1606" s="676"/>
      <c r="W1606" s="677"/>
      <c r="X1606" s="678" t="s">
        <v>159</v>
      </c>
      <c r="Y1606" s="678"/>
      <c r="Z1606" s="678"/>
      <c r="AA1606" s="678"/>
      <c r="AB1606" s="679" t="s">
        <v>159</v>
      </c>
      <c r="AC1606" s="679"/>
      <c r="AD1606" s="679"/>
      <c r="AE1606" s="679"/>
      <c r="AF1606" s="680"/>
      <c r="AG1606" s="681"/>
      <c r="AH1606" s="680"/>
      <c r="AI1606" s="681"/>
      <c r="AJ1606" s="682"/>
      <c r="AK1606" s="683"/>
      <c r="AL1606" s="684" t="s">
        <v>162</v>
      </c>
      <c r="AM1606" s="685"/>
      <c r="AN1606" s="666" t="s">
        <v>162</v>
      </c>
      <c r="AO1606" s="667"/>
      <c r="AP1606" s="686"/>
      <c r="AQ1606" s="687"/>
      <c r="AR1606" s="688"/>
      <c r="AS1606" s="689"/>
      <c r="AT1606" s="690"/>
      <c r="AU1606" s="691"/>
      <c r="AV1606" s="666" t="s">
        <v>162</v>
      </c>
      <c r="AW1606" s="667"/>
      <c r="AX1606" s="692"/>
      <c r="AY1606" s="693"/>
      <c r="AZ1606" s="694"/>
      <c r="BA1606" s="682"/>
      <c r="BB1606" s="683"/>
      <c r="BC1606" s="14"/>
      <c r="BD1606" s="695" t="s">
        <v>162</v>
      </c>
      <c r="BE1606" s="696"/>
      <c r="BF1606" s="697"/>
      <c r="BG1606" s="698"/>
      <c r="BH1606" s="698"/>
      <c r="BI1606" s="699"/>
      <c r="BJ1606" s="700" t="s">
        <v>159</v>
      </c>
      <c r="BK1606" s="701"/>
      <c r="BL1606" s="701"/>
      <c r="BM1606" s="702"/>
      <c r="BN1606" s="703" t="s">
        <v>159</v>
      </c>
      <c r="BO1606" s="704"/>
      <c r="BP1606" s="704"/>
      <c r="BQ1606" s="704"/>
      <c r="BR1606" s="704"/>
      <c r="BS1606" s="704"/>
      <c r="BT1606" s="704"/>
      <c r="BU1606" s="704"/>
      <c r="BV1606" s="705"/>
    </row>
    <row r="1607" spans="1:74" ht="45" customHeight="1" x14ac:dyDescent="0.25">
      <c r="A1607" s="10">
        <f t="shared" si="24"/>
        <v>1593</v>
      </c>
      <c r="B1607" s="662" t="s">
        <v>159</v>
      </c>
      <c r="C1607" s="662"/>
      <c r="D1607" s="663" t="s">
        <v>212</v>
      </c>
      <c r="E1607" s="663"/>
      <c r="F1607" s="664" t="s">
        <v>162</v>
      </c>
      <c r="G1607" s="665"/>
      <c r="H1607" s="666" t="s">
        <v>162</v>
      </c>
      <c r="I1607" s="667"/>
      <c r="J1607" s="706"/>
      <c r="K1607" s="707"/>
      <c r="L1607" s="706"/>
      <c r="M1607" s="707"/>
      <c r="N1607" s="215"/>
      <c r="O1607" s="196"/>
      <c r="P1607" s="670"/>
      <c r="Q1607" s="671"/>
      <c r="R1607" s="672"/>
      <c r="S1607" s="673"/>
      <c r="T1607" s="674"/>
      <c r="U1607" s="675"/>
      <c r="V1607" s="676"/>
      <c r="W1607" s="677"/>
      <c r="X1607" s="678" t="s">
        <v>159</v>
      </c>
      <c r="Y1607" s="678"/>
      <c r="Z1607" s="678"/>
      <c r="AA1607" s="678"/>
      <c r="AB1607" s="679" t="s">
        <v>159</v>
      </c>
      <c r="AC1607" s="679"/>
      <c r="AD1607" s="679"/>
      <c r="AE1607" s="679"/>
      <c r="AF1607" s="680"/>
      <c r="AG1607" s="681"/>
      <c r="AH1607" s="680"/>
      <c r="AI1607" s="681"/>
      <c r="AJ1607" s="682"/>
      <c r="AK1607" s="683"/>
      <c r="AL1607" s="684" t="s">
        <v>162</v>
      </c>
      <c r="AM1607" s="685"/>
      <c r="AN1607" s="666" t="s">
        <v>162</v>
      </c>
      <c r="AO1607" s="667"/>
      <c r="AP1607" s="686"/>
      <c r="AQ1607" s="687"/>
      <c r="AR1607" s="688"/>
      <c r="AS1607" s="689"/>
      <c r="AT1607" s="690"/>
      <c r="AU1607" s="691"/>
      <c r="AV1607" s="666" t="s">
        <v>162</v>
      </c>
      <c r="AW1607" s="667"/>
      <c r="AX1607" s="692"/>
      <c r="AY1607" s="693"/>
      <c r="AZ1607" s="694"/>
      <c r="BA1607" s="682"/>
      <c r="BB1607" s="683"/>
      <c r="BC1607" s="14"/>
      <c r="BD1607" s="695" t="s">
        <v>162</v>
      </c>
      <c r="BE1607" s="696"/>
      <c r="BF1607" s="708"/>
      <c r="BG1607" s="709"/>
      <c r="BH1607" s="709"/>
      <c r="BI1607" s="710"/>
      <c r="BJ1607" s="700" t="s">
        <v>159</v>
      </c>
      <c r="BK1607" s="701"/>
      <c r="BL1607" s="701"/>
      <c r="BM1607" s="702"/>
      <c r="BN1607" s="703" t="s">
        <v>159</v>
      </c>
      <c r="BO1607" s="704"/>
      <c r="BP1607" s="704"/>
      <c r="BQ1607" s="704"/>
      <c r="BR1607" s="704"/>
      <c r="BS1607" s="704"/>
      <c r="BT1607" s="704"/>
      <c r="BU1607" s="704"/>
      <c r="BV1607" s="705"/>
    </row>
    <row r="1608" spans="1:74" ht="45" customHeight="1" x14ac:dyDescent="0.25">
      <c r="A1608" s="10">
        <f t="shared" si="24"/>
        <v>1594</v>
      </c>
      <c r="B1608" s="711" t="s">
        <v>159</v>
      </c>
      <c r="C1608" s="711"/>
      <c r="D1608" s="712" t="s">
        <v>212</v>
      </c>
      <c r="E1608" s="712"/>
      <c r="F1608" s="664" t="s">
        <v>162</v>
      </c>
      <c r="G1608" s="665"/>
      <c r="H1608" s="713" t="s">
        <v>162</v>
      </c>
      <c r="I1608" s="714"/>
      <c r="J1608" s="715"/>
      <c r="K1608" s="716"/>
      <c r="L1608" s="715"/>
      <c r="M1608" s="716"/>
      <c r="N1608" s="194"/>
      <c r="O1608" s="216"/>
      <c r="P1608" s="717"/>
      <c r="Q1608" s="718"/>
      <c r="R1608" s="719"/>
      <c r="S1608" s="720"/>
      <c r="T1608" s="721"/>
      <c r="U1608" s="722"/>
      <c r="V1608" s="723"/>
      <c r="W1608" s="724"/>
      <c r="X1608" s="725" t="s">
        <v>159</v>
      </c>
      <c r="Y1608" s="725"/>
      <c r="Z1608" s="725"/>
      <c r="AA1608" s="725"/>
      <c r="AB1608" s="726" t="s">
        <v>159</v>
      </c>
      <c r="AC1608" s="726"/>
      <c r="AD1608" s="726"/>
      <c r="AE1608" s="726"/>
      <c r="AF1608" s="727"/>
      <c r="AG1608" s="728"/>
      <c r="AH1608" s="727"/>
      <c r="AI1608" s="728"/>
      <c r="AJ1608" s="682"/>
      <c r="AK1608" s="683"/>
      <c r="AL1608" s="664" t="s">
        <v>162</v>
      </c>
      <c r="AM1608" s="665"/>
      <c r="AN1608" s="713" t="s">
        <v>162</v>
      </c>
      <c r="AO1608" s="714"/>
      <c r="AP1608" s="729"/>
      <c r="AQ1608" s="730"/>
      <c r="AR1608" s="731"/>
      <c r="AS1608" s="732"/>
      <c r="AT1608" s="733"/>
      <c r="AU1608" s="734"/>
      <c r="AV1608" s="713" t="s">
        <v>162</v>
      </c>
      <c r="AW1608" s="714"/>
      <c r="AX1608" s="692"/>
      <c r="AY1608" s="693"/>
      <c r="AZ1608" s="694"/>
      <c r="BA1608" s="735"/>
      <c r="BB1608" s="736"/>
      <c r="BC1608" s="219"/>
      <c r="BD1608" s="737" t="s">
        <v>162</v>
      </c>
      <c r="BE1608" s="738"/>
      <c r="BF1608" s="739"/>
      <c r="BG1608" s="740"/>
      <c r="BH1608" s="740"/>
      <c r="BI1608" s="741"/>
      <c r="BJ1608" s="742" t="s">
        <v>159</v>
      </c>
      <c r="BK1608" s="743"/>
      <c r="BL1608" s="743"/>
      <c r="BM1608" s="744"/>
      <c r="BN1608" s="703" t="s">
        <v>159</v>
      </c>
      <c r="BO1608" s="704"/>
      <c r="BP1608" s="704"/>
      <c r="BQ1608" s="704"/>
      <c r="BR1608" s="704"/>
      <c r="BS1608" s="704"/>
      <c r="BT1608" s="704"/>
      <c r="BU1608" s="704"/>
      <c r="BV1608" s="705"/>
    </row>
    <row r="1609" spans="1:74" ht="45" customHeight="1" x14ac:dyDescent="0.25">
      <c r="A1609" s="10">
        <f t="shared" si="24"/>
        <v>1595</v>
      </c>
      <c r="B1609" s="662" t="s">
        <v>159</v>
      </c>
      <c r="C1609" s="662"/>
      <c r="D1609" s="663" t="s">
        <v>212</v>
      </c>
      <c r="E1609" s="663"/>
      <c r="F1609" s="664" t="s">
        <v>162</v>
      </c>
      <c r="G1609" s="665"/>
      <c r="H1609" s="666" t="s">
        <v>162</v>
      </c>
      <c r="I1609" s="667"/>
      <c r="J1609" s="668"/>
      <c r="K1609" s="669"/>
      <c r="L1609" s="668"/>
      <c r="M1609" s="669"/>
      <c r="N1609" s="215"/>
      <c r="O1609" s="196"/>
      <c r="P1609" s="670"/>
      <c r="Q1609" s="671"/>
      <c r="R1609" s="672"/>
      <c r="S1609" s="673"/>
      <c r="T1609" s="674"/>
      <c r="U1609" s="675"/>
      <c r="V1609" s="676"/>
      <c r="W1609" s="677"/>
      <c r="X1609" s="678" t="s">
        <v>159</v>
      </c>
      <c r="Y1609" s="678"/>
      <c r="Z1609" s="678"/>
      <c r="AA1609" s="678"/>
      <c r="AB1609" s="679" t="s">
        <v>159</v>
      </c>
      <c r="AC1609" s="679"/>
      <c r="AD1609" s="679"/>
      <c r="AE1609" s="679"/>
      <c r="AF1609" s="680"/>
      <c r="AG1609" s="681"/>
      <c r="AH1609" s="680"/>
      <c r="AI1609" s="681"/>
      <c r="AJ1609" s="682"/>
      <c r="AK1609" s="683"/>
      <c r="AL1609" s="684" t="s">
        <v>162</v>
      </c>
      <c r="AM1609" s="685"/>
      <c r="AN1609" s="666" t="s">
        <v>162</v>
      </c>
      <c r="AO1609" s="667"/>
      <c r="AP1609" s="686"/>
      <c r="AQ1609" s="687"/>
      <c r="AR1609" s="688"/>
      <c r="AS1609" s="689"/>
      <c r="AT1609" s="690"/>
      <c r="AU1609" s="691"/>
      <c r="AV1609" s="666" t="s">
        <v>162</v>
      </c>
      <c r="AW1609" s="667"/>
      <c r="AX1609" s="692"/>
      <c r="AY1609" s="693"/>
      <c r="AZ1609" s="694"/>
      <c r="BA1609" s="682"/>
      <c r="BB1609" s="683"/>
      <c r="BC1609" s="14"/>
      <c r="BD1609" s="695" t="s">
        <v>162</v>
      </c>
      <c r="BE1609" s="696"/>
      <c r="BF1609" s="697"/>
      <c r="BG1609" s="698"/>
      <c r="BH1609" s="698"/>
      <c r="BI1609" s="699"/>
      <c r="BJ1609" s="700" t="s">
        <v>159</v>
      </c>
      <c r="BK1609" s="701"/>
      <c r="BL1609" s="701"/>
      <c r="BM1609" s="702"/>
      <c r="BN1609" s="703" t="s">
        <v>159</v>
      </c>
      <c r="BO1609" s="704"/>
      <c r="BP1609" s="704"/>
      <c r="BQ1609" s="704"/>
      <c r="BR1609" s="704"/>
      <c r="BS1609" s="704"/>
      <c r="BT1609" s="704"/>
      <c r="BU1609" s="704"/>
      <c r="BV1609" s="705"/>
    </row>
    <row r="1610" spans="1:74" ht="45" customHeight="1" x14ac:dyDescent="0.25">
      <c r="A1610" s="10">
        <f t="shared" si="24"/>
        <v>1596</v>
      </c>
      <c r="B1610" s="711" t="s">
        <v>159</v>
      </c>
      <c r="C1610" s="711"/>
      <c r="D1610" s="712" t="s">
        <v>212</v>
      </c>
      <c r="E1610" s="712"/>
      <c r="F1610" s="664" t="s">
        <v>162</v>
      </c>
      <c r="G1610" s="665"/>
      <c r="H1610" s="713" t="s">
        <v>162</v>
      </c>
      <c r="I1610" s="714"/>
      <c r="J1610" s="715"/>
      <c r="K1610" s="716"/>
      <c r="L1610" s="715"/>
      <c r="M1610" s="716"/>
      <c r="N1610" s="194"/>
      <c r="O1610" s="216"/>
      <c r="P1610" s="717"/>
      <c r="Q1610" s="718"/>
      <c r="R1610" s="719"/>
      <c r="S1610" s="720"/>
      <c r="T1610" s="721"/>
      <c r="U1610" s="722"/>
      <c r="V1610" s="723"/>
      <c r="W1610" s="724"/>
      <c r="X1610" s="725" t="s">
        <v>159</v>
      </c>
      <c r="Y1610" s="725"/>
      <c r="Z1610" s="725"/>
      <c r="AA1610" s="725"/>
      <c r="AB1610" s="726" t="s">
        <v>159</v>
      </c>
      <c r="AC1610" s="726"/>
      <c r="AD1610" s="726"/>
      <c r="AE1610" s="726"/>
      <c r="AF1610" s="727"/>
      <c r="AG1610" s="728"/>
      <c r="AH1610" s="727"/>
      <c r="AI1610" s="728"/>
      <c r="AJ1610" s="682"/>
      <c r="AK1610" s="683"/>
      <c r="AL1610" s="664" t="s">
        <v>162</v>
      </c>
      <c r="AM1610" s="665"/>
      <c r="AN1610" s="713" t="s">
        <v>162</v>
      </c>
      <c r="AO1610" s="714"/>
      <c r="AP1610" s="729"/>
      <c r="AQ1610" s="730"/>
      <c r="AR1610" s="731"/>
      <c r="AS1610" s="732"/>
      <c r="AT1610" s="733"/>
      <c r="AU1610" s="734"/>
      <c r="AV1610" s="713" t="s">
        <v>162</v>
      </c>
      <c r="AW1610" s="714"/>
      <c r="AX1610" s="692"/>
      <c r="AY1610" s="693"/>
      <c r="AZ1610" s="694"/>
      <c r="BA1610" s="735"/>
      <c r="BB1610" s="736"/>
      <c r="BC1610" s="219"/>
      <c r="BD1610" s="737" t="s">
        <v>162</v>
      </c>
      <c r="BE1610" s="738"/>
      <c r="BF1610" s="739"/>
      <c r="BG1610" s="740"/>
      <c r="BH1610" s="740"/>
      <c r="BI1610" s="741"/>
      <c r="BJ1610" s="742" t="s">
        <v>159</v>
      </c>
      <c r="BK1610" s="743"/>
      <c r="BL1610" s="743"/>
      <c r="BM1610" s="744"/>
      <c r="BN1610" s="703" t="s">
        <v>159</v>
      </c>
      <c r="BO1610" s="704"/>
      <c r="BP1610" s="704"/>
      <c r="BQ1610" s="704"/>
      <c r="BR1610" s="704"/>
      <c r="BS1610" s="704"/>
      <c r="BT1610" s="704"/>
      <c r="BU1610" s="704"/>
      <c r="BV1610" s="705"/>
    </row>
    <row r="1611" spans="1:74" ht="45" customHeight="1" x14ac:dyDescent="0.25">
      <c r="A1611" s="10">
        <f t="shared" si="24"/>
        <v>1597</v>
      </c>
      <c r="B1611" s="662" t="s">
        <v>159</v>
      </c>
      <c r="C1611" s="662"/>
      <c r="D1611" s="663" t="s">
        <v>212</v>
      </c>
      <c r="E1611" s="663"/>
      <c r="F1611" s="664" t="s">
        <v>162</v>
      </c>
      <c r="G1611" s="665"/>
      <c r="H1611" s="666" t="s">
        <v>162</v>
      </c>
      <c r="I1611" s="667"/>
      <c r="J1611" s="706"/>
      <c r="K1611" s="707"/>
      <c r="L1611" s="706"/>
      <c r="M1611" s="707"/>
      <c r="N1611" s="215"/>
      <c r="O1611" s="196"/>
      <c r="P1611" s="670"/>
      <c r="Q1611" s="671"/>
      <c r="R1611" s="672"/>
      <c r="S1611" s="673"/>
      <c r="T1611" s="674"/>
      <c r="U1611" s="675"/>
      <c r="V1611" s="676"/>
      <c r="W1611" s="677"/>
      <c r="X1611" s="678" t="s">
        <v>159</v>
      </c>
      <c r="Y1611" s="678"/>
      <c r="Z1611" s="678"/>
      <c r="AA1611" s="678"/>
      <c r="AB1611" s="679" t="s">
        <v>159</v>
      </c>
      <c r="AC1611" s="679"/>
      <c r="AD1611" s="679"/>
      <c r="AE1611" s="679"/>
      <c r="AF1611" s="680"/>
      <c r="AG1611" s="681"/>
      <c r="AH1611" s="680"/>
      <c r="AI1611" s="681"/>
      <c r="AJ1611" s="682"/>
      <c r="AK1611" s="683"/>
      <c r="AL1611" s="684" t="s">
        <v>162</v>
      </c>
      <c r="AM1611" s="685"/>
      <c r="AN1611" s="666" t="s">
        <v>162</v>
      </c>
      <c r="AO1611" s="667"/>
      <c r="AP1611" s="686"/>
      <c r="AQ1611" s="687"/>
      <c r="AR1611" s="688"/>
      <c r="AS1611" s="689"/>
      <c r="AT1611" s="690"/>
      <c r="AU1611" s="691"/>
      <c r="AV1611" s="666" t="s">
        <v>162</v>
      </c>
      <c r="AW1611" s="667"/>
      <c r="AX1611" s="692"/>
      <c r="AY1611" s="693"/>
      <c r="AZ1611" s="694"/>
      <c r="BA1611" s="682"/>
      <c r="BB1611" s="683"/>
      <c r="BC1611" s="14"/>
      <c r="BD1611" s="695" t="s">
        <v>162</v>
      </c>
      <c r="BE1611" s="696"/>
      <c r="BF1611" s="697"/>
      <c r="BG1611" s="698"/>
      <c r="BH1611" s="698"/>
      <c r="BI1611" s="699"/>
      <c r="BJ1611" s="700" t="s">
        <v>159</v>
      </c>
      <c r="BK1611" s="701"/>
      <c r="BL1611" s="701"/>
      <c r="BM1611" s="702"/>
      <c r="BN1611" s="703" t="s">
        <v>159</v>
      </c>
      <c r="BO1611" s="704"/>
      <c r="BP1611" s="704"/>
      <c r="BQ1611" s="704"/>
      <c r="BR1611" s="704"/>
      <c r="BS1611" s="704"/>
      <c r="BT1611" s="704"/>
      <c r="BU1611" s="704"/>
      <c r="BV1611" s="705"/>
    </row>
    <row r="1612" spans="1:74" ht="45" customHeight="1" x14ac:dyDescent="0.25">
      <c r="A1612" s="10">
        <f t="shared" si="24"/>
        <v>1598</v>
      </c>
      <c r="B1612" s="662" t="s">
        <v>159</v>
      </c>
      <c r="C1612" s="662"/>
      <c r="D1612" s="663" t="s">
        <v>212</v>
      </c>
      <c r="E1612" s="663"/>
      <c r="F1612" s="664" t="s">
        <v>162</v>
      </c>
      <c r="G1612" s="665"/>
      <c r="H1612" s="666" t="s">
        <v>162</v>
      </c>
      <c r="I1612" s="667"/>
      <c r="J1612" s="706"/>
      <c r="K1612" s="707"/>
      <c r="L1612" s="706"/>
      <c r="M1612" s="707"/>
      <c r="N1612" s="215"/>
      <c r="O1612" s="196"/>
      <c r="P1612" s="670"/>
      <c r="Q1612" s="671"/>
      <c r="R1612" s="672"/>
      <c r="S1612" s="673"/>
      <c r="T1612" s="674"/>
      <c r="U1612" s="675"/>
      <c r="V1612" s="676"/>
      <c r="W1612" s="677"/>
      <c r="X1612" s="678" t="s">
        <v>159</v>
      </c>
      <c r="Y1612" s="678"/>
      <c r="Z1612" s="678"/>
      <c r="AA1612" s="678"/>
      <c r="AB1612" s="679" t="s">
        <v>159</v>
      </c>
      <c r="AC1612" s="679"/>
      <c r="AD1612" s="679"/>
      <c r="AE1612" s="679"/>
      <c r="AF1612" s="680"/>
      <c r="AG1612" s="681"/>
      <c r="AH1612" s="680"/>
      <c r="AI1612" s="681"/>
      <c r="AJ1612" s="682"/>
      <c r="AK1612" s="683"/>
      <c r="AL1612" s="684" t="s">
        <v>162</v>
      </c>
      <c r="AM1612" s="685"/>
      <c r="AN1612" s="666" t="s">
        <v>162</v>
      </c>
      <c r="AO1612" s="667"/>
      <c r="AP1612" s="686"/>
      <c r="AQ1612" s="687"/>
      <c r="AR1612" s="688"/>
      <c r="AS1612" s="689"/>
      <c r="AT1612" s="690"/>
      <c r="AU1612" s="691"/>
      <c r="AV1612" s="666" t="s">
        <v>162</v>
      </c>
      <c r="AW1612" s="667"/>
      <c r="AX1612" s="692"/>
      <c r="AY1612" s="693"/>
      <c r="AZ1612" s="694"/>
      <c r="BA1612" s="682"/>
      <c r="BB1612" s="683"/>
      <c r="BC1612" s="14"/>
      <c r="BD1612" s="695" t="s">
        <v>162</v>
      </c>
      <c r="BE1612" s="696"/>
      <c r="BF1612" s="708"/>
      <c r="BG1612" s="709"/>
      <c r="BH1612" s="709"/>
      <c r="BI1612" s="710"/>
      <c r="BJ1612" s="700" t="s">
        <v>159</v>
      </c>
      <c r="BK1612" s="701"/>
      <c r="BL1612" s="701"/>
      <c r="BM1612" s="702"/>
      <c r="BN1612" s="703" t="s">
        <v>159</v>
      </c>
      <c r="BO1612" s="704"/>
      <c r="BP1612" s="704"/>
      <c r="BQ1612" s="704"/>
      <c r="BR1612" s="704"/>
      <c r="BS1612" s="704"/>
      <c r="BT1612" s="704"/>
      <c r="BU1612" s="704"/>
      <c r="BV1612" s="705"/>
    </row>
    <row r="1613" spans="1:74" ht="45" customHeight="1" x14ac:dyDescent="0.25">
      <c r="A1613" s="10">
        <f t="shared" si="24"/>
        <v>1599</v>
      </c>
      <c r="B1613" s="711" t="s">
        <v>159</v>
      </c>
      <c r="C1613" s="711"/>
      <c r="D1613" s="712" t="s">
        <v>212</v>
      </c>
      <c r="E1613" s="712"/>
      <c r="F1613" s="664" t="s">
        <v>162</v>
      </c>
      <c r="G1613" s="665"/>
      <c r="H1613" s="713" t="s">
        <v>162</v>
      </c>
      <c r="I1613" s="714"/>
      <c r="J1613" s="715"/>
      <c r="K1613" s="716"/>
      <c r="L1613" s="715"/>
      <c r="M1613" s="716"/>
      <c r="N1613" s="194"/>
      <c r="O1613" s="216"/>
      <c r="P1613" s="717"/>
      <c r="Q1613" s="718"/>
      <c r="R1613" s="719"/>
      <c r="S1613" s="720"/>
      <c r="T1613" s="721"/>
      <c r="U1613" s="722"/>
      <c r="V1613" s="723"/>
      <c r="W1613" s="724"/>
      <c r="X1613" s="725" t="s">
        <v>159</v>
      </c>
      <c r="Y1613" s="725"/>
      <c r="Z1613" s="725"/>
      <c r="AA1613" s="725"/>
      <c r="AB1613" s="726" t="s">
        <v>159</v>
      </c>
      <c r="AC1613" s="726"/>
      <c r="AD1613" s="726"/>
      <c r="AE1613" s="726"/>
      <c r="AF1613" s="727"/>
      <c r="AG1613" s="728"/>
      <c r="AH1613" s="727"/>
      <c r="AI1613" s="728"/>
      <c r="AJ1613" s="682"/>
      <c r="AK1613" s="683"/>
      <c r="AL1613" s="664" t="s">
        <v>162</v>
      </c>
      <c r="AM1613" s="665"/>
      <c r="AN1613" s="713" t="s">
        <v>162</v>
      </c>
      <c r="AO1613" s="714"/>
      <c r="AP1613" s="729"/>
      <c r="AQ1613" s="730"/>
      <c r="AR1613" s="731"/>
      <c r="AS1613" s="732"/>
      <c r="AT1613" s="733"/>
      <c r="AU1613" s="734"/>
      <c r="AV1613" s="713" t="s">
        <v>162</v>
      </c>
      <c r="AW1613" s="714"/>
      <c r="AX1613" s="692"/>
      <c r="AY1613" s="693"/>
      <c r="AZ1613" s="694"/>
      <c r="BA1613" s="735"/>
      <c r="BB1613" s="736"/>
      <c r="BC1613" s="219"/>
      <c r="BD1613" s="737" t="s">
        <v>162</v>
      </c>
      <c r="BE1613" s="738"/>
      <c r="BF1613" s="739"/>
      <c r="BG1613" s="740"/>
      <c r="BH1613" s="740"/>
      <c r="BI1613" s="741"/>
      <c r="BJ1613" s="742" t="s">
        <v>159</v>
      </c>
      <c r="BK1613" s="743"/>
      <c r="BL1613" s="743"/>
      <c r="BM1613" s="744"/>
      <c r="BN1613" s="703" t="s">
        <v>159</v>
      </c>
      <c r="BO1613" s="704"/>
      <c r="BP1613" s="704"/>
      <c r="BQ1613" s="704"/>
      <c r="BR1613" s="704"/>
      <c r="BS1613" s="704"/>
      <c r="BT1613" s="704"/>
      <c r="BU1613" s="704"/>
      <c r="BV1613" s="705"/>
    </row>
    <row r="1614" spans="1:74" ht="45" customHeight="1" x14ac:dyDescent="0.25">
      <c r="A1614" s="10">
        <f t="shared" si="24"/>
        <v>1600</v>
      </c>
      <c r="B1614" s="662" t="s">
        <v>159</v>
      </c>
      <c r="C1614" s="662"/>
      <c r="D1614" s="663" t="s">
        <v>212</v>
      </c>
      <c r="E1614" s="663"/>
      <c r="F1614" s="664" t="s">
        <v>162</v>
      </c>
      <c r="G1614" s="665"/>
      <c r="H1614" s="666" t="s">
        <v>162</v>
      </c>
      <c r="I1614" s="667"/>
      <c r="J1614" s="668"/>
      <c r="K1614" s="669"/>
      <c r="L1614" s="668"/>
      <c r="M1614" s="669"/>
      <c r="N1614" s="215"/>
      <c r="O1614" s="196"/>
      <c r="P1614" s="670"/>
      <c r="Q1614" s="671"/>
      <c r="R1614" s="672"/>
      <c r="S1614" s="673"/>
      <c r="T1614" s="674"/>
      <c r="U1614" s="675"/>
      <c r="V1614" s="676"/>
      <c r="W1614" s="677"/>
      <c r="X1614" s="678" t="s">
        <v>159</v>
      </c>
      <c r="Y1614" s="678"/>
      <c r="Z1614" s="678"/>
      <c r="AA1614" s="678"/>
      <c r="AB1614" s="679" t="s">
        <v>159</v>
      </c>
      <c r="AC1614" s="679"/>
      <c r="AD1614" s="679"/>
      <c r="AE1614" s="679"/>
      <c r="AF1614" s="680"/>
      <c r="AG1614" s="681"/>
      <c r="AH1614" s="680"/>
      <c r="AI1614" s="681"/>
      <c r="AJ1614" s="682"/>
      <c r="AK1614" s="683"/>
      <c r="AL1614" s="684" t="s">
        <v>162</v>
      </c>
      <c r="AM1614" s="685"/>
      <c r="AN1614" s="666" t="s">
        <v>162</v>
      </c>
      <c r="AO1614" s="667"/>
      <c r="AP1614" s="686"/>
      <c r="AQ1614" s="687"/>
      <c r="AR1614" s="688"/>
      <c r="AS1614" s="689"/>
      <c r="AT1614" s="690"/>
      <c r="AU1614" s="691"/>
      <c r="AV1614" s="666" t="s">
        <v>162</v>
      </c>
      <c r="AW1614" s="667"/>
      <c r="AX1614" s="692"/>
      <c r="AY1614" s="693"/>
      <c r="AZ1614" s="694"/>
      <c r="BA1614" s="682"/>
      <c r="BB1614" s="683"/>
      <c r="BC1614" s="14"/>
      <c r="BD1614" s="695" t="s">
        <v>162</v>
      </c>
      <c r="BE1614" s="696"/>
      <c r="BF1614" s="697"/>
      <c r="BG1614" s="698"/>
      <c r="BH1614" s="698"/>
      <c r="BI1614" s="699"/>
      <c r="BJ1614" s="700" t="s">
        <v>159</v>
      </c>
      <c r="BK1614" s="701"/>
      <c r="BL1614" s="701"/>
      <c r="BM1614" s="702"/>
      <c r="BN1614" s="703" t="s">
        <v>159</v>
      </c>
      <c r="BO1614" s="704"/>
      <c r="BP1614" s="704"/>
      <c r="BQ1614" s="704"/>
      <c r="BR1614" s="704"/>
      <c r="BS1614" s="704"/>
      <c r="BT1614" s="704"/>
      <c r="BU1614" s="704"/>
      <c r="BV1614" s="705"/>
    </row>
    <row r="1615" spans="1:74" x14ac:dyDescent="0.25">
      <c r="AT1615" s="272"/>
      <c r="AU1615" s="272"/>
    </row>
    <row r="1616" spans="1:74" x14ac:dyDescent="0.25">
      <c r="AT1616" s="272"/>
      <c r="AU1616" s="272"/>
    </row>
    <row r="1617" spans="46:47" x14ac:dyDescent="0.25">
      <c r="AT1617" s="272"/>
      <c r="AU1617" s="272"/>
    </row>
    <row r="1618" spans="46:47" x14ac:dyDescent="0.25">
      <c r="AT1618" s="272"/>
      <c r="AU1618" s="272"/>
    </row>
    <row r="1619" spans="46:47" x14ac:dyDescent="0.25">
      <c r="AT1619" s="272"/>
      <c r="AU1619" s="272"/>
    </row>
    <row r="1620" spans="46:47" x14ac:dyDescent="0.25">
      <c r="AT1620" s="272"/>
      <c r="AU1620" s="272"/>
    </row>
    <row r="1621" spans="46:47" x14ac:dyDescent="0.25">
      <c r="AT1621" s="272"/>
      <c r="AU1621" s="272"/>
    </row>
    <row r="1622" spans="46:47" x14ac:dyDescent="0.25">
      <c r="AT1622" s="272"/>
      <c r="AU1622" s="272"/>
    </row>
    <row r="1623" spans="46:47" x14ac:dyDescent="0.25">
      <c r="AT1623" s="272"/>
      <c r="AU1623" s="272"/>
    </row>
    <row r="1624" spans="46:47" x14ac:dyDescent="0.25">
      <c r="AT1624" s="272"/>
      <c r="AU1624" s="272"/>
    </row>
    <row r="1625" spans="46:47" x14ac:dyDescent="0.25">
      <c r="AT1625" s="272"/>
      <c r="AU1625" s="272"/>
    </row>
    <row r="1626" spans="46:47" x14ac:dyDescent="0.25">
      <c r="AT1626" s="272"/>
      <c r="AU1626" s="272"/>
    </row>
    <row r="1627" spans="46:47" x14ac:dyDescent="0.25">
      <c r="AT1627" s="272"/>
      <c r="AU1627" s="272"/>
    </row>
    <row r="1628" spans="46:47" x14ac:dyDescent="0.25">
      <c r="AT1628" s="272"/>
      <c r="AU1628" s="272"/>
    </row>
    <row r="1629" spans="46:47" x14ac:dyDescent="0.25">
      <c r="AT1629" s="272"/>
      <c r="AU1629" s="272"/>
    </row>
    <row r="1630" spans="46:47" x14ac:dyDescent="0.25">
      <c r="AT1630" s="272"/>
      <c r="AU1630" s="272"/>
    </row>
    <row r="1631" spans="46:47" x14ac:dyDescent="0.25">
      <c r="AT1631" s="272"/>
      <c r="AU1631" s="272"/>
    </row>
    <row r="1632" spans="46:47" x14ac:dyDescent="0.25">
      <c r="AT1632" s="272"/>
      <c r="AU1632" s="272"/>
    </row>
    <row r="1633" spans="46:47" x14ac:dyDescent="0.25">
      <c r="AT1633" s="272"/>
      <c r="AU1633" s="272"/>
    </row>
    <row r="1634" spans="46:47" x14ac:dyDescent="0.25">
      <c r="AT1634" s="272"/>
      <c r="AU1634" s="272"/>
    </row>
    <row r="1635" spans="46:47" x14ac:dyDescent="0.25">
      <c r="AT1635" s="272"/>
      <c r="AU1635" s="272"/>
    </row>
    <row r="1636" spans="46:47" x14ac:dyDescent="0.25">
      <c r="AT1636" s="272"/>
      <c r="AU1636" s="272"/>
    </row>
    <row r="1637" spans="46:47" x14ac:dyDescent="0.25">
      <c r="AT1637" s="272"/>
      <c r="AU1637" s="272"/>
    </row>
    <row r="1638" spans="46:47" x14ac:dyDescent="0.25">
      <c r="AT1638" s="272"/>
      <c r="AU1638" s="272"/>
    </row>
    <row r="1639" spans="46:47" x14ac:dyDescent="0.25">
      <c r="AT1639" s="272"/>
      <c r="AU1639" s="272"/>
    </row>
    <row r="1640" spans="46:47" x14ac:dyDescent="0.25">
      <c r="AT1640" s="272"/>
      <c r="AU1640" s="272"/>
    </row>
    <row r="1641" spans="46:47" x14ac:dyDescent="0.25">
      <c r="AT1641" s="272"/>
      <c r="AU1641" s="272"/>
    </row>
    <row r="1642" spans="46:47" x14ac:dyDescent="0.25">
      <c r="AT1642" s="272"/>
      <c r="AU1642" s="272"/>
    </row>
    <row r="1643" spans="46:47" x14ac:dyDescent="0.25">
      <c r="AT1643" s="272"/>
      <c r="AU1643" s="272"/>
    </row>
    <row r="1644" spans="46:47" x14ac:dyDescent="0.25">
      <c r="AT1644" s="272"/>
      <c r="AU1644" s="272"/>
    </row>
    <row r="1645" spans="46:47" x14ac:dyDescent="0.25">
      <c r="AT1645" s="272"/>
      <c r="AU1645" s="272"/>
    </row>
    <row r="1646" spans="46:47" x14ac:dyDescent="0.25">
      <c r="AT1646" s="272"/>
      <c r="AU1646" s="272"/>
    </row>
    <row r="1647" spans="46:47" x14ac:dyDescent="0.25">
      <c r="AT1647" s="272"/>
      <c r="AU1647" s="272"/>
    </row>
    <row r="1648" spans="46:47" x14ac:dyDescent="0.25">
      <c r="AT1648" s="272"/>
      <c r="AU1648" s="272"/>
    </row>
    <row r="1649" spans="46:47" x14ac:dyDescent="0.25">
      <c r="AT1649" s="272"/>
      <c r="AU1649" s="272"/>
    </row>
    <row r="1650" spans="46:47" x14ac:dyDescent="0.25">
      <c r="AT1650" s="272"/>
      <c r="AU1650" s="272"/>
    </row>
    <row r="1651" spans="46:47" x14ac:dyDescent="0.25">
      <c r="AT1651" s="272"/>
      <c r="AU1651" s="272"/>
    </row>
    <row r="1652" spans="46:47" x14ac:dyDescent="0.25">
      <c r="AT1652" s="272"/>
      <c r="AU1652" s="272"/>
    </row>
    <row r="1653" spans="46:47" x14ac:dyDescent="0.25">
      <c r="AT1653" s="272"/>
      <c r="AU1653" s="272"/>
    </row>
    <row r="1654" spans="46:47" x14ac:dyDescent="0.25">
      <c r="AT1654" s="272"/>
      <c r="AU1654" s="272"/>
    </row>
    <row r="1655" spans="46:47" x14ac:dyDescent="0.25">
      <c r="AT1655" s="272"/>
      <c r="AU1655" s="272"/>
    </row>
    <row r="1656" spans="46:47" x14ac:dyDescent="0.25">
      <c r="AT1656" s="272"/>
      <c r="AU1656" s="272"/>
    </row>
    <row r="1657" spans="46:47" x14ac:dyDescent="0.25">
      <c r="AT1657" s="272"/>
      <c r="AU1657" s="272"/>
    </row>
    <row r="1658" spans="46:47" x14ac:dyDescent="0.25">
      <c r="AT1658" s="272"/>
      <c r="AU1658" s="272"/>
    </row>
    <row r="1659" spans="46:47" x14ac:dyDescent="0.25">
      <c r="AT1659" s="272"/>
      <c r="AU1659" s="272"/>
    </row>
    <row r="1660" spans="46:47" x14ac:dyDescent="0.25">
      <c r="AT1660" s="272"/>
      <c r="AU1660" s="272"/>
    </row>
    <row r="1661" spans="46:47" x14ac:dyDescent="0.25">
      <c r="AT1661" s="272"/>
      <c r="AU1661" s="272"/>
    </row>
    <row r="1662" spans="46:47" x14ac:dyDescent="0.25">
      <c r="AT1662" s="272"/>
      <c r="AU1662" s="272"/>
    </row>
    <row r="1663" spans="46:47" x14ac:dyDescent="0.25">
      <c r="AT1663" s="272"/>
      <c r="AU1663" s="272"/>
    </row>
    <row r="1664" spans="46:47" x14ac:dyDescent="0.25">
      <c r="AT1664" s="272"/>
      <c r="AU1664" s="272"/>
    </row>
    <row r="1665" spans="46:47" x14ac:dyDescent="0.25">
      <c r="AT1665" s="272"/>
      <c r="AU1665" s="272"/>
    </row>
    <row r="1666" spans="46:47" x14ac:dyDescent="0.25">
      <c r="AT1666" s="272"/>
      <c r="AU1666" s="272"/>
    </row>
    <row r="1667" spans="46:47" x14ac:dyDescent="0.25">
      <c r="AT1667" s="272"/>
      <c r="AU1667" s="272"/>
    </row>
    <row r="1668" spans="46:47" x14ac:dyDescent="0.25">
      <c r="AT1668" s="272"/>
      <c r="AU1668" s="272"/>
    </row>
    <row r="1669" spans="46:47" x14ac:dyDescent="0.25">
      <c r="AT1669" s="272"/>
      <c r="AU1669" s="272"/>
    </row>
    <row r="1670" spans="46:47" x14ac:dyDescent="0.25">
      <c r="AT1670" s="272"/>
      <c r="AU1670" s="272"/>
    </row>
    <row r="1671" spans="46:47" x14ac:dyDescent="0.25">
      <c r="AT1671" s="272"/>
      <c r="AU1671" s="272"/>
    </row>
    <row r="1672" spans="46:47" x14ac:dyDescent="0.25">
      <c r="AT1672" s="272"/>
      <c r="AU1672" s="272"/>
    </row>
    <row r="1673" spans="46:47" x14ac:dyDescent="0.25">
      <c r="AT1673" s="272"/>
      <c r="AU1673" s="272"/>
    </row>
    <row r="1674" spans="46:47" x14ac:dyDescent="0.25">
      <c r="AT1674" s="272"/>
      <c r="AU1674" s="272"/>
    </row>
    <row r="1675" spans="46:47" x14ac:dyDescent="0.25">
      <c r="AT1675" s="272"/>
      <c r="AU1675" s="272"/>
    </row>
    <row r="1676" spans="46:47" x14ac:dyDescent="0.25">
      <c r="AT1676" s="272"/>
      <c r="AU1676" s="272"/>
    </row>
    <row r="1677" spans="46:47" x14ac:dyDescent="0.25">
      <c r="AT1677" s="272"/>
      <c r="AU1677" s="272"/>
    </row>
    <row r="1678" spans="46:47" x14ac:dyDescent="0.25">
      <c r="AT1678" s="272"/>
      <c r="AU1678" s="272"/>
    </row>
    <row r="1679" spans="46:47" x14ac:dyDescent="0.25">
      <c r="AT1679" s="272"/>
      <c r="AU1679" s="272"/>
    </row>
    <row r="1680" spans="46:47" x14ac:dyDescent="0.25">
      <c r="AT1680" s="272"/>
      <c r="AU1680" s="272"/>
    </row>
    <row r="1681" spans="46:47" x14ac:dyDescent="0.25">
      <c r="AT1681" s="272"/>
      <c r="AU1681" s="272"/>
    </row>
    <row r="1682" spans="46:47" x14ac:dyDescent="0.25">
      <c r="AT1682" s="272"/>
      <c r="AU1682" s="272"/>
    </row>
    <row r="1683" spans="46:47" x14ac:dyDescent="0.25">
      <c r="AT1683" s="272"/>
      <c r="AU1683" s="272"/>
    </row>
    <row r="1684" spans="46:47" x14ac:dyDescent="0.25">
      <c r="AT1684" s="272"/>
      <c r="AU1684" s="272"/>
    </row>
    <row r="1685" spans="46:47" x14ac:dyDescent="0.25">
      <c r="AT1685" s="272"/>
      <c r="AU1685" s="272"/>
    </row>
    <row r="1686" spans="46:47" x14ac:dyDescent="0.25">
      <c r="AT1686" s="272"/>
      <c r="AU1686" s="272"/>
    </row>
    <row r="1687" spans="46:47" x14ac:dyDescent="0.25">
      <c r="AT1687" s="272"/>
      <c r="AU1687" s="272"/>
    </row>
    <row r="1688" spans="46:47" x14ac:dyDescent="0.25">
      <c r="AT1688" s="272"/>
      <c r="AU1688" s="272"/>
    </row>
    <row r="1689" spans="46:47" x14ac:dyDescent="0.25">
      <c r="AT1689" s="272"/>
      <c r="AU1689" s="272"/>
    </row>
    <row r="1690" spans="46:47" x14ac:dyDescent="0.25">
      <c r="AT1690" s="272"/>
      <c r="AU1690" s="272"/>
    </row>
    <row r="1691" spans="46:47" x14ac:dyDescent="0.25">
      <c r="AT1691" s="272"/>
      <c r="AU1691" s="272"/>
    </row>
    <row r="1692" spans="46:47" x14ac:dyDescent="0.25">
      <c r="AT1692" s="272"/>
      <c r="AU1692" s="272"/>
    </row>
    <row r="1693" spans="46:47" x14ac:dyDescent="0.25">
      <c r="AT1693" s="272"/>
      <c r="AU1693" s="272"/>
    </row>
    <row r="1694" spans="46:47" x14ac:dyDescent="0.25">
      <c r="AT1694" s="272"/>
      <c r="AU1694" s="272"/>
    </row>
    <row r="1695" spans="46:47" x14ac:dyDescent="0.25">
      <c r="AT1695" s="272"/>
      <c r="AU1695" s="272"/>
    </row>
    <row r="1696" spans="46:47" x14ac:dyDescent="0.25">
      <c r="AT1696" s="272"/>
      <c r="AU1696" s="272"/>
    </row>
    <row r="1697" spans="46:47" x14ac:dyDescent="0.25">
      <c r="AT1697" s="272"/>
      <c r="AU1697" s="272"/>
    </row>
    <row r="1698" spans="46:47" x14ac:dyDescent="0.25">
      <c r="AT1698" s="272"/>
      <c r="AU1698" s="272"/>
    </row>
    <row r="1699" spans="46:47" x14ac:dyDescent="0.25">
      <c r="AT1699" s="272"/>
      <c r="AU1699" s="272"/>
    </row>
    <row r="1700" spans="46:47" x14ac:dyDescent="0.25">
      <c r="AT1700" s="272"/>
      <c r="AU1700" s="272"/>
    </row>
    <row r="1701" spans="46:47" x14ac:dyDescent="0.25">
      <c r="AT1701" s="272"/>
      <c r="AU1701" s="272"/>
    </row>
    <row r="1702" spans="46:47" x14ac:dyDescent="0.25">
      <c r="AT1702" s="272"/>
      <c r="AU1702" s="272"/>
    </row>
    <row r="1703" spans="46:47" x14ac:dyDescent="0.25">
      <c r="AT1703" s="272"/>
      <c r="AU1703" s="272"/>
    </row>
    <row r="1704" spans="46:47" x14ac:dyDescent="0.25">
      <c r="AT1704" s="272"/>
      <c r="AU1704" s="272"/>
    </row>
    <row r="1705" spans="46:47" x14ac:dyDescent="0.25">
      <c r="AT1705" s="272"/>
      <c r="AU1705" s="272"/>
    </row>
    <row r="1706" spans="46:47" x14ac:dyDescent="0.25">
      <c r="AT1706" s="272"/>
      <c r="AU1706" s="272"/>
    </row>
    <row r="1707" spans="46:47" x14ac:dyDescent="0.25">
      <c r="AT1707" s="272"/>
      <c r="AU1707" s="272"/>
    </row>
    <row r="1708" spans="46:47" x14ac:dyDescent="0.25">
      <c r="AT1708" s="272"/>
      <c r="AU1708" s="272"/>
    </row>
    <row r="1709" spans="46:47" x14ac:dyDescent="0.25">
      <c r="AT1709" s="272"/>
      <c r="AU1709" s="272"/>
    </row>
    <row r="1710" spans="46:47" x14ac:dyDescent="0.25">
      <c r="AT1710" s="272"/>
      <c r="AU1710" s="272"/>
    </row>
    <row r="1711" spans="46:47" x14ac:dyDescent="0.25">
      <c r="AT1711" s="272"/>
      <c r="AU1711" s="272"/>
    </row>
    <row r="1712" spans="46:47" x14ac:dyDescent="0.25">
      <c r="AT1712" s="272"/>
      <c r="AU1712" s="272"/>
    </row>
    <row r="1713" spans="46:47" x14ac:dyDescent="0.25">
      <c r="AT1713" s="272"/>
      <c r="AU1713" s="272"/>
    </row>
    <row r="1714" spans="46:47" x14ac:dyDescent="0.25">
      <c r="AT1714" s="272"/>
      <c r="AU1714" s="272"/>
    </row>
    <row r="1715" spans="46:47" x14ac:dyDescent="0.25">
      <c r="AT1715" s="272"/>
      <c r="AU1715" s="272"/>
    </row>
    <row r="1716" spans="46:47" x14ac:dyDescent="0.25">
      <c r="AT1716" s="272"/>
      <c r="AU1716" s="272"/>
    </row>
    <row r="1717" spans="46:47" x14ac:dyDescent="0.25">
      <c r="AT1717" s="272"/>
      <c r="AU1717" s="272"/>
    </row>
    <row r="1718" spans="46:47" x14ac:dyDescent="0.25">
      <c r="AT1718" s="272"/>
      <c r="AU1718" s="272"/>
    </row>
    <row r="1719" spans="46:47" x14ac:dyDescent="0.25">
      <c r="AT1719" s="272"/>
      <c r="AU1719" s="272"/>
    </row>
    <row r="1720" spans="46:47" x14ac:dyDescent="0.25">
      <c r="AT1720" s="272"/>
      <c r="AU1720" s="272"/>
    </row>
    <row r="1721" spans="46:47" x14ac:dyDescent="0.25">
      <c r="AT1721" s="272"/>
      <c r="AU1721" s="272"/>
    </row>
    <row r="1722" spans="46:47" x14ac:dyDescent="0.25">
      <c r="AT1722" s="272"/>
      <c r="AU1722" s="272"/>
    </row>
    <row r="1723" spans="46:47" x14ac:dyDescent="0.25">
      <c r="AT1723" s="272"/>
      <c r="AU1723" s="272"/>
    </row>
    <row r="1724" spans="46:47" x14ac:dyDescent="0.25">
      <c r="AT1724" s="272"/>
      <c r="AU1724" s="272"/>
    </row>
  </sheetData>
  <sheetProtection algorithmName="SHA-512" hashValue="D6P7CWLRrF1EjJiINMcC/ghkazUQSL5xwAqsFKaWuLNlGgdYKT+S9G2af7rtqfp2Vu89AGekswk6ReyTFEqP0g==" saltValue="5wRh3S87vpOH93hfrBHTdw==" spinCount="100000" sheet="1" objects="1" scenarios="1"/>
  <mergeCells count="42770">
    <mergeCell ref="AP13:BB13"/>
    <mergeCell ref="BC13:BM13"/>
    <mergeCell ref="AJ13:AO13"/>
    <mergeCell ref="AF1606:AG1606"/>
    <mergeCell ref="AF1607:AG1607"/>
    <mergeCell ref="AF1608:AG1608"/>
    <mergeCell ref="AF1609:AG1609"/>
    <mergeCell ref="AF1561:AG1561"/>
    <mergeCell ref="AF1562:AG1562"/>
    <mergeCell ref="AF1563:AG1563"/>
    <mergeCell ref="AF1564:AG1564"/>
    <mergeCell ref="AF1565:AG1565"/>
    <mergeCell ref="AF1566:AG1566"/>
    <mergeCell ref="AF1567:AG1567"/>
    <mergeCell ref="AF1568:AG1568"/>
    <mergeCell ref="AF1569:AG1569"/>
    <mergeCell ref="AF1570:AG1570"/>
    <mergeCell ref="AF1571:AG1571"/>
    <mergeCell ref="AF1572:AG1572"/>
    <mergeCell ref="AF1573:AG1573"/>
    <mergeCell ref="AF1574:AG1574"/>
    <mergeCell ref="AF1575:AG1575"/>
    <mergeCell ref="AF1576:AG1576"/>
    <mergeCell ref="AF1577:AG1577"/>
    <mergeCell ref="AF1578:AG1578"/>
    <mergeCell ref="AF1579:AG1579"/>
    <mergeCell ref="AF1580:AG1580"/>
    <mergeCell ref="AF1581:AG1581"/>
    <mergeCell ref="AF1582:AG1582"/>
    <mergeCell ref="AF1583:AG1583"/>
    <mergeCell ref="AF1584:AG1584"/>
    <mergeCell ref="AF1585:AG1585"/>
    <mergeCell ref="AF1586:AG1586"/>
    <mergeCell ref="AF1587:AG1587"/>
    <mergeCell ref="AF1588:AG1588"/>
    <mergeCell ref="AF1589:AG1589"/>
    <mergeCell ref="AF1590:AG1590"/>
    <mergeCell ref="AF1591:AG1591"/>
    <mergeCell ref="AF1592:AG1592"/>
    <mergeCell ref="AF1593:AG1593"/>
    <mergeCell ref="AF1516:AG1516"/>
    <mergeCell ref="AF1517:AG1517"/>
    <mergeCell ref="AF1518:AG1518"/>
    <mergeCell ref="AF1519:AG1519"/>
    <mergeCell ref="AF1520:AG1520"/>
    <mergeCell ref="AF1521:AG1521"/>
    <mergeCell ref="AF1522:AG1522"/>
    <mergeCell ref="AF1523:AG1523"/>
    <mergeCell ref="AF1524:AG1524"/>
    <mergeCell ref="AF1525:AG1525"/>
    <mergeCell ref="AF1526:AG1526"/>
    <mergeCell ref="AF1527:AG1527"/>
    <mergeCell ref="AF1528:AG1528"/>
    <mergeCell ref="AF1529:AG1529"/>
    <mergeCell ref="AF1530:AG1530"/>
    <mergeCell ref="AF1531:AG1531"/>
    <mergeCell ref="AF1532:AG1532"/>
    <mergeCell ref="AF1533:AG1533"/>
    <mergeCell ref="AF1534:AG1534"/>
    <mergeCell ref="AF1535:AG1535"/>
    <mergeCell ref="AF1536:AG1536"/>
    <mergeCell ref="AF1537:AG1537"/>
    <mergeCell ref="AF1538:AG1538"/>
    <mergeCell ref="AF1539:AG1539"/>
    <mergeCell ref="AF1456:AG1456"/>
    <mergeCell ref="AF1457:AG1457"/>
    <mergeCell ref="AF1458:AG1458"/>
    <mergeCell ref="AF1545:AG1545"/>
    <mergeCell ref="AF1546:AG1546"/>
    <mergeCell ref="AF1547:AG1547"/>
    <mergeCell ref="AF1548:AG1548"/>
    <mergeCell ref="AF1471:AG1471"/>
    <mergeCell ref="AF1472:AG1472"/>
    <mergeCell ref="AF1473:AG1473"/>
    <mergeCell ref="AF1474:AG1474"/>
    <mergeCell ref="AF1475:AG1475"/>
    <mergeCell ref="AF1476:AG1476"/>
    <mergeCell ref="AF1477:AG1477"/>
    <mergeCell ref="AF1478:AG1478"/>
    <mergeCell ref="AF1479:AG1479"/>
    <mergeCell ref="AF1480:AG1480"/>
    <mergeCell ref="AF1481:AG1481"/>
    <mergeCell ref="AF1482:AG1482"/>
    <mergeCell ref="AF1483:AG1483"/>
    <mergeCell ref="AF1484:AG1484"/>
    <mergeCell ref="AF1485:AG1485"/>
    <mergeCell ref="AF1486:AG1486"/>
    <mergeCell ref="AF1487:AG1487"/>
    <mergeCell ref="AF1488:AG1488"/>
    <mergeCell ref="AF1489:AG1489"/>
    <mergeCell ref="AF1490:AG1490"/>
    <mergeCell ref="AF1491:AG1491"/>
    <mergeCell ref="AF1492:AG1492"/>
    <mergeCell ref="AF1493:AG1493"/>
    <mergeCell ref="AF1494:AG1494"/>
    <mergeCell ref="AF1495:AG1495"/>
    <mergeCell ref="AF1496:AG1496"/>
    <mergeCell ref="AF1497:AG1497"/>
    <mergeCell ref="AF1498:AG1498"/>
    <mergeCell ref="AF1499:AG1499"/>
    <mergeCell ref="AF1500:AG1500"/>
    <mergeCell ref="AF1501:AG1501"/>
    <mergeCell ref="AF1502:AG1502"/>
    <mergeCell ref="AF1503:AG1503"/>
    <mergeCell ref="AF1366:AG1366"/>
    <mergeCell ref="AF1367:AG1367"/>
    <mergeCell ref="AF1368:AG1368"/>
    <mergeCell ref="AF1381:AG1381"/>
    <mergeCell ref="AF1382:AG1382"/>
    <mergeCell ref="AF1383:AG1383"/>
    <mergeCell ref="AF1384:AG1384"/>
    <mergeCell ref="AF1385:AG1385"/>
    <mergeCell ref="AF1386:AG1386"/>
    <mergeCell ref="AF1387:AG1387"/>
    <mergeCell ref="AF1388:AG1388"/>
    <mergeCell ref="AF1389:AG1389"/>
    <mergeCell ref="AF1390:AG1390"/>
    <mergeCell ref="AF1391:AG1391"/>
    <mergeCell ref="AF1392:AG1392"/>
    <mergeCell ref="AF1393:AG1393"/>
    <mergeCell ref="AF1394:AG1394"/>
    <mergeCell ref="AF1395:AG1395"/>
    <mergeCell ref="AF1396:AG1396"/>
    <mergeCell ref="AF1397:AG1397"/>
    <mergeCell ref="AF1398:AG1398"/>
    <mergeCell ref="AF1399:AG1399"/>
    <mergeCell ref="AF1400:AG1400"/>
    <mergeCell ref="AF1401:AG1401"/>
    <mergeCell ref="AF1402:AG1402"/>
    <mergeCell ref="AF1403:AG1403"/>
    <mergeCell ref="AF1404:AG1404"/>
    <mergeCell ref="AF1405:AG1405"/>
    <mergeCell ref="AF1406:AG1406"/>
    <mergeCell ref="AF1407:AG1407"/>
    <mergeCell ref="AF1408:AG1408"/>
    <mergeCell ref="AF1409:AG1409"/>
    <mergeCell ref="AF1410:AG1410"/>
    <mergeCell ref="AF1321:AG1321"/>
    <mergeCell ref="AF1322:AG1322"/>
    <mergeCell ref="AF1323:AG1323"/>
    <mergeCell ref="AF1336:AG1336"/>
    <mergeCell ref="AF1337:AG1337"/>
    <mergeCell ref="AF1338:AG1338"/>
    <mergeCell ref="AF1339:AG1339"/>
    <mergeCell ref="AF1340:AG1340"/>
    <mergeCell ref="AF1341:AG1341"/>
    <mergeCell ref="AF1342:AG1342"/>
    <mergeCell ref="AF1343:AG1343"/>
    <mergeCell ref="AF1344:AG1344"/>
    <mergeCell ref="AF1345:AG1345"/>
    <mergeCell ref="AF1346:AG1346"/>
    <mergeCell ref="AF1347:AG1347"/>
    <mergeCell ref="AF1348:AG1348"/>
    <mergeCell ref="AF1349:AG1349"/>
    <mergeCell ref="AF1350:AG1350"/>
    <mergeCell ref="AF1351:AG1351"/>
    <mergeCell ref="AF1352:AG1352"/>
    <mergeCell ref="AF1353:AG1353"/>
    <mergeCell ref="AF1354:AG1354"/>
    <mergeCell ref="AF1355:AG1355"/>
    <mergeCell ref="AF1356:AG1356"/>
    <mergeCell ref="AF1357:AG1357"/>
    <mergeCell ref="AF1358:AG1358"/>
    <mergeCell ref="AF1359:AG1359"/>
    <mergeCell ref="AF1360:AG1360"/>
    <mergeCell ref="AF1361:AG1361"/>
    <mergeCell ref="AF1362:AG1362"/>
    <mergeCell ref="AF1363:AG1363"/>
    <mergeCell ref="AF1364:AG1364"/>
    <mergeCell ref="AF1365:AG1365"/>
    <mergeCell ref="AF1276:AG1276"/>
    <mergeCell ref="AF1277:AG1277"/>
    <mergeCell ref="AF1278:AG1278"/>
    <mergeCell ref="AF1291:AG1291"/>
    <mergeCell ref="AF1292:AG1292"/>
    <mergeCell ref="AF1293:AG1293"/>
    <mergeCell ref="AF1294:AG1294"/>
    <mergeCell ref="AF1295:AG1295"/>
    <mergeCell ref="AF1296:AG1296"/>
    <mergeCell ref="AF1297:AG1297"/>
    <mergeCell ref="AF1298:AG1298"/>
    <mergeCell ref="AF1299:AG1299"/>
    <mergeCell ref="AF1300:AG1300"/>
    <mergeCell ref="AF1301:AG1301"/>
    <mergeCell ref="AF1302:AG1302"/>
    <mergeCell ref="AF1303:AG1303"/>
    <mergeCell ref="AF1304:AG1304"/>
    <mergeCell ref="AF1305:AG1305"/>
    <mergeCell ref="AF1306:AG1306"/>
    <mergeCell ref="AF1307:AG1307"/>
    <mergeCell ref="AF1308:AG1308"/>
    <mergeCell ref="AF1309:AG1309"/>
    <mergeCell ref="AF1310:AG1310"/>
    <mergeCell ref="AF1311:AG1311"/>
    <mergeCell ref="AF1312:AG1312"/>
    <mergeCell ref="AF1313:AG1313"/>
    <mergeCell ref="AF1314:AG1314"/>
    <mergeCell ref="AF1315:AG1315"/>
    <mergeCell ref="AF1316:AG1316"/>
    <mergeCell ref="AF1317:AG1317"/>
    <mergeCell ref="AF1318:AG1318"/>
    <mergeCell ref="AF1319:AG1319"/>
    <mergeCell ref="AF1320:AG1320"/>
    <mergeCell ref="AF1231:AG1231"/>
    <mergeCell ref="AF1232:AG1232"/>
    <mergeCell ref="AF1233:AG1233"/>
    <mergeCell ref="AF1246:AG1246"/>
    <mergeCell ref="AF1247:AG1247"/>
    <mergeCell ref="AF1248:AG1248"/>
    <mergeCell ref="AF1249:AG1249"/>
    <mergeCell ref="AF1250:AG1250"/>
    <mergeCell ref="AF1251:AG1251"/>
    <mergeCell ref="AF1252:AG1252"/>
    <mergeCell ref="AF1253:AG1253"/>
    <mergeCell ref="AF1254:AG1254"/>
    <mergeCell ref="AF1255:AG1255"/>
    <mergeCell ref="AF1256:AG1256"/>
    <mergeCell ref="AF1257:AG1257"/>
    <mergeCell ref="AF1258:AG1258"/>
    <mergeCell ref="AF1259:AG1259"/>
    <mergeCell ref="AF1260:AG1260"/>
    <mergeCell ref="AF1261:AG1261"/>
    <mergeCell ref="AF1262:AG1262"/>
    <mergeCell ref="AF1263:AG1263"/>
    <mergeCell ref="AF1264:AG1264"/>
    <mergeCell ref="AF1265:AG1265"/>
    <mergeCell ref="AF1266:AG1266"/>
    <mergeCell ref="AF1267:AG1267"/>
    <mergeCell ref="AF1268:AG1268"/>
    <mergeCell ref="AF1269:AG1269"/>
    <mergeCell ref="AF1270:AG1270"/>
    <mergeCell ref="AF1271:AG1271"/>
    <mergeCell ref="AF1272:AG1272"/>
    <mergeCell ref="AF1273:AG1273"/>
    <mergeCell ref="AF1274:AG1274"/>
    <mergeCell ref="AF1275:AG1275"/>
    <mergeCell ref="AF1186:AG1186"/>
    <mergeCell ref="AF1187:AG1187"/>
    <mergeCell ref="AF1188:AG1188"/>
    <mergeCell ref="AF1201:AG1201"/>
    <mergeCell ref="AF1202:AG1202"/>
    <mergeCell ref="AF1203:AG1203"/>
    <mergeCell ref="AF1204:AG1204"/>
    <mergeCell ref="AF1205:AG1205"/>
    <mergeCell ref="AF1206:AG1206"/>
    <mergeCell ref="AF1207:AG1207"/>
    <mergeCell ref="AF1208:AG1208"/>
    <mergeCell ref="AF1209:AG1209"/>
    <mergeCell ref="AF1210:AG1210"/>
    <mergeCell ref="AF1211:AG1211"/>
    <mergeCell ref="AF1212:AG1212"/>
    <mergeCell ref="AF1213:AG1213"/>
    <mergeCell ref="AF1214:AG1214"/>
    <mergeCell ref="AF1215:AG1215"/>
    <mergeCell ref="AF1216:AG1216"/>
    <mergeCell ref="AF1217:AG1217"/>
    <mergeCell ref="AF1218:AG1218"/>
    <mergeCell ref="AF1219:AG1219"/>
    <mergeCell ref="AF1220:AG1220"/>
    <mergeCell ref="AF1221:AG1221"/>
    <mergeCell ref="AF1222:AG1222"/>
    <mergeCell ref="AF1223:AG1223"/>
    <mergeCell ref="AF1224:AG1224"/>
    <mergeCell ref="AF1225:AG1225"/>
    <mergeCell ref="AF1226:AG1226"/>
    <mergeCell ref="AF1227:AG1227"/>
    <mergeCell ref="AF1228:AG1228"/>
    <mergeCell ref="AF1229:AG1229"/>
    <mergeCell ref="AF1230:AG1230"/>
    <mergeCell ref="AF1096:AG1096"/>
    <mergeCell ref="AF1097:AG1097"/>
    <mergeCell ref="AF1098:AG1098"/>
    <mergeCell ref="AF1099:AG1099"/>
    <mergeCell ref="AF1100:AG1100"/>
    <mergeCell ref="AF1101:AG1101"/>
    <mergeCell ref="AF1102:AG1102"/>
    <mergeCell ref="AF1103:AG1103"/>
    <mergeCell ref="AF1104:AG1104"/>
    <mergeCell ref="AF1105:AG1105"/>
    <mergeCell ref="AF1106:AG1106"/>
    <mergeCell ref="AF1107:AG1107"/>
    <mergeCell ref="AF1108:AG1108"/>
    <mergeCell ref="AF1109:AG1109"/>
    <mergeCell ref="AF1110:AG1110"/>
    <mergeCell ref="AF1111:AG1111"/>
    <mergeCell ref="AF1112:AG1112"/>
    <mergeCell ref="AF1113:AG1113"/>
    <mergeCell ref="AF1114:AG1114"/>
    <mergeCell ref="AF1115:AG1115"/>
    <mergeCell ref="AF1116:AG1116"/>
    <mergeCell ref="AF1117:AG1117"/>
    <mergeCell ref="AF1118:AG1118"/>
    <mergeCell ref="AF1119:AG1119"/>
    <mergeCell ref="AF1120:AG1120"/>
    <mergeCell ref="AF1121:AG1121"/>
    <mergeCell ref="AF1122:AG1122"/>
    <mergeCell ref="AF1123:AG1123"/>
    <mergeCell ref="AF1124:AG1124"/>
    <mergeCell ref="AF1125:AG1125"/>
    <mergeCell ref="AF1126:AG1126"/>
    <mergeCell ref="AF1127:AG1127"/>
    <mergeCell ref="AF1128:AG1128"/>
    <mergeCell ref="AF1051:AG1051"/>
    <mergeCell ref="AF1052:AG1052"/>
    <mergeCell ref="AF1053:AG1053"/>
    <mergeCell ref="AF1054:AG1054"/>
    <mergeCell ref="AF1055:AG1055"/>
    <mergeCell ref="AF1056:AG1056"/>
    <mergeCell ref="AF1057:AG1057"/>
    <mergeCell ref="AF1058:AG1058"/>
    <mergeCell ref="AF1059:AG1059"/>
    <mergeCell ref="AF1060:AG1060"/>
    <mergeCell ref="AF1061:AG1061"/>
    <mergeCell ref="AF1062:AG1062"/>
    <mergeCell ref="AF1063:AG1063"/>
    <mergeCell ref="AF1064:AG1064"/>
    <mergeCell ref="AF1065:AG1065"/>
    <mergeCell ref="AF1066:AG1066"/>
    <mergeCell ref="AF1067:AG1067"/>
    <mergeCell ref="AF1068:AG1068"/>
    <mergeCell ref="AF1069:AG1069"/>
    <mergeCell ref="AF1070:AG1070"/>
    <mergeCell ref="AF1071:AG1071"/>
    <mergeCell ref="AF1072:AG1072"/>
    <mergeCell ref="AF1073:AG1073"/>
    <mergeCell ref="AF1074:AG1074"/>
    <mergeCell ref="AF1075:AG1075"/>
    <mergeCell ref="AF1076:AG1076"/>
    <mergeCell ref="AF1077:AG1077"/>
    <mergeCell ref="AF1078:AG1078"/>
    <mergeCell ref="AF1079:AG1079"/>
    <mergeCell ref="AF1080:AG1080"/>
    <mergeCell ref="AF1081:AG1081"/>
    <mergeCell ref="AF1082:AG1082"/>
    <mergeCell ref="AF1083:AG1083"/>
    <mergeCell ref="AF1006:AG1006"/>
    <mergeCell ref="AF1007:AG1007"/>
    <mergeCell ref="AF1008:AG1008"/>
    <mergeCell ref="AF1009:AG1009"/>
    <mergeCell ref="AF1010:AG1010"/>
    <mergeCell ref="AF1011:AG1011"/>
    <mergeCell ref="AF1012:AG1012"/>
    <mergeCell ref="AF1013:AG1013"/>
    <mergeCell ref="AF1014:AG1014"/>
    <mergeCell ref="AF1015:AG1015"/>
    <mergeCell ref="AF1016:AG1016"/>
    <mergeCell ref="AF1017:AG1017"/>
    <mergeCell ref="AF1018:AG1018"/>
    <mergeCell ref="AF1019:AG1019"/>
    <mergeCell ref="AF1020:AG1020"/>
    <mergeCell ref="AF1021:AG1021"/>
    <mergeCell ref="AF1022:AG1022"/>
    <mergeCell ref="AF1023:AG1023"/>
    <mergeCell ref="AF1024:AG1024"/>
    <mergeCell ref="AF1025:AG1025"/>
    <mergeCell ref="AF1026:AG1026"/>
    <mergeCell ref="AF1027:AG1027"/>
    <mergeCell ref="AF1028:AG1028"/>
    <mergeCell ref="AF1029:AG1029"/>
    <mergeCell ref="AF1030:AG1030"/>
    <mergeCell ref="AF1031:AG1031"/>
    <mergeCell ref="AF1032:AG1032"/>
    <mergeCell ref="AF1033:AG1033"/>
    <mergeCell ref="AF1034:AG1034"/>
    <mergeCell ref="AF1035:AG1035"/>
    <mergeCell ref="AF1036:AG1036"/>
    <mergeCell ref="AF1037:AG1037"/>
    <mergeCell ref="AF1038:AG1038"/>
    <mergeCell ref="AF961:AG961"/>
    <mergeCell ref="AF962:AG962"/>
    <mergeCell ref="AF963:AG963"/>
    <mergeCell ref="AF964:AG964"/>
    <mergeCell ref="AF965:AG965"/>
    <mergeCell ref="AF966:AG966"/>
    <mergeCell ref="AF967:AG967"/>
    <mergeCell ref="AF968:AG968"/>
    <mergeCell ref="AF969:AG969"/>
    <mergeCell ref="AF970:AG970"/>
    <mergeCell ref="AF971:AG971"/>
    <mergeCell ref="AF972:AG972"/>
    <mergeCell ref="AF973:AG973"/>
    <mergeCell ref="AF974:AG974"/>
    <mergeCell ref="AF975:AG975"/>
    <mergeCell ref="AF976:AG976"/>
    <mergeCell ref="AF977:AG977"/>
    <mergeCell ref="AF978:AG978"/>
    <mergeCell ref="AF979:AG979"/>
    <mergeCell ref="AF980:AG980"/>
    <mergeCell ref="AF981:AG981"/>
    <mergeCell ref="AF982:AG982"/>
    <mergeCell ref="AF983:AG983"/>
    <mergeCell ref="AF984:AG984"/>
    <mergeCell ref="AF985:AG985"/>
    <mergeCell ref="AF986:AG986"/>
    <mergeCell ref="AF987:AG987"/>
    <mergeCell ref="AF988:AG988"/>
    <mergeCell ref="AF989:AG989"/>
    <mergeCell ref="AF990:AG990"/>
    <mergeCell ref="AF991:AG991"/>
    <mergeCell ref="AF992:AG992"/>
    <mergeCell ref="AF993:AG993"/>
    <mergeCell ref="AF916:AG916"/>
    <mergeCell ref="AF917:AG917"/>
    <mergeCell ref="AF918:AG918"/>
    <mergeCell ref="AF919:AG919"/>
    <mergeCell ref="AF920:AG920"/>
    <mergeCell ref="AF921:AG921"/>
    <mergeCell ref="AF922:AG922"/>
    <mergeCell ref="AF923:AG923"/>
    <mergeCell ref="AF924:AG924"/>
    <mergeCell ref="AF925:AG925"/>
    <mergeCell ref="AF926:AG926"/>
    <mergeCell ref="AF927:AG927"/>
    <mergeCell ref="AF928:AG928"/>
    <mergeCell ref="AF929:AG929"/>
    <mergeCell ref="AF930:AG930"/>
    <mergeCell ref="AF931:AG931"/>
    <mergeCell ref="AF932:AG932"/>
    <mergeCell ref="AF933:AG933"/>
    <mergeCell ref="AF934:AG934"/>
    <mergeCell ref="AF935:AG935"/>
    <mergeCell ref="AF936:AG936"/>
    <mergeCell ref="AF937:AG937"/>
    <mergeCell ref="AF938:AG938"/>
    <mergeCell ref="AF939:AG939"/>
    <mergeCell ref="AF940:AG940"/>
    <mergeCell ref="AF941:AG941"/>
    <mergeCell ref="AF942:AG942"/>
    <mergeCell ref="AF943:AG943"/>
    <mergeCell ref="AF944:AG944"/>
    <mergeCell ref="AF945:AG945"/>
    <mergeCell ref="AF946:AG946"/>
    <mergeCell ref="AF947:AG947"/>
    <mergeCell ref="AF948:AG948"/>
    <mergeCell ref="AF856:AG856"/>
    <mergeCell ref="AF857:AG857"/>
    <mergeCell ref="AF858:AG858"/>
    <mergeCell ref="AF871:AG871"/>
    <mergeCell ref="AF872:AG872"/>
    <mergeCell ref="AF873:AG873"/>
    <mergeCell ref="AF874:AG874"/>
    <mergeCell ref="AF875:AG875"/>
    <mergeCell ref="AF876:AG876"/>
    <mergeCell ref="AF877:AG877"/>
    <mergeCell ref="AF878:AG878"/>
    <mergeCell ref="AF879:AG879"/>
    <mergeCell ref="AF880:AG880"/>
    <mergeCell ref="AF881:AG881"/>
    <mergeCell ref="AF882:AG882"/>
    <mergeCell ref="AF883:AG883"/>
    <mergeCell ref="AF884:AG884"/>
    <mergeCell ref="AF885:AG885"/>
    <mergeCell ref="AF886:AG886"/>
    <mergeCell ref="AF887:AG887"/>
    <mergeCell ref="AF888:AG888"/>
    <mergeCell ref="AF889:AG889"/>
    <mergeCell ref="AF890:AG890"/>
    <mergeCell ref="AF891:AG891"/>
    <mergeCell ref="AF892:AG892"/>
    <mergeCell ref="AF893:AG893"/>
    <mergeCell ref="AF894:AG894"/>
    <mergeCell ref="AF895:AG895"/>
    <mergeCell ref="AF896:AG896"/>
    <mergeCell ref="AF897:AG897"/>
    <mergeCell ref="AF898:AG898"/>
    <mergeCell ref="AF899:AG899"/>
    <mergeCell ref="AF900:AG900"/>
    <mergeCell ref="AF781:AG781"/>
    <mergeCell ref="AF782:AG782"/>
    <mergeCell ref="AF783:AG783"/>
    <mergeCell ref="AF784:AG784"/>
    <mergeCell ref="AF785:AG785"/>
    <mergeCell ref="AF786:AG786"/>
    <mergeCell ref="AF787:AG787"/>
    <mergeCell ref="AF788:AG788"/>
    <mergeCell ref="AF789:AG789"/>
    <mergeCell ref="AF790:AG790"/>
    <mergeCell ref="AF791:AG791"/>
    <mergeCell ref="AF792:AG792"/>
    <mergeCell ref="AF793:AG793"/>
    <mergeCell ref="AF794:AG794"/>
    <mergeCell ref="AF795:AG795"/>
    <mergeCell ref="AF796:AG796"/>
    <mergeCell ref="AF797:AG797"/>
    <mergeCell ref="AF798:AG798"/>
    <mergeCell ref="AF799:AG799"/>
    <mergeCell ref="AF800:AG800"/>
    <mergeCell ref="AF801:AG801"/>
    <mergeCell ref="AF802:AG802"/>
    <mergeCell ref="AF803:AG803"/>
    <mergeCell ref="AF804:AG804"/>
    <mergeCell ref="AF805:AG805"/>
    <mergeCell ref="AF806:AG806"/>
    <mergeCell ref="AF807:AG807"/>
    <mergeCell ref="AF808:AG808"/>
    <mergeCell ref="AF809:AG809"/>
    <mergeCell ref="AF810:AG810"/>
    <mergeCell ref="AF811:AG811"/>
    <mergeCell ref="AF812:AG812"/>
    <mergeCell ref="AF813:AG813"/>
    <mergeCell ref="AF736:AG736"/>
    <mergeCell ref="AF737:AG737"/>
    <mergeCell ref="AF738:AG738"/>
    <mergeCell ref="AF739:AG739"/>
    <mergeCell ref="AF740:AG740"/>
    <mergeCell ref="AF741:AG741"/>
    <mergeCell ref="AF742:AG742"/>
    <mergeCell ref="AF743:AG743"/>
    <mergeCell ref="AF744:AG744"/>
    <mergeCell ref="AF745:AG745"/>
    <mergeCell ref="AF746:AG746"/>
    <mergeCell ref="AF747:AG747"/>
    <mergeCell ref="AF748:AG748"/>
    <mergeCell ref="AF749:AG749"/>
    <mergeCell ref="AF750:AG750"/>
    <mergeCell ref="AF751:AG751"/>
    <mergeCell ref="AF752:AG752"/>
    <mergeCell ref="AF753:AG753"/>
    <mergeCell ref="AF754:AG754"/>
    <mergeCell ref="AF755:AG755"/>
    <mergeCell ref="AF756:AG756"/>
    <mergeCell ref="AF757:AG757"/>
    <mergeCell ref="AF758:AG758"/>
    <mergeCell ref="AF759:AG759"/>
    <mergeCell ref="AF760:AG760"/>
    <mergeCell ref="AF761:AG761"/>
    <mergeCell ref="AF762:AG762"/>
    <mergeCell ref="AF763:AG763"/>
    <mergeCell ref="AF764:AG764"/>
    <mergeCell ref="AF765:AG765"/>
    <mergeCell ref="AF766:AG766"/>
    <mergeCell ref="AF767:AG767"/>
    <mergeCell ref="AF768:AG768"/>
    <mergeCell ref="AF676:AG676"/>
    <mergeCell ref="AF677:AG677"/>
    <mergeCell ref="AF678:AG678"/>
    <mergeCell ref="AF691:AG691"/>
    <mergeCell ref="AF692:AG692"/>
    <mergeCell ref="AF693:AG693"/>
    <mergeCell ref="AF694:AG694"/>
    <mergeCell ref="AF695:AG695"/>
    <mergeCell ref="AF696:AG696"/>
    <mergeCell ref="AF697:AG697"/>
    <mergeCell ref="AF698:AG698"/>
    <mergeCell ref="AF699:AG699"/>
    <mergeCell ref="AF700:AG700"/>
    <mergeCell ref="AF701:AG701"/>
    <mergeCell ref="AF702:AG702"/>
    <mergeCell ref="AF703:AG703"/>
    <mergeCell ref="AF704:AG704"/>
    <mergeCell ref="AF705:AG705"/>
    <mergeCell ref="AF706:AG706"/>
    <mergeCell ref="AF707:AG707"/>
    <mergeCell ref="AF708:AG708"/>
    <mergeCell ref="AF709:AG709"/>
    <mergeCell ref="AF710:AG710"/>
    <mergeCell ref="AF711:AG711"/>
    <mergeCell ref="AF712:AG712"/>
    <mergeCell ref="AF713:AG713"/>
    <mergeCell ref="AF714:AG714"/>
    <mergeCell ref="AF715:AG715"/>
    <mergeCell ref="AF716:AG716"/>
    <mergeCell ref="AF717:AG717"/>
    <mergeCell ref="AF718:AG718"/>
    <mergeCell ref="AF719:AG719"/>
    <mergeCell ref="AF720:AG720"/>
    <mergeCell ref="AF615:AG615"/>
    <mergeCell ref="AF616:AG616"/>
    <mergeCell ref="AF617:AG617"/>
    <mergeCell ref="AF618:AG618"/>
    <mergeCell ref="AF619:AG619"/>
    <mergeCell ref="AF620:AG620"/>
    <mergeCell ref="AF621:AG621"/>
    <mergeCell ref="AF622:AG622"/>
    <mergeCell ref="AF623:AG623"/>
    <mergeCell ref="AF624:AG624"/>
    <mergeCell ref="AF625:AG625"/>
    <mergeCell ref="AF626:AG626"/>
    <mergeCell ref="AF627:AG627"/>
    <mergeCell ref="AF628:AG628"/>
    <mergeCell ref="AF629:AG629"/>
    <mergeCell ref="AF630:AG630"/>
    <mergeCell ref="AF646:AG646"/>
    <mergeCell ref="AF647:AG647"/>
    <mergeCell ref="AF648:AG648"/>
    <mergeCell ref="AF649:AG649"/>
    <mergeCell ref="AF650:AG650"/>
    <mergeCell ref="AF651:AG651"/>
    <mergeCell ref="AF652:AG652"/>
    <mergeCell ref="AF653:AG653"/>
    <mergeCell ref="AF654:AG654"/>
    <mergeCell ref="AF655:AG655"/>
    <mergeCell ref="AF656:AG656"/>
    <mergeCell ref="AF657:AG657"/>
    <mergeCell ref="AF658:AG658"/>
    <mergeCell ref="AF659:AG659"/>
    <mergeCell ref="AF660:AG660"/>
    <mergeCell ref="AF661:AG661"/>
    <mergeCell ref="AF662:AG662"/>
    <mergeCell ref="AF526:AG526"/>
    <mergeCell ref="AF527:AG527"/>
    <mergeCell ref="AF528:AG528"/>
    <mergeCell ref="AF556:AG556"/>
    <mergeCell ref="AF557:AG557"/>
    <mergeCell ref="AF558:AG558"/>
    <mergeCell ref="AF559:AG559"/>
    <mergeCell ref="AF560:AG560"/>
    <mergeCell ref="AF561:AG561"/>
    <mergeCell ref="AF562:AG562"/>
    <mergeCell ref="AF563:AG563"/>
    <mergeCell ref="AF564:AG564"/>
    <mergeCell ref="AF565:AG565"/>
    <mergeCell ref="AF566:AG566"/>
    <mergeCell ref="AF567:AG567"/>
    <mergeCell ref="AF568:AG568"/>
    <mergeCell ref="AF569:AG569"/>
    <mergeCell ref="AF570:AG570"/>
    <mergeCell ref="AF571:AG571"/>
    <mergeCell ref="AF572:AG572"/>
    <mergeCell ref="AF573:AG573"/>
    <mergeCell ref="AF574:AG574"/>
    <mergeCell ref="AF575:AG575"/>
    <mergeCell ref="AF576:AG576"/>
    <mergeCell ref="AF577:AG577"/>
    <mergeCell ref="AF578:AG578"/>
    <mergeCell ref="AF579:AG579"/>
    <mergeCell ref="AF580:AG580"/>
    <mergeCell ref="AF581:AG581"/>
    <mergeCell ref="AF582:AG582"/>
    <mergeCell ref="AF583:AG583"/>
    <mergeCell ref="AF584:AG584"/>
    <mergeCell ref="AF586:AG586"/>
    <mergeCell ref="AF465:AG465"/>
    <mergeCell ref="AF466:AG466"/>
    <mergeCell ref="AF467:AG467"/>
    <mergeCell ref="AF468:AG468"/>
    <mergeCell ref="AF469:AG469"/>
    <mergeCell ref="AF470:AG470"/>
    <mergeCell ref="AF471:AG471"/>
    <mergeCell ref="AF472:AG472"/>
    <mergeCell ref="AF473:AG473"/>
    <mergeCell ref="AF474:AG474"/>
    <mergeCell ref="AF475:AG475"/>
    <mergeCell ref="AF476:AG476"/>
    <mergeCell ref="AF477:AG477"/>
    <mergeCell ref="AF478:AG478"/>
    <mergeCell ref="AF479:AG479"/>
    <mergeCell ref="AF480:AG480"/>
    <mergeCell ref="AF481:AG481"/>
    <mergeCell ref="AF482:AG482"/>
    <mergeCell ref="AF483:AG483"/>
    <mergeCell ref="AF496:AG496"/>
    <mergeCell ref="AF497:AG497"/>
    <mergeCell ref="AF498:AG498"/>
    <mergeCell ref="AF499:AG499"/>
    <mergeCell ref="AF500:AG500"/>
    <mergeCell ref="AF501:AG501"/>
    <mergeCell ref="AF502:AG502"/>
    <mergeCell ref="AF503:AG503"/>
    <mergeCell ref="AF504:AG504"/>
    <mergeCell ref="AF505:AG505"/>
    <mergeCell ref="AF506:AG506"/>
    <mergeCell ref="AF507:AG507"/>
    <mergeCell ref="AF508:AG508"/>
    <mergeCell ref="AF509:AG509"/>
    <mergeCell ref="AF420:AG420"/>
    <mergeCell ref="AF421:AG421"/>
    <mergeCell ref="AF422:AG422"/>
    <mergeCell ref="AF423:AG423"/>
    <mergeCell ref="AF424:AG424"/>
    <mergeCell ref="AF425:AG425"/>
    <mergeCell ref="AF426:AG426"/>
    <mergeCell ref="AF427:AG427"/>
    <mergeCell ref="AF428:AG428"/>
    <mergeCell ref="AF429:AG429"/>
    <mergeCell ref="AF430:AG430"/>
    <mergeCell ref="AF431:AG431"/>
    <mergeCell ref="AF432:AG432"/>
    <mergeCell ref="AF433:AG433"/>
    <mergeCell ref="AF434:AG434"/>
    <mergeCell ref="AF435:AG435"/>
    <mergeCell ref="AF436:AG436"/>
    <mergeCell ref="AF437:AG437"/>
    <mergeCell ref="AF438:AG438"/>
    <mergeCell ref="AF451:AG451"/>
    <mergeCell ref="AF452:AG452"/>
    <mergeCell ref="AF453:AG453"/>
    <mergeCell ref="AF454:AG454"/>
    <mergeCell ref="AF455:AG455"/>
    <mergeCell ref="AF456:AG456"/>
    <mergeCell ref="AF457:AG457"/>
    <mergeCell ref="AF458:AG458"/>
    <mergeCell ref="AF459:AG459"/>
    <mergeCell ref="AF460:AG460"/>
    <mergeCell ref="AF461:AG461"/>
    <mergeCell ref="AF462:AG462"/>
    <mergeCell ref="AF463:AG463"/>
    <mergeCell ref="AF464:AG464"/>
    <mergeCell ref="AF375:AG375"/>
    <mergeCell ref="AF376:AG376"/>
    <mergeCell ref="AF377:AG377"/>
    <mergeCell ref="AF378:AG378"/>
    <mergeCell ref="AF379:AG379"/>
    <mergeCell ref="AF380:AG380"/>
    <mergeCell ref="AF381:AG381"/>
    <mergeCell ref="AF382:AG382"/>
    <mergeCell ref="AF383:AG383"/>
    <mergeCell ref="AF384:AG384"/>
    <mergeCell ref="AF385:AG385"/>
    <mergeCell ref="AF386:AG386"/>
    <mergeCell ref="AF387:AG387"/>
    <mergeCell ref="AF388:AG388"/>
    <mergeCell ref="AF389:AG389"/>
    <mergeCell ref="AF390:AG390"/>
    <mergeCell ref="AF391:AG391"/>
    <mergeCell ref="AF392:AG392"/>
    <mergeCell ref="AF393:AG393"/>
    <mergeCell ref="AF406:AG406"/>
    <mergeCell ref="AF407:AG407"/>
    <mergeCell ref="AF408:AG408"/>
    <mergeCell ref="AF409:AG409"/>
    <mergeCell ref="AF410:AG410"/>
    <mergeCell ref="AF411:AG411"/>
    <mergeCell ref="AF412:AG412"/>
    <mergeCell ref="AF413:AG413"/>
    <mergeCell ref="AF414:AG414"/>
    <mergeCell ref="AF415:AG415"/>
    <mergeCell ref="AF416:AG416"/>
    <mergeCell ref="AF417:AG417"/>
    <mergeCell ref="AF418:AG418"/>
    <mergeCell ref="AF419:AG419"/>
    <mergeCell ref="AF316:AG316"/>
    <mergeCell ref="AF317:AG317"/>
    <mergeCell ref="AF318:AG318"/>
    <mergeCell ref="AF319:AG319"/>
    <mergeCell ref="AF320:AG320"/>
    <mergeCell ref="AF321:AG321"/>
    <mergeCell ref="AF322:AG322"/>
    <mergeCell ref="AF323:AG323"/>
    <mergeCell ref="AF324:AG324"/>
    <mergeCell ref="AF325:AG325"/>
    <mergeCell ref="AF326:AG326"/>
    <mergeCell ref="AF327:AG327"/>
    <mergeCell ref="AF328:AG328"/>
    <mergeCell ref="AF329:AG329"/>
    <mergeCell ref="AF330:AG330"/>
    <mergeCell ref="AF345:AG345"/>
    <mergeCell ref="AF346:AG346"/>
    <mergeCell ref="AF347:AG347"/>
    <mergeCell ref="AF348:AG348"/>
    <mergeCell ref="AF361:AG361"/>
    <mergeCell ref="AF362:AG362"/>
    <mergeCell ref="AF363:AG363"/>
    <mergeCell ref="AF364:AG364"/>
    <mergeCell ref="AF365:AG365"/>
    <mergeCell ref="AF366:AG366"/>
    <mergeCell ref="AF367:AG367"/>
    <mergeCell ref="AF368:AG368"/>
    <mergeCell ref="AF369:AG369"/>
    <mergeCell ref="AF370:AG370"/>
    <mergeCell ref="AF371:AG371"/>
    <mergeCell ref="AF372:AG372"/>
    <mergeCell ref="AF373:AG373"/>
    <mergeCell ref="AF374:AG374"/>
    <mergeCell ref="AF256:AG256"/>
    <mergeCell ref="AF257:AG257"/>
    <mergeCell ref="AF258:AG258"/>
    <mergeCell ref="AF271:AG271"/>
    <mergeCell ref="AF272:AG272"/>
    <mergeCell ref="AF273:AG273"/>
    <mergeCell ref="AF274:AG274"/>
    <mergeCell ref="AF275:AG275"/>
    <mergeCell ref="AF276:AG276"/>
    <mergeCell ref="AF277:AG277"/>
    <mergeCell ref="AF278:AG278"/>
    <mergeCell ref="AF279:AG279"/>
    <mergeCell ref="AF280:AG280"/>
    <mergeCell ref="AF281:AG281"/>
    <mergeCell ref="AF282:AG282"/>
    <mergeCell ref="AF283:AG283"/>
    <mergeCell ref="AF284:AG284"/>
    <mergeCell ref="AF286:AG286"/>
    <mergeCell ref="AF287:AG287"/>
    <mergeCell ref="AF288:AG288"/>
    <mergeCell ref="AF289:AG289"/>
    <mergeCell ref="AF290:AG290"/>
    <mergeCell ref="AF291:AG291"/>
    <mergeCell ref="AF292:AG292"/>
    <mergeCell ref="AF293:AG293"/>
    <mergeCell ref="AF294:AG294"/>
    <mergeCell ref="AF295:AG295"/>
    <mergeCell ref="AF296:AG296"/>
    <mergeCell ref="AF297:AG297"/>
    <mergeCell ref="AF298:AG298"/>
    <mergeCell ref="AF299:AG299"/>
    <mergeCell ref="AF300:AG300"/>
    <mergeCell ref="AF301:AG301"/>
    <mergeCell ref="AF192:AG192"/>
    <mergeCell ref="AF193:AG193"/>
    <mergeCell ref="AF194:AG194"/>
    <mergeCell ref="AF195:AG195"/>
    <mergeCell ref="AF196:AG196"/>
    <mergeCell ref="AF197:AG197"/>
    <mergeCell ref="AF198:AG198"/>
    <mergeCell ref="AF199:AG199"/>
    <mergeCell ref="AF200:AG200"/>
    <mergeCell ref="AF201:AG201"/>
    <mergeCell ref="AF202:AG202"/>
    <mergeCell ref="AF203:AG203"/>
    <mergeCell ref="AF204:AG204"/>
    <mergeCell ref="AF205:AG205"/>
    <mergeCell ref="AF206:AG206"/>
    <mergeCell ref="AF207:AG207"/>
    <mergeCell ref="AF208:AG208"/>
    <mergeCell ref="AF209:AG209"/>
    <mergeCell ref="AF210:AG210"/>
    <mergeCell ref="AF211:AG211"/>
    <mergeCell ref="AF212:AG212"/>
    <mergeCell ref="AF213:AG213"/>
    <mergeCell ref="AF226:AG226"/>
    <mergeCell ref="AF227:AG227"/>
    <mergeCell ref="AF228:AG228"/>
    <mergeCell ref="AF229:AG229"/>
    <mergeCell ref="AF230:AG230"/>
    <mergeCell ref="AF231:AG231"/>
    <mergeCell ref="AF232:AG232"/>
    <mergeCell ref="AF233:AG233"/>
    <mergeCell ref="AF234:AG234"/>
    <mergeCell ref="AF235:AG235"/>
    <mergeCell ref="AF236:AG236"/>
    <mergeCell ref="AF157:AG157"/>
    <mergeCell ref="AF158:AG158"/>
    <mergeCell ref="AF159:AG159"/>
    <mergeCell ref="AF160:AG160"/>
    <mergeCell ref="AF161:AG161"/>
    <mergeCell ref="AF162:AG162"/>
    <mergeCell ref="AF163:AG163"/>
    <mergeCell ref="AF164:AG164"/>
    <mergeCell ref="AF165:AG165"/>
    <mergeCell ref="AF166:AG166"/>
    <mergeCell ref="AF167:AG167"/>
    <mergeCell ref="AF168:AG168"/>
    <mergeCell ref="AF169:AG169"/>
    <mergeCell ref="AF170:AG170"/>
    <mergeCell ref="AF171:AG171"/>
    <mergeCell ref="AF172:AG172"/>
    <mergeCell ref="AF173:AG173"/>
    <mergeCell ref="AF174:AG174"/>
    <mergeCell ref="AF175:AG175"/>
    <mergeCell ref="AF176:AG176"/>
    <mergeCell ref="AF177:AG177"/>
    <mergeCell ref="AF178:AG178"/>
    <mergeCell ref="AF179:AG179"/>
    <mergeCell ref="AF180:AG180"/>
    <mergeCell ref="AF181:AG181"/>
    <mergeCell ref="AF182:AG182"/>
    <mergeCell ref="AF183:AG183"/>
    <mergeCell ref="AF186:AG186"/>
    <mergeCell ref="AF187:AG187"/>
    <mergeCell ref="AF188:AG188"/>
    <mergeCell ref="AF189:AG189"/>
    <mergeCell ref="AF190:AG190"/>
    <mergeCell ref="AF191:AG191"/>
    <mergeCell ref="AF115:AG115"/>
    <mergeCell ref="AF116:AG116"/>
    <mergeCell ref="AF117:AG117"/>
    <mergeCell ref="AF118:AG118"/>
    <mergeCell ref="AF119:AG119"/>
    <mergeCell ref="AF120:AG120"/>
    <mergeCell ref="AF121:AG121"/>
    <mergeCell ref="AF122:AG122"/>
    <mergeCell ref="AF123:AG123"/>
    <mergeCell ref="AF124:AG124"/>
    <mergeCell ref="AF125:AG125"/>
    <mergeCell ref="AF126:AG126"/>
    <mergeCell ref="AF127:AG127"/>
    <mergeCell ref="AF128:AG128"/>
    <mergeCell ref="AF129:AG129"/>
    <mergeCell ref="AF130:AG130"/>
    <mergeCell ref="AF131:AG131"/>
    <mergeCell ref="AF132:AG132"/>
    <mergeCell ref="AF133:AG133"/>
    <mergeCell ref="AF134:AG134"/>
    <mergeCell ref="AF135:AG135"/>
    <mergeCell ref="AF136:AG136"/>
    <mergeCell ref="AF137:AG137"/>
    <mergeCell ref="AF138:AG138"/>
    <mergeCell ref="AF139:AG139"/>
    <mergeCell ref="AF140:AG140"/>
    <mergeCell ref="AF141:AG141"/>
    <mergeCell ref="AF142:AG142"/>
    <mergeCell ref="AF144:AG144"/>
    <mergeCell ref="AF145:AG145"/>
    <mergeCell ref="AF146:AG146"/>
    <mergeCell ref="AF147:AG147"/>
    <mergeCell ref="AF151:AG151"/>
    <mergeCell ref="AF75:AG75"/>
    <mergeCell ref="AF76:AG76"/>
    <mergeCell ref="AF77:AG77"/>
    <mergeCell ref="AF78:AG78"/>
    <mergeCell ref="AF80:AG80"/>
    <mergeCell ref="AF79:AG79"/>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7:AG107"/>
    <mergeCell ref="AF108:AG108"/>
    <mergeCell ref="AF109:AG109"/>
    <mergeCell ref="AF110:AG110"/>
    <mergeCell ref="AV176:AW176"/>
    <mergeCell ref="AV151:AW151"/>
    <mergeCell ref="R14:S14"/>
    <mergeCell ref="L14:M14"/>
    <mergeCell ref="V6:AB6"/>
    <mergeCell ref="V7:AB7"/>
    <mergeCell ref="V8:AB8"/>
    <mergeCell ref="V9:AB9"/>
    <mergeCell ref="V10:AB10"/>
    <mergeCell ref="AF1:AG1"/>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3:AG73"/>
    <mergeCell ref="AF74:AG74"/>
    <mergeCell ref="BN206:BV206"/>
    <mergeCell ref="BJ201:BM201"/>
    <mergeCell ref="BD200:BE200"/>
    <mergeCell ref="BF200:BI200"/>
    <mergeCell ref="BJ200:BM200"/>
    <mergeCell ref="BN202:BV202"/>
    <mergeCell ref="BN200:BV200"/>
    <mergeCell ref="BD201:BE201"/>
    <mergeCell ref="BF201:BI201"/>
    <mergeCell ref="BN201:BV201"/>
    <mergeCell ref="AV186:AW186"/>
    <mergeCell ref="AV187:AW187"/>
    <mergeCell ref="AV188:AW188"/>
    <mergeCell ref="AV189:AW189"/>
    <mergeCell ref="AV190:AW190"/>
    <mergeCell ref="AV191:AW191"/>
    <mergeCell ref="AV192:AW192"/>
    <mergeCell ref="AV193:AW193"/>
    <mergeCell ref="AV194:AW194"/>
    <mergeCell ref="AV195:AW195"/>
    <mergeCell ref="AV196:AW196"/>
    <mergeCell ref="AV197:AW197"/>
    <mergeCell ref="AV198:AW198"/>
    <mergeCell ref="AV199:AW199"/>
    <mergeCell ref="AV200:AW200"/>
    <mergeCell ref="AV201:AW201"/>
    <mergeCell ref="AV202:AW202"/>
    <mergeCell ref="AV82:AW82"/>
    <mergeCell ref="AV83:AW83"/>
    <mergeCell ref="AV84:AW84"/>
    <mergeCell ref="AV85:AW85"/>
    <mergeCell ref="AV86:AW86"/>
    <mergeCell ref="AV87:AW87"/>
    <mergeCell ref="AV88:AW88"/>
    <mergeCell ref="AV89:AW89"/>
    <mergeCell ref="AV90:AW90"/>
    <mergeCell ref="AV91:AW91"/>
    <mergeCell ref="AV92:AW92"/>
    <mergeCell ref="AV93:AW93"/>
    <mergeCell ref="AV94:AW94"/>
    <mergeCell ref="AV95:AW95"/>
    <mergeCell ref="AV96:AW96"/>
    <mergeCell ref="AV97:AW97"/>
    <mergeCell ref="AV98:AW98"/>
    <mergeCell ref="AV99:AW99"/>
    <mergeCell ref="AV100:AW100"/>
    <mergeCell ref="AV101:AW101"/>
    <mergeCell ref="AV102:AW102"/>
    <mergeCell ref="AV103:AW103"/>
    <mergeCell ref="AV104:AW104"/>
    <mergeCell ref="AV105:AW105"/>
    <mergeCell ref="AV106:AW106"/>
    <mergeCell ref="AV107:AW107"/>
    <mergeCell ref="AV108:AW108"/>
    <mergeCell ref="AV109:AW109"/>
    <mergeCell ref="AV123:AW123"/>
    <mergeCell ref="AV124:AW124"/>
    <mergeCell ref="AV125:AW125"/>
    <mergeCell ref="AV126:AW126"/>
    <mergeCell ref="AV127:AW127"/>
    <mergeCell ref="AV167:AW167"/>
    <mergeCell ref="AV168:AW168"/>
    <mergeCell ref="AV128:AW128"/>
    <mergeCell ref="AV177:AW177"/>
    <mergeCell ref="BN204:BV204"/>
    <mergeCell ref="B205:C205"/>
    <mergeCell ref="D205:E205"/>
    <mergeCell ref="F205:G205"/>
    <mergeCell ref="H205:I205"/>
    <mergeCell ref="BJ204:BM204"/>
    <mergeCell ref="V203:W203"/>
    <mergeCell ref="L205:M205"/>
    <mergeCell ref="P205:Q205"/>
    <mergeCell ref="R205:S205"/>
    <mergeCell ref="T205:U205"/>
    <mergeCell ref="V205:W205"/>
    <mergeCell ref="X205:AA205"/>
    <mergeCell ref="AB205:AE205"/>
    <mergeCell ref="AJ205:AK205"/>
    <mergeCell ref="AL205:AM205"/>
    <mergeCell ref="AN205:AO205"/>
    <mergeCell ref="AP205:AQ205"/>
    <mergeCell ref="AR205:AS205"/>
    <mergeCell ref="AR204:AS204"/>
    <mergeCell ref="AT204:AU204"/>
    <mergeCell ref="BN203:BV203"/>
    <mergeCell ref="AJ207:AK207"/>
    <mergeCell ref="AR137:AS137"/>
    <mergeCell ref="AT137:AU137"/>
    <mergeCell ref="BA137:BB137"/>
    <mergeCell ref="AX137:AZ137"/>
    <mergeCell ref="BD137:BE137"/>
    <mergeCell ref="BF137:BI137"/>
    <mergeCell ref="BJ137:BM137"/>
    <mergeCell ref="BN205:BV205"/>
    <mergeCell ref="X206:AA206"/>
    <mergeCell ref="AB206:AE206"/>
    <mergeCell ref="AJ206:AK206"/>
    <mergeCell ref="AL206:AM206"/>
    <mergeCell ref="AN206:AO206"/>
    <mergeCell ref="AX205:AZ205"/>
    <mergeCell ref="BD205:BE205"/>
    <mergeCell ref="BF205:BI205"/>
    <mergeCell ref="BJ205:BM205"/>
    <mergeCell ref="BD204:BE204"/>
    <mergeCell ref="BF204:BI204"/>
    <mergeCell ref="BN207:BV207"/>
    <mergeCell ref="AL207:AM207"/>
    <mergeCell ref="BJ207:BM207"/>
    <mergeCell ref="BA204:BB204"/>
    <mergeCell ref="AX204:AZ204"/>
    <mergeCell ref="X203:AA203"/>
    <mergeCell ref="AB203:AE203"/>
    <mergeCell ref="AJ203:AK203"/>
    <mergeCell ref="AL203:AM203"/>
    <mergeCell ref="AP202:AQ202"/>
    <mergeCell ref="AR202:AS202"/>
    <mergeCell ref="AT202:AU202"/>
    <mergeCell ref="BA202:BB202"/>
    <mergeCell ref="AV156:AW156"/>
    <mergeCell ref="AV157:AW157"/>
    <mergeCell ref="AV158:AW158"/>
    <mergeCell ref="AV159:AW159"/>
    <mergeCell ref="AV160:AW160"/>
    <mergeCell ref="AV161:AW161"/>
    <mergeCell ref="AV162:AW162"/>
    <mergeCell ref="AV163:AW163"/>
    <mergeCell ref="AV164:AW164"/>
    <mergeCell ref="P207:Q207"/>
    <mergeCell ref="R207:S207"/>
    <mergeCell ref="T207:U207"/>
    <mergeCell ref="V207:W207"/>
    <mergeCell ref="X207:AA207"/>
    <mergeCell ref="AB207:AE207"/>
    <mergeCell ref="T203:U203"/>
    <mergeCell ref="AT206:AU206"/>
    <mergeCell ref="AT205:AU205"/>
    <mergeCell ref="BA205:BB205"/>
    <mergeCell ref="D206:E206"/>
    <mergeCell ref="F206:G206"/>
    <mergeCell ref="H206:I206"/>
    <mergeCell ref="L206:M206"/>
    <mergeCell ref="P206:Q206"/>
    <mergeCell ref="R206:S206"/>
    <mergeCell ref="T206:U206"/>
    <mergeCell ref="V206:W206"/>
    <mergeCell ref="AP206:AQ206"/>
    <mergeCell ref="AR206:AS206"/>
    <mergeCell ref="AP204:AQ204"/>
    <mergeCell ref="AP203:AQ203"/>
    <mergeCell ref="AR203:AS203"/>
    <mergeCell ref="AV203:AW203"/>
    <mergeCell ref="AV204:AW204"/>
    <mergeCell ref="AV205:AW205"/>
    <mergeCell ref="AV206:AW206"/>
    <mergeCell ref="AV207:AW207"/>
    <mergeCell ref="F204:G204"/>
    <mergeCell ref="H204:I204"/>
    <mergeCell ref="L204:M204"/>
    <mergeCell ref="P204:Q204"/>
    <mergeCell ref="R204:S204"/>
    <mergeCell ref="T204:U204"/>
    <mergeCell ref="V204:W204"/>
    <mergeCell ref="X204:AA204"/>
    <mergeCell ref="AB204:AE204"/>
    <mergeCell ref="BN196:BV196"/>
    <mergeCell ref="F198:G198"/>
    <mergeCell ref="H198:I198"/>
    <mergeCell ref="L198:M198"/>
    <mergeCell ref="P198:Q198"/>
    <mergeCell ref="R198:S198"/>
    <mergeCell ref="T198:U198"/>
    <mergeCell ref="V198:W198"/>
    <mergeCell ref="X198:AA198"/>
    <mergeCell ref="AB198:AE198"/>
    <mergeCell ref="AJ198:AK198"/>
    <mergeCell ref="AL198:AM198"/>
    <mergeCell ref="AN198:AO198"/>
    <mergeCell ref="AN196:AO196"/>
    <mergeCell ref="BN197:BV197"/>
    <mergeCell ref="BN198:BV198"/>
    <mergeCell ref="B199:C199"/>
    <mergeCell ref="D199:E199"/>
    <mergeCell ref="F199:G199"/>
    <mergeCell ref="H199:I199"/>
    <mergeCell ref="L199:M199"/>
    <mergeCell ref="P199:Q199"/>
    <mergeCell ref="R199:S199"/>
    <mergeCell ref="T199:U199"/>
    <mergeCell ref="V199:W199"/>
    <mergeCell ref="X199:AA199"/>
    <mergeCell ref="AB199:AE199"/>
    <mergeCell ref="AJ199:AK199"/>
    <mergeCell ref="AL199:AM199"/>
    <mergeCell ref="B198:C198"/>
    <mergeCell ref="AT198:AU198"/>
    <mergeCell ref="BA198:BB198"/>
    <mergeCell ref="AX198:AZ198"/>
    <mergeCell ref="BD197:BE197"/>
    <mergeCell ref="BF197:BI197"/>
    <mergeCell ref="BJ197:BM197"/>
    <mergeCell ref="AN199:AO199"/>
    <mergeCell ref="AP199:AQ199"/>
    <mergeCell ref="T196:U196"/>
    <mergeCell ref="B200:C200"/>
    <mergeCell ref="D200:E200"/>
    <mergeCell ref="F200:G200"/>
    <mergeCell ref="H200:I200"/>
    <mergeCell ref="L200:M200"/>
    <mergeCell ref="P200:Q200"/>
    <mergeCell ref="R200:S200"/>
    <mergeCell ref="T200:U200"/>
    <mergeCell ref="P201:Q201"/>
    <mergeCell ref="R201:S201"/>
    <mergeCell ref="T201:U201"/>
    <mergeCell ref="V201:W201"/>
    <mergeCell ref="X201:AA201"/>
    <mergeCell ref="AB201:AE201"/>
    <mergeCell ref="V200:W200"/>
    <mergeCell ref="X200:AA200"/>
    <mergeCell ref="AB200:AE200"/>
    <mergeCell ref="B204:C204"/>
    <mergeCell ref="D204:E204"/>
    <mergeCell ref="D197:E197"/>
    <mergeCell ref="F197:G197"/>
    <mergeCell ref="B207:C207"/>
    <mergeCell ref="D207:E207"/>
    <mergeCell ref="F207:G207"/>
    <mergeCell ref="H207:I207"/>
    <mergeCell ref="L207:M207"/>
    <mergeCell ref="B206:C206"/>
    <mergeCell ref="B203:C203"/>
    <mergeCell ref="BD202:BE202"/>
    <mergeCell ref="BF202:BI202"/>
    <mergeCell ref="BJ202:BM202"/>
    <mergeCell ref="BA206:BB206"/>
    <mergeCell ref="AX206:AZ206"/>
    <mergeCell ref="BD206:BE206"/>
    <mergeCell ref="BF206:BI206"/>
    <mergeCell ref="BJ206:BM206"/>
    <mergeCell ref="AT203:AU203"/>
    <mergeCell ref="BA203:BB203"/>
    <mergeCell ref="AX203:AZ203"/>
    <mergeCell ref="BD203:BE203"/>
    <mergeCell ref="BF203:BI203"/>
    <mergeCell ref="BJ203:BM203"/>
    <mergeCell ref="AN203:AO203"/>
    <mergeCell ref="D203:E203"/>
    <mergeCell ref="F203:G203"/>
    <mergeCell ref="H203:I203"/>
    <mergeCell ref="L203:M203"/>
    <mergeCell ref="P203:Q203"/>
    <mergeCell ref="R203:S203"/>
    <mergeCell ref="AN204:AO204"/>
    <mergeCell ref="AN207:AO207"/>
    <mergeCell ref="AP207:AQ207"/>
    <mergeCell ref="AR207:AS207"/>
    <mergeCell ref="AT207:AU207"/>
    <mergeCell ref="BA207:BB207"/>
    <mergeCell ref="AX207:AZ207"/>
    <mergeCell ref="BD207:BE207"/>
    <mergeCell ref="BF207:BI207"/>
    <mergeCell ref="AH199:AI199"/>
    <mergeCell ref="AH205:AI205"/>
    <mergeCell ref="AH206:AI206"/>
    <mergeCell ref="AH207:AI207"/>
    <mergeCell ref="J199:K199"/>
    <mergeCell ref="J200:K200"/>
    <mergeCell ref="AX194:AZ194"/>
    <mergeCell ref="BF194:BI194"/>
    <mergeCell ref="BJ194:BM194"/>
    <mergeCell ref="B194:C194"/>
    <mergeCell ref="D194:E194"/>
    <mergeCell ref="F194:G194"/>
    <mergeCell ref="BD198:BE198"/>
    <mergeCell ref="BF198:BI198"/>
    <mergeCell ref="BJ198:BM198"/>
    <mergeCell ref="BN199:BV199"/>
    <mergeCell ref="D198:E198"/>
    <mergeCell ref="BF199:BI199"/>
    <mergeCell ref="BJ196:BM196"/>
    <mergeCell ref="B202:C202"/>
    <mergeCell ref="D202:E202"/>
    <mergeCell ref="F202:G202"/>
    <mergeCell ref="H202:I202"/>
    <mergeCell ref="L202:M202"/>
    <mergeCell ref="P202:Q202"/>
    <mergeCell ref="R202:S202"/>
    <mergeCell ref="T202:U202"/>
    <mergeCell ref="V202:W202"/>
    <mergeCell ref="X202:AA202"/>
    <mergeCell ref="AB202:AE202"/>
    <mergeCell ref="AJ202:AK202"/>
    <mergeCell ref="AN202:AO202"/>
    <mergeCell ref="B201:C201"/>
    <mergeCell ref="D201:E201"/>
    <mergeCell ref="F201:G201"/>
    <mergeCell ref="H201:I201"/>
    <mergeCell ref="L201:M201"/>
    <mergeCell ref="H197:I197"/>
    <mergeCell ref="L197:M197"/>
    <mergeCell ref="B197:C197"/>
    <mergeCell ref="X194:AA194"/>
    <mergeCell ref="AB194:AE194"/>
    <mergeCell ref="AJ194:AK194"/>
    <mergeCell ref="AL194:AM194"/>
    <mergeCell ref="AN194:AO194"/>
    <mergeCell ref="AP194:AQ194"/>
    <mergeCell ref="AR194:AS194"/>
    <mergeCell ref="AT194:AU194"/>
    <mergeCell ref="BD194:BE194"/>
    <mergeCell ref="BA194:BB194"/>
    <mergeCell ref="P197:Q197"/>
    <mergeCell ref="R197:S197"/>
    <mergeCell ref="T197:U197"/>
    <mergeCell ref="V197:W197"/>
    <mergeCell ref="X197:AA197"/>
    <mergeCell ref="AB197:AE197"/>
    <mergeCell ref="AJ197:AK197"/>
    <mergeCell ref="AL197:AM197"/>
    <mergeCell ref="AT199:AU199"/>
    <mergeCell ref="BA199:BB199"/>
    <mergeCell ref="AX199:AZ199"/>
    <mergeCell ref="BD199:BE199"/>
    <mergeCell ref="AN197:AO197"/>
    <mergeCell ref="AR198:AS198"/>
    <mergeCell ref="AP198:AQ198"/>
    <mergeCell ref="AP197:AQ197"/>
    <mergeCell ref="AR197:AS197"/>
    <mergeCell ref="AT197:AU197"/>
    <mergeCell ref="BA197:BB197"/>
    <mergeCell ref="AX197:AZ197"/>
    <mergeCell ref="B191:C191"/>
    <mergeCell ref="D191:E191"/>
    <mergeCell ref="F191:G191"/>
    <mergeCell ref="H191:I191"/>
    <mergeCell ref="L191:M191"/>
    <mergeCell ref="P191:Q191"/>
    <mergeCell ref="V196:W196"/>
    <mergeCell ref="X196:AA196"/>
    <mergeCell ref="AB196:AE196"/>
    <mergeCell ref="AJ196:AK196"/>
    <mergeCell ref="AL196:AM196"/>
    <mergeCell ref="BJ199:BM199"/>
    <mergeCell ref="AP192:AQ192"/>
    <mergeCell ref="AR192:AS192"/>
    <mergeCell ref="AT192:AU192"/>
    <mergeCell ref="BN191:BV191"/>
    <mergeCell ref="B192:C192"/>
    <mergeCell ref="D192:E192"/>
    <mergeCell ref="F192:G192"/>
    <mergeCell ref="H192:I192"/>
    <mergeCell ref="L192:M192"/>
    <mergeCell ref="P192:Q192"/>
    <mergeCell ref="R192:S192"/>
    <mergeCell ref="T192:U192"/>
    <mergeCell ref="V192:W192"/>
    <mergeCell ref="X192:AA192"/>
    <mergeCell ref="BN194:BV194"/>
    <mergeCell ref="AL195:AM195"/>
    <mergeCell ref="AN195:AO195"/>
    <mergeCell ref="AP195:AQ195"/>
    <mergeCell ref="AR195:AS195"/>
    <mergeCell ref="AT195:AU195"/>
    <mergeCell ref="BA195:BB195"/>
    <mergeCell ref="AX195:AZ195"/>
    <mergeCell ref="BD195:BE195"/>
    <mergeCell ref="BF195:BI195"/>
    <mergeCell ref="P195:Q195"/>
    <mergeCell ref="R195:S195"/>
    <mergeCell ref="T195:U195"/>
    <mergeCell ref="V195:W195"/>
    <mergeCell ref="X195:AA195"/>
    <mergeCell ref="AB195:AE195"/>
    <mergeCell ref="AJ195:AK195"/>
    <mergeCell ref="AP196:AQ196"/>
    <mergeCell ref="AR196:AS196"/>
    <mergeCell ref="AT196:AU196"/>
    <mergeCell ref="BA196:BB196"/>
    <mergeCell ref="AX196:AZ196"/>
    <mergeCell ref="BD196:BE196"/>
    <mergeCell ref="BF196:BI196"/>
    <mergeCell ref="BN195:BV195"/>
    <mergeCell ref="B196:C196"/>
    <mergeCell ref="D196:E196"/>
    <mergeCell ref="F196:G196"/>
    <mergeCell ref="H196:I196"/>
    <mergeCell ref="L196:M196"/>
    <mergeCell ref="P196:Q196"/>
    <mergeCell ref="R196:S196"/>
    <mergeCell ref="B195:C195"/>
    <mergeCell ref="D195:E195"/>
    <mergeCell ref="F195:G195"/>
    <mergeCell ref="H195:I195"/>
    <mergeCell ref="L195:M195"/>
    <mergeCell ref="BJ195:BM195"/>
    <mergeCell ref="V187:W187"/>
    <mergeCell ref="X187:AA187"/>
    <mergeCell ref="AB187:AE187"/>
    <mergeCell ref="AJ187:AK187"/>
    <mergeCell ref="AL187:AM187"/>
    <mergeCell ref="AN187:AO187"/>
    <mergeCell ref="AT188:AU188"/>
    <mergeCell ref="BA188:BB188"/>
    <mergeCell ref="BN187:BV187"/>
    <mergeCell ref="B188:C188"/>
    <mergeCell ref="D188:E188"/>
    <mergeCell ref="AR187:AS187"/>
    <mergeCell ref="P188:Q188"/>
    <mergeCell ref="R188:S188"/>
    <mergeCell ref="T188:U188"/>
    <mergeCell ref="V188:W188"/>
    <mergeCell ref="X188:AA188"/>
    <mergeCell ref="AB188:AE188"/>
    <mergeCell ref="AJ188:AK188"/>
    <mergeCell ref="AL188:AM188"/>
    <mergeCell ref="AB192:AE192"/>
    <mergeCell ref="AJ192:AK192"/>
    <mergeCell ref="AL192:AM192"/>
    <mergeCell ref="AN192:AO192"/>
    <mergeCell ref="BA192:BB192"/>
    <mergeCell ref="AX192:AZ192"/>
    <mergeCell ref="BJ192:BM192"/>
    <mergeCell ref="BF192:BI192"/>
    <mergeCell ref="H194:I194"/>
    <mergeCell ref="L194:M194"/>
    <mergeCell ref="P194:Q194"/>
    <mergeCell ref="R194:S194"/>
    <mergeCell ref="T194:U194"/>
    <mergeCell ref="V194:W194"/>
    <mergeCell ref="P190:Q190"/>
    <mergeCell ref="R190:S190"/>
    <mergeCell ref="T190:U190"/>
    <mergeCell ref="V190:W190"/>
    <mergeCell ref="X190:AA190"/>
    <mergeCell ref="AB190:AE190"/>
    <mergeCell ref="AJ190:AK190"/>
    <mergeCell ref="AN189:AO189"/>
    <mergeCell ref="AP189:AQ189"/>
    <mergeCell ref="AR189:AS189"/>
    <mergeCell ref="AT189:AU189"/>
    <mergeCell ref="BJ190:BM190"/>
    <mergeCell ref="BN190:BV190"/>
    <mergeCell ref="X189:AA189"/>
    <mergeCell ref="AB189:AE189"/>
    <mergeCell ref="AJ189:AK189"/>
    <mergeCell ref="AL189:AM189"/>
    <mergeCell ref="AX188:AZ188"/>
    <mergeCell ref="BD188:BE188"/>
    <mergeCell ref="BF188:BI188"/>
    <mergeCell ref="B193:C193"/>
    <mergeCell ref="D193:E193"/>
    <mergeCell ref="F193:G193"/>
    <mergeCell ref="H193:I193"/>
    <mergeCell ref="L193:M193"/>
    <mergeCell ref="P193:Q193"/>
    <mergeCell ref="R193:S193"/>
    <mergeCell ref="T193:U193"/>
    <mergeCell ref="V193:W193"/>
    <mergeCell ref="X193:AA193"/>
    <mergeCell ref="BJ193:BM193"/>
    <mergeCell ref="BN192:BV192"/>
    <mergeCell ref="AR191:AS191"/>
    <mergeCell ref="B190:C190"/>
    <mergeCell ref="D190:E190"/>
    <mergeCell ref="F190:G190"/>
    <mergeCell ref="H190:I190"/>
    <mergeCell ref="L190:M190"/>
    <mergeCell ref="BA189:BB189"/>
    <mergeCell ref="AX189:AZ189"/>
    <mergeCell ref="BD189:BE189"/>
    <mergeCell ref="BF189:BI189"/>
    <mergeCell ref="BJ189:BM189"/>
    <mergeCell ref="AR188:AS188"/>
    <mergeCell ref="B189:C189"/>
    <mergeCell ref="D189:E189"/>
    <mergeCell ref="F189:G189"/>
    <mergeCell ref="H189:I189"/>
    <mergeCell ref="L189:M189"/>
    <mergeCell ref="P189:Q189"/>
    <mergeCell ref="R189:S189"/>
    <mergeCell ref="T189:U189"/>
    <mergeCell ref="V189:W189"/>
    <mergeCell ref="AN188:AO188"/>
    <mergeCell ref="AP188:AQ188"/>
    <mergeCell ref="F188:G188"/>
    <mergeCell ref="BN189:BV189"/>
    <mergeCell ref="AL190:AM190"/>
    <mergeCell ref="AN190:AO190"/>
    <mergeCell ref="AP190:AQ190"/>
    <mergeCell ref="AR190:AS190"/>
    <mergeCell ref="AT190:AU190"/>
    <mergeCell ref="BA190:BB190"/>
    <mergeCell ref="AX190:AZ190"/>
    <mergeCell ref="BD190:BE190"/>
    <mergeCell ref="BF190:BI190"/>
    <mergeCell ref="R191:S191"/>
    <mergeCell ref="T191:U191"/>
    <mergeCell ref="V191:W191"/>
    <mergeCell ref="X191:AA191"/>
    <mergeCell ref="AB191:AE191"/>
    <mergeCell ref="AJ191:AK191"/>
    <mergeCell ref="AB193:AE193"/>
    <mergeCell ref="AJ193:AK193"/>
    <mergeCell ref="AL193:AM193"/>
    <mergeCell ref="AN193:AO193"/>
    <mergeCell ref="AP193:AQ193"/>
    <mergeCell ref="BD192:BE192"/>
    <mergeCell ref="AR193:AS193"/>
    <mergeCell ref="AT193:AU193"/>
    <mergeCell ref="BA193:BB193"/>
    <mergeCell ref="AX193:AZ193"/>
    <mergeCell ref="BD193:BE193"/>
    <mergeCell ref="AN191:AO191"/>
    <mergeCell ref="AP191:AQ191"/>
    <mergeCell ref="BN193:BV193"/>
    <mergeCell ref="BF193:BI193"/>
    <mergeCell ref="AT191:AU191"/>
    <mergeCell ref="BA191:BB191"/>
    <mergeCell ref="AX191:AZ191"/>
    <mergeCell ref="BD191:BE191"/>
    <mergeCell ref="BF191:BI191"/>
    <mergeCell ref="BJ191:BM191"/>
    <mergeCell ref="AL191:AM191"/>
    <mergeCell ref="BN186:BV186"/>
    <mergeCell ref="BN184:BV184"/>
    <mergeCell ref="B185:C185"/>
    <mergeCell ref="D185:E185"/>
    <mergeCell ref="F185:G185"/>
    <mergeCell ref="H185:I185"/>
    <mergeCell ref="L185:M185"/>
    <mergeCell ref="P185:Q185"/>
    <mergeCell ref="R185:S185"/>
    <mergeCell ref="T185:U185"/>
    <mergeCell ref="V185:W185"/>
    <mergeCell ref="X185:AA185"/>
    <mergeCell ref="AB185:AE185"/>
    <mergeCell ref="AJ185:AK185"/>
    <mergeCell ref="AL185:AM185"/>
    <mergeCell ref="AL186:AM186"/>
    <mergeCell ref="AN186:AO186"/>
    <mergeCell ref="AN185:AO185"/>
    <mergeCell ref="H187:I187"/>
    <mergeCell ref="BJ188:BM188"/>
    <mergeCell ref="AP187:AQ187"/>
    <mergeCell ref="AP186:AQ186"/>
    <mergeCell ref="AR186:AS186"/>
    <mergeCell ref="AT186:AU186"/>
    <mergeCell ref="BA186:BB186"/>
    <mergeCell ref="AX186:AZ186"/>
    <mergeCell ref="BD186:BE186"/>
    <mergeCell ref="BF186:BI186"/>
    <mergeCell ref="BJ186:BM186"/>
    <mergeCell ref="BN185:BV185"/>
    <mergeCell ref="B186:C186"/>
    <mergeCell ref="D186:E186"/>
    <mergeCell ref="F186:G186"/>
    <mergeCell ref="H186:I186"/>
    <mergeCell ref="L186:M186"/>
    <mergeCell ref="P186:Q186"/>
    <mergeCell ref="R186:S186"/>
    <mergeCell ref="T186:U186"/>
    <mergeCell ref="V186:W186"/>
    <mergeCell ref="X186:AA186"/>
    <mergeCell ref="AB186:AE186"/>
    <mergeCell ref="AJ186:AK186"/>
    <mergeCell ref="H188:I188"/>
    <mergeCell ref="L188:M188"/>
    <mergeCell ref="B184:C184"/>
    <mergeCell ref="D184:E184"/>
    <mergeCell ref="F184:G184"/>
    <mergeCell ref="H184:I184"/>
    <mergeCell ref="L184:M184"/>
    <mergeCell ref="BJ184:BM184"/>
    <mergeCell ref="B187:C187"/>
    <mergeCell ref="AT187:AU187"/>
    <mergeCell ref="BA187:BB187"/>
    <mergeCell ref="AX187:AZ187"/>
    <mergeCell ref="BD187:BE187"/>
    <mergeCell ref="BF187:BI187"/>
    <mergeCell ref="BJ187:BM187"/>
    <mergeCell ref="BN188:BV188"/>
    <mergeCell ref="D187:E187"/>
    <mergeCell ref="F187:G187"/>
    <mergeCell ref="L187:M187"/>
    <mergeCell ref="P187:Q187"/>
    <mergeCell ref="R187:S187"/>
    <mergeCell ref="T187:U187"/>
    <mergeCell ref="AL184:AM184"/>
    <mergeCell ref="AN184:AO184"/>
    <mergeCell ref="AP184:AQ184"/>
    <mergeCell ref="AR184:AS184"/>
    <mergeCell ref="AT184:AU184"/>
    <mergeCell ref="BA184:BB184"/>
    <mergeCell ref="AX184:AZ184"/>
    <mergeCell ref="BD184:BE184"/>
    <mergeCell ref="BF184:BI184"/>
    <mergeCell ref="P184:Q184"/>
    <mergeCell ref="R184:S184"/>
    <mergeCell ref="T184:U184"/>
    <mergeCell ref="V184:W184"/>
    <mergeCell ref="X184:AA184"/>
    <mergeCell ref="AB184:AE184"/>
    <mergeCell ref="AJ184:AK184"/>
    <mergeCell ref="AP185:AQ185"/>
    <mergeCell ref="AR185:AS185"/>
    <mergeCell ref="AT185:AU185"/>
    <mergeCell ref="BA185:BB185"/>
    <mergeCell ref="AX185:AZ185"/>
    <mergeCell ref="BD185:BE185"/>
    <mergeCell ref="BF185:BI185"/>
    <mergeCell ref="BJ185:BM185"/>
    <mergeCell ref="B182:C182"/>
    <mergeCell ref="D182:E182"/>
    <mergeCell ref="F182:G182"/>
    <mergeCell ref="H182:I182"/>
    <mergeCell ref="L182:M182"/>
    <mergeCell ref="P182:Q182"/>
    <mergeCell ref="R182:S182"/>
    <mergeCell ref="T182:U182"/>
    <mergeCell ref="V182:W182"/>
    <mergeCell ref="X182:AA182"/>
    <mergeCell ref="AB182:AE182"/>
    <mergeCell ref="AJ182:AK182"/>
    <mergeCell ref="AL182:AM182"/>
    <mergeCell ref="AV183:AW183"/>
    <mergeCell ref="AV184:AW184"/>
    <mergeCell ref="AV185:AW185"/>
    <mergeCell ref="AF184:AG184"/>
    <mergeCell ref="AF185:AG185"/>
    <mergeCell ref="AX181:AZ181"/>
    <mergeCell ref="BD181:BE181"/>
    <mergeCell ref="BF181:BI181"/>
    <mergeCell ref="BJ181:BM181"/>
    <mergeCell ref="BN182:BV182"/>
    <mergeCell ref="B183:C183"/>
    <mergeCell ref="D183:E183"/>
    <mergeCell ref="F183:G183"/>
    <mergeCell ref="H183:I183"/>
    <mergeCell ref="L183:M183"/>
    <mergeCell ref="P183:Q183"/>
    <mergeCell ref="R183:S183"/>
    <mergeCell ref="T183:U183"/>
    <mergeCell ref="V183:W183"/>
    <mergeCell ref="X183:AA183"/>
    <mergeCell ref="AB183:AE183"/>
    <mergeCell ref="AJ183:AK183"/>
    <mergeCell ref="AL183:AM183"/>
    <mergeCell ref="AN183:AO183"/>
    <mergeCell ref="AP183:AQ183"/>
    <mergeCell ref="AR183:AS183"/>
    <mergeCell ref="AT183:AU183"/>
    <mergeCell ref="AT182:AU182"/>
    <mergeCell ref="BA182:BB182"/>
    <mergeCell ref="AX182:AZ182"/>
    <mergeCell ref="BD182:BE182"/>
    <mergeCell ref="BF182:BI182"/>
    <mergeCell ref="BJ182:BM182"/>
    <mergeCell ref="D181:E181"/>
    <mergeCell ref="F181:G181"/>
    <mergeCell ref="H181:I181"/>
    <mergeCell ref="L181:M181"/>
    <mergeCell ref="P181:Q181"/>
    <mergeCell ref="R181:S181"/>
    <mergeCell ref="T181:U181"/>
    <mergeCell ref="V181:W181"/>
    <mergeCell ref="X181:AA181"/>
    <mergeCell ref="AB181:AE181"/>
    <mergeCell ref="AJ181:AK181"/>
    <mergeCell ref="AL181:AM181"/>
    <mergeCell ref="AN182:AO182"/>
    <mergeCell ref="AP182:AQ182"/>
    <mergeCell ref="BA183:BB183"/>
    <mergeCell ref="AX183:AZ183"/>
    <mergeCell ref="BD183:BE183"/>
    <mergeCell ref="BF183:BI183"/>
    <mergeCell ref="BJ183:BM183"/>
    <mergeCell ref="AR182:AS182"/>
    <mergeCell ref="BN183:BV183"/>
    <mergeCell ref="AN180:AO180"/>
    <mergeCell ref="AN181:AO181"/>
    <mergeCell ref="BN180:BV180"/>
    <mergeCell ref="AP181:AQ181"/>
    <mergeCell ref="AP180:AQ180"/>
    <mergeCell ref="AR180:AS180"/>
    <mergeCell ref="AT180:AU180"/>
    <mergeCell ref="BA180:BB180"/>
    <mergeCell ref="AX180:AZ180"/>
    <mergeCell ref="BD180:BE180"/>
    <mergeCell ref="BF180:BI180"/>
    <mergeCell ref="BJ180:BM180"/>
    <mergeCell ref="BN181:BV181"/>
    <mergeCell ref="AT179:AU179"/>
    <mergeCell ref="BA179:BB179"/>
    <mergeCell ref="AX179:AZ179"/>
    <mergeCell ref="BD179:BE179"/>
    <mergeCell ref="BF179:BI179"/>
    <mergeCell ref="BJ179:BM179"/>
    <mergeCell ref="BN178:BV178"/>
    <mergeCell ref="B179:C179"/>
    <mergeCell ref="D179:E179"/>
    <mergeCell ref="F179:G179"/>
    <mergeCell ref="H179:I179"/>
    <mergeCell ref="L179:M179"/>
    <mergeCell ref="P179:Q179"/>
    <mergeCell ref="B180:C180"/>
    <mergeCell ref="D180:E180"/>
    <mergeCell ref="F180:G180"/>
    <mergeCell ref="H180:I180"/>
    <mergeCell ref="L180:M180"/>
    <mergeCell ref="P180:Q180"/>
    <mergeCell ref="R180:S180"/>
    <mergeCell ref="T180:U180"/>
    <mergeCell ref="V180:W180"/>
    <mergeCell ref="X180:AA180"/>
    <mergeCell ref="AB180:AE180"/>
    <mergeCell ref="AJ180:AK180"/>
    <mergeCell ref="AL180:AM180"/>
    <mergeCell ref="BF178:BI178"/>
    <mergeCell ref="P178:Q178"/>
    <mergeCell ref="BJ178:BM178"/>
    <mergeCell ref="R178:S178"/>
    <mergeCell ref="V178:W178"/>
    <mergeCell ref="X178:AA178"/>
    <mergeCell ref="AB178:AE178"/>
    <mergeCell ref="AJ178:AK178"/>
    <mergeCell ref="B181:C181"/>
    <mergeCell ref="AR181:AS181"/>
    <mergeCell ref="AT181:AU181"/>
    <mergeCell ref="BA181:BB181"/>
    <mergeCell ref="R179:S179"/>
    <mergeCell ref="T179:U179"/>
    <mergeCell ref="V179:W179"/>
    <mergeCell ref="X179:AA179"/>
    <mergeCell ref="AB179:AE179"/>
    <mergeCell ref="AJ179:AK179"/>
    <mergeCell ref="AL179:AM179"/>
    <mergeCell ref="AL178:AM178"/>
    <mergeCell ref="AN178:AO178"/>
    <mergeCell ref="AP178:AQ178"/>
    <mergeCell ref="AR178:AS178"/>
    <mergeCell ref="AT178:AU178"/>
    <mergeCell ref="BA178:BB178"/>
    <mergeCell ref="AX178:AZ178"/>
    <mergeCell ref="BD178:BE178"/>
    <mergeCell ref="B178:C178"/>
    <mergeCell ref="D178:E178"/>
    <mergeCell ref="F178:G178"/>
    <mergeCell ref="H178:I178"/>
    <mergeCell ref="L178:M178"/>
    <mergeCell ref="BN179:BV179"/>
    <mergeCell ref="AN179:AO179"/>
    <mergeCell ref="AP179:AQ179"/>
    <mergeCell ref="AR179:AS179"/>
    <mergeCell ref="BA177:BB177"/>
    <mergeCell ref="T178:U178"/>
    <mergeCell ref="AB175:AE175"/>
    <mergeCell ref="AJ175:AK175"/>
    <mergeCell ref="AL175:AM175"/>
    <mergeCell ref="AR177:AS177"/>
    <mergeCell ref="AT177:AU177"/>
    <mergeCell ref="AT176:AU176"/>
    <mergeCell ref="BA176:BB176"/>
    <mergeCell ref="AX176:AZ176"/>
    <mergeCell ref="BD176:BE176"/>
    <mergeCell ref="BF176:BI176"/>
    <mergeCell ref="BJ176:BM176"/>
    <mergeCell ref="BN175:BV175"/>
    <mergeCell ref="B176:C176"/>
    <mergeCell ref="D176:E176"/>
    <mergeCell ref="F176:G176"/>
    <mergeCell ref="H176:I176"/>
    <mergeCell ref="L176:M176"/>
    <mergeCell ref="P176:Q176"/>
    <mergeCell ref="R176:S176"/>
    <mergeCell ref="T176:U176"/>
    <mergeCell ref="V176:W176"/>
    <mergeCell ref="X176:AA176"/>
    <mergeCell ref="AB176:AE176"/>
    <mergeCell ref="AJ176:AK176"/>
    <mergeCell ref="AL176:AM176"/>
    <mergeCell ref="AN176:AO176"/>
    <mergeCell ref="AP176:AQ176"/>
    <mergeCell ref="AX177:AZ177"/>
    <mergeCell ref="BD177:BE177"/>
    <mergeCell ref="BF177:BI177"/>
    <mergeCell ref="BJ177:BM177"/>
    <mergeCell ref="BN177:BV177"/>
    <mergeCell ref="BN176:BV176"/>
    <mergeCell ref="B177:C177"/>
    <mergeCell ref="D177:E177"/>
    <mergeCell ref="F177:G177"/>
    <mergeCell ref="H177:I177"/>
    <mergeCell ref="L177:M177"/>
    <mergeCell ref="P177:Q177"/>
    <mergeCell ref="R177:S177"/>
    <mergeCell ref="T177:U177"/>
    <mergeCell ref="V177:W177"/>
    <mergeCell ref="X177:AA177"/>
    <mergeCell ref="AB177:AE177"/>
    <mergeCell ref="AJ177:AK177"/>
    <mergeCell ref="AL177:AM177"/>
    <mergeCell ref="AN177:AO177"/>
    <mergeCell ref="AP177:AQ177"/>
    <mergeCell ref="AR176:AS176"/>
    <mergeCell ref="AN175:AO175"/>
    <mergeCell ref="AV178:AW178"/>
    <mergeCell ref="AP174:AQ174"/>
    <mergeCell ref="AR174:AS174"/>
    <mergeCell ref="AT174:AU174"/>
    <mergeCell ref="BA174:BB174"/>
    <mergeCell ref="AX174:AZ174"/>
    <mergeCell ref="BD174:BE174"/>
    <mergeCell ref="BF174:BI174"/>
    <mergeCell ref="BJ174:BM174"/>
    <mergeCell ref="BN173:BV173"/>
    <mergeCell ref="B174:C174"/>
    <mergeCell ref="D174:E174"/>
    <mergeCell ref="F174:G174"/>
    <mergeCell ref="H174:I174"/>
    <mergeCell ref="L174:M174"/>
    <mergeCell ref="P174:Q174"/>
    <mergeCell ref="R174:S174"/>
    <mergeCell ref="T174:U174"/>
    <mergeCell ref="V174:W174"/>
    <mergeCell ref="X174:AA174"/>
    <mergeCell ref="AB174:AE174"/>
    <mergeCell ref="AJ174:AK174"/>
    <mergeCell ref="AL174:AM174"/>
    <mergeCell ref="AN174:AO174"/>
    <mergeCell ref="AP175:AQ175"/>
    <mergeCell ref="AR175:AS175"/>
    <mergeCell ref="AT175:AU175"/>
    <mergeCell ref="BA175:BB175"/>
    <mergeCell ref="AX175:AZ175"/>
    <mergeCell ref="BD175:BE175"/>
    <mergeCell ref="BF175:BI175"/>
    <mergeCell ref="BJ175:BM175"/>
    <mergeCell ref="BN174:BV174"/>
    <mergeCell ref="B175:C175"/>
    <mergeCell ref="D175:E175"/>
    <mergeCell ref="F175:G175"/>
    <mergeCell ref="H175:I175"/>
    <mergeCell ref="L175:M175"/>
    <mergeCell ref="P175:Q175"/>
    <mergeCell ref="R175:S175"/>
    <mergeCell ref="T175:U175"/>
    <mergeCell ref="V175:W175"/>
    <mergeCell ref="X175:AA175"/>
    <mergeCell ref="AV173:AW173"/>
    <mergeCell ref="AV174:AW174"/>
    <mergeCell ref="AV175:AW175"/>
    <mergeCell ref="B172:C172"/>
    <mergeCell ref="D172:E172"/>
    <mergeCell ref="F172:G172"/>
    <mergeCell ref="H172:I172"/>
    <mergeCell ref="L172:M172"/>
    <mergeCell ref="BA171:BB171"/>
    <mergeCell ref="AX171:AZ171"/>
    <mergeCell ref="BD171:BE171"/>
    <mergeCell ref="BF171:BI171"/>
    <mergeCell ref="BJ171:BM171"/>
    <mergeCell ref="AR170:AS170"/>
    <mergeCell ref="B171:C171"/>
    <mergeCell ref="D171:E171"/>
    <mergeCell ref="BN171:BV171"/>
    <mergeCell ref="AL173:AM173"/>
    <mergeCell ref="AL172:AM172"/>
    <mergeCell ref="AN172:AO172"/>
    <mergeCell ref="AP172:AQ172"/>
    <mergeCell ref="AR172:AS172"/>
    <mergeCell ref="AT172:AU172"/>
    <mergeCell ref="BA172:BB172"/>
    <mergeCell ref="AX172:AZ172"/>
    <mergeCell ref="BD172:BE172"/>
    <mergeCell ref="BF172:BI172"/>
    <mergeCell ref="P172:Q172"/>
    <mergeCell ref="R172:S172"/>
    <mergeCell ref="T172:U172"/>
    <mergeCell ref="V172:W172"/>
    <mergeCell ref="X172:AA172"/>
    <mergeCell ref="AB172:AE172"/>
    <mergeCell ref="AJ172:AK172"/>
    <mergeCell ref="AP173:AQ173"/>
    <mergeCell ref="AR173:AS173"/>
    <mergeCell ref="AT173:AU173"/>
    <mergeCell ref="BA173:BB173"/>
    <mergeCell ref="AX173:AZ173"/>
    <mergeCell ref="BD173:BE173"/>
    <mergeCell ref="BF173:BI173"/>
    <mergeCell ref="BJ173:BM173"/>
    <mergeCell ref="BJ172:BM172"/>
    <mergeCell ref="AN173:AO173"/>
    <mergeCell ref="BN172:BV172"/>
    <mergeCell ref="B173:C173"/>
    <mergeCell ref="D173:E173"/>
    <mergeCell ref="F173:G173"/>
    <mergeCell ref="H173:I173"/>
    <mergeCell ref="L173:M173"/>
    <mergeCell ref="P173:Q173"/>
    <mergeCell ref="R173:S173"/>
    <mergeCell ref="T173:U173"/>
    <mergeCell ref="BN170:BV170"/>
    <mergeCell ref="V173:W173"/>
    <mergeCell ref="X173:AA173"/>
    <mergeCell ref="AB173:AE173"/>
    <mergeCell ref="AJ173:AK173"/>
    <mergeCell ref="AV170:AW170"/>
    <mergeCell ref="AV171:AW171"/>
    <mergeCell ref="AV172:AW172"/>
    <mergeCell ref="F171:G171"/>
    <mergeCell ref="H171:I171"/>
    <mergeCell ref="L171:M171"/>
    <mergeCell ref="P171:Q171"/>
    <mergeCell ref="R171:S171"/>
    <mergeCell ref="T171:U171"/>
    <mergeCell ref="V171:W171"/>
    <mergeCell ref="X171:AA171"/>
    <mergeCell ref="AB171:AE171"/>
    <mergeCell ref="AJ171:AK171"/>
    <mergeCell ref="AL171:AM171"/>
    <mergeCell ref="BN169:BV169"/>
    <mergeCell ref="D170:E170"/>
    <mergeCell ref="F170:G170"/>
    <mergeCell ref="H170:I170"/>
    <mergeCell ref="L170:M170"/>
    <mergeCell ref="P170:Q170"/>
    <mergeCell ref="R170:S170"/>
    <mergeCell ref="T170:U170"/>
    <mergeCell ref="V170:W170"/>
    <mergeCell ref="X170:AA170"/>
    <mergeCell ref="AB170:AE170"/>
    <mergeCell ref="AJ170:AK170"/>
    <mergeCell ref="AN171:AO171"/>
    <mergeCell ref="AP171:AQ171"/>
    <mergeCell ref="AR171:AS171"/>
    <mergeCell ref="AT171:AU171"/>
    <mergeCell ref="AN169:AO169"/>
    <mergeCell ref="AT170:AU170"/>
    <mergeCell ref="BA170:BB170"/>
    <mergeCell ref="AX170:AZ170"/>
    <mergeCell ref="BD170:BE170"/>
    <mergeCell ref="BF170:BI170"/>
    <mergeCell ref="BJ170:BM170"/>
    <mergeCell ref="AV169:AW169"/>
    <mergeCell ref="AL170:AM170"/>
    <mergeCell ref="AN170:AO170"/>
    <mergeCell ref="AP170:AQ170"/>
    <mergeCell ref="B169:C169"/>
    <mergeCell ref="AR169:AS169"/>
    <mergeCell ref="AT169:AU169"/>
    <mergeCell ref="BA169:BB169"/>
    <mergeCell ref="AX169:AZ169"/>
    <mergeCell ref="BD169:BE169"/>
    <mergeCell ref="BF169:BI169"/>
    <mergeCell ref="BJ169:BM169"/>
    <mergeCell ref="B170:C170"/>
    <mergeCell ref="D169:E169"/>
    <mergeCell ref="F169:G169"/>
    <mergeCell ref="H169:I169"/>
    <mergeCell ref="L169:M169"/>
    <mergeCell ref="P169:Q169"/>
    <mergeCell ref="R169:S169"/>
    <mergeCell ref="T169:U169"/>
    <mergeCell ref="V169:W169"/>
    <mergeCell ref="X169:AA169"/>
    <mergeCell ref="AB169:AE169"/>
    <mergeCell ref="AJ169:AK169"/>
    <mergeCell ref="AL169:AM169"/>
    <mergeCell ref="AP169:AQ169"/>
    <mergeCell ref="AJ166:AK166"/>
    <mergeCell ref="B166:C166"/>
    <mergeCell ref="D166:E166"/>
    <mergeCell ref="F166:G166"/>
    <mergeCell ref="H166:I166"/>
    <mergeCell ref="L166:M166"/>
    <mergeCell ref="BJ166:BM166"/>
    <mergeCell ref="BN168:BV168"/>
    <mergeCell ref="BN166:BV166"/>
    <mergeCell ref="B167:C167"/>
    <mergeCell ref="D167:E167"/>
    <mergeCell ref="F167:G167"/>
    <mergeCell ref="H167:I167"/>
    <mergeCell ref="L167:M167"/>
    <mergeCell ref="P167:Q167"/>
    <mergeCell ref="R167:S167"/>
    <mergeCell ref="T167:U167"/>
    <mergeCell ref="P166:Q166"/>
    <mergeCell ref="R166:S166"/>
    <mergeCell ref="T166:U166"/>
    <mergeCell ref="V166:W166"/>
    <mergeCell ref="X166:AA166"/>
    <mergeCell ref="AP168:AQ168"/>
    <mergeCell ref="BD168:BE168"/>
    <mergeCell ref="BF168:BI168"/>
    <mergeCell ref="BJ168:BM168"/>
    <mergeCell ref="BN167:BV167"/>
    <mergeCell ref="B168:C168"/>
    <mergeCell ref="D168:E168"/>
    <mergeCell ref="F168:G168"/>
    <mergeCell ref="H168:I168"/>
    <mergeCell ref="L168:M168"/>
    <mergeCell ref="P168:Q168"/>
    <mergeCell ref="R168:S168"/>
    <mergeCell ref="T168:U168"/>
    <mergeCell ref="V168:W168"/>
    <mergeCell ref="X168:AA168"/>
    <mergeCell ref="AB168:AE168"/>
    <mergeCell ref="AJ168:AK168"/>
    <mergeCell ref="AL168:AM168"/>
    <mergeCell ref="AN168:AO168"/>
    <mergeCell ref="AN167:AO167"/>
    <mergeCell ref="AR168:AS168"/>
    <mergeCell ref="AT168:AU168"/>
    <mergeCell ref="BA168:BB168"/>
    <mergeCell ref="AX168:AZ168"/>
    <mergeCell ref="V167:W167"/>
    <mergeCell ref="X167:AA167"/>
    <mergeCell ref="AB167:AE167"/>
    <mergeCell ref="AJ167:AK167"/>
    <mergeCell ref="AL167:AM167"/>
    <mergeCell ref="AV166:AW166"/>
    <mergeCell ref="AP167:AQ167"/>
    <mergeCell ref="AR167:AS167"/>
    <mergeCell ref="AT167:AU167"/>
    <mergeCell ref="BA167:BB167"/>
    <mergeCell ref="AX167:AZ167"/>
    <mergeCell ref="BD167:BE167"/>
    <mergeCell ref="BF167:BI167"/>
    <mergeCell ref="BJ167:BM167"/>
    <mergeCell ref="BD166:BE166"/>
    <mergeCell ref="AL166:AM166"/>
    <mergeCell ref="AN166:AO166"/>
    <mergeCell ref="AP166:AQ166"/>
    <mergeCell ref="BN164:BV164"/>
    <mergeCell ref="B165:C165"/>
    <mergeCell ref="D165:E165"/>
    <mergeCell ref="F165:G165"/>
    <mergeCell ref="H165:I165"/>
    <mergeCell ref="L165:M165"/>
    <mergeCell ref="P165:Q165"/>
    <mergeCell ref="R165:S165"/>
    <mergeCell ref="T165:U165"/>
    <mergeCell ref="V165:W165"/>
    <mergeCell ref="X165:AA165"/>
    <mergeCell ref="AB165:AE165"/>
    <mergeCell ref="AJ165:AK165"/>
    <mergeCell ref="AL165:AM165"/>
    <mergeCell ref="AN165:AO165"/>
    <mergeCell ref="AP165:AQ165"/>
    <mergeCell ref="AN163:AO163"/>
    <mergeCell ref="AR165:AS165"/>
    <mergeCell ref="AR164:AS164"/>
    <mergeCell ref="AT164:AU164"/>
    <mergeCell ref="BA164:BB164"/>
    <mergeCell ref="AX164:AZ164"/>
    <mergeCell ref="BD164:BE164"/>
    <mergeCell ref="BF164:BI164"/>
    <mergeCell ref="BJ164:BM164"/>
    <mergeCell ref="BN165:BV165"/>
    <mergeCell ref="AT165:AU165"/>
    <mergeCell ref="BA165:BB165"/>
    <mergeCell ref="AX165:AZ165"/>
    <mergeCell ref="BD165:BE165"/>
    <mergeCell ref="BF165:BI165"/>
    <mergeCell ref="BJ165:BM165"/>
    <mergeCell ref="AP164:AQ164"/>
    <mergeCell ref="B164:C164"/>
    <mergeCell ref="D164:E164"/>
    <mergeCell ref="F164:G164"/>
    <mergeCell ref="H164:I164"/>
    <mergeCell ref="L164:M164"/>
    <mergeCell ref="P164:Q164"/>
    <mergeCell ref="R164:S164"/>
    <mergeCell ref="T164:U164"/>
    <mergeCell ref="V164:W164"/>
    <mergeCell ref="X164:AA164"/>
    <mergeCell ref="AB164:AE164"/>
    <mergeCell ref="AJ164:AK164"/>
    <mergeCell ref="AL164:AM164"/>
    <mergeCell ref="AN164:AO164"/>
    <mergeCell ref="AV165:AW165"/>
    <mergeCell ref="BD163:BE163"/>
    <mergeCell ref="BF163:BI163"/>
    <mergeCell ref="BJ163:BM163"/>
    <mergeCell ref="J165:K165"/>
    <mergeCell ref="AR166:AS166"/>
    <mergeCell ref="AT166:AU166"/>
    <mergeCell ref="BA166:BB166"/>
    <mergeCell ref="AX166:AZ166"/>
    <mergeCell ref="BF166:BI166"/>
    <mergeCell ref="AB166:AE166"/>
    <mergeCell ref="AL162:AM162"/>
    <mergeCell ref="B162:C162"/>
    <mergeCell ref="D162:E162"/>
    <mergeCell ref="F162:G162"/>
    <mergeCell ref="H162:I162"/>
    <mergeCell ref="L162:M162"/>
    <mergeCell ref="P162:Q162"/>
    <mergeCell ref="R162:S162"/>
    <mergeCell ref="T162:U162"/>
    <mergeCell ref="V162:W162"/>
    <mergeCell ref="X162:AA162"/>
    <mergeCell ref="AB162:AE162"/>
    <mergeCell ref="AJ162:AK162"/>
    <mergeCell ref="X160:AA160"/>
    <mergeCell ref="AB160:AE160"/>
    <mergeCell ref="AJ160:AK160"/>
    <mergeCell ref="AL160:AM160"/>
    <mergeCell ref="BN162:BV162"/>
    <mergeCell ref="H160:I160"/>
    <mergeCell ref="L160:M160"/>
    <mergeCell ref="D163:E163"/>
    <mergeCell ref="F163:G163"/>
    <mergeCell ref="H163:I163"/>
    <mergeCell ref="L163:M163"/>
    <mergeCell ref="P163:Q163"/>
    <mergeCell ref="R163:S163"/>
    <mergeCell ref="T163:U163"/>
    <mergeCell ref="V163:W163"/>
    <mergeCell ref="X163:AA163"/>
    <mergeCell ref="AB163:AE163"/>
    <mergeCell ref="AJ163:AK163"/>
    <mergeCell ref="AL163:AM163"/>
    <mergeCell ref="AN162:AO162"/>
    <mergeCell ref="AP162:AQ162"/>
    <mergeCell ref="AR162:AS162"/>
    <mergeCell ref="AT162:AU162"/>
    <mergeCell ref="BA162:BB162"/>
    <mergeCell ref="AX162:AZ162"/>
    <mergeCell ref="BD162:BE162"/>
    <mergeCell ref="BF162:BI162"/>
    <mergeCell ref="BJ162:BM162"/>
    <mergeCell ref="BN163:BV163"/>
    <mergeCell ref="B161:C161"/>
    <mergeCell ref="D161:E161"/>
    <mergeCell ref="F161:G161"/>
    <mergeCell ref="H161:I161"/>
    <mergeCell ref="L161:M161"/>
    <mergeCell ref="BA160:BB160"/>
    <mergeCell ref="AX160:AZ160"/>
    <mergeCell ref="BD160:BE160"/>
    <mergeCell ref="BF160:BI160"/>
    <mergeCell ref="BJ160:BM160"/>
    <mergeCell ref="B163:C163"/>
    <mergeCell ref="AP163:AQ163"/>
    <mergeCell ref="AR163:AS163"/>
    <mergeCell ref="AT163:AU163"/>
    <mergeCell ref="BA163:BB163"/>
    <mergeCell ref="AX163:AZ163"/>
    <mergeCell ref="AR159:AS159"/>
    <mergeCell ref="B160:C160"/>
    <mergeCell ref="D160:E160"/>
    <mergeCell ref="F160:G160"/>
    <mergeCell ref="BN160:BV160"/>
    <mergeCell ref="AL161:AM161"/>
    <mergeCell ref="AN161:AO161"/>
    <mergeCell ref="AP161:AQ161"/>
    <mergeCell ref="AR161:AS161"/>
    <mergeCell ref="AT161:AU161"/>
    <mergeCell ref="BA161:BB161"/>
    <mergeCell ref="AX161:AZ161"/>
    <mergeCell ref="BD161:BE161"/>
    <mergeCell ref="BF161:BI161"/>
    <mergeCell ref="P161:Q161"/>
    <mergeCell ref="R161:S161"/>
    <mergeCell ref="T161:U161"/>
    <mergeCell ref="V161:W161"/>
    <mergeCell ref="X161:AA161"/>
    <mergeCell ref="AB161:AE161"/>
    <mergeCell ref="AJ161:AK161"/>
    <mergeCell ref="AN160:AO160"/>
    <mergeCell ref="AP160:AQ160"/>
    <mergeCell ref="AR160:AS160"/>
    <mergeCell ref="AT160:AU160"/>
    <mergeCell ref="BJ161:BM161"/>
    <mergeCell ref="BN161:BV161"/>
    <mergeCell ref="P160:Q160"/>
    <mergeCell ref="R160:S160"/>
    <mergeCell ref="T160:U160"/>
    <mergeCell ref="V160:W160"/>
    <mergeCell ref="BN159:BV159"/>
    <mergeCell ref="BD159:BE159"/>
    <mergeCell ref="BF159:BI159"/>
    <mergeCell ref="BJ159:BM159"/>
    <mergeCell ref="H158:I158"/>
    <mergeCell ref="L158:M158"/>
    <mergeCell ref="P158:Q158"/>
    <mergeCell ref="R158:S158"/>
    <mergeCell ref="T158:U158"/>
    <mergeCell ref="V158:W158"/>
    <mergeCell ref="X158:AA158"/>
    <mergeCell ref="AB158:AE158"/>
    <mergeCell ref="AJ158:AK158"/>
    <mergeCell ref="AL158:AM158"/>
    <mergeCell ref="AN158:AO158"/>
    <mergeCell ref="AT159:AU159"/>
    <mergeCell ref="BA159:BB159"/>
    <mergeCell ref="B159:C159"/>
    <mergeCell ref="D159:E159"/>
    <mergeCell ref="F159:G159"/>
    <mergeCell ref="H159:I159"/>
    <mergeCell ref="L159:M159"/>
    <mergeCell ref="P159:Q159"/>
    <mergeCell ref="R159:S159"/>
    <mergeCell ref="T159:U159"/>
    <mergeCell ref="V159:W159"/>
    <mergeCell ref="X159:AA159"/>
    <mergeCell ref="AB159:AE159"/>
    <mergeCell ref="AJ159:AK159"/>
    <mergeCell ref="AL159:AM159"/>
    <mergeCell ref="AN159:AO159"/>
    <mergeCell ref="AP159:AQ159"/>
    <mergeCell ref="AX159:AZ159"/>
    <mergeCell ref="BN157:BV157"/>
    <mergeCell ref="BJ155:BM155"/>
    <mergeCell ref="BN155:BV155"/>
    <mergeCell ref="AP158:AQ158"/>
    <mergeCell ref="AP157:AQ157"/>
    <mergeCell ref="AR157:AS157"/>
    <mergeCell ref="AT157:AU157"/>
    <mergeCell ref="BA157:BB157"/>
    <mergeCell ref="AX157:AZ157"/>
    <mergeCell ref="BD157:BE157"/>
    <mergeCell ref="BF157:BI157"/>
    <mergeCell ref="BJ157:BM157"/>
    <mergeCell ref="BN156:BV156"/>
    <mergeCell ref="AX155:AZ155"/>
    <mergeCell ref="BD155:BE155"/>
    <mergeCell ref="BF155:BI155"/>
    <mergeCell ref="BN158:BV158"/>
    <mergeCell ref="B157:C157"/>
    <mergeCell ref="D157:E157"/>
    <mergeCell ref="F157:G157"/>
    <mergeCell ref="H157:I157"/>
    <mergeCell ref="L157:M157"/>
    <mergeCell ref="P157:Q157"/>
    <mergeCell ref="R157:S157"/>
    <mergeCell ref="T157:U157"/>
    <mergeCell ref="V157:W157"/>
    <mergeCell ref="X157:AA157"/>
    <mergeCell ref="AB157:AE157"/>
    <mergeCell ref="AJ157:AK157"/>
    <mergeCell ref="AL157:AM157"/>
    <mergeCell ref="AN157:AO157"/>
    <mergeCell ref="B158:C158"/>
    <mergeCell ref="AR158:AS158"/>
    <mergeCell ref="AT158:AU158"/>
    <mergeCell ref="BA158:BB158"/>
    <mergeCell ref="AX158:AZ158"/>
    <mergeCell ref="BD158:BE158"/>
    <mergeCell ref="BF158:BI158"/>
    <mergeCell ref="BJ158:BM158"/>
    <mergeCell ref="B155:C155"/>
    <mergeCell ref="D155:E155"/>
    <mergeCell ref="F155:G155"/>
    <mergeCell ref="H155:I155"/>
    <mergeCell ref="L155:M155"/>
    <mergeCell ref="D158:E158"/>
    <mergeCell ref="F158:G158"/>
    <mergeCell ref="AN153:AO153"/>
    <mergeCell ref="AP153:AQ153"/>
    <mergeCell ref="AR153:AS153"/>
    <mergeCell ref="AL154:AM154"/>
    <mergeCell ref="AN154:AO154"/>
    <mergeCell ref="AP154:AQ154"/>
    <mergeCell ref="AR154:AS154"/>
    <mergeCell ref="AT154:AU154"/>
    <mergeCell ref="BA153:BB153"/>
    <mergeCell ref="P155:Q155"/>
    <mergeCell ref="R155:S155"/>
    <mergeCell ref="T155:U155"/>
    <mergeCell ref="V155:W155"/>
    <mergeCell ref="X155:AA155"/>
    <mergeCell ref="AB155:AE155"/>
    <mergeCell ref="AJ155:AK155"/>
    <mergeCell ref="AL155:AM155"/>
    <mergeCell ref="AN155:AO155"/>
    <mergeCell ref="AP155:AQ155"/>
    <mergeCell ref="AR155:AS155"/>
    <mergeCell ref="AT155:AU155"/>
    <mergeCell ref="BA155:BB155"/>
    <mergeCell ref="B154:C154"/>
    <mergeCell ref="B156:C156"/>
    <mergeCell ref="D156:E156"/>
    <mergeCell ref="F156:G156"/>
    <mergeCell ref="H156:I156"/>
    <mergeCell ref="L156:M156"/>
    <mergeCell ref="P156:Q156"/>
    <mergeCell ref="R156:S156"/>
    <mergeCell ref="T156:U156"/>
    <mergeCell ref="V156:W156"/>
    <mergeCell ref="X156:AA156"/>
    <mergeCell ref="AB156:AE156"/>
    <mergeCell ref="AJ156:AK156"/>
    <mergeCell ref="AL156:AM156"/>
    <mergeCell ref="D154:E154"/>
    <mergeCell ref="F154:G154"/>
    <mergeCell ref="B153:C153"/>
    <mergeCell ref="D153:E153"/>
    <mergeCell ref="F153:G153"/>
    <mergeCell ref="P153:Q153"/>
    <mergeCell ref="R153:S153"/>
    <mergeCell ref="T153:U153"/>
    <mergeCell ref="V153:W153"/>
    <mergeCell ref="X153:AA153"/>
    <mergeCell ref="AB153:AE153"/>
    <mergeCell ref="AT153:AU153"/>
    <mergeCell ref="AN156:AO156"/>
    <mergeCell ref="AP156:AQ156"/>
    <mergeCell ref="AR156:AS156"/>
    <mergeCell ref="AT156:AU156"/>
    <mergeCell ref="BA156:BB156"/>
    <mergeCell ref="AX156:AZ156"/>
    <mergeCell ref="BD156:BE156"/>
    <mergeCell ref="BF156:BI156"/>
    <mergeCell ref="BJ156:BM156"/>
    <mergeCell ref="BJ154:BM154"/>
    <mergeCell ref="AL152:AM152"/>
    <mergeCell ref="AP152:AQ152"/>
    <mergeCell ref="AJ153:AK153"/>
    <mergeCell ref="AL153:AM153"/>
    <mergeCell ref="H152:I152"/>
    <mergeCell ref="L152:M152"/>
    <mergeCell ref="R152:S152"/>
    <mergeCell ref="T152:U152"/>
    <mergeCell ref="V152:W152"/>
    <mergeCell ref="X152:AA152"/>
    <mergeCell ref="BF152:BI152"/>
    <mergeCell ref="BJ152:BM152"/>
    <mergeCell ref="AR152:AS152"/>
    <mergeCell ref="BN154:BV154"/>
    <mergeCell ref="BN153:BV153"/>
    <mergeCell ref="BA154:BB154"/>
    <mergeCell ref="AX154:AZ154"/>
    <mergeCell ref="BD154:BE154"/>
    <mergeCell ref="BF154:BI154"/>
    <mergeCell ref="AX153:AZ153"/>
    <mergeCell ref="BD153:BE153"/>
    <mergeCell ref="BF153:BI153"/>
    <mergeCell ref="BJ153:BM153"/>
    <mergeCell ref="BA152:BB152"/>
    <mergeCell ref="AX152:AZ152"/>
    <mergeCell ref="BD152:BE152"/>
    <mergeCell ref="H154:I154"/>
    <mergeCell ref="L154:M154"/>
    <mergeCell ref="P154:Q154"/>
    <mergeCell ref="R154:S154"/>
    <mergeCell ref="T154:U154"/>
    <mergeCell ref="V154:W154"/>
    <mergeCell ref="X154:AA154"/>
    <mergeCell ref="AB154:AE154"/>
    <mergeCell ref="AJ154:AK154"/>
    <mergeCell ref="H153:I153"/>
    <mergeCell ref="L153:M153"/>
    <mergeCell ref="AV155:AW155"/>
    <mergeCell ref="AV154:AW154"/>
    <mergeCell ref="AV153:AW153"/>
    <mergeCell ref="AV152:AW152"/>
    <mergeCell ref="AF152:AG152"/>
    <mergeCell ref="AF153:AG153"/>
    <mergeCell ref="AF154:AG154"/>
    <mergeCell ref="AF155:AG155"/>
    <mergeCell ref="AF156:AG156"/>
    <mergeCell ref="F152:G152"/>
    <mergeCell ref="AB152:AE152"/>
    <mergeCell ref="AN149:AO149"/>
    <mergeCell ref="B151:C151"/>
    <mergeCell ref="D151:E151"/>
    <mergeCell ref="F151:G151"/>
    <mergeCell ref="H151:I151"/>
    <mergeCell ref="L151:M151"/>
    <mergeCell ref="P151:Q151"/>
    <mergeCell ref="R151:S151"/>
    <mergeCell ref="T151:U151"/>
    <mergeCell ref="V151:W151"/>
    <mergeCell ref="X151:AA151"/>
    <mergeCell ref="AB151:AE151"/>
    <mergeCell ref="AJ151:AK151"/>
    <mergeCell ref="B150:C150"/>
    <mergeCell ref="D150:E150"/>
    <mergeCell ref="F150:G150"/>
    <mergeCell ref="AT152:AU152"/>
    <mergeCell ref="BN152:BV152"/>
    <mergeCell ref="AJ152:AK152"/>
    <mergeCell ref="AN152:AO152"/>
    <mergeCell ref="P152:Q152"/>
    <mergeCell ref="AN151:AO151"/>
    <mergeCell ref="AP151:AQ151"/>
    <mergeCell ref="AR151:AS151"/>
    <mergeCell ref="AT151:AU151"/>
    <mergeCell ref="AT150:AU150"/>
    <mergeCell ref="BA150:BB150"/>
    <mergeCell ref="AX150:AZ150"/>
    <mergeCell ref="BJ150:BM150"/>
    <mergeCell ref="BA151:BB151"/>
    <mergeCell ref="AX151:AZ151"/>
    <mergeCell ref="BD151:BE151"/>
    <mergeCell ref="BF151:BI151"/>
    <mergeCell ref="BN151:BV151"/>
    <mergeCell ref="BN150:BV150"/>
    <mergeCell ref="BJ151:BM151"/>
    <mergeCell ref="AL151:AM151"/>
    <mergeCell ref="BD150:BE150"/>
    <mergeCell ref="BF150:BI150"/>
    <mergeCell ref="AL150:AM150"/>
    <mergeCell ref="AN150:AO150"/>
    <mergeCell ref="B152:C152"/>
    <mergeCell ref="D152:E152"/>
    <mergeCell ref="H150:I150"/>
    <mergeCell ref="L150:M150"/>
    <mergeCell ref="P150:Q150"/>
    <mergeCell ref="R150:S150"/>
    <mergeCell ref="T150:U150"/>
    <mergeCell ref="V150:W150"/>
    <mergeCell ref="X150:AA150"/>
    <mergeCell ref="AB150:AE150"/>
    <mergeCell ref="AJ150:AK150"/>
    <mergeCell ref="B149:C149"/>
    <mergeCell ref="D149:E149"/>
    <mergeCell ref="F149:G149"/>
    <mergeCell ref="H149:I149"/>
    <mergeCell ref="L149:M149"/>
    <mergeCell ref="P149:Q149"/>
    <mergeCell ref="R149:S149"/>
    <mergeCell ref="T149:U149"/>
    <mergeCell ref="V149:W149"/>
    <mergeCell ref="X149:AA149"/>
    <mergeCell ref="AB149:AE149"/>
    <mergeCell ref="AJ149:AK149"/>
    <mergeCell ref="AP150:AQ150"/>
    <mergeCell ref="AR150:AS150"/>
    <mergeCell ref="AR149:AS149"/>
    <mergeCell ref="AT149:AU149"/>
    <mergeCell ref="BD149:BE149"/>
    <mergeCell ref="BF149:BI149"/>
    <mergeCell ref="P148:Q148"/>
    <mergeCell ref="R148:S148"/>
    <mergeCell ref="T148:U148"/>
    <mergeCell ref="V148:W148"/>
    <mergeCell ref="X148:AA148"/>
    <mergeCell ref="AB148:AE148"/>
    <mergeCell ref="AJ148:AK148"/>
    <mergeCell ref="AL149:AM149"/>
    <mergeCell ref="BN146:BV146"/>
    <mergeCell ref="BN147:BV147"/>
    <mergeCell ref="AN147:AO147"/>
    <mergeCell ref="AP147:AQ147"/>
    <mergeCell ref="AL147:AM147"/>
    <mergeCell ref="AR147:AS147"/>
    <mergeCell ref="AT147:AU147"/>
    <mergeCell ref="BA147:BB147"/>
    <mergeCell ref="AX147:AZ147"/>
    <mergeCell ref="BD147:BE147"/>
    <mergeCell ref="BF147:BI147"/>
    <mergeCell ref="BJ147:BM147"/>
    <mergeCell ref="BJ146:BM146"/>
    <mergeCell ref="BN148:BV148"/>
    <mergeCell ref="BN149:BV149"/>
    <mergeCell ref="BA149:BB149"/>
    <mergeCell ref="AX149:AZ149"/>
    <mergeCell ref="AP149:AQ149"/>
    <mergeCell ref="BJ149:BM149"/>
    <mergeCell ref="AN146:AO146"/>
    <mergeCell ref="AP146:AQ146"/>
    <mergeCell ref="AR146:AS146"/>
    <mergeCell ref="AT146:AU146"/>
    <mergeCell ref="BA146:BB146"/>
    <mergeCell ref="AX146:AZ146"/>
    <mergeCell ref="BD146:BE146"/>
    <mergeCell ref="BF146:BI146"/>
    <mergeCell ref="P146:Q146"/>
    <mergeCell ref="R146:S146"/>
    <mergeCell ref="T146:U146"/>
    <mergeCell ref="V146:W146"/>
    <mergeCell ref="X146:AA146"/>
    <mergeCell ref="AL146:AM146"/>
    <mergeCell ref="AB146:AE146"/>
    <mergeCell ref="AJ146:AK146"/>
    <mergeCell ref="AV146:AW146"/>
    <mergeCell ref="AV147:AW147"/>
    <mergeCell ref="AV148:AW148"/>
    <mergeCell ref="AV149:AW149"/>
    <mergeCell ref="AV150:AW150"/>
    <mergeCell ref="AF148:AG148"/>
    <mergeCell ref="AF149:AG149"/>
    <mergeCell ref="AF150:AG150"/>
    <mergeCell ref="B146:C146"/>
    <mergeCell ref="D146:E146"/>
    <mergeCell ref="F146:G146"/>
    <mergeCell ref="H146:I146"/>
    <mergeCell ref="L146:M146"/>
    <mergeCell ref="AX145:AZ145"/>
    <mergeCell ref="BD145:BE145"/>
    <mergeCell ref="BF145:BI145"/>
    <mergeCell ref="BJ145:BM145"/>
    <mergeCell ref="B148:C148"/>
    <mergeCell ref="AP148:AQ148"/>
    <mergeCell ref="AR148:AS148"/>
    <mergeCell ref="AT148:AU148"/>
    <mergeCell ref="BA148:BB148"/>
    <mergeCell ref="AX148:AZ148"/>
    <mergeCell ref="BD148:BE148"/>
    <mergeCell ref="BF148:BI148"/>
    <mergeCell ref="BJ148:BM148"/>
    <mergeCell ref="AN148:AO148"/>
    <mergeCell ref="AL148:AM148"/>
    <mergeCell ref="B147:C147"/>
    <mergeCell ref="D147:E147"/>
    <mergeCell ref="F147:G147"/>
    <mergeCell ref="H147:I147"/>
    <mergeCell ref="L147:M147"/>
    <mergeCell ref="P147:Q147"/>
    <mergeCell ref="R147:S147"/>
    <mergeCell ref="T147:U147"/>
    <mergeCell ref="V147:W147"/>
    <mergeCell ref="X147:AA147"/>
    <mergeCell ref="AB147:AE147"/>
    <mergeCell ref="AJ147:AK147"/>
    <mergeCell ref="D148:E148"/>
    <mergeCell ref="F148:G148"/>
    <mergeCell ref="H148:I148"/>
    <mergeCell ref="L148:M148"/>
    <mergeCell ref="AV145:AW145"/>
    <mergeCell ref="BN145:BV145"/>
    <mergeCell ref="BN144:BV144"/>
    <mergeCell ref="B145:C145"/>
    <mergeCell ref="D145:E145"/>
    <mergeCell ref="F145:G145"/>
    <mergeCell ref="H145:I145"/>
    <mergeCell ref="L145:M145"/>
    <mergeCell ref="P145:Q145"/>
    <mergeCell ref="R145:S145"/>
    <mergeCell ref="T145:U145"/>
    <mergeCell ref="V145:W145"/>
    <mergeCell ref="X145:AA145"/>
    <mergeCell ref="AB145:AE145"/>
    <mergeCell ref="AJ145:AK145"/>
    <mergeCell ref="AL145:AM145"/>
    <mergeCell ref="AN145:AO145"/>
    <mergeCell ref="AP145:AQ145"/>
    <mergeCell ref="AR145:AS145"/>
    <mergeCell ref="AT145:AU145"/>
    <mergeCell ref="AT144:AU144"/>
    <mergeCell ref="BA144:BB144"/>
    <mergeCell ref="AX144:AZ144"/>
    <mergeCell ref="BD144:BE144"/>
    <mergeCell ref="BF144:BI144"/>
    <mergeCell ref="BJ144:BM144"/>
    <mergeCell ref="BA145:BB145"/>
    <mergeCell ref="B143:C143"/>
    <mergeCell ref="D143:E143"/>
    <mergeCell ref="F143:G143"/>
    <mergeCell ref="H143:I143"/>
    <mergeCell ref="L143:M143"/>
    <mergeCell ref="P143:Q143"/>
    <mergeCell ref="R143:S143"/>
    <mergeCell ref="T143:U143"/>
    <mergeCell ref="V143:W143"/>
    <mergeCell ref="X143:AA143"/>
    <mergeCell ref="AB143:AE143"/>
    <mergeCell ref="AJ143:AK143"/>
    <mergeCell ref="AL143:AM143"/>
    <mergeCell ref="AN143:AO143"/>
    <mergeCell ref="AP143:AQ143"/>
    <mergeCell ref="AV143:AW143"/>
    <mergeCell ref="AV144:AW144"/>
    <mergeCell ref="BN143:BV143"/>
    <mergeCell ref="B144:C144"/>
    <mergeCell ref="D144:E144"/>
    <mergeCell ref="F144:G144"/>
    <mergeCell ref="H144:I144"/>
    <mergeCell ref="L144:M144"/>
    <mergeCell ref="P144:Q144"/>
    <mergeCell ref="R144:S144"/>
    <mergeCell ref="T144:U144"/>
    <mergeCell ref="V144:W144"/>
    <mergeCell ref="X144:AA144"/>
    <mergeCell ref="AB144:AE144"/>
    <mergeCell ref="AJ144:AK144"/>
    <mergeCell ref="AL144:AM144"/>
    <mergeCell ref="AN144:AO144"/>
    <mergeCell ref="AP144:AQ144"/>
    <mergeCell ref="AR144:AS144"/>
    <mergeCell ref="AR143:AS143"/>
    <mergeCell ref="AT143:AU143"/>
    <mergeCell ref="BA143:BB143"/>
    <mergeCell ref="AX143:AZ143"/>
    <mergeCell ref="BD143:BE143"/>
    <mergeCell ref="BF143:BI143"/>
    <mergeCell ref="BJ143:BM143"/>
    <mergeCell ref="B141:C141"/>
    <mergeCell ref="D141:E141"/>
    <mergeCell ref="F141:G141"/>
    <mergeCell ref="H141:I141"/>
    <mergeCell ref="L141:M141"/>
    <mergeCell ref="P141:Q141"/>
    <mergeCell ref="R141:S141"/>
    <mergeCell ref="T141:U141"/>
    <mergeCell ref="V141:W141"/>
    <mergeCell ref="X141:AA141"/>
    <mergeCell ref="AB141:AE141"/>
    <mergeCell ref="AJ141:AK141"/>
    <mergeCell ref="AL141:AM141"/>
    <mergeCell ref="AV141:AW141"/>
    <mergeCell ref="AV142:AW142"/>
    <mergeCell ref="BN141:BV141"/>
    <mergeCell ref="B142:C142"/>
    <mergeCell ref="D142:E142"/>
    <mergeCell ref="F142:G142"/>
    <mergeCell ref="H142:I142"/>
    <mergeCell ref="L142:M142"/>
    <mergeCell ref="P142:Q142"/>
    <mergeCell ref="R142:S142"/>
    <mergeCell ref="T142:U142"/>
    <mergeCell ref="V142:W142"/>
    <mergeCell ref="X142:AA142"/>
    <mergeCell ref="AB142:AE142"/>
    <mergeCell ref="AJ142:AK142"/>
    <mergeCell ref="AL142:AM142"/>
    <mergeCell ref="AN142:AO142"/>
    <mergeCell ref="AN141:AO141"/>
    <mergeCell ref="AP141:AQ141"/>
    <mergeCell ref="AR141:AS141"/>
    <mergeCell ref="AT141:AU141"/>
    <mergeCell ref="BA141:BB141"/>
    <mergeCell ref="AX141:AZ141"/>
    <mergeCell ref="BD141:BE141"/>
    <mergeCell ref="BF141:BI141"/>
    <mergeCell ref="BJ141:BM141"/>
    <mergeCell ref="BN142:BV142"/>
    <mergeCell ref="AP142:AQ142"/>
    <mergeCell ref="AR142:AS142"/>
    <mergeCell ref="AT142:AU142"/>
    <mergeCell ref="BA142:BB142"/>
    <mergeCell ref="AX142:AZ142"/>
    <mergeCell ref="BD142:BE142"/>
    <mergeCell ref="BF142:BI142"/>
    <mergeCell ref="BJ142:BM142"/>
    <mergeCell ref="AF143:AG143"/>
    <mergeCell ref="BD139:BE139"/>
    <mergeCell ref="BF139:BI139"/>
    <mergeCell ref="BJ139:BM139"/>
    <mergeCell ref="BN139:BV139"/>
    <mergeCell ref="BN138:BV138"/>
    <mergeCell ref="B139:C139"/>
    <mergeCell ref="D139:E139"/>
    <mergeCell ref="F139:G139"/>
    <mergeCell ref="H139:I139"/>
    <mergeCell ref="L139:M139"/>
    <mergeCell ref="P139:Q139"/>
    <mergeCell ref="R139:S139"/>
    <mergeCell ref="T139:U139"/>
    <mergeCell ref="V139:W139"/>
    <mergeCell ref="X139:AA139"/>
    <mergeCell ref="AB139:AE139"/>
    <mergeCell ref="AJ139:AK139"/>
    <mergeCell ref="AL139:AM139"/>
    <mergeCell ref="AN139:AO139"/>
    <mergeCell ref="AP139:AQ139"/>
    <mergeCell ref="AR139:AS139"/>
    <mergeCell ref="AT139:AU139"/>
    <mergeCell ref="AT138:AU138"/>
    <mergeCell ref="BA138:BB138"/>
    <mergeCell ref="AX138:AZ138"/>
    <mergeCell ref="R140:S140"/>
    <mergeCell ref="T140:U140"/>
    <mergeCell ref="V140:W140"/>
    <mergeCell ref="X140:AA140"/>
    <mergeCell ref="AB140:AE140"/>
    <mergeCell ref="AJ140:AK140"/>
    <mergeCell ref="B140:C140"/>
    <mergeCell ref="D140:E140"/>
    <mergeCell ref="F140:G140"/>
    <mergeCell ref="H140:I140"/>
    <mergeCell ref="L140:M140"/>
    <mergeCell ref="BA139:BB139"/>
    <mergeCell ref="AX139:AZ139"/>
    <mergeCell ref="BJ140:BM140"/>
    <mergeCell ref="BN140:BV140"/>
    <mergeCell ref="AL140:AM140"/>
    <mergeCell ref="AN140:AO140"/>
    <mergeCell ref="AP140:AQ140"/>
    <mergeCell ref="AR140:AS140"/>
    <mergeCell ref="AT140:AU140"/>
    <mergeCell ref="BA140:BB140"/>
    <mergeCell ref="AX140:AZ140"/>
    <mergeCell ref="BD140:BE140"/>
    <mergeCell ref="BF140:BI140"/>
    <mergeCell ref="P140:Q140"/>
    <mergeCell ref="AV138:AW138"/>
    <mergeCell ref="AV139:AW139"/>
    <mergeCell ref="AV140:AW140"/>
    <mergeCell ref="B137:C137"/>
    <mergeCell ref="D137:E137"/>
    <mergeCell ref="F137:G137"/>
    <mergeCell ref="H137:I137"/>
    <mergeCell ref="L137:M137"/>
    <mergeCell ref="P137:Q137"/>
    <mergeCell ref="R137:S137"/>
    <mergeCell ref="T137:U137"/>
    <mergeCell ref="V137:W137"/>
    <mergeCell ref="X137:AA137"/>
    <mergeCell ref="AB137:AE137"/>
    <mergeCell ref="AJ137:AK137"/>
    <mergeCell ref="AL137:AM137"/>
    <mergeCell ref="AN137:AO137"/>
    <mergeCell ref="AN136:AO136"/>
    <mergeCell ref="AP136:AQ136"/>
    <mergeCell ref="AR136:AS136"/>
    <mergeCell ref="AT136:AU136"/>
    <mergeCell ref="BA136:BB136"/>
    <mergeCell ref="AX136:AZ136"/>
    <mergeCell ref="BD136:BE136"/>
    <mergeCell ref="BF136:BI136"/>
    <mergeCell ref="BN137:BV137"/>
    <mergeCell ref="AP137:AQ137"/>
    <mergeCell ref="BD138:BE138"/>
    <mergeCell ref="BF138:BI138"/>
    <mergeCell ref="BJ138:BM138"/>
    <mergeCell ref="B138:C138"/>
    <mergeCell ref="D138:E138"/>
    <mergeCell ref="F138:G138"/>
    <mergeCell ref="H138:I138"/>
    <mergeCell ref="L138:M138"/>
    <mergeCell ref="P138:Q138"/>
    <mergeCell ref="R138:S138"/>
    <mergeCell ref="T138:U138"/>
    <mergeCell ref="V138:W138"/>
    <mergeCell ref="X138:AA138"/>
    <mergeCell ref="AB138:AE138"/>
    <mergeCell ref="AJ138:AK138"/>
    <mergeCell ref="AL138:AM138"/>
    <mergeCell ref="AN138:AO138"/>
    <mergeCell ref="AP138:AQ138"/>
    <mergeCell ref="AR138:AS138"/>
    <mergeCell ref="BJ136:BM136"/>
    <mergeCell ref="B136:C136"/>
    <mergeCell ref="D136:E136"/>
    <mergeCell ref="F136:G136"/>
    <mergeCell ref="H136:I136"/>
    <mergeCell ref="L136:M136"/>
    <mergeCell ref="P136:Q136"/>
    <mergeCell ref="R136:S136"/>
    <mergeCell ref="T136:U136"/>
    <mergeCell ref="V136:W136"/>
    <mergeCell ref="X136:AA136"/>
    <mergeCell ref="AB136:AE136"/>
    <mergeCell ref="AJ136:AK136"/>
    <mergeCell ref="AL136:AM136"/>
    <mergeCell ref="AV136:AW136"/>
    <mergeCell ref="AV137:AW137"/>
    <mergeCell ref="BN136:BV136"/>
    <mergeCell ref="AL135:AM135"/>
    <mergeCell ref="AN135:AO135"/>
    <mergeCell ref="AP135:AQ135"/>
    <mergeCell ref="AR135:AS135"/>
    <mergeCell ref="AT135:AU135"/>
    <mergeCell ref="BA135:BB135"/>
    <mergeCell ref="AX135:AZ135"/>
    <mergeCell ref="BD135:BE135"/>
    <mergeCell ref="BF135:BI135"/>
    <mergeCell ref="P135:Q135"/>
    <mergeCell ref="R135:S135"/>
    <mergeCell ref="AV132:AW132"/>
    <mergeCell ref="AT131:AU131"/>
    <mergeCell ref="BA131:BB131"/>
    <mergeCell ref="AX131:AZ131"/>
    <mergeCell ref="BD131:BE131"/>
    <mergeCell ref="BF131:BI131"/>
    <mergeCell ref="BJ131:BM131"/>
    <mergeCell ref="BA134:BB134"/>
    <mergeCell ref="AX134:AZ134"/>
    <mergeCell ref="BD134:BE134"/>
    <mergeCell ref="BF134:BI134"/>
    <mergeCell ref="BJ134:BM134"/>
    <mergeCell ref="BN134:BV134"/>
    <mergeCell ref="BN133:BV133"/>
    <mergeCell ref="B134:C134"/>
    <mergeCell ref="D134:E134"/>
    <mergeCell ref="F134:G134"/>
    <mergeCell ref="H134:I134"/>
    <mergeCell ref="L134:M134"/>
    <mergeCell ref="P134:Q134"/>
    <mergeCell ref="R134:S134"/>
    <mergeCell ref="T134:U134"/>
    <mergeCell ref="V134:W134"/>
    <mergeCell ref="X134:AA134"/>
    <mergeCell ref="AB134:AE134"/>
    <mergeCell ref="AJ134:AK134"/>
    <mergeCell ref="AL134:AM134"/>
    <mergeCell ref="AN134:AO134"/>
    <mergeCell ref="AP134:AQ134"/>
    <mergeCell ref="AR134:AS134"/>
    <mergeCell ref="AT134:AU134"/>
    <mergeCell ref="T135:U135"/>
    <mergeCell ref="V135:W135"/>
    <mergeCell ref="X135:AA135"/>
    <mergeCell ref="AB135:AE135"/>
    <mergeCell ref="AJ135:AK135"/>
    <mergeCell ref="B135:C135"/>
    <mergeCell ref="D135:E135"/>
    <mergeCell ref="F135:G135"/>
    <mergeCell ref="H135:I135"/>
    <mergeCell ref="L135:M135"/>
    <mergeCell ref="BJ135:BM135"/>
    <mergeCell ref="BN135:BV135"/>
    <mergeCell ref="AV133:AW133"/>
    <mergeCell ref="AV134:AW134"/>
    <mergeCell ref="AV135:AW135"/>
    <mergeCell ref="AT133:AU133"/>
    <mergeCell ref="BA133:BB133"/>
    <mergeCell ref="AX133:AZ133"/>
    <mergeCell ref="BD133:BE133"/>
    <mergeCell ref="BF133:BI133"/>
    <mergeCell ref="BJ133:BM133"/>
    <mergeCell ref="AT132:AU132"/>
    <mergeCell ref="BA132:BB132"/>
    <mergeCell ref="AX132:AZ132"/>
    <mergeCell ref="BD132:BE132"/>
    <mergeCell ref="BF132:BI132"/>
    <mergeCell ref="BJ132:BM132"/>
    <mergeCell ref="BN131:BV131"/>
    <mergeCell ref="B132:C132"/>
    <mergeCell ref="D132:E132"/>
    <mergeCell ref="F132:G132"/>
    <mergeCell ref="H132:I132"/>
    <mergeCell ref="L132:M132"/>
    <mergeCell ref="P132:Q132"/>
    <mergeCell ref="R132:S132"/>
    <mergeCell ref="T132:U132"/>
    <mergeCell ref="V132:W132"/>
    <mergeCell ref="X132:AA132"/>
    <mergeCell ref="AB132:AE132"/>
    <mergeCell ref="AJ132:AK132"/>
    <mergeCell ref="AL132:AM132"/>
    <mergeCell ref="AN132:AO132"/>
    <mergeCell ref="AP132:AQ132"/>
    <mergeCell ref="AP131:AQ131"/>
    <mergeCell ref="AR131:AS131"/>
    <mergeCell ref="AV129:AW129"/>
    <mergeCell ref="AV130:AW130"/>
    <mergeCell ref="AV131:AW131"/>
    <mergeCell ref="H129:I129"/>
    <mergeCell ref="BN132:BV132"/>
    <mergeCell ref="B133:C133"/>
    <mergeCell ref="D133:E133"/>
    <mergeCell ref="F133:G133"/>
    <mergeCell ref="H133:I133"/>
    <mergeCell ref="L133:M133"/>
    <mergeCell ref="P133:Q133"/>
    <mergeCell ref="R133:S133"/>
    <mergeCell ref="T133:U133"/>
    <mergeCell ref="V133:W133"/>
    <mergeCell ref="X133:AA133"/>
    <mergeCell ref="AB133:AE133"/>
    <mergeCell ref="AJ133:AK133"/>
    <mergeCell ref="AL133:AM133"/>
    <mergeCell ref="AN133:AO133"/>
    <mergeCell ref="AP133:AQ133"/>
    <mergeCell ref="AR133:AS133"/>
    <mergeCell ref="AR132:AS132"/>
    <mergeCell ref="B130:C130"/>
    <mergeCell ref="D130:E130"/>
    <mergeCell ref="F130:G130"/>
    <mergeCell ref="H130:I130"/>
    <mergeCell ref="L130:M130"/>
    <mergeCell ref="P130:Q130"/>
    <mergeCell ref="R130:S130"/>
    <mergeCell ref="T130:U130"/>
    <mergeCell ref="V130:W130"/>
    <mergeCell ref="X130:AA130"/>
    <mergeCell ref="AB130:AE130"/>
    <mergeCell ref="AJ130:AK130"/>
    <mergeCell ref="AL130:AM130"/>
    <mergeCell ref="B129:C129"/>
    <mergeCell ref="D129:E129"/>
    <mergeCell ref="F129:G129"/>
    <mergeCell ref="BN130:BV130"/>
    <mergeCell ref="B131:C131"/>
    <mergeCell ref="D131:E131"/>
    <mergeCell ref="F131:G131"/>
    <mergeCell ref="H131:I131"/>
    <mergeCell ref="L131:M131"/>
    <mergeCell ref="P131:Q131"/>
    <mergeCell ref="R131:S131"/>
    <mergeCell ref="T131:U131"/>
    <mergeCell ref="V131:W131"/>
    <mergeCell ref="X131:AA131"/>
    <mergeCell ref="AB131:AE131"/>
    <mergeCell ref="AJ131:AK131"/>
    <mergeCell ref="AL131:AM131"/>
    <mergeCell ref="AN131:AO131"/>
    <mergeCell ref="AN130:AO130"/>
    <mergeCell ref="AP130:AQ130"/>
    <mergeCell ref="AR130:AS130"/>
    <mergeCell ref="L129:M129"/>
    <mergeCell ref="T128:U128"/>
    <mergeCell ref="AB128:AE128"/>
    <mergeCell ref="AJ128:AK128"/>
    <mergeCell ref="AN124:AO124"/>
    <mergeCell ref="AP124:AQ124"/>
    <mergeCell ref="BD124:BE124"/>
    <mergeCell ref="BF124:BI124"/>
    <mergeCell ref="BJ124:BM124"/>
    <mergeCell ref="BN128:BV128"/>
    <mergeCell ref="AL129:AM129"/>
    <mergeCell ref="AN129:AO129"/>
    <mergeCell ref="AP129:AQ129"/>
    <mergeCell ref="AR129:AS129"/>
    <mergeCell ref="AT129:AU129"/>
    <mergeCell ref="BA129:BB129"/>
    <mergeCell ref="AX129:AZ129"/>
    <mergeCell ref="BD129:BE129"/>
    <mergeCell ref="BF129:BI129"/>
    <mergeCell ref="P129:Q129"/>
    <mergeCell ref="R129:S129"/>
    <mergeCell ref="T129:U129"/>
    <mergeCell ref="V129:W129"/>
    <mergeCell ref="X129:AA129"/>
    <mergeCell ref="AB129:AE129"/>
    <mergeCell ref="AJ129:AK129"/>
    <mergeCell ref="AT128:AU128"/>
    <mergeCell ref="AP128:AQ128"/>
    <mergeCell ref="AR128:AS128"/>
    <mergeCell ref="AL128:AM128"/>
    <mergeCell ref="AN128:AO128"/>
    <mergeCell ref="AT130:AU130"/>
    <mergeCell ref="BA130:BB130"/>
    <mergeCell ref="AX130:AZ130"/>
    <mergeCell ref="BD130:BE130"/>
    <mergeCell ref="BF130:BI130"/>
    <mergeCell ref="BJ130:BM130"/>
    <mergeCell ref="BJ129:BM129"/>
    <mergeCell ref="BN129:BV129"/>
    <mergeCell ref="BN124:BV124"/>
    <mergeCell ref="J127:K127"/>
    <mergeCell ref="J128:K128"/>
    <mergeCell ref="J129:K129"/>
    <mergeCell ref="J130:K130"/>
    <mergeCell ref="J131:K131"/>
    <mergeCell ref="BN123:BV123"/>
    <mergeCell ref="AR123:AS123"/>
    <mergeCell ref="AT123:AU123"/>
    <mergeCell ref="BA123:BB123"/>
    <mergeCell ref="AX123:AZ123"/>
    <mergeCell ref="BF123:BI123"/>
    <mergeCell ref="AP123:AQ123"/>
    <mergeCell ref="BJ123:BM123"/>
    <mergeCell ref="AR124:AS124"/>
    <mergeCell ref="AT124:AU124"/>
    <mergeCell ref="BA124:BB124"/>
    <mergeCell ref="AX124:AZ124"/>
    <mergeCell ref="AL126:AM126"/>
    <mergeCell ref="AN126:AO126"/>
    <mergeCell ref="AP126:AQ126"/>
    <mergeCell ref="AT127:AU127"/>
    <mergeCell ref="V128:W128"/>
    <mergeCell ref="X128:AA128"/>
    <mergeCell ref="BA127:BB127"/>
    <mergeCell ref="AX127:AZ127"/>
    <mergeCell ref="BD127:BE127"/>
    <mergeCell ref="BF127:BI127"/>
    <mergeCell ref="BJ127:BM127"/>
    <mergeCell ref="BN126:BV126"/>
    <mergeCell ref="B127:C127"/>
    <mergeCell ref="D127:E127"/>
    <mergeCell ref="F127:G127"/>
    <mergeCell ref="H127:I127"/>
    <mergeCell ref="L127:M127"/>
    <mergeCell ref="P127:Q127"/>
    <mergeCell ref="R127:S127"/>
    <mergeCell ref="T127:U127"/>
    <mergeCell ref="V127:W127"/>
    <mergeCell ref="X127:AA127"/>
    <mergeCell ref="AB127:AE127"/>
    <mergeCell ref="AJ127:AK127"/>
    <mergeCell ref="AL127:AM127"/>
    <mergeCell ref="B126:C126"/>
    <mergeCell ref="D126:E126"/>
    <mergeCell ref="AR126:AS126"/>
    <mergeCell ref="AT126:AU126"/>
    <mergeCell ref="BA126:BB126"/>
    <mergeCell ref="AX126:AZ126"/>
    <mergeCell ref="BD126:BE126"/>
    <mergeCell ref="BF126:BI126"/>
    <mergeCell ref="BJ126:BM126"/>
    <mergeCell ref="BN127:BV127"/>
    <mergeCell ref="H126:I126"/>
    <mergeCell ref="F126:G126"/>
    <mergeCell ref="BA128:BB128"/>
    <mergeCell ref="AX128:AZ128"/>
    <mergeCell ref="BD128:BE128"/>
    <mergeCell ref="BF128:BI128"/>
    <mergeCell ref="BJ128:BM128"/>
    <mergeCell ref="AR127:AS127"/>
    <mergeCell ref="AN127:AO127"/>
    <mergeCell ref="B128:C128"/>
    <mergeCell ref="D128:E128"/>
    <mergeCell ref="F128:G128"/>
    <mergeCell ref="H128:I128"/>
    <mergeCell ref="AP127:AQ127"/>
    <mergeCell ref="L128:M128"/>
    <mergeCell ref="P128:Q128"/>
    <mergeCell ref="R128:S128"/>
    <mergeCell ref="B125:C125"/>
    <mergeCell ref="D125:E125"/>
    <mergeCell ref="F125:G125"/>
    <mergeCell ref="H125:I125"/>
    <mergeCell ref="L125:M125"/>
    <mergeCell ref="P125:Q125"/>
    <mergeCell ref="R125:S125"/>
    <mergeCell ref="T125:U125"/>
    <mergeCell ref="V125:W125"/>
    <mergeCell ref="X125:AA125"/>
    <mergeCell ref="AB125:AE125"/>
    <mergeCell ref="AJ125:AK125"/>
    <mergeCell ref="AL125:AM125"/>
    <mergeCell ref="B124:C124"/>
    <mergeCell ref="BN125:BV125"/>
    <mergeCell ref="AL124:AM124"/>
    <mergeCell ref="AP125:AQ125"/>
    <mergeCell ref="AR125:AS125"/>
    <mergeCell ref="AT125:AU125"/>
    <mergeCell ref="BA125:BB125"/>
    <mergeCell ref="AX125:AZ125"/>
    <mergeCell ref="BD125:BE125"/>
    <mergeCell ref="L126:M126"/>
    <mergeCell ref="P126:Q126"/>
    <mergeCell ref="R126:S126"/>
    <mergeCell ref="T126:U126"/>
    <mergeCell ref="V126:W126"/>
    <mergeCell ref="X126:AA126"/>
    <mergeCell ref="AB126:AE126"/>
    <mergeCell ref="AJ126:AK126"/>
    <mergeCell ref="D124:E124"/>
    <mergeCell ref="F124:G124"/>
    <mergeCell ref="H124:I124"/>
    <mergeCell ref="L124:M124"/>
    <mergeCell ref="P124:Q124"/>
    <mergeCell ref="R124:S124"/>
    <mergeCell ref="T124:U124"/>
    <mergeCell ref="V124:W124"/>
    <mergeCell ref="X124:AA124"/>
    <mergeCell ref="AB124:AE124"/>
    <mergeCell ref="AJ124:AK124"/>
    <mergeCell ref="BF125:BI125"/>
    <mergeCell ref="BJ125:BM125"/>
    <mergeCell ref="AN125:AO125"/>
    <mergeCell ref="J124:K124"/>
    <mergeCell ref="J125:K125"/>
    <mergeCell ref="J126:K126"/>
    <mergeCell ref="AT122:AU122"/>
    <mergeCell ref="BA122:BB122"/>
    <mergeCell ref="AN121:AO121"/>
    <mergeCell ref="AP121:AQ121"/>
    <mergeCell ref="AP120:AQ120"/>
    <mergeCell ref="AT121:AU121"/>
    <mergeCell ref="BD121:BE121"/>
    <mergeCell ref="BF121:BI121"/>
    <mergeCell ref="BJ121:BM121"/>
    <mergeCell ref="AR121:AS121"/>
    <mergeCell ref="R121:S121"/>
    <mergeCell ref="T121:U121"/>
    <mergeCell ref="V121:W121"/>
    <mergeCell ref="X121:AA121"/>
    <mergeCell ref="AB121:AE121"/>
    <mergeCell ref="AJ121:AK121"/>
    <mergeCell ref="AL121:AM121"/>
    <mergeCell ref="AV117:AW117"/>
    <mergeCell ref="AV118:AW118"/>
    <mergeCell ref="AV119:AW119"/>
    <mergeCell ref="AV120:AW120"/>
    <mergeCell ref="AV121:AW121"/>
    <mergeCell ref="AV122:AW122"/>
    <mergeCell ref="V120:W120"/>
    <mergeCell ref="X120:AA120"/>
    <mergeCell ref="AB120:AE120"/>
    <mergeCell ref="B123:C123"/>
    <mergeCell ref="D123:E123"/>
    <mergeCell ref="F123:G123"/>
    <mergeCell ref="H123:I123"/>
    <mergeCell ref="L123:M123"/>
    <mergeCell ref="R123:S123"/>
    <mergeCell ref="T123:U123"/>
    <mergeCell ref="V123:W123"/>
    <mergeCell ref="X123:AA123"/>
    <mergeCell ref="AB123:AE123"/>
    <mergeCell ref="AL123:AM123"/>
    <mergeCell ref="L118:M118"/>
    <mergeCell ref="P118:Q118"/>
    <mergeCell ref="R118:S118"/>
    <mergeCell ref="B117:C117"/>
    <mergeCell ref="AL117:AM117"/>
    <mergeCell ref="AJ123:AK123"/>
    <mergeCell ref="BD123:BE123"/>
    <mergeCell ref="AN123:AO123"/>
    <mergeCell ref="P123:Q123"/>
    <mergeCell ref="J119:K119"/>
    <mergeCell ref="J120:K120"/>
    <mergeCell ref="J121:K121"/>
    <mergeCell ref="J122:K122"/>
    <mergeCell ref="J123:K123"/>
    <mergeCell ref="BN122:BV122"/>
    <mergeCell ref="BN121:BV121"/>
    <mergeCell ref="B122:C122"/>
    <mergeCell ref="D122:E122"/>
    <mergeCell ref="F122:G122"/>
    <mergeCell ref="H122:I122"/>
    <mergeCell ref="L122:M122"/>
    <mergeCell ref="P122:Q122"/>
    <mergeCell ref="R122:S122"/>
    <mergeCell ref="T122:U122"/>
    <mergeCell ref="V122:W122"/>
    <mergeCell ref="X122:AA122"/>
    <mergeCell ref="AB122:AE122"/>
    <mergeCell ref="AJ122:AK122"/>
    <mergeCell ref="AL122:AM122"/>
    <mergeCell ref="AN122:AO122"/>
    <mergeCell ref="AP122:AQ122"/>
    <mergeCell ref="AR122:AS122"/>
    <mergeCell ref="BA121:BB121"/>
    <mergeCell ref="AX121:AZ121"/>
    <mergeCell ref="B121:C121"/>
    <mergeCell ref="D121:E121"/>
    <mergeCell ref="F121:G121"/>
    <mergeCell ref="H121:I121"/>
    <mergeCell ref="L121:M121"/>
    <mergeCell ref="P121:Q121"/>
    <mergeCell ref="AJ120:AK120"/>
    <mergeCell ref="AL120:AM120"/>
    <mergeCell ref="AN120:AO120"/>
    <mergeCell ref="BN120:BV120"/>
    <mergeCell ref="AP119:AQ119"/>
    <mergeCell ref="AP118:AQ118"/>
    <mergeCell ref="B118:C118"/>
    <mergeCell ref="AR118:AS118"/>
    <mergeCell ref="AT118:AU118"/>
    <mergeCell ref="AT120:AU120"/>
    <mergeCell ref="BA120:BB120"/>
    <mergeCell ref="AX120:AZ120"/>
    <mergeCell ref="BD120:BE120"/>
    <mergeCell ref="BF120:BI120"/>
    <mergeCell ref="BJ120:BM120"/>
    <mergeCell ref="B119:C119"/>
    <mergeCell ref="D119:E119"/>
    <mergeCell ref="F119:G119"/>
    <mergeCell ref="H119:I119"/>
    <mergeCell ref="L119:M119"/>
    <mergeCell ref="P119:Q119"/>
    <mergeCell ref="R119:S119"/>
    <mergeCell ref="T119:U119"/>
    <mergeCell ref="V119:W119"/>
    <mergeCell ref="X119:AA119"/>
    <mergeCell ref="AB119:AE119"/>
    <mergeCell ref="AJ119:AK119"/>
    <mergeCell ref="AL119:AM119"/>
    <mergeCell ref="AL118:AM118"/>
    <mergeCell ref="T118:U118"/>
    <mergeCell ref="V118:W118"/>
    <mergeCell ref="AN119:AO119"/>
    <mergeCell ref="AR120:AS120"/>
    <mergeCell ref="AX122:AZ122"/>
    <mergeCell ref="BD122:BE122"/>
    <mergeCell ref="BF122:BI122"/>
    <mergeCell ref="BJ122:BM122"/>
    <mergeCell ref="AR119:AS119"/>
    <mergeCell ref="BN119:BV119"/>
    <mergeCell ref="B120:C120"/>
    <mergeCell ref="D120:E120"/>
    <mergeCell ref="F120:G120"/>
    <mergeCell ref="H120:I120"/>
    <mergeCell ref="L120:M120"/>
    <mergeCell ref="P120:Q120"/>
    <mergeCell ref="R120:S120"/>
    <mergeCell ref="T120:U120"/>
    <mergeCell ref="BN118:BV118"/>
    <mergeCell ref="R117:S117"/>
    <mergeCell ref="T117:U117"/>
    <mergeCell ref="V117:W117"/>
    <mergeCell ref="X117:AA117"/>
    <mergeCell ref="AJ117:AK117"/>
    <mergeCell ref="D117:E117"/>
    <mergeCell ref="F117:G117"/>
    <mergeCell ref="B116:C116"/>
    <mergeCell ref="D116:E116"/>
    <mergeCell ref="F116:G116"/>
    <mergeCell ref="H116:I116"/>
    <mergeCell ref="L116:M116"/>
    <mergeCell ref="P116:Q116"/>
    <mergeCell ref="R116:S116"/>
    <mergeCell ref="T116:U116"/>
    <mergeCell ref="V116:W116"/>
    <mergeCell ref="X116:AA116"/>
    <mergeCell ref="AB116:AE116"/>
    <mergeCell ref="AJ116:AK116"/>
    <mergeCell ref="AL116:AM116"/>
    <mergeCell ref="AN116:AO116"/>
    <mergeCell ref="AP116:AQ116"/>
    <mergeCell ref="AR116:AS116"/>
    <mergeCell ref="AT116:AU116"/>
    <mergeCell ref="BF118:BI118"/>
    <mergeCell ref="BJ118:BM118"/>
    <mergeCell ref="AB117:AE117"/>
    <mergeCell ref="AN118:AO118"/>
    <mergeCell ref="BA118:BB118"/>
    <mergeCell ref="AX118:AZ118"/>
    <mergeCell ref="BD118:BE118"/>
    <mergeCell ref="AN117:AO117"/>
    <mergeCell ref="AP117:AQ117"/>
    <mergeCell ref="AR117:AS117"/>
    <mergeCell ref="AT117:AU117"/>
    <mergeCell ref="BA117:BB117"/>
    <mergeCell ref="AX117:AZ117"/>
    <mergeCell ref="BD117:BE117"/>
    <mergeCell ref="BF117:BI117"/>
    <mergeCell ref="BJ117:BM117"/>
    <mergeCell ref="AV116:AW116"/>
    <mergeCell ref="BA116:BB116"/>
    <mergeCell ref="H117:I117"/>
    <mergeCell ref="L117:M117"/>
    <mergeCell ref="P117:Q117"/>
    <mergeCell ref="AT119:AU119"/>
    <mergeCell ref="BA119:BB119"/>
    <mergeCell ref="AX119:AZ119"/>
    <mergeCell ref="BD119:BE119"/>
    <mergeCell ref="BF119:BI119"/>
    <mergeCell ref="BJ119:BM119"/>
    <mergeCell ref="J116:K116"/>
    <mergeCell ref="J117:K117"/>
    <mergeCell ref="J118:K118"/>
    <mergeCell ref="AX115:AZ115"/>
    <mergeCell ref="BD115:BE115"/>
    <mergeCell ref="BF115:BI115"/>
    <mergeCell ref="BJ115:BM115"/>
    <mergeCell ref="BD116:BE116"/>
    <mergeCell ref="BF116:BI116"/>
    <mergeCell ref="BJ116:BM116"/>
    <mergeCell ref="AN115:AO115"/>
    <mergeCell ref="AP115:AQ115"/>
    <mergeCell ref="AR115:AS115"/>
    <mergeCell ref="H115:I115"/>
    <mergeCell ref="L115:M115"/>
    <mergeCell ref="P115:Q115"/>
    <mergeCell ref="R115:S115"/>
    <mergeCell ref="T115:U115"/>
    <mergeCell ref="V115:W115"/>
    <mergeCell ref="X115:AA115"/>
    <mergeCell ref="AB115:AE115"/>
    <mergeCell ref="AJ115:AK115"/>
    <mergeCell ref="AL115:AM115"/>
    <mergeCell ref="X118:AA118"/>
    <mergeCell ref="AB118:AE118"/>
    <mergeCell ref="AJ118:AK118"/>
    <mergeCell ref="AV115:AW115"/>
    <mergeCell ref="BN115:BV115"/>
    <mergeCell ref="B113:C113"/>
    <mergeCell ref="D113:E113"/>
    <mergeCell ref="F113:G113"/>
    <mergeCell ref="H113:I113"/>
    <mergeCell ref="L113:M113"/>
    <mergeCell ref="P113:Q113"/>
    <mergeCell ref="R113:S113"/>
    <mergeCell ref="T113:U113"/>
    <mergeCell ref="V113:W113"/>
    <mergeCell ref="X113:AA113"/>
    <mergeCell ref="AB113:AE113"/>
    <mergeCell ref="AJ113:AK113"/>
    <mergeCell ref="AL113:AM113"/>
    <mergeCell ref="AL114:AM114"/>
    <mergeCell ref="AN114:AO114"/>
    <mergeCell ref="AP114:AQ114"/>
    <mergeCell ref="AP113:AQ113"/>
    <mergeCell ref="AR113:AS113"/>
    <mergeCell ref="AT113:AU113"/>
    <mergeCell ref="BA113:BB113"/>
    <mergeCell ref="AX113:AZ113"/>
    <mergeCell ref="BD113:BE113"/>
    <mergeCell ref="BF113:BI113"/>
    <mergeCell ref="BJ113:BM113"/>
    <mergeCell ref="BN114:BV114"/>
    <mergeCell ref="B115:C115"/>
    <mergeCell ref="D115:E115"/>
    <mergeCell ref="F115:G115"/>
    <mergeCell ref="AT115:AU115"/>
    <mergeCell ref="BA115:BB115"/>
    <mergeCell ref="AV113:AW113"/>
    <mergeCell ref="AV114:AW114"/>
    <mergeCell ref="AN113:AO113"/>
    <mergeCell ref="BN116:BV116"/>
    <mergeCell ref="AX116:AZ116"/>
    <mergeCell ref="BN117:BV117"/>
    <mergeCell ref="D118:E118"/>
    <mergeCell ref="F118:G118"/>
    <mergeCell ref="H118:I118"/>
    <mergeCell ref="BF112:BI112"/>
    <mergeCell ref="BJ112:BM112"/>
    <mergeCell ref="AR114:AS114"/>
    <mergeCell ref="AT114:AU114"/>
    <mergeCell ref="BA114:BB114"/>
    <mergeCell ref="R111:S111"/>
    <mergeCell ref="T111:U111"/>
    <mergeCell ref="V111:W111"/>
    <mergeCell ref="X111:AA111"/>
    <mergeCell ref="AB111:AE111"/>
    <mergeCell ref="AJ111:AK111"/>
    <mergeCell ref="B111:C111"/>
    <mergeCell ref="D111:E111"/>
    <mergeCell ref="F111:G111"/>
    <mergeCell ref="H111:I111"/>
    <mergeCell ref="L111:M111"/>
    <mergeCell ref="BN113:BV113"/>
    <mergeCell ref="B114:C114"/>
    <mergeCell ref="D114:E114"/>
    <mergeCell ref="F114:G114"/>
    <mergeCell ref="H114:I114"/>
    <mergeCell ref="L114:M114"/>
    <mergeCell ref="P114:Q114"/>
    <mergeCell ref="R114:S114"/>
    <mergeCell ref="T114:U114"/>
    <mergeCell ref="V114:W114"/>
    <mergeCell ref="X114:AA114"/>
    <mergeCell ref="AB114:AE114"/>
    <mergeCell ref="AJ114:AK114"/>
    <mergeCell ref="AX114:AZ114"/>
    <mergeCell ref="BD114:BE114"/>
    <mergeCell ref="BF114:BI114"/>
    <mergeCell ref="BJ114:BM114"/>
    <mergeCell ref="AV111:AW111"/>
    <mergeCell ref="AV112:AW112"/>
    <mergeCell ref="BJ111:BM111"/>
    <mergeCell ref="BN111:BV111"/>
    <mergeCell ref="B112:C112"/>
    <mergeCell ref="D112:E112"/>
    <mergeCell ref="F112:G112"/>
    <mergeCell ref="H112:I112"/>
    <mergeCell ref="L112:M112"/>
    <mergeCell ref="P112:Q112"/>
    <mergeCell ref="R112:S112"/>
    <mergeCell ref="T112:U112"/>
    <mergeCell ref="V112:W112"/>
    <mergeCell ref="X112:AA112"/>
    <mergeCell ref="AB112:AE112"/>
    <mergeCell ref="AJ112:AK112"/>
    <mergeCell ref="AL112:AM112"/>
    <mergeCell ref="AL111:AM111"/>
    <mergeCell ref="AN111:AO111"/>
    <mergeCell ref="AP111:AQ111"/>
    <mergeCell ref="AR111:AS111"/>
    <mergeCell ref="AT111:AU111"/>
    <mergeCell ref="BA111:BB111"/>
    <mergeCell ref="AX111:AZ111"/>
    <mergeCell ref="AF112:AG112"/>
    <mergeCell ref="AF113:AG113"/>
    <mergeCell ref="AF114:AG114"/>
    <mergeCell ref="AF111:AG111"/>
    <mergeCell ref="BD109:BE109"/>
    <mergeCell ref="BF109:BI109"/>
    <mergeCell ref="BJ109:BM109"/>
    <mergeCell ref="BN108:BV108"/>
    <mergeCell ref="B109:C109"/>
    <mergeCell ref="D109:E109"/>
    <mergeCell ref="F109:G109"/>
    <mergeCell ref="H109:I109"/>
    <mergeCell ref="L109:M109"/>
    <mergeCell ref="P109:Q109"/>
    <mergeCell ref="R109:S109"/>
    <mergeCell ref="T109:U109"/>
    <mergeCell ref="V109:W109"/>
    <mergeCell ref="X109:AA109"/>
    <mergeCell ref="AB109:AE109"/>
    <mergeCell ref="AJ109:AK109"/>
    <mergeCell ref="AL109:AM109"/>
    <mergeCell ref="AN109:AO109"/>
    <mergeCell ref="AP109:AQ109"/>
    <mergeCell ref="AP108:AQ108"/>
    <mergeCell ref="AR108:AS108"/>
    <mergeCell ref="AT108:AU108"/>
    <mergeCell ref="BA108:BB108"/>
    <mergeCell ref="AX108:AZ108"/>
    <mergeCell ref="BD111:BE111"/>
    <mergeCell ref="BF111:BI111"/>
    <mergeCell ref="P111:Q111"/>
    <mergeCell ref="BD110:BE110"/>
    <mergeCell ref="BN112:BV112"/>
    <mergeCell ref="AV110:AW110"/>
    <mergeCell ref="BN109:BV109"/>
    <mergeCell ref="AR109:AS109"/>
    <mergeCell ref="AT109:AU109"/>
    <mergeCell ref="BA109:BB109"/>
    <mergeCell ref="AX109:AZ109"/>
    <mergeCell ref="BF110:BI110"/>
    <mergeCell ref="BJ110:BM110"/>
    <mergeCell ref="BN110:BV110"/>
    <mergeCell ref="B110:C110"/>
    <mergeCell ref="D110:E110"/>
    <mergeCell ref="F110:G110"/>
    <mergeCell ref="H110:I110"/>
    <mergeCell ref="L110:M110"/>
    <mergeCell ref="P110:Q110"/>
    <mergeCell ref="R110:S110"/>
    <mergeCell ref="T110:U110"/>
    <mergeCell ref="V110:W110"/>
    <mergeCell ref="X110:AA110"/>
    <mergeCell ref="AB110:AE110"/>
    <mergeCell ref="AJ110:AK110"/>
    <mergeCell ref="AL110:AM110"/>
    <mergeCell ref="AN110:AO110"/>
    <mergeCell ref="AP110:AQ110"/>
    <mergeCell ref="AR110:AS110"/>
    <mergeCell ref="AT110:AU110"/>
    <mergeCell ref="BA110:BB110"/>
    <mergeCell ref="AX110:AZ110"/>
    <mergeCell ref="AN112:AO112"/>
    <mergeCell ref="AP112:AQ112"/>
    <mergeCell ref="AR112:AS112"/>
    <mergeCell ref="AT112:AU112"/>
    <mergeCell ref="BA112:BB112"/>
    <mergeCell ref="AX112:AZ112"/>
    <mergeCell ref="BD112:BE112"/>
    <mergeCell ref="BD108:BE108"/>
    <mergeCell ref="BF108:BI108"/>
    <mergeCell ref="BJ108:BM108"/>
    <mergeCell ref="BN107:BV107"/>
    <mergeCell ref="B108:C108"/>
    <mergeCell ref="D108:E108"/>
    <mergeCell ref="F108:G108"/>
    <mergeCell ref="H108:I108"/>
    <mergeCell ref="L108:M108"/>
    <mergeCell ref="P108:Q108"/>
    <mergeCell ref="R108:S108"/>
    <mergeCell ref="T108:U108"/>
    <mergeCell ref="V108:W108"/>
    <mergeCell ref="X108:AA108"/>
    <mergeCell ref="AB108:AE108"/>
    <mergeCell ref="AJ108:AK108"/>
    <mergeCell ref="AL108:AM108"/>
    <mergeCell ref="AN108:AO108"/>
    <mergeCell ref="AN107:AO107"/>
    <mergeCell ref="AP107:AQ107"/>
    <mergeCell ref="AR107:AS107"/>
    <mergeCell ref="AT107:AU107"/>
    <mergeCell ref="BA107:BB107"/>
    <mergeCell ref="AX107:AZ107"/>
    <mergeCell ref="AL106:AM106"/>
    <mergeCell ref="AN106:AO106"/>
    <mergeCell ref="AP106:AQ106"/>
    <mergeCell ref="AR106:AS106"/>
    <mergeCell ref="AT106:AU106"/>
    <mergeCell ref="BA106:BB106"/>
    <mergeCell ref="AX106:AZ106"/>
    <mergeCell ref="BD106:BE106"/>
    <mergeCell ref="BF106:BI106"/>
    <mergeCell ref="P106:Q106"/>
    <mergeCell ref="R106:S106"/>
    <mergeCell ref="T106:U106"/>
    <mergeCell ref="V106:W106"/>
    <mergeCell ref="X106:AA106"/>
    <mergeCell ref="AB106:AE106"/>
    <mergeCell ref="AJ106:AK106"/>
    <mergeCell ref="BD107:BE107"/>
    <mergeCell ref="BF107:BI107"/>
    <mergeCell ref="BJ107:BM107"/>
    <mergeCell ref="BJ106:BM106"/>
    <mergeCell ref="BN106:BV106"/>
    <mergeCell ref="AL107:AM107"/>
    <mergeCell ref="B107:C107"/>
    <mergeCell ref="D107:E107"/>
    <mergeCell ref="F107:G107"/>
    <mergeCell ref="H107:I107"/>
    <mergeCell ref="L107:M107"/>
    <mergeCell ref="P107:Q107"/>
    <mergeCell ref="R107:S107"/>
    <mergeCell ref="T107:U107"/>
    <mergeCell ref="V107:W107"/>
    <mergeCell ref="X107:AA107"/>
    <mergeCell ref="AB107:AE107"/>
    <mergeCell ref="AJ107:AK107"/>
    <mergeCell ref="B106:C106"/>
    <mergeCell ref="D106:E106"/>
    <mergeCell ref="F106:G106"/>
    <mergeCell ref="H106:I106"/>
    <mergeCell ref="L106:M106"/>
    <mergeCell ref="AF106:AG106"/>
    <mergeCell ref="B103:C103"/>
    <mergeCell ref="AR103:AS103"/>
    <mergeCell ref="AT103:AU103"/>
    <mergeCell ref="BA103:BB103"/>
    <mergeCell ref="AX103:AZ103"/>
    <mergeCell ref="L103:M103"/>
    <mergeCell ref="P103:Q103"/>
    <mergeCell ref="R103:S103"/>
    <mergeCell ref="T103:U103"/>
    <mergeCell ref="V103:W103"/>
    <mergeCell ref="X103:AA103"/>
    <mergeCell ref="AB103:AE103"/>
    <mergeCell ref="AJ103:AK103"/>
    <mergeCell ref="AL103:AM103"/>
    <mergeCell ref="AN103:AO103"/>
    <mergeCell ref="BF103:BI103"/>
    <mergeCell ref="BJ103:BM103"/>
    <mergeCell ref="BN104:BV104"/>
    <mergeCell ref="D103:E103"/>
    <mergeCell ref="BD104:BE104"/>
    <mergeCell ref="BF104:BI104"/>
    <mergeCell ref="BJ104:BM104"/>
    <mergeCell ref="B104:C104"/>
    <mergeCell ref="D104:E104"/>
    <mergeCell ref="F104:G104"/>
    <mergeCell ref="H104:I104"/>
    <mergeCell ref="L104:M104"/>
    <mergeCell ref="P104:Q104"/>
    <mergeCell ref="R104:S104"/>
    <mergeCell ref="T104:U104"/>
    <mergeCell ref="V104:W104"/>
    <mergeCell ref="X104:AA104"/>
    <mergeCell ref="BN105:BV105"/>
    <mergeCell ref="BA105:BB105"/>
    <mergeCell ref="AX105:AZ105"/>
    <mergeCell ref="BD105:BE105"/>
    <mergeCell ref="BF105:BI105"/>
    <mergeCell ref="BJ105:BM105"/>
    <mergeCell ref="AN105:AO105"/>
    <mergeCell ref="AF104:AG104"/>
    <mergeCell ref="AF105:AG105"/>
    <mergeCell ref="AL102:AM102"/>
    <mergeCell ref="BN99:BV99"/>
    <mergeCell ref="B101:C101"/>
    <mergeCell ref="D101:E101"/>
    <mergeCell ref="F101:G101"/>
    <mergeCell ref="H101:I101"/>
    <mergeCell ref="L101:M101"/>
    <mergeCell ref="P101:Q101"/>
    <mergeCell ref="R101:S101"/>
    <mergeCell ref="T101:U101"/>
    <mergeCell ref="V101:W101"/>
    <mergeCell ref="X101:AA101"/>
    <mergeCell ref="AB101:AE101"/>
    <mergeCell ref="AJ101:AK101"/>
    <mergeCell ref="AN99:AO99"/>
    <mergeCell ref="AL101:AM101"/>
    <mergeCell ref="AP102:AQ102"/>
    <mergeCell ref="AR102:AS102"/>
    <mergeCell ref="AT102:AU102"/>
    <mergeCell ref="BA102:BB102"/>
    <mergeCell ref="AX102:AZ102"/>
    <mergeCell ref="BD102:BE102"/>
    <mergeCell ref="BF102:BI102"/>
    <mergeCell ref="BJ102:BM102"/>
    <mergeCell ref="BN100:BV100"/>
    <mergeCell ref="AL100:AM100"/>
    <mergeCell ref="AN100:AO100"/>
    <mergeCell ref="AP100:AQ100"/>
    <mergeCell ref="BA99:BB99"/>
    <mergeCell ref="AP105:AQ105"/>
    <mergeCell ref="AR105:AS105"/>
    <mergeCell ref="AT105:AU105"/>
    <mergeCell ref="R105:S105"/>
    <mergeCell ref="T105:U105"/>
    <mergeCell ref="V105:W105"/>
    <mergeCell ref="X105:AA105"/>
    <mergeCell ref="AB105:AE105"/>
    <mergeCell ref="AJ105:AK105"/>
    <mergeCell ref="AL105:AM105"/>
    <mergeCell ref="F103:G103"/>
    <mergeCell ref="H103:I103"/>
    <mergeCell ref="AR104:AS104"/>
    <mergeCell ref="BN103:BV103"/>
    <mergeCell ref="B100:C100"/>
    <mergeCell ref="D100:E100"/>
    <mergeCell ref="F100:G100"/>
    <mergeCell ref="H100:I100"/>
    <mergeCell ref="L100:M100"/>
    <mergeCell ref="BD103:BE103"/>
    <mergeCell ref="AT104:AU104"/>
    <mergeCell ref="B105:C105"/>
    <mergeCell ref="D105:E105"/>
    <mergeCell ref="F105:G105"/>
    <mergeCell ref="H105:I105"/>
    <mergeCell ref="L105:M105"/>
    <mergeCell ref="P105:Q105"/>
    <mergeCell ref="AB104:AE104"/>
    <mergeCell ref="AJ104:AK104"/>
    <mergeCell ref="AL104:AM104"/>
    <mergeCell ref="BA104:BB104"/>
    <mergeCell ref="AX104:AZ104"/>
    <mergeCell ref="AN104:AO104"/>
    <mergeCell ref="AP104:AQ104"/>
    <mergeCell ref="AP103:AQ103"/>
    <mergeCell ref="BN98:BV98"/>
    <mergeCell ref="BJ98:BM98"/>
    <mergeCell ref="B102:C102"/>
    <mergeCell ref="D102:E102"/>
    <mergeCell ref="F102:G102"/>
    <mergeCell ref="H102:I102"/>
    <mergeCell ref="L102:M102"/>
    <mergeCell ref="P102:Q102"/>
    <mergeCell ref="R102:S102"/>
    <mergeCell ref="T102:U102"/>
    <mergeCell ref="V102:W102"/>
    <mergeCell ref="X102:AA102"/>
    <mergeCell ref="AB102:AE102"/>
    <mergeCell ref="AJ102:AK102"/>
    <mergeCell ref="BN101:BV101"/>
    <mergeCell ref="AN102:AO102"/>
    <mergeCell ref="AN101:AO101"/>
    <mergeCell ref="AP101:AQ101"/>
    <mergeCell ref="AR101:AS101"/>
    <mergeCell ref="AT101:AU101"/>
    <mergeCell ref="BA101:BB101"/>
    <mergeCell ref="AX101:AZ101"/>
    <mergeCell ref="BD101:BE101"/>
    <mergeCell ref="BF101:BI101"/>
    <mergeCell ref="BJ101:BM101"/>
    <mergeCell ref="BN102:BV102"/>
    <mergeCell ref="BF96:BI96"/>
    <mergeCell ref="BJ96:BM96"/>
    <mergeCell ref="BN97:BV97"/>
    <mergeCell ref="AN96:AO96"/>
    <mergeCell ref="P99:Q99"/>
    <mergeCell ref="R99:S99"/>
    <mergeCell ref="T99:U99"/>
    <mergeCell ref="V99:W99"/>
    <mergeCell ref="X99:AA99"/>
    <mergeCell ref="AB99:AE99"/>
    <mergeCell ref="AJ99:AK99"/>
    <mergeCell ref="AL99:AM99"/>
    <mergeCell ref="V97:W97"/>
    <mergeCell ref="X97:AA97"/>
    <mergeCell ref="AB97:AE97"/>
    <mergeCell ref="AJ97:AK97"/>
    <mergeCell ref="AL97:AM97"/>
    <mergeCell ref="BF100:BI100"/>
    <mergeCell ref="AR99:AS99"/>
    <mergeCell ref="AT99:AU99"/>
    <mergeCell ref="AT98:AU98"/>
    <mergeCell ref="BA98:BB98"/>
    <mergeCell ref="AX98:AZ98"/>
    <mergeCell ref="BD98:BE98"/>
    <mergeCell ref="BF98:BI98"/>
    <mergeCell ref="AR100:AS100"/>
    <mergeCell ref="AT100:AU100"/>
    <mergeCell ref="BA100:BB100"/>
    <mergeCell ref="AX100:AZ100"/>
    <mergeCell ref="BD100:BE100"/>
    <mergeCell ref="P100:Q100"/>
    <mergeCell ref="R100:S100"/>
    <mergeCell ref="T100:U100"/>
    <mergeCell ref="V100:W100"/>
    <mergeCell ref="X100:AA100"/>
    <mergeCell ref="AB100:AE100"/>
    <mergeCell ref="AJ100:AK100"/>
    <mergeCell ref="AR96:AS96"/>
    <mergeCell ref="BJ100:BM100"/>
    <mergeCell ref="AX99:AZ99"/>
    <mergeCell ref="BD99:BE99"/>
    <mergeCell ref="BF99:BI99"/>
    <mergeCell ref="BJ99:BM99"/>
    <mergeCell ref="AN98:AO98"/>
    <mergeCell ref="AP98:AQ98"/>
    <mergeCell ref="AR98:AS98"/>
    <mergeCell ref="B96:C96"/>
    <mergeCell ref="D96:E96"/>
    <mergeCell ref="F96:G96"/>
    <mergeCell ref="H96:I96"/>
    <mergeCell ref="L96:M96"/>
    <mergeCell ref="P96:Q96"/>
    <mergeCell ref="R96:S96"/>
    <mergeCell ref="T96:U96"/>
    <mergeCell ref="V96:W96"/>
    <mergeCell ref="X96:AA96"/>
    <mergeCell ref="AB96:AE96"/>
    <mergeCell ref="AJ96:AK96"/>
    <mergeCell ref="AL96:AM96"/>
    <mergeCell ref="AP96:AQ96"/>
    <mergeCell ref="AP99:AQ99"/>
    <mergeCell ref="H98:I98"/>
    <mergeCell ref="L98:M98"/>
    <mergeCell ref="P98:Q98"/>
    <mergeCell ref="R98:S98"/>
    <mergeCell ref="T98:U98"/>
    <mergeCell ref="V98:W98"/>
    <mergeCell ref="X98:AA98"/>
    <mergeCell ref="AB98:AE98"/>
    <mergeCell ref="AJ98:AK98"/>
    <mergeCell ref="AL98:AM98"/>
    <mergeCell ref="L97:M97"/>
    <mergeCell ref="P97:Q97"/>
    <mergeCell ref="R97:S97"/>
    <mergeCell ref="T97:U97"/>
    <mergeCell ref="AN97:AO97"/>
    <mergeCell ref="AP97:AQ97"/>
    <mergeCell ref="B98:C98"/>
    <mergeCell ref="D98:E98"/>
    <mergeCell ref="F98:G98"/>
    <mergeCell ref="B97:C97"/>
    <mergeCell ref="D97:E97"/>
    <mergeCell ref="F97:G97"/>
    <mergeCell ref="H97:I97"/>
    <mergeCell ref="B99:C99"/>
    <mergeCell ref="D99:E99"/>
    <mergeCell ref="F99:G99"/>
    <mergeCell ref="H99:I99"/>
    <mergeCell ref="L99:M99"/>
    <mergeCell ref="AH96:AI96"/>
    <mergeCell ref="AH97:AI97"/>
    <mergeCell ref="AH98:AI98"/>
    <mergeCell ref="AH99:AI99"/>
    <mergeCell ref="AH100:AI100"/>
    <mergeCell ref="BN95:BV95"/>
    <mergeCell ref="AN95:AO95"/>
    <mergeCell ref="AP95:AQ95"/>
    <mergeCell ref="AR95:AS95"/>
    <mergeCell ref="AT95:AU95"/>
    <mergeCell ref="BA95:BB95"/>
    <mergeCell ref="AX95:AZ95"/>
    <mergeCell ref="BD95:BE95"/>
    <mergeCell ref="BF95:BI95"/>
    <mergeCell ref="BJ95:BM95"/>
    <mergeCell ref="BN96:BV96"/>
    <mergeCell ref="AR97:AS97"/>
    <mergeCell ref="AT97:AU97"/>
    <mergeCell ref="BA97:BB97"/>
    <mergeCell ref="AX97:AZ97"/>
    <mergeCell ref="BD97:BE97"/>
    <mergeCell ref="BF97:BI97"/>
    <mergeCell ref="AT96:AU96"/>
    <mergeCell ref="BA96:BB96"/>
    <mergeCell ref="AX96:AZ96"/>
    <mergeCell ref="BD96:BE96"/>
    <mergeCell ref="B94:C94"/>
    <mergeCell ref="D94:E94"/>
    <mergeCell ref="F94:G94"/>
    <mergeCell ref="H94:I94"/>
    <mergeCell ref="L94:M94"/>
    <mergeCell ref="BA93:BB93"/>
    <mergeCell ref="AX93:AZ93"/>
    <mergeCell ref="BD93:BE93"/>
    <mergeCell ref="BF93:BI93"/>
    <mergeCell ref="BJ93:BM93"/>
    <mergeCell ref="D93:E93"/>
    <mergeCell ref="F93:G93"/>
    <mergeCell ref="H93:I93"/>
    <mergeCell ref="L93:M93"/>
    <mergeCell ref="P93:Q93"/>
    <mergeCell ref="R93:S93"/>
    <mergeCell ref="T93:U93"/>
    <mergeCell ref="AL93:AM93"/>
    <mergeCell ref="BN93:BV93"/>
    <mergeCell ref="AN94:AO94"/>
    <mergeCell ref="AP94:AQ94"/>
    <mergeCell ref="AR94:AS94"/>
    <mergeCell ref="AT94:AU94"/>
    <mergeCell ref="BA94:BB94"/>
    <mergeCell ref="AX94:AZ94"/>
    <mergeCell ref="BD94:BE94"/>
    <mergeCell ref="BF94:BI94"/>
    <mergeCell ref="P94:Q94"/>
    <mergeCell ref="R94:S94"/>
    <mergeCell ref="T94:U94"/>
    <mergeCell ref="V94:W94"/>
    <mergeCell ref="X94:AA94"/>
    <mergeCell ref="AB94:AE94"/>
    <mergeCell ref="AN93:AO93"/>
    <mergeCell ref="AP93:AQ93"/>
    <mergeCell ref="AR93:AS93"/>
    <mergeCell ref="AT93:AU93"/>
    <mergeCell ref="BJ94:BM94"/>
    <mergeCell ref="BN94:BV94"/>
    <mergeCell ref="AL94:AM94"/>
    <mergeCell ref="V93:W93"/>
    <mergeCell ref="BJ97:BM97"/>
    <mergeCell ref="X93:AA93"/>
    <mergeCell ref="AB93:AE93"/>
    <mergeCell ref="D95:E95"/>
    <mergeCell ref="F95:G95"/>
    <mergeCell ref="B93:C93"/>
    <mergeCell ref="B92:C92"/>
    <mergeCell ref="D92:E92"/>
    <mergeCell ref="F92:G92"/>
    <mergeCell ref="H92:I92"/>
    <mergeCell ref="L92:M92"/>
    <mergeCell ref="P92:Q92"/>
    <mergeCell ref="R92:S92"/>
    <mergeCell ref="T92:U92"/>
    <mergeCell ref="V92:W92"/>
    <mergeCell ref="X92:AA92"/>
    <mergeCell ref="AB92:AE92"/>
    <mergeCell ref="F89:G89"/>
    <mergeCell ref="H89:I89"/>
    <mergeCell ref="L89:M89"/>
    <mergeCell ref="P89:Q89"/>
    <mergeCell ref="R89:S89"/>
    <mergeCell ref="T89:U89"/>
    <mergeCell ref="V89:W89"/>
    <mergeCell ref="X89:AA89"/>
    <mergeCell ref="AB89:AE89"/>
    <mergeCell ref="B91:C91"/>
    <mergeCell ref="B95:C95"/>
    <mergeCell ref="H95:I95"/>
    <mergeCell ref="L95:M95"/>
    <mergeCell ref="P95:Q95"/>
    <mergeCell ref="R95:S95"/>
    <mergeCell ref="T95:U95"/>
    <mergeCell ref="V95:W95"/>
    <mergeCell ref="X95:AA95"/>
    <mergeCell ref="AB95:AE95"/>
    <mergeCell ref="BA91:BB91"/>
    <mergeCell ref="AX91:AZ91"/>
    <mergeCell ref="BD91:BE91"/>
    <mergeCell ref="BF91:BI91"/>
    <mergeCell ref="BJ91:BM91"/>
    <mergeCell ref="D91:E91"/>
    <mergeCell ref="BJ92:BM92"/>
    <mergeCell ref="BA92:BB92"/>
    <mergeCell ref="AX92:AZ92"/>
    <mergeCell ref="BD92:BE92"/>
    <mergeCell ref="BF92:BI92"/>
    <mergeCell ref="AN90:AO90"/>
    <mergeCell ref="AR91:AS91"/>
    <mergeCell ref="AP91:AQ91"/>
    <mergeCell ref="AP90:AQ90"/>
    <mergeCell ref="AR90:AS90"/>
    <mergeCell ref="AT90:AU90"/>
    <mergeCell ref="BA90:BB90"/>
    <mergeCell ref="AX90:AZ90"/>
    <mergeCell ref="BD90:BE90"/>
    <mergeCell ref="BF90:BI90"/>
    <mergeCell ref="BJ90:BM90"/>
    <mergeCell ref="AL92:AM92"/>
    <mergeCell ref="B88:C88"/>
    <mergeCell ref="D88:E88"/>
    <mergeCell ref="F88:G88"/>
    <mergeCell ref="H88:I88"/>
    <mergeCell ref="L88:M88"/>
    <mergeCell ref="BJ88:BM88"/>
    <mergeCell ref="BN89:BV89"/>
    <mergeCell ref="F91:G91"/>
    <mergeCell ref="H91:I91"/>
    <mergeCell ref="L91:M91"/>
    <mergeCell ref="P91:Q91"/>
    <mergeCell ref="R91:S91"/>
    <mergeCell ref="T91:U91"/>
    <mergeCell ref="V91:W91"/>
    <mergeCell ref="X91:AA91"/>
    <mergeCell ref="AB91:AE91"/>
    <mergeCell ref="AJ91:AK91"/>
    <mergeCell ref="AL91:AM91"/>
    <mergeCell ref="AN91:AO91"/>
    <mergeCell ref="AN89:AO89"/>
    <mergeCell ref="BN90:BV90"/>
    <mergeCell ref="BN91:BV91"/>
    <mergeCell ref="H90:I90"/>
    <mergeCell ref="L90:M90"/>
    <mergeCell ref="P90:Q90"/>
    <mergeCell ref="R90:S90"/>
    <mergeCell ref="T90:U90"/>
    <mergeCell ref="V90:W90"/>
    <mergeCell ref="X90:AA90"/>
    <mergeCell ref="BN92:BV92"/>
    <mergeCell ref="B90:C90"/>
    <mergeCell ref="D90:E90"/>
    <mergeCell ref="F90:G90"/>
    <mergeCell ref="BN87:BV87"/>
    <mergeCell ref="AL88:AM88"/>
    <mergeCell ref="AN88:AO88"/>
    <mergeCell ref="AP88:AQ88"/>
    <mergeCell ref="AR88:AS88"/>
    <mergeCell ref="AT88:AU88"/>
    <mergeCell ref="BA88:BB88"/>
    <mergeCell ref="AX88:AZ88"/>
    <mergeCell ref="BD88:BE88"/>
    <mergeCell ref="BF88:BI88"/>
    <mergeCell ref="P88:Q88"/>
    <mergeCell ref="R88:S88"/>
    <mergeCell ref="T88:U88"/>
    <mergeCell ref="V88:W88"/>
    <mergeCell ref="X88:AA88"/>
    <mergeCell ref="AB88:AE88"/>
    <mergeCell ref="AJ88:AK88"/>
    <mergeCell ref="AP89:AQ89"/>
    <mergeCell ref="AR89:AS89"/>
    <mergeCell ref="AT89:AU89"/>
    <mergeCell ref="BA89:BB89"/>
    <mergeCell ref="AX89:AZ89"/>
    <mergeCell ref="BD89:BE89"/>
    <mergeCell ref="BF89:BI89"/>
    <mergeCell ref="BN88:BV88"/>
    <mergeCell ref="B89:C89"/>
    <mergeCell ref="D89:E89"/>
    <mergeCell ref="BJ89:BM89"/>
    <mergeCell ref="AB90:AE90"/>
    <mergeCell ref="AJ90:AK90"/>
    <mergeCell ref="AL90:AM90"/>
    <mergeCell ref="B87:C87"/>
    <mergeCell ref="D87:E87"/>
    <mergeCell ref="F87:G87"/>
    <mergeCell ref="H87:I87"/>
    <mergeCell ref="L87:M87"/>
    <mergeCell ref="P87:Q87"/>
    <mergeCell ref="R87:S87"/>
    <mergeCell ref="T87:U87"/>
    <mergeCell ref="V87:W87"/>
    <mergeCell ref="X87:AA87"/>
    <mergeCell ref="AB87:AE87"/>
    <mergeCell ref="AJ87:AK87"/>
    <mergeCell ref="AL87:AM87"/>
    <mergeCell ref="AN87:AO87"/>
    <mergeCell ref="AP87:AQ87"/>
    <mergeCell ref="AT86:AU86"/>
    <mergeCell ref="BA86:BB86"/>
    <mergeCell ref="AX86:AZ86"/>
    <mergeCell ref="BD86:BE86"/>
    <mergeCell ref="BF86:BI86"/>
    <mergeCell ref="AR87:AS87"/>
    <mergeCell ref="AT87:AU87"/>
    <mergeCell ref="BJ86:BM86"/>
    <mergeCell ref="BA87:BB87"/>
    <mergeCell ref="AX87:AZ87"/>
    <mergeCell ref="BD87:BE87"/>
    <mergeCell ref="BF87:BI87"/>
    <mergeCell ref="BJ87:BM87"/>
    <mergeCell ref="AN86:AO86"/>
    <mergeCell ref="AP86:AQ86"/>
    <mergeCell ref="AR86:AS86"/>
    <mergeCell ref="H86:I86"/>
    <mergeCell ref="L86:M86"/>
    <mergeCell ref="P86:Q86"/>
    <mergeCell ref="R86:S86"/>
    <mergeCell ref="T86:U86"/>
    <mergeCell ref="AB84:AE84"/>
    <mergeCell ref="AJ84:AK84"/>
    <mergeCell ref="AL84:AM84"/>
    <mergeCell ref="AN84:AO84"/>
    <mergeCell ref="AR85:AS85"/>
    <mergeCell ref="AT85:AU85"/>
    <mergeCell ref="BA85:BB85"/>
    <mergeCell ref="AX85:AZ85"/>
    <mergeCell ref="BD85:BE85"/>
    <mergeCell ref="BA84:BB84"/>
    <mergeCell ref="AX84:AZ84"/>
    <mergeCell ref="BD84:BE84"/>
    <mergeCell ref="V86:W86"/>
    <mergeCell ref="X86:AA86"/>
    <mergeCell ref="AB86:AE86"/>
    <mergeCell ref="AJ86:AK86"/>
    <mergeCell ref="AL86:AM86"/>
    <mergeCell ref="L84:M84"/>
    <mergeCell ref="P84:Q84"/>
    <mergeCell ref="R84:S84"/>
    <mergeCell ref="T84:U84"/>
    <mergeCell ref="V84:W84"/>
    <mergeCell ref="X84:AA84"/>
    <mergeCell ref="BN84:BV84"/>
    <mergeCell ref="B85:C85"/>
    <mergeCell ref="D85:E85"/>
    <mergeCell ref="F85:G85"/>
    <mergeCell ref="H85:I85"/>
    <mergeCell ref="L85:M85"/>
    <mergeCell ref="P85:Q85"/>
    <mergeCell ref="R85:S85"/>
    <mergeCell ref="T85:U85"/>
    <mergeCell ref="V85:W85"/>
    <mergeCell ref="X85:AA85"/>
    <mergeCell ref="AB85:AE85"/>
    <mergeCell ref="AJ85:AK85"/>
    <mergeCell ref="AL85:AM85"/>
    <mergeCell ref="AN85:AO85"/>
    <mergeCell ref="AP85:AQ85"/>
    <mergeCell ref="AP84:AQ84"/>
    <mergeCell ref="BF84:BI84"/>
    <mergeCell ref="BJ84:BM84"/>
    <mergeCell ref="BF85:BI85"/>
    <mergeCell ref="BJ85:BM85"/>
    <mergeCell ref="BN86:BV86"/>
    <mergeCell ref="BN85:BV85"/>
    <mergeCell ref="AX82:AZ82"/>
    <mergeCell ref="BD82:BE82"/>
    <mergeCell ref="BF82:BI82"/>
    <mergeCell ref="P82:Q82"/>
    <mergeCell ref="R82:S82"/>
    <mergeCell ref="T82:U82"/>
    <mergeCell ref="V82:W82"/>
    <mergeCell ref="X82:AA82"/>
    <mergeCell ref="AB82:AE82"/>
    <mergeCell ref="AJ82:AK82"/>
    <mergeCell ref="BJ82:BM82"/>
    <mergeCell ref="BN82:BV82"/>
    <mergeCell ref="AT83:AU83"/>
    <mergeCell ref="BA83:BB83"/>
    <mergeCell ref="AX83:AZ83"/>
    <mergeCell ref="BD83:BE83"/>
    <mergeCell ref="BF83:BI83"/>
    <mergeCell ref="BJ83:BM83"/>
    <mergeCell ref="AL83:AM83"/>
    <mergeCell ref="B83:C83"/>
    <mergeCell ref="D83:E83"/>
    <mergeCell ref="F83:G83"/>
    <mergeCell ref="H83:I83"/>
    <mergeCell ref="L83:M83"/>
    <mergeCell ref="P83:Q83"/>
    <mergeCell ref="R83:S83"/>
    <mergeCell ref="T83:U83"/>
    <mergeCell ref="V83:W83"/>
    <mergeCell ref="X83:AA83"/>
    <mergeCell ref="AB83:AE83"/>
    <mergeCell ref="AJ83:AK83"/>
    <mergeCell ref="AR84:AS84"/>
    <mergeCell ref="AT84:AU84"/>
    <mergeCell ref="B86:C86"/>
    <mergeCell ref="D86:E86"/>
    <mergeCell ref="F86:G86"/>
    <mergeCell ref="BN83:BV83"/>
    <mergeCell ref="B84:C84"/>
    <mergeCell ref="D84:E84"/>
    <mergeCell ref="F84:G84"/>
    <mergeCell ref="H84:I84"/>
    <mergeCell ref="BN81:BV81"/>
    <mergeCell ref="D80:E80"/>
    <mergeCell ref="F80:G80"/>
    <mergeCell ref="L80:M80"/>
    <mergeCell ref="X80:AA80"/>
    <mergeCell ref="AB80:AE80"/>
    <mergeCell ref="AL80:AM80"/>
    <mergeCell ref="AN80:AO80"/>
    <mergeCell ref="AT81:AU81"/>
    <mergeCell ref="BA81:BB81"/>
    <mergeCell ref="BN80:BV80"/>
    <mergeCell ref="B81:C81"/>
    <mergeCell ref="D81:E81"/>
    <mergeCell ref="B82:C82"/>
    <mergeCell ref="D82:E82"/>
    <mergeCell ref="F82:G82"/>
    <mergeCell ref="H82:I82"/>
    <mergeCell ref="L82:M82"/>
    <mergeCell ref="AR81:AS81"/>
    <mergeCell ref="AN81:AO81"/>
    <mergeCell ref="AP81:AQ81"/>
    <mergeCell ref="F81:G81"/>
    <mergeCell ref="AL82:AM82"/>
    <mergeCell ref="AN82:AO82"/>
    <mergeCell ref="AP82:AQ82"/>
    <mergeCell ref="AR82:AS82"/>
    <mergeCell ref="AT82:AU82"/>
    <mergeCell ref="BA82:BB82"/>
    <mergeCell ref="H81:I81"/>
    <mergeCell ref="L81:M81"/>
    <mergeCell ref="P81:Q81"/>
    <mergeCell ref="R81:S81"/>
    <mergeCell ref="T81:U81"/>
    <mergeCell ref="V81:W81"/>
    <mergeCell ref="X81:AA81"/>
    <mergeCell ref="AB81:AE81"/>
    <mergeCell ref="AJ81:AK81"/>
    <mergeCell ref="AL81:AM81"/>
    <mergeCell ref="AT80:AU80"/>
    <mergeCell ref="P80:Q80"/>
    <mergeCell ref="R80:S80"/>
    <mergeCell ref="T80:U80"/>
    <mergeCell ref="V80:W80"/>
    <mergeCell ref="AJ80:AK80"/>
    <mergeCell ref="AH81:AI81"/>
    <mergeCell ref="AH82:AI82"/>
    <mergeCell ref="AP79:AQ79"/>
    <mergeCell ref="AR79:AS79"/>
    <mergeCell ref="AT79:AU79"/>
    <mergeCell ref="B77:C77"/>
    <mergeCell ref="D77:E77"/>
    <mergeCell ref="F77:G77"/>
    <mergeCell ref="H77:I77"/>
    <mergeCell ref="L77:M77"/>
    <mergeCell ref="P77:Q77"/>
    <mergeCell ref="R77:S77"/>
    <mergeCell ref="T77:U77"/>
    <mergeCell ref="V77:W77"/>
    <mergeCell ref="X77:AA77"/>
    <mergeCell ref="AB77:AE77"/>
    <mergeCell ref="AJ77:AK77"/>
    <mergeCell ref="AL77:AM77"/>
    <mergeCell ref="AN77:AO77"/>
    <mergeCell ref="AV77:AW77"/>
    <mergeCell ref="AV78:AW78"/>
    <mergeCell ref="AN83:AO83"/>
    <mergeCell ref="AP83:AQ83"/>
    <mergeCell ref="AR83:AS83"/>
    <mergeCell ref="AL79:AM79"/>
    <mergeCell ref="AN79:AO79"/>
    <mergeCell ref="AR80:AS80"/>
    <mergeCell ref="BN79:BV79"/>
    <mergeCell ref="P79:Q79"/>
    <mergeCell ref="R79:S79"/>
    <mergeCell ref="T79:U79"/>
    <mergeCell ref="V79:W79"/>
    <mergeCell ref="AJ79:AK79"/>
    <mergeCell ref="H80:I80"/>
    <mergeCell ref="AX81:AZ81"/>
    <mergeCell ref="BD81:BE81"/>
    <mergeCell ref="BF81:BI81"/>
    <mergeCell ref="BJ81:BM81"/>
    <mergeCell ref="AP80:AQ80"/>
    <mergeCell ref="BA79:BB79"/>
    <mergeCell ref="AX79:AZ79"/>
    <mergeCell ref="BD79:BE79"/>
    <mergeCell ref="BF79:BI79"/>
    <mergeCell ref="BJ79:BM79"/>
    <mergeCell ref="B79:C79"/>
    <mergeCell ref="D79:E79"/>
    <mergeCell ref="F79:G79"/>
    <mergeCell ref="H79:I79"/>
    <mergeCell ref="L79:M79"/>
    <mergeCell ref="X79:AA79"/>
    <mergeCell ref="AB79:AE79"/>
    <mergeCell ref="AV79:AW79"/>
    <mergeCell ref="AV80:AW80"/>
    <mergeCell ref="AV81:AW81"/>
    <mergeCell ref="B80:C80"/>
    <mergeCell ref="BA80:BB80"/>
    <mergeCell ref="AX80:AZ80"/>
    <mergeCell ref="BD80:BE80"/>
    <mergeCell ref="BF80:BI80"/>
    <mergeCell ref="BJ80:BM80"/>
    <mergeCell ref="BN77:BV77"/>
    <mergeCell ref="B78:C78"/>
    <mergeCell ref="D78:E78"/>
    <mergeCell ref="F78:G78"/>
    <mergeCell ref="H78:I78"/>
    <mergeCell ref="L78:M78"/>
    <mergeCell ref="P78:Q78"/>
    <mergeCell ref="R78:S78"/>
    <mergeCell ref="T78:U78"/>
    <mergeCell ref="V78:W78"/>
    <mergeCell ref="X78:AA78"/>
    <mergeCell ref="AB78:AE78"/>
    <mergeCell ref="AJ78:AK78"/>
    <mergeCell ref="AL78:AM78"/>
    <mergeCell ref="AN78:AO78"/>
    <mergeCell ref="AP78:AQ78"/>
    <mergeCell ref="BN78:BV78"/>
    <mergeCell ref="AR78:AS78"/>
    <mergeCell ref="AT78:AU78"/>
    <mergeCell ref="AN76:AO76"/>
    <mergeCell ref="AP76:AQ76"/>
    <mergeCell ref="AT77:AU77"/>
    <mergeCell ref="BA77:BB77"/>
    <mergeCell ref="AX77:AZ77"/>
    <mergeCell ref="BD77:BE77"/>
    <mergeCell ref="BF77:BI77"/>
    <mergeCell ref="BJ77:BM77"/>
    <mergeCell ref="F76:G76"/>
    <mergeCell ref="H76:I76"/>
    <mergeCell ref="L76:M76"/>
    <mergeCell ref="P76:Q76"/>
    <mergeCell ref="R76:S76"/>
    <mergeCell ref="T76:U76"/>
    <mergeCell ref="V76:W76"/>
    <mergeCell ref="X76:AA76"/>
    <mergeCell ref="AB76:AE76"/>
    <mergeCell ref="AJ76:AK76"/>
    <mergeCell ref="AL76:AM76"/>
    <mergeCell ref="BA78:BB78"/>
    <mergeCell ref="AX78:AZ78"/>
    <mergeCell ref="BD78:BE78"/>
    <mergeCell ref="BF78:BI78"/>
    <mergeCell ref="BJ78:BM78"/>
    <mergeCell ref="AP77:AQ77"/>
    <mergeCell ref="AR77:AS77"/>
    <mergeCell ref="AV76:AW76"/>
    <mergeCell ref="AH77:AI77"/>
    <mergeCell ref="AH78:AI78"/>
    <mergeCell ref="AJ72:AK72"/>
    <mergeCell ref="BA72:BB72"/>
    <mergeCell ref="AX72:AZ72"/>
    <mergeCell ref="BD72:BE72"/>
    <mergeCell ref="BF72:BI72"/>
    <mergeCell ref="BJ72:BM72"/>
    <mergeCell ref="B75:C75"/>
    <mergeCell ref="D75:E75"/>
    <mergeCell ref="F75:G75"/>
    <mergeCell ref="H75:I75"/>
    <mergeCell ref="L75:M75"/>
    <mergeCell ref="P75:Q75"/>
    <mergeCell ref="R75:S75"/>
    <mergeCell ref="T75:U75"/>
    <mergeCell ref="V75:W75"/>
    <mergeCell ref="X75:AA75"/>
    <mergeCell ref="AB75:AE75"/>
    <mergeCell ref="AJ75:AK75"/>
    <mergeCell ref="BN76:BV76"/>
    <mergeCell ref="B74:C74"/>
    <mergeCell ref="D74:E74"/>
    <mergeCell ref="F74:G74"/>
    <mergeCell ref="H74:I74"/>
    <mergeCell ref="L74:M74"/>
    <mergeCell ref="P74:Q74"/>
    <mergeCell ref="R74:S74"/>
    <mergeCell ref="T74:U74"/>
    <mergeCell ref="V74:W74"/>
    <mergeCell ref="X74:AA74"/>
    <mergeCell ref="AB74:AE74"/>
    <mergeCell ref="AJ74:AK74"/>
    <mergeCell ref="AL74:AM74"/>
    <mergeCell ref="AL75:AM75"/>
    <mergeCell ref="AN75:AO75"/>
    <mergeCell ref="AN74:AO74"/>
    <mergeCell ref="AP74:AQ74"/>
    <mergeCell ref="AR74:AS74"/>
    <mergeCell ref="AT74:AU74"/>
    <mergeCell ref="BA74:BB74"/>
    <mergeCell ref="AX74:AZ74"/>
    <mergeCell ref="BD74:BE74"/>
    <mergeCell ref="BF74:BI74"/>
    <mergeCell ref="BJ74:BM74"/>
    <mergeCell ref="BN75:BV75"/>
    <mergeCell ref="B76:C76"/>
    <mergeCell ref="D76:E76"/>
    <mergeCell ref="AR76:AS76"/>
    <mergeCell ref="AT76:AU76"/>
    <mergeCell ref="BA76:BB76"/>
    <mergeCell ref="AX76:AZ76"/>
    <mergeCell ref="BD76:BE76"/>
    <mergeCell ref="BF76:BI76"/>
    <mergeCell ref="BJ76:BM76"/>
    <mergeCell ref="AV74:AW74"/>
    <mergeCell ref="AV75:AW75"/>
    <mergeCell ref="BJ73:BM73"/>
    <mergeCell ref="BN73:BV73"/>
    <mergeCell ref="AP75:AQ75"/>
    <mergeCell ref="AR75:AS75"/>
    <mergeCell ref="AT75:AU75"/>
    <mergeCell ref="BA75:BB75"/>
    <mergeCell ref="AX75:AZ75"/>
    <mergeCell ref="BD75:BE75"/>
    <mergeCell ref="AF72:AG72"/>
    <mergeCell ref="BF75:BI75"/>
    <mergeCell ref="BJ75:BM75"/>
    <mergeCell ref="BN74:BV74"/>
    <mergeCell ref="AV69:AW69"/>
    <mergeCell ref="AV70:AW70"/>
    <mergeCell ref="AV71:AW71"/>
    <mergeCell ref="BN71:BV71"/>
    <mergeCell ref="AX71:AZ71"/>
    <mergeCell ref="BD71:BE71"/>
    <mergeCell ref="BF71:BI71"/>
    <mergeCell ref="BJ71:BM71"/>
    <mergeCell ref="AN71:AO71"/>
    <mergeCell ref="AP71:AQ71"/>
    <mergeCell ref="AR71:AS71"/>
    <mergeCell ref="AT71:AU71"/>
    <mergeCell ref="BA71:BB71"/>
    <mergeCell ref="B72:C72"/>
    <mergeCell ref="D72:E72"/>
    <mergeCell ref="F72:G72"/>
    <mergeCell ref="H72:I72"/>
    <mergeCell ref="L72:M72"/>
    <mergeCell ref="P72:Q72"/>
    <mergeCell ref="R72:S72"/>
    <mergeCell ref="T72:U72"/>
    <mergeCell ref="V72:W72"/>
    <mergeCell ref="X72:AA72"/>
    <mergeCell ref="B73:C73"/>
    <mergeCell ref="D73:E73"/>
    <mergeCell ref="F73:G73"/>
    <mergeCell ref="H73:I73"/>
    <mergeCell ref="L73:M73"/>
    <mergeCell ref="BN72:BV72"/>
    <mergeCell ref="AL73:AM73"/>
    <mergeCell ref="AN73:AO73"/>
    <mergeCell ref="AP73:AQ73"/>
    <mergeCell ref="AR73:AS73"/>
    <mergeCell ref="AT73:AU73"/>
    <mergeCell ref="BA73:BB73"/>
    <mergeCell ref="AX73:AZ73"/>
    <mergeCell ref="BD73:BE73"/>
    <mergeCell ref="BF73:BI73"/>
    <mergeCell ref="P73:Q73"/>
    <mergeCell ref="R73:S73"/>
    <mergeCell ref="T73:U73"/>
    <mergeCell ref="V73:W73"/>
    <mergeCell ref="X73:AA73"/>
    <mergeCell ref="AB73:AE73"/>
    <mergeCell ref="AJ73:AK73"/>
    <mergeCell ref="AL72:AM72"/>
    <mergeCell ref="AN72:AO72"/>
    <mergeCell ref="AP72:AQ72"/>
    <mergeCell ref="AV72:AW72"/>
    <mergeCell ref="AV73:AW73"/>
    <mergeCell ref="AR72:AS72"/>
    <mergeCell ref="AT72:AU72"/>
    <mergeCell ref="B69:C69"/>
    <mergeCell ref="D69:E69"/>
    <mergeCell ref="F69:G69"/>
    <mergeCell ref="H69:I69"/>
    <mergeCell ref="L69:M69"/>
    <mergeCell ref="P69:Q69"/>
    <mergeCell ref="R69:S69"/>
    <mergeCell ref="T69:U69"/>
    <mergeCell ref="AB72:AE72"/>
    <mergeCell ref="V69:W69"/>
    <mergeCell ref="BN69:BV69"/>
    <mergeCell ref="AR70:AS70"/>
    <mergeCell ref="AR69:AS69"/>
    <mergeCell ref="AT69:AU69"/>
    <mergeCell ref="BA69:BB69"/>
    <mergeCell ref="AX69:AZ69"/>
    <mergeCell ref="BD69:BE69"/>
    <mergeCell ref="BF69:BI69"/>
    <mergeCell ref="BJ69:BM69"/>
    <mergeCell ref="AN70:AO70"/>
    <mergeCell ref="AP70:AQ70"/>
    <mergeCell ref="AT70:AU70"/>
    <mergeCell ref="AP69:AQ69"/>
    <mergeCell ref="BA70:BB70"/>
    <mergeCell ref="BN70:BV70"/>
    <mergeCell ref="AJ69:AK69"/>
    <mergeCell ref="AL69:AM69"/>
    <mergeCell ref="X69:AA69"/>
    <mergeCell ref="AB69:AE69"/>
    <mergeCell ref="AN69:AO69"/>
    <mergeCell ref="B71:C71"/>
    <mergeCell ref="D71:E71"/>
    <mergeCell ref="F71:G71"/>
    <mergeCell ref="H71:I71"/>
    <mergeCell ref="L71:M71"/>
    <mergeCell ref="P71:Q71"/>
    <mergeCell ref="R71:S71"/>
    <mergeCell ref="T71:U71"/>
    <mergeCell ref="V71:W71"/>
    <mergeCell ref="X71:AA71"/>
    <mergeCell ref="AB71:AE71"/>
    <mergeCell ref="AJ71:AK71"/>
    <mergeCell ref="AL71:AM71"/>
    <mergeCell ref="B70:C70"/>
    <mergeCell ref="D70:E70"/>
    <mergeCell ref="F70:G70"/>
    <mergeCell ref="H70:I70"/>
    <mergeCell ref="L70:M70"/>
    <mergeCell ref="P70:Q70"/>
    <mergeCell ref="R70:S70"/>
    <mergeCell ref="T70:U70"/>
    <mergeCell ref="V70:W70"/>
    <mergeCell ref="X70:AA70"/>
    <mergeCell ref="AB70:AE70"/>
    <mergeCell ref="AJ70:AK70"/>
    <mergeCell ref="AL70:AM70"/>
    <mergeCell ref="BD70:BE70"/>
    <mergeCell ref="AX70:AZ70"/>
    <mergeCell ref="BF70:BI70"/>
    <mergeCell ref="BJ70:BM70"/>
    <mergeCell ref="AF70:AG70"/>
    <mergeCell ref="AF71:AG71"/>
    <mergeCell ref="P67:Q67"/>
    <mergeCell ref="R67:S67"/>
    <mergeCell ref="T67:U67"/>
    <mergeCell ref="V67:W67"/>
    <mergeCell ref="AJ67:AK67"/>
    <mergeCell ref="AP67:AQ67"/>
    <mergeCell ref="AR67:AS67"/>
    <mergeCell ref="AR66:AS66"/>
    <mergeCell ref="AT66:AU66"/>
    <mergeCell ref="BA66:BB66"/>
    <mergeCell ref="AX66:AZ66"/>
    <mergeCell ref="BD66:BE66"/>
    <mergeCell ref="BF66:BI66"/>
    <mergeCell ref="BJ66:BM66"/>
    <mergeCell ref="AT67:AU67"/>
    <mergeCell ref="B67:C67"/>
    <mergeCell ref="D67:E67"/>
    <mergeCell ref="F67:G67"/>
    <mergeCell ref="H67:I67"/>
    <mergeCell ref="L67:M67"/>
    <mergeCell ref="AL68:AM68"/>
    <mergeCell ref="AL67:AM67"/>
    <mergeCell ref="AN67:AO67"/>
    <mergeCell ref="BA67:BB67"/>
    <mergeCell ref="AX67:AZ67"/>
    <mergeCell ref="BD67:BE67"/>
    <mergeCell ref="BF67:BI67"/>
    <mergeCell ref="X67:AA67"/>
    <mergeCell ref="AB67:AE67"/>
    <mergeCell ref="BF68:BI68"/>
    <mergeCell ref="BJ68:BM68"/>
    <mergeCell ref="BJ67:BM67"/>
    <mergeCell ref="BN67:BV67"/>
    <mergeCell ref="BN68:BV68"/>
    <mergeCell ref="B68:C68"/>
    <mergeCell ref="D68:E68"/>
    <mergeCell ref="F68:G68"/>
    <mergeCell ref="H68:I68"/>
    <mergeCell ref="L68:M68"/>
    <mergeCell ref="P68:Q68"/>
    <mergeCell ref="R68:S68"/>
    <mergeCell ref="T68:U68"/>
    <mergeCell ref="V68:W68"/>
    <mergeCell ref="X68:AA68"/>
    <mergeCell ref="AB68:AE68"/>
    <mergeCell ref="AJ68:AK68"/>
    <mergeCell ref="AV67:AW67"/>
    <mergeCell ref="AN68:AO68"/>
    <mergeCell ref="AP68:AQ68"/>
    <mergeCell ref="AR68:AS68"/>
    <mergeCell ref="AT68:AU68"/>
    <mergeCell ref="BA68:BB68"/>
    <mergeCell ref="AX68:AZ68"/>
    <mergeCell ref="BD68:BE68"/>
    <mergeCell ref="BN65:BV65"/>
    <mergeCell ref="B66:C66"/>
    <mergeCell ref="D66:E66"/>
    <mergeCell ref="F66:G66"/>
    <mergeCell ref="H66:I66"/>
    <mergeCell ref="L66:M66"/>
    <mergeCell ref="P66:Q66"/>
    <mergeCell ref="R66:S66"/>
    <mergeCell ref="T66:U66"/>
    <mergeCell ref="V66:W66"/>
    <mergeCell ref="X66:AA66"/>
    <mergeCell ref="AB66:AE66"/>
    <mergeCell ref="AJ66:AK66"/>
    <mergeCell ref="AL66:AM66"/>
    <mergeCell ref="AN66:AO66"/>
    <mergeCell ref="AP66:AQ66"/>
    <mergeCell ref="AP65:AQ65"/>
    <mergeCell ref="AR65:AS65"/>
    <mergeCell ref="AT65:AU65"/>
    <mergeCell ref="BA65:BB65"/>
    <mergeCell ref="AX65:AZ65"/>
    <mergeCell ref="BD65:BE65"/>
    <mergeCell ref="BF65:BI65"/>
    <mergeCell ref="BJ65:BM65"/>
    <mergeCell ref="BN66:BV66"/>
    <mergeCell ref="B62:C62"/>
    <mergeCell ref="D62:E62"/>
    <mergeCell ref="F62:G62"/>
    <mergeCell ref="H62:I62"/>
    <mergeCell ref="L62:M62"/>
    <mergeCell ref="P62:Q62"/>
    <mergeCell ref="R62:S62"/>
    <mergeCell ref="B65:C65"/>
    <mergeCell ref="D65:E65"/>
    <mergeCell ref="F65:G65"/>
    <mergeCell ref="H65:I65"/>
    <mergeCell ref="L65:M65"/>
    <mergeCell ref="P65:Q65"/>
    <mergeCell ref="R65:S65"/>
    <mergeCell ref="T65:U65"/>
    <mergeCell ref="V65:W65"/>
    <mergeCell ref="X65:AA65"/>
    <mergeCell ref="AB65:AE65"/>
    <mergeCell ref="AJ65:AK65"/>
    <mergeCell ref="AL65:AM65"/>
    <mergeCell ref="AN65:AO65"/>
    <mergeCell ref="B64:C64"/>
    <mergeCell ref="D64:E64"/>
    <mergeCell ref="F64:G64"/>
    <mergeCell ref="H64:I64"/>
    <mergeCell ref="L64:M64"/>
    <mergeCell ref="P64:Q64"/>
    <mergeCell ref="B63:C63"/>
    <mergeCell ref="D63:E63"/>
    <mergeCell ref="F63:G63"/>
    <mergeCell ref="H63:I63"/>
    <mergeCell ref="L63:M63"/>
    <mergeCell ref="P63:Q63"/>
    <mergeCell ref="R63:S63"/>
    <mergeCell ref="T63:U63"/>
    <mergeCell ref="V63:W63"/>
    <mergeCell ref="R64:S64"/>
    <mergeCell ref="T64:U64"/>
    <mergeCell ref="V64:W64"/>
    <mergeCell ref="X64:AA64"/>
    <mergeCell ref="AB64:AE64"/>
    <mergeCell ref="AJ64:AK64"/>
    <mergeCell ref="X63:AA63"/>
    <mergeCell ref="AB63:AE63"/>
    <mergeCell ref="AJ63:AK63"/>
    <mergeCell ref="AN64:AO64"/>
    <mergeCell ref="AP64:AQ64"/>
    <mergeCell ref="AR64:AS64"/>
    <mergeCell ref="AT64:AU64"/>
    <mergeCell ref="BA64:BB64"/>
    <mergeCell ref="AX64:AZ64"/>
    <mergeCell ref="H60:I60"/>
    <mergeCell ref="L60:M60"/>
    <mergeCell ref="P60:Q60"/>
    <mergeCell ref="R60:S60"/>
    <mergeCell ref="T60:U60"/>
    <mergeCell ref="V60:W60"/>
    <mergeCell ref="X60:AA60"/>
    <mergeCell ref="AB60:AE60"/>
    <mergeCell ref="AJ60:AK60"/>
    <mergeCell ref="AL60:AM60"/>
    <mergeCell ref="AN60:AO60"/>
    <mergeCell ref="AP60:AQ60"/>
    <mergeCell ref="BN62:BV62"/>
    <mergeCell ref="AL63:AM63"/>
    <mergeCell ref="AN63:AO63"/>
    <mergeCell ref="AP63:AQ63"/>
    <mergeCell ref="AR63:AS63"/>
    <mergeCell ref="AT63:AU63"/>
    <mergeCell ref="BA63:BB63"/>
    <mergeCell ref="AX63:AZ63"/>
    <mergeCell ref="BD63:BE63"/>
    <mergeCell ref="BF63:BI63"/>
    <mergeCell ref="BD64:BE64"/>
    <mergeCell ref="BF64:BI64"/>
    <mergeCell ref="BJ64:BM64"/>
    <mergeCell ref="BJ63:BM63"/>
    <mergeCell ref="BN63:BV63"/>
    <mergeCell ref="AL64:AM64"/>
    <mergeCell ref="AR62:AS62"/>
    <mergeCell ref="AT62:AU62"/>
    <mergeCell ref="BN64:BV64"/>
    <mergeCell ref="BN60:BV60"/>
    <mergeCell ref="AH63:AI63"/>
    <mergeCell ref="AH64:AI64"/>
    <mergeCell ref="B61:C61"/>
    <mergeCell ref="D61:E61"/>
    <mergeCell ref="F61:G61"/>
    <mergeCell ref="H61:I61"/>
    <mergeCell ref="L61:M61"/>
    <mergeCell ref="P61:Q61"/>
    <mergeCell ref="R61:S61"/>
    <mergeCell ref="T61:U61"/>
    <mergeCell ref="V61:W61"/>
    <mergeCell ref="X61:AA61"/>
    <mergeCell ref="AB61:AE61"/>
    <mergeCell ref="AJ61:AK61"/>
    <mergeCell ref="AL61:AM61"/>
    <mergeCell ref="AN61:AO61"/>
    <mergeCell ref="AP61:AQ61"/>
    <mergeCell ref="AR61:AS61"/>
    <mergeCell ref="AR60:AS60"/>
    <mergeCell ref="AT60:AU60"/>
    <mergeCell ref="BA60:BB60"/>
    <mergeCell ref="AX60:AZ60"/>
    <mergeCell ref="BD60:BE60"/>
    <mergeCell ref="BF60:BI60"/>
    <mergeCell ref="BJ60:BM60"/>
    <mergeCell ref="BN61:BV61"/>
    <mergeCell ref="T62:U62"/>
    <mergeCell ref="V62:W62"/>
    <mergeCell ref="X62:AA62"/>
    <mergeCell ref="AB62:AE62"/>
    <mergeCell ref="AJ62:AK62"/>
    <mergeCell ref="AL62:AM62"/>
    <mergeCell ref="AN62:AO62"/>
    <mergeCell ref="AP62:AQ62"/>
    <mergeCell ref="AT61:AU61"/>
    <mergeCell ref="BA61:BB61"/>
    <mergeCell ref="AX61:AZ61"/>
    <mergeCell ref="BD61:BE61"/>
    <mergeCell ref="BF61:BI61"/>
    <mergeCell ref="BJ61:BM61"/>
    <mergeCell ref="BA62:BB62"/>
    <mergeCell ref="AX62:AZ62"/>
    <mergeCell ref="BD62:BE62"/>
    <mergeCell ref="BF62:BI62"/>
    <mergeCell ref="BJ62:BM62"/>
    <mergeCell ref="B60:C60"/>
    <mergeCell ref="D60:E60"/>
    <mergeCell ref="F60:G60"/>
    <mergeCell ref="AH60:AI60"/>
    <mergeCell ref="AH61:AI61"/>
    <mergeCell ref="AH62:AI62"/>
    <mergeCell ref="B58:C58"/>
    <mergeCell ref="D58:E58"/>
    <mergeCell ref="F58:G58"/>
    <mergeCell ref="H58:I58"/>
    <mergeCell ref="L58:M58"/>
    <mergeCell ref="P58:Q58"/>
    <mergeCell ref="R58:S58"/>
    <mergeCell ref="T58:U58"/>
    <mergeCell ref="V58:W58"/>
    <mergeCell ref="X58:AA58"/>
    <mergeCell ref="AB58:AE58"/>
    <mergeCell ref="AJ58:AK58"/>
    <mergeCell ref="AL58:AM58"/>
    <mergeCell ref="BN58:BV58"/>
    <mergeCell ref="B59:C59"/>
    <mergeCell ref="D59:E59"/>
    <mergeCell ref="F59:G59"/>
    <mergeCell ref="H59:I59"/>
    <mergeCell ref="L59:M59"/>
    <mergeCell ref="P59:Q59"/>
    <mergeCell ref="R59:S59"/>
    <mergeCell ref="T59:U59"/>
    <mergeCell ref="V59:W59"/>
    <mergeCell ref="X59:AA59"/>
    <mergeCell ref="AB59:AE59"/>
    <mergeCell ref="AJ59:AK59"/>
    <mergeCell ref="AL59:AM59"/>
    <mergeCell ref="AN59:AO59"/>
    <mergeCell ref="AN58:AO58"/>
    <mergeCell ref="AP58:AQ58"/>
    <mergeCell ref="AR58:AS58"/>
    <mergeCell ref="AT58:AU58"/>
    <mergeCell ref="BA58:BB58"/>
    <mergeCell ref="AX58:AZ58"/>
    <mergeCell ref="BD58:BE58"/>
    <mergeCell ref="BF58:BI58"/>
    <mergeCell ref="BJ58:BM58"/>
    <mergeCell ref="BN59:BV59"/>
    <mergeCell ref="AP59:AQ59"/>
    <mergeCell ref="AR59:AS59"/>
    <mergeCell ref="AT59:AU59"/>
    <mergeCell ref="BA59:BB59"/>
    <mergeCell ref="AX59:AZ59"/>
    <mergeCell ref="BD59:BE59"/>
    <mergeCell ref="BF59:BI59"/>
    <mergeCell ref="BJ59:BM59"/>
    <mergeCell ref="AH58:AI58"/>
    <mergeCell ref="AH59:AI59"/>
    <mergeCell ref="BA56:BB56"/>
    <mergeCell ref="AX56:AZ56"/>
    <mergeCell ref="BD56:BE56"/>
    <mergeCell ref="BF56:BI56"/>
    <mergeCell ref="BJ56:BM56"/>
    <mergeCell ref="BN55:BV55"/>
    <mergeCell ref="B56:C56"/>
    <mergeCell ref="D56:E56"/>
    <mergeCell ref="F56:G56"/>
    <mergeCell ref="H56:I56"/>
    <mergeCell ref="L56:M56"/>
    <mergeCell ref="P56:Q56"/>
    <mergeCell ref="R56:S56"/>
    <mergeCell ref="T56:U56"/>
    <mergeCell ref="V56:W56"/>
    <mergeCell ref="X56:AA56"/>
    <mergeCell ref="AB56:AE56"/>
    <mergeCell ref="AJ56:AK56"/>
    <mergeCell ref="AL56:AM56"/>
    <mergeCell ref="AN56:AO56"/>
    <mergeCell ref="AP56:AQ56"/>
    <mergeCell ref="AR56:AS56"/>
    <mergeCell ref="AR55:AS55"/>
    <mergeCell ref="AT55:AU55"/>
    <mergeCell ref="BA57:BB57"/>
    <mergeCell ref="AX57:AZ57"/>
    <mergeCell ref="BD57:BE57"/>
    <mergeCell ref="BF57:BI57"/>
    <mergeCell ref="BJ57:BM57"/>
    <mergeCell ref="BN57:BV57"/>
    <mergeCell ref="BN56:BV56"/>
    <mergeCell ref="B57:C57"/>
    <mergeCell ref="D57:E57"/>
    <mergeCell ref="F57:G57"/>
    <mergeCell ref="H57:I57"/>
    <mergeCell ref="L57:M57"/>
    <mergeCell ref="P57:Q57"/>
    <mergeCell ref="R57:S57"/>
    <mergeCell ref="T57:U57"/>
    <mergeCell ref="V57:W57"/>
    <mergeCell ref="X57:AA57"/>
    <mergeCell ref="AB57:AE57"/>
    <mergeCell ref="AJ57:AK57"/>
    <mergeCell ref="AL57:AM57"/>
    <mergeCell ref="AN57:AO57"/>
    <mergeCell ref="AP57:AQ57"/>
    <mergeCell ref="AR57:AS57"/>
    <mergeCell ref="AT57:AU57"/>
    <mergeCell ref="AT56:AU56"/>
    <mergeCell ref="AH56:AI56"/>
    <mergeCell ref="AH57:AI57"/>
    <mergeCell ref="BA54:BB54"/>
    <mergeCell ref="AX54:AZ54"/>
    <mergeCell ref="BD54:BE54"/>
    <mergeCell ref="BF54:BI54"/>
    <mergeCell ref="BJ54:BM54"/>
    <mergeCell ref="BN53:BV53"/>
    <mergeCell ref="B54:C54"/>
    <mergeCell ref="D54:E54"/>
    <mergeCell ref="F54:G54"/>
    <mergeCell ref="H54:I54"/>
    <mergeCell ref="L54:M54"/>
    <mergeCell ref="P54:Q54"/>
    <mergeCell ref="R54:S54"/>
    <mergeCell ref="T54:U54"/>
    <mergeCell ref="V54:W54"/>
    <mergeCell ref="X54:AA54"/>
    <mergeCell ref="AB54:AE54"/>
    <mergeCell ref="AJ54:AK54"/>
    <mergeCell ref="AL54:AM54"/>
    <mergeCell ref="AN54:AO54"/>
    <mergeCell ref="AN53:AO53"/>
    <mergeCell ref="AP53:AQ53"/>
    <mergeCell ref="AR53:AS53"/>
    <mergeCell ref="AT53:AU53"/>
    <mergeCell ref="BA55:BB55"/>
    <mergeCell ref="AX55:AZ55"/>
    <mergeCell ref="BD55:BE55"/>
    <mergeCell ref="BF55:BI55"/>
    <mergeCell ref="BJ55:BM55"/>
    <mergeCell ref="BN54:BV54"/>
    <mergeCell ref="B55:C55"/>
    <mergeCell ref="D55:E55"/>
    <mergeCell ref="F55:G55"/>
    <mergeCell ref="H55:I55"/>
    <mergeCell ref="L55:M55"/>
    <mergeCell ref="P55:Q55"/>
    <mergeCell ref="R55:S55"/>
    <mergeCell ref="T55:U55"/>
    <mergeCell ref="V55:W55"/>
    <mergeCell ref="X55:AA55"/>
    <mergeCell ref="AB55:AE55"/>
    <mergeCell ref="AJ55:AK55"/>
    <mergeCell ref="AL55:AM55"/>
    <mergeCell ref="AN55:AO55"/>
    <mergeCell ref="AP55:AQ55"/>
    <mergeCell ref="AP54:AQ54"/>
    <mergeCell ref="AR54:AS54"/>
    <mergeCell ref="AT54:AU54"/>
    <mergeCell ref="AH54:AI54"/>
    <mergeCell ref="AH55:AI55"/>
    <mergeCell ref="AB52:AE52"/>
    <mergeCell ref="AJ52:AK52"/>
    <mergeCell ref="AN51:AO51"/>
    <mergeCell ref="AP51:AQ51"/>
    <mergeCell ref="AR51:AS51"/>
    <mergeCell ref="AT51:AU51"/>
    <mergeCell ref="R51:S51"/>
    <mergeCell ref="T51:U51"/>
    <mergeCell ref="V51:W51"/>
    <mergeCell ref="X51:AA51"/>
    <mergeCell ref="AB51:AE51"/>
    <mergeCell ref="AJ51:AK51"/>
    <mergeCell ref="AL51:AM51"/>
    <mergeCell ref="BA53:BB53"/>
    <mergeCell ref="AX53:AZ53"/>
    <mergeCell ref="BD53:BE53"/>
    <mergeCell ref="BF53:BI53"/>
    <mergeCell ref="BJ53:BM53"/>
    <mergeCell ref="BJ52:BM52"/>
    <mergeCell ref="BN52:BV52"/>
    <mergeCell ref="AL53:AM53"/>
    <mergeCell ref="B53:C53"/>
    <mergeCell ref="D53:E53"/>
    <mergeCell ref="F53:G53"/>
    <mergeCell ref="H53:I53"/>
    <mergeCell ref="L53:M53"/>
    <mergeCell ref="P53:Q53"/>
    <mergeCell ref="R53:S53"/>
    <mergeCell ref="T53:U53"/>
    <mergeCell ref="V53:W53"/>
    <mergeCell ref="X53:AA53"/>
    <mergeCell ref="AB53:AE53"/>
    <mergeCell ref="AJ53:AK53"/>
    <mergeCell ref="AH52:AI52"/>
    <mergeCell ref="AH53:AI53"/>
    <mergeCell ref="AB50:AE50"/>
    <mergeCell ref="AJ50:AK50"/>
    <mergeCell ref="AL50:AM50"/>
    <mergeCell ref="AN50:AO50"/>
    <mergeCell ref="AP50:AQ50"/>
    <mergeCell ref="B49:C49"/>
    <mergeCell ref="AR49:AS49"/>
    <mergeCell ref="AT49:AU49"/>
    <mergeCell ref="BA49:BB49"/>
    <mergeCell ref="AX49:AZ49"/>
    <mergeCell ref="BD49:BE49"/>
    <mergeCell ref="BF49:BI49"/>
    <mergeCell ref="BJ49:BM49"/>
    <mergeCell ref="BN50:BV50"/>
    <mergeCell ref="D49:E49"/>
    <mergeCell ref="BD50:BE50"/>
    <mergeCell ref="BF50:BI50"/>
    <mergeCell ref="BJ50:BM50"/>
    <mergeCell ref="B52:C52"/>
    <mergeCell ref="D52:E52"/>
    <mergeCell ref="F52:G52"/>
    <mergeCell ref="H52:I52"/>
    <mergeCell ref="L52:M52"/>
    <mergeCell ref="BA51:BB51"/>
    <mergeCell ref="AX51:AZ51"/>
    <mergeCell ref="BD51:BE51"/>
    <mergeCell ref="BF51:BI51"/>
    <mergeCell ref="BJ51:BM51"/>
    <mergeCell ref="AR50:AS50"/>
    <mergeCell ref="B51:C51"/>
    <mergeCell ref="D51:E51"/>
    <mergeCell ref="F51:G51"/>
    <mergeCell ref="H51:I51"/>
    <mergeCell ref="L51:M51"/>
    <mergeCell ref="P51:Q51"/>
    <mergeCell ref="BN51:BV51"/>
    <mergeCell ref="AL52:AM52"/>
    <mergeCell ref="AN52:AO52"/>
    <mergeCell ref="AP52:AQ52"/>
    <mergeCell ref="AR52:AS52"/>
    <mergeCell ref="AT52:AU52"/>
    <mergeCell ref="BA52:BB52"/>
    <mergeCell ref="AX52:AZ52"/>
    <mergeCell ref="BD52:BE52"/>
    <mergeCell ref="BF52:BI52"/>
    <mergeCell ref="P52:Q52"/>
    <mergeCell ref="R52:S52"/>
    <mergeCell ref="T52:U52"/>
    <mergeCell ref="BA50:BB50"/>
    <mergeCell ref="AX50:AZ50"/>
    <mergeCell ref="AP49:AQ49"/>
    <mergeCell ref="AT50:AU50"/>
    <mergeCell ref="B50:C50"/>
    <mergeCell ref="D50:E50"/>
    <mergeCell ref="F50:G50"/>
    <mergeCell ref="H50:I50"/>
    <mergeCell ref="L50:M50"/>
    <mergeCell ref="P50:Q50"/>
    <mergeCell ref="R50:S50"/>
    <mergeCell ref="T50:U50"/>
    <mergeCell ref="V50:W50"/>
    <mergeCell ref="X50:AA50"/>
    <mergeCell ref="V52:W52"/>
    <mergeCell ref="X52:AA52"/>
    <mergeCell ref="P46:Q46"/>
    <mergeCell ref="R46:S46"/>
    <mergeCell ref="V47:W47"/>
    <mergeCell ref="AL48:AM48"/>
    <mergeCell ref="AN48:AO48"/>
    <mergeCell ref="AN47:AO47"/>
    <mergeCell ref="AP47:AQ47"/>
    <mergeCell ref="AR47:AS47"/>
    <mergeCell ref="AT47:AU47"/>
    <mergeCell ref="BA47:BB47"/>
    <mergeCell ref="P47:Q47"/>
    <mergeCell ref="R47:S47"/>
    <mergeCell ref="T47:U47"/>
    <mergeCell ref="AX47:AZ47"/>
    <mergeCell ref="BD47:BE47"/>
    <mergeCell ref="BF47:BI47"/>
    <mergeCell ref="BJ47:BM47"/>
    <mergeCell ref="BN45:BV45"/>
    <mergeCell ref="X46:AA46"/>
    <mergeCell ref="AB46:AE46"/>
    <mergeCell ref="AJ46:AK46"/>
    <mergeCell ref="F49:G49"/>
    <mergeCell ref="H49:I49"/>
    <mergeCell ref="L49:M49"/>
    <mergeCell ref="P49:Q49"/>
    <mergeCell ref="R49:S49"/>
    <mergeCell ref="T49:U49"/>
    <mergeCell ref="V49:W49"/>
    <mergeCell ref="X49:AA49"/>
    <mergeCell ref="AB49:AE49"/>
    <mergeCell ref="AJ49:AK49"/>
    <mergeCell ref="AL49:AM49"/>
    <mergeCell ref="AN49:AO49"/>
    <mergeCell ref="BN49:BV49"/>
    <mergeCell ref="AP45:AQ45"/>
    <mergeCell ref="AR45:AS45"/>
    <mergeCell ref="AT45:AU45"/>
    <mergeCell ref="AF45:AG45"/>
    <mergeCell ref="AF46:AG46"/>
    <mergeCell ref="AF47:AG47"/>
    <mergeCell ref="AF48:AG48"/>
    <mergeCell ref="AF49:AG49"/>
    <mergeCell ref="AH45:AI45"/>
    <mergeCell ref="AH46:AI46"/>
    <mergeCell ref="AH47:AI47"/>
    <mergeCell ref="AH48:AI48"/>
    <mergeCell ref="AH49:AI49"/>
    <mergeCell ref="AV48:AW48"/>
    <mergeCell ref="AV45:AW45"/>
    <mergeCell ref="J46:K46"/>
    <mergeCell ref="J47:K47"/>
    <mergeCell ref="J48:K48"/>
    <mergeCell ref="J49:K49"/>
    <mergeCell ref="B45:C45"/>
    <mergeCell ref="B44:C44"/>
    <mergeCell ref="AP43:AQ43"/>
    <mergeCell ref="AR43:AS43"/>
    <mergeCell ref="AT43:AU43"/>
    <mergeCell ref="BA43:BB43"/>
    <mergeCell ref="AX43:AZ43"/>
    <mergeCell ref="BD43:BE43"/>
    <mergeCell ref="BF43:BI43"/>
    <mergeCell ref="BJ43:BM43"/>
    <mergeCell ref="D44:E44"/>
    <mergeCell ref="F44:G44"/>
    <mergeCell ref="H44:I44"/>
    <mergeCell ref="L44:M44"/>
    <mergeCell ref="P44:Q44"/>
    <mergeCell ref="R44:S44"/>
    <mergeCell ref="T44:U44"/>
    <mergeCell ref="AR42:AS42"/>
    <mergeCell ref="AT42:AU42"/>
    <mergeCell ref="AP48:AQ48"/>
    <mergeCell ref="AR48:AS48"/>
    <mergeCell ref="AT48:AU48"/>
    <mergeCell ref="BA48:BB48"/>
    <mergeCell ref="AX48:AZ48"/>
    <mergeCell ref="BD48:BE48"/>
    <mergeCell ref="BF48:BI48"/>
    <mergeCell ref="BJ48:BM48"/>
    <mergeCell ref="BN47:BV47"/>
    <mergeCell ref="B48:C48"/>
    <mergeCell ref="D48:E48"/>
    <mergeCell ref="F48:G48"/>
    <mergeCell ref="H48:I48"/>
    <mergeCell ref="L48:M48"/>
    <mergeCell ref="P48:Q48"/>
    <mergeCell ref="R48:S48"/>
    <mergeCell ref="T48:U48"/>
    <mergeCell ref="V48:W48"/>
    <mergeCell ref="X48:AA48"/>
    <mergeCell ref="AB48:AE48"/>
    <mergeCell ref="AJ48:AK48"/>
    <mergeCell ref="BA45:BB45"/>
    <mergeCell ref="AX45:AZ45"/>
    <mergeCell ref="BD45:BE45"/>
    <mergeCell ref="BF45:BI45"/>
    <mergeCell ref="BJ45:BM45"/>
    <mergeCell ref="T46:U46"/>
    <mergeCell ref="B47:C47"/>
    <mergeCell ref="D47:E47"/>
    <mergeCell ref="F47:G47"/>
    <mergeCell ref="H47:I47"/>
    <mergeCell ref="L47:M47"/>
    <mergeCell ref="BN48:BV48"/>
    <mergeCell ref="BN46:BV46"/>
    <mergeCell ref="AL46:AM46"/>
    <mergeCell ref="AN46:AO46"/>
    <mergeCell ref="AP46:AQ46"/>
    <mergeCell ref="AR46:AS46"/>
    <mergeCell ref="AT46:AU46"/>
    <mergeCell ref="BA46:BB46"/>
    <mergeCell ref="AX46:AZ46"/>
    <mergeCell ref="B42:C42"/>
    <mergeCell ref="D42:E42"/>
    <mergeCell ref="BD46:BE46"/>
    <mergeCell ref="BF46:BI46"/>
    <mergeCell ref="B41:C41"/>
    <mergeCell ref="D41:E41"/>
    <mergeCell ref="F41:G41"/>
    <mergeCell ref="H41:I41"/>
    <mergeCell ref="L41:M41"/>
    <mergeCell ref="X47:AA47"/>
    <mergeCell ref="AB47:AE47"/>
    <mergeCell ref="D45:E45"/>
    <mergeCell ref="F45:G45"/>
    <mergeCell ref="H45:I45"/>
    <mergeCell ref="L45:M45"/>
    <mergeCell ref="P45:Q45"/>
    <mergeCell ref="R45:S45"/>
    <mergeCell ref="T45:U45"/>
    <mergeCell ref="V45:W45"/>
    <mergeCell ref="X45:AA45"/>
    <mergeCell ref="AB45:AE45"/>
    <mergeCell ref="AJ45:AK45"/>
    <mergeCell ref="AL45:AM45"/>
    <mergeCell ref="AN45:AO45"/>
    <mergeCell ref="AJ47:AK47"/>
    <mergeCell ref="AL47:AM47"/>
    <mergeCell ref="V46:W46"/>
    <mergeCell ref="BF44:BI44"/>
    <mergeCell ref="BJ44:BM44"/>
    <mergeCell ref="AP44:AQ44"/>
    <mergeCell ref="AR44:AS44"/>
    <mergeCell ref="B46:C46"/>
    <mergeCell ref="D46:E46"/>
    <mergeCell ref="F46:G46"/>
    <mergeCell ref="H46:I46"/>
    <mergeCell ref="L46:M46"/>
    <mergeCell ref="BJ46:BM46"/>
    <mergeCell ref="F42:G42"/>
    <mergeCell ref="H42:I42"/>
    <mergeCell ref="L42:M42"/>
    <mergeCell ref="P42:Q42"/>
    <mergeCell ref="R42:S42"/>
    <mergeCell ref="T42:U42"/>
    <mergeCell ref="V42:W42"/>
    <mergeCell ref="X42:AA42"/>
    <mergeCell ref="AB42:AE42"/>
    <mergeCell ref="AJ42:AK42"/>
    <mergeCell ref="V44:W44"/>
    <mergeCell ref="X44:AA44"/>
    <mergeCell ref="AB44:AE44"/>
    <mergeCell ref="AJ44:AK44"/>
    <mergeCell ref="AL44:AM44"/>
    <mergeCell ref="AN44:AO44"/>
    <mergeCell ref="AV46:AW46"/>
    <mergeCell ref="AV47:AW47"/>
    <mergeCell ref="B43:C43"/>
    <mergeCell ref="D43:E43"/>
    <mergeCell ref="F43:G43"/>
    <mergeCell ref="H43:I43"/>
    <mergeCell ref="L43:M43"/>
    <mergeCell ref="P43:Q43"/>
    <mergeCell ref="R43:S43"/>
    <mergeCell ref="T43:U43"/>
    <mergeCell ref="V43:W43"/>
    <mergeCell ref="X43:AA43"/>
    <mergeCell ref="AB43:AE43"/>
    <mergeCell ref="AL41:AM41"/>
    <mergeCell ref="AN41:AO41"/>
    <mergeCell ref="AP41:AQ41"/>
    <mergeCell ref="AR41:AS41"/>
    <mergeCell ref="AT41:AU41"/>
    <mergeCell ref="BA41:BB41"/>
    <mergeCell ref="AX41:AZ41"/>
    <mergeCell ref="BD41:BE41"/>
    <mergeCell ref="BF41:BI41"/>
    <mergeCell ref="P41:Q41"/>
    <mergeCell ref="R41:S41"/>
    <mergeCell ref="T41:U41"/>
    <mergeCell ref="V41:W41"/>
    <mergeCell ref="X41:AA41"/>
    <mergeCell ref="AB41:AE41"/>
    <mergeCell ref="AJ41:AK41"/>
    <mergeCell ref="AN40:AO40"/>
    <mergeCell ref="AP40:AQ40"/>
    <mergeCell ref="AR40:AS40"/>
    <mergeCell ref="AT40:AU40"/>
    <mergeCell ref="BJ41:BM41"/>
    <mergeCell ref="BN41:BV41"/>
    <mergeCell ref="X40:AA40"/>
    <mergeCell ref="AB40:AE40"/>
    <mergeCell ref="AJ40:AK40"/>
    <mergeCell ref="AL40:AM40"/>
    <mergeCell ref="AT44:AU44"/>
    <mergeCell ref="BA44:BB44"/>
    <mergeCell ref="AX44:AZ44"/>
    <mergeCell ref="BD44:BE44"/>
    <mergeCell ref="BN43:BV43"/>
    <mergeCell ref="R39:S39"/>
    <mergeCell ref="T39:U39"/>
    <mergeCell ref="V39:W39"/>
    <mergeCell ref="X39:AA39"/>
    <mergeCell ref="AB39:AE39"/>
    <mergeCell ref="AJ39:AK39"/>
    <mergeCell ref="AL39:AM39"/>
    <mergeCell ref="AN39:AO39"/>
    <mergeCell ref="AP39:AQ39"/>
    <mergeCell ref="BN39:BV39"/>
    <mergeCell ref="BA42:BB42"/>
    <mergeCell ref="AX42:AZ42"/>
    <mergeCell ref="BD42:BE42"/>
    <mergeCell ref="BF42:BI42"/>
    <mergeCell ref="BJ42:BM42"/>
    <mergeCell ref="AL42:AM42"/>
    <mergeCell ref="BN42:BV42"/>
    <mergeCell ref="AJ43:AK43"/>
    <mergeCell ref="AL43:AM43"/>
    <mergeCell ref="AN43:AO43"/>
    <mergeCell ref="AN42:AO42"/>
    <mergeCell ref="AP42:AQ42"/>
    <mergeCell ref="BA40:BB40"/>
    <mergeCell ref="AX40:AZ40"/>
    <mergeCell ref="BD40:BE40"/>
    <mergeCell ref="BF40:BI40"/>
    <mergeCell ref="BJ40:BM40"/>
    <mergeCell ref="AR39:AS39"/>
    <mergeCell ref="BN44:BV44"/>
    <mergeCell ref="AV44:AW44"/>
    <mergeCell ref="AV43:AW43"/>
    <mergeCell ref="AV42:AW42"/>
    <mergeCell ref="AV41:AW41"/>
    <mergeCell ref="AV40:AW40"/>
    <mergeCell ref="B40:C40"/>
    <mergeCell ref="D40:E40"/>
    <mergeCell ref="F40:G40"/>
    <mergeCell ref="H40:I40"/>
    <mergeCell ref="L40:M40"/>
    <mergeCell ref="P40:Q40"/>
    <mergeCell ref="R40:S40"/>
    <mergeCell ref="T40:U40"/>
    <mergeCell ref="V40:W40"/>
    <mergeCell ref="B39:C39"/>
    <mergeCell ref="D39:E39"/>
    <mergeCell ref="F39:G39"/>
    <mergeCell ref="BN35:BV35"/>
    <mergeCell ref="B36:C36"/>
    <mergeCell ref="D36:E36"/>
    <mergeCell ref="F36:G36"/>
    <mergeCell ref="H36:I36"/>
    <mergeCell ref="L36:M36"/>
    <mergeCell ref="P36:Q36"/>
    <mergeCell ref="R36:S36"/>
    <mergeCell ref="T36:U36"/>
    <mergeCell ref="V36:W36"/>
    <mergeCell ref="X36:AA36"/>
    <mergeCell ref="AB36:AE36"/>
    <mergeCell ref="AJ36:AK36"/>
    <mergeCell ref="AL36:AM36"/>
    <mergeCell ref="BD39:BE39"/>
    <mergeCell ref="BF39:BI39"/>
    <mergeCell ref="BJ39:BM39"/>
    <mergeCell ref="AP38:AQ38"/>
    <mergeCell ref="AP37:AQ37"/>
    <mergeCell ref="AR37:AS37"/>
    <mergeCell ref="AT37:AU37"/>
    <mergeCell ref="BA37:BB37"/>
    <mergeCell ref="AX37:AZ37"/>
    <mergeCell ref="BD37:BE37"/>
    <mergeCell ref="BF37:BI37"/>
    <mergeCell ref="BJ37:BM37"/>
    <mergeCell ref="BN36:BV36"/>
    <mergeCell ref="B37:C37"/>
    <mergeCell ref="D37:E37"/>
    <mergeCell ref="F37:G37"/>
    <mergeCell ref="H37:I37"/>
    <mergeCell ref="L37:M37"/>
    <mergeCell ref="P37:Q37"/>
    <mergeCell ref="R37:S37"/>
    <mergeCell ref="T37:U37"/>
    <mergeCell ref="V37:W37"/>
    <mergeCell ref="X37:AA37"/>
    <mergeCell ref="AB37:AE37"/>
    <mergeCell ref="AJ37:AK37"/>
    <mergeCell ref="AL37:AM37"/>
    <mergeCell ref="BN40:BV40"/>
    <mergeCell ref="B35:C35"/>
    <mergeCell ref="D35:E35"/>
    <mergeCell ref="F35:G35"/>
    <mergeCell ref="H35:I35"/>
    <mergeCell ref="L35:M35"/>
    <mergeCell ref="BJ35:BM35"/>
    <mergeCell ref="H38:I38"/>
    <mergeCell ref="L38:M38"/>
    <mergeCell ref="P38:Q38"/>
    <mergeCell ref="R38:S38"/>
    <mergeCell ref="T38:U38"/>
    <mergeCell ref="V38:W38"/>
    <mergeCell ref="X38:AA38"/>
    <mergeCell ref="AB38:AE38"/>
    <mergeCell ref="AJ38:AK38"/>
    <mergeCell ref="AL38:AM38"/>
    <mergeCell ref="AN38:AO38"/>
    <mergeCell ref="AT39:AU39"/>
    <mergeCell ref="BA39:BB39"/>
    <mergeCell ref="AX39:AZ39"/>
    <mergeCell ref="BN38:BV38"/>
    <mergeCell ref="H39:I39"/>
    <mergeCell ref="L39:M39"/>
    <mergeCell ref="P39:Q39"/>
    <mergeCell ref="AL35:AM35"/>
    <mergeCell ref="AN35:AO35"/>
    <mergeCell ref="AP35:AQ35"/>
    <mergeCell ref="AR35:AS35"/>
    <mergeCell ref="AT35:AU35"/>
    <mergeCell ref="BA35:BB35"/>
    <mergeCell ref="AX35:AZ35"/>
    <mergeCell ref="BD35:BE35"/>
    <mergeCell ref="BF35:BI35"/>
    <mergeCell ref="P35:Q35"/>
    <mergeCell ref="R35:S35"/>
    <mergeCell ref="T35:U35"/>
    <mergeCell ref="V35:W35"/>
    <mergeCell ref="X35:AA35"/>
    <mergeCell ref="AB35:AE35"/>
    <mergeCell ref="AJ35:AK35"/>
    <mergeCell ref="AP36:AQ36"/>
    <mergeCell ref="AR36:AS36"/>
    <mergeCell ref="AT36:AU36"/>
    <mergeCell ref="BA36:BB36"/>
    <mergeCell ref="AX36:AZ36"/>
    <mergeCell ref="BD36:BE36"/>
    <mergeCell ref="BF36:BI36"/>
    <mergeCell ref="BJ36:BM36"/>
    <mergeCell ref="AV39:AW39"/>
    <mergeCell ref="AV38:AW38"/>
    <mergeCell ref="AV37:AW37"/>
    <mergeCell ref="AV36:AW36"/>
    <mergeCell ref="AV35:AW35"/>
    <mergeCell ref="B38:C38"/>
    <mergeCell ref="AT38:AU38"/>
    <mergeCell ref="BA38:BB38"/>
    <mergeCell ref="AX38:AZ38"/>
    <mergeCell ref="BD38:BE38"/>
    <mergeCell ref="BF38:BI38"/>
    <mergeCell ref="BJ38:BM38"/>
    <mergeCell ref="D38:E38"/>
    <mergeCell ref="F38:G38"/>
    <mergeCell ref="AN37:AO37"/>
    <mergeCell ref="AN36:AO36"/>
    <mergeCell ref="AR38:AS38"/>
    <mergeCell ref="BN37:BV37"/>
    <mergeCell ref="BN32:BV32"/>
    <mergeCell ref="B33:C33"/>
    <mergeCell ref="D33:E33"/>
    <mergeCell ref="F33:G33"/>
    <mergeCell ref="H33:I33"/>
    <mergeCell ref="L33:M33"/>
    <mergeCell ref="P33:Q33"/>
    <mergeCell ref="R33:S33"/>
    <mergeCell ref="T33:U33"/>
    <mergeCell ref="V33:W33"/>
    <mergeCell ref="X33:AA33"/>
    <mergeCell ref="AB33:AE33"/>
    <mergeCell ref="AJ33:AK33"/>
    <mergeCell ref="AL33:AM33"/>
    <mergeCell ref="AN33:AO33"/>
    <mergeCell ref="B32:C32"/>
    <mergeCell ref="D32:E32"/>
    <mergeCell ref="AR32:AS32"/>
    <mergeCell ref="AT32:AU32"/>
    <mergeCell ref="BA32:BB32"/>
    <mergeCell ref="AX32:AZ32"/>
    <mergeCell ref="BD32:BE32"/>
    <mergeCell ref="BF32:BI32"/>
    <mergeCell ref="BJ32:BM32"/>
    <mergeCell ref="BN33:BV33"/>
    <mergeCell ref="B34:C34"/>
    <mergeCell ref="D34:E34"/>
    <mergeCell ref="F34:G34"/>
    <mergeCell ref="H34:I34"/>
    <mergeCell ref="L34:M34"/>
    <mergeCell ref="P34:Q34"/>
    <mergeCell ref="R34:S34"/>
    <mergeCell ref="T34:U34"/>
    <mergeCell ref="V34:W34"/>
    <mergeCell ref="X34:AA34"/>
    <mergeCell ref="AB34:AE34"/>
    <mergeCell ref="AJ34:AK34"/>
    <mergeCell ref="AL34:AM34"/>
    <mergeCell ref="AN34:AO34"/>
    <mergeCell ref="AP34:AQ34"/>
    <mergeCell ref="AT33:AU33"/>
    <mergeCell ref="BA33:BB33"/>
    <mergeCell ref="AX33:AZ33"/>
    <mergeCell ref="BD33:BE33"/>
    <mergeCell ref="BF33:BI33"/>
    <mergeCell ref="BJ33:BM33"/>
    <mergeCell ref="BN34:BV34"/>
    <mergeCell ref="F32:G32"/>
    <mergeCell ref="H32:I32"/>
    <mergeCell ref="L32:M32"/>
    <mergeCell ref="P32:Q32"/>
    <mergeCell ref="R32:S32"/>
    <mergeCell ref="T32:U32"/>
    <mergeCell ref="V32:W32"/>
    <mergeCell ref="X32:AA32"/>
    <mergeCell ref="AB32:AE32"/>
    <mergeCell ref="AJ32:AK32"/>
    <mergeCell ref="AL32:AM32"/>
    <mergeCell ref="BA34:BB34"/>
    <mergeCell ref="AX34:AZ34"/>
    <mergeCell ref="BD34:BE34"/>
    <mergeCell ref="BF34:BI34"/>
    <mergeCell ref="BJ34:BM34"/>
    <mergeCell ref="AP33:AQ33"/>
    <mergeCell ref="AP31:AQ31"/>
    <mergeCell ref="AR31:AS31"/>
    <mergeCell ref="AT31:AU31"/>
    <mergeCell ref="BA31:BB31"/>
    <mergeCell ref="AX31:AZ31"/>
    <mergeCell ref="BD31:BE31"/>
    <mergeCell ref="BF31:BI31"/>
    <mergeCell ref="BJ31:BM31"/>
    <mergeCell ref="AN32:AO32"/>
    <mergeCell ref="AP32:AQ32"/>
    <mergeCell ref="AT30:AU30"/>
    <mergeCell ref="BA30:BB30"/>
    <mergeCell ref="AX30:AZ30"/>
    <mergeCell ref="D30:E30"/>
    <mergeCell ref="F30:G30"/>
    <mergeCell ref="H30:I30"/>
    <mergeCell ref="L30:M30"/>
    <mergeCell ref="P30:Q30"/>
    <mergeCell ref="R30:S30"/>
    <mergeCell ref="T30:U30"/>
    <mergeCell ref="V30:W30"/>
    <mergeCell ref="X30:AA30"/>
    <mergeCell ref="AB30:AE30"/>
    <mergeCell ref="AJ30:AK30"/>
    <mergeCell ref="AL30:AM30"/>
    <mergeCell ref="AN30:AO30"/>
    <mergeCell ref="AP30:AQ30"/>
    <mergeCell ref="AR30:AS30"/>
    <mergeCell ref="BD30:BE30"/>
    <mergeCell ref="BF30:BI30"/>
    <mergeCell ref="BJ30:BM30"/>
    <mergeCell ref="AV34:AW34"/>
    <mergeCell ref="AT34:AU34"/>
    <mergeCell ref="AR34:AS34"/>
    <mergeCell ref="AV33:AW33"/>
    <mergeCell ref="AR33:AS33"/>
    <mergeCell ref="AV32:AW32"/>
    <mergeCell ref="AV31:AW31"/>
    <mergeCell ref="AV30:AW30"/>
    <mergeCell ref="AT27:AU27"/>
    <mergeCell ref="BN30:BV30"/>
    <mergeCell ref="B31:C31"/>
    <mergeCell ref="D31:E31"/>
    <mergeCell ref="F31:G31"/>
    <mergeCell ref="H31:I31"/>
    <mergeCell ref="L31:M31"/>
    <mergeCell ref="P31:Q31"/>
    <mergeCell ref="R31:S31"/>
    <mergeCell ref="T31:U31"/>
    <mergeCell ref="V31:W31"/>
    <mergeCell ref="X31:AA31"/>
    <mergeCell ref="AB31:AE31"/>
    <mergeCell ref="AJ31:AK31"/>
    <mergeCell ref="AL31:AM31"/>
    <mergeCell ref="AN31:AO31"/>
    <mergeCell ref="BN31:BV31"/>
    <mergeCell ref="B30:C30"/>
    <mergeCell ref="BF25:BI25"/>
    <mergeCell ref="BF26:BI26"/>
    <mergeCell ref="BF27:BI27"/>
    <mergeCell ref="BF28:BI28"/>
    <mergeCell ref="BF29:BI29"/>
    <mergeCell ref="BJ25:BM25"/>
    <mergeCell ref="BJ26:BM26"/>
    <mergeCell ref="BJ28:BM28"/>
    <mergeCell ref="BJ29:BM29"/>
    <mergeCell ref="V28:W28"/>
    <mergeCell ref="X28:AA28"/>
    <mergeCell ref="AB25:AE25"/>
    <mergeCell ref="AJ25:AK25"/>
    <mergeCell ref="AL25:AM25"/>
    <mergeCell ref="AN25:AO25"/>
    <mergeCell ref="H25:I25"/>
    <mergeCell ref="P25:Q25"/>
    <mergeCell ref="AB26:AE26"/>
    <mergeCell ref="AJ26:AK26"/>
    <mergeCell ref="AP25:AQ25"/>
    <mergeCell ref="AR25:AS25"/>
    <mergeCell ref="B29:C29"/>
    <mergeCell ref="D29:E29"/>
    <mergeCell ref="B27:C27"/>
    <mergeCell ref="D27:E27"/>
    <mergeCell ref="F27:G27"/>
    <mergeCell ref="H27:I27"/>
    <mergeCell ref="AJ29:AK29"/>
    <mergeCell ref="AL29:AM29"/>
    <mergeCell ref="AN29:AO29"/>
    <mergeCell ref="X27:AA27"/>
    <mergeCell ref="AB27:AE27"/>
    <mergeCell ref="AJ27:AK27"/>
    <mergeCell ref="AL27:AM27"/>
    <mergeCell ref="F29:G29"/>
    <mergeCell ref="H29:I29"/>
    <mergeCell ref="P29:Q29"/>
    <mergeCell ref="R29:S29"/>
    <mergeCell ref="T29:U29"/>
    <mergeCell ref="AR29:AS29"/>
    <mergeCell ref="BA28:BB28"/>
    <mergeCell ref="BA25:BB25"/>
    <mergeCell ref="BD28:BE28"/>
    <mergeCell ref="V29:W29"/>
    <mergeCell ref="X29:AA29"/>
    <mergeCell ref="F25:G25"/>
    <mergeCell ref="L16:M16"/>
    <mergeCell ref="L17:M17"/>
    <mergeCell ref="L18:M18"/>
    <mergeCell ref="L19:M19"/>
    <mergeCell ref="L20:M20"/>
    <mergeCell ref="L21:M21"/>
    <mergeCell ref="L22:M22"/>
    <mergeCell ref="L23:M23"/>
    <mergeCell ref="L24:M24"/>
    <mergeCell ref="L25:M25"/>
    <mergeCell ref="L26:M26"/>
    <mergeCell ref="L27:M27"/>
    <mergeCell ref="T15:U15"/>
    <mergeCell ref="BJ20:BM20"/>
    <mergeCell ref="BJ16:BM16"/>
    <mergeCell ref="BJ18:BM18"/>
    <mergeCell ref="V26:W26"/>
    <mergeCell ref="V25:W25"/>
    <mergeCell ref="AB23:AE23"/>
    <mergeCell ref="AJ23:AK23"/>
    <mergeCell ref="AL23:AM23"/>
    <mergeCell ref="AR16:AS16"/>
    <mergeCell ref="AR17:AS17"/>
    <mergeCell ref="AR18:AS18"/>
    <mergeCell ref="AP24:AQ24"/>
    <mergeCell ref="AR24:AS24"/>
    <mergeCell ref="AT24:AU24"/>
    <mergeCell ref="BJ22:BM22"/>
    <mergeCell ref="BJ23:BM23"/>
    <mergeCell ref="BD19:BE19"/>
    <mergeCell ref="AP22:AQ22"/>
    <mergeCell ref="AR22:AS22"/>
    <mergeCell ref="AT22:AU22"/>
    <mergeCell ref="BA22:BB22"/>
    <mergeCell ref="AX22:AZ22"/>
    <mergeCell ref="BD22:BE22"/>
    <mergeCell ref="AP17:AQ17"/>
    <mergeCell ref="AX25:AZ25"/>
    <mergeCell ref="BD25:BE25"/>
    <mergeCell ref="BA26:BB26"/>
    <mergeCell ref="V27:W27"/>
    <mergeCell ref="P27:Q27"/>
    <mergeCell ref="R27:S27"/>
    <mergeCell ref="T27:U27"/>
    <mergeCell ref="X25:AA25"/>
    <mergeCell ref="AL21:AM21"/>
    <mergeCell ref="AP21:AQ21"/>
    <mergeCell ref="AR21:AS21"/>
    <mergeCell ref="AT21:AU21"/>
    <mergeCell ref="BA21:BB21"/>
    <mergeCell ref="AX16:AZ16"/>
    <mergeCell ref="AX17:AZ17"/>
    <mergeCell ref="AX18:AZ18"/>
    <mergeCell ref="BA16:BB16"/>
    <mergeCell ref="BD17:BE17"/>
    <mergeCell ref="BD18:BE18"/>
    <mergeCell ref="T23:U23"/>
    <mergeCell ref="AJ22:AK22"/>
    <mergeCell ref="AL22:AM22"/>
    <mergeCell ref="AN22:AO22"/>
    <mergeCell ref="AX23:AZ23"/>
    <mergeCell ref="BD23:BE23"/>
    <mergeCell ref="AT23:AU23"/>
    <mergeCell ref="AR27:AS27"/>
    <mergeCell ref="R25:S25"/>
    <mergeCell ref="T25:U25"/>
    <mergeCell ref="L29:M29"/>
    <mergeCell ref="AB29:AE29"/>
    <mergeCell ref="BJ19:BM19"/>
    <mergeCell ref="AT18:AU18"/>
    <mergeCell ref="AJ17:AK17"/>
    <mergeCell ref="AJ18:AK18"/>
    <mergeCell ref="AJ19:AK19"/>
    <mergeCell ref="AL17:AM17"/>
    <mergeCell ref="AL19:AM19"/>
    <mergeCell ref="AT17:AU17"/>
    <mergeCell ref="AR19:AS19"/>
    <mergeCell ref="AL18:AM18"/>
    <mergeCell ref="BD16:BE16"/>
    <mergeCell ref="AT16:AU16"/>
    <mergeCell ref="AP16:AQ16"/>
    <mergeCell ref="BF16:BI16"/>
    <mergeCell ref="BA23:BB23"/>
    <mergeCell ref="BF24:BI24"/>
    <mergeCell ref="BJ24:BM24"/>
    <mergeCell ref="V19:W19"/>
    <mergeCell ref="BA17:BB17"/>
    <mergeCell ref="BA18:BB18"/>
    <mergeCell ref="BJ17:BM17"/>
    <mergeCell ref="AT19:AU19"/>
    <mergeCell ref="AP20:AQ20"/>
    <mergeCell ref="X17:AA17"/>
    <mergeCell ref="X18:AA18"/>
    <mergeCell ref="BF22:BI22"/>
    <mergeCell ref="BF23:BI23"/>
    <mergeCell ref="BF17:BI17"/>
    <mergeCell ref="BF18:BI18"/>
    <mergeCell ref="BF19:BI19"/>
    <mergeCell ref="BF20:BI20"/>
    <mergeCell ref="BF21:BI21"/>
    <mergeCell ref="AL24:AM24"/>
    <mergeCell ref="AN24:AO24"/>
    <mergeCell ref="BJ21:BM21"/>
    <mergeCell ref="AN27:AO27"/>
    <mergeCell ref="AP27:AQ27"/>
    <mergeCell ref="BA29:BB29"/>
    <mergeCell ref="BA27:BB27"/>
    <mergeCell ref="AX27:AZ27"/>
    <mergeCell ref="AP29:AQ29"/>
    <mergeCell ref="AT29:AU29"/>
    <mergeCell ref="AX28:AZ28"/>
    <mergeCell ref="P16:Q16"/>
    <mergeCell ref="R18:S18"/>
    <mergeCell ref="X20:AA20"/>
    <mergeCell ref="AB20:AE20"/>
    <mergeCell ref="AJ20:AK20"/>
    <mergeCell ref="AL20:AM20"/>
    <mergeCell ref="AR20:AS20"/>
    <mergeCell ref="AT20:AU20"/>
    <mergeCell ref="BA20:BB20"/>
    <mergeCell ref="AX20:AZ20"/>
    <mergeCell ref="BD20:BE20"/>
    <mergeCell ref="X21:AA21"/>
    <mergeCell ref="BA19:BB19"/>
    <mergeCell ref="V20:W20"/>
    <mergeCell ref="V21:W21"/>
    <mergeCell ref="AN20:AO20"/>
    <mergeCell ref="AP23:AQ23"/>
    <mergeCell ref="AR23:AS23"/>
    <mergeCell ref="H14:I14"/>
    <mergeCell ref="F14:G14"/>
    <mergeCell ref="V16:W16"/>
    <mergeCell ref="P14:Q14"/>
    <mergeCell ref="AN14:AO14"/>
    <mergeCell ref="AR14:AS14"/>
    <mergeCell ref="AP14:AQ14"/>
    <mergeCell ref="BA1:BB1"/>
    <mergeCell ref="BJ1:BM1"/>
    <mergeCell ref="X1:AA1"/>
    <mergeCell ref="AJ1:AK1"/>
    <mergeCell ref="BF1:BI1"/>
    <mergeCell ref="H8:U9"/>
    <mergeCell ref="A5:AO5"/>
    <mergeCell ref="B1:C1"/>
    <mergeCell ref="D1:E1"/>
    <mergeCell ref="A6:G6"/>
    <mergeCell ref="A7:G7"/>
    <mergeCell ref="A8:G8"/>
    <mergeCell ref="A9:G9"/>
    <mergeCell ref="A10:G10"/>
    <mergeCell ref="BN1:BV1"/>
    <mergeCell ref="BN14:BV14"/>
    <mergeCell ref="BJ14:BM14"/>
    <mergeCell ref="AJ14:AK14"/>
    <mergeCell ref="AC6:AQ6"/>
    <mergeCell ref="AC7:AQ7"/>
    <mergeCell ref="AC8:AQ8"/>
    <mergeCell ref="AC9:AQ9"/>
    <mergeCell ref="AC10:AQ10"/>
    <mergeCell ref="BD15:BE15"/>
    <mergeCell ref="AL14:AM14"/>
    <mergeCell ref="AB14:AE14"/>
    <mergeCell ref="X14:AA14"/>
    <mergeCell ref="X15:AA15"/>
    <mergeCell ref="AB15:AE15"/>
    <mergeCell ref="AT1:AU1"/>
    <mergeCell ref="AJ15:AK15"/>
    <mergeCell ref="AL15:AM15"/>
    <mergeCell ref="AT15:AU15"/>
    <mergeCell ref="AP15:AQ15"/>
    <mergeCell ref="AR15:AS15"/>
    <mergeCell ref="AX15:AZ15"/>
    <mergeCell ref="AN15:AO15"/>
    <mergeCell ref="BA15:BB15"/>
    <mergeCell ref="A2:BV2"/>
    <mergeCell ref="A3:BV3"/>
    <mergeCell ref="AR5:BV12"/>
    <mergeCell ref="V1:W1"/>
    <mergeCell ref="AX1:AZ1"/>
    <mergeCell ref="BD1:BE1"/>
    <mergeCell ref="T1:U1"/>
    <mergeCell ref="BF14:BI14"/>
    <mergeCell ref="A11:AE11"/>
    <mergeCell ref="B15:C15"/>
    <mergeCell ref="D15:E15"/>
    <mergeCell ref="AT14:AU14"/>
    <mergeCell ref="H15:I15"/>
    <mergeCell ref="V15:W15"/>
    <mergeCell ref="BF15:BI15"/>
    <mergeCell ref="R15:S15"/>
    <mergeCell ref="L15:M15"/>
    <mergeCell ref="BA14:BB14"/>
    <mergeCell ref="AX14:AZ14"/>
    <mergeCell ref="B23:C23"/>
    <mergeCell ref="D23:E23"/>
    <mergeCell ref="F23:G23"/>
    <mergeCell ref="B24:C24"/>
    <mergeCell ref="D24:E24"/>
    <mergeCell ref="F24:G24"/>
    <mergeCell ref="V23:W23"/>
    <mergeCell ref="V24:W24"/>
    <mergeCell ref="AT25:AU25"/>
    <mergeCell ref="X23:AA23"/>
    <mergeCell ref="R23:S23"/>
    <mergeCell ref="B17:C17"/>
    <mergeCell ref="B14:C14"/>
    <mergeCell ref="F13:W13"/>
    <mergeCell ref="V14:W14"/>
    <mergeCell ref="V18:W18"/>
    <mergeCell ref="P17:Q17"/>
    <mergeCell ref="P18:Q18"/>
    <mergeCell ref="P19:Q19"/>
    <mergeCell ref="H16:I16"/>
    <mergeCell ref="F18:G18"/>
    <mergeCell ref="R16:S16"/>
    <mergeCell ref="P15:Q15"/>
    <mergeCell ref="F15:G15"/>
    <mergeCell ref="T14:U14"/>
    <mergeCell ref="A12:AP12"/>
    <mergeCell ref="F1:G1"/>
    <mergeCell ref="H1:I1"/>
    <mergeCell ref="AB1:AE1"/>
    <mergeCell ref="AN1:AO1"/>
    <mergeCell ref="AP1:AQ1"/>
    <mergeCell ref="AR1:AS1"/>
    <mergeCell ref="L1:M1"/>
    <mergeCell ref="P1:Q1"/>
    <mergeCell ref="H10:Q10"/>
    <mergeCell ref="R10:U10"/>
    <mergeCell ref="H6:U6"/>
    <mergeCell ref="R1:S1"/>
    <mergeCell ref="AB16:AE16"/>
    <mergeCell ref="AB17:AE17"/>
    <mergeCell ref="AB18:AE18"/>
    <mergeCell ref="AB19:AE19"/>
    <mergeCell ref="T17:U17"/>
    <mergeCell ref="T18:U18"/>
    <mergeCell ref="T19:U19"/>
    <mergeCell ref="V17:W17"/>
    <mergeCell ref="AJ16:AK16"/>
    <mergeCell ref="AL16:AM16"/>
    <mergeCell ref="AN16:AO16"/>
    <mergeCell ref="AN17:AO17"/>
    <mergeCell ref="T16:U16"/>
    <mergeCell ref="X16:AA16"/>
    <mergeCell ref="AP18:AQ18"/>
    <mergeCell ref="AP19:AQ19"/>
    <mergeCell ref="H19:I19"/>
    <mergeCell ref="AL1:AM1"/>
    <mergeCell ref="B16:C16"/>
    <mergeCell ref="AN18:AO18"/>
    <mergeCell ref="AN19:AO19"/>
    <mergeCell ref="X19:AA19"/>
    <mergeCell ref="D14:E14"/>
    <mergeCell ref="AN21:AO21"/>
    <mergeCell ref="H7:U7"/>
    <mergeCell ref="D16:E16"/>
    <mergeCell ref="BN23:BV23"/>
    <mergeCell ref="BN24:BV24"/>
    <mergeCell ref="AJ24:AK24"/>
    <mergeCell ref="AX21:AZ21"/>
    <mergeCell ref="AT28:AU28"/>
    <mergeCell ref="X26:AA26"/>
    <mergeCell ref="H26:I26"/>
    <mergeCell ref="P26:Q26"/>
    <mergeCell ref="R26:S26"/>
    <mergeCell ref="T26:U26"/>
    <mergeCell ref="L28:M28"/>
    <mergeCell ref="F21:G21"/>
    <mergeCell ref="H21:I21"/>
    <mergeCell ref="P21:Q21"/>
    <mergeCell ref="R21:S21"/>
    <mergeCell ref="T21:U21"/>
    <mergeCell ref="BD21:BE21"/>
    <mergeCell ref="D18:E18"/>
    <mergeCell ref="AL26:AM26"/>
    <mergeCell ref="AN26:AO26"/>
    <mergeCell ref="AP26:AQ26"/>
    <mergeCell ref="AR26:AS26"/>
    <mergeCell ref="AT26:AU26"/>
    <mergeCell ref="B25:C25"/>
    <mergeCell ref="D25:E25"/>
    <mergeCell ref="H17:I17"/>
    <mergeCell ref="H18:I18"/>
    <mergeCell ref="X24:AA24"/>
    <mergeCell ref="AB24:AE24"/>
    <mergeCell ref="H22:I22"/>
    <mergeCell ref="P22:Q22"/>
    <mergeCell ref="R22:S22"/>
    <mergeCell ref="B20:C20"/>
    <mergeCell ref="T22:U22"/>
    <mergeCell ref="V22:W22"/>
    <mergeCell ref="X22:AA22"/>
    <mergeCell ref="AB22:AE22"/>
    <mergeCell ref="D20:E20"/>
    <mergeCell ref="F20:G20"/>
    <mergeCell ref="H20:I20"/>
    <mergeCell ref="P20:Q20"/>
    <mergeCell ref="R20:S20"/>
    <mergeCell ref="T20:U20"/>
    <mergeCell ref="B18:C18"/>
    <mergeCell ref="F17:G17"/>
    <mergeCell ref="B19:C19"/>
    <mergeCell ref="D19:E19"/>
    <mergeCell ref="D17:E17"/>
    <mergeCell ref="F19:G19"/>
    <mergeCell ref="R19:S19"/>
    <mergeCell ref="R17:S17"/>
    <mergeCell ref="AN23:AO23"/>
    <mergeCell ref="H23:I23"/>
    <mergeCell ref="P23:Q23"/>
    <mergeCell ref="B21:C21"/>
    <mergeCell ref="D21:E21"/>
    <mergeCell ref="B22:C22"/>
    <mergeCell ref="D22:E22"/>
    <mergeCell ref="F22:G22"/>
    <mergeCell ref="BA24:BB24"/>
    <mergeCell ref="AX24:AZ24"/>
    <mergeCell ref="AX19:AZ19"/>
    <mergeCell ref="BN22:BV22"/>
    <mergeCell ref="BD14:BE14"/>
    <mergeCell ref="BD24:BE24"/>
    <mergeCell ref="AB21:AE21"/>
    <mergeCell ref="AJ21:AK21"/>
    <mergeCell ref="A13:E13"/>
    <mergeCell ref="BN13:BV13"/>
    <mergeCell ref="D208:E208"/>
    <mergeCell ref="D209:E209"/>
    <mergeCell ref="B208:C208"/>
    <mergeCell ref="B209:C209"/>
    <mergeCell ref="F208:G208"/>
    <mergeCell ref="H208:I208"/>
    <mergeCell ref="L208:M208"/>
    <mergeCell ref="P208:Q208"/>
    <mergeCell ref="R208:S208"/>
    <mergeCell ref="T208:U208"/>
    <mergeCell ref="V208:W208"/>
    <mergeCell ref="X208:AA208"/>
    <mergeCell ref="AB208:AE208"/>
    <mergeCell ref="AJ208:AK208"/>
    <mergeCell ref="AL208:AM208"/>
    <mergeCell ref="AN208:AO208"/>
    <mergeCell ref="AP208:AQ208"/>
    <mergeCell ref="AR208:AS208"/>
    <mergeCell ref="H24:I24"/>
    <mergeCell ref="P24:Q24"/>
    <mergeCell ref="R24:S24"/>
    <mergeCell ref="T24:U24"/>
    <mergeCell ref="AB28:AE28"/>
    <mergeCell ref="AJ28:AK28"/>
    <mergeCell ref="AL28:AM28"/>
    <mergeCell ref="AN28:AO28"/>
    <mergeCell ref="AP28:AQ28"/>
    <mergeCell ref="AR28:AS28"/>
    <mergeCell ref="B28:C28"/>
    <mergeCell ref="D28:E28"/>
    <mergeCell ref="F28:G28"/>
    <mergeCell ref="H28:I28"/>
    <mergeCell ref="P28:Q28"/>
    <mergeCell ref="R28:S28"/>
    <mergeCell ref="T28:U28"/>
    <mergeCell ref="B26:C26"/>
    <mergeCell ref="D26:E26"/>
    <mergeCell ref="F26:G26"/>
    <mergeCell ref="BN25:BV25"/>
    <mergeCell ref="BN26:BV26"/>
    <mergeCell ref="BN27:BV27"/>
    <mergeCell ref="BN28:BV28"/>
    <mergeCell ref="BN29:BV29"/>
    <mergeCell ref="BN15:BV15"/>
    <mergeCell ref="BN16:BV16"/>
    <mergeCell ref="BN17:BV17"/>
    <mergeCell ref="BN18:BV18"/>
    <mergeCell ref="BN19:BV19"/>
    <mergeCell ref="BN20:BV20"/>
    <mergeCell ref="BN21:BV21"/>
    <mergeCell ref="AX29:AZ29"/>
    <mergeCell ref="BD29:BE29"/>
    <mergeCell ref="AX26:AZ26"/>
    <mergeCell ref="BD26:BE26"/>
    <mergeCell ref="BD27:BE27"/>
    <mergeCell ref="BJ27:BM27"/>
    <mergeCell ref="F16:G16"/>
    <mergeCell ref="BJ15:BM15"/>
    <mergeCell ref="BN210:BV210"/>
    <mergeCell ref="BD209:BE209"/>
    <mergeCell ref="BF209:BI209"/>
    <mergeCell ref="BJ209:BM209"/>
    <mergeCell ref="BN209:BV209"/>
    <mergeCell ref="F210:G210"/>
    <mergeCell ref="H210:I210"/>
    <mergeCell ref="P210:Q210"/>
    <mergeCell ref="R210:S210"/>
    <mergeCell ref="T210:U210"/>
    <mergeCell ref="V210:W210"/>
    <mergeCell ref="X210:AA210"/>
    <mergeCell ref="AB210:AE210"/>
    <mergeCell ref="AJ210:AK210"/>
    <mergeCell ref="AL210:AM210"/>
    <mergeCell ref="AN210:AO210"/>
    <mergeCell ref="AP210:AQ210"/>
    <mergeCell ref="AR210:AS210"/>
    <mergeCell ref="AT210:AU210"/>
    <mergeCell ref="BA210:BB210"/>
    <mergeCell ref="AX210:AZ210"/>
    <mergeCell ref="BD210:BE210"/>
    <mergeCell ref="BF210:BI210"/>
    <mergeCell ref="BJ210:BM210"/>
    <mergeCell ref="D210:E210"/>
    <mergeCell ref="B210:C210"/>
    <mergeCell ref="AT208:AU208"/>
    <mergeCell ref="BA208:BB208"/>
    <mergeCell ref="AX208:AZ208"/>
    <mergeCell ref="BD208:BE208"/>
    <mergeCell ref="BF208:BI208"/>
    <mergeCell ref="BJ208:BM208"/>
    <mergeCell ref="BN208:BV208"/>
    <mergeCell ref="F209:G209"/>
    <mergeCell ref="H209:I209"/>
    <mergeCell ref="L209:M209"/>
    <mergeCell ref="P209:Q209"/>
    <mergeCell ref="R209:S209"/>
    <mergeCell ref="T209:U209"/>
    <mergeCell ref="V209:W209"/>
    <mergeCell ref="X209:AA209"/>
    <mergeCell ref="AB209:AE209"/>
    <mergeCell ref="AJ209:AK209"/>
    <mergeCell ref="AL209:AM209"/>
    <mergeCell ref="AN209:AO209"/>
    <mergeCell ref="AP209:AQ209"/>
    <mergeCell ref="AR209:AS209"/>
    <mergeCell ref="AT209:AU209"/>
    <mergeCell ref="BA209:BB209"/>
    <mergeCell ref="AX209:AZ209"/>
    <mergeCell ref="AV208:AW208"/>
    <mergeCell ref="AV209:AW209"/>
    <mergeCell ref="AV210:AW210"/>
    <mergeCell ref="AH208:AI208"/>
    <mergeCell ref="AH209:AI209"/>
    <mergeCell ref="AH210:AI210"/>
    <mergeCell ref="AN211:AO211"/>
    <mergeCell ref="AP211:AQ211"/>
    <mergeCell ref="AR211:AS211"/>
    <mergeCell ref="AT211:AU211"/>
    <mergeCell ref="AX211:AZ211"/>
    <mergeCell ref="BA211:BB211"/>
    <mergeCell ref="BD211:BE211"/>
    <mergeCell ref="BF211:BI211"/>
    <mergeCell ref="BJ211:BM211"/>
    <mergeCell ref="BN211:BV211"/>
    <mergeCell ref="B212:C212"/>
    <mergeCell ref="D212:E212"/>
    <mergeCell ref="F212:G212"/>
    <mergeCell ref="H212:I212"/>
    <mergeCell ref="P212:Q212"/>
    <mergeCell ref="R212:S212"/>
    <mergeCell ref="T212:U212"/>
    <mergeCell ref="V212:W212"/>
    <mergeCell ref="X212:AA212"/>
    <mergeCell ref="AB212:AE212"/>
    <mergeCell ref="AJ212:AK212"/>
    <mergeCell ref="AL212:AM212"/>
    <mergeCell ref="AN212:AO212"/>
    <mergeCell ref="B211:C211"/>
    <mergeCell ref="D211:E211"/>
    <mergeCell ref="F211:G211"/>
    <mergeCell ref="H211:I211"/>
    <mergeCell ref="L211:M211"/>
    <mergeCell ref="P211:Q211"/>
    <mergeCell ref="R211:S211"/>
    <mergeCell ref="T211:U211"/>
    <mergeCell ref="V211:W211"/>
    <mergeCell ref="X211:AA211"/>
    <mergeCell ref="AB211:AE211"/>
    <mergeCell ref="AJ211:AK211"/>
    <mergeCell ref="AL211:AM211"/>
    <mergeCell ref="AV211:AW211"/>
    <mergeCell ref="AV212:AW212"/>
    <mergeCell ref="AH211:AI211"/>
    <mergeCell ref="AR213:AS213"/>
    <mergeCell ref="AT213:AU213"/>
    <mergeCell ref="AX213:AZ213"/>
    <mergeCell ref="BA213:BB213"/>
    <mergeCell ref="BD213:BE213"/>
    <mergeCell ref="BF213:BI213"/>
    <mergeCell ref="BJ213:BM213"/>
    <mergeCell ref="BN213:BV213"/>
    <mergeCell ref="B214:C214"/>
    <mergeCell ref="D214:E214"/>
    <mergeCell ref="F214:G214"/>
    <mergeCell ref="H214:I214"/>
    <mergeCell ref="P214:Q214"/>
    <mergeCell ref="R214:S214"/>
    <mergeCell ref="T214:U214"/>
    <mergeCell ref="V214:W214"/>
    <mergeCell ref="X214:AA214"/>
    <mergeCell ref="AB214:AE214"/>
    <mergeCell ref="AJ214:AK214"/>
    <mergeCell ref="AL214:AM214"/>
    <mergeCell ref="AN214:AO214"/>
    <mergeCell ref="AP214:AQ214"/>
    <mergeCell ref="AR214:AS214"/>
    <mergeCell ref="AP212:AQ212"/>
    <mergeCell ref="AR212:AS212"/>
    <mergeCell ref="AT212:AU212"/>
    <mergeCell ref="AX212:AZ212"/>
    <mergeCell ref="BA212:BB212"/>
    <mergeCell ref="BD212:BE212"/>
    <mergeCell ref="BF212:BI212"/>
    <mergeCell ref="BJ212:BM212"/>
    <mergeCell ref="BN212:BV212"/>
    <mergeCell ref="B213:C213"/>
    <mergeCell ref="D213:E213"/>
    <mergeCell ref="F213:G213"/>
    <mergeCell ref="H213:I213"/>
    <mergeCell ref="L213:M213"/>
    <mergeCell ref="P213:Q213"/>
    <mergeCell ref="R213:S213"/>
    <mergeCell ref="T213:U213"/>
    <mergeCell ref="V213:W213"/>
    <mergeCell ref="X213:AA213"/>
    <mergeCell ref="AB213:AE213"/>
    <mergeCell ref="AJ213:AK213"/>
    <mergeCell ref="AL213:AM213"/>
    <mergeCell ref="AN213:AO213"/>
    <mergeCell ref="AP213:AQ213"/>
    <mergeCell ref="AV213:AW213"/>
    <mergeCell ref="AV214:AW214"/>
    <mergeCell ref="AF214:AG214"/>
    <mergeCell ref="AH212:AI212"/>
    <mergeCell ref="AH213:AI213"/>
    <mergeCell ref="AX215:AZ215"/>
    <mergeCell ref="BA215:BB215"/>
    <mergeCell ref="BD215:BE215"/>
    <mergeCell ref="BF215:BI215"/>
    <mergeCell ref="BJ215:BM215"/>
    <mergeCell ref="BN215:BV215"/>
    <mergeCell ref="B216:C216"/>
    <mergeCell ref="D216:E216"/>
    <mergeCell ref="F216:G216"/>
    <mergeCell ref="H216:I216"/>
    <mergeCell ref="P216:Q216"/>
    <mergeCell ref="R216:S216"/>
    <mergeCell ref="T216:U216"/>
    <mergeCell ref="V216:W216"/>
    <mergeCell ref="X216:AA216"/>
    <mergeCell ref="AB216:AE216"/>
    <mergeCell ref="AJ216:AK216"/>
    <mergeCell ref="AL216:AM216"/>
    <mergeCell ref="AN216:AO216"/>
    <mergeCell ref="AP216:AQ216"/>
    <mergeCell ref="AR216:AS216"/>
    <mergeCell ref="AT216:AU216"/>
    <mergeCell ref="AX216:AZ216"/>
    <mergeCell ref="AT214:AU214"/>
    <mergeCell ref="AX214:AZ214"/>
    <mergeCell ref="BA214:BB214"/>
    <mergeCell ref="BD214:BE214"/>
    <mergeCell ref="BF214:BI214"/>
    <mergeCell ref="BJ214:BM214"/>
    <mergeCell ref="BN214:BV214"/>
    <mergeCell ref="B215:C215"/>
    <mergeCell ref="D215:E215"/>
    <mergeCell ref="F215:G215"/>
    <mergeCell ref="H215:I215"/>
    <mergeCell ref="L215:M215"/>
    <mergeCell ref="P215:Q215"/>
    <mergeCell ref="R215:S215"/>
    <mergeCell ref="T215:U215"/>
    <mergeCell ref="V215:W215"/>
    <mergeCell ref="X215:AA215"/>
    <mergeCell ref="AB215:AE215"/>
    <mergeCell ref="AJ215:AK215"/>
    <mergeCell ref="AL215:AM215"/>
    <mergeCell ref="AN215:AO215"/>
    <mergeCell ref="AP215:AQ215"/>
    <mergeCell ref="AR215:AS215"/>
    <mergeCell ref="AT215:AU215"/>
    <mergeCell ref="AV215:AW215"/>
    <mergeCell ref="AV216:AW216"/>
    <mergeCell ref="AF215:AG215"/>
    <mergeCell ref="AF216:AG216"/>
    <mergeCell ref="AH214:AI214"/>
    <mergeCell ref="AH215:AI215"/>
    <mergeCell ref="BD217:BE217"/>
    <mergeCell ref="BF217:BI217"/>
    <mergeCell ref="BJ217:BM217"/>
    <mergeCell ref="BN217:BV217"/>
    <mergeCell ref="B218:C218"/>
    <mergeCell ref="D218:E218"/>
    <mergeCell ref="F218:G218"/>
    <mergeCell ref="H218:I218"/>
    <mergeCell ref="P218:Q218"/>
    <mergeCell ref="R218:S218"/>
    <mergeCell ref="T218:U218"/>
    <mergeCell ref="V218:W218"/>
    <mergeCell ref="X218:AA218"/>
    <mergeCell ref="AB218:AE218"/>
    <mergeCell ref="AJ218:AK218"/>
    <mergeCell ref="AL218:AM218"/>
    <mergeCell ref="AN218:AO218"/>
    <mergeCell ref="AP218:AQ218"/>
    <mergeCell ref="AR218:AS218"/>
    <mergeCell ref="AT218:AU218"/>
    <mergeCell ref="AX218:AZ218"/>
    <mergeCell ref="BA218:BB218"/>
    <mergeCell ref="BD218:BE218"/>
    <mergeCell ref="BA216:BB216"/>
    <mergeCell ref="BD216:BE216"/>
    <mergeCell ref="BF216:BI216"/>
    <mergeCell ref="BJ216:BM216"/>
    <mergeCell ref="BN216:BV216"/>
    <mergeCell ref="B217:C217"/>
    <mergeCell ref="D217:E217"/>
    <mergeCell ref="F217:G217"/>
    <mergeCell ref="H217:I217"/>
    <mergeCell ref="L217:M217"/>
    <mergeCell ref="P217:Q217"/>
    <mergeCell ref="R217:S217"/>
    <mergeCell ref="T217:U217"/>
    <mergeCell ref="V217:W217"/>
    <mergeCell ref="X217:AA217"/>
    <mergeCell ref="AB217:AE217"/>
    <mergeCell ref="AJ217:AK217"/>
    <mergeCell ref="AL217:AM217"/>
    <mergeCell ref="AN217:AO217"/>
    <mergeCell ref="AP217:AQ217"/>
    <mergeCell ref="AR217:AS217"/>
    <mergeCell ref="AT217:AU217"/>
    <mergeCell ref="AX217:AZ217"/>
    <mergeCell ref="BA217:BB217"/>
    <mergeCell ref="AV217:AW217"/>
    <mergeCell ref="AV218:AW218"/>
    <mergeCell ref="AF218:AG218"/>
    <mergeCell ref="AF217:AG217"/>
    <mergeCell ref="AH216:AI216"/>
    <mergeCell ref="AH217:AI217"/>
    <mergeCell ref="BJ219:BM219"/>
    <mergeCell ref="BN219:BV219"/>
    <mergeCell ref="B220:C220"/>
    <mergeCell ref="D220:E220"/>
    <mergeCell ref="F220:G220"/>
    <mergeCell ref="H220:I220"/>
    <mergeCell ref="P220:Q220"/>
    <mergeCell ref="R220:S220"/>
    <mergeCell ref="T220:U220"/>
    <mergeCell ref="V220:W220"/>
    <mergeCell ref="X220:AA220"/>
    <mergeCell ref="AB220:AE220"/>
    <mergeCell ref="AJ220:AK220"/>
    <mergeCell ref="AL220:AM220"/>
    <mergeCell ref="AN220:AO220"/>
    <mergeCell ref="AP220:AQ220"/>
    <mergeCell ref="AR220:AS220"/>
    <mergeCell ref="AT220:AU220"/>
    <mergeCell ref="AX220:AZ220"/>
    <mergeCell ref="BA220:BB220"/>
    <mergeCell ref="BD220:BE220"/>
    <mergeCell ref="BF220:BI220"/>
    <mergeCell ref="BJ220:BM220"/>
    <mergeCell ref="BF218:BI218"/>
    <mergeCell ref="BJ218:BM218"/>
    <mergeCell ref="BN218:BV218"/>
    <mergeCell ref="B219:C219"/>
    <mergeCell ref="D219:E219"/>
    <mergeCell ref="F219:G219"/>
    <mergeCell ref="H219:I219"/>
    <mergeCell ref="L219:M219"/>
    <mergeCell ref="P219:Q219"/>
    <mergeCell ref="R219:S219"/>
    <mergeCell ref="T219:U219"/>
    <mergeCell ref="V219:W219"/>
    <mergeCell ref="X219:AA219"/>
    <mergeCell ref="AB219:AE219"/>
    <mergeCell ref="AJ219:AK219"/>
    <mergeCell ref="AL219:AM219"/>
    <mergeCell ref="AN219:AO219"/>
    <mergeCell ref="AP219:AQ219"/>
    <mergeCell ref="AR219:AS219"/>
    <mergeCell ref="AT219:AU219"/>
    <mergeCell ref="AX219:AZ219"/>
    <mergeCell ref="BA219:BB219"/>
    <mergeCell ref="BD219:BE219"/>
    <mergeCell ref="BF219:BI219"/>
    <mergeCell ref="AV219:AW219"/>
    <mergeCell ref="AV220:AW220"/>
    <mergeCell ref="AF219:AG219"/>
    <mergeCell ref="AF220:AG220"/>
    <mergeCell ref="AH218:AI218"/>
    <mergeCell ref="AH219:AI219"/>
    <mergeCell ref="BN221:BV221"/>
    <mergeCell ref="B222:C222"/>
    <mergeCell ref="D222:E222"/>
    <mergeCell ref="F222:G222"/>
    <mergeCell ref="H222:I222"/>
    <mergeCell ref="P222:Q222"/>
    <mergeCell ref="R222:S222"/>
    <mergeCell ref="T222:U222"/>
    <mergeCell ref="V222:W222"/>
    <mergeCell ref="X222:AA222"/>
    <mergeCell ref="AB222:AE222"/>
    <mergeCell ref="AJ222:AK222"/>
    <mergeCell ref="AL222:AM222"/>
    <mergeCell ref="AN222:AO222"/>
    <mergeCell ref="AP222:AQ222"/>
    <mergeCell ref="AR222:AS222"/>
    <mergeCell ref="AT222:AU222"/>
    <mergeCell ref="AX222:AZ222"/>
    <mergeCell ref="BA222:BB222"/>
    <mergeCell ref="BD222:BE222"/>
    <mergeCell ref="BF222:BI222"/>
    <mergeCell ref="BJ222:BM222"/>
    <mergeCell ref="BN220:BV220"/>
    <mergeCell ref="B221:C221"/>
    <mergeCell ref="D221:E221"/>
    <mergeCell ref="F221:G221"/>
    <mergeCell ref="H221:I221"/>
    <mergeCell ref="L221:M221"/>
    <mergeCell ref="P221:Q221"/>
    <mergeCell ref="R221:S221"/>
    <mergeCell ref="T221:U221"/>
    <mergeCell ref="V221:W221"/>
    <mergeCell ref="X221:AA221"/>
    <mergeCell ref="AB221:AE221"/>
    <mergeCell ref="AJ221:AK221"/>
    <mergeCell ref="AL221:AM221"/>
    <mergeCell ref="AN221:AO221"/>
    <mergeCell ref="AP221:AQ221"/>
    <mergeCell ref="AR221:AS221"/>
    <mergeCell ref="AT221:AU221"/>
    <mergeCell ref="AX221:AZ221"/>
    <mergeCell ref="BA221:BB221"/>
    <mergeCell ref="BD221:BE221"/>
    <mergeCell ref="BF221:BI221"/>
    <mergeCell ref="BJ221:BM221"/>
    <mergeCell ref="AV221:AW221"/>
    <mergeCell ref="AV222:AW222"/>
    <mergeCell ref="AF221:AG221"/>
    <mergeCell ref="AF222:AG222"/>
    <mergeCell ref="AH220:AI220"/>
    <mergeCell ref="AH221:AI221"/>
    <mergeCell ref="BN223:BV223"/>
    <mergeCell ref="B224:C224"/>
    <mergeCell ref="D224:E224"/>
    <mergeCell ref="F224:G224"/>
    <mergeCell ref="H224:I224"/>
    <mergeCell ref="P224:Q224"/>
    <mergeCell ref="R224:S224"/>
    <mergeCell ref="T224:U224"/>
    <mergeCell ref="V224:W224"/>
    <mergeCell ref="X224:AA224"/>
    <mergeCell ref="AB224:AE224"/>
    <mergeCell ref="AJ224:AK224"/>
    <mergeCell ref="AL224:AM224"/>
    <mergeCell ref="AN224:AO224"/>
    <mergeCell ref="AP224:AQ224"/>
    <mergeCell ref="AR224:AS224"/>
    <mergeCell ref="AT224:AU224"/>
    <mergeCell ref="AX224:AZ224"/>
    <mergeCell ref="BA224:BB224"/>
    <mergeCell ref="BD224:BE224"/>
    <mergeCell ref="BF224:BI224"/>
    <mergeCell ref="BJ224:BM224"/>
    <mergeCell ref="BN224:BV224"/>
    <mergeCell ref="BN222:BV222"/>
    <mergeCell ref="B223:C223"/>
    <mergeCell ref="D223:E223"/>
    <mergeCell ref="F223:G223"/>
    <mergeCell ref="H223:I223"/>
    <mergeCell ref="L223:M223"/>
    <mergeCell ref="P223:Q223"/>
    <mergeCell ref="R223:S223"/>
    <mergeCell ref="T223:U223"/>
    <mergeCell ref="V223:W223"/>
    <mergeCell ref="X223:AA223"/>
    <mergeCell ref="AB223:AE223"/>
    <mergeCell ref="AJ223:AK223"/>
    <mergeCell ref="AL223:AM223"/>
    <mergeCell ref="AN223:AO223"/>
    <mergeCell ref="AP223:AQ223"/>
    <mergeCell ref="AR223:AS223"/>
    <mergeCell ref="AT223:AU223"/>
    <mergeCell ref="AX223:AZ223"/>
    <mergeCell ref="BA223:BB223"/>
    <mergeCell ref="BD223:BE223"/>
    <mergeCell ref="BF223:BI223"/>
    <mergeCell ref="BJ223:BM223"/>
    <mergeCell ref="AV223:AW223"/>
    <mergeCell ref="AV224:AW224"/>
    <mergeCell ref="AF223:AG223"/>
    <mergeCell ref="AF224:AG224"/>
    <mergeCell ref="AH222:AI222"/>
    <mergeCell ref="AH223:AI223"/>
    <mergeCell ref="AH224:AI224"/>
    <mergeCell ref="AN226:AO226"/>
    <mergeCell ref="AP226:AQ226"/>
    <mergeCell ref="AR226:AS226"/>
    <mergeCell ref="AT226:AU226"/>
    <mergeCell ref="AX226:AZ226"/>
    <mergeCell ref="BA226:BB226"/>
    <mergeCell ref="BD226:BE226"/>
    <mergeCell ref="BF226:BI226"/>
    <mergeCell ref="BJ226:BM226"/>
    <mergeCell ref="BN226:BV226"/>
    <mergeCell ref="B227:C227"/>
    <mergeCell ref="D227:E227"/>
    <mergeCell ref="F227:G227"/>
    <mergeCell ref="H227:I227"/>
    <mergeCell ref="L227:M227"/>
    <mergeCell ref="P227:Q227"/>
    <mergeCell ref="R227:S227"/>
    <mergeCell ref="T227:U227"/>
    <mergeCell ref="V227:W227"/>
    <mergeCell ref="X227:AA227"/>
    <mergeCell ref="AB227:AE227"/>
    <mergeCell ref="AJ227:AK227"/>
    <mergeCell ref="AL227:AM227"/>
    <mergeCell ref="AN227:AO227"/>
    <mergeCell ref="AL225:AM225"/>
    <mergeCell ref="AN225:AO225"/>
    <mergeCell ref="AP225:AQ225"/>
    <mergeCell ref="AR225:AS225"/>
    <mergeCell ref="AT225:AU225"/>
    <mergeCell ref="AX225:AZ225"/>
    <mergeCell ref="BA225:BB225"/>
    <mergeCell ref="BD225:BE225"/>
    <mergeCell ref="BF225:BI225"/>
    <mergeCell ref="BJ225:BM225"/>
    <mergeCell ref="BN225:BV225"/>
    <mergeCell ref="B226:C226"/>
    <mergeCell ref="D226:E226"/>
    <mergeCell ref="F226:G226"/>
    <mergeCell ref="H226:I226"/>
    <mergeCell ref="P226:Q226"/>
    <mergeCell ref="R226:S226"/>
    <mergeCell ref="T226:U226"/>
    <mergeCell ref="V226:W226"/>
    <mergeCell ref="X226:AA226"/>
    <mergeCell ref="AB226:AE226"/>
    <mergeCell ref="AJ226:AK226"/>
    <mergeCell ref="AL226:AM226"/>
    <mergeCell ref="B225:C225"/>
    <mergeCell ref="D225:E225"/>
    <mergeCell ref="F225:G225"/>
    <mergeCell ref="H225:I225"/>
    <mergeCell ref="L225:M225"/>
    <mergeCell ref="P225:Q225"/>
    <mergeCell ref="R225:S225"/>
    <mergeCell ref="T225:U225"/>
    <mergeCell ref="V225:W225"/>
    <mergeCell ref="X225:AA225"/>
    <mergeCell ref="AB225:AE225"/>
    <mergeCell ref="AJ225:AK225"/>
    <mergeCell ref="AV225:AW225"/>
    <mergeCell ref="AV226:AW226"/>
    <mergeCell ref="AV227:AW227"/>
    <mergeCell ref="AF225:AG225"/>
    <mergeCell ref="AH225:AI225"/>
    <mergeCell ref="AR228:AS228"/>
    <mergeCell ref="AT228:AU228"/>
    <mergeCell ref="AX228:AZ228"/>
    <mergeCell ref="BA228:BB228"/>
    <mergeCell ref="BD228:BE228"/>
    <mergeCell ref="BF228:BI228"/>
    <mergeCell ref="BJ228:BM228"/>
    <mergeCell ref="BN228:BV228"/>
    <mergeCell ref="B229:C229"/>
    <mergeCell ref="D229:E229"/>
    <mergeCell ref="F229:G229"/>
    <mergeCell ref="H229:I229"/>
    <mergeCell ref="L229:M229"/>
    <mergeCell ref="P229:Q229"/>
    <mergeCell ref="R229:S229"/>
    <mergeCell ref="T229:U229"/>
    <mergeCell ref="V229:W229"/>
    <mergeCell ref="X229:AA229"/>
    <mergeCell ref="AB229:AE229"/>
    <mergeCell ref="AJ229:AK229"/>
    <mergeCell ref="AL229:AM229"/>
    <mergeCell ref="AN229:AO229"/>
    <mergeCell ref="AP229:AQ229"/>
    <mergeCell ref="AR229:AS229"/>
    <mergeCell ref="AP227:AQ227"/>
    <mergeCell ref="AR227:AS227"/>
    <mergeCell ref="AT227:AU227"/>
    <mergeCell ref="AX227:AZ227"/>
    <mergeCell ref="BA227:BB227"/>
    <mergeCell ref="BD227:BE227"/>
    <mergeCell ref="BF227:BI227"/>
    <mergeCell ref="BJ227:BM227"/>
    <mergeCell ref="BN227:BV227"/>
    <mergeCell ref="B228:C228"/>
    <mergeCell ref="D228:E228"/>
    <mergeCell ref="F228:G228"/>
    <mergeCell ref="H228:I228"/>
    <mergeCell ref="P228:Q228"/>
    <mergeCell ref="R228:S228"/>
    <mergeCell ref="T228:U228"/>
    <mergeCell ref="V228:W228"/>
    <mergeCell ref="X228:AA228"/>
    <mergeCell ref="AB228:AE228"/>
    <mergeCell ref="AJ228:AK228"/>
    <mergeCell ref="AL228:AM228"/>
    <mergeCell ref="AN228:AO228"/>
    <mergeCell ref="AP228:AQ228"/>
    <mergeCell ref="AV228:AW228"/>
    <mergeCell ref="AV229:AW229"/>
    <mergeCell ref="AX230:AZ230"/>
    <mergeCell ref="BA230:BB230"/>
    <mergeCell ref="BD230:BE230"/>
    <mergeCell ref="BF230:BI230"/>
    <mergeCell ref="BJ230:BM230"/>
    <mergeCell ref="BN230:BV230"/>
    <mergeCell ref="B231:C231"/>
    <mergeCell ref="D231:E231"/>
    <mergeCell ref="F231:G231"/>
    <mergeCell ref="H231:I231"/>
    <mergeCell ref="L231:M231"/>
    <mergeCell ref="P231:Q231"/>
    <mergeCell ref="R231:S231"/>
    <mergeCell ref="T231:U231"/>
    <mergeCell ref="V231:W231"/>
    <mergeCell ref="X231:AA231"/>
    <mergeCell ref="AB231:AE231"/>
    <mergeCell ref="AJ231:AK231"/>
    <mergeCell ref="AL231:AM231"/>
    <mergeCell ref="AN231:AO231"/>
    <mergeCell ref="AP231:AQ231"/>
    <mergeCell ref="AR231:AS231"/>
    <mergeCell ref="AT231:AU231"/>
    <mergeCell ref="AX231:AZ231"/>
    <mergeCell ref="AT229:AU229"/>
    <mergeCell ref="AX229:AZ229"/>
    <mergeCell ref="BA229:BB229"/>
    <mergeCell ref="BD229:BE229"/>
    <mergeCell ref="BF229:BI229"/>
    <mergeCell ref="BJ229:BM229"/>
    <mergeCell ref="BN229:BV229"/>
    <mergeCell ref="B230:C230"/>
    <mergeCell ref="D230:E230"/>
    <mergeCell ref="F230:G230"/>
    <mergeCell ref="H230:I230"/>
    <mergeCell ref="P230:Q230"/>
    <mergeCell ref="R230:S230"/>
    <mergeCell ref="T230:U230"/>
    <mergeCell ref="V230:W230"/>
    <mergeCell ref="X230:AA230"/>
    <mergeCell ref="AB230:AE230"/>
    <mergeCell ref="AJ230:AK230"/>
    <mergeCell ref="AL230:AM230"/>
    <mergeCell ref="AN230:AO230"/>
    <mergeCell ref="AP230:AQ230"/>
    <mergeCell ref="AR230:AS230"/>
    <mergeCell ref="AT230:AU230"/>
    <mergeCell ref="AV230:AW230"/>
    <mergeCell ref="AV231:AW231"/>
    <mergeCell ref="BD232:BE232"/>
    <mergeCell ref="BF232:BI232"/>
    <mergeCell ref="BJ232:BM232"/>
    <mergeCell ref="BN232:BV232"/>
    <mergeCell ref="B233:C233"/>
    <mergeCell ref="D233:E233"/>
    <mergeCell ref="F233:G233"/>
    <mergeCell ref="H233:I233"/>
    <mergeCell ref="L233:M233"/>
    <mergeCell ref="P233:Q233"/>
    <mergeCell ref="R233:S233"/>
    <mergeCell ref="T233:U233"/>
    <mergeCell ref="V233:W233"/>
    <mergeCell ref="X233:AA233"/>
    <mergeCell ref="AB233:AE233"/>
    <mergeCell ref="AJ233:AK233"/>
    <mergeCell ref="AL233:AM233"/>
    <mergeCell ref="AN233:AO233"/>
    <mergeCell ref="AP233:AQ233"/>
    <mergeCell ref="AR233:AS233"/>
    <mergeCell ref="AT233:AU233"/>
    <mergeCell ref="AX233:AZ233"/>
    <mergeCell ref="BA233:BB233"/>
    <mergeCell ref="BD233:BE233"/>
    <mergeCell ref="BA231:BB231"/>
    <mergeCell ref="BD231:BE231"/>
    <mergeCell ref="BF231:BI231"/>
    <mergeCell ref="BJ231:BM231"/>
    <mergeCell ref="BN231:BV231"/>
    <mergeCell ref="B232:C232"/>
    <mergeCell ref="D232:E232"/>
    <mergeCell ref="F232:G232"/>
    <mergeCell ref="H232:I232"/>
    <mergeCell ref="P232:Q232"/>
    <mergeCell ref="R232:S232"/>
    <mergeCell ref="T232:U232"/>
    <mergeCell ref="V232:W232"/>
    <mergeCell ref="X232:AA232"/>
    <mergeCell ref="AB232:AE232"/>
    <mergeCell ref="AJ232:AK232"/>
    <mergeCell ref="AL232:AM232"/>
    <mergeCell ref="AN232:AO232"/>
    <mergeCell ref="AP232:AQ232"/>
    <mergeCell ref="AR232:AS232"/>
    <mergeCell ref="AT232:AU232"/>
    <mergeCell ref="AX232:AZ232"/>
    <mergeCell ref="BA232:BB232"/>
    <mergeCell ref="AV232:AW232"/>
    <mergeCell ref="AV233:AW233"/>
    <mergeCell ref="BJ234:BM234"/>
    <mergeCell ref="BN234:BV234"/>
    <mergeCell ref="B235:C235"/>
    <mergeCell ref="D235:E235"/>
    <mergeCell ref="F235:G235"/>
    <mergeCell ref="H235:I235"/>
    <mergeCell ref="L235:M235"/>
    <mergeCell ref="P235:Q235"/>
    <mergeCell ref="R235:S235"/>
    <mergeCell ref="T235:U235"/>
    <mergeCell ref="V235:W235"/>
    <mergeCell ref="X235:AA235"/>
    <mergeCell ref="AB235:AE235"/>
    <mergeCell ref="AJ235:AK235"/>
    <mergeCell ref="AL235:AM235"/>
    <mergeCell ref="AN235:AO235"/>
    <mergeCell ref="AP235:AQ235"/>
    <mergeCell ref="AR235:AS235"/>
    <mergeCell ref="AT235:AU235"/>
    <mergeCell ref="AX235:AZ235"/>
    <mergeCell ref="BA235:BB235"/>
    <mergeCell ref="BD235:BE235"/>
    <mergeCell ref="BF235:BI235"/>
    <mergeCell ref="BJ235:BM235"/>
    <mergeCell ref="BF233:BI233"/>
    <mergeCell ref="BJ233:BM233"/>
    <mergeCell ref="BN233:BV233"/>
    <mergeCell ref="B234:C234"/>
    <mergeCell ref="D234:E234"/>
    <mergeCell ref="F234:G234"/>
    <mergeCell ref="H234:I234"/>
    <mergeCell ref="P234:Q234"/>
    <mergeCell ref="R234:S234"/>
    <mergeCell ref="T234:U234"/>
    <mergeCell ref="V234:W234"/>
    <mergeCell ref="X234:AA234"/>
    <mergeCell ref="AB234:AE234"/>
    <mergeCell ref="AJ234:AK234"/>
    <mergeCell ref="AL234:AM234"/>
    <mergeCell ref="AN234:AO234"/>
    <mergeCell ref="AP234:AQ234"/>
    <mergeCell ref="AR234:AS234"/>
    <mergeCell ref="AT234:AU234"/>
    <mergeCell ref="AX234:AZ234"/>
    <mergeCell ref="BA234:BB234"/>
    <mergeCell ref="BD234:BE234"/>
    <mergeCell ref="BF234:BI234"/>
    <mergeCell ref="AV234:AW234"/>
    <mergeCell ref="AV235:AW235"/>
    <mergeCell ref="BN236:BV236"/>
    <mergeCell ref="B237:C237"/>
    <mergeCell ref="D237:E237"/>
    <mergeCell ref="F237:G237"/>
    <mergeCell ref="H237:I237"/>
    <mergeCell ref="L237:M237"/>
    <mergeCell ref="P237:Q237"/>
    <mergeCell ref="R237:S237"/>
    <mergeCell ref="T237:U237"/>
    <mergeCell ref="V237:W237"/>
    <mergeCell ref="X237:AA237"/>
    <mergeCell ref="AB237:AE237"/>
    <mergeCell ref="AJ237:AK237"/>
    <mergeCell ref="AL237:AM237"/>
    <mergeCell ref="AN237:AO237"/>
    <mergeCell ref="AP237:AQ237"/>
    <mergeCell ref="AR237:AS237"/>
    <mergeCell ref="AT237:AU237"/>
    <mergeCell ref="AX237:AZ237"/>
    <mergeCell ref="BA237:BB237"/>
    <mergeCell ref="BD237:BE237"/>
    <mergeCell ref="BF237:BI237"/>
    <mergeCell ref="BJ237:BM237"/>
    <mergeCell ref="BN235:BV235"/>
    <mergeCell ref="B236:C236"/>
    <mergeCell ref="D236:E236"/>
    <mergeCell ref="F236:G236"/>
    <mergeCell ref="H236:I236"/>
    <mergeCell ref="P236:Q236"/>
    <mergeCell ref="R236:S236"/>
    <mergeCell ref="T236:U236"/>
    <mergeCell ref="V236:W236"/>
    <mergeCell ref="X236:AA236"/>
    <mergeCell ref="AB236:AE236"/>
    <mergeCell ref="AJ236:AK236"/>
    <mergeCell ref="AL236:AM236"/>
    <mergeCell ref="AN236:AO236"/>
    <mergeCell ref="AP236:AQ236"/>
    <mergeCell ref="AR236:AS236"/>
    <mergeCell ref="AT236:AU236"/>
    <mergeCell ref="AX236:AZ236"/>
    <mergeCell ref="BA236:BB236"/>
    <mergeCell ref="BD236:BE236"/>
    <mergeCell ref="BF236:BI236"/>
    <mergeCell ref="BJ236:BM236"/>
    <mergeCell ref="AV236:AW236"/>
    <mergeCell ref="AV237:AW237"/>
    <mergeCell ref="AF237:AG237"/>
    <mergeCell ref="J235:K235"/>
    <mergeCell ref="BN238:BV238"/>
    <mergeCell ref="B239:C239"/>
    <mergeCell ref="D239:E239"/>
    <mergeCell ref="F239:G239"/>
    <mergeCell ref="H239:I239"/>
    <mergeCell ref="L239:M239"/>
    <mergeCell ref="P239:Q239"/>
    <mergeCell ref="R239:S239"/>
    <mergeCell ref="T239:U239"/>
    <mergeCell ref="V239:W239"/>
    <mergeCell ref="X239:AA239"/>
    <mergeCell ref="AB239:AE239"/>
    <mergeCell ref="AJ239:AK239"/>
    <mergeCell ref="AL239:AM239"/>
    <mergeCell ref="AN239:AO239"/>
    <mergeCell ref="AP239:AQ239"/>
    <mergeCell ref="AR239:AS239"/>
    <mergeCell ref="AT239:AU239"/>
    <mergeCell ref="AX239:AZ239"/>
    <mergeCell ref="BA239:BB239"/>
    <mergeCell ref="BD239:BE239"/>
    <mergeCell ref="BF239:BI239"/>
    <mergeCell ref="BJ239:BM239"/>
    <mergeCell ref="BN239:BV239"/>
    <mergeCell ref="BN237:BV237"/>
    <mergeCell ref="B238:C238"/>
    <mergeCell ref="D238:E238"/>
    <mergeCell ref="F238:G238"/>
    <mergeCell ref="H238:I238"/>
    <mergeCell ref="P238:Q238"/>
    <mergeCell ref="R238:S238"/>
    <mergeCell ref="T238:U238"/>
    <mergeCell ref="V238:W238"/>
    <mergeCell ref="X238:AA238"/>
    <mergeCell ref="AB238:AE238"/>
    <mergeCell ref="AJ238:AK238"/>
    <mergeCell ref="AL238:AM238"/>
    <mergeCell ref="AN238:AO238"/>
    <mergeCell ref="AP238:AQ238"/>
    <mergeCell ref="AR238:AS238"/>
    <mergeCell ref="AT238:AU238"/>
    <mergeCell ref="AX238:AZ238"/>
    <mergeCell ref="BA238:BB238"/>
    <mergeCell ref="BD238:BE238"/>
    <mergeCell ref="BF238:BI238"/>
    <mergeCell ref="BJ238:BM238"/>
    <mergeCell ref="AV238:AW238"/>
    <mergeCell ref="AV239:AW239"/>
    <mergeCell ref="AH237:AI237"/>
    <mergeCell ref="AH238:AI238"/>
    <mergeCell ref="AH239:AI239"/>
    <mergeCell ref="AF238:AG238"/>
    <mergeCell ref="AF239:AG239"/>
    <mergeCell ref="J237:K237"/>
    <mergeCell ref="J239:K239"/>
    <mergeCell ref="AN241:AO241"/>
    <mergeCell ref="AP241:AQ241"/>
    <mergeCell ref="AR241:AS241"/>
    <mergeCell ref="AT241:AU241"/>
    <mergeCell ref="AX241:AZ241"/>
    <mergeCell ref="BA241:BB241"/>
    <mergeCell ref="BD241:BE241"/>
    <mergeCell ref="BF241:BI241"/>
    <mergeCell ref="BJ241:BM241"/>
    <mergeCell ref="BN241:BV241"/>
    <mergeCell ref="B242:C242"/>
    <mergeCell ref="D242:E242"/>
    <mergeCell ref="F242:G242"/>
    <mergeCell ref="H242:I242"/>
    <mergeCell ref="P242:Q242"/>
    <mergeCell ref="R242:S242"/>
    <mergeCell ref="T242:U242"/>
    <mergeCell ref="V242:W242"/>
    <mergeCell ref="X242:AA242"/>
    <mergeCell ref="AB242:AE242"/>
    <mergeCell ref="AJ242:AK242"/>
    <mergeCell ref="AL242:AM242"/>
    <mergeCell ref="AN242:AO242"/>
    <mergeCell ref="AL240:AM240"/>
    <mergeCell ref="AN240:AO240"/>
    <mergeCell ref="AP240:AQ240"/>
    <mergeCell ref="AR240:AS240"/>
    <mergeCell ref="AT240:AU240"/>
    <mergeCell ref="AX240:AZ240"/>
    <mergeCell ref="BA240:BB240"/>
    <mergeCell ref="BD240:BE240"/>
    <mergeCell ref="BF240:BI240"/>
    <mergeCell ref="BJ240:BM240"/>
    <mergeCell ref="BN240:BV240"/>
    <mergeCell ref="B241:C241"/>
    <mergeCell ref="D241:E241"/>
    <mergeCell ref="F241:G241"/>
    <mergeCell ref="H241:I241"/>
    <mergeCell ref="L241:M241"/>
    <mergeCell ref="P241:Q241"/>
    <mergeCell ref="R241:S241"/>
    <mergeCell ref="T241:U241"/>
    <mergeCell ref="V241:W241"/>
    <mergeCell ref="X241:AA241"/>
    <mergeCell ref="AB241:AE241"/>
    <mergeCell ref="AJ241:AK241"/>
    <mergeCell ref="AL241:AM241"/>
    <mergeCell ref="B240:C240"/>
    <mergeCell ref="D240:E240"/>
    <mergeCell ref="F240:G240"/>
    <mergeCell ref="H240:I240"/>
    <mergeCell ref="P240:Q240"/>
    <mergeCell ref="R240:S240"/>
    <mergeCell ref="T240:U240"/>
    <mergeCell ref="V240:W240"/>
    <mergeCell ref="X240:AA240"/>
    <mergeCell ref="AB240:AE240"/>
    <mergeCell ref="AJ240:AK240"/>
    <mergeCell ref="AV241:AW241"/>
    <mergeCell ref="AV242:AW242"/>
    <mergeCell ref="AH240:AI240"/>
    <mergeCell ref="AH241:AI241"/>
    <mergeCell ref="AF240:AG240"/>
    <mergeCell ref="AF241:AG241"/>
    <mergeCell ref="AR243:AS243"/>
    <mergeCell ref="AT243:AU243"/>
    <mergeCell ref="AX243:AZ243"/>
    <mergeCell ref="BA243:BB243"/>
    <mergeCell ref="BD243:BE243"/>
    <mergeCell ref="BF243:BI243"/>
    <mergeCell ref="BJ243:BM243"/>
    <mergeCell ref="BN243:BV243"/>
    <mergeCell ref="B244:C244"/>
    <mergeCell ref="D244:E244"/>
    <mergeCell ref="F244:G244"/>
    <mergeCell ref="H244:I244"/>
    <mergeCell ref="P244:Q244"/>
    <mergeCell ref="R244:S244"/>
    <mergeCell ref="T244:U244"/>
    <mergeCell ref="V244:W244"/>
    <mergeCell ref="X244:AA244"/>
    <mergeCell ref="AB244:AE244"/>
    <mergeCell ref="AJ244:AK244"/>
    <mergeCell ref="AL244:AM244"/>
    <mergeCell ref="AN244:AO244"/>
    <mergeCell ref="AP244:AQ244"/>
    <mergeCell ref="AR244:AS244"/>
    <mergeCell ref="AP242:AQ242"/>
    <mergeCell ref="AR242:AS242"/>
    <mergeCell ref="AT242:AU242"/>
    <mergeCell ref="AX242:AZ242"/>
    <mergeCell ref="BA242:BB242"/>
    <mergeCell ref="BD242:BE242"/>
    <mergeCell ref="BF242:BI242"/>
    <mergeCell ref="BJ242:BM242"/>
    <mergeCell ref="BN242:BV242"/>
    <mergeCell ref="B243:C243"/>
    <mergeCell ref="D243:E243"/>
    <mergeCell ref="F243:G243"/>
    <mergeCell ref="H243:I243"/>
    <mergeCell ref="L243:M243"/>
    <mergeCell ref="P243:Q243"/>
    <mergeCell ref="R243:S243"/>
    <mergeCell ref="T243:U243"/>
    <mergeCell ref="V243:W243"/>
    <mergeCell ref="X243:AA243"/>
    <mergeCell ref="AB243:AE243"/>
    <mergeCell ref="AJ243:AK243"/>
    <mergeCell ref="AL243:AM243"/>
    <mergeCell ref="AN243:AO243"/>
    <mergeCell ref="AP243:AQ243"/>
    <mergeCell ref="AV243:AW243"/>
    <mergeCell ref="AV244:AW244"/>
    <mergeCell ref="AH242:AI242"/>
    <mergeCell ref="AH243:AI243"/>
    <mergeCell ref="AF242:AG242"/>
    <mergeCell ref="AF243:AG243"/>
    <mergeCell ref="AF244:AG244"/>
    <mergeCell ref="AX245:AZ245"/>
    <mergeCell ref="BA245:BB245"/>
    <mergeCell ref="BD245:BE245"/>
    <mergeCell ref="BF245:BI245"/>
    <mergeCell ref="BJ245:BM245"/>
    <mergeCell ref="BN245:BV245"/>
    <mergeCell ref="B246:C246"/>
    <mergeCell ref="D246:E246"/>
    <mergeCell ref="F246:G246"/>
    <mergeCell ref="H246:I246"/>
    <mergeCell ref="P246:Q246"/>
    <mergeCell ref="R246:S246"/>
    <mergeCell ref="T246:U246"/>
    <mergeCell ref="V246:W246"/>
    <mergeCell ref="X246:AA246"/>
    <mergeCell ref="AB246:AE246"/>
    <mergeCell ref="AJ246:AK246"/>
    <mergeCell ref="AL246:AM246"/>
    <mergeCell ref="AN246:AO246"/>
    <mergeCell ref="AP246:AQ246"/>
    <mergeCell ref="AR246:AS246"/>
    <mergeCell ref="AT246:AU246"/>
    <mergeCell ref="AX246:AZ246"/>
    <mergeCell ref="AT244:AU244"/>
    <mergeCell ref="AX244:AZ244"/>
    <mergeCell ref="BA244:BB244"/>
    <mergeCell ref="BD244:BE244"/>
    <mergeCell ref="BF244:BI244"/>
    <mergeCell ref="BJ244:BM244"/>
    <mergeCell ref="BN244:BV244"/>
    <mergeCell ref="B245:C245"/>
    <mergeCell ref="D245:E245"/>
    <mergeCell ref="F245:G245"/>
    <mergeCell ref="H245:I245"/>
    <mergeCell ref="L245:M245"/>
    <mergeCell ref="P245:Q245"/>
    <mergeCell ref="R245:S245"/>
    <mergeCell ref="T245:U245"/>
    <mergeCell ref="V245:W245"/>
    <mergeCell ref="X245:AA245"/>
    <mergeCell ref="AB245:AE245"/>
    <mergeCell ref="AJ245:AK245"/>
    <mergeCell ref="AL245:AM245"/>
    <mergeCell ref="AN245:AO245"/>
    <mergeCell ref="AP245:AQ245"/>
    <mergeCell ref="AR245:AS245"/>
    <mergeCell ref="AT245:AU245"/>
    <mergeCell ref="AV245:AW245"/>
    <mergeCell ref="AV246:AW246"/>
    <mergeCell ref="AH244:AI244"/>
    <mergeCell ref="AH245:AI245"/>
    <mergeCell ref="AF245:AG245"/>
    <mergeCell ref="AF246:AG246"/>
    <mergeCell ref="BD247:BE247"/>
    <mergeCell ref="BF247:BI247"/>
    <mergeCell ref="BJ247:BM247"/>
    <mergeCell ref="BN247:BV247"/>
    <mergeCell ref="B248:C248"/>
    <mergeCell ref="D248:E248"/>
    <mergeCell ref="F248:G248"/>
    <mergeCell ref="H248:I248"/>
    <mergeCell ref="P248:Q248"/>
    <mergeCell ref="R248:S248"/>
    <mergeCell ref="T248:U248"/>
    <mergeCell ref="V248:W248"/>
    <mergeCell ref="X248:AA248"/>
    <mergeCell ref="AB248:AE248"/>
    <mergeCell ref="AJ248:AK248"/>
    <mergeCell ref="AL248:AM248"/>
    <mergeCell ref="AN248:AO248"/>
    <mergeCell ref="AP248:AQ248"/>
    <mergeCell ref="AR248:AS248"/>
    <mergeCell ref="AT248:AU248"/>
    <mergeCell ref="AX248:AZ248"/>
    <mergeCell ref="BA248:BB248"/>
    <mergeCell ref="BD248:BE248"/>
    <mergeCell ref="BA246:BB246"/>
    <mergeCell ref="BD246:BE246"/>
    <mergeCell ref="BF246:BI246"/>
    <mergeCell ref="BJ246:BM246"/>
    <mergeCell ref="BN246:BV246"/>
    <mergeCell ref="B247:C247"/>
    <mergeCell ref="D247:E247"/>
    <mergeCell ref="F247:G247"/>
    <mergeCell ref="H247:I247"/>
    <mergeCell ref="L247:M247"/>
    <mergeCell ref="P247:Q247"/>
    <mergeCell ref="R247:S247"/>
    <mergeCell ref="T247:U247"/>
    <mergeCell ref="V247:W247"/>
    <mergeCell ref="X247:AA247"/>
    <mergeCell ref="AB247:AE247"/>
    <mergeCell ref="AJ247:AK247"/>
    <mergeCell ref="AL247:AM247"/>
    <mergeCell ref="AN247:AO247"/>
    <mergeCell ref="AP247:AQ247"/>
    <mergeCell ref="AR247:AS247"/>
    <mergeCell ref="AT247:AU247"/>
    <mergeCell ref="AX247:AZ247"/>
    <mergeCell ref="BA247:BB247"/>
    <mergeCell ref="AV247:AW247"/>
    <mergeCell ref="AV248:AW248"/>
    <mergeCell ref="AH246:AI246"/>
    <mergeCell ref="AH247:AI247"/>
    <mergeCell ref="AF247:AG247"/>
    <mergeCell ref="AF248:AG248"/>
    <mergeCell ref="BJ249:BM249"/>
    <mergeCell ref="BN249:BV249"/>
    <mergeCell ref="B250:C250"/>
    <mergeCell ref="D250:E250"/>
    <mergeCell ref="F250:G250"/>
    <mergeCell ref="H250:I250"/>
    <mergeCell ref="P250:Q250"/>
    <mergeCell ref="R250:S250"/>
    <mergeCell ref="T250:U250"/>
    <mergeCell ref="V250:W250"/>
    <mergeCell ref="X250:AA250"/>
    <mergeCell ref="AB250:AE250"/>
    <mergeCell ref="AJ250:AK250"/>
    <mergeCell ref="AL250:AM250"/>
    <mergeCell ref="AN250:AO250"/>
    <mergeCell ref="AP250:AQ250"/>
    <mergeCell ref="AR250:AS250"/>
    <mergeCell ref="AT250:AU250"/>
    <mergeCell ref="AX250:AZ250"/>
    <mergeCell ref="BA250:BB250"/>
    <mergeCell ref="BD250:BE250"/>
    <mergeCell ref="BF250:BI250"/>
    <mergeCell ref="BJ250:BM250"/>
    <mergeCell ref="BF248:BI248"/>
    <mergeCell ref="BJ248:BM248"/>
    <mergeCell ref="BN248:BV248"/>
    <mergeCell ref="B249:C249"/>
    <mergeCell ref="D249:E249"/>
    <mergeCell ref="F249:G249"/>
    <mergeCell ref="H249:I249"/>
    <mergeCell ref="L249:M249"/>
    <mergeCell ref="P249:Q249"/>
    <mergeCell ref="R249:S249"/>
    <mergeCell ref="T249:U249"/>
    <mergeCell ref="V249:W249"/>
    <mergeCell ref="X249:AA249"/>
    <mergeCell ref="AB249:AE249"/>
    <mergeCell ref="AJ249:AK249"/>
    <mergeCell ref="AL249:AM249"/>
    <mergeCell ref="AN249:AO249"/>
    <mergeCell ref="AP249:AQ249"/>
    <mergeCell ref="AR249:AS249"/>
    <mergeCell ref="AT249:AU249"/>
    <mergeCell ref="AX249:AZ249"/>
    <mergeCell ref="BA249:BB249"/>
    <mergeCell ref="BD249:BE249"/>
    <mergeCell ref="BF249:BI249"/>
    <mergeCell ref="AV249:AW249"/>
    <mergeCell ref="AV250:AW250"/>
    <mergeCell ref="AH248:AI248"/>
    <mergeCell ref="AH249:AI249"/>
    <mergeCell ref="AF249:AG249"/>
    <mergeCell ref="AF250:AG250"/>
    <mergeCell ref="BN251:BV251"/>
    <mergeCell ref="B252:C252"/>
    <mergeCell ref="D252:E252"/>
    <mergeCell ref="F252:G252"/>
    <mergeCell ref="H252:I252"/>
    <mergeCell ref="P252:Q252"/>
    <mergeCell ref="R252:S252"/>
    <mergeCell ref="T252:U252"/>
    <mergeCell ref="V252:W252"/>
    <mergeCell ref="X252:AA252"/>
    <mergeCell ref="AB252:AE252"/>
    <mergeCell ref="AJ252:AK252"/>
    <mergeCell ref="AL252:AM252"/>
    <mergeCell ref="AN252:AO252"/>
    <mergeCell ref="AP252:AQ252"/>
    <mergeCell ref="AR252:AS252"/>
    <mergeCell ref="AT252:AU252"/>
    <mergeCell ref="AX252:AZ252"/>
    <mergeCell ref="BA252:BB252"/>
    <mergeCell ref="BD252:BE252"/>
    <mergeCell ref="BF252:BI252"/>
    <mergeCell ref="BJ252:BM252"/>
    <mergeCell ref="BN250:BV250"/>
    <mergeCell ref="B251:C251"/>
    <mergeCell ref="D251:E251"/>
    <mergeCell ref="F251:G251"/>
    <mergeCell ref="H251:I251"/>
    <mergeCell ref="L251:M251"/>
    <mergeCell ref="P251:Q251"/>
    <mergeCell ref="R251:S251"/>
    <mergeCell ref="T251:U251"/>
    <mergeCell ref="V251:W251"/>
    <mergeCell ref="X251:AA251"/>
    <mergeCell ref="AB251:AE251"/>
    <mergeCell ref="AJ251:AK251"/>
    <mergeCell ref="AL251:AM251"/>
    <mergeCell ref="AN251:AO251"/>
    <mergeCell ref="AP251:AQ251"/>
    <mergeCell ref="AR251:AS251"/>
    <mergeCell ref="AT251:AU251"/>
    <mergeCell ref="AX251:AZ251"/>
    <mergeCell ref="BA251:BB251"/>
    <mergeCell ref="BD251:BE251"/>
    <mergeCell ref="BF251:BI251"/>
    <mergeCell ref="BJ251:BM251"/>
    <mergeCell ref="AV251:AW251"/>
    <mergeCell ref="AV252:AW252"/>
    <mergeCell ref="AH250:AI250"/>
    <mergeCell ref="AH251:AI251"/>
    <mergeCell ref="AF251:AG251"/>
    <mergeCell ref="AF252:AG252"/>
    <mergeCell ref="BN253:BV253"/>
    <mergeCell ref="B254:C254"/>
    <mergeCell ref="D254:E254"/>
    <mergeCell ref="F254:G254"/>
    <mergeCell ref="H254:I254"/>
    <mergeCell ref="P254:Q254"/>
    <mergeCell ref="R254:S254"/>
    <mergeCell ref="T254:U254"/>
    <mergeCell ref="V254:W254"/>
    <mergeCell ref="X254:AA254"/>
    <mergeCell ref="AB254:AE254"/>
    <mergeCell ref="AJ254:AK254"/>
    <mergeCell ref="AL254:AM254"/>
    <mergeCell ref="AN254:AO254"/>
    <mergeCell ref="AP254:AQ254"/>
    <mergeCell ref="AR254:AS254"/>
    <mergeCell ref="AT254:AU254"/>
    <mergeCell ref="AX254:AZ254"/>
    <mergeCell ref="BA254:BB254"/>
    <mergeCell ref="BD254:BE254"/>
    <mergeCell ref="BF254:BI254"/>
    <mergeCell ref="BJ254:BM254"/>
    <mergeCell ref="BN254:BV254"/>
    <mergeCell ref="BN252:BV252"/>
    <mergeCell ref="B253:C253"/>
    <mergeCell ref="D253:E253"/>
    <mergeCell ref="F253:G253"/>
    <mergeCell ref="H253:I253"/>
    <mergeCell ref="L253:M253"/>
    <mergeCell ref="P253:Q253"/>
    <mergeCell ref="R253:S253"/>
    <mergeCell ref="T253:U253"/>
    <mergeCell ref="V253:W253"/>
    <mergeCell ref="X253:AA253"/>
    <mergeCell ref="AB253:AE253"/>
    <mergeCell ref="AJ253:AK253"/>
    <mergeCell ref="AL253:AM253"/>
    <mergeCell ref="AN253:AO253"/>
    <mergeCell ref="AP253:AQ253"/>
    <mergeCell ref="AR253:AS253"/>
    <mergeCell ref="AT253:AU253"/>
    <mergeCell ref="AX253:AZ253"/>
    <mergeCell ref="BA253:BB253"/>
    <mergeCell ref="BD253:BE253"/>
    <mergeCell ref="BF253:BI253"/>
    <mergeCell ref="BJ253:BM253"/>
    <mergeCell ref="AV253:AW253"/>
    <mergeCell ref="AV254:AW254"/>
    <mergeCell ref="AH252:AI252"/>
    <mergeCell ref="AH253:AI253"/>
    <mergeCell ref="AH254:AI254"/>
    <mergeCell ref="AF253:AG253"/>
    <mergeCell ref="AF254:AG254"/>
    <mergeCell ref="AN256:AO256"/>
    <mergeCell ref="AP256:AQ256"/>
    <mergeCell ref="AR256:AS256"/>
    <mergeCell ref="AT256:AU256"/>
    <mergeCell ref="AX256:AZ256"/>
    <mergeCell ref="BA256:BB256"/>
    <mergeCell ref="BD256:BE256"/>
    <mergeCell ref="BF256:BI256"/>
    <mergeCell ref="BJ256:BM256"/>
    <mergeCell ref="BN256:BV256"/>
    <mergeCell ref="B257:C257"/>
    <mergeCell ref="D257:E257"/>
    <mergeCell ref="F257:G257"/>
    <mergeCell ref="H257:I257"/>
    <mergeCell ref="L257:M257"/>
    <mergeCell ref="P257:Q257"/>
    <mergeCell ref="R257:S257"/>
    <mergeCell ref="T257:U257"/>
    <mergeCell ref="V257:W257"/>
    <mergeCell ref="X257:AA257"/>
    <mergeCell ref="AB257:AE257"/>
    <mergeCell ref="AJ257:AK257"/>
    <mergeCell ref="AL257:AM257"/>
    <mergeCell ref="AN257:AO257"/>
    <mergeCell ref="AL255:AM255"/>
    <mergeCell ref="AN255:AO255"/>
    <mergeCell ref="AP255:AQ255"/>
    <mergeCell ref="AR255:AS255"/>
    <mergeCell ref="AT255:AU255"/>
    <mergeCell ref="AX255:AZ255"/>
    <mergeCell ref="BA255:BB255"/>
    <mergeCell ref="BD255:BE255"/>
    <mergeCell ref="BF255:BI255"/>
    <mergeCell ref="BJ255:BM255"/>
    <mergeCell ref="BN255:BV255"/>
    <mergeCell ref="B256:C256"/>
    <mergeCell ref="D256:E256"/>
    <mergeCell ref="F256:G256"/>
    <mergeCell ref="H256:I256"/>
    <mergeCell ref="P256:Q256"/>
    <mergeCell ref="R256:S256"/>
    <mergeCell ref="T256:U256"/>
    <mergeCell ref="V256:W256"/>
    <mergeCell ref="X256:AA256"/>
    <mergeCell ref="AB256:AE256"/>
    <mergeCell ref="AJ256:AK256"/>
    <mergeCell ref="AL256:AM256"/>
    <mergeCell ref="B255:C255"/>
    <mergeCell ref="D255:E255"/>
    <mergeCell ref="F255:G255"/>
    <mergeCell ref="H255:I255"/>
    <mergeCell ref="L255:M255"/>
    <mergeCell ref="P255:Q255"/>
    <mergeCell ref="R255:S255"/>
    <mergeCell ref="T255:U255"/>
    <mergeCell ref="V255:W255"/>
    <mergeCell ref="X255:AA255"/>
    <mergeCell ref="AB255:AE255"/>
    <mergeCell ref="AJ255:AK255"/>
    <mergeCell ref="AV255:AW255"/>
    <mergeCell ref="AV256:AW256"/>
    <mergeCell ref="AV257:AW257"/>
    <mergeCell ref="AH255:AI255"/>
    <mergeCell ref="AF255:AG255"/>
    <mergeCell ref="AR258:AS258"/>
    <mergeCell ref="AT258:AU258"/>
    <mergeCell ref="AX258:AZ258"/>
    <mergeCell ref="BA258:BB258"/>
    <mergeCell ref="BD258:BE258"/>
    <mergeCell ref="BF258:BI258"/>
    <mergeCell ref="BJ258:BM258"/>
    <mergeCell ref="BN258:BV258"/>
    <mergeCell ref="B259:C259"/>
    <mergeCell ref="D259:E259"/>
    <mergeCell ref="F259:G259"/>
    <mergeCell ref="H259:I259"/>
    <mergeCell ref="L259:M259"/>
    <mergeCell ref="P259:Q259"/>
    <mergeCell ref="R259:S259"/>
    <mergeCell ref="T259:U259"/>
    <mergeCell ref="V259:W259"/>
    <mergeCell ref="X259:AA259"/>
    <mergeCell ref="AB259:AE259"/>
    <mergeCell ref="AJ259:AK259"/>
    <mergeCell ref="AL259:AM259"/>
    <mergeCell ref="AN259:AO259"/>
    <mergeCell ref="AP259:AQ259"/>
    <mergeCell ref="AR259:AS259"/>
    <mergeCell ref="AP257:AQ257"/>
    <mergeCell ref="AR257:AS257"/>
    <mergeCell ref="AT257:AU257"/>
    <mergeCell ref="AX257:AZ257"/>
    <mergeCell ref="BA257:BB257"/>
    <mergeCell ref="BD257:BE257"/>
    <mergeCell ref="BF257:BI257"/>
    <mergeCell ref="BJ257:BM257"/>
    <mergeCell ref="BN257:BV257"/>
    <mergeCell ref="B258:C258"/>
    <mergeCell ref="D258:E258"/>
    <mergeCell ref="F258:G258"/>
    <mergeCell ref="H258:I258"/>
    <mergeCell ref="P258:Q258"/>
    <mergeCell ref="R258:S258"/>
    <mergeCell ref="T258:U258"/>
    <mergeCell ref="V258:W258"/>
    <mergeCell ref="X258:AA258"/>
    <mergeCell ref="AB258:AE258"/>
    <mergeCell ref="AJ258:AK258"/>
    <mergeCell ref="AL258:AM258"/>
    <mergeCell ref="AN258:AO258"/>
    <mergeCell ref="AP258:AQ258"/>
    <mergeCell ref="AV258:AW258"/>
    <mergeCell ref="AV259:AW259"/>
    <mergeCell ref="AF259:AG259"/>
    <mergeCell ref="AX260:AZ260"/>
    <mergeCell ref="BA260:BB260"/>
    <mergeCell ref="BD260:BE260"/>
    <mergeCell ref="BF260:BI260"/>
    <mergeCell ref="BJ260:BM260"/>
    <mergeCell ref="BN260:BV260"/>
    <mergeCell ref="B261:C261"/>
    <mergeCell ref="D261:E261"/>
    <mergeCell ref="F261:G261"/>
    <mergeCell ref="H261:I261"/>
    <mergeCell ref="L261:M261"/>
    <mergeCell ref="P261:Q261"/>
    <mergeCell ref="R261:S261"/>
    <mergeCell ref="T261:U261"/>
    <mergeCell ref="V261:W261"/>
    <mergeCell ref="X261:AA261"/>
    <mergeCell ref="AB261:AE261"/>
    <mergeCell ref="AJ261:AK261"/>
    <mergeCell ref="AL261:AM261"/>
    <mergeCell ref="AN261:AO261"/>
    <mergeCell ref="AP261:AQ261"/>
    <mergeCell ref="AR261:AS261"/>
    <mergeCell ref="AT261:AU261"/>
    <mergeCell ref="AX261:AZ261"/>
    <mergeCell ref="AT259:AU259"/>
    <mergeCell ref="AX259:AZ259"/>
    <mergeCell ref="BA259:BB259"/>
    <mergeCell ref="BD259:BE259"/>
    <mergeCell ref="BF259:BI259"/>
    <mergeCell ref="BJ259:BM259"/>
    <mergeCell ref="BN259:BV259"/>
    <mergeCell ref="B260:C260"/>
    <mergeCell ref="D260:E260"/>
    <mergeCell ref="F260:G260"/>
    <mergeCell ref="H260:I260"/>
    <mergeCell ref="P260:Q260"/>
    <mergeCell ref="R260:S260"/>
    <mergeCell ref="T260:U260"/>
    <mergeCell ref="V260:W260"/>
    <mergeCell ref="X260:AA260"/>
    <mergeCell ref="AB260:AE260"/>
    <mergeCell ref="AJ260:AK260"/>
    <mergeCell ref="AL260:AM260"/>
    <mergeCell ref="AN260:AO260"/>
    <mergeCell ref="AP260:AQ260"/>
    <mergeCell ref="AR260:AS260"/>
    <mergeCell ref="AT260:AU260"/>
    <mergeCell ref="AV260:AW260"/>
    <mergeCell ref="AV261:AW261"/>
    <mergeCell ref="AF260:AG260"/>
    <mergeCell ref="AF261:AG261"/>
    <mergeCell ref="BD262:BE262"/>
    <mergeCell ref="BF262:BI262"/>
    <mergeCell ref="BJ262:BM262"/>
    <mergeCell ref="BN262:BV262"/>
    <mergeCell ref="B263:C263"/>
    <mergeCell ref="D263:E263"/>
    <mergeCell ref="F263:G263"/>
    <mergeCell ref="H263:I263"/>
    <mergeCell ref="L263:M263"/>
    <mergeCell ref="P263:Q263"/>
    <mergeCell ref="R263:S263"/>
    <mergeCell ref="T263:U263"/>
    <mergeCell ref="V263:W263"/>
    <mergeCell ref="X263:AA263"/>
    <mergeCell ref="AB263:AE263"/>
    <mergeCell ref="AJ263:AK263"/>
    <mergeCell ref="AL263:AM263"/>
    <mergeCell ref="AN263:AO263"/>
    <mergeCell ref="AP263:AQ263"/>
    <mergeCell ref="AR263:AS263"/>
    <mergeCell ref="AT263:AU263"/>
    <mergeCell ref="AX263:AZ263"/>
    <mergeCell ref="BA263:BB263"/>
    <mergeCell ref="BD263:BE263"/>
    <mergeCell ref="BA261:BB261"/>
    <mergeCell ref="BD261:BE261"/>
    <mergeCell ref="BF261:BI261"/>
    <mergeCell ref="BJ261:BM261"/>
    <mergeCell ref="BN261:BV261"/>
    <mergeCell ref="B262:C262"/>
    <mergeCell ref="D262:E262"/>
    <mergeCell ref="F262:G262"/>
    <mergeCell ref="H262:I262"/>
    <mergeCell ref="P262:Q262"/>
    <mergeCell ref="R262:S262"/>
    <mergeCell ref="T262:U262"/>
    <mergeCell ref="V262:W262"/>
    <mergeCell ref="X262:AA262"/>
    <mergeCell ref="AB262:AE262"/>
    <mergeCell ref="AJ262:AK262"/>
    <mergeCell ref="AL262:AM262"/>
    <mergeCell ref="AN262:AO262"/>
    <mergeCell ref="AP262:AQ262"/>
    <mergeCell ref="AR262:AS262"/>
    <mergeCell ref="AT262:AU262"/>
    <mergeCell ref="AX262:AZ262"/>
    <mergeCell ref="BA262:BB262"/>
    <mergeCell ref="AV262:AW262"/>
    <mergeCell ref="AV263:AW263"/>
    <mergeCell ref="AF262:AG262"/>
    <mergeCell ref="AF263:AG263"/>
    <mergeCell ref="BJ264:BM264"/>
    <mergeCell ref="BN264:BV264"/>
    <mergeCell ref="B265:C265"/>
    <mergeCell ref="D265:E265"/>
    <mergeCell ref="F265:G265"/>
    <mergeCell ref="H265:I265"/>
    <mergeCell ref="L265:M265"/>
    <mergeCell ref="P265:Q265"/>
    <mergeCell ref="R265:S265"/>
    <mergeCell ref="T265:U265"/>
    <mergeCell ref="V265:W265"/>
    <mergeCell ref="X265:AA265"/>
    <mergeCell ref="AB265:AE265"/>
    <mergeCell ref="AJ265:AK265"/>
    <mergeCell ref="AL265:AM265"/>
    <mergeCell ref="AN265:AO265"/>
    <mergeCell ref="AP265:AQ265"/>
    <mergeCell ref="AR265:AS265"/>
    <mergeCell ref="AT265:AU265"/>
    <mergeCell ref="AX265:AZ265"/>
    <mergeCell ref="BA265:BB265"/>
    <mergeCell ref="BD265:BE265"/>
    <mergeCell ref="BF265:BI265"/>
    <mergeCell ref="BJ265:BM265"/>
    <mergeCell ref="BF263:BI263"/>
    <mergeCell ref="BJ263:BM263"/>
    <mergeCell ref="BN263:BV263"/>
    <mergeCell ref="B264:C264"/>
    <mergeCell ref="D264:E264"/>
    <mergeCell ref="F264:G264"/>
    <mergeCell ref="H264:I264"/>
    <mergeCell ref="P264:Q264"/>
    <mergeCell ref="R264:S264"/>
    <mergeCell ref="T264:U264"/>
    <mergeCell ref="V264:W264"/>
    <mergeCell ref="X264:AA264"/>
    <mergeCell ref="AB264:AE264"/>
    <mergeCell ref="AJ264:AK264"/>
    <mergeCell ref="AL264:AM264"/>
    <mergeCell ref="AN264:AO264"/>
    <mergeCell ref="AP264:AQ264"/>
    <mergeCell ref="AR264:AS264"/>
    <mergeCell ref="AT264:AU264"/>
    <mergeCell ref="AX264:AZ264"/>
    <mergeCell ref="BA264:BB264"/>
    <mergeCell ref="BD264:BE264"/>
    <mergeCell ref="BF264:BI264"/>
    <mergeCell ref="AV264:AW264"/>
    <mergeCell ref="AV265:AW265"/>
    <mergeCell ref="AF264:AG264"/>
    <mergeCell ref="AF265:AG265"/>
    <mergeCell ref="BN266:BV266"/>
    <mergeCell ref="B267:C267"/>
    <mergeCell ref="D267:E267"/>
    <mergeCell ref="F267:G267"/>
    <mergeCell ref="H267:I267"/>
    <mergeCell ref="L267:M267"/>
    <mergeCell ref="P267:Q267"/>
    <mergeCell ref="R267:S267"/>
    <mergeCell ref="T267:U267"/>
    <mergeCell ref="V267:W267"/>
    <mergeCell ref="X267:AA267"/>
    <mergeCell ref="AB267:AE267"/>
    <mergeCell ref="AJ267:AK267"/>
    <mergeCell ref="AL267:AM267"/>
    <mergeCell ref="AN267:AO267"/>
    <mergeCell ref="AP267:AQ267"/>
    <mergeCell ref="AR267:AS267"/>
    <mergeCell ref="AT267:AU267"/>
    <mergeCell ref="AX267:AZ267"/>
    <mergeCell ref="BA267:BB267"/>
    <mergeCell ref="BD267:BE267"/>
    <mergeCell ref="BF267:BI267"/>
    <mergeCell ref="BJ267:BM267"/>
    <mergeCell ref="BN265:BV265"/>
    <mergeCell ref="B266:C266"/>
    <mergeCell ref="D266:E266"/>
    <mergeCell ref="F266:G266"/>
    <mergeCell ref="H266:I266"/>
    <mergeCell ref="P266:Q266"/>
    <mergeCell ref="R266:S266"/>
    <mergeCell ref="T266:U266"/>
    <mergeCell ref="V266:W266"/>
    <mergeCell ref="X266:AA266"/>
    <mergeCell ref="AB266:AE266"/>
    <mergeCell ref="AJ266:AK266"/>
    <mergeCell ref="AL266:AM266"/>
    <mergeCell ref="AN266:AO266"/>
    <mergeCell ref="AP266:AQ266"/>
    <mergeCell ref="AR266:AS266"/>
    <mergeCell ref="AT266:AU266"/>
    <mergeCell ref="AX266:AZ266"/>
    <mergeCell ref="BA266:BB266"/>
    <mergeCell ref="BD266:BE266"/>
    <mergeCell ref="BF266:BI266"/>
    <mergeCell ref="BJ266:BM266"/>
    <mergeCell ref="AV266:AW266"/>
    <mergeCell ref="AV267:AW267"/>
    <mergeCell ref="AF266:AG266"/>
    <mergeCell ref="AF267:AG267"/>
    <mergeCell ref="BN268:BV268"/>
    <mergeCell ref="B269:C269"/>
    <mergeCell ref="D269:E269"/>
    <mergeCell ref="F269:G269"/>
    <mergeCell ref="H269:I269"/>
    <mergeCell ref="L269:M269"/>
    <mergeCell ref="P269:Q269"/>
    <mergeCell ref="R269:S269"/>
    <mergeCell ref="T269:U269"/>
    <mergeCell ref="V269:W269"/>
    <mergeCell ref="X269:AA269"/>
    <mergeCell ref="AB269:AE269"/>
    <mergeCell ref="AJ269:AK269"/>
    <mergeCell ref="AL269:AM269"/>
    <mergeCell ref="AN269:AO269"/>
    <mergeCell ref="AP269:AQ269"/>
    <mergeCell ref="AR269:AS269"/>
    <mergeCell ref="AT269:AU269"/>
    <mergeCell ref="AX269:AZ269"/>
    <mergeCell ref="BA269:BB269"/>
    <mergeCell ref="BD269:BE269"/>
    <mergeCell ref="BF269:BI269"/>
    <mergeCell ref="BJ269:BM269"/>
    <mergeCell ref="BN269:BV269"/>
    <mergeCell ref="BN267:BV267"/>
    <mergeCell ref="B268:C268"/>
    <mergeCell ref="D268:E268"/>
    <mergeCell ref="F268:G268"/>
    <mergeCell ref="H268:I268"/>
    <mergeCell ref="P268:Q268"/>
    <mergeCell ref="R268:S268"/>
    <mergeCell ref="T268:U268"/>
    <mergeCell ref="V268:W268"/>
    <mergeCell ref="X268:AA268"/>
    <mergeCell ref="AB268:AE268"/>
    <mergeCell ref="AJ268:AK268"/>
    <mergeCell ref="AL268:AM268"/>
    <mergeCell ref="AN268:AO268"/>
    <mergeCell ref="AP268:AQ268"/>
    <mergeCell ref="AR268:AS268"/>
    <mergeCell ref="AT268:AU268"/>
    <mergeCell ref="AX268:AZ268"/>
    <mergeCell ref="BA268:BB268"/>
    <mergeCell ref="BD268:BE268"/>
    <mergeCell ref="BF268:BI268"/>
    <mergeCell ref="BJ268:BM268"/>
    <mergeCell ref="AV268:AW268"/>
    <mergeCell ref="AV269:AW269"/>
    <mergeCell ref="AF268:AG268"/>
    <mergeCell ref="AF269:AG269"/>
    <mergeCell ref="AN271:AO271"/>
    <mergeCell ref="AP271:AQ271"/>
    <mergeCell ref="AR271:AS271"/>
    <mergeCell ref="AT271:AU271"/>
    <mergeCell ref="AX271:AZ271"/>
    <mergeCell ref="BA271:BB271"/>
    <mergeCell ref="BD271:BE271"/>
    <mergeCell ref="BF271:BI271"/>
    <mergeCell ref="BJ271:BM271"/>
    <mergeCell ref="BN271:BV271"/>
    <mergeCell ref="B272:C272"/>
    <mergeCell ref="D272:E272"/>
    <mergeCell ref="F272:G272"/>
    <mergeCell ref="H272:I272"/>
    <mergeCell ref="P272:Q272"/>
    <mergeCell ref="R272:S272"/>
    <mergeCell ref="T272:U272"/>
    <mergeCell ref="V272:W272"/>
    <mergeCell ref="X272:AA272"/>
    <mergeCell ref="AB272:AE272"/>
    <mergeCell ref="AJ272:AK272"/>
    <mergeCell ref="AL272:AM272"/>
    <mergeCell ref="AN272:AO272"/>
    <mergeCell ref="AL270:AM270"/>
    <mergeCell ref="AN270:AO270"/>
    <mergeCell ref="AP270:AQ270"/>
    <mergeCell ref="AR270:AS270"/>
    <mergeCell ref="AT270:AU270"/>
    <mergeCell ref="AX270:AZ270"/>
    <mergeCell ref="BA270:BB270"/>
    <mergeCell ref="BD270:BE270"/>
    <mergeCell ref="BF270:BI270"/>
    <mergeCell ref="BJ270:BM270"/>
    <mergeCell ref="BN270:BV270"/>
    <mergeCell ref="B271:C271"/>
    <mergeCell ref="D271:E271"/>
    <mergeCell ref="F271:G271"/>
    <mergeCell ref="H271:I271"/>
    <mergeCell ref="L271:M271"/>
    <mergeCell ref="P271:Q271"/>
    <mergeCell ref="R271:S271"/>
    <mergeCell ref="T271:U271"/>
    <mergeCell ref="V271:W271"/>
    <mergeCell ref="X271:AA271"/>
    <mergeCell ref="AB271:AE271"/>
    <mergeCell ref="AJ271:AK271"/>
    <mergeCell ref="AL271:AM271"/>
    <mergeCell ref="B270:C270"/>
    <mergeCell ref="D270:E270"/>
    <mergeCell ref="F270:G270"/>
    <mergeCell ref="H270:I270"/>
    <mergeCell ref="P270:Q270"/>
    <mergeCell ref="R270:S270"/>
    <mergeCell ref="T270:U270"/>
    <mergeCell ref="V270:W270"/>
    <mergeCell ref="X270:AA270"/>
    <mergeCell ref="AB270:AE270"/>
    <mergeCell ref="AJ270:AK270"/>
    <mergeCell ref="AV270:AW270"/>
    <mergeCell ref="AV271:AW271"/>
    <mergeCell ref="AV272:AW272"/>
    <mergeCell ref="AF270:AG270"/>
    <mergeCell ref="AR273:AS273"/>
    <mergeCell ref="AT273:AU273"/>
    <mergeCell ref="AX273:AZ273"/>
    <mergeCell ref="BA273:BB273"/>
    <mergeCell ref="BD273:BE273"/>
    <mergeCell ref="BF273:BI273"/>
    <mergeCell ref="BJ273:BM273"/>
    <mergeCell ref="BN273:BV273"/>
    <mergeCell ref="B274:C274"/>
    <mergeCell ref="D274:E274"/>
    <mergeCell ref="F274:G274"/>
    <mergeCell ref="H274:I274"/>
    <mergeCell ref="P274:Q274"/>
    <mergeCell ref="R274:S274"/>
    <mergeCell ref="T274:U274"/>
    <mergeCell ref="V274:W274"/>
    <mergeCell ref="X274:AA274"/>
    <mergeCell ref="AB274:AE274"/>
    <mergeCell ref="AJ274:AK274"/>
    <mergeCell ref="AL274:AM274"/>
    <mergeCell ref="AN274:AO274"/>
    <mergeCell ref="AP274:AQ274"/>
    <mergeCell ref="AR274:AS274"/>
    <mergeCell ref="AP272:AQ272"/>
    <mergeCell ref="AR272:AS272"/>
    <mergeCell ref="AT272:AU272"/>
    <mergeCell ref="AX272:AZ272"/>
    <mergeCell ref="BA272:BB272"/>
    <mergeCell ref="BD272:BE272"/>
    <mergeCell ref="BF272:BI272"/>
    <mergeCell ref="BJ272:BM272"/>
    <mergeCell ref="BN272:BV272"/>
    <mergeCell ref="B273:C273"/>
    <mergeCell ref="D273:E273"/>
    <mergeCell ref="F273:G273"/>
    <mergeCell ref="H273:I273"/>
    <mergeCell ref="L273:M273"/>
    <mergeCell ref="P273:Q273"/>
    <mergeCell ref="R273:S273"/>
    <mergeCell ref="T273:U273"/>
    <mergeCell ref="V273:W273"/>
    <mergeCell ref="X273:AA273"/>
    <mergeCell ref="AB273:AE273"/>
    <mergeCell ref="AJ273:AK273"/>
    <mergeCell ref="AL273:AM273"/>
    <mergeCell ref="AN273:AO273"/>
    <mergeCell ref="AP273:AQ273"/>
    <mergeCell ref="AV273:AW273"/>
    <mergeCell ref="AV274:AW274"/>
    <mergeCell ref="J273:K273"/>
    <mergeCell ref="AX275:AZ275"/>
    <mergeCell ref="BA275:BB275"/>
    <mergeCell ref="BD275:BE275"/>
    <mergeCell ref="BF275:BI275"/>
    <mergeCell ref="BJ275:BM275"/>
    <mergeCell ref="BN275:BV275"/>
    <mergeCell ref="B276:C276"/>
    <mergeCell ref="D276:E276"/>
    <mergeCell ref="F276:G276"/>
    <mergeCell ref="H276:I276"/>
    <mergeCell ref="P276:Q276"/>
    <mergeCell ref="R276:S276"/>
    <mergeCell ref="T276:U276"/>
    <mergeCell ref="V276:W276"/>
    <mergeCell ref="X276:AA276"/>
    <mergeCell ref="AB276:AE276"/>
    <mergeCell ref="AJ276:AK276"/>
    <mergeCell ref="AL276:AM276"/>
    <mergeCell ref="AN276:AO276"/>
    <mergeCell ref="AP276:AQ276"/>
    <mergeCell ref="AR276:AS276"/>
    <mergeCell ref="AT276:AU276"/>
    <mergeCell ref="AX276:AZ276"/>
    <mergeCell ref="AT274:AU274"/>
    <mergeCell ref="AX274:AZ274"/>
    <mergeCell ref="BA274:BB274"/>
    <mergeCell ref="BD274:BE274"/>
    <mergeCell ref="BF274:BI274"/>
    <mergeCell ref="BJ274:BM274"/>
    <mergeCell ref="BN274:BV274"/>
    <mergeCell ref="B275:C275"/>
    <mergeCell ref="D275:E275"/>
    <mergeCell ref="F275:G275"/>
    <mergeCell ref="H275:I275"/>
    <mergeCell ref="L275:M275"/>
    <mergeCell ref="P275:Q275"/>
    <mergeCell ref="R275:S275"/>
    <mergeCell ref="T275:U275"/>
    <mergeCell ref="V275:W275"/>
    <mergeCell ref="X275:AA275"/>
    <mergeCell ref="AB275:AE275"/>
    <mergeCell ref="AJ275:AK275"/>
    <mergeCell ref="AL275:AM275"/>
    <mergeCell ref="AN275:AO275"/>
    <mergeCell ref="AP275:AQ275"/>
    <mergeCell ref="AR275:AS275"/>
    <mergeCell ref="AT275:AU275"/>
    <mergeCell ref="AV275:AW275"/>
    <mergeCell ref="AV276:AW276"/>
    <mergeCell ref="J275:K275"/>
    <mergeCell ref="BD277:BE277"/>
    <mergeCell ref="BF277:BI277"/>
    <mergeCell ref="BJ277:BM277"/>
    <mergeCell ref="BN277:BV277"/>
    <mergeCell ref="B278:C278"/>
    <mergeCell ref="D278:E278"/>
    <mergeCell ref="F278:G278"/>
    <mergeCell ref="H278:I278"/>
    <mergeCell ref="P278:Q278"/>
    <mergeCell ref="R278:S278"/>
    <mergeCell ref="T278:U278"/>
    <mergeCell ref="V278:W278"/>
    <mergeCell ref="X278:AA278"/>
    <mergeCell ref="AB278:AE278"/>
    <mergeCell ref="AJ278:AK278"/>
    <mergeCell ref="AL278:AM278"/>
    <mergeCell ref="AN278:AO278"/>
    <mergeCell ref="AP278:AQ278"/>
    <mergeCell ref="AR278:AS278"/>
    <mergeCell ref="AT278:AU278"/>
    <mergeCell ref="AX278:AZ278"/>
    <mergeCell ref="BA278:BB278"/>
    <mergeCell ref="BD278:BE278"/>
    <mergeCell ref="BA276:BB276"/>
    <mergeCell ref="BD276:BE276"/>
    <mergeCell ref="BF276:BI276"/>
    <mergeCell ref="BJ276:BM276"/>
    <mergeCell ref="BN276:BV276"/>
    <mergeCell ref="B277:C277"/>
    <mergeCell ref="D277:E277"/>
    <mergeCell ref="F277:G277"/>
    <mergeCell ref="H277:I277"/>
    <mergeCell ref="L277:M277"/>
    <mergeCell ref="P277:Q277"/>
    <mergeCell ref="R277:S277"/>
    <mergeCell ref="T277:U277"/>
    <mergeCell ref="V277:W277"/>
    <mergeCell ref="X277:AA277"/>
    <mergeCell ref="AB277:AE277"/>
    <mergeCell ref="AJ277:AK277"/>
    <mergeCell ref="AL277:AM277"/>
    <mergeCell ref="AN277:AO277"/>
    <mergeCell ref="AP277:AQ277"/>
    <mergeCell ref="AR277:AS277"/>
    <mergeCell ref="AT277:AU277"/>
    <mergeCell ref="AX277:AZ277"/>
    <mergeCell ref="BA277:BB277"/>
    <mergeCell ref="AV277:AW277"/>
    <mergeCell ref="AV278:AW278"/>
    <mergeCell ref="J277:K277"/>
    <mergeCell ref="BJ279:BM279"/>
    <mergeCell ref="BN279:BV279"/>
    <mergeCell ref="B280:C280"/>
    <mergeCell ref="D280:E280"/>
    <mergeCell ref="F280:G280"/>
    <mergeCell ref="H280:I280"/>
    <mergeCell ref="P280:Q280"/>
    <mergeCell ref="R280:S280"/>
    <mergeCell ref="T280:U280"/>
    <mergeCell ref="V280:W280"/>
    <mergeCell ref="X280:AA280"/>
    <mergeCell ref="AB280:AE280"/>
    <mergeCell ref="AJ280:AK280"/>
    <mergeCell ref="AL280:AM280"/>
    <mergeCell ref="AN280:AO280"/>
    <mergeCell ref="AP280:AQ280"/>
    <mergeCell ref="AR280:AS280"/>
    <mergeCell ref="AT280:AU280"/>
    <mergeCell ref="AX280:AZ280"/>
    <mergeCell ref="BA280:BB280"/>
    <mergeCell ref="BD280:BE280"/>
    <mergeCell ref="BF280:BI280"/>
    <mergeCell ref="BJ280:BM280"/>
    <mergeCell ref="BF278:BI278"/>
    <mergeCell ref="BJ278:BM278"/>
    <mergeCell ref="BN278:BV278"/>
    <mergeCell ref="B279:C279"/>
    <mergeCell ref="D279:E279"/>
    <mergeCell ref="F279:G279"/>
    <mergeCell ref="H279:I279"/>
    <mergeCell ref="L279:M279"/>
    <mergeCell ref="P279:Q279"/>
    <mergeCell ref="R279:S279"/>
    <mergeCell ref="T279:U279"/>
    <mergeCell ref="V279:W279"/>
    <mergeCell ref="X279:AA279"/>
    <mergeCell ref="AB279:AE279"/>
    <mergeCell ref="AJ279:AK279"/>
    <mergeCell ref="AL279:AM279"/>
    <mergeCell ref="AN279:AO279"/>
    <mergeCell ref="AP279:AQ279"/>
    <mergeCell ref="AR279:AS279"/>
    <mergeCell ref="AT279:AU279"/>
    <mergeCell ref="AX279:AZ279"/>
    <mergeCell ref="BA279:BB279"/>
    <mergeCell ref="BD279:BE279"/>
    <mergeCell ref="BF279:BI279"/>
    <mergeCell ref="AV279:AW279"/>
    <mergeCell ref="AV280:AW280"/>
    <mergeCell ref="J279:K279"/>
    <mergeCell ref="BN281:BV281"/>
    <mergeCell ref="B282:C282"/>
    <mergeCell ref="D282:E282"/>
    <mergeCell ref="F282:G282"/>
    <mergeCell ref="H282:I282"/>
    <mergeCell ref="P282:Q282"/>
    <mergeCell ref="R282:S282"/>
    <mergeCell ref="T282:U282"/>
    <mergeCell ref="V282:W282"/>
    <mergeCell ref="X282:AA282"/>
    <mergeCell ref="AB282:AE282"/>
    <mergeCell ref="AJ282:AK282"/>
    <mergeCell ref="AL282:AM282"/>
    <mergeCell ref="AN282:AO282"/>
    <mergeCell ref="AP282:AQ282"/>
    <mergeCell ref="AR282:AS282"/>
    <mergeCell ref="AT282:AU282"/>
    <mergeCell ref="AX282:AZ282"/>
    <mergeCell ref="BA282:BB282"/>
    <mergeCell ref="BD282:BE282"/>
    <mergeCell ref="BF282:BI282"/>
    <mergeCell ref="BJ282:BM282"/>
    <mergeCell ref="BN280:BV280"/>
    <mergeCell ref="B281:C281"/>
    <mergeCell ref="D281:E281"/>
    <mergeCell ref="F281:G281"/>
    <mergeCell ref="H281:I281"/>
    <mergeCell ref="L281:M281"/>
    <mergeCell ref="P281:Q281"/>
    <mergeCell ref="R281:S281"/>
    <mergeCell ref="T281:U281"/>
    <mergeCell ref="V281:W281"/>
    <mergeCell ref="X281:AA281"/>
    <mergeCell ref="AB281:AE281"/>
    <mergeCell ref="AJ281:AK281"/>
    <mergeCell ref="AL281:AM281"/>
    <mergeCell ref="AN281:AO281"/>
    <mergeCell ref="AP281:AQ281"/>
    <mergeCell ref="AR281:AS281"/>
    <mergeCell ref="AT281:AU281"/>
    <mergeCell ref="AX281:AZ281"/>
    <mergeCell ref="BA281:BB281"/>
    <mergeCell ref="BD281:BE281"/>
    <mergeCell ref="BF281:BI281"/>
    <mergeCell ref="BJ281:BM281"/>
    <mergeCell ref="AV281:AW281"/>
    <mergeCell ref="AV282:AW282"/>
    <mergeCell ref="J281:K281"/>
    <mergeCell ref="BN283:BV283"/>
    <mergeCell ref="B284:C284"/>
    <mergeCell ref="D284:E284"/>
    <mergeCell ref="F284:G284"/>
    <mergeCell ref="H284:I284"/>
    <mergeCell ref="P284:Q284"/>
    <mergeCell ref="R284:S284"/>
    <mergeCell ref="T284:U284"/>
    <mergeCell ref="V284:W284"/>
    <mergeCell ref="X284:AA284"/>
    <mergeCell ref="AB284:AE284"/>
    <mergeCell ref="AJ284:AK284"/>
    <mergeCell ref="AL284:AM284"/>
    <mergeCell ref="AN284:AO284"/>
    <mergeCell ref="AP284:AQ284"/>
    <mergeCell ref="AR284:AS284"/>
    <mergeCell ref="AT284:AU284"/>
    <mergeCell ref="AX284:AZ284"/>
    <mergeCell ref="BA284:BB284"/>
    <mergeCell ref="BD284:BE284"/>
    <mergeCell ref="BF284:BI284"/>
    <mergeCell ref="BJ284:BM284"/>
    <mergeCell ref="BN284:BV284"/>
    <mergeCell ref="BN282:BV282"/>
    <mergeCell ref="B283:C283"/>
    <mergeCell ref="D283:E283"/>
    <mergeCell ref="F283:G283"/>
    <mergeCell ref="H283:I283"/>
    <mergeCell ref="L283:M283"/>
    <mergeCell ref="P283:Q283"/>
    <mergeCell ref="R283:S283"/>
    <mergeCell ref="T283:U283"/>
    <mergeCell ref="V283:W283"/>
    <mergeCell ref="X283:AA283"/>
    <mergeCell ref="AB283:AE283"/>
    <mergeCell ref="AJ283:AK283"/>
    <mergeCell ref="AL283:AM283"/>
    <mergeCell ref="AN283:AO283"/>
    <mergeCell ref="AP283:AQ283"/>
    <mergeCell ref="AR283:AS283"/>
    <mergeCell ref="AT283:AU283"/>
    <mergeCell ref="AX283:AZ283"/>
    <mergeCell ref="BA283:BB283"/>
    <mergeCell ref="BD283:BE283"/>
    <mergeCell ref="BF283:BI283"/>
    <mergeCell ref="BJ283:BM283"/>
    <mergeCell ref="AV283:AW283"/>
    <mergeCell ref="AV284:AW284"/>
    <mergeCell ref="J283:K283"/>
    <mergeCell ref="AN286:AO286"/>
    <mergeCell ref="AP286:AQ286"/>
    <mergeCell ref="AR286:AS286"/>
    <mergeCell ref="AT286:AU286"/>
    <mergeCell ref="AX286:AZ286"/>
    <mergeCell ref="BA286:BB286"/>
    <mergeCell ref="BD286:BE286"/>
    <mergeCell ref="BF286:BI286"/>
    <mergeCell ref="BJ286:BM286"/>
    <mergeCell ref="BN286:BV286"/>
    <mergeCell ref="B287:C287"/>
    <mergeCell ref="D287:E287"/>
    <mergeCell ref="F287:G287"/>
    <mergeCell ref="H287:I287"/>
    <mergeCell ref="L287:M287"/>
    <mergeCell ref="P287:Q287"/>
    <mergeCell ref="R287:S287"/>
    <mergeCell ref="T287:U287"/>
    <mergeCell ref="V287:W287"/>
    <mergeCell ref="X287:AA287"/>
    <mergeCell ref="AB287:AE287"/>
    <mergeCell ref="AJ287:AK287"/>
    <mergeCell ref="AL287:AM287"/>
    <mergeCell ref="AN287:AO287"/>
    <mergeCell ref="AL285:AM285"/>
    <mergeCell ref="AN285:AO285"/>
    <mergeCell ref="AP285:AQ285"/>
    <mergeCell ref="AR285:AS285"/>
    <mergeCell ref="AT285:AU285"/>
    <mergeCell ref="AX285:AZ285"/>
    <mergeCell ref="BA285:BB285"/>
    <mergeCell ref="BD285:BE285"/>
    <mergeCell ref="BF285:BI285"/>
    <mergeCell ref="BJ285:BM285"/>
    <mergeCell ref="BN285:BV285"/>
    <mergeCell ref="B286:C286"/>
    <mergeCell ref="D286:E286"/>
    <mergeCell ref="F286:G286"/>
    <mergeCell ref="H286:I286"/>
    <mergeCell ref="P286:Q286"/>
    <mergeCell ref="R286:S286"/>
    <mergeCell ref="T286:U286"/>
    <mergeCell ref="V286:W286"/>
    <mergeCell ref="X286:AA286"/>
    <mergeCell ref="AB286:AE286"/>
    <mergeCell ref="AJ286:AK286"/>
    <mergeCell ref="AL286:AM286"/>
    <mergeCell ref="B285:C285"/>
    <mergeCell ref="D285:E285"/>
    <mergeCell ref="F285:G285"/>
    <mergeCell ref="H285:I285"/>
    <mergeCell ref="L285:M285"/>
    <mergeCell ref="P285:Q285"/>
    <mergeCell ref="R285:S285"/>
    <mergeCell ref="T285:U285"/>
    <mergeCell ref="V285:W285"/>
    <mergeCell ref="X285:AA285"/>
    <mergeCell ref="AB285:AE285"/>
    <mergeCell ref="AJ285:AK285"/>
    <mergeCell ref="AV285:AW285"/>
    <mergeCell ref="AV286:AW286"/>
    <mergeCell ref="AV287:AW287"/>
    <mergeCell ref="AF285:AG285"/>
    <mergeCell ref="J285:K285"/>
    <mergeCell ref="AR288:AS288"/>
    <mergeCell ref="AT288:AU288"/>
    <mergeCell ref="AX288:AZ288"/>
    <mergeCell ref="BA288:BB288"/>
    <mergeCell ref="BD288:BE288"/>
    <mergeCell ref="BF288:BI288"/>
    <mergeCell ref="BJ288:BM288"/>
    <mergeCell ref="BN288:BV288"/>
    <mergeCell ref="B289:C289"/>
    <mergeCell ref="D289:E289"/>
    <mergeCell ref="F289:G289"/>
    <mergeCell ref="H289:I289"/>
    <mergeCell ref="L289:M289"/>
    <mergeCell ref="P289:Q289"/>
    <mergeCell ref="R289:S289"/>
    <mergeCell ref="T289:U289"/>
    <mergeCell ref="V289:W289"/>
    <mergeCell ref="X289:AA289"/>
    <mergeCell ref="AB289:AE289"/>
    <mergeCell ref="AJ289:AK289"/>
    <mergeCell ref="AL289:AM289"/>
    <mergeCell ref="AN289:AO289"/>
    <mergeCell ref="AP289:AQ289"/>
    <mergeCell ref="AR289:AS289"/>
    <mergeCell ref="AP287:AQ287"/>
    <mergeCell ref="AR287:AS287"/>
    <mergeCell ref="AT287:AU287"/>
    <mergeCell ref="AX287:AZ287"/>
    <mergeCell ref="BA287:BB287"/>
    <mergeCell ref="BD287:BE287"/>
    <mergeCell ref="BF287:BI287"/>
    <mergeCell ref="BJ287:BM287"/>
    <mergeCell ref="BN287:BV287"/>
    <mergeCell ref="B288:C288"/>
    <mergeCell ref="D288:E288"/>
    <mergeCell ref="F288:G288"/>
    <mergeCell ref="H288:I288"/>
    <mergeCell ref="P288:Q288"/>
    <mergeCell ref="R288:S288"/>
    <mergeCell ref="T288:U288"/>
    <mergeCell ref="V288:W288"/>
    <mergeCell ref="X288:AA288"/>
    <mergeCell ref="AB288:AE288"/>
    <mergeCell ref="AJ288:AK288"/>
    <mergeCell ref="AL288:AM288"/>
    <mergeCell ref="AN288:AO288"/>
    <mergeCell ref="AP288:AQ288"/>
    <mergeCell ref="AV288:AW288"/>
    <mergeCell ref="AV289:AW289"/>
    <mergeCell ref="J287:K287"/>
    <mergeCell ref="AX290:AZ290"/>
    <mergeCell ref="BA290:BB290"/>
    <mergeCell ref="BD290:BE290"/>
    <mergeCell ref="BF290:BI290"/>
    <mergeCell ref="BJ290:BM290"/>
    <mergeCell ref="BN290:BV290"/>
    <mergeCell ref="B291:C291"/>
    <mergeCell ref="D291:E291"/>
    <mergeCell ref="F291:G291"/>
    <mergeCell ref="H291:I291"/>
    <mergeCell ref="L291:M291"/>
    <mergeCell ref="P291:Q291"/>
    <mergeCell ref="R291:S291"/>
    <mergeCell ref="T291:U291"/>
    <mergeCell ref="V291:W291"/>
    <mergeCell ref="X291:AA291"/>
    <mergeCell ref="AB291:AE291"/>
    <mergeCell ref="AJ291:AK291"/>
    <mergeCell ref="AL291:AM291"/>
    <mergeCell ref="AN291:AO291"/>
    <mergeCell ref="AP291:AQ291"/>
    <mergeCell ref="AR291:AS291"/>
    <mergeCell ref="AT291:AU291"/>
    <mergeCell ref="AX291:AZ291"/>
    <mergeCell ref="AT289:AU289"/>
    <mergeCell ref="AX289:AZ289"/>
    <mergeCell ref="BA289:BB289"/>
    <mergeCell ref="BD289:BE289"/>
    <mergeCell ref="BF289:BI289"/>
    <mergeCell ref="BJ289:BM289"/>
    <mergeCell ref="BN289:BV289"/>
    <mergeCell ref="B290:C290"/>
    <mergeCell ref="D290:E290"/>
    <mergeCell ref="F290:G290"/>
    <mergeCell ref="H290:I290"/>
    <mergeCell ref="P290:Q290"/>
    <mergeCell ref="R290:S290"/>
    <mergeCell ref="T290:U290"/>
    <mergeCell ref="V290:W290"/>
    <mergeCell ref="X290:AA290"/>
    <mergeCell ref="AB290:AE290"/>
    <mergeCell ref="AJ290:AK290"/>
    <mergeCell ref="AL290:AM290"/>
    <mergeCell ref="AN290:AO290"/>
    <mergeCell ref="AP290:AQ290"/>
    <mergeCell ref="AR290:AS290"/>
    <mergeCell ref="AT290:AU290"/>
    <mergeCell ref="AV290:AW290"/>
    <mergeCell ref="AV291:AW291"/>
    <mergeCell ref="AH289:AI289"/>
    <mergeCell ref="AH290:AI290"/>
    <mergeCell ref="J289:K289"/>
    <mergeCell ref="BD292:BE292"/>
    <mergeCell ref="BF292:BI292"/>
    <mergeCell ref="BJ292:BM292"/>
    <mergeCell ref="BN292:BV292"/>
    <mergeCell ref="B293:C293"/>
    <mergeCell ref="D293:E293"/>
    <mergeCell ref="F293:G293"/>
    <mergeCell ref="H293:I293"/>
    <mergeCell ref="L293:M293"/>
    <mergeCell ref="P293:Q293"/>
    <mergeCell ref="R293:S293"/>
    <mergeCell ref="T293:U293"/>
    <mergeCell ref="V293:W293"/>
    <mergeCell ref="X293:AA293"/>
    <mergeCell ref="AB293:AE293"/>
    <mergeCell ref="AJ293:AK293"/>
    <mergeCell ref="AL293:AM293"/>
    <mergeCell ref="AN293:AO293"/>
    <mergeCell ref="AP293:AQ293"/>
    <mergeCell ref="AR293:AS293"/>
    <mergeCell ref="AT293:AU293"/>
    <mergeCell ref="AX293:AZ293"/>
    <mergeCell ref="BA293:BB293"/>
    <mergeCell ref="BD293:BE293"/>
    <mergeCell ref="BA291:BB291"/>
    <mergeCell ref="BD291:BE291"/>
    <mergeCell ref="BF291:BI291"/>
    <mergeCell ref="BJ291:BM291"/>
    <mergeCell ref="BN291:BV291"/>
    <mergeCell ref="B292:C292"/>
    <mergeCell ref="D292:E292"/>
    <mergeCell ref="F292:G292"/>
    <mergeCell ref="H292:I292"/>
    <mergeCell ref="P292:Q292"/>
    <mergeCell ref="R292:S292"/>
    <mergeCell ref="T292:U292"/>
    <mergeCell ref="V292:W292"/>
    <mergeCell ref="X292:AA292"/>
    <mergeCell ref="AB292:AE292"/>
    <mergeCell ref="AJ292:AK292"/>
    <mergeCell ref="AL292:AM292"/>
    <mergeCell ref="AN292:AO292"/>
    <mergeCell ref="AP292:AQ292"/>
    <mergeCell ref="AR292:AS292"/>
    <mergeCell ref="AT292:AU292"/>
    <mergeCell ref="AX292:AZ292"/>
    <mergeCell ref="BA292:BB292"/>
    <mergeCell ref="AV292:AW292"/>
    <mergeCell ref="AV293:AW293"/>
    <mergeCell ref="AH291:AI291"/>
    <mergeCell ref="AH292:AI292"/>
    <mergeCell ref="J291:K291"/>
    <mergeCell ref="BJ294:BM294"/>
    <mergeCell ref="BN294:BV294"/>
    <mergeCell ref="B295:C295"/>
    <mergeCell ref="D295:E295"/>
    <mergeCell ref="F295:G295"/>
    <mergeCell ref="H295:I295"/>
    <mergeCell ref="L295:M295"/>
    <mergeCell ref="P295:Q295"/>
    <mergeCell ref="R295:S295"/>
    <mergeCell ref="T295:U295"/>
    <mergeCell ref="V295:W295"/>
    <mergeCell ref="X295:AA295"/>
    <mergeCell ref="AB295:AE295"/>
    <mergeCell ref="AJ295:AK295"/>
    <mergeCell ref="AL295:AM295"/>
    <mergeCell ref="AN295:AO295"/>
    <mergeCell ref="AP295:AQ295"/>
    <mergeCell ref="AR295:AS295"/>
    <mergeCell ref="AT295:AU295"/>
    <mergeCell ref="AX295:AZ295"/>
    <mergeCell ref="BA295:BB295"/>
    <mergeCell ref="BD295:BE295"/>
    <mergeCell ref="BF295:BI295"/>
    <mergeCell ref="BJ295:BM295"/>
    <mergeCell ref="BF293:BI293"/>
    <mergeCell ref="BJ293:BM293"/>
    <mergeCell ref="BN293:BV293"/>
    <mergeCell ref="B294:C294"/>
    <mergeCell ref="D294:E294"/>
    <mergeCell ref="F294:G294"/>
    <mergeCell ref="H294:I294"/>
    <mergeCell ref="P294:Q294"/>
    <mergeCell ref="R294:S294"/>
    <mergeCell ref="T294:U294"/>
    <mergeCell ref="V294:W294"/>
    <mergeCell ref="X294:AA294"/>
    <mergeCell ref="AB294:AE294"/>
    <mergeCell ref="AJ294:AK294"/>
    <mergeCell ref="AL294:AM294"/>
    <mergeCell ref="AN294:AO294"/>
    <mergeCell ref="AP294:AQ294"/>
    <mergeCell ref="AR294:AS294"/>
    <mergeCell ref="AT294:AU294"/>
    <mergeCell ref="AX294:AZ294"/>
    <mergeCell ref="BA294:BB294"/>
    <mergeCell ref="BD294:BE294"/>
    <mergeCell ref="BF294:BI294"/>
    <mergeCell ref="AV294:AW294"/>
    <mergeCell ref="AV295:AW295"/>
    <mergeCell ref="AH293:AI293"/>
    <mergeCell ref="AH294:AI294"/>
    <mergeCell ref="J293:K293"/>
    <mergeCell ref="BN296:BV296"/>
    <mergeCell ref="B297:C297"/>
    <mergeCell ref="D297:E297"/>
    <mergeCell ref="F297:G297"/>
    <mergeCell ref="H297:I297"/>
    <mergeCell ref="L297:M297"/>
    <mergeCell ref="P297:Q297"/>
    <mergeCell ref="R297:S297"/>
    <mergeCell ref="T297:U297"/>
    <mergeCell ref="V297:W297"/>
    <mergeCell ref="X297:AA297"/>
    <mergeCell ref="AB297:AE297"/>
    <mergeCell ref="AJ297:AK297"/>
    <mergeCell ref="AL297:AM297"/>
    <mergeCell ref="AN297:AO297"/>
    <mergeCell ref="AP297:AQ297"/>
    <mergeCell ref="AR297:AS297"/>
    <mergeCell ref="AT297:AU297"/>
    <mergeCell ref="AX297:AZ297"/>
    <mergeCell ref="BA297:BB297"/>
    <mergeCell ref="BD297:BE297"/>
    <mergeCell ref="BF297:BI297"/>
    <mergeCell ref="BJ297:BM297"/>
    <mergeCell ref="BN295:BV295"/>
    <mergeCell ref="B296:C296"/>
    <mergeCell ref="D296:E296"/>
    <mergeCell ref="F296:G296"/>
    <mergeCell ref="H296:I296"/>
    <mergeCell ref="P296:Q296"/>
    <mergeCell ref="R296:S296"/>
    <mergeCell ref="T296:U296"/>
    <mergeCell ref="V296:W296"/>
    <mergeCell ref="X296:AA296"/>
    <mergeCell ref="AB296:AE296"/>
    <mergeCell ref="AJ296:AK296"/>
    <mergeCell ref="AL296:AM296"/>
    <mergeCell ref="AN296:AO296"/>
    <mergeCell ref="AP296:AQ296"/>
    <mergeCell ref="AR296:AS296"/>
    <mergeCell ref="AT296:AU296"/>
    <mergeCell ref="AX296:AZ296"/>
    <mergeCell ref="BA296:BB296"/>
    <mergeCell ref="BD296:BE296"/>
    <mergeCell ref="BF296:BI296"/>
    <mergeCell ref="BJ296:BM296"/>
    <mergeCell ref="AV296:AW296"/>
    <mergeCell ref="AV297:AW297"/>
    <mergeCell ref="AH295:AI295"/>
    <mergeCell ref="AH296:AI296"/>
    <mergeCell ref="J295:K295"/>
    <mergeCell ref="BN298:BV298"/>
    <mergeCell ref="B299:C299"/>
    <mergeCell ref="D299:E299"/>
    <mergeCell ref="F299:G299"/>
    <mergeCell ref="H299:I299"/>
    <mergeCell ref="L299:M299"/>
    <mergeCell ref="P299:Q299"/>
    <mergeCell ref="R299:S299"/>
    <mergeCell ref="T299:U299"/>
    <mergeCell ref="V299:W299"/>
    <mergeCell ref="X299:AA299"/>
    <mergeCell ref="AB299:AE299"/>
    <mergeCell ref="AJ299:AK299"/>
    <mergeCell ref="AL299:AM299"/>
    <mergeCell ref="AN299:AO299"/>
    <mergeCell ref="AP299:AQ299"/>
    <mergeCell ref="AR299:AS299"/>
    <mergeCell ref="AT299:AU299"/>
    <mergeCell ref="AX299:AZ299"/>
    <mergeCell ref="BA299:BB299"/>
    <mergeCell ref="BD299:BE299"/>
    <mergeCell ref="BF299:BI299"/>
    <mergeCell ref="BJ299:BM299"/>
    <mergeCell ref="BN299:BV299"/>
    <mergeCell ref="BN297:BV297"/>
    <mergeCell ref="B298:C298"/>
    <mergeCell ref="D298:E298"/>
    <mergeCell ref="F298:G298"/>
    <mergeCell ref="H298:I298"/>
    <mergeCell ref="P298:Q298"/>
    <mergeCell ref="R298:S298"/>
    <mergeCell ref="T298:U298"/>
    <mergeCell ref="V298:W298"/>
    <mergeCell ref="X298:AA298"/>
    <mergeCell ref="AB298:AE298"/>
    <mergeCell ref="AJ298:AK298"/>
    <mergeCell ref="AL298:AM298"/>
    <mergeCell ref="AN298:AO298"/>
    <mergeCell ref="AP298:AQ298"/>
    <mergeCell ref="AR298:AS298"/>
    <mergeCell ref="AT298:AU298"/>
    <mergeCell ref="AX298:AZ298"/>
    <mergeCell ref="BA298:BB298"/>
    <mergeCell ref="BD298:BE298"/>
    <mergeCell ref="BF298:BI298"/>
    <mergeCell ref="BJ298:BM298"/>
    <mergeCell ref="AV298:AW298"/>
    <mergeCell ref="AV299:AW299"/>
    <mergeCell ref="AH297:AI297"/>
    <mergeCell ref="AH298:AI298"/>
    <mergeCell ref="AH299:AI299"/>
    <mergeCell ref="J297:K297"/>
    <mergeCell ref="J299:K299"/>
    <mergeCell ref="AN301:AO301"/>
    <mergeCell ref="AP301:AQ301"/>
    <mergeCell ref="AR301:AS301"/>
    <mergeCell ref="AT301:AU301"/>
    <mergeCell ref="AX301:AZ301"/>
    <mergeCell ref="BA301:BB301"/>
    <mergeCell ref="BD301:BE301"/>
    <mergeCell ref="BF301:BI301"/>
    <mergeCell ref="BJ301:BM301"/>
    <mergeCell ref="BN301:BV301"/>
    <mergeCell ref="B302:C302"/>
    <mergeCell ref="D302:E302"/>
    <mergeCell ref="F302:G302"/>
    <mergeCell ref="H302:I302"/>
    <mergeCell ref="P302:Q302"/>
    <mergeCell ref="R302:S302"/>
    <mergeCell ref="T302:U302"/>
    <mergeCell ref="V302:W302"/>
    <mergeCell ref="X302:AA302"/>
    <mergeCell ref="AB302:AE302"/>
    <mergeCell ref="AJ302:AK302"/>
    <mergeCell ref="AL302:AM302"/>
    <mergeCell ref="AN302:AO302"/>
    <mergeCell ref="AL300:AM300"/>
    <mergeCell ref="AN300:AO300"/>
    <mergeCell ref="AP300:AQ300"/>
    <mergeCell ref="AR300:AS300"/>
    <mergeCell ref="AT300:AU300"/>
    <mergeCell ref="AX300:AZ300"/>
    <mergeCell ref="BA300:BB300"/>
    <mergeCell ref="BD300:BE300"/>
    <mergeCell ref="BF300:BI300"/>
    <mergeCell ref="BJ300:BM300"/>
    <mergeCell ref="BN300:BV300"/>
    <mergeCell ref="B301:C301"/>
    <mergeCell ref="D301:E301"/>
    <mergeCell ref="F301:G301"/>
    <mergeCell ref="H301:I301"/>
    <mergeCell ref="L301:M301"/>
    <mergeCell ref="P301:Q301"/>
    <mergeCell ref="R301:S301"/>
    <mergeCell ref="T301:U301"/>
    <mergeCell ref="V301:W301"/>
    <mergeCell ref="X301:AA301"/>
    <mergeCell ref="AB301:AE301"/>
    <mergeCell ref="AJ301:AK301"/>
    <mergeCell ref="AL301:AM301"/>
    <mergeCell ref="B300:C300"/>
    <mergeCell ref="D300:E300"/>
    <mergeCell ref="F300:G300"/>
    <mergeCell ref="H300:I300"/>
    <mergeCell ref="P300:Q300"/>
    <mergeCell ref="R300:S300"/>
    <mergeCell ref="T300:U300"/>
    <mergeCell ref="V300:W300"/>
    <mergeCell ref="X300:AA300"/>
    <mergeCell ref="AB300:AE300"/>
    <mergeCell ref="AJ300:AK300"/>
    <mergeCell ref="AV300:AW300"/>
    <mergeCell ref="AV301:AW301"/>
    <mergeCell ref="AV302:AW302"/>
    <mergeCell ref="AH300:AI300"/>
    <mergeCell ref="AF302:AG302"/>
    <mergeCell ref="AH301:AI301"/>
    <mergeCell ref="AR303:AS303"/>
    <mergeCell ref="AT303:AU303"/>
    <mergeCell ref="AX303:AZ303"/>
    <mergeCell ref="BA303:BB303"/>
    <mergeCell ref="BD303:BE303"/>
    <mergeCell ref="BF303:BI303"/>
    <mergeCell ref="BJ303:BM303"/>
    <mergeCell ref="BN303:BV303"/>
    <mergeCell ref="B304:C304"/>
    <mergeCell ref="D304:E304"/>
    <mergeCell ref="F304:G304"/>
    <mergeCell ref="H304:I304"/>
    <mergeCell ref="P304:Q304"/>
    <mergeCell ref="R304:S304"/>
    <mergeCell ref="T304:U304"/>
    <mergeCell ref="V304:W304"/>
    <mergeCell ref="X304:AA304"/>
    <mergeCell ref="AB304:AE304"/>
    <mergeCell ref="AJ304:AK304"/>
    <mergeCell ref="AL304:AM304"/>
    <mergeCell ref="AN304:AO304"/>
    <mergeCell ref="AP304:AQ304"/>
    <mergeCell ref="AR304:AS304"/>
    <mergeCell ref="AP302:AQ302"/>
    <mergeCell ref="AR302:AS302"/>
    <mergeCell ref="AT302:AU302"/>
    <mergeCell ref="AX302:AZ302"/>
    <mergeCell ref="BA302:BB302"/>
    <mergeCell ref="BD302:BE302"/>
    <mergeCell ref="BF302:BI302"/>
    <mergeCell ref="BJ302:BM302"/>
    <mergeCell ref="BN302:BV302"/>
    <mergeCell ref="B303:C303"/>
    <mergeCell ref="D303:E303"/>
    <mergeCell ref="F303:G303"/>
    <mergeCell ref="H303:I303"/>
    <mergeCell ref="L303:M303"/>
    <mergeCell ref="P303:Q303"/>
    <mergeCell ref="R303:S303"/>
    <mergeCell ref="T303:U303"/>
    <mergeCell ref="V303:W303"/>
    <mergeCell ref="X303:AA303"/>
    <mergeCell ref="AB303:AE303"/>
    <mergeCell ref="AJ303:AK303"/>
    <mergeCell ref="AL303:AM303"/>
    <mergeCell ref="AN303:AO303"/>
    <mergeCell ref="AP303:AQ303"/>
    <mergeCell ref="AV303:AW303"/>
    <mergeCell ref="AV304:AW304"/>
    <mergeCell ref="AF304:AG304"/>
    <mergeCell ref="AF303:AG303"/>
    <mergeCell ref="AH302:AI302"/>
    <mergeCell ref="AH303:AI303"/>
    <mergeCell ref="AX305:AZ305"/>
    <mergeCell ref="BA305:BB305"/>
    <mergeCell ref="BD305:BE305"/>
    <mergeCell ref="BF305:BI305"/>
    <mergeCell ref="BJ305:BM305"/>
    <mergeCell ref="BN305:BV305"/>
    <mergeCell ref="B306:C306"/>
    <mergeCell ref="D306:E306"/>
    <mergeCell ref="F306:G306"/>
    <mergeCell ref="H306:I306"/>
    <mergeCell ref="P306:Q306"/>
    <mergeCell ref="R306:S306"/>
    <mergeCell ref="T306:U306"/>
    <mergeCell ref="V306:W306"/>
    <mergeCell ref="X306:AA306"/>
    <mergeCell ref="AB306:AE306"/>
    <mergeCell ref="AJ306:AK306"/>
    <mergeCell ref="AL306:AM306"/>
    <mergeCell ref="AN306:AO306"/>
    <mergeCell ref="AP306:AQ306"/>
    <mergeCell ref="AR306:AS306"/>
    <mergeCell ref="AT306:AU306"/>
    <mergeCell ref="AX306:AZ306"/>
    <mergeCell ref="AT304:AU304"/>
    <mergeCell ref="AX304:AZ304"/>
    <mergeCell ref="BA304:BB304"/>
    <mergeCell ref="BD304:BE304"/>
    <mergeCell ref="BF304:BI304"/>
    <mergeCell ref="BJ304:BM304"/>
    <mergeCell ref="BN304:BV304"/>
    <mergeCell ref="B305:C305"/>
    <mergeCell ref="D305:E305"/>
    <mergeCell ref="F305:G305"/>
    <mergeCell ref="H305:I305"/>
    <mergeCell ref="L305:M305"/>
    <mergeCell ref="P305:Q305"/>
    <mergeCell ref="R305:S305"/>
    <mergeCell ref="T305:U305"/>
    <mergeCell ref="V305:W305"/>
    <mergeCell ref="X305:AA305"/>
    <mergeCell ref="AB305:AE305"/>
    <mergeCell ref="AJ305:AK305"/>
    <mergeCell ref="AL305:AM305"/>
    <mergeCell ref="AN305:AO305"/>
    <mergeCell ref="AP305:AQ305"/>
    <mergeCell ref="AR305:AS305"/>
    <mergeCell ref="AT305:AU305"/>
    <mergeCell ref="AV305:AW305"/>
    <mergeCell ref="AV306:AW306"/>
    <mergeCell ref="AF305:AG305"/>
    <mergeCell ref="AF306:AG306"/>
    <mergeCell ref="AH304:AI304"/>
    <mergeCell ref="AH305:AI305"/>
    <mergeCell ref="BD307:BE307"/>
    <mergeCell ref="BF307:BI307"/>
    <mergeCell ref="BJ307:BM307"/>
    <mergeCell ref="BN307:BV307"/>
    <mergeCell ref="B308:C308"/>
    <mergeCell ref="D308:E308"/>
    <mergeCell ref="F308:G308"/>
    <mergeCell ref="H308:I308"/>
    <mergeCell ref="P308:Q308"/>
    <mergeCell ref="R308:S308"/>
    <mergeCell ref="T308:U308"/>
    <mergeCell ref="V308:W308"/>
    <mergeCell ref="X308:AA308"/>
    <mergeCell ref="AB308:AE308"/>
    <mergeCell ref="AJ308:AK308"/>
    <mergeCell ref="AL308:AM308"/>
    <mergeCell ref="AN308:AO308"/>
    <mergeCell ref="AP308:AQ308"/>
    <mergeCell ref="AR308:AS308"/>
    <mergeCell ref="AT308:AU308"/>
    <mergeCell ref="AX308:AZ308"/>
    <mergeCell ref="BA308:BB308"/>
    <mergeCell ref="BD308:BE308"/>
    <mergeCell ref="BA306:BB306"/>
    <mergeCell ref="BD306:BE306"/>
    <mergeCell ref="BF306:BI306"/>
    <mergeCell ref="BJ306:BM306"/>
    <mergeCell ref="BN306:BV306"/>
    <mergeCell ref="B307:C307"/>
    <mergeCell ref="D307:E307"/>
    <mergeCell ref="F307:G307"/>
    <mergeCell ref="H307:I307"/>
    <mergeCell ref="L307:M307"/>
    <mergeCell ref="P307:Q307"/>
    <mergeCell ref="R307:S307"/>
    <mergeCell ref="T307:U307"/>
    <mergeCell ref="V307:W307"/>
    <mergeCell ref="X307:AA307"/>
    <mergeCell ref="AB307:AE307"/>
    <mergeCell ref="AJ307:AK307"/>
    <mergeCell ref="AL307:AM307"/>
    <mergeCell ref="AN307:AO307"/>
    <mergeCell ref="AP307:AQ307"/>
    <mergeCell ref="AR307:AS307"/>
    <mergeCell ref="AT307:AU307"/>
    <mergeCell ref="AX307:AZ307"/>
    <mergeCell ref="BA307:BB307"/>
    <mergeCell ref="AV307:AW307"/>
    <mergeCell ref="AV308:AW308"/>
    <mergeCell ref="AF307:AG307"/>
    <mergeCell ref="AF308:AG308"/>
    <mergeCell ref="AH306:AI306"/>
    <mergeCell ref="AH307:AI307"/>
    <mergeCell ref="BJ309:BM309"/>
    <mergeCell ref="BN309:BV309"/>
    <mergeCell ref="B310:C310"/>
    <mergeCell ref="D310:E310"/>
    <mergeCell ref="F310:G310"/>
    <mergeCell ref="H310:I310"/>
    <mergeCell ref="P310:Q310"/>
    <mergeCell ref="R310:S310"/>
    <mergeCell ref="T310:U310"/>
    <mergeCell ref="V310:W310"/>
    <mergeCell ref="X310:AA310"/>
    <mergeCell ref="AB310:AE310"/>
    <mergeCell ref="AJ310:AK310"/>
    <mergeCell ref="AL310:AM310"/>
    <mergeCell ref="AN310:AO310"/>
    <mergeCell ref="AP310:AQ310"/>
    <mergeCell ref="AR310:AS310"/>
    <mergeCell ref="AT310:AU310"/>
    <mergeCell ref="AX310:AZ310"/>
    <mergeCell ref="BA310:BB310"/>
    <mergeCell ref="BD310:BE310"/>
    <mergeCell ref="BF310:BI310"/>
    <mergeCell ref="BJ310:BM310"/>
    <mergeCell ref="BF308:BI308"/>
    <mergeCell ref="BJ308:BM308"/>
    <mergeCell ref="BN308:BV308"/>
    <mergeCell ref="B309:C309"/>
    <mergeCell ref="D309:E309"/>
    <mergeCell ref="F309:G309"/>
    <mergeCell ref="H309:I309"/>
    <mergeCell ref="L309:M309"/>
    <mergeCell ref="P309:Q309"/>
    <mergeCell ref="R309:S309"/>
    <mergeCell ref="T309:U309"/>
    <mergeCell ref="V309:W309"/>
    <mergeCell ref="X309:AA309"/>
    <mergeCell ref="AB309:AE309"/>
    <mergeCell ref="AJ309:AK309"/>
    <mergeCell ref="AL309:AM309"/>
    <mergeCell ref="AN309:AO309"/>
    <mergeCell ref="AP309:AQ309"/>
    <mergeCell ref="AR309:AS309"/>
    <mergeCell ref="AT309:AU309"/>
    <mergeCell ref="AX309:AZ309"/>
    <mergeCell ref="BA309:BB309"/>
    <mergeCell ref="BD309:BE309"/>
    <mergeCell ref="BF309:BI309"/>
    <mergeCell ref="AV309:AW309"/>
    <mergeCell ref="AV310:AW310"/>
    <mergeCell ref="AF309:AG309"/>
    <mergeCell ref="AF310:AG310"/>
    <mergeCell ref="AH308:AI308"/>
    <mergeCell ref="AH309:AI309"/>
    <mergeCell ref="BN311:BV311"/>
    <mergeCell ref="B312:C312"/>
    <mergeCell ref="D312:E312"/>
    <mergeCell ref="F312:G312"/>
    <mergeCell ref="H312:I312"/>
    <mergeCell ref="P312:Q312"/>
    <mergeCell ref="R312:S312"/>
    <mergeCell ref="T312:U312"/>
    <mergeCell ref="V312:W312"/>
    <mergeCell ref="X312:AA312"/>
    <mergeCell ref="AB312:AE312"/>
    <mergeCell ref="AJ312:AK312"/>
    <mergeCell ref="AL312:AM312"/>
    <mergeCell ref="AN312:AO312"/>
    <mergeCell ref="AP312:AQ312"/>
    <mergeCell ref="AR312:AS312"/>
    <mergeCell ref="AT312:AU312"/>
    <mergeCell ref="AX312:AZ312"/>
    <mergeCell ref="BA312:BB312"/>
    <mergeCell ref="BD312:BE312"/>
    <mergeCell ref="BF312:BI312"/>
    <mergeCell ref="BJ312:BM312"/>
    <mergeCell ref="BN310:BV310"/>
    <mergeCell ref="B311:C311"/>
    <mergeCell ref="D311:E311"/>
    <mergeCell ref="F311:G311"/>
    <mergeCell ref="H311:I311"/>
    <mergeCell ref="L311:M311"/>
    <mergeCell ref="P311:Q311"/>
    <mergeCell ref="R311:S311"/>
    <mergeCell ref="T311:U311"/>
    <mergeCell ref="V311:W311"/>
    <mergeCell ref="X311:AA311"/>
    <mergeCell ref="AB311:AE311"/>
    <mergeCell ref="AJ311:AK311"/>
    <mergeCell ref="AL311:AM311"/>
    <mergeCell ref="AN311:AO311"/>
    <mergeCell ref="AP311:AQ311"/>
    <mergeCell ref="AR311:AS311"/>
    <mergeCell ref="AT311:AU311"/>
    <mergeCell ref="AX311:AZ311"/>
    <mergeCell ref="BA311:BB311"/>
    <mergeCell ref="BD311:BE311"/>
    <mergeCell ref="BF311:BI311"/>
    <mergeCell ref="BJ311:BM311"/>
    <mergeCell ref="AV311:AW311"/>
    <mergeCell ref="AV312:AW312"/>
    <mergeCell ref="AF311:AG311"/>
    <mergeCell ref="AF312:AG312"/>
    <mergeCell ref="AH310:AI310"/>
    <mergeCell ref="AH311:AI311"/>
    <mergeCell ref="BN313:BV313"/>
    <mergeCell ref="B314:C314"/>
    <mergeCell ref="D314:E314"/>
    <mergeCell ref="F314:G314"/>
    <mergeCell ref="H314:I314"/>
    <mergeCell ref="L314:M314"/>
    <mergeCell ref="P314:Q314"/>
    <mergeCell ref="R314:S314"/>
    <mergeCell ref="T314:U314"/>
    <mergeCell ref="V314:W314"/>
    <mergeCell ref="X314:AA314"/>
    <mergeCell ref="AB314:AE314"/>
    <mergeCell ref="AJ314:AK314"/>
    <mergeCell ref="AL314:AM314"/>
    <mergeCell ref="AN314:AO314"/>
    <mergeCell ref="AP314:AQ314"/>
    <mergeCell ref="AR314:AS314"/>
    <mergeCell ref="AT314:AU314"/>
    <mergeCell ref="AX314:AZ314"/>
    <mergeCell ref="BA314:BB314"/>
    <mergeCell ref="BD314:BE314"/>
    <mergeCell ref="BF314:BI314"/>
    <mergeCell ref="BJ314:BM314"/>
    <mergeCell ref="BN314:BV314"/>
    <mergeCell ref="BN312:BV312"/>
    <mergeCell ref="B313:C313"/>
    <mergeCell ref="D313:E313"/>
    <mergeCell ref="F313:G313"/>
    <mergeCell ref="H313:I313"/>
    <mergeCell ref="L313:M313"/>
    <mergeCell ref="P313:Q313"/>
    <mergeCell ref="R313:S313"/>
    <mergeCell ref="T313:U313"/>
    <mergeCell ref="V313:W313"/>
    <mergeCell ref="X313:AA313"/>
    <mergeCell ref="AB313:AE313"/>
    <mergeCell ref="AJ313:AK313"/>
    <mergeCell ref="AL313:AM313"/>
    <mergeCell ref="AN313:AO313"/>
    <mergeCell ref="AP313:AQ313"/>
    <mergeCell ref="AR313:AS313"/>
    <mergeCell ref="AT313:AU313"/>
    <mergeCell ref="AX313:AZ313"/>
    <mergeCell ref="BA313:BB313"/>
    <mergeCell ref="BD313:BE313"/>
    <mergeCell ref="BF313:BI313"/>
    <mergeCell ref="BJ313:BM313"/>
    <mergeCell ref="AV313:AW313"/>
    <mergeCell ref="AV314:AW314"/>
    <mergeCell ref="AF313:AG313"/>
    <mergeCell ref="AF314:AG314"/>
    <mergeCell ref="AH312:AI312"/>
    <mergeCell ref="AH313:AI313"/>
    <mergeCell ref="AH314:AI314"/>
    <mergeCell ref="AN316:AO316"/>
    <mergeCell ref="AP316:AQ316"/>
    <mergeCell ref="AR316:AS316"/>
    <mergeCell ref="AT316:AU316"/>
    <mergeCell ref="AX316:AZ316"/>
    <mergeCell ref="BA316:BB316"/>
    <mergeCell ref="BD316:BE316"/>
    <mergeCell ref="BF316:BI316"/>
    <mergeCell ref="BJ316:BM316"/>
    <mergeCell ref="BN316:BV316"/>
    <mergeCell ref="B317:C317"/>
    <mergeCell ref="D317:E317"/>
    <mergeCell ref="F317:G317"/>
    <mergeCell ref="H317:I317"/>
    <mergeCell ref="L317:M317"/>
    <mergeCell ref="P317:Q317"/>
    <mergeCell ref="R317:S317"/>
    <mergeCell ref="T317:U317"/>
    <mergeCell ref="V317:W317"/>
    <mergeCell ref="X317:AA317"/>
    <mergeCell ref="AB317:AE317"/>
    <mergeCell ref="AJ317:AK317"/>
    <mergeCell ref="AL317:AM317"/>
    <mergeCell ref="AN317:AO317"/>
    <mergeCell ref="AL315:AM315"/>
    <mergeCell ref="AN315:AO315"/>
    <mergeCell ref="AP315:AQ315"/>
    <mergeCell ref="AR315:AS315"/>
    <mergeCell ref="AT315:AU315"/>
    <mergeCell ref="AX315:AZ315"/>
    <mergeCell ref="BA315:BB315"/>
    <mergeCell ref="BD315:BE315"/>
    <mergeCell ref="BF315:BI315"/>
    <mergeCell ref="BJ315:BM315"/>
    <mergeCell ref="BN315:BV315"/>
    <mergeCell ref="B316:C316"/>
    <mergeCell ref="D316:E316"/>
    <mergeCell ref="F316:G316"/>
    <mergeCell ref="H316:I316"/>
    <mergeCell ref="L316:M316"/>
    <mergeCell ref="P316:Q316"/>
    <mergeCell ref="R316:S316"/>
    <mergeCell ref="T316:U316"/>
    <mergeCell ref="V316:W316"/>
    <mergeCell ref="X316:AA316"/>
    <mergeCell ref="AB316:AE316"/>
    <mergeCell ref="AJ316:AK316"/>
    <mergeCell ref="AL316:AM316"/>
    <mergeCell ref="B315:C315"/>
    <mergeCell ref="D315:E315"/>
    <mergeCell ref="F315:G315"/>
    <mergeCell ref="H315:I315"/>
    <mergeCell ref="L315:M315"/>
    <mergeCell ref="P315:Q315"/>
    <mergeCell ref="R315:S315"/>
    <mergeCell ref="T315:U315"/>
    <mergeCell ref="V315:W315"/>
    <mergeCell ref="X315:AA315"/>
    <mergeCell ref="AB315:AE315"/>
    <mergeCell ref="AJ315:AK315"/>
    <mergeCell ref="AV315:AW315"/>
    <mergeCell ref="AV316:AW316"/>
    <mergeCell ref="AV317:AW317"/>
    <mergeCell ref="AF315:AG315"/>
    <mergeCell ref="AR318:AS318"/>
    <mergeCell ref="AT318:AU318"/>
    <mergeCell ref="AX318:AZ318"/>
    <mergeCell ref="BA318:BB318"/>
    <mergeCell ref="BD318:BE318"/>
    <mergeCell ref="BF318:BI318"/>
    <mergeCell ref="BJ318:BM318"/>
    <mergeCell ref="BN318:BV318"/>
    <mergeCell ref="B319:C319"/>
    <mergeCell ref="D319:E319"/>
    <mergeCell ref="F319:G319"/>
    <mergeCell ref="H319:I319"/>
    <mergeCell ref="L319:M319"/>
    <mergeCell ref="P319:Q319"/>
    <mergeCell ref="R319:S319"/>
    <mergeCell ref="T319:U319"/>
    <mergeCell ref="V319:W319"/>
    <mergeCell ref="X319:AA319"/>
    <mergeCell ref="AB319:AE319"/>
    <mergeCell ref="AJ319:AK319"/>
    <mergeCell ref="AL319:AM319"/>
    <mergeCell ref="AN319:AO319"/>
    <mergeCell ref="AP319:AQ319"/>
    <mergeCell ref="AR319:AS319"/>
    <mergeCell ref="AP317:AQ317"/>
    <mergeCell ref="AR317:AS317"/>
    <mergeCell ref="AT317:AU317"/>
    <mergeCell ref="AX317:AZ317"/>
    <mergeCell ref="BA317:BB317"/>
    <mergeCell ref="BD317:BE317"/>
    <mergeCell ref="BF317:BI317"/>
    <mergeCell ref="BJ317:BM317"/>
    <mergeCell ref="BN317:BV317"/>
    <mergeCell ref="B318:C318"/>
    <mergeCell ref="D318:E318"/>
    <mergeCell ref="F318:G318"/>
    <mergeCell ref="H318:I318"/>
    <mergeCell ref="L318:M318"/>
    <mergeCell ref="P318:Q318"/>
    <mergeCell ref="R318:S318"/>
    <mergeCell ref="T318:U318"/>
    <mergeCell ref="V318:W318"/>
    <mergeCell ref="X318:AA318"/>
    <mergeCell ref="AB318:AE318"/>
    <mergeCell ref="AJ318:AK318"/>
    <mergeCell ref="AL318:AM318"/>
    <mergeCell ref="AN318:AO318"/>
    <mergeCell ref="AP318:AQ318"/>
    <mergeCell ref="AV318:AW318"/>
    <mergeCell ref="AV319:AW319"/>
    <mergeCell ref="J318:K318"/>
    <mergeCell ref="AX320:AZ320"/>
    <mergeCell ref="BA320:BB320"/>
    <mergeCell ref="BD320:BE320"/>
    <mergeCell ref="BF320:BI320"/>
    <mergeCell ref="BJ320:BM320"/>
    <mergeCell ref="BN320:BV320"/>
    <mergeCell ref="B321:C321"/>
    <mergeCell ref="D321:E321"/>
    <mergeCell ref="F321:G321"/>
    <mergeCell ref="H321:I321"/>
    <mergeCell ref="L321:M321"/>
    <mergeCell ref="P321:Q321"/>
    <mergeCell ref="R321:S321"/>
    <mergeCell ref="T321:U321"/>
    <mergeCell ref="V321:W321"/>
    <mergeCell ref="X321:AA321"/>
    <mergeCell ref="AB321:AE321"/>
    <mergeCell ref="AJ321:AK321"/>
    <mergeCell ref="AL321:AM321"/>
    <mergeCell ref="AN321:AO321"/>
    <mergeCell ref="AP321:AQ321"/>
    <mergeCell ref="AR321:AS321"/>
    <mergeCell ref="AT321:AU321"/>
    <mergeCell ref="AX321:AZ321"/>
    <mergeCell ref="AT319:AU319"/>
    <mergeCell ref="AX319:AZ319"/>
    <mergeCell ref="BA319:BB319"/>
    <mergeCell ref="BD319:BE319"/>
    <mergeCell ref="BF319:BI319"/>
    <mergeCell ref="BJ319:BM319"/>
    <mergeCell ref="BN319:BV319"/>
    <mergeCell ref="B320:C320"/>
    <mergeCell ref="D320:E320"/>
    <mergeCell ref="F320:G320"/>
    <mergeCell ref="H320:I320"/>
    <mergeCell ref="L320:M320"/>
    <mergeCell ref="P320:Q320"/>
    <mergeCell ref="R320:S320"/>
    <mergeCell ref="T320:U320"/>
    <mergeCell ref="V320:W320"/>
    <mergeCell ref="X320:AA320"/>
    <mergeCell ref="AB320:AE320"/>
    <mergeCell ref="AJ320:AK320"/>
    <mergeCell ref="AL320:AM320"/>
    <mergeCell ref="AN320:AO320"/>
    <mergeCell ref="AP320:AQ320"/>
    <mergeCell ref="AR320:AS320"/>
    <mergeCell ref="AT320:AU320"/>
    <mergeCell ref="AV320:AW320"/>
    <mergeCell ref="AV321:AW321"/>
    <mergeCell ref="J319:K319"/>
    <mergeCell ref="J320:K320"/>
    <mergeCell ref="BD322:BE322"/>
    <mergeCell ref="BF322:BI322"/>
    <mergeCell ref="BJ322:BM322"/>
    <mergeCell ref="BN322:BV322"/>
    <mergeCell ref="B323:C323"/>
    <mergeCell ref="D323:E323"/>
    <mergeCell ref="F323:G323"/>
    <mergeCell ref="H323:I323"/>
    <mergeCell ref="L323:M323"/>
    <mergeCell ref="P323:Q323"/>
    <mergeCell ref="R323:S323"/>
    <mergeCell ref="T323:U323"/>
    <mergeCell ref="V323:W323"/>
    <mergeCell ref="X323:AA323"/>
    <mergeCell ref="AB323:AE323"/>
    <mergeCell ref="AJ323:AK323"/>
    <mergeCell ref="AL323:AM323"/>
    <mergeCell ref="AN323:AO323"/>
    <mergeCell ref="AP323:AQ323"/>
    <mergeCell ref="AR323:AS323"/>
    <mergeCell ref="AT323:AU323"/>
    <mergeCell ref="AX323:AZ323"/>
    <mergeCell ref="BA323:BB323"/>
    <mergeCell ref="BD323:BE323"/>
    <mergeCell ref="BA321:BB321"/>
    <mergeCell ref="BD321:BE321"/>
    <mergeCell ref="BF321:BI321"/>
    <mergeCell ref="BJ321:BM321"/>
    <mergeCell ref="BN321:BV321"/>
    <mergeCell ref="B322:C322"/>
    <mergeCell ref="D322:E322"/>
    <mergeCell ref="F322:G322"/>
    <mergeCell ref="H322:I322"/>
    <mergeCell ref="L322:M322"/>
    <mergeCell ref="P322:Q322"/>
    <mergeCell ref="R322:S322"/>
    <mergeCell ref="T322:U322"/>
    <mergeCell ref="V322:W322"/>
    <mergeCell ref="X322:AA322"/>
    <mergeCell ref="AB322:AE322"/>
    <mergeCell ref="AJ322:AK322"/>
    <mergeCell ref="AL322:AM322"/>
    <mergeCell ref="AN322:AO322"/>
    <mergeCell ref="AP322:AQ322"/>
    <mergeCell ref="AR322:AS322"/>
    <mergeCell ref="AT322:AU322"/>
    <mergeCell ref="AX322:AZ322"/>
    <mergeCell ref="BA322:BB322"/>
    <mergeCell ref="AV322:AW322"/>
    <mergeCell ref="AV323:AW323"/>
    <mergeCell ref="J321:K321"/>
    <mergeCell ref="J322:K322"/>
    <mergeCell ref="BJ324:BM324"/>
    <mergeCell ref="BN324:BV324"/>
    <mergeCell ref="B325:C325"/>
    <mergeCell ref="D325:E325"/>
    <mergeCell ref="F325:G325"/>
    <mergeCell ref="H325:I325"/>
    <mergeCell ref="L325:M325"/>
    <mergeCell ref="P325:Q325"/>
    <mergeCell ref="R325:S325"/>
    <mergeCell ref="T325:U325"/>
    <mergeCell ref="V325:W325"/>
    <mergeCell ref="X325:AA325"/>
    <mergeCell ref="AB325:AE325"/>
    <mergeCell ref="AJ325:AK325"/>
    <mergeCell ref="AL325:AM325"/>
    <mergeCell ref="AN325:AO325"/>
    <mergeCell ref="AP325:AQ325"/>
    <mergeCell ref="AR325:AS325"/>
    <mergeCell ref="AT325:AU325"/>
    <mergeCell ref="AX325:AZ325"/>
    <mergeCell ref="BA325:BB325"/>
    <mergeCell ref="BD325:BE325"/>
    <mergeCell ref="BF325:BI325"/>
    <mergeCell ref="BJ325:BM325"/>
    <mergeCell ref="BF323:BI323"/>
    <mergeCell ref="BJ323:BM323"/>
    <mergeCell ref="BN323:BV323"/>
    <mergeCell ref="B324:C324"/>
    <mergeCell ref="D324:E324"/>
    <mergeCell ref="F324:G324"/>
    <mergeCell ref="H324:I324"/>
    <mergeCell ref="L324:M324"/>
    <mergeCell ref="P324:Q324"/>
    <mergeCell ref="R324:S324"/>
    <mergeCell ref="T324:U324"/>
    <mergeCell ref="V324:W324"/>
    <mergeCell ref="X324:AA324"/>
    <mergeCell ref="AB324:AE324"/>
    <mergeCell ref="AJ324:AK324"/>
    <mergeCell ref="AL324:AM324"/>
    <mergeCell ref="AN324:AO324"/>
    <mergeCell ref="AP324:AQ324"/>
    <mergeCell ref="AR324:AS324"/>
    <mergeCell ref="AT324:AU324"/>
    <mergeCell ref="AX324:AZ324"/>
    <mergeCell ref="BA324:BB324"/>
    <mergeCell ref="BD324:BE324"/>
    <mergeCell ref="BF324:BI324"/>
    <mergeCell ref="AV324:AW324"/>
    <mergeCell ref="AV325:AW325"/>
    <mergeCell ref="J323:K323"/>
    <mergeCell ref="J324:K324"/>
    <mergeCell ref="BN326:BV326"/>
    <mergeCell ref="B327:C327"/>
    <mergeCell ref="D327:E327"/>
    <mergeCell ref="F327:G327"/>
    <mergeCell ref="H327:I327"/>
    <mergeCell ref="L327:M327"/>
    <mergeCell ref="P327:Q327"/>
    <mergeCell ref="R327:S327"/>
    <mergeCell ref="T327:U327"/>
    <mergeCell ref="V327:W327"/>
    <mergeCell ref="X327:AA327"/>
    <mergeCell ref="AB327:AE327"/>
    <mergeCell ref="AJ327:AK327"/>
    <mergeCell ref="AL327:AM327"/>
    <mergeCell ref="AN327:AO327"/>
    <mergeCell ref="AP327:AQ327"/>
    <mergeCell ref="AR327:AS327"/>
    <mergeCell ref="AT327:AU327"/>
    <mergeCell ref="AX327:AZ327"/>
    <mergeCell ref="BA327:BB327"/>
    <mergeCell ref="BD327:BE327"/>
    <mergeCell ref="BF327:BI327"/>
    <mergeCell ref="BJ327:BM327"/>
    <mergeCell ref="BN325:BV325"/>
    <mergeCell ref="B326:C326"/>
    <mergeCell ref="D326:E326"/>
    <mergeCell ref="F326:G326"/>
    <mergeCell ref="H326:I326"/>
    <mergeCell ref="L326:M326"/>
    <mergeCell ref="P326:Q326"/>
    <mergeCell ref="R326:S326"/>
    <mergeCell ref="T326:U326"/>
    <mergeCell ref="V326:W326"/>
    <mergeCell ref="X326:AA326"/>
    <mergeCell ref="AB326:AE326"/>
    <mergeCell ref="AJ326:AK326"/>
    <mergeCell ref="AL326:AM326"/>
    <mergeCell ref="AN326:AO326"/>
    <mergeCell ref="AP326:AQ326"/>
    <mergeCell ref="AR326:AS326"/>
    <mergeCell ref="AT326:AU326"/>
    <mergeCell ref="AX326:AZ326"/>
    <mergeCell ref="BA326:BB326"/>
    <mergeCell ref="BD326:BE326"/>
    <mergeCell ref="BF326:BI326"/>
    <mergeCell ref="BJ326:BM326"/>
    <mergeCell ref="AV326:AW326"/>
    <mergeCell ref="AV327:AW327"/>
    <mergeCell ref="J325:K325"/>
    <mergeCell ref="J326:K326"/>
    <mergeCell ref="BN328:BV328"/>
    <mergeCell ref="B329:C329"/>
    <mergeCell ref="D329:E329"/>
    <mergeCell ref="F329:G329"/>
    <mergeCell ref="H329:I329"/>
    <mergeCell ref="L329:M329"/>
    <mergeCell ref="P329:Q329"/>
    <mergeCell ref="R329:S329"/>
    <mergeCell ref="T329:U329"/>
    <mergeCell ref="V329:W329"/>
    <mergeCell ref="X329:AA329"/>
    <mergeCell ref="AB329:AE329"/>
    <mergeCell ref="AJ329:AK329"/>
    <mergeCell ref="AL329:AM329"/>
    <mergeCell ref="AN329:AO329"/>
    <mergeCell ref="AP329:AQ329"/>
    <mergeCell ref="AR329:AS329"/>
    <mergeCell ref="AT329:AU329"/>
    <mergeCell ref="AX329:AZ329"/>
    <mergeCell ref="BA329:BB329"/>
    <mergeCell ref="BD329:BE329"/>
    <mergeCell ref="BF329:BI329"/>
    <mergeCell ref="BJ329:BM329"/>
    <mergeCell ref="BN329:BV329"/>
    <mergeCell ref="BN327:BV327"/>
    <mergeCell ref="B328:C328"/>
    <mergeCell ref="D328:E328"/>
    <mergeCell ref="F328:G328"/>
    <mergeCell ref="H328:I328"/>
    <mergeCell ref="L328:M328"/>
    <mergeCell ref="P328:Q328"/>
    <mergeCell ref="R328:S328"/>
    <mergeCell ref="T328:U328"/>
    <mergeCell ref="V328:W328"/>
    <mergeCell ref="X328:AA328"/>
    <mergeCell ref="AB328:AE328"/>
    <mergeCell ref="AJ328:AK328"/>
    <mergeCell ref="AL328:AM328"/>
    <mergeCell ref="AN328:AO328"/>
    <mergeCell ref="AP328:AQ328"/>
    <mergeCell ref="AR328:AS328"/>
    <mergeCell ref="AT328:AU328"/>
    <mergeCell ref="AX328:AZ328"/>
    <mergeCell ref="BA328:BB328"/>
    <mergeCell ref="BD328:BE328"/>
    <mergeCell ref="BF328:BI328"/>
    <mergeCell ref="BJ328:BM328"/>
    <mergeCell ref="AV328:AW328"/>
    <mergeCell ref="AV329:AW329"/>
    <mergeCell ref="J327:K327"/>
    <mergeCell ref="J328:K328"/>
    <mergeCell ref="J329:K329"/>
    <mergeCell ref="AN331:AO331"/>
    <mergeCell ref="AP331:AQ331"/>
    <mergeCell ref="AR331:AS331"/>
    <mergeCell ref="AT331:AU331"/>
    <mergeCell ref="AX331:AZ331"/>
    <mergeCell ref="BA331:BB331"/>
    <mergeCell ref="BD331:BE331"/>
    <mergeCell ref="BF331:BI331"/>
    <mergeCell ref="BJ331:BM331"/>
    <mergeCell ref="BN331:BV331"/>
    <mergeCell ref="B332:C332"/>
    <mergeCell ref="D332:E332"/>
    <mergeCell ref="F332:G332"/>
    <mergeCell ref="H332:I332"/>
    <mergeCell ref="L332:M332"/>
    <mergeCell ref="P332:Q332"/>
    <mergeCell ref="R332:S332"/>
    <mergeCell ref="T332:U332"/>
    <mergeCell ref="V332:W332"/>
    <mergeCell ref="X332:AA332"/>
    <mergeCell ref="AB332:AE332"/>
    <mergeCell ref="AJ332:AK332"/>
    <mergeCell ref="AL332:AM332"/>
    <mergeCell ref="AN332:AO332"/>
    <mergeCell ref="AL330:AM330"/>
    <mergeCell ref="AN330:AO330"/>
    <mergeCell ref="AP330:AQ330"/>
    <mergeCell ref="AR330:AS330"/>
    <mergeCell ref="AT330:AU330"/>
    <mergeCell ref="AX330:AZ330"/>
    <mergeCell ref="BA330:BB330"/>
    <mergeCell ref="BD330:BE330"/>
    <mergeCell ref="BF330:BI330"/>
    <mergeCell ref="BJ330:BM330"/>
    <mergeCell ref="BN330:BV330"/>
    <mergeCell ref="B331:C331"/>
    <mergeCell ref="D331:E331"/>
    <mergeCell ref="F331:G331"/>
    <mergeCell ref="H331:I331"/>
    <mergeCell ref="L331:M331"/>
    <mergeCell ref="P331:Q331"/>
    <mergeCell ref="R331:S331"/>
    <mergeCell ref="T331:U331"/>
    <mergeCell ref="V331:W331"/>
    <mergeCell ref="X331:AA331"/>
    <mergeCell ref="AB331:AE331"/>
    <mergeCell ref="AJ331:AK331"/>
    <mergeCell ref="AL331:AM331"/>
    <mergeCell ref="B330:C330"/>
    <mergeCell ref="D330:E330"/>
    <mergeCell ref="F330:G330"/>
    <mergeCell ref="H330:I330"/>
    <mergeCell ref="L330:M330"/>
    <mergeCell ref="P330:Q330"/>
    <mergeCell ref="R330:S330"/>
    <mergeCell ref="T330:U330"/>
    <mergeCell ref="V330:W330"/>
    <mergeCell ref="X330:AA330"/>
    <mergeCell ref="AB330:AE330"/>
    <mergeCell ref="AJ330:AK330"/>
    <mergeCell ref="AV330:AW330"/>
    <mergeCell ref="AV331:AW331"/>
    <mergeCell ref="AV332:AW332"/>
    <mergeCell ref="AF331:AG331"/>
    <mergeCell ref="AR333:AS333"/>
    <mergeCell ref="AT333:AU333"/>
    <mergeCell ref="AX333:AZ333"/>
    <mergeCell ref="BA333:BB333"/>
    <mergeCell ref="BD333:BE333"/>
    <mergeCell ref="BF333:BI333"/>
    <mergeCell ref="BJ333:BM333"/>
    <mergeCell ref="BN333:BV333"/>
    <mergeCell ref="B334:C334"/>
    <mergeCell ref="D334:E334"/>
    <mergeCell ref="F334:G334"/>
    <mergeCell ref="H334:I334"/>
    <mergeCell ref="L334:M334"/>
    <mergeCell ref="P334:Q334"/>
    <mergeCell ref="R334:S334"/>
    <mergeCell ref="T334:U334"/>
    <mergeCell ref="V334:W334"/>
    <mergeCell ref="X334:AA334"/>
    <mergeCell ref="AB334:AE334"/>
    <mergeCell ref="AJ334:AK334"/>
    <mergeCell ref="AL334:AM334"/>
    <mergeCell ref="AN334:AO334"/>
    <mergeCell ref="AP334:AQ334"/>
    <mergeCell ref="AR334:AS334"/>
    <mergeCell ref="AP332:AQ332"/>
    <mergeCell ref="AR332:AS332"/>
    <mergeCell ref="AT332:AU332"/>
    <mergeCell ref="AX332:AZ332"/>
    <mergeCell ref="BA332:BB332"/>
    <mergeCell ref="BD332:BE332"/>
    <mergeCell ref="BF332:BI332"/>
    <mergeCell ref="BJ332:BM332"/>
    <mergeCell ref="BN332:BV332"/>
    <mergeCell ref="B333:C333"/>
    <mergeCell ref="D333:E333"/>
    <mergeCell ref="F333:G333"/>
    <mergeCell ref="H333:I333"/>
    <mergeCell ref="L333:M333"/>
    <mergeCell ref="P333:Q333"/>
    <mergeCell ref="R333:S333"/>
    <mergeCell ref="T333:U333"/>
    <mergeCell ref="V333:W333"/>
    <mergeCell ref="X333:AA333"/>
    <mergeCell ref="AB333:AE333"/>
    <mergeCell ref="AJ333:AK333"/>
    <mergeCell ref="AL333:AM333"/>
    <mergeCell ref="AN333:AO333"/>
    <mergeCell ref="AP333:AQ333"/>
    <mergeCell ref="AV333:AW333"/>
    <mergeCell ref="AV334:AW334"/>
    <mergeCell ref="AF332:AG332"/>
    <mergeCell ref="AF333:AG333"/>
    <mergeCell ref="AF334:AG334"/>
    <mergeCell ref="AX335:AZ335"/>
    <mergeCell ref="BA335:BB335"/>
    <mergeCell ref="BD335:BE335"/>
    <mergeCell ref="BF335:BI335"/>
    <mergeCell ref="BJ335:BM335"/>
    <mergeCell ref="BN335:BV335"/>
    <mergeCell ref="B336:C336"/>
    <mergeCell ref="D336:E336"/>
    <mergeCell ref="F336:G336"/>
    <mergeCell ref="H336:I336"/>
    <mergeCell ref="L336:M336"/>
    <mergeCell ref="P336:Q336"/>
    <mergeCell ref="R336:S336"/>
    <mergeCell ref="T336:U336"/>
    <mergeCell ref="V336:W336"/>
    <mergeCell ref="X336:AA336"/>
    <mergeCell ref="AB336:AE336"/>
    <mergeCell ref="AJ336:AK336"/>
    <mergeCell ref="AL336:AM336"/>
    <mergeCell ref="AN336:AO336"/>
    <mergeCell ref="AP336:AQ336"/>
    <mergeCell ref="AR336:AS336"/>
    <mergeCell ref="AT336:AU336"/>
    <mergeCell ref="AX336:AZ336"/>
    <mergeCell ref="AT334:AU334"/>
    <mergeCell ref="AX334:AZ334"/>
    <mergeCell ref="BA334:BB334"/>
    <mergeCell ref="BD334:BE334"/>
    <mergeCell ref="BF334:BI334"/>
    <mergeCell ref="BJ334:BM334"/>
    <mergeCell ref="BN334:BV334"/>
    <mergeCell ref="B335:C335"/>
    <mergeCell ref="D335:E335"/>
    <mergeCell ref="F335:G335"/>
    <mergeCell ref="H335:I335"/>
    <mergeCell ref="L335:M335"/>
    <mergeCell ref="P335:Q335"/>
    <mergeCell ref="R335:S335"/>
    <mergeCell ref="T335:U335"/>
    <mergeCell ref="V335:W335"/>
    <mergeCell ref="X335:AA335"/>
    <mergeCell ref="AB335:AE335"/>
    <mergeCell ref="AJ335:AK335"/>
    <mergeCell ref="AL335:AM335"/>
    <mergeCell ref="AN335:AO335"/>
    <mergeCell ref="AP335:AQ335"/>
    <mergeCell ref="AR335:AS335"/>
    <mergeCell ref="AT335:AU335"/>
    <mergeCell ref="AV335:AW335"/>
    <mergeCell ref="AV336:AW336"/>
    <mergeCell ref="AH334:AI334"/>
    <mergeCell ref="AH335:AI335"/>
    <mergeCell ref="AF335:AG335"/>
    <mergeCell ref="AF336:AG336"/>
    <mergeCell ref="BD337:BE337"/>
    <mergeCell ref="BF337:BI337"/>
    <mergeCell ref="BJ337:BM337"/>
    <mergeCell ref="BN337:BV337"/>
    <mergeCell ref="B338:C338"/>
    <mergeCell ref="D338:E338"/>
    <mergeCell ref="F338:G338"/>
    <mergeCell ref="H338:I338"/>
    <mergeCell ref="L338:M338"/>
    <mergeCell ref="P338:Q338"/>
    <mergeCell ref="R338:S338"/>
    <mergeCell ref="T338:U338"/>
    <mergeCell ref="V338:W338"/>
    <mergeCell ref="X338:AA338"/>
    <mergeCell ref="AB338:AE338"/>
    <mergeCell ref="AJ338:AK338"/>
    <mergeCell ref="AL338:AM338"/>
    <mergeCell ref="AN338:AO338"/>
    <mergeCell ref="AP338:AQ338"/>
    <mergeCell ref="AR338:AS338"/>
    <mergeCell ref="AT338:AU338"/>
    <mergeCell ref="AX338:AZ338"/>
    <mergeCell ref="BA338:BB338"/>
    <mergeCell ref="BD338:BE338"/>
    <mergeCell ref="BA336:BB336"/>
    <mergeCell ref="BD336:BE336"/>
    <mergeCell ref="BF336:BI336"/>
    <mergeCell ref="BJ336:BM336"/>
    <mergeCell ref="BN336:BV336"/>
    <mergeCell ref="B337:C337"/>
    <mergeCell ref="D337:E337"/>
    <mergeCell ref="F337:G337"/>
    <mergeCell ref="H337:I337"/>
    <mergeCell ref="L337:M337"/>
    <mergeCell ref="P337:Q337"/>
    <mergeCell ref="R337:S337"/>
    <mergeCell ref="T337:U337"/>
    <mergeCell ref="V337:W337"/>
    <mergeCell ref="X337:AA337"/>
    <mergeCell ref="AB337:AE337"/>
    <mergeCell ref="AJ337:AK337"/>
    <mergeCell ref="AL337:AM337"/>
    <mergeCell ref="AN337:AO337"/>
    <mergeCell ref="AP337:AQ337"/>
    <mergeCell ref="AR337:AS337"/>
    <mergeCell ref="AT337:AU337"/>
    <mergeCell ref="AX337:AZ337"/>
    <mergeCell ref="BA337:BB337"/>
    <mergeCell ref="AV337:AW337"/>
    <mergeCell ref="AV338:AW338"/>
    <mergeCell ref="AH336:AI336"/>
    <mergeCell ref="AH337:AI337"/>
    <mergeCell ref="AF337:AG337"/>
    <mergeCell ref="AF338:AG338"/>
    <mergeCell ref="J336:K336"/>
    <mergeCell ref="J337:K337"/>
    <mergeCell ref="BJ339:BM339"/>
    <mergeCell ref="BN339:BV339"/>
    <mergeCell ref="B340:C340"/>
    <mergeCell ref="D340:E340"/>
    <mergeCell ref="F340:G340"/>
    <mergeCell ref="H340:I340"/>
    <mergeCell ref="L340:M340"/>
    <mergeCell ref="P340:Q340"/>
    <mergeCell ref="R340:S340"/>
    <mergeCell ref="T340:U340"/>
    <mergeCell ref="V340:W340"/>
    <mergeCell ref="X340:AA340"/>
    <mergeCell ref="AB340:AE340"/>
    <mergeCell ref="AJ340:AK340"/>
    <mergeCell ref="AL340:AM340"/>
    <mergeCell ref="AN340:AO340"/>
    <mergeCell ref="AP340:AQ340"/>
    <mergeCell ref="AR340:AS340"/>
    <mergeCell ref="AT340:AU340"/>
    <mergeCell ref="AX340:AZ340"/>
    <mergeCell ref="BA340:BB340"/>
    <mergeCell ref="BD340:BE340"/>
    <mergeCell ref="BF340:BI340"/>
    <mergeCell ref="BJ340:BM340"/>
    <mergeCell ref="BF338:BI338"/>
    <mergeCell ref="BJ338:BM338"/>
    <mergeCell ref="BN338:BV338"/>
    <mergeCell ref="B339:C339"/>
    <mergeCell ref="D339:E339"/>
    <mergeCell ref="F339:G339"/>
    <mergeCell ref="H339:I339"/>
    <mergeCell ref="L339:M339"/>
    <mergeCell ref="P339:Q339"/>
    <mergeCell ref="R339:S339"/>
    <mergeCell ref="T339:U339"/>
    <mergeCell ref="V339:W339"/>
    <mergeCell ref="X339:AA339"/>
    <mergeCell ref="AB339:AE339"/>
    <mergeCell ref="AJ339:AK339"/>
    <mergeCell ref="AL339:AM339"/>
    <mergeCell ref="AN339:AO339"/>
    <mergeCell ref="AP339:AQ339"/>
    <mergeCell ref="AR339:AS339"/>
    <mergeCell ref="AT339:AU339"/>
    <mergeCell ref="AX339:AZ339"/>
    <mergeCell ref="BA339:BB339"/>
    <mergeCell ref="BD339:BE339"/>
    <mergeCell ref="BF339:BI339"/>
    <mergeCell ref="AV339:AW339"/>
    <mergeCell ref="AV340:AW340"/>
    <mergeCell ref="AH338:AI338"/>
    <mergeCell ref="AH339:AI339"/>
    <mergeCell ref="AF339:AG339"/>
    <mergeCell ref="AF340:AG340"/>
    <mergeCell ref="J338:K338"/>
    <mergeCell ref="J339:K339"/>
    <mergeCell ref="BN341:BV341"/>
    <mergeCell ref="B342:C342"/>
    <mergeCell ref="D342:E342"/>
    <mergeCell ref="F342:G342"/>
    <mergeCell ref="H342:I342"/>
    <mergeCell ref="L342:M342"/>
    <mergeCell ref="P342:Q342"/>
    <mergeCell ref="R342:S342"/>
    <mergeCell ref="T342:U342"/>
    <mergeCell ref="V342:W342"/>
    <mergeCell ref="X342:AA342"/>
    <mergeCell ref="AB342:AE342"/>
    <mergeCell ref="AJ342:AK342"/>
    <mergeCell ref="AL342:AM342"/>
    <mergeCell ref="AN342:AO342"/>
    <mergeCell ref="AP342:AQ342"/>
    <mergeCell ref="AR342:AS342"/>
    <mergeCell ref="AT342:AU342"/>
    <mergeCell ref="AX342:AZ342"/>
    <mergeCell ref="BA342:BB342"/>
    <mergeCell ref="BD342:BE342"/>
    <mergeCell ref="BF342:BI342"/>
    <mergeCell ref="BJ342:BM342"/>
    <mergeCell ref="BN340:BV340"/>
    <mergeCell ref="B341:C341"/>
    <mergeCell ref="D341:E341"/>
    <mergeCell ref="F341:G341"/>
    <mergeCell ref="H341:I341"/>
    <mergeCell ref="L341:M341"/>
    <mergeCell ref="P341:Q341"/>
    <mergeCell ref="R341:S341"/>
    <mergeCell ref="T341:U341"/>
    <mergeCell ref="V341:W341"/>
    <mergeCell ref="X341:AA341"/>
    <mergeCell ref="AB341:AE341"/>
    <mergeCell ref="AJ341:AK341"/>
    <mergeCell ref="AL341:AM341"/>
    <mergeCell ref="AN341:AO341"/>
    <mergeCell ref="AP341:AQ341"/>
    <mergeCell ref="AR341:AS341"/>
    <mergeCell ref="AT341:AU341"/>
    <mergeCell ref="AX341:AZ341"/>
    <mergeCell ref="BA341:BB341"/>
    <mergeCell ref="BD341:BE341"/>
    <mergeCell ref="BF341:BI341"/>
    <mergeCell ref="BJ341:BM341"/>
    <mergeCell ref="AV341:AW341"/>
    <mergeCell ref="AV342:AW342"/>
    <mergeCell ref="AH340:AI340"/>
    <mergeCell ref="AH341:AI341"/>
    <mergeCell ref="AF341:AG341"/>
    <mergeCell ref="AF342:AG342"/>
    <mergeCell ref="J340:K340"/>
    <mergeCell ref="J341:K341"/>
    <mergeCell ref="BN343:BV343"/>
    <mergeCell ref="B344:C344"/>
    <mergeCell ref="D344:E344"/>
    <mergeCell ref="F344:G344"/>
    <mergeCell ref="H344:I344"/>
    <mergeCell ref="L344:M344"/>
    <mergeCell ref="P344:Q344"/>
    <mergeCell ref="R344:S344"/>
    <mergeCell ref="T344:U344"/>
    <mergeCell ref="V344:W344"/>
    <mergeCell ref="X344:AA344"/>
    <mergeCell ref="AB344:AE344"/>
    <mergeCell ref="AJ344:AK344"/>
    <mergeCell ref="AL344:AM344"/>
    <mergeCell ref="AN344:AO344"/>
    <mergeCell ref="AP344:AQ344"/>
    <mergeCell ref="AR344:AS344"/>
    <mergeCell ref="AT344:AU344"/>
    <mergeCell ref="AX344:AZ344"/>
    <mergeCell ref="BA344:BB344"/>
    <mergeCell ref="BD344:BE344"/>
    <mergeCell ref="BF344:BI344"/>
    <mergeCell ref="BJ344:BM344"/>
    <mergeCell ref="BN344:BV344"/>
    <mergeCell ref="BN342:BV342"/>
    <mergeCell ref="B343:C343"/>
    <mergeCell ref="D343:E343"/>
    <mergeCell ref="F343:G343"/>
    <mergeCell ref="H343:I343"/>
    <mergeCell ref="L343:M343"/>
    <mergeCell ref="P343:Q343"/>
    <mergeCell ref="R343:S343"/>
    <mergeCell ref="T343:U343"/>
    <mergeCell ref="V343:W343"/>
    <mergeCell ref="X343:AA343"/>
    <mergeCell ref="AB343:AE343"/>
    <mergeCell ref="AJ343:AK343"/>
    <mergeCell ref="AL343:AM343"/>
    <mergeCell ref="AN343:AO343"/>
    <mergeCell ref="AP343:AQ343"/>
    <mergeCell ref="AR343:AS343"/>
    <mergeCell ref="AT343:AU343"/>
    <mergeCell ref="AX343:AZ343"/>
    <mergeCell ref="BA343:BB343"/>
    <mergeCell ref="BD343:BE343"/>
    <mergeCell ref="BF343:BI343"/>
    <mergeCell ref="BJ343:BM343"/>
    <mergeCell ref="AV343:AW343"/>
    <mergeCell ref="AV344:AW344"/>
    <mergeCell ref="AH342:AI342"/>
    <mergeCell ref="AH343:AI343"/>
    <mergeCell ref="AH344:AI344"/>
    <mergeCell ref="AF343:AG343"/>
    <mergeCell ref="AF344:AG344"/>
    <mergeCell ref="J342:K342"/>
    <mergeCell ref="J343:K343"/>
    <mergeCell ref="J344:K344"/>
    <mergeCell ref="AN346:AO346"/>
    <mergeCell ref="AP346:AQ346"/>
    <mergeCell ref="AR346:AS346"/>
    <mergeCell ref="AT346:AU346"/>
    <mergeCell ref="AX346:AZ346"/>
    <mergeCell ref="BA346:BB346"/>
    <mergeCell ref="BD346:BE346"/>
    <mergeCell ref="BF346:BI346"/>
    <mergeCell ref="BJ346:BM346"/>
    <mergeCell ref="BN346:BV346"/>
    <mergeCell ref="B347:C347"/>
    <mergeCell ref="D347:E347"/>
    <mergeCell ref="F347:G347"/>
    <mergeCell ref="H347:I347"/>
    <mergeCell ref="L347:M347"/>
    <mergeCell ref="P347:Q347"/>
    <mergeCell ref="R347:S347"/>
    <mergeCell ref="T347:U347"/>
    <mergeCell ref="V347:W347"/>
    <mergeCell ref="X347:AA347"/>
    <mergeCell ref="AB347:AE347"/>
    <mergeCell ref="AJ347:AK347"/>
    <mergeCell ref="AL347:AM347"/>
    <mergeCell ref="AN347:AO347"/>
    <mergeCell ref="AL345:AM345"/>
    <mergeCell ref="AN345:AO345"/>
    <mergeCell ref="AP345:AQ345"/>
    <mergeCell ref="AR345:AS345"/>
    <mergeCell ref="AT345:AU345"/>
    <mergeCell ref="AX345:AZ345"/>
    <mergeCell ref="BA345:BB345"/>
    <mergeCell ref="BD345:BE345"/>
    <mergeCell ref="BF345:BI345"/>
    <mergeCell ref="BJ345:BM345"/>
    <mergeCell ref="BN345:BV345"/>
    <mergeCell ref="B346:C346"/>
    <mergeCell ref="D346:E346"/>
    <mergeCell ref="F346:G346"/>
    <mergeCell ref="H346:I346"/>
    <mergeCell ref="L346:M346"/>
    <mergeCell ref="P346:Q346"/>
    <mergeCell ref="R346:S346"/>
    <mergeCell ref="T346:U346"/>
    <mergeCell ref="V346:W346"/>
    <mergeCell ref="X346:AA346"/>
    <mergeCell ref="AB346:AE346"/>
    <mergeCell ref="AJ346:AK346"/>
    <mergeCell ref="AL346:AM346"/>
    <mergeCell ref="B345:C345"/>
    <mergeCell ref="D345:E345"/>
    <mergeCell ref="F345:G345"/>
    <mergeCell ref="H345:I345"/>
    <mergeCell ref="L345:M345"/>
    <mergeCell ref="P345:Q345"/>
    <mergeCell ref="R345:S345"/>
    <mergeCell ref="T345:U345"/>
    <mergeCell ref="V345:W345"/>
    <mergeCell ref="X345:AA345"/>
    <mergeCell ref="AB345:AE345"/>
    <mergeCell ref="AJ345:AK345"/>
    <mergeCell ref="AV345:AW345"/>
    <mergeCell ref="AV346:AW346"/>
    <mergeCell ref="AV347:AW347"/>
    <mergeCell ref="AH345:AI345"/>
    <mergeCell ref="AR348:AS348"/>
    <mergeCell ref="AT348:AU348"/>
    <mergeCell ref="AX348:AZ348"/>
    <mergeCell ref="BA348:BB348"/>
    <mergeCell ref="BD348:BE348"/>
    <mergeCell ref="BF348:BI348"/>
    <mergeCell ref="BJ348:BM348"/>
    <mergeCell ref="BN348:BV348"/>
    <mergeCell ref="B349:C349"/>
    <mergeCell ref="D349:E349"/>
    <mergeCell ref="F349:G349"/>
    <mergeCell ref="H349:I349"/>
    <mergeCell ref="L349:M349"/>
    <mergeCell ref="P349:Q349"/>
    <mergeCell ref="R349:S349"/>
    <mergeCell ref="T349:U349"/>
    <mergeCell ref="V349:W349"/>
    <mergeCell ref="X349:AA349"/>
    <mergeCell ref="AB349:AE349"/>
    <mergeCell ref="AJ349:AK349"/>
    <mergeCell ref="AL349:AM349"/>
    <mergeCell ref="AN349:AO349"/>
    <mergeCell ref="AP349:AQ349"/>
    <mergeCell ref="AR349:AS349"/>
    <mergeCell ref="AP347:AQ347"/>
    <mergeCell ref="AR347:AS347"/>
    <mergeCell ref="AT347:AU347"/>
    <mergeCell ref="AX347:AZ347"/>
    <mergeCell ref="BA347:BB347"/>
    <mergeCell ref="BD347:BE347"/>
    <mergeCell ref="BF347:BI347"/>
    <mergeCell ref="BJ347:BM347"/>
    <mergeCell ref="BN347:BV347"/>
    <mergeCell ref="B348:C348"/>
    <mergeCell ref="D348:E348"/>
    <mergeCell ref="F348:G348"/>
    <mergeCell ref="H348:I348"/>
    <mergeCell ref="L348:M348"/>
    <mergeCell ref="P348:Q348"/>
    <mergeCell ref="R348:S348"/>
    <mergeCell ref="T348:U348"/>
    <mergeCell ref="V348:W348"/>
    <mergeCell ref="X348:AA348"/>
    <mergeCell ref="AB348:AE348"/>
    <mergeCell ref="AJ348:AK348"/>
    <mergeCell ref="AL348:AM348"/>
    <mergeCell ref="AN348:AO348"/>
    <mergeCell ref="AP348:AQ348"/>
    <mergeCell ref="AV348:AW348"/>
    <mergeCell ref="AV349:AW349"/>
    <mergeCell ref="AF349:AG349"/>
    <mergeCell ref="AX350:AZ350"/>
    <mergeCell ref="BA350:BB350"/>
    <mergeCell ref="BD350:BE350"/>
    <mergeCell ref="BF350:BI350"/>
    <mergeCell ref="BJ350:BM350"/>
    <mergeCell ref="BN350:BV350"/>
    <mergeCell ref="B351:C351"/>
    <mergeCell ref="D351:E351"/>
    <mergeCell ref="F351:G351"/>
    <mergeCell ref="H351:I351"/>
    <mergeCell ref="L351:M351"/>
    <mergeCell ref="P351:Q351"/>
    <mergeCell ref="R351:S351"/>
    <mergeCell ref="T351:U351"/>
    <mergeCell ref="V351:W351"/>
    <mergeCell ref="X351:AA351"/>
    <mergeCell ref="AB351:AE351"/>
    <mergeCell ref="AJ351:AK351"/>
    <mergeCell ref="AL351:AM351"/>
    <mergeCell ref="AN351:AO351"/>
    <mergeCell ref="AP351:AQ351"/>
    <mergeCell ref="AR351:AS351"/>
    <mergeCell ref="AT351:AU351"/>
    <mergeCell ref="AX351:AZ351"/>
    <mergeCell ref="AT349:AU349"/>
    <mergeCell ref="AX349:AZ349"/>
    <mergeCell ref="BA349:BB349"/>
    <mergeCell ref="BD349:BE349"/>
    <mergeCell ref="BF349:BI349"/>
    <mergeCell ref="BJ349:BM349"/>
    <mergeCell ref="BN349:BV349"/>
    <mergeCell ref="B350:C350"/>
    <mergeCell ref="D350:E350"/>
    <mergeCell ref="F350:G350"/>
    <mergeCell ref="H350:I350"/>
    <mergeCell ref="L350:M350"/>
    <mergeCell ref="P350:Q350"/>
    <mergeCell ref="R350:S350"/>
    <mergeCell ref="T350:U350"/>
    <mergeCell ref="V350:W350"/>
    <mergeCell ref="X350:AA350"/>
    <mergeCell ref="AB350:AE350"/>
    <mergeCell ref="AJ350:AK350"/>
    <mergeCell ref="AL350:AM350"/>
    <mergeCell ref="AN350:AO350"/>
    <mergeCell ref="AP350:AQ350"/>
    <mergeCell ref="AR350:AS350"/>
    <mergeCell ref="AT350:AU350"/>
    <mergeCell ref="AV350:AW350"/>
    <mergeCell ref="AV351:AW351"/>
    <mergeCell ref="AF350:AG350"/>
    <mergeCell ref="AF351:AG351"/>
    <mergeCell ref="BD352:BE352"/>
    <mergeCell ref="BF352:BI352"/>
    <mergeCell ref="BJ352:BM352"/>
    <mergeCell ref="BN352:BV352"/>
    <mergeCell ref="B353:C353"/>
    <mergeCell ref="D353:E353"/>
    <mergeCell ref="F353:G353"/>
    <mergeCell ref="H353:I353"/>
    <mergeCell ref="L353:M353"/>
    <mergeCell ref="P353:Q353"/>
    <mergeCell ref="R353:S353"/>
    <mergeCell ref="T353:U353"/>
    <mergeCell ref="V353:W353"/>
    <mergeCell ref="X353:AA353"/>
    <mergeCell ref="AB353:AE353"/>
    <mergeCell ref="AJ353:AK353"/>
    <mergeCell ref="AL353:AM353"/>
    <mergeCell ref="AN353:AO353"/>
    <mergeCell ref="AP353:AQ353"/>
    <mergeCell ref="AR353:AS353"/>
    <mergeCell ref="AT353:AU353"/>
    <mergeCell ref="AX353:AZ353"/>
    <mergeCell ref="BA353:BB353"/>
    <mergeCell ref="BD353:BE353"/>
    <mergeCell ref="BA351:BB351"/>
    <mergeCell ref="BD351:BE351"/>
    <mergeCell ref="BF351:BI351"/>
    <mergeCell ref="BJ351:BM351"/>
    <mergeCell ref="BN351:BV351"/>
    <mergeCell ref="B352:C352"/>
    <mergeCell ref="D352:E352"/>
    <mergeCell ref="F352:G352"/>
    <mergeCell ref="H352:I352"/>
    <mergeCell ref="L352:M352"/>
    <mergeCell ref="P352:Q352"/>
    <mergeCell ref="R352:S352"/>
    <mergeCell ref="T352:U352"/>
    <mergeCell ref="V352:W352"/>
    <mergeCell ref="X352:AA352"/>
    <mergeCell ref="AB352:AE352"/>
    <mergeCell ref="AJ352:AK352"/>
    <mergeCell ref="AL352:AM352"/>
    <mergeCell ref="AN352:AO352"/>
    <mergeCell ref="AP352:AQ352"/>
    <mergeCell ref="AR352:AS352"/>
    <mergeCell ref="AT352:AU352"/>
    <mergeCell ref="AX352:AZ352"/>
    <mergeCell ref="BA352:BB352"/>
    <mergeCell ref="AV352:AW352"/>
    <mergeCell ref="AV353:AW353"/>
    <mergeCell ref="AF352:AG352"/>
    <mergeCell ref="AF353:AG353"/>
    <mergeCell ref="BJ354:BM354"/>
    <mergeCell ref="BN354:BV354"/>
    <mergeCell ref="B355:C355"/>
    <mergeCell ref="D355:E355"/>
    <mergeCell ref="F355:G355"/>
    <mergeCell ref="H355:I355"/>
    <mergeCell ref="L355:M355"/>
    <mergeCell ref="P355:Q355"/>
    <mergeCell ref="R355:S355"/>
    <mergeCell ref="T355:U355"/>
    <mergeCell ref="V355:W355"/>
    <mergeCell ref="X355:AA355"/>
    <mergeCell ref="AB355:AE355"/>
    <mergeCell ref="AJ355:AK355"/>
    <mergeCell ref="AL355:AM355"/>
    <mergeCell ref="AN355:AO355"/>
    <mergeCell ref="AP355:AQ355"/>
    <mergeCell ref="AR355:AS355"/>
    <mergeCell ref="AT355:AU355"/>
    <mergeCell ref="AX355:AZ355"/>
    <mergeCell ref="BA355:BB355"/>
    <mergeCell ref="BD355:BE355"/>
    <mergeCell ref="BF355:BI355"/>
    <mergeCell ref="BJ355:BM355"/>
    <mergeCell ref="BF353:BI353"/>
    <mergeCell ref="BJ353:BM353"/>
    <mergeCell ref="BN353:BV353"/>
    <mergeCell ref="B354:C354"/>
    <mergeCell ref="D354:E354"/>
    <mergeCell ref="F354:G354"/>
    <mergeCell ref="H354:I354"/>
    <mergeCell ref="L354:M354"/>
    <mergeCell ref="P354:Q354"/>
    <mergeCell ref="R354:S354"/>
    <mergeCell ref="T354:U354"/>
    <mergeCell ref="V354:W354"/>
    <mergeCell ref="X354:AA354"/>
    <mergeCell ref="AB354:AE354"/>
    <mergeCell ref="AJ354:AK354"/>
    <mergeCell ref="AL354:AM354"/>
    <mergeCell ref="AN354:AO354"/>
    <mergeCell ref="AP354:AQ354"/>
    <mergeCell ref="AR354:AS354"/>
    <mergeCell ref="AT354:AU354"/>
    <mergeCell ref="AX354:AZ354"/>
    <mergeCell ref="BA354:BB354"/>
    <mergeCell ref="BD354:BE354"/>
    <mergeCell ref="BF354:BI354"/>
    <mergeCell ref="AV354:AW354"/>
    <mergeCell ref="AV355:AW355"/>
    <mergeCell ref="AF354:AG354"/>
    <mergeCell ref="AF355:AG355"/>
    <mergeCell ref="BN356:BV356"/>
    <mergeCell ref="B357:C357"/>
    <mergeCell ref="D357:E357"/>
    <mergeCell ref="F357:G357"/>
    <mergeCell ref="H357:I357"/>
    <mergeCell ref="L357:M357"/>
    <mergeCell ref="P357:Q357"/>
    <mergeCell ref="R357:S357"/>
    <mergeCell ref="T357:U357"/>
    <mergeCell ref="V357:W357"/>
    <mergeCell ref="X357:AA357"/>
    <mergeCell ref="AB357:AE357"/>
    <mergeCell ref="AJ357:AK357"/>
    <mergeCell ref="AL357:AM357"/>
    <mergeCell ref="AN357:AO357"/>
    <mergeCell ref="AP357:AQ357"/>
    <mergeCell ref="AR357:AS357"/>
    <mergeCell ref="AT357:AU357"/>
    <mergeCell ref="AX357:AZ357"/>
    <mergeCell ref="BA357:BB357"/>
    <mergeCell ref="BD357:BE357"/>
    <mergeCell ref="BF357:BI357"/>
    <mergeCell ref="BJ357:BM357"/>
    <mergeCell ref="BN355:BV355"/>
    <mergeCell ref="B356:C356"/>
    <mergeCell ref="D356:E356"/>
    <mergeCell ref="F356:G356"/>
    <mergeCell ref="H356:I356"/>
    <mergeCell ref="L356:M356"/>
    <mergeCell ref="P356:Q356"/>
    <mergeCell ref="R356:S356"/>
    <mergeCell ref="T356:U356"/>
    <mergeCell ref="V356:W356"/>
    <mergeCell ref="X356:AA356"/>
    <mergeCell ref="AB356:AE356"/>
    <mergeCell ref="AJ356:AK356"/>
    <mergeCell ref="AL356:AM356"/>
    <mergeCell ref="AN356:AO356"/>
    <mergeCell ref="AP356:AQ356"/>
    <mergeCell ref="AR356:AS356"/>
    <mergeCell ref="AT356:AU356"/>
    <mergeCell ref="AX356:AZ356"/>
    <mergeCell ref="BA356:BB356"/>
    <mergeCell ref="BD356:BE356"/>
    <mergeCell ref="BF356:BI356"/>
    <mergeCell ref="BJ356:BM356"/>
    <mergeCell ref="AV356:AW356"/>
    <mergeCell ref="AV357:AW357"/>
    <mergeCell ref="AF356:AG356"/>
    <mergeCell ref="AF357:AG357"/>
    <mergeCell ref="BN358:BV358"/>
    <mergeCell ref="B359:C359"/>
    <mergeCell ref="D359:E359"/>
    <mergeCell ref="F359:G359"/>
    <mergeCell ref="H359:I359"/>
    <mergeCell ref="L359:M359"/>
    <mergeCell ref="P359:Q359"/>
    <mergeCell ref="R359:S359"/>
    <mergeCell ref="T359:U359"/>
    <mergeCell ref="V359:W359"/>
    <mergeCell ref="X359:AA359"/>
    <mergeCell ref="AB359:AE359"/>
    <mergeCell ref="AJ359:AK359"/>
    <mergeCell ref="AL359:AM359"/>
    <mergeCell ref="AN359:AO359"/>
    <mergeCell ref="AP359:AQ359"/>
    <mergeCell ref="AR359:AS359"/>
    <mergeCell ref="AT359:AU359"/>
    <mergeCell ref="AX359:AZ359"/>
    <mergeCell ref="BA359:BB359"/>
    <mergeCell ref="BD359:BE359"/>
    <mergeCell ref="BF359:BI359"/>
    <mergeCell ref="BJ359:BM359"/>
    <mergeCell ref="BN359:BV359"/>
    <mergeCell ref="BN357:BV357"/>
    <mergeCell ref="B358:C358"/>
    <mergeCell ref="D358:E358"/>
    <mergeCell ref="F358:G358"/>
    <mergeCell ref="H358:I358"/>
    <mergeCell ref="L358:M358"/>
    <mergeCell ref="P358:Q358"/>
    <mergeCell ref="R358:S358"/>
    <mergeCell ref="T358:U358"/>
    <mergeCell ref="V358:W358"/>
    <mergeCell ref="X358:AA358"/>
    <mergeCell ref="AB358:AE358"/>
    <mergeCell ref="AJ358:AK358"/>
    <mergeCell ref="AL358:AM358"/>
    <mergeCell ref="AN358:AO358"/>
    <mergeCell ref="AP358:AQ358"/>
    <mergeCell ref="AR358:AS358"/>
    <mergeCell ref="AT358:AU358"/>
    <mergeCell ref="AX358:AZ358"/>
    <mergeCell ref="BA358:BB358"/>
    <mergeCell ref="BD358:BE358"/>
    <mergeCell ref="BF358:BI358"/>
    <mergeCell ref="BJ358:BM358"/>
    <mergeCell ref="AV358:AW358"/>
    <mergeCell ref="AV359:AW359"/>
    <mergeCell ref="AF358:AG358"/>
    <mergeCell ref="AF359:AG359"/>
    <mergeCell ref="AN361:AO361"/>
    <mergeCell ref="AP361:AQ361"/>
    <mergeCell ref="AR361:AS361"/>
    <mergeCell ref="AT361:AU361"/>
    <mergeCell ref="AX361:AZ361"/>
    <mergeCell ref="BA361:BB361"/>
    <mergeCell ref="BD361:BE361"/>
    <mergeCell ref="BF361:BI361"/>
    <mergeCell ref="BJ361:BM361"/>
    <mergeCell ref="BN361:BV361"/>
    <mergeCell ref="B362:C362"/>
    <mergeCell ref="D362:E362"/>
    <mergeCell ref="F362:G362"/>
    <mergeCell ref="H362:I362"/>
    <mergeCell ref="L362:M362"/>
    <mergeCell ref="P362:Q362"/>
    <mergeCell ref="R362:S362"/>
    <mergeCell ref="T362:U362"/>
    <mergeCell ref="V362:W362"/>
    <mergeCell ref="X362:AA362"/>
    <mergeCell ref="AB362:AE362"/>
    <mergeCell ref="AJ362:AK362"/>
    <mergeCell ref="AL362:AM362"/>
    <mergeCell ref="AN362:AO362"/>
    <mergeCell ref="AL360:AM360"/>
    <mergeCell ref="AN360:AO360"/>
    <mergeCell ref="AP360:AQ360"/>
    <mergeCell ref="AR360:AS360"/>
    <mergeCell ref="AT360:AU360"/>
    <mergeCell ref="AX360:AZ360"/>
    <mergeCell ref="BA360:BB360"/>
    <mergeCell ref="BD360:BE360"/>
    <mergeCell ref="BF360:BI360"/>
    <mergeCell ref="BJ360:BM360"/>
    <mergeCell ref="BN360:BV360"/>
    <mergeCell ref="B361:C361"/>
    <mergeCell ref="D361:E361"/>
    <mergeCell ref="F361:G361"/>
    <mergeCell ref="H361:I361"/>
    <mergeCell ref="L361:M361"/>
    <mergeCell ref="P361:Q361"/>
    <mergeCell ref="R361:S361"/>
    <mergeCell ref="T361:U361"/>
    <mergeCell ref="V361:W361"/>
    <mergeCell ref="X361:AA361"/>
    <mergeCell ref="AB361:AE361"/>
    <mergeCell ref="AJ361:AK361"/>
    <mergeCell ref="AL361:AM361"/>
    <mergeCell ref="B360:C360"/>
    <mergeCell ref="D360:E360"/>
    <mergeCell ref="F360:G360"/>
    <mergeCell ref="H360:I360"/>
    <mergeCell ref="L360:M360"/>
    <mergeCell ref="P360:Q360"/>
    <mergeCell ref="R360:S360"/>
    <mergeCell ref="T360:U360"/>
    <mergeCell ref="V360:W360"/>
    <mergeCell ref="X360:AA360"/>
    <mergeCell ref="AB360:AE360"/>
    <mergeCell ref="AJ360:AK360"/>
    <mergeCell ref="AV360:AW360"/>
    <mergeCell ref="AV361:AW361"/>
    <mergeCell ref="AV362:AW362"/>
    <mergeCell ref="AF360:AG360"/>
    <mergeCell ref="AR363:AS363"/>
    <mergeCell ref="AT363:AU363"/>
    <mergeCell ref="AX363:AZ363"/>
    <mergeCell ref="BA363:BB363"/>
    <mergeCell ref="BD363:BE363"/>
    <mergeCell ref="BF363:BI363"/>
    <mergeCell ref="BJ363:BM363"/>
    <mergeCell ref="BN363:BV363"/>
    <mergeCell ref="B364:C364"/>
    <mergeCell ref="D364:E364"/>
    <mergeCell ref="F364:G364"/>
    <mergeCell ref="H364:I364"/>
    <mergeCell ref="L364:M364"/>
    <mergeCell ref="P364:Q364"/>
    <mergeCell ref="R364:S364"/>
    <mergeCell ref="T364:U364"/>
    <mergeCell ref="V364:W364"/>
    <mergeCell ref="X364:AA364"/>
    <mergeCell ref="AB364:AE364"/>
    <mergeCell ref="AJ364:AK364"/>
    <mergeCell ref="AL364:AM364"/>
    <mergeCell ref="AN364:AO364"/>
    <mergeCell ref="AP364:AQ364"/>
    <mergeCell ref="AR364:AS364"/>
    <mergeCell ref="AP362:AQ362"/>
    <mergeCell ref="AR362:AS362"/>
    <mergeCell ref="AT362:AU362"/>
    <mergeCell ref="AX362:AZ362"/>
    <mergeCell ref="BA362:BB362"/>
    <mergeCell ref="BD362:BE362"/>
    <mergeCell ref="BF362:BI362"/>
    <mergeCell ref="BJ362:BM362"/>
    <mergeCell ref="BN362:BV362"/>
    <mergeCell ref="B363:C363"/>
    <mergeCell ref="D363:E363"/>
    <mergeCell ref="F363:G363"/>
    <mergeCell ref="H363:I363"/>
    <mergeCell ref="L363:M363"/>
    <mergeCell ref="P363:Q363"/>
    <mergeCell ref="R363:S363"/>
    <mergeCell ref="T363:U363"/>
    <mergeCell ref="V363:W363"/>
    <mergeCell ref="X363:AA363"/>
    <mergeCell ref="AB363:AE363"/>
    <mergeCell ref="AJ363:AK363"/>
    <mergeCell ref="AL363:AM363"/>
    <mergeCell ref="AN363:AO363"/>
    <mergeCell ref="AP363:AQ363"/>
    <mergeCell ref="AV363:AW363"/>
    <mergeCell ref="AV364:AW364"/>
    <mergeCell ref="J363:K363"/>
    <mergeCell ref="AX365:AZ365"/>
    <mergeCell ref="BA365:BB365"/>
    <mergeCell ref="BD365:BE365"/>
    <mergeCell ref="BF365:BI365"/>
    <mergeCell ref="BJ365:BM365"/>
    <mergeCell ref="BN365:BV365"/>
    <mergeCell ref="B366:C366"/>
    <mergeCell ref="D366:E366"/>
    <mergeCell ref="F366:G366"/>
    <mergeCell ref="H366:I366"/>
    <mergeCell ref="L366:M366"/>
    <mergeCell ref="P366:Q366"/>
    <mergeCell ref="R366:S366"/>
    <mergeCell ref="T366:U366"/>
    <mergeCell ref="V366:W366"/>
    <mergeCell ref="X366:AA366"/>
    <mergeCell ref="AB366:AE366"/>
    <mergeCell ref="AJ366:AK366"/>
    <mergeCell ref="AL366:AM366"/>
    <mergeCell ref="AN366:AO366"/>
    <mergeCell ref="AP366:AQ366"/>
    <mergeCell ref="AR366:AS366"/>
    <mergeCell ref="AT366:AU366"/>
    <mergeCell ref="AX366:AZ366"/>
    <mergeCell ref="AT364:AU364"/>
    <mergeCell ref="AX364:AZ364"/>
    <mergeCell ref="BA364:BB364"/>
    <mergeCell ref="BD364:BE364"/>
    <mergeCell ref="BF364:BI364"/>
    <mergeCell ref="BJ364:BM364"/>
    <mergeCell ref="BN364:BV364"/>
    <mergeCell ref="B365:C365"/>
    <mergeCell ref="D365:E365"/>
    <mergeCell ref="F365:G365"/>
    <mergeCell ref="H365:I365"/>
    <mergeCell ref="L365:M365"/>
    <mergeCell ref="P365:Q365"/>
    <mergeCell ref="R365:S365"/>
    <mergeCell ref="T365:U365"/>
    <mergeCell ref="V365:W365"/>
    <mergeCell ref="X365:AA365"/>
    <mergeCell ref="AB365:AE365"/>
    <mergeCell ref="AJ365:AK365"/>
    <mergeCell ref="AL365:AM365"/>
    <mergeCell ref="AN365:AO365"/>
    <mergeCell ref="AP365:AQ365"/>
    <mergeCell ref="AR365:AS365"/>
    <mergeCell ref="AT365:AU365"/>
    <mergeCell ref="AV365:AW365"/>
    <mergeCell ref="AV366:AW366"/>
    <mergeCell ref="J364:K364"/>
    <mergeCell ref="J365:K365"/>
    <mergeCell ref="BD367:BE367"/>
    <mergeCell ref="BF367:BI367"/>
    <mergeCell ref="BJ367:BM367"/>
    <mergeCell ref="BN367:BV367"/>
    <mergeCell ref="B368:C368"/>
    <mergeCell ref="D368:E368"/>
    <mergeCell ref="F368:G368"/>
    <mergeCell ref="H368:I368"/>
    <mergeCell ref="L368:M368"/>
    <mergeCell ref="P368:Q368"/>
    <mergeCell ref="R368:S368"/>
    <mergeCell ref="T368:U368"/>
    <mergeCell ref="V368:W368"/>
    <mergeCell ref="X368:AA368"/>
    <mergeCell ref="AB368:AE368"/>
    <mergeCell ref="AJ368:AK368"/>
    <mergeCell ref="AL368:AM368"/>
    <mergeCell ref="AN368:AO368"/>
    <mergeCell ref="AP368:AQ368"/>
    <mergeCell ref="AR368:AS368"/>
    <mergeCell ref="AT368:AU368"/>
    <mergeCell ref="AX368:AZ368"/>
    <mergeCell ref="BA368:BB368"/>
    <mergeCell ref="BD368:BE368"/>
    <mergeCell ref="BA366:BB366"/>
    <mergeCell ref="BD366:BE366"/>
    <mergeCell ref="BF366:BI366"/>
    <mergeCell ref="BJ366:BM366"/>
    <mergeCell ref="BN366:BV366"/>
    <mergeCell ref="B367:C367"/>
    <mergeCell ref="D367:E367"/>
    <mergeCell ref="F367:G367"/>
    <mergeCell ref="H367:I367"/>
    <mergeCell ref="L367:M367"/>
    <mergeCell ref="P367:Q367"/>
    <mergeCell ref="R367:S367"/>
    <mergeCell ref="T367:U367"/>
    <mergeCell ref="V367:W367"/>
    <mergeCell ref="X367:AA367"/>
    <mergeCell ref="AB367:AE367"/>
    <mergeCell ref="AJ367:AK367"/>
    <mergeCell ref="AL367:AM367"/>
    <mergeCell ref="AN367:AO367"/>
    <mergeCell ref="AP367:AQ367"/>
    <mergeCell ref="AR367:AS367"/>
    <mergeCell ref="AT367:AU367"/>
    <mergeCell ref="AX367:AZ367"/>
    <mergeCell ref="BA367:BB367"/>
    <mergeCell ref="AV367:AW367"/>
    <mergeCell ref="AV368:AW368"/>
    <mergeCell ref="J366:K366"/>
    <mergeCell ref="J367:K367"/>
    <mergeCell ref="BJ369:BM369"/>
    <mergeCell ref="BN369:BV369"/>
    <mergeCell ref="B370:C370"/>
    <mergeCell ref="D370:E370"/>
    <mergeCell ref="F370:G370"/>
    <mergeCell ref="H370:I370"/>
    <mergeCell ref="L370:M370"/>
    <mergeCell ref="P370:Q370"/>
    <mergeCell ref="R370:S370"/>
    <mergeCell ref="T370:U370"/>
    <mergeCell ref="V370:W370"/>
    <mergeCell ref="X370:AA370"/>
    <mergeCell ref="AB370:AE370"/>
    <mergeCell ref="AJ370:AK370"/>
    <mergeCell ref="AL370:AM370"/>
    <mergeCell ref="AN370:AO370"/>
    <mergeCell ref="AP370:AQ370"/>
    <mergeCell ref="AR370:AS370"/>
    <mergeCell ref="AT370:AU370"/>
    <mergeCell ref="AX370:AZ370"/>
    <mergeCell ref="BA370:BB370"/>
    <mergeCell ref="BD370:BE370"/>
    <mergeCell ref="BF370:BI370"/>
    <mergeCell ref="BJ370:BM370"/>
    <mergeCell ref="BF368:BI368"/>
    <mergeCell ref="BJ368:BM368"/>
    <mergeCell ref="BN368:BV368"/>
    <mergeCell ref="B369:C369"/>
    <mergeCell ref="D369:E369"/>
    <mergeCell ref="F369:G369"/>
    <mergeCell ref="H369:I369"/>
    <mergeCell ref="L369:M369"/>
    <mergeCell ref="P369:Q369"/>
    <mergeCell ref="R369:S369"/>
    <mergeCell ref="T369:U369"/>
    <mergeCell ref="V369:W369"/>
    <mergeCell ref="X369:AA369"/>
    <mergeCell ref="AB369:AE369"/>
    <mergeCell ref="AJ369:AK369"/>
    <mergeCell ref="AL369:AM369"/>
    <mergeCell ref="AN369:AO369"/>
    <mergeCell ref="AP369:AQ369"/>
    <mergeCell ref="AR369:AS369"/>
    <mergeCell ref="AT369:AU369"/>
    <mergeCell ref="AX369:AZ369"/>
    <mergeCell ref="BA369:BB369"/>
    <mergeCell ref="BD369:BE369"/>
    <mergeCell ref="BF369:BI369"/>
    <mergeCell ref="AV369:AW369"/>
    <mergeCell ref="AV370:AW370"/>
    <mergeCell ref="J368:K368"/>
    <mergeCell ref="J369:K369"/>
    <mergeCell ref="BN371:BV371"/>
    <mergeCell ref="B372:C372"/>
    <mergeCell ref="D372:E372"/>
    <mergeCell ref="F372:G372"/>
    <mergeCell ref="H372:I372"/>
    <mergeCell ref="L372:M372"/>
    <mergeCell ref="P372:Q372"/>
    <mergeCell ref="R372:S372"/>
    <mergeCell ref="T372:U372"/>
    <mergeCell ref="V372:W372"/>
    <mergeCell ref="X372:AA372"/>
    <mergeCell ref="AB372:AE372"/>
    <mergeCell ref="AJ372:AK372"/>
    <mergeCell ref="AL372:AM372"/>
    <mergeCell ref="AN372:AO372"/>
    <mergeCell ref="AP372:AQ372"/>
    <mergeCell ref="AR372:AS372"/>
    <mergeCell ref="AT372:AU372"/>
    <mergeCell ref="AX372:AZ372"/>
    <mergeCell ref="BA372:BB372"/>
    <mergeCell ref="BD372:BE372"/>
    <mergeCell ref="BF372:BI372"/>
    <mergeCell ref="BJ372:BM372"/>
    <mergeCell ref="BN370:BV370"/>
    <mergeCell ref="B371:C371"/>
    <mergeCell ref="D371:E371"/>
    <mergeCell ref="F371:G371"/>
    <mergeCell ref="H371:I371"/>
    <mergeCell ref="L371:M371"/>
    <mergeCell ref="P371:Q371"/>
    <mergeCell ref="R371:S371"/>
    <mergeCell ref="T371:U371"/>
    <mergeCell ref="V371:W371"/>
    <mergeCell ref="X371:AA371"/>
    <mergeCell ref="AB371:AE371"/>
    <mergeCell ref="AJ371:AK371"/>
    <mergeCell ref="AL371:AM371"/>
    <mergeCell ref="AN371:AO371"/>
    <mergeCell ref="AP371:AQ371"/>
    <mergeCell ref="AR371:AS371"/>
    <mergeCell ref="AT371:AU371"/>
    <mergeCell ref="AX371:AZ371"/>
    <mergeCell ref="BA371:BB371"/>
    <mergeCell ref="BD371:BE371"/>
    <mergeCell ref="BF371:BI371"/>
    <mergeCell ref="BJ371:BM371"/>
    <mergeCell ref="AV371:AW371"/>
    <mergeCell ref="AV372:AW372"/>
    <mergeCell ref="J370:K370"/>
    <mergeCell ref="J371:K371"/>
    <mergeCell ref="BN373:BV373"/>
    <mergeCell ref="B374:C374"/>
    <mergeCell ref="D374:E374"/>
    <mergeCell ref="F374:G374"/>
    <mergeCell ref="H374:I374"/>
    <mergeCell ref="L374:M374"/>
    <mergeCell ref="P374:Q374"/>
    <mergeCell ref="R374:S374"/>
    <mergeCell ref="T374:U374"/>
    <mergeCell ref="V374:W374"/>
    <mergeCell ref="X374:AA374"/>
    <mergeCell ref="AB374:AE374"/>
    <mergeCell ref="AJ374:AK374"/>
    <mergeCell ref="AL374:AM374"/>
    <mergeCell ref="AN374:AO374"/>
    <mergeCell ref="AP374:AQ374"/>
    <mergeCell ref="AR374:AS374"/>
    <mergeCell ref="AT374:AU374"/>
    <mergeCell ref="AX374:AZ374"/>
    <mergeCell ref="BA374:BB374"/>
    <mergeCell ref="BD374:BE374"/>
    <mergeCell ref="BF374:BI374"/>
    <mergeCell ref="BJ374:BM374"/>
    <mergeCell ref="BN374:BV374"/>
    <mergeCell ref="BN372:BV372"/>
    <mergeCell ref="B373:C373"/>
    <mergeCell ref="D373:E373"/>
    <mergeCell ref="F373:G373"/>
    <mergeCell ref="H373:I373"/>
    <mergeCell ref="L373:M373"/>
    <mergeCell ref="P373:Q373"/>
    <mergeCell ref="R373:S373"/>
    <mergeCell ref="T373:U373"/>
    <mergeCell ref="V373:W373"/>
    <mergeCell ref="X373:AA373"/>
    <mergeCell ref="AB373:AE373"/>
    <mergeCell ref="AJ373:AK373"/>
    <mergeCell ref="AL373:AM373"/>
    <mergeCell ref="AN373:AO373"/>
    <mergeCell ref="AP373:AQ373"/>
    <mergeCell ref="AR373:AS373"/>
    <mergeCell ref="AT373:AU373"/>
    <mergeCell ref="AX373:AZ373"/>
    <mergeCell ref="BA373:BB373"/>
    <mergeCell ref="BD373:BE373"/>
    <mergeCell ref="BF373:BI373"/>
    <mergeCell ref="BJ373:BM373"/>
    <mergeCell ref="AV373:AW373"/>
    <mergeCell ref="AV374:AW374"/>
    <mergeCell ref="J372:K372"/>
    <mergeCell ref="J373:K373"/>
    <mergeCell ref="J374:K374"/>
    <mergeCell ref="AN376:AO376"/>
    <mergeCell ref="AP376:AQ376"/>
    <mergeCell ref="AR376:AS376"/>
    <mergeCell ref="AT376:AU376"/>
    <mergeCell ref="AX376:AZ376"/>
    <mergeCell ref="BA376:BB376"/>
    <mergeCell ref="BD376:BE376"/>
    <mergeCell ref="BF376:BI376"/>
    <mergeCell ref="BJ376:BM376"/>
    <mergeCell ref="BN376:BV376"/>
    <mergeCell ref="B377:C377"/>
    <mergeCell ref="D377:E377"/>
    <mergeCell ref="F377:G377"/>
    <mergeCell ref="H377:I377"/>
    <mergeCell ref="L377:M377"/>
    <mergeCell ref="P377:Q377"/>
    <mergeCell ref="R377:S377"/>
    <mergeCell ref="T377:U377"/>
    <mergeCell ref="V377:W377"/>
    <mergeCell ref="X377:AA377"/>
    <mergeCell ref="AB377:AE377"/>
    <mergeCell ref="AJ377:AK377"/>
    <mergeCell ref="AL377:AM377"/>
    <mergeCell ref="AN377:AO377"/>
    <mergeCell ref="AL375:AM375"/>
    <mergeCell ref="AN375:AO375"/>
    <mergeCell ref="AP375:AQ375"/>
    <mergeCell ref="AR375:AS375"/>
    <mergeCell ref="AT375:AU375"/>
    <mergeCell ref="AX375:AZ375"/>
    <mergeCell ref="BA375:BB375"/>
    <mergeCell ref="BD375:BE375"/>
    <mergeCell ref="BF375:BI375"/>
    <mergeCell ref="BJ375:BM375"/>
    <mergeCell ref="BN375:BV375"/>
    <mergeCell ref="B376:C376"/>
    <mergeCell ref="D376:E376"/>
    <mergeCell ref="F376:G376"/>
    <mergeCell ref="H376:I376"/>
    <mergeCell ref="L376:M376"/>
    <mergeCell ref="P376:Q376"/>
    <mergeCell ref="R376:S376"/>
    <mergeCell ref="T376:U376"/>
    <mergeCell ref="V376:W376"/>
    <mergeCell ref="X376:AA376"/>
    <mergeCell ref="AB376:AE376"/>
    <mergeCell ref="AJ376:AK376"/>
    <mergeCell ref="AL376:AM376"/>
    <mergeCell ref="B375:C375"/>
    <mergeCell ref="D375:E375"/>
    <mergeCell ref="F375:G375"/>
    <mergeCell ref="H375:I375"/>
    <mergeCell ref="L375:M375"/>
    <mergeCell ref="P375:Q375"/>
    <mergeCell ref="R375:S375"/>
    <mergeCell ref="T375:U375"/>
    <mergeCell ref="V375:W375"/>
    <mergeCell ref="X375:AA375"/>
    <mergeCell ref="AB375:AE375"/>
    <mergeCell ref="AJ375:AK375"/>
    <mergeCell ref="AV375:AW375"/>
    <mergeCell ref="AV376:AW376"/>
    <mergeCell ref="AV377:AW377"/>
    <mergeCell ref="J375:K375"/>
    <mergeCell ref="AR378:AS378"/>
    <mergeCell ref="AT378:AU378"/>
    <mergeCell ref="AX378:AZ378"/>
    <mergeCell ref="BA378:BB378"/>
    <mergeCell ref="BD378:BE378"/>
    <mergeCell ref="BF378:BI378"/>
    <mergeCell ref="BJ378:BM378"/>
    <mergeCell ref="BN378:BV378"/>
    <mergeCell ref="B379:C379"/>
    <mergeCell ref="D379:E379"/>
    <mergeCell ref="F379:G379"/>
    <mergeCell ref="H379:I379"/>
    <mergeCell ref="L379:M379"/>
    <mergeCell ref="P379:Q379"/>
    <mergeCell ref="R379:S379"/>
    <mergeCell ref="T379:U379"/>
    <mergeCell ref="V379:W379"/>
    <mergeCell ref="X379:AA379"/>
    <mergeCell ref="AB379:AE379"/>
    <mergeCell ref="AJ379:AK379"/>
    <mergeCell ref="AL379:AM379"/>
    <mergeCell ref="AN379:AO379"/>
    <mergeCell ref="AP379:AQ379"/>
    <mergeCell ref="AR379:AS379"/>
    <mergeCell ref="AP377:AQ377"/>
    <mergeCell ref="AR377:AS377"/>
    <mergeCell ref="AT377:AU377"/>
    <mergeCell ref="AX377:AZ377"/>
    <mergeCell ref="BA377:BB377"/>
    <mergeCell ref="BD377:BE377"/>
    <mergeCell ref="BF377:BI377"/>
    <mergeCell ref="BJ377:BM377"/>
    <mergeCell ref="BN377:BV377"/>
    <mergeCell ref="B378:C378"/>
    <mergeCell ref="D378:E378"/>
    <mergeCell ref="F378:G378"/>
    <mergeCell ref="H378:I378"/>
    <mergeCell ref="L378:M378"/>
    <mergeCell ref="P378:Q378"/>
    <mergeCell ref="R378:S378"/>
    <mergeCell ref="T378:U378"/>
    <mergeCell ref="V378:W378"/>
    <mergeCell ref="X378:AA378"/>
    <mergeCell ref="AB378:AE378"/>
    <mergeCell ref="AJ378:AK378"/>
    <mergeCell ref="AL378:AM378"/>
    <mergeCell ref="AN378:AO378"/>
    <mergeCell ref="AP378:AQ378"/>
    <mergeCell ref="AV378:AW378"/>
    <mergeCell ref="AV379:AW379"/>
    <mergeCell ref="AX380:AZ380"/>
    <mergeCell ref="BA380:BB380"/>
    <mergeCell ref="BD380:BE380"/>
    <mergeCell ref="BF380:BI380"/>
    <mergeCell ref="BJ380:BM380"/>
    <mergeCell ref="BN380:BV380"/>
    <mergeCell ref="B381:C381"/>
    <mergeCell ref="D381:E381"/>
    <mergeCell ref="F381:G381"/>
    <mergeCell ref="H381:I381"/>
    <mergeCell ref="L381:M381"/>
    <mergeCell ref="P381:Q381"/>
    <mergeCell ref="R381:S381"/>
    <mergeCell ref="T381:U381"/>
    <mergeCell ref="V381:W381"/>
    <mergeCell ref="X381:AA381"/>
    <mergeCell ref="AB381:AE381"/>
    <mergeCell ref="AJ381:AK381"/>
    <mergeCell ref="AL381:AM381"/>
    <mergeCell ref="AN381:AO381"/>
    <mergeCell ref="AP381:AQ381"/>
    <mergeCell ref="AR381:AS381"/>
    <mergeCell ref="AT381:AU381"/>
    <mergeCell ref="AX381:AZ381"/>
    <mergeCell ref="AT379:AU379"/>
    <mergeCell ref="AX379:AZ379"/>
    <mergeCell ref="BA379:BB379"/>
    <mergeCell ref="BD379:BE379"/>
    <mergeCell ref="BF379:BI379"/>
    <mergeCell ref="BJ379:BM379"/>
    <mergeCell ref="BN379:BV379"/>
    <mergeCell ref="B380:C380"/>
    <mergeCell ref="D380:E380"/>
    <mergeCell ref="F380:G380"/>
    <mergeCell ref="H380:I380"/>
    <mergeCell ref="L380:M380"/>
    <mergeCell ref="P380:Q380"/>
    <mergeCell ref="R380:S380"/>
    <mergeCell ref="T380:U380"/>
    <mergeCell ref="V380:W380"/>
    <mergeCell ref="X380:AA380"/>
    <mergeCell ref="AB380:AE380"/>
    <mergeCell ref="AJ380:AK380"/>
    <mergeCell ref="AL380:AM380"/>
    <mergeCell ref="AN380:AO380"/>
    <mergeCell ref="AP380:AQ380"/>
    <mergeCell ref="AR380:AS380"/>
    <mergeCell ref="AT380:AU380"/>
    <mergeCell ref="AV380:AW380"/>
    <mergeCell ref="AV381:AW381"/>
    <mergeCell ref="AH379:AI379"/>
    <mergeCell ref="AH380:AI380"/>
    <mergeCell ref="BD382:BE382"/>
    <mergeCell ref="BF382:BI382"/>
    <mergeCell ref="BJ382:BM382"/>
    <mergeCell ref="BN382:BV382"/>
    <mergeCell ref="B383:C383"/>
    <mergeCell ref="D383:E383"/>
    <mergeCell ref="F383:G383"/>
    <mergeCell ref="H383:I383"/>
    <mergeCell ref="L383:M383"/>
    <mergeCell ref="P383:Q383"/>
    <mergeCell ref="R383:S383"/>
    <mergeCell ref="T383:U383"/>
    <mergeCell ref="V383:W383"/>
    <mergeCell ref="X383:AA383"/>
    <mergeCell ref="AB383:AE383"/>
    <mergeCell ref="AJ383:AK383"/>
    <mergeCell ref="AL383:AM383"/>
    <mergeCell ref="AN383:AO383"/>
    <mergeCell ref="AP383:AQ383"/>
    <mergeCell ref="AR383:AS383"/>
    <mergeCell ref="AT383:AU383"/>
    <mergeCell ref="AX383:AZ383"/>
    <mergeCell ref="BA383:BB383"/>
    <mergeCell ref="BD383:BE383"/>
    <mergeCell ref="BA381:BB381"/>
    <mergeCell ref="BD381:BE381"/>
    <mergeCell ref="BF381:BI381"/>
    <mergeCell ref="BJ381:BM381"/>
    <mergeCell ref="BN381:BV381"/>
    <mergeCell ref="B382:C382"/>
    <mergeCell ref="D382:E382"/>
    <mergeCell ref="F382:G382"/>
    <mergeCell ref="H382:I382"/>
    <mergeCell ref="L382:M382"/>
    <mergeCell ref="P382:Q382"/>
    <mergeCell ref="R382:S382"/>
    <mergeCell ref="T382:U382"/>
    <mergeCell ref="V382:W382"/>
    <mergeCell ref="X382:AA382"/>
    <mergeCell ref="AB382:AE382"/>
    <mergeCell ref="AJ382:AK382"/>
    <mergeCell ref="AL382:AM382"/>
    <mergeCell ref="AN382:AO382"/>
    <mergeCell ref="AP382:AQ382"/>
    <mergeCell ref="AR382:AS382"/>
    <mergeCell ref="AT382:AU382"/>
    <mergeCell ref="AX382:AZ382"/>
    <mergeCell ref="BA382:BB382"/>
    <mergeCell ref="AV382:AW382"/>
    <mergeCell ref="AV383:AW383"/>
    <mergeCell ref="AH381:AI381"/>
    <mergeCell ref="AH382:AI382"/>
    <mergeCell ref="BJ384:BM384"/>
    <mergeCell ref="BN384:BV384"/>
    <mergeCell ref="B385:C385"/>
    <mergeCell ref="D385:E385"/>
    <mergeCell ref="F385:G385"/>
    <mergeCell ref="H385:I385"/>
    <mergeCell ref="L385:M385"/>
    <mergeCell ref="P385:Q385"/>
    <mergeCell ref="R385:S385"/>
    <mergeCell ref="T385:U385"/>
    <mergeCell ref="V385:W385"/>
    <mergeCell ref="X385:AA385"/>
    <mergeCell ref="AB385:AE385"/>
    <mergeCell ref="AJ385:AK385"/>
    <mergeCell ref="AL385:AM385"/>
    <mergeCell ref="AN385:AO385"/>
    <mergeCell ref="AP385:AQ385"/>
    <mergeCell ref="AR385:AS385"/>
    <mergeCell ref="AT385:AU385"/>
    <mergeCell ref="AX385:AZ385"/>
    <mergeCell ref="BA385:BB385"/>
    <mergeCell ref="BD385:BE385"/>
    <mergeCell ref="BF385:BI385"/>
    <mergeCell ref="BJ385:BM385"/>
    <mergeCell ref="BF383:BI383"/>
    <mergeCell ref="BJ383:BM383"/>
    <mergeCell ref="BN383:BV383"/>
    <mergeCell ref="B384:C384"/>
    <mergeCell ref="D384:E384"/>
    <mergeCell ref="F384:G384"/>
    <mergeCell ref="H384:I384"/>
    <mergeCell ref="L384:M384"/>
    <mergeCell ref="P384:Q384"/>
    <mergeCell ref="R384:S384"/>
    <mergeCell ref="T384:U384"/>
    <mergeCell ref="V384:W384"/>
    <mergeCell ref="X384:AA384"/>
    <mergeCell ref="AB384:AE384"/>
    <mergeCell ref="AJ384:AK384"/>
    <mergeCell ref="AL384:AM384"/>
    <mergeCell ref="AN384:AO384"/>
    <mergeCell ref="AP384:AQ384"/>
    <mergeCell ref="AR384:AS384"/>
    <mergeCell ref="AT384:AU384"/>
    <mergeCell ref="AX384:AZ384"/>
    <mergeCell ref="BA384:BB384"/>
    <mergeCell ref="BD384:BE384"/>
    <mergeCell ref="BF384:BI384"/>
    <mergeCell ref="AV384:AW384"/>
    <mergeCell ref="AV385:AW385"/>
    <mergeCell ref="AH383:AI383"/>
    <mergeCell ref="AH384:AI384"/>
    <mergeCell ref="BN386:BV386"/>
    <mergeCell ref="B387:C387"/>
    <mergeCell ref="D387:E387"/>
    <mergeCell ref="F387:G387"/>
    <mergeCell ref="H387:I387"/>
    <mergeCell ref="L387:M387"/>
    <mergeCell ref="P387:Q387"/>
    <mergeCell ref="R387:S387"/>
    <mergeCell ref="T387:U387"/>
    <mergeCell ref="V387:W387"/>
    <mergeCell ref="X387:AA387"/>
    <mergeCell ref="AB387:AE387"/>
    <mergeCell ref="AJ387:AK387"/>
    <mergeCell ref="AL387:AM387"/>
    <mergeCell ref="AN387:AO387"/>
    <mergeCell ref="AP387:AQ387"/>
    <mergeCell ref="AR387:AS387"/>
    <mergeCell ref="AT387:AU387"/>
    <mergeCell ref="AX387:AZ387"/>
    <mergeCell ref="BA387:BB387"/>
    <mergeCell ref="BD387:BE387"/>
    <mergeCell ref="BF387:BI387"/>
    <mergeCell ref="BJ387:BM387"/>
    <mergeCell ref="BN385:BV385"/>
    <mergeCell ref="B386:C386"/>
    <mergeCell ref="D386:E386"/>
    <mergeCell ref="F386:G386"/>
    <mergeCell ref="H386:I386"/>
    <mergeCell ref="L386:M386"/>
    <mergeCell ref="P386:Q386"/>
    <mergeCell ref="R386:S386"/>
    <mergeCell ref="T386:U386"/>
    <mergeCell ref="V386:W386"/>
    <mergeCell ref="X386:AA386"/>
    <mergeCell ref="AB386:AE386"/>
    <mergeCell ref="AJ386:AK386"/>
    <mergeCell ref="AL386:AM386"/>
    <mergeCell ref="AN386:AO386"/>
    <mergeCell ref="AP386:AQ386"/>
    <mergeCell ref="AR386:AS386"/>
    <mergeCell ref="AT386:AU386"/>
    <mergeCell ref="AX386:AZ386"/>
    <mergeCell ref="BA386:BB386"/>
    <mergeCell ref="BD386:BE386"/>
    <mergeCell ref="BF386:BI386"/>
    <mergeCell ref="BJ386:BM386"/>
    <mergeCell ref="AV386:AW386"/>
    <mergeCell ref="AV387:AW387"/>
    <mergeCell ref="AH385:AI385"/>
    <mergeCell ref="AH386:AI386"/>
    <mergeCell ref="BN388:BV388"/>
    <mergeCell ref="B389:C389"/>
    <mergeCell ref="D389:E389"/>
    <mergeCell ref="F389:G389"/>
    <mergeCell ref="H389:I389"/>
    <mergeCell ref="L389:M389"/>
    <mergeCell ref="P389:Q389"/>
    <mergeCell ref="R389:S389"/>
    <mergeCell ref="T389:U389"/>
    <mergeCell ref="V389:W389"/>
    <mergeCell ref="X389:AA389"/>
    <mergeCell ref="AB389:AE389"/>
    <mergeCell ref="AJ389:AK389"/>
    <mergeCell ref="AL389:AM389"/>
    <mergeCell ref="AN389:AO389"/>
    <mergeCell ref="AP389:AQ389"/>
    <mergeCell ref="AR389:AS389"/>
    <mergeCell ref="AT389:AU389"/>
    <mergeCell ref="AX389:AZ389"/>
    <mergeCell ref="BA389:BB389"/>
    <mergeCell ref="BD389:BE389"/>
    <mergeCell ref="BF389:BI389"/>
    <mergeCell ref="BJ389:BM389"/>
    <mergeCell ref="BN389:BV389"/>
    <mergeCell ref="BN387:BV387"/>
    <mergeCell ref="B388:C388"/>
    <mergeCell ref="D388:E388"/>
    <mergeCell ref="F388:G388"/>
    <mergeCell ref="H388:I388"/>
    <mergeCell ref="L388:M388"/>
    <mergeCell ref="P388:Q388"/>
    <mergeCell ref="R388:S388"/>
    <mergeCell ref="T388:U388"/>
    <mergeCell ref="V388:W388"/>
    <mergeCell ref="X388:AA388"/>
    <mergeCell ref="AB388:AE388"/>
    <mergeCell ref="AJ388:AK388"/>
    <mergeCell ref="AL388:AM388"/>
    <mergeCell ref="AN388:AO388"/>
    <mergeCell ref="AP388:AQ388"/>
    <mergeCell ref="AR388:AS388"/>
    <mergeCell ref="AT388:AU388"/>
    <mergeCell ref="AX388:AZ388"/>
    <mergeCell ref="BA388:BB388"/>
    <mergeCell ref="BD388:BE388"/>
    <mergeCell ref="BF388:BI388"/>
    <mergeCell ref="BJ388:BM388"/>
    <mergeCell ref="AV388:AW388"/>
    <mergeCell ref="AV389:AW389"/>
    <mergeCell ref="AH387:AI387"/>
    <mergeCell ref="AH388:AI388"/>
    <mergeCell ref="AH389:AI389"/>
    <mergeCell ref="AN391:AO391"/>
    <mergeCell ref="AP391:AQ391"/>
    <mergeCell ref="AR391:AS391"/>
    <mergeCell ref="AT391:AU391"/>
    <mergeCell ref="AX391:AZ391"/>
    <mergeCell ref="BA391:BB391"/>
    <mergeCell ref="BD391:BE391"/>
    <mergeCell ref="BF391:BI391"/>
    <mergeCell ref="BJ391:BM391"/>
    <mergeCell ref="BN391:BV391"/>
    <mergeCell ref="B392:C392"/>
    <mergeCell ref="D392:E392"/>
    <mergeCell ref="F392:G392"/>
    <mergeCell ref="H392:I392"/>
    <mergeCell ref="L392:M392"/>
    <mergeCell ref="P392:Q392"/>
    <mergeCell ref="R392:S392"/>
    <mergeCell ref="T392:U392"/>
    <mergeCell ref="V392:W392"/>
    <mergeCell ref="X392:AA392"/>
    <mergeCell ref="AB392:AE392"/>
    <mergeCell ref="AJ392:AK392"/>
    <mergeCell ref="AL392:AM392"/>
    <mergeCell ref="AN392:AO392"/>
    <mergeCell ref="AL390:AM390"/>
    <mergeCell ref="AN390:AO390"/>
    <mergeCell ref="AP390:AQ390"/>
    <mergeCell ref="AR390:AS390"/>
    <mergeCell ref="AT390:AU390"/>
    <mergeCell ref="AX390:AZ390"/>
    <mergeCell ref="BA390:BB390"/>
    <mergeCell ref="BD390:BE390"/>
    <mergeCell ref="BF390:BI390"/>
    <mergeCell ref="BJ390:BM390"/>
    <mergeCell ref="BN390:BV390"/>
    <mergeCell ref="B391:C391"/>
    <mergeCell ref="D391:E391"/>
    <mergeCell ref="F391:G391"/>
    <mergeCell ref="H391:I391"/>
    <mergeCell ref="L391:M391"/>
    <mergeCell ref="P391:Q391"/>
    <mergeCell ref="R391:S391"/>
    <mergeCell ref="T391:U391"/>
    <mergeCell ref="V391:W391"/>
    <mergeCell ref="X391:AA391"/>
    <mergeCell ref="AB391:AE391"/>
    <mergeCell ref="AJ391:AK391"/>
    <mergeCell ref="AL391:AM391"/>
    <mergeCell ref="B390:C390"/>
    <mergeCell ref="D390:E390"/>
    <mergeCell ref="F390:G390"/>
    <mergeCell ref="H390:I390"/>
    <mergeCell ref="L390:M390"/>
    <mergeCell ref="P390:Q390"/>
    <mergeCell ref="R390:S390"/>
    <mergeCell ref="T390:U390"/>
    <mergeCell ref="V390:W390"/>
    <mergeCell ref="X390:AA390"/>
    <mergeCell ref="AB390:AE390"/>
    <mergeCell ref="AJ390:AK390"/>
    <mergeCell ref="AV390:AW390"/>
    <mergeCell ref="AV391:AW391"/>
    <mergeCell ref="AV392:AW392"/>
    <mergeCell ref="AH390:AI390"/>
    <mergeCell ref="AR393:AS393"/>
    <mergeCell ref="AT393:AU393"/>
    <mergeCell ref="AX393:AZ393"/>
    <mergeCell ref="BA393:BB393"/>
    <mergeCell ref="BD393:BE393"/>
    <mergeCell ref="BF393:BI393"/>
    <mergeCell ref="BJ393:BM393"/>
    <mergeCell ref="BN393:BV393"/>
    <mergeCell ref="B394:C394"/>
    <mergeCell ref="D394:E394"/>
    <mergeCell ref="F394:G394"/>
    <mergeCell ref="H394:I394"/>
    <mergeCell ref="L394:M394"/>
    <mergeCell ref="P394:Q394"/>
    <mergeCell ref="R394:S394"/>
    <mergeCell ref="T394:U394"/>
    <mergeCell ref="V394:W394"/>
    <mergeCell ref="X394:AA394"/>
    <mergeCell ref="AB394:AE394"/>
    <mergeCell ref="AJ394:AK394"/>
    <mergeCell ref="AL394:AM394"/>
    <mergeCell ref="AN394:AO394"/>
    <mergeCell ref="AP394:AQ394"/>
    <mergeCell ref="AR394:AS394"/>
    <mergeCell ref="AP392:AQ392"/>
    <mergeCell ref="AR392:AS392"/>
    <mergeCell ref="AT392:AU392"/>
    <mergeCell ref="AX392:AZ392"/>
    <mergeCell ref="BA392:BB392"/>
    <mergeCell ref="BD392:BE392"/>
    <mergeCell ref="BF392:BI392"/>
    <mergeCell ref="BJ392:BM392"/>
    <mergeCell ref="BN392:BV392"/>
    <mergeCell ref="B393:C393"/>
    <mergeCell ref="D393:E393"/>
    <mergeCell ref="F393:G393"/>
    <mergeCell ref="H393:I393"/>
    <mergeCell ref="L393:M393"/>
    <mergeCell ref="P393:Q393"/>
    <mergeCell ref="R393:S393"/>
    <mergeCell ref="T393:U393"/>
    <mergeCell ref="V393:W393"/>
    <mergeCell ref="X393:AA393"/>
    <mergeCell ref="AB393:AE393"/>
    <mergeCell ref="AJ393:AK393"/>
    <mergeCell ref="AL393:AM393"/>
    <mergeCell ref="AN393:AO393"/>
    <mergeCell ref="AP393:AQ393"/>
    <mergeCell ref="AV393:AW393"/>
    <mergeCell ref="AV394:AW394"/>
    <mergeCell ref="AF394:AG394"/>
    <mergeCell ref="AX395:AZ395"/>
    <mergeCell ref="BA395:BB395"/>
    <mergeCell ref="BD395:BE395"/>
    <mergeCell ref="BF395:BI395"/>
    <mergeCell ref="BJ395:BM395"/>
    <mergeCell ref="BN395:BV395"/>
    <mergeCell ref="B396:C396"/>
    <mergeCell ref="D396:E396"/>
    <mergeCell ref="F396:G396"/>
    <mergeCell ref="H396:I396"/>
    <mergeCell ref="L396:M396"/>
    <mergeCell ref="P396:Q396"/>
    <mergeCell ref="R396:S396"/>
    <mergeCell ref="T396:U396"/>
    <mergeCell ref="V396:W396"/>
    <mergeCell ref="X396:AA396"/>
    <mergeCell ref="AB396:AE396"/>
    <mergeCell ref="AJ396:AK396"/>
    <mergeCell ref="AL396:AM396"/>
    <mergeCell ref="AN396:AO396"/>
    <mergeCell ref="AP396:AQ396"/>
    <mergeCell ref="AR396:AS396"/>
    <mergeCell ref="AT396:AU396"/>
    <mergeCell ref="AX396:AZ396"/>
    <mergeCell ref="AT394:AU394"/>
    <mergeCell ref="AX394:AZ394"/>
    <mergeCell ref="BA394:BB394"/>
    <mergeCell ref="BD394:BE394"/>
    <mergeCell ref="BF394:BI394"/>
    <mergeCell ref="BJ394:BM394"/>
    <mergeCell ref="BN394:BV394"/>
    <mergeCell ref="B395:C395"/>
    <mergeCell ref="D395:E395"/>
    <mergeCell ref="F395:G395"/>
    <mergeCell ref="H395:I395"/>
    <mergeCell ref="L395:M395"/>
    <mergeCell ref="P395:Q395"/>
    <mergeCell ref="R395:S395"/>
    <mergeCell ref="T395:U395"/>
    <mergeCell ref="V395:W395"/>
    <mergeCell ref="X395:AA395"/>
    <mergeCell ref="AB395:AE395"/>
    <mergeCell ref="AJ395:AK395"/>
    <mergeCell ref="AL395:AM395"/>
    <mergeCell ref="AN395:AO395"/>
    <mergeCell ref="AP395:AQ395"/>
    <mergeCell ref="AR395:AS395"/>
    <mergeCell ref="AT395:AU395"/>
    <mergeCell ref="AV395:AW395"/>
    <mergeCell ref="AV396:AW396"/>
    <mergeCell ref="AF395:AG395"/>
    <mergeCell ref="AF396:AG396"/>
    <mergeCell ref="BD397:BE397"/>
    <mergeCell ref="BF397:BI397"/>
    <mergeCell ref="BJ397:BM397"/>
    <mergeCell ref="BN397:BV397"/>
    <mergeCell ref="B398:C398"/>
    <mergeCell ref="D398:E398"/>
    <mergeCell ref="F398:G398"/>
    <mergeCell ref="H398:I398"/>
    <mergeCell ref="L398:M398"/>
    <mergeCell ref="P398:Q398"/>
    <mergeCell ref="R398:S398"/>
    <mergeCell ref="T398:U398"/>
    <mergeCell ref="V398:W398"/>
    <mergeCell ref="X398:AA398"/>
    <mergeCell ref="AB398:AE398"/>
    <mergeCell ref="AJ398:AK398"/>
    <mergeCell ref="AL398:AM398"/>
    <mergeCell ref="AN398:AO398"/>
    <mergeCell ref="AP398:AQ398"/>
    <mergeCell ref="AR398:AS398"/>
    <mergeCell ref="AT398:AU398"/>
    <mergeCell ref="AX398:AZ398"/>
    <mergeCell ref="BA398:BB398"/>
    <mergeCell ref="BD398:BE398"/>
    <mergeCell ref="BA396:BB396"/>
    <mergeCell ref="BD396:BE396"/>
    <mergeCell ref="BF396:BI396"/>
    <mergeCell ref="BJ396:BM396"/>
    <mergeCell ref="BN396:BV396"/>
    <mergeCell ref="B397:C397"/>
    <mergeCell ref="D397:E397"/>
    <mergeCell ref="F397:G397"/>
    <mergeCell ref="H397:I397"/>
    <mergeCell ref="L397:M397"/>
    <mergeCell ref="P397:Q397"/>
    <mergeCell ref="R397:S397"/>
    <mergeCell ref="T397:U397"/>
    <mergeCell ref="V397:W397"/>
    <mergeCell ref="X397:AA397"/>
    <mergeCell ref="AB397:AE397"/>
    <mergeCell ref="AJ397:AK397"/>
    <mergeCell ref="AL397:AM397"/>
    <mergeCell ref="AN397:AO397"/>
    <mergeCell ref="AP397:AQ397"/>
    <mergeCell ref="AR397:AS397"/>
    <mergeCell ref="AT397:AU397"/>
    <mergeCell ref="AX397:AZ397"/>
    <mergeCell ref="BA397:BB397"/>
    <mergeCell ref="AV397:AW397"/>
    <mergeCell ref="AV398:AW398"/>
    <mergeCell ref="AF397:AG397"/>
    <mergeCell ref="AF398:AG398"/>
    <mergeCell ref="BJ399:BM399"/>
    <mergeCell ref="BN399:BV399"/>
    <mergeCell ref="B400:C400"/>
    <mergeCell ref="D400:E400"/>
    <mergeCell ref="F400:G400"/>
    <mergeCell ref="H400:I400"/>
    <mergeCell ref="L400:M400"/>
    <mergeCell ref="P400:Q400"/>
    <mergeCell ref="R400:S400"/>
    <mergeCell ref="T400:U400"/>
    <mergeCell ref="V400:W400"/>
    <mergeCell ref="X400:AA400"/>
    <mergeCell ref="AB400:AE400"/>
    <mergeCell ref="AJ400:AK400"/>
    <mergeCell ref="AL400:AM400"/>
    <mergeCell ref="AN400:AO400"/>
    <mergeCell ref="AP400:AQ400"/>
    <mergeCell ref="AR400:AS400"/>
    <mergeCell ref="AT400:AU400"/>
    <mergeCell ref="AX400:AZ400"/>
    <mergeCell ref="BA400:BB400"/>
    <mergeCell ref="BD400:BE400"/>
    <mergeCell ref="BF400:BI400"/>
    <mergeCell ref="BJ400:BM400"/>
    <mergeCell ref="BF398:BI398"/>
    <mergeCell ref="BJ398:BM398"/>
    <mergeCell ref="BN398:BV398"/>
    <mergeCell ref="B399:C399"/>
    <mergeCell ref="D399:E399"/>
    <mergeCell ref="F399:G399"/>
    <mergeCell ref="H399:I399"/>
    <mergeCell ref="L399:M399"/>
    <mergeCell ref="P399:Q399"/>
    <mergeCell ref="R399:S399"/>
    <mergeCell ref="T399:U399"/>
    <mergeCell ref="V399:W399"/>
    <mergeCell ref="X399:AA399"/>
    <mergeCell ref="AB399:AE399"/>
    <mergeCell ref="AJ399:AK399"/>
    <mergeCell ref="AL399:AM399"/>
    <mergeCell ref="AN399:AO399"/>
    <mergeCell ref="AP399:AQ399"/>
    <mergeCell ref="AR399:AS399"/>
    <mergeCell ref="AT399:AU399"/>
    <mergeCell ref="AX399:AZ399"/>
    <mergeCell ref="BA399:BB399"/>
    <mergeCell ref="BD399:BE399"/>
    <mergeCell ref="BF399:BI399"/>
    <mergeCell ref="AV399:AW399"/>
    <mergeCell ref="AV400:AW400"/>
    <mergeCell ref="AF399:AG399"/>
    <mergeCell ref="AF400:AG400"/>
    <mergeCell ref="BN401:BV401"/>
    <mergeCell ref="B402:C402"/>
    <mergeCell ref="D402:E402"/>
    <mergeCell ref="F402:G402"/>
    <mergeCell ref="H402:I402"/>
    <mergeCell ref="L402:M402"/>
    <mergeCell ref="P402:Q402"/>
    <mergeCell ref="R402:S402"/>
    <mergeCell ref="T402:U402"/>
    <mergeCell ref="V402:W402"/>
    <mergeCell ref="X402:AA402"/>
    <mergeCell ref="AB402:AE402"/>
    <mergeCell ref="AJ402:AK402"/>
    <mergeCell ref="AL402:AM402"/>
    <mergeCell ref="AN402:AO402"/>
    <mergeCell ref="AP402:AQ402"/>
    <mergeCell ref="AR402:AS402"/>
    <mergeCell ref="AT402:AU402"/>
    <mergeCell ref="AX402:AZ402"/>
    <mergeCell ref="BA402:BB402"/>
    <mergeCell ref="BD402:BE402"/>
    <mergeCell ref="BF402:BI402"/>
    <mergeCell ref="BJ402:BM402"/>
    <mergeCell ref="BN400:BV400"/>
    <mergeCell ref="B401:C401"/>
    <mergeCell ref="D401:E401"/>
    <mergeCell ref="F401:G401"/>
    <mergeCell ref="H401:I401"/>
    <mergeCell ref="L401:M401"/>
    <mergeCell ref="P401:Q401"/>
    <mergeCell ref="R401:S401"/>
    <mergeCell ref="T401:U401"/>
    <mergeCell ref="V401:W401"/>
    <mergeCell ref="X401:AA401"/>
    <mergeCell ref="AB401:AE401"/>
    <mergeCell ref="AJ401:AK401"/>
    <mergeCell ref="AL401:AM401"/>
    <mergeCell ref="AN401:AO401"/>
    <mergeCell ref="AP401:AQ401"/>
    <mergeCell ref="AR401:AS401"/>
    <mergeCell ref="AT401:AU401"/>
    <mergeCell ref="AX401:AZ401"/>
    <mergeCell ref="BA401:BB401"/>
    <mergeCell ref="BD401:BE401"/>
    <mergeCell ref="BF401:BI401"/>
    <mergeCell ref="BJ401:BM401"/>
    <mergeCell ref="AV401:AW401"/>
    <mergeCell ref="AV402:AW402"/>
    <mergeCell ref="AF401:AG401"/>
    <mergeCell ref="AF402:AG402"/>
    <mergeCell ref="BN403:BV403"/>
    <mergeCell ref="B404:C404"/>
    <mergeCell ref="D404:E404"/>
    <mergeCell ref="F404:G404"/>
    <mergeCell ref="H404:I404"/>
    <mergeCell ref="L404:M404"/>
    <mergeCell ref="P404:Q404"/>
    <mergeCell ref="R404:S404"/>
    <mergeCell ref="T404:U404"/>
    <mergeCell ref="V404:W404"/>
    <mergeCell ref="X404:AA404"/>
    <mergeCell ref="AB404:AE404"/>
    <mergeCell ref="AJ404:AK404"/>
    <mergeCell ref="AL404:AM404"/>
    <mergeCell ref="AN404:AO404"/>
    <mergeCell ref="AP404:AQ404"/>
    <mergeCell ref="AR404:AS404"/>
    <mergeCell ref="AT404:AU404"/>
    <mergeCell ref="AX404:AZ404"/>
    <mergeCell ref="BA404:BB404"/>
    <mergeCell ref="BD404:BE404"/>
    <mergeCell ref="BF404:BI404"/>
    <mergeCell ref="BJ404:BM404"/>
    <mergeCell ref="BN404:BV404"/>
    <mergeCell ref="BN402:BV402"/>
    <mergeCell ref="B403:C403"/>
    <mergeCell ref="D403:E403"/>
    <mergeCell ref="F403:G403"/>
    <mergeCell ref="H403:I403"/>
    <mergeCell ref="L403:M403"/>
    <mergeCell ref="P403:Q403"/>
    <mergeCell ref="R403:S403"/>
    <mergeCell ref="T403:U403"/>
    <mergeCell ref="V403:W403"/>
    <mergeCell ref="X403:AA403"/>
    <mergeCell ref="AB403:AE403"/>
    <mergeCell ref="AJ403:AK403"/>
    <mergeCell ref="AL403:AM403"/>
    <mergeCell ref="AN403:AO403"/>
    <mergeCell ref="AP403:AQ403"/>
    <mergeCell ref="AR403:AS403"/>
    <mergeCell ref="AT403:AU403"/>
    <mergeCell ref="AX403:AZ403"/>
    <mergeCell ref="BA403:BB403"/>
    <mergeCell ref="BD403:BE403"/>
    <mergeCell ref="BF403:BI403"/>
    <mergeCell ref="BJ403:BM403"/>
    <mergeCell ref="AV403:AW403"/>
    <mergeCell ref="AV404:AW404"/>
    <mergeCell ref="AF403:AG403"/>
    <mergeCell ref="AF404:AG404"/>
    <mergeCell ref="AN406:AO406"/>
    <mergeCell ref="AP406:AQ406"/>
    <mergeCell ref="AR406:AS406"/>
    <mergeCell ref="AT406:AU406"/>
    <mergeCell ref="AX406:AZ406"/>
    <mergeCell ref="BA406:BB406"/>
    <mergeCell ref="BD406:BE406"/>
    <mergeCell ref="BF406:BI406"/>
    <mergeCell ref="BJ406:BM406"/>
    <mergeCell ref="BN406:BV406"/>
    <mergeCell ref="B407:C407"/>
    <mergeCell ref="D407:E407"/>
    <mergeCell ref="F407:G407"/>
    <mergeCell ref="H407:I407"/>
    <mergeCell ref="L407:M407"/>
    <mergeCell ref="P407:Q407"/>
    <mergeCell ref="R407:S407"/>
    <mergeCell ref="T407:U407"/>
    <mergeCell ref="V407:W407"/>
    <mergeCell ref="X407:AA407"/>
    <mergeCell ref="AB407:AE407"/>
    <mergeCell ref="AJ407:AK407"/>
    <mergeCell ref="AL407:AM407"/>
    <mergeCell ref="AN407:AO407"/>
    <mergeCell ref="AL405:AM405"/>
    <mergeCell ref="AN405:AO405"/>
    <mergeCell ref="AP405:AQ405"/>
    <mergeCell ref="AR405:AS405"/>
    <mergeCell ref="AT405:AU405"/>
    <mergeCell ref="AX405:AZ405"/>
    <mergeCell ref="BA405:BB405"/>
    <mergeCell ref="BD405:BE405"/>
    <mergeCell ref="BF405:BI405"/>
    <mergeCell ref="BJ405:BM405"/>
    <mergeCell ref="BN405:BV405"/>
    <mergeCell ref="B406:C406"/>
    <mergeCell ref="D406:E406"/>
    <mergeCell ref="F406:G406"/>
    <mergeCell ref="H406:I406"/>
    <mergeCell ref="L406:M406"/>
    <mergeCell ref="P406:Q406"/>
    <mergeCell ref="R406:S406"/>
    <mergeCell ref="T406:U406"/>
    <mergeCell ref="V406:W406"/>
    <mergeCell ref="X406:AA406"/>
    <mergeCell ref="AB406:AE406"/>
    <mergeCell ref="AJ406:AK406"/>
    <mergeCell ref="AL406:AM406"/>
    <mergeCell ref="B405:C405"/>
    <mergeCell ref="D405:E405"/>
    <mergeCell ref="F405:G405"/>
    <mergeCell ref="H405:I405"/>
    <mergeCell ref="L405:M405"/>
    <mergeCell ref="P405:Q405"/>
    <mergeCell ref="R405:S405"/>
    <mergeCell ref="T405:U405"/>
    <mergeCell ref="V405:W405"/>
    <mergeCell ref="X405:AA405"/>
    <mergeCell ref="AB405:AE405"/>
    <mergeCell ref="AJ405:AK405"/>
    <mergeCell ref="AV406:AW406"/>
    <mergeCell ref="AV405:AW405"/>
    <mergeCell ref="AV407:AW407"/>
    <mergeCell ref="AF405:AG405"/>
    <mergeCell ref="AR408:AS408"/>
    <mergeCell ref="AT408:AU408"/>
    <mergeCell ref="AX408:AZ408"/>
    <mergeCell ref="BA408:BB408"/>
    <mergeCell ref="BD408:BE408"/>
    <mergeCell ref="BF408:BI408"/>
    <mergeCell ref="BJ408:BM408"/>
    <mergeCell ref="BN408:BV408"/>
    <mergeCell ref="B409:C409"/>
    <mergeCell ref="D409:E409"/>
    <mergeCell ref="F409:G409"/>
    <mergeCell ref="H409:I409"/>
    <mergeCell ref="L409:M409"/>
    <mergeCell ref="P409:Q409"/>
    <mergeCell ref="R409:S409"/>
    <mergeCell ref="T409:U409"/>
    <mergeCell ref="V409:W409"/>
    <mergeCell ref="X409:AA409"/>
    <mergeCell ref="AB409:AE409"/>
    <mergeCell ref="AJ409:AK409"/>
    <mergeCell ref="AL409:AM409"/>
    <mergeCell ref="AN409:AO409"/>
    <mergeCell ref="AP409:AQ409"/>
    <mergeCell ref="AR409:AS409"/>
    <mergeCell ref="AP407:AQ407"/>
    <mergeCell ref="AR407:AS407"/>
    <mergeCell ref="AT407:AU407"/>
    <mergeCell ref="AX407:AZ407"/>
    <mergeCell ref="BA407:BB407"/>
    <mergeCell ref="BD407:BE407"/>
    <mergeCell ref="BF407:BI407"/>
    <mergeCell ref="BJ407:BM407"/>
    <mergeCell ref="BN407:BV407"/>
    <mergeCell ref="B408:C408"/>
    <mergeCell ref="D408:E408"/>
    <mergeCell ref="F408:G408"/>
    <mergeCell ref="H408:I408"/>
    <mergeCell ref="L408:M408"/>
    <mergeCell ref="P408:Q408"/>
    <mergeCell ref="R408:S408"/>
    <mergeCell ref="T408:U408"/>
    <mergeCell ref="V408:W408"/>
    <mergeCell ref="X408:AA408"/>
    <mergeCell ref="AB408:AE408"/>
    <mergeCell ref="AJ408:AK408"/>
    <mergeCell ref="AL408:AM408"/>
    <mergeCell ref="AN408:AO408"/>
    <mergeCell ref="AP408:AQ408"/>
    <mergeCell ref="AV408:AW408"/>
    <mergeCell ref="AV409:AW409"/>
    <mergeCell ref="AX410:AZ410"/>
    <mergeCell ref="BA410:BB410"/>
    <mergeCell ref="BD410:BE410"/>
    <mergeCell ref="BF410:BI410"/>
    <mergeCell ref="BJ410:BM410"/>
    <mergeCell ref="BN410:BV410"/>
    <mergeCell ref="B411:C411"/>
    <mergeCell ref="D411:E411"/>
    <mergeCell ref="F411:G411"/>
    <mergeCell ref="H411:I411"/>
    <mergeCell ref="L411:M411"/>
    <mergeCell ref="P411:Q411"/>
    <mergeCell ref="R411:S411"/>
    <mergeCell ref="T411:U411"/>
    <mergeCell ref="V411:W411"/>
    <mergeCell ref="X411:AA411"/>
    <mergeCell ref="AB411:AE411"/>
    <mergeCell ref="AJ411:AK411"/>
    <mergeCell ref="AL411:AM411"/>
    <mergeCell ref="AN411:AO411"/>
    <mergeCell ref="AP411:AQ411"/>
    <mergeCell ref="AR411:AS411"/>
    <mergeCell ref="AT411:AU411"/>
    <mergeCell ref="AX411:AZ411"/>
    <mergeCell ref="AT409:AU409"/>
    <mergeCell ref="AX409:AZ409"/>
    <mergeCell ref="BA409:BB409"/>
    <mergeCell ref="BD409:BE409"/>
    <mergeCell ref="BF409:BI409"/>
    <mergeCell ref="BJ409:BM409"/>
    <mergeCell ref="BN409:BV409"/>
    <mergeCell ref="B410:C410"/>
    <mergeCell ref="D410:E410"/>
    <mergeCell ref="F410:G410"/>
    <mergeCell ref="H410:I410"/>
    <mergeCell ref="L410:M410"/>
    <mergeCell ref="P410:Q410"/>
    <mergeCell ref="R410:S410"/>
    <mergeCell ref="T410:U410"/>
    <mergeCell ref="V410:W410"/>
    <mergeCell ref="X410:AA410"/>
    <mergeCell ref="AB410:AE410"/>
    <mergeCell ref="AJ410:AK410"/>
    <mergeCell ref="AL410:AM410"/>
    <mergeCell ref="AN410:AO410"/>
    <mergeCell ref="AP410:AQ410"/>
    <mergeCell ref="AR410:AS410"/>
    <mergeCell ref="AT410:AU410"/>
    <mergeCell ref="AV410:AW410"/>
    <mergeCell ref="AV411:AW411"/>
    <mergeCell ref="J409:K409"/>
    <mergeCell ref="J410:K410"/>
    <mergeCell ref="BD412:BE412"/>
    <mergeCell ref="BF412:BI412"/>
    <mergeCell ref="BJ412:BM412"/>
    <mergeCell ref="BN412:BV412"/>
    <mergeCell ref="B413:C413"/>
    <mergeCell ref="D413:E413"/>
    <mergeCell ref="F413:G413"/>
    <mergeCell ref="H413:I413"/>
    <mergeCell ref="L413:M413"/>
    <mergeCell ref="P413:Q413"/>
    <mergeCell ref="R413:S413"/>
    <mergeCell ref="T413:U413"/>
    <mergeCell ref="V413:W413"/>
    <mergeCell ref="X413:AA413"/>
    <mergeCell ref="AB413:AE413"/>
    <mergeCell ref="AJ413:AK413"/>
    <mergeCell ref="AL413:AM413"/>
    <mergeCell ref="AN413:AO413"/>
    <mergeCell ref="AP413:AQ413"/>
    <mergeCell ref="AR413:AS413"/>
    <mergeCell ref="AT413:AU413"/>
    <mergeCell ref="AX413:AZ413"/>
    <mergeCell ref="BA413:BB413"/>
    <mergeCell ref="BD413:BE413"/>
    <mergeCell ref="BA411:BB411"/>
    <mergeCell ref="BD411:BE411"/>
    <mergeCell ref="BF411:BI411"/>
    <mergeCell ref="BJ411:BM411"/>
    <mergeCell ref="BN411:BV411"/>
    <mergeCell ref="B412:C412"/>
    <mergeCell ref="D412:E412"/>
    <mergeCell ref="F412:G412"/>
    <mergeCell ref="H412:I412"/>
    <mergeCell ref="L412:M412"/>
    <mergeCell ref="P412:Q412"/>
    <mergeCell ref="R412:S412"/>
    <mergeCell ref="T412:U412"/>
    <mergeCell ref="V412:W412"/>
    <mergeCell ref="X412:AA412"/>
    <mergeCell ref="AB412:AE412"/>
    <mergeCell ref="AJ412:AK412"/>
    <mergeCell ref="AL412:AM412"/>
    <mergeCell ref="AN412:AO412"/>
    <mergeCell ref="AP412:AQ412"/>
    <mergeCell ref="AR412:AS412"/>
    <mergeCell ref="AT412:AU412"/>
    <mergeCell ref="AX412:AZ412"/>
    <mergeCell ref="BA412:BB412"/>
    <mergeCell ref="AV412:AW412"/>
    <mergeCell ref="AV413:AW413"/>
    <mergeCell ref="J411:K411"/>
    <mergeCell ref="J412:K412"/>
    <mergeCell ref="BJ414:BM414"/>
    <mergeCell ref="BN414:BV414"/>
    <mergeCell ref="B415:C415"/>
    <mergeCell ref="D415:E415"/>
    <mergeCell ref="F415:G415"/>
    <mergeCell ref="H415:I415"/>
    <mergeCell ref="L415:M415"/>
    <mergeCell ref="P415:Q415"/>
    <mergeCell ref="R415:S415"/>
    <mergeCell ref="T415:U415"/>
    <mergeCell ref="V415:W415"/>
    <mergeCell ref="X415:AA415"/>
    <mergeCell ref="AB415:AE415"/>
    <mergeCell ref="AJ415:AK415"/>
    <mergeCell ref="AL415:AM415"/>
    <mergeCell ref="AN415:AO415"/>
    <mergeCell ref="AP415:AQ415"/>
    <mergeCell ref="AR415:AS415"/>
    <mergeCell ref="AT415:AU415"/>
    <mergeCell ref="AX415:AZ415"/>
    <mergeCell ref="BA415:BB415"/>
    <mergeCell ref="BD415:BE415"/>
    <mergeCell ref="BF415:BI415"/>
    <mergeCell ref="BJ415:BM415"/>
    <mergeCell ref="BF413:BI413"/>
    <mergeCell ref="BJ413:BM413"/>
    <mergeCell ref="BN413:BV413"/>
    <mergeCell ref="B414:C414"/>
    <mergeCell ref="D414:E414"/>
    <mergeCell ref="F414:G414"/>
    <mergeCell ref="H414:I414"/>
    <mergeCell ref="L414:M414"/>
    <mergeCell ref="P414:Q414"/>
    <mergeCell ref="R414:S414"/>
    <mergeCell ref="T414:U414"/>
    <mergeCell ref="V414:W414"/>
    <mergeCell ref="X414:AA414"/>
    <mergeCell ref="AB414:AE414"/>
    <mergeCell ref="AJ414:AK414"/>
    <mergeCell ref="AL414:AM414"/>
    <mergeCell ref="AN414:AO414"/>
    <mergeCell ref="AP414:AQ414"/>
    <mergeCell ref="AR414:AS414"/>
    <mergeCell ref="AT414:AU414"/>
    <mergeCell ref="AX414:AZ414"/>
    <mergeCell ref="BA414:BB414"/>
    <mergeCell ref="BD414:BE414"/>
    <mergeCell ref="BF414:BI414"/>
    <mergeCell ref="AV414:AW414"/>
    <mergeCell ref="AV415:AW415"/>
    <mergeCell ref="J413:K413"/>
    <mergeCell ref="J414:K414"/>
    <mergeCell ref="BN416:BV416"/>
    <mergeCell ref="B417:C417"/>
    <mergeCell ref="D417:E417"/>
    <mergeCell ref="F417:G417"/>
    <mergeCell ref="H417:I417"/>
    <mergeCell ref="L417:M417"/>
    <mergeCell ref="P417:Q417"/>
    <mergeCell ref="R417:S417"/>
    <mergeCell ref="T417:U417"/>
    <mergeCell ref="V417:W417"/>
    <mergeCell ref="X417:AA417"/>
    <mergeCell ref="AB417:AE417"/>
    <mergeCell ref="AJ417:AK417"/>
    <mergeCell ref="AL417:AM417"/>
    <mergeCell ref="AN417:AO417"/>
    <mergeCell ref="AP417:AQ417"/>
    <mergeCell ref="AR417:AS417"/>
    <mergeCell ref="AT417:AU417"/>
    <mergeCell ref="AX417:AZ417"/>
    <mergeCell ref="BA417:BB417"/>
    <mergeCell ref="BD417:BE417"/>
    <mergeCell ref="BF417:BI417"/>
    <mergeCell ref="BJ417:BM417"/>
    <mergeCell ref="BN415:BV415"/>
    <mergeCell ref="B416:C416"/>
    <mergeCell ref="D416:E416"/>
    <mergeCell ref="F416:G416"/>
    <mergeCell ref="H416:I416"/>
    <mergeCell ref="L416:M416"/>
    <mergeCell ref="P416:Q416"/>
    <mergeCell ref="R416:S416"/>
    <mergeCell ref="T416:U416"/>
    <mergeCell ref="V416:W416"/>
    <mergeCell ref="X416:AA416"/>
    <mergeCell ref="AB416:AE416"/>
    <mergeCell ref="AJ416:AK416"/>
    <mergeCell ref="AL416:AM416"/>
    <mergeCell ref="AN416:AO416"/>
    <mergeCell ref="AP416:AQ416"/>
    <mergeCell ref="AR416:AS416"/>
    <mergeCell ref="AT416:AU416"/>
    <mergeCell ref="AX416:AZ416"/>
    <mergeCell ref="BA416:BB416"/>
    <mergeCell ref="BD416:BE416"/>
    <mergeCell ref="BF416:BI416"/>
    <mergeCell ref="BJ416:BM416"/>
    <mergeCell ref="AV416:AW416"/>
    <mergeCell ref="AV417:AW417"/>
    <mergeCell ref="J415:K415"/>
    <mergeCell ref="J416:K416"/>
    <mergeCell ref="BN418:BV418"/>
    <mergeCell ref="B419:C419"/>
    <mergeCell ref="D419:E419"/>
    <mergeCell ref="F419:G419"/>
    <mergeCell ref="H419:I419"/>
    <mergeCell ref="L419:M419"/>
    <mergeCell ref="P419:Q419"/>
    <mergeCell ref="R419:S419"/>
    <mergeCell ref="T419:U419"/>
    <mergeCell ref="V419:W419"/>
    <mergeCell ref="X419:AA419"/>
    <mergeCell ref="AB419:AE419"/>
    <mergeCell ref="AJ419:AK419"/>
    <mergeCell ref="AL419:AM419"/>
    <mergeCell ref="AN419:AO419"/>
    <mergeCell ref="AP419:AQ419"/>
    <mergeCell ref="AR419:AS419"/>
    <mergeCell ref="AT419:AU419"/>
    <mergeCell ref="AX419:AZ419"/>
    <mergeCell ref="BA419:BB419"/>
    <mergeCell ref="BD419:BE419"/>
    <mergeCell ref="BF419:BI419"/>
    <mergeCell ref="BJ419:BM419"/>
    <mergeCell ref="BN419:BV419"/>
    <mergeCell ref="BN417:BV417"/>
    <mergeCell ref="B418:C418"/>
    <mergeCell ref="D418:E418"/>
    <mergeCell ref="F418:G418"/>
    <mergeCell ref="H418:I418"/>
    <mergeCell ref="L418:M418"/>
    <mergeCell ref="P418:Q418"/>
    <mergeCell ref="R418:S418"/>
    <mergeCell ref="T418:U418"/>
    <mergeCell ref="V418:W418"/>
    <mergeCell ref="X418:AA418"/>
    <mergeCell ref="AB418:AE418"/>
    <mergeCell ref="AJ418:AK418"/>
    <mergeCell ref="AL418:AM418"/>
    <mergeCell ref="AN418:AO418"/>
    <mergeCell ref="AP418:AQ418"/>
    <mergeCell ref="AR418:AS418"/>
    <mergeCell ref="AT418:AU418"/>
    <mergeCell ref="AX418:AZ418"/>
    <mergeCell ref="BA418:BB418"/>
    <mergeCell ref="BD418:BE418"/>
    <mergeCell ref="BF418:BI418"/>
    <mergeCell ref="BJ418:BM418"/>
    <mergeCell ref="AV418:AW418"/>
    <mergeCell ref="AV419:AW419"/>
    <mergeCell ref="J417:K417"/>
    <mergeCell ref="J418:K418"/>
    <mergeCell ref="J419:K419"/>
    <mergeCell ref="AN421:AO421"/>
    <mergeCell ref="AP421:AQ421"/>
    <mergeCell ref="AR421:AS421"/>
    <mergeCell ref="AT421:AU421"/>
    <mergeCell ref="AX421:AZ421"/>
    <mergeCell ref="BA421:BB421"/>
    <mergeCell ref="BD421:BE421"/>
    <mergeCell ref="BF421:BI421"/>
    <mergeCell ref="BJ421:BM421"/>
    <mergeCell ref="BN421:BV421"/>
    <mergeCell ref="B422:C422"/>
    <mergeCell ref="D422:E422"/>
    <mergeCell ref="F422:G422"/>
    <mergeCell ref="H422:I422"/>
    <mergeCell ref="L422:M422"/>
    <mergeCell ref="P422:Q422"/>
    <mergeCell ref="R422:S422"/>
    <mergeCell ref="T422:U422"/>
    <mergeCell ref="V422:W422"/>
    <mergeCell ref="X422:AA422"/>
    <mergeCell ref="AB422:AE422"/>
    <mergeCell ref="AJ422:AK422"/>
    <mergeCell ref="AL422:AM422"/>
    <mergeCell ref="AN422:AO422"/>
    <mergeCell ref="AL420:AM420"/>
    <mergeCell ref="AN420:AO420"/>
    <mergeCell ref="AP420:AQ420"/>
    <mergeCell ref="AR420:AS420"/>
    <mergeCell ref="AT420:AU420"/>
    <mergeCell ref="AX420:AZ420"/>
    <mergeCell ref="BA420:BB420"/>
    <mergeCell ref="BD420:BE420"/>
    <mergeCell ref="BF420:BI420"/>
    <mergeCell ref="BJ420:BM420"/>
    <mergeCell ref="BN420:BV420"/>
    <mergeCell ref="B421:C421"/>
    <mergeCell ref="D421:E421"/>
    <mergeCell ref="F421:G421"/>
    <mergeCell ref="H421:I421"/>
    <mergeCell ref="L421:M421"/>
    <mergeCell ref="P421:Q421"/>
    <mergeCell ref="R421:S421"/>
    <mergeCell ref="T421:U421"/>
    <mergeCell ref="V421:W421"/>
    <mergeCell ref="X421:AA421"/>
    <mergeCell ref="AB421:AE421"/>
    <mergeCell ref="AJ421:AK421"/>
    <mergeCell ref="AL421:AM421"/>
    <mergeCell ref="B420:C420"/>
    <mergeCell ref="D420:E420"/>
    <mergeCell ref="F420:G420"/>
    <mergeCell ref="H420:I420"/>
    <mergeCell ref="L420:M420"/>
    <mergeCell ref="P420:Q420"/>
    <mergeCell ref="R420:S420"/>
    <mergeCell ref="T420:U420"/>
    <mergeCell ref="V420:W420"/>
    <mergeCell ref="X420:AA420"/>
    <mergeCell ref="AB420:AE420"/>
    <mergeCell ref="AJ420:AK420"/>
    <mergeCell ref="AV420:AW420"/>
    <mergeCell ref="AV421:AW421"/>
    <mergeCell ref="AV422:AW422"/>
    <mergeCell ref="J420:K420"/>
    <mergeCell ref="AR423:AS423"/>
    <mergeCell ref="AT423:AU423"/>
    <mergeCell ref="AX423:AZ423"/>
    <mergeCell ref="BA423:BB423"/>
    <mergeCell ref="BD423:BE423"/>
    <mergeCell ref="BF423:BI423"/>
    <mergeCell ref="BJ423:BM423"/>
    <mergeCell ref="BN423:BV423"/>
    <mergeCell ref="B424:C424"/>
    <mergeCell ref="D424:E424"/>
    <mergeCell ref="F424:G424"/>
    <mergeCell ref="H424:I424"/>
    <mergeCell ref="L424:M424"/>
    <mergeCell ref="P424:Q424"/>
    <mergeCell ref="R424:S424"/>
    <mergeCell ref="T424:U424"/>
    <mergeCell ref="V424:W424"/>
    <mergeCell ref="X424:AA424"/>
    <mergeCell ref="AB424:AE424"/>
    <mergeCell ref="AJ424:AK424"/>
    <mergeCell ref="AL424:AM424"/>
    <mergeCell ref="AN424:AO424"/>
    <mergeCell ref="AP424:AQ424"/>
    <mergeCell ref="AR424:AS424"/>
    <mergeCell ref="AP422:AQ422"/>
    <mergeCell ref="AR422:AS422"/>
    <mergeCell ref="AT422:AU422"/>
    <mergeCell ref="AX422:AZ422"/>
    <mergeCell ref="BA422:BB422"/>
    <mergeCell ref="BD422:BE422"/>
    <mergeCell ref="BF422:BI422"/>
    <mergeCell ref="BJ422:BM422"/>
    <mergeCell ref="BN422:BV422"/>
    <mergeCell ref="B423:C423"/>
    <mergeCell ref="D423:E423"/>
    <mergeCell ref="F423:G423"/>
    <mergeCell ref="H423:I423"/>
    <mergeCell ref="L423:M423"/>
    <mergeCell ref="P423:Q423"/>
    <mergeCell ref="R423:S423"/>
    <mergeCell ref="T423:U423"/>
    <mergeCell ref="V423:W423"/>
    <mergeCell ref="X423:AA423"/>
    <mergeCell ref="AB423:AE423"/>
    <mergeCell ref="AJ423:AK423"/>
    <mergeCell ref="AL423:AM423"/>
    <mergeCell ref="AN423:AO423"/>
    <mergeCell ref="AP423:AQ423"/>
    <mergeCell ref="AV423:AW423"/>
    <mergeCell ref="AV424:AW424"/>
    <mergeCell ref="AX425:AZ425"/>
    <mergeCell ref="BA425:BB425"/>
    <mergeCell ref="BD425:BE425"/>
    <mergeCell ref="BF425:BI425"/>
    <mergeCell ref="BJ425:BM425"/>
    <mergeCell ref="BN425:BV425"/>
    <mergeCell ref="B426:C426"/>
    <mergeCell ref="D426:E426"/>
    <mergeCell ref="F426:G426"/>
    <mergeCell ref="H426:I426"/>
    <mergeCell ref="L426:M426"/>
    <mergeCell ref="P426:Q426"/>
    <mergeCell ref="R426:S426"/>
    <mergeCell ref="T426:U426"/>
    <mergeCell ref="V426:W426"/>
    <mergeCell ref="X426:AA426"/>
    <mergeCell ref="AB426:AE426"/>
    <mergeCell ref="AJ426:AK426"/>
    <mergeCell ref="AL426:AM426"/>
    <mergeCell ref="AN426:AO426"/>
    <mergeCell ref="AP426:AQ426"/>
    <mergeCell ref="AR426:AS426"/>
    <mergeCell ref="AT426:AU426"/>
    <mergeCell ref="AX426:AZ426"/>
    <mergeCell ref="AT424:AU424"/>
    <mergeCell ref="AX424:AZ424"/>
    <mergeCell ref="BA424:BB424"/>
    <mergeCell ref="BD424:BE424"/>
    <mergeCell ref="BF424:BI424"/>
    <mergeCell ref="BJ424:BM424"/>
    <mergeCell ref="BN424:BV424"/>
    <mergeCell ref="B425:C425"/>
    <mergeCell ref="D425:E425"/>
    <mergeCell ref="F425:G425"/>
    <mergeCell ref="H425:I425"/>
    <mergeCell ref="L425:M425"/>
    <mergeCell ref="P425:Q425"/>
    <mergeCell ref="R425:S425"/>
    <mergeCell ref="T425:U425"/>
    <mergeCell ref="V425:W425"/>
    <mergeCell ref="X425:AA425"/>
    <mergeCell ref="AB425:AE425"/>
    <mergeCell ref="AJ425:AK425"/>
    <mergeCell ref="AL425:AM425"/>
    <mergeCell ref="AN425:AO425"/>
    <mergeCell ref="AP425:AQ425"/>
    <mergeCell ref="AR425:AS425"/>
    <mergeCell ref="AT425:AU425"/>
    <mergeCell ref="AV425:AW425"/>
    <mergeCell ref="AV426:AW426"/>
    <mergeCell ref="AH424:AI424"/>
    <mergeCell ref="AH425:AI425"/>
    <mergeCell ref="BD427:BE427"/>
    <mergeCell ref="BF427:BI427"/>
    <mergeCell ref="BJ427:BM427"/>
    <mergeCell ref="BN427:BV427"/>
    <mergeCell ref="B428:C428"/>
    <mergeCell ref="D428:E428"/>
    <mergeCell ref="F428:G428"/>
    <mergeCell ref="H428:I428"/>
    <mergeCell ref="L428:M428"/>
    <mergeCell ref="P428:Q428"/>
    <mergeCell ref="R428:S428"/>
    <mergeCell ref="T428:U428"/>
    <mergeCell ref="V428:W428"/>
    <mergeCell ref="X428:AA428"/>
    <mergeCell ref="AB428:AE428"/>
    <mergeCell ref="AJ428:AK428"/>
    <mergeCell ref="AL428:AM428"/>
    <mergeCell ref="AN428:AO428"/>
    <mergeCell ref="AP428:AQ428"/>
    <mergeCell ref="AR428:AS428"/>
    <mergeCell ref="AT428:AU428"/>
    <mergeCell ref="AX428:AZ428"/>
    <mergeCell ref="BA428:BB428"/>
    <mergeCell ref="BD428:BE428"/>
    <mergeCell ref="BA426:BB426"/>
    <mergeCell ref="BD426:BE426"/>
    <mergeCell ref="BF426:BI426"/>
    <mergeCell ref="BJ426:BM426"/>
    <mergeCell ref="BN426:BV426"/>
    <mergeCell ref="B427:C427"/>
    <mergeCell ref="D427:E427"/>
    <mergeCell ref="F427:G427"/>
    <mergeCell ref="H427:I427"/>
    <mergeCell ref="L427:M427"/>
    <mergeCell ref="P427:Q427"/>
    <mergeCell ref="R427:S427"/>
    <mergeCell ref="T427:U427"/>
    <mergeCell ref="V427:W427"/>
    <mergeCell ref="X427:AA427"/>
    <mergeCell ref="AB427:AE427"/>
    <mergeCell ref="AJ427:AK427"/>
    <mergeCell ref="AL427:AM427"/>
    <mergeCell ref="AN427:AO427"/>
    <mergeCell ref="AP427:AQ427"/>
    <mergeCell ref="AR427:AS427"/>
    <mergeCell ref="AT427:AU427"/>
    <mergeCell ref="AX427:AZ427"/>
    <mergeCell ref="BA427:BB427"/>
    <mergeCell ref="AV427:AW427"/>
    <mergeCell ref="AV428:AW428"/>
    <mergeCell ref="AH426:AI426"/>
    <mergeCell ref="AH427:AI427"/>
    <mergeCell ref="BJ429:BM429"/>
    <mergeCell ref="BN429:BV429"/>
    <mergeCell ref="B430:C430"/>
    <mergeCell ref="D430:E430"/>
    <mergeCell ref="F430:G430"/>
    <mergeCell ref="H430:I430"/>
    <mergeCell ref="L430:M430"/>
    <mergeCell ref="P430:Q430"/>
    <mergeCell ref="R430:S430"/>
    <mergeCell ref="T430:U430"/>
    <mergeCell ref="V430:W430"/>
    <mergeCell ref="X430:AA430"/>
    <mergeCell ref="AB430:AE430"/>
    <mergeCell ref="AJ430:AK430"/>
    <mergeCell ref="AL430:AM430"/>
    <mergeCell ref="AN430:AO430"/>
    <mergeCell ref="AP430:AQ430"/>
    <mergeCell ref="AR430:AS430"/>
    <mergeCell ref="AT430:AU430"/>
    <mergeCell ref="AX430:AZ430"/>
    <mergeCell ref="BA430:BB430"/>
    <mergeCell ref="BD430:BE430"/>
    <mergeCell ref="BF430:BI430"/>
    <mergeCell ref="BJ430:BM430"/>
    <mergeCell ref="BF428:BI428"/>
    <mergeCell ref="BJ428:BM428"/>
    <mergeCell ref="BN428:BV428"/>
    <mergeCell ref="B429:C429"/>
    <mergeCell ref="D429:E429"/>
    <mergeCell ref="F429:G429"/>
    <mergeCell ref="H429:I429"/>
    <mergeCell ref="L429:M429"/>
    <mergeCell ref="P429:Q429"/>
    <mergeCell ref="R429:S429"/>
    <mergeCell ref="T429:U429"/>
    <mergeCell ref="V429:W429"/>
    <mergeCell ref="X429:AA429"/>
    <mergeCell ref="AB429:AE429"/>
    <mergeCell ref="AJ429:AK429"/>
    <mergeCell ref="AL429:AM429"/>
    <mergeCell ref="AN429:AO429"/>
    <mergeCell ref="AP429:AQ429"/>
    <mergeCell ref="AR429:AS429"/>
    <mergeCell ref="AT429:AU429"/>
    <mergeCell ref="AX429:AZ429"/>
    <mergeCell ref="BA429:BB429"/>
    <mergeCell ref="BD429:BE429"/>
    <mergeCell ref="BF429:BI429"/>
    <mergeCell ref="AV429:AW429"/>
    <mergeCell ref="AV430:AW430"/>
    <mergeCell ref="AH428:AI428"/>
    <mergeCell ref="AH429:AI429"/>
    <mergeCell ref="BN431:BV431"/>
    <mergeCell ref="B432:C432"/>
    <mergeCell ref="D432:E432"/>
    <mergeCell ref="F432:G432"/>
    <mergeCell ref="H432:I432"/>
    <mergeCell ref="L432:M432"/>
    <mergeCell ref="P432:Q432"/>
    <mergeCell ref="R432:S432"/>
    <mergeCell ref="T432:U432"/>
    <mergeCell ref="V432:W432"/>
    <mergeCell ref="X432:AA432"/>
    <mergeCell ref="AB432:AE432"/>
    <mergeCell ref="AJ432:AK432"/>
    <mergeCell ref="AL432:AM432"/>
    <mergeCell ref="AN432:AO432"/>
    <mergeCell ref="AP432:AQ432"/>
    <mergeCell ref="AR432:AS432"/>
    <mergeCell ref="AT432:AU432"/>
    <mergeCell ref="AX432:AZ432"/>
    <mergeCell ref="BA432:BB432"/>
    <mergeCell ref="BD432:BE432"/>
    <mergeCell ref="BF432:BI432"/>
    <mergeCell ref="BJ432:BM432"/>
    <mergeCell ref="BN430:BV430"/>
    <mergeCell ref="B431:C431"/>
    <mergeCell ref="D431:E431"/>
    <mergeCell ref="F431:G431"/>
    <mergeCell ref="H431:I431"/>
    <mergeCell ref="L431:M431"/>
    <mergeCell ref="P431:Q431"/>
    <mergeCell ref="R431:S431"/>
    <mergeCell ref="T431:U431"/>
    <mergeCell ref="V431:W431"/>
    <mergeCell ref="X431:AA431"/>
    <mergeCell ref="AB431:AE431"/>
    <mergeCell ref="AJ431:AK431"/>
    <mergeCell ref="AL431:AM431"/>
    <mergeCell ref="AN431:AO431"/>
    <mergeCell ref="AP431:AQ431"/>
    <mergeCell ref="AR431:AS431"/>
    <mergeCell ref="AT431:AU431"/>
    <mergeCell ref="AX431:AZ431"/>
    <mergeCell ref="BA431:BB431"/>
    <mergeCell ref="BD431:BE431"/>
    <mergeCell ref="BF431:BI431"/>
    <mergeCell ref="BJ431:BM431"/>
    <mergeCell ref="AV431:AW431"/>
    <mergeCell ref="AV432:AW432"/>
    <mergeCell ref="AH430:AI430"/>
    <mergeCell ref="AH431:AI431"/>
    <mergeCell ref="BN433:BV433"/>
    <mergeCell ref="B434:C434"/>
    <mergeCell ref="D434:E434"/>
    <mergeCell ref="F434:G434"/>
    <mergeCell ref="H434:I434"/>
    <mergeCell ref="L434:M434"/>
    <mergeCell ref="P434:Q434"/>
    <mergeCell ref="R434:S434"/>
    <mergeCell ref="T434:U434"/>
    <mergeCell ref="V434:W434"/>
    <mergeCell ref="X434:AA434"/>
    <mergeCell ref="AB434:AE434"/>
    <mergeCell ref="AJ434:AK434"/>
    <mergeCell ref="AL434:AM434"/>
    <mergeCell ref="AN434:AO434"/>
    <mergeCell ref="AP434:AQ434"/>
    <mergeCell ref="AR434:AS434"/>
    <mergeCell ref="AT434:AU434"/>
    <mergeCell ref="AX434:AZ434"/>
    <mergeCell ref="BA434:BB434"/>
    <mergeCell ref="BD434:BE434"/>
    <mergeCell ref="BF434:BI434"/>
    <mergeCell ref="BJ434:BM434"/>
    <mergeCell ref="BN434:BV434"/>
    <mergeCell ref="BN432:BV432"/>
    <mergeCell ref="B433:C433"/>
    <mergeCell ref="D433:E433"/>
    <mergeCell ref="F433:G433"/>
    <mergeCell ref="H433:I433"/>
    <mergeCell ref="L433:M433"/>
    <mergeCell ref="P433:Q433"/>
    <mergeCell ref="R433:S433"/>
    <mergeCell ref="T433:U433"/>
    <mergeCell ref="V433:W433"/>
    <mergeCell ref="X433:AA433"/>
    <mergeCell ref="AB433:AE433"/>
    <mergeCell ref="AJ433:AK433"/>
    <mergeCell ref="AL433:AM433"/>
    <mergeCell ref="AN433:AO433"/>
    <mergeCell ref="AP433:AQ433"/>
    <mergeCell ref="AR433:AS433"/>
    <mergeCell ref="AT433:AU433"/>
    <mergeCell ref="AX433:AZ433"/>
    <mergeCell ref="BA433:BB433"/>
    <mergeCell ref="BD433:BE433"/>
    <mergeCell ref="BF433:BI433"/>
    <mergeCell ref="BJ433:BM433"/>
    <mergeCell ref="AV433:AW433"/>
    <mergeCell ref="AV434:AW434"/>
    <mergeCell ref="AH432:AI432"/>
    <mergeCell ref="AH433:AI433"/>
    <mergeCell ref="AH434:AI434"/>
    <mergeCell ref="AN436:AO436"/>
    <mergeCell ref="AP436:AQ436"/>
    <mergeCell ref="AR436:AS436"/>
    <mergeCell ref="AT436:AU436"/>
    <mergeCell ref="AX436:AZ436"/>
    <mergeCell ref="BA436:BB436"/>
    <mergeCell ref="BD436:BE436"/>
    <mergeCell ref="BF436:BI436"/>
    <mergeCell ref="BJ436:BM436"/>
    <mergeCell ref="BN436:BV436"/>
    <mergeCell ref="B437:C437"/>
    <mergeCell ref="D437:E437"/>
    <mergeCell ref="F437:G437"/>
    <mergeCell ref="H437:I437"/>
    <mergeCell ref="L437:M437"/>
    <mergeCell ref="P437:Q437"/>
    <mergeCell ref="R437:S437"/>
    <mergeCell ref="T437:U437"/>
    <mergeCell ref="V437:W437"/>
    <mergeCell ref="X437:AA437"/>
    <mergeCell ref="AB437:AE437"/>
    <mergeCell ref="AJ437:AK437"/>
    <mergeCell ref="AL437:AM437"/>
    <mergeCell ref="AN437:AO437"/>
    <mergeCell ref="AL435:AM435"/>
    <mergeCell ref="AN435:AO435"/>
    <mergeCell ref="AP435:AQ435"/>
    <mergeCell ref="AR435:AS435"/>
    <mergeCell ref="AT435:AU435"/>
    <mergeCell ref="AX435:AZ435"/>
    <mergeCell ref="BA435:BB435"/>
    <mergeCell ref="BD435:BE435"/>
    <mergeCell ref="BF435:BI435"/>
    <mergeCell ref="BJ435:BM435"/>
    <mergeCell ref="BN435:BV435"/>
    <mergeCell ref="B436:C436"/>
    <mergeCell ref="D436:E436"/>
    <mergeCell ref="F436:G436"/>
    <mergeCell ref="H436:I436"/>
    <mergeCell ref="L436:M436"/>
    <mergeCell ref="P436:Q436"/>
    <mergeCell ref="R436:S436"/>
    <mergeCell ref="T436:U436"/>
    <mergeCell ref="V436:W436"/>
    <mergeCell ref="X436:AA436"/>
    <mergeCell ref="AB436:AE436"/>
    <mergeCell ref="AJ436:AK436"/>
    <mergeCell ref="AL436:AM436"/>
    <mergeCell ref="B435:C435"/>
    <mergeCell ref="D435:E435"/>
    <mergeCell ref="F435:G435"/>
    <mergeCell ref="H435:I435"/>
    <mergeCell ref="L435:M435"/>
    <mergeCell ref="P435:Q435"/>
    <mergeCell ref="R435:S435"/>
    <mergeCell ref="T435:U435"/>
    <mergeCell ref="V435:W435"/>
    <mergeCell ref="X435:AA435"/>
    <mergeCell ref="AB435:AE435"/>
    <mergeCell ref="AJ435:AK435"/>
    <mergeCell ref="AV435:AW435"/>
    <mergeCell ref="AV436:AW436"/>
    <mergeCell ref="AV437:AW437"/>
    <mergeCell ref="AH435:AI435"/>
    <mergeCell ref="AR438:AS438"/>
    <mergeCell ref="AT438:AU438"/>
    <mergeCell ref="AX438:AZ438"/>
    <mergeCell ref="BA438:BB438"/>
    <mergeCell ref="BD438:BE438"/>
    <mergeCell ref="BF438:BI438"/>
    <mergeCell ref="BJ438:BM438"/>
    <mergeCell ref="BN438:BV438"/>
    <mergeCell ref="B439:C439"/>
    <mergeCell ref="D439:E439"/>
    <mergeCell ref="F439:G439"/>
    <mergeCell ref="H439:I439"/>
    <mergeCell ref="L439:M439"/>
    <mergeCell ref="P439:Q439"/>
    <mergeCell ref="R439:S439"/>
    <mergeCell ref="T439:U439"/>
    <mergeCell ref="V439:W439"/>
    <mergeCell ref="X439:AA439"/>
    <mergeCell ref="AB439:AE439"/>
    <mergeCell ref="AJ439:AK439"/>
    <mergeCell ref="AL439:AM439"/>
    <mergeCell ref="AN439:AO439"/>
    <mergeCell ref="AP439:AQ439"/>
    <mergeCell ref="AR439:AS439"/>
    <mergeCell ref="AP437:AQ437"/>
    <mergeCell ref="AR437:AS437"/>
    <mergeCell ref="AT437:AU437"/>
    <mergeCell ref="AX437:AZ437"/>
    <mergeCell ref="BA437:BB437"/>
    <mergeCell ref="BD437:BE437"/>
    <mergeCell ref="BF437:BI437"/>
    <mergeCell ref="BJ437:BM437"/>
    <mergeCell ref="BN437:BV437"/>
    <mergeCell ref="B438:C438"/>
    <mergeCell ref="D438:E438"/>
    <mergeCell ref="F438:G438"/>
    <mergeCell ref="H438:I438"/>
    <mergeCell ref="L438:M438"/>
    <mergeCell ref="P438:Q438"/>
    <mergeCell ref="R438:S438"/>
    <mergeCell ref="T438:U438"/>
    <mergeCell ref="V438:W438"/>
    <mergeCell ref="X438:AA438"/>
    <mergeCell ref="AB438:AE438"/>
    <mergeCell ref="AJ438:AK438"/>
    <mergeCell ref="AL438:AM438"/>
    <mergeCell ref="AN438:AO438"/>
    <mergeCell ref="AP438:AQ438"/>
    <mergeCell ref="AV438:AW438"/>
    <mergeCell ref="AV439:AW439"/>
    <mergeCell ref="AF439:AG439"/>
    <mergeCell ref="AX440:AZ440"/>
    <mergeCell ref="BA440:BB440"/>
    <mergeCell ref="BD440:BE440"/>
    <mergeCell ref="BF440:BI440"/>
    <mergeCell ref="BJ440:BM440"/>
    <mergeCell ref="BN440:BV440"/>
    <mergeCell ref="B441:C441"/>
    <mergeCell ref="D441:E441"/>
    <mergeCell ref="F441:G441"/>
    <mergeCell ref="H441:I441"/>
    <mergeCell ref="L441:M441"/>
    <mergeCell ref="P441:Q441"/>
    <mergeCell ref="R441:S441"/>
    <mergeCell ref="T441:U441"/>
    <mergeCell ref="V441:W441"/>
    <mergeCell ref="X441:AA441"/>
    <mergeCell ref="AB441:AE441"/>
    <mergeCell ref="AJ441:AK441"/>
    <mergeCell ref="AL441:AM441"/>
    <mergeCell ref="AN441:AO441"/>
    <mergeCell ref="AP441:AQ441"/>
    <mergeCell ref="AR441:AS441"/>
    <mergeCell ref="AT441:AU441"/>
    <mergeCell ref="AX441:AZ441"/>
    <mergeCell ref="AT439:AU439"/>
    <mergeCell ref="AX439:AZ439"/>
    <mergeCell ref="BA439:BB439"/>
    <mergeCell ref="BD439:BE439"/>
    <mergeCell ref="BF439:BI439"/>
    <mergeCell ref="BJ439:BM439"/>
    <mergeCell ref="BN439:BV439"/>
    <mergeCell ref="B440:C440"/>
    <mergeCell ref="D440:E440"/>
    <mergeCell ref="F440:G440"/>
    <mergeCell ref="H440:I440"/>
    <mergeCell ref="L440:M440"/>
    <mergeCell ref="P440:Q440"/>
    <mergeCell ref="R440:S440"/>
    <mergeCell ref="T440:U440"/>
    <mergeCell ref="V440:W440"/>
    <mergeCell ref="X440:AA440"/>
    <mergeCell ref="AB440:AE440"/>
    <mergeCell ref="AJ440:AK440"/>
    <mergeCell ref="AL440:AM440"/>
    <mergeCell ref="AN440:AO440"/>
    <mergeCell ref="AP440:AQ440"/>
    <mergeCell ref="AR440:AS440"/>
    <mergeCell ref="AT440:AU440"/>
    <mergeCell ref="AV440:AW440"/>
    <mergeCell ref="AV441:AW441"/>
    <mergeCell ref="AF440:AG440"/>
    <mergeCell ref="AF441:AG441"/>
    <mergeCell ref="BD442:BE442"/>
    <mergeCell ref="BF442:BI442"/>
    <mergeCell ref="BJ442:BM442"/>
    <mergeCell ref="BN442:BV442"/>
    <mergeCell ref="B443:C443"/>
    <mergeCell ref="D443:E443"/>
    <mergeCell ref="F443:G443"/>
    <mergeCell ref="H443:I443"/>
    <mergeCell ref="L443:M443"/>
    <mergeCell ref="P443:Q443"/>
    <mergeCell ref="R443:S443"/>
    <mergeCell ref="T443:U443"/>
    <mergeCell ref="V443:W443"/>
    <mergeCell ref="X443:AA443"/>
    <mergeCell ref="AB443:AE443"/>
    <mergeCell ref="AJ443:AK443"/>
    <mergeCell ref="AL443:AM443"/>
    <mergeCell ref="AN443:AO443"/>
    <mergeCell ref="AP443:AQ443"/>
    <mergeCell ref="AR443:AS443"/>
    <mergeCell ref="AT443:AU443"/>
    <mergeCell ref="AX443:AZ443"/>
    <mergeCell ref="BA443:BB443"/>
    <mergeCell ref="BD443:BE443"/>
    <mergeCell ref="BA441:BB441"/>
    <mergeCell ref="BD441:BE441"/>
    <mergeCell ref="BF441:BI441"/>
    <mergeCell ref="BJ441:BM441"/>
    <mergeCell ref="BN441:BV441"/>
    <mergeCell ref="B442:C442"/>
    <mergeCell ref="D442:E442"/>
    <mergeCell ref="F442:G442"/>
    <mergeCell ref="H442:I442"/>
    <mergeCell ref="L442:M442"/>
    <mergeCell ref="P442:Q442"/>
    <mergeCell ref="R442:S442"/>
    <mergeCell ref="T442:U442"/>
    <mergeCell ref="V442:W442"/>
    <mergeCell ref="X442:AA442"/>
    <mergeCell ref="AB442:AE442"/>
    <mergeCell ref="AJ442:AK442"/>
    <mergeCell ref="AL442:AM442"/>
    <mergeCell ref="AN442:AO442"/>
    <mergeCell ref="AP442:AQ442"/>
    <mergeCell ref="AR442:AS442"/>
    <mergeCell ref="AT442:AU442"/>
    <mergeCell ref="AX442:AZ442"/>
    <mergeCell ref="BA442:BB442"/>
    <mergeCell ref="AV442:AW442"/>
    <mergeCell ref="AV443:AW443"/>
    <mergeCell ref="AF442:AG442"/>
    <mergeCell ref="AF443:AG443"/>
    <mergeCell ref="BJ444:BM444"/>
    <mergeCell ref="BN444:BV444"/>
    <mergeCell ref="B445:C445"/>
    <mergeCell ref="D445:E445"/>
    <mergeCell ref="F445:G445"/>
    <mergeCell ref="H445:I445"/>
    <mergeCell ref="L445:M445"/>
    <mergeCell ref="P445:Q445"/>
    <mergeCell ref="R445:S445"/>
    <mergeCell ref="T445:U445"/>
    <mergeCell ref="V445:W445"/>
    <mergeCell ref="X445:AA445"/>
    <mergeCell ref="AB445:AE445"/>
    <mergeCell ref="AJ445:AK445"/>
    <mergeCell ref="AL445:AM445"/>
    <mergeCell ref="AN445:AO445"/>
    <mergeCell ref="AP445:AQ445"/>
    <mergeCell ref="AR445:AS445"/>
    <mergeCell ref="AT445:AU445"/>
    <mergeCell ref="AX445:AZ445"/>
    <mergeCell ref="BA445:BB445"/>
    <mergeCell ref="BD445:BE445"/>
    <mergeCell ref="BF445:BI445"/>
    <mergeCell ref="BJ445:BM445"/>
    <mergeCell ref="BF443:BI443"/>
    <mergeCell ref="BJ443:BM443"/>
    <mergeCell ref="BN443:BV443"/>
    <mergeCell ref="B444:C444"/>
    <mergeCell ref="D444:E444"/>
    <mergeCell ref="F444:G444"/>
    <mergeCell ref="H444:I444"/>
    <mergeCell ref="L444:M444"/>
    <mergeCell ref="P444:Q444"/>
    <mergeCell ref="R444:S444"/>
    <mergeCell ref="T444:U444"/>
    <mergeCell ref="V444:W444"/>
    <mergeCell ref="X444:AA444"/>
    <mergeCell ref="AB444:AE444"/>
    <mergeCell ref="AJ444:AK444"/>
    <mergeCell ref="AL444:AM444"/>
    <mergeCell ref="AN444:AO444"/>
    <mergeCell ref="AP444:AQ444"/>
    <mergeCell ref="AR444:AS444"/>
    <mergeCell ref="AT444:AU444"/>
    <mergeCell ref="AX444:AZ444"/>
    <mergeCell ref="BA444:BB444"/>
    <mergeCell ref="BD444:BE444"/>
    <mergeCell ref="BF444:BI444"/>
    <mergeCell ref="AV444:AW444"/>
    <mergeCell ref="AV445:AW445"/>
    <mergeCell ref="AF444:AG444"/>
    <mergeCell ref="AF445:AG445"/>
    <mergeCell ref="BN446:BV446"/>
    <mergeCell ref="B447:C447"/>
    <mergeCell ref="D447:E447"/>
    <mergeCell ref="F447:G447"/>
    <mergeCell ref="H447:I447"/>
    <mergeCell ref="L447:M447"/>
    <mergeCell ref="P447:Q447"/>
    <mergeCell ref="R447:S447"/>
    <mergeCell ref="T447:U447"/>
    <mergeCell ref="V447:W447"/>
    <mergeCell ref="X447:AA447"/>
    <mergeCell ref="AB447:AE447"/>
    <mergeCell ref="AJ447:AK447"/>
    <mergeCell ref="AL447:AM447"/>
    <mergeCell ref="AN447:AO447"/>
    <mergeCell ref="AP447:AQ447"/>
    <mergeCell ref="AR447:AS447"/>
    <mergeCell ref="AT447:AU447"/>
    <mergeCell ref="AX447:AZ447"/>
    <mergeCell ref="BA447:BB447"/>
    <mergeCell ref="BD447:BE447"/>
    <mergeCell ref="BF447:BI447"/>
    <mergeCell ref="BJ447:BM447"/>
    <mergeCell ref="BN445:BV445"/>
    <mergeCell ref="B446:C446"/>
    <mergeCell ref="D446:E446"/>
    <mergeCell ref="F446:G446"/>
    <mergeCell ref="H446:I446"/>
    <mergeCell ref="L446:M446"/>
    <mergeCell ref="P446:Q446"/>
    <mergeCell ref="R446:S446"/>
    <mergeCell ref="T446:U446"/>
    <mergeCell ref="V446:W446"/>
    <mergeCell ref="X446:AA446"/>
    <mergeCell ref="AB446:AE446"/>
    <mergeCell ref="AJ446:AK446"/>
    <mergeCell ref="AL446:AM446"/>
    <mergeCell ref="AN446:AO446"/>
    <mergeCell ref="AP446:AQ446"/>
    <mergeCell ref="AR446:AS446"/>
    <mergeCell ref="AT446:AU446"/>
    <mergeCell ref="AX446:AZ446"/>
    <mergeCell ref="BA446:BB446"/>
    <mergeCell ref="BD446:BE446"/>
    <mergeCell ref="BF446:BI446"/>
    <mergeCell ref="BJ446:BM446"/>
    <mergeCell ref="AV446:AW446"/>
    <mergeCell ref="AV447:AW447"/>
    <mergeCell ref="AF446:AG446"/>
    <mergeCell ref="AF447:AG447"/>
    <mergeCell ref="BN448:BV448"/>
    <mergeCell ref="B449:C449"/>
    <mergeCell ref="D449:E449"/>
    <mergeCell ref="F449:G449"/>
    <mergeCell ref="H449:I449"/>
    <mergeCell ref="L449:M449"/>
    <mergeCell ref="P449:Q449"/>
    <mergeCell ref="R449:S449"/>
    <mergeCell ref="T449:U449"/>
    <mergeCell ref="V449:W449"/>
    <mergeCell ref="X449:AA449"/>
    <mergeCell ref="AB449:AE449"/>
    <mergeCell ref="AJ449:AK449"/>
    <mergeCell ref="AL449:AM449"/>
    <mergeCell ref="AN449:AO449"/>
    <mergeCell ref="AP449:AQ449"/>
    <mergeCell ref="AR449:AS449"/>
    <mergeCell ref="AT449:AU449"/>
    <mergeCell ref="AX449:AZ449"/>
    <mergeCell ref="BA449:BB449"/>
    <mergeCell ref="BD449:BE449"/>
    <mergeCell ref="BF449:BI449"/>
    <mergeCell ref="BJ449:BM449"/>
    <mergeCell ref="BN449:BV449"/>
    <mergeCell ref="BN447:BV447"/>
    <mergeCell ref="B448:C448"/>
    <mergeCell ref="D448:E448"/>
    <mergeCell ref="F448:G448"/>
    <mergeCell ref="H448:I448"/>
    <mergeCell ref="L448:M448"/>
    <mergeCell ref="P448:Q448"/>
    <mergeCell ref="R448:S448"/>
    <mergeCell ref="T448:U448"/>
    <mergeCell ref="V448:W448"/>
    <mergeCell ref="X448:AA448"/>
    <mergeCell ref="AB448:AE448"/>
    <mergeCell ref="AJ448:AK448"/>
    <mergeCell ref="AL448:AM448"/>
    <mergeCell ref="AN448:AO448"/>
    <mergeCell ref="AP448:AQ448"/>
    <mergeCell ref="AR448:AS448"/>
    <mergeCell ref="AT448:AU448"/>
    <mergeCell ref="AX448:AZ448"/>
    <mergeCell ref="BA448:BB448"/>
    <mergeCell ref="BD448:BE448"/>
    <mergeCell ref="BF448:BI448"/>
    <mergeCell ref="BJ448:BM448"/>
    <mergeCell ref="AV448:AW448"/>
    <mergeCell ref="AV449:AW449"/>
    <mergeCell ref="AF448:AG448"/>
    <mergeCell ref="AF449:AG449"/>
    <mergeCell ref="AN451:AO451"/>
    <mergeCell ref="AP451:AQ451"/>
    <mergeCell ref="AR451:AS451"/>
    <mergeCell ref="AT451:AU451"/>
    <mergeCell ref="AX451:AZ451"/>
    <mergeCell ref="BA451:BB451"/>
    <mergeCell ref="BD451:BE451"/>
    <mergeCell ref="BF451:BI451"/>
    <mergeCell ref="BJ451:BM451"/>
    <mergeCell ref="BN451:BV451"/>
    <mergeCell ref="B452:C452"/>
    <mergeCell ref="D452:E452"/>
    <mergeCell ref="F452:G452"/>
    <mergeCell ref="H452:I452"/>
    <mergeCell ref="L452:M452"/>
    <mergeCell ref="P452:Q452"/>
    <mergeCell ref="R452:S452"/>
    <mergeCell ref="T452:U452"/>
    <mergeCell ref="V452:W452"/>
    <mergeCell ref="X452:AA452"/>
    <mergeCell ref="AB452:AE452"/>
    <mergeCell ref="AJ452:AK452"/>
    <mergeCell ref="AL452:AM452"/>
    <mergeCell ref="AN452:AO452"/>
    <mergeCell ref="AL450:AM450"/>
    <mergeCell ref="AN450:AO450"/>
    <mergeCell ref="AP450:AQ450"/>
    <mergeCell ref="AR450:AS450"/>
    <mergeCell ref="AT450:AU450"/>
    <mergeCell ref="AX450:AZ450"/>
    <mergeCell ref="BA450:BB450"/>
    <mergeCell ref="BD450:BE450"/>
    <mergeCell ref="BF450:BI450"/>
    <mergeCell ref="BJ450:BM450"/>
    <mergeCell ref="BN450:BV450"/>
    <mergeCell ref="B451:C451"/>
    <mergeCell ref="D451:E451"/>
    <mergeCell ref="F451:G451"/>
    <mergeCell ref="H451:I451"/>
    <mergeCell ref="L451:M451"/>
    <mergeCell ref="P451:Q451"/>
    <mergeCell ref="R451:S451"/>
    <mergeCell ref="T451:U451"/>
    <mergeCell ref="V451:W451"/>
    <mergeCell ref="X451:AA451"/>
    <mergeCell ref="AB451:AE451"/>
    <mergeCell ref="AJ451:AK451"/>
    <mergeCell ref="AL451:AM451"/>
    <mergeCell ref="B450:C450"/>
    <mergeCell ref="D450:E450"/>
    <mergeCell ref="F450:G450"/>
    <mergeCell ref="H450:I450"/>
    <mergeCell ref="L450:M450"/>
    <mergeCell ref="P450:Q450"/>
    <mergeCell ref="R450:S450"/>
    <mergeCell ref="T450:U450"/>
    <mergeCell ref="V450:W450"/>
    <mergeCell ref="X450:AA450"/>
    <mergeCell ref="AB450:AE450"/>
    <mergeCell ref="AJ450:AK450"/>
    <mergeCell ref="AV450:AW450"/>
    <mergeCell ref="AV451:AW451"/>
    <mergeCell ref="AV452:AW452"/>
    <mergeCell ref="AF450:AG450"/>
    <mergeCell ref="AR453:AS453"/>
    <mergeCell ref="AT453:AU453"/>
    <mergeCell ref="AX453:AZ453"/>
    <mergeCell ref="BA453:BB453"/>
    <mergeCell ref="BD453:BE453"/>
    <mergeCell ref="BF453:BI453"/>
    <mergeCell ref="BJ453:BM453"/>
    <mergeCell ref="BN453:BV453"/>
    <mergeCell ref="B454:C454"/>
    <mergeCell ref="D454:E454"/>
    <mergeCell ref="F454:G454"/>
    <mergeCell ref="H454:I454"/>
    <mergeCell ref="L454:M454"/>
    <mergeCell ref="P454:Q454"/>
    <mergeCell ref="R454:S454"/>
    <mergeCell ref="T454:U454"/>
    <mergeCell ref="V454:W454"/>
    <mergeCell ref="X454:AA454"/>
    <mergeCell ref="AB454:AE454"/>
    <mergeCell ref="AJ454:AK454"/>
    <mergeCell ref="AL454:AM454"/>
    <mergeCell ref="AN454:AO454"/>
    <mergeCell ref="AP454:AQ454"/>
    <mergeCell ref="AR454:AS454"/>
    <mergeCell ref="AP452:AQ452"/>
    <mergeCell ref="AR452:AS452"/>
    <mergeCell ref="AT452:AU452"/>
    <mergeCell ref="AX452:AZ452"/>
    <mergeCell ref="BA452:BB452"/>
    <mergeCell ref="BD452:BE452"/>
    <mergeCell ref="BF452:BI452"/>
    <mergeCell ref="BJ452:BM452"/>
    <mergeCell ref="BN452:BV452"/>
    <mergeCell ref="B453:C453"/>
    <mergeCell ref="D453:E453"/>
    <mergeCell ref="F453:G453"/>
    <mergeCell ref="H453:I453"/>
    <mergeCell ref="L453:M453"/>
    <mergeCell ref="P453:Q453"/>
    <mergeCell ref="R453:S453"/>
    <mergeCell ref="T453:U453"/>
    <mergeCell ref="V453:W453"/>
    <mergeCell ref="X453:AA453"/>
    <mergeCell ref="AB453:AE453"/>
    <mergeCell ref="AJ453:AK453"/>
    <mergeCell ref="AL453:AM453"/>
    <mergeCell ref="AN453:AO453"/>
    <mergeCell ref="AP453:AQ453"/>
    <mergeCell ref="AV453:AW453"/>
    <mergeCell ref="AV454:AW454"/>
    <mergeCell ref="AX455:AZ455"/>
    <mergeCell ref="BA455:BB455"/>
    <mergeCell ref="BD455:BE455"/>
    <mergeCell ref="BF455:BI455"/>
    <mergeCell ref="BJ455:BM455"/>
    <mergeCell ref="BN455:BV455"/>
    <mergeCell ref="B456:C456"/>
    <mergeCell ref="D456:E456"/>
    <mergeCell ref="F456:G456"/>
    <mergeCell ref="H456:I456"/>
    <mergeCell ref="L456:M456"/>
    <mergeCell ref="P456:Q456"/>
    <mergeCell ref="R456:S456"/>
    <mergeCell ref="T456:U456"/>
    <mergeCell ref="V456:W456"/>
    <mergeCell ref="X456:AA456"/>
    <mergeCell ref="AB456:AE456"/>
    <mergeCell ref="AJ456:AK456"/>
    <mergeCell ref="AL456:AM456"/>
    <mergeCell ref="AN456:AO456"/>
    <mergeCell ref="AP456:AQ456"/>
    <mergeCell ref="AR456:AS456"/>
    <mergeCell ref="AT456:AU456"/>
    <mergeCell ref="AX456:AZ456"/>
    <mergeCell ref="AT454:AU454"/>
    <mergeCell ref="AX454:AZ454"/>
    <mergeCell ref="BA454:BB454"/>
    <mergeCell ref="BD454:BE454"/>
    <mergeCell ref="BF454:BI454"/>
    <mergeCell ref="BJ454:BM454"/>
    <mergeCell ref="BN454:BV454"/>
    <mergeCell ref="B455:C455"/>
    <mergeCell ref="D455:E455"/>
    <mergeCell ref="F455:G455"/>
    <mergeCell ref="H455:I455"/>
    <mergeCell ref="L455:M455"/>
    <mergeCell ref="P455:Q455"/>
    <mergeCell ref="R455:S455"/>
    <mergeCell ref="T455:U455"/>
    <mergeCell ref="V455:W455"/>
    <mergeCell ref="X455:AA455"/>
    <mergeCell ref="AB455:AE455"/>
    <mergeCell ref="AJ455:AK455"/>
    <mergeCell ref="AL455:AM455"/>
    <mergeCell ref="AN455:AO455"/>
    <mergeCell ref="AP455:AQ455"/>
    <mergeCell ref="AR455:AS455"/>
    <mergeCell ref="AT455:AU455"/>
    <mergeCell ref="AV455:AW455"/>
    <mergeCell ref="AV456:AW456"/>
    <mergeCell ref="J454:K454"/>
    <mergeCell ref="J455:K455"/>
    <mergeCell ref="BD457:BE457"/>
    <mergeCell ref="BF457:BI457"/>
    <mergeCell ref="BJ457:BM457"/>
    <mergeCell ref="BN457:BV457"/>
    <mergeCell ref="B458:C458"/>
    <mergeCell ref="D458:E458"/>
    <mergeCell ref="F458:G458"/>
    <mergeCell ref="H458:I458"/>
    <mergeCell ref="L458:M458"/>
    <mergeCell ref="P458:Q458"/>
    <mergeCell ref="R458:S458"/>
    <mergeCell ref="T458:U458"/>
    <mergeCell ref="V458:W458"/>
    <mergeCell ref="X458:AA458"/>
    <mergeCell ref="AB458:AE458"/>
    <mergeCell ref="AJ458:AK458"/>
    <mergeCell ref="AL458:AM458"/>
    <mergeCell ref="AN458:AO458"/>
    <mergeCell ref="AP458:AQ458"/>
    <mergeCell ref="AR458:AS458"/>
    <mergeCell ref="AT458:AU458"/>
    <mergeCell ref="AX458:AZ458"/>
    <mergeCell ref="BA458:BB458"/>
    <mergeCell ref="BD458:BE458"/>
    <mergeCell ref="BA456:BB456"/>
    <mergeCell ref="BD456:BE456"/>
    <mergeCell ref="BF456:BI456"/>
    <mergeCell ref="BJ456:BM456"/>
    <mergeCell ref="BN456:BV456"/>
    <mergeCell ref="B457:C457"/>
    <mergeCell ref="D457:E457"/>
    <mergeCell ref="F457:G457"/>
    <mergeCell ref="H457:I457"/>
    <mergeCell ref="L457:M457"/>
    <mergeCell ref="P457:Q457"/>
    <mergeCell ref="R457:S457"/>
    <mergeCell ref="T457:U457"/>
    <mergeCell ref="V457:W457"/>
    <mergeCell ref="X457:AA457"/>
    <mergeCell ref="AB457:AE457"/>
    <mergeCell ref="AJ457:AK457"/>
    <mergeCell ref="AL457:AM457"/>
    <mergeCell ref="AN457:AO457"/>
    <mergeCell ref="AP457:AQ457"/>
    <mergeCell ref="AR457:AS457"/>
    <mergeCell ref="AT457:AU457"/>
    <mergeCell ref="AX457:AZ457"/>
    <mergeCell ref="BA457:BB457"/>
    <mergeCell ref="AV457:AW457"/>
    <mergeCell ref="AV458:AW458"/>
    <mergeCell ref="J456:K456"/>
    <mergeCell ref="J457:K457"/>
    <mergeCell ref="BJ459:BM459"/>
    <mergeCell ref="BN459:BV459"/>
    <mergeCell ref="B460:C460"/>
    <mergeCell ref="D460:E460"/>
    <mergeCell ref="F460:G460"/>
    <mergeCell ref="H460:I460"/>
    <mergeCell ref="L460:M460"/>
    <mergeCell ref="P460:Q460"/>
    <mergeCell ref="R460:S460"/>
    <mergeCell ref="T460:U460"/>
    <mergeCell ref="V460:W460"/>
    <mergeCell ref="X460:AA460"/>
    <mergeCell ref="AB460:AE460"/>
    <mergeCell ref="AJ460:AK460"/>
    <mergeCell ref="AL460:AM460"/>
    <mergeCell ref="AN460:AO460"/>
    <mergeCell ref="AP460:AQ460"/>
    <mergeCell ref="AR460:AS460"/>
    <mergeCell ref="AT460:AU460"/>
    <mergeCell ref="AX460:AZ460"/>
    <mergeCell ref="BA460:BB460"/>
    <mergeCell ref="BD460:BE460"/>
    <mergeCell ref="BF460:BI460"/>
    <mergeCell ref="BJ460:BM460"/>
    <mergeCell ref="BF458:BI458"/>
    <mergeCell ref="BJ458:BM458"/>
    <mergeCell ref="BN458:BV458"/>
    <mergeCell ref="B459:C459"/>
    <mergeCell ref="D459:E459"/>
    <mergeCell ref="F459:G459"/>
    <mergeCell ref="H459:I459"/>
    <mergeCell ref="L459:M459"/>
    <mergeCell ref="P459:Q459"/>
    <mergeCell ref="R459:S459"/>
    <mergeCell ref="T459:U459"/>
    <mergeCell ref="V459:W459"/>
    <mergeCell ref="X459:AA459"/>
    <mergeCell ref="AB459:AE459"/>
    <mergeCell ref="AJ459:AK459"/>
    <mergeCell ref="AL459:AM459"/>
    <mergeCell ref="AN459:AO459"/>
    <mergeCell ref="AP459:AQ459"/>
    <mergeCell ref="AR459:AS459"/>
    <mergeCell ref="AT459:AU459"/>
    <mergeCell ref="AX459:AZ459"/>
    <mergeCell ref="BA459:BB459"/>
    <mergeCell ref="BD459:BE459"/>
    <mergeCell ref="BF459:BI459"/>
    <mergeCell ref="AV459:AW459"/>
    <mergeCell ref="AV460:AW460"/>
    <mergeCell ref="J458:K458"/>
    <mergeCell ref="J459:K459"/>
    <mergeCell ref="BN461:BV461"/>
    <mergeCell ref="B462:C462"/>
    <mergeCell ref="D462:E462"/>
    <mergeCell ref="F462:G462"/>
    <mergeCell ref="H462:I462"/>
    <mergeCell ref="L462:M462"/>
    <mergeCell ref="P462:Q462"/>
    <mergeCell ref="R462:S462"/>
    <mergeCell ref="T462:U462"/>
    <mergeCell ref="V462:W462"/>
    <mergeCell ref="X462:AA462"/>
    <mergeCell ref="AB462:AE462"/>
    <mergeCell ref="AJ462:AK462"/>
    <mergeCell ref="AL462:AM462"/>
    <mergeCell ref="AN462:AO462"/>
    <mergeCell ref="AP462:AQ462"/>
    <mergeCell ref="AR462:AS462"/>
    <mergeCell ref="AT462:AU462"/>
    <mergeCell ref="AX462:AZ462"/>
    <mergeCell ref="BA462:BB462"/>
    <mergeCell ref="BD462:BE462"/>
    <mergeCell ref="BF462:BI462"/>
    <mergeCell ref="BJ462:BM462"/>
    <mergeCell ref="BN460:BV460"/>
    <mergeCell ref="B461:C461"/>
    <mergeCell ref="D461:E461"/>
    <mergeCell ref="F461:G461"/>
    <mergeCell ref="H461:I461"/>
    <mergeCell ref="L461:M461"/>
    <mergeCell ref="P461:Q461"/>
    <mergeCell ref="R461:S461"/>
    <mergeCell ref="T461:U461"/>
    <mergeCell ref="V461:W461"/>
    <mergeCell ref="X461:AA461"/>
    <mergeCell ref="AB461:AE461"/>
    <mergeCell ref="AJ461:AK461"/>
    <mergeCell ref="AL461:AM461"/>
    <mergeCell ref="AN461:AO461"/>
    <mergeCell ref="AP461:AQ461"/>
    <mergeCell ref="AR461:AS461"/>
    <mergeCell ref="AT461:AU461"/>
    <mergeCell ref="AX461:AZ461"/>
    <mergeCell ref="BA461:BB461"/>
    <mergeCell ref="BD461:BE461"/>
    <mergeCell ref="BF461:BI461"/>
    <mergeCell ref="BJ461:BM461"/>
    <mergeCell ref="AV461:AW461"/>
    <mergeCell ref="AV462:AW462"/>
    <mergeCell ref="J460:K460"/>
    <mergeCell ref="J461:K461"/>
    <mergeCell ref="BN463:BV463"/>
    <mergeCell ref="B464:C464"/>
    <mergeCell ref="D464:E464"/>
    <mergeCell ref="F464:G464"/>
    <mergeCell ref="H464:I464"/>
    <mergeCell ref="L464:M464"/>
    <mergeCell ref="P464:Q464"/>
    <mergeCell ref="R464:S464"/>
    <mergeCell ref="T464:U464"/>
    <mergeCell ref="V464:W464"/>
    <mergeCell ref="X464:AA464"/>
    <mergeCell ref="AB464:AE464"/>
    <mergeCell ref="AJ464:AK464"/>
    <mergeCell ref="AL464:AM464"/>
    <mergeCell ref="AN464:AO464"/>
    <mergeCell ref="AP464:AQ464"/>
    <mergeCell ref="AR464:AS464"/>
    <mergeCell ref="AT464:AU464"/>
    <mergeCell ref="AX464:AZ464"/>
    <mergeCell ref="BA464:BB464"/>
    <mergeCell ref="BD464:BE464"/>
    <mergeCell ref="BF464:BI464"/>
    <mergeCell ref="BJ464:BM464"/>
    <mergeCell ref="BN464:BV464"/>
    <mergeCell ref="BN462:BV462"/>
    <mergeCell ref="B463:C463"/>
    <mergeCell ref="D463:E463"/>
    <mergeCell ref="F463:G463"/>
    <mergeCell ref="H463:I463"/>
    <mergeCell ref="L463:M463"/>
    <mergeCell ref="P463:Q463"/>
    <mergeCell ref="R463:S463"/>
    <mergeCell ref="T463:U463"/>
    <mergeCell ref="V463:W463"/>
    <mergeCell ref="X463:AA463"/>
    <mergeCell ref="AB463:AE463"/>
    <mergeCell ref="AJ463:AK463"/>
    <mergeCell ref="AL463:AM463"/>
    <mergeCell ref="AN463:AO463"/>
    <mergeCell ref="AP463:AQ463"/>
    <mergeCell ref="AR463:AS463"/>
    <mergeCell ref="AT463:AU463"/>
    <mergeCell ref="AX463:AZ463"/>
    <mergeCell ref="BA463:BB463"/>
    <mergeCell ref="BD463:BE463"/>
    <mergeCell ref="BF463:BI463"/>
    <mergeCell ref="BJ463:BM463"/>
    <mergeCell ref="AV463:AW463"/>
    <mergeCell ref="AV464:AW464"/>
    <mergeCell ref="J462:K462"/>
    <mergeCell ref="J463:K463"/>
    <mergeCell ref="J464:K464"/>
    <mergeCell ref="AN466:AO466"/>
    <mergeCell ref="AP466:AQ466"/>
    <mergeCell ref="AR466:AS466"/>
    <mergeCell ref="AT466:AU466"/>
    <mergeCell ref="AX466:AZ466"/>
    <mergeCell ref="BA466:BB466"/>
    <mergeCell ref="BD466:BE466"/>
    <mergeCell ref="BF466:BI466"/>
    <mergeCell ref="BJ466:BM466"/>
    <mergeCell ref="BN466:BV466"/>
    <mergeCell ref="B467:C467"/>
    <mergeCell ref="D467:E467"/>
    <mergeCell ref="F467:G467"/>
    <mergeCell ref="H467:I467"/>
    <mergeCell ref="L467:M467"/>
    <mergeCell ref="P467:Q467"/>
    <mergeCell ref="R467:S467"/>
    <mergeCell ref="T467:U467"/>
    <mergeCell ref="V467:W467"/>
    <mergeCell ref="X467:AA467"/>
    <mergeCell ref="AB467:AE467"/>
    <mergeCell ref="AJ467:AK467"/>
    <mergeCell ref="AL467:AM467"/>
    <mergeCell ref="AN467:AO467"/>
    <mergeCell ref="AL465:AM465"/>
    <mergeCell ref="AN465:AO465"/>
    <mergeCell ref="AP465:AQ465"/>
    <mergeCell ref="AR465:AS465"/>
    <mergeCell ref="AT465:AU465"/>
    <mergeCell ref="AX465:AZ465"/>
    <mergeCell ref="BA465:BB465"/>
    <mergeCell ref="BD465:BE465"/>
    <mergeCell ref="BF465:BI465"/>
    <mergeCell ref="BJ465:BM465"/>
    <mergeCell ref="BN465:BV465"/>
    <mergeCell ref="B466:C466"/>
    <mergeCell ref="D466:E466"/>
    <mergeCell ref="F466:G466"/>
    <mergeCell ref="H466:I466"/>
    <mergeCell ref="L466:M466"/>
    <mergeCell ref="P466:Q466"/>
    <mergeCell ref="R466:S466"/>
    <mergeCell ref="T466:U466"/>
    <mergeCell ref="V466:W466"/>
    <mergeCell ref="X466:AA466"/>
    <mergeCell ref="AB466:AE466"/>
    <mergeCell ref="AJ466:AK466"/>
    <mergeCell ref="AL466:AM466"/>
    <mergeCell ref="B465:C465"/>
    <mergeCell ref="D465:E465"/>
    <mergeCell ref="F465:G465"/>
    <mergeCell ref="H465:I465"/>
    <mergeCell ref="L465:M465"/>
    <mergeCell ref="P465:Q465"/>
    <mergeCell ref="R465:S465"/>
    <mergeCell ref="T465:U465"/>
    <mergeCell ref="V465:W465"/>
    <mergeCell ref="X465:AA465"/>
    <mergeCell ref="AB465:AE465"/>
    <mergeCell ref="AJ465:AK465"/>
    <mergeCell ref="AV465:AW465"/>
    <mergeCell ref="AV466:AW466"/>
    <mergeCell ref="AV467:AW467"/>
    <mergeCell ref="J465:K465"/>
    <mergeCell ref="AR468:AS468"/>
    <mergeCell ref="AT468:AU468"/>
    <mergeCell ref="AX468:AZ468"/>
    <mergeCell ref="BA468:BB468"/>
    <mergeCell ref="BD468:BE468"/>
    <mergeCell ref="BF468:BI468"/>
    <mergeCell ref="BJ468:BM468"/>
    <mergeCell ref="BN468:BV468"/>
    <mergeCell ref="B469:C469"/>
    <mergeCell ref="D469:E469"/>
    <mergeCell ref="F469:G469"/>
    <mergeCell ref="H469:I469"/>
    <mergeCell ref="L469:M469"/>
    <mergeCell ref="P469:Q469"/>
    <mergeCell ref="R469:S469"/>
    <mergeCell ref="T469:U469"/>
    <mergeCell ref="V469:W469"/>
    <mergeCell ref="X469:AA469"/>
    <mergeCell ref="AB469:AE469"/>
    <mergeCell ref="AJ469:AK469"/>
    <mergeCell ref="AL469:AM469"/>
    <mergeCell ref="AN469:AO469"/>
    <mergeCell ref="AP469:AQ469"/>
    <mergeCell ref="AR469:AS469"/>
    <mergeCell ref="AP467:AQ467"/>
    <mergeCell ref="AR467:AS467"/>
    <mergeCell ref="AT467:AU467"/>
    <mergeCell ref="AX467:AZ467"/>
    <mergeCell ref="BA467:BB467"/>
    <mergeCell ref="BD467:BE467"/>
    <mergeCell ref="BF467:BI467"/>
    <mergeCell ref="BJ467:BM467"/>
    <mergeCell ref="BN467:BV467"/>
    <mergeCell ref="B468:C468"/>
    <mergeCell ref="D468:E468"/>
    <mergeCell ref="F468:G468"/>
    <mergeCell ref="H468:I468"/>
    <mergeCell ref="L468:M468"/>
    <mergeCell ref="P468:Q468"/>
    <mergeCell ref="R468:S468"/>
    <mergeCell ref="T468:U468"/>
    <mergeCell ref="V468:W468"/>
    <mergeCell ref="X468:AA468"/>
    <mergeCell ref="AB468:AE468"/>
    <mergeCell ref="AJ468:AK468"/>
    <mergeCell ref="AL468:AM468"/>
    <mergeCell ref="AN468:AO468"/>
    <mergeCell ref="AP468:AQ468"/>
    <mergeCell ref="AV468:AW468"/>
    <mergeCell ref="AV469:AW469"/>
    <mergeCell ref="AX470:AZ470"/>
    <mergeCell ref="BA470:BB470"/>
    <mergeCell ref="BD470:BE470"/>
    <mergeCell ref="BF470:BI470"/>
    <mergeCell ref="BJ470:BM470"/>
    <mergeCell ref="BN470:BV470"/>
    <mergeCell ref="B471:C471"/>
    <mergeCell ref="D471:E471"/>
    <mergeCell ref="F471:G471"/>
    <mergeCell ref="H471:I471"/>
    <mergeCell ref="L471:M471"/>
    <mergeCell ref="P471:Q471"/>
    <mergeCell ref="R471:S471"/>
    <mergeCell ref="T471:U471"/>
    <mergeCell ref="V471:W471"/>
    <mergeCell ref="X471:AA471"/>
    <mergeCell ref="AB471:AE471"/>
    <mergeCell ref="AJ471:AK471"/>
    <mergeCell ref="AL471:AM471"/>
    <mergeCell ref="AN471:AO471"/>
    <mergeCell ref="AP471:AQ471"/>
    <mergeCell ref="AR471:AS471"/>
    <mergeCell ref="AT471:AU471"/>
    <mergeCell ref="AX471:AZ471"/>
    <mergeCell ref="AT469:AU469"/>
    <mergeCell ref="AX469:AZ469"/>
    <mergeCell ref="BA469:BB469"/>
    <mergeCell ref="BD469:BE469"/>
    <mergeCell ref="BF469:BI469"/>
    <mergeCell ref="BJ469:BM469"/>
    <mergeCell ref="BN469:BV469"/>
    <mergeCell ref="B470:C470"/>
    <mergeCell ref="D470:E470"/>
    <mergeCell ref="F470:G470"/>
    <mergeCell ref="H470:I470"/>
    <mergeCell ref="L470:M470"/>
    <mergeCell ref="P470:Q470"/>
    <mergeCell ref="R470:S470"/>
    <mergeCell ref="T470:U470"/>
    <mergeCell ref="V470:W470"/>
    <mergeCell ref="X470:AA470"/>
    <mergeCell ref="AB470:AE470"/>
    <mergeCell ref="AJ470:AK470"/>
    <mergeCell ref="AL470:AM470"/>
    <mergeCell ref="AN470:AO470"/>
    <mergeCell ref="AP470:AQ470"/>
    <mergeCell ref="AR470:AS470"/>
    <mergeCell ref="AT470:AU470"/>
    <mergeCell ref="AV470:AW470"/>
    <mergeCell ref="AV471:AW471"/>
    <mergeCell ref="AH469:AI469"/>
    <mergeCell ref="AH470:AI470"/>
    <mergeCell ref="BD472:BE472"/>
    <mergeCell ref="BF472:BI472"/>
    <mergeCell ref="BJ472:BM472"/>
    <mergeCell ref="BN472:BV472"/>
    <mergeCell ref="B473:C473"/>
    <mergeCell ref="D473:E473"/>
    <mergeCell ref="F473:G473"/>
    <mergeCell ref="H473:I473"/>
    <mergeCell ref="L473:M473"/>
    <mergeCell ref="P473:Q473"/>
    <mergeCell ref="R473:S473"/>
    <mergeCell ref="T473:U473"/>
    <mergeCell ref="V473:W473"/>
    <mergeCell ref="X473:AA473"/>
    <mergeCell ref="AB473:AE473"/>
    <mergeCell ref="AJ473:AK473"/>
    <mergeCell ref="AL473:AM473"/>
    <mergeCell ref="AN473:AO473"/>
    <mergeCell ref="AP473:AQ473"/>
    <mergeCell ref="AR473:AS473"/>
    <mergeCell ref="AT473:AU473"/>
    <mergeCell ref="AX473:AZ473"/>
    <mergeCell ref="BA473:BB473"/>
    <mergeCell ref="BD473:BE473"/>
    <mergeCell ref="BA471:BB471"/>
    <mergeCell ref="BD471:BE471"/>
    <mergeCell ref="BF471:BI471"/>
    <mergeCell ref="BJ471:BM471"/>
    <mergeCell ref="BN471:BV471"/>
    <mergeCell ref="B472:C472"/>
    <mergeCell ref="D472:E472"/>
    <mergeCell ref="F472:G472"/>
    <mergeCell ref="H472:I472"/>
    <mergeCell ref="L472:M472"/>
    <mergeCell ref="P472:Q472"/>
    <mergeCell ref="R472:S472"/>
    <mergeCell ref="T472:U472"/>
    <mergeCell ref="V472:W472"/>
    <mergeCell ref="X472:AA472"/>
    <mergeCell ref="AB472:AE472"/>
    <mergeCell ref="AJ472:AK472"/>
    <mergeCell ref="AL472:AM472"/>
    <mergeCell ref="AN472:AO472"/>
    <mergeCell ref="AP472:AQ472"/>
    <mergeCell ref="AR472:AS472"/>
    <mergeCell ref="AT472:AU472"/>
    <mergeCell ref="AX472:AZ472"/>
    <mergeCell ref="BA472:BB472"/>
    <mergeCell ref="AV472:AW472"/>
    <mergeCell ref="AV473:AW473"/>
    <mergeCell ref="AH471:AI471"/>
    <mergeCell ref="AH472:AI472"/>
    <mergeCell ref="BJ474:BM474"/>
    <mergeCell ref="BN474:BV474"/>
    <mergeCell ref="B475:C475"/>
    <mergeCell ref="D475:E475"/>
    <mergeCell ref="F475:G475"/>
    <mergeCell ref="H475:I475"/>
    <mergeCell ref="L475:M475"/>
    <mergeCell ref="P475:Q475"/>
    <mergeCell ref="R475:S475"/>
    <mergeCell ref="T475:U475"/>
    <mergeCell ref="V475:W475"/>
    <mergeCell ref="X475:AA475"/>
    <mergeCell ref="AB475:AE475"/>
    <mergeCell ref="AJ475:AK475"/>
    <mergeCell ref="AL475:AM475"/>
    <mergeCell ref="AN475:AO475"/>
    <mergeCell ref="AP475:AQ475"/>
    <mergeCell ref="AR475:AS475"/>
    <mergeCell ref="AT475:AU475"/>
    <mergeCell ref="AX475:AZ475"/>
    <mergeCell ref="BA475:BB475"/>
    <mergeCell ref="BD475:BE475"/>
    <mergeCell ref="BF475:BI475"/>
    <mergeCell ref="BJ475:BM475"/>
    <mergeCell ref="BF473:BI473"/>
    <mergeCell ref="BJ473:BM473"/>
    <mergeCell ref="BN473:BV473"/>
    <mergeCell ref="B474:C474"/>
    <mergeCell ref="D474:E474"/>
    <mergeCell ref="F474:G474"/>
    <mergeCell ref="H474:I474"/>
    <mergeCell ref="L474:M474"/>
    <mergeCell ref="P474:Q474"/>
    <mergeCell ref="R474:S474"/>
    <mergeCell ref="T474:U474"/>
    <mergeCell ref="V474:W474"/>
    <mergeCell ref="X474:AA474"/>
    <mergeCell ref="AB474:AE474"/>
    <mergeCell ref="AJ474:AK474"/>
    <mergeCell ref="AL474:AM474"/>
    <mergeCell ref="AN474:AO474"/>
    <mergeCell ref="AP474:AQ474"/>
    <mergeCell ref="AR474:AS474"/>
    <mergeCell ref="AT474:AU474"/>
    <mergeCell ref="AX474:AZ474"/>
    <mergeCell ref="BA474:BB474"/>
    <mergeCell ref="BD474:BE474"/>
    <mergeCell ref="BF474:BI474"/>
    <mergeCell ref="AV474:AW474"/>
    <mergeCell ref="AV475:AW475"/>
    <mergeCell ref="AH473:AI473"/>
    <mergeCell ref="AH474:AI474"/>
    <mergeCell ref="BN476:BV476"/>
    <mergeCell ref="B477:C477"/>
    <mergeCell ref="D477:E477"/>
    <mergeCell ref="F477:G477"/>
    <mergeCell ref="H477:I477"/>
    <mergeCell ref="L477:M477"/>
    <mergeCell ref="P477:Q477"/>
    <mergeCell ref="R477:S477"/>
    <mergeCell ref="T477:U477"/>
    <mergeCell ref="V477:W477"/>
    <mergeCell ref="X477:AA477"/>
    <mergeCell ref="AB477:AE477"/>
    <mergeCell ref="AJ477:AK477"/>
    <mergeCell ref="AL477:AM477"/>
    <mergeCell ref="AN477:AO477"/>
    <mergeCell ref="AP477:AQ477"/>
    <mergeCell ref="AR477:AS477"/>
    <mergeCell ref="AT477:AU477"/>
    <mergeCell ref="AX477:AZ477"/>
    <mergeCell ref="BA477:BB477"/>
    <mergeCell ref="BD477:BE477"/>
    <mergeCell ref="BF477:BI477"/>
    <mergeCell ref="BJ477:BM477"/>
    <mergeCell ref="BN475:BV475"/>
    <mergeCell ref="B476:C476"/>
    <mergeCell ref="D476:E476"/>
    <mergeCell ref="F476:G476"/>
    <mergeCell ref="H476:I476"/>
    <mergeCell ref="L476:M476"/>
    <mergeCell ref="P476:Q476"/>
    <mergeCell ref="R476:S476"/>
    <mergeCell ref="T476:U476"/>
    <mergeCell ref="V476:W476"/>
    <mergeCell ref="X476:AA476"/>
    <mergeCell ref="AB476:AE476"/>
    <mergeCell ref="AJ476:AK476"/>
    <mergeCell ref="AL476:AM476"/>
    <mergeCell ref="AN476:AO476"/>
    <mergeCell ref="AP476:AQ476"/>
    <mergeCell ref="AR476:AS476"/>
    <mergeCell ref="AT476:AU476"/>
    <mergeCell ref="AX476:AZ476"/>
    <mergeCell ref="BA476:BB476"/>
    <mergeCell ref="BD476:BE476"/>
    <mergeCell ref="BF476:BI476"/>
    <mergeCell ref="BJ476:BM476"/>
    <mergeCell ref="AV476:AW476"/>
    <mergeCell ref="AV477:AW477"/>
    <mergeCell ref="AH475:AI475"/>
    <mergeCell ref="AH476:AI476"/>
    <mergeCell ref="BN478:BV478"/>
    <mergeCell ref="B479:C479"/>
    <mergeCell ref="D479:E479"/>
    <mergeCell ref="F479:G479"/>
    <mergeCell ref="H479:I479"/>
    <mergeCell ref="L479:M479"/>
    <mergeCell ref="P479:Q479"/>
    <mergeCell ref="R479:S479"/>
    <mergeCell ref="T479:U479"/>
    <mergeCell ref="V479:W479"/>
    <mergeCell ref="X479:AA479"/>
    <mergeCell ref="AB479:AE479"/>
    <mergeCell ref="AJ479:AK479"/>
    <mergeCell ref="AL479:AM479"/>
    <mergeCell ref="AN479:AO479"/>
    <mergeCell ref="AP479:AQ479"/>
    <mergeCell ref="AR479:AS479"/>
    <mergeCell ref="AT479:AU479"/>
    <mergeCell ref="AX479:AZ479"/>
    <mergeCell ref="BA479:BB479"/>
    <mergeCell ref="BD479:BE479"/>
    <mergeCell ref="BF479:BI479"/>
    <mergeCell ref="BJ479:BM479"/>
    <mergeCell ref="BN479:BV479"/>
    <mergeCell ref="BN477:BV477"/>
    <mergeCell ref="B478:C478"/>
    <mergeCell ref="D478:E478"/>
    <mergeCell ref="F478:G478"/>
    <mergeCell ref="H478:I478"/>
    <mergeCell ref="L478:M478"/>
    <mergeCell ref="P478:Q478"/>
    <mergeCell ref="R478:S478"/>
    <mergeCell ref="T478:U478"/>
    <mergeCell ref="V478:W478"/>
    <mergeCell ref="X478:AA478"/>
    <mergeCell ref="AB478:AE478"/>
    <mergeCell ref="AJ478:AK478"/>
    <mergeCell ref="AL478:AM478"/>
    <mergeCell ref="AN478:AO478"/>
    <mergeCell ref="AP478:AQ478"/>
    <mergeCell ref="AR478:AS478"/>
    <mergeCell ref="AT478:AU478"/>
    <mergeCell ref="AX478:AZ478"/>
    <mergeCell ref="BA478:BB478"/>
    <mergeCell ref="BD478:BE478"/>
    <mergeCell ref="BF478:BI478"/>
    <mergeCell ref="BJ478:BM478"/>
    <mergeCell ref="AV478:AW478"/>
    <mergeCell ref="AV479:AW479"/>
    <mergeCell ref="AH477:AI477"/>
    <mergeCell ref="AH478:AI478"/>
    <mergeCell ref="AH479:AI479"/>
    <mergeCell ref="AN481:AO481"/>
    <mergeCell ref="AP481:AQ481"/>
    <mergeCell ref="AR481:AS481"/>
    <mergeCell ref="AT481:AU481"/>
    <mergeCell ref="AX481:AZ481"/>
    <mergeCell ref="BA481:BB481"/>
    <mergeCell ref="BD481:BE481"/>
    <mergeCell ref="BF481:BI481"/>
    <mergeCell ref="BJ481:BM481"/>
    <mergeCell ref="BN481:BV481"/>
    <mergeCell ref="B482:C482"/>
    <mergeCell ref="D482:E482"/>
    <mergeCell ref="F482:G482"/>
    <mergeCell ref="H482:I482"/>
    <mergeCell ref="L482:M482"/>
    <mergeCell ref="P482:Q482"/>
    <mergeCell ref="R482:S482"/>
    <mergeCell ref="T482:U482"/>
    <mergeCell ref="V482:W482"/>
    <mergeCell ref="X482:AA482"/>
    <mergeCell ref="AB482:AE482"/>
    <mergeCell ref="AJ482:AK482"/>
    <mergeCell ref="AL482:AM482"/>
    <mergeCell ref="AN482:AO482"/>
    <mergeCell ref="AL480:AM480"/>
    <mergeCell ref="AN480:AO480"/>
    <mergeCell ref="AP480:AQ480"/>
    <mergeCell ref="AR480:AS480"/>
    <mergeCell ref="AT480:AU480"/>
    <mergeCell ref="AX480:AZ480"/>
    <mergeCell ref="BA480:BB480"/>
    <mergeCell ref="BD480:BE480"/>
    <mergeCell ref="BF480:BI480"/>
    <mergeCell ref="BJ480:BM480"/>
    <mergeCell ref="BN480:BV480"/>
    <mergeCell ref="B481:C481"/>
    <mergeCell ref="D481:E481"/>
    <mergeCell ref="F481:G481"/>
    <mergeCell ref="H481:I481"/>
    <mergeCell ref="L481:M481"/>
    <mergeCell ref="P481:Q481"/>
    <mergeCell ref="R481:S481"/>
    <mergeCell ref="T481:U481"/>
    <mergeCell ref="V481:W481"/>
    <mergeCell ref="X481:AA481"/>
    <mergeCell ref="AB481:AE481"/>
    <mergeCell ref="AJ481:AK481"/>
    <mergeCell ref="AL481:AM481"/>
    <mergeCell ref="B480:C480"/>
    <mergeCell ref="D480:E480"/>
    <mergeCell ref="F480:G480"/>
    <mergeCell ref="H480:I480"/>
    <mergeCell ref="L480:M480"/>
    <mergeCell ref="P480:Q480"/>
    <mergeCell ref="R480:S480"/>
    <mergeCell ref="T480:U480"/>
    <mergeCell ref="V480:W480"/>
    <mergeCell ref="X480:AA480"/>
    <mergeCell ref="AB480:AE480"/>
    <mergeCell ref="AJ480:AK480"/>
    <mergeCell ref="AV480:AW480"/>
    <mergeCell ref="AV481:AW481"/>
    <mergeCell ref="AV482:AW482"/>
    <mergeCell ref="AH480:AI480"/>
    <mergeCell ref="AR483:AS483"/>
    <mergeCell ref="AT483:AU483"/>
    <mergeCell ref="AX483:AZ483"/>
    <mergeCell ref="BA483:BB483"/>
    <mergeCell ref="BD483:BE483"/>
    <mergeCell ref="BF483:BI483"/>
    <mergeCell ref="BJ483:BM483"/>
    <mergeCell ref="BN483:BV483"/>
    <mergeCell ref="B484:C484"/>
    <mergeCell ref="D484:E484"/>
    <mergeCell ref="F484:G484"/>
    <mergeCell ref="H484:I484"/>
    <mergeCell ref="L484:M484"/>
    <mergeCell ref="P484:Q484"/>
    <mergeCell ref="R484:S484"/>
    <mergeCell ref="T484:U484"/>
    <mergeCell ref="V484:W484"/>
    <mergeCell ref="X484:AA484"/>
    <mergeCell ref="AB484:AE484"/>
    <mergeCell ref="AJ484:AK484"/>
    <mergeCell ref="AL484:AM484"/>
    <mergeCell ref="AN484:AO484"/>
    <mergeCell ref="AP484:AQ484"/>
    <mergeCell ref="AR484:AS484"/>
    <mergeCell ref="AP482:AQ482"/>
    <mergeCell ref="AR482:AS482"/>
    <mergeCell ref="AT482:AU482"/>
    <mergeCell ref="AX482:AZ482"/>
    <mergeCell ref="BA482:BB482"/>
    <mergeCell ref="BD482:BE482"/>
    <mergeCell ref="BF482:BI482"/>
    <mergeCell ref="BJ482:BM482"/>
    <mergeCell ref="BN482:BV482"/>
    <mergeCell ref="B483:C483"/>
    <mergeCell ref="D483:E483"/>
    <mergeCell ref="F483:G483"/>
    <mergeCell ref="H483:I483"/>
    <mergeCell ref="L483:M483"/>
    <mergeCell ref="P483:Q483"/>
    <mergeCell ref="R483:S483"/>
    <mergeCell ref="T483:U483"/>
    <mergeCell ref="V483:W483"/>
    <mergeCell ref="X483:AA483"/>
    <mergeCell ref="AB483:AE483"/>
    <mergeCell ref="AJ483:AK483"/>
    <mergeCell ref="AL483:AM483"/>
    <mergeCell ref="AN483:AO483"/>
    <mergeCell ref="AP483:AQ483"/>
    <mergeCell ref="AV483:AW483"/>
    <mergeCell ref="AV484:AW484"/>
    <mergeCell ref="AF484:AG484"/>
    <mergeCell ref="AX485:AZ485"/>
    <mergeCell ref="BA485:BB485"/>
    <mergeCell ref="BD485:BE485"/>
    <mergeCell ref="BF485:BI485"/>
    <mergeCell ref="BJ485:BM485"/>
    <mergeCell ref="BN485:BV485"/>
    <mergeCell ref="B486:C486"/>
    <mergeCell ref="D486:E486"/>
    <mergeCell ref="F486:G486"/>
    <mergeCell ref="H486:I486"/>
    <mergeCell ref="L486:M486"/>
    <mergeCell ref="P486:Q486"/>
    <mergeCell ref="R486:S486"/>
    <mergeCell ref="T486:U486"/>
    <mergeCell ref="V486:W486"/>
    <mergeCell ref="X486:AA486"/>
    <mergeCell ref="AB486:AE486"/>
    <mergeCell ref="AJ486:AK486"/>
    <mergeCell ref="AL486:AM486"/>
    <mergeCell ref="AN486:AO486"/>
    <mergeCell ref="AP486:AQ486"/>
    <mergeCell ref="AR486:AS486"/>
    <mergeCell ref="AT486:AU486"/>
    <mergeCell ref="AX486:AZ486"/>
    <mergeCell ref="AT484:AU484"/>
    <mergeCell ref="AX484:AZ484"/>
    <mergeCell ref="BA484:BB484"/>
    <mergeCell ref="BD484:BE484"/>
    <mergeCell ref="BF484:BI484"/>
    <mergeCell ref="BJ484:BM484"/>
    <mergeCell ref="BN484:BV484"/>
    <mergeCell ref="B485:C485"/>
    <mergeCell ref="D485:E485"/>
    <mergeCell ref="F485:G485"/>
    <mergeCell ref="H485:I485"/>
    <mergeCell ref="L485:M485"/>
    <mergeCell ref="P485:Q485"/>
    <mergeCell ref="R485:S485"/>
    <mergeCell ref="T485:U485"/>
    <mergeCell ref="V485:W485"/>
    <mergeCell ref="X485:AA485"/>
    <mergeCell ref="AB485:AE485"/>
    <mergeCell ref="AJ485:AK485"/>
    <mergeCell ref="AL485:AM485"/>
    <mergeCell ref="AN485:AO485"/>
    <mergeCell ref="AP485:AQ485"/>
    <mergeCell ref="AR485:AS485"/>
    <mergeCell ref="AT485:AU485"/>
    <mergeCell ref="AV485:AW485"/>
    <mergeCell ref="AV486:AW486"/>
    <mergeCell ref="AF485:AG485"/>
    <mergeCell ref="AF486:AG486"/>
    <mergeCell ref="BD487:BE487"/>
    <mergeCell ref="BF487:BI487"/>
    <mergeCell ref="BJ487:BM487"/>
    <mergeCell ref="BN487:BV487"/>
    <mergeCell ref="B488:C488"/>
    <mergeCell ref="D488:E488"/>
    <mergeCell ref="F488:G488"/>
    <mergeCell ref="H488:I488"/>
    <mergeCell ref="L488:M488"/>
    <mergeCell ref="P488:Q488"/>
    <mergeCell ref="R488:S488"/>
    <mergeCell ref="T488:U488"/>
    <mergeCell ref="V488:W488"/>
    <mergeCell ref="X488:AA488"/>
    <mergeCell ref="AB488:AE488"/>
    <mergeCell ref="AJ488:AK488"/>
    <mergeCell ref="AL488:AM488"/>
    <mergeCell ref="AN488:AO488"/>
    <mergeCell ref="AP488:AQ488"/>
    <mergeCell ref="AR488:AS488"/>
    <mergeCell ref="AT488:AU488"/>
    <mergeCell ref="AX488:AZ488"/>
    <mergeCell ref="BA488:BB488"/>
    <mergeCell ref="BD488:BE488"/>
    <mergeCell ref="BA486:BB486"/>
    <mergeCell ref="BD486:BE486"/>
    <mergeCell ref="BF486:BI486"/>
    <mergeCell ref="BJ486:BM486"/>
    <mergeCell ref="BN486:BV486"/>
    <mergeCell ref="B487:C487"/>
    <mergeCell ref="D487:E487"/>
    <mergeCell ref="F487:G487"/>
    <mergeCell ref="H487:I487"/>
    <mergeCell ref="L487:M487"/>
    <mergeCell ref="P487:Q487"/>
    <mergeCell ref="R487:S487"/>
    <mergeCell ref="T487:U487"/>
    <mergeCell ref="V487:W487"/>
    <mergeCell ref="X487:AA487"/>
    <mergeCell ref="AB487:AE487"/>
    <mergeCell ref="AJ487:AK487"/>
    <mergeCell ref="AL487:AM487"/>
    <mergeCell ref="AN487:AO487"/>
    <mergeCell ref="AP487:AQ487"/>
    <mergeCell ref="AR487:AS487"/>
    <mergeCell ref="AT487:AU487"/>
    <mergeCell ref="AX487:AZ487"/>
    <mergeCell ref="BA487:BB487"/>
    <mergeCell ref="AV487:AW487"/>
    <mergeCell ref="AV488:AW488"/>
    <mergeCell ref="AF487:AG487"/>
    <mergeCell ref="AF488:AG488"/>
    <mergeCell ref="BJ489:BM489"/>
    <mergeCell ref="BN489:BV489"/>
    <mergeCell ref="B490:C490"/>
    <mergeCell ref="D490:E490"/>
    <mergeCell ref="F490:G490"/>
    <mergeCell ref="H490:I490"/>
    <mergeCell ref="L490:M490"/>
    <mergeCell ref="P490:Q490"/>
    <mergeCell ref="R490:S490"/>
    <mergeCell ref="T490:U490"/>
    <mergeCell ref="V490:W490"/>
    <mergeCell ref="X490:AA490"/>
    <mergeCell ref="AB490:AE490"/>
    <mergeCell ref="AJ490:AK490"/>
    <mergeCell ref="AL490:AM490"/>
    <mergeCell ref="AN490:AO490"/>
    <mergeCell ref="AP490:AQ490"/>
    <mergeCell ref="AR490:AS490"/>
    <mergeCell ref="AT490:AU490"/>
    <mergeCell ref="AX490:AZ490"/>
    <mergeCell ref="BA490:BB490"/>
    <mergeCell ref="BD490:BE490"/>
    <mergeCell ref="BF490:BI490"/>
    <mergeCell ref="BJ490:BM490"/>
    <mergeCell ref="BF488:BI488"/>
    <mergeCell ref="BJ488:BM488"/>
    <mergeCell ref="BN488:BV488"/>
    <mergeCell ref="B489:C489"/>
    <mergeCell ref="D489:E489"/>
    <mergeCell ref="F489:G489"/>
    <mergeCell ref="H489:I489"/>
    <mergeCell ref="L489:M489"/>
    <mergeCell ref="P489:Q489"/>
    <mergeCell ref="R489:S489"/>
    <mergeCell ref="T489:U489"/>
    <mergeCell ref="V489:W489"/>
    <mergeCell ref="X489:AA489"/>
    <mergeCell ref="AB489:AE489"/>
    <mergeCell ref="AJ489:AK489"/>
    <mergeCell ref="AL489:AM489"/>
    <mergeCell ref="AN489:AO489"/>
    <mergeCell ref="AP489:AQ489"/>
    <mergeCell ref="AR489:AS489"/>
    <mergeCell ref="AT489:AU489"/>
    <mergeCell ref="AX489:AZ489"/>
    <mergeCell ref="BA489:BB489"/>
    <mergeCell ref="BD489:BE489"/>
    <mergeCell ref="BF489:BI489"/>
    <mergeCell ref="AV489:AW489"/>
    <mergeCell ref="AV490:AW490"/>
    <mergeCell ref="AF489:AG489"/>
    <mergeCell ref="AF490:AG490"/>
    <mergeCell ref="BN491:BV491"/>
    <mergeCell ref="B492:C492"/>
    <mergeCell ref="D492:E492"/>
    <mergeCell ref="F492:G492"/>
    <mergeCell ref="H492:I492"/>
    <mergeCell ref="L492:M492"/>
    <mergeCell ref="P492:Q492"/>
    <mergeCell ref="R492:S492"/>
    <mergeCell ref="T492:U492"/>
    <mergeCell ref="V492:W492"/>
    <mergeCell ref="X492:AA492"/>
    <mergeCell ref="AB492:AE492"/>
    <mergeCell ref="AJ492:AK492"/>
    <mergeCell ref="AL492:AM492"/>
    <mergeCell ref="AN492:AO492"/>
    <mergeCell ref="AP492:AQ492"/>
    <mergeCell ref="AR492:AS492"/>
    <mergeCell ref="AT492:AU492"/>
    <mergeCell ref="AX492:AZ492"/>
    <mergeCell ref="BA492:BB492"/>
    <mergeCell ref="BD492:BE492"/>
    <mergeCell ref="BF492:BI492"/>
    <mergeCell ref="BJ492:BM492"/>
    <mergeCell ref="BN490:BV490"/>
    <mergeCell ref="B491:C491"/>
    <mergeCell ref="D491:E491"/>
    <mergeCell ref="F491:G491"/>
    <mergeCell ref="H491:I491"/>
    <mergeCell ref="L491:M491"/>
    <mergeCell ref="P491:Q491"/>
    <mergeCell ref="R491:S491"/>
    <mergeCell ref="T491:U491"/>
    <mergeCell ref="V491:W491"/>
    <mergeCell ref="X491:AA491"/>
    <mergeCell ref="AB491:AE491"/>
    <mergeCell ref="AJ491:AK491"/>
    <mergeCell ref="AL491:AM491"/>
    <mergeCell ref="AN491:AO491"/>
    <mergeCell ref="AP491:AQ491"/>
    <mergeCell ref="AR491:AS491"/>
    <mergeCell ref="AT491:AU491"/>
    <mergeCell ref="AX491:AZ491"/>
    <mergeCell ref="BA491:BB491"/>
    <mergeCell ref="BD491:BE491"/>
    <mergeCell ref="BF491:BI491"/>
    <mergeCell ref="BJ491:BM491"/>
    <mergeCell ref="AV491:AW491"/>
    <mergeCell ref="AV492:AW492"/>
    <mergeCell ref="AF491:AG491"/>
    <mergeCell ref="AF492:AG492"/>
    <mergeCell ref="BN493:BV493"/>
    <mergeCell ref="B494:C494"/>
    <mergeCell ref="D494:E494"/>
    <mergeCell ref="F494:G494"/>
    <mergeCell ref="H494:I494"/>
    <mergeCell ref="L494:M494"/>
    <mergeCell ref="P494:Q494"/>
    <mergeCell ref="R494:S494"/>
    <mergeCell ref="T494:U494"/>
    <mergeCell ref="V494:W494"/>
    <mergeCell ref="X494:AA494"/>
    <mergeCell ref="AB494:AE494"/>
    <mergeCell ref="AJ494:AK494"/>
    <mergeCell ref="AL494:AM494"/>
    <mergeCell ref="AN494:AO494"/>
    <mergeCell ref="AP494:AQ494"/>
    <mergeCell ref="AR494:AS494"/>
    <mergeCell ref="AT494:AU494"/>
    <mergeCell ref="AX494:AZ494"/>
    <mergeCell ref="BA494:BB494"/>
    <mergeCell ref="BD494:BE494"/>
    <mergeCell ref="BF494:BI494"/>
    <mergeCell ref="BJ494:BM494"/>
    <mergeCell ref="BN494:BV494"/>
    <mergeCell ref="BN492:BV492"/>
    <mergeCell ref="B493:C493"/>
    <mergeCell ref="D493:E493"/>
    <mergeCell ref="F493:G493"/>
    <mergeCell ref="H493:I493"/>
    <mergeCell ref="L493:M493"/>
    <mergeCell ref="P493:Q493"/>
    <mergeCell ref="R493:S493"/>
    <mergeCell ref="T493:U493"/>
    <mergeCell ref="V493:W493"/>
    <mergeCell ref="X493:AA493"/>
    <mergeCell ref="AB493:AE493"/>
    <mergeCell ref="AJ493:AK493"/>
    <mergeCell ref="AL493:AM493"/>
    <mergeCell ref="AN493:AO493"/>
    <mergeCell ref="AP493:AQ493"/>
    <mergeCell ref="AR493:AS493"/>
    <mergeCell ref="AT493:AU493"/>
    <mergeCell ref="AX493:AZ493"/>
    <mergeCell ref="BA493:BB493"/>
    <mergeCell ref="BD493:BE493"/>
    <mergeCell ref="BF493:BI493"/>
    <mergeCell ref="BJ493:BM493"/>
    <mergeCell ref="AV493:AW493"/>
    <mergeCell ref="AV494:AW494"/>
    <mergeCell ref="AF493:AG493"/>
    <mergeCell ref="AF494:AG494"/>
    <mergeCell ref="AN496:AO496"/>
    <mergeCell ref="AP496:AQ496"/>
    <mergeCell ref="AR496:AS496"/>
    <mergeCell ref="AT496:AU496"/>
    <mergeCell ref="AX496:AZ496"/>
    <mergeCell ref="BA496:BB496"/>
    <mergeCell ref="BD496:BE496"/>
    <mergeCell ref="BF496:BI496"/>
    <mergeCell ref="BJ496:BM496"/>
    <mergeCell ref="BN496:BV496"/>
    <mergeCell ref="B497:C497"/>
    <mergeCell ref="D497:E497"/>
    <mergeCell ref="F497:G497"/>
    <mergeCell ref="H497:I497"/>
    <mergeCell ref="L497:M497"/>
    <mergeCell ref="P497:Q497"/>
    <mergeCell ref="R497:S497"/>
    <mergeCell ref="T497:U497"/>
    <mergeCell ref="V497:W497"/>
    <mergeCell ref="X497:AA497"/>
    <mergeCell ref="AB497:AE497"/>
    <mergeCell ref="AJ497:AK497"/>
    <mergeCell ref="AL497:AM497"/>
    <mergeCell ref="AN497:AO497"/>
    <mergeCell ref="AL495:AM495"/>
    <mergeCell ref="AN495:AO495"/>
    <mergeCell ref="AP495:AQ495"/>
    <mergeCell ref="AR495:AS495"/>
    <mergeCell ref="AT495:AU495"/>
    <mergeCell ref="AX495:AZ495"/>
    <mergeCell ref="BA495:BB495"/>
    <mergeCell ref="BD495:BE495"/>
    <mergeCell ref="BF495:BI495"/>
    <mergeCell ref="BJ495:BM495"/>
    <mergeCell ref="BN495:BV495"/>
    <mergeCell ref="B496:C496"/>
    <mergeCell ref="D496:E496"/>
    <mergeCell ref="F496:G496"/>
    <mergeCell ref="H496:I496"/>
    <mergeCell ref="L496:M496"/>
    <mergeCell ref="P496:Q496"/>
    <mergeCell ref="R496:S496"/>
    <mergeCell ref="T496:U496"/>
    <mergeCell ref="V496:W496"/>
    <mergeCell ref="X496:AA496"/>
    <mergeCell ref="AB496:AE496"/>
    <mergeCell ref="AJ496:AK496"/>
    <mergeCell ref="AL496:AM496"/>
    <mergeCell ref="B495:C495"/>
    <mergeCell ref="D495:E495"/>
    <mergeCell ref="F495:G495"/>
    <mergeCell ref="H495:I495"/>
    <mergeCell ref="L495:M495"/>
    <mergeCell ref="P495:Q495"/>
    <mergeCell ref="R495:S495"/>
    <mergeCell ref="T495:U495"/>
    <mergeCell ref="V495:W495"/>
    <mergeCell ref="X495:AA495"/>
    <mergeCell ref="AB495:AE495"/>
    <mergeCell ref="AJ495:AK495"/>
    <mergeCell ref="AV495:AW495"/>
    <mergeCell ref="AV496:AW496"/>
    <mergeCell ref="AV497:AW497"/>
    <mergeCell ref="AF495:AG495"/>
    <mergeCell ref="AR498:AS498"/>
    <mergeCell ref="AT498:AU498"/>
    <mergeCell ref="AX498:AZ498"/>
    <mergeCell ref="BA498:BB498"/>
    <mergeCell ref="BD498:BE498"/>
    <mergeCell ref="BF498:BI498"/>
    <mergeCell ref="BJ498:BM498"/>
    <mergeCell ref="BN498:BV498"/>
    <mergeCell ref="B499:C499"/>
    <mergeCell ref="D499:E499"/>
    <mergeCell ref="F499:G499"/>
    <mergeCell ref="H499:I499"/>
    <mergeCell ref="L499:M499"/>
    <mergeCell ref="P499:Q499"/>
    <mergeCell ref="R499:S499"/>
    <mergeCell ref="T499:U499"/>
    <mergeCell ref="V499:W499"/>
    <mergeCell ref="X499:AA499"/>
    <mergeCell ref="AB499:AE499"/>
    <mergeCell ref="AJ499:AK499"/>
    <mergeCell ref="AL499:AM499"/>
    <mergeCell ref="AN499:AO499"/>
    <mergeCell ref="AP499:AQ499"/>
    <mergeCell ref="AR499:AS499"/>
    <mergeCell ref="AP497:AQ497"/>
    <mergeCell ref="AR497:AS497"/>
    <mergeCell ref="AT497:AU497"/>
    <mergeCell ref="AX497:AZ497"/>
    <mergeCell ref="BA497:BB497"/>
    <mergeCell ref="BD497:BE497"/>
    <mergeCell ref="BF497:BI497"/>
    <mergeCell ref="BJ497:BM497"/>
    <mergeCell ref="BN497:BV497"/>
    <mergeCell ref="B498:C498"/>
    <mergeCell ref="D498:E498"/>
    <mergeCell ref="F498:G498"/>
    <mergeCell ref="H498:I498"/>
    <mergeCell ref="L498:M498"/>
    <mergeCell ref="P498:Q498"/>
    <mergeCell ref="R498:S498"/>
    <mergeCell ref="T498:U498"/>
    <mergeCell ref="V498:W498"/>
    <mergeCell ref="X498:AA498"/>
    <mergeCell ref="AB498:AE498"/>
    <mergeCell ref="AJ498:AK498"/>
    <mergeCell ref="AL498:AM498"/>
    <mergeCell ref="AN498:AO498"/>
    <mergeCell ref="AP498:AQ498"/>
    <mergeCell ref="AV498:AW498"/>
    <mergeCell ref="AV499:AW499"/>
    <mergeCell ref="AX500:AZ500"/>
    <mergeCell ref="BA500:BB500"/>
    <mergeCell ref="BD500:BE500"/>
    <mergeCell ref="BF500:BI500"/>
    <mergeCell ref="BJ500:BM500"/>
    <mergeCell ref="BN500:BV500"/>
    <mergeCell ref="B501:C501"/>
    <mergeCell ref="D501:E501"/>
    <mergeCell ref="F501:G501"/>
    <mergeCell ref="H501:I501"/>
    <mergeCell ref="L501:M501"/>
    <mergeCell ref="P501:Q501"/>
    <mergeCell ref="R501:S501"/>
    <mergeCell ref="T501:U501"/>
    <mergeCell ref="V501:W501"/>
    <mergeCell ref="X501:AA501"/>
    <mergeCell ref="AB501:AE501"/>
    <mergeCell ref="AJ501:AK501"/>
    <mergeCell ref="AL501:AM501"/>
    <mergeCell ref="AN501:AO501"/>
    <mergeCell ref="AP501:AQ501"/>
    <mergeCell ref="AR501:AS501"/>
    <mergeCell ref="AT501:AU501"/>
    <mergeCell ref="AX501:AZ501"/>
    <mergeCell ref="AT499:AU499"/>
    <mergeCell ref="AX499:AZ499"/>
    <mergeCell ref="BA499:BB499"/>
    <mergeCell ref="BD499:BE499"/>
    <mergeCell ref="BF499:BI499"/>
    <mergeCell ref="BJ499:BM499"/>
    <mergeCell ref="BN499:BV499"/>
    <mergeCell ref="B500:C500"/>
    <mergeCell ref="D500:E500"/>
    <mergeCell ref="F500:G500"/>
    <mergeCell ref="H500:I500"/>
    <mergeCell ref="L500:M500"/>
    <mergeCell ref="P500:Q500"/>
    <mergeCell ref="R500:S500"/>
    <mergeCell ref="T500:U500"/>
    <mergeCell ref="V500:W500"/>
    <mergeCell ref="X500:AA500"/>
    <mergeCell ref="AB500:AE500"/>
    <mergeCell ref="AJ500:AK500"/>
    <mergeCell ref="AL500:AM500"/>
    <mergeCell ref="AN500:AO500"/>
    <mergeCell ref="AP500:AQ500"/>
    <mergeCell ref="AR500:AS500"/>
    <mergeCell ref="AT500:AU500"/>
    <mergeCell ref="AV500:AW500"/>
    <mergeCell ref="AV501:AW501"/>
    <mergeCell ref="J499:K499"/>
    <mergeCell ref="J500:K500"/>
    <mergeCell ref="BD502:BE502"/>
    <mergeCell ref="BF502:BI502"/>
    <mergeCell ref="BJ502:BM502"/>
    <mergeCell ref="BN502:BV502"/>
    <mergeCell ref="B503:C503"/>
    <mergeCell ref="D503:E503"/>
    <mergeCell ref="F503:G503"/>
    <mergeCell ref="H503:I503"/>
    <mergeCell ref="L503:M503"/>
    <mergeCell ref="P503:Q503"/>
    <mergeCell ref="R503:S503"/>
    <mergeCell ref="T503:U503"/>
    <mergeCell ref="V503:W503"/>
    <mergeCell ref="X503:AA503"/>
    <mergeCell ref="AB503:AE503"/>
    <mergeCell ref="AJ503:AK503"/>
    <mergeCell ref="AL503:AM503"/>
    <mergeCell ref="AN503:AO503"/>
    <mergeCell ref="AP503:AQ503"/>
    <mergeCell ref="AR503:AS503"/>
    <mergeCell ref="AT503:AU503"/>
    <mergeCell ref="AX503:AZ503"/>
    <mergeCell ref="BA503:BB503"/>
    <mergeCell ref="BD503:BE503"/>
    <mergeCell ref="BA501:BB501"/>
    <mergeCell ref="BD501:BE501"/>
    <mergeCell ref="BF501:BI501"/>
    <mergeCell ref="BJ501:BM501"/>
    <mergeCell ref="BN501:BV501"/>
    <mergeCell ref="B502:C502"/>
    <mergeCell ref="D502:E502"/>
    <mergeCell ref="F502:G502"/>
    <mergeCell ref="H502:I502"/>
    <mergeCell ref="L502:M502"/>
    <mergeCell ref="P502:Q502"/>
    <mergeCell ref="R502:S502"/>
    <mergeCell ref="T502:U502"/>
    <mergeCell ref="V502:W502"/>
    <mergeCell ref="X502:AA502"/>
    <mergeCell ref="AB502:AE502"/>
    <mergeCell ref="AJ502:AK502"/>
    <mergeCell ref="AL502:AM502"/>
    <mergeCell ref="AN502:AO502"/>
    <mergeCell ref="AP502:AQ502"/>
    <mergeCell ref="AR502:AS502"/>
    <mergeCell ref="AT502:AU502"/>
    <mergeCell ref="AX502:AZ502"/>
    <mergeCell ref="BA502:BB502"/>
    <mergeCell ref="AV502:AW502"/>
    <mergeCell ref="AV503:AW503"/>
    <mergeCell ref="J501:K501"/>
    <mergeCell ref="J502:K502"/>
    <mergeCell ref="BJ504:BM504"/>
    <mergeCell ref="BN504:BV504"/>
    <mergeCell ref="B505:C505"/>
    <mergeCell ref="D505:E505"/>
    <mergeCell ref="F505:G505"/>
    <mergeCell ref="H505:I505"/>
    <mergeCell ref="L505:M505"/>
    <mergeCell ref="P505:Q505"/>
    <mergeCell ref="R505:S505"/>
    <mergeCell ref="T505:U505"/>
    <mergeCell ref="V505:W505"/>
    <mergeCell ref="X505:AA505"/>
    <mergeCell ref="AB505:AE505"/>
    <mergeCell ref="AJ505:AK505"/>
    <mergeCell ref="AL505:AM505"/>
    <mergeCell ref="AN505:AO505"/>
    <mergeCell ref="AP505:AQ505"/>
    <mergeCell ref="AR505:AS505"/>
    <mergeCell ref="AT505:AU505"/>
    <mergeCell ref="AX505:AZ505"/>
    <mergeCell ref="BA505:BB505"/>
    <mergeCell ref="BD505:BE505"/>
    <mergeCell ref="BF505:BI505"/>
    <mergeCell ref="BJ505:BM505"/>
    <mergeCell ref="BF503:BI503"/>
    <mergeCell ref="BJ503:BM503"/>
    <mergeCell ref="BN503:BV503"/>
    <mergeCell ref="B504:C504"/>
    <mergeCell ref="D504:E504"/>
    <mergeCell ref="F504:G504"/>
    <mergeCell ref="H504:I504"/>
    <mergeCell ref="L504:M504"/>
    <mergeCell ref="P504:Q504"/>
    <mergeCell ref="R504:S504"/>
    <mergeCell ref="T504:U504"/>
    <mergeCell ref="V504:W504"/>
    <mergeCell ref="X504:AA504"/>
    <mergeCell ref="AB504:AE504"/>
    <mergeCell ref="AJ504:AK504"/>
    <mergeCell ref="AL504:AM504"/>
    <mergeCell ref="AN504:AO504"/>
    <mergeCell ref="AP504:AQ504"/>
    <mergeCell ref="AR504:AS504"/>
    <mergeCell ref="AT504:AU504"/>
    <mergeCell ref="AX504:AZ504"/>
    <mergeCell ref="BA504:BB504"/>
    <mergeCell ref="BD504:BE504"/>
    <mergeCell ref="BF504:BI504"/>
    <mergeCell ref="AV504:AW504"/>
    <mergeCell ref="AV505:AW505"/>
    <mergeCell ref="J503:K503"/>
    <mergeCell ref="J504:K504"/>
    <mergeCell ref="BN506:BV506"/>
    <mergeCell ref="B507:C507"/>
    <mergeCell ref="D507:E507"/>
    <mergeCell ref="F507:G507"/>
    <mergeCell ref="H507:I507"/>
    <mergeCell ref="L507:M507"/>
    <mergeCell ref="P507:Q507"/>
    <mergeCell ref="R507:S507"/>
    <mergeCell ref="T507:U507"/>
    <mergeCell ref="V507:W507"/>
    <mergeCell ref="X507:AA507"/>
    <mergeCell ref="AB507:AE507"/>
    <mergeCell ref="AJ507:AK507"/>
    <mergeCell ref="AL507:AM507"/>
    <mergeCell ref="AN507:AO507"/>
    <mergeCell ref="AP507:AQ507"/>
    <mergeCell ref="AR507:AS507"/>
    <mergeCell ref="AT507:AU507"/>
    <mergeCell ref="AX507:AZ507"/>
    <mergeCell ref="BA507:BB507"/>
    <mergeCell ref="BD507:BE507"/>
    <mergeCell ref="BF507:BI507"/>
    <mergeCell ref="BJ507:BM507"/>
    <mergeCell ref="BN505:BV505"/>
    <mergeCell ref="B506:C506"/>
    <mergeCell ref="D506:E506"/>
    <mergeCell ref="F506:G506"/>
    <mergeCell ref="H506:I506"/>
    <mergeCell ref="L506:M506"/>
    <mergeCell ref="P506:Q506"/>
    <mergeCell ref="R506:S506"/>
    <mergeCell ref="T506:U506"/>
    <mergeCell ref="V506:W506"/>
    <mergeCell ref="X506:AA506"/>
    <mergeCell ref="AB506:AE506"/>
    <mergeCell ref="AJ506:AK506"/>
    <mergeCell ref="AL506:AM506"/>
    <mergeCell ref="AN506:AO506"/>
    <mergeCell ref="AP506:AQ506"/>
    <mergeCell ref="AR506:AS506"/>
    <mergeCell ref="AT506:AU506"/>
    <mergeCell ref="AX506:AZ506"/>
    <mergeCell ref="BA506:BB506"/>
    <mergeCell ref="BD506:BE506"/>
    <mergeCell ref="BF506:BI506"/>
    <mergeCell ref="BJ506:BM506"/>
    <mergeCell ref="AV506:AW506"/>
    <mergeCell ref="AV507:AW507"/>
    <mergeCell ref="J505:K505"/>
    <mergeCell ref="J506:K506"/>
    <mergeCell ref="BN508:BV508"/>
    <mergeCell ref="B509:C509"/>
    <mergeCell ref="D509:E509"/>
    <mergeCell ref="F509:G509"/>
    <mergeCell ref="H509:I509"/>
    <mergeCell ref="L509:M509"/>
    <mergeCell ref="P509:Q509"/>
    <mergeCell ref="R509:S509"/>
    <mergeCell ref="T509:U509"/>
    <mergeCell ref="V509:W509"/>
    <mergeCell ref="X509:AA509"/>
    <mergeCell ref="AB509:AE509"/>
    <mergeCell ref="AJ509:AK509"/>
    <mergeCell ref="AL509:AM509"/>
    <mergeCell ref="AN509:AO509"/>
    <mergeCell ref="AP509:AQ509"/>
    <mergeCell ref="AR509:AS509"/>
    <mergeCell ref="AT509:AU509"/>
    <mergeCell ref="AX509:AZ509"/>
    <mergeCell ref="BA509:BB509"/>
    <mergeCell ref="BD509:BE509"/>
    <mergeCell ref="BF509:BI509"/>
    <mergeCell ref="BJ509:BM509"/>
    <mergeCell ref="BN509:BV509"/>
    <mergeCell ref="BN507:BV507"/>
    <mergeCell ref="B508:C508"/>
    <mergeCell ref="D508:E508"/>
    <mergeCell ref="F508:G508"/>
    <mergeCell ref="H508:I508"/>
    <mergeCell ref="P508:Q508"/>
    <mergeCell ref="R508:S508"/>
    <mergeCell ref="T508:U508"/>
    <mergeCell ref="V508:W508"/>
    <mergeCell ref="X508:AA508"/>
    <mergeCell ref="AB508:AE508"/>
    <mergeCell ref="AJ508:AK508"/>
    <mergeCell ref="AL508:AM508"/>
    <mergeCell ref="AN508:AO508"/>
    <mergeCell ref="AP508:AQ508"/>
    <mergeCell ref="AR508:AS508"/>
    <mergeCell ref="AT508:AU508"/>
    <mergeCell ref="AX508:AZ508"/>
    <mergeCell ref="BA508:BB508"/>
    <mergeCell ref="BD508:BE508"/>
    <mergeCell ref="BF508:BI508"/>
    <mergeCell ref="BJ508:BM508"/>
    <mergeCell ref="AV508:AW508"/>
    <mergeCell ref="AV509:AW509"/>
    <mergeCell ref="J507:K507"/>
    <mergeCell ref="J509:K509"/>
    <mergeCell ref="AN511:AO511"/>
    <mergeCell ref="AP511:AQ511"/>
    <mergeCell ref="AR511:AS511"/>
    <mergeCell ref="AT511:AU511"/>
    <mergeCell ref="AX511:AZ511"/>
    <mergeCell ref="BA511:BB511"/>
    <mergeCell ref="BD511:BE511"/>
    <mergeCell ref="BF511:BI511"/>
    <mergeCell ref="BJ511:BM511"/>
    <mergeCell ref="BN511:BV511"/>
    <mergeCell ref="B512:C512"/>
    <mergeCell ref="D512:E512"/>
    <mergeCell ref="F512:G512"/>
    <mergeCell ref="H512:I512"/>
    <mergeCell ref="P512:Q512"/>
    <mergeCell ref="R512:S512"/>
    <mergeCell ref="T512:U512"/>
    <mergeCell ref="V512:W512"/>
    <mergeCell ref="X512:AA512"/>
    <mergeCell ref="AB512:AE512"/>
    <mergeCell ref="AJ512:AK512"/>
    <mergeCell ref="AL512:AM512"/>
    <mergeCell ref="AN512:AO512"/>
    <mergeCell ref="AL510:AM510"/>
    <mergeCell ref="AN510:AO510"/>
    <mergeCell ref="AP510:AQ510"/>
    <mergeCell ref="AR510:AS510"/>
    <mergeCell ref="AT510:AU510"/>
    <mergeCell ref="AX510:AZ510"/>
    <mergeCell ref="BA510:BB510"/>
    <mergeCell ref="BD510:BE510"/>
    <mergeCell ref="BF510:BI510"/>
    <mergeCell ref="BJ510:BM510"/>
    <mergeCell ref="BN510:BV510"/>
    <mergeCell ref="B511:C511"/>
    <mergeCell ref="D511:E511"/>
    <mergeCell ref="F511:G511"/>
    <mergeCell ref="H511:I511"/>
    <mergeCell ref="L511:M511"/>
    <mergeCell ref="P511:Q511"/>
    <mergeCell ref="R511:S511"/>
    <mergeCell ref="T511:U511"/>
    <mergeCell ref="V511:W511"/>
    <mergeCell ref="X511:AA511"/>
    <mergeCell ref="AB511:AE511"/>
    <mergeCell ref="AJ511:AK511"/>
    <mergeCell ref="AL511:AM511"/>
    <mergeCell ref="B510:C510"/>
    <mergeCell ref="D510:E510"/>
    <mergeCell ref="F510:G510"/>
    <mergeCell ref="H510:I510"/>
    <mergeCell ref="P510:Q510"/>
    <mergeCell ref="R510:S510"/>
    <mergeCell ref="T510:U510"/>
    <mergeCell ref="V510:W510"/>
    <mergeCell ref="X510:AA510"/>
    <mergeCell ref="AB510:AE510"/>
    <mergeCell ref="AJ510:AK510"/>
    <mergeCell ref="AV510:AW510"/>
    <mergeCell ref="AV511:AW511"/>
    <mergeCell ref="AV512:AW512"/>
    <mergeCell ref="AF510:AG510"/>
    <mergeCell ref="AF511:AG511"/>
    <mergeCell ref="AF512:AG512"/>
    <mergeCell ref="AR513:AS513"/>
    <mergeCell ref="AT513:AU513"/>
    <mergeCell ref="AX513:AZ513"/>
    <mergeCell ref="BA513:BB513"/>
    <mergeCell ref="BD513:BE513"/>
    <mergeCell ref="BF513:BI513"/>
    <mergeCell ref="BJ513:BM513"/>
    <mergeCell ref="BN513:BV513"/>
    <mergeCell ref="B514:C514"/>
    <mergeCell ref="D514:E514"/>
    <mergeCell ref="F514:G514"/>
    <mergeCell ref="H514:I514"/>
    <mergeCell ref="P514:Q514"/>
    <mergeCell ref="R514:S514"/>
    <mergeCell ref="T514:U514"/>
    <mergeCell ref="V514:W514"/>
    <mergeCell ref="X514:AA514"/>
    <mergeCell ref="AB514:AE514"/>
    <mergeCell ref="AJ514:AK514"/>
    <mergeCell ref="AL514:AM514"/>
    <mergeCell ref="AN514:AO514"/>
    <mergeCell ref="AP514:AQ514"/>
    <mergeCell ref="AR514:AS514"/>
    <mergeCell ref="AP512:AQ512"/>
    <mergeCell ref="AR512:AS512"/>
    <mergeCell ref="AT512:AU512"/>
    <mergeCell ref="AX512:AZ512"/>
    <mergeCell ref="BA512:BB512"/>
    <mergeCell ref="BD512:BE512"/>
    <mergeCell ref="BF512:BI512"/>
    <mergeCell ref="BJ512:BM512"/>
    <mergeCell ref="BN512:BV512"/>
    <mergeCell ref="B513:C513"/>
    <mergeCell ref="D513:E513"/>
    <mergeCell ref="F513:G513"/>
    <mergeCell ref="H513:I513"/>
    <mergeCell ref="L513:M513"/>
    <mergeCell ref="P513:Q513"/>
    <mergeCell ref="R513:S513"/>
    <mergeCell ref="T513:U513"/>
    <mergeCell ref="V513:W513"/>
    <mergeCell ref="X513:AA513"/>
    <mergeCell ref="AB513:AE513"/>
    <mergeCell ref="AJ513:AK513"/>
    <mergeCell ref="AL513:AM513"/>
    <mergeCell ref="AN513:AO513"/>
    <mergeCell ref="AP513:AQ513"/>
    <mergeCell ref="AV513:AW513"/>
    <mergeCell ref="AV514:AW514"/>
    <mergeCell ref="AF513:AG513"/>
    <mergeCell ref="AF514:AG514"/>
    <mergeCell ref="AX515:AZ515"/>
    <mergeCell ref="BA515:BB515"/>
    <mergeCell ref="BD515:BE515"/>
    <mergeCell ref="BF515:BI515"/>
    <mergeCell ref="BJ515:BM515"/>
    <mergeCell ref="BN515:BV515"/>
    <mergeCell ref="B516:C516"/>
    <mergeCell ref="D516:E516"/>
    <mergeCell ref="F516:G516"/>
    <mergeCell ref="H516:I516"/>
    <mergeCell ref="P516:Q516"/>
    <mergeCell ref="R516:S516"/>
    <mergeCell ref="T516:U516"/>
    <mergeCell ref="V516:W516"/>
    <mergeCell ref="X516:AA516"/>
    <mergeCell ref="AB516:AE516"/>
    <mergeCell ref="AJ516:AK516"/>
    <mergeCell ref="AL516:AM516"/>
    <mergeCell ref="AN516:AO516"/>
    <mergeCell ref="AP516:AQ516"/>
    <mergeCell ref="AR516:AS516"/>
    <mergeCell ref="AT516:AU516"/>
    <mergeCell ref="AX516:AZ516"/>
    <mergeCell ref="AT514:AU514"/>
    <mergeCell ref="AX514:AZ514"/>
    <mergeCell ref="BA514:BB514"/>
    <mergeCell ref="BD514:BE514"/>
    <mergeCell ref="BF514:BI514"/>
    <mergeCell ref="BJ514:BM514"/>
    <mergeCell ref="BN514:BV514"/>
    <mergeCell ref="B515:C515"/>
    <mergeCell ref="D515:E515"/>
    <mergeCell ref="F515:G515"/>
    <mergeCell ref="H515:I515"/>
    <mergeCell ref="L515:M515"/>
    <mergeCell ref="P515:Q515"/>
    <mergeCell ref="R515:S515"/>
    <mergeCell ref="T515:U515"/>
    <mergeCell ref="V515:W515"/>
    <mergeCell ref="X515:AA515"/>
    <mergeCell ref="AB515:AE515"/>
    <mergeCell ref="AJ515:AK515"/>
    <mergeCell ref="AL515:AM515"/>
    <mergeCell ref="AN515:AO515"/>
    <mergeCell ref="AP515:AQ515"/>
    <mergeCell ref="AR515:AS515"/>
    <mergeCell ref="AT515:AU515"/>
    <mergeCell ref="AV515:AW515"/>
    <mergeCell ref="AV516:AW516"/>
    <mergeCell ref="AH514:AI514"/>
    <mergeCell ref="AH515:AI515"/>
    <mergeCell ref="AF515:AG515"/>
    <mergeCell ref="AF516:AG516"/>
    <mergeCell ref="BD517:BE517"/>
    <mergeCell ref="BF517:BI517"/>
    <mergeCell ref="BJ517:BM517"/>
    <mergeCell ref="BN517:BV517"/>
    <mergeCell ref="B518:C518"/>
    <mergeCell ref="D518:E518"/>
    <mergeCell ref="F518:G518"/>
    <mergeCell ref="H518:I518"/>
    <mergeCell ref="P518:Q518"/>
    <mergeCell ref="R518:S518"/>
    <mergeCell ref="T518:U518"/>
    <mergeCell ref="V518:W518"/>
    <mergeCell ref="X518:AA518"/>
    <mergeCell ref="AB518:AE518"/>
    <mergeCell ref="AJ518:AK518"/>
    <mergeCell ref="AL518:AM518"/>
    <mergeCell ref="AN518:AO518"/>
    <mergeCell ref="AP518:AQ518"/>
    <mergeCell ref="AR518:AS518"/>
    <mergeCell ref="AT518:AU518"/>
    <mergeCell ref="AX518:AZ518"/>
    <mergeCell ref="BA518:BB518"/>
    <mergeCell ref="BD518:BE518"/>
    <mergeCell ref="BA516:BB516"/>
    <mergeCell ref="BD516:BE516"/>
    <mergeCell ref="BF516:BI516"/>
    <mergeCell ref="BJ516:BM516"/>
    <mergeCell ref="BN516:BV516"/>
    <mergeCell ref="B517:C517"/>
    <mergeCell ref="D517:E517"/>
    <mergeCell ref="F517:G517"/>
    <mergeCell ref="H517:I517"/>
    <mergeCell ref="L517:M517"/>
    <mergeCell ref="P517:Q517"/>
    <mergeCell ref="R517:S517"/>
    <mergeCell ref="T517:U517"/>
    <mergeCell ref="V517:W517"/>
    <mergeCell ref="X517:AA517"/>
    <mergeCell ref="AB517:AE517"/>
    <mergeCell ref="AJ517:AK517"/>
    <mergeCell ref="AL517:AM517"/>
    <mergeCell ref="AN517:AO517"/>
    <mergeCell ref="AP517:AQ517"/>
    <mergeCell ref="AR517:AS517"/>
    <mergeCell ref="AT517:AU517"/>
    <mergeCell ref="AX517:AZ517"/>
    <mergeCell ref="BA517:BB517"/>
    <mergeCell ref="AV517:AW517"/>
    <mergeCell ref="AV518:AW518"/>
    <mergeCell ref="AH516:AI516"/>
    <mergeCell ref="AH517:AI517"/>
    <mergeCell ref="AF517:AG517"/>
    <mergeCell ref="AF518:AG518"/>
    <mergeCell ref="BJ519:BM519"/>
    <mergeCell ref="BN519:BV519"/>
    <mergeCell ref="B520:C520"/>
    <mergeCell ref="D520:E520"/>
    <mergeCell ref="F520:G520"/>
    <mergeCell ref="H520:I520"/>
    <mergeCell ref="P520:Q520"/>
    <mergeCell ref="R520:S520"/>
    <mergeCell ref="T520:U520"/>
    <mergeCell ref="V520:W520"/>
    <mergeCell ref="X520:AA520"/>
    <mergeCell ref="AB520:AE520"/>
    <mergeCell ref="AJ520:AK520"/>
    <mergeCell ref="AL520:AM520"/>
    <mergeCell ref="AN520:AO520"/>
    <mergeCell ref="AP520:AQ520"/>
    <mergeCell ref="AR520:AS520"/>
    <mergeCell ref="AT520:AU520"/>
    <mergeCell ref="AX520:AZ520"/>
    <mergeCell ref="BA520:BB520"/>
    <mergeCell ref="BD520:BE520"/>
    <mergeCell ref="BF520:BI520"/>
    <mergeCell ref="BJ520:BM520"/>
    <mergeCell ref="BF518:BI518"/>
    <mergeCell ref="BJ518:BM518"/>
    <mergeCell ref="BN518:BV518"/>
    <mergeCell ref="B519:C519"/>
    <mergeCell ref="D519:E519"/>
    <mergeCell ref="F519:G519"/>
    <mergeCell ref="H519:I519"/>
    <mergeCell ref="L519:M519"/>
    <mergeCell ref="P519:Q519"/>
    <mergeCell ref="R519:S519"/>
    <mergeCell ref="T519:U519"/>
    <mergeCell ref="V519:W519"/>
    <mergeCell ref="X519:AA519"/>
    <mergeCell ref="AB519:AE519"/>
    <mergeCell ref="AJ519:AK519"/>
    <mergeCell ref="AL519:AM519"/>
    <mergeCell ref="AN519:AO519"/>
    <mergeCell ref="AP519:AQ519"/>
    <mergeCell ref="AR519:AS519"/>
    <mergeCell ref="AT519:AU519"/>
    <mergeCell ref="AX519:AZ519"/>
    <mergeCell ref="BA519:BB519"/>
    <mergeCell ref="BD519:BE519"/>
    <mergeCell ref="BF519:BI519"/>
    <mergeCell ref="AV519:AW519"/>
    <mergeCell ref="AV520:AW520"/>
    <mergeCell ref="AH518:AI518"/>
    <mergeCell ref="AH519:AI519"/>
    <mergeCell ref="AF519:AG519"/>
    <mergeCell ref="AF520:AG520"/>
    <mergeCell ref="BN521:BV521"/>
    <mergeCell ref="B522:C522"/>
    <mergeCell ref="D522:E522"/>
    <mergeCell ref="F522:G522"/>
    <mergeCell ref="H522:I522"/>
    <mergeCell ref="P522:Q522"/>
    <mergeCell ref="R522:S522"/>
    <mergeCell ref="T522:U522"/>
    <mergeCell ref="V522:W522"/>
    <mergeCell ref="X522:AA522"/>
    <mergeCell ref="AB522:AE522"/>
    <mergeCell ref="AJ522:AK522"/>
    <mergeCell ref="AL522:AM522"/>
    <mergeCell ref="AN522:AO522"/>
    <mergeCell ref="AP522:AQ522"/>
    <mergeCell ref="AR522:AS522"/>
    <mergeCell ref="AT522:AU522"/>
    <mergeCell ref="AX522:AZ522"/>
    <mergeCell ref="BA522:BB522"/>
    <mergeCell ref="BD522:BE522"/>
    <mergeCell ref="BF522:BI522"/>
    <mergeCell ref="BJ522:BM522"/>
    <mergeCell ref="BN520:BV520"/>
    <mergeCell ref="B521:C521"/>
    <mergeCell ref="D521:E521"/>
    <mergeCell ref="F521:G521"/>
    <mergeCell ref="H521:I521"/>
    <mergeCell ref="L521:M521"/>
    <mergeCell ref="P521:Q521"/>
    <mergeCell ref="R521:S521"/>
    <mergeCell ref="T521:U521"/>
    <mergeCell ref="V521:W521"/>
    <mergeCell ref="X521:AA521"/>
    <mergeCell ref="AB521:AE521"/>
    <mergeCell ref="AJ521:AK521"/>
    <mergeCell ref="AL521:AM521"/>
    <mergeCell ref="AN521:AO521"/>
    <mergeCell ref="AP521:AQ521"/>
    <mergeCell ref="AR521:AS521"/>
    <mergeCell ref="AT521:AU521"/>
    <mergeCell ref="AX521:AZ521"/>
    <mergeCell ref="BA521:BB521"/>
    <mergeCell ref="BD521:BE521"/>
    <mergeCell ref="BF521:BI521"/>
    <mergeCell ref="BJ521:BM521"/>
    <mergeCell ref="AV521:AW521"/>
    <mergeCell ref="AV522:AW522"/>
    <mergeCell ref="AH520:AI520"/>
    <mergeCell ref="AH521:AI521"/>
    <mergeCell ref="AF521:AG521"/>
    <mergeCell ref="AF522:AG522"/>
    <mergeCell ref="BN523:BV523"/>
    <mergeCell ref="B524:C524"/>
    <mergeCell ref="D524:E524"/>
    <mergeCell ref="F524:G524"/>
    <mergeCell ref="H524:I524"/>
    <mergeCell ref="P524:Q524"/>
    <mergeCell ref="R524:S524"/>
    <mergeCell ref="T524:U524"/>
    <mergeCell ref="V524:W524"/>
    <mergeCell ref="X524:AA524"/>
    <mergeCell ref="AB524:AE524"/>
    <mergeCell ref="AJ524:AK524"/>
    <mergeCell ref="AL524:AM524"/>
    <mergeCell ref="AN524:AO524"/>
    <mergeCell ref="AP524:AQ524"/>
    <mergeCell ref="AR524:AS524"/>
    <mergeCell ref="AT524:AU524"/>
    <mergeCell ref="AX524:AZ524"/>
    <mergeCell ref="BA524:BB524"/>
    <mergeCell ref="BD524:BE524"/>
    <mergeCell ref="BF524:BI524"/>
    <mergeCell ref="BJ524:BM524"/>
    <mergeCell ref="BN524:BV524"/>
    <mergeCell ref="BN522:BV522"/>
    <mergeCell ref="B523:C523"/>
    <mergeCell ref="D523:E523"/>
    <mergeCell ref="F523:G523"/>
    <mergeCell ref="H523:I523"/>
    <mergeCell ref="L523:M523"/>
    <mergeCell ref="P523:Q523"/>
    <mergeCell ref="R523:S523"/>
    <mergeCell ref="T523:U523"/>
    <mergeCell ref="V523:W523"/>
    <mergeCell ref="X523:AA523"/>
    <mergeCell ref="AB523:AE523"/>
    <mergeCell ref="AJ523:AK523"/>
    <mergeCell ref="AL523:AM523"/>
    <mergeCell ref="AN523:AO523"/>
    <mergeCell ref="AP523:AQ523"/>
    <mergeCell ref="AR523:AS523"/>
    <mergeCell ref="AT523:AU523"/>
    <mergeCell ref="AX523:AZ523"/>
    <mergeCell ref="BA523:BB523"/>
    <mergeCell ref="BD523:BE523"/>
    <mergeCell ref="BF523:BI523"/>
    <mergeCell ref="BJ523:BM523"/>
    <mergeCell ref="AV523:AW523"/>
    <mergeCell ref="AV524:AW524"/>
    <mergeCell ref="AH522:AI522"/>
    <mergeCell ref="AH523:AI523"/>
    <mergeCell ref="AH524:AI524"/>
    <mergeCell ref="AF523:AG523"/>
    <mergeCell ref="AF524:AG524"/>
    <mergeCell ref="AN526:AO526"/>
    <mergeCell ref="AP526:AQ526"/>
    <mergeCell ref="AR526:AS526"/>
    <mergeCell ref="AT526:AU526"/>
    <mergeCell ref="AX526:AZ526"/>
    <mergeCell ref="BA526:BB526"/>
    <mergeCell ref="BD526:BE526"/>
    <mergeCell ref="BF526:BI526"/>
    <mergeCell ref="BJ526:BM526"/>
    <mergeCell ref="BN526:BV526"/>
    <mergeCell ref="B527:C527"/>
    <mergeCell ref="D527:E527"/>
    <mergeCell ref="F527:G527"/>
    <mergeCell ref="H527:I527"/>
    <mergeCell ref="L527:M527"/>
    <mergeCell ref="P527:Q527"/>
    <mergeCell ref="R527:S527"/>
    <mergeCell ref="T527:U527"/>
    <mergeCell ref="V527:W527"/>
    <mergeCell ref="X527:AA527"/>
    <mergeCell ref="AB527:AE527"/>
    <mergeCell ref="AJ527:AK527"/>
    <mergeCell ref="AL527:AM527"/>
    <mergeCell ref="AN527:AO527"/>
    <mergeCell ref="AL525:AM525"/>
    <mergeCell ref="AN525:AO525"/>
    <mergeCell ref="AP525:AQ525"/>
    <mergeCell ref="AR525:AS525"/>
    <mergeCell ref="AT525:AU525"/>
    <mergeCell ref="AX525:AZ525"/>
    <mergeCell ref="BA525:BB525"/>
    <mergeCell ref="BD525:BE525"/>
    <mergeCell ref="BF525:BI525"/>
    <mergeCell ref="BJ525:BM525"/>
    <mergeCell ref="BN525:BV525"/>
    <mergeCell ref="B526:C526"/>
    <mergeCell ref="D526:E526"/>
    <mergeCell ref="F526:G526"/>
    <mergeCell ref="H526:I526"/>
    <mergeCell ref="P526:Q526"/>
    <mergeCell ref="R526:S526"/>
    <mergeCell ref="T526:U526"/>
    <mergeCell ref="V526:W526"/>
    <mergeCell ref="X526:AA526"/>
    <mergeCell ref="AB526:AE526"/>
    <mergeCell ref="AJ526:AK526"/>
    <mergeCell ref="AL526:AM526"/>
    <mergeCell ref="B525:C525"/>
    <mergeCell ref="D525:E525"/>
    <mergeCell ref="F525:G525"/>
    <mergeCell ref="H525:I525"/>
    <mergeCell ref="L525:M525"/>
    <mergeCell ref="P525:Q525"/>
    <mergeCell ref="R525:S525"/>
    <mergeCell ref="T525:U525"/>
    <mergeCell ref="V525:W525"/>
    <mergeCell ref="X525:AA525"/>
    <mergeCell ref="AB525:AE525"/>
    <mergeCell ref="AJ525:AK525"/>
    <mergeCell ref="AV525:AW525"/>
    <mergeCell ref="AV526:AW526"/>
    <mergeCell ref="AV527:AW527"/>
    <mergeCell ref="AH525:AI525"/>
    <mergeCell ref="AF525:AG525"/>
    <mergeCell ref="AR528:AS528"/>
    <mergeCell ref="AT528:AU528"/>
    <mergeCell ref="AX528:AZ528"/>
    <mergeCell ref="BA528:BB528"/>
    <mergeCell ref="BD528:BE528"/>
    <mergeCell ref="BF528:BI528"/>
    <mergeCell ref="BJ528:BM528"/>
    <mergeCell ref="BN528:BV528"/>
    <mergeCell ref="B529:C529"/>
    <mergeCell ref="D529:E529"/>
    <mergeCell ref="F529:G529"/>
    <mergeCell ref="H529:I529"/>
    <mergeCell ref="L529:M529"/>
    <mergeCell ref="P529:Q529"/>
    <mergeCell ref="R529:S529"/>
    <mergeCell ref="T529:U529"/>
    <mergeCell ref="V529:W529"/>
    <mergeCell ref="X529:AA529"/>
    <mergeCell ref="AB529:AE529"/>
    <mergeCell ref="AJ529:AK529"/>
    <mergeCell ref="AL529:AM529"/>
    <mergeCell ref="AN529:AO529"/>
    <mergeCell ref="AP529:AQ529"/>
    <mergeCell ref="AR529:AS529"/>
    <mergeCell ref="AP527:AQ527"/>
    <mergeCell ref="AR527:AS527"/>
    <mergeCell ref="AT527:AU527"/>
    <mergeCell ref="AX527:AZ527"/>
    <mergeCell ref="BA527:BB527"/>
    <mergeCell ref="BD527:BE527"/>
    <mergeCell ref="BF527:BI527"/>
    <mergeCell ref="BJ527:BM527"/>
    <mergeCell ref="BN527:BV527"/>
    <mergeCell ref="B528:C528"/>
    <mergeCell ref="D528:E528"/>
    <mergeCell ref="F528:G528"/>
    <mergeCell ref="H528:I528"/>
    <mergeCell ref="P528:Q528"/>
    <mergeCell ref="R528:S528"/>
    <mergeCell ref="T528:U528"/>
    <mergeCell ref="V528:W528"/>
    <mergeCell ref="X528:AA528"/>
    <mergeCell ref="AB528:AE528"/>
    <mergeCell ref="AJ528:AK528"/>
    <mergeCell ref="AL528:AM528"/>
    <mergeCell ref="AN528:AO528"/>
    <mergeCell ref="AP528:AQ528"/>
    <mergeCell ref="AV528:AW528"/>
    <mergeCell ref="AV529:AW529"/>
    <mergeCell ref="AF529:AG529"/>
    <mergeCell ref="AX530:AZ530"/>
    <mergeCell ref="BA530:BB530"/>
    <mergeCell ref="BD530:BE530"/>
    <mergeCell ref="BF530:BI530"/>
    <mergeCell ref="BJ530:BM530"/>
    <mergeCell ref="BN530:BV530"/>
    <mergeCell ref="B531:C531"/>
    <mergeCell ref="D531:E531"/>
    <mergeCell ref="F531:G531"/>
    <mergeCell ref="H531:I531"/>
    <mergeCell ref="L531:M531"/>
    <mergeCell ref="P531:Q531"/>
    <mergeCell ref="R531:S531"/>
    <mergeCell ref="T531:U531"/>
    <mergeCell ref="V531:W531"/>
    <mergeCell ref="X531:AA531"/>
    <mergeCell ref="AB531:AE531"/>
    <mergeCell ref="AJ531:AK531"/>
    <mergeCell ref="AL531:AM531"/>
    <mergeCell ref="AN531:AO531"/>
    <mergeCell ref="AP531:AQ531"/>
    <mergeCell ref="AR531:AS531"/>
    <mergeCell ref="AT531:AU531"/>
    <mergeCell ref="AX531:AZ531"/>
    <mergeCell ref="AT529:AU529"/>
    <mergeCell ref="AX529:AZ529"/>
    <mergeCell ref="BA529:BB529"/>
    <mergeCell ref="BD529:BE529"/>
    <mergeCell ref="BF529:BI529"/>
    <mergeCell ref="BJ529:BM529"/>
    <mergeCell ref="BN529:BV529"/>
    <mergeCell ref="B530:C530"/>
    <mergeCell ref="D530:E530"/>
    <mergeCell ref="F530:G530"/>
    <mergeCell ref="H530:I530"/>
    <mergeCell ref="P530:Q530"/>
    <mergeCell ref="R530:S530"/>
    <mergeCell ref="T530:U530"/>
    <mergeCell ref="V530:W530"/>
    <mergeCell ref="X530:AA530"/>
    <mergeCell ref="AB530:AE530"/>
    <mergeCell ref="AJ530:AK530"/>
    <mergeCell ref="AL530:AM530"/>
    <mergeCell ref="AN530:AO530"/>
    <mergeCell ref="AP530:AQ530"/>
    <mergeCell ref="AR530:AS530"/>
    <mergeCell ref="AT530:AU530"/>
    <mergeCell ref="AV530:AW530"/>
    <mergeCell ref="AV531:AW531"/>
    <mergeCell ref="AF530:AG530"/>
    <mergeCell ref="AF531:AG531"/>
    <mergeCell ref="BD532:BE532"/>
    <mergeCell ref="BF532:BI532"/>
    <mergeCell ref="BJ532:BM532"/>
    <mergeCell ref="BN532:BV532"/>
    <mergeCell ref="B533:C533"/>
    <mergeCell ref="D533:E533"/>
    <mergeCell ref="F533:G533"/>
    <mergeCell ref="H533:I533"/>
    <mergeCell ref="L533:M533"/>
    <mergeCell ref="P533:Q533"/>
    <mergeCell ref="R533:S533"/>
    <mergeCell ref="T533:U533"/>
    <mergeCell ref="V533:W533"/>
    <mergeCell ref="X533:AA533"/>
    <mergeCell ref="AB533:AE533"/>
    <mergeCell ref="AJ533:AK533"/>
    <mergeCell ref="AL533:AM533"/>
    <mergeCell ref="AN533:AO533"/>
    <mergeCell ref="AP533:AQ533"/>
    <mergeCell ref="AR533:AS533"/>
    <mergeCell ref="AT533:AU533"/>
    <mergeCell ref="AX533:AZ533"/>
    <mergeCell ref="BA533:BB533"/>
    <mergeCell ref="BD533:BE533"/>
    <mergeCell ref="BA531:BB531"/>
    <mergeCell ref="BD531:BE531"/>
    <mergeCell ref="BF531:BI531"/>
    <mergeCell ref="BJ531:BM531"/>
    <mergeCell ref="BN531:BV531"/>
    <mergeCell ref="B532:C532"/>
    <mergeCell ref="D532:E532"/>
    <mergeCell ref="F532:G532"/>
    <mergeCell ref="H532:I532"/>
    <mergeCell ref="P532:Q532"/>
    <mergeCell ref="R532:S532"/>
    <mergeCell ref="T532:U532"/>
    <mergeCell ref="V532:W532"/>
    <mergeCell ref="X532:AA532"/>
    <mergeCell ref="AB532:AE532"/>
    <mergeCell ref="AJ532:AK532"/>
    <mergeCell ref="AL532:AM532"/>
    <mergeCell ref="AN532:AO532"/>
    <mergeCell ref="AP532:AQ532"/>
    <mergeCell ref="AR532:AS532"/>
    <mergeCell ref="AT532:AU532"/>
    <mergeCell ref="AX532:AZ532"/>
    <mergeCell ref="BA532:BB532"/>
    <mergeCell ref="AV532:AW532"/>
    <mergeCell ref="AV533:AW533"/>
    <mergeCell ref="AF532:AG532"/>
    <mergeCell ref="AF533:AG533"/>
    <mergeCell ref="BJ534:BM534"/>
    <mergeCell ref="BN534:BV534"/>
    <mergeCell ref="B535:C535"/>
    <mergeCell ref="D535:E535"/>
    <mergeCell ref="F535:G535"/>
    <mergeCell ref="H535:I535"/>
    <mergeCell ref="L535:M535"/>
    <mergeCell ref="P535:Q535"/>
    <mergeCell ref="R535:S535"/>
    <mergeCell ref="T535:U535"/>
    <mergeCell ref="V535:W535"/>
    <mergeCell ref="X535:AA535"/>
    <mergeCell ref="AB535:AE535"/>
    <mergeCell ref="AJ535:AK535"/>
    <mergeCell ref="AL535:AM535"/>
    <mergeCell ref="AN535:AO535"/>
    <mergeCell ref="AP535:AQ535"/>
    <mergeCell ref="AR535:AS535"/>
    <mergeCell ref="AT535:AU535"/>
    <mergeCell ref="AX535:AZ535"/>
    <mergeCell ref="BA535:BB535"/>
    <mergeCell ref="BD535:BE535"/>
    <mergeCell ref="BF535:BI535"/>
    <mergeCell ref="BJ535:BM535"/>
    <mergeCell ref="BF533:BI533"/>
    <mergeCell ref="BJ533:BM533"/>
    <mergeCell ref="BN533:BV533"/>
    <mergeCell ref="B534:C534"/>
    <mergeCell ref="D534:E534"/>
    <mergeCell ref="F534:G534"/>
    <mergeCell ref="H534:I534"/>
    <mergeCell ref="P534:Q534"/>
    <mergeCell ref="R534:S534"/>
    <mergeCell ref="T534:U534"/>
    <mergeCell ref="V534:W534"/>
    <mergeCell ref="X534:AA534"/>
    <mergeCell ref="AB534:AE534"/>
    <mergeCell ref="AJ534:AK534"/>
    <mergeCell ref="AL534:AM534"/>
    <mergeCell ref="AN534:AO534"/>
    <mergeCell ref="AP534:AQ534"/>
    <mergeCell ref="AR534:AS534"/>
    <mergeCell ref="AT534:AU534"/>
    <mergeCell ref="AX534:AZ534"/>
    <mergeCell ref="BA534:BB534"/>
    <mergeCell ref="BD534:BE534"/>
    <mergeCell ref="BF534:BI534"/>
    <mergeCell ref="AV534:AW534"/>
    <mergeCell ref="AV535:AW535"/>
    <mergeCell ref="AF534:AG534"/>
    <mergeCell ref="AF535:AG535"/>
    <mergeCell ref="BN536:BV536"/>
    <mergeCell ref="B537:C537"/>
    <mergeCell ref="D537:E537"/>
    <mergeCell ref="F537:G537"/>
    <mergeCell ref="H537:I537"/>
    <mergeCell ref="L537:M537"/>
    <mergeCell ref="P537:Q537"/>
    <mergeCell ref="R537:S537"/>
    <mergeCell ref="T537:U537"/>
    <mergeCell ref="V537:W537"/>
    <mergeCell ref="X537:AA537"/>
    <mergeCell ref="AB537:AE537"/>
    <mergeCell ref="AJ537:AK537"/>
    <mergeCell ref="AL537:AM537"/>
    <mergeCell ref="AN537:AO537"/>
    <mergeCell ref="AP537:AQ537"/>
    <mergeCell ref="AR537:AS537"/>
    <mergeCell ref="AT537:AU537"/>
    <mergeCell ref="AX537:AZ537"/>
    <mergeCell ref="BA537:BB537"/>
    <mergeCell ref="BD537:BE537"/>
    <mergeCell ref="BF537:BI537"/>
    <mergeCell ref="BJ537:BM537"/>
    <mergeCell ref="BN535:BV535"/>
    <mergeCell ref="B536:C536"/>
    <mergeCell ref="D536:E536"/>
    <mergeCell ref="F536:G536"/>
    <mergeCell ref="H536:I536"/>
    <mergeCell ref="P536:Q536"/>
    <mergeCell ref="R536:S536"/>
    <mergeCell ref="T536:U536"/>
    <mergeCell ref="V536:W536"/>
    <mergeCell ref="X536:AA536"/>
    <mergeCell ref="AB536:AE536"/>
    <mergeCell ref="AJ536:AK536"/>
    <mergeCell ref="AL536:AM536"/>
    <mergeCell ref="AN536:AO536"/>
    <mergeCell ref="AP536:AQ536"/>
    <mergeCell ref="AR536:AS536"/>
    <mergeCell ref="AT536:AU536"/>
    <mergeCell ref="AX536:AZ536"/>
    <mergeCell ref="BA536:BB536"/>
    <mergeCell ref="BD536:BE536"/>
    <mergeCell ref="BF536:BI536"/>
    <mergeCell ref="BJ536:BM536"/>
    <mergeCell ref="AV536:AW536"/>
    <mergeCell ref="AV537:AW537"/>
    <mergeCell ref="AF536:AG536"/>
    <mergeCell ref="AF537:AG537"/>
    <mergeCell ref="BN538:BV538"/>
    <mergeCell ref="B539:C539"/>
    <mergeCell ref="D539:E539"/>
    <mergeCell ref="F539:G539"/>
    <mergeCell ref="H539:I539"/>
    <mergeCell ref="L539:M539"/>
    <mergeCell ref="P539:Q539"/>
    <mergeCell ref="R539:S539"/>
    <mergeCell ref="T539:U539"/>
    <mergeCell ref="V539:W539"/>
    <mergeCell ref="X539:AA539"/>
    <mergeCell ref="AB539:AE539"/>
    <mergeCell ref="AJ539:AK539"/>
    <mergeCell ref="AL539:AM539"/>
    <mergeCell ref="AN539:AO539"/>
    <mergeCell ref="AP539:AQ539"/>
    <mergeCell ref="AR539:AS539"/>
    <mergeCell ref="AT539:AU539"/>
    <mergeCell ref="AX539:AZ539"/>
    <mergeCell ref="BA539:BB539"/>
    <mergeCell ref="BD539:BE539"/>
    <mergeCell ref="BF539:BI539"/>
    <mergeCell ref="BJ539:BM539"/>
    <mergeCell ref="BN539:BV539"/>
    <mergeCell ref="AV539:AW539"/>
    <mergeCell ref="AV540:AW540"/>
    <mergeCell ref="BN537:BV537"/>
    <mergeCell ref="B538:C538"/>
    <mergeCell ref="D538:E538"/>
    <mergeCell ref="F538:G538"/>
    <mergeCell ref="H538:I538"/>
    <mergeCell ref="P538:Q538"/>
    <mergeCell ref="R538:S538"/>
    <mergeCell ref="T538:U538"/>
    <mergeCell ref="V538:W538"/>
    <mergeCell ref="X538:AA538"/>
    <mergeCell ref="AB538:AE538"/>
    <mergeCell ref="AJ538:AK538"/>
    <mergeCell ref="AL538:AM538"/>
    <mergeCell ref="AN538:AO538"/>
    <mergeCell ref="AP538:AQ538"/>
    <mergeCell ref="AR538:AS538"/>
    <mergeCell ref="AT538:AU538"/>
    <mergeCell ref="AX538:AZ538"/>
    <mergeCell ref="BA538:BB538"/>
    <mergeCell ref="BD538:BE538"/>
    <mergeCell ref="BF538:BI538"/>
    <mergeCell ref="BJ538:BM538"/>
    <mergeCell ref="AV538:AW538"/>
    <mergeCell ref="AF538:AG538"/>
    <mergeCell ref="AF539:AG539"/>
    <mergeCell ref="AF540:AG540"/>
    <mergeCell ref="AN541:AO541"/>
    <mergeCell ref="AP541:AQ541"/>
    <mergeCell ref="AR541:AS541"/>
    <mergeCell ref="AT541:AU541"/>
    <mergeCell ref="AX541:AZ541"/>
    <mergeCell ref="BA541:BB541"/>
    <mergeCell ref="BD541:BE541"/>
    <mergeCell ref="BF541:BI541"/>
    <mergeCell ref="BJ541:BM541"/>
    <mergeCell ref="BN541:BV541"/>
    <mergeCell ref="B542:C542"/>
    <mergeCell ref="D542:E542"/>
    <mergeCell ref="F542:G542"/>
    <mergeCell ref="H542:I542"/>
    <mergeCell ref="P542:Q542"/>
    <mergeCell ref="R542:S542"/>
    <mergeCell ref="T542:U542"/>
    <mergeCell ref="V542:W542"/>
    <mergeCell ref="X542:AA542"/>
    <mergeCell ref="AB542:AE542"/>
    <mergeCell ref="AJ542:AK542"/>
    <mergeCell ref="AL542:AM542"/>
    <mergeCell ref="AN542:AO542"/>
    <mergeCell ref="AL540:AM540"/>
    <mergeCell ref="AN540:AO540"/>
    <mergeCell ref="AP540:AQ540"/>
    <mergeCell ref="AR540:AS540"/>
    <mergeCell ref="AT540:AU540"/>
    <mergeCell ref="AX540:AZ540"/>
    <mergeCell ref="BA540:BB540"/>
    <mergeCell ref="BD540:BE540"/>
    <mergeCell ref="BF540:BI540"/>
    <mergeCell ref="BJ540:BM540"/>
    <mergeCell ref="BN540:BV540"/>
    <mergeCell ref="B541:C541"/>
    <mergeCell ref="D541:E541"/>
    <mergeCell ref="F541:G541"/>
    <mergeCell ref="H541:I541"/>
    <mergeCell ref="L541:M541"/>
    <mergeCell ref="P541:Q541"/>
    <mergeCell ref="R541:S541"/>
    <mergeCell ref="T541:U541"/>
    <mergeCell ref="V541:W541"/>
    <mergeCell ref="X541:AA541"/>
    <mergeCell ref="AB541:AE541"/>
    <mergeCell ref="AJ541:AK541"/>
    <mergeCell ref="AL541:AM541"/>
    <mergeCell ref="B540:C540"/>
    <mergeCell ref="D540:E540"/>
    <mergeCell ref="F540:G540"/>
    <mergeCell ref="H540:I540"/>
    <mergeCell ref="P540:Q540"/>
    <mergeCell ref="R540:S540"/>
    <mergeCell ref="T540:U540"/>
    <mergeCell ref="V540:W540"/>
    <mergeCell ref="X540:AA540"/>
    <mergeCell ref="AB540:AE540"/>
    <mergeCell ref="AJ540:AK540"/>
    <mergeCell ref="AV541:AW541"/>
    <mergeCell ref="AV542:AW542"/>
    <mergeCell ref="AF541:AG541"/>
    <mergeCell ref="AF542:AG542"/>
    <mergeCell ref="AH540:AI540"/>
    <mergeCell ref="AH541:AI541"/>
    <mergeCell ref="AR543:AS543"/>
    <mergeCell ref="AT543:AU543"/>
    <mergeCell ref="AX543:AZ543"/>
    <mergeCell ref="BA543:BB543"/>
    <mergeCell ref="BD543:BE543"/>
    <mergeCell ref="BF543:BI543"/>
    <mergeCell ref="BJ543:BM543"/>
    <mergeCell ref="BN543:BV543"/>
    <mergeCell ref="B544:C544"/>
    <mergeCell ref="D544:E544"/>
    <mergeCell ref="F544:G544"/>
    <mergeCell ref="H544:I544"/>
    <mergeCell ref="P544:Q544"/>
    <mergeCell ref="R544:S544"/>
    <mergeCell ref="T544:U544"/>
    <mergeCell ref="V544:W544"/>
    <mergeCell ref="X544:AA544"/>
    <mergeCell ref="AB544:AE544"/>
    <mergeCell ref="AJ544:AK544"/>
    <mergeCell ref="AL544:AM544"/>
    <mergeCell ref="AN544:AO544"/>
    <mergeCell ref="AP544:AQ544"/>
    <mergeCell ref="AR544:AS544"/>
    <mergeCell ref="AP542:AQ542"/>
    <mergeCell ref="AR542:AS542"/>
    <mergeCell ref="AT542:AU542"/>
    <mergeCell ref="AX542:AZ542"/>
    <mergeCell ref="BA542:BB542"/>
    <mergeCell ref="BD542:BE542"/>
    <mergeCell ref="BF542:BI542"/>
    <mergeCell ref="BJ542:BM542"/>
    <mergeCell ref="BN542:BV542"/>
    <mergeCell ref="B543:C543"/>
    <mergeCell ref="D543:E543"/>
    <mergeCell ref="F543:G543"/>
    <mergeCell ref="H543:I543"/>
    <mergeCell ref="L543:M543"/>
    <mergeCell ref="P543:Q543"/>
    <mergeCell ref="R543:S543"/>
    <mergeCell ref="T543:U543"/>
    <mergeCell ref="V543:W543"/>
    <mergeCell ref="X543:AA543"/>
    <mergeCell ref="AB543:AE543"/>
    <mergeCell ref="AJ543:AK543"/>
    <mergeCell ref="AL543:AM543"/>
    <mergeCell ref="AN543:AO543"/>
    <mergeCell ref="AP543:AQ543"/>
    <mergeCell ref="AV543:AW543"/>
    <mergeCell ref="AV544:AW544"/>
    <mergeCell ref="AF543:AG543"/>
    <mergeCell ref="AF544:AG544"/>
    <mergeCell ref="AH542:AI542"/>
    <mergeCell ref="AH543:AI543"/>
    <mergeCell ref="AX545:AZ545"/>
    <mergeCell ref="BA545:BB545"/>
    <mergeCell ref="BD545:BE545"/>
    <mergeCell ref="BF545:BI545"/>
    <mergeCell ref="BJ545:BM545"/>
    <mergeCell ref="BN545:BV545"/>
    <mergeCell ref="B546:C546"/>
    <mergeCell ref="D546:E546"/>
    <mergeCell ref="F546:G546"/>
    <mergeCell ref="H546:I546"/>
    <mergeCell ref="P546:Q546"/>
    <mergeCell ref="R546:S546"/>
    <mergeCell ref="T546:U546"/>
    <mergeCell ref="V546:W546"/>
    <mergeCell ref="X546:AA546"/>
    <mergeCell ref="AB546:AE546"/>
    <mergeCell ref="AJ546:AK546"/>
    <mergeCell ref="AL546:AM546"/>
    <mergeCell ref="AN546:AO546"/>
    <mergeCell ref="AP546:AQ546"/>
    <mergeCell ref="AR546:AS546"/>
    <mergeCell ref="AT546:AU546"/>
    <mergeCell ref="AX546:AZ546"/>
    <mergeCell ref="AT544:AU544"/>
    <mergeCell ref="AX544:AZ544"/>
    <mergeCell ref="BA544:BB544"/>
    <mergeCell ref="BD544:BE544"/>
    <mergeCell ref="BF544:BI544"/>
    <mergeCell ref="BJ544:BM544"/>
    <mergeCell ref="BN544:BV544"/>
    <mergeCell ref="B545:C545"/>
    <mergeCell ref="D545:E545"/>
    <mergeCell ref="F545:G545"/>
    <mergeCell ref="H545:I545"/>
    <mergeCell ref="L545:M545"/>
    <mergeCell ref="P545:Q545"/>
    <mergeCell ref="R545:S545"/>
    <mergeCell ref="T545:U545"/>
    <mergeCell ref="V545:W545"/>
    <mergeCell ref="X545:AA545"/>
    <mergeCell ref="AB545:AE545"/>
    <mergeCell ref="AJ545:AK545"/>
    <mergeCell ref="AL545:AM545"/>
    <mergeCell ref="AN545:AO545"/>
    <mergeCell ref="AP545:AQ545"/>
    <mergeCell ref="AR545:AS545"/>
    <mergeCell ref="AT545:AU545"/>
    <mergeCell ref="AV545:AW545"/>
    <mergeCell ref="AV546:AW546"/>
    <mergeCell ref="AF545:AG545"/>
    <mergeCell ref="AF546:AG546"/>
    <mergeCell ref="J545:K545"/>
    <mergeCell ref="AH544:AI544"/>
    <mergeCell ref="AH545:AI545"/>
    <mergeCell ref="BD547:BE547"/>
    <mergeCell ref="BF547:BI547"/>
    <mergeCell ref="BJ547:BM547"/>
    <mergeCell ref="BN547:BV547"/>
    <mergeCell ref="B548:C548"/>
    <mergeCell ref="D548:E548"/>
    <mergeCell ref="F548:G548"/>
    <mergeCell ref="H548:I548"/>
    <mergeCell ref="P548:Q548"/>
    <mergeCell ref="R548:S548"/>
    <mergeCell ref="T548:U548"/>
    <mergeCell ref="V548:W548"/>
    <mergeCell ref="X548:AA548"/>
    <mergeCell ref="AB548:AE548"/>
    <mergeCell ref="AJ548:AK548"/>
    <mergeCell ref="AL548:AM548"/>
    <mergeCell ref="AN548:AO548"/>
    <mergeCell ref="AP548:AQ548"/>
    <mergeCell ref="AR548:AS548"/>
    <mergeCell ref="AT548:AU548"/>
    <mergeCell ref="AX548:AZ548"/>
    <mergeCell ref="BA548:BB548"/>
    <mergeCell ref="BD548:BE548"/>
    <mergeCell ref="BA546:BB546"/>
    <mergeCell ref="BD546:BE546"/>
    <mergeCell ref="BF546:BI546"/>
    <mergeCell ref="BJ546:BM546"/>
    <mergeCell ref="BN546:BV546"/>
    <mergeCell ref="B547:C547"/>
    <mergeCell ref="D547:E547"/>
    <mergeCell ref="F547:G547"/>
    <mergeCell ref="H547:I547"/>
    <mergeCell ref="L547:M547"/>
    <mergeCell ref="P547:Q547"/>
    <mergeCell ref="R547:S547"/>
    <mergeCell ref="T547:U547"/>
    <mergeCell ref="V547:W547"/>
    <mergeCell ref="X547:AA547"/>
    <mergeCell ref="AB547:AE547"/>
    <mergeCell ref="AJ547:AK547"/>
    <mergeCell ref="AL547:AM547"/>
    <mergeCell ref="AN547:AO547"/>
    <mergeCell ref="AP547:AQ547"/>
    <mergeCell ref="AR547:AS547"/>
    <mergeCell ref="AT547:AU547"/>
    <mergeCell ref="AX547:AZ547"/>
    <mergeCell ref="BA547:BB547"/>
    <mergeCell ref="AV547:AW547"/>
    <mergeCell ref="AV548:AW548"/>
    <mergeCell ref="AF547:AG547"/>
    <mergeCell ref="AF548:AG548"/>
    <mergeCell ref="J547:K547"/>
    <mergeCell ref="AH546:AI546"/>
    <mergeCell ref="AH547:AI547"/>
    <mergeCell ref="BJ549:BM549"/>
    <mergeCell ref="BN549:BV549"/>
    <mergeCell ref="B550:C550"/>
    <mergeCell ref="D550:E550"/>
    <mergeCell ref="F550:G550"/>
    <mergeCell ref="H550:I550"/>
    <mergeCell ref="P550:Q550"/>
    <mergeCell ref="R550:S550"/>
    <mergeCell ref="T550:U550"/>
    <mergeCell ref="V550:W550"/>
    <mergeCell ref="X550:AA550"/>
    <mergeCell ref="AB550:AE550"/>
    <mergeCell ref="AJ550:AK550"/>
    <mergeCell ref="AL550:AM550"/>
    <mergeCell ref="AN550:AO550"/>
    <mergeCell ref="AP550:AQ550"/>
    <mergeCell ref="AR550:AS550"/>
    <mergeCell ref="AT550:AU550"/>
    <mergeCell ref="AX550:AZ550"/>
    <mergeCell ref="BA550:BB550"/>
    <mergeCell ref="BD550:BE550"/>
    <mergeCell ref="BF550:BI550"/>
    <mergeCell ref="BJ550:BM550"/>
    <mergeCell ref="BF548:BI548"/>
    <mergeCell ref="BJ548:BM548"/>
    <mergeCell ref="BN548:BV548"/>
    <mergeCell ref="B549:C549"/>
    <mergeCell ref="D549:E549"/>
    <mergeCell ref="F549:G549"/>
    <mergeCell ref="H549:I549"/>
    <mergeCell ref="L549:M549"/>
    <mergeCell ref="P549:Q549"/>
    <mergeCell ref="R549:S549"/>
    <mergeCell ref="T549:U549"/>
    <mergeCell ref="V549:W549"/>
    <mergeCell ref="X549:AA549"/>
    <mergeCell ref="AB549:AE549"/>
    <mergeCell ref="AJ549:AK549"/>
    <mergeCell ref="AL549:AM549"/>
    <mergeCell ref="AN549:AO549"/>
    <mergeCell ref="AP549:AQ549"/>
    <mergeCell ref="AR549:AS549"/>
    <mergeCell ref="AT549:AU549"/>
    <mergeCell ref="AX549:AZ549"/>
    <mergeCell ref="BA549:BB549"/>
    <mergeCell ref="BD549:BE549"/>
    <mergeCell ref="BF549:BI549"/>
    <mergeCell ref="AV549:AW549"/>
    <mergeCell ref="AV550:AW550"/>
    <mergeCell ref="AF549:AG549"/>
    <mergeCell ref="AF550:AG550"/>
    <mergeCell ref="J549:K549"/>
    <mergeCell ref="AH548:AI548"/>
    <mergeCell ref="AH549:AI549"/>
    <mergeCell ref="BN551:BV551"/>
    <mergeCell ref="B552:C552"/>
    <mergeCell ref="D552:E552"/>
    <mergeCell ref="F552:G552"/>
    <mergeCell ref="H552:I552"/>
    <mergeCell ref="P552:Q552"/>
    <mergeCell ref="R552:S552"/>
    <mergeCell ref="T552:U552"/>
    <mergeCell ref="V552:W552"/>
    <mergeCell ref="X552:AA552"/>
    <mergeCell ref="AB552:AE552"/>
    <mergeCell ref="AJ552:AK552"/>
    <mergeCell ref="AL552:AM552"/>
    <mergeCell ref="AN552:AO552"/>
    <mergeCell ref="AP552:AQ552"/>
    <mergeCell ref="AR552:AS552"/>
    <mergeCell ref="AT552:AU552"/>
    <mergeCell ref="AX552:AZ552"/>
    <mergeCell ref="BA552:BB552"/>
    <mergeCell ref="BD552:BE552"/>
    <mergeCell ref="BF552:BI552"/>
    <mergeCell ref="BJ552:BM552"/>
    <mergeCell ref="BN550:BV550"/>
    <mergeCell ref="B551:C551"/>
    <mergeCell ref="D551:E551"/>
    <mergeCell ref="F551:G551"/>
    <mergeCell ref="H551:I551"/>
    <mergeCell ref="L551:M551"/>
    <mergeCell ref="P551:Q551"/>
    <mergeCell ref="R551:S551"/>
    <mergeCell ref="T551:U551"/>
    <mergeCell ref="V551:W551"/>
    <mergeCell ref="X551:AA551"/>
    <mergeCell ref="AB551:AE551"/>
    <mergeCell ref="AJ551:AK551"/>
    <mergeCell ref="AL551:AM551"/>
    <mergeCell ref="AN551:AO551"/>
    <mergeCell ref="AP551:AQ551"/>
    <mergeCell ref="AR551:AS551"/>
    <mergeCell ref="AT551:AU551"/>
    <mergeCell ref="AX551:AZ551"/>
    <mergeCell ref="BA551:BB551"/>
    <mergeCell ref="BD551:BE551"/>
    <mergeCell ref="BF551:BI551"/>
    <mergeCell ref="BJ551:BM551"/>
    <mergeCell ref="AV551:AW551"/>
    <mergeCell ref="AV552:AW552"/>
    <mergeCell ref="AF551:AG551"/>
    <mergeCell ref="AF552:AG552"/>
    <mergeCell ref="J551:K551"/>
    <mergeCell ref="AH550:AI550"/>
    <mergeCell ref="AH551:AI551"/>
    <mergeCell ref="BN553:BV553"/>
    <mergeCell ref="B554:C554"/>
    <mergeCell ref="D554:E554"/>
    <mergeCell ref="F554:G554"/>
    <mergeCell ref="H554:I554"/>
    <mergeCell ref="P554:Q554"/>
    <mergeCell ref="R554:S554"/>
    <mergeCell ref="T554:U554"/>
    <mergeCell ref="V554:W554"/>
    <mergeCell ref="X554:AA554"/>
    <mergeCell ref="AB554:AE554"/>
    <mergeCell ref="AJ554:AK554"/>
    <mergeCell ref="AL554:AM554"/>
    <mergeCell ref="AN554:AO554"/>
    <mergeCell ref="AP554:AQ554"/>
    <mergeCell ref="AR554:AS554"/>
    <mergeCell ref="AT554:AU554"/>
    <mergeCell ref="AX554:AZ554"/>
    <mergeCell ref="BA554:BB554"/>
    <mergeCell ref="BD554:BE554"/>
    <mergeCell ref="BF554:BI554"/>
    <mergeCell ref="BJ554:BM554"/>
    <mergeCell ref="BN554:BV554"/>
    <mergeCell ref="BN552:BV552"/>
    <mergeCell ref="B553:C553"/>
    <mergeCell ref="D553:E553"/>
    <mergeCell ref="F553:G553"/>
    <mergeCell ref="H553:I553"/>
    <mergeCell ref="L553:M553"/>
    <mergeCell ref="P553:Q553"/>
    <mergeCell ref="R553:S553"/>
    <mergeCell ref="T553:U553"/>
    <mergeCell ref="V553:W553"/>
    <mergeCell ref="X553:AA553"/>
    <mergeCell ref="AB553:AE553"/>
    <mergeCell ref="AJ553:AK553"/>
    <mergeCell ref="AL553:AM553"/>
    <mergeCell ref="AN553:AO553"/>
    <mergeCell ref="AP553:AQ553"/>
    <mergeCell ref="AR553:AS553"/>
    <mergeCell ref="AT553:AU553"/>
    <mergeCell ref="AX553:AZ553"/>
    <mergeCell ref="BA553:BB553"/>
    <mergeCell ref="BD553:BE553"/>
    <mergeCell ref="BF553:BI553"/>
    <mergeCell ref="BJ553:BM553"/>
    <mergeCell ref="AV553:AW553"/>
    <mergeCell ref="AV554:AW554"/>
    <mergeCell ref="AF553:AG553"/>
    <mergeCell ref="AF554:AG554"/>
    <mergeCell ref="J553:K553"/>
    <mergeCell ref="AH552:AI552"/>
    <mergeCell ref="AH553:AI553"/>
    <mergeCell ref="AH554:AI554"/>
    <mergeCell ref="AN556:AO556"/>
    <mergeCell ref="AP556:AQ556"/>
    <mergeCell ref="AR556:AS556"/>
    <mergeCell ref="AT556:AU556"/>
    <mergeCell ref="AX556:AZ556"/>
    <mergeCell ref="BA556:BB556"/>
    <mergeCell ref="BD556:BE556"/>
    <mergeCell ref="BF556:BI556"/>
    <mergeCell ref="BJ556:BM556"/>
    <mergeCell ref="BN556:BV556"/>
    <mergeCell ref="B557:C557"/>
    <mergeCell ref="D557:E557"/>
    <mergeCell ref="F557:G557"/>
    <mergeCell ref="H557:I557"/>
    <mergeCell ref="L557:M557"/>
    <mergeCell ref="P557:Q557"/>
    <mergeCell ref="R557:S557"/>
    <mergeCell ref="T557:U557"/>
    <mergeCell ref="V557:W557"/>
    <mergeCell ref="X557:AA557"/>
    <mergeCell ref="AB557:AE557"/>
    <mergeCell ref="AJ557:AK557"/>
    <mergeCell ref="AL557:AM557"/>
    <mergeCell ref="AN557:AO557"/>
    <mergeCell ref="AL555:AM555"/>
    <mergeCell ref="AN555:AO555"/>
    <mergeCell ref="AP555:AQ555"/>
    <mergeCell ref="AR555:AS555"/>
    <mergeCell ref="AT555:AU555"/>
    <mergeCell ref="AX555:AZ555"/>
    <mergeCell ref="BA555:BB555"/>
    <mergeCell ref="BD555:BE555"/>
    <mergeCell ref="BF555:BI555"/>
    <mergeCell ref="BJ555:BM555"/>
    <mergeCell ref="BN555:BV555"/>
    <mergeCell ref="B556:C556"/>
    <mergeCell ref="D556:E556"/>
    <mergeCell ref="F556:G556"/>
    <mergeCell ref="H556:I556"/>
    <mergeCell ref="P556:Q556"/>
    <mergeCell ref="R556:S556"/>
    <mergeCell ref="T556:U556"/>
    <mergeCell ref="V556:W556"/>
    <mergeCell ref="X556:AA556"/>
    <mergeCell ref="AB556:AE556"/>
    <mergeCell ref="AJ556:AK556"/>
    <mergeCell ref="AL556:AM556"/>
    <mergeCell ref="B555:C555"/>
    <mergeCell ref="D555:E555"/>
    <mergeCell ref="F555:G555"/>
    <mergeCell ref="H555:I555"/>
    <mergeCell ref="L555:M555"/>
    <mergeCell ref="P555:Q555"/>
    <mergeCell ref="R555:S555"/>
    <mergeCell ref="T555:U555"/>
    <mergeCell ref="V555:W555"/>
    <mergeCell ref="X555:AA555"/>
    <mergeCell ref="AB555:AE555"/>
    <mergeCell ref="AJ555:AK555"/>
    <mergeCell ref="AV555:AW555"/>
    <mergeCell ref="AV556:AW556"/>
    <mergeCell ref="AV557:AW557"/>
    <mergeCell ref="AF555:AG555"/>
    <mergeCell ref="AH555:AI555"/>
    <mergeCell ref="AR558:AS558"/>
    <mergeCell ref="AT558:AU558"/>
    <mergeCell ref="AX558:AZ558"/>
    <mergeCell ref="BA558:BB558"/>
    <mergeCell ref="BD558:BE558"/>
    <mergeCell ref="BF558:BI558"/>
    <mergeCell ref="BJ558:BM558"/>
    <mergeCell ref="BN558:BV558"/>
    <mergeCell ref="B559:C559"/>
    <mergeCell ref="D559:E559"/>
    <mergeCell ref="F559:G559"/>
    <mergeCell ref="H559:I559"/>
    <mergeCell ref="L559:M559"/>
    <mergeCell ref="P559:Q559"/>
    <mergeCell ref="R559:S559"/>
    <mergeCell ref="T559:U559"/>
    <mergeCell ref="V559:W559"/>
    <mergeCell ref="X559:AA559"/>
    <mergeCell ref="AB559:AE559"/>
    <mergeCell ref="AJ559:AK559"/>
    <mergeCell ref="AL559:AM559"/>
    <mergeCell ref="AN559:AO559"/>
    <mergeCell ref="AP559:AQ559"/>
    <mergeCell ref="AR559:AS559"/>
    <mergeCell ref="AP557:AQ557"/>
    <mergeCell ref="AR557:AS557"/>
    <mergeCell ref="AT557:AU557"/>
    <mergeCell ref="AX557:AZ557"/>
    <mergeCell ref="BA557:BB557"/>
    <mergeCell ref="BD557:BE557"/>
    <mergeCell ref="BF557:BI557"/>
    <mergeCell ref="BJ557:BM557"/>
    <mergeCell ref="BN557:BV557"/>
    <mergeCell ref="B558:C558"/>
    <mergeCell ref="D558:E558"/>
    <mergeCell ref="F558:G558"/>
    <mergeCell ref="H558:I558"/>
    <mergeCell ref="P558:Q558"/>
    <mergeCell ref="R558:S558"/>
    <mergeCell ref="T558:U558"/>
    <mergeCell ref="V558:W558"/>
    <mergeCell ref="X558:AA558"/>
    <mergeCell ref="AB558:AE558"/>
    <mergeCell ref="AJ558:AK558"/>
    <mergeCell ref="AL558:AM558"/>
    <mergeCell ref="AN558:AO558"/>
    <mergeCell ref="AP558:AQ558"/>
    <mergeCell ref="AV558:AW558"/>
    <mergeCell ref="AV559:AW559"/>
    <mergeCell ref="AX560:AZ560"/>
    <mergeCell ref="BA560:BB560"/>
    <mergeCell ref="BD560:BE560"/>
    <mergeCell ref="BF560:BI560"/>
    <mergeCell ref="BJ560:BM560"/>
    <mergeCell ref="BN560:BV560"/>
    <mergeCell ref="B561:C561"/>
    <mergeCell ref="D561:E561"/>
    <mergeCell ref="F561:G561"/>
    <mergeCell ref="H561:I561"/>
    <mergeCell ref="L561:M561"/>
    <mergeCell ref="P561:Q561"/>
    <mergeCell ref="R561:S561"/>
    <mergeCell ref="T561:U561"/>
    <mergeCell ref="V561:W561"/>
    <mergeCell ref="X561:AA561"/>
    <mergeCell ref="AB561:AE561"/>
    <mergeCell ref="AJ561:AK561"/>
    <mergeCell ref="AL561:AM561"/>
    <mergeCell ref="AN561:AO561"/>
    <mergeCell ref="AP561:AQ561"/>
    <mergeCell ref="AR561:AS561"/>
    <mergeCell ref="AT561:AU561"/>
    <mergeCell ref="AX561:AZ561"/>
    <mergeCell ref="AT559:AU559"/>
    <mergeCell ref="AX559:AZ559"/>
    <mergeCell ref="BA559:BB559"/>
    <mergeCell ref="BD559:BE559"/>
    <mergeCell ref="BF559:BI559"/>
    <mergeCell ref="BJ559:BM559"/>
    <mergeCell ref="BN559:BV559"/>
    <mergeCell ref="B560:C560"/>
    <mergeCell ref="D560:E560"/>
    <mergeCell ref="F560:G560"/>
    <mergeCell ref="H560:I560"/>
    <mergeCell ref="P560:Q560"/>
    <mergeCell ref="R560:S560"/>
    <mergeCell ref="T560:U560"/>
    <mergeCell ref="V560:W560"/>
    <mergeCell ref="X560:AA560"/>
    <mergeCell ref="AB560:AE560"/>
    <mergeCell ref="AJ560:AK560"/>
    <mergeCell ref="AL560:AM560"/>
    <mergeCell ref="AN560:AO560"/>
    <mergeCell ref="AP560:AQ560"/>
    <mergeCell ref="AR560:AS560"/>
    <mergeCell ref="AT560:AU560"/>
    <mergeCell ref="AV560:AW560"/>
    <mergeCell ref="AV561:AW561"/>
    <mergeCell ref="AH559:AI559"/>
    <mergeCell ref="AH560:AI560"/>
    <mergeCell ref="BD562:BE562"/>
    <mergeCell ref="BF562:BI562"/>
    <mergeCell ref="BJ562:BM562"/>
    <mergeCell ref="BN562:BV562"/>
    <mergeCell ref="B563:C563"/>
    <mergeCell ref="D563:E563"/>
    <mergeCell ref="F563:G563"/>
    <mergeCell ref="H563:I563"/>
    <mergeCell ref="L563:M563"/>
    <mergeCell ref="P563:Q563"/>
    <mergeCell ref="R563:S563"/>
    <mergeCell ref="T563:U563"/>
    <mergeCell ref="V563:W563"/>
    <mergeCell ref="X563:AA563"/>
    <mergeCell ref="AB563:AE563"/>
    <mergeCell ref="AJ563:AK563"/>
    <mergeCell ref="AL563:AM563"/>
    <mergeCell ref="AN563:AO563"/>
    <mergeCell ref="AP563:AQ563"/>
    <mergeCell ref="AR563:AS563"/>
    <mergeCell ref="AT563:AU563"/>
    <mergeCell ref="AX563:AZ563"/>
    <mergeCell ref="BA563:BB563"/>
    <mergeCell ref="BD563:BE563"/>
    <mergeCell ref="BA561:BB561"/>
    <mergeCell ref="BD561:BE561"/>
    <mergeCell ref="BF561:BI561"/>
    <mergeCell ref="BJ561:BM561"/>
    <mergeCell ref="BN561:BV561"/>
    <mergeCell ref="B562:C562"/>
    <mergeCell ref="D562:E562"/>
    <mergeCell ref="F562:G562"/>
    <mergeCell ref="H562:I562"/>
    <mergeCell ref="P562:Q562"/>
    <mergeCell ref="R562:S562"/>
    <mergeCell ref="T562:U562"/>
    <mergeCell ref="V562:W562"/>
    <mergeCell ref="X562:AA562"/>
    <mergeCell ref="AB562:AE562"/>
    <mergeCell ref="AJ562:AK562"/>
    <mergeCell ref="AL562:AM562"/>
    <mergeCell ref="AN562:AO562"/>
    <mergeCell ref="AP562:AQ562"/>
    <mergeCell ref="AR562:AS562"/>
    <mergeCell ref="AT562:AU562"/>
    <mergeCell ref="AX562:AZ562"/>
    <mergeCell ref="BA562:BB562"/>
    <mergeCell ref="AV562:AW562"/>
    <mergeCell ref="AV563:AW563"/>
    <mergeCell ref="AH561:AI561"/>
    <mergeCell ref="AH562:AI562"/>
    <mergeCell ref="BJ564:BM564"/>
    <mergeCell ref="BN564:BV564"/>
    <mergeCell ref="B565:C565"/>
    <mergeCell ref="D565:E565"/>
    <mergeCell ref="F565:G565"/>
    <mergeCell ref="H565:I565"/>
    <mergeCell ref="L565:M565"/>
    <mergeCell ref="P565:Q565"/>
    <mergeCell ref="R565:S565"/>
    <mergeCell ref="T565:U565"/>
    <mergeCell ref="V565:W565"/>
    <mergeCell ref="X565:AA565"/>
    <mergeCell ref="AB565:AE565"/>
    <mergeCell ref="AJ565:AK565"/>
    <mergeCell ref="AL565:AM565"/>
    <mergeCell ref="AN565:AO565"/>
    <mergeCell ref="AP565:AQ565"/>
    <mergeCell ref="AR565:AS565"/>
    <mergeCell ref="AT565:AU565"/>
    <mergeCell ref="AX565:AZ565"/>
    <mergeCell ref="BA565:BB565"/>
    <mergeCell ref="BD565:BE565"/>
    <mergeCell ref="BF565:BI565"/>
    <mergeCell ref="BJ565:BM565"/>
    <mergeCell ref="BF563:BI563"/>
    <mergeCell ref="BJ563:BM563"/>
    <mergeCell ref="BN563:BV563"/>
    <mergeCell ref="B564:C564"/>
    <mergeCell ref="D564:E564"/>
    <mergeCell ref="F564:G564"/>
    <mergeCell ref="H564:I564"/>
    <mergeCell ref="P564:Q564"/>
    <mergeCell ref="R564:S564"/>
    <mergeCell ref="T564:U564"/>
    <mergeCell ref="V564:W564"/>
    <mergeCell ref="X564:AA564"/>
    <mergeCell ref="AB564:AE564"/>
    <mergeCell ref="AJ564:AK564"/>
    <mergeCell ref="AL564:AM564"/>
    <mergeCell ref="AN564:AO564"/>
    <mergeCell ref="AP564:AQ564"/>
    <mergeCell ref="AR564:AS564"/>
    <mergeCell ref="AT564:AU564"/>
    <mergeCell ref="AX564:AZ564"/>
    <mergeCell ref="BA564:BB564"/>
    <mergeCell ref="BD564:BE564"/>
    <mergeCell ref="BF564:BI564"/>
    <mergeCell ref="AV564:AW564"/>
    <mergeCell ref="AV565:AW565"/>
    <mergeCell ref="AH563:AI563"/>
    <mergeCell ref="AH564:AI564"/>
    <mergeCell ref="BN566:BV566"/>
    <mergeCell ref="B567:C567"/>
    <mergeCell ref="D567:E567"/>
    <mergeCell ref="F567:G567"/>
    <mergeCell ref="H567:I567"/>
    <mergeCell ref="L567:M567"/>
    <mergeCell ref="P567:Q567"/>
    <mergeCell ref="R567:S567"/>
    <mergeCell ref="T567:U567"/>
    <mergeCell ref="V567:W567"/>
    <mergeCell ref="X567:AA567"/>
    <mergeCell ref="AB567:AE567"/>
    <mergeCell ref="AJ567:AK567"/>
    <mergeCell ref="AL567:AM567"/>
    <mergeCell ref="AN567:AO567"/>
    <mergeCell ref="AP567:AQ567"/>
    <mergeCell ref="AR567:AS567"/>
    <mergeCell ref="AT567:AU567"/>
    <mergeCell ref="AX567:AZ567"/>
    <mergeCell ref="BA567:BB567"/>
    <mergeCell ref="BD567:BE567"/>
    <mergeCell ref="BF567:BI567"/>
    <mergeCell ref="BJ567:BM567"/>
    <mergeCell ref="BN565:BV565"/>
    <mergeCell ref="B566:C566"/>
    <mergeCell ref="D566:E566"/>
    <mergeCell ref="F566:G566"/>
    <mergeCell ref="H566:I566"/>
    <mergeCell ref="P566:Q566"/>
    <mergeCell ref="R566:S566"/>
    <mergeCell ref="T566:U566"/>
    <mergeCell ref="V566:W566"/>
    <mergeCell ref="X566:AA566"/>
    <mergeCell ref="AB566:AE566"/>
    <mergeCell ref="AJ566:AK566"/>
    <mergeCell ref="AL566:AM566"/>
    <mergeCell ref="AN566:AO566"/>
    <mergeCell ref="AP566:AQ566"/>
    <mergeCell ref="AR566:AS566"/>
    <mergeCell ref="AT566:AU566"/>
    <mergeCell ref="AX566:AZ566"/>
    <mergeCell ref="BA566:BB566"/>
    <mergeCell ref="BD566:BE566"/>
    <mergeCell ref="BF566:BI566"/>
    <mergeCell ref="BJ566:BM566"/>
    <mergeCell ref="AV566:AW566"/>
    <mergeCell ref="AV567:AW567"/>
    <mergeCell ref="AH565:AI565"/>
    <mergeCell ref="AH566:AI566"/>
    <mergeCell ref="BN568:BV568"/>
    <mergeCell ref="B569:C569"/>
    <mergeCell ref="D569:E569"/>
    <mergeCell ref="F569:G569"/>
    <mergeCell ref="H569:I569"/>
    <mergeCell ref="L569:M569"/>
    <mergeCell ref="P569:Q569"/>
    <mergeCell ref="R569:S569"/>
    <mergeCell ref="T569:U569"/>
    <mergeCell ref="V569:W569"/>
    <mergeCell ref="X569:AA569"/>
    <mergeCell ref="AB569:AE569"/>
    <mergeCell ref="AJ569:AK569"/>
    <mergeCell ref="AL569:AM569"/>
    <mergeCell ref="AN569:AO569"/>
    <mergeCell ref="AP569:AQ569"/>
    <mergeCell ref="AR569:AS569"/>
    <mergeCell ref="AT569:AU569"/>
    <mergeCell ref="AX569:AZ569"/>
    <mergeCell ref="BA569:BB569"/>
    <mergeCell ref="BD569:BE569"/>
    <mergeCell ref="BF569:BI569"/>
    <mergeCell ref="BJ569:BM569"/>
    <mergeCell ref="BN569:BV569"/>
    <mergeCell ref="BN567:BV567"/>
    <mergeCell ref="B568:C568"/>
    <mergeCell ref="D568:E568"/>
    <mergeCell ref="F568:G568"/>
    <mergeCell ref="H568:I568"/>
    <mergeCell ref="P568:Q568"/>
    <mergeCell ref="R568:S568"/>
    <mergeCell ref="T568:U568"/>
    <mergeCell ref="V568:W568"/>
    <mergeCell ref="X568:AA568"/>
    <mergeCell ref="AB568:AE568"/>
    <mergeCell ref="AJ568:AK568"/>
    <mergeCell ref="AL568:AM568"/>
    <mergeCell ref="AN568:AO568"/>
    <mergeCell ref="AP568:AQ568"/>
    <mergeCell ref="AR568:AS568"/>
    <mergeCell ref="AT568:AU568"/>
    <mergeCell ref="AX568:AZ568"/>
    <mergeCell ref="BA568:BB568"/>
    <mergeCell ref="BD568:BE568"/>
    <mergeCell ref="BF568:BI568"/>
    <mergeCell ref="BJ568:BM568"/>
    <mergeCell ref="AV568:AW568"/>
    <mergeCell ref="AV569:AW569"/>
    <mergeCell ref="AH567:AI567"/>
    <mergeCell ref="AH568:AI568"/>
    <mergeCell ref="AH569:AI569"/>
    <mergeCell ref="AN571:AO571"/>
    <mergeCell ref="AP571:AQ571"/>
    <mergeCell ref="AR571:AS571"/>
    <mergeCell ref="AT571:AU571"/>
    <mergeCell ref="AX571:AZ571"/>
    <mergeCell ref="BA571:BB571"/>
    <mergeCell ref="BD571:BE571"/>
    <mergeCell ref="BF571:BI571"/>
    <mergeCell ref="BJ571:BM571"/>
    <mergeCell ref="BN571:BV571"/>
    <mergeCell ref="B572:C572"/>
    <mergeCell ref="D572:E572"/>
    <mergeCell ref="F572:G572"/>
    <mergeCell ref="H572:I572"/>
    <mergeCell ref="P572:Q572"/>
    <mergeCell ref="R572:S572"/>
    <mergeCell ref="T572:U572"/>
    <mergeCell ref="V572:W572"/>
    <mergeCell ref="X572:AA572"/>
    <mergeCell ref="AB572:AE572"/>
    <mergeCell ref="AJ572:AK572"/>
    <mergeCell ref="AL572:AM572"/>
    <mergeCell ref="AN572:AO572"/>
    <mergeCell ref="AL570:AM570"/>
    <mergeCell ref="AN570:AO570"/>
    <mergeCell ref="AP570:AQ570"/>
    <mergeCell ref="AR570:AS570"/>
    <mergeCell ref="AT570:AU570"/>
    <mergeCell ref="AX570:AZ570"/>
    <mergeCell ref="BA570:BB570"/>
    <mergeCell ref="BD570:BE570"/>
    <mergeCell ref="BF570:BI570"/>
    <mergeCell ref="BJ570:BM570"/>
    <mergeCell ref="BN570:BV570"/>
    <mergeCell ref="B571:C571"/>
    <mergeCell ref="D571:E571"/>
    <mergeCell ref="F571:G571"/>
    <mergeCell ref="H571:I571"/>
    <mergeCell ref="L571:M571"/>
    <mergeCell ref="P571:Q571"/>
    <mergeCell ref="R571:S571"/>
    <mergeCell ref="T571:U571"/>
    <mergeCell ref="V571:W571"/>
    <mergeCell ref="X571:AA571"/>
    <mergeCell ref="AB571:AE571"/>
    <mergeCell ref="AJ571:AK571"/>
    <mergeCell ref="AL571:AM571"/>
    <mergeCell ref="B570:C570"/>
    <mergeCell ref="D570:E570"/>
    <mergeCell ref="F570:G570"/>
    <mergeCell ref="H570:I570"/>
    <mergeCell ref="P570:Q570"/>
    <mergeCell ref="R570:S570"/>
    <mergeCell ref="T570:U570"/>
    <mergeCell ref="V570:W570"/>
    <mergeCell ref="X570:AA570"/>
    <mergeCell ref="AB570:AE570"/>
    <mergeCell ref="AJ570:AK570"/>
    <mergeCell ref="AV570:AW570"/>
    <mergeCell ref="AV571:AW571"/>
    <mergeCell ref="AV572:AW572"/>
    <mergeCell ref="AH570:AI570"/>
    <mergeCell ref="AR573:AS573"/>
    <mergeCell ref="AT573:AU573"/>
    <mergeCell ref="AX573:AZ573"/>
    <mergeCell ref="BA573:BB573"/>
    <mergeCell ref="BD573:BE573"/>
    <mergeCell ref="BF573:BI573"/>
    <mergeCell ref="BJ573:BM573"/>
    <mergeCell ref="BN573:BV573"/>
    <mergeCell ref="B574:C574"/>
    <mergeCell ref="D574:E574"/>
    <mergeCell ref="F574:G574"/>
    <mergeCell ref="H574:I574"/>
    <mergeCell ref="P574:Q574"/>
    <mergeCell ref="R574:S574"/>
    <mergeCell ref="T574:U574"/>
    <mergeCell ref="V574:W574"/>
    <mergeCell ref="X574:AA574"/>
    <mergeCell ref="AB574:AE574"/>
    <mergeCell ref="AJ574:AK574"/>
    <mergeCell ref="AL574:AM574"/>
    <mergeCell ref="AN574:AO574"/>
    <mergeCell ref="AP574:AQ574"/>
    <mergeCell ref="AR574:AS574"/>
    <mergeCell ref="AP572:AQ572"/>
    <mergeCell ref="AR572:AS572"/>
    <mergeCell ref="AT572:AU572"/>
    <mergeCell ref="AX572:AZ572"/>
    <mergeCell ref="BA572:BB572"/>
    <mergeCell ref="BD572:BE572"/>
    <mergeCell ref="BF572:BI572"/>
    <mergeCell ref="BJ572:BM572"/>
    <mergeCell ref="BN572:BV572"/>
    <mergeCell ref="B573:C573"/>
    <mergeCell ref="D573:E573"/>
    <mergeCell ref="F573:G573"/>
    <mergeCell ref="H573:I573"/>
    <mergeCell ref="L573:M573"/>
    <mergeCell ref="P573:Q573"/>
    <mergeCell ref="R573:S573"/>
    <mergeCell ref="T573:U573"/>
    <mergeCell ref="V573:W573"/>
    <mergeCell ref="X573:AA573"/>
    <mergeCell ref="AB573:AE573"/>
    <mergeCell ref="AJ573:AK573"/>
    <mergeCell ref="AL573:AM573"/>
    <mergeCell ref="AN573:AO573"/>
    <mergeCell ref="AP573:AQ573"/>
    <mergeCell ref="AV573:AW573"/>
    <mergeCell ref="AV574:AW574"/>
    <mergeCell ref="AX575:AZ575"/>
    <mergeCell ref="BA575:BB575"/>
    <mergeCell ref="BD575:BE575"/>
    <mergeCell ref="BF575:BI575"/>
    <mergeCell ref="BJ575:BM575"/>
    <mergeCell ref="BN575:BV575"/>
    <mergeCell ref="B576:C576"/>
    <mergeCell ref="D576:E576"/>
    <mergeCell ref="F576:G576"/>
    <mergeCell ref="H576:I576"/>
    <mergeCell ref="P576:Q576"/>
    <mergeCell ref="R576:S576"/>
    <mergeCell ref="T576:U576"/>
    <mergeCell ref="V576:W576"/>
    <mergeCell ref="X576:AA576"/>
    <mergeCell ref="AB576:AE576"/>
    <mergeCell ref="AJ576:AK576"/>
    <mergeCell ref="AL576:AM576"/>
    <mergeCell ref="AN576:AO576"/>
    <mergeCell ref="AP576:AQ576"/>
    <mergeCell ref="AR576:AS576"/>
    <mergeCell ref="AT576:AU576"/>
    <mergeCell ref="AX576:AZ576"/>
    <mergeCell ref="AT574:AU574"/>
    <mergeCell ref="AX574:AZ574"/>
    <mergeCell ref="BA574:BB574"/>
    <mergeCell ref="BD574:BE574"/>
    <mergeCell ref="BF574:BI574"/>
    <mergeCell ref="BJ574:BM574"/>
    <mergeCell ref="BN574:BV574"/>
    <mergeCell ref="B575:C575"/>
    <mergeCell ref="D575:E575"/>
    <mergeCell ref="F575:G575"/>
    <mergeCell ref="H575:I575"/>
    <mergeCell ref="L575:M575"/>
    <mergeCell ref="P575:Q575"/>
    <mergeCell ref="R575:S575"/>
    <mergeCell ref="T575:U575"/>
    <mergeCell ref="V575:W575"/>
    <mergeCell ref="X575:AA575"/>
    <mergeCell ref="AB575:AE575"/>
    <mergeCell ref="AJ575:AK575"/>
    <mergeCell ref="AL575:AM575"/>
    <mergeCell ref="AN575:AO575"/>
    <mergeCell ref="AP575:AQ575"/>
    <mergeCell ref="AR575:AS575"/>
    <mergeCell ref="AT575:AU575"/>
    <mergeCell ref="AV575:AW575"/>
    <mergeCell ref="AV576:AW576"/>
    <mergeCell ref="BD577:BE577"/>
    <mergeCell ref="BF577:BI577"/>
    <mergeCell ref="BJ577:BM577"/>
    <mergeCell ref="BN577:BV577"/>
    <mergeCell ref="B578:C578"/>
    <mergeCell ref="D578:E578"/>
    <mergeCell ref="F578:G578"/>
    <mergeCell ref="H578:I578"/>
    <mergeCell ref="P578:Q578"/>
    <mergeCell ref="R578:S578"/>
    <mergeCell ref="T578:U578"/>
    <mergeCell ref="V578:W578"/>
    <mergeCell ref="X578:AA578"/>
    <mergeCell ref="AB578:AE578"/>
    <mergeCell ref="AJ578:AK578"/>
    <mergeCell ref="AL578:AM578"/>
    <mergeCell ref="AN578:AO578"/>
    <mergeCell ref="AP578:AQ578"/>
    <mergeCell ref="AR578:AS578"/>
    <mergeCell ref="AT578:AU578"/>
    <mergeCell ref="AX578:AZ578"/>
    <mergeCell ref="BA578:BB578"/>
    <mergeCell ref="BD578:BE578"/>
    <mergeCell ref="BA576:BB576"/>
    <mergeCell ref="BD576:BE576"/>
    <mergeCell ref="BF576:BI576"/>
    <mergeCell ref="BJ576:BM576"/>
    <mergeCell ref="BN576:BV576"/>
    <mergeCell ref="B577:C577"/>
    <mergeCell ref="D577:E577"/>
    <mergeCell ref="F577:G577"/>
    <mergeCell ref="H577:I577"/>
    <mergeCell ref="L577:M577"/>
    <mergeCell ref="P577:Q577"/>
    <mergeCell ref="R577:S577"/>
    <mergeCell ref="T577:U577"/>
    <mergeCell ref="V577:W577"/>
    <mergeCell ref="X577:AA577"/>
    <mergeCell ref="AB577:AE577"/>
    <mergeCell ref="AJ577:AK577"/>
    <mergeCell ref="AL577:AM577"/>
    <mergeCell ref="AN577:AO577"/>
    <mergeCell ref="AP577:AQ577"/>
    <mergeCell ref="AR577:AS577"/>
    <mergeCell ref="AT577:AU577"/>
    <mergeCell ref="AX577:AZ577"/>
    <mergeCell ref="BA577:BB577"/>
    <mergeCell ref="AV577:AW577"/>
    <mergeCell ref="AV578:AW578"/>
    <mergeCell ref="BJ579:BM579"/>
    <mergeCell ref="BN579:BV579"/>
    <mergeCell ref="B580:C580"/>
    <mergeCell ref="D580:E580"/>
    <mergeCell ref="F580:G580"/>
    <mergeCell ref="H580:I580"/>
    <mergeCell ref="P580:Q580"/>
    <mergeCell ref="R580:S580"/>
    <mergeCell ref="T580:U580"/>
    <mergeCell ref="V580:W580"/>
    <mergeCell ref="X580:AA580"/>
    <mergeCell ref="AB580:AE580"/>
    <mergeCell ref="AJ580:AK580"/>
    <mergeCell ref="AL580:AM580"/>
    <mergeCell ref="AN580:AO580"/>
    <mergeCell ref="AP580:AQ580"/>
    <mergeCell ref="AR580:AS580"/>
    <mergeCell ref="AT580:AU580"/>
    <mergeCell ref="AX580:AZ580"/>
    <mergeCell ref="BA580:BB580"/>
    <mergeCell ref="BD580:BE580"/>
    <mergeCell ref="BF580:BI580"/>
    <mergeCell ref="BJ580:BM580"/>
    <mergeCell ref="BF578:BI578"/>
    <mergeCell ref="BJ578:BM578"/>
    <mergeCell ref="BN578:BV578"/>
    <mergeCell ref="B579:C579"/>
    <mergeCell ref="D579:E579"/>
    <mergeCell ref="F579:G579"/>
    <mergeCell ref="H579:I579"/>
    <mergeCell ref="L579:M579"/>
    <mergeCell ref="P579:Q579"/>
    <mergeCell ref="R579:S579"/>
    <mergeCell ref="T579:U579"/>
    <mergeCell ref="V579:W579"/>
    <mergeCell ref="X579:AA579"/>
    <mergeCell ref="AB579:AE579"/>
    <mergeCell ref="AJ579:AK579"/>
    <mergeCell ref="AL579:AM579"/>
    <mergeCell ref="AN579:AO579"/>
    <mergeCell ref="AP579:AQ579"/>
    <mergeCell ref="AR579:AS579"/>
    <mergeCell ref="AT579:AU579"/>
    <mergeCell ref="AX579:AZ579"/>
    <mergeCell ref="BA579:BB579"/>
    <mergeCell ref="BD579:BE579"/>
    <mergeCell ref="BF579:BI579"/>
    <mergeCell ref="AV579:AW579"/>
    <mergeCell ref="AV580:AW580"/>
    <mergeCell ref="BN581:BV581"/>
    <mergeCell ref="B582:C582"/>
    <mergeCell ref="D582:E582"/>
    <mergeCell ref="F582:G582"/>
    <mergeCell ref="H582:I582"/>
    <mergeCell ref="P582:Q582"/>
    <mergeCell ref="R582:S582"/>
    <mergeCell ref="T582:U582"/>
    <mergeCell ref="V582:W582"/>
    <mergeCell ref="X582:AA582"/>
    <mergeCell ref="AB582:AE582"/>
    <mergeCell ref="AJ582:AK582"/>
    <mergeCell ref="AL582:AM582"/>
    <mergeCell ref="AN582:AO582"/>
    <mergeCell ref="AP582:AQ582"/>
    <mergeCell ref="AR582:AS582"/>
    <mergeCell ref="AT582:AU582"/>
    <mergeCell ref="AX582:AZ582"/>
    <mergeCell ref="BA582:BB582"/>
    <mergeCell ref="BD582:BE582"/>
    <mergeCell ref="BF582:BI582"/>
    <mergeCell ref="BJ582:BM582"/>
    <mergeCell ref="BN580:BV580"/>
    <mergeCell ref="B581:C581"/>
    <mergeCell ref="D581:E581"/>
    <mergeCell ref="F581:G581"/>
    <mergeCell ref="H581:I581"/>
    <mergeCell ref="L581:M581"/>
    <mergeCell ref="P581:Q581"/>
    <mergeCell ref="R581:S581"/>
    <mergeCell ref="T581:U581"/>
    <mergeCell ref="V581:W581"/>
    <mergeCell ref="X581:AA581"/>
    <mergeCell ref="AB581:AE581"/>
    <mergeCell ref="AJ581:AK581"/>
    <mergeCell ref="AL581:AM581"/>
    <mergeCell ref="AN581:AO581"/>
    <mergeCell ref="AP581:AQ581"/>
    <mergeCell ref="AR581:AS581"/>
    <mergeCell ref="AT581:AU581"/>
    <mergeCell ref="AX581:AZ581"/>
    <mergeCell ref="BA581:BB581"/>
    <mergeCell ref="BD581:BE581"/>
    <mergeCell ref="BF581:BI581"/>
    <mergeCell ref="BJ581:BM581"/>
    <mergeCell ref="AV581:AW581"/>
    <mergeCell ref="AV582:AW582"/>
    <mergeCell ref="BN583:BV583"/>
    <mergeCell ref="B584:C584"/>
    <mergeCell ref="D584:E584"/>
    <mergeCell ref="F584:G584"/>
    <mergeCell ref="H584:I584"/>
    <mergeCell ref="P584:Q584"/>
    <mergeCell ref="R584:S584"/>
    <mergeCell ref="T584:U584"/>
    <mergeCell ref="V584:W584"/>
    <mergeCell ref="X584:AA584"/>
    <mergeCell ref="AB584:AE584"/>
    <mergeCell ref="AJ584:AK584"/>
    <mergeCell ref="AL584:AM584"/>
    <mergeCell ref="AN584:AO584"/>
    <mergeCell ref="AP584:AQ584"/>
    <mergeCell ref="AR584:AS584"/>
    <mergeCell ref="AT584:AU584"/>
    <mergeCell ref="AX584:AZ584"/>
    <mergeCell ref="BA584:BB584"/>
    <mergeCell ref="BD584:BE584"/>
    <mergeCell ref="BF584:BI584"/>
    <mergeCell ref="BJ584:BM584"/>
    <mergeCell ref="BN584:BV584"/>
    <mergeCell ref="BN582:BV582"/>
    <mergeCell ref="B583:C583"/>
    <mergeCell ref="D583:E583"/>
    <mergeCell ref="F583:G583"/>
    <mergeCell ref="H583:I583"/>
    <mergeCell ref="L583:M583"/>
    <mergeCell ref="P583:Q583"/>
    <mergeCell ref="R583:S583"/>
    <mergeCell ref="T583:U583"/>
    <mergeCell ref="V583:W583"/>
    <mergeCell ref="X583:AA583"/>
    <mergeCell ref="AB583:AE583"/>
    <mergeCell ref="AJ583:AK583"/>
    <mergeCell ref="AL583:AM583"/>
    <mergeCell ref="AN583:AO583"/>
    <mergeCell ref="AP583:AQ583"/>
    <mergeCell ref="AR583:AS583"/>
    <mergeCell ref="AT583:AU583"/>
    <mergeCell ref="AX583:AZ583"/>
    <mergeCell ref="BA583:BB583"/>
    <mergeCell ref="BD583:BE583"/>
    <mergeCell ref="BF583:BI583"/>
    <mergeCell ref="BJ583:BM583"/>
    <mergeCell ref="AV583:AW583"/>
    <mergeCell ref="AV584:AW584"/>
    <mergeCell ref="AN586:AO586"/>
    <mergeCell ref="AP586:AQ586"/>
    <mergeCell ref="AR586:AS586"/>
    <mergeCell ref="AT586:AU586"/>
    <mergeCell ref="AX586:AZ586"/>
    <mergeCell ref="BA586:BB586"/>
    <mergeCell ref="BD586:BE586"/>
    <mergeCell ref="BF586:BI586"/>
    <mergeCell ref="BJ586:BM586"/>
    <mergeCell ref="BN586:BV586"/>
    <mergeCell ref="B587:C587"/>
    <mergeCell ref="D587:E587"/>
    <mergeCell ref="F587:G587"/>
    <mergeCell ref="H587:I587"/>
    <mergeCell ref="L587:M587"/>
    <mergeCell ref="P587:Q587"/>
    <mergeCell ref="R587:S587"/>
    <mergeCell ref="T587:U587"/>
    <mergeCell ref="V587:W587"/>
    <mergeCell ref="X587:AA587"/>
    <mergeCell ref="AB587:AE587"/>
    <mergeCell ref="AJ587:AK587"/>
    <mergeCell ref="AL587:AM587"/>
    <mergeCell ref="AN587:AO587"/>
    <mergeCell ref="AL585:AM585"/>
    <mergeCell ref="AN585:AO585"/>
    <mergeCell ref="AP585:AQ585"/>
    <mergeCell ref="AR585:AS585"/>
    <mergeCell ref="AT585:AU585"/>
    <mergeCell ref="AX585:AZ585"/>
    <mergeCell ref="BA585:BB585"/>
    <mergeCell ref="BD585:BE585"/>
    <mergeCell ref="BF585:BI585"/>
    <mergeCell ref="BJ585:BM585"/>
    <mergeCell ref="BN585:BV585"/>
    <mergeCell ref="B586:C586"/>
    <mergeCell ref="D586:E586"/>
    <mergeCell ref="F586:G586"/>
    <mergeCell ref="H586:I586"/>
    <mergeCell ref="P586:Q586"/>
    <mergeCell ref="R586:S586"/>
    <mergeCell ref="T586:U586"/>
    <mergeCell ref="V586:W586"/>
    <mergeCell ref="X586:AA586"/>
    <mergeCell ref="AB586:AE586"/>
    <mergeCell ref="AJ586:AK586"/>
    <mergeCell ref="AL586:AM586"/>
    <mergeCell ref="B585:C585"/>
    <mergeCell ref="D585:E585"/>
    <mergeCell ref="F585:G585"/>
    <mergeCell ref="H585:I585"/>
    <mergeCell ref="L585:M585"/>
    <mergeCell ref="P585:Q585"/>
    <mergeCell ref="R585:S585"/>
    <mergeCell ref="T585:U585"/>
    <mergeCell ref="V585:W585"/>
    <mergeCell ref="X585:AA585"/>
    <mergeCell ref="AB585:AE585"/>
    <mergeCell ref="AJ585:AK585"/>
    <mergeCell ref="AV585:AW585"/>
    <mergeCell ref="AV586:AW586"/>
    <mergeCell ref="AV587:AW587"/>
    <mergeCell ref="AF585:AG585"/>
    <mergeCell ref="AF587:AG587"/>
    <mergeCell ref="AR588:AS588"/>
    <mergeCell ref="AT588:AU588"/>
    <mergeCell ref="AX588:AZ588"/>
    <mergeCell ref="BA588:BB588"/>
    <mergeCell ref="BD588:BE588"/>
    <mergeCell ref="BF588:BI588"/>
    <mergeCell ref="BJ588:BM588"/>
    <mergeCell ref="BN588:BV588"/>
    <mergeCell ref="B589:C589"/>
    <mergeCell ref="D589:E589"/>
    <mergeCell ref="F589:G589"/>
    <mergeCell ref="H589:I589"/>
    <mergeCell ref="L589:M589"/>
    <mergeCell ref="P589:Q589"/>
    <mergeCell ref="R589:S589"/>
    <mergeCell ref="T589:U589"/>
    <mergeCell ref="V589:W589"/>
    <mergeCell ref="X589:AA589"/>
    <mergeCell ref="AB589:AE589"/>
    <mergeCell ref="AJ589:AK589"/>
    <mergeCell ref="AL589:AM589"/>
    <mergeCell ref="AN589:AO589"/>
    <mergeCell ref="AP589:AQ589"/>
    <mergeCell ref="AR589:AS589"/>
    <mergeCell ref="AP587:AQ587"/>
    <mergeCell ref="AR587:AS587"/>
    <mergeCell ref="AT587:AU587"/>
    <mergeCell ref="AX587:AZ587"/>
    <mergeCell ref="BA587:BB587"/>
    <mergeCell ref="BD587:BE587"/>
    <mergeCell ref="BF587:BI587"/>
    <mergeCell ref="BJ587:BM587"/>
    <mergeCell ref="BN587:BV587"/>
    <mergeCell ref="B588:C588"/>
    <mergeCell ref="D588:E588"/>
    <mergeCell ref="F588:G588"/>
    <mergeCell ref="H588:I588"/>
    <mergeCell ref="P588:Q588"/>
    <mergeCell ref="R588:S588"/>
    <mergeCell ref="T588:U588"/>
    <mergeCell ref="V588:W588"/>
    <mergeCell ref="X588:AA588"/>
    <mergeCell ref="AB588:AE588"/>
    <mergeCell ref="AJ588:AK588"/>
    <mergeCell ref="AL588:AM588"/>
    <mergeCell ref="AN588:AO588"/>
    <mergeCell ref="AP588:AQ588"/>
    <mergeCell ref="AV588:AW588"/>
    <mergeCell ref="AV589:AW589"/>
    <mergeCell ref="AF589:AG589"/>
    <mergeCell ref="AF588:AG588"/>
    <mergeCell ref="AX590:AZ590"/>
    <mergeCell ref="BA590:BB590"/>
    <mergeCell ref="BD590:BE590"/>
    <mergeCell ref="BF590:BI590"/>
    <mergeCell ref="BJ590:BM590"/>
    <mergeCell ref="BN590:BV590"/>
    <mergeCell ref="B591:C591"/>
    <mergeCell ref="D591:E591"/>
    <mergeCell ref="F591:G591"/>
    <mergeCell ref="H591:I591"/>
    <mergeCell ref="L591:M591"/>
    <mergeCell ref="P591:Q591"/>
    <mergeCell ref="R591:S591"/>
    <mergeCell ref="T591:U591"/>
    <mergeCell ref="V591:W591"/>
    <mergeCell ref="X591:AA591"/>
    <mergeCell ref="AB591:AE591"/>
    <mergeCell ref="AJ591:AK591"/>
    <mergeCell ref="AL591:AM591"/>
    <mergeCell ref="AN591:AO591"/>
    <mergeCell ref="AP591:AQ591"/>
    <mergeCell ref="AR591:AS591"/>
    <mergeCell ref="AT591:AU591"/>
    <mergeCell ref="AX591:AZ591"/>
    <mergeCell ref="AT589:AU589"/>
    <mergeCell ref="AX589:AZ589"/>
    <mergeCell ref="BA589:BB589"/>
    <mergeCell ref="BD589:BE589"/>
    <mergeCell ref="BF589:BI589"/>
    <mergeCell ref="BJ589:BM589"/>
    <mergeCell ref="BN589:BV589"/>
    <mergeCell ref="B590:C590"/>
    <mergeCell ref="D590:E590"/>
    <mergeCell ref="F590:G590"/>
    <mergeCell ref="H590:I590"/>
    <mergeCell ref="P590:Q590"/>
    <mergeCell ref="R590:S590"/>
    <mergeCell ref="T590:U590"/>
    <mergeCell ref="V590:W590"/>
    <mergeCell ref="X590:AA590"/>
    <mergeCell ref="AB590:AE590"/>
    <mergeCell ref="AJ590:AK590"/>
    <mergeCell ref="AL590:AM590"/>
    <mergeCell ref="AN590:AO590"/>
    <mergeCell ref="AP590:AQ590"/>
    <mergeCell ref="AR590:AS590"/>
    <mergeCell ref="AT590:AU590"/>
    <mergeCell ref="AV590:AW590"/>
    <mergeCell ref="AV591:AW591"/>
    <mergeCell ref="AF590:AG590"/>
    <mergeCell ref="AF591:AG591"/>
    <mergeCell ref="J589:K589"/>
    <mergeCell ref="BD592:BE592"/>
    <mergeCell ref="BF592:BI592"/>
    <mergeCell ref="BJ592:BM592"/>
    <mergeCell ref="BN592:BV592"/>
    <mergeCell ref="B593:C593"/>
    <mergeCell ref="D593:E593"/>
    <mergeCell ref="F593:G593"/>
    <mergeCell ref="H593:I593"/>
    <mergeCell ref="L593:M593"/>
    <mergeCell ref="P593:Q593"/>
    <mergeCell ref="R593:S593"/>
    <mergeCell ref="T593:U593"/>
    <mergeCell ref="V593:W593"/>
    <mergeCell ref="X593:AA593"/>
    <mergeCell ref="AB593:AE593"/>
    <mergeCell ref="AJ593:AK593"/>
    <mergeCell ref="AL593:AM593"/>
    <mergeCell ref="AN593:AO593"/>
    <mergeCell ref="AP593:AQ593"/>
    <mergeCell ref="AR593:AS593"/>
    <mergeCell ref="AT593:AU593"/>
    <mergeCell ref="AX593:AZ593"/>
    <mergeCell ref="BA593:BB593"/>
    <mergeCell ref="BD593:BE593"/>
    <mergeCell ref="BA591:BB591"/>
    <mergeCell ref="BD591:BE591"/>
    <mergeCell ref="BF591:BI591"/>
    <mergeCell ref="BJ591:BM591"/>
    <mergeCell ref="BN591:BV591"/>
    <mergeCell ref="B592:C592"/>
    <mergeCell ref="D592:E592"/>
    <mergeCell ref="F592:G592"/>
    <mergeCell ref="H592:I592"/>
    <mergeCell ref="P592:Q592"/>
    <mergeCell ref="R592:S592"/>
    <mergeCell ref="T592:U592"/>
    <mergeCell ref="V592:W592"/>
    <mergeCell ref="X592:AA592"/>
    <mergeCell ref="AB592:AE592"/>
    <mergeCell ref="AJ592:AK592"/>
    <mergeCell ref="AL592:AM592"/>
    <mergeCell ref="AN592:AO592"/>
    <mergeCell ref="AP592:AQ592"/>
    <mergeCell ref="AR592:AS592"/>
    <mergeCell ref="AT592:AU592"/>
    <mergeCell ref="AX592:AZ592"/>
    <mergeCell ref="BA592:BB592"/>
    <mergeCell ref="AV592:AW592"/>
    <mergeCell ref="AV593:AW593"/>
    <mergeCell ref="AF592:AG592"/>
    <mergeCell ref="AF593:AG593"/>
    <mergeCell ref="J591:K591"/>
    <mergeCell ref="BJ594:BM594"/>
    <mergeCell ref="BN594:BV594"/>
    <mergeCell ref="B595:C595"/>
    <mergeCell ref="D595:E595"/>
    <mergeCell ref="F595:G595"/>
    <mergeCell ref="H595:I595"/>
    <mergeCell ref="L595:M595"/>
    <mergeCell ref="P595:Q595"/>
    <mergeCell ref="R595:S595"/>
    <mergeCell ref="T595:U595"/>
    <mergeCell ref="V595:W595"/>
    <mergeCell ref="X595:AA595"/>
    <mergeCell ref="AB595:AE595"/>
    <mergeCell ref="AJ595:AK595"/>
    <mergeCell ref="AL595:AM595"/>
    <mergeCell ref="AN595:AO595"/>
    <mergeCell ref="AP595:AQ595"/>
    <mergeCell ref="AR595:AS595"/>
    <mergeCell ref="AT595:AU595"/>
    <mergeCell ref="AX595:AZ595"/>
    <mergeCell ref="BA595:BB595"/>
    <mergeCell ref="BD595:BE595"/>
    <mergeCell ref="BF595:BI595"/>
    <mergeCell ref="BJ595:BM595"/>
    <mergeCell ref="BF593:BI593"/>
    <mergeCell ref="BJ593:BM593"/>
    <mergeCell ref="BN593:BV593"/>
    <mergeCell ref="B594:C594"/>
    <mergeCell ref="D594:E594"/>
    <mergeCell ref="F594:G594"/>
    <mergeCell ref="H594:I594"/>
    <mergeCell ref="P594:Q594"/>
    <mergeCell ref="R594:S594"/>
    <mergeCell ref="T594:U594"/>
    <mergeCell ref="V594:W594"/>
    <mergeCell ref="X594:AA594"/>
    <mergeCell ref="AB594:AE594"/>
    <mergeCell ref="AJ594:AK594"/>
    <mergeCell ref="AL594:AM594"/>
    <mergeCell ref="AN594:AO594"/>
    <mergeCell ref="AP594:AQ594"/>
    <mergeCell ref="AR594:AS594"/>
    <mergeCell ref="AT594:AU594"/>
    <mergeCell ref="AX594:AZ594"/>
    <mergeCell ref="BA594:BB594"/>
    <mergeCell ref="BD594:BE594"/>
    <mergeCell ref="BF594:BI594"/>
    <mergeCell ref="AV594:AW594"/>
    <mergeCell ref="AV595:AW595"/>
    <mergeCell ref="AF594:AG594"/>
    <mergeCell ref="AF595:AG595"/>
    <mergeCell ref="J593:K593"/>
    <mergeCell ref="BN596:BV596"/>
    <mergeCell ref="B597:C597"/>
    <mergeCell ref="D597:E597"/>
    <mergeCell ref="F597:G597"/>
    <mergeCell ref="H597:I597"/>
    <mergeCell ref="L597:M597"/>
    <mergeCell ref="P597:Q597"/>
    <mergeCell ref="R597:S597"/>
    <mergeCell ref="T597:U597"/>
    <mergeCell ref="V597:W597"/>
    <mergeCell ref="X597:AA597"/>
    <mergeCell ref="AB597:AE597"/>
    <mergeCell ref="AJ597:AK597"/>
    <mergeCell ref="AL597:AM597"/>
    <mergeCell ref="AN597:AO597"/>
    <mergeCell ref="AP597:AQ597"/>
    <mergeCell ref="AR597:AS597"/>
    <mergeCell ref="AT597:AU597"/>
    <mergeCell ref="AX597:AZ597"/>
    <mergeCell ref="BA597:BB597"/>
    <mergeCell ref="BD597:BE597"/>
    <mergeCell ref="BF597:BI597"/>
    <mergeCell ref="BJ597:BM597"/>
    <mergeCell ref="BN595:BV595"/>
    <mergeCell ref="B596:C596"/>
    <mergeCell ref="D596:E596"/>
    <mergeCell ref="F596:G596"/>
    <mergeCell ref="H596:I596"/>
    <mergeCell ref="P596:Q596"/>
    <mergeCell ref="R596:S596"/>
    <mergeCell ref="T596:U596"/>
    <mergeCell ref="V596:W596"/>
    <mergeCell ref="X596:AA596"/>
    <mergeCell ref="AB596:AE596"/>
    <mergeCell ref="AJ596:AK596"/>
    <mergeCell ref="AL596:AM596"/>
    <mergeCell ref="AN596:AO596"/>
    <mergeCell ref="AP596:AQ596"/>
    <mergeCell ref="AR596:AS596"/>
    <mergeCell ref="AT596:AU596"/>
    <mergeCell ref="AX596:AZ596"/>
    <mergeCell ref="BA596:BB596"/>
    <mergeCell ref="BD596:BE596"/>
    <mergeCell ref="BF596:BI596"/>
    <mergeCell ref="BJ596:BM596"/>
    <mergeCell ref="AV596:AW596"/>
    <mergeCell ref="AV597:AW597"/>
    <mergeCell ref="AF596:AG596"/>
    <mergeCell ref="AF597:AG597"/>
    <mergeCell ref="J595:K595"/>
    <mergeCell ref="BN598:BV598"/>
    <mergeCell ref="B599:C599"/>
    <mergeCell ref="D599:E599"/>
    <mergeCell ref="F599:G599"/>
    <mergeCell ref="H599:I599"/>
    <mergeCell ref="L599:M599"/>
    <mergeCell ref="P599:Q599"/>
    <mergeCell ref="R599:S599"/>
    <mergeCell ref="T599:U599"/>
    <mergeCell ref="V599:W599"/>
    <mergeCell ref="X599:AA599"/>
    <mergeCell ref="AB599:AE599"/>
    <mergeCell ref="AJ599:AK599"/>
    <mergeCell ref="AL599:AM599"/>
    <mergeCell ref="AN599:AO599"/>
    <mergeCell ref="AP599:AQ599"/>
    <mergeCell ref="AR599:AS599"/>
    <mergeCell ref="AT599:AU599"/>
    <mergeCell ref="AX599:AZ599"/>
    <mergeCell ref="BA599:BB599"/>
    <mergeCell ref="BD599:BE599"/>
    <mergeCell ref="BF599:BI599"/>
    <mergeCell ref="BJ599:BM599"/>
    <mergeCell ref="BN599:BV599"/>
    <mergeCell ref="BN597:BV597"/>
    <mergeCell ref="B598:C598"/>
    <mergeCell ref="D598:E598"/>
    <mergeCell ref="F598:G598"/>
    <mergeCell ref="H598:I598"/>
    <mergeCell ref="P598:Q598"/>
    <mergeCell ref="R598:S598"/>
    <mergeCell ref="T598:U598"/>
    <mergeCell ref="V598:W598"/>
    <mergeCell ref="X598:AA598"/>
    <mergeCell ref="AB598:AE598"/>
    <mergeCell ref="AJ598:AK598"/>
    <mergeCell ref="AL598:AM598"/>
    <mergeCell ref="AN598:AO598"/>
    <mergeCell ref="AP598:AQ598"/>
    <mergeCell ref="AR598:AS598"/>
    <mergeCell ref="AT598:AU598"/>
    <mergeCell ref="AX598:AZ598"/>
    <mergeCell ref="BA598:BB598"/>
    <mergeCell ref="BD598:BE598"/>
    <mergeCell ref="BF598:BI598"/>
    <mergeCell ref="BJ598:BM598"/>
    <mergeCell ref="AV598:AW598"/>
    <mergeCell ref="AV599:AW599"/>
    <mergeCell ref="AF598:AG598"/>
    <mergeCell ref="AF599:AG599"/>
    <mergeCell ref="J597:K597"/>
    <mergeCell ref="J599:K599"/>
    <mergeCell ref="AN601:AO601"/>
    <mergeCell ref="AP601:AQ601"/>
    <mergeCell ref="AR601:AS601"/>
    <mergeCell ref="AT601:AU601"/>
    <mergeCell ref="AX601:AZ601"/>
    <mergeCell ref="BA601:BB601"/>
    <mergeCell ref="BD601:BE601"/>
    <mergeCell ref="BF601:BI601"/>
    <mergeCell ref="BJ601:BM601"/>
    <mergeCell ref="BN601:BV601"/>
    <mergeCell ref="B602:C602"/>
    <mergeCell ref="D602:E602"/>
    <mergeCell ref="F602:G602"/>
    <mergeCell ref="H602:I602"/>
    <mergeCell ref="P602:Q602"/>
    <mergeCell ref="R602:S602"/>
    <mergeCell ref="T602:U602"/>
    <mergeCell ref="V602:W602"/>
    <mergeCell ref="X602:AA602"/>
    <mergeCell ref="AB602:AE602"/>
    <mergeCell ref="AJ602:AK602"/>
    <mergeCell ref="AL602:AM602"/>
    <mergeCell ref="AN602:AO602"/>
    <mergeCell ref="AL600:AM600"/>
    <mergeCell ref="AN600:AO600"/>
    <mergeCell ref="AP600:AQ600"/>
    <mergeCell ref="AR600:AS600"/>
    <mergeCell ref="AT600:AU600"/>
    <mergeCell ref="AX600:AZ600"/>
    <mergeCell ref="BA600:BB600"/>
    <mergeCell ref="BD600:BE600"/>
    <mergeCell ref="BF600:BI600"/>
    <mergeCell ref="BJ600:BM600"/>
    <mergeCell ref="BN600:BV600"/>
    <mergeCell ref="B601:C601"/>
    <mergeCell ref="D601:E601"/>
    <mergeCell ref="F601:G601"/>
    <mergeCell ref="H601:I601"/>
    <mergeCell ref="L601:M601"/>
    <mergeCell ref="P601:Q601"/>
    <mergeCell ref="R601:S601"/>
    <mergeCell ref="T601:U601"/>
    <mergeCell ref="V601:W601"/>
    <mergeCell ref="X601:AA601"/>
    <mergeCell ref="AB601:AE601"/>
    <mergeCell ref="AJ601:AK601"/>
    <mergeCell ref="AL601:AM601"/>
    <mergeCell ref="B600:C600"/>
    <mergeCell ref="D600:E600"/>
    <mergeCell ref="F600:G600"/>
    <mergeCell ref="H600:I600"/>
    <mergeCell ref="P600:Q600"/>
    <mergeCell ref="R600:S600"/>
    <mergeCell ref="T600:U600"/>
    <mergeCell ref="V600:W600"/>
    <mergeCell ref="X600:AA600"/>
    <mergeCell ref="AB600:AE600"/>
    <mergeCell ref="AJ600:AK600"/>
    <mergeCell ref="AV600:AW600"/>
    <mergeCell ref="AV601:AW601"/>
    <mergeCell ref="AV602:AW602"/>
    <mergeCell ref="AF600:AG600"/>
    <mergeCell ref="AF601:AG601"/>
    <mergeCell ref="AF602:AG602"/>
    <mergeCell ref="AR603:AS603"/>
    <mergeCell ref="AT603:AU603"/>
    <mergeCell ref="AX603:AZ603"/>
    <mergeCell ref="BA603:BB603"/>
    <mergeCell ref="BD603:BE603"/>
    <mergeCell ref="BF603:BI603"/>
    <mergeCell ref="BJ603:BM603"/>
    <mergeCell ref="BN603:BV603"/>
    <mergeCell ref="B604:C604"/>
    <mergeCell ref="D604:E604"/>
    <mergeCell ref="F604:G604"/>
    <mergeCell ref="H604:I604"/>
    <mergeCell ref="P604:Q604"/>
    <mergeCell ref="R604:S604"/>
    <mergeCell ref="T604:U604"/>
    <mergeCell ref="V604:W604"/>
    <mergeCell ref="X604:AA604"/>
    <mergeCell ref="AB604:AE604"/>
    <mergeCell ref="AJ604:AK604"/>
    <mergeCell ref="AL604:AM604"/>
    <mergeCell ref="AN604:AO604"/>
    <mergeCell ref="AP604:AQ604"/>
    <mergeCell ref="AR604:AS604"/>
    <mergeCell ref="AP602:AQ602"/>
    <mergeCell ref="AR602:AS602"/>
    <mergeCell ref="AT602:AU602"/>
    <mergeCell ref="AX602:AZ602"/>
    <mergeCell ref="BA602:BB602"/>
    <mergeCell ref="BD602:BE602"/>
    <mergeCell ref="BF602:BI602"/>
    <mergeCell ref="BJ602:BM602"/>
    <mergeCell ref="BN602:BV602"/>
    <mergeCell ref="B603:C603"/>
    <mergeCell ref="D603:E603"/>
    <mergeCell ref="F603:G603"/>
    <mergeCell ref="H603:I603"/>
    <mergeCell ref="L603:M603"/>
    <mergeCell ref="P603:Q603"/>
    <mergeCell ref="R603:S603"/>
    <mergeCell ref="T603:U603"/>
    <mergeCell ref="V603:W603"/>
    <mergeCell ref="X603:AA603"/>
    <mergeCell ref="AB603:AE603"/>
    <mergeCell ref="AJ603:AK603"/>
    <mergeCell ref="AL603:AM603"/>
    <mergeCell ref="AN603:AO603"/>
    <mergeCell ref="AP603:AQ603"/>
    <mergeCell ref="AV603:AW603"/>
    <mergeCell ref="AV604:AW604"/>
    <mergeCell ref="AF603:AG603"/>
    <mergeCell ref="AF604:AG604"/>
    <mergeCell ref="AX605:AZ605"/>
    <mergeCell ref="BA605:BB605"/>
    <mergeCell ref="BD605:BE605"/>
    <mergeCell ref="BF605:BI605"/>
    <mergeCell ref="BJ605:BM605"/>
    <mergeCell ref="BN605:BV605"/>
    <mergeCell ref="B606:C606"/>
    <mergeCell ref="D606:E606"/>
    <mergeCell ref="F606:G606"/>
    <mergeCell ref="H606:I606"/>
    <mergeCell ref="P606:Q606"/>
    <mergeCell ref="R606:S606"/>
    <mergeCell ref="T606:U606"/>
    <mergeCell ref="V606:W606"/>
    <mergeCell ref="X606:AA606"/>
    <mergeCell ref="AB606:AE606"/>
    <mergeCell ref="AJ606:AK606"/>
    <mergeCell ref="AL606:AM606"/>
    <mergeCell ref="AN606:AO606"/>
    <mergeCell ref="AP606:AQ606"/>
    <mergeCell ref="AR606:AS606"/>
    <mergeCell ref="AT606:AU606"/>
    <mergeCell ref="AX606:AZ606"/>
    <mergeCell ref="AT604:AU604"/>
    <mergeCell ref="AX604:AZ604"/>
    <mergeCell ref="BA604:BB604"/>
    <mergeCell ref="BD604:BE604"/>
    <mergeCell ref="BF604:BI604"/>
    <mergeCell ref="BJ604:BM604"/>
    <mergeCell ref="BN604:BV604"/>
    <mergeCell ref="B605:C605"/>
    <mergeCell ref="D605:E605"/>
    <mergeCell ref="F605:G605"/>
    <mergeCell ref="H605:I605"/>
    <mergeCell ref="L605:M605"/>
    <mergeCell ref="P605:Q605"/>
    <mergeCell ref="R605:S605"/>
    <mergeCell ref="T605:U605"/>
    <mergeCell ref="V605:W605"/>
    <mergeCell ref="X605:AA605"/>
    <mergeCell ref="AB605:AE605"/>
    <mergeCell ref="AJ605:AK605"/>
    <mergeCell ref="AL605:AM605"/>
    <mergeCell ref="AN605:AO605"/>
    <mergeCell ref="AP605:AQ605"/>
    <mergeCell ref="AR605:AS605"/>
    <mergeCell ref="AT605:AU605"/>
    <mergeCell ref="AV605:AW605"/>
    <mergeCell ref="AV606:AW606"/>
    <mergeCell ref="AH604:AI604"/>
    <mergeCell ref="AH605:AI605"/>
    <mergeCell ref="AF605:AG605"/>
    <mergeCell ref="AF606:AG606"/>
    <mergeCell ref="BD607:BE607"/>
    <mergeCell ref="BF607:BI607"/>
    <mergeCell ref="BJ607:BM607"/>
    <mergeCell ref="BN607:BV607"/>
    <mergeCell ref="B608:C608"/>
    <mergeCell ref="D608:E608"/>
    <mergeCell ref="F608:G608"/>
    <mergeCell ref="H608:I608"/>
    <mergeCell ref="P608:Q608"/>
    <mergeCell ref="R608:S608"/>
    <mergeCell ref="T608:U608"/>
    <mergeCell ref="V608:W608"/>
    <mergeCell ref="X608:AA608"/>
    <mergeCell ref="AB608:AE608"/>
    <mergeCell ref="AJ608:AK608"/>
    <mergeCell ref="AL608:AM608"/>
    <mergeCell ref="AN608:AO608"/>
    <mergeCell ref="AP608:AQ608"/>
    <mergeCell ref="AR608:AS608"/>
    <mergeCell ref="AT608:AU608"/>
    <mergeCell ref="AX608:AZ608"/>
    <mergeCell ref="BA608:BB608"/>
    <mergeCell ref="BD608:BE608"/>
    <mergeCell ref="BA606:BB606"/>
    <mergeCell ref="BD606:BE606"/>
    <mergeCell ref="BF606:BI606"/>
    <mergeCell ref="BJ606:BM606"/>
    <mergeCell ref="BN606:BV606"/>
    <mergeCell ref="B607:C607"/>
    <mergeCell ref="D607:E607"/>
    <mergeCell ref="F607:G607"/>
    <mergeCell ref="H607:I607"/>
    <mergeCell ref="L607:M607"/>
    <mergeCell ref="P607:Q607"/>
    <mergeCell ref="R607:S607"/>
    <mergeCell ref="T607:U607"/>
    <mergeCell ref="V607:W607"/>
    <mergeCell ref="X607:AA607"/>
    <mergeCell ref="AB607:AE607"/>
    <mergeCell ref="AJ607:AK607"/>
    <mergeCell ref="AL607:AM607"/>
    <mergeCell ref="AN607:AO607"/>
    <mergeCell ref="AP607:AQ607"/>
    <mergeCell ref="AR607:AS607"/>
    <mergeCell ref="AT607:AU607"/>
    <mergeCell ref="AX607:AZ607"/>
    <mergeCell ref="BA607:BB607"/>
    <mergeCell ref="AV607:AW607"/>
    <mergeCell ref="AV608:AW608"/>
    <mergeCell ref="AH606:AI606"/>
    <mergeCell ref="AH607:AI607"/>
    <mergeCell ref="AF607:AG607"/>
    <mergeCell ref="AF608:AG608"/>
    <mergeCell ref="BJ609:BM609"/>
    <mergeCell ref="BN609:BV609"/>
    <mergeCell ref="B610:C610"/>
    <mergeCell ref="D610:E610"/>
    <mergeCell ref="F610:G610"/>
    <mergeCell ref="H610:I610"/>
    <mergeCell ref="P610:Q610"/>
    <mergeCell ref="R610:S610"/>
    <mergeCell ref="T610:U610"/>
    <mergeCell ref="V610:W610"/>
    <mergeCell ref="X610:AA610"/>
    <mergeCell ref="AB610:AE610"/>
    <mergeCell ref="AJ610:AK610"/>
    <mergeCell ref="AL610:AM610"/>
    <mergeCell ref="AN610:AO610"/>
    <mergeCell ref="AP610:AQ610"/>
    <mergeCell ref="AR610:AS610"/>
    <mergeCell ref="AT610:AU610"/>
    <mergeCell ref="AX610:AZ610"/>
    <mergeCell ref="BA610:BB610"/>
    <mergeCell ref="BD610:BE610"/>
    <mergeCell ref="BF610:BI610"/>
    <mergeCell ref="BJ610:BM610"/>
    <mergeCell ref="BF608:BI608"/>
    <mergeCell ref="BJ608:BM608"/>
    <mergeCell ref="BN608:BV608"/>
    <mergeCell ref="B609:C609"/>
    <mergeCell ref="D609:E609"/>
    <mergeCell ref="F609:G609"/>
    <mergeCell ref="H609:I609"/>
    <mergeCell ref="L609:M609"/>
    <mergeCell ref="P609:Q609"/>
    <mergeCell ref="R609:S609"/>
    <mergeCell ref="T609:U609"/>
    <mergeCell ref="V609:W609"/>
    <mergeCell ref="X609:AA609"/>
    <mergeCell ref="AB609:AE609"/>
    <mergeCell ref="AJ609:AK609"/>
    <mergeCell ref="AL609:AM609"/>
    <mergeCell ref="AN609:AO609"/>
    <mergeCell ref="AP609:AQ609"/>
    <mergeCell ref="AR609:AS609"/>
    <mergeCell ref="AT609:AU609"/>
    <mergeCell ref="AX609:AZ609"/>
    <mergeCell ref="BA609:BB609"/>
    <mergeCell ref="BD609:BE609"/>
    <mergeCell ref="BF609:BI609"/>
    <mergeCell ref="AV609:AW609"/>
    <mergeCell ref="AV610:AW610"/>
    <mergeCell ref="AH608:AI608"/>
    <mergeCell ref="AH609:AI609"/>
    <mergeCell ref="AF609:AG609"/>
    <mergeCell ref="AF610:AG610"/>
    <mergeCell ref="BN611:BV611"/>
    <mergeCell ref="B612:C612"/>
    <mergeCell ref="D612:E612"/>
    <mergeCell ref="F612:G612"/>
    <mergeCell ref="H612:I612"/>
    <mergeCell ref="L612:M612"/>
    <mergeCell ref="P612:Q612"/>
    <mergeCell ref="R612:S612"/>
    <mergeCell ref="T612:U612"/>
    <mergeCell ref="V612:W612"/>
    <mergeCell ref="X612:AA612"/>
    <mergeCell ref="AB612:AE612"/>
    <mergeCell ref="AJ612:AK612"/>
    <mergeCell ref="AL612:AM612"/>
    <mergeCell ref="AN612:AO612"/>
    <mergeCell ref="AP612:AQ612"/>
    <mergeCell ref="AR612:AS612"/>
    <mergeCell ref="AT612:AU612"/>
    <mergeCell ref="AX612:AZ612"/>
    <mergeCell ref="BA612:BB612"/>
    <mergeCell ref="BD612:BE612"/>
    <mergeCell ref="BF612:BI612"/>
    <mergeCell ref="BJ612:BM612"/>
    <mergeCell ref="BN610:BV610"/>
    <mergeCell ref="B611:C611"/>
    <mergeCell ref="D611:E611"/>
    <mergeCell ref="F611:G611"/>
    <mergeCell ref="H611:I611"/>
    <mergeCell ref="L611:M611"/>
    <mergeCell ref="P611:Q611"/>
    <mergeCell ref="R611:S611"/>
    <mergeCell ref="T611:U611"/>
    <mergeCell ref="V611:W611"/>
    <mergeCell ref="X611:AA611"/>
    <mergeCell ref="AB611:AE611"/>
    <mergeCell ref="AJ611:AK611"/>
    <mergeCell ref="AL611:AM611"/>
    <mergeCell ref="AN611:AO611"/>
    <mergeCell ref="AP611:AQ611"/>
    <mergeCell ref="AR611:AS611"/>
    <mergeCell ref="AT611:AU611"/>
    <mergeCell ref="AX611:AZ611"/>
    <mergeCell ref="BA611:BB611"/>
    <mergeCell ref="BD611:BE611"/>
    <mergeCell ref="BF611:BI611"/>
    <mergeCell ref="BJ611:BM611"/>
    <mergeCell ref="AV611:AW611"/>
    <mergeCell ref="AV612:AW612"/>
    <mergeCell ref="AH610:AI610"/>
    <mergeCell ref="AH611:AI611"/>
    <mergeCell ref="AF611:AG611"/>
    <mergeCell ref="AF612:AG612"/>
    <mergeCell ref="BN613:BV613"/>
    <mergeCell ref="B614:C614"/>
    <mergeCell ref="D614:E614"/>
    <mergeCell ref="F614:G614"/>
    <mergeCell ref="H614:I614"/>
    <mergeCell ref="L614:M614"/>
    <mergeCell ref="P614:Q614"/>
    <mergeCell ref="R614:S614"/>
    <mergeCell ref="T614:U614"/>
    <mergeCell ref="V614:W614"/>
    <mergeCell ref="X614:AA614"/>
    <mergeCell ref="AB614:AE614"/>
    <mergeCell ref="AJ614:AK614"/>
    <mergeCell ref="AL614:AM614"/>
    <mergeCell ref="AN614:AO614"/>
    <mergeCell ref="AP614:AQ614"/>
    <mergeCell ref="AR614:AS614"/>
    <mergeCell ref="AT614:AU614"/>
    <mergeCell ref="AX614:AZ614"/>
    <mergeCell ref="BA614:BB614"/>
    <mergeCell ref="BD614:BE614"/>
    <mergeCell ref="BF614:BI614"/>
    <mergeCell ref="BJ614:BM614"/>
    <mergeCell ref="BN614:BV614"/>
    <mergeCell ref="BN612:BV612"/>
    <mergeCell ref="B613:C613"/>
    <mergeCell ref="D613:E613"/>
    <mergeCell ref="F613:G613"/>
    <mergeCell ref="H613:I613"/>
    <mergeCell ref="L613:M613"/>
    <mergeCell ref="P613:Q613"/>
    <mergeCell ref="R613:S613"/>
    <mergeCell ref="T613:U613"/>
    <mergeCell ref="V613:W613"/>
    <mergeCell ref="X613:AA613"/>
    <mergeCell ref="AB613:AE613"/>
    <mergeCell ref="AJ613:AK613"/>
    <mergeCell ref="AL613:AM613"/>
    <mergeCell ref="AN613:AO613"/>
    <mergeCell ref="AP613:AQ613"/>
    <mergeCell ref="AR613:AS613"/>
    <mergeCell ref="AT613:AU613"/>
    <mergeCell ref="AX613:AZ613"/>
    <mergeCell ref="BA613:BB613"/>
    <mergeCell ref="BD613:BE613"/>
    <mergeCell ref="BF613:BI613"/>
    <mergeCell ref="BJ613:BM613"/>
    <mergeCell ref="AV613:AW613"/>
    <mergeCell ref="AV614:AW614"/>
    <mergeCell ref="AH612:AI612"/>
    <mergeCell ref="AH613:AI613"/>
    <mergeCell ref="AH614:AI614"/>
    <mergeCell ref="AF613:AG613"/>
    <mergeCell ref="AF614:AG614"/>
    <mergeCell ref="AN616:AO616"/>
    <mergeCell ref="AP616:AQ616"/>
    <mergeCell ref="AR616:AS616"/>
    <mergeCell ref="AT616:AU616"/>
    <mergeCell ref="AX616:AZ616"/>
    <mergeCell ref="BA616:BB616"/>
    <mergeCell ref="BD616:BE616"/>
    <mergeCell ref="BF616:BI616"/>
    <mergeCell ref="BJ616:BM616"/>
    <mergeCell ref="BN616:BV616"/>
    <mergeCell ref="B617:C617"/>
    <mergeCell ref="D617:E617"/>
    <mergeCell ref="F617:G617"/>
    <mergeCell ref="H617:I617"/>
    <mergeCell ref="L617:M617"/>
    <mergeCell ref="P617:Q617"/>
    <mergeCell ref="R617:S617"/>
    <mergeCell ref="T617:U617"/>
    <mergeCell ref="V617:W617"/>
    <mergeCell ref="X617:AA617"/>
    <mergeCell ref="AB617:AE617"/>
    <mergeCell ref="AJ617:AK617"/>
    <mergeCell ref="AL617:AM617"/>
    <mergeCell ref="AN617:AO617"/>
    <mergeCell ref="AL615:AM615"/>
    <mergeCell ref="AN615:AO615"/>
    <mergeCell ref="AP615:AQ615"/>
    <mergeCell ref="AR615:AS615"/>
    <mergeCell ref="AT615:AU615"/>
    <mergeCell ref="AX615:AZ615"/>
    <mergeCell ref="BA615:BB615"/>
    <mergeCell ref="BD615:BE615"/>
    <mergeCell ref="BF615:BI615"/>
    <mergeCell ref="BJ615:BM615"/>
    <mergeCell ref="BN615:BV615"/>
    <mergeCell ref="B616:C616"/>
    <mergeCell ref="D616:E616"/>
    <mergeCell ref="F616:G616"/>
    <mergeCell ref="H616:I616"/>
    <mergeCell ref="L616:M616"/>
    <mergeCell ref="P616:Q616"/>
    <mergeCell ref="R616:S616"/>
    <mergeCell ref="T616:U616"/>
    <mergeCell ref="V616:W616"/>
    <mergeCell ref="X616:AA616"/>
    <mergeCell ref="AB616:AE616"/>
    <mergeCell ref="AJ616:AK616"/>
    <mergeCell ref="AL616:AM616"/>
    <mergeCell ref="B615:C615"/>
    <mergeCell ref="D615:E615"/>
    <mergeCell ref="F615:G615"/>
    <mergeCell ref="H615:I615"/>
    <mergeCell ref="L615:M615"/>
    <mergeCell ref="P615:Q615"/>
    <mergeCell ref="R615:S615"/>
    <mergeCell ref="T615:U615"/>
    <mergeCell ref="V615:W615"/>
    <mergeCell ref="X615:AA615"/>
    <mergeCell ref="AB615:AE615"/>
    <mergeCell ref="AJ615:AK615"/>
    <mergeCell ref="AV615:AW615"/>
    <mergeCell ref="AV616:AW616"/>
    <mergeCell ref="AV617:AW617"/>
    <mergeCell ref="AH615:AI615"/>
    <mergeCell ref="AR618:AS618"/>
    <mergeCell ref="AT618:AU618"/>
    <mergeCell ref="AX618:AZ618"/>
    <mergeCell ref="BA618:BB618"/>
    <mergeCell ref="BD618:BE618"/>
    <mergeCell ref="BF618:BI618"/>
    <mergeCell ref="BJ618:BM618"/>
    <mergeCell ref="BN618:BV618"/>
    <mergeCell ref="B619:C619"/>
    <mergeCell ref="D619:E619"/>
    <mergeCell ref="F619:G619"/>
    <mergeCell ref="H619:I619"/>
    <mergeCell ref="L619:M619"/>
    <mergeCell ref="P619:Q619"/>
    <mergeCell ref="R619:S619"/>
    <mergeCell ref="T619:U619"/>
    <mergeCell ref="V619:W619"/>
    <mergeCell ref="X619:AA619"/>
    <mergeCell ref="AB619:AE619"/>
    <mergeCell ref="AJ619:AK619"/>
    <mergeCell ref="AL619:AM619"/>
    <mergeCell ref="AN619:AO619"/>
    <mergeCell ref="AP619:AQ619"/>
    <mergeCell ref="AR619:AS619"/>
    <mergeCell ref="AP617:AQ617"/>
    <mergeCell ref="AR617:AS617"/>
    <mergeCell ref="AT617:AU617"/>
    <mergeCell ref="AX617:AZ617"/>
    <mergeCell ref="BA617:BB617"/>
    <mergeCell ref="BD617:BE617"/>
    <mergeCell ref="BF617:BI617"/>
    <mergeCell ref="BJ617:BM617"/>
    <mergeCell ref="BN617:BV617"/>
    <mergeCell ref="B618:C618"/>
    <mergeCell ref="D618:E618"/>
    <mergeCell ref="F618:G618"/>
    <mergeCell ref="H618:I618"/>
    <mergeCell ref="L618:M618"/>
    <mergeCell ref="P618:Q618"/>
    <mergeCell ref="R618:S618"/>
    <mergeCell ref="T618:U618"/>
    <mergeCell ref="V618:W618"/>
    <mergeCell ref="X618:AA618"/>
    <mergeCell ref="AB618:AE618"/>
    <mergeCell ref="AJ618:AK618"/>
    <mergeCell ref="AL618:AM618"/>
    <mergeCell ref="AN618:AO618"/>
    <mergeCell ref="AP618:AQ618"/>
    <mergeCell ref="AV618:AW618"/>
    <mergeCell ref="AV619:AW619"/>
    <mergeCell ref="AX620:AZ620"/>
    <mergeCell ref="BA620:BB620"/>
    <mergeCell ref="BD620:BE620"/>
    <mergeCell ref="BF620:BI620"/>
    <mergeCell ref="BJ620:BM620"/>
    <mergeCell ref="BN620:BV620"/>
    <mergeCell ref="B621:C621"/>
    <mergeCell ref="D621:E621"/>
    <mergeCell ref="F621:G621"/>
    <mergeCell ref="H621:I621"/>
    <mergeCell ref="L621:M621"/>
    <mergeCell ref="P621:Q621"/>
    <mergeCell ref="R621:S621"/>
    <mergeCell ref="T621:U621"/>
    <mergeCell ref="V621:W621"/>
    <mergeCell ref="X621:AA621"/>
    <mergeCell ref="AB621:AE621"/>
    <mergeCell ref="AJ621:AK621"/>
    <mergeCell ref="AL621:AM621"/>
    <mergeCell ref="AN621:AO621"/>
    <mergeCell ref="AP621:AQ621"/>
    <mergeCell ref="AR621:AS621"/>
    <mergeCell ref="AT621:AU621"/>
    <mergeCell ref="AX621:AZ621"/>
    <mergeCell ref="AT619:AU619"/>
    <mergeCell ref="AX619:AZ619"/>
    <mergeCell ref="BA619:BB619"/>
    <mergeCell ref="BD619:BE619"/>
    <mergeCell ref="BF619:BI619"/>
    <mergeCell ref="BJ619:BM619"/>
    <mergeCell ref="BN619:BV619"/>
    <mergeCell ref="B620:C620"/>
    <mergeCell ref="D620:E620"/>
    <mergeCell ref="F620:G620"/>
    <mergeCell ref="H620:I620"/>
    <mergeCell ref="L620:M620"/>
    <mergeCell ref="P620:Q620"/>
    <mergeCell ref="R620:S620"/>
    <mergeCell ref="T620:U620"/>
    <mergeCell ref="V620:W620"/>
    <mergeCell ref="X620:AA620"/>
    <mergeCell ref="AB620:AE620"/>
    <mergeCell ref="AJ620:AK620"/>
    <mergeCell ref="AL620:AM620"/>
    <mergeCell ref="AN620:AO620"/>
    <mergeCell ref="AP620:AQ620"/>
    <mergeCell ref="AR620:AS620"/>
    <mergeCell ref="AT620:AU620"/>
    <mergeCell ref="AV620:AW620"/>
    <mergeCell ref="AV621:AW621"/>
    <mergeCell ref="BD622:BE622"/>
    <mergeCell ref="BF622:BI622"/>
    <mergeCell ref="BJ622:BM622"/>
    <mergeCell ref="BN622:BV622"/>
    <mergeCell ref="B623:C623"/>
    <mergeCell ref="D623:E623"/>
    <mergeCell ref="F623:G623"/>
    <mergeCell ref="H623:I623"/>
    <mergeCell ref="L623:M623"/>
    <mergeCell ref="P623:Q623"/>
    <mergeCell ref="R623:S623"/>
    <mergeCell ref="T623:U623"/>
    <mergeCell ref="V623:W623"/>
    <mergeCell ref="X623:AA623"/>
    <mergeCell ref="AB623:AE623"/>
    <mergeCell ref="AJ623:AK623"/>
    <mergeCell ref="AL623:AM623"/>
    <mergeCell ref="AN623:AO623"/>
    <mergeCell ref="AP623:AQ623"/>
    <mergeCell ref="AR623:AS623"/>
    <mergeCell ref="AT623:AU623"/>
    <mergeCell ref="AX623:AZ623"/>
    <mergeCell ref="BA623:BB623"/>
    <mergeCell ref="BD623:BE623"/>
    <mergeCell ref="BA621:BB621"/>
    <mergeCell ref="BD621:BE621"/>
    <mergeCell ref="BF621:BI621"/>
    <mergeCell ref="BJ621:BM621"/>
    <mergeCell ref="BN621:BV621"/>
    <mergeCell ref="B622:C622"/>
    <mergeCell ref="D622:E622"/>
    <mergeCell ref="F622:G622"/>
    <mergeCell ref="H622:I622"/>
    <mergeCell ref="L622:M622"/>
    <mergeCell ref="P622:Q622"/>
    <mergeCell ref="R622:S622"/>
    <mergeCell ref="T622:U622"/>
    <mergeCell ref="V622:W622"/>
    <mergeCell ref="X622:AA622"/>
    <mergeCell ref="AB622:AE622"/>
    <mergeCell ref="AJ622:AK622"/>
    <mergeCell ref="AL622:AM622"/>
    <mergeCell ref="AN622:AO622"/>
    <mergeCell ref="AP622:AQ622"/>
    <mergeCell ref="AR622:AS622"/>
    <mergeCell ref="AT622:AU622"/>
    <mergeCell ref="AX622:AZ622"/>
    <mergeCell ref="BA622:BB622"/>
    <mergeCell ref="AV622:AW622"/>
    <mergeCell ref="AV623:AW623"/>
    <mergeCell ref="BJ624:BM624"/>
    <mergeCell ref="BN624:BV624"/>
    <mergeCell ref="B625:C625"/>
    <mergeCell ref="D625:E625"/>
    <mergeCell ref="F625:G625"/>
    <mergeCell ref="H625:I625"/>
    <mergeCell ref="L625:M625"/>
    <mergeCell ref="P625:Q625"/>
    <mergeCell ref="R625:S625"/>
    <mergeCell ref="T625:U625"/>
    <mergeCell ref="V625:W625"/>
    <mergeCell ref="X625:AA625"/>
    <mergeCell ref="AB625:AE625"/>
    <mergeCell ref="AJ625:AK625"/>
    <mergeCell ref="AL625:AM625"/>
    <mergeCell ref="AN625:AO625"/>
    <mergeCell ref="AP625:AQ625"/>
    <mergeCell ref="AR625:AS625"/>
    <mergeCell ref="AT625:AU625"/>
    <mergeCell ref="AX625:AZ625"/>
    <mergeCell ref="BA625:BB625"/>
    <mergeCell ref="BD625:BE625"/>
    <mergeCell ref="BF625:BI625"/>
    <mergeCell ref="BJ625:BM625"/>
    <mergeCell ref="BF623:BI623"/>
    <mergeCell ref="BJ623:BM623"/>
    <mergeCell ref="BN623:BV623"/>
    <mergeCell ref="B624:C624"/>
    <mergeCell ref="D624:E624"/>
    <mergeCell ref="F624:G624"/>
    <mergeCell ref="H624:I624"/>
    <mergeCell ref="L624:M624"/>
    <mergeCell ref="P624:Q624"/>
    <mergeCell ref="R624:S624"/>
    <mergeCell ref="T624:U624"/>
    <mergeCell ref="V624:W624"/>
    <mergeCell ref="X624:AA624"/>
    <mergeCell ref="AB624:AE624"/>
    <mergeCell ref="AJ624:AK624"/>
    <mergeCell ref="AL624:AM624"/>
    <mergeCell ref="AN624:AO624"/>
    <mergeCell ref="AP624:AQ624"/>
    <mergeCell ref="AR624:AS624"/>
    <mergeCell ref="AT624:AU624"/>
    <mergeCell ref="AX624:AZ624"/>
    <mergeCell ref="BA624:BB624"/>
    <mergeCell ref="BD624:BE624"/>
    <mergeCell ref="BF624:BI624"/>
    <mergeCell ref="AV624:AW624"/>
    <mergeCell ref="AV625:AW625"/>
    <mergeCell ref="BN626:BV626"/>
    <mergeCell ref="B627:C627"/>
    <mergeCell ref="D627:E627"/>
    <mergeCell ref="F627:G627"/>
    <mergeCell ref="H627:I627"/>
    <mergeCell ref="L627:M627"/>
    <mergeCell ref="P627:Q627"/>
    <mergeCell ref="R627:S627"/>
    <mergeCell ref="T627:U627"/>
    <mergeCell ref="V627:W627"/>
    <mergeCell ref="X627:AA627"/>
    <mergeCell ref="AB627:AE627"/>
    <mergeCell ref="AJ627:AK627"/>
    <mergeCell ref="AL627:AM627"/>
    <mergeCell ref="AN627:AO627"/>
    <mergeCell ref="AP627:AQ627"/>
    <mergeCell ref="AR627:AS627"/>
    <mergeCell ref="AT627:AU627"/>
    <mergeCell ref="AX627:AZ627"/>
    <mergeCell ref="BA627:BB627"/>
    <mergeCell ref="BD627:BE627"/>
    <mergeCell ref="BF627:BI627"/>
    <mergeCell ref="BJ627:BM627"/>
    <mergeCell ref="BN625:BV625"/>
    <mergeCell ref="B626:C626"/>
    <mergeCell ref="D626:E626"/>
    <mergeCell ref="F626:G626"/>
    <mergeCell ref="H626:I626"/>
    <mergeCell ref="L626:M626"/>
    <mergeCell ref="P626:Q626"/>
    <mergeCell ref="R626:S626"/>
    <mergeCell ref="T626:U626"/>
    <mergeCell ref="V626:W626"/>
    <mergeCell ref="X626:AA626"/>
    <mergeCell ref="AB626:AE626"/>
    <mergeCell ref="AJ626:AK626"/>
    <mergeCell ref="AL626:AM626"/>
    <mergeCell ref="AN626:AO626"/>
    <mergeCell ref="AP626:AQ626"/>
    <mergeCell ref="AR626:AS626"/>
    <mergeCell ref="AT626:AU626"/>
    <mergeCell ref="AX626:AZ626"/>
    <mergeCell ref="BA626:BB626"/>
    <mergeCell ref="BD626:BE626"/>
    <mergeCell ref="BF626:BI626"/>
    <mergeCell ref="BJ626:BM626"/>
    <mergeCell ref="AV626:AW626"/>
    <mergeCell ref="AV627:AW627"/>
    <mergeCell ref="BN628:BV628"/>
    <mergeCell ref="B629:C629"/>
    <mergeCell ref="D629:E629"/>
    <mergeCell ref="F629:G629"/>
    <mergeCell ref="H629:I629"/>
    <mergeCell ref="L629:M629"/>
    <mergeCell ref="P629:Q629"/>
    <mergeCell ref="R629:S629"/>
    <mergeCell ref="T629:U629"/>
    <mergeCell ref="V629:W629"/>
    <mergeCell ref="X629:AA629"/>
    <mergeCell ref="AB629:AE629"/>
    <mergeCell ref="AJ629:AK629"/>
    <mergeCell ref="AL629:AM629"/>
    <mergeCell ref="AN629:AO629"/>
    <mergeCell ref="AP629:AQ629"/>
    <mergeCell ref="AR629:AS629"/>
    <mergeCell ref="AT629:AU629"/>
    <mergeCell ref="AX629:AZ629"/>
    <mergeCell ref="BA629:BB629"/>
    <mergeCell ref="BD629:BE629"/>
    <mergeCell ref="BF629:BI629"/>
    <mergeCell ref="BJ629:BM629"/>
    <mergeCell ref="BN629:BV629"/>
    <mergeCell ref="BN627:BV627"/>
    <mergeCell ref="B628:C628"/>
    <mergeCell ref="D628:E628"/>
    <mergeCell ref="F628:G628"/>
    <mergeCell ref="H628:I628"/>
    <mergeCell ref="L628:M628"/>
    <mergeCell ref="P628:Q628"/>
    <mergeCell ref="R628:S628"/>
    <mergeCell ref="T628:U628"/>
    <mergeCell ref="V628:W628"/>
    <mergeCell ref="X628:AA628"/>
    <mergeCell ref="AB628:AE628"/>
    <mergeCell ref="AJ628:AK628"/>
    <mergeCell ref="AL628:AM628"/>
    <mergeCell ref="AN628:AO628"/>
    <mergeCell ref="AP628:AQ628"/>
    <mergeCell ref="AR628:AS628"/>
    <mergeCell ref="AT628:AU628"/>
    <mergeCell ref="AX628:AZ628"/>
    <mergeCell ref="BA628:BB628"/>
    <mergeCell ref="BD628:BE628"/>
    <mergeCell ref="BF628:BI628"/>
    <mergeCell ref="BJ628:BM628"/>
    <mergeCell ref="AV628:AW628"/>
    <mergeCell ref="AV629:AW629"/>
    <mergeCell ref="AN631:AO631"/>
    <mergeCell ref="AP631:AQ631"/>
    <mergeCell ref="AR631:AS631"/>
    <mergeCell ref="AT631:AU631"/>
    <mergeCell ref="AX631:AZ631"/>
    <mergeCell ref="BA631:BB631"/>
    <mergeCell ref="BD631:BE631"/>
    <mergeCell ref="BF631:BI631"/>
    <mergeCell ref="BJ631:BM631"/>
    <mergeCell ref="BN631:BV631"/>
    <mergeCell ref="B632:C632"/>
    <mergeCell ref="D632:E632"/>
    <mergeCell ref="F632:G632"/>
    <mergeCell ref="H632:I632"/>
    <mergeCell ref="L632:M632"/>
    <mergeCell ref="P632:Q632"/>
    <mergeCell ref="R632:S632"/>
    <mergeCell ref="T632:U632"/>
    <mergeCell ref="V632:W632"/>
    <mergeCell ref="X632:AA632"/>
    <mergeCell ref="AB632:AE632"/>
    <mergeCell ref="AJ632:AK632"/>
    <mergeCell ref="AL632:AM632"/>
    <mergeCell ref="AN632:AO632"/>
    <mergeCell ref="AL630:AM630"/>
    <mergeCell ref="AN630:AO630"/>
    <mergeCell ref="AP630:AQ630"/>
    <mergeCell ref="AR630:AS630"/>
    <mergeCell ref="AT630:AU630"/>
    <mergeCell ref="AX630:AZ630"/>
    <mergeCell ref="BA630:BB630"/>
    <mergeCell ref="BD630:BE630"/>
    <mergeCell ref="BF630:BI630"/>
    <mergeCell ref="BJ630:BM630"/>
    <mergeCell ref="BN630:BV630"/>
    <mergeCell ref="B631:C631"/>
    <mergeCell ref="D631:E631"/>
    <mergeCell ref="F631:G631"/>
    <mergeCell ref="H631:I631"/>
    <mergeCell ref="L631:M631"/>
    <mergeCell ref="P631:Q631"/>
    <mergeCell ref="R631:S631"/>
    <mergeCell ref="T631:U631"/>
    <mergeCell ref="V631:W631"/>
    <mergeCell ref="X631:AA631"/>
    <mergeCell ref="AB631:AE631"/>
    <mergeCell ref="AJ631:AK631"/>
    <mergeCell ref="AL631:AM631"/>
    <mergeCell ref="B630:C630"/>
    <mergeCell ref="D630:E630"/>
    <mergeCell ref="F630:G630"/>
    <mergeCell ref="H630:I630"/>
    <mergeCell ref="L630:M630"/>
    <mergeCell ref="P630:Q630"/>
    <mergeCell ref="R630:S630"/>
    <mergeCell ref="T630:U630"/>
    <mergeCell ref="V630:W630"/>
    <mergeCell ref="X630:AA630"/>
    <mergeCell ref="AB630:AE630"/>
    <mergeCell ref="AJ630:AK630"/>
    <mergeCell ref="AV630:AW630"/>
    <mergeCell ref="AV631:AW631"/>
    <mergeCell ref="AV632:AW632"/>
    <mergeCell ref="AF631:AG631"/>
    <mergeCell ref="AR633:AS633"/>
    <mergeCell ref="AT633:AU633"/>
    <mergeCell ref="AX633:AZ633"/>
    <mergeCell ref="BA633:BB633"/>
    <mergeCell ref="BD633:BE633"/>
    <mergeCell ref="BF633:BI633"/>
    <mergeCell ref="BJ633:BM633"/>
    <mergeCell ref="BN633:BV633"/>
    <mergeCell ref="B634:C634"/>
    <mergeCell ref="D634:E634"/>
    <mergeCell ref="F634:G634"/>
    <mergeCell ref="H634:I634"/>
    <mergeCell ref="L634:M634"/>
    <mergeCell ref="P634:Q634"/>
    <mergeCell ref="R634:S634"/>
    <mergeCell ref="T634:U634"/>
    <mergeCell ref="V634:W634"/>
    <mergeCell ref="X634:AA634"/>
    <mergeCell ref="AB634:AE634"/>
    <mergeCell ref="AJ634:AK634"/>
    <mergeCell ref="AL634:AM634"/>
    <mergeCell ref="AN634:AO634"/>
    <mergeCell ref="AP634:AQ634"/>
    <mergeCell ref="AR634:AS634"/>
    <mergeCell ref="AP632:AQ632"/>
    <mergeCell ref="AR632:AS632"/>
    <mergeCell ref="AT632:AU632"/>
    <mergeCell ref="AX632:AZ632"/>
    <mergeCell ref="BA632:BB632"/>
    <mergeCell ref="BD632:BE632"/>
    <mergeCell ref="BF632:BI632"/>
    <mergeCell ref="BJ632:BM632"/>
    <mergeCell ref="BN632:BV632"/>
    <mergeCell ref="B633:C633"/>
    <mergeCell ref="D633:E633"/>
    <mergeCell ref="F633:G633"/>
    <mergeCell ref="H633:I633"/>
    <mergeCell ref="L633:M633"/>
    <mergeCell ref="P633:Q633"/>
    <mergeCell ref="R633:S633"/>
    <mergeCell ref="T633:U633"/>
    <mergeCell ref="V633:W633"/>
    <mergeCell ref="X633:AA633"/>
    <mergeCell ref="AB633:AE633"/>
    <mergeCell ref="AJ633:AK633"/>
    <mergeCell ref="AL633:AM633"/>
    <mergeCell ref="AN633:AO633"/>
    <mergeCell ref="AP633:AQ633"/>
    <mergeCell ref="AV633:AW633"/>
    <mergeCell ref="AV634:AW634"/>
    <mergeCell ref="AF634:AG634"/>
    <mergeCell ref="AF632:AG632"/>
    <mergeCell ref="AF633:AG633"/>
    <mergeCell ref="J633:K633"/>
    <mergeCell ref="AX635:AZ635"/>
    <mergeCell ref="BA635:BB635"/>
    <mergeCell ref="BD635:BE635"/>
    <mergeCell ref="BF635:BI635"/>
    <mergeCell ref="BJ635:BM635"/>
    <mergeCell ref="BN635:BV635"/>
    <mergeCell ref="B636:C636"/>
    <mergeCell ref="D636:E636"/>
    <mergeCell ref="F636:G636"/>
    <mergeCell ref="H636:I636"/>
    <mergeCell ref="L636:M636"/>
    <mergeCell ref="P636:Q636"/>
    <mergeCell ref="R636:S636"/>
    <mergeCell ref="T636:U636"/>
    <mergeCell ref="V636:W636"/>
    <mergeCell ref="X636:AA636"/>
    <mergeCell ref="AB636:AE636"/>
    <mergeCell ref="AJ636:AK636"/>
    <mergeCell ref="AL636:AM636"/>
    <mergeCell ref="AN636:AO636"/>
    <mergeCell ref="AP636:AQ636"/>
    <mergeCell ref="AR636:AS636"/>
    <mergeCell ref="AT636:AU636"/>
    <mergeCell ref="AX636:AZ636"/>
    <mergeCell ref="AT634:AU634"/>
    <mergeCell ref="AX634:AZ634"/>
    <mergeCell ref="BA634:BB634"/>
    <mergeCell ref="BD634:BE634"/>
    <mergeCell ref="BF634:BI634"/>
    <mergeCell ref="BJ634:BM634"/>
    <mergeCell ref="BN634:BV634"/>
    <mergeCell ref="B635:C635"/>
    <mergeCell ref="D635:E635"/>
    <mergeCell ref="F635:G635"/>
    <mergeCell ref="H635:I635"/>
    <mergeCell ref="L635:M635"/>
    <mergeCell ref="P635:Q635"/>
    <mergeCell ref="R635:S635"/>
    <mergeCell ref="T635:U635"/>
    <mergeCell ref="V635:W635"/>
    <mergeCell ref="X635:AA635"/>
    <mergeCell ref="AB635:AE635"/>
    <mergeCell ref="AJ635:AK635"/>
    <mergeCell ref="AL635:AM635"/>
    <mergeCell ref="AN635:AO635"/>
    <mergeCell ref="AP635:AQ635"/>
    <mergeCell ref="AR635:AS635"/>
    <mergeCell ref="AT635:AU635"/>
    <mergeCell ref="AV635:AW635"/>
    <mergeCell ref="AV636:AW636"/>
    <mergeCell ref="AF635:AG635"/>
    <mergeCell ref="AF636:AG636"/>
    <mergeCell ref="J634:K634"/>
    <mergeCell ref="J635:K635"/>
    <mergeCell ref="BD637:BE637"/>
    <mergeCell ref="BF637:BI637"/>
    <mergeCell ref="BJ637:BM637"/>
    <mergeCell ref="BN637:BV637"/>
    <mergeCell ref="B638:C638"/>
    <mergeCell ref="D638:E638"/>
    <mergeCell ref="F638:G638"/>
    <mergeCell ref="H638:I638"/>
    <mergeCell ref="L638:M638"/>
    <mergeCell ref="P638:Q638"/>
    <mergeCell ref="R638:S638"/>
    <mergeCell ref="T638:U638"/>
    <mergeCell ref="V638:W638"/>
    <mergeCell ref="X638:AA638"/>
    <mergeCell ref="AB638:AE638"/>
    <mergeCell ref="AJ638:AK638"/>
    <mergeCell ref="AL638:AM638"/>
    <mergeCell ref="AN638:AO638"/>
    <mergeCell ref="AP638:AQ638"/>
    <mergeCell ref="AR638:AS638"/>
    <mergeCell ref="AT638:AU638"/>
    <mergeCell ref="AX638:AZ638"/>
    <mergeCell ref="BA638:BB638"/>
    <mergeCell ref="BD638:BE638"/>
    <mergeCell ref="BA636:BB636"/>
    <mergeCell ref="BD636:BE636"/>
    <mergeCell ref="BF636:BI636"/>
    <mergeCell ref="BJ636:BM636"/>
    <mergeCell ref="BN636:BV636"/>
    <mergeCell ref="B637:C637"/>
    <mergeCell ref="D637:E637"/>
    <mergeCell ref="F637:G637"/>
    <mergeCell ref="H637:I637"/>
    <mergeCell ref="L637:M637"/>
    <mergeCell ref="P637:Q637"/>
    <mergeCell ref="R637:S637"/>
    <mergeCell ref="T637:U637"/>
    <mergeCell ref="V637:W637"/>
    <mergeCell ref="X637:AA637"/>
    <mergeCell ref="AB637:AE637"/>
    <mergeCell ref="AJ637:AK637"/>
    <mergeCell ref="AL637:AM637"/>
    <mergeCell ref="AN637:AO637"/>
    <mergeCell ref="AP637:AQ637"/>
    <mergeCell ref="AR637:AS637"/>
    <mergeCell ref="AT637:AU637"/>
    <mergeCell ref="AX637:AZ637"/>
    <mergeCell ref="BA637:BB637"/>
    <mergeCell ref="AV637:AW637"/>
    <mergeCell ref="AV638:AW638"/>
    <mergeCell ref="AF637:AG637"/>
    <mergeCell ref="AF638:AG638"/>
    <mergeCell ref="J636:K636"/>
    <mergeCell ref="J637:K637"/>
    <mergeCell ref="BJ639:BM639"/>
    <mergeCell ref="BN639:BV639"/>
    <mergeCell ref="B640:C640"/>
    <mergeCell ref="D640:E640"/>
    <mergeCell ref="F640:G640"/>
    <mergeCell ref="H640:I640"/>
    <mergeCell ref="L640:M640"/>
    <mergeCell ref="P640:Q640"/>
    <mergeCell ref="R640:S640"/>
    <mergeCell ref="T640:U640"/>
    <mergeCell ref="V640:W640"/>
    <mergeCell ref="X640:AA640"/>
    <mergeCell ref="AB640:AE640"/>
    <mergeCell ref="AJ640:AK640"/>
    <mergeCell ref="AL640:AM640"/>
    <mergeCell ref="AN640:AO640"/>
    <mergeCell ref="AP640:AQ640"/>
    <mergeCell ref="AR640:AS640"/>
    <mergeCell ref="AT640:AU640"/>
    <mergeCell ref="AX640:AZ640"/>
    <mergeCell ref="BA640:BB640"/>
    <mergeCell ref="BD640:BE640"/>
    <mergeCell ref="BF640:BI640"/>
    <mergeCell ref="BJ640:BM640"/>
    <mergeCell ref="BF638:BI638"/>
    <mergeCell ref="BJ638:BM638"/>
    <mergeCell ref="BN638:BV638"/>
    <mergeCell ref="B639:C639"/>
    <mergeCell ref="D639:E639"/>
    <mergeCell ref="F639:G639"/>
    <mergeCell ref="H639:I639"/>
    <mergeCell ref="L639:M639"/>
    <mergeCell ref="P639:Q639"/>
    <mergeCell ref="R639:S639"/>
    <mergeCell ref="T639:U639"/>
    <mergeCell ref="V639:W639"/>
    <mergeCell ref="X639:AA639"/>
    <mergeCell ref="AB639:AE639"/>
    <mergeCell ref="AJ639:AK639"/>
    <mergeCell ref="AL639:AM639"/>
    <mergeCell ref="AN639:AO639"/>
    <mergeCell ref="AP639:AQ639"/>
    <mergeCell ref="AR639:AS639"/>
    <mergeCell ref="AT639:AU639"/>
    <mergeCell ref="AX639:AZ639"/>
    <mergeCell ref="BA639:BB639"/>
    <mergeCell ref="BD639:BE639"/>
    <mergeCell ref="BF639:BI639"/>
    <mergeCell ref="AV639:AW639"/>
    <mergeCell ref="AV640:AW640"/>
    <mergeCell ref="AF639:AG639"/>
    <mergeCell ref="AF640:AG640"/>
    <mergeCell ref="J638:K638"/>
    <mergeCell ref="J639:K639"/>
    <mergeCell ref="BN641:BV641"/>
    <mergeCell ref="B642:C642"/>
    <mergeCell ref="D642:E642"/>
    <mergeCell ref="F642:G642"/>
    <mergeCell ref="H642:I642"/>
    <mergeCell ref="L642:M642"/>
    <mergeCell ref="P642:Q642"/>
    <mergeCell ref="R642:S642"/>
    <mergeCell ref="T642:U642"/>
    <mergeCell ref="V642:W642"/>
    <mergeCell ref="X642:AA642"/>
    <mergeCell ref="AB642:AE642"/>
    <mergeCell ref="AJ642:AK642"/>
    <mergeCell ref="AL642:AM642"/>
    <mergeCell ref="AN642:AO642"/>
    <mergeCell ref="AP642:AQ642"/>
    <mergeCell ref="AR642:AS642"/>
    <mergeCell ref="AT642:AU642"/>
    <mergeCell ref="AX642:AZ642"/>
    <mergeCell ref="BA642:BB642"/>
    <mergeCell ref="BD642:BE642"/>
    <mergeCell ref="BF642:BI642"/>
    <mergeCell ref="BJ642:BM642"/>
    <mergeCell ref="BN640:BV640"/>
    <mergeCell ref="B641:C641"/>
    <mergeCell ref="D641:E641"/>
    <mergeCell ref="F641:G641"/>
    <mergeCell ref="H641:I641"/>
    <mergeCell ref="L641:M641"/>
    <mergeCell ref="P641:Q641"/>
    <mergeCell ref="R641:S641"/>
    <mergeCell ref="T641:U641"/>
    <mergeCell ref="V641:W641"/>
    <mergeCell ref="X641:AA641"/>
    <mergeCell ref="AB641:AE641"/>
    <mergeCell ref="AJ641:AK641"/>
    <mergeCell ref="AL641:AM641"/>
    <mergeCell ref="AN641:AO641"/>
    <mergeCell ref="AP641:AQ641"/>
    <mergeCell ref="AR641:AS641"/>
    <mergeCell ref="AT641:AU641"/>
    <mergeCell ref="AX641:AZ641"/>
    <mergeCell ref="BA641:BB641"/>
    <mergeCell ref="BD641:BE641"/>
    <mergeCell ref="BF641:BI641"/>
    <mergeCell ref="BJ641:BM641"/>
    <mergeCell ref="AV641:AW641"/>
    <mergeCell ref="AV642:AW642"/>
    <mergeCell ref="AF641:AG641"/>
    <mergeCell ref="AF642:AG642"/>
    <mergeCell ref="J640:K640"/>
    <mergeCell ref="J641:K641"/>
    <mergeCell ref="BN643:BV643"/>
    <mergeCell ref="B644:C644"/>
    <mergeCell ref="D644:E644"/>
    <mergeCell ref="F644:G644"/>
    <mergeCell ref="H644:I644"/>
    <mergeCell ref="L644:M644"/>
    <mergeCell ref="P644:Q644"/>
    <mergeCell ref="R644:S644"/>
    <mergeCell ref="T644:U644"/>
    <mergeCell ref="V644:W644"/>
    <mergeCell ref="X644:AA644"/>
    <mergeCell ref="AB644:AE644"/>
    <mergeCell ref="AJ644:AK644"/>
    <mergeCell ref="AL644:AM644"/>
    <mergeCell ref="AN644:AO644"/>
    <mergeCell ref="AP644:AQ644"/>
    <mergeCell ref="AR644:AS644"/>
    <mergeCell ref="AT644:AU644"/>
    <mergeCell ref="AX644:AZ644"/>
    <mergeCell ref="BA644:BB644"/>
    <mergeCell ref="BD644:BE644"/>
    <mergeCell ref="BF644:BI644"/>
    <mergeCell ref="BJ644:BM644"/>
    <mergeCell ref="BN644:BV644"/>
    <mergeCell ref="BN642:BV642"/>
    <mergeCell ref="B643:C643"/>
    <mergeCell ref="D643:E643"/>
    <mergeCell ref="F643:G643"/>
    <mergeCell ref="H643:I643"/>
    <mergeCell ref="L643:M643"/>
    <mergeCell ref="P643:Q643"/>
    <mergeCell ref="R643:S643"/>
    <mergeCell ref="T643:U643"/>
    <mergeCell ref="V643:W643"/>
    <mergeCell ref="X643:AA643"/>
    <mergeCell ref="AB643:AE643"/>
    <mergeCell ref="AJ643:AK643"/>
    <mergeCell ref="AL643:AM643"/>
    <mergeCell ref="AN643:AO643"/>
    <mergeCell ref="AP643:AQ643"/>
    <mergeCell ref="AR643:AS643"/>
    <mergeCell ref="AT643:AU643"/>
    <mergeCell ref="AX643:AZ643"/>
    <mergeCell ref="BA643:BB643"/>
    <mergeCell ref="BD643:BE643"/>
    <mergeCell ref="BF643:BI643"/>
    <mergeCell ref="BJ643:BM643"/>
    <mergeCell ref="AV643:AW643"/>
    <mergeCell ref="AV644:AW644"/>
    <mergeCell ref="AF643:AG643"/>
    <mergeCell ref="AF644:AG644"/>
    <mergeCell ref="J642:K642"/>
    <mergeCell ref="J643:K643"/>
    <mergeCell ref="J644:K644"/>
    <mergeCell ref="AN646:AO646"/>
    <mergeCell ref="AP646:AQ646"/>
    <mergeCell ref="AR646:AS646"/>
    <mergeCell ref="AT646:AU646"/>
    <mergeCell ref="AX646:AZ646"/>
    <mergeCell ref="BA646:BB646"/>
    <mergeCell ref="BD646:BE646"/>
    <mergeCell ref="BF646:BI646"/>
    <mergeCell ref="BJ646:BM646"/>
    <mergeCell ref="BN646:BV646"/>
    <mergeCell ref="B647:C647"/>
    <mergeCell ref="D647:E647"/>
    <mergeCell ref="F647:G647"/>
    <mergeCell ref="H647:I647"/>
    <mergeCell ref="L647:M647"/>
    <mergeCell ref="P647:Q647"/>
    <mergeCell ref="R647:S647"/>
    <mergeCell ref="T647:U647"/>
    <mergeCell ref="V647:W647"/>
    <mergeCell ref="X647:AA647"/>
    <mergeCell ref="AB647:AE647"/>
    <mergeCell ref="AJ647:AK647"/>
    <mergeCell ref="AL647:AM647"/>
    <mergeCell ref="AN647:AO647"/>
    <mergeCell ref="AL645:AM645"/>
    <mergeCell ref="AN645:AO645"/>
    <mergeCell ref="AP645:AQ645"/>
    <mergeCell ref="AR645:AS645"/>
    <mergeCell ref="AT645:AU645"/>
    <mergeCell ref="AX645:AZ645"/>
    <mergeCell ref="BA645:BB645"/>
    <mergeCell ref="BD645:BE645"/>
    <mergeCell ref="BF645:BI645"/>
    <mergeCell ref="BJ645:BM645"/>
    <mergeCell ref="BN645:BV645"/>
    <mergeCell ref="B646:C646"/>
    <mergeCell ref="D646:E646"/>
    <mergeCell ref="F646:G646"/>
    <mergeCell ref="H646:I646"/>
    <mergeCell ref="L646:M646"/>
    <mergeCell ref="P646:Q646"/>
    <mergeCell ref="R646:S646"/>
    <mergeCell ref="T646:U646"/>
    <mergeCell ref="V646:W646"/>
    <mergeCell ref="X646:AA646"/>
    <mergeCell ref="AB646:AE646"/>
    <mergeCell ref="AJ646:AK646"/>
    <mergeCell ref="AL646:AM646"/>
    <mergeCell ref="B645:C645"/>
    <mergeCell ref="D645:E645"/>
    <mergeCell ref="F645:G645"/>
    <mergeCell ref="H645:I645"/>
    <mergeCell ref="L645:M645"/>
    <mergeCell ref="P645:Q645"/>
    <mergeCell ref="R645:S645"/>
    <mergeCell ref="T645:U645"/>
    <mergeCell ref="V645:W645"/>
    <mergeCell ref="X645:AA645"/>
    <mergeCell ref="AB645:AE645"/>
    <mergeCell ref="AJ645:AK645"/>
    <mergeCell ref="AV645:AW645"/>
    <mergeCell ref="AV646:AW646"/>
    <mergeCell ref="AV647:AW647"/>
    <mergeCell ref="AF645:AG645"/>
    <mergeCell ref="AR648:AS648"/>
    <mergeCell ref="AT648:AU648"/>
    <mergeCell ref="AX648:AZ648"/>
    <mergeCell ref="BA648:BB648"/>
    <mergeCell ref="BD648:BE648"/>
    <mergeCell ref="BF648:BI648"/>
    <mergeCell ref="BJ648:BM648"/>
    <mergeCell ref="BN648:BV648"/>
    <mergeCell ref="B649:C649"/>
    <mergeCell ref="D649:E649"/>
    <mergeCell ref="F649:G649"/>
    <mergeCell ref="H649:I649"/>
    <mergeCell ref="L649:M649"/>
    <mergeCell ref="P649:Q649"/>
    <mergeCell ref="R649:S649"/>
    <mergeCell ref="T649:U649"/>
    <mergeCell ref="V649:W649"/>
    <mergeCell ref="X649:AA649"/>
    <mergeCell ref="AB649:AE649"/>
    <mergeCell ref="AJ649:AK649"/>
    <mergeCell ref="AL649:AM649"/>
    <mergeCell ref="AN649:AO649"/>
    <mergeCell ref="AP649:AQ649"/>
    <mergeCell ref="AR649:AS649"/>
    <mergeCell ref="AP647:AQ647"/>
    <mergeCell ref="AR647:AS647"/>
    <mergeCell ref="AT647:AU647"/>
    <mergeCell ref="AX647:AZ647"/>
    <mergeCell ref="BA647:BB647"/>
    <mergeCell ref="BD647:BE647"/>
    <mergeCell ref="BF647:BI647"/>
    <mergeCell ref="BJ647:BM647"/>
    <mergeCell ref="BN647:BV647"/>
    <mergeCell ref="B648:C648"/>
    <mergeCell ref="D648:E648"/>
    <mergeCell ref="F648:G648"/>
    <mergeCell ref="H648:I648"/>
    <mergeCell ref="L648:M648"/>
    <mergeCell ref="P648:Q648"/>
    <mergeCell ref="R648:S648"/>
    <mergeCell ref="T648:U648"/>
    <mergeCell ref="V648:W648"/>
    <mergeCell ref="X648:AA648"/>
    <mergeCell ref="AB648:AE648"/>
    <mergeCell ref="AJ648:AK648"/>
    <mergeCell ref="AL648:AM648"/>
    <mergeCell ref="AN648:AO648"/>
    <mergeCell ref="AP648:AQ648"/>
    <mergeCell ref="AV648:AW648"/>
    <mergeCell ref="AV649:AW649"/>
    <mergeCell ref="AX650:AZ650"/>
    <mergeCell ref="BA650:BB650"/>
    <mergeCell ref="BD650:BE650"/>
    <mergeCell ref="BF650:BI650"/>
    <mergeCell ref="BJ650:BM650"/>
    <mergeCell ref="BN650:BV650"/>
    <mergeCell ref="B651:C651"/>
    <mergeCell ref="D651:E651"/>
    <mergeCell ref="F651:G651"/>
    <mergeCell ref="H651:I651"/>
    <mergeCell ref="L651:M651"/>
    <mergeCell ref="P651:Q651"/>
    <mergeCell ref="R651:S651"/>
    <mergeCell ref="T651:U651"/>
    <mergeCell ref="V651:W651"/>
    <mergeCell ref="X651:AA651"/>
    <mergeCell ref="AB651:AE651"/>
    <mergeCell ref="AJ651:AK651"/>
    <mergeCell ref="AL651:AM651"/>
    <mergeCell ref="AN651:AO651"/>
    <mergeCell ref="AP651:AQ651"/>
    <mergeCell ref="AR651:AS651"/>
    <mergeCell ref="AT651:AU651"/>
    <mergeCell ref="AX651:AZ651"/>
    <mergeCell ref="AT649:AU649"/>
    <mergeCell ref="AX649:AZ649"/>
    <mergeCell ref="BA649:BB649"/>
    <mergeCell ref="BD649:BE649"/>
    <mergeCell ref="BF649:BI649"/>
    <mergeCell ref="BJ649:BM649"/>
    <mergeCell ref="BN649:BV649"/>
    <mergeCell ref="B650:C650"/>
    <mergeCell ref="D650:E650"/>
    <mergeCell ref="F650:G650"/>
    <mergeCell ref="H650:I650"/>
    <mergeCell ref="L650:M650"/>
    <mergeCell ref="P650:Q650"/>
    <mergeCell ref="R650:S650"/>
    <mergeCell ref="T650:U650"/>
    <mergeCell ref="V650:W650"/>
    <mergeCell ref="X650:AA650"/>
    <mergeCell ref="AB650:AE650"/>
    <mergeCell ref="AJ650:AK650"/>
    <mergeCell ref="AL650:AM650"/>
    <mergeCell ref="AN650:AO650"/>
    <mergeCell ref="AP650:AQ650"/>
    <mergeCell ref="AR650:AS650"/>
    <mergeCell ref="AT650:AU650"/>
    <mergeCell ref="AV650:AW650"/>
    <mergeCell ref="AV651:AW651"/>
    <mergeCell ref="AH649:AI649"/>
    <mergeCell ref="AH650:AI650"/>
    <mergeCell ref="BD652:BE652"/>
    <mergeCell ref="BF652:BI652"/>
    <mergeCell ref="BJ652:BM652"/>
    <mergeCell ref="BN652:BV652"/>
    <mergeCell ref="B653:C653"/>
    <mergeCell ref="D653:E653"/>
    <mergeCell ref="F653:G653"/>
    <mergeCell ref="H653:I653"/>
    <mergeCell ref="L653:M653"/>
    <mergeCell ref="P653:Q653"/>
    <mergeCell ref="R653:S653"/>
    <mergeCell ref="T653:U653"/>
    <mergeCell ref="V653:W653"/>
    <mergeCell ref="X653:AA653"/>
    <mergeCell ref="AB653:AE653"/>
    <mergeCell ref="AJ653:AK653"/>
    <mergeCell ref="AL653:AM653"/>
    <mergeCell ref="AN653:AO653"/>
    <mergeCell ref="AP653:AQ653"/>
    <mergeCell ref="AR653:AS653"/>
    <mergeCell ref="AT653:AU653"/>
    <mergeCell ref="AX653:AZ653"/>
    <mergeCell ref="BA653:BB653"/>
    <mergeCell ref="BD653:BE653"/>
    <mergeCell ref="BA651:BB651"/>
    <mergeCell ref="BD651:BE651"/>
    <mergeCell ref="BF651:BI651"/>
    <mergeCell ref="BJ651:BM651"/>
    <mergeCell ref="BN651:BV651"/>
    <mergeCell ref="B652:C652"/>
    <mergeCell ref="D652:E652"/>
    <mergeCell ref="F652:G652"/>
    <mergeCell ref="H652:I652"/>
    <mergeCell ref="L652:M652"/>
    <mergeCell ref="P652:Q652"/>
    <mergeCell ref="R652:S652"/>
    <mergeCell ref="T652:U652"/>
    <mergeCell ref="V652:W652"/>
    <mergeCell ref="X652:AA652"/>
    <mergeCell ref="AB652:AE652"/>
    <mergeCell ref="AJ652:AK652"/>
    <mergeCell ref="AL652:AM652"/>
    <mergeCell ref="AN652:AO652"/>
    <mergeCell ref="AP652:AQ652"/>
    <mergeCell ref="AR652:AS652"/>
    <mergeCell ref="AT652:AU652"/>
    <mergeCell ref="AX652:AZ652"/>
    <mergeCell ref="BA652:BB652"/>
    <mergeCell ref="AV652:AW652"/>
    <mergeCell ref="AV653:AW653"/>
    <mergeCell ref="AH651:AI651"/>
    <mergeCell ref="AH652:AI652"/>
    <mergeCell ref="BJ654:BM654"/>
    <mergeCell ref="BN654:BV654"/>
    <mergeCell ref="B655:C655"/>
    <mergeCell ref="D655:E655"/>
    <mergeCell ref="F655:G655"/>
    <mergeCell ref="H655:I655"/>
    <mergeCell ref="L655:M655"/>
    <mergeCell ref="P655:Q655"/>
    <mergeCell ref="R655:S655"/>
    <mergeCell ref="T655:U655"/>
    <mergeCell ref="V655:W655"/>
    <mergeCell ref="X655:AA655"/>
    <mergeCell ref="AB655:AE655"/>
    <mergeCell ref="AJ655:AK655"/>
    <mergeCell ref="AL655:AM655"/>
    <mergeCell ref="AN655:AO655"/>
    <mergeCell ref="AP655:AQ655"/>
    <mergeCell ref="AR655:AS655"/>
    <mergeCell ref="AT655:AU655"/>
    <mergeCell ref="AX655:AZ655"/>
    <mergeCell ref="BA655:BB655"/>
    <mergeCell ref="BD655:BE655"/>
    <mergeCell ref="BF655:BI655"/>
    <mergeCell ref="BJ655:BM655"/>
    <mergeCell ref="BF653:BI653"/>
    <mergeCell ref="BJ653:BM653"/>
    <mergeCell ref="BN653:BV653"/>
    <mergeCell ref="B654:C654"/>
    <mergeCell ref="D654:E654"/>
    <mergeCell ref="F654:G654"/>
    <mergeCell ref="H654:I654"/>
    <mergeCell ref="L654:M654"/>
    <mergeCell ref="P654:Q654"/>
    <mergeCell ref="R654:S654"/>
    <mergeCell ref="T654:U654"/>
    <mergeCell ref="V654:W654"/>
    <mergeCell ref="X654:AA654"/>
    <mergeCell ref="AB654:AE654"/>
    <mergeCell ref="AJ654:AK654"/>
    <mergeCell ref="AL654:AM654"/>
    <mergeCell ref="AN654:AO654"/>
    <mergeCell ref="AP654:AQ654"/>
    <mergeCell ref="AR654:AS654"/>
    <mergeCell ref="AT654:AU654"/>
    <mergeCell ref="AX654:AZ654"/>
    <mergeCell ref="BA654:BB654"/>
    <mergeCell ref="BD654:BE654"/>
    <mergeCell ref="BF654:BI654"/>
    <mergeCell ref="AV654:AW654"/>
    <mergeCell ref="AV655:AW655"/>
    <mergeCell ref="AH653:AI653"/>
    <mergeCell ref="AH654:AI654"/>
    <mergeCell ref="BN656:BV656"/>
    <mergeCell ref="B657:C657"/>
    <mergeCell ref="D657:E657"/>
    <mergeCell ref="F657:G657"/>
    <mergeCell ref="H657:I657"/>
    <mergeCell ref="L657:M657"/>
    <mergeCell ref="P657:Q657"/>
    <mergeCell ref="R657:S657"/>
    <mergeCell ref="T657:U657"/>
    <mergeCell ref="V657:W657"/>
    <mergeCell ref="X657:AA657"/>
    <mergeCell ref="AB657:AE657"/>
    <mergeCell ref="AJ657:AK657"/>
    <mergeCell ref="AL657:AM657"/>
    <mergeCell ref="AN657:AO657"/>
    <mergeCell ref="AP657:AQ657"/>
    <mergeCell ref="AR657:AS657"/>
    <mergeCell ref="AT657:AU657"/>
    <mergeCell ref="AX657:AZ657"/>
    <mergeCell ref="BA657:BB657"/>
    <mergeCell ref="BD657:BE657"/>
    <mergeCell ref="BF657:BI657"/>
    <mergeCell ref="BJ657:BM657"/>
    <mergeCell ref="BN655:BV655"/>
    <mergeCell ref="B656:C656"/>
    <mergeCell ref="D656:E656"/>
    <mergeCell ref="F656:G656"/>
    <mergeCell ref="H656:I656"/>
    <mergeCell ref="L656:M656"/>
    <mergeCell ref="P656:Q656"/>
    <mergeCell ref="R656:S656"/>
    <mergeCell ref="T656:U656"/>
    <mergeCell ref="V656:W656"/>
    <mergeCell ref="X656:AA656"/>
    <mergeCell ref="AB656:AE656"/>
    <mergeCell ref="AJ656:AK656"/>
    <mergeCell ref="AL656:AM656"/>
    <mergeCell ref="AN656:AO656"/>
    <mergeCell ref="AP656:AQ656"/>
    <mergeCell ref="AR656:AS656"/>
    <mergeCell ref="AT656:AU656"/>
    <mergeCell ref="AX656:AZ656"/>
    <mergeCell ref="BA656:BB656"/>
    <mergeCell ref="BD656:BE656"/>
    <mergeCell ref="BF656:BI656"/>
    <mergeCell ref="BJ656:BM656"/>
    <mergeCell ref="AV656:AW656"/>
    <mergeCell ref="AV657:AW657"/>
    <mergeCell ref="AH655:AI655"/>
    <mergeCell ref="AH656:AI656"/>
    <mergeCell ref="BN658:BV658"/>
    <mergeCell ref="B659:C659"/>
    <mergeCell ref="D659:E659"/>
    <mergeCell ref="F659:G659"/>
    <mergeCell ref="H659:I659"/>
    <mergeCell ref="L659:M659"/>
    <mergeCell ref="P659:Q659"/>
    <mergeCell ref="R659:S659"/>
    <mergeCell ref="T659:U659"/>
    <mergeCell ref="V659:W659"/>
    <mergeCell ref="X659:AA659"/>
    <mergeCell ref="AB659:AE659"/>
    <mergeCell ref="AJ659:AK659"/>
    <mergeCell ref="AL659:AM659"/>
    <mergeCell ref="AN659:AO659"/>
    <mergeCell ref="AP659:AQ659"/>
    <mergeCell ref="AR659:AS659"/>
    <mergeCell ref="AT659:AU659"/>
    <mergeCell ref="AX659:AZ659"/>
    <mergeCell ref="BA659:BB659"/>
    <mergeCell ref="BD659:BE659"/>
    <mergeCell ref="BF659:BI659"/>
    <mergeCell ref="BJ659:BM659"/>
    <mergeCell ref="BN659:BV659"/>
    <mergeCell ref="BN657:BV657"/>
    <mergeCell ref="B658:C658"/>
    <mergeCell ref="D658:E658"/>
    <mergeCell ref="F658:G658"/>
    <mergeCell ref="H658:I658"/>
    <mergeCell ref="L658:M658"/>
    <mergeCell ref="P658:Q658"/>
    <mergeCell ref="R658:S658"/>
    <mergeCell ref="T658:U658"/>
    <mergeCell ref="V658:W658"/>
    <mergeCell ref="X658:AA658"/>
    <mergeCell ref="AB658:AE658"/>
    <mergeCell ref="AJ658:AK658"/>
    <mergeCell ref="AL658:AM658"/>
    <mergeCell ref="AN658:AO658"/>
    <mergeCell ref="AP658:AQ658"/>
    <mergeCell ref="AR658:AS658"/>
    <mergeCell ref="AT658:AU658"/>
    <mergeCell ref="AX658:AZ658"/>
    <mergeCell ref="BA658:BB658"/>
    <mergeCell ref="BD658:BE658"/>
    <mergeCell ref="BF658:BI658"/>
    <mergeCell ref="BJ658:BM658"/>
    <mergeCell ref="AV658:AW658"/>
    <mergeCell ref="AV659:AW659"/>
    <mergeCell ref="AH657:AI657"/>
    <mergeCell ref="AH658:AI658"/>
    <mergeCell ref="AH659:AI659"/>
    <mergeCell ref="AN661:AO661"/>
    <mergeCell ref="AP661:AQ661"/>
    <mergeCell ref="AR661:AS661"/>
    <mergeCell ref="AT661:AU661"/>
    <mergeCell ref="AX661:AZ661"/>
    <mergeCell ref="BA661:BB661"/>
    <mergeCell ref="BD661:BE661"/>
    <mergeCell ref="BF661:BI661"/>
    <mergeCell ref="BJ661:BM661"/>
    <mergeCell ref="BN661:BV661"/>
    <mergeCell ref="B662:C662"/>
    <mergeCell ref="D662:E662"/>
    <mergeCell ref="F662:G662"/>
    <mergeCell ref="H662:I662"/>
    <mergeCell ref="L662:M662"/>
    <mergeCell ref="P662:Q662"/>
    <mergeCell ref="R662:S662"/>
    <mergeCell ref="T662:U662"/>
    <mergeCell ref="V662:W662"/>
    <mergeCell ref="X662:AA662"/>
    <mergeCell ref="AB662:AE662"/>
    <mergeCell ref="AJ662:AK662"/>
    <mergeCell ref="AL662:AM662"/>
    <mergeCell ref="AN662:AO662"/>
    <mergeCell ref="AL660:AM660"/>
    <mergeCell ref="AN660:AO660"/>
    <mergeCell ref="AP660:AQ660"/>
    <mergeCell ref="AR660:AS660"/>
    <mergeCell ref="AT660:AU660"/>
    <mergeCell ref="AX660:AZ660"/>
    <mergeCell ref="BA660:BB660"/>
    <mergeCell ref="BD660:BE660"/>
    <mergeCell ref="BF660:BI660"/>
    <mergeCell ref="BJ660:BM660"/>
    <mergeCell ref="BN660:BV660"/>
    <mergeCell ref="B661:C661"/>
    <mergeCell ref="D661:E661"/>
    <mergeCell ref="F661:G661"/>
    <mergeCell ref="H661:I661"/>
    <mergeCell ref="L661:M661"/>
    <mergeCell ref="P661:Q661"/>
    <mergeCell ref="R661:S661"/>
    <mergeCell ref="T661:U661"/>
    <mergeCell ref="V661:W661"/>
    <mergeCell ref="X661:AA661"/>
    <mergeCell ref="AB661:AE661"/>
    <mergeCell ref="AJ661:AK661"/>
    <mergeCell ref="AL661:AM661"/>
    <mergeCell ref="B660:C660"/>
    <mergeCell ref="D660:E660"/>
    <mergeCell ref="F660:G660"/>
    <mergeCell ref="H660:I660"/>
    <mergeCell ref="L660:M660"/>
    <mergeCell ref="P660:Q660"/>
    <mergeCell ref="R660:S660"/>
    <mergeCell ref="T660:U660"/>
    <mergeCell ref="V660:W660"/>
    <mergeCell ref="X660:AA660"/>
    <mergeCell ref="AB660:AE660"/>
    <mergeCell ref="AJ660:AK660"/>
    <mergeCell ref="AV660:AW660"/>
    <mergeCell ref="AV661:AW661"/>
    <mergeCell ref="AV662:AW662"/>
    <mergeCell ref="AH660:AI660"/>
    <mergeCell ref="AR663:AS663"/>
    <mergeCell ref="AT663:AU663"/>
    <mergeCell ref="AX663:AZ663"/>
    <mergeCell ref="BA663:BB663"/>
    <mergeCell ref="BD663:BE663"/>
    <mergeCell ref="BF663:BI663"/>
    <mergeCell ref="BJ663:BM663"/>
    <mergeCell ref="BN663:BV663"/>
    <mergeCell ref="B664:C664"/>
    <mergeCell ref="D664:E664"/>
    <mergeCell ref="F664:G664"/>
    <mergeCell ref="H664:I664"/>
    <mergeCell ref="L664:M664"/>
    <mergeCell ref="P664:Q664"/>
    <mergeCell ref="R664:S664"/>
    <mergeCell ref="T664:U664"/>
    <mergeCell ref="V664:W664"/>
    <mergeCell ref="X664:AA664"/>
    <mergeCell ref="AB664:AE664"/>
    <mergeCell ref="AJ664:AK664"/>
    <mergeCell ref="AL664:AM664"/>
    <mergeCell ref="AN664:AO664"/>
    <mergeCell ref="AP664:AQ664"/>
    <mergeCell ref="AR664:AS664"/>
    <mergeCell ref="AP662:AQ662"/>
    <mergeCell ref="AR662:AS662"/>
    <mergeCell ref="AT662:AU662"/>
    <mergeCell ref="AX662:AZ662"/>
    <mergeCell ref="BA662:BB662"/>
    <mergeCell ref="BD662:BE662"/>
    <mergeCell ref="BF662:BI662"/>
    <mergeCell ref="BJ662:BM662"/>
    <mergeCell ref="BN662:BV662"/>
    <mergeCell ref="B663:C663"/>
    <mergeCell ref="D663:E663"/>
    <mergeCell ref="F663:G663"/>
    <mergeCell ref="H663:I663"/>
    <mergeCell ref="L663:M663"/>
    <mergeCell ref="P663:Q663"/>
    <mergeCell ref="R663:S663"/>
    <mergeCell ref="T663:U663"/>
    <mergeCell ref="V663:W663"/>
    <mergeCell ref="X663:AA663"/>
    <mergeCell ref="AB663:AE663"/>
    <mergeCell ref="AJ663:AK663"/>
    <mergeCell ref="AL663:AM663"/>
    <mergeCell ref="AN663:AO663"/>
    <mergeCell ref="AP663:AQ663"/>
    <mergeCell ref="AV663:AW663"/>
    <mergeCell ref="AV664:AW664"/>
    <mergeCell ref="AF663:AG663"/>
    <mergeCell ref="AF664:AG664"/>
    <mergeCell ref="AX665:AZ665"/>
    <mergeCell ref="BA665:BB665"/>
    <mergeCell ref="BD665:BE665"/>
    <mergeCell ref="BF665:BI665"/>
    <mergeCell ref="BJ665:BM665"/>
    <mergeCell ref="BN665:BV665"/>
    <mergeCell ref="B666:C666"/>
    <mergeCell ref="D666:E666"/>
    <mergeCell ref="F666:G666"/>
    <mergeCell ref="H666:I666"/>
    <mergeCell ref="L666:M666"/>
    <mergeCell ref="P666:Q666"/>
    <mergeCell ref="R666:S666"/>
    <mergeCell ref="T666:U666"/>
    <mergeCell ref="V666:W666"/>
    <mergeCell ref="X666:AA666"/>
    <mergeCell ref="AB666:AE666"/>
    <mergeCell ref="AJ666:AK666"/>
    <mergeCell ref="AL666:AM666"/>
    <mergeCell ref="AN666:AO666"/>
    <mergeCell ref="AP666:AQ666"/>
    <mergeCell ref="AR666:AS666"/>
    <mergeCell ref="AT666:AU666"/>
    <mergeCell ref="AX666:AZ666"/>
    <mergeCell ref="AT664:AU664"/>
    <mergeCell ref="AX664:AZ664"/>
    <mergeCell ref="BA664:BB664"/>
    <mergeCell ref="BD664:BE664"/>
    <mergeCell ref="BF664:BI664"/>
    <mergeCell ref="BJ664:BM664"/>
    <mergeCell ref="BN664:BV664"/>
    <mergeCell ref="B665:C665"/>
    <mergeCell ref="D665:E665"/>
    <mergeCell ref="F665:G665"/>
    <mergeCell ref="H665:I665"/>
    <mergeCell ref="L665:M665"/>
    <mergeCell ref="P665:Q665"/>
    <mergeCell ref="R665:S665"/>
    <mergeCell ref="T665:U665"/>
    <mergeCell ref="V665:W665"/>
    <mergeCell ref="X665:AA665"/>
    <mergeCell ref="AB665:AE665"/>
    <mergeCell ref="AJ665:AK665"/>
    <mergeCell ref="AL665:AM665"/>
    <mergeCell ref="AN665:AO665"/>
    <mergeCell ref="AP665:AQ665"/>
    <mergeCell ref="AR665:AS665"/>
    <mergeCell ref="AT665:AU665"/>
    <mergeCell ref="AV665:AW665"/>
    <mergeCell ref="AV666:AW666"/>
    <mergeCell ref="AF665:AG665"/>
    <mergeCell ref="AF666:AG666"/>
    <mergeCell ref="BD667:BE667"/>
    <mergeCell ref="BF667:BI667"/>
    <mergeCell ref="BJ667:BM667"/>
    <mergeCell ref="BN667:BV667"/>
    <mergeCell ref="B668:C668"/>
    <mergeCell ref="D668:E668"/>
    <mergeCell ref="F668:G668"/>
    <mergeCell ref="H668:I668"/>
    <mergeCell ref="L668:M668"/>
    <mergeCell ref="P668:Q668"/>
    <mergeCell ref="R668:S668"/>
    <mergeCell ref="T668:U668"/>
    <mergeCell ref="V668:W668"/>
    <mergeCell ref="X668:AA668"/>
    <mergeCell ref="AB668:AE668"/>
    <mergeCell ref="AJ668:AK668"/>
    <mergeCell ref="AL668:AM668"/>
    <mergeCell ref="AN668:AO668"/>
    <mergeCell ref="AP668:AQ668"/>
    <mergeCell ref="AR668:AS668"/>
    <mergeCell ref="AT668:AU668"/>
    <mergeCell ref="AX668:AZ668"/>
    <mergeCell ref="BA668:BB668"/>
    <mergeCell ref="BD668:BE668"/>
    <mergeCell ref="BA666:BB666"/>
    <mergeCell ref="BD666:BE666"/>
    <mergeCell ref="BF666:BI666"/>
    <mergeCell ref="BJ666:BM666"/>
    <mergeCell ref="BN666:BV666"/>
    <mergeCell ref="B667:C667"/>
    <mergeCell ref="D667:E667"/>
    <mergeCell ref="F667:G667"/>
    <mergeCell ref="H667:I667"/>
    <mergeCell ref="L667:M667"/>
    <mergeCell ref="P667:Q667"/>
    <mergeCell ref="R667:S667"/>
    <mergeCell ref="T667:U667"/>
    <mergeCell ref="V667:W667"/>
    <mergeCell ref="X667:AA667"/>
    <mergeCell ref="AB667:AE667"/>
    <mergeCell ref="AJ667:AK667"/>
    <mergeCell ref="AL667:AM667"/>
    <mergeCell ref="AN667:AO667"/>
    <mergeCell ref="AP667:AQ667"/>
    <mergeCell ref="AR667:AS667"/>
    <mergeCell ref="AT667:AU667"/>
    <mergeCell ref="AX667:AZ667"/>
    <mergeCell ref="BA667:BB667"/>
    <mergeCell ref="AV667:AW667"/>
    <mergeCell ref="AV668:AW668"/>
    <mergeCell ref="AF667:AG667"/>
    <mergeCell ref="AF668:AG668"/>
    <mergeCell ref="BJ669:BM669"/>
    <mergeCell ref="BN669:BV669"/>
    <mergeCell ref="B670:C670"/>
    <mergeCell ref="D670:E670"/>
    <mergeCell ref="F670:G670"/>
    <mergeCell ref="H670:I670"/>
    <mergeCell ref="L670:M670"/>
    <mergeCell ref="P670:Q670"/>
    <mergeCell ref="R670:S670"/>
    <mergeCell ref="T670:U670"/>
    <mergeCell ref="V670:W670"/>
    <mergeCell ref="X670:AA670"/>
    <mergeCell ref="AB670:AE670"/>
    <mergeCell ref="AJ670:AK670"/>
    <mergeCell ref="AL670:AM670"/>
    <mergeCell ref="AN670:AO670"/>
    <mergeCell ref="AP670:AQ670"/>
    <mergeCell ref="AR670:AS670"/>
    <mergeCell ref="AT670:AU670"/>
    <mergeCell ref="AX670:AZ670"/>
    <mergeCell ref="BA670:BB670"/>
    <mergeCell ref="BD670:BE670"/>
    <mergeCell ref="BF670:BI670"/>
    <mergeCell ref="BJ670:BM670"/>
    <mergeCell ref="BF668:BI668"/>
    <mergeCell ref="BJ668:BM668"/>
    <mergeCell ref="BN668:BV668"/>
    <mergeCell ref="B669:C669"/>
    <mergeCell ref="D669:E669"/>
    <mergeCell ref="F669:G669"/>
    <mergeCell ref="H669:I669"/>
    <mergeCell ref="L669:M669"/>
    <mergeCell ref="P669:Q669"/>
    <mergeCell ref="R669:S669"/>
    <mergeCell ref="T669:U669"/>
    <mergeCell ref="V669:W669"/>
    <mergeCell ref="X669:AA669"/>
    <mergeCell ref="AB669:AE669"/>
    <mergeCell ref="AJ669:AK669"/>
    <mergeCell ref="AL669:AM669"/>
    <mergeCell ref="AN669:AO669"/>
    <mergeCell ref="AP669:AQ669"/>
    <mergeCell ref="AR669:AS669"/>
    <mergeCell ref="AT669:AU669"/>
    <mergeCell ref="AX669:AZ669"/>
    <mergeCell ref="BA669:BB669"/>
    <mergeCell ref="BD669:BE669"/>
    <mergeCell ref="BF669:BI669"/>
    <mergeCell ref="AV669:AW669"/>
    <mergeCell ref="AV670:AW670"/>
    <mergeCell ref="AF669:AG669"/>
    <mergeCell ref="AF670:AG670"/>
    <mergeCell ref="BN671:BV671"/>
    <mergeCell ref="B672:C672"/>
    <mergeCell ref="D672:E672"/>
    <mergeCell ref="F672:G672"/>
    <mergeCell ref="H672:I672"/>
    <mergeCell ref="L672:M672"/>
    <mergeCell ref="P672:Q672"/>
    <mergeCell ref="R672:S672"/>
    <mergeCell ref="T672:U672"/>
    <mergeCell ref="V672:W672"/>
    <mergeCell ref="X672:AA672"/>
    <mergeCell ref="AB672:AE672"/>
    <mergeCell ref="AJ672:AK672"/>
    <mergeCell ref="AL672:AM672"/>
    <mergeCell ref="AN672:AO672"/>
    <mergeCell ref="AP672:AQ672"/>
    <mergeCell ref="AR672:AS672"/>
    <mergeCell ref="AT672:AU672"/>
    <mergeCell ref="AX672:AZ672"/>
    <mergeCell ref="BA672:BB672"/>
    <mergeCell ref="BD672:BE672"/>
    <mergeCell ref="BF672:BI672"/>
    <mergeCell ref="BJ672:BM672"/>
    <mergeCell ref="BN670:BV670"/>
    <mergeCell ref="B671:C671"/>
    <mergeCell ref="D671:E671"/>
    <mergeCell ref="F671:G671"/>
    <mergeCell ref="H671:I671"/>
    <mergeCell ref="L671:M671"/>
    <mergeCell ref="P671:Q671"/>
    <mergeCell ref="R671:S671"/>
    <mergeCell ref="T671:U671"/>
    <mergeCell ref="V671:W671"/>
    <mergeCell ref="X671:AA671"/>
    <mergeCell ref="AB671:AE671"/>
    <mergeCell ref="AJ671:AK671"/>
    <mergeCell ref="AL671:AM671"/>
    <mergeCell ref="AN671:AO671"/>
    <mergeCell ref="AP671:AQ671"/>
    <mergeCell ref="AR671:AS671"/>
    <mergeCell ref="AT671:AU671"/>
    <mergeCell ref="AX671:AZ671"/>
    <mergeCell ref="BA671:BB671"/>
    <mergeCell ref="BD671:BE671"/>
    <mergeCell ref="BF671:BI671"/>
    <mergeCell ref="BJ671:BM671"/>
    <mergeCell ref="AV671:AW671"/>
    <mergeCell ref="AV672:AW672"/>
    <mergeCell ref="AF671:AG671"/>
    <mergeCell ref="AF672:AG672"/>
    <mergeCell ref="BN673:BV673"/>
    <mergeCell ref="B674:C674"/>
    <mergeCell ref="D674:E674"/>
    <mergeCell ref="F674:G674"/>
    <mergeCell ref="H674:I674"/>
    <mergeCell ref="L674:M674"/>
    <mergeCell ref="P674:Q674"/>
    <mergeCell ref="R674:S674"/>
    <mergeCell ref="T674:U674"/>
    <mergeCell ref="V674:W674"/>
    <mergeCell ref="X674:AA674"/>
    <mergeCell ref="AB674:AE674"/>
    <mergeCell ref="AJ674:AK674"/>
    <mergeCell ref="AL674:AM674"/>
    <mergeCell ref="AN674:AO674"/>
    <mergeCell ref="AP674:AQ674"/>
    <mergeCell ref="AR674:AS674"/>
    <mergeCell ref="AT674:AU674"/>
    <mergeCell ref="AX674:AZ674"/>
    <mergeCell ref="BA674:BB674"/>
    <mergeCell ref="BD674:BE674"/>
    <mergeCell ref="BF674:BI674"/>
    <mergeCell ref="BJ674:BM674"/>
    <mergeCell ref="BN674:BV674"/>
    <mergeCell ref="BN672:BV672"/>
    <mergeCell ref="B673:C673"/>
    <mergeCell ref="D673:E673"/>
    <mergeCell ref="F673:G673"/>
    <mergeCell ref="H673:I673"/>
    <mergeCell ref="L673:M673"/>
    <mergeCell ref="P673:Q673"/>
    <mergeCell ref="R673:S673"/>
    <mergeCell ref="T673:U673"/>
    <mergeCell ref="V673:W673"/>
    <mergeCell ref="X673:AA673"/>
    <mergeCell ref="AB673:AE673"/>
    <mergeCell ref="AJ673:AK673"/>
    <mergeCell ref="AL673:AM673"/>
    <mergeCell ref="AN673:AO673"/>
    <mergeCell ref="AP673:AQ673"/>
    <mergeCell ref="AR673:AS673"/>
    <mergeCell ref="AT673:AU673"/>
    <mergeCell ref="AX673:AZ673"/>
    <mergeCell ref="BA673:BB673"/>
    <mergeCell ref="BD673:BE673"/>
    <mergeCell ref="BF673:BI673"/>
    <mergeCell ref="BJ673:BM673"/>
    <mergeCell ref="AV673:AW673"/>
    <mergeCell ref="AV674:AW674"/>
    <mergeCell ref="AF673:AG673"/>
    <mergeCell ref="AF674:AG674"/>
    <mergeCell ref="AN676:AO676"/>
    <mergeCell ref="AP676:AQ676"/>
    <mergeCell ref="AR676:AS676"/>
    <mergeCell ref="AT676:AU676"/>
    <mergeCell ref="AX676:AZ676"/>
    <mergeCell ref="BA676:BB676"/>
    <mergeCell ref="BD676:BE676"/>
    <mergeCell ref="BF676:BI676"/>
    <mergeCell ref="BJ676:BM676"/>
    <mergeCell ref="BN676:BV676"/>
    <mergeCell ref="B677:C677"/>
    <mergeCell ref="D677:E677"/>
    <mergeCell ref="F677:G677"/>
    <mergeCell ref="H677:I677"/>
    <mergeCell ref="L677:M677"/>
    <mergeCell ref="P677:Q677"/>
    <mergeCell ref="R677:S677"/>
    <mergeCell ref="T677:U677"/>
    <mergeCell ref="V677:W677"/>
    <mergeCell ref="X677:AA677"/>
    <mergeCell ref="AB677:AE677"/>
    <mergeCell ref="AJ677:AK677"/>
    <mergeCell ref="AL677:AM677"/>
    <mergeCell ref="AN677:AO677"/>
    <mergeCell ref="AL675:AM675"/>
    <mergeCell ref="AN675:AO675"/>
    <mergeCell ref="AP675:AQ675"/>
    <mergeCell ref="AR675:AS675"/>
    <mergeCell ref="AT675:AU675"/>
    <mergeCell ref="AX675:AZ675"/>
    <mergeCell ref="BA675:BB675"/>
    <mergeCell ref="BD675:BE675"/>
    <mergeCell ref="BF675:BI675"/>
    <mergeCell ref="BJ675:BM675"/>
    <mergeCell ref="BN675:BV675"/>
    <mergeCell ref="B676:C676"/>
    <mergeCell ref="D676:E676"/>
    <mergeCell ref="F676:G676"/>
    <mergeCell ref="H676:I676"/>
    <mergeCell ref="L676:M676"/>
    <mergeCell ref="P676:Q676"/>
    <mergeCell ref="R676:S676"/>
    <mergeCell ref="T676:U676"/>
    <mergeCell ref="V676:W676"/>
    <mergeCell ref="X676:AA676"/>
    <mergeCell ref="AB676:AE676"/>
    <mergeCell ref="AJ676:AK676"/>
    <mergeCell ref="AL676:AM676"/>
    <mergeCell ref="B675:C675"/>
    <mergeCell ref="D675:E675"/>
    <mergeCell ref="F675:G675"/>
    <mergeCell ref="H675:I675"/>
    <mergeCell ref="L675:M675"/>
    <mergeCell ref="P675:Q675"/>
    <mergeCell ref="R675:S675"/>
    <mergeCell ref="T675:U675"/>
    <mergeCell ref="V675:W675"/>
    <mergeCell ref="X675:AA675"/>
    <mergeCell ref="AB675:AE675"/>
    <mergeCell ref="AJ675:AK675"/>
    <mergeCell ref="AV675:AW675"/>
    <mergeCell ref="AV676:AW676"/>
    <mergeCell ref="AV677:AW677"/>
    <mergeCell ref="AF675:AG675"/>
    <mergeCell ref="AR678:AS678"/>
    <mergeCell ref="AT678:AU678"/>
    <mergeCell ref="AX678:AZ678"/>
    <mergeCell ref="BA678:BB678"/>
    <mergeCell ref="BD678:BE678"/>
    <mergeCell ref="BF678:BI678"/>
    <mergeCell ref="BJ678:BM678"/>
    <mergeCell ref="BN678:BV678"/>
    <mergeCell ref="B679:C679"/>
    <mergeCell ref="D679:E679"/>
    <mergeCell ref="F679:G679"/>
    <mergeCell ref="H679:I679"/>
    <mergeCell ref="L679:M679"/>
    <mergeCell ref="P679:Q679"/>
    <mergeCell ref="R679:S679"/>
    <mergeCell ref="T679:U679"/>
    <mergeCell ref="V679:W679"/>
    <mergeCell ref="X679:AA679"/>
    <mergeCell ref="AB679:AE679"/>
    <mergeCell ref="AJ679:AK679"/>
    <mergeCell ref="AL679:AM679"/>
    <mergeCell ref="AN679:AO679"/>
    <mergeCell ref="AP679:AQ679"/>
    <mergeCell ref="AR679:AS679"/>
    <mergeCell ref="AP677:AQ677"/>
    <mergeCell ref="AR677:AS677"/>
    <mergeCell ref="AT677:AU677"/>
    <mergeCell ref="AX677:AZ677"/>
    <mergeCell ref="BA677:BB677"/>
    <mergeCell ref="BD677:BE677"/>
    <mergeCell ref="BF677:BI677"/>
    <mergeCell ref="BJ677:BM677"/>
    <mergeCell ref="BN677:BV677"/>
    <mergeCell ref="B678:C678"/>
    <mergeCell ref="D678:E678"/>
    <mergeCell ref="F678:G678"/>
    <mergeCell ref="H678:I678"/>
    <mergeCell ref="L678:M678"/>
    <mergeCell ref="P678:Q678"/>
    <mergeCell ref="R678:S678"/>
    <mergeCell ref="T678:U678"/>
    <mergeCell ref="V678:W678"/>
    <mergeCell ref="X678:AA678"/>
    <mergeCell ref="AB678:AE678"/>
    <mergeCell ref="AJ678:AK678"/>
    <mergeCell ref="AL678:AM678"/>
    <mergeCell ref="AN678:AO678"/>
    <mergeCell ref="AP678:AQ678"/>
    <mergeCell ref="AV678:AW678"/>
    <mergeCell ref="AV679:AW679"/>
    <mergeCell ref="AF679:AG679"/>
    <mergeCell ref="J678:K678"/>
    <mergeCell ref="AX680:AZ680"/>
    <mergeCell ref="BA680:BB680"/>
    <mergeCell ref="BD680:BE680"/>
    <mergeCell ref="BF680:BI680"/>
    <mergeCell ref="BJ680:BM680"/>
    <mergeCell ref="BN680:BV680"/>
    <mergeCell ref="B681:C681"/>
    <mergeCell ref="D681:E681"/>
    <mergeCell ref="F681:G681"/>
    <mergeCell ref="H681:I681"/>
    <mergeCell ref="L681:M681"/>
    <mergeCell ref="P681:Q681"/>
    <mergeCell ref="R681:S681"/>
    <mergeCell ref="T681:U681"/>
    <mergeCell ref="V681:W681"/>
    <mergeCell ref="X681:AA681"/>
    <mergeCell ref="AB681:AE681"/>
    <mergeCell ref="AJ681:AK681"/>
    <mergeCell ref="AL681:AM681"/>
    <mergeCell ref="AN681:AO681"/>
    <mergeCell ref="AP681:AQ681"/>
    <mergeCell ref="AR681:AS681"/>
    <mergeCell ref="AT681:AU681"/>
    <mergeCell ref="AX681:AZ681"/>
    <mergeCell ref="AT679:AU679"/>
    <mergeCell ref="AX679:AZ679"/>
    <mergeCell ref="BA679:BB679"/>
    <mergeCell ref="BD679:BE679"/>
    <mergeCell ref="BF679:BI679"/>
    <mergeCell ref="BJ679:BM679"/>
    <mergeCell ref="BN679:BV679"/>
    <mergeCell ref="B680:C680"/>
    <mergeCell ref="D680:E680"/>
    <mergeCell ref="F680:G680"/>
    <mergeCell ref="H680:I680"/>
    <mergeCell ref="L680:M680"/>
    <mergeCell ref="P680:Q680"/>
    <mergeCell ref="R680:S680"/>
    <mergeCell ref="T680:U680"/>
    <mergeCell ref="V680:W680"/>
    <mergeCell ref="X680:AA680"/>
    <mergeCell ref="AB680:AE680"/>
    <mergeCell ref="AJ680:AK680"/>
    <mergeCell ref="AL680:AM680"/>
    <mergeCell ref="AN680:AO680"/>
    <mergeCell ref="AP680:AQ680"/>
    <mergeCell ref="AR680:AS680"/>
    <mergeCell ref="AT680:AU680"/>
    <mergeCell ref="AV680:AW680"/>
    <mergeCell ref="AV681:AW681"/>
    <mergeCell ref="AF680:AG680"/>
    <mergeCell ref="AF681:AG681"/>
    <mergeCell ref="J679:K679"/>
    <mergeCell ref="J680:K680"/>
    <mergeCell ref="BD682:BE682"/>
    <mergeCell ref="BF682:BI682"/>
    <mergeCell ref="BJ682:BM682"/>
    <mergeCell ref="BN682:BV682"/>
    <mergeCell ref="B683:C683"/>
    <mergeCell ref="D683:E683"/>
    <mergeCell ref="F683:G683"/>
    <mergeCell ref="H683:I683"/>
    <mergeCell ref="L683:M683"/>
    <mergeCell ref="P683:Q683"/>
    <mergeCell ref="R683:S683"/>
    <mergeCell ref="T683:U683"/>
    <mergeCell ref="V683:W683"/>
    <mergeCell ref="X683:AA683"/>
    <mergeCell ref="AB683:AE683"/>
    <mergeCell ref="AJ683:AK683"/>
    <mergeCell ref="AL683:AM683"/>
    <mergeCell ref="AN683:AO683"/>
    <mergeCell ref="AP683:AQ683"/>
    <mergeCell ref="AR683:AS683"/>
    <mergeCell ref="AT683:AU683"/>
    <mergeCell ref="AX683:AZ683"/>
    <mergeCell ref="BA683:BB683"/>
    <mergeCell ref="BD683:BE683"/>
    <mergeCell ref="BA681:BB681"/>
    <mergeCell ref="BD681:BE681"/>
    <mergeCell ref="BF681:BI681"/>
    <mergeCell ref="BJ681:BM681"/>
    <mergeCell ref="BN681:BV681"/>
    <mergeCell ref="B682:C682"/>
    <mergeCell ref="D682:E682"/>
    <mergeCell ref="F682:G682"/>
    <mergeCell ref="H682:I682"/>
    <mergeCell ref="L682:M682"/>
    <mergeCell ref="P682:Q682"/>
    <mergeCell ref="R682:S682"/>
    <mergeCell ref="T682:U682"/>
    <mergeCell ref="V682:W682"/>
    <mergeCell ref="X682:AA682"/>
    <mergeCell ref="AB682:AE682"/>
    <mergeCell ref="AJ682:AK682"/>
    <mergeCell ref="AL682:AM682"/>
    <mergeCell ref="AN682:AO682"/>
    <mergeCell ref="AP682:AQ682"/>
    <mergeCell ref="AR682:AS682"/>
    <mergeCell ref="AT682:AU682"/>
    <mergeCell ref="AX682:AZ682"/>
    <mergeCell ref="BA682:BB682"/>
    <mergeCell ref="AV682:AW682"/>
    <mergeCell ref="AV683:AW683"/>
    <mergeCell ref="AF682:AG682"/>
    <mergeCell ref="AF683:AG683"/>
    <mergeCell ref="J681:K681"/>
    <mergeCell ref="J682:K682"/>
    <mergeCell ref="BJ684:BM684"/>
    <mergeCell ref="BN684:BV684"/>
    <mergeCell ref="B685:C685"/>
    <mergeCell ref="D685:E685"/>
    <mergeCell ref="F685:G685"/>
    <mergeCell ref="H685:I685"/>
    <mergeCell ref="L685:M685"/>
    <mergeCell ref="P685:Q685"/>
    <mergeCell ref="R685:S685"/>
    <mergeCell ref="T685:U685"/>
    <mergeCell ref="V685:W685"/>
    <mergeCell ref="X685:AA685"/>
    <mergeCell ref="AB685:AE685"/>
    <mergeCell ref="AJ685:AK685"/>
    <mergeCell ref="AL685:AM685"/>
    <mergeCell ref="AN685:AO685"/>
    <mergeCell ref="AP685:AQ685"/>
    <mergeCell ref="AR685:AS685"/>
    <mergeCell ref="AT685:AU685"/>
    <mergeCell ref="AX685:AZ685"/>
    <mergeCell ref="BA685:BB685"/>
    <mergeCell ref="BD685:BE685"/>
    <mergeCell ref="BF685:BI685"/>
    <mergeCell ref="BJ685:BM685"/>
    <mergeCell ref="BF683:BI683"/>
    <mergeCell ref="BJ683:BM683"/>
    <mergeCell ref="BN683:BV683"/>
    <mergeCell ref="B684:C684"/>
    <mergeCell ref="D684:E684"/>
    <mergeCell ref="F684:G684"/>
    <mergeCell ref="H684:I684"/>
    <mergeCell ref="L684:M684"/>
    <mergeCell ref="P684:Q684"/>
    <mergeCell ref="R684:S684"/>
    <mergeCell ref="T684:U684"/>
    <mergeCell ref="V684:W684"/>
    <mergeCell ref="X684:AA684"/>
    <mergeCell ref="AB684:AE684"/>
    <mergeCell ref="AJ684:AK684"/>
    <mergeCell ref="AL684:AM684"/>
    <mergeCell ref="AN684:AO684"/>
    <mergeCell ref="AP684:AQ684"/>
    <mergeCell ref="AR684:AS684"/>
    <mergeCell ref="AT684:AU684"/>
    <mergeCell ref="AX684:AZ684"/>
    <mergeCell ref="BA684:BB684"/>
    <mergeCell ref="BD684:BE684"/>
    <mergeCell ref="BF684:BI684"/>
    <mergeCell ref="AV684:AW684"/>
    <mergeCell ref="AV685:AW685"/>
    <mergeCell ref="AF684:AG684"/>
    <mergeCell ref="AF685:AG685"/>
    <mergeCell ref="J683:K683"/>
    <mergeCell ref="J684:K684"/>
    <mergeCell ref="BN686:BV686"/>
    <mergeCell ref="B687:C687"/>
    <mergeCell ref="D687:E687"/>
    <mergeCell ref="F687:G687"/>
    <mergeCell ref="H687:I687"/>
    <mergeCell ref="L687:M687"/>
    <mergeCell ref="P687:Q687"/>
    <mergeCell ref="R687:S687"/>
    <mergeCell ref="T687:U687"/>
    <mergeCell ref="V687:W687"/>
    <mergeCell ref="X687:AA687"/>
    <mergeCell ref="AB687:AE687"/>
    <mergeCell ref="AJ687:AK687"/>
    <mergeCell ref="AL687:AM687"/>
    <mergeCell ref="AN687:AO687"/>
    <mergeCell ref="AP687:AQ687"/>
    <mergeCell ref="AR687:AS687"/>
    <mergeCell ref="AT687:AU687"/>
    <mergeCell ref="AX687:AZ687"/>
    <mergeCell ref="BA687:BB687"/>
    <mergeCell ref="BD687:BE687"/>
    <mergeCell ref="BF687:BI687"/>
    <mergeCell ref="BJ687:BM687"/>
    <mergeCell ref="BN685:BV685"/>
    <mergeCell ref="B686:C686"/>
    <mergeCell ref="D686:E686"/>
    <mergeCell ref="F686:G686"/>
    <mergeCell ref="H686:I686"/>
    <mergeCell ref="L686:M686"/>
    <mergeCell ref="P686:Q686"/>
    <mergeCell ref="R686:S686"/>
    <mergeCell ref="T686:U686"/>
    <mergeCell ref="V686:W686"/>
    <mergeCell ref="X686:AA686"/>
    <mergeCell ref="AB686:AE686"/>
    <mergeCell ref="AJ686:AK686"/>
    <mergeCell ref="AL686:AM686"/>
    <mergeCell ref="AN686:AO686"/>
    <mergeCell ref="AP686:AQ686"/>
    <mergeCell ref="AR686:AS686"/>
    <mergeCell ref="AT686:AU686"/>
    <mergeCell ref="AX686:AZ686"/>
    <mergeCell ref="BA686:BB686"/>
    <mergeCell ref="BD686:BE686"/>
    <mergeCell ref="BF686:BI686"/>
    <mergeCell ref="BJ686:BM686"/>
    <mergeCell ref="AV686:AW686"/>
    <mergeCell ref="AV687:AW687"/>
    <mergeCell ref="AF686:AG686"/>
    <mergeCell ref="AF687:AG687"/>
    <mergeCell ref="J685:K685"/>
    <mergeCell ref="J686:K686"/>
    <mergeCell ref="BN688:BV688"/>
    <mergeCell ref="B689:C689"/>
    <mergeCell ref="D689:E689"/>
    <mergeCell ref="F689:G689"/>
    <mergeCell ref="H689:I689"/>
    <mergeCell ref="L689:M689"/>
    <mergeCell ref="P689:Q689"/>
    <mergeCell ref="R689:S689"/>
    <mergeCell ref="T689:U689"/>
    <mergeCell ref="V689:W689"/>
    <mergeCell ref="X689:AA689"/>
    <mergeCell ref="AB689:AE689"/>
    <mergeCell ref="AJ689:AK689"/>
    <mergeCell ref="AL689:AM689"/>
    <mergeCell ref="AN689:AO689"/>
    <mergeCell ref="AP689:AQ689"/>
    <mergeCell ref="AR689:AS689"/>
    <mergeCell ref="AT689:AU689"/>
    <mergeCell ref="AX689:AZ689"/>
    <mergeCell ref="BA689:BB689"/>
    <mergeCell ref="BD689:BE689"/>
    <mergeCell ref="BF689:BI689"/>
    <mergeCell ref="BJ689:BM689"/>
    <mergeCell ref="BN689:BV689"/>
    <mergeCell ref="BN687:BV687"/>
    <mergeCell ref="B688:C688"/>
    <mergeCell ref="D688:E688"/>
    <mergeCell ref="F688:G688"/>
    <mergeCell ref="H688:I688"/>
    <mergeCell ref="L688:M688"/>
    <mergeCell ref="P688:Q688"/>
    <mergeCell ref="R688:S688"/>
    <mergeCell ref="T688:U688"/>
    <mergeCell ref="V688:W688"/>
    <mergeCell ref="X688:AA688"/>
    <mergeCell ref="AB688:AE688"/>
    <mergeCell ref="AJ688:AK688"/>
    <mergeCell ref="AL688:AM688"/>
    <mergeCell ref="AN688:AO688"/>
    <mergeCell ref="AP688:AQ688"/>
    <mergeCell ref="AR688:AS688"/>
    <mergeCell ref="AT688:AU688"/>
    <mergeCell ref="AX688:AZ688"/>
    <mergeCell ref="BA688:BB688"/>
    <mergeCell ref="BD688:BE688"/>
    <mergeCell ref="BF688:BI688"/>
    <mergeCell ref="BJ688:BM688"/>
    <mergeCell ref="AV688:AW688"/>
    <mergeCell ref="AV689:AW689"/>
    <mergeCell ref="AF688:AG688"/>
    <mergeCell ref="AF689:AG689"/>
    <mergeCell ref="J687:K687"/>
    <mergeCell ref="J688:K688"/>
    <mergeCell ref="J689:K689"/>
    <mergeCell ref="AN691:AO691"/>
    <mergeCell ref="AP691:AQ691"/>
    <mergeCell ref="AR691:AS691"/>
    <mergeCell ref="AT691:AU691"/>
    <mergeCell ref="AX691:AZ691"/>
    <mergeCell ref="BA691:BB691"/>
    <mergeCell ref="BD691:BE691"/>
    <mergeCell ref="BF691:BI691"/>
    <mergeCell ref="BJ691:BM691"/>
    <mergeCell ref="BN691:BV691"/>
    <mergeCell ref="B692:C692"/>
    <mergeCell ref="D692:E692"/>
    <mergeCell ref="F692:G692"/>
    <mergeCell ref="H692:I692"/>
    <mergeCell ref="L692:M692"/>
    <mergeCell ref="P692:Q692"/>
    <mergeCell ref="R692:S692"/>
    <mergeCell ref="T692:U692"/>
    <mergeCell ref="V692:W692"/>
    <mergeCell ref="X692:AA692"/>
    <mergeCell ref="AB692:AE692"/>
    <mergeCell ref="AJ692:AK692"/>
    <mergeCell ref="AL692:AM692"/>
    <mergeCell ref="AN692:AO692"/>
    <mergeCell ref="AL690:AM690"/>
    <mergeCell ref="AN690:AO690"/>
    <mergeCell ref="AP690:AQ690"/>
    <mergeCell ref="AR690:AS690"/>
    <mergeCell ref="AT690:AU690"/>
    <mergeCell ref="AX690:AZ690"/>
    <mergeCell ref="BA690:BB690"/>
    <mergeCell ref="BD690:BE690"/>
    <mergeCell ref="BF690:BI690"/>
    <mergeCell ref="BJ690:BM690"/>
    <mergeCell ref="BN690:BV690"/>
    <mergeCell ref="B691:C691"/>
    <mergeCell ref="D691:E691"/>
    <mergeCell ref="F691:G691"/>
    <mergeCell ref="H691:I691"/>
    <mergeCell ref="L691:M691"/>
    <mergeCell ref="P691:Q691"/>
    <mergeCell ref="R691:S691"/>
    <mergeCell ref="T691:U691"/>
    <mergeCell ref="V691:W691"/>
    <mergeCell ref="X691:AA691"/>
    <mergeCell ref="AB691:AE691"/>
    <mergeCell ref="AJ691:AK691"/>
    <mergeCell ref="AL691:AM691"/>
    <mergeCell ref="B690:C690"/>
    <mergeCell ref="D690:E690"/>
    <mergeCell ref="F690:G690"/>
    <mergeCell ref="H690:I690"/>
    <mergeCell ref="L690:M690"/>
    <mergeCell ref="P690:Q690"/>
    <mergeCell ref="R690:S690"/>
    <mergeCell ref="T690:U690"/>
    <mergeCell ref="V690:W690"/>
    <mergeCell ref="X690:AA690"/>
    <mergeCell ref="AB690:AE690"/>
    <mergeCell ref="AJ690:AK690"/>
    <mergeCell ref="AV690:AW690"/>
    <mergeCell ref="AV691:AW691"/>
    <mergeCell ref="AV692:AW692"/>
    <mergeCell ref="AF690:AG690"/>
    <mergeCell ref="AR693:AS693"/>
    <mergeCell ref="AT693:AU693"/>
    <mergeCell ref="AX693:AZ693"/>
    <mergeCell ref="BA693:BB693"/>
    <mergeCell ref="BD693:BE693"/>
    <mergeCell ref="BF693:BI693"/>
    <mergeCell ref="BJ693:BM693"/>
    <mergeCell ref="BN693:BV693"/>
    <mergeCell ref="B694:C694"/>
    <mergeCell ref="D694:E694"/>
    <mergeCell ref="F694:G694"/>
    <mergeCell ref="H694:I694"/>
    <mergeCell ref="L694:M694"/>
    <mergeCell ref="P694:Q694"/>
    <mergeCell ref="R694:S694"/>
    <mergeCell ref="T694:U694"/>
    <mergeCell ref="V694:W694"/>
    <mergeCell ref="X694:AA694"/>
    <mergeCell ref="AB694:AE694"/>
    <mergeCell ref="AJ694:AK694"/>
    <mergeCell ref="AL694:AM694"/>
    <mergeCell ref="AN694:AO694"/>
    <mergeCell ref="AP694:AQ694"/>
    <mergeCell ref="AR694:AS694"/>
    <mergeCell ref="AP692:AQ692"/>
    <mergeCell ref="AR692:AS692"/>
    <mergeCell ref="AT692:AU692"/>
    <mergeCell ref="AX692:AZ692"/>
    <mergeCell ref="BA692:BB692"/>
    <mergeCell ref="BD692:BE692"/>
    <mergeCell ref="BF692:BI692"/>
    <mergeCell ref="BJ692:BM692"/>
    <mergeCell ref="BN692:BV692"/>
    <mergeCell ref="B693:C693"/>
    <mergeCell ref="D693:E693"/>
    <mergeCell ref="F693:G693"/>
    <mergeCell ref="H693:I693"/>
    <mergeCell ref="L693:M693"/>
    <mergeCell ref="P693:Q693"/>
    <mergeCell ref="R693:S693"/>
    <mergeCell ref="T693:U693"/>
    <mergeCell ref="V693:W693"/>
    <mergeCell ref="X693:AA693"/>
    <mergeCell ref="AB693:AE693"/>
    <mergeCell ref="AJ693:AK693"/>
    <mergeCell ref="AL693:AM693"/>
    <mergeCell ref="AN693:AO693"/>
    <mergeCell ref="AP693:AQ693"/>
    <mergeCell ref="AV693:AW693"/>
    <mergeCell ref="AV694:AW694"/>
    <mergeCell ref="AX695:AZ695"/>
    <mergeCell ref="BA695:BB695"/>
    <mergeCell ref="BD695:BE695"/>
    <mergeCell ref="BF695:BI695"/>
    <mergeCell ref="BJ695:BM695"/>
    <mergeCell ref="BN695:BV695"/>
    <mergeCell ref="B696:C696"/>
    <mergeCell ref="D696:E696"/>
    <mergeCell ref="F696:G696"/>
    <mergeCell ref="H696:I696"/>
    <mergeCell ref="L696:M696"/>
    <mergeCell ref="P696:Q696"/>
    <mergeCell ref="R696:S696"/>
    <mergeCell ref="T696:U696"/>
    <mergeCell ref="V696:W696"/>
    <mergeCell ref="X696:AA696"/>
    <mergeCell ref="AB696:AE696"/>
    <mergeCell ref="AJ696:AK696"/>
    <mergeCell ref="AL696:AM696"/>
    <mergeCell ref="AN696:AO696"/>
    <mergeCell ref="AP696:AQ696"/>
    <mergeCell ref="AR696:AS696"/>
    <mergeCell ref="AT696:AU696"/>
    <mergeCell ref="AX696:AZ696"/>
    <mergeCell ref="AT694:AU694"/>
    <mergeCell ref="AX694:AZ694"/>
    <mergeCell ref="BA694:BB694"/>
    <mergeCell ref="BD694:BE694"/>
    <mergeCell ref="BF694:BI694"/>
    <mergeCell ref="BJ694:BM694"/>
    <mergeCell ref="BN694:BV694"/>
    <mergeCell ref="B695:C695"/>
    <mergeCell ref="D695:E695"/>
    <mergeCell ref="F695:G695"/>
    <mergeCell ref="H695:I695"/>
    <mergeCell ref="L695:M695"/>
    <mergeCell ref="P695:Q695"/>
    <mergeCell ref="R695:S695"/>
    <mergeCell ref="T695:U695"/>
    <mergeCell ref="V695:W695"/>
    <mergeCell ref="X695:AA695"/>
    <mergeCell ref="AB695:AE695"/>
    <mergeCell ref="AJ695:AK695"/>
    <mergeCell ref="AL695:AM695"/>
    <mergeCell ref="AN695:AO695"/>
    <mergeCell ref="AP695:AQ695"/>
    <mergeCell ref="AR695:AS695"/>
    <mergeCell ref="AT695:AU695"/>
    <mergeCell ref="AV695:AW695"/>
    <mergeCell ref="AV696:AW696"/>
    <mergeCell ref="AH694:AI694"/>
    <mergeCell ref="AH695:AI695"/>
    <mergeCell ref="BD697:BE697"/>
    <mergeCell ref="BF697:BI697"/>
    <mergeCell ref="BJ697:BM697"/>
    <mergeCell ref="BN697:BV697"/>
    <mergeCell ref="B698:C698"/>
    <mergeCell ref="D698:E698"/>
    <mergeCell ref="F698:G698"/>
    <mergeCell ref="H698:I698"/>
    <mergeCell ref="L698:M698"/>
    <mergeCell ref="P698:Q698"/>
    <mergeCell ref="R698:S698"/>
    <mergeCell ref="T698:U698"/>
    <mergeCell ref="V698:W698"/>
    <mergeCell ref="X698:AA698"/>
    <mergeCell ref="AB698:AE698"/>
    <mergeCell ref="AJ698:AK698"/>
    <mergeCell ref="AL698:AM698"/>
    <mergeCell ref="AN698:AO698"/>
    <mergeCell ref="AP698:AQ698"/>
    <mergeCell ref="AR698:AS698"/>
    <mergeCell ref="AT698:AU698"/>
    <mergeCell ref="AX698:AZ698"/>
    <mergeCell ref="BA698:BB698"/>
    <mergeCell ref="BD698:BE698"/>
    <mergeCell ref="BA696:BB696"/>
    <mergeCell ref="BD696:BE696"/>
    <mergeCell ref="BF696:BI696"/>
    <mergeCell ref="BJ696:BM696"/>
    <mergeCell ref="BN696:BV696"/>
    <mergeCell ref="B697:C697"/>
    <mergeCell ref="D697:E697"/>
    <mergeCell ref="F697:G697"/>
    <mergeCell ref="H697:I697"/>
    <mergeCell ref="L697:M697"/>
    <mergeCell ref="P697:Q697"/>
    <mergeCell ref="R697:S697"/>
    <mergeCell ref="T697:U697"/>
    <mergeCell ref="V697:W697"/>
    <mergeCell ref="X697:AA697"/>
    <mergeCell ref="AB697:AE697"/>
    <mergeCell ref="AJ697:AK697"/>
    <mergeCell ref="AL697:AM697"/>
    <mergeCell ref="AN697:AO697"/>
    <mergeCell ref="AP697:AQ697"/>
    <mergeCell ref="AR697:AS697"/>
    <mergeCell ref="AT697:AU697"/>
    <mergeCell ref="AX697:AZ697"/>
    <mergeCell ref="BA697:BB697"/>
    <mergeCell ref="AV697:AW697"/>
    <mergeCell ref="AV698:AW698"/>
    <mergeCell ref="AH696:AI696"/>
    <mergeCell ref="AH697:AI697"/>
    <mergeCell ref="BJ699:BM699"/>
    <mergeCell ref="BN699:BV699"/>
    <mergeCell ref="B700:C700"/>
    <mergeCell ref="D700:E700"/>
    <mergeCell ref="F700:G700"/>
    <mergeCell ref="H700:I700"/>
    <mergeCell ref="L700:M700"/>
    <mergeCell ref="P700:Q700"/>
    <mergeCell ref="R700:S700"/>
    <mergeCell ref="T700:U700"/>
    <mergeCell ref="V700:W700"/>
    <mergeCell ref="X700:AA700"/>
    <mergeCell ref="AB700:AE700"/>
    <mergeCell ref="AJ700:AK700"/>
    <mergeCell ref="AL700:AM700"/>
    <mergeCell ref="AN700:AO700"/>
    <mergeCell ref="AP700:AQ700"/>
    <mergeCell ref="AR700:AS700"/>
    <mergeCell ref="AT700:AU700"/>
    <mergeCell ref="AX700:AZ700"/>
    <mergeCell ref="BA700:BB700"/>
    <mergeCell ref="BD700:BE700"/>
    <mergeCell ref="BF700:BI700"/>
    <mergeCell ref="BJ700:BM700"/>
    <mergeCell ref="BF698:BI698"/>
    <mergeCell ref="BJ698:BM698"/>
    <mergeCell ref="BN698:BV698"/>
    <mergeCell ref="B699:C699"/>
    <mergeCell ref="D699:E699"/>
    <mergeCell ref="F699:G699"/>
    <mergeCell ref="H699:I699"/>
    <mergeCell ref="L699:M699"/>
    <mergeCell ref="P699:Q699"/>
    <mergeCell ref="R699:S699"/>
    <mergeCell ref="T699:U699"/>
    <mergeCell ref="V699:W699"/>
    <mergeCell ref="X699:AA699"/>
    <mergeCell ref="AB699:AE699"/>
    <mergeCell ref="AJ699:AK699"/>
    <mergeCell ref="AL699:AM699"/>
    <mergeCell ref="AN699:AO699"/>
    <mergeCell ref="AP699:AQ699"/>
    <mergeCell ref="AR699:AS699"/>
    <mergeCell ref="AT699:AU699"/>
    <mergeCell ref="AX699:AZ699"/>
    <mergeCell ref="BA699:BB699"/>
    <mergeCell ref="BD699:BE699"/>
    <mergeCell ref="BF699:BI699"/>
    <mergeCell ref="AV699:AW699"/>
    <mergeCell ref="AV700:AW700"/>
    <mergeCell ref="AH698:AI698"/>
    <mergeCell ref="AH699:AI699"/>
    <mergeCell ref="BN701:BV701"/>
    <mergeCell ref="B702:C702"/>
    <mergeCell ref="D702:E702"/>
    <mergeCell ref="F702:G702"/>
    <mergeCell ref="H702:I702"/>
    <mergeCell ref="L702:M702"/>
    <mergeCell ref="P702:Q702"/>
    <mergeCell ref="R702:S702"/>
    <mergeCell ref="T702:U702"/>
    <mergeCell ref="V702:W702"/>
    <mergeCell ref="X702:AA702"/>
    <mergeCell ref="AB702:AE702"/>
    <mergeCell ref="AJ702:AK702"/>
    <mergeCell ref="AL702:AM702"/>
    <mergeCell ref="AN702:AO702"/>
    <mergeCell ref="AP702:AQ702"/>
    <mergeCell ref="AR702:AS702"/>
    <mergeCell ref="AT702:AU702"/>
    <mergeCell ref="AX702:AZ702"/>
    <mergeCell ref="BA702:BB702"/>
    <mergeCell ref="BD702:BE702"/>
    <mergeCell ref="BF702:BI702"/>
    <mergeCell ref="BJ702:BM702"/>
    <mergeCell ref="BN700:BV700"/>
    <mergeCell ref="B701:C701"/>
    <mergeCell ref="D701:E701"/>
    <mergeCell ref="F701:G701"/>
    <mergeCell ref="H701:I701"/>
    <mergeCell ref="L701:M701"/>
    <mergeCell ref="P701:Q701"/>
    <mergeCell ref="R701:S701"/>
    <mergeCell ref="T701:U701"/>
    <mergeCell ref="V701:W701"/>
    <mergeCell ref="X701:AA701"/>
    <mergeCell ref="AB701:AE701"/>
    <mergeCell ref="AJ701:AK701"/>
    <mergeCell ref="AL701:AM701"/>
    <mergeCell ref="AN701:AO701"/>
    <mergeCell ref="AP701:AQ701"/>
    <mergeCell ref="AR701:AS701"/>
    <mergeCell ref="AT701:AU701"/>
    <mergeCell ref="AX701:AZ701"/>
    <mergeCell ref="BA701:BB701"/>
    <mergeCell ref="BD701:BE701"/>
    <mergeCell ref="BF701:BI701"/>
    <mergeCell ref="BJ701:BM701"/>
    <mergeCell ref="AV701:AW701"/>
    <mergeCell ref="AV702:AW702"/>
    <mergeCell ref="AH700:AI700"/>
    <mergeCell ref="AH701:AI701"/>
    <mergeCell ref="BN703:BV703"/>
    <mergeCell ref="B704:C704"/>
    <mergeCell ref="D704:E704"/>
    <mergeCell ref="F704:G704"/>
    <mergeCell ref="H704:I704"/>
    <mergeCell ref="L704:M704"/>
    <mergeCell ref="P704:Q704"/>
    <mergeCell ref="R704:S704"/>
    <mergeCell ref="T704:U704"/>
    <mergeCell ref="V704:W704"/>
    <mergeCell ref="X704:AA704"/>
    <mergeCell ref="AB704:AE704"/>
    <mergeCell ref="AJ704:AK704"/>
    <mergeCell ref="AL704:AM704"/>
    <mergeCell ref="AN704:AO704"/>
    <mergeCell ref="AP704:AQ704"/>
    <mergeCell ref="AR704:AS704"/>
    <mergeCell ref="AT704:AU704"/>
    <mergeCell ref="AX704:AZ704"/>
    <mergeCell ref="BA704:BB704"/>
    <mergeCell ref="BD704:BE704"/>
    <mergeCell ref="BF704:BI704"/>
    <mergeCell ref="BJ704:BM704"/>
    <mergeCell ref="BN704:BV704"/>
    <mergeCell ref="BN702:BV702"/>
    <mergeCell ref="B703:C703"/>
    <mergeCell ref="D703:E703"/>
    <mergeCell ref="F703:G703"/>
    <mergeCell ref="H703:I703"/>
    <mergeCell ref="L703:M703"/>
    <mergeCell ref="P703:Q703"/>
    <mergeCell ref="R703:S703"/>
    <mergeCell ref="T703:U703"/>
    <mergeCell ref="V703:W703"/>
    <mergeCell ref="X703:AA703"/>
    <mergeCell ref="AB703:AE703"/>
    <mergeCell ref="AJ703:AK703"/>
    <mergeCell ref="AL703:AM703"/>
    <mergeCell ref="AN703:AO703"/>
    <mergeCell ref="AP703:AQ703"/>
    <mergeCell ref="AR703:AS703"/>
    <mergeCell ref="AT703:AU703"/>
    <mergeCell ref="AX703:AZ703"/>
    <mergeCell ref="BA703:BB703"/>
    <mergeCell ref="BD703:BE703"/>
    <mergeCell ref="BF703:BI703"/>
    <mergeCell ref="BJ703:BM703"/>
    <mergeCell ref="AV703:AW703"/>
    <mergeCell ref="AV704:AW704"/>
    <mergeCell ref="AH702:AI702"/>
    <mergeCell ref="AH703:AI703"/>
    <mergeCell ref="AH704:AI704"/>
    <mergeCell ref="AN706:AO706"/>
    <mergeCell ref="AP706:AQ706"/>
    <mergeCell ref="AR706:AS706"/>
    <mergeCell ref="AT706:AU706"/>
    <mergeCell ref="AX706:AZ706"/>
    <mergeCell ref="BA706:BB706"/>
    <mergeCell ref="BD706:BE706"/>
    <mergeCell ref="BF706:BI706"/>
    <mergeCell ref="BJ706:BM706"/>
    <mergeCell ref="BN706:BV706"/>
    <mergeCell ref="B707:C707"/>
    <mergeCell ref="D707:E707"/>
    <mergeCell ref="F707:G707"/>
    <mergeCell ref="H707:I707"/>
    <mergeCell ref="L707:M707"/>
    <mergeCell ref="P707:Q707"/>
    <mergeCell ref="R707:S707"/>
    <mergeCell ref="T707:U707"/>
    <mergeCell ref="V707:W707"/>
    <mergeCell ref="X707:AA707"/>
    <mergeCell ref="AB707:AE707"/>
    <mergeCell ref="AJ707:AK707"/>
    <mergeCell ref="AL707:AM707"/>
    <mergeCell ref="AN707:AO707"/>
    <mergeCell ref="AL705:AM705"/>
    <mergeCell ref="AN705:AO705"/>
    <mergeCell ref="AP705:AQ705"/>
    <mergeCell ref="AR705:AS705"/>
    <mergeCell ref="AT705:AU705"/>
    <mergeCell ref="AX705:AZ705"/>
    <mergeCell ref="BA705:BB705"/>
    <mergeCell ref="BD705:BE705"/>
    <mergeCell ref="BF705:BI705"/>
    <mergeCell ref="BJ705:BM705"/>
    <mergeCell ref="BN705:BV705"/>
    <mergeCell ref="B706:C706"/>
    <mergeCell ref="D706:E706"/>
    <mergeCell ref="F706:G706"/>
    <mergeCell ref="H706:I706"/>
    <mergeCell ref="L706:M706"/>
    <mergeCell ref="P706:Q706"/>
    <mergeCell ref="R706:S706"/>
    <mergeCell ref="T706:U706"/>
    <mergeCell ref="V706:W706"/>
    <mergeCell ref="X706:AA706"/>
    <mergeCell ref="AB706:AE706"/>
    <mergeCell ref="AJ706:AK706"/>
    <mergeCell ref="AL706:AM706"/>
    <mergeCell ref="B705:C705"/>
    <mergeCell ref="D705:E705"/>
    <mergeCell ref="F705:G705"/>
    <mergeCell ref="H705:I705"/>
    <mergeCell ref="L705:M705"/>
    <mergeCell ref="P705:Q705"/>
    <mergeCell ref="R705:S705"/>
    <mergeCell ref="T705:U705"/>
    <mergeCell ref="V705:W705"/>
    <mergeCell ref="X705:AA705"/>
    <mergeCell ref="AB705:AE705"/>
    <mergeCell ref="AJ705:AK705"/>
    <mergeCell ref="AV706:AW706"/>
    <mergeCell ref="AV705:AW705"/>
    <mergeCell ref="AV707:AW707"/>
    <mergeCell ref="AH705:AI705"/>
    <mergeCell ref="AR708:AS708"/>
    <mergeCell ref="AT708:AU708"/>
    <mergeCell ref="AX708:AZ708"/>
    <mergeCell ref="BA708:BB708"/>
    <mergeCell ref="BD708:BE708"/>
    <mergeCell ref="BF708:BI708"/>
    <mergeCell ref="BJ708:BM708"/>
    <mergeCell ref="BN708:BV708"/>
    <mergeCell ref="B709:C709"/>
    <mergeCell ref="D709:E709"/>
    <mergeCell ref="F709:G709"/>
    <mergeCell ref="H709:I709"/>
    <mergeCell ref="L709:M709"/>
    <mergeCell ref="P709:Q709"/>
    <mergeCell ref="R709:S709"/>
    <mergeCell ref="T709:U709"/>
    <mergeCell ref="V709:W709"/>
    <mergeCell ref="X709:AA709"/>
    <mergeCell ref="AB709:AE709"/>
    <mergeCell ref="AJ709:AK709"/>
    <mergeCell ref="AL709:AM709"/>
    <mergeCell ref="AN709:AO709"/>
    <mergeCell ref="AP709:AQ709"/>
    <mergeCell ref="AR709:AS709"/>
    <mergeCell ref="AP707:AQ707"/>
    <mergeCell ref="AR707:AS707"/>
    <mergeCell ref="AT707:AU707"/>
    <mergeCell ref="AX707:AZ707"/>
    <mergeCell ref="BA707:BB707"/>
    <mergeCell ref="BD707:BE707"/>
    <mergeCell ref="BF707:BI707"/>
    <mergeCell ref="BJ707:BM707"/>
    <mergeCell ref="BN707:BV707"/>
    <mergeCell ref="B708:C708"/>
    <mergeCell ref="D708:E708"/>
    <mergeCell ref="F708:G708"/>
    <mergeCell ref="H708:I708"/>
    <mergeCell ref="L708:M708"/>
    <mergeCell ref="P708:Q708"/>
    <mergeCell ref="R708:S708"/>
    <mergeCell ref="T708:U708"/>
    <mergeCell ref="V708:W708"/>
    <mergeCell ref="X708:AA708"/>
    <mergeCell ref="AB708:AE708"/>
    <mergeCell ref="AJ708:AK708"/>
    <mergeCell ref="AL708:AM708"/>
    <mergeCell ref="AN708:AO708"/>
    <mergeCell ref="AP708:AQ708"/>
    <mergeCell ref="AV708:AW708"/>
    <mergeCell ref="AV709:AW709"/>
    <mergeCell ref="AX710:AZ710"/>
    <mergeCell ref="BA710:BB710"/>
    <mergeCell ref="BD710:BE710"/>
    <mergeCell ref="BF710:BI710"/>
    <mergeCell ref="BJ710:BM710"/>
    <mergeCell ref="BN710:BV710"/>
    <mergeCell ref="B711:C711"/>
    <mergeCell ref="D711:E711"/>
    <mergeCell ref="F711:G711"/>
    <mergeCell ref="H711:I711"/>
    <mergeCell ref="L711:M711"/>
    <mergeCell ref="P711:Q711"/>
    <mergeCell ref="R711:S711"/>
    <mergeCell ref="T711:U711"/>
    <mergeCell ref="V711:W711"/>
    <mergeCell ref="X711:AA711"/>
    <mergeCell ref="AB711:AE711"/>
    <mergeCell ref="AJ711:AK711"/>
    <mergeCell ref="AL711:AM711"/>
    <mergeCell ref="AN711:AO711"/>
    <mergeCell ref="AP711:AQ711"/>
    <mergeCell ref="AR711:AS711"/>
    <mergeCell ref="AT711:AU711"/>
    <mergeCell ref="AX711:AZ711"/>
    <mergeCell ref="AT709:AU709"/>
    <mergeCell ref="AX709:AZ709"/>
    <mergeCell ref="BA709:BB709"/>
    <mergeCell ref="BD709:BE709"/>
    <mergeCell ref="BF709:BI709"/>
    <mergeCell ref="BJ709:BM709"/>
    <mergeCell ref="BN709:BV709"/>
    <mergeCell ref="B710:C710"/>
    <mergeCell ref="D710:E710"/>
    <mergeCell ref="F710:G710"/>
    <mergeCell ref="H710:I710"/>
    <mergeCell ref="L710:M710"/>
    <mergeCell ref="P710:Q710"/>
    <mergeCell ref="R710:S710"/>
    <mergeCell ref="T710:U710"/>
    <mergeCell ref="V710:W710"/>
    <mergeCell ref="X710:AA710"/>
    <mergeCell ref="AB710:AE710"/>
    <mergeCell ref="AJ710:AK710"/>
    <mergeCell ref="AL710:AM710"/>
    <mergeCell ref="AN710:AO710"/>
    <mergeCell ref="AP710:AQ710"/>
    <mergeCell ref="AR710:AS710"/>
    <mergeCell ref="AT710:AU710"/>
    <mergeCell ref="AV710:AW710"/>
    <mergeCell ref="AV711:AW711"/>
    <mergeCell ref="BD712:BE712"/>
    <mergeCell ref="BF712:BI712"/>
    <mergeCell ref="BJ712:BM712"/>
    <mergeCell ref="BN712:BV712"/>
    <mergeCell ref="B713:C713"/>
    <mergeCell ref="D713:E713"/>
    <mergeCell ref="F713:G713"/>
    <mergeCell ref="H713:I713"/>
    <mergeCell ref="L713:M713"/>
    <mergeCell ref="P713:Q713"/>
    <mergeCell ref="R713:S713"/>
    <mergeCell ref="T713:U713"/>
    <mergeCell ref="V713:W713"/>
    <mergeCell ref="X713:AA713"/>
    <mergeCell ref="AB713:AE713"/>
    <mergeCell ref="AJ713:AK713"/>
    <mergeCell ref="AL713:AM713"/>
    <mergeCell ref="AN713:AO713"/>
    <mergeCell ref="AP713:AQ713"/>
    <mergeCell ref="AR713:AS713"/>
    <mergeCell ref="AT713:AU713"/>
    <mergeCell ref="AX713:AZ713"/>
    <mergeCell ref="BA713:BB713"/>
    <mergeCell ref="BD713:BE713"/>
    <mergeCell ref="BA711:BB711"/>
    <mergeCell ref="BD711:BE711"/>
    <mergeCell ref="BF711:BI711"/>
    <mergeCell ref="BJ711:BM711"/>
    <mergeCell ref="BN711:BV711"/>
    <mergeCell ref="B712:C712"/>
    <mergeCell ref="D712:E712"/>
    <mergeCell ref="F712:G712"/>
    <mergeCell ref="H712:I712"/>
    <mergeCell ref="L712:M712"/>
    <mergeCell ref="P712:Q712"/>
    <mergeCell ref="R712:S712"/>
    <mergeCell ref="T712:U712"/>
    <mergeCell ref="V712:W712"/>
    <mergeCell ref="X712:AA712"/>
    <mergeCell ref="AB712:AE712"/>
    <mergeCell ref="AJ712:AK712"/>
    <mergeCell ref="AL712:AM712"/>
    <mergeCell ref="AN712:AO712"/>
    <mergeCell ref="AP712:AQ712"/>
    <mergeCell ref="AR712:AS712"/>
    <mergeCell ref="AT712:AU712"/>
    <mergeCell ref="AX712:AZ712"/>
    <mergeCell ref="BA712:BB712"/>
    <mergeCell ref="AV712:AW712"/>
    <mergeCell ref="AV713:AW713"/>
    <mergeCell ref="BJ714:BM714"/>
    <mergeCell ref="BN714:BV714"/>
    <mergeCell ref="B715:C715"/>
    <mergeCell ref="D715:E715"/>
    <mergeCell ref="F715:G715"/>
    <mergeCell ref="H715:I715"/>
    <mergeCell ref="L715:M715"/>
    <mergeCell ref="P715:Q715"/>
    <mergeCell ref="R715:S715"/>
    <mergeCell ref="T715:U715"/>
    <mergeCell ref="V715:W715"/>
    <mergeCell ref="X715:AA715"/>
    <mergeCell ref="AB715:AE715"/>
    <mergeCell ref="AJ715:AK715"/>
    <mergeCell ref="AL715:AM715"/>
    <mergeCell ref="AN715:AO715"/>
    <mergeCell ref="AP715:AQ715"/>
    <mergeCell ref="AR715:AS715"/>
    <mergeCell ref="AT715:AU715"/>
    <mergeCell ref="AX715:AZ715"/>
    <mergeCell ref="BA715:BB715"/>
    <mergeCell ref="BD715:BE715"/>
    <mergeCell ref="BF715:BI715"/>
    <mergeCell ref="BJ715:BM715"/>
    <mergeCell ref="BF713:BI713"/>
    <mergeCell ref="BJ713:BM713"/>
    <mergeCell ref="BN713:BV713"/>
    <mergeCell ref="B714:C714"/>
    <mergeCell ref="D714:E714"/>
    <mergeCell ref="F714:G714"/>
    <mergeCell ref="H714:I714"/>
    <mergeCell ref="L714:M714"/>
    <mergeCell ref="P714:Q714"/>
    <mergeCell ref="R714:S714"/>
    <mergeCell ref="T714:U714"/>
    <mergeCell ref="V714:W714"/>
    <mergeCell ref="X714:AA714"/>
    <mergeCell ref="AB714:AE714"/>
    <mergeCell ref="AJ714:AK714"/>
    <mergeCell ref="AL714:AM714"/>
    <mergeCell ref="AN714:AO714"/>
    <mergeCell ref="AP714:AQ714"/>
    <mergeCell ref="AR714:AS714"/>
    <mergeCell ref="AT714:AU714"/>
    <mergeCell ref="AX714:AZ714"/>
    <mergeCell ref="BA714:BB714"/>
    <mergeCell ref="BD714:BE714"/>
    <mergeCell ref="BF714:BI714"/>
    <mergeCell ref="AV714:AW714"/>
    <mergeCell ref="AV715:AW715"/>
    <mergeCell ref="BN716:BV716"/>
    <mergeCell ref="B717:C717"/>
    <mergeCell ref="D717:E717"/>
    <mergeCell ref="F717:G717"/>
    <mergeCell ref="H717:I717"/>
    <mergeCell ref="L717:M717"/>
    <mergeCell ref="P717:Q717"/>
    <mergeCell ref="R717:S717"/>
    <mergeCell ref="T717:U717"/>
    <mergeCell ref="V717:W717"/>
    <mergeCell ref="X717:AA717"/>
    <mergeCell ref="AB717:AE717"/>
    <mergeCell ref="AJ717:AK717"/>
    <mergeCell ref="AL717:AM717"/>
    <mergeCell ref="AN717:AO717"/>
    <mergeCell ref="AP717:AQ717"/>
    <mergeCell ref="AR717:AS717"/>
    <mergeCell ref="AT717:AU717"/>
    <mergeCell ref="AX717:AZ717"/>
    <mergeCell ref="BA717:BB717"/>
    <mergeCell ref="BD717:BE717"/>
    <mergeCell ref="BF717:BI717"/>
    <mergeCell ref="BJ717:BM717"/>
    <mergeCell ref="BN715:BV715"/>
    <mergeCell ref="B716:C716"/>
    <mergeCell ref="D716:E716"/>
    <mergeCell ref="F716:G716"/>
    <mergeCell ref="H716:I716"/>
    <mergeCell ref="L716:M716"/>
    <mergeCell ref="P716:Q716"/>
    <mergeCell ref="R716:S716"/>
    <mergeCell ref="T716:U716"/>
    <mergeCell ref="V716:W716"/>
    <mergeCell ref="X716:AA716"/>
    <mergeCell ref="AB716:AE716"/>
    <mergeCell ref="AJ716:AK716"/>
    <mergeCell ref="AL716:AM716"/>
    <mergeCell ref="AN716:AO716"/>
    <mergeCell ref="AP716:AQ716"/>
    <mergeCell ref="AR716:AS716"/>
    <mergeCell ref="AT716:AU716"/>
    <mergeCell ref="AX716:AZ716"/>
    <mergeCell ref="BA716:BB716"/>
    <mergeCell ref="BD716:BE716"/>
    <mergeCell ref="BF716:BI716"/>
    <mergeCell ref="BJ716:BM716"/>
    <mergeCell ref="AV716:AW716"/>
    <mergeCell ref="AV717:AW717"/>
    <mergeCell ref="BN718:BV718"/>
    <mergeCell ref="B719:C719"/>
    <mergeCell ref="D719:E719"/>
    <mergeCell ref="F719:G719"/>
    <mergeCell ref="H719:I719"/>
    <mergeCell ref="L719:M719"/>
    <mergeCell ref="P719:Q719"/>
    <mergeCell ref="R719:S719"/>
    <mergeCell ref="T719:U719"/>
    <mergeCell ref="V719:W719"/>
    <mergeCell ref="X719:AA719"/>
    <mergeCell ref="AB719:AE719"/>
    <mergeCell ref="AJ719:AK719"/>
    <mergeCell ref="AL719:AM719"/>
    <mergeCell ref="AN719:AO719"/>
    <mergeCell ref="AP719:AQ719"/>
    <mergeCell ref="AR719:AS719"/>
    <mergeCell ref="AT719:AU719"/>
    <mergeCell ref="AX719:AZ719"/>
    <mergeCell ref="BA719:BB719"/>
    <mergeCell ref="BD719:BE719"/>
    <mergeCell ref="BF719:BI719"/>
    <mergeCell ref="BJ719:BM719"/>
    <mergeCell ref="BN719:BV719"/>
    <mergeCell ref="BN717:BV717"/>
    <mergeCell ref="B718:C718"/>
    <mergeCell ref="D718:E718"/>
    <mergeCell ref="F718:G718"/>
    <mergeCell ref="H718:I718"/>
    <mergeCell ref="L718:M718"/>
    <mergeCell ref="P718:Q718"/>
    <mergeCell ref="R718:S718"/>
    <mergeCell ref="T718:U718"/>
    <mergeCell ref="V718:W718"/>
    <mergeCell ref="X718:AA718"/>
    <mergeCell ref="AB718:AE718"/>
    <mergeCell ref="AJ718:AK718"/>
    <mergeCell ref="AL718:AM718"/>
    <mergeCell ref="AN718:AO718"/>
    <mergeCell ref="AP718:AQ718"/>
    <mergeCell ref="AR718:AS718"/>
    <mergeCell ref="AT718:AU718"/>
    <mergeCell ref="AX718:AZ718"/>
    <mergeCell ref="BA718:BB718"/>
    <mergeCell ref="BD718:BE718"/>
    <mergeCell ref="BF718:BI718"/>
    <mergeCell ref="BJ718:BM718"/>
    <mergeCell ref="AV718:AW718"/>
    <mergeCell ref="AV719:AW719"/>
    <mergeCell ref="AN721:AO721"/>
    <mergeCell ref="AP721:AQ721"/>
    <mergeCell ref="AR721:AS721"/>
    <mergeCell ref="AT721:AU721"/>
    <mergeCell ref="AX721:AZ721"/>
    <mergeCell ref="BA721:BB721"/>
    <mergeCell ref="BD721:BE721"/>
    <mergeCell ref="BF721:BI721"/>
    <mergeCell ref="BJ721:BM721"/>
    <mergeCell ref="BN721:BV721"/>
    <mergeCell ref="B722:C722"/>
    <mergeCell ref="D722:E722"/>
    <mergeCell ref="F722:G722"/>
    <mergeCell ref="H722:I722"/>
    <mergeCell ref="L722:M722"/>
    <mergeCell ref="P722:Q722"/>
    <mergeCell ref="R722:S722"/>
    <mergeCell ref="T722:U722"/>
    <mergeCell ref="V722:W722"/>
    <mergeCell ref="X722:AA722"/>
    <mergeCell ref="AB722:AE722"/>
    <mergeCell ref="AJ722:AK722"/>
    <mergeCell ref="AL722:AM722"/>
    <mergeCell ref="AN722:AO722"/>
    <mergeCell ref="AL720:AM720"/>
    <mergeCell ref="AN720:AO720"/>
    <mergeCell ref="AP720:AQ720"/>
    <mergeCell ref="AR720:AS720"/>
    <mergeCell ref="AT720:AU720"/>
    <mergeCell ref="AX720:AZ720"/>
    <mergeCell ref="BA720:BB720"/>
    <mergeCell ref="BD720:BE720"/>
    <mergeCell ref="BF720:BI720"/>
    <mergeCell ref="BJ720:BM720"/>
    <mergeCell ref="BN720:BV720"/>
    <mergeCell ref="B721:C721"/>
    <mergeCell ref="D721:E721"/>
    <mergeCell ref="F721:G721"/>
    <mergeCell ref="H721:I721"/>
    <mergeCell ref="L721:M721"/>
    <mergeCell ref="P721:Q721"/>
    <mergeCell ref="R721:S721"/>
    <mergeCell ref="T721:U721"/>
    <mergeCell ref="V721:W721"/>
    <mergeCell ref="X721:AA721"/>
    <mergeCell ref="AB721:AE721"/>
    <mergeCell ref="AJ721:AK721"/>
    <mergeCell ref="AL721:AM721"/>
    <mergeCell ref="B720:C720"/>
    <mergeCell ref="D720:E720"/>
    <mergeCell ref="F720:G720"/>
    <mergeCell ref="H720:I720"/>
    <mergeCell ref="L720:M720"/>
    <mergeCell ref="P720:Q720"/>
    <mergeCell ref="R720:S720"/>
    <mergeCell ref="T720:U720"/>
    <mergeCell ref="V720:W720"/>
    <mergeCell ref="X720:AA720"/>
    <mergeCell ref="AB720:AE720"/>
    <mergeCell ref="AJ720:AK720"/>
    <mergeCell ref="AV720:AW720"/>
    <mergeCell ref="AV721:AW721"/>
    <mergeCell ref="AV722:AW722"/>
    <mergeCell ref="AF721:AG721"/>
    <mergeCell ref="AR723:AS723"/>
    <mergeCell ref="AT723:AU723"/>
    <mergeCell ref="AX723:AZ723"/>
    <mergeCell ref="BA723:BB723"/>
    <mergeCell ref="BD723:BE723"/>
    <mergeCell ref="BF723:BI723"/>
    <mergeCell ref="BJ723:BM723"/>
    <mergeCell ref="BN723:BV723"/>
    <mergeCell ref="B724:C724"/>
    <mergeCell ref="D724:E724"/>
    <mergeCell ref="F724:G724"/>
    <mergeCell ref="H724:I724"/>
    <mergeCell ref="L724:M724"/>
    <mergeCell ref="P724:Q724"/>
    <mergeCell ref="R724:S724"/>
    <mergeCell ref="T724:U724"/>
    <mergeCell ref="V724:W724"/>
    <mergeCell ref="X724:AA724"/>
    <mergeCell ref="AB724:AE724"/>
    <mergeCell ref="AJ724:AK724"/>
    <mergeCell ref="AL724:AM724"/>
    <mergeCell ref="AN724:AO724"/>
    <mergeCell ref="AP724:AQ724"/>
    <mergeCell ref="AR724:AS724"/>
    <mergeCell ref="AP722:AQ722"/>
    <mergeCell ref="AR722:AS722"/>
    <mergeCell ref="AT722:AU722"/>
    <mergeCell ref="AX722:AZ722"/>
    <mergeCell ref="BA722:BB722"/>
    <mergeCell ref="BD722:BE722"/>
    <mergeCell ref="BF722:BI722"/>
    <mergeCell ref="BJ722:BM722"/>
    <mergeCell ref="BN722:BV722"/>
    <mergeCell ref="B723:C723"/>
    <mergeCell ref="D723:E723"/>
    <mergeCell ref="F723:G723"/>
    <mergeCell ref="H723:I723"/>
    <mergeCell ref="L723:M723"/>
    <mergeCell ref="P723:Q723"/>
    <mergeCell ref="R723:S723"/>
    <mergeCell ref="T723:U723"/>
    <mergeCell ref="V723:W723"/>
    <mergeCell ref="X723:AA723"/>
    <mergeCell ref="AB723:AE723"/>
    <mergeCell ref="AJ723:AK723"/>
    <mergeCell ref="AL723:AM723"/>
    <mergeCell ref="AN723:AO723"/>
    <mergeCell ref="AP723:AQ723"/>
    <mergeCell ref="AV723:AW723"/>
    <mergeCell ref="AV724:AW724"/>
    <mergeCell ref="AF724:AG724"/>
    <mergeCell ref="J723:K723"/>
    <mergeCell ref="AF722:AG722"/>
    <mergeCell ref="AF723:AG723"/>
    <mergeCell ref="AX725:AZ725"/>
    <mergeCell ref="BA725:BB725"/>
    <mergeCell ref="BD725:BE725"/>
    <mergeCell ref="BF725:BI725"/>
    <mergeCell ref="BJ725:BM725"/>
    <mergeCell ref="BN725:BV725"/>
    <mergeCell ref="B726:C726"/>
    <mergeCell ref="D726:E726"/>
    <mergeCell ref="F726:G726"/>
    <mergeCell ref="H726:I726"/>
    <mergeCell ref="L726:M726"/>
    <mergeCell ref="P726:Q726"/>
    <mergeCell ref="R726:S726"/>
    <mergeCell ref="T726:U726"/>
    <mergeCell ref="V726:W726"/>
    <mergeCell ref="X726:AA726"/>
    <mergeCell ref="AB726:AE726"/>
    <mergeCell ref="AJ726:AK726"/>
    <mergeCell ref="AL726:AM726"/>
    <mergeCell ref="AN726:AO726"/>
    <mergeCell ref="AP726:AQ726"/>
    <mergeCell ref="AR726:AS726"/>
    <mergeCell ref="AT726:AU726"/>
    <mergeCell ref="AX726:AZ726"/>
    <mergeCell ref="AT724:AU724"/>
    <mergeCell ref="AX724:AZ724"/>
    <mergeCell ref="BA724:BB724"/>
    <mergeCell ref="BD724:BE724"/>
    <mergeCell ref="BF724:BI724"/>
    <mergeCell ref="BJ724:BM724"/>
    <mergeCell ref="BN724:BV724"/>
    <mergeCell ref="B725:C725"/>
    <mergeCell ref="D725:E725"/>
    <mergeCell ref="F725:G725"/>
    <mergeCell ref="H725:I725"/>
    <mergeCell ref="L725:M725"/>
    <mergeCell ref="P725:Q725"/>
    <mergeCell ref="R725:S725"/>
    <mergeCell ref="T725:U725"/>
    <mergeCell ref="V725:W725"/>
    <mergeCell ref="X725:AA725"/>
    <mergeCell ref="AB725:AE725"/>
    <mergeCell ref="AJ725:AK725"/>
    <mergeCell ref="AL725:AM725"/>
    <mergeCell ref="AN725:AO725"/>
    <mergeCell ref="AP725:AQ725"/>
    <mergeCell ref="AR725:AS725"/>
    <mergeCell ref="AT725:AU725"/>
    <mergeCell ref="AV725:AW725"/>
    <mergeCell ref="AV726:AW726"/>
    <mergeCell ref="AF725:AG725"/>
    <mergeCell ref="AF726:AG726"/>
    <mergeCell ref="J724:K724"/>
    <mergeCell ref="J725:K725"/>
    <mergeCell ref="BD727:BE727"/>
    <mergeCell ref="BF727:BI727"/>
    <mergeCell ref="BJ727:BM727"/>
    <mergeCell ref="BN727:BV727"/>
    <mergeCell ref="B728:C728"/>
    <mergeCell ref="D728:E728"/>
    <mergeCell ref="F728:G728"/>
    <mergeCell ref="H728:I728"/>
    <mergeCell ref="L728:M728"/>
    <mergeCell ref="P728:Q728"/>
    <mergeCell ref="R728:S728"/>
    <mergeCell ref="T728:U728"/>
    <mergeCell ref="V728:W728"/>
    <mergeCell ref="X728:AA728"/>
    <mergeCell ref="AB728:AE728"/>
    <mergeCell ref="AJ728:AK728"/>
    <mergeCell ref="AL728:AM728"/>
    <mergeCell ref="AN728:AO728"/>
    <mergeCell ref="AP728:AQ728"/>
    <mergeCell ref="AR728:AS728"/>
    <mergeCell ref="AT728:AU728"/>
    <mergeCell ref="AX728:AZ728"/>
    <mergeCell ref="BA728:BB728"/>
    <mergeCell ref="BD728:BE728"/>
    <mergeCell ref="BA726:BB726"/>
    <mergeCell ref="BD726:BE726"/>
    <mergeCell ref="BF726:BI726"/>
    <mergeCell ref="BJ726:BM726"/>
    <mergeCell ref="BN726:BV726"/>
    <mergeCell ref="B727:C727"/>
    <mergeCell ref="D727:E727"/>
    <mergeCell ref="F727:G727"/>
    <mergeCell ref="H727:I727"/>
    <mergeCell ref="L727:M727"/>
    <mergeCell ref="P727:Q727"/>
    <mergeCell ref="R727:S727"/>
    <mergeCell ref="T727:U727"/>
    <mergeCell ref="V727:W727"/>
    <mergeCell ref="X727:AA727"/>
    <mergeCell ref="AB727:AE727"/>
    <mergeCell ref="AJ727:AK727"/>
    <mergeCell ref="AL727:AM727"/>
    <mergeCell ref="AN727:AO727"/>
    <mergeCell ref="AP727:AQ727"/>
    <mergeCell ref="AR727:AS727"/>
    <mergeCell ref="AT727:AU727"/>
    <mergeCell ref="AX727:AZ727"/>
    <mergeCell ref="BA727:BB727"/>
    <mergeCell ref="AV727:AW727"/>
    <mergeCell ref="AV728:AW728"/>
    <mergeCell ref="AF727:AG727"/>
    <mergeCell ref="AF728:AG728"/>
    <mergeCell ref="J726:K726"/>
    <mergeCell ref="J727:K727"/>
    <mergeCell ref="BJ729:BM729"/>
    <mergeCell ref="BN729:BV729"/>
    <mergeCell ref="B730:C730"/>
    <mergeCell ref="D730:E730"/>
    <mergeCell ref="F730:G730"/>
    <mergeCell ref="H730:I730"/>
    <mergeCell ref="L730:M730"/>
    <mergeCell ref="P730:Q730"/>
    <mergeCell ref="R730:S730"/>
    <mergeCell ref="T730:U730"/>
    <mergeCell ref="V730:W730"/>
    <mergeCell ref="X730:AA730"/>
    <mergeCell ref="AB730:AE730"/>
    <mergeCell ref="AJ730:AK730"/>
    <mergeCell ref="AL730:AM730"/>
    <mergeCell ref="AN730:AO730"/>
    <mergeCell ref="AP730:AQ730"/>
    <mergeCell ref="AR730:AS730"/>
    <mergeCell ref="AT730:AU730"/>
    <mergeCell ref="AX730:AZ730"/>
    <mergeCell ref="BA730:BB730"/>
    <mergeCell ref="BD730:BE730"/>
    <mergeCell ref="BF730:BI730"/>
    <mergeCell ref="BJ730:BM730"/>
    <mergeCell ref="BF728:BI728"/>
    <mergeCell ref="BJ728:BM728"/>
    <mergeCell ref="BN728:BV728"/>
    <mergeCell ref="B729:C729"/>
    <mergeCell ref="D729:E729"/>
    <mergeCell ref="F729:G729"/>
    <mergeCell ref="H729:I729"/>
    <mergeCell ref="L729:M729"/>
    <mergeCell ref="P729:Q729"/>
    <mergeCell ref="R729:S729"/>
    <mergeCell ref="T729:U729"/>
    <mergeCell ref="V729:W729"/>
    <mergeCell ref="X729:AA729"/>
    <mergeCell ref="AB729:AE729"/>
    <mergeCell ref="AJ729:AK729"/>
    <mergeCell ref="AL729:AM729"/>
    <mergeCell ref="AN729:AO729"/>
    <mergeCell ref="AP729:AQ729"/>
    <mergeCell ref="AR729:AS729"/>
    <mergeCell ref="AT729:AU729"/>
    <mergeCell ref="AX729:AZ729"/>
    <mergeCell ref="BA729:BB729"/>
    <mergeCell ref="BD729:BE729"/>
    <mergeCell ref="BF729:BI729"/>
    <mergeCell ref="AV729:AW729"/>
    <mergeCell ref="AV730:AW730"/>
    <mergeCell ref="AF729:AG729"/>
    <mergeCell ref="AF730:AG730"/>
    <mergeCell ref="J728:K728"/>
    <mergeCell ref="J729:K729"/>
    <mergeCell ref="BN731:BV731"/>
    <mergeCell ref="B732:C732"/>
    <mergeCell ref="D732:E732"/>
    <mergeCell ref="F732:G732"/>
    <mergeCell ref="H732:I732"/>
    <mergeCell ref="L732:M732"/>
    <mergeCell ref="P732:Q732"/>
    <mergeCell ref="R732:S732"/>
    <mergeCell ref="T732:U732"/>
    <mergeCell ref="V732:W732"/>
    <mergeCell ref="X732:AA732"/>
    <mergeCell ref="AB732:AE732"/>
    <mergeCell ref="AJ732:AK732"/>
    <mergeCell ref="AL732:AM732"/>
    <mergeCell ref="AN732:AO732"/>
    <mergeCell ref="AP732:AQ732"/>
    <mergeCell ref="AR732:AS732"/>
    <mergeCell ref="AT732:AU732"/>
    <mergeCell ref="AX732:AZ732"/>
    <mergeCell ref="BA732:BB732"/>
    <mergeCell ref="BD732:BE732"/>
    <mergeCell ref="BF732:BI732"/>
    <mergeCell ref="BJ732:BM732"/>
    <mergeCell ref="BN730:BV730"/>
    <mergeCell ref="B731:C731"/>
    <mergeCell ref="D731:E731"/>
    <mergeCell ref="F731:G731"/>
    <mergeCell ref="H731:I731"/>
    <mergeCell ref="L731:M731"/>
    <mergeCell ref="P731:Q731"/>
    <mergeCell ref="R731:S731"/>
    <mergeCell ref="T731:U731"/>
    <mergeCell ref="V731:W731"/>
    <mergeCell ref="X731:AA731"/>
    <mergeCell ref="AB731:AE731"/>
    <mergeCell ref="AJ731:AK731"/>
    <mergeCell ref="AL731:AM731"/>
    <mergeCell ref="AN731:AO731"/>
    <mergeCell ref="AP731:AQ731"/>
    <mergeCell ref="AR731:AS731"/>
    <mergeCell ref="AT731:AU731"/>
    <mergeCell ref="AX731:AZ731"/>
    <mergeCell ref="BA731:BB731"/>
    <mergeCell ref="BD731:BE731"/>
    <mergeCell ref="BF731:BI731"/>
    <mergeCell ref="BJ731:BM731"/>
    <mergeCell ref="AV731:AW731"/>
    <mergeCell ref="AV732:AW732"/>
    <mergeCell ref="AF731:AG731"/>
    <mergeCell ref="AF732:AG732"/>
    <mergeCell ref="J730:K730"/>
    <mergeCell ref="J731:K731"/>
    <mergeCell ref="BN733:BV733"/>
    <mergeCell ref="B734:C734"/>
    <mergeCell ref="D734:E734"/>
    <mergeCell ref="F734:G734"/>
    <mergeCell ref="H734:I734"/>
    <mergeCell ref="L734:M734"/>
    <mergeCell ref="P734:Q734"/>
    <mergeCell ref="R734:S734"/>
    <mergeCell ref="T734:U734"/>
    <mergeCell ref="V734:W734"/>
    <mergeCell ref="X734:AA734"/>
    <mergeCell ref="AB734:AE734"/>
    <mergeCell ref="AJ734:AK734"/>
    <mergeCell ref="AL734:AM734"/>
    <mergeCell ref="AN734:AO734"/>
    <mergeCell ref="AP734:AQ734"/>
    <mergeCell ref="AR734:AS734"/>
    <mergeCell ref="AT734:AU734"/>
    <mergeCell ref="AX734:AZ734"/>
    <mergeCell ref="BA734:BB734"/>
    <mergeCell ref="BD734:BE734"/>
    <mergeCell ref="BF734:BI734"/>
    <mergeCell ref="BJ734:BM734"/>
    <mergeCell ref="BN734:BV734"/>
    <mergeCell ref="BN732:BV732"/>
    <mergeCell ref="B733:C733"/>
    <mergeCell ref="D733:E733"/>
    <mergeCell ref="F733:G733"/>
    <mergeCell ref="H733:I733"/>
    <mergeCell ref="L733:M733"/>
    <mergeCell ref="P733:Q733"/>
    <mergeCell ref="R733:S733"/>
    <mergeCell ref="T733:U733"/>
    <mergeCell ref="V733:W733"/>
    <mergeCell ref="X733:AA733"/>
    <mergeCell ref="AB733:AE733"/>
    <mergeCell ref="AJ733:AK733"/>
    <mergeCell ref="AL733:AM733"/>
    <mergeCell ref="AN733:AO733"/>
    <mergeCell ref="AP733:AQ733"/>
    <mergeCell ref="AR733:AS733"/>
    <mergeCell ref="AT733:AU733"/>
    <mergeCell ref="AX733:AZ733"/>
    <mergeCell ref="BA733:BB733"/>
    <mergeCell ref="BD733:BE733"/>
    <mergeCell ref="BF733:BI733"/>
    <mergeCell ref="BJ733:BM733"/>
    <mergeCell ref="AV733:AW733"/>
    <mergeCell ref="AV734:AW734"/>
    <mergeCell ref="AF733:AG733"/>
    <mergeCell ref="AF734:AG734"/>
    <mergeCell ref="J732:K732"/>
    <mergeCell ref="J733:K733"/>
    <mergeCell ref="J734:K734"/>
    <mergeCell ref="AN736:AO736"/>
    <mergeCell ref="AP736:AQ736"/>
    <mergeCell ref="AR736:AS736"/>
    <mergeCell ref="AT736:AU736"/>
    <mergeCell ref="AX736:AZ736"/>
    <mergeCell ref="BA736:BB736"/>
    <mergeCell ref="BD736:BE736"/>
    <mergeCell ref="BF736:BI736"/>
    <mergeCell ref="BJ736:BM736"/>
    <mergeCell ref="BN736:BV736"/>
    <mergeCell ref="B737:C737"/>
    <mergeCell ref="D737:E737"/>
    <mergeCell ref="F737:G737"/>
    <mergeCell ref="H737:I737"/>
    <mergeCell ref="L737:M737"/>
    <mergeCell ref="P737:Q737"/>
    <mergeCell ref="R737:S737"/>
    <mergeCell ref="T737:U737"/>
    <mergeCell ref="V737:W737"/>
    <mergeCell ref="X737:AA737"/>
    <mergeCell ref="AB737:AE737"/>
    <mergeCell ref="AJ737:AK737"/>
    <mergeCell ref="AL737:AM737"/>
    <mergeCell ref="AN737:AO737"/>
    <mergeCell ref="AL735:AM735"/>
    <mergeCell ref="AN735:AO735"/>
    <mergeCell ref="AP735:AQ735"/>
    <mergeCell ref="AR735:AS735"/>
    <mergeCell ref="AT735:AU735"/>
    <mergeCell ref="AX735:AZ735"/>
    <mergeCell ref="BA735:BB735"/>
    <mergeCell ref="BD735:BE735"/>
    <mergeCell ref="BF735:BI735"/>
    <mergeCell ref="BJ735:BM735"/>
    <mergeCell ref="BN735:BV735"/>
    <mergeCell ref="B736:C736"/>
    <mergeCell ref="D736:E736"/>
    <mergeCell ref="F736:G736"/>
    <mergeCell ref="H736:I736"/>
    <mergeCell ref="L736:M736"/>
    <mergeCell ref="P736:Q736"/>
    <mergeCell ref="R736:S736"/>
    <mergeCell ref="T736:U736"/>
    <mergeCell ref="V736:W736"/>
    <mergeCell ref="X736:AA736"/>
    <mergeCell ref="AB736:AE736"/>
    <mergeCell ref="AJ736:AK736"/>
    <mergeCell ref="AL736:AM736"/>
    <mergeCell ref="B735:C735"/>
    <mergeCell ref="D735:E735"/>
    <mergeCell ref="F735:G735"/>
    <mergeCell ref="H735:I735"/>
    <mergeCell ref="L735:M735"/>
    <mergeCell ref="P735:Q735"/>
    <mergeCell ref="R735:S735"/>
    <mergeCell ref="T735:U735"/>
    <mergeCell ref="V735:W735"/>
    <mergeCell ref="X735:AA735"/>
    <mergeCell ref="AB735:AE735"/>
    <mergeCell ref="AJ735:AK735"/>
    <mergeCell ref="AV735:AW735"/>
    <mergeCell ref="AV736:AW736"/>
    <mergeCell ref="AV737:AW737"/>
    <mergeCell ref="AF735:AG735"/>
    <mergeCell ref="AR738:AS738"/>
    <mergeCell ref="AT738:AU738"/>
    <mergeCell ref="AX738:AZ738"/>
    <mergeCell ref="BA738:BB738"/>
    <mergeCell ref="BD738:BE738"/>
    <mergeCell ref="BF738:BI738"/>
    <mergeCell ref="BJ738:BM738"/>
    <mergeCell ref="BN738:BV738"/>
    <mergeCell ref="B739:C739"/>
    <mergeCell ref="D739:E739"/>
    <mergeCell ref="F739:G739"/>
    <mergeCell ref="H739:I739"/>
    <mergeCell ref="L739:M739"/>
    <mergeCell ref="P739:Q739"/>
    <mergeCell ref="R739:S739"/>
    <mergeCell ref="T739:U739"/>
    <mergeCell ref="V739:W739"/>
    <mergeCell ref="X739:AA739"/>
    <mergeCell ref="AB739:AE739"/>
    <mergeCell ref="AJ739:AK739"/>
    <mergeCell ref="AL739:AM739"/>
    <mergeCell ref="AN739:AO739"/>
    <mergeCell ref="AP739:AQ739"/>
    <mergeCell ref="AR739:AS739"/>
    <mergeCell ref="AP737:AQ737"/>
    <mergeCell ref="AR737:AS737"/>
    <mergeCell ref="AT737:AU737"/>
    <mergeCell ref="AX737:AZ737"/>
    <mergeCell ref="BA737:BB737"/>
    <mergeCell ref="BD737:BE737"/>
    <mergeCell ref="BF737:BI737"/>
    <mergeCell ref="BJ737:BM737"/>
    <mergeCell ref="BN737:BV737"/>
    <mergeCell ref="B738:C738"/>
    <mergeCell ref="D738:E738"/>
    <mergeCell ref="F738:G738"/>
    <mergeCell ref="H738:I738"/>
    <mergeCell ref="L738:M738"/>
    <mergeCell ref="P738:Q738"/>
    <mergeCell ref="R738:S738"/>
    <mergeCell ref="T738:U738"/>
    <mergeCell ref="V738:W738"/>
    <mergeCell ref="X738:AA738"/>
    <mergeCell ref="AB738:AE738"/>
    <mergeCell ref="AJ738:AK738"/>
    <mergeCell ref="AL738:AM738"/>
    <mergeCell ref="AN738:AO738"/>
    <mergeCell ref="AP738:AQ738"/>
    <mergeCell ref="AV738:AW738"/>
    <mergeCell ref="AV739:AW739"/>
    <mergeCell ref="AX740:AZ740"/>
    <mergeCell ref="BA740:BB740"/>
    <mergeCell ref="BD740:BE740"/>
    <mergeCell ref="BF740:BI740"/>
    <mergeCell ref="BJ740:BM740"/>
    <mergeCell ref="BN740:BV740"/>
    <mergeCell ref="B741:C741"/>
    <mergeCell ref="D741:E741"/>
    <mergeCell ref="F741:G741"/>
    <mergeCell ref="H741:I741"/>
    <mergeCell ref="L741:M741"/>
    <mergeCell ref="P741:Q741"/>
    <mergeCell ref="R741:S741"/>
    <mergeCell ref="T741:U741"/>
    <mergeCell ref="V741:W741"/>
    <mergeCell ref="X741:AA741"/>
    <mergeCell ref="AB741:AE741"/>
    <mergeCell ref="AJ741:AK741"/>
    <mergeCell ref="AL741:AM741"/>
    <mergeCell ref="AN741:AO741"/>
    <mergeCell ref="AP741:AQ741"/>
    <mergeCell ref="AR741:AS741"/>
    <mergeCell ref="AT741:AU741"/>
    <mergeCell ref="AX741:AZ741"/>
    <mergeCell ref="AT739:AU739"/>
    <mergeCell ref="AX739:AZ739"/>
    <mergeCell ref="BA739:BB739"/>
    <mergeCell ref="BD739:BE739"/>
    <mergeCell ref="BF739:BI739"/>
    <mergeCell ref="BJ739:BM739"/>
    <mergeCell ref="BN739:BV739"/>
    <mergeCell ref="B740:C740"/>
    <mergeCell ref="D740:E740"/>
    <mergeCell ref="F740:G740"/>
    <mergeCell ref="H740:I740"/>
    <mergeCell ref="L740:M740"/>
    <mergeCell ref="P740:Q740"/>
    <mergeCell ref="R740:S740"/>
    <mergeCell ref="T740:U740"/>
    <mergeCell ref="V740:W740"/>
    <mergeCell ref="X740:AA740"/>
    <mergeCell ref="AB740:AE740"/>
    <mergeCell ref="AJ740:AK740"/>
    <mergeCell ref="AL740:AM740"/>
    <mergeCell ref="AN740:AO740"/>
    <mergeCell ref="AP740:AQ740"/>
    <mergeCell ref="AR740:AS740"/>
    <mergeCell ref="AT740:AU740"/>
    <mergeCell ref="AV740:AW740"/>
    <mergeCell ref="AV741:AW741"/>
    <mergeCell ref="AH739:AI739"/>
    <mergeCell ref="AH740:AI740"/>
    <mergeCell ref="BD742:BE742"/>
    <mergeCell ref="BF742:BI742"/>
    <mergeCell ref="BJ742:BM742"/>
    <mergeCell ref="BN742:BV742"/>
    <mergeCell ref="B743:C743"/>
    <mergeCell ref="D743:E743"/>
    <mergeCell ref="F743:G743"/>
    <mergeCell ref="H743:I743"/>
    <mergeCell ref="L743:M743"/>
    <mergeCell ref="P743:Q743"/>
    <mergeCell ref="R743:S743"/>
    <mergeCell ref="T743:U743"/>
    <mergeCell ref="V743:W743"/>
    <mergeCell ref="X743:AA743"/>
    <mergeCell ref="AB743:AE743"/>
    <mergeCell ref="AJ743:AK743"/>
    <mergeCell ref="AL743:AM743"/>
    <mergeCell ref="AN743:AO743"/>
    <mergeCell ref="AP743:AQ743"/>
    <mergeCell ref="AR743:AS743"/>
    <mergeCell ref="AT743:AU743"/>
    <mergeCell ref="AX743:AZ743"/>
    <mergeCell ref="BA743:BB743"/>
    <mergeCell ref="BD743:BE743"/>
    <mergeCell ref="BA741:BB741"/>
    <mergeCell ref="BD741:BE741"/>
    <mergeCell ref="BF741:BI741"/>
    <mergeCell ref="BJ741:BM741"/>
    <mergeCell ref="BN741:BV741"/>
    <mergeCell ref="B742:C742"/>
    <mergeCell ref="D742:E742"/>
    <mergeCell ref="F742:G742"/>
    <mergeCell ref="H742:I742"/>
    <mergeCell ref="L742:M742"/>
    <mergeCell ref="P742:Q742"/>
    <mergeCell ref="R742:S742"/>
    <mergeCell ref="T742:U742"/>
    <mergeCell ref="V742:W742"/>
    <mergeCell ref="X742:AA742"/>
    <mergeCell ref="AB742:AE742"/>
    <mergeCell ref="AJ742:AK742"/>
    <mergeCell ref="AL742:AM742"/>
    <mergeCell ref="AN742:AO742"/>
    <mergeCell ref="AP742:AQ742"/>
    <mergeCell ref="AR742:AS742"/>
    <mergeCell ref="AT742:AU742"/>
    <mergeCell ref="AX742:AZ742"/>
    <mergeCell ref="BA742:BB742"/>
    <mergeCell ref="AV742:AW742"/>
    <mergeCell ref="AV743:AW743"/>
    <mergeCell ref="AH741:AI741"/>
    <mergeCell ref="AH742:AI742"/>
    <mergeCell ref="BJ744:BM744"/>
    <mergeCell ref="BN744:BV744"/>
    <mergeCell ref="B745:C745"/>
    <mergeCell ref="D745:E745"/>
    <mergeCell ref="F745:G745"/>
    <mergeCell ref="H745:I745"/>
    <mergeCell ref="L745:M745"/>
    <mergeCell ref="P745:Q745"/>
    <mergeCell ref="R745:S745"/>
    <mergeCell ref="T745:U745"/>
    <mergeCell ref="V745:W745"/>
    <mergeCell ref="X745:AA745"/>
    <mergeCell ref="AB745:AE745"/>
    <mergeCell ref="AJ745:AK745"/>
    <mergeCell ref="AL745:AM745"/>
    <mergeCell ref="AN745:AO745"/>
    <mergeCell ref="AP745:AQ745"/>
    <mergeCell ref="AR745:AS745"/>
    <mergeCell ref="AT745:AU745"/>
    <mergeCell ref="AX745:AZ745"/>
    <mergeCell ref="BA745:BB745"/>
    <mergeCell ref="BD745:BE745"/>
    <mergeCell ref="BF745:BI745"/>
    <mergeCell ref="BJ745:BM745"/>
    <mergeCell ref="BF743:BI743"/>
    <mergeCell ref="BJ743:BM743"/>
    <mergeCell ref="BN743:BV743"/>
    <mergeCell ref="B744:C744"/>
    <mergeCell ref="D744:E744"/>
    <mergeCell ref="F744:G744"/>
    <mergeCell ref="H744:I744"/>
    <mergeCell ref="L744:M744"/>
    <mergeCell ref="P744:Q744"/>
    <mergeCell ref="R744:S744"/>
    <mergeCell ref="T744:U744"/>
    <mergeCell ref="V744:W744"/>
    <mergeCell ref="X744:AA744"/>
    <mergeCell ref="AB744:AE744"/>
    <mergeCell ref="AJ744:AK744"/>
    <mergeCell ref="AL744:AM744"/>
    <mergeCell ref="AN744:AO744"/>
    <mergeCell ref="AP744:AQ744"/>
    <mergeCell ref="AR744:AS744"/>
    <mergeCell ref="AT744:AU744"/>
    <mergeCell ref="AX744:AZ744"/>
    <mergeCell ref="BA744:BB744"/>
    <mergeCell ref="BD744:BE744"/>
    <mergeCell ref="BF744:BI744"/>
    <mergeCell ref="AV744:AW744"/>
    <mergeCell ref="AV745:AW745"/>
    <mergeCell ref="AH743:AI743"/>
    <mergeCell ref="AH744:AI744"/>
    <mergeCell ref="BN746:BV746"/>
    <mergeCell ref="B747:C747"/>
    <mergeCell ref="D747:E747"/>
    <mergeCell ref="F747:G747"/>
    <mergeCell ref="H747:I747"/>
    <mergeCell ref="L747:M747"/>
    <mergeCell ref="P747:Q747"/>
    <mergeCell ref="R747:S747"/>
    <mergeCell ref="T747:U747"/>
    <mergeCell ref="V747:W747"/>
    <mergeCell ref="X747:AA747"/>
    <mergeCell ref="AB747:AE747"/>
    <mergeCell ref="AJ747:AK747"/>
    <mergeCell ref="AL747:AM747"/>
    <mergeCell ref="AN747:AO747"/>
    <mergeCell ref="AP747:AQ747"/>
    <mergeCell ref="AR747:AS747"/>
    <mergeCell ref="AT747:AU747"/>
    <mergeCell ref="AX747:AZ747"/>
    <mergeCell ref="BA747:BB747"/>
    <mergeCell ref="BD747:BE747"/>
    <mergeCell ref="BF747:BI747"/>
    <mergeCell ref="BJ747:BM747"/>
    <mergeCell ref="BN745:BV745"/>
    <mergeCell ref="B746:C746"/>
    <mergeCell ref="D746:E746"/>
    <mergeCell ref="F746:G746"/>
    <mergeCell ref="H746:I746"/>
    <mergeCell ref="L746:M746"/>
    <mergeCell ref="P746:Q746"/>
    <mergeCell ref="R746:S746"/>
    <mergeCell ref="T746:U746"/>
    <mergeCell ref="V746:W746"/>
    <mergeCell ref="X746:AA746"/>
    <mergeCell ref="AB746:AE746"/>
    <mergeCell ref="AJ746:AK746"/>
    <mergeCell ref="AL746:AM746"/>
    <mergeCell ref="AN746:AO746"/>
    <mergeCell ref="AP746:AQ746"/>
    <mergeCell ref="AR746:AS746"/>
    <mergeCell ref="AT746:AU746"/>
    <mergeCell ref="AX746:AZ746"/>
    <mergeCell ref="BA746:BB746"/>
    <mergeCell ref="BD746:BE746"/>
    <mergeCell ref="BF746:BI746"/>
    <mergeCell ref="BJ746:BM746"/>
    <mergeCell ref="AV746:AW746"/>
    <mergeCell ref="AV747:AW747"/>
    <mergeCell ref="AH745:AI745"/>
    <mergeCell ref="AH746:AI746"/>
    <mergeCell ref="BN748:BV748"/>
    <mergeCell ref="B749:C749"/>
    <mergeCell ref="D749:E749"/>
    <mergeCell ref="F749:G749"/>
    <mergeCell ref="H749:I749"/>
    <mergeCell ref="L749:M749"/>
    <mergeCell ref="P749:Q749"/>
    <mergeCell ref="R749:S749"/>
    <mergeCell ref="T749:U749"/>
    <mergeCell ref="V749:W749"/>
    <mergeCell ref="X749:AA749"/>
    <mergeCell ref="AB749:AE749"/>
    <mergeCell ref="AJ749:AK749"/>
    <mergeCell ref="AL749:AM749"/>
    <mergeCell ref="AN749:AO749"/>
    <mergeCell ref="AP749:AQ749"/>
    <mergeCell ref="AR749:AS749"/>
    <mergeCell ref="AT749:AU749"/>
    <mergeCell ref="AX749:AZ749"/>
    <mergeCell ref="BA749:BB749"/>
    <mergeCell ref="BD749:BE749"/>
    <mergeCell ref="BF749:BI749"/>
    <mergeCell ref="BJ749:BM749"/>
    <mergeCell ref="BN749:BV749"/>
    <mergeCell ref="BN747:BV747"/>
    <mergeCell ref="B748:C748"/>
    <mergeCell ref="D748:E748"/>
    <mergeCell ref="F748:G748"/>
    <mergeCell ref="H748:I748"/>
    <mergeCell ref="L748:M748"/>
    <mergeCell ref="P748:Q748"/>
    <mergeCell ref="R748:S748"/>
    <mergeCell ref="T748:U748"/>
    <mergeCell ref="V748:W748"/>
    <mergeCell ref="X748:AA748"/>
    <mergeCell ref="AB748:AE748"/>
    <mergeCell ref="AJ748:AK748"/>
    <mergeCell ref="AL748:AM748"/>
    <mergeCell ref="AN748:AO748"/>
    <mergeCell ref="AP748:AQ748"/>
    <mergeCell ref="AR748:AS748"/>
    <mergeCell ref="AT748:AU748"/>
    <mergeCell ref="AX748:AZ748"/>
    <mergeCell ref="BA748:BB748"/>
    <mergeCell ref="BD748:BE748"/>
    <mergeCell ref="BF748:BI748"/>
    <mergeCell ref="BJ748:BM748"/>
    <mergeCell ref="AV748:AW748"/>
    <mergeCell ref="AV749:AW749"/>
    <mergeCell ref="AH747:AI747"/>
    <mergeCell ref="AH748:AI748"/>
    <mergeCell ref="AH749:AI749"/>
    <mergeCell ref="AN751:AO751"/>
    <mergeCell ref="AP751:AQ751"/>
    <mergeCell ref="AR751:AS751"/>
    <mergeCell ref="AT751:AU751"/>
    <mergeCell ref="AX751:AZ751"/>
    <mergeCell ref="BA751:BB751"/>
    <mergeCell ref="BD751:BE751"/>
    <mergeCell ref="BF751:BI751"/>
    <mergeCell ref="BJ751:BM751"/>
    <mergeCell ref="BN751:BV751"/>
    <mergeCell ref="B752:C752"/>
    <mergeCell ref="D752:E752"/>
    <mergeCell ref="F752:G752"/>
    <mergeCell ref="H752:I752"/>
    <mergeCell ref="L752:M752"/>
    <mergeCell ref="P752:Q752"/>
    <mergeCell ref="R752:S752"/>
    <mergeCell ref="T752:U752"/>
    <mergeCell ref="V752:W752"/>
    <mergeCell ref="X752:AA752"/>
    <mergeCell ref="AB752:AE752"/>
    <mergeCell ref="AJ752:AK752"/>
    <mergeCell ref="AL752:AM752"/>
    <mergeCell ref="AN752:AO752"/>
    <mergeCell ref="AL750:AM750"/>
    <mergeCell ref="AN750:AO750"/>
    <mergeCell ref="AP750:AQ750"/>
    <mergeCell ref="AR750:AS750"/>
    <mergeCell ref="AT750:AU750"/>
    <mergeCell ref="AX750:AZ750"/>
    <mergeCell ref="BA750:BB750"/>
    <mergeCell ref="BD750:BE750"/>
    <mergeCell ref="BF750:BI750"/>
    <mergeCell ref="BJ750:BM750"/>
    <mergeCell ref="BN750:BV750"/>
    <mergeCell ref="B751:C751"/>
    <mergeCell ref="D751:E751"/>
    <mergeCell ref="F751:G751"/>
    <mergeCell ref="H751:I751"/>
    <mergeCell ref="L751:M751"/>
    <mergeCell ref="P751:Q751"/>
    <mergeCell ref="R751:S751"/>
    <mergeCell ref="T751:U751"/>
    <mergeCell ref="V751:W751"/>
    <mergeCell ref="X751:AA751"/>
    <mergeCell ref="AB751:AE751"/>
    <mergeCell ref="AJ751:AK751"/>
    <mergeCell ref="AL751:AM751"/>
    <mergeCell ref="B750:C750"/>
    <mergeCell ref="D750:E750"/>
    <mergeCell ref="F750:G750"/>
    <mergeCell ref="H750:I750"/>
    <mergeCell ref="L750:M750"/>
    <mergeCell ref="P750:Q750"/>
    <mergeCell ref="R750:S750"/>
    <mergeCell ref="T750:U750"/>
    <mergeCell ref="V750:W750"/>
    <mergeCell ref="X750:AA750"/>
    <mergeCell ref="AB750:AE750"/>
    <mergeCell ref="AJ750:AK750"/>
    <mergeCell ref="AV750:AW750"/>
    <mergeCell ref="AV751:AW751"/>
    <mergeCell ref="AV752:AW752"/>
    <mergeCell ref="AH750:AI750"/>
    <mergeCell ref="AR753:AS753"/>
    <mergeCell ref="AT753:AU753"/>
    <mergeCell ref="AX753:AZ753"/>
    <mergeCell ref="BA753:BB753"/>
    <mergeCell ref="BD753:BE753"/>
    <mergeCell ref="BF753:BI753"/>
    <mergeCell ref="BJ753:BM753"/>
    <mergeCell ref="BN753:BV753"/>
    <mergeCell ref="B754:C754"/>
    <mergeCell ref="D754:E754"/>
    <mergeCell ref="F754:G754"/>
    <mergeCell ref="H754:I754"/>
    <mergeCell ref="L754:M754"/>
    <mergeCell ref="P754:Q754"/>
    <mergeCell ref="R754:S754"/>
    <mergeCell ref="T754:U754"/>
    <mergeCell ref="V754:W754"/>
    <mergeCell ref="X754:AA754"/>
    <mergeCell ref="AB754:AE754"/>
    <mergeCell ref="AJ754:AK754"/>
    <mergeCell ref="AL754:AM754"/>
    <mergeCell ref="AN754:AO754"/>
    <mergeCell ref="AP754:AQ754"/>
    <mergeCell ref="AR754:AS754"/>
    <mergeCell ref="AP752:AQ752"/>
    <mergeCell ref="AR752:AS752"/>
    <mergeCell ref="AT752:AU752"/>
    <mergeCell ref="AX752:AZ752"/>
    <mergeCell ref="BA752:BB752"/>
    <mergeCell ref="BD752:BE752"/>
    <mergeCell ref="BF752:BI752"/>
    <mergeCell ref="BJ752:BM752"/>
    <mergeCell ref="BN752:BV752"/>
    <mergeCell ref="B753:C753"/>
    <mergeCell ref="D753:E753"/>
    <mergeCell ref="F753:G753"/>
    <mergeCell ref="H753:I753"/>
    <mergeCell ref="L753:M753"/>
    <mergeCell ref="P753:Q753"/>
    <mergeCell ref="R753:S753"/>
    <mergeCell ref="T753:U753"/>
    <mergeCell ref="V753:W753"/>
    <mergeCell ref="X753:AA753"/>
    <mergeCell ref="AB753:AE753"/>
    <mergeCell ref="AJ753:AK753"/>
    <mergeCell ref="AL753:AM753"/>
    <mergeCell ref="AN753:AO753"/>
    <mergeCell ref="AP753:AQ753"/>
    <mergeCell ref="AV753:AW753"/>
    <mergeCell ref="AV754:AW754"/>
    <mergeCell ref="AX755:AZ755"/>
    <mergeCell ref="BA755:BB755"/>
    <mergeCell ref="BD755:BE755"/>
    <mergeCell ref="BF755:BI755"/>
    <mergeCell ref="BJ755:BM755"/>
    <mergeCell ref="BN755:BV755"/>
    <mergeCell ref="B756:C756"/>
    <mergeCell ref="D756:E756"/>
    <mergeCell ref="F756:G756"/>
    <mergeCell ref="H756:I756"/>
    <mergeCell ref="L756:M756"/>
    <mergeCell ref="P756:Q756"/>
    <mergeCell ref="R756:S756"/>
    <mergeCell ref="T756:U756"/>
    <mergeCell ref="V756:W756"/>
    <mergeCell ref="X756:AA756"/>
    <mergeCell ref="AB756:AE756"/>
    <mergeCell ref="AJ756:AK756"/>
    <mergeCell ref="AL756:AM756"/>
    <mergeCell ref="AN756:AO756"/>
    <mergeCell ref="AP756:AQ756"/>
    <mergeCell ref="AR756:AS756"/>
    <mergeCell ref="AT756:AU756"/>
    <mergeCell ref="AX756:AZ756"/>
    <mergeCell ref="AT754:AU754"/>
    <mergeCell ref="AX754:AZ754"/>
    <mergeCell ref="BA754:BB754"/>
    <mergeCell ref="BD754:BE754"/>
    <mergeCell ref="BF754:BI754"/>
    <mergeCell ref="BJ754:BM754"/>
    <mergeCell ref="BN754:BV754"/>
    <mergeCell ref="B755:C755"/>
    <mergeCell ref="D755:E755"/>
    <mergeCell ref="F755:G755"/>
    <mergeCell ref="H755:I755"/>
    <mergeCell ref="L755:M755"/>
    <mergeCell ref="P755:Q755"/>
    <mergeCell ref="R755:S755"/>
    <mergeCell ref="T755:U755"/>
    <mergeCell ref="V755:W755"/>
    <mergeCell ref="X755:AA755"/>
    <mergeCell ref="AB755:AE755"/>
    <mergeCell ref="AJ755:AK755"/>
    <mergeCell ref="AL755:AM755"/>
    <mergeCell ref="AN755:AO755"/>
    <mergeCell ref="AP755:AQ755"/>
    <mergeCell ref="AR755:AS755"/>
    <mergeCell ref="AT755:AU755"/>
    <mergeCell ref="AV755:AW755"/>
    <mergeCell ref="AV756:AW756"/>
    <mergeCell ref="BD757:BE757"/>
    <mergeCell ref="BF757:BI757"/>
    <mergeCell ref="BJ757:BM757"/>
    <mergeCell ref="BN757:BV757"/>
    <mergeCell ref="B758:C758"/>
    <mergeCell ref="D758:E758"/>
    <mergeCell ref="F758:G758"/>
    <mergeCell ref="H758:I758"/>
    <mergeCell ref="L758:M758"/>
    <mergeCell ref="P758:Q758"/>
    <mergeCell ref="R758:S758"/>
    <mergeCell ref="T758:U758"/>
    <mergeCell ref="V758:W758"/>
    <mergeCell ref="X758:AA758"/>
    <mergeCell ref="AB758:AE758"/>
    <mergeCell ref="AJ758:AK758"/>
    <mergeCell ref="AL758:AM758"/>
    <mergeCell ref="AN758:AO758"/>
    <mergeCell ref="AP758:AQ758"/>
    <mergeCell ref="AR758:AS758"/>
    <mergeCell ref="AT758:AU758"/>
    <mergeCell ref="AX758:AZ758"/>
    <mergeCell ref="BA758:BB758"/>
    <mergeCell ref="BD758:BE758"/>
    <mergeCell ref="BA756:BB756"/>
    <mergeCell ref="BD756:BE756"/>
    <mergeCell ref="BF756:BI756"/>
    <mergeCell ref="BJ756:BM756"/>
    <mergeCell ref="BN756:BV756"/>
    <mergeCell ref="B757:C757"/>
    <mergeCell ref="D757:E757"/>
    <mergeCell ref="F757:G757"/>
    <mergeCell ref="H757:I757"/>
    <mergeCell ref="L757:M757"/>
    <mergeCell ref="P757:Q757"/>
    <mergeCell ref="R757:S757"/>
    <mergeCell ref="T757:U757"/>
    <mergeCell ref="V757:W757"/>
    <mergeCell ref="X757:AA757"/>
    <mergeCell ref="AB757:AE757"/>
    <mergeCell ref="AJ757:AK757"/>
    <mergeCell ref="AL757:AM757"/>
    <mergeCell ref="AN757:AO757"/>
    <mergeCell ref="AP757:AQ757"/>
    <mergeCell ref="AR757:AS757"/>
    <mergeCell ref="AT757:AU757"/>
    <mergeCell ref="AX757:AZ757"/>
    <mergeCell ref="BA757:BB757"/>
    <mergeCell ref="AV757:AW757"/>
    <mergeCell ref="AV758:AW758"/>
    <mergeCell ref="BJ759:BM759"/>
    <mergeCell ref="BN759:BV759"/>
    <mergeCell ref="B760:C760"/>
    <mergeCell ref="D760:E760"/>
    <mergeCell ref="F760:G760"/>
    <mergeCell ref="H760:I760"/>
    <mergeCell ref="L760:M760"/>
    <mergeCell ref="P760:Q760"/>
    <mergeCell ref="R760:S760"/>
    <mergeCell ref="T760:U760"/>
    <mergeCell ref="V760:W760"/>
    <mergeCell ref="X760:AA760"/>
    <mergeCell ref="AB760:AE760"/>
    <mergeCell ref="AJ760:AK760"/>
    <mergeCell ref="AL760:AM760"/>
    <mergeCell ref="AN760:AO760"/>
    <mergeCell ref="AP760:AQ760"/>
    <mergeCell ref="AR760:AS760"/>
    <mergeCell ref="AT760:AU760"/>
    <mergeCell ref="AX760:AZ760"/>
    <mergeCell ref="BA760:BB760"/>
    <mergeCell ref="BD760:BE760"/>
    <mergeCell ref="BF760:BI760"/>
    <mergeCell ref="BJ760:BM760"/>
    <mergeCell ref="BF758:BI758"/>
    <mergeCell ref="BJ758:BM758"/>
    <mergeCell ref="BN758:BV758"/>
    <mergeCell ref="B759:C759"/>
    <mergeCell ref="D759:E759"/>
    <mergeCell ref="F759:G759"/>
    <mergeCell ref="H759:I759"/>
    <mergeCell ref="L759:M759"/>
    <mergeCell ref="P759:Q759"/>
    <mergeCell ref="R759:S759"/>
    <mergeCell ref="T759:U759"/>
    <mergeCell ref="V759:W759"/>
    <mergeCell ref="X759:AA759"/>
    <mergeCell ref="AB759:AE759"/>
    <mergeCell ref="AJ759:AK759"/>
    <mergeCell ref="AL759:AM759"/>
    <mergeCell ref="AN759:AO759"/>
    <mergeCell ref="AP759:AQ759"/>
    <mergeCell ref="AR759:AS759"/>
    <mergeCell ref="AT759:AU759"/>
    <mergeCell ref="AX759:AZ759"/>
    <mergeCell ref="BA759:BB759"/>
    <mergeCell ref="BD759:BE759"/>
    <mergeCell ref="BF759:BI759"/>
    <mergeCell ref="AV759:AW759"/>
    <mergeCell ref="AV760:AW760"/>
    <mergeCell ref="BN761:BV761"/>
    <mergeCell ref="B762:C762"/>
    <mergeCell ref="D762:E762"/>
    <mergeCell ref="F762:G762"/>
    <mergeCell ref="H762:I762"/>
    <mergeCell ref="L762:M762"/>
    <mergeCell ref="P762:Q762"/>
    <mergeCell ref="R762:S762"/>
    <mergeCell ref="T762:U762"/>
    <mergeCell ref="V762:W762"/>
    <mergeCell ref="X762:AA762"/>
    <mergeCell ref="AB762:AE762"/>
    <mergeCell ref="AJ762:AK762"/>
    <mergeCell ref="AL762:AM762"/>
    <mergeCell ref="AN762:AO762"/>
    <mergeCell ref="AP762:AQ762"/>
    <mergeCell ref="AR762:AS762"/>
    <mergeCell ref="AT762:AU762"/>
    <mergeCell ref="AX762:AZ762"/>
    <mergeCell ref="BA762:BB762"/>
    <mergeCell ref="BD762:BE762"/>
    <mergeCell ref="BF762:BI762"/>
    <mergeCell ref="BJ762:BM762"/>
    <mergeCell ref="BN760:BV760"/>
    <mergeCell ref="B761:C761"/>
    <mergeCell ref="D761:E761"/>
    <mergeCell ref="F761:G761"/>
    <mergeCell ref="H761:I761"/>
    <mergeCell ref="L761:M761"/>
    <mergeCell ref="P761:Q761"/>
    <mergeCell ref="R761:S761"/>
    <mergeCell ref="T761:U761"/>
    <mergeCell ref="V761:W761"/>
    <mergeCell ref="X761:AA761"/>
    <mergeCell ref="AB761:AE761"/>
    <mergeCell ref="AJ761:AK761"/>
    <mergeCell ref="AL761:AM761"/>
    <mergeCell ref="AN761:AO761"/>
    <mergeCell ref="AP761:AQ761"/>
    <mergeCell ref="AR761:AS761"/>
    <mergeCell ref="AT761:AU761"/>
    <mergeCell ref="AX761:AZ761"/>
    <mergeCell ref="BA761:BB761"/>
    <mergeCell ref="BD761:BE761"/>
    <mergeCell ref="BF761:BI761"/>
    <mergeCell ref="BJ761:BM761"/>
    <mergeCell ref="AV761:AW761"/>
    <mergeCell ref="AV762:AW762"/>
    <mergeCell ref="BN763:BV763"/>
    <mergeCell ref="B764:C764"/>
    <mergeCell ref="D764:E764"/>
    <mergeCell ref="F764:G764"/>
    <mergeCell ref="H764:I764"/>
    <mergeCell ref="L764:M764"/>
    <mergeCell ref="P764:Q764"/>
    <mergeCell ref="R764:S764"/>
    <mergeCell ref="T764:U764"/>
    <mergeCell ref="V764:W764"/>
    <mergeCell ref="X764:AA764"/>
    <mergeCell ref="AB764:AE764"/>
    <mergeCell ref="AJ764:AK764"/>
    <mergeCell ref="AL764:AM764"/>
    <mergeCell ref="AN764:AO764"/>
    <mergeCell ref="AP764:AQ764"/>
    <mergeCell ref="AR764:AS764"/>
    <mergeCell ref="AT764:AU764"/>
    <mergeCell ref="AX764:AZ764"/>
    <mergeCell ref="BA764:BB764"/>
    <mergeCell ref="BD764:BE764"/>
    <mergeCell ref="BF764:BI764"/>
    <mergeCell ref="BJ764:BM764"/>
    <mergeCell ref="BN764:BV764"/>
    <mergeCell ref="BN762:BV762"/>
    <mergeCell ref="B763:C763"/>
    <mergeCell ref="D763:E763"/>
    <mergeCell ref="F763:G763"/>
    <mergeCell ref="H763:I763"/>
    <mergeCell ref="L763:M763"/>
    <mergeCell ref="P763:Q763"/>
    <mergeCell ref="R763:S763"/>
    <mergeCell ref="T763:U763"/>
    <mergeCell ref="V763:W763"/>
    <mergeCell ref="X763:AA763"/>
    <mergeCell ref="AB763:AE763"/>
    <mergeCell ref="AJ763:AK763"/>
    <mergeCell ref="AL763:AM763"/>
    <mergeCell ref="AN763:AO763"/>
    <mergeCell ref="AP763:AQ763"/>
    <mergeCell ref="AR763:AS763"/>
    <mergeCell ref="AT763:AU763"/>
    <mergeCell ref="AX763:AZ763"/>
    <mergeCell ref="BA763:BB763"/>
    <mergeCell ref="BD763:BE763"/>
    <mergeCell ref="BF763:BI763"/>
    <mergeCell ref="BJ763:BM763"/>
    <mergeCell ref="AV763:AW763"/>
    <mergeCell ref="AV764:AW764"/>
    <mergeCell ref="AN766:AO766"/>
    <mergeCell ref="AP766:AQ766"/>
    <mergeCell ref="AR766:AS766"/>
    <mergeCell ref="AT766:AU766"/>
    <mergeCell ref="AX766:AZ766"/>
    <mergeCell ref="BA766:BB766"/>
    <mergeCell ref="BD766:BE766"/>
    <mergeCell ref="BF766:BI766"/>
    <mergeCell ref="BJ766:BM766"/>
    <mergeCell ref="BN766:BV766"/>
    <mergeCell ref="B767:C767"/>
    <mergeCell ref="D767:E767"/>
    <mergeCell ref="F767:G767"/>
    <mergeCell ref="H767:I767"/>
    <mergeCell ref="L767:M767"/>
    <mergeCell ref="P767:Q767"/>
    <mergeCell ref="R767:S767"/>
    <mergeCell ref="T767:U767"/>
    <mergeCell ref="V767:W767"/>
    <mergeCell ref="X767:AA767"/>
    <mergeCell ref="AB767:AE767"/>
    <mergeCell ref="AJ767:AK767"/>
    <mergeCell ref="AL767:AM767"/>
    <mergeCell ref="AN767:AO767"/>
    <mergeCell ref="AL765:AM765"/>
    <mergeCell ref="AN765:AO765"/>
    <mergeCell ref="AP765:AQ765"/>
    <mergeCell ref="AR765:AS765"/>
    <mergeCell ref="AT765:AU765"/>
    <mergeCell ref="AX765:AZ765"/>
    <mergeCell ref="BA765:BB765"/>
    <mergeCell ref="BD765:BE765"/>
    <mergeCell ref="BF765:BI765"/>
    <mergeCell ref="BJ765:BM765"/>
    <mergeCell ref="BN765:BV765"/>
    <mergeCell ref="B766:C766"/>
    <mergeCell ref="D766:E766"/>
    <mergeCell ref="F766:G766"/>
    <mergeCell ref="H766:I766"/>
    <mergeCell ref="L766:M766"/>
    <mergeCell ref="P766:Q766"/>
    <mergeCell ref="R766:S766"/>
    <mergeCell ref="T766:U766"/>
    <mergeCell ref="V766:W766"/>
    <mergeCell ref="X766:AA766"/>
    <mergeCell ref="AB766:AE766"/>
    <mergeCell ref="AJ766:AK766"/>
    <mergeCell ref="AL766:AM766"/>
    <mergeCell ref="B765:C765"/>
    <mergeCell ref="D765:E765"/>
    <mergeCell ref="F765:G765"/>
    <mergeCell ref="H765:I765"/>
    <mergeCell ref="L765:M765"/>
    <mergeCell ref="P765:Q765"/>
    <mergeCell ref="R765:S765"/>
    <mergeCell ref="T765:U765"/>
    <mergeCell ref="V765:W765"/>
    <mergeCell ref="X765:AA765"/>
    <mergeCell ref="AB765:AE765"/>
    <mergeCell ref="AJ765:AK765"/>
    <mergeCell ref="AV765:AW765"/>
    <mergeCell ref="AV766:AW766"/>
    <mergeCell ref="AV767:AW767"/>
    <mergeCell ref="AR768:AS768"/>
    <mergeCell ref="AT768:AU768"/>
    <mergeCell ref="AX768:AZ768"/>
    <mergeCell ref="BA768:BB768"/>
    <mergeCell ref="BD768:BE768"/>
    <mergeCell ref="BF768:BI768"/>
    <mergeCell ref="BJ768:BM768"/>
    <mergeCell ref="BN768:BV768"/>
    <mergeCell ref="B769:C769"/>
    <mergeCell ref="D769:E769"/>
    <mergeCell ref="F769:G769"/>
    <mergeCell ref="H769:I769"/>
    <mergeCell ref="L769:M769"/>
    <mergeCell ref="P769:Q769"/>
    <mergeCell ref="R769:S769"/>
    <mergeCell ref="T769:U769"/>
    <mergeCell ref="V769:W769"/>
    <mergeCell ref="X769:AA769"/>
    <mergeCell ref="AB769:AE769"/>
    <mergeCell ref="AJ769:AK769"/>
    <mergeCell ref="AL769:AM769"/>
    <mergeCell ref="AN769:AO769"/>
    <mergeCell ref="AP769:AQ769"/>
    <mergeCell ref="AR769:AS769"/>
    <mergeCell ref="AP767:AQ767"/>
    <mergeCell ref="AR767:AS767"/>
    <mergeCell ref="AT767:AU767"/>
    <mergeCell ref="AX767:AZ767"/>
    <mergeCell ref="BA767:BB767"/>
    <mergeCell ref="BD767:BE767"/>
    <mergeCell ref="BF767:BI767"/>
    <mergeCell ref="BJ767:BM767"/>
    <mergeCell ref="BN767:BV767"/>
    <mergeCell ref="B768:C768"/>
    <mergeCell ref="D768:E768"/>
    <mergeCell ref="F768:G768"/>
    <mergeCell ref="H768:I768"/>
    <mergeCell ref="L768:M768"/>
    <mergeCell ref="P768:Q768"/>
    <mergeCell ref="R768:S768"/>
    <mergeCell ref="T768:U768"/>
    <mergeCell ref="V768:W768"/>
    <mergeCell ref="X768:AA768"/>
    <mergeCell ref="AB768:AE768"/>
    <mergeCell ref="AJ768:AK768"/>
    <mergeCell ref="AL768:AM768"/>
    <mergeCell ref="AN768:AO768"/>
    <mergeCell ref="AP768:AQ768"/>
    <mergeCell ref="AV768:AW768"/>
    <mergeCell ref="AV769:AW769"/>
    <mergeCell ref="AF769:AG769"/>
    <mergeCell ref="J768:K768"/>
    <mergeCell ref="AX770:AZ770"/>
    <mergeCell ref="BA770:BB770"/>
    <mergeCell ref="BD770:BE770"/>
    <mergeCell ref="BF770:BI770"/>
    <mergeCell ref="BJ770:BM770"/>
    <mergeCell ref="BN770:BV770"/>
    <mergeCell ref="B771:C771"/>
    <mergeCell ref="D771:E771"/>
    <mergeCell ref="F771:G771"/>
    <mergeCell ref="H771:I771"/>
    <mergeCell ref="L771:M771"/>
    <mergeCell ref="P771:Q771"/>
    <mergeCell ref="R771:S771"/>
    <mergeCell ref="T771:U771"/>
    <mergeCell ref="V771:W771"/>
    <mergeCell ref="X771:AA771"/>
    <mergeCell ref="AB771:AE771"/>
    <mergeCell ref="AJ771:AK771"/>
    <mergeCell ref="AL771:AM771"/>
    <mergeCell ref="AN771:AO771"/>
    <mergeCell ref="AP771:AQ771"/>
    <mergeCell ref="AR771:AS771"/>
    <mergeCell ref="AT771:AU771"/>
    <mergeCell ref="AX771:AZ771"/>
    <mergeCell ref="AT769:AU769"/>
    <mergeCell ref="AX769:AZ769"/>
    <mergeCell ref="BA769:BB769"/>
    <mergeCell ref="BD769:BE769"/>
    <mergeCell ref="BF769:BI769"/>
    <mergeCell ref="BJ769:BM769"/>
    <mergeCell ref="BN769:BV769"/>
    <mergeCell ref="B770:C770"/>
    <mergeCell ref="D770:E770"/>
    <mergeCell ref="F770:G770"/>
    <mergeCell ref="H770:I770"/>
    <mergeCell ref="L770:M770"/>
    <mergeCell ref="P770:Q770"/>
    <mergeCell ref="R770:S770"/>
    <mergeCell ref="T770:U770"/>
    <mergeCell ref="V770:W770"/>
    <mergeCell ref="X770:AA770"/>
    <mergeCell ref="AB770:AE770"/>
    <mergeCell ref="AJ770:AK770"/>
    <mergeCell ref="AL770:AM770"/>
    <mergeCell ref="AN770:AO770"/>
    <mergeCell ref="AP770:AQ770"/>
    <mergeCell ref="AR770:AS770"/>
    <mergeCell ref="AT770:AU770"/>
    <mergeCell ref="AV770:AW770"/>
    <mergeCell ref="AV771:AW771"/>
    <mergeCell ref="AF770:AG770"/>
    <mergeCell ref="AF771:AG771"/>
    <mergeCell ref="J769:K769"/>
    <mergeCell ref="J770:K770"/>
    <mergeCell ref="BD772:BE772"/>
    <mergeCell ref="BF772:BI772"/>
    <mergeCell ref="BJ772:BM772"/>
    <mergeCell ref="BN772:BV772"/>
    <mergeCell ref="B773:C773"/>
    <mergeCell ref="D773:E773"/>
    <mergeCell ref="F773:G773"/>
    <mergeCell ref="H773:I773"/>
    <mergeCell ref="L773:M773"/>
    <mergeCell ref="P773:Q773"/>
    <mergeCell ref="R773:S773"/>
    <mergeCell ref="T773:U773"/>
    <mergeCell ref="V773:W773"/>
    <mergeCell ref="X773:AA773"/>
    <mergeCell ref="AB773:AE773"/>
    <mergeCell ref="AJ773:AK773"/>
    <mergeCell ref="AL773:AM773"/>
    <mergeCell ref="AN773:AO773"/>
    <mergeCell ref="AP773:AQ773"/>
    <mergeCell ref="AR773:AS773"/>
    <mergeCell ref="AT773:AU773"/>
    <mergeCell ref="AX773:AZ773"/>
    <mergeCell ref="BA773:BB773"/>
    <mergeCell ref="BD773:BE773"/>
    <mergeCell ref="BA771:BB771"/>
    <mergeCell ref="BD771:BE771"/>
    <mergeCell ref="BF771:BI771"/>
    <mergeCell ref="BJ771:BM771"/>
    <mergeCell ref="BN771:BV771"/>
    <mergeCell ref="B772:C772"/>
    <mergeCell ref="D772:E772"/>
    <mergeCell ref="F772:G772"/>
    <mergeCell ref="H772:I772"/>
    <mergeCell ref="L772:M772"/>
    <mergeCell ref="P772:Q772"/>
    <mergeCell ref="R772:S772"/>
    <mergeCell ref="T772:U772"/>
    <mergeCell ref="V772:W772"/>
    <mergeCell ref="X772:AA772"/>
    <mergeCell ref="AB772:AE772"/>
    <mergeCell ref="AJ772:AK772"/>
    <mergeCell ref="AL772:AM772"/>
    <mergeCell ref="AN772:AO772"/>
    <mergeCell ref="AP772:AQ772"/>
    <mergeCell ref="AR772:AS772"/>
    <mergeCell ref="AT772:AU772"/>
    <mergeCell ref="AX772:AZ772"/>
    <mergeCell ref="BA772:BB772"/>
    <mergeCell ref="AV772:AW772"/>
    <mergeCell ref="AV773:AW773"/>
    <mergeCell ref="AF772:AG772"/>
    <mergeCell ref="AF773:AG773"/>
    <mergeCell ref="J771:K771"/>
    <mergeCell ref="J772:K772"/>
    <mergeCell ref="BJ774:BM774"/>
    <mergeCell ref="BN774:BV774"/>
    <mergeCell ref="B775:C775"/>
    <mergeCell ref="D775:E775"/>
    <mergeCell ref="F775:G775"/>
    <mergeCell ref="H775:I775"/>
    <mergeCell ref="L775:M775"/>
    <mergeCell ref="P775:Q775"/>
    <mergeCell ref="R775:S775"/>
    <mergeCell ref="T775:U775"/>
    <mergeCell ref="V775:W775"/>
    <mergeCell ref="X775:AA775"/>
    <mergeCell ref="AB775:AE775"/>
    <mergeCell ref="AJ775:AK775"/>
    <mergeCell ref="AL775:AM775"/>
    <mergeCell ref="AN775:AO775"/>
    <mergeCell ref="AP775:AQ775"/>
    <mergeCell ref="AR775:AS775"/>
    <mergeCell ref="AT775:AU775"/>
    <mergeCell ref="AX775:AZ775"/>
    <mergeCell ref="BA775:BB775"/>
    <mergeCell ref="BD775:BE775"/>
    <mergeCell ref="BF775:BI775"/>
    <mergeCell ref="BJ775:BM775"/>
    <mergeCell ref="BF773:BI773"/>
    <mergeCell ref="BJ773:BM773"/>
    <mergeCell ref="BN773:BV773"/>
    <mergeCell ref="B774:C774"/>
    <mergeCell ref="D774:E774"/>
    <mergeCell ref="F774:G774"/>
    <mergeCell ref="H774:I774"/>
    <mergeCell ref="L774:M774"/>
    <mergeCell ref="P774:Q774"/>
    <mergeCell ref="R774:S774"/>
    <mergeCell ref="T774:U774"/>
    <mergeCell ref="V774:W774"/>
    <mergeCell ref="X774:AA774"/>
    <mergeCell ref="AB774:AE774"/>
    <mergeCell ref="AJ774:AK774"/>
    <mergeCell ref="AL774:AM774"/>
    <mergeCell ref="AN774:AO774"/>
    <mergeCell ref="AP774:AQ774"/>
    <mergeCell ref="AR774:AS774"/>
    <mergeCell ref="AT774:AU774"/>
    <mergeCell ref="AX774:AZ774"/>
    <mergeCell ref="BA774:BB774"/>
    <mergeCell ref="BD774:BE774"/>
    <mergeCell ref="BF774:BI774"/>
    <mergeCell ref="AV774:AW774"/>
    <mergeCell ref="AV775:AW775"/>
    <mergeCell ref="AF774:AG774"/>
    <mergeCell ref="AF775:AG775"/>
    <mergeCell ref="J773:K773"/>
    <mergeCell ref="J774:K774"/>
    <mergeCell ref="BN776:BV776"/>
    <mergeCell ref="B777:C777"/>
    <mergeCell ref="D777:E777"/>
    <mergeCell ref="F777:G777"/>
    <mergeCell ref="H777:I777"/>
    <mergeCell ref="L777:M777"/>
    <mergeCell ref="P777:Q777"/>
    <mergeCell ref="R777:S777"/>
    <mergeCell ref="T777:U777"/>
    <mergeCell ref="V777:W777"/>
    <mergeCell ref="X777:AA777"/>
    <mergeCell ref="AB777:AE777"/>
    <mergeCell ref="AJ777:AK777"/>
    <mergeCell ref="AL777:AM777"/>
    <mergeCell ref="AN777:AO777"/>
    <mergeCell ref="AP777:AQ777"/>
    <mergeCell ref="AR777:AS777"/>
    <mergeCell ref="AT777:AU777"/>
    <mergeCell ref="AX777:AZ777"/>
    <mergeCell ref="BA777:BB777"/>
    <mergeCell ref="BD777:BE777"/>
    <mergeCell ref="BF777:BI777"/>
    <mergeCell ref="BJ777:BM777"/>
    <mergeCell ref="BN775:BV775"/>
    <mergeCell ref="B776:C776"/>
    <mergeCell ref="D776:E776"/>
    <mergeCell ref="F776:G776"/>
    <mergeCell ref="H776:I776"/>
    <mergeCell ref="L776:M776"/>
    <mergeCell ref="P776:Q776"/>
    <mergeCell ref="R776:S776"/>
    <mergeCell ref="T776:U776"/>
    <mergeCell ref="V776:W776"/>
    <mergeCell ref="X776:AA776"/>
    <mergeCell ref="AB776:AE776"/>
    <mergeCell ref="AJ776:AK776"/>
    <mergeCell ref="AL776:AM776"/>
    <mergeCell ref="AN776:AO776"/>
    <mergeCell ref="AP776:AQ776"/>
    <mergeCell ref="AR776:AS776"/>
    <mergeCell ref="AT776:AU776"/>
    <mergeCell ref="AX776:AZ776"/>
    <mergeCell ref="BA776:BB776"/>
    <mergeCell ref="BD776:BE776"/>
    <mergeCell ref="BF776:BI776"/>
    <mergeCell ref="BJ776:BM776"/>
    <mergeCell ref="AV776:AW776"/>
    <mergeCell ref="AV777:AW777"/>
    <mergeCell ref="AF776:AG776"/>
    <mergeCell ref="AF777:AG777"/>
    <mergeCell ref="J775:K775"/>
    <mergeCell ref="J776:K776"/>
    <mergeCell ref="BN778:BV778"/>
    <mergeCell ref="B779:C779"/>
    <mergeCell ref="D779:E779"/>
    <mergeCell ref="F779:G779"/>
    <mergeCell ref="H779:I779"/>
    <mergeCell ref="L779:M779"/>
    <mergeCell ref="P779:Q779"/>
    <mergeCell ref="R779:S779"/>
    <mergeCell ref="T779:U779"/>
    <mergeCell ref="V779:W779"/>
    <mergeCell ref="X779:AA779"/>
    <mergeCell ref="AB779:AE779"/>
    <mergeCell ref="AJ779:AK779"/>
    <mergeCell ref="AL779:AM779"/>
    <mergeCell ref="AN779:AO779"/>
    <mergeCell ref="AP779:AQ779"/>
    <mergeCell ref="AR779:AS779"/>
    <mergeCell ref="AT779:AU779"/>
    <mergeCell ref="AX779:AZ779"/>
    <mergeCell ref="BA779:BB779"/>
    <mergeCell ref="BD779:BE779"/>
    <mergeCell ref="BF779:BI779"/>
    <mergeCell ref="BJ779:BM779"/>
    <mergeCell ref="BN779:BV779"/>
    <mergeCell ref="BN777:BV777"/>
    <mergeCell ref="B778:C778"/>
    <mergeCell ref="D778:E778"/>
    <mergeCell ref="F778:G778"/>
    <mergeCell ref="H778:I778"/>
    <mergeCell ref="L778:M778"/>
    <mergeCell ref="P778:Q778"/>
    <mergeCell ref="R778:S778"/>
    <mergeCell ref="T778:U778"/>
    <mergeCell ref="V778:W778"/>
    <mergeCell ref="X778:AA778"/>
    <mergeCell ref="AB778:AE778"/>
    <mergeCell ref="AJ778:AK778"/>
    <mergeCell ref="AL778:AM778"/>
    <mergeCell ref="AN778:AO778"/>
    <mergeCell ref="AP778:AQ778"/>
    <mergeCell ref="AR778:AS778"/>
    <mergeCell ref="AT778:AU778"/>
    <mergeCell ref="AX778:AZ778"/>
    <mergeCell ref="BA778:BB778"/>
    <mergeCell ref="BD778:BE778"/>
    <mergeCell ref="BF778:BI778"/>
    <mergeCell ref="BJ778:BM778"/>
    <mergeCell ref="AV778:AW778"/>
    <mergeCell ref="AV779:AW779"/>
    <mergeCell ref="AF778:AG778"/>
    <mergeCell ref="AF779:AG779"/>
    <mergeCell ref="J777:K777"/>
    <mergeCell ref="J778:K778"/>
    <mergeCell ref="J779:K779"/>
    <mergeCell ref="AN781:AO781"/>
    <mergeCell ref="AP781:AQ781"/>
    <mergeCell ref="AR781:AS781"/>
    <mergeCell ref="AT781:AU781"/>
    <mergeCell ref="AX781:AZ781"/>
    <mergeCell ref="BA781:BB781"/>
    <mergeCell ref="BD781:BE781"/>
    <mergeCell ref="BF781:BI781"/>
    <mergeCell ref="BJ781:BM781"/>
    <mergeCell ref="BN781:BV781"/>
    <mergeCell ref="B782:C782"/>
    <mergeCell ref="D782:E782"/>
    <mergeCell ref="F782:G782"/>
    <mergeCell ref="H782:I782"/>
    <mergeCell ref="L782:M782"/>
    <mergeCell ref="P782:Q782"/>
    <mergeCell ref="R782:S782"/>
    <mergeCell ref="T782:U782"/>
    <mergeCell ref="V782:W782"/>
    <mergeCell ref="X782:AA782"/>
    <mergeCell ref="AB782:AE782"/>
    <mergeCell ref="AJ782:AK782"/>
    <mergeCell ref="AL782:AM782"/>
    <mergeCell ref="AN782:AO782"/>
    <mergeCell ref="AL780:AM780"/>
    <mergeCell ref="AN780:AO780"/>
    <mergeCell ref="AP780:AQ780"/>
    <mergeCell ref="AR780:AS780"/>
    <mergeCell ref="AT780:AU780"/>
    <mergeCell ref="AX780:AZ780"/>
    <mergeCell ref="BA780:BB780"/>
    <mergeCell ref="BD780:BE780"/>
    <mergeCell ref="BF780:BI780"/>
    <mergeCell ref="BJ780:BM780"/>
    <mergeCell ref="BN780:BV780"/>
    <mergeCell ref="B781:C781"/>
    <mergeCell ref="D781:E781"/>
    <mergeCell ref="F781:G781"/>
    <mergeCell ref="H781:I781"/>
    <mergeCell ref="L781:M781"/>
    <mergeCell ref="P781:Q781"/>
    <mergeCell ref="R781:S781"/>
    <mergeCell ref="T781:U781"/>
    <mergeCell ref="V781:W781"/>
    <mergeCell ref="X781:AA781"/>
    <mergeCell ref="AB781:AE781"/>
    <mergeCell ref="AJ781:AK781"/>
    <mergeCell ref="AL781:AM781"/>
    <mergeCell ref="B780:C780"/>
    <mergeCell ref="D780:E780"/>
    <mergeCell ref="F780:G780"/>
    <mergeCell ref="H780:I780"/>
    <mergeCell ref="L780:M780"/>
    <mergeCell ref="P780:Q780"/>
    <mergeCell ref="R780:S780"/>
    <mergeCell ref="T780:U780"/>
    <mergeCell ref="V780:W780"/>
    <mergeCell ref="X780:AA780"/>
    <mergeCell ref="AB780:AE780"/>
    <mergeCell ref="AJ780:AK780"/>
    <mergeCell ref="AV780:AW780"/>
    <mergeCell ref="AV781:AW781"/>
    <mergeCell ref="AV782:AW782"/>
    <mergeCell ref="AF780:AG780"/>
    <mergeCell ref="AR783:AS783"/>
    <mergeCell ref="AT783:AU783"/>
    <mergeCell ref="AX783:AZ783"/>
    <mergeCell ref="BA783:BB783"/>
    <mergeCell ref="BD783:BE783"/>
    <mergeCell ref="BF783:BI783"/>
    <mergeCell ref="BJ783:BM783"/>
    <mergeCell ref="BN783:BV783"/>
    <mergeCell ref="B784:C784"/>
    <mergeCell ref="D784:E784"/>
    <mergeCell ref="F784:G784"/>
    <mergeCell ref="H784:I784"/>
    <mergeCell ref="L784:M784"/>
    <mergeCell ref="P784:Q784"/>
    <mergeCell ref="R784:S784"/>
    <mergeCell ref="T784:U784"/>
    <mergeCell ref="V784:W784"/>
    <mergeCell ref="X784:AA784"/>
    <mergeCell ref="AB784:AE784"/>
    <mergeCell ref="AJ784:AK784"/>
    <mergeCell ref="AL784:AM784"/>
    <mergeCell ref="AN784:AO784"/>
    <mergeCell ref="AP784:AQ784"/>
    <mergeCell ref="AR784:AS784"/>
    <mergeCell ref="AP782:AQ782"/>
    <mergeCell ref="AR782:AS782"/>
    <mergeCell ref="AT782:AU782"/>
    <mergeCell ref="AX782:AZ782"/>
    <mergeCell ref="BA782:BB782"/>
    <mergeCell ref="BD782:BE782"/>
    <mergeCell ref="BF782:BI782"/>
    <mergeCell ref="BJ782:BM782"/>
    <mergeCell ref="BN782:BV782"/>
    <mergeCell ref="B783:C783"/>
    <mergeCell ref="D783:E783"/>
    <mergeCell ref="F783:G783"/>
    <mergeCell ref="H783:I783"/>
    <mergeCell ref="L783:M783"/>
    <mergeCell ref="P783:Q783"/>
    <mergeCell ref="R783:S783"/>
    <mergeCell ref="T783:U783"/>
    <mergeCell ref="V783:W783"/>
    <mergeCell ref="X783:AA783"/>
    <mergeCell ref="AB783:AE783"/>
    <mergeCell ref="AJ783:AK783"/>
    <mergeCell ref="AL783:AM783"/>
    <mergeCell ref="AN783:AO783"/>
    <mergeCell ref="AP783:AQ783"/>
    <mergeCell ref="AV783:AW783"/>
    <mergeCell ref="AV784:AW784"/>
    <mergeCell ref="AX785:AZ785"/>
    <mergeCell ref="BA785:BB785"/>
    <mergeCell ref="BD785:BE785"/>
    <mergeCell ref="BF785:BI785"/>
    <mergeCell ref="BJ785:BM785"/>
    <mergeCell ref="BN785:BV785"/>
    <mergeCell ref="B786:C786"/>
    <mergeCell ref="D786:E786"/>
    <mergeCell ref="F786:G786"/>
    <mergeCell ref="H786:I786"/>
    <mergeCell ref="L786:M786"/>
    <mergeCell ref="P786:Q786"/>
    <mergeCell ref="R786:S786"/>
    <mergeCell ref="T786:U786"/>
    <mergeCell ref="V786:W786"/>
    <mergeCell ref="X786:AA786"/>
    <mergeCell ref="AB786:AE786"/>
    <mergeCell ref="AJ786:AK786"/>
    <mergeCell ref="AL786:AM786"/>
    <mergeCell ref="AN786:AO786"/>
    <mergeCell ref="AP786:AQ786"/>
    <mergeCell ref="AR786:AS786"/>
    <mergeCell ref="AT786:AU786"/>
    <mergeCell ref="AX786:AZ786"/>
    <mergeCell ref="AT784:AU784"/>
    <mergeCell ref="AX784:AZ784"/>
    <mergeCell ref="BA784:BB784"/>
    <mergeCell ref="BD784:BE784"/>
    <mergeCell ref="BF784:BI784"/>
    <mergeCell ref="BJ784:BM784"/>
    <mergeCell ref="BN784:BV784"/>
    <mergeCell ref="B785:C785"/>
    <mergeCell ref="D785:E785"/>
    <mergeCell ref="F785:G785"/>
    <mergeCell ref="H785:I785"/>
    <mergeCell ref="L785:M785"/>
    <mergeCell ref="P785:Q785"/>
    <mergeCell ref="R785:S785"/>
    <mergeCell ref="T785:U785"/>
    <mergeCell ref="V785:W785"/>
    <mergeCell ref="X785:AA785"/>
    <mergeCell ref="AB785:AE785"/>
    <mergeCell ref="AJ785:AK785"/>
    <mergeCell ref="AL785:AM785"/>
    <mergeCell ref="AN785:AO785"/>
    <mergeCell ref="AP785:AQ785"/>
    <mergeCell ref="AR785:AS785"/>
    <mergeCell ref="AT785:AU785"/>
    <mergeCell ref="AV785:AW785"/>
    <mergeCell ref="AV786:AW786"/>
    <mergeCell ref="AH784:AI784"/>
    <mergeCell ref="AH785:AI785"/>
    <mergeCell ref="BD787:BE787"/>
    <mergeCell ref="BF787:BI787"/>
    <mergeCell ref="BJ787:BM787"/>
    <mergeCell ref="BN787:BV787"/>
    <mergeCell ref="B788:C788"/>
    <mergeCell ref="D788:E788"/>
    <mergeCell ref="F788:G788"/>
    <mergeCell ref="H788:I788"/>
    <mergeCell ref="L788:M788"/>
    <mergeCell ref="P788:Q788"/>
    <mergeCell ref="R788:S788"/>
    <mergeCell ref="T788:U788"/>
    <mergeCell ref="V788:W788"/>
    <mergeCell ref="X788:AA788"/>
    <mergeCell ref="AB788:AE788"/>
    <mergeCell ref="AJ788:AK788"/>
    <mergeCell ref="AL788:AM788"/>
    <mergeCell ref="AN788:AO788"/>
    <mergeCell ref="AP788:AQ788"/>
    <mergeCell ref="AR788:AS788"/>
    <mergeCell ref="AT788:AU788"/>
    <mergeCell ref="AX788:AZ788"/>
    <mergeCell ref="BA788:BB788"/>
    <mergeCell ref="BD788:BE788"/>
    <mergeCell ref="BA786:BB786"/>
    <mergeCell ref="BD786:BE786"/>
    <mergeCell ref="BF786:BI786"/>
    <mergeCell ref="BJ786:BM786"/>
    <mergeCell ref="BN786:BV786"/>
    <mergeCell ref="B787:C787"/>
    <mergeCell ref="D787:E787"/>
    <mergeCell ref="F787:G787"/>
    <mergeCell ref="H787:I787"/>
    <mergeCell ref="L787:M787"/>
    <mergeCell ref="P787:Q787"/>
    <mergeCell ref="R787:S787"/>
    <mergeCell ref="T787:U787"/>
    <mergeCell ref="V787:W787"/>
    <mergeCell ref="X787:AA787"/>
    <mergeCell ref="AB787:AE787"/>
    <mergeCell ref="AJ787:AK787"/>
    <mergeCell ref="AL787:AM787"/>
    <mergeCell ref="AN787:AO787"/>
    <mergeCell ref="AP787:AQ787"/>
    <mergeCell ref="AR787:AS787"/>
    <mergeCell ref="AT787:AU787"/>
    <mergeCell ref="AX787:AZ787"/>
    <mergeCell ref="BA787:BB787"/>
    <mergeCell ref="AV787:AW787"/>
    <mergeCell ref="AV788:AW788"/>
    <mergeCell ref="AH786:AI786"/>
    <mergeCell ref="AH787:AI787"/>
    <mergeCell ref="BJ789:BM789"/>
    <mergeCell ref="BN789:BV789"/>
    <mergeCell ref="B790:C790"/>
    <mergeCell ref="D790:E790"/>
    <mergeCell ref="F790:G790"/>
    <mergeCell ref="H790:I790"/>
    <mergeCell ref="L790:M790"/>
    <mergeCell ref="P790:Q790"/>
    <mergeCell ref="R790:S790"/>
    <mergeCell ref="T790:U790"/>
    <mergeCell ref="V790:W790"/>
    <mergeCell ref="X790:AA790"/>
    <mergeCell ref="AB790:AE790"/>
    <mergeCell ref="AJ790:AK790"/>
    <mergeCell ref="AL790:AM790"/>
    <mergeCell ref="AN790:AO790"/>
    <mergeCell ref="AP790:AQ790"/>
    <mergeCell ref="AR790:AS790"/>
    <mergeCell ref="AT790:AU790"/>
    <mergeCell ref="AX790:AZ790"/>
    <mergeCell ref="BA790:BB790"/>
    <mergeCell ref="BD790:BE790"/>
    <mergeCell ref="BF790:BI790"/>
    <mergeCell ref="BJ790:BM790"/>
    <mergeCell ref="BF788:BI788"/>
    <mergeCell ref="BJ788:BM788"/>
    <mergeCell ref="BN788:BV788"/>
    <mergeCell ref="B789:C789"/>
    <mergeCell ref="D789:E789"/>
    <mergeCell ref="F789:G789"/>
    <mergeCell ref="H789:I789"/>
    <mergeCell ref="L789:M789"/>
    <mergeCell ref="P789:Q789"/>
    <mergeCell ref="R789:S789"/>
    <mergeCell ref="T789:U789"/>
    <mergeCell ref="V789:W789"/>
    <mergeCell ref="X789:AA789"/>
    <mergeCell ref="AB789:AE789"/>
    <mergeCell ref="AJ789:AK789"/>
    <mergeCell ref="AL789:AM789"/>
    <mergeCell ref="AN789:AO789"/>
    <mergeCell ref="AP789:AQ789"/>
    <mergeCell ref="AR789:AS789"/>
    <mergeCell ref="AT789:AU789"/>
    <mergeCell ref="AX789:AZ789"/>
    <mergeCell ref="BA789:BB789"/>
    <mergeCell ref="BD789:BE789"/>
    <mergeCell ref="BF789:BI789"/>
    <mergeCell ref="AV789:AW789"/>
    <mergeCell ref="AV790:AW790"/>
    <mergeCell ref="AH788:AI788"/>
    <mergeCell ref="AH789:AI789"/>
    <mergeCell ref="BN791:BV791"/>
    <mergeCell ref="B792:C792"/>
    <mergeCell ref="D792:E792"/>
    <mergeCell ref="F792:G792"/>
    <mergeCell ref="H792:I792"/>
    <mergeCell ref="L792:M792"/>
    <mergeCell ref="P792:Q792"/>
    <mergeCell ref="R792:S792"/>
    <mergeCell ref="T792:U792"/>
    <mergeCell ref="V792:W792"/>
    <mergeCell ref="X792:AA792"/>
    <mergeCell ref="AB792:AE792"/>
    <mergeCell ref="AJ792:AK792"/>
    <mergeCell ref="AL792:AM792"/>
    <mergeCell ref="AN792:AO792"/>
    <mergeCell ref="AP792:AQ792"/>
    <mergeCell ref="AR792:AS792"/>
    <mergeCell ref="AT792:AU792"/>
    <mergeCell ref="AX792:AZ792"/>
    <mergeCell ref="BA792:BB792"/>
    <mergeCell ref="BD792:BE792"/>
    <mergeCell ref="BF792:BI792"/>
    <mergeCell ref="BJ792:BM792"/>
    <mergeCell ref="BN790:BV790"/>
    <mergeCell ref="B791:C791"/>
    <mergeCell ref="D791:E791"/>
    <mergeCell ref="F791:G791"/>
    <mergeCell ref="H791:I791"/>
    <mergeCell ref="L791:M791"/>
    <mergeCell ref="P791:Q791"/>
    <mergeCell ref="R791:S791"/>
    <mergeCell ref="T791:U791"/>
    <mergeCell ref="V791:W791"/>
    <mergeCell ref="X791:AA791"/>
    <mergeCell ref="AB791:AE791"/>
    <mergeCell ref="AJ791:AK791"/>
    <mergeCell ref="AL791:AM791"/>
    <mergeCell ref="AN791:AO791"/>
    <mergeCell ref="AP791:AQ791"/>
    <mergeCell ref="AR791:AS791"/>
    <mergeCell ref="AT791:AU791"/>
    <mergeCell ref="AX791:AZ791"/>
    <mergeCell ref="BA791:BB791"/>
    <mergeCell ref="BD791:BE791"/>
    <mergeCell ref="BF791:BI791"/>
    <mergeCell ref="BJ791:BM791"/>
    <mergeCell ref="AV791:AW791"/>
    <mergeCell ref="AV792:AW792"/>
    <mergeCell ref="AH790:AI790"/>
    <mergeCell ref="AH791:AI791"/>
    <mergeCell ref="BN793:BV793"/>
    <mergeCell ref="B794:C794"/>
    <mergeCell ref="D794:E794"/>
    <mergeCell ref="F794:G794"/>
    <mergeCell ref="H794:I794"/>
    <mergeCell ref="L794:M794"/>
    <mergeCell ref="P794:Q794"/>
    <mergeCell ref="R794:S794"/>
    <mergeCell ref="T794:U794"/>
    <mergeCell ref="V794:W794"/>
    <mergeCell ref="X794:AA794"/>
    <mergeCell ref="AB794:AE794"/>
    <mergeCell ref="AJ794:AK794"/>
    <mergeCell ref="AL794:AM794"/>
    <mergeCell ref="AN794:AO794"/>
    <mergeCell ref="AP794:AQ794"/>
    <mergeCell ref="AR794:AS794"/>
    <mergeCell ref="AT794:AU794"/>
    <mergeCell ref="AX794:AZ794"/>
    <mergeCell ref="BA794:BB794"/>
    <mergeCell ref="BD794:BE794"/>
    <mergeCell ref="BF794:BI794"/>
    <mergeCell ref="BJ794:BM794"/>
    <mergeCell ref="BN794:BV794"/>
    <mergeCell ref="BN792:BV792"/>
    <mergeCell ref="B793:C793"/>
    <mergeCell ref="D793:E793"/>
    <mergeCell ref="F793:G793"/>
    <mergeCell ref="H793:I793"/>
    <mergeCell ref="L793:M793"/>
    <mergeCell ref="P793:Q793"/>
    <mergeCell ref="R793:S793"/>
    <mergeCell ref="T793:U793"/>
    <mergeCell ref="V793:W793"/>
    <mergeCell ref="X793:AA793"/>
    <mergeCell ref="AB793:AE793"/>
    <mergeCell ref="AJ793:AK793"/>
    <mergeCell ref="AL793:AM793"/>
    <mergeCell ref="AN793:AO793"/>
    <mergeCell ref="AP793:AQ793"/>
    <mergeCell ref="AR793:AS793"/>
    <mergeCell ref="AT793:AU793"/>
    <mergeCell ref="AX793:AZ793"/>
    <mergeCell ref="BA793:BB793"/>
    <mergeCell ref="BD793:BE793"/>
    <mergeCell ref="BF793:BI793"/>
    <mergeCell ref="BJ793:BM793"/>
    <mergeCell ref="AV793:AW793"/>
    <mergeCell ref="AV794:AW794"/>
    <mergeCell ref="AH792:AI792"/>
    <mergeCell ref="AH793:AI793"/>
    <mergeCell ref="AH794:AI794"/>
    <mergeCell ref="AN796:AO796"/>
    <mergeCell ref="AP796:AQ796"/>
    <mergeCell ref="AR796:AS796"/>
    <mergeCell ref="AT796:AU796"/>
    <mergeCell ref="AX796:AZ796"/>
    <mergeCell ref="BA796:BB796"/>
    <mergeCell ref="BD796:BE796"/>
    <mergeCell ref="BF796:BI796"/>
    <mergeCell ref="BJ796:BM796"/>
    <mergeCell ref="BN796:BV796"/>
    <mergeCell ref="B797:C797"/>
    <mergeCell ref="D797:E797"/>
    <mergeCell ref="F797:G797"/>
    <mergeCell ref="H797:I797"/>
    <mergeCell ref="L797:M797"/>
    <mergeCell ref="P797:Q797"/>
    <mergeCell ref="R797:S797"/>
    <mergeCell ref="T797:U797"/>
    <mergeCell ref="V797:W797"/>
    <mergeCell ref="X797:AA797"/>
    <mergeCell ref="AB797:AE797"/>
    <mergeCell ref="AJ797:AK797"/>
    <mergeCell ref="AL797:AM797"/>
    <mergeCell ref="AN797:AO797"/>
    <mergeCell ref="AL795:AM795"/>
    <mergeCell ref="AN795:AO795"/>
    <mergeCell ref="AP795:AQ795"/>
    <mergeCell ref="AR795:AS795"/>
    <mergeCell ref="AT795:AU795"/>
    <mergeCell ref="AX795:AZ795"/>
    <mergeCell ref="BA795:BB795"/>
    <mergeCell ref="BD795:BE795"/>
    <mergeCell ref="BF795:BI795"/>
    <mergeCell ref="BJ795:BM795"/>
    <mergeCell ref="BN795:BV795"/>
    <mergeCell ref="B796:C796"/>
    <mergeCell ref="D796:E796"/>
    <mergeCell ref="F796:G796"/>
    <mergeCell ref="H796:I796"/>
    <mergeCell ref="L796:M796"/>
    <mergeCell ref="P796:Q796"/>
    <mergeCell ref="R796:S796"/>
    <mergeCell ref="T796:U796"/>
    <mergeCell ref="V796:W796"/>
    <mergeCell ref="X796:AA796"/>
    <mergeCell ref="AB796:AE796"/>
    <mergeCell ref="AJ796:AK796"/>
    <mergeCell ref="AL796:AM796"/>
    <mergeCell ref="B795:C795"/>
    <mergeCell ref="D795:E795"/>
    <mergeCell ref="F795:G795"/>
    <mergeCell ref="H795:I795"/>
    <mergeCell ref="L795:M795"/>
    <mergeCell ref="P795:Q795"/>
    <mergeCell ref="R795:S795"/>
    <mergeCell ref="T795:U795"/>
    <mergeCell ref="V795:W795"/>
    <mergeCell ref="X795:AA795"/>
    <mergeCell ref="AB795:AE795"/>
    <mergeCell ref="AJ795:AK795"/>
    <mergeCell ref="AV795:AW795"/>
    <mergeCell ref="AV796:AW796"/>
    <mergeCell ref="AV797:AW797"/>
    <mergeCell ref="AH795:AI795"/>
    <mergeCell ref="AR798:AS798"/>
    <mergeCell ref="AT798:AU798"/>
    <mergeCell ref="AX798:AZ798"/>
    <mergeCell ref="BA798:BB798"/>
    <mergeCell ref="BD798:BE798"/>
    <mergeCell ref="BF798:BI798"/>
    <mergeCell ref="BJ798:BM798"/>
    <mergeCell ref="BN798:BV798"/>
    <mergeCell ref="B799:C799"/>
    <mergeCell ref="D799:E799"/>
    <mergeCell ref="F799:G799"/>
    <mergeCell ref="H799:I799"/>
    <mergeCell ref="L799:M799"/>
    <mergeCell ref="P799:Q799"/>
    <mergeCell ref="R799:S799"/>
    <mergeCell ref="T799:U799"/>
    <mergeCell ref="V799:W799"/>
    <mergeCell ref="X799:AA799"/>
    <mergeCell ref="AB799:AE799"/>
    <mergeCell ref="AJ799:AK799"/>
    <mergeCell ref="AL799:AM799"/>
    <mergeCell ref="AN799:AO799"/>
    <mergeCell ref="AP799:AQ799"/>
    <mergeCell ref="AR799:AS799"/>
    <mergeCell ref="AP797:AQ797"/>
    <mergeCell ref="AR797:AS797"/>
    <mergeCell ref="AT797:AU797"/>
    <mergeCell ref="AX797:AZ797"/>
    <mergeCell ref="BA797:BB797"/>
    <mergeCell ref="BD797:BE797"/>
    <mergeCell ref="BF797:BI797"/>
    <mergeCell ref="BJ797:BM797"/>
    <mergeCell ref="BN797:BV797"/>
    <mergeCell ref="B798:C798"/>
    <mergeCell ref="D798:E798"/>
    <mergeCell ref="F798:G798"/>
    <mergeCell ref="H798:I798"/>
    <mergeCell ref="L798:M798"/>
    <mergeCell ref="P798:Q798"/>
    <mergeCell ref="R798:S798"/>
    <mergeCell ref="T798:U798"/>
    <mergeCell ref="V798:W798"/>
    <mergeCell ref="X798:AA798"/>
    <mergeCell ref="AB798:AE798"/>
    <mergeCell ref="AJ798:AK798"/>
    <mergeCell ref="AL798:AM798"/>
    <mergeCell ref="AN798:AO798"/>
    <mergeCell ref="AP798:AQ798"/>
    <mergeCell ref="AV798:AW798"/>
    <mergeCell ref="AV799:AW799"/>
    <mergeCell ref="AX800:AZ800"/>
    <mergeCell ref="BA800:BB800"/>
    <mergeCell ref="BD800:BE800"/>
    <mergeCell ref="BF800:BI800"/>
    <mergeCell ref="BJ800:BM800"/>
    <mergeCell ref="BN800:BV800"/>
    <mergeCell ref="B801:C801"/>
    <mergeCell ref="D801:E801"/>
    <mergeCell ref="F801:G801"/>
    <mergeCell ref="H801:I801"/>
    <mergeCell ref="L801:M801"/>
    <mergeCell ref="P801:Q801"/>
    <mergeCell ref="R801:S801"/>
    <mergeCell ref="T801:U801"/>
    <mergeCell ref="V801:W801"/>
    <mergeCell ref="X801:AA801"/>
    <mergeCell ref="AB801:AE801"/>
    <mergeCell ref="AJ801:AK801"/>
    <mergeCell ref="AL801:AM801"/>
    <mergeCell ref="AN801:AO801"/>
    <mergeCell ref="AP801:AQ801"/>
    <mergeCell ref="AR801:AS801"/>
    <mergeCell ref="AT801:AU801"/>
    <mergeCell ref="AX801:AZ801"/>
    <mergeCell ref="AT799:AU799"/>
    <mergeCell ref="AX799:AZ799"/>
    <mergeCell ref="BA799:BB799"/>
    <mergeCell ref="BD799:BE799"/>
    <mergeCell ref="BF799:BI799"/>
    <mergeCell ref="BJ799:BM799"/>
    <mergeCell ref="BN799:BV799"/>
    <mergeCell ref="B800:C800"/>
    <mergeCell ref="D800:E800"/>
    <mergeCell ref="F800:G800"/>
    <mergeCell ref="H800:I800"/>
    <mergeCell ref="L800:M800"/>
    <mergeCell ref="P800:Q800"/>
    <mergeCell ref="R800:S800"/>
    <mergeCell ref="T800:U800"/>
    <mergeCell ref="V800:W800"/>
    <mergeCell ref="X800:AA800"/>
    <mergeCell ref="AB800:AE800"/>
    <mergeCell ref="AJ800:AK800"/>
    <mergeCell ref="AL800:AM800"/>
    <mergeCell ref="AN800:AO800"/>
    <mergeCell ref="AP800:AQ800"/>
    <mergeCell ref="AR800:AS800"/>
    <mergeCell ref="AT800:AU800"/>
    <mergeCell ref="AV800:AW800"/>
    <mergeCell ref="AV801:AW801"/>
    <mergeCell ref="BD802:BE802"/>
    <mergeCell ref="BF802:BI802"/>
    <mergeCell ref="BJ802:BM802"/>
    <mergeCell ref="BN802:BV802"/>
    <mergeCell ref="B803:C803"/>
    <mergeCell ref="D803:E803"/>
    <mergeCell ref="F803:G803"/>
    <mergeCell ref="H803:I803"/>
    <mergeCell ref="L803:M803"/>
    <mergeCell ref="P803:Q803"/>
    <mergeCell ref="R803:S803"/>
    <mergeCell ref="T803:U803"/>
    <mergeCell ref="V803:W803"/>
    <mergeCell ref="X803:AA803"/>
    <mergeCell ref="AB803:AE803"/>
    <mergeCell ref="AJ803:AK803"/>
    <mergeCell ref="AL803:AM803"/>
    <mergeCell ref="AN803:AO803"/>
    <mergeCell ref="AP803:AQ803"/>
    <mergeCell ref="AR803:AS803"/>
    <mergeCell ref="AT803:AU803"/>
    <mergeCell ref="AX803:AZ803"/>
    <mergeCell ref="BA803:BB803"/>
    <mergeCell ref="BD803:BE803"/>
    <mergeCell ref="BA801:BB801"/>
    <mergeCell ref="BD801:BE801"/>
    <mergeCell ref="BF801:BI801"/>
    <mergeCell ref="BJ801:BM801"/>
    <mergeCell ref="BN801:BV801"/>
    <mergeCell ref="B802:C802"/>
    <mergeCell ref="D802:E802"/>
    <mergeCell ref="F802:G802"/>
    <mergeCell ref="H802:I802"/>
    <mergeCell ref="L802:M802"/>
    <mergeCell ref="P802:Q802"/>
    <mergeCell ref="R802:S802"/>
    <mergeCell ref="T802:U802"/>
    <mergeCell ref="V802:W802"/>
    <mergeCell ref="X802:AA802"/>
    <mergeCell ref="AB802:AE802"/>
    <mergeCell ref="AJ802:AK802"/>
    <mergeCell ref="AL802:AM802"/>
    <mergeCell ref="AN802:AO802"/>
    <mergeCell ref="AP802:AQ802"/>
    <mergeCell ref="AR802:AS802"/>
    <mergeCell ref="AT802:AU802"/>
    <mergeCell ref="AX802:AZ802"/>
    <mergeCell ref="BA802:BB802"/>
    <mergeCell ref="AV802:AW802"/>
    <mergeCell ref="AV803:AW803"/>
    <mergeCell ref="BJ804:BM804"/>
    <mergeCell ref="BN804:BV804"/>
    <mergeCell ref="B805:C805"/>
    <mergeCell ref="D805:E805"/>
    <mergeCell ref="F805:G805"/>
    <mergeCell ref="H805:I805"/>
    <mergeCell ref="L805:M805"/>
    <mergeCell ref="P805:Q805"/>
    <mergeCell ref="R805:S805"/>
    <mergeCell ref="T805:U805"/>
    <mergeCell ref="V805:W805"/>
    <mergeCell ref="X805:AA805"/>
    <mergeCell ref="AB805:AE805"/>
    <mergeCell ref="AJ805:AK805"/>
    <mergeCell ref="AL805:AM805"/>
    <mergeCell ref="AN805:AO805"/>
    <mergeCell ref="AP805:AQ805"/>
    <mergeCell ref="AR805:AS805"/>
    <mergeCell ref="AT805:AU805"/>
    <mergeCell ref="AX805:AZ805"/>
    <mergeCell ref="BA805:BB805"/>
    <mergeCell ref="BD805:BE805"/>
    <mergeCell ref="BF805:BI805"/>
    <mergeCell ref="BJ805:BM805"/>
    <mergeCell ref="BF803:BI803"/>
    <mergeCell ref="BJ803:BM803"/>
    <mergeCell ref="BN803:BV803"/>
    <mergeCell ref="B804:C804"/>
    <mergeCell ref="D804:E804"/>
    <mergeCell ref="F804:G804"/>
    <mergeCell ref="H804:I804"/>
    <mergeCell ref="L804:M804"/>
    <mergeCell ref="P804:Q804"/>
    <mergeCell ref="R804:S804"/>
    <mergeCell ref="T804:U804"/>
    <mergeCell ref="V804:W804"/>
    <mergeCell ref="X804:AA804"/>
    <mergeCell ref="AB804:AE804"/>
    <mergeCell ref="AJ804:AK804"/>
    <mergeCell ref="AL804:AM804"/>
    <mergeCell ref="AN804:AO804"/>
    <mergeCell ref="AP804:AQ804"/>
    <mergeCell ref="AR804:AS804"/>
    <mergeCell ref="AT804:AU804"/>
    <mergeCell ref="AX804:AZ804"/>
    <mergeCell ref="BA804:BB804"/>
    <mergeCell ref="BD804:BE804"/>
    <mergeCell ref="BF804:BI804"/>
    <mergeCell ref="AV804:AW804"/>
    <mergeCell ref="AV805:AW805"/>
    <mergeCell ref="BN806:BV806"/>
    <mergeCell ref="B807:C807"/>
    <mergeCell ref="D807:E807"/>
    <mergeCell ref="F807:G807"/>
    <mergeCell ref="H807:I807"/>
    <mergeCell ref="L807:M807"/>
    <mergeCell ref="P807:Q807"/>
    <mergeCell ref="R807:S807"/>
    <mergeCell ref="T807:U807"/>
    <mergeCell ref="V807:W807"/>
    <mergeCell ref="X807:AA807"/>
    <mergeCell ref="AB807:AE807"/>
    <mergeCell ref="AJ807:AK807"/>
    <mergeCell ref="AL807:AM807"/>
    <mergeCell ref="AN807:AO807"/>
    <mergeCell ref="AP807:AQ807"/>
    <mergeCell ref="AR807:AS807"/>
    <mergeCell ref="AT807:AU807"/>
    <mergeCell ref="AX807:AZ807"/>
    <mergeCell ref="BA807:BB807"/>
    <mergeCell ref="BD807:BE807"/>
    <mergeCell ref="BF807:BI807"/>
    <mergeCell ref="BJ807:BM807"/>
    <mergeCell ref="BN805:BV805"/>
    <mergeCell ref="B806:C806"/>
    <mergeCell ref="D806:E806"/>
    <mergeCell ref="F806:G806"/>
    <mergeCell ref="H806:I806"/>
    <mergeCell ref="P806:Q806"/>
    <mergeCell ref="R806:S806"/>
    <mergeCell ref="T806:U806"/>
    <mergeCell ref="V806:W806"/>
    <mergeCell ref="X806:AA806"/>
    <mergeCell ref="AB806:AE806"/>
    <mergeCell ref="AJ806:AK806"/>
    <mergeCell ref="AL806:AM806"/>
    <mergeCell ref="AN806:AO806"/>
    <mergeCell ref="AP806:AQ806"/>
    <mergeCell ref="AR806:AS806"/>
    <mergeCell ref="AT806:AU806"/>
    <mergeCell ref="AX806:AZ806"/>
    <mergeCell ref="BA806:BB806"/>
    <mergeCell ref="BD806:BE806"/>
    <mergeCell ref="BF806:BI806"/>
    <mergeCell ref="BJ806:BM806"/>
    <mergeCell ref="AV806:AW806"/>
    <mergeCell ref="AV807:AW807"/>
    <mergeCell ref="BN808:BV808"/>
    <mergeCell ref="B809:C809"/>
    <mergeCell ref="D809:E809"/>
    <mergeCell ref="F809:G809"/>
    <mergeCell ref="H809:I809"/>
    <mergeCell ref="L809:M809"/>
    <mergeCell ref="P809:Q809"/>
    <mergeCell ref="R809:S809"/>
    <mergeCell ref="T809:U809"/>
    <mergeCell ref="V809:W809"/>
    <mergeCell ref="X809:AA809"/>
    <mergeCell ref="AB809:AE809"/>
    <mergeCell ref="AJ809:AK809"/>
    <mergeCell ref="AL809:AM809"/>
    <mergeCell ref="AN809:AO809"/>
    <mergeCell ref="AP809:AQ809"/>
    <mergeCell ref="AR809:AS809"/>
    <mergeCell ref="AT809:AU809"/>
    <mergeCell ref="AX809:AZ809"/>
    <mergeCell ref="BA809:BB809"/>
    <mergeCell ref="BD809:BE809"/>
    <mergeCell ref="BF809:BI809"/>
    <mergeCell ref="BJ809:BM809"/>
    <mergeCell ref="BN809:BV809"/>
    <mergeCell ref="BN807:BV807"/>
    <mergeCell ref="B808:C808"/>
    <mergeCell ref="D808:E808"/>
    <mergeCell ref="F808:G808"/>
    <mergeCell ref="H808:I808"/>
    <mergeCell ref="P808:Q808"/>
    <mergeCell ref="R808:S808"/>
    <mergeCell ref="T808:U808"/>
    <mergeCell ref="V808:W808"/>
    <mergeCell ref="X808:AA808"/>
    <mergeCell ref="AB808:AE808"/>
    <mergeCell ref="AJ808:AK808"/>
    <mergeCell ref="AL808:AM808"/>
    <mergeCell ref="AN808:AO808"/>
    <mergeCell ref="AP808:AQ808"/>
    <mergeCell ref="AR808:AS808"/>
    <mergeCell ref="AT808:AU808"/>
    <mergeCell ref="AX808:AZ808"/>
    <mergeCell ref="BA808:BB808"/>
    <mergeCell ref="BD808:BE808"/>
    <mergeCell ref="BF808:BI808"/>
    <mergeCell ref="BJ808:BM808"/>
    <mergeCell ref="AV808:AW808"/>
    <mergeCell ref="AV809:AW809"/>
    <mergeCell ref="AN811:AO811"/>
    <mergeCell ref="AP811:AQ811"/>
    <mergeCell ref="AR811:AS811"/>
    <mergeCell ref="AT811:AU811"/>
    <mergeCell ref="AX811:AZ811"/>
    <mergeCell ref="BA811:BB811"/>
    <mergeCell ref="BD811:BE811"/>
    <mergeCell ref="BF811:BI811"/>
    <mergeCell ref="BJ811:BM811"/>
    <mergeCell ref="BN811:BV811"/>
    <mergeCell ref="B812:C812"/>
    <mergeCell ref="D812:E812"/>
    <mergeCell ref="F812:G812"/>
    <mergeCell ref="H812:I812"/>
    <mergeCell ref="P812:Q812"/>
    <mergeCell ref="R812:S812"/>
    <mergeCell ref="T812:U812"/>
    <mergeCell ref="V812:W812"/>
    <mergeCell ref="X812:AA812"/>
    <mergeCell ref="AB812:AE812"/>
    <mergeCell ref="AJ812:AK812"/>
    <mergeCell ref="AL812:AM812"/>
    <mergeCell ref="AN812:AO812"/>
    <mergeCell ref="AL810:AM810"/>
    <mergeCell ref="AN810:AO810"/>
    <mergeCell ref="AP810:AQ810"/>
    <mergeCell ref="AR810:AS810"/>
    <mergeCell ref="AT810:AU810"/>
    <mergeCell ref="AX810:AZ810"/>
    <mergeCell ref="BA810:BB810"/>
    <mergeCell ref="BD810:BE810"/>
    <mergeCell ref="BF810:BI810"/>
    <mergeCell ref="BJ810:BM810"/>
    <mergeCell ref="BN810:BV810"/>
    <mergeCell ref="B811:C811"/>
    <mergeCell ref="D811:E811"/>
    <mergeCell ref="F811:G811"/>
    <mergeCell ref="H811:I811"/>
    <mergeCell ref="L811:M811"/>
    <mergeCell ref="P811:Q811"/>
    <mergeCell ref="R811:S811"/>
    <mergeCell ref="T811:U811"/>
    <mergeCell ref="V811:W811"/>
    <mergeCell ref="X811:AA811"/>
    <mergeCell ref="AB811:AE811"/>
    <mergeCell ref="AJ811:AK811"/>
    <mergeCell ref="AL811:AM811"/>
    <mergeCell ref="B810:C810"/>
    <mergeCell ref="D810:E810"/>
    <mergeCell ref="F810:G810"/>
    <mergeCell ref="H810:I810"/>
    <mergeCell ref="P810:Q810"/>
    <mergeCell ref="R810:S810"/>
    <mergeCell ref="T810:U810"/>
    <mergeCell ref="V810:W810"/>
    <mergeCell ref="X810:AA810"/>
    <mergeCell ref="AB810:AE810"/>
    <mergeCell ref="AJ810:AK810"/>
    <mergeCell ref="AV810:AW810"/>
    <mergeCell ref="AV811:AW811"/>
    <mergeCell ref="AV812:AW812"/>
    <mergeCell ref="AR813:AS813"/>
    <mergeCell ref="AT813:AU813"/>
    <mergeCell ref="AX813:AZ813"/>
    <mergeCell ref="BA813:BB813"/>
    <mergeCell ref="BD813:BE813"/>
    <mergeCell ref="BF813:BI813"/>
    <mergeCell ref="BJ813:BM813"/>
    <mergeCell ref="BN813:BV813"/>
    <mergeCell ref="B814:C814"/>
    <mergeCell ref="D814:E814"/>
    <mergeCell ref="F814:G814"/>
    <mergeCell ref="H814:I814"/>
    <mergeCell ref="P814:Q814"/>
    <mergeCell ref="R814:S814"/>
    <mergeCell ref="T814:U814"/>
    <mergeCell ref="V814:W814"/>
    <mergeCell ref="X814:AA814"/>
    <mergeCell ref="AB814:AE814"/>
    <mergeCell ref="AJ814:AK814"/>
    <mergeCell ref="AL814:AM814"/>
    <mergeCell ref="AN814:AO814"/>
    <mergeCell ref="AP814:AQ814"/>
    <mergeCell ref="AR814:AS814"/>
    <mergeCell ref="AP812:AQ812"/>
    <mergeCell ref="AR812:AS812"/>
    <mergeCell ref="AT812:AU812"/>
    <mergeCell ref="AX812:AZ812"/>
    <mergeCell ref="BA812:BB812"/>
    <mergeCell ref="BD812:BE812"/>
    <mergeCell ref="BF812:BI812"/>
    <mergeCell ref="BJ812:BM812"/>
    <mergeCell ref="BN812:BV812"/>
    <mergeCell ref="B813:C813"/>
    <mergeCell ref="D813:E813"/>
    <mergeCell ref="F813:G813"/>
    <mergeCell ref="H813:I813"/>
    <mergeCell ref="L813:M813"/>
    <mergeCell ref="P813:Q813"/>
    <mergeCell ref="R813:S813"/>
    <mergeCell ref="T813:U813"/>
    <mergeCell ref="V813:W813"/>
    <mergeCell ref="X813:AA813"/>
    <mergeCell ref="AB813:AE813"/>
    <mergeCell ref="AJ813:AK813"/>
    <mergeCell ref="AL813:AM813"/>
    <mergeCell ref="AN813:AO813"/>
    <mergeCell ref="AP813:AQ813"/>
    <mergeCell ref="AV813:AW813"/>
    <mergeCell ref="AV814:AW814"/>
    <mergeCell ref="AF814:AG814"/>
    <mergeCell ref="J813:K813"/>
    <mergeCell ref="AX815:AZ815"/>
    <mergeCell ref="BA815:BB815"/>
    <mergeCell ref="BD815:BE815"/>
    <mergeCell ref="BF815:BI815"/>
    <mergeCell ref="BJ815:BM815"/>
    <mergeCell ref="BN815:BV815"/>
    <mergeCell ref="B816:C816"/>
    <mergeCell ref="D816:E816"/>
    <mergeCell ref="F816:G816"/>
    <mergeCell ref="H816:I816"/>
    <mergeCell ref="P816:Q816"/>
    <mergeCell ref="R816:S816"/>
    <mergeCell ref="T816:U816"/>
    <mergeCell ref="V816:W816"/>
    <mergeCell ref="X816:AA816"/>
    <mergeCell ref="AB816:AE816"/>
    <mergeCell ref="AJ816:AK816"/>
    <mergeCell ref="AL816:AM816"/>
    <mergeCell ref="AN816:AO816"/>
    <mergeCell ref="AP816:AQ816"/>
    <mergeCell ref="AR816:AS816"/>
    <mergeCell ref="AT816:AU816"/>
    <mergeCell ref="AX816:AZ816"/>
    <mergeCell ref="AT814:AU814"/>
    <mergeCell ref="AX814:AZ814"/>
    <mergeCell ref="BA814:BB814"/>
    <mergeCell ref="BD814:BE814"/>
    <mergeCell ref="BF814:BI814"/>
    <mergeCell ref="BJ814:BM814"/>
    <mergeCell ref="BN814:BV814"/>
    <mergeCell ref="B815:C815"/>
    <mergeCell ref="D815:E815"/>
    <mergeCell ref="F815:G815"/>
    <mergeCell ref="H815:I815"/>
    <mergeCell ref="L815:M815"/>
    <mergeCell ref="P815:Q815"/>
    <mergeCell ref="R815:S815"/>
    <mergeCell ref="T815:U815"/>
    <mergeCell ref="V815:W815"/>
    <mergeCell ref="X815:AA815"/>
    <mergeCell ref="AB815:AE815"/>
    <mergeCell ref="AJ815:AK815"/>
    <mergeCell ref="AL815:AM815"/>
    <mergeCell ref="AN815:AO815"/>
    <mergeCell ref="AP815:AQ815"/>
    <mergeCell ref="AR815:AS815"/>
    <mergeCell ref="AT815:AU815"/>
    <mergeCell ref="AV815:AW815"/>
    <mergeCell ref="AV816:AW816"/>
    <mergeCell ref="AF815:AG815"/>
    <mergeCell ref="AF816:AG816"/>
    <mergeCell ref="J815:K815"/>
    <mergeCell ref="BD817:BE817"/>
    <mergeCell ref="BF817:BI817"/>
    <mergeCell ref="BJ817:BM817"/>
    <mergeCell ref="BN817:BV817"/>
    <mergeCell ref="B818:C818"/>
    <mergeCell ref="D818:E818"/>
    <mergeCell ref="F818:G818"/>
    <mergeCell ref="H818:I818"/>
    <mergeCell ref="P818:Q818"/>
    <mergeCell ref="R818:S818"/>
    <mergeCell ref="T818:U818"/>
    <mergeCell ref="V818:W818"/>
    <mergeCell ref="X818:AA818"/>
    <mergeCell ref="AB818:AE818"/>
    <mergeCell ref="AJ818:AK818"/>
    <mergeCell ref="AL818:AM818"/>
    <mergeCell ref="AN818:AO818"/>
    <mergeCell ref="AP818:AQ818"/>
    <mergeCell ref="AR818:AS818"/>
    <mergeCell ref="AT818:AU818"/>
    <mergeCell ref="AX818:AZ818"/>
    <mergeCell ref="BA818:BB818"/>
    <mergeCell ref="BD818:BE818"/>
    <mergeCell ref="BA816:BB816"/>
    <mergeCell ref="BD816:BE816"/>
    <mergeCell ref="BF816:BI816"/>
    <mergeCell ref="BJ816:BM816"/>
    <mergeCell ref="BN816:BV816"/>
    <mergeCell ref="B817:C817"/>
    <mergeCell ref="D817:E817"/>
    <mergeCell ref="F817:G817"/>
    <mergeCell ref="H817:I817"/>
    <mergeCell ref="L817:M817"/>
    <mergeCell ref="P817:Q817"/>
    <mergeCell ref="R817:S817"/>
    <mergeCell ref="T817:U817"/>
    <mergeCell ref="V817:W817"/>
    <mergeCell ref="X817:AA817"/>
    <mergeCell ref="AB817:AE817"/>
    <mergeCell ref="AJ817:AK817"/>
    <mergeCell ref="AL817:AM817"/>
    <mergeCell ref="AN817:AO817"/>
    <mergeCell ref="AP817:AQ817"/>
    <mergeCell ref="AR817:AS817"/>
    <mergeCell ref="AT817:AU817"/>
    <mergeCell ref="AX817:AZ817"/>
    <mergeCell ref="BA817:BB817"/>
    <mergeCell ref="AV817:AW817"/>
    <mergeCell ref="AV818:AW818"/>
    <mergeCell ref="AF817:AG817"/>
    <mergeCell ref="AF818:AG818"/>
    <mergeCell ref="J817:K817"/>
    <mergeCell ref="BJ819:BM819"/>
    <mergeCell ref="BN819:BV819"/>
    <mergeCell ref="B820:C820"/>
    <mergeCell ref="D820:E820"/>
    <mergeCell ref="F820:G820"/>
    <mergeCell ref="H820:I820"/>
    <mergeCell ref="P820:Q820"/>
    <mergeCell ref="R820:S820"/>
    <mergeCell ref="T820:U820"/>
    <mergeCell ref="V820:W820"/>
    <mergeCell ref="X820:AA820"/>
    <mergeCell ref="AB820:AE820"/>
    <mergeCell ref="AJ820:AK820"/>
    <mergeCell ref="AL820:AM820"/>
    <mergeCell ref="AN820:AO820"/>
    <mergeCell ref="AP820:AQ820"/>
    <mergeCell ref="AR820:AS820"/>
    <mergeCell ref="AT820:AU820"/>
    <mergeCell ref="AX820:AZ820"/>
    <mergeCell ref="BA820:BB820"/>
    <mergeCell ref="BD820:BE820"/>
    <mergeCell ref="BF820:BI820"/>
    <mergeCell ref="BJ820:BM820"/>
    <mergeCell ref="BF818:BI818"/>
    <mergeCell ref="BJ818:BM818"/>
    <mergeCell ref="BN818:BV818"/>
    <mergeCell ref="B819:C819"/>
    <mergeCell ref="D819:E819"/>
    <mergeCell ref="F819:G819"/>
    <mergeCell ref="H819:I819"/>
    <mergeCell ref="L819:M819"/>
    <mergeCell ref="P819:Q819"/>
    <mergeCell ref="R819:S819"/>
    <mergeCell ref="T819:U819"/>
    <mergeCell ref="V819:W819"/>
    <mergeCell ref="X819:AA819"/>
    <mergeCell ref="AB819:AE819"/>
    <mergeCell ref="AJ819:AK819"/>
    <mergeCell ref="AL819:AM819"/>
    <mergeCell ref="AN819:AO819"/>
    <mergeCell ref="AP819:AQ819"/>
    <mergeCell ref="AR819:AS819"/>
    <mergeCell ref="AT819:AU819"/>
    <mergeCell ref="AX819:AZ819"/>
    <mergeCell ref="BA819:BB819"/>
    <mergeCell ref="BD819:BE819"/>
    <mergeCell ref="BF819:BI819"/>
    <mergeCell ref="AV819:AW819"/>
    <mergeCell ref="AV820:AW820"/>
    <mergeCell ref="AF819:AG819"/>
    <mergeCell ref="AF820:AG820"/>
    <mergeCell ref="J819:K819"/>
    <mergeCell ref="BN821:BV821"/>
    <mergeCell ref="B822:C822"/>
    <mergeCell ref="D822:E822"/>
    <mergeCell ref="F822:G822"/>
    <mergeCell ref="H822:I822"/>
    <mergeCell ref="P822:Q822"/>
    <mergeCell ref="R822:S822"/>
    <mergeCell ref="T822:U822"/>
    <mergeCell ref="V822:W822"/>
    <mergeCell ref="X822:AA822"/>
    <mergeCell ref="AB822:AE822"/>
    <mergeCell ref="AJ822:AK822"/>
    <mergeCell ref="AL822:AM822"/>
    <mergeCell ref="AN822:AO822"/>
    <mergeCell ref="AP822:AQ822"/>
    <mergeCell ref="AR822:AS822"/>
    <mergeCell ref="AT822:AU822"/>
    <mergeCell ref="AX822:AZ822"/>
    <mergeCell ref="BA822:BB822"/>
    <mergeCell ref="BD822:BE822"/>
    <mergeCell ref="BF822:BI822"/>
    <mergeCell ref="BJ822:BM822"/>
    <mergeCell ref="BN820:BV820"/>
    <mergeCell ref="B821:C821"/>
    <mergeCell ref="D821:E821"/>
    <mergeCell ref="F821:G821"/>
    <mergeCell ref="H821:I821"/>
    <mergeCell ref="L821:M821"/>
    <mergeCell ref="P821:Q821"/>
    <mergeCell ref="R821:S821"/>
    <mergeCell ref="T821:U821"/>
    <mergeCell ref="V821:W821"/>
    <mergeCell ref="X821:AA821"/>
    <mergeCell ref="AB821:AE821"/>
    <mergeCell ref="AJ821:AK821"/>
    <mergeCell ref="AL821:AM821"/>
    <mergeCell ref="AN821:AO821"/>
    <mergeCell ref="AP821:AQ821"/>
    <mergeCell ref="AR821:AS821"/>
    <mergeCell ref="AT821:AU821"/>
    <mergeCell ref="AX821:AZ821"/>
    <mergeCell ref="BA821:BB821"/>
    <mergeCell ref="BD821:BE821"/>
    <mergeCell ref="BF821:BI821"/>
    <mergeCell ref="BJ821:BM821"/>
    <mergeCell ref="AV821:AW821"/>
    <mergeCell ref="AV822:AW822"/>
    <mergeCell ref="AF821:AG821"/>
    <mergeCell ref="AF822:AG822"/>
    <mergeCell ref="J821:K821"/>
    <mergeCell ref="BN823:BV823"/>
    <mergeCell ref="B824:C824"/>
    <mergeCell ref="D824:E824"/>
    <mergeCell ref="F824:G824"/>
    <mergeCell ref="H824:I824"/>
    <mergeCell ref="P824:Q824"/>
    <mergeCell ref="R824:S824"/>
    <mergeCell ref="T824:U824"/>
    <mergeCell ref="V824:W824"/>
    <mergeCell ref="X824:AA824"/>
    <mergeCell ref="AB824:AE824"/>
    <mergeCell ref="AJ824:AK824"/>
    <mergeCell ref="AL824:AM824"/>
    <mergeCell ref="AN824:AO824"/>
    <mergeCell ref="AP824:AQ824"/>
    <mergeCell ref="AR824:AS824"/>
    <mergeCell ref="AT824:AU824"/>
    <mergeCell ref="AX824:AZ824"/>
    <mergeCell ref="BA824:BB824"/>
    <mergeCell ref="BD824:BE824"/>
    <mergeCell ref="BF824:BI824"/>
    <mergeCell ref="BJ824:BM824"/>
    <mergeCell ref="BN824:BV824"/>
    <mergeCell ref="BN822:BV822"/>
    <mergeCell ref="B823:C823"/>
    <mergeCell ref="D823:E823"/>
    <mergeCell ref="F823:G823"/>
    <mergeCell ref="H823:I823"/>
    <mergeCell ref="L823:M823"/>
    <mergeCell ref="P823:Q823"/>
    <mergeCell ref="R823:S823"/>
    <mergeCell ref="T823:U823"/>
    <mergeCell ref="V823:W823"/>
    <mergeCell ref="X823:AA823"/>
    <mergeCell ref="AB823:AE823"/>
    <mergeCell ref="AJ823:AK823"/>
    <mergeCell ref="AL823:AM823"/>
    <mergeCell ref="AN823:AO823"/>
    <mergeCell ref="AP823:AQ823"/>
    <mergeCell ref="AR823:AS823"/>
    <mergeCell ref="AT823:AU823"/>
    <mergeCell ref="AX823:AZ823"/>
    <mergeCell ref="BA823:BB823"/>
    <mergeCell ref="BD823:BE823"/>
    <mergeCell ref="BF823:BI823"/>
    <mergeCell ref="BJ823:BM823"/>
    <mergeCell ref="AV823:AW823"/>
    <mergeCell ref="AV824:AW824"/>
    <mergeCell ref="AF823:AG823"/>
    <mergeCell ref="AF824:AG824"/>
    <mergeCell ref="J823:K823"/>
    <mergeCell ref="AN826:AO826"/>
    <mergeCell ref="AP826:AQ826"/>
    <mergeCell ref="AR826:AS826"/>
    <mergeCell ref="AT826:AU826"/>
    <mergeCell ref="AX826:AZ826"/>
    <mergeCell ref="BA826:BB826"/>
    <mergeCell ref="BD826:BE826"/>
    <mergeCell ref="BF826:BI826"/>
    <mergeCell ref="BJ826:BM826"/>
    <mergeCell ref="BN826:BV826"/>
    <mergeCell ref="B827:C827"/>
    <mergeCell ref="D827:E827"/>
    <mergeCell ref="F827:G827"/>
    <mergeCell ref="H827:I827"/>
    <mergeCell ref="L827:M827"/>
    <mergeCell ref="P827:Q827"/>
    <mergeCell ref="R827:S827"/>
    <mergeCell ref="T827:U827"/>
    <mergeCell ref="V827:W827"/>
    <mergeCell ref="X827:AA827"/>
    <mergeCell ref="AB827:AE827"/>
    <mergeCell ref="AJ827:AK827"/>
    <mergeCell ref="AL827:AM827"/>
    <mergeCell ref="AN827:AO827"/>
    <mergeCell ref="AL825:AM825"/>
    <mergeCell ref="AN825:AO825"/>
    <mergeCell ref="AP825:AQ825"/>
    <mergeCell ref="AR825:AS825"/>
    <mergeCell ref="AT825:AU825"/>
    <mergeCell ref="AX825:AZ825"/>
    <mergeCell ref="BA825:BB825"/>
    <mergeCell ref="BD825:BE825"/>
    <mergeCell ref="BF825:BI825"/>
    <mergeCell ref="BJ825:BM825"/>
    <mergeCell ref="BN825:BV825"/>
    <mergeCell ref="B826:C826"/>
    <mergeCell ref="D826:E826"/>
    <mergeCell ref="F826:G826"/>
    <mergeCell ref="H826:I826"/>
    <mergeCell ref="P826:Q826"/>
    <mergeCell ref="R826:S826"/>
    <mergeCell ref="T826:U826"/>
    <mergeCell ref="V826:W826"/>
    <mergeCell ref="X826:AA826"/>
    <mergeCell ref="AB826:AE826"/>
    <mergeCell ref="AJ826:AK826"/>
    <mergeCell ref="AL826:AM826"/>
    <mergeCell ref="B825:C825"/>
    <mergeCell ref="D825:E825"/>
    <mergeCell ref="F825:G825"/>
    <mergeCell ref="H825:I825"/>
    <mergeCell ref="L825:M825"/>
    <mergeCell ref="P825:Q825"/>
    <mergeCell ref="R825:S825"/>
    <mergeCell ref="T825:U825"/>
    <mergeCell ref="V825:W825"/>
    <mergeCell ref="X825:AA825"/>
    <mergeCell ref="AB825:AE825"/>
    <mergeCell ref="AJ825:AK825"/>
    <mergeCell ref="AV825:AW825"/>
    <mergeCell ref="AV826:AW826"/>
    <mergeCell ref="AV827:AW827"/>
    <mergeCell ref="AF825:AG825"/>
    <mergeCell ref="AF826:AG826"/>
    <mergeCell ref="AR828:AS828"/>
    <mergeCell ref="AT828:AU828"/>
    <mergeCell ref="AX828:AZ828"/>
    <mergeCell ref="BA828:BB828"/>
    <mergeCell ref="BD828:BE828"/>
    <mergeCell ref="BF828:BI828"/>
    <mergeCell ref="BJ828:BM828"/>
    <mergeCell ref="BN828:BV828"/>
    <mergeCell ref="B829:C829"/>
    <mergeCell ref="D829:E829"/>
    <mergeCell ref="F829:G829"/>
    <mergeCell ref="H829:I829"/>
    <mergeCell ref="L829:M829"/>
    <mergeCell ref="P829:Q829"/>
    <mergeCell ref="R829:S829"/>
    <mergeCell ref="T829:U829"/>
    <mergeCell ref="V829:W829"/>
    <mergeCell ref="X829:AA829"/>
    <mergeCell ref="AB829:AE829"/>
    <mergeCell ref="AJ829:AK829"/>
    <mergeCell ref="AL829:AM829"/>
    <mergeCell ref="AN829:AO829"/>
    <mergeCell ref="AP829:AQ829"/>
    <mergeCell ref="AR829:AS829"/>
    <mergeCell ref="AP827:AQ827"/>
    <mergeCell ref="AR827:AS827"/>
    <mergeCell ref="AT827:AU827"/>
    <mergeCell ref="AX827:AZ827"/>
    <mergeCell ref="BA827:BB827"/>
    <mergeCell ref="BD827:BE827"/>
    <mergeCell ref="BF827:BI827"/>
    <mergeCell ref="BJ827:BM827"/>
    <mergeCell ref="BN827:BV827"/>
    <mergeCell ref="B828:C828"/>
    <mergeCell ref="D828:E828"/>
    <mergeCell ref="F828:G828"/>
    <mergeCell ref="H828:I828"/>
    <mergeCell ref="P828:Q828"/>
    <mergeCell ref="R828:S828"/>
    <mergeCell ref="T828:U828"/>
    <mergeCell ref="V828:W828"/>
    <mergeCell ref="X828:AA828"/>
    <mergeCell ref="AB828:AE828"/>
    <mergeCell ref="AJ828:AK828"/>
    <mergeCell ref="AL828:AM828"/>
    <mergeCell ref="AN828:AO828"/>
    <mergeCell ref="AP828:AQ828"/>
    <mergeCell ref="AV828:AW828"/>
    <mergeCell ref="AV829:AW829"/>
    <mergeCell ref="AF827:AG827"/>
    <mergeCell ref="AF828:AG828"/>
    <mergeCell ref="AF829:AG829"/>
    <mergeCell ref="AX830:AZ830"/>
    <mergeCell ref="BA830:BB830"/>
    <mergeCell ref="BD830:BE830"/>
    <mergeCell ref="BF830:BI830"/>
    <mergeCell ref="BJ830:BM830"/>
    <mergeCell ref="BN830:BV830"/>
    <mergeCell ref="B831:C831"/>
    <mergeCell ref="D831:E831"/>
    <mergeCell ref="F831:G831"/>
    <mergeCell ref="H831:I831"/>
    <mergeCell ref="L831:M831"/>
    <mergeCell ref="P831:Q831"/>
    <mergeCell ref="R831:S831"/>
    <mergeCell ref="T831:U831"/>
    <mergeCell ref="V831:W831"/>
    <mergeCell ref="X831:AA831"/>
    <mergeCell ref="AB831:AE831"/>
    <mergeCell ref="AJ831:AK831"/>
    <mergeCell ref="AL831:AM831"/>
    <mergeCell ref="AN831:AO831"/>
    <mergeCell ref="AP831:AQ831"/>
    <mergeCell ref="AR831:AS831"/>
    <mergeCell ref="AT831:AU831"/>
    <mergeCell ref="AX831:AZ831"/>
    <mergeCell ref="AT829:AU829"/>
    <mergeCell ref="AX829:AZ829"/>
    <mergeCell ref="BA829:BB829"/>
    <mergeCell ref="BD829:BE829"/>
    <mergeCell ref="BF829:BI829"/>
    <mergeCell ref="BJ829:BM829"/>
    <mergeCell ref="BN829:BV829"/>
    <mergeCell ref="B830:C830"/>
    <mergeCell ref="D830:E830"/>
    <mergeCell ref="F830:G830"/>
    <mergeCell ref="H830:I830"/>
    <mergeCell ref="P830:Q830"/>
    <mergeCell ref="R830:S830"/>
    <mergeCell ref="T830:U830"/>
    <mergeCell ref="V830:W830"/>
    <mergeCell ref="X830:AA830"/>
    <mergeCell ref="AB830:AE830"/>
    <mergeCell ref="AJ830:AK830"/>
    <mergeCell ref="AL830:AM830"/>
    <mergeCell ref="AN830:AO830"/>
    <mergeCell ref="AP830:AQ830"/>
    <mergeCell ref="AR830:AS830"/>
    <mergeCell ref="AT830:AU830"/>
    <mergeCell ref="AV830:AW830"/>
    <mergeCell ref="AV831:AW831"/>
    <mergeCell ref="AH829:AI829"/>
    <mergeCell ref="AH830:AI830"/>
    <mergeCell ref="AF830:AG830"/>
    <mergeCell ref="AF831:AG831"/>
    <mergeCell ref="BD832:BE832"/>
    <mergeCell ref="BF832:BI832"/>
    <mergeCell ref="BJ832:BM832"/>
    <mergeCell ref="BN832:BV832"/>
    <mergeCell ref="B833:C833"/>
    <mergeCell ref="D833:E833"/>
    <mergeCell ref="F833:G833"/>
    <mergeCell ref="H833:I833"/>
    <mergeCell ref="L833:M833"/>
    <mergeCell ref="P833:Q833"/>
    <mergeCell ref="R833:S833"/>
    <mergeCell ref="T833:U833"/>
    <mergeCell ref="V833:W833"/>
    <mergeCell ref="X833:AA833"/>
    <mergeCell ref="AB833:AE833"/>
    <mergeCell ref="AJ833:AK833"/>
    <mergeCell ref="AL833:AM833"/>
    <mergeCell ref="AN833:AO833"/>
    <mergeCell ref="AP833:AQ833"/>
    <mergeCell ref="AR833:AS833"/>
    <mergeCell ref="AT833:AU833"/>
    <mergeCell ref="AX833:AZ833"/>
    <mergeCell ref="BA833:BB833"/>
    <mergeCell ref="BD833:BE833"/>
    <mergeCell ref="BA831:BB831"/>
    <mergeCell ref="BD831:BE831"/>
    <mergeCell ref="BF831:BI831"/>
    <mergeCell ref="BJ831:BM831"/>
    <mergeCell ref="BN831:BV831"/>
    <mergeCell ref="B832:C832"/>
    <mergeCell ref="D832:E832"/>
    <mergeCell ref="F832:G832"/>
    <mergeCell ref="H832:I832"/>
    <mergeCell ref="P832:Q832"/>
    <mergeCell ref="R832:S832"/>
    <mergeCell ref="T832:U832"/>
    <mergeCell ref="V832:W832"/>
    <mergeCell ref="X832:AA832"/>
    <mergeCell ref="AB832:AE832"/>
    <mergeCell ref="AJ832:AK832"/>
    <mergeCell ref="AL832:AM832"/>
    <mergeCell ref="AN832:AO832"/>
    <mergeCell ref="AP832:AQ832"/>
    <mergeCell ref="AR832:AS832"/>
    <mergeCell ref="AT832:AU832"/>
    <mergeCell ref="AX832:AZ832"/>
    <mergeCell ref="BA832:BB832"/>
    <mergeCell ref="AV832:AW832"/>
    <mergeCell ref="AV833:AW833"/>
    <mergeCell ref="AH831:AI831"/>
    <mergeCell ref="AH832:AI832"/>
    <mergeCell ref="AF832:AG832"/>
    <mergeCell ref="AF833:AG833"/>
    <mergeCell ref="BJ834:BM834"/>
    <mergeCell ref="BN834:BV834"/>
    <mergeCell ref="B835:C835"/>
    <mergeCell ref="D835:E835"/>
    <mergeCell ref="F835:G835"/>
    <mergeCell ref="H835:I835"/>
    <mergeCell ref="L835:M835"/>
    <mergeCell ref="P835:Q835"/>
    <mergeCell ref="R835:S835"/>
    <mergeCell ref="T835:U835"/>
    <mergeCell ref="V835:W835"/>
    <mergeCell ref="X835:AA835"/>
    <mergeCell ref="AB835:AE835"/>
    <mergeCell ref="AJ835:AK835"/>
    <mergeCell ref="AL835:AM835"/>
    <mergeCell ref="AN835:AO835"/>
    <mergeCell ref="AP835:AQ835"/>
    <mergeCell ref="AR835:AS835"/>
    <mergeCell ref="AT835:AU835"/>
    <mergeCell ref="AX835:AZ835"/>
    <mergeCell ref="BA835:BB835"/>
    <mergeCell ref="BD835:BE835"/>
    <mergeCell ref="BF835:BI835"/>
    <mergeCell ref="BJ835:BM835"/>
    <mergeCell ref="BF833:BI833"/>
    <mergeCell ref="BJ833:BM833"/>
    <mergeCell ref="BN833:BV833"/>
    <mergeCell ref="B834:C834"/>
    <mergeCell ref="D834:E834"/>
    <mergeCell ref="F834:G834"/>
    <mergeCell ref="H834:I834"/>
    <mergeCell ref="P834:Q834"/>
    <mergeCell ref="R834:S834"/>
    <mergeCell ref="T834:U834"/>
    <mergeCell ref="V834:W834"/>
    <mergeCell ref="X834:AA834"/>
    <mergeCell ref="AB834:AE834"/>
    <mergeCell ref="AJ834:AK834"/>
    <mergeCell ref="AL834:AM834"/>
    <mergeCell ref="AN834:AO834"/>
    <mergeCell ref="AP834:AQ834"/>
    <mergeCell ref="AR834:AS834"/>
    <mergeCell ref="AT834:AU834"/>
    <mergeCell ref="AX834:AZ834"/>
    <mergeCell ref="BA834:BB834"/>
    <mergeCell ref="BD834:BE834"/>
    <mergeCell ref="BF834:BI834"/>
    <mergeCell ref="AV834:AW834"/>
    <mergeCell ref="AV835:AW835"/>
    <mergeCell ref="AH833:AI833"/>
    <mergeCell ref="AH834:AI834"/>
    <mergeCell ref="AF834:AG834"/>
    <mergeCell ref="AF835:AG835"/>
    <mergeCell ref="BN836:BV836"/>
    <mergeCell ref="B837:C837"/>
    <mergeCell ref="D837:E837"/>
    <mergeCell ref="F837:G837"/>
    <mergeCell ref="H837:I837"/>
    <mergeCell ref="L837:M837"/>
    <mergeCell ref="P837:Q837"/>
    <mergeCell ref="R837:S837"/>
    <mergeCell ref="T837:U837"/>
    <mergeCell ref="V837:W837"/>
    <mergeCell ref="X837:AA837"/>
    <mergeCell ref="AB837:AE837"/>
    <mergeCell ref="AJ837:AK837"/>
    <mergeCell ref="AL837:AM837"/>
    <mergeCell ref="AN837:AO837"/>
    <mergeCell ref="AP837:AQ837"/>
    <mergeCell ref="AR837:AS837"/>
    <mergeCell ref="AT837:AU837"/>
    <mergeCell ref="AX837:AZ837"/>
    <mergeCell ref="BA837:BB837"/>
    <mergeCell ref="BD837:BE837"/>
    <mergeCell ref="BF837:BI837"/>
    <mergeCell ref="BJ837:BM837"/>
    <mergeCell ref="BN835:BV835"/>
    <mergeCell ref="B836:C836"/>
    <mergeCell ref="D836:E836"/>
    <mergeCell ref="F836:G836"/>
    <mergeCell ref="H836:I836"/>
    <mergeCell ref="P836:Q836"/>
    <mergeCell ref="R836:S836"/>
    <mergeCell ref="T836:U836"/>
    <mergeCell ref="V836:W836"/>
    <mergeCell ref="X836:AA836"/>
    <mergeCell ref="AB836:AE836"/>
    <mergeCell ref="AJ836:AK836"/>
    <mergeCell ref="AL836:AM836"/>
    <mergeCell ref="AN836:AO836"/>
    <mergeCell ref="AP836:AQ836"/>
    <mergeCell ref="AR836:AS836"/>
    <mergeCell ref="AT836:AU836"/>
    <mergeCell ref="AX836:AZ836"/>
    <mergeCell ref="BA836:BB836"/>
    <mergeCell ref="BD836:BE836"/>
    <mergeCell ref="BF836:BI836"/>
    <mergeCell ref="BJ836:BM836"/>
    <mergeCell ref="AV836:AW836"/>
    <mergeCell ref="AV837:AW837"/>
    <mergeCell ref="AH835:AI835"/>
    <mergeCell ref="AH836:AI836"/>
    <mergeCell ref="AF836:AG836"/>
    <mergeCell ref="AF837:AG837"/>
    <mergeCell ref="BN838:BV838"/>
    <mergeCell ref="B839:C839"/>
    <mergeCell ref="D839:E839"/>
    <mergeCell ref="F839:G839"/>
    <mergeCell ref="H839:I839"/>
    <mergeCell ref="L839:M839"/>
    <mergeCell ref="P839:Q839"/>
    <mergeCell ref="R839:S839"/>
    <mergeCell ref="T839:U839"/>
    <mergeCell ref="V839:W839"/>
    <mergeCell ref="X839:AA839"/>
    <mergeCell ref="AB839:AE839"/>
    <mergeCell ref="AJ839:AK839"/>
    <mergeCell ref="AL839:AM839"/>
    <mergeCell ref="AN839:AO839"/>
    <mergeCell ref="AP839:AQ839"/>
    <mergeCell ref="AR839:AS839"/>
    <mergeCell ref="AT839:AU839"/>
    <mergeCell ref="AX839:AZ839"/>
    <mergeCell ref="BA839:BB839"/>
    <mergeCell ref="BD839:BE839"/>
    <mergeCell ref="BF839:BI839"/>
    <mergeCell ref="BJ839:BM839"/>
    <mergeCell ref="BN839:BV839"/>
    <mergeCell ref="AV839:AW839"/>
    <mergeCell ref="BN837:BV837"/>
    <mergeCell ref="B838:C838"/>
    <mergeCell ref="D838:E838"/>
    <mergeCell ref="F838:G838"/>
    <mergeCell ref="H838:I838"/>
    <mergeCell ref="P838:Q838"/>
    <mergeCell ref="R838:S838"/>
    <mergeCell ref="T838:U838"/>
    <mergeCell ref="V838:W838"/>
    <mergeCell ref="X838:AA838"/>
    <mergeCell ref="AB838:AE838"/>
    <mergeCell ref="AJ838:AK838"/>
    <mergeCell ref="AL838:AM838"/>
    <mergeCell ref="AN838:AO838"/>
    <mergeCell ref="AP838:AQ838"/>
    <mergeCell ref="AR838:AS838"/>
    <mergeCell ref="AT838:AU838"/>
    <mergeCell ref="AX838:AZ838"/>
    <mergeCell ref="BA838:BB838"/>
    <mergeCell ref="BD838:BE838"/>
    <mergeCell ref="BF838:BI838"/>
    <mergeCell ref="BJ838:BM838"/>
    <mergeCell ref="AV838:AW838"/>
    <mergeCell ref="AH837:AI837"/>
    <mergeCell ref="AH838:AI838"/>
    <mergeCell ref="AH839:AI839"/>
    <mergeCell ref="AF838:AG838"/>
    <mergeCell ref="AF839:AG839"/>
    <mergeCell ref="AN841:AO841"/>
    <mergeCell ref="AP841:AQ841"/>
    <mergeCell ref="AR841:AS841"/>
    <mergeCell ref="AT841:AU841"/>
    <mergeCell ref="AX841:AZ841"/>
    <mergeCell ref="BA841:BB841"/>
    <mergeCell ref="BD841:BE841"/>
    <mergeCell ref="BF841:BI841"/>
    <mergeCell ref="BJ841:BM841"/>
    <mergeCell ref="BN841:BV841"/>
    <mergeCell ref="B842:C842"/>
    <mergeCell ref="D842:E842"/>
    <mergeCell ref="F842:G842"/>
    <mergeCell ref="H842:I842"/>
    <mergeCell ref="P842:Q842"/>
    <mergeCell ref="R842:S842"/>
    <mergeCell ref="T842:U842"/>
    <mergeCell ref="V842:W842"/>
    <mergeCell ref="X842:AA842"/>
    <mergeCell ref="AB842:AE842"/>
    <mergeCell ref="AJ842:AK842"/>
    <mergeCell ref="AL842:AM842"/>
    <mergeCell ref="AN842:AO842"/>
    <mergeCell ref="AL840:AM840"/>
    <mergeCell ref="AN840:AO840"/>
    <mergeCell ref="AP840:AQ840"/>
    <mergeCell ref="AR840:AS840"/>
    <mergeCell ref="AT840:AU840"/>
    <mergeCell ref="AX840:AZ840"/>
    <mergeCell ref="BA840:BB840"/>
    <mergeCell ref="BD840:BE840"/>
    <mergeCell ref="BF840:BI840"/>
    <mergeCell ref="BJ840:BM840"/>
    <mergeCell ref="BN840:BV840"/>
    <mergeCell ref="B841:C841"/>
    <mergeCell ref="D841:E841"/>
    <mergeCell ref="F841:G841"/>
    <mergeCell ref="H841:I841"/>
    <mergeCell ref="L841:M841"/>
    <mergeCell ref="P841:Q841"/>
    <mergeCell ref="R841:S841"/>
    <mergeCell ref="T841:U841"/>
    <mergeCell ref="V841:W841"/>
    <mergeCell ref="X841:AA841"/>
    <mergeCell ref="AB841:AE841"/>
    <mergeCell ref="AJ841:AK841"/>
    <mergeCell ref="AL841:AM841"/>
    <mergeCell ref="B840:C840"/>
    <mergeCell ref="D840:E840"/>
    <mergeCell ref="F840:G840"/>
    <mergeCell ref="H840:I840"/>
    <mergeCell ref="P840:Q840"/>
    <mergeCell ref="R840:S840"/>
    <mergeCell ref="T840:U840"/>
    <mergeCell ref="V840:W840"/>
    <mergeCell ref="X840:AA840"/>
    <mergeCell ref="AB840:AE840"/>
    <mergeCell ref="AJ840:AK840"/>
    <mergeCell ref="AV841:AW841"/>
    <mergeCell ref="AV842:AW842"/>
    <mergeCell ref="AH840:AI840"/>
    <mergeCell ref="AH841:AI841"/>
    <mergeCell ref="AF840:AG840"/>
    <mergeCell ref="AF841:AG841"/>
    <mergeCell ref="AR843:AS843"/>
    <mergeCell ref="AT843:AU843"/>
    <mergeCell ref="AX843:AZ843"/>
    <mergeCell ref="BA843:BB843"/>
    <mergeCell ref="BD843:BE843"/>
    <mergeCell ref="BF843:BI843"/>
    <mergeCell ref="BJ843:BM843"/>
    <mergeCell ref="BN843:BV843"/>
    <mergeCell ref="B844:C844"/>
    <mergeCell ref="D844:E844"/>
    <mergeCell ref="F844:G844"/>
    <mergeCell ref="H844:I844"/>
    <mergeCell ref="P844:Q844"/>
    <mergeCell ref="R844:S844"/>
    <mergeCell ref="T844:U844"/>
    <mergeCell ref="V844:W844"/>
    <mergeCell ref="X844:AA844"/>
    <mergeCell ref="AB844:AE844"/>
    <mergeCell ref="AJ844:AK844"/>
    <mergeCell ref="AL844:AM844"/>
    <mergeCell ref="AN844:AO844"/>
    <mergeCell ref="AP844:AQ844"/>
    <mergeCell ref="AR844:AS844"/>
    <mergeCell ref="AP842:AQ842"/>
    <mergeCell ref="AR842:AS842"/>
    <mergeCell ref="AT842:AU842"/>
    <mergeCell ref="AX842:AZ842"/>
    <mergeCell ref="BA842:BB842"/>
    <mergeCell ref="BD842:BE842"/>
    <mergeCell ref="BF842:BI842"/>
    <mergeCell ref="BJ842:BM842"/>
    <mergeCell ref="BN842:BV842"/>
    <mergeCell ref="B843:C843"/>
    <mergeCell ref="D843:E843"/>
    <mergeCell ref="F843:G843"/>
    <mergeCell ref="H843:I843"/>
    <mergeCell ref="L843:M843"/>
    <mergeCell ref="P843:Q843"/>
    <mergeCell ref="R843:S843"/>
    <mergeCell ref="T843:U843"/>
    <mergeCell ref="V843:W843"/>
    <mergeCell ref="X843:AA843"/>
    <mergeCell ref="AB843:AE843"/>
    <mergeCell ref="AJ843:AK843"/>
    <mergeCell ref="AL843:AM843"/>
    <mergeCell ref="AN843:AO843"/>
    <mergeCell ref="AP843:AQ843"/>
    <mergeCell ref="AV843:AW843"/>
    <mergeCell ref="AV844:AW844"/>
    <mergeCell ref="AH842:AI842"/>
    <mergeCell ref="AH843:AI843"/>
    <mergeCell ref="AF842:AG842"/>
    <mergeCell ref="AF843:AG843"/>
    <mergeCell ref="AF844:AG844"/>
    <mergeCell ref="AX845:AZ845"/>
    <mergeCell ref="BA845:BB845"/>
    <mergeCell ref="BD845:BE845"/>
    <mergeCell ref="BF845:BI845"/>
    <mergeCell ref="BJ845:BM845"/>
    <mergeCell ref="BN845:BV845"/>
    <mergeCell ref="B846:C846"/>
    <mergeCell ref="D846:E846"/>
    <mergeCell ref="F846:G846"/>
    <mergeCell ref="H846:I846"/>
    <mergeCell ref="P846:Q846"/>
    <mergeCell ref="R846:S846"/>
    <mergeCell ref="T846:U846"/>
    <mergeCell ref="V846:W846"/>
    <mergeCell ref="X846:AA846"/>
    <mergeCell ref="AB846:AE846"/>
    <mergeCell ref="AJ846:AK846"/>
    <mergeCell ref="AL846:AM846"/>
    <mergeCell ref="AN846:AO846"/>
    <mergeCell ref="AP846:AQ846"/>
    <mergeCell ref="AR846:AS846"/>
    <mergeCell ref="AT846:AU846"/>
    <mergeCell ref="AX846:AZ846"/>
    <mergeCell ref="AT844:AU844"/>
    <mergeCell ref="AX844:AZ844"/>
    <mergeCell ref="BA844:BB844"/>
    <mergeCell ref="BD844:BE844"/>
    <mergeCell ref="BF844:BI844"/>
    <mergeCell ref="BJ844:BM844"/>
    <mergeCell ref="BN844:BV844"/>
    <mergeCell ref="B845:C845"/>
    <mergeCell ref="D845:E845"/>
    <mergeCell ref="F845:G845"/>
    <mergeCell ref="H845:I845"/>
    <mergeCell ref="L845:M845"/>
    <mergeCell ref="P845:Q845"/>
    <mergeCell ref="R845:S845"/>
    <mergeCell ref="T845:U845"/>
    <mergeCell ref="V845:W845"/>
    <mergeCell ref="X845:AA845"/>
    <mergeCell ref="AB845:AE845"/>
    <mergeCell ref="AJ845:AK845"/>
    <mergeCell ref="AL845:AM845"/>
    <mergeCell ref="AN845:AO845"/>
    <mergeCell ref="AP845:AQ845"/>
    <mergeCell ref="AR845:AS845"/>
    <mergeCell ref="AT845:AU845"/>
    <mergeCell ref="AV845:AW845"/>
    <mergeCell ref="AV846:AW846"/>
    <mergeCell ref="AH844:AI844"/>
    <mergeCell ref="AH845:AI845"/>
    <mergeCell ref="AF845:AG845"/>
    <mergeCell ref="AF846:AG846"/>
    <mergeCell ref="BD847:BE847"/>
    <mergeCell ref="BF847:BI847"/>
    <mergeCell ref="BJ847:BM847"/>
    <mergeCell ref="BN847:BV847"/>
    <mergeCell ref="B848:C848"/>
    <mergeCell ref="D848:E848"/>
    <mergeCell ref="F848:G848"/>
    <mergeCell ref="H848:I848"/>
    <mergeCell ref="P848:Q848"/>
    <mergeCell ref="R848:S848"/>
    <mergeCell ref="T848:U848"/>
    <mergeCell ref="V848:W848"/>
    <mergeCell ref="X848:AA848"/>
    <mergeCell ref="AB848:AE848"/>
    <mergeCell ref="AJ848:AK848"/>
    <mergeCell ref="AL848:AM848"/>
    <mergeCell ref="AN848:AO848"/>
    <mergeCell ref="AP848:AQ848"/>
    <mergeCell ref="AR848:AS848"/>
    <mergeCell ref="AT848:AU848"/>
    <mergeCell ref="AX848:AZ848"/>
    <mergeCell ref="BA848:BB848"/>
    <mergeCell ref="BD848:BE848"/>
    <mergeCell ref="BA846:BB846"/>
    <mergeCell ref="BD846:BE846"/>
    <mergeCell ref="BF846:BI846"/>
    <mergeCell ref="BJ846:BM846"/>
    <mergeCell ref="BN846:BV846"/>
    <mergeCell ref="B847:C847"/>
    <mergeCell ref="D847:E847"/>
    <mergeCell ref="F847:G847"/>
    <mergeCell ref="H847:I847"/>
    <mergeCell ref="L847:M847"/>
    <mergeCell ref="P847:Q847"/>
    <mergeCell ref="R847:S847"/>
    <mergeCell ref="T847:U847"/>
    <mergeCell ref="V847:W847"/>
    <mergeCell ref="X847:AA847"/>
    <mergeCell ref="AB847:AE847"/>
    <mergeCell ref="AJ847:AK847"/>
    <mergeCell ref="AL847:AM847"/>
    <mergeCell ref="AN847:AO847"/>
    <mergeCell ref="AP847:AQ847"/>
    <mergeCell ref="AR847:AS847"/>
    <mergeCell ref="AT847:AU847"/>
    <mergeCell ref="AX847:AZ847"/>
    <mergeCell ref="BA847:BB847"/>
    <mergeCell ref="AV847:AW847"/>
    <mergeCell ref="AV848:AW848"/>
    <mergeCell ref="AH846:AI846"/>
    <mergeCell ref="AH847:AI847"/>
    <mergeCell ref="AF847:AG847"/>
    <mergeCell ref="AF848:AG848"/>
    <mergeCell ref="BJ849:BM849"/>
    <mergeCell ref="BN849:BV849"/>
    <mergeCell ref="B850:C850"/>
    <mergeCell ref="D850:E850"/>
    <mergeCell ref="F850:G850"/>
    <mergeCell ref="H850:I850"/>
    <mergeCell ref="P850:Q850"/>
    <mergeCell ref="R850:S850"/>
    <mergeCell ref="T850:U850"/>
    <mergeCell ref="V850:W850"/>
    <mergeCell ref="X850:AA850"/>
    <mergeCell ref="AB850:AE850"/>
    <mergeCell ref="AJ850:AK850"/>
    <mergeCell ref="AL850:AM850"/>
    <mergeCell ref="AN850:AO850"/>
    <mergeCell ref="AP850:AQ850"/>
    <mergeCell ref="AR850:AS850"/>
    <mergeCell ref="AT850:AU850"/>
    <mergeCell ref="AX850:AZ850"/>
    <mergeCell ref="BA850:BB850"/>
    <mergeCell ref="BD850:BE850"/>
    <mergeCell ref="BF850:BI850"/>
    <mergeCell ref="BJ850:BM850"/>
    <mergeCell ref="BF848:BI848"/>
    <mergeCell ref="BJ848:BM848"/>
    <mergeCell ref="BN848:BV848"/>
    <mergeCell ref="B849:C849"/>
    <mergeCell ref="D849:E849"/>
    <mergeCell ref="F849:G849"/>
    <mergeCell ref="H849:I849"/>
    <mergeCell ref="L849:M849"/>
    <mergeCell ref="P849:Q849"/>
    <mergeCell ref="R849:S849"/>
    <mergeCell ref="T849:U849"/>
    <mergeCell ref="V849:W849"/>
    <mergeCell ref="X849:AA849"/>
    <mergeCell ref="AB849:AE849"/>
    <mergeCell ref="AJ849:AK849"/>
    <mergeCell ref="AL849:AM849"/>
    <mergeCell ref="AN849:AO849"/>
    <mergeCell ref="AP849:AQ849"/>
    <mergeCell ref="AR849:AS849"/>
    <mergeCell ref="AT849:AU849"/>
    <mergeCell ref="AX849:AZ849"/>
    <mergeCell ref="BA849:BB849"/>
    <mergeCell ref="BD849:BE849"/>
    <mergeCell ref="BF849:BI849"/>
    <mergeCell ref="AV849:AW849"/>
    <mergeCell ref="AV850:AW850"/>
    <mergeCell ref="AH848:AI848"/>
    <mergeCell ref="AH849:AI849"/>
    <mergeCell ref="AF849:AG849"/>
    <mergeCell ref="AF850:AG850"/>
    <mergeCell ref="BN851:BV851"/>
    <mergeCell ref="B852:C852"/>
    <mergeCell ref="D852:E852"/>
    <mergeCell ref="F852:G852"/>
    <mergeCell ref="H852:I852"/>
    <mergeCell ref="P852:Q852"/>
    <mergeCell ref="R852:S852"/>
    <mergeCell ref="T852:U852"/>
    <mergeCell ref="V852:W852"/>
    <mergeCell ref="X852:AA852"/>
    <mergeCell ref="AB852:AE852"/>
    <mergeCell ref="AJ852:AK852"/>
    <mergeCell ref="AL852:AM852"/>
    <mergeCell ref="AN852:AO852"/>
    <mergeCell ref="AP852:AQ852"/>
    <mergeCell ref="AR852:AS852"/>
    <mergeCell ref="AT852:AU852"/>
    <mergeCell ref="AX852:AZ852"/>
    <mergeCell ref="BA852:BB852"/>
    <mergeCell ref="BD852:BE852"/>
    <mergeCell ref="BF852:BI852"/>
    <mergeCell ref="BJ852:BM852"/>
    <mergeCell ref="BN850:BV850"/>
    <mergeCell ref="B851:C851"/>
    <mergeCell ref="D851:E851"/>
    <mergeCell ref="F851:G851"/>
    <mergeCell ref="H851:I851"/>
    <mergeCell ref="L851:M851"/>
    <mergeCell ref="P851:Q851"/>
    <mergeCell ref="R851:S851"/>
    <mergeCell ref="T851:U851"/>
    <mergeCell ref="V851:W851"/>
    <mergeCell ref="X851:AA851"/>
    <mergeCell ref="AB851:AE851"/>
    <mergeCell ref="AJ851:AK851"/>
    <mergeCell ref="AL851:AM851"/>
    <mergeCell ref="AN851:AO851"/>
    <mergeCell ref="AP851:AQ851"/>
    <mergeCell ref="AR851:AS851"/>
    <mergeCell ref="AT851:AU851"/>
    <mergeCell ref="AX851:AZ851"/>
    <mergeCell ref="BA851:BB851"/>
    <mergeCell ref="BD851:BE851"/>
    <mergeCell ref="BF851:BI851"/>
    <mergeCell ref="BJ851:BM851"/>
    <mergeCell ref="AV851:AW851"/>
    <mergeCell ref="AV852:AW852"/>
    <mergeCell ref="AH850:AI850"/>
    <mergeCell ref="AH851:AI851"/>
    <mergeCell ref="AF851:AG851"/>
    <mergeCell ref="AF852:AG852"/>
    <mergeCell ref="BN853:BV853"/>
    <mergeCell ref="B854:C854"/>
    <mergeCell ref="D854:E854"/>
    <mergeCell ref="F854:G854"/>
    <mergeCell ref="H854:I854"/>
    <mergeCell ref="P854:Q854"/>
    <mergeCell ref="R854:S854"/>
    <mergeCell ref="T854:U854"/>
    <mergeCell ref="V854:W854"/>
    <mergeCell ref="X854:AA854"/>
    <mergeCell ref="AB854:AE854"/>
    <mergeCell ref="AJ854:AK854"/>
    <mergeCell ref="AL854:AM854"/>
    <mergeCell ref="AN854:AO854"/>
    <mergeCell ref="AP854:AQ854"/>
    <mergeCell ref="AR854:AS854"/>
    <mergeCell ref="AT854:AU854"/>
    <mergeCell ref="AX854:AZ854"/>
    <mergeCell ref="BA854:BB854"/>
    <mergeCell ref="BD854:BE854"/>
    <mergeCell ref="BF854:BI854"/>
    <mergeCell ref="BJ854:BM854"/>
    <mergeCell ref="BN854:BV854"/>
    <mergeCell ref="BN852:BV852"/>
    <mergeCell ref="B853:C853"/>
    <mergeCell ref="D853:E853"/>
    <mergeCell ref="F853:G853"/>
    <mergeCell ref="H853:I853"/>
    <mergeCell ref="L853:M853"/>
    <mergeCell ref="P853:Q853"/>
    <mergeCell ref="R853:S853"/>
    <mergeCell ref="T853:U853"/>
    <mergeCell ref="V853:W853"/>
    <mergeCell ref="X853:AA853"/>
    <mergeCell ref="AB853:AE853"/>
    <mergeCell ref="AJ853:AK853"/>
    <mergeCell ref="AL853:AM853"/>
    <mergeCell ref="AN853:AO853"/>
    <mergeCell ref="AP853:AQ853"/>
    <mergeCell ref="AR853:AS853"/>
    <mergeCell ref="AT853:AU853"/>
    <mergeCell ref="AX853:AZ853"/>
    <mergeCell ref="BA853:BB853"/>
    <mergeCell ref="BD853:BE853"/>
    <mergeCell ref="BF853:BI853"/>
    <mergeCell ref="BJ853:BM853"/>
    <mergeCell ref="AV853:AW853"/>
    <mergeCell ref="AV854:AW854"/>
    <mergeCell ref="AH852:AI852"/>
    <mergeCell ref="AH853:AI853"/>
    <mergeCell ref="AH854:AI854"/>
    <mergeCell ref="AF853:AG853"/>
    <mergeCell ref="AF854:AG854"/>
    <mergeCell ref="AN856:AO856"/>
    <mergeCell ref="AP856:AQ856"/>
    <mergeCell ref="AR856:AS856"/>
    <mergeCell ref="AT856:AU856"/>
    <mergeCell ref="AX856:AZ856"/>
    <mergeCell ref="BA856:BB856"/>
    <mergeCell ref="BD856:BE856"/>
    <mergeCell ref="BF856:BI856"/>
    <mergeCell ref="BJ856:BM856"/>
    <mergeCell ref="BN856:BV856"/>
    <mergeCell ref="B857:C857"/>
    <mergeCell ref="D857:E857"/>
    <mergeCell ref="F857:G857"/>
    <mergeCell ref="H857:I857"/>
    <mergeCell ref="L857:M857"/>
    <mergeCell ref="P857:Q857"/>
    <mergeCell ref="R857:S857"/>
    <mergeCell ref="T857:U857"/>
    <mergeCell ref="V857:W857"/>
    <mergeCell ref="X857:AA857"/>
    <mergeCell ref="AB857:AE857"/>
    <mergeCell ref="AJ857:AK857"/>
    <mergeCell ref="AL857:AM857"/>
    <mergeCell ref="AN857:AO857"/>
    <mergeCell ref="AL855:AM855"/>
    <mergeCell ref="AN855:AO855"/>
    <mergeCell ref="AP855:AQ855"/>
    <mergeCell ref="AR855:AS855"/>
    <mergeCell ref="AT855:AU855"/>
    <mergeCell ref="AX855:AZ855"/>
    <mergeCell ref="BA855:BB855"/>
    <mergeCell ref="BD855:BE855"/>
    <mergeCell ref="BF855:BI855"/>
    <mergeCell ref="BJ855:BM855"/>
    <mergeCell ref="BN855:BV855"/>
    <mergeCell ref="B856:C856"/>
    <mergeCell ref="D856:E856"/>
    <mergeCell ref="F856:G856"/>
    <mergeCell ref="H856:I856"/>
    <mergeCell ref="P856:Q856"/>
    <mergeCell ref="R856:S856"/>
    <mergeCell ref="T856:U856"/>
    <mergeCell ref="V856:W856"/>
    <mergeCell ref="X856:AA856"/>
    <mergeCell ref="AB856:AE856"/>
    <mergeCell ref="AJ856:AK856"/>
    <mergeCell ref="AL856:AM856"/>
    <mergeCell ref="B855:C855"/>
    <mergeCell ref="D855:E855"/>
    <mergeCell ref="F855:G855"/>
    <mergeCell ref="H855:I855"/>
    <mergeCell ref="L855:M855"/>
    <mergeCell ref="P855:Q855"/>
    <mergeCell ref="R855:S855"/>
    <mergeCell ref="T855:U855"/>
    <mergeCell ref="V855:W855"/>
    <mergeCell ref="X855:AA855"/>
    <mergeCell ref="AB855:AE855"/>
    <mergeCell ref="AJ855:AK855"/>
    <mergeCell ref="AV855:AW855"/>
    <mergeCell ref="AV856:AW856"/>
    <mergeCell ref="AV857:AW857"/>
    <mergeCell ref="AH855:AI855"/>
    <mergeCell ref="AF855:AG855"/>
    <mergeCell ref="AR858:AS858"/>
    <mergeCell ref="AT858:AU858"/>
    <mergeCell ref="AX858:AZ858"/>
    <mergeCell ref="BA858:BB858"/>
    <mergeCell ref="BD858:BE858"/>
    <mergeCell ref="BF858:BI858"/>
    <mergeCell ref="BJ858:BM858"/>
    <mergeCell ref="BN858:BV858"/>
    <mergeCell ref="B859:C859"/>
    <mergeCell ref="D859:E859"/>
    <mergeCell ref="F859:G859"/>
    <mergeCell ref="H859:I859"/>
    <mergeCell ref="L859:M859"/>
    <mergeCell ref="P859:Q859"/>
    <mergeCell ref="R859:S859"/>
    <mergeCell ref="T859:U859"/>
    <mergeCell ref="V859:W859"/>
    <mergeCell ref="X859:AA859"/>
    <mergeCell ref="AB859:AE859"/>
    <mergeCell ref="AJ859:AK859"/>
    <mergeCell ref="AL859:AM859"/>
    <mergeCell ref="AN859:AO859"/>
    <mergeCell ref="AP859:AQ859"/>
    <mergeCell ref="AR859:AS859"/>
    <mergeCell ref="AP857:AQ857"/>
    <mergeCell ref="AR857:AS857"/>
    <mergeCell ref="AT857:AU857"/>
    <mergeCell ref="AX857:AZ857"/>
    <mergeCell ref="BA857:BB857"/>
    <mergeCell ref="BD857:BE857"/>
    <mergeCell ref="BF857:BI857"/>
    <mergeCell ref="BJ857:BM857"/>
    <mergeCell ref="BN857:BV857"/>
    <mergeCell ref="B858:C858"/>
    <mergeCell ref="D858:E858"/>
    <mergeCell ref="F858:G858"/>
    <mergeCell ref="H858:I858"/>
    <mergeCell ref="P858:Q858"/>
    <mergeCell ref="R858:S858"/>
    <mergeCell ref="T858:U858"/>
    <mergeCell ref="V858:W858"/>
    <mergeCell ref="X858:AA858"/>
    <mergeCell ref="AB858:AE858"/>
    <mergeCell ref="AJ858:AK858"/>
    <mergeCell ref="AL858:AM858"/>
    <mergeCell ref="AN858:AO858"/>
    <mergeCell ref="AP858:AQ858"/>
    <mergeCell ref="AV858:AW858"/>
    <mergeCell ref="AV859:AW859"/>
    <mergeCell ref="AF859:AG859"/>
    <mergeCell ref="AX860:AZ860"/>
    <mergeCell ref="BA860:BB860"/>
    <mergeCell ref="BD860:BE860"/>
    <mergeCell ref="BF860:BI860"/>
    <mergeCell ref="BJ860:BM860"/>
    <mergeCell ref="BN860:BV860"/>
    <mergeCell ref="B861:C861"/>
    <mergeCell ref="D861:E861"/>
    <mergeCell ref="F861:G861"/>
    <mergeCell ref="H861:I861"/>
    <mergeCell ref="L861:M861"/>
    <mergeCell ref="P861:Q861"/>
    <mergeCell ref="R861:S861"/>
    <mergeCell ref="T861:U861"/>
    <mergeCell ref="V861:W861"/>
    <mergeCell ref="X861:AA861"/>
    <mergeCell ref="AB861:AE861"/>
    <mergeCell ref="AJ861:AK861"/>
    <mergeCell ref="AL861:AM861"/>
    <mergeCell ref="AN861:AO861"/>
    <mergeCell ref="AP861:AQ861"/>
    <mergeCell ref="AR861:AS861"/>
    <mergeCell ref="AT861:AU861"/>
    <mergeCell ref="AX861:AZ861"/>
    <mergeCell ref="AT859:AU859"/>
    <mergeCell ref="AX859:AZ859"/>
    <mergeCell ref="BA859:BB859"/>
    <mergeCell ref="BD859:BE859"/>
    <mergeCell ref="BF859:BI859"/>
    <mergeCell ref="BJ859:BM859"/>
    <mergeCell ref="BN859:BV859"/>
    <mergeCell ref="B860:C860"/>
    <mergeCell ref="D860:E860"/>
    <mergeCell ref="F860:G860"/>
    <mergeCell ref="H860:I860"/>
    <mergeCell ref="P860:Q860"/>
    <mergeCell ref="R860:S860"/>
    <mergeCell ref="T860:U860"/>
    <mergeCell ref="V860:W860"/>
    <mergeCell ref="X860:AA860"/>
    <mergeCell ref="AB860:AE860"/>
    <mergeCell ref="AJ860:AK860"/>
    <mergeCell ref="AL860:AM860"/>
    <mergeCell ref="AN860:AO860"/>
    <mergeCell ref="AP860:AQ860"/>
    <mergeCell ref="AR860:AS860"/>
    <mergeCell ref="AT860:AU860"/>
    <mergeCell ref="AV860:AW860"/>
    <mergeCell ref="AV861:AW861"/>
    <mergeCell ref="AF860:AG860"/>
    <mergeCell ref="AF861:AG861"/>
    <mergeCell ref="J859:K859"/>
    <mergeCell ref="BD862:BE862"/>
    <mergeCell ref="BF862:BI862"/>
    <mergeCell ref="BJ862:BM862"/>
    <mergeCell ref="BN862:BV862"/>
    <mergeCell ref="B863:C863"/>
    <mergeCell ref="D863:E863"/>
    <mergeCell ref="F863:G863"/>
    <mergeCell ref="H863:I863"/>
    <mergeCell ref="L863:M863"/>
    <mergeCell ref="P863:Q863"/>
    <mergeCell ref="R863:S863"/>
    <mergeCell ref="T863:U863"/>
    <mergeCell ref="V863:W863"/>
    <mergeCell ref="X863:AA863"/>
    <mergeCell ref="AB863:AE863"/>
    <mergeCell ref="AJ863:AK863"/>
    <mergeCell ref="AL863:AM863"/>
    <mergeCell ref="AN863:AO863"/>
    <mergeCell ref="AP863:AQ863"/>
    <mergeCell ref="AR863:AS863"/>
    <mergeCell ref="AT863:AU863"/>
    <mergeCell ref="AX863:AZ863"/>
    <mergeCell ref="BA863:BB863"/>
    <mergeCell ref="BD863:BE863"/>
    <mergeCell ref="BA861:BB861"/>
    <mergeCell ref="BD861:BE861"/>
    <mergeCell ref="BF861:BI861"/>
    <mergeCell ref="BJ861:BM861"/>
    <mergeCell ref="BN861:BV861"/>
    <mergeCell ref="B862:C862"/>
    <mergeCell ref="D862:E862"/>
    <mergeCell ref="F862:G862"/>
    <mergeCell ref="H862:I862"/>
    <mergeCell ref="P862:Q862"/>
    <mergeCell ref="R862:S862"/>
    <mergeCell ref="T862:U862"/>
    <mergeCell ref="V862:W862"/>
    <mergeCell ref="X862:AA862"/>
    <mergeCell ref="AB862:AE862"/>
    <mergeCell ref="AJ862:AK862"/>
    <mergeCell ref="AL862:AM862"/>
    <mergeCell ref="AN862:AO862"/>
    <mergeCell ref="AP862:AQ862"/>
    <mergeCell ref="AR862:AS862"/>
    <mergeCell ref="AT862:AU862"/>
    <mergeCell ref="AX862:AZ862"/>
    <mergeCell ref="BA862:BB862"/>
    <mergeCell ref="AV862:AW862"/>
    <mergeCell ref="AV863:AW863"/>
    <mergeCell ref="AF862:AG862"/>
    <mergeCell ref="AF863:AG863"/>
    <mergeCell ref="J861:K861"/>
    <mergeCell ref="BJ864:BM864"/>
    <mergeCell ref="BN864:BV864"/>
    <mergeCell ref="B865:C865"/>
    <mergeCell ref="D865:E865"/>
    <mergeCell ref="F865:G865"/>
    <mergeCell ref="H865:I865"/>
    <mergeCell ref="L865:M865"/>
    <mergeCell ref="P865:Q865"/>
    <mergeCell ref="R865:S865"/>
    <mergeCell ref="T865:U865"/>
    <mergeCell ref="V865:W865"/>
    <mergeCell ref="X865:AA865"/>
    <mergeCell ref="AB865:AE865"/>
    <mergeCell ref="AJ865:AK865"/>
    <mergeCell ref="AL865:AM865"/>
    <mergeCell ref="AN865:AO865"/>
    <mergeCell ref="AP865:AQ865"/>
    <mergeCell ref="AR865:AS865"/>
    <mergeCell ref="AT865:AU865"/>
    <mergeCell ref="AX865:AZ865"/>
    <mergeCell ref="BA865:BB865"/>
    <mergeCell ref="BD865:BE865"/>
    <mergeCell ref="BF865:BI865"/>
    <mergeCell ref="BJ865:BM865"/>
    <mergeCell ref="BF863:BI863"/>
    <mergeCell ref="BJ863:BM863"/>
    <mergeCell ref="BN863:BV863"/>
    <mergeCell ref="B864:C864"/>
    <mergeCell ref="D864:E864"/>
    <mergeCell ref="F864:G864"/>
    <mergeCell ref="H864:I864"/>
    <mergeCell ref="P864:Q864"/>
    <mergeCell ref="R864:S864"/>
    <mergeCell ref="T864:U864"/>
    <mergeCell ref="V864:W864"/>
    <mergeCell ref="X864:AA864"/>
    <mergeCell ref="AB864:AE864"/>
    <mergeCell ref="AJ864:AK864"/>
    <mergeCell ref="AL864:AM864"/>
    <mergeCell ref="AN864:AO864"/>
    <mergeCell ref="AP864:AQ864"/>
    <mergeCell ref="AR864:AS864"/>
    <mergeCell ref="AT864:AU864"/>
    <mergeCell ref="AX864:AZ864"/>
    <mergeCell ref="BA864:BB864"/>
    <mergeCell ref="BD864:BE864"/>
    <mergeCell ref="BF864:BI864"/>
    <mergeCell ref="AV864:AW864"/>
    <mergeCell ref="AV865:AW865"/>
    <mergeCell ref="AF864:AG864"/>
    <mergeCell ref="AF865:AG865"/>
    <mergeCell ref="J863:K863"/>
    <mergeCell ref="BN866:BV866"/>
    <mergeCell ref="B867:C867"/>
    <mergeCell ref="D867:E867"/>
    <mergeCell ref="F867:G867"/>
    <mergeCell ref="H867:I867"/>
    <mergeCell ref="L867:M867"/>
    <mergeCell ref="P867:Q867"/>
    <mergeCell ref="R867:S867"/>
    <mergeCell ref="T867:U867"/>
    <mergeCell ref="V867:W867"/>
    <mergeCell ref="X867:AA867"/>
    <mergeCell ref="AB867:AE867"/>
    <mergeCell ref="AJ867:AK867"/>
    <mergeCell ref="AL867:AM867"/>
    <mergeCell ref="AN867:AO867"/>
    <mergeCell ref="AP867:AQ867"/>
    <mergeCell ref="AR867:AS867"/>
    <mergeCell ref="AT867:AU867"/>
    <mergeCell ref="AX867:AZ867"/>
    <mergeCell ref="BA867:BB867"/>
    <mergeCell ref="BD867:BE867"/>
    <mergeCell ref="BF867:BI867"/>
    <mergeCell ref="BJ867:BM867"/>
    <mergeCell ref="BN865:BV865"/>
    <mergeCell ref="B866:C866"/>
    <mergeCell ref="D866:E866"/>
    <mergeCell ref="F866:G866"/>
    <mergeCell ref="H866:I866"/>
    <mergeCell ref="P866:Q866"/>
    <mergeCell ref="R866:S866"/>
    <mergeCell ref="T866:U866"/>
    <mergeCell ref="V866:W866"/>
    <mergeCell ref="X866:AA866"/>
    <mergeCell ref="AB866:AE866"/>
    <mergeCell ref="AJ866:AK866"/>
    <mergeCell ref="AL866:AM866"/>
    <mergeCell ref="AN866:AO866"/>
    <mergeCell ref="AP866:AQ866"/>
    <mergeCell ref="AR866:AS866"/>
    <mergeCell ref="AT866:AU866"/>
    <mergeCell ref="AX866:AZ866"/>
    <mergeCell ref="BA866:BB866"/>
    <mergeCell ref="BD866:BE866"/>
    <mergeCell ref="BF866:BI866"/>
    <mergeCell ref="BJ866:BM866"/>
    <mergeCell ref="AV866:AW866"/>
    <mergeCell ref="AV867:AW867"/>
    <mergeCell ref="AF866:AG866"/>
    <mergeCell ref="AF867:AG867"/>
    <mergeCell ref="J865:K865"/>
    <mergeCell ref="BN868:BV868"/>
    <mergeCell ref="B869:C869"/>
    <mergeCell ref="D869:E869"/>
    <mergeCell ref="F869:G869"/>
    <mergeCell ref="H869:I869"/>
    <mergeCell ref="L869:M869"/>
    <mergeCell ref="P869:Q869"/>
    <mergeCell ref="R869:S869"/>
    <mergeCell ref="T869:U869"/>
    <mergeCell ref="V869:W869"/>
    <mergeCell ref="X869:AA869"/>
    <mergeCell ref="AB869:AE869"/>
    <mergeCell ref="AJ869:AK869"/>
    <mergeCell ref="AL869:AM869"/>
    <mergeCell ref="AN869:AO869"/>
    <mergeCell ref="AP869:AQ869"/>
    <mergeCell ref="AR869:AS869"/>
    <mergeCell ref="AT869:AU869"/>
    <mergeCell ref="AX869:AZ869"/>
    <mergeCell ref="BA869:BB869"/>
    <mergeCell ref="BD869:BE869"/>
    <mergeCell ref="BF869:BI869"/>
    <mergeCell ref="BJ869:BM869"/>
    <mergeCell ref="BN869:BV869"/>
    <mergeCell ref="BN867:BV867"/>
    <mergeCell ref="B868:C868"/>
    <mergeCell ref="D868:E868"/>
    <mergeCell ref="F868:G868"/>
    <mergeCell ref="H868:I868"/>
    <mergeCell ref="P868:Q868"/>
    <mergeCell ref="R868:S868"/>
    <mergeCell ref="T868:U868"/>
    <mergeCell ref="V868:W868"/>
    <mergeCell ref="X868:AA868"/>
    <mergeCell ref="AB868:AE868"/>
    <mergeCell ref="AJ868:AK868"/>
    <mergeCell ref="AL868:AM868"/>
    <mergeCell ref="AN868:AO868"/>
    <mergeCell ref="AP868:AQ868"/>
    <mergeCell ref="AR868:AS868"/>
    <mergeCell ref="AT868:AU868"/>
    <mergeCell ref="AX868:AZ868"/>
    <mergeCell ref="BA868:BB868"/>
    <mergeCell ref="BD868:BE868"/>
    <mergeCell ref="BF868:BI868"/>
    <mergeCell ref="BJ868:BM868"/>
    <mergeCell ref="AV868:AW868"/>
    <mergeCell ref="AV869:AW869"/>
    <mergeCell ref="AF868:AG868"/>
    <mergeCell ref="AF869:AG869"/>
    <mergeCell ref="J867:K867"/>
    <mergeCell ref="J869:K869"/>
    <mergeCell ref="AN871:AO871"/>
    <mergeCell ref="AP871:AQ871"/>
    <mergeCell ref="AR871:AS871"/>
    <mergeCell ref="AT871:AU871"/>
    <mergeCell ref="AX871:AZ871"/>
    <mergeCell ref="BA871:BB871"/>
    <mergeCell ref="BD871:BE871"/>
    <mergeCell ref="BF871:BI871"/>
    <mergeCell ref="BJ871:BM871"/>
    <mergeCell ref="BN871:BV871"/>
    <mergeCell ref="B872:C872"/>
    <mergeCell ref="D872:E872"/>
    <mergeCell ref="F872:G872"/>
    <mergeCell ref="H872:I872"/>
    <mergeCell ref="P872:Q872"/>
    <mergeCell ref="R872:S872"/>
    <mergeCell ref="T872:U872"/>
    <mergeCell ref="V872:W872"/>
    <mergeCell ref="X872:AA872"/>
    <mergeCell ref="AB872:AE872"/>
    <mergeCell ref="AJ872:AK872"/>
    <mergeCell ref="AL872:AM872"/>
    <mergeCell ref="AN872:AO872"/>
    <mergeCell ref="AL870:AM870"/>
    <mergeCell ref="AN870:AO870"/>
    <mergeCell ref="AP870:AQ870"/>
    <mergeCell ref="AR870:AS870"/>
    <mergeCell ref="AT870:AU870"/>
    <mergeCell ref="AX870:AZ870"/>
    <mergeCell ref="BA870:BB870"/>
    <mergeCell ref="BD870:BE870"/>
    <mergeCell ref="BF870:BI870"/>
    <mergeCell ref="BJ870:BM870"/>
    <mergeCell ref="BN870:BV870"/>
    <mergeCell ref="B871:C871"/>
    <mergeCell ref="D871:E871"/>
    <mergeCell ref="F871:G871"/>
    <mergeCell ref="H871:I871"/>
    <mergeCell ref="L871:M871"/>
    <mergeCell ref="P871:Q871"/>
    <mergeCell ref="R871:S871"/>
    <mergeCell ref="T871:U871"/>
    <mergeCell ref="V871:W871"/>
    <mergeCell ref="X871:AA871"/>
    <mergeCell ref="AB871:AE871"/>
    <mergeCell ref="AJ871:AK871"/>
    <mergeCell ref="AL871:AM871"/>
    <mergeCell ref="B870:C870"/>
    <mergeCell ref="D870:E870"/>
    <mergeCell ref="F870:G870"/>
    <mergeCell ref="H870:I870"/>
    <mergeCell ref="P870:Q870"/>
    <mergeCell ref="R870:S870"/>
    <mergeCell ref="T870:U870"/>
    <mergeCell ref="V870:W870"/>
    <mergeCell ref="X870:AA870"/>
    <mergeCell ref="AB870:AE870"/>
    <mergeCell ref="AJ870:AK870"/>
    <mergeCell ref="AV870:AW870"/>
    <mergeCell ref="AV871:AW871"/>
    <mergeCell ref="AV872:AW872"/>
    <mergeCell ref="AF870:AG870"/>
    <mergeCell ref="J871:K871"/>
    <mergeCell ref="AR873:AS873"/>
    <mergeCell ref="AT873:AU873"/>
    <mergeCell ref="AX873:AZ873"/>
    <mergeCell ref="BA873:BB873"/>
    <mergeCell ref="BD873:BE873"/>
    <mergeCell ref="BF873:BI873"/>
    <mergeCell ref="BJ873:BM873"/>
    <mergeCell ref="BN873:BV873"/>
    <mergeCell ref="B874:C874"/>
    <mergeCell ref="D874:E874"/>
    <mergeCell ref="F874:G874"/>
    <mergeCell ref="H874:I874"/>
    <mergeCell ref="P874:Q874"/>
    <mergeCell ref="R874:S874"/>
    <mergeCell ref="T874:U874"/>
    <mergeCell ref="V874:W874"/>
    <mergeCell ref="X874:AA874"/>
    <mergeCell ref="AB874:AE874"/>
    <mergeCell ref="AJ874:AK874"/>
    <mergeCell ref="AL874:AM874"/>
    <mergeCell ref="AN874:AO874"/>
    <mergeCell ref="AP874:AQ874"/>
    <mergeCell ref="AR874:AS874"/>
    <mergeCell ref="AP872:AQ872"/>
    <mergeCell ref="AR872:AS872"/>
    <mergeCell ref="AT872:AU872"/>
    <mergeCell ref="AX872:AZ872"/>
    <mergeCell ref="BA872:BB872"/>
    <mergeCell ref="BD872:BE872"/>
    <mergeCell ref="BF872:BI872"/>
    <mergeCell ref="BJ872:BM872"/>
    <mergeCell ref="BN872:BV872"/>
    <mergeCell ref="B873:C873"/>
    <mergeCell ref="D873:E873"/>
    <mergeCell ref="F873:G873"/>
    <mergeCell ref="H873:I873"/>
    <mergeCell ref="L873:M873"/>
    <mergeCell ref="P873:Q873"/>
    <mergeCell ref="R873:S873"/>
    <mergeCell ref="T873:U873"/>
    <mergeCell ref="V873:W873"/>
    <mergeCell ref="X873:AA873"/>
    <mergeCell ref="AB873:AE873"/>
    <mergeCell ref="AJ873:AK873"/>
    <mergeCell ref="AL873:AM873"/>
    <mergeCell ref="AN873:AO873"/>
    <mergeCell ref="AP873:AQ873"/>
    <mergeCell ref="AV873:AW873"/>
    <mergeCell ref="AV874:AW874"/>
    <mergeCell ref="J873:K873"/>
    <mergeCell ref="AX875:AZ875"/>
    <mergeCell ref="BA875:BB875"/>
    <mergeCell ref="BD875:BE875"/>
    <mergeCell ref="BF875:BI875"/>
    <mergeCell ref="BJ875:BM875"/>
    <mergeCell ref="BN875:BV875"/>
    <mergeCell ref="B876:C876"/>
    <mergeCell ref="D876:E876"/>
    <mergeCell ref="F876:G876"/>
    <mergeCell ref="H876:I876"/>
    <mergeCell ref="P876:Q876"/>
    <mergeCell ref="R876:S876"/>
    <mergeCell ref="T876:U876"/>
    <mergeCell ref="V876:W876"/>
    <mergeCell ref="X876:AA876"/>
    <mergeCell ref="AB876:AE876"/>
    <mergeCell ref="AJ876:AK876"/>
    <mergeCell ref="AL876:AM876"/>
    <mergeCell ref="AN876:AO876"/>
    <mergeCell ref="AP876:AQ876"/>
    <mergeCell ref="AR876:AS876"/>
    <mergeCell ref="AT876:AU876"/>
    <mergeCell ref="AX876:AZ876"/>
    <mergeCell ref="AT874:AU874"/>
    <mergeCell ref="AX874:AZ874"/>
    <mergeCell ref="BA874:BB874"/>
    <mergeCell ref="BD874:BE874"/>
    <mergeCell ref="BF874:BI874"/>
    <mergeCell ref="BJ874:BM874"/>
    <mergeCell ref="BN874:BV874"/>
    <mergeCell ref="B875:C875"/>
    <mergeCell ref="D875:E875"/>
    <mergeCell ref="F875:G875"/>
    <mergeCell ref="H875:I875"/>
    <mergeCell ref="L875:M875"/>
    <mergeCell ref="P875:Q875"/>
    <mergeCell ref="R875:S875"/>
    <mergeCell ref="T875:U875"/>
    <mergeCell ref="V875:W875"/>
    <mergeCell ref="X875:AA875"/>
    <mergeCell ref="AB875:AE875"/>
    <mergeCell ref="AJ875:AK875"/>
    <mergeCell ref="AL875:AM875"/>
    <mergeCell ref="AN875:AO875"/>
    <mergeCell ref="AP875:AQ875"/>
    <mergeCell ref="AR875:AS875"/>
    <mergeCell ref="AT875:AU875"/>
    <mergeCell ref="AV875:AW875"/>
    <mergeCell ref="AV876:AW876"/>
    <mergeCell ref="J875:K875"/>
    <mergeCell ref="BD877:BE877"/>
    <mergeCell ref="BF877:BI877"/>
    <mergeCell ref="BJ877:BM877"/>
    <mergeCell ref="BN877:BV877"/>
    <mergeCell ref="B878:C878"/>
    <mergeCell ref="D878:E878"/>
    <mergeCell ref="F878:G878"/>
    <mergeCell ref="H878:I878"/>
    <mergeCell ref="P878:Q878"/>
    <mergeCell ref="R878:S878"/>
    <mergeCell ref="T878:U878"/>
    <mergeCell ref="V878:W878"/>
    <mergeCell ref="X878:AA878"/>
    <mergeCell ref="AB878:AE878"/>
    <mergeCell ref="AJ878:AK878"/>
    <mergeCell ref="AL878:AM878"/>
    <mergeCell ref="AN878:AO878"/>
    <mergeCell ref="AP878:AQ878"/>
    <mergeCell ref="AR878:AS878"/>
    <mergeCell ref="AT878:AU878"/>
    <mergeCell ref="AX878:AZ878"/>
    <mergeCell ref="BA878:BB878"/>
    <mergeCell ref="BD878:BE878"/>
    <mergeCell ref="BA876:BB876"/>
    <mergeCell ref="BD876:BE876"/>
    <mergeCell ref="BF876:BI876"/>
    <mergeCell ref="BJ876:BM876"/>
    <mergeCell ref="BN876:BV876"/>
    <mergeCell ref="B877:C877"/>
    <mergeCell ref="D877:E877"/>
    <mergeCell ref="F877:G877"/>
    <mergeCell ref="H877:I877"/>
    <mergeCell ref="L877:M877"/>
    <mergeCell ref="P877:Q877"/>
    <mergeCell ref="R877:S877"/>
    <mergeCell ref="T877:U877"/>
    <mergeCell ref="V877:W877"/>
    <mergeCell ref="X877:AA877"/>
    <mergeCell ref="AB877:AE877"/>
    <mergeCell ref="AJ877:AK877"/>
    <mergeCell ref="AL877:AM877"/>
    <mergeCell ref="AN877:AO877"/>
    <mergeCell ref="AP877:AQ877"/>
    <mergeCell ref="AR877:AS877"/>
    <mergeCell ref="AT877:AU877"/>
    <mergeCell ref="AX877:AZ877"/>
    <mergeCell ref="BA877:BB877"/>
    <mergeCell ref="AV877:AW877"/>
    <mergeCell ref="AV878:AW878"/>
    <mergeCell ref="J877:K877"/>
    <mergeCell ref="BJ879:BM879"/>
    <mergeCell ref="BN879:BV879"/>
    <mergeCell ref="B880:C880"/>
    <mergeCell ref="D880:E880"/>
    <mergeCell ref="F880:G880"/>
    <mergeCell ref="H880:I880"/>
    <mergeCell ref="P880:Q880"/>
    <mergeCell ref="R880:S880"/>
    <mergeCell ref="T880:U880"/>
    <mergeCell ref="V880:W880"/>
    <mergeCell ref="X880:AA880"/>
    <mergeCell ref="AB880:AE880"/>
    <mergeCell ref="AJ880:AK880"/>
    <mergeCell ref="AL880:AM880"/>
    <mergeCell ref="AN880:AO880"/>
    <mergeCell ref="AP880:AQ880"/>
    <mergeCell ref="AR880:AS880"/>
    <mergeCell ref="AT880:AU880"/>
    <mergeCell ref="AX880:AZ880"/>
    <mergeCell ref="BA880:BB880"/>
    <mergeCell ref="BD880:BE880"/>
    <mergeCell ref="BF880:BI880"/>
    <mergeCell ref="BJ880:BM880"/>
    <mergeCell ref="BF878:BI878"/>
    <mergeCell ref="BJ878:BM878"/>
    <mergeCell ref="BN878:BV878"/>
    <mergeCell ref="B879:C879"/>
    <mergeCell ref="D879:E879"/>
    <mergeCell ref="F879:G879"/>
    <mergeCell ref="H879:I879"/>
    <mergeCell ref="L879:M879"/>
    <mergeCell ref="P879:Q879"/>
    <mergeCell ref="R879:S879"/>
    <mergeCell ref="T879:U879"/>
    <mergeCell ref="V879:W879"/>
    <mergeCell ref="X879:AA879"/>
    <mergeCell ref="AB879:AE879"/>
    <mergeCell ref="AJ879:AK879"/>
    <mergeCell ref="AL879:AM879"/>
    <mergeCell ref="AN879:AO879"/>
    <mergeCell ref="AP879:AQ879"/>
    <mergeCell ref="AR879:AS879"/>
    <mergeCell ref="AT879:AU879"/>
    <mergeCell ref="AX879:AZ879"/>
    <mergeCell ref="BA879:BB879"/>
    <mergeCell ref="BD879:BE879"/>
    <mergeCell ref="BF879:BI879"/>
    <mergeCell ref="AV879:AW879"/>
    <mergeCell ref="AV880:AW880"/>
    <mergeCell ref="J879:K879"/>
    <mergeCell ref="BN881:BV881"/>
    <mergeCell ref="B882:C882"/>
    <mergeCell ref="D882:E882"/>
    <mergeCell ref="F882:G882"/>
    <mergeCell ref="H882:I882"/>
    <mergeCell ref="P882:Q882"/>
    <mergeCell ref="R882:S882"/>
    <mergeCell ref="T882:U882"/>
    <mergeCell ref="V882:W882"/>
    <mergeCell ref="X882:AA882"/>
    <mergeCell ref="AB882:AE882"/>
    <mergeCell ref="AJ882:AK882"/>
    <mergeCell ref="AL882:AM882"/>
    <mergeCell ref="AN882:AO882"/>
    <mergeCell ref="AP882:AQ882"/>
    <mergeCell ref="AR882:AS882"/>
    <mergeCell ref="AT882:AU882"/>
    <mergeCell ref="AX882:AZ882"/>
    <mergeCell ref="BA882:BB882"/>
    <mergeCell ref="BD882:BE882"/>
    <mergeCell ref="BF882:BI882"/>
    <mergeCell ref="BJ882:BM882"/>
    <mergeCell ref="BN880:BV880"/>
    <mergeCell ref="B881:C881"/>
    <mergeCell ref="D881:E881"/>
    <mergeCell ref="F881:G881"/>
    <mergeCell ref="H881:I881"/>
    <mergeCell ref="L881:M881"/>
    <mergeCell ref="P881:Q881"/>
    <mergeCell ref="R881:S881"/>
    <mergeCell ref="T881:U881"/>
    <mergeCell ref="V881:W881"/>
    <mergeCell ref="X881:AA881"/>
    <mergeCell ref="AB881:AE881"/>
    <mergeCell ref="AJ881:AK881"/>
    <mergeCell ref="AL881:AM881"/>
    <mergeCell ref="AN881:AO881"/>
    <mergeCell ref="AP881:AQ881"/>
    <mergeCell ref="AR881:AS881"/>
    <mergeCell ref="AT881:AU881"/>
    <mergeCell ref="AX881:AZ881"/>
    <mergeCell ref="BA881:BB881"/>
    <mergeCell ref="BD881:BE881"/>
    <mergeCell ref="BF881:BI881"/>
    <mergeCell ref="BJ881:BM881"/>
    <mergeCell ref="AV881:AW881"/>
    <mergeCell ref="AV882:AW882"/>
    <mergeCell ref="J881:K881"/>
    <mergeCell ref="BN883:BV883"/>
    <mergeCell ref="B884:C884"/>
    <mergeCell ref="D884:E884"/>
    <mergeCell ref="F884:G884"/>
    <mergeCell ref="H884:I884"/>
    <mergeCell ref="P884:Q884"/>
    <mergeCell ref="R884:S884"/>
    <mergeCell ref="T884:U884"/>
    <mergeCell ref="V884:W884"/>
    <mergeCell ref="X884:AA884"/>
    <mergeCell ref="AB884:AE884"/>
    <mergeCell ref="AJ884:AK884"/>
    <mergeCell ref="AL884:AM884"/>
    <mergeCell ref="AN884:AO884"/>
    <mergeCell ref="AP884:AQ884"/>
    <mergeCell ref="AR884:AS884"/>
    <mergeCell ref="AT884:AU884"/>
    <mergeCell ref="AX884:AZ884"/>
    <mergeCell ref="BA884:BB884"/>
    <mergeCell ref="BD884:BE884"/>
    <mergeCell ref="BF884:BI884"/>
    <mergeCell ref="BJ884:BM884"/>
    <mergeCell ref="BN884:BV884"/>
    <mergeCell ref="BN882:BV882"/>
    <mergeCell ref="B883:C883"/>
    <mergeCell ref="D883:E883"/>
    <mergeCell ref="F883:G883"/>
    <mergeCell ref="H883:I883"/>
    <mergeCell ref="L883:M883"/>
    <mergeCell ref="P883:Q883"/>
    <mergeCell ref="R883:S883"/>
    <mergeCell ref="T883:U883"/>
    <mergeCell ref="V883:W883"/>
    <mergeCell ref="X883:AA883"/>
    <mergeCell ref="AB883:AE883"/>
    <mergeCell ref="AJ883:AK883"/>
    <mergeCell ref="AL883:AM883"/>
    <mergeCell ref="AN883:AO883"/>
    <mergeCell ref="AP883:AQ883"/>
    <mergeCell ref="AR883:AS883"/>
    <mergeCell ref="AT883:AU883"/>
    <mergeCell ref="AX883:AZ883"/>
    <mergeCell ref="BA883:BB883"/>
    <mergeCell ref="BD883:BE883"/>
    <mergeCell ref="BF883:BI883"/>
    <mergeCell ref="BJ883:BM883"/>
    <mergeCell ref="AV883:AW883"/>
    <mergeCell ref="AV884:AW884"/>
    <mergeCell ref="J883:K883"/>
    <mergeCell ref="AN886:AO886"/>
    <mergeCell ref="AP886:AQ886"/>
    <mergeCell ref="AR886:AS886"/>
    <mergeCell ref="AT886:AU886"/>
    <mergeCell ref="AX886:AZ886"/>
    <mergeCell ref="BA886:BB886"/>
    <mergeCell ref="BD886:BE886"/>
    <mergeCell ref="BF886:BI886"/>
    <mergeCell ref="BJ886:BM886"/>
    <mergeCell ref="BN886:BV886"/>
    <mergeCell ref="B887:C887"/>
    <mergeCell ref="D887:E887"/>
    <mergeCell ref="F887:G887"/>
    <mergeCell ref="H887:I887"/>
    <mergeCell ref="L887:M887"/>
    <mergeCell ref="P887:Q887"/>
    <mergeCell ref="R887:S887"/>
    <mergeCell ref="T887:U887"/>
    <mergeCell ref="V887:W887"/>
    <mergeCell ref="X887:AA887"/>
    <mergeCell ref="AB887:AE887"/>
    <mergeCell ref="AJ887:AK887"/>
    <mergeCell ref="AL887:AM887"/>
    <mergeCell ref="AN887:AO887"/>
    <mergeCell ref="AL885:AM885"/>
    <mergeCell ref="AN885:AO885"/>
    <mergeCell ref="AP885:AQ885"/>
    <mergeCell ref="AR885:AS885"/>
    <mergeCell ref="AT885:AU885"/>
    <mergeCell ref="AX885:AZ885"/>
    <mergeCell ref="BA885:BB885"/>
    <mergeCell ref="BD885:BE885"/>
    <mergeCell ref="BF885:BI885"/>
    <mergeCell ref="BJ885:BM885"/>
    <mergeCell ref="BN885:BV885"/>
    <mergeCell ref="B886:C886"/>
    <mergeCell ref="D886:E886"/>
    <mergeCell ref="F886:G886"/>
    <mergeCell ref="H886:I886"/>
    <mergeCell ref="P886:Q886"/>
    <mergeCell ref="R886:S886"/>
    <mergeCell ref="T886:U886"/>
    <mergeCell ref="V886:W886"/>
    <mergeCell ref="X886:AA886"/>
    <mergeCell ref="AB886:AE886"/>
    <mergeCell ref="AJ886:AK886"/>
    <mergeCell ref="AL886:AM886"/>
    <mergeCell ref="B885:C885"/>
    <mergeCell ref="D885:E885"/>
    <mergeCell ref="F885:G885"/>
    <mergeCell ref="H885:I885"/>
    <mergeCell ref="L885:M885"/>
    <mergeCell ref="P885:Q885"/>
    <mergeCell ref="R885:S885"/>
    <mergeCell ref="T885:U885"/>
    <mergeCell ref="V885:W885"/>
    <mergeCell ref="X885:AA885"/>
    <mergeCell ref="AB885:AE885"/>
    <mergeCell ref="AJ885:AK885"/>
    <mergeCell ref="AV885:AW885"/>
    <mergeCell ref="AV886:AW886"/>
    <mergeCell ref="AV887:AW887"/>
    <mergeCell ref="AH886:AI886"/>
    <mergeCell ref="J885:K885"/>
    <mergeCell ref="AR888:AS888"/>
    <mergeCell ref="AT888:AU888"/>
    <mergeCell ref="AX888:AZ888"/>
    <mergeCell ref="BA888:BB888"/>
    <mergeCell ref="BD888:BE888"/>
    <mergeCell ref="BF888:BI888"/>
    <mergeCell ref="BJ888:BM888"/>
    <mergeCell ref="BN888:BV888"/>
    <mergeCell ref="B889:C889"/>
    <mergeCell ref="D889:E889"/>
    <mergeCell ref="F889:G889"/>
    <mergeCell ref="H889:I889"/>
    <mergeCell ref="L889:M889"/>
    <mergeCell ref="P889:Q889"/>
    <mergeCell ref="R889:S889"/>
    <mergeCell ref="T889:U889"/>
    <mergeCell ref="V889:W889"/>
    <mergeCell ref="X889:AA889"/>
    <mergeCell ref="AB889:AE889"/>
    <mergeCell ref="AJ889:AK889"/>
    <mergeCell ref="AL889:AM889"/>
    <mergeCell ref="AN889:AO889"/>
    <mergeCell ref="AP889:AQ889"/>
    <mergeCell ref="AR889:AS889"/>
    <mergeCell ref="AP887:AQ887"/>
    <mergeCell ref="AR887:AS887"/>
    <mergeCell ref="AT887:AU887"/>
    <mergeCell ref="AX887:AZ887"/>
    <mergeCell ref="BA887:BB887"/>
    <mergeCell ref="BD887:BE887"/>
    <mergeCell ref="BF887:BI887"/>
    <mergeCell ref="BJ887:BM887"/>
    <mergeCell ref="BN887:BV887"/>
    <mergeCell ref="B888:C888"/>
    <mergeCell ref="D888:E888"/>
    <mergeCell ref="F888:G888"/>
    <mergeCell ref="H888:I888"/>
    <mergeCell ref="P888:Q888"/>
    <mergeCell ref="R888:S888"/>
    <mergeCell ref="T888:U888"/>
    <mergeCell ref="V888:W888"/>
    <mergeCell ref="X888:AA888"/>
    <mergeCell ref="AB888:AE888"/>
    <mergeCell ref="AJ888:AK888"/>
    <mergeCell ref="AL888:AM888"/>
    <mergeCell ref="AN888:AO888"/>
    <mergeCell ref="AP888:AQ888"/>
    <mergeCell ref="AV888:AW888"/>
    <mergeCell ref="AV889:AW889"/>
    <mergeCell ref="AH887:AI887"/>
    <mergeCell ref="AH888:AI888"/>
    <mergeCell ref="J887:K887"/>
    <mergeCell ref="AX890:AZ890"/>
    <mergeCell ref="BA890:BB890"/>
    <mergeCell ref="BD890:BE890"/>
    <mergeCell ref="BF890:BI890"/>
    <mergeCell ref="BJ890:BM890"/>
    <mergeCell ref="BN890:BV890"/>
    <mergeCell ref="B891:C891"/>
    <mergeCell ref="D891:E891"/>
    <mergeCell ref="F891:G891"/>
    <mergeCell ref="H891:I891"/>
    <mergeCell ref="L891:M891"/>
    <mergeCell ref="P891:Q891"/>
    <mergeCell ref="R891:S891"/>
    <mergeCell ref="T891:U891"/>
    <mergeCell ref="V891:W891"/>
    <mergeCell ref="X891:AA891"/>
    <mergeCell ref="AB891:AE891"/>
    <mergeCell ref="AJ891:AK891"/>
    <mergeCell ref="AL891:AM891"/>
    <mergeCell ref="AN891:AO891"/>
    <mergeCell ref="AP891:AQ891"/>
    <mergeCell ref="AR891:AS891"/>
    <mergeCell ref="AT891:AU891"/>
    <mergeCell ref="AX891:AZ891"/>
    <mergeCell ref="AT889:AU889"/>
    <mergeCell ref="AX889:AZ889"/>
    <mergeCell ref="BA889:BB889"/>
    <mergeCell ref="BD889:BE889"/>
    <mergeCell ref="BF889:BI889"/>
    <mergeCell ref="BJ889:BM889"/>
    <mergeCell ref="BN889:BV889"/>
    <mergeCell ref="B890:C890"/>
    <mergeCell ref="D890:E890"/>
    <mergeCell ref="F890:G890"/>
    <mergeCell ref="H890:I890"/>
    <mergeCell ref="P890:Q890"/>
    <mergeCell ref="R890:S890"/>
    <mergeCell ref="T890:U890"/>
    <mergeCell ref="V890:W890"/>
    <mergeCell ref="X890:AA890"/>
    <mergeCell ref="AB890:AE890"/>
    <mergeCell ref="AJ890:AK890"/>
    <mergeCell ref="AL890:AM890"/>
    <mergeCell ref="AN890:AO890"/>
    <mergeCell ref="AP890:AQ890"/>
    <mergeCell ref="AR890:AS890"/>
    <mergeCell ref="AT890:AU890"/>
    <mergeCell ref="AV890:AW890"/>
    <mergeCell ref="AV891:AW891"/>
    <mergeCell ref="AH889:AI889"/>
    <mergeCell ref="AH890:AI890"/>
    <mergeCell ref="J889:K889"/>
    <mergeCell ref="BD892:BE892"/>
    <mergeCell ref="BF892:BI892"/>
    <mergeCell ref="BJ892:BM892"/>
    <mergeCell ref="BN892:BV892"/>
    <mergeCell ref="B893:C893"/>
    <mergeCell ref="D893:E893"/>
    <mergeCell ref="F893:G893"/>
    <mergeCell ref="H893:I893"/>
    <mergeCell ref="L893:M893"/>
    <mergeCell ref="P893:Q893"/>
    <mergeCell ref="R893:S893"/>
    <mergeCell ref="T893:U893"/>
    <mergeCell ref="V893:W893"/>
    <mergeCell ref="X893:AA893"/>
    <mergeCell ref="AB893:AE893"/>
    <mergeCell ref="AJ893:AK893"/>
    <mergeCell ref="AL893:AM893"/>
    <mergeCell ref="AN893:AO893"/>
    <mergeCell ref="AP893:AQ893"/>
    <mergeCell ref="AR893:AS893"/>
    <mergeCell ref="AT893:AU893"/>
    <mergeCell ref="AX893:AZ893"/>
    <mergeCell ref="BA893:BB893"/>
    <mergeCell ref="BD893:BE893"/>
    <mergeCell ref="BA891:BB891"/>
    <mergeCell ref="BD891:BE891"/>
    <mergeCell ref="BF891:BI891"/>
    <mergeCell ref="BJ891:BM891"/>
    <mergeCell ref="BN891:BV891"/>
    <mergeCell ref="B892:C892"/>
    <mergeCell ref="D892:E892"/>
    <mergeCell ref="F892:G892"/>
    <mergeCell ref="H892:I892"/>
    <mergeCell ref="P892:Q892"/>
    <mergeCell ref="R892:S892"/>
    <mergeCell ref="T892:U892"/>
    <mergeCell ref="V892:W892"/>
    <mergeCell ref="X892:AA892"/>
    <mergeCell ref="AB892:AE892"/>
    <mergeCell ref="AJ892:AK892"/>
    <mergeCell ref="AL892:AM892"/>
    <mergeCell ref="AN892:AO892"/>
    <mergeCell ref="AP892:AQ892"/>
    <mergeCell ref="AR892:AS892"/>
    <mergeCell ref="AT892:AU892"/>
    <mergeCell ref="AX892:AZ892"/>
    <mergeCell ref="BA892:BB892"/>
    <mergeCell ref="AV892:AW892"/>
    <mergeCell ref="AV893:AW893"/>
    <mergeCell ref="AH891:AI891"/>
    <mergeCell ref="AH892:AI892"/>
    <mergeCell ref="J891:K891"/>
    <mergeCell ref="BJ894:BM894"/>
    <mergeCell ref="BN894:BV894"/>
    <mergeCell ref="B895:C895"/>
    <mergeCell ref="D895:E895"/>
    <mergeCell ref="F895:G895"/>
    <mergeCell ref="H895:I895"/>
    <mergeCell ref="L895:M895"/>
    <mergeCell ref="P895:Q895"/>
    <mergeCell ref="R895:S895"/>
    <mergeCell ref="T895:U895"/>
    <mergeCell ref="V895:W895"/>
    <mergeCell ref="X895:AA895"/>
    <mergeCell ref="AB895:AE895"/>
    <mergeCell ref="AJ895:AK895"/>
    <mergeCell ref="AL895:AM895"/>
    <mergeCell ref="AN895:AO895"/>
    <mergeCell ref="AP895:AQ895"/>
    <mergeCell ref="AR895:AS895"/>
    <mergeCell ref="AT895:AU895"/>
    <mergeCell ref="AX895:AZ895"/>
    <mergeCell ref="BA895:BB895"/>
    <mergeCell ref="BD895:BE895"/>
    <mergeCell ref="BF895:BI895"/>
    <mergeCell ref="BJ895:BM895"/>
    <mergeCell ref="BF893:BI893"/>
    <mergeCell ref="BJ893:BM893"/>
    <mergeCell ref="BN893:BV893"/>
    <mergeCell ref="B894:C894"/>
    <mergeCell ref="D894:E894"/>
    <mergeCell ref="F894:G894"/>
    <mergeCell ref="H894:I894"/>
    <mergeCell ref="P894:Q894"/>
    <mergeCell ref="R894:S894"/>
    <mergeCell ref="T894:U894"/>
    <mergeCell ref="V894:W894"/>
    <mergeCell ref="X894:AA894"/>
    <mergeCell ref="AB894:AE894"/>
    <mergeCell ref="AJ894:AK894"/>
    <mergeCell ref="AL894:AM894"/>
    <mergeCell ref="AN894:AO894"/>
    <mergeCell ref="AP894:AQ894"/>
    <mergeCell ref="AR894:AS894"/>
    <mergeCell ref="AT894:AU894"/>
    <mergeCell ref="AX894:AZ894"/>
    <mergeCell ref="BA894:BB894"/>
    <mergeCell ref="BD894:BE894"/>
    <mergeCell ref="BF894:BI894"/>
    <mergeCell ref="AV894:AW894"/>
    <mergeCell ref="AV895:AW895"/>
    <mergeCell ref="AH893:AI893"/>
    <mergeCell ref="AH894:AI894"/>
    <mergeCell ref="J893:K893"/>
    <mergeCell ref="BN896:BV896"/>
    <mergeCell ref="B897:C897"/>
    <mergeCell ref="D897:E897"/>
    <mergeCell ref="F897:G897"/>
    <mergeCell ref="H897:I897"/>
    <mergeCell ref="L897:M897"/>
    <mergeCell ref="P897:Q897"/>
    <mergeCell ref="R897:S897"/>
    <mergeCell ref="T897:U897"/>
    <mergeCell ref="V897:W897"/>
    <mergeCell ref="X897:AA897"/>
    <mergeCell ref="AB897:AE897"/>
    <mergeCell ref="AJ897:AK897"/>
    <mergeCell ref="AL897:AM897"/>
    <mergeCell ref="AN897:AO897"/>
    <mergeCell ref="AP897:AQ897"/>
    <mergeCell ref="AR897:AS897"/>
    <mergeCell ref="AT897:AU897"/>
    <mergeCell ref="AX897:AZ897"/>
    <mergeCell ref="BA897:BB897"/>
    <mergeCell ref="BD897:BE897"/>
    <mergeCell ref="BF897:BI897"/>
    <mergeCell ref="BJ897:BM897"/>
    <mergeCell ref="BN895:BV895"/>
    <mergeCell ref="B896:C896"/>
    <mergeCell ref="D896:E896"/>
    <mergeCell ref="F896:G896"/>
    <mergeCell ref="H896:I896"/>
    <mergeCell ref="P896:Q896"/>
    <mergeCell ref="R896:S896"/>
    <mergeCell ref="T896:U896"/>
    <mergeCell ref="V896:W896"/>
    <mergeCell ref="X896:AA896"/>
    <mergeCell ref="AB896:AE896"/>
    <mergeCell ref="AJ896:AK896"/>
    <mergeCell ref="AL896:AM896"/>
    <mergeCell ref="AN896:AO896"/>
    <mergeCell ref="AP896:AQ896"/>
    <mergeCell ref="AR896:AS896"/>
    <mergeCell ref="AT896:AU896"/>
    <mergeCell ref="AX896:AZ896"/>
    <mergeCell ref="BA896:BB896"/>
    <mergeCell ref="BD896:BE896"/>
    <mergeCell ref="BF896:BI896"/>
    <mergeCell ref="BJ896:BM896"/>
    <mergeCell ref="AV896:AW896"/>
    <mergeCell ref="AV897:AW897"/>
    <mergeCell ref="AH895:AI895"/>
    <mergeCell ref="AH896:AI896"/>
    <mergeCell ref="J895:K895"/>
    <mergeCell ref="BN898:BV898"/>
    <mergeCell ref="B899:C899"/>
    <mergeCell ref="D899:E899"/>
    <mergeCell ref="F899:G899"/>
    <mergeCell ref="H899:I899"/>
    <mergeCell ref="L899:M899"/>
    <mergeCell ref="P899:Q899"/>
    <mergeCell ref="R899:S899"/>
    <mergeCell ref="T899:U899"/>
    <mergeCell ref="V899:W899"/>
    <mergeCell ref="X899:AA899"/>
    <mergeCell ref="AB899:AE899"/>
    <mergeCell ref="AJ899:AK899"/>
    <mergeCell ref="AL899:AM899"/>
    <mergeCell ref="AN899:AO899"/>
    <mergeCell ref="AP899:AQ899"/>
    <mergeCell ref="AR899:AS899"/>
    <mergeCell ref="AT899:AU899"/>
    <mergeCell ref="AX899:AZ899"/>
    <mergeCell ref="BA899:BB899"/>
    <mergeCell ref="BD899:BE899"/>
    <mergeCell ref="BF899:BI899"/>
    <mergeCell ref="BJ899:BM899"/>
    <mergeCell ref="BN899:BV899"/>
    <mergeCell ref="BN897:BV897"/>
    <mergeCell ref="B898:C898"/>
    <mergeCell ref="D898:E898"/>
    <mergeCell ref="F898:G898"/>
    <mergeCell ref="H898:I898"/>
    <mergeCell ref="P898:Q898"/>
    <mergeCell ref="R898:S898"/>
    <mergeCell ref="T898:U898"/>
    <mergeCell ref="V898:W898"/>
    <mergeCell ref="X898:AA898"/>
    <mergeCell ref="AB898:AE898"/>
    <mergeCell ref="AJ898:AK898"/>
    <mergeCell ref="AL898:AM898"/>
    <mergeCell ref="AN898:AO898"/>
    <mergeCell ref="AP898:AQ898"/>
    <mergeCell ref="AR898:AS898"/>
    <mergeCell ref="AT898:AU898"/>
    <mergeCell ref="AX898:AZ898"/>
    <mergeCell ref="BA898:BB898"/>
    <mergeCell ref="BD898:BE898"/>
    <mergeCell ref="BF898:BI898"/>
    <mergeCell ref="BJ898:BM898"/>
    <mergeCell ref="AV898:AW898"/>
    <mergeCell ref="AV899:AW899"/>
    <mergeCell ref="AH897:AI897"/>
    <mergeCell ref="AH898:AI898"/>
    <mergeCell ref="AH899:AI899"/>
    <mergeCell ref="J897:K897"/>
    <mergeCell ref="J899:K899"/>
    <mergeCell ref="AN901:AO901"/>
    <mergeCell ref="AP901:AQ901"/>
    <mergeCell ref="AR901:AS901"/>
    <mergeCell ref="AT901:AU901"/>
    <mergeCell ref="AX901:AZ901"/>
    <mergeCell ref="BA901:BB901"/>
    <mergeCell ref="BD901:BE901"/>
    <mergeCell ref="BF901:BI901"/>
    <mergeCell ref="BJ901:BM901"/>
    <mergeCell ref="BN901:BV901"/>
    <mergeCell ref="B902:C902"/>
    <mergeCell ref="D902:E902"/>
    <mergeCell ref="F902:G902"/>
    <mergeCell ref="H902:I902"/>
    <mergeCell ref="P902:Q902"/>
    <mergeCell ref="R902:S902"/>
    <mergeCell ref="T902:U902"/>
    <mergeCell ref="V902:W902"/>
    <mergeCell ref="X902:AA902"/>
    <mergeCell ref="AB902:AE902"/>
    <mergeCell ref="AJ902:AK902"/>
    <mergeCell ref="AL902:AM902"/>
    <mergeCell ref="AN902:AO902"/>
    <mergeCell ref="AL900:AM900"/>
    <mergeCell ref="AN900:AO900"/>
    <mergeCell ref="AP900:AQ900"/>
    <mergeCell ref="AR900:AS900"/>
    <mergeCell ref="AT900:AU900"/>
    <mergeCell ref="AX900:AZ900"/>
    <mergeCell ref="BA900:BB900"/>
    <mergeCell ref="BD900:BE900"/>
    <mergeCell ref="BF900:BI900"/>
    <mergeCell ref="BJ900:BM900"/>
    <mergeCell ref="BN900:BV900"/>
    <mergeCell ref="B901:C901"/>
    <mergeCell ref="D901:E901"/>
    <mergeCell ref="F901:G901"/>
    <mergeCell ref="H901:I901"/>
    <mergeCell ref="L901:M901"/>
    <mergeCell ref="P901:Q901"/>
    <mergeCell ref="R901:S901"/>
    <mergeCell ref="T901:U901"/>
    <mergeCell ref="V901:W901"/>
    <mergeCell ref="X901:AA901"/>
    <mergeCell ref="AB901:AE901"/>
    <mergeCell ref="AJ901:AK901"/>
    <mergeCell ref="AL901:AM901"/>
    <mergeCell ref="B900:C900"/>
    <mergeCell ref="D900:E900"/>
    <mergeCell ref="F900:G900"/>
    <mergeCell ref="H900:I900"/>
    <mergeCell ref="P900:Q900"/>
    <mergeCell ref="R900:S900"/>
    <mergeCell ref="T900:U900"/>
    <mergeCell ref="V900:W900"/>
    <mergeCell ref="X900:AA900"/>
    <mergeCell ref="AB900:AE900"/>
    <mergeCell ref="AJ900:AK900"/>
    <mergeCell ref="AV900:AW900"/>
    <mergeCell ref="AV901:AW901"/>
    <mergeCell ref="AV902:AW902"/>
    <mergeCell ref="AH900:AI900"/>
    <mergeCell ref="AF901:AG901"/>
    <mergeCell ref="AF902:AG902"/>
    <mergeCell ref="AR903:AS903"/>
    <mergeCell ref="AT903:AU903"/>
    <mergeCell ref="AX903:AZ903"/>
    <mergeCell ref="BA903:BB903"/>
    <mergeCell ref="BD903:BE903"/>
    <mergeCell ref="BF903:BI903"/>
    <mergeCell ref="BJ903:BM903"/>
    <mergeCell ref="BN903:BV903"/>
    <mergeCell ref="B904:C904"/>
    <mergeCell ref="D904:E904"/>
    <mergeCell ref="F904:G904"/>
    <mergeCell ref="H904:I904"/>
    <mergeCell ref="P904:Q904"/>
    <mergeCell ref="R904:S904"/>
    <mergeCell ref="T904:U904"/>
    <mergeCell ref="V904:W904"/>
    <mergeCell ref="X904:AA904"/>
    <mergeCell ref="AB904:AE904"/>
    <mergeCell ref="AJ904:AK904"/>
    <mergeCell ref="AL904:AM904"/>
    <mergeCell ref="AN904:AO904"/>
    <mergeCell ref="AP904:AQ904"/>
    <mergeCell ref="AR904:AS904"/>
    <mergeCell ref="AP902:AQ902"/>
    <mergeCell ref="AR902:AS902"/>
    <mergeCell ref="AT902:AU902"/>
    <mergeCell ref="AX902:AZ902"/>
    <mergeCell ref="BA902:BB902"/>
    <mergeCell ref="BD902:BE902"/>
    <mergeCell ref="BF902:BI902"/>
    <mergeCell ref="BJ902:BM902"/>
    <mergeCell ref="BN902:BV902"/>
    <mergeCell ref="B903:C903"/>
    <mergeCell ref="D903:E903"/>
    <mergeCell ref="F903:G903"/>
    <mergeCell ref="H903:I903"/>
    <mergeCell ref="L903:M903"/>
    <mergeCell ref="P903:Q903"/>
    <mergeCell ref="R903:S903"/>
    <mergeCell ref="T903:U903"/>
    <mergeCell ref="V903:W903"/>
    <mergeCell ref="X903:AA903"/>
    <mergeCell ref="AB903:AE903"/>
    <mergeCell ref="AJ903:AK903"/>
    <mergeCell ref="AL903:AM903"/>
    <mergeCell ref="AN903:AO903"/>
    <mergeCell ref="AP903:AQ903"/>
    <mergeCell ref="AV903:AW903"/>
    <mergeCell ref="AV904:AW904"/>
    <mergeCell ref="AF904:AG904"/>
    <mergeCell ref="J903:K903"/>
    <mergeCell ref="AF903:AG903"/>
    <mergeCell ref="AX905:AZ905"/>
    <mergeCell ref="BA905:BB905"/>
    <mergeCell ref="BD905:BE905"/>
    <mergeCell ref="BF905:BI905"/>
    <mergeCell ref="BJ905:BM905"/>
    <mergeCell ref="BN905:BV905"/>
    <mergeCell ref="B906:C906"/>
    <mergeCell ref="D906:E906"/>
    <mergeCell ref="F906:G906"/>
    <mergeCell ref="H906:I906"/>
    <mergeCell ref="P906:Q906"/>
    <mergeCell ref="R906:S906"/>
    <mergeCell ref="T906:U906"/>
    <mergeCell ref="V906:W906"/>
    <mergeCell ref="X906:AA906"/>
    <mergeCell ref="AB906:AE906"/>
    <mergeCell ref="AJ906:AK906"/>
    <mergeCell ref="AL906:AM906"/>
    <mergeCell ref="AN906:AO906"/>
    <mergeCell ref="AP906:AQ906"/>
    <mergeCell ref="AR906:AS906"/>
    <mergeCell ref="AT906:AU906"/>
    <mergeCell ref="AX906:AZ906"/>
    <mergeCell ref="AT904:AU904"/>
    <mergeCell ref="AX904:AZ904"/>
    <mergeCell ref="BA904:BB904"/>
    <mergeCell ref="BD904:BE904"/>
    <mergeCell ref="BF904:BI904"/>
    <mergeCell ref="BJ904:BM904"/>
    <mergeCell ref="BN904:BV904"/>
    <mergeCell ref="B905:C905"/>
    <mergeCell ref="D905:E905"/>
    <mergeCell ref="F905:G905"/>
    <mergeCell ref="H905:I905"/>
    <mergeCell ref="L905:M905"/>
    <mergeCell ref="P905:Q905"/>
    <mergeCell ref="R905:S905"/>
    <mergeCell ref="T905:U905"/>
    <mergeCell ref="V905:W905"/>
    <mergeCell ref="X905:AA905"/>
    <mergeCell ref="AB905:AE905"/>
    <mergeCell ref="AJ905:AK905"/>
    <mergeCell ref="AL905:AM905"/>
    <mergeCell ref="AN905:AO905"/>
    <mergeCell ref="AP905:AQ905"/>
    <mergeCell ref="AR905:AS905"/>
    <mergeCell ref="AT905:AU905"/>
    <mergeCell ref="AV905:AW905"/>
    <mergeCell ref="AV906:AW906"/>
    <mergeCell ref="AF905:AG905"/>
    <mergeCell ref="AF906:AG906"/>
    <mergeCell ref="J905:K905"/>
    <mergeCell ref="BD907:BE907"/>
    <mergeCell ref="BF907:BI907"/>
    <mergeCell ref="BJ907:BM907"/>
    <mergeCell ref="BN907:BV907"/>
    <mergeCell ref="B908:C908"/>
    <mergeCell ref="D908:E908"/>
    <mergeCell ref="F908:G908"/>
    <mergeCell ref="H908:I908"/>
    <mergeCell ref="P908:Q908"/>
    <mergeCell ref="R908:S908"/>
    <mergeCell ref="T908:U908"/>
    <mergeCell ref="V908:W908"/>
    <mergeCell ref="X908:AA908"/>
    <mergeCell ref="AB908:AE908"/>
    <mergeCell ref="AJ908:AK908"/>
    <mergeCell ref="AL908:AM908"/>
    <mergeCell ref="AN908:AO908"/>
    <mergeCell ref="AP908:AQ908"/>
    <mergeCell ref="AR908:AS908"/>
    <mergeCell ref="AT908:AU908"/>
    <mergeCell ref="AX908:AZ908"/>
    <mergeCell ref="BA908:BB908"/>
    <mergeCell ref="BD908:BE908"/>
    <mergeCell ref="BA906:BB906"/>
    <mergeCell ref="BD906:BE906"/>
    <mergeCell ref="BF906:BI906"/>
    <mergeCell ref="BJ906:BM906"/>
    <mergeCell ref="BN906:BV906"/>
    <mergeCell ref="B907:C907"/>
    <mergeCell ref="D907:E907"/>
    <mergeCell ref="F907:G907"/>
    <mergeCell ref="H907:I907"/>
    <mergeCell ref="L907:M907"/>
    <mergeCell ref="P907:Q907"/>
    <mergeCell ref="R907:S907"/>
    <mergeCell ref="T907:U907"/>
    <mergeCell ref="V907:W907"/>
    <mergeCell ref="X907:AA907"/>
    <mergeCell ref="AB907:AE907"/>
    <mergeCell ref="AJ907:AK907"/>
    <mergeCell ref="AL907:AM907"/>
    <mergeCell ref="AN907:AO907"/>
    <mergeCell ref="AP907:AQ907"/>
    <mergeCell ref="AR907:AS907"/>
    <mergeCell ref="AT907:AU907"/>
    <mergeCell ref="AX907:AZ907"/>
    <mergeCell ref="BA907:BB907"/>
    <mergeCell ref="AV907:AW907"/>
    <mergeCell ref="AV908:AW908"/>
    <mergeCell ref="AF907:AG907"/>
    <mergeCell ref="AF908:AG908"/>
    <mergeCell ref="J907:K907"/>
    <mergeCell ref="BJ909:BM909"/>
    <mergeCell ref="BN909:BV909"/>
    <mergeCell ref="B910:C910"/>
    <mergeCell ref="D910:E910"/>
    <mergeCell ref="F910:G910"/>
    <mergeCell ref="H910:I910"/>
    <mergeCell ref="L910:M910"/>
    <mergeCell ref="P910:Q910"/>
    <mergeCell ref="R910:S910"/>
    <mergeCell ref="T910:U910"/>
    <mergeCell ref="V910:W910"/>
    <mergeCell ref="X910:AA910"/>
    <mergeCell ref="AB910:AE910"/>
    <mergeCell ref="AJ910:AK910"/>
    <mergeCell ref="AL910:AM910"/>
    <mergeCell ref="AN910:AO910"/>
    <mergeCell ref="AP910:AQ910"/>
    <mergeCell ref="AR910:AS910"/>
    <mergeCell ref="AT910:AU910"/>
    <mergeCell ref="AX910:AZ910"/>
    <mergeCell ref="BA910:BB910"/>
    <mergeCell ref="BD910:BE910"/>
    <mergeCell ref="BF910:BI910"/>
    <mergeCell ref="BJ910:BM910"/>
    <mergeCell ref="BF908:BI908"/>
    <mergeCell ref="BJ908:BM908"/>
    <mergeCell ref="BN908:BV908"/>
    <mergeCell ref="B909:C909"/>
    <mergeCell ref="D909:E909"/>
    <mergeCell ref="F909:G909"/>
    <mergeCell ref="H909:I909"/>
    <mergeCell ref="L909:M909"/>
    <mergeCell ref="P909:Q909"/>
    <mergeCell ref="R909:S909"/>
    <mergeCell ref="T909:U909"/>
    <mergeCell ref="V909:W909"/>
    <mergeCell ref="X909:AA909"/>
    <mergeCell ref="AB909:AE909"/>
    <mergeCell ref="AJ909:AK909"/>
    <mergeCell ref="AL909:AM909"/>
    <mergeCell ref="AN909:AO909"/>
    <mergeCell ref="AP909:AQ909"/>
    <mergeCell ref="AR909:AS909"/>
    <mergeCell ref="AT909:AU909"/>
    <mergeCell ref="AX909:AZ909"/>
    <mergeCell ref="BA909:BB909"/>
    <mergeCell ref="BD909:BE909"/>
    <mergeCell ref="BF909:BI909"/>
    <mergeCell ref="AV909:AW909"/>
    <mergeCell ref="AV910:AW910"/>
    <mergeCell ref="AF909:AG909"/>
    <mergeCell ref="AF910:AG910"/>
    <mergeCell ref="J909:K909"/>
    <mergeCell ref="BN911:BV911"/>
    <mergeCell ref="B912:C912"/>
    <mergeCell ref="D912:E912"/>
    <mergeCell ref="F912:G912"/>
    <mergeCell ref="H912:I912"/>
    <mergeCell ref="L912:M912"/>
    <mergeCell ref="P912:Q912"/>
    <mergeCell ref="R912:S912"/>
    <mergeCell ref="T912:U912"/>
    <mergeCell ref="V912:W912"/>
    <mergeCell ref="X912:AA912"/>
    <mergeCell ref="AB912:AE912"/>
    <mergeCell ref="AJ912:AK912"/>
    <mergeCell ref="AL912:AM912"/>
    <mergeCell ref="AN912:AO912"/>
    <mergeCell ref="AP912:AQ912"/>
    <mergeCell ref="AR912:AS912"/>
    <mergeCell ref="AT912:AU912"/>
    <mergeCell ref="AX912:AZ912"/>
    <mergeCell ref="BA912:BB912"/>
    <mergeCell ref="BD912:BE912"/>
    <mergeCell ref="BF912:BI912"/>
    <mergeCell ref="BJ912:BM912"/>
    <mergeCell ref="BN910:BV910"/>
    <mergeCell ref="B911:C911"/>
    <mergeCell ref="D911:E911"/>
    <mergeCell ref="F911:G911"/>
    <mergeCell ref="H911:I911"/>
    <mergeCell ref="L911:M911"/>
    <mergeCell ref="P911:Q911"/>
    <mergeCell ref="R911:S911"/>
    <mergeCell ref="T911:U911"/>
    <mergeCell ref="V911:W911"/>
    <mergeCell ref="X911:AA911"/>
    <mergeCell ref="AB911:AE911"/>
    <mergeCell ref="AJ911:AK911"/>
    <mergeCell ref="AL911:AM911"/>
    <mergeCell ref="AN911:AO911"/>
    <mergeCell ref="AP911:AQ911"/>
    <mergeCell ref="AR911:AS911"/>
    <mergeCell ref="AT911:AU911"/>
    <mergeCell ref="AX911:AZ911"/>
    <mergeCell ref="BA911:BB911"/>
    <mergeCell ref="BD911:BE911"/>
    <mergeCell ref="BF911:BI911"/>
    <mergeCell ref="BJ911:BM911"/>
    <mergeCell ref="AV911:AW911"/>
    <mergeCell ref="AV912:AW912"/>
    <mergeCell ref="AF911:AG911"/>
    <mergeCell ref="AF912:AG912"/>
    <mergeCell ref="J910:K910"/>
    <mergeCell ref="J911:K911"/>
    <mergeCell ref="BN913:BV913"/>
    <mergeCell ref="B914:C914"/>
    <mergeCell ref="D914:E914"/>
    <mergeCell ref="F914:G914"/>
    <mergeCell ref="H914:I914"/>
    <mergeCell ref="L914:M914"/>
    <mergeCell ref="P914:Q914"/>
    <mergeCell ref="R914:S914"/>
    <mergeCell ref="T914:U914"/>
    <mergeCell ref="V914:W914"/>
    <mergeCell ref="X914:AA914"/>
    <mergeCell ref="AB914:AE914"/>
    <mergeCell ref="AJ914:AK914"/>
    <mergeCell ref="AL914:AM914"/>
    <mergeCell ref="AN914:AO914"/>
    <mergeCell ref="AP914:AQ914"/>
    <mergeCell ref="AR914:AS914"/>
    <mergeCell ref="AT914:AU914"/>
    <mergeCell ref="AX914:AZ914"/>
    <mergeCell ref="BA914:BB914"/>
    <mergeCell ref="BD914:BE914"/>
    <mergeCell ref="BF914:BI914"/>
    <mergeCell ref="BJ914:BM914"/>
    <mergeCell ref="BN914:BV914"/>
    <mergeCell ref="BN912:BV912"/>
    <mergeCell ref="B913:C913"/>
    <mergeCell ref="D913:E913"/>
    <mergeCell ref="F913:G913"/>
    <mergeCell ref="H913:I913"/>
    <mergeCell ref="L913:M913"/>
    <mergeCell ref="P913:Q913"/>
    <mergeCell ref="R913:S913"/>
    <mergeCell ref="T913:U913"/>
    <mergeCell ref="V913:W913"/>
    <mergeCell ref="X913:AA913"/>
    <mergeCell ref="AB913:AE913"/>
    <mergeCell ref="AJ913:AK913"/>
    <mergeCell ref="AL913:AM913"/>
    <mergeCell ref="AN913:AO913"/>
    <mergeCell ref="AP913:AQ913"/>
    <mergeCell ref="AR913:AS913"/>
    <mergeCell ref="AT913:AU913"/>
    <mergeCell ref="AX913:AZ913"/>
    <mergeCell ref="BA913:BB913"/>
    <mergeCell ref="BD913:BE913"/>
    <mergeCell ref="BF913:BI913"/>
    <mergeCell ref="BJ913:BM913"/>
    <mergeCell ref="AV913:AW913"/>
    <mergeCell ref="AV914:AW914"/>
    <mergeCell ref="AF913:AG913"/>
    <mergeCell ref="AF914:AG914"/>
    <mergeCell ref="J912:K912"/>
    <mergeCell ref="J913:K913"/>
    <mergeCell ref="J914:K914"/>
    <mergeCell ref="AN916:AO916"/>
    <mergeCell ref="AP916:AQ916"/>
    <mergeCell ref="AR916:AS916"/>
    <mergeCell ref="AT916:AU916"/>
    <mergeCell ref="AX916:AZ916"/>
    <mergeCell ref="BA916:BB916"/>
    <mergeCell ref="BD916:BE916"/>
    <mergeCell ref="BF916:BI916"/>
    <mergeCell ref="BJ916:BM916"/>
    <mergeCell ref="BN916:BV916"/>
    <mergeCell ref="B917:C917"/>
    <mergeCell ref="D917:E917"/>
    <mergeCell ref="F917:G917"/>
    <mergeCell ref="H917:I917"/>
    <mergeCell ref="L917:M917"/>
    <mergeCell ref="P917:Q917"/>
    <mergeCell ref="R917:S917"/>
    <mergeCell ref="T917:U917"/>
    <mergeCell ref="V917:W917"/>
    <mergeCell ref="X917:AA917"/>
    <mergeCell ref="AB917:AE917"/>
    <mergeCell ref="AJ917:AK917"/>
    <mergeCell ref="AL917:AM917"/>
    <mergeCell ref="AN917:AO917"/>
    <mergeCell ref="AL915:AM915"/>
    <mergeCell ref="AN915:AO915"/>
    <mergeCell ref="AP915:AQ915"/>
    <mergeCell ref="AR915:AS915"/>
    <mergeCell ref="AT915:AU915"/>
    <mergeCell ref="AX915:AZ915"/>
    <mergeCell ref="BA915:BB915"/>
    <mergeCell ref="BD915:BE915"/>
    <mergeCell ref="BF915:BI915"/>
    <mergeCell ref="BJ915:BM915"/>
    <mergeCell ref="BN915:BV915"/>
    <mergeCell ref="B916:C916"/>
    <mergeCell ref="D916:E916"/>
    <mergeCell ref="F916:G916"/>
    <mergeCell ref="H916:I916"/>
    <mergeCell ref="L916:M916"/>
    <mergeCell ref="P916:Q916"/>
    <mergeCell ref="R916:S916"/>
    <mergeCell ref="T916:U916"/>
    <mergeCell ref="V916:W916"/>
    <mergeCell ref="X916:AA916"/>
    <mergeCell ref="AB916:AE916"/>
    <mergeCell ref="AJ916:AK916"/>
    <mergeCell ref="AL916:AM916"/>
    <mergeCell ref="B915:C915"/>
    <mergeCell ref="D915:E915"/>
    <mergeCell ref="F915:G915"/>
    <mergeCell ref="H915:I915"/>
    <mergeCell ref="L915:M915"/>
    <mergeCell ref="P915:Q915"/>
    <mergeCell ref="R915:S915"/>
    <mergeCell ref="T915:U915"/>
    <mergeCell ref="V915:W915"/>
    <mergeCell ref="X915:AA915"/>
    <mergeCell ref="AB915:AE915"/>
    <mergeCell ref="AJ915:AK915"/>
    <mergeCell ref="AV915:AW915"/>
    <mergeCell ref="AV916:AW916"/>
    <mergeCell ref="AV917:AW917"/>
    <mergeCell ref="AF915:AG915"/>
    <mergeCell ref="AR918:AS918"/>
    <mergeCell ref="AT918:AU918"/>
    <mergeCell ref="AX918:AZ918"/>
    <mergeCell ref="BA918:BB918"/>
    <mergeCell ref="BD918:BE918"/>
    <mergeCell ref="BF918:BI918"/>
    <mergeCell ref="BJ918:BM918"/>
    <mergeCell ref="BN918:BV918"/>
    <mergeCell ref="B919:C919"/>
    <mergeCell ref="D919:E919"/>
    <mergeCell ref="F919:G919"/>
    <mergeCell ref="H919:I919"/>
    <mergeCell ref="L919:M919"/>
    <mergeCell ref="P919:Q919"/>
    <mergeCell ref="R919:S919"/>
    <mergeCell ref="T919:U919"/>
    <mergeCell ref="V919:W919"/>
    <mergeCell ref="X919:AA919"/>
    <mergeCell ref="AB919:AE919"/>
    <mergeCell ref="AJ919:AK919"/>
    <mergeCell ref="AL919:AM919"/>
    <mergeCell ref="AN919:AO919"/>
    <mergeCell ref="AP919:AQ919"/>
    <mergeCell ref="AR919:AS919"/>
    <mergeCell ref="AP917:AQ917"/>
    <mergeCell ref="AR917:AS917"/>
    <mergeCell ref="AT917:AU917"/>
    <mergeCell ref="AX917:AZ917"/>
    <mergeCell ref="BA917:BB917"/>
    <mergeCell ref="BD917:BE917"/>
    <mergeCell ref="BF917:BI917"/>
    <mergeCell ref="BJ917:BM917"/>
    <mergeCell ref="BN917:BV917"/>
    <mergeCell ref="B918:C918"/>
    <mergeCell ref="D918:E918"/>
    <mergeCell ref="F918:G918"/>
    <mergeCell ref="H918:I918"/>
    <mergeCell ref="L918:M918"/>
    <mergeCell ref="P918:Q918"/>
    <mergeCell ref="R918:S918"/>
    <mergeCell ref="T918:U918"/>
    <mergeCell ref="V918:W918"/>
    <mergeCell ref="X918:AA918"/>
    <mergeCell ref="AB918:AE918"/>
    <mergeCell ref="AJ918:AK918"/>
    <mergeCell ref="AL918:AM918"/>
    <mergeCell ref="AN918:AO918"/>
    <mergeCell ref="AP918:AQ918"/>
    <mergeCell ref="AV918:AW918"/>
    <mergeCell ref="AV919:AW919"/>
    <mergeCell ref="AX920:AZ920"/>
    <mergeCell ref="BA920:BB920"/>
    <mergeCell ref="BD920:BE920"/>
    <mergeCell ref="BF920:BI920"/>
    <mergeCell ref="BJ920:BM920"/>
    <mergeCell ref="BN920:BV920"/>
    <mergeCell ref="B921:C921"/>
    <mergeCell ref="D921:E921"/>
    <mergeCell ref="F921:G921"/>
    <mergeCell ref="H921:I921"/>
    <mergeCell ref="L921:M921"/>
    <mergeCell ref="P921:Q921"/>
    <mergeCell ref="R921:S921"/>
    <mergeCell ref="T921:U921"/>
    <mergeCell ref="V921:W921"/>
    <mergeCell ref="X921:AA921"/>
    <mergeCell ref="AB921:AE921"/>
    <mergeCell ref="AJ921:AK921"/>
    <mergeCell ref="AL921:AM921"/>
    <mergeCell ref="AN921:AO921"/>
    <mergeCell ref="AP921:AQ921"/>
    <mergeCell ref="AR921:AS921"/>
    <mergeCell ref="AT921:AU921"/>
    <mergeCell ref="AX921:AZ921"/>
    <mergeCell ref="AT919:AU919"/>
    <mergeCell ref="AX919:AZ919"/>
    <mergeCell ref="BA919:BB919"/>
    <mergeCell ref="BD919:BE919"/>
    <mergeCell ref="BF919:BI919"/>
    <mergeCell ref="BJ919:BM919"/>
    <mergeCell ref="BN919:BV919"/>
    <mergeCell ref="B920:C920"/>
    <mergeCell ref="D920:E920"/>
    <mergeCell ref="F920:G920"/>
    <mergeCell ref="H920:I920"/>
    <mergeCell ref="L920:M920"/>
    <mergeCell ref="P920:Q920"/>
    <mergeCell ref="R920:S920"/>
    <mergeCell ref="T920:U920"/>
    <mergeCell ref="V920:W920"/>
    <mergeCell ref="X920:AA920"/>
    <mergeCell ref="AB920:AE920"/>
    <mergeCell ref="AJ920:AK920"/>
    <mergeCell ref="AL920:AM920"/>
    <mergeCell ref="AN920:AO920"/>
    <mergeCell ref="AP920:AQ920"/>
    <mergeCell ref="AR920:AS920"/>
    <mergeCell ref="AT920:AU920"/>
    <mergeCell ref="AV920:AW920"/>
    <mergeCell ref="AV921:AW921"/>
    <mergeCell ref="BD922:BE922"/>
    <mergeCell ref="BF922:BI922"/>
    <mergeCell ref="BJ922:BM922"/>
    <mergeCell ref="BN922:BV922"/>
    <mergeCell ref="B923:C923"/>
    <mergeCell ref="D923:E923"/>
    <mergeCell ref="F923:G923"/>
    <mergeCell ref="H923:I923"/>
    <mergeCell ref="L923:M923"/>
    <mergeCell ref="P923:Q923"/>
    <mergeCell ref="R923:S923"/>
    <mergeCell ref="T923:U923"/>
    <mergeCell ref="V923:W923"/>
    <mergeCell ref="X923:AA923"/>
    <mergeCell ref="AB923:AE923"/>
    <mergeCell ref="AJ923:AK923"/>
    <mergeCell ref="AL923:AM923"/>
    <mergeCell ref="AN923:AO923"/>
    <mergeCell ref="AP923:AQ923"/>
    <mergeCell ref="AR923:AS923"/>
    <mergeCell ref="AT923:AU923"/>
    <mergeCell ref="AX923:AZ923"/>
    <mergeCell ref="BA923:BB923"/>
    <mergeCell ref="BD923:BE923"/>
    <mergeCell ref="BA921:BB921"/>
    <mergeCell ref="BD921:BE921"/>
    <mergeCell ref="BF921:BI921"/>
    <mergeCell ref="BJ921:BM921"/>
    <mergeCell ref="BN921:BV921"/>
    <mergeCell ref="B922:C922"/>
    <mergeCell ref="D922:E922"/>
    <mergeCell ref="F922:G922"/>
    <mergeCell ref="H922:I922"/>
    <mergeCell ref="L922:M922"/>
    <mergeCell ref="P922:Q922"/>
    <mergeCell ref="R922:S922"/>
    <mergeCell ref="T922:U922"/>
    <mergeCell ref="V922:W922"/>
    <mergeCell ref="X922:AA922"/>
    <mergeCell ref="AB922:AE922"/>
    <mergeCell ref="AJ922:AK922"/>
    <mergeCell ref="AL922:AM922"/>
    <mergeCell ref="AN922:AO922"/>
    <mergeCell ref="AP922:AQ922"/>
    <mergeCell ref="AR922:AS922"/>
    <mergeCell ref="AT922:AU922"/>
    <mergeCell ref="AX922:AZ922"/>
    <mergeCell ref="BA922:BB922"/>
    <mergeCell ref="AV922:AW922"/>
    <mergeCell ref="AV923:AW923"/>
    <mergeCell ref="BJ924:BM924"/>
    <mergeCell ref="BN924:BV924"/>
    <mergeCell ref="B925:C925"/>
    <mergeCell ref="D925:E925"/>
    <mergeCell ref="F925:G925"/>
    <mergeCell ref="H925:I925"/>
    <mergeCell ref="L925:M925"/>
    <mergeCell ref="P925:Q925"/>
    <mergeCell ref="R925:S925"/>
    <mergeCell ref="T925:U925"/>
    <mergeCell ref="V925:W925"/>
    <mergeCell ref="X925:AA925"/>
    <mergeCell ref="AB925:AE925"/>
    <mergeCell ref="AJ925:AK925"/>
    <mergeCell ref="AL925:AM925"/>
    <mergeCell ref="AN925:AO925"/>
    <mergeCell ref="AP925:AQ925"/>
    <mergeCell ref="AR925:AS925"/>
    <mergeCell ref="AT925:AU925"/>
    <mergeCell ref="AX925:AZ925"/>
    <mergeCell ref="BA925:BB925"/>
    <mergeCell ref="BD925:BE925"/>
    <mergeCell ref="BF925:BI925"/>
    <mergeCell ref="BJ925:BM925"/>
    <mergeCell ref="BF923:BI923"/>
    <mergeCell ref="BJ923:BM923"/>
    <mergeCell ref="BN923:BV923"/>
    <mergeCell ref="B924:C924"/>
    <mergeCell ref="D924:E924"/>
    <mergeCell ref="F924:G924"/>
    <mergeCell ref="H924:I924"/>
    <mergeCell ref="L924:M924"/>
    <mergeCell ref="P924:Q924"/>
    <mergeCell ref="R924:S924"/>
    <mergeCell ref="T924:U924"/>
    <mergeCell ref="V924:W924"/>
    <mergeCell ref="X924:AA924"/>
    <mergeCell ref="AB924:AE924"/>
    <mergeCell ref="AJ924:AK924"/>
    <mergeCell ref="AL924:AM924"/>
    <mergeCell ref="AN924:AO924"/>
    <mergeCell ref="AP924:AQ924"/>
    <mergeCell ref="AR924:AS924"/>
    <mergeCell ref="AT924:AU924"/>
    <mergeCell ref="AX924:AZ924"/>
    <mergeCell ref="BA924:BB924"/>
    <mergeCell ref="BD924:BE924"/>
    <mergeCell ref="BF924:BI924"/>
    <mergeCell ref="AV924:AW924"/>
    <mergeCell ref="AV925:AW925"/>
    <mergeCell ref="BN926:BV926"/>
    <mergeCell ref="B927:C927"/>
    <mergeCell ref="D927:E927"/>
    <mergeCell ref="F927:G927"/>
    <mergeCell ref="H927:I927"/>
    <mergeCell ref="L927:M927"/>
    <mergeCell ref="P927:Q927"/>
    <mergeCell ref="R927:S927"/>
    <mergeCell ref="T927:U927"/>
    <mergeCell ref="V927:W927"/>
    <mergeCell ref="X927:AA927"/>
    <mergeCell ref="AB927:AE927"/>
    <mergeCell ref="AJ927:AK927"/>
    <mergeCell ref="AL927:AM927"/>
    <mergeCell ref="AN927:AO927"/>
    <mergeCell ref="AP927:AQ927"/>
    <mergeCell ref="AR927:AS927"/>
    <mergeCell ref="AT927:AU927"/>
    <mergeCell ref="AX927:AZ927"/>
    <mergeCell ref="BA927:BB927"/>
    <mergeCell ref="BD927:BE927"/>
    <mergeCell ref="BF927:BI927"/>
    <mergeCell ref="BJ927:BM927"/>
    <mergeCell ref="BN925:BV925"/>
    <mergeCell ref="B926:C926"/>
    <mergeCell ref="D926:E926"/>
    <mergeCell ref="F926:G926"/>
    <mergeCell ref="H926:I926"/>
    <mergeCell ref="L926:M926"/>
    <mergeCell ref="P926:Q926"/>
    <mergeCell ref="R926:S926"/>
    <mergeCell ref="T926:U926"/>
    <mergeCell ref="V926:W926"/>
    <mergeCell ref="X926:AA926"/>
    <mergeCell ref="AB926:AE926"/>
    <mergeCell ref="AJ926:AK926"/>
    <mergeCell ref="AL926:AM926"/>
    <mergeCell ref="AN926:AO926"/>
    <mergeCell ref="AP926:AQ926"/>
    <mergeCell ref="AR926:AS926"/>
    <mergeCell ref="AT926:AU926"/>
    <mergeCell ref="AX926:AZ926"/>
    <mergeCell ref="BA926:BB926"/>
    <mergeCell ref="BD926:BE926"/>
    <mergeCell ref="BF926:BI926"/>
    <mergeCell ref="BJ926:BM926"/>
    <mergeCell ref="AV926:AW926"/>
    <mergeCell ref="AV927:AW927"/>
    <mergeCell ref="BN928:BV928"/>
    <mergeCell ref="B929:C929"/>
    <mergeCell ref="D929:E929"/>
    <mergeCell ref="F929:G929"/>
    <mergeCell ref="H929:I929"/>
    <mergeCell ref="L929:M929"/>
    <mergeCell ref="P929:Q929"/>
    <mergeCell ref="R929:S929"/>
    <mergeCell ref="T929:U929"/>
    <mergeCell ref="V929:W929"/>
    <mergeCell ref="X929:AA929"/>
    <mergeCell ref="AB929:AE929"/>
    <mergeCell ref="AJ929:AK929"/>
    <mergeCell ref="AL929:AM929"/>
    <mergeCell ref="AN929:AO929"/>
    <mergeCell ref="AP929:AQ929"/>
    <mergeCell ref="AR929:AS929"/>
    <mergeCell ref="AT929:AU929"/>
    <mergeCell ref="AX929:AZ929"/>
    <mergeCell ref="BA929:BB929"/>
    <mergeCell ref="BD929:BE929"/>
    <mergeCell ref="BF929:BI929"/>
    <mergeCell ref="BJ929:BM929"/>
    <mergeCell ref="BN929:BV929"/>
    <mergeCell ref="BN927:BV927"/>
    <mergeCell ref="B928:C928"/>
    <mergeCell ref="D928:E928"/>
    <mergeCell ref="F928:G928"/>
    <mergeCell ref="H928:I928"/>
    <mergeCell ref="L928:M928"/>
    <mergeCell ref="P928:Q928"/>
    <mergeCell ref="R928:S928"/>
    <mergeCell ref="T928:U928"/>
    <mergeCell ref="V928:W928"/>
    <mergeCell ref="X928:AA928"/>
    <mergeCell ref="AB928:AE928"/>
    <mergeCell ref="AJ928:AK928"/>
    <mergeCell ref="AL928:AM928"/>
    <mergeCell ref="AN928:AO928"/>
    <mergeCell ref="AP928:AQ928"/>
    <mergeCell ref="AR928:AS928"/>
    <mergeCell ref="AT928:AU928"/>
    <mergeCell ref="AX928:AZ928"/>
    <mergeCell ref="BA928:BB928"/>
    <mergeCell ref="BD928:BE928"/>
    <mergeCell ref="BF928:BI928"/>
    <mergeCell ref="BJ928:BM928"/>
    <mergeCell ref="AV928:AW928"/>
    <mergeCell ref="AV929:AW929"/>
    <mergeCell ref="AN931:AO931"/>
    <mergeCell ref="AP931:AQ931"/>
    <mergeCell ref="AR931:AS931"/>
    <mergeCell ref="AT931:AU931"/>
    <mergeCell ref="AX931:AZ931"/>
    <mergeCell ref="BA931:BB931"/>
    <mergeCell ref="BD931:BE931"/>
    <mergeCell ref="BF931:BI931"/>
    <mergeCell ref="BJ931:BM931"/>
    <mergeCell ref="BN931:BV931"/>
    <mergeCell ref="B932:C932"/>
    <mergeCell ref="D932:E932"/>
    <mergeCell ref="F932:G932"/>
    <mergeCell ref="H932:I932"/>
    <mergeCell ref="L932:M932"/>
    <mergeCell ref="P932:Q932"/>
    <mergeCell ref="R932:S932"/>
    <mergeCell ref="T932:U932"/>
    <mergeCell ref="V932:W932"/>
    <mergeCell ref="X932:AA932"/>
    <mergeCell ref="AB932:AE932"/>
    <mergeCell ref="AJ932:AK932"/>
    <mergeCell ref="AL932:AM932"/>
    <mergeCell ref="AN932:AO932"/>
    <mergeCell ref="AL930:AM930"/>
    <mergeCell ref="AN930:AO930"/>
    <mergeCell ref="AP930:AQ930"/>
    <mergeCell ref="AR930:AS930"/>
    <mergeCell ref="AT930:AU930"/>
    <mergeCell ref="AX930:AZ930"/>
    <mergeCell ref="BA930:BB930"/>
    <mergeCell ref="BD930:BE930"/>
    <mergeCell ref="BF930:BI930"/>
    <mergeCell ref="BJ930:BM930"/>
    <mergeCell ref="BN930:BV930"/>
    <mergeCell ref="B931:C931"/>
    <mergeCell ref="D931:E931"/>
    <mergeCell ref="F931:G931"/>
    <mergeCell ref="H931:I931"/>
    <mergeCell ref="L931:M931"/>
    <mergeCell ref="P931:Q931"/>
    <mergeCell ref="R931:S931"/>
    <mergeCell ref="T931:U931"/>
    <mergeCell ref="V931:W931"/>
    <mergeCell ref="X931:AA931"/>
    <mergeCell ref="AB931:AE931"/>
    <mergeCell ref="AJ931:AK931"/>
    <mergeCell ref="AL931:AM931"/>
    <mergeCell ref="B930:C930"/>
    <mergeCell ref="D930:E930"/>
    <mergeCell ref="F930:G930"/>
    <mergeCell ref="H930:I930"/>
    <mergeCell ref="L930:M930"/>
    <mergeCell ref="P930:Q930"/>
    <mergeCell ref="R930:S930"/>
    <mergeCell ref="T930:U930"/>
    <mergeCell ref="V930:W930"/>
    <mergeCell ref="X930:AA930"/>
    <mergeCell ref="AB930:AE930"/>
    <mergeCell ref="AJ930:AK930"/>
    <mergeCell ref="AV930:AW930"/>
    <mergeCell ref="AV931:AW931"/>
    <mergeCell ref="AV932:AW932"/>
    <mergeCell ref="J930:K930"/>
    <mergeCell ref="AR933:AS933"/>
    <mergeCell ref="AT933:AU933"/>
    <mergeCell ref="AX933:AZ933"/>
    <mergeCell ref="BA933:BB933"/>
    <mergeCell ref="BD933:BE933"/>
    <mergeCell ref="BF933:BI933"/>
    <mergeCell ref="BJ933:BM933"/>
    <mergeCell ref="BN933:BV933"/>
    <mergeCell ref="B934:C934"/>
    <mergeCell ref="D934:E934"/>
    <mergeCell ref="F934:G934"/>
    <mergeCell ref="H934:I934"/>
    <mergeCell ref="L934:M934"/>
    <mergeCell ref="P934:Q934"/>
    <mergeCell ref="R934:S934"/>
    <mergeCell ref="T934:U934"/>
    <mergeCell ref="V934:W934"/>
    <mergeCell ref="X934:AA934"/>
    <mergeCell ref="AB934:AE934"/>
    <mergeCell ref="AJ934:AK934"/>
    <mergeCell ref="AL934:AM934"/>
    <mergeCell ref="AN934:AO934"/>
    <mergeCell ref="AP934:AQ934"/>
    <mergeCell ref="AR934:AS934"/>
    <mergeCell ref="AP932:AQ932"/>
    <mergeCell ref="AR932:AS932"/>
    <mergeCell ref="AT932:AU932"/>
    <mergeCell ref="AX932:AZ932"/>
    <mergeCell ref="BA932:BB932"/>
    <mergeCell ref="BD932:BE932"/>
    <mergeCell ref="BF932:BI932"/>
    <mergeCell ref="BJ932:BM932"/>
    <mergeCell ref="BN932:BV932"/>
    <mergeCell ref="B933:C933"/>
    <mergeCell ref="D933:E933"/>
    <mergeCell ref="F933:G933"/>
    <mergeCell ref="H933:I933"/>
    <mergeCell ref="L933:M933"/>
    <mergeCell ref="P933:Q933"/>
    <mergeCell ref="R933:S933"/>
    <mergeCell ref="T933:U933"/>
    <mergeCell ref="V933:W933"/>
    <mergeCell ref="X933:AA933"/>
    <mergeCell ref="AB933:AE933"/>
    <mergeCell ref="AJ933:AK933"/>
    <mergeCell ref="AL933:AM933"/>
    <mergeCell ref="AN933:AO933"/>
    <mergeCell ref="AP933:AQ933"/>
    <mergeCell ref="AV933:AW933"/>
    <mergeCell ref="AV934:AW934"/>
    <mergeCell ref="AX935:AZ935"/>
    <mergeCell ref="BA935:BB935"/>
    <mergeCell ref="BD935:BE935"/>
    <mergeCell ref="BF935:BI935"/>
    <mergeCell ref="BJ935:BM935"/>
    <mergeCell ref="BN935:BV935"/>
    <mergeCell ref="B936:C936"/>
    <mergeCell ref="D936:E936"/>
    <mergeCell ref="F936:G936"/>
    <mergeCell ref="H936:I936"/>
    <mergeCell ref="L936:M936"/>
    <mergeCell ref="P936:Q936"/>
    <mergeCell ref="R936:S936"/>
    <mergeCell ref="T936:U936"/>
    <mergeCell ref="V936:W936"/>
    <mergeCell ref="X936:AA936"/>
    <mergeCell ref="AB936:AE936"/>
    <mergeCell ref="AJ936:AK936"/>
    <mergeCell ref="AL936:AM936"/>
    <mergeCell ref="AN936:AO936"/>
    <mergeCell ref="AP936:AQ936"/>
    <mergeCell ref="AR936:AS936"/>
    <mergeCell ref="AT936:AU936"/>
    <mergeCell ref="AX936:AZ936"/>
    <mergeCell ref="AT934:AU934"/>
    <mergeCell ref="AX934:AZ934"/>
    <mergeCell ref="BA934:BB934"/>
    <mergeCell ref="BD934:BE934"/>
    <mergeCell ref="BF934:BI934"/>
    <mergeCell ref="BJ934:BM934"/>
    <mergeCell ref="BN934:BV934"/>
    <mergeCell ref="B935:C935"/>
    <mergeCell ref="D935:E935"/>
    <mergeCell ref="F935:G935"/>
    <mergeCell ref="H935:I935"/>
    <mergeCell ref="L935:M935"/>
    <mergeCell ref="P935:Q935"/>
    <mergeCell ref="R935:S935"/>
    <mergeCell ref="T935:U935"/>
    <mergeCell ref="V935:W935"/>
    <mergeCell ref="X935:AA935"/>
    <mergeCell ref="AB935:AE935"/>
    <mergeCell ref="AJ935:AK935"/>
    <mergeCell ref="AL935:AM935"/>
    <mergeCell ref="AN935:AO935"/>
    <mergeCell ref="AP935:AQ935"/>
    <mergeCell ref="AR935:AS935"/>
    <mergeCell ref="AT935:AU935"/>
    <mergeCell ref="AV935:AW935"/>
    <mergeCell ref="AV936:AW936"/>
    <mergeCell ref="AH934:AI934"/>
    <mergeCell ref="AH935:AI935"/>
    <mergeCell ref="BD937:BE937"/>
    <mergeCell ref="BF937:BI937"/>
    <mergeCell ref="BJ937:BM937"/>
    <mergeCell ref="BN937:BV937"/>
    <mergeCell ref="B938:C938"/>
    <mergeCell ref="D938:E938"/>
    <mergeCell ref="F938:G938"/>
    <mergeCell ref="H938:I938"/>
    <mergeCell ref="L938:M938"/>
    <mergeCell ref="P938:Q938"/>
    <mergeCell ref="R938:S938"/>
    <mergeCell ref="T938:U938"/>
    <mergeCell ref="V938:W938"/>
    <mergeCell ref="X938:AA938"/>
    <mergeCell ref="AB938:AE938"/>
    <mergeCell ref="AJ938:AK938"/>
    <mergeCell ref="AL938:AM938"/>
    <mergeCell ref="AN938:AO938"/>
    <mergeCell ref="AP938:AQ938"/>
    <mergeCell ref="AR938:AS938"/>
    <mergeCell ref="AT938:AU938"/>
    <mergeCell ref="AX938:AZ938"/>
    <mergeCell ref="BA938:BB938"/>
    <mergeCell ref="BD938:BE938"/>
    <mergeCell ref="BA936:BB936"/>
    <mergeCell ref="BD936:BE936"/>
    <mergeCell ref="BF936:BI936"/>
    <mergeCell ref="BJ936:BM936"/>
    <mergeCell ref="BN936:BV936"/>
    <mergeCell ref="B937:C937"/>
    <mergeCell ref="D937:E937"/>
    <mergeCell ref="F937:G937"/>
    <mergeCell ref="H937:I937"/>
    <mergeCell ref="L937:M937"/>
    <mergeCell ref="P937:Q937"/>
    <mergeCell ref="R937:S937"/>
    <mergeCell ref="T937:U937"/>
    <mergeCell ref="V937:W937"/>
    <mergeCell ref="X937:AA937"/>
    <mergeCell ref="AB937:AE937"/>
    <mergeCell ref="AJ937:AK937"/>
    <mergeCell ref="AL937:AM937"/>
    <mergeCell ref="AN937:AO937"/>
    <mergeCell ref="AP937:AQ937"/>
    <mergeCell ref="AR937:AS937"/>
    <mergeCell ref="AT937:AU937"/>
    <mergeCell ref="AX937:AZ937"/>
    <mergeCell ref="BA937:BB937"/>
    <mergeCell ref="AV937:AW937"/>
    <mergeCell ref="AV938:AW938"/>
    <mergeCell ref="AH936:AI936"/>
    <mergeCell ref="AH937:AI937"/>
    <mergeCell ref="BJ939:BM939"/>
    <mergeCell ref="BN939:BV939"/>
    <mergeCell ref="B940:C940"/>
    <mergeCell ref="D940:E940"/>
    <mergeCell ref="F940:G940"/>
    <mergeCell ref="H940:I940"/>
    <mergeCell ref="L940:M940"/>
    <mergeCell ref="P940:Q940"/>
    <mergeCell ref="R940:S940"/>
    <mergeCell ref="T940:U940"/>
    <mergeCell ref="V940:W940"/>
    <mergeCell ref="X940:AA940"/>
    <mergeCell ref="AB940:AE940"/>
    <mergeCell ref="AJ940:AK940"/>
    <mergeCell ref="AL940:AM940"/>
    <mergeCell ref="AN940:AO940"/>
    <mergeCell ref="AP940:AQ940"/>
    <mergeCell ref="AR940:AS940"/>
    <mergeCell ref="AT940:AU940"/>
    <mergeCell ref="AX940:AZ940"/>
    <mergeCell ref="BA940:BB940"/>
    <mergeCell ref="BD940:BE940"/>
    <mergeCell ref="BF940:BI940"/>
    <mergeCell ref="BJ940:BM940"/>
    <mergeCell ref="BF938:BI938"/>
    <mergeCell ref="BJ938:BM938"/>
    <mergeCell ref="BN938:BV938"/>
    <mergeCell ref="B939:C939"/>
    <mergeCell ref="D939:E939"/>
    <mergeCell ref="F939:G939"/>
    <mergeCell ref="H939:I939"/>
    <mergeCell ref="L939:M939"/>
    <mergeCell ref="P939:Q939"/>
    <mergeCell ref="R939:S939"/>
    <mergeCell ref="T939:U939"/>
    <mergeCell ref="V939:W939"/>
    <mergeCell ref="X939:AA939"/>
    <mergeCell ref="AB939:AE939"/>
    <mergeCell ref="AJ939:AK939"/>
    <mergeCell ref="AL939:AM939"/>
    <mergeCell ref="AN939:AO939"/>
    <mergeCell ref="AP939:AQ939"/>
    <mergeCell ref="AR939:AS939"/>
    <mergeCell ref="AT939:AU939"/>
    <mergeCell ref="AX939:AZ939"/>
    <mergeCell ref="BA939:BB939"/>
    <mergeCell ref="BD939:BE939"/>
    <mergeCell ref="BF939:BI939"/>
    <mergeCell ref="AV939:AW939"/>
    <mergeCell ref="AV940:AW940"/>
    <mergeCell ref="AH938:AI938"/>
    <mergeCell ref="AH939:AI939"/>
    <mergeCell ref="BN941:BV941"/>
    <mergeCell ref="B942:C942"/>
    <mergeCell ref="D942:E942"/>
    <mergeCell ref="F942:G942"/>
    <mergeCell ref="H942:I942"/>
    <mergeCell ref="L942:M942"/>
    <mergeCell ref="P942:Q942"/>
    <mergeCell ref="R942:S942"/>
    <mergeCell ref="T942:U942"/>
    <mergeCell ref="V942:W942"/>
    <mergeCell ref="X942:AA942"/>
    <mergeCell ref="AB942:AE942"/>
    <mergeCell ref="AJ942:AK942"/>
    <mergeCell ref="AL942:AM942"/>
    <mergeCell ref="AN942:AO942"/>
    <mergeCell ref="AP942:AQ942"/>
    <mergeCell ref="AR942:AS942"/>
    <mergeCell ref="AT942:AU942"/>
    <mergeCell ref="AX942:AZ942"/>
    <mergeCell ref="BA942:BB942"/>
    <mergeCell ref="BD942:BE942"/>
    <mergeCell ref="BF942:BI942"/>
    <mergeCell ref="BJ942:BM942"/>
    <mergeCell ref="BN940:BV940"/>
    <mergeCell ref="B941:C941"/>
    <mergeCell ref="D941:E941"/>
    <mergeCell ref="F941:G941"/>
    <mergeCell ref="H941:I941"/>
    <mergeCell ref="L941:M941"/>
    <mergeCell ref="P941:Q941"/>
    <mergeCell ref="R941:S941"/>
    <mergeCell ref="T941:U941"/>
    <mergeCell ref="V941:W941"/>
    <mergeCell ref="X941:AA941"/>
    <mergeCell ref="AB941:AE941"/>
    <mergeCell ref="AJ941:AK941"/>
    <mergeCell ref="AL941:AM941"/>
    <mergeCell ref="AN941:AO941"/>
    <mergeCell ref="AP941:AQ941"/>
    <mergeCell ref="AR941:AS941"/>
    <mergeCell ref="AT941:AU941"/>
    <mergeCell ref="AX941:AZ941"/>
    <mergeCell ref="BA941:BB941"/>
    <mergeCell ref="BD941:BE941"/>
    <mergeCell ref="BF941:BI941"/>
    <mergeCell ref="BJ941:BM941"/>
    <mergeCell ref="AV941:AW941"/>
    <mergeCell ref="AV942:AW942"/>
    <mergeCell ref="AH940:AI940"/>
    <mergeCell ref="AH941:AI941"/>
    <mergeCell ref="BN943:BV943"/>
    <mergeCell ref="B944:C944"/>
    <mergeCell ref="D944:E944"/>
    <mergeCell ref="F944:G944"/>
    <mergeCell ref="H944:I944"/>
    <mergeCell ref="L944:M944"/>
    <mergeCell ref="P944:Q944"/>
    <mergeCell ref="R944:S944"/>
    <mergeCell ref="T944:U944"/>
    <mergeCell ref="V944:W944"/>
    <mergeCell ref="X944:AA944"/>
    <mergeCell ref="AB944:AE944"/>
    <mergeCell ref="AJ944:AK944"/>
    <mergeCell ref="AL944:AM944"/>
    <mergeCell ref="AN944:AO944"/>
    <mergeCell ref="AP944:AQ944"/>
    <mergeCell ref="AR944:AS944"/>
    <mergeCell ref="AT944:AU944"/>
    <mergeCell ref="AX944:AZ944"/>
    <mergeCell ref="BA944:BB944"/>
    <mergeCell ref="BD944:BE944"/>
    <mergeCell ref="BF944:BI944"/>
    <mergeCell ref="BJ944:BM944"/>
    <mergeCell ref="BN944:BV944"/>
    <mergeCell ref="BN942:BV942"/>
    <mergeCell ref="B943:C943"/>
    <mergeCell ref="D943:E943"/>
    <mergeCell ref="F943:G943"/>
    <mergeCell ref="H943:I943"/>
    <mergeCell ref="L943:M943"/>
    <mergeCell ref="P943:Q943"/>
    <mergeCell ref="R943:S943"/>
    <mergeCell ref="T943:U943"/>
    <mergeCell ref="V943:W943"/>
    <mergeCell ref="X943:AA943"/>
    <mergeCell ref="AB943:AE943"/>
    <mergeCell ref="AJ943:AK943"/>
    <mergeCell ref="AL943:AM943"/>
    <mergeCell ref="AN943:AO943"/>
    <mergeCell ref="AP943:AQ943"/>
    <mergeCell ref="AR943:AS943"/>
    <mergeCell ref="AT943:AU943"/>
    <mergeCell ref="AX943:AZ943"/>
    <mergeCell ref="BA943:BB943"/>
    <mergeCell ref="BD943:BE943"/>
    <mergeCell ref="BF943:BI943"/>
    <mergeCell ref="BJ943:BM943"/>
    <mergeCell ref="AV943:AW943"/>
    <mergeCell ref="AV944:AW944"/>
    <mergeCell ref="AH942:AI942"/>
    <mergeCell ref="AH943:AI943"/>
    <mergeCell ref="AH944:AI944"/>
    <mergeCell ref="AN946:AO946"/>
    <mergeCell ref="AP946:AQ946"/>
    <mergeCell ref="AR946:AS946"/>
    <mergeCell ref="AT946:AU946"/>
    <mergeCell ref="AX946:AZ946"/>
    <mergeCell ref="BA946:BB946"/>
    <mergeCell ref="BD946:BE946"/>
    <mergeCell ref="BF946:BI946"/>
    <mergeCell ref="BJ946:BM946"/>
    <mergeCell ref="BN946:BV946"/>
    <mergeCell ref="B947:C947"/>
    <mergeCell ref="D947:E947"/>
    <mergeCell ref="F947:G947"/>
    <mergeCell ref="H947:I947"/>
    <mergeCell ref="L947:M947"/>
    <mergeCell ref="P947:Q947"/>
    <mergeCell ref="R947:S947"/>
    <mergeCell ref="T947:U947"/>
    <mergeCell ref="V947:W947"/>
    <mergeCell ref="X947:AA947"/>
    <mergeCell ref="AB947:AE947"/>
    <mergeCell ref="AJ947:AK947"/>
    <mergeCell ref="AL947:AM947"/>
    <mergeCell ref="AN947:AO947"/>
    <mergeCell ref="AL945:AM945"/>
    <mergeCell ref="AN945:AO945"/>
    <mergeCell ref="AP945:AQ945"/>
    <mergeCell ref="AR945:AS945"/>
    <mergeCell ref="AT945:AU945"/>
    <mergeCell ref="AX945:AZ945"/>
    <mergeCell ref="BA945:BB945"/>
    <mergeCell ref="BD945:BE945"/>
    <mergeCell ref="BF945:BI945"/>
    <mergeCell ref="BJ945:BM945"/>
    <mergeCell ref="BN945:BV945"/>
    <mergeCell ref="B946:C946"/>
    <mergeCell ref="D946:E946"/>
    <mergeCell ref="F946:G946"/>
    <mergeCell ref="H946:I946"/>
    <mergeCell ref="L946:M946"/>
    <mergeCell ref="P946:Q946"/>
    <mergeCell ref="R946:S946"/>
    <mergeCell ref="T946:U946"/>
    <mergeCell ref="V946:W946"/>
    <mergeCell ref="X946:AA946"/>
    <mergeCell ref="AB946:AE946"/>
    <mergeCell ref="AJ946:AK946"/>
    <mergeCell ref="AL946:AM946"/>
    <mergeCell ref="B945:C945"/>
    <mergeCell ref="D945:E945"/>
    <mergeCell ref="F945:G945"/>
    <mergeCell ref="H945:I945"/>
    <mergeCell ref="L945:M945"/>
    <mergeCell ref="P945:Q945"/>
    <mergeCell ref="R945:S945"/>
    <mergeCell ref="T945:U945"/>
    <mergeCell ref="V945:W945"/>
    <mergeCell ref="X945:AA945"/>
    <mergeCell ref="AB945:AE945"/>
    <mergeCell ref="AJ945:AK945"/>
    <mergeCell ref="AV945:AW945"/>
    <mergeCell ref="AV946:AW946"/>
    <mergeCell ref="AV947:AW947"/>
    <mergeCell ref="AH945:AI945"/>
    <mergeCell ref="AR948:AS948"/>
    <mergeCell ref="AT948:AU948"/>
    <mergeCell ref="AX948:AZ948"/>
    <mergeCell ref="BA948:BB948"/>
    <mergeCell ref="BD948:BE948"/>
    <mergeCell ref="BF948:BI948"/>
    <mergeCell ref="BJ948:BM948"/>
    <mergeCell ref="BN948:BV948"/>
    <mergeCell ref="B949:C949"/>
    <mergeCell ref="D949:E949"/>
    <mergeCell ref="F949:G949"/>
    <mergeCell ref="H949:I949"/>
    <mergeCell ref="L949:M949"/>
    <mergeCell ref="P949:Q949"/>
    <mergeCell ref="R949:S949"/>
    <mergeCell ref="T949:U949"/>
    <mergeCell ref="V949:W949"/>
    <mergeCell ref="X949:AA949"/>
    <mergeCell ref="AB949:AE949"/>
    <mergeCell ref="AJ949:AK949"/>
    <mergeCell ref="AL949:AM949"/>
    <mergeCell ref="AN949:AO949"/>
    <mergeCell ref="AP949:AQ949"/>
    <mergeCell ref="AR949:AS949"/>
    <mergeCell ref="AP947:AQ947"/>
    <mergeCell ref="AR947:AS947"/>
    <mergeCell ref="AT947:AU947"/>
    <mergeCell ref="AX947:AZ947"/>
    <mergeCell ref="BA947:BB947"/>
    <mergeCell ref="BD947:BE947"/>
    <mergeCell ref="BF947:BI947"/>
    <mergeCell ref="BJ947:BM947"/>
    <mergeCell ref="BN947:BV947"/>
    <mergeCell ref="B948:C948"/>
    <mergeCell ref="D948:E948"/>
    <mergeCell ref="F948:G948"/>
    <mergeCell ref="H948:I948"/>
    <mergeCell ref="L948:M948"/>
    <mergeCell ref="P948:Q948"/>
    <mergeCell ref="R948:S948"/>
    <mergeCell ref="T948:U948"/>
    <mergeCell ref="V948:W948"/>
    <mergeCell ref="X948:AA948"/>
    <mergeCell ref="AB948:AE948"/>
    <mergeCell ref="AJ948:AK948"/>
    <mergeCell ref="AL948:AM948"/>
    <mergeCell ref="AN948:AO948"/>
    <mergeCell ref="AP948:AQ948"/>
    <mergeCell ref="AV948:AW948"/>
    <mergeCell ref="AV949:AW949"/>
    <mergeCell ref="AF949:AG949"/>
    <mergeCell ref="J948:K948"/>
    <mergeCell ref="AX950:AZ950"/>
    <mergeCell ref="BA950:BB950"/>
    <mergeCell ref="BD950:BE950"/>
    <mergeCell ref="BF950:BI950"/>
    <mergeCell ref="BJ950:BM950"/>
    <mergeCell ref="BN950:BV950"/>
    <mergeCell ref="B951:C951"/>
    <mergeCell ref="D951:E951"/>
    <mergeCell ref="F951:G951"/>
    <mergeCell ref="H951:I951"/>
    <mergeCell ref="L951:M951"/>
    <mergeCell ref="P951:Q951"/>
    <mergeCell ref="R951:S951"/>
    <mergeCell ref="T951:U951"/>
    <mergeCell ref="V951:W951"/>
    <mergeCell ref="X951:AA951"/>
    <mergeCell ref="AB951:AE951"/>
    <mergeCell ref="AJ951:AK951"/>
    <mergeCell ref="AL951:AM951"/>
    <mergeCell ref="AN951:AO951"/>
    <mergeCell ref="AP951:AQ951"/>
    <mergeCell ref="AR951:AS951"/>
    <mergeCell ref="AT951:AU951"/>
    <mergeCell ref="AX951:AZ951"/>
    <mergeCell ref="AT949:AU949"/>
    <mergeCell ref="AX949:AZ949"/>
    <mergeCell ref="BA949:BB949"/>
    <mergeCell ref="BD949:BE949"/>
    <mergeCell ref="BF949:BI949"/>
    <mergeCell ref="BJ949:BM949"/>
    <mergeCell ref="BN949:BV949"/>
    <mergeCell ref="B950:C950"/>
    <mergeCell ref="D950:E950"/>
    <mergeCell ref="F950:G950"/>
    <mergeCell ref="H950:I950"/>
    <mergeCell ref="L950:M950"/>
    <mergeCell ref="P950:Q950"/>
    <mergeCell ref="R950:S950"/>
    <mergeCell ref="T950:U950"/>
    <mergeCell ref="V950:W950"/>
    <mergeCell ref="X950:AA950"/>
    <mergeCell ref="AB950:AE950"/>
    <mergeCell ref="AJ950:AK950"/>
    <mergeCell ref="AL950:AM950"/>
    <mergeCell ref="AN950:AO950"/>
    <mergeCell ref="AP950:AQ950"/>
    <mergeCell ref="AR950:AS950"/>
    <mergeCell ref="AT950:AU950"/>
    <mergeCell ref="AV950:AW950"/>
    <mergeCell ref="AV951:AW951"/>
    <mergeCell ref="AF950:AG950"/>
    <mergeCell ref="AF951:AG951"/>
    <mergeCell ref="J949:K949"/>
    <mergeCell ref="J950:K950"/>
    <mergeCell ref="BD952:BE952"/>
    <mergeCell ref="BF952:BI952"/>
    <mergeCell ref="BJ952:BM952"/>
    <mergeCell ref="BN952:BV952"/>
    <mergeCell ref="B953:C953"/>
    <mergeCell ref="D953:E953"/>
    <mergeCell ref="F953:G953"/>
    <mergeCell ref="H953:I953"/>
    <mergeCell ref="L953:M953"/>
    <mergeCell ref="P953:Q953"/>
    <mergeCell ref="R953:S953"/>
    <mergeCell ref="T953:U953"/>
    <mergeCell ref="V953:W953"/>
    <mergeCell ref="X953:AA953"/>
    <mergeCell ref="AB953:AE953"/>
    <mergeCell ref="AJ953:AK953"/>
    <mergeCell ref="AL953:AM953"/>
    <mergeCell ref="AN953:AO953"/>
    <mergeCell ref="AP953:AQ953"/>
    <mergeCell ref="AR953:AS953"/>
    <mergeCell ref="AT953:AU953"/>
    <mergeCell ref="AX953:AZ953"/>
    <mergeCell ref="BA953:BB953"/>
    <mergeCell ref="BD953:BE953"/>
    <mergeCell ref="BA951:BB951"/>
    <mergeCell ref="BD951:BE951"/>
    <mergeCell ref="BF951:BI951"/>
    <mergeCell ref="BJ951:BM951"/>
    <mergeCell ref="BN951:BV951"/>
    <mergeCell ref="B952:C952"/>
    <mergeCell ref="D952:E952"/>
    <mergeCell ref="F952:G952"/>
    <mergeCell ref="H952:I952"/>
    <mergeCell ref="L952:M952"/>
    <mergeCell ref="P952:Q952"/>
    <mergeCell ref="R952:S952"/>
    <mergeCell ref="T952:U952"/>
    <mergeCell ref="V952:W952"/>
    <mergeCell ref="X952:AA952"/>
    <mergeCell ref="AB952:AE952"/>
    <mergeCell ref="AJ952:AK952"/>
    <mergeCell ref="AL952:AM952"/>
    <mergeCell ref="AN952:AO952"/>
    <mergeCell ref="AP952:AQ952"/>
    <mergeCell ref="AR952:AS952"/>
    <mergeCell ref="AT952:AU952"/>
    <mergeCell ref="AX952:AZ952"/>
    <mergeCell ref="BA952:BB952"/>
    <mergeCell ref="AV952:AW952"/>
    <mergeCell ref="AV953:AW953"/>
    <mergeCell ref="AF952:AG952"/>
    <mergeCell ref="AF953:AG953"/>
    <mergeCell ref="J951:K951"/>
    <mergeCell ref="J952:K952"/>
    <mergeCell ref="BJ954:BM954"/>
    <mergeCell ref="BN954:BV954"/>
    <mergeCell ref="B955:C955"/>
    <mergeCell ref="D955:E955"/>
    <mergeCell ref="F955:G955"/>
    <mergeCell ref="H955:I955"/>
    <mergeCell ref="L955:M955"/>
    <mergeCell ref="P955:Q955"/>
    <mergeCell ref="R955:S955"/>
    <mergeCell ref="T955:U955"/>
    <mergeCell ref="V955:W955"/>
    <mergeCell ref="X955:AA955"/>
    <mergeCell ref="AB955:AE955"/>
    <mergeCell ref="AJ955:AK955"/>
    <mergeCell ref="AL955:AM955"/>
    <mergeCell ref="AN955:AO955"/>
    <mergeCell ref="AP955:AQ955"/>
    <mergeCell ref="AR955:AS955"/>
    <mergeCell ref="AT955:AU955"/>
    <mergeCell ref="AX955:AZ955"/>
    <mergeCell ref="BA955:BB955"/>
    <mergeCell ref="BD955:BE955"/>
    <mergeCell ref="BF955:BI955"/>
    <mergeCell ref="BJ955:BM955"/>
    <mergeCell ref="BF953:BI953"/>
    <mergeCell ref="BJ953:BM953"/>
    <mergeCell ref="BN953:BV953"/>
    <mergeCell ref="B954:C954"/>
    <mergeCell ref="D954:E954"/>
    <mergeCell ref="F954:G954"/>
    <mergeCell ref="H954:I954"/>
    <mergeCell ref="L954:M954"/>
    <mergeCell ref="P954:Q954"/>
    <mergeCell ref="R954:S954"/>
    <mergeCell ref="T954:U954"/>
    <mergeCell ref="V954:W954"/>
    <mergeCell ref="X954:AA954"/>
    <mergeCell ref="AB954:AE954"/>
    <mergeCell ref="AJ954:AK954"/>
    <mergeCell ref="AL954:AM954"/>
    <mergeCell ref="AN954:AO954"/>
    <mergeCell ref="AP954:AQ954"/>
    <mergeCell ref="AR954:AS954"/>
    <mergeCell ref="AT954:AU954"/>
    <mergeCell ref="AX954:AZ954"/>
    <mergeCell ref="BA954:BB954"/>
    <mergeCell ref="BD954:BE954"/>
    <mergeCell ref="BF954:BI954"/>
    <mergeCell ref="AV954:AW954"/>
    <mergeCell ref="AV955:AW955"/>
    <mergeCell ref="AF954:AG954"/>
    <mergeCell ref="AF955:AG955"/>
    <mergeCell ref="J953:K953"/>
    <mergeCell ref="J954:K954"/>
    <mergeCell ref="BN956:BV956"/>
    <mergeCell ref="B957:C957"/>
    <mergeCell ref="D957:E957"/>
    <mergeCell ref="F957:G957"/>
    <mergeCell ref="H957:I957"/>
    <mergeCell ref="L957:M957"/>
    <mergeCell ref="P957:Q957"/>
    <mergeCell ref="R957:S957"/>
    <mergeCell ref="T957:U957"/>
    <mergeCell ref="V957:W957"/>
    <mergeCell ref="X957:AA957"/>
    <mergeCell ref="AB957:AE957"/>
    <mergeCell ref="AJ957:AK957"/>
    <mergeCell ref="AL957:AM957"/>
    <mergeCell ref="AN957:AO957"/>
    <mergeCell ref="AP957:AQ957"/>
    <mergeCell ref="AR957:AS957"/>
    <mergeCell ref="AT957:AU957"/>
    <mergeCell ref="AX957:AZ957"/>
    <mergeCell ref="BA957:BB957"/>
    <mergeCell ref="BD957:BE957"/>
    <mergeCell ref="BF957:BI957"/>
    <mergeCell ref="BJ957:BM957"/>
    <mergeCell ref="BN955:BV955"/>
    <mergeCell ref="B956:C956"/>
    <mergeCell ref="D956:E956"/>
    <mergeCell ref="F956:G956"/>
    <mergeCell ref="H956:I956"/>
    <mergeCell ref="L956:M956"/>
    <mergeCell ref="P956:Q956"/>
    <mergeCell ref="R956:S956"/>
    <mergeCell ref="T956:U956"/>
    <mergeCell ref="V956:W956"/>
    <mergeCell ref="X956:AA956"/>
    <mergeCell ref="AB956:AE956"/>
    <mergeCell ref="AJ956:AK956"/>
    <mergeCell ref="AL956:AM956"/>
    <mergeCell ref="AN956:AO956"/>
    <mergeCell ref="AP956:AQ956"/>
    <mergeCell ref="AR956:AS956"/>
    <mergeCell ref="AT956:AU956"/>
    <mergeCell ref="AX956:AZ956"/>
    <mergeCell ref="BA956:BB956"/>
    <mergeCell ref="BD956:BE956"/>
    <mergeCell ref="BF956:BI956"/>
    <mergeCell ref="BJ956:BM956"/>
    <mergeCell ref="AV956:AW956"/>
    <mergeCell ref="AV957:AW957"/>
    <mergeCell ref="AF956:AG956"/>
    <mergeCell ref="AF957:AG957"/>
    <mergeCell ref="J955:K955"/>
    <mergeCell ref="J956:K956"/>
    <mergeCell ref="BN958:BV958"/>
    <mergeCell ref="B959:C959"/>
    <mergeCell ref="D959:E959"/>
    <mergeCell ref="F959:G959"/>
    <mergeCell ref="H959:I959"/>
    <mergeCell ref="L959:M959"/>
    <mergeCell ref="P959:Q959"/>
    <mergeCell ref="R959:S959"/>
    <mergeCell ref="T959:U959"/>
    <mergeCell ref="V959:W959"/>
    <mergeCell ref="X959:AA959"/>
    <mergeCell ref="AB959:AE959"/>
    <mergeCell ref="AJ959:AK959"/>
    <mergeCell ref="AL959:AM959"/>
    <mergeCell ref="AN959:AO959"/>
    <mergeCell ref="AP959:AQ959"/>
    <mergeCell ref="AR959:AS959"/>
    <mergeCell ref="AT959:AU959"/>
    <mergeCell ref="AX959:AZ959"/>
    <mergeCell ref="BA959:BB959"/>
    <mergeCell ref="BD959:BE959"/>
    <mergeCell ref="BF959:BI959"/>
    <mergeCell ref="BJ959:BM959"/>
    <mergeCell ref="BN959:BV959"/>
    <mergeCell ref="BN957:BV957"/>
    <mergeCell ref="B958:C958"/>
    <mergeCell ref="D958:E958"/>
    <mergeCell ref="F958:G958"/>
    <mergeCell ref="H958:I958"/>
    <mergeCell ref="L958:M958"/>
    <mergeCell ref="P958:Q958"/>
    <mergeCell ref="R958:S958"/>
    <mergeCell ref="T958:U958"/>
    <mergeCell ref="V958:W958"/>
    <mergeCell ref="X958:AA958"/>
    <mergeCell ref="AB958:AE958"/>
    <mergeCell ref="AJ958:AK958"/>
    <mergeCell ref="AL958:AM958"/>
    <mergeCell ref="AN958:AO958"/>
    <mergeCell ref="AP958:AQ958"/>
    <mergeCell ref="AR958:AS958"/>
    <mergeCell ref="AT958:AU958"/>
    <mergeCell ref="AX958:AZ958"/>
    <mergeCell ref="BA958:BB958"/>
    <mergeCell ref="BD958:BE958"/>
    <mergeCell ref="BF958:BI958"/>
    <mergeCell ref="BJ958:BM958"/>
    <mergeCell ref="AV958:AW958"/>
    <mergeCell ref="AV959:AW959"/>
    <mergeCell ref="AF958:AG958"/>
    <mergeCell ref="AF959:AG959"/>
    <mergeCell ref="J957:K957"/>
    <mergeCell ref="J958:K958"/>
    <mergeCell ref="J959:K959"/>
    <mergeCell ref="AN961:AO961"/>
    <mergeCell ref="AP961:AQ961"/>
    <mergeCell ref="AR961:AS961"/>
    <mergeCell ref="AT961:AU961"/>
    <mergeCell ref="AX961:AZ961"/>
    <mergeCell ref="BA961:BB961"/>
    <mergeCell ref="BD961:BE961"/>
    <mergeCell ref="BF961:BI961"/>
    <mergeCell ref="BJ961:BM961"/>
    <mergeCell ref="BN961:BV961"/>
    <mergeCell ref="B962:C962"/>
    <mergeCell ref="D962:E962"/>
    <mergeCell ref="F962:G962"/>
    <mergeCell ref="H962:I962"/>
    <mergeCell ref="L962:M962"/>
    <mergeCell ref="P962:Q962"/>
    <mergeCell ref="R962:S962"/>
    <mergeCell ref="T962:U962"/>
    <mergeCell ref="V962:W962"/>
    <mergeCell ref="X962:AA962"/>
    <mergeCell ref="AB962:AE962"/>
    <mergeCell ref="AJ962:AK962"/>
    <mergeCell ref="AL962:AM962"/>
    <mergeCell ref="AN962:AO962"/>
    <mergeCell ref="AL960:AM960"/>
    <mergeCell ref="AN960:AO960"/>
    <mergeCell ref="AP960:AQ960"/>
    <mergeCell ref="AR960:AS960"/>
    <mergeCell ref="AT960:AU960"/>
    <mergeCell ref="AX960:AZ960"/>
    <mergeCell ref="BA960:BB960"/>
    <mergeCell ref="BD960:BE960"/>
    <mergeCell ref="BF960:BI960"/>
    <mergeCell ref="BJ960:BM960"/>
    <mergeCell ref="BN960:BV960"/>
    <mergeCell ref="B961:C961"/>
    <mergeCell ref="D961:E961"/>
    <mergeCell ref="F961:G961"/>
    <mergeCell ref="H961:I961"/>
    <mergeCell ref="L961:M961"/>
    <mergeCell ref="P961:Q961"/>
    <mergeCell ref="R961:S961"/>
    <mergeCell ref="T961:U961"/>
    <mergeCell ref="V961:W961"/>
    <mergeCell ref="X961:AA961"/>
    <mergeCell ref="AB961:AE961"/>
    <mergeCell ref="AJ961:AK961"/>
    <mergeCell ref="AL961:AM961"/>
    <mergeCell ref="B960:C960"/>
    <mergeCell ref="D960:E960"/>
    <mergeCell ref="F960:G960"/>
    <mergeCell ref="H960:I960"/>
    <mergeCell ref="L960:M960"/>
    <mergeCell ref="P960:Q960"/>
    <mergeCell ref="R960:S960"/>
    <mergeCell ref="T960:U960"/>
    <mergeCell ref="V960:W960"/>
    <mergeCell ref="X960:AA960"/>
    <mergeCell ref="AB960:AE960"/>
    <mergeCell ref="AJ960:AK960"/>
    <mergeCell ref="AV960:AW960"/>
    <mergeCell ref="AV961:AW961"/>
    <mergeCell ref="AV962:AW962"/>
    <mergeCell ref="AF960:AG960"/>
    <mergeCell ref="AR963:AS963"/>
    <mergeCell ref="AT963:AU963"/>
    <mergeCell ref="AX963:AZ963"/>
    <mergeCell ref="BA963:BB963"/>
    <mergeCell ref="BD963:BE963"/>
    <mergeCell ref="BF963:BI963"/>
    <mergeCell ref="BJ963:BM963"/>
    <mergeCell ref="BN963:BV963"/>
    <mergeCell ref="B964:C964"/>
    <mergeCell ref="D964:E964"/>
    <mergeCell ref="F964:G964"/>
    <mergeCell ref="H964:I964"/>
    <mergeCell ref="L964:M964"/>
    <mergeCell ref="P964:Q964"/>
    <mergeCell ref="R964:S964"/>
    <mergeCell ref="T964:U964"/>
    <mergeCell ref="V964:W964"/>
    <mergeCell ref="X964:AA964"/>
    <mergeCell ref="AB964:AE964"/>
    <mergeCell ref="AJ964:AK964"/>
    <mergeCell ref="AL964:AM964"/>
    <mergeCell ref="AN964:AO964"/>
    <mergeCell ref="AP964:AQ964"/>
    <mergeCell ref="AR964:AS964"/>
    <mergeCell ref="AP962:AQ962"/>
    <mergeCell ref="AR962:AS962"/>
    <mergeCell ref="AT962:AU962"/>
    <mergeCell ref="AX962:AZ962"/>
    <mergeCell ref="BA962:BB962"/>
    <mergeCell ref="BD962:BE962"/>
    <mergeCell ref="BF962:BI962"/>
    <mergeCell ref="BJ962:BM962"/>
    <mergeCell ref="BN962:BV962"/>
    <mergeCell ref="B963:C963"/>
    <mergeCell ref="D963:E963"/>
    <mergeCell ref="F963:G963"/>
    <mergeCell ref="H963:I963"/>
    <mergeCell ref="L963:M963"/>
    <mergeCell ref="P963:Q963"/>
    <mergeCell ref="R963:S963"/>
    <mergeCell ref="T963:U963"/>
    <mergeCell ref="V963:W963"/>
    <mergeCell ref="X963:AA963"/>
    <mergeCell ref="AB963:AE963"/>
    <mergeCell ref="AJ963:AK963"/>
    <mergeCell ref="AL963:AM963"/>
    <mergeCell ref="AN963:AO963"/>
    <mergeCell ref="AP963:AQ963"/>
    <mergeCell ref="AV963:AW963"/>
    <mergeCell ref="AV964:AW964"/>
    <mergeCell ref="AX965:AZ965"/>
    <mergeCell ref="BA965:BB965"/>
    <mergeCell ref="BD965:BE965"/>
    <mergeCell ref="BF965:BI965"/>
    <mergeCell ref="BJ965:BM965"/>
    <mergeCell ref="BN965:BV965"/>
    <mergeCell ref="B966:C966"/>
    <mergeCell ref="D966:E966"/>
    <mergeCell ref="F966:G966"/>
    <mergeCell ref="H966:I966"/>
    <mergeCell ref="L966:M966"/>
    <mergeCell ref="P966:Q966"/>
    <mergeCell ref="R966:S966"/>
    <mergeCell ref="T966:U966"/>
    <mergeCell ref="V966:W966"/>
    <mergeCell ref="X966:AA966"/>
    <mergeCell ref="AB966:AE966"/>
    <mergeCell ref="AJ966:AK966"/>
    <mergeCell ref="AL966:AM966"/>
    <mergeCell ref="AN966:AO966"/>
    <mergeCell ref="AP966:AQ966"/>
    <mergeCell ref="AR966:AS966"/>
    <mergeCell ref="AT966:AU966"/>
    <mergeCell ref="AX966:AZ966"/>
    <mergeCell ref="AT964:AU964"/>
    <mergeCell ref="AX964:AZ964"/>
    <mergeCell ref="BA964:BB964"/>
    <mergeCell ref="BD964:BE964"/>
    <mergeCell ref="BF964:BI964"/>
    <mergeCell ref="BJ964:BM964"/>
    <mergeCell ref="BN964:BV964"/>
    <mergeCell ref="B965:C965"/>
    <mergeCell ref="D965:E965"/>
    <mergeCell ref="F965:G965"/>
    <mergeCell ref="H965:I965"/>
    <mergeCell ref="L965:M965"/>
    <mergeCell ref="P965:Q965"/>
    <mergeCell ref="R965:S965"/>
    <mergeCell ref="T965:U965"/>
    <mergeCell ref="V965:W965"/>
    <mergeCell ref="X965:AA965"/>
    <mergeCell ref="AB965:AE965"/>
    <mergeCell ref="AJ965:AK965"/>
    <mergeCell ref="AL965:AM965"/>
    <mergeCell ref="AN965:AO965"/>
    <mergeCell ref="AP965:AQ965"/>
    <mergeCell ref="AR965:AS965"/>
    <mergeCell ref="AT965:AU965"/>
    <mergeCell ref="AV965:AW965"/>
    <mergeCell ref="AV966:AW966"/>
    <mergeCell ref="BD967:BE967"/>
    <mergeCell ref="BF967:BI967"/>
    <mergeCell ref="BJ967:BM967"/>
    <mergeCell ref="BN967:BV967"/>
    <mergeCell ref="B968:C968"/>
    <mergeCell ref="D968:E968"/>
    <mergeCell ref="F968:G968"/>
    <mergeCell ref="H968:I968"/>
    <mergeCell ref="L968:M968"/>
    <mergeCell ref="P968:Q968"/>
    <mergeCell ref="R968:S968"/>
    <mergeCell ref="T968:U968"/>
    <mergeCell ref="V968:W968"/>
    <mergeCell ref="X968:AA968"/>
    <mergeCell ref="AB968:AE968"/>
    <mergeCell ref="AJ968:AK968"/>
    <mergeCell ref="AL968:AM968"/>
    <mergeCell ref="AN968:AO968"/>
    <mergeCell ref="AP968:AQ968"/>
    <mergeCell ref="AR968:AS968"/>
    <mergeCell ref="AT968:AU968"/>
    <mergeCell ref="AX968:AZ968"/>
    <mergeCell ref="BA968:BB968"/>
    <mergeCell ref="BD968:BE968"/>
    <mergeCell ref="BA966:BB966"/>
    <mergeCell ref="BD966:BE966"/>
    <mergeCell ref="BF966:BI966"/>
    <mergeCell ref="BJ966:BM966"/>
    <mergeCell ref="BN966:BV966"/>
    <mergeCell ref="B967:C967"/>
    <mergeCell ref="D967:E967"/>
    <mergeCell ref="F967:G967"/>
    <mergeCell ref="H967:I967"/>
    <mergeCell ref="L967:M967"/>
    <mergeCell ref="P967:Q967"/>
    <mergeCell ref="R967:S967"/>
    <mergeCell ref="T967:U967"/>
    <mergeCell ref="V967:W967"/>
    <mergeCell ref="X967:AA967"/>
    <mergeCell ref="AB967:AE967"/>
    <mergeCell ref="AJ967:AK967"/>
    <mergeCell ref="AL967:AM967"/>
    <mergeCell ref="AN967:AO967"/>
    <mergeCell ref="AP967:AQ967"/>
    <mergeCell ref="AR967:AS967"/>
    <mergeCell ref="AT967:AU967"/>
    <mergeCell ref="AX967:AZ967"/>
    <mergeCell ref="BA967:BB967"/>
    <mergeCell ref="AV967:AW967"/>
    <mergeCell ref="AV968:AW968"/>
    <mergeCell ref="BJ969:BM969"/>
    <mergeCell ref="BN969:BV969"/>
    <mergeCell ref="B970:C970"/>
    <mergeCell ref="D970:E970"/>
    <mergeCell ref="F970:G970"/>
    <mergeCell ref="H970:I970"/>
    <mergeCell ref="L970:M970"/>
    <mergeCell ref="P970:Q970"/>
    <mergeCell ref="R970:S970"/>
    <mergeCell ref="T970:U970"/>
    <mergeCell ref="V970:W970"/>
    <mergeCell ref="X970:AA970"/>
    <mergeCell ref="AB970:AE970"/>
    <mergeCell ref="AJ970:AK970"/>
    <mergeCell ref="AL970:AM970"/>
    <mergeCell ref="AN970:AO970"/>
    <mergeCell ref="AP970:AQ970"/>
    <mergeCell ref="AR970:AS970"/>
    <mergeCell ref="AT970:AU970"/>
    <mergeCell ref="AX970:AZ970"/>
    <mergeCell ref="BA970:BB970"/>
    <mergeCell ref="BD970:BE970"/>
    <mergeCell ref="BF970:BI970"/>
    <mergeCell ref="BJ970:BM970"/>
    <mergeCell ref="BF968:BI968"/>
    <mergeCell ref="BJ968:BM968"/>
    <mergeCell ref="BN968:BV968"/>
    <mergeCell ref="B969:C969"/>
    <mergeCell ref="D969:E969"/>
    <mergeCell ref="F969:G969"/>
    <mergeCell ref="H969:I969"/>
    <mergeCell ref="L969:M969"/>
    <mergeCell ref="P969:Q969"/>
    <mergeCell ref="R969:S969"/>
    <mergeCell ref="T969:U969"/>
    <mergeCell ref="V969:W969"/>
    <mergeCell ref="X969:AA969"/>
    <mergeCell ref="AB969:AE969"/>
    <mergeCell ref="AJ969:AK969"/>
    <mergeCell ref="AL969:AM969"/>
    <mergeCell ref="AN969:AO969"/>
    <mergeCell ref="AP969:AQ969"/>
    <mergeCell ref="AR969:AS969"/>
    <mergeCell ref="AT969:AU969"/>
    <mergeCell ref="AX969:AZ969"/>
    <mergeCell ref="BA969:BB969"/>
    <mergeCell ref="BD969:BE969"/>
    <mergeCell ref="BF969:BI969"/>
    <mergeCell ref="AV969:AW969"/>
    <mergeCell ref="AV970:AW970"/>
    <mergeCell ref="BN971:BV971"/>
    <mergeCell ref="B972:C972"/>
    <mergeCell ref="D972:E972"/>
    <mergeCell ref="F972:G972"/>
    <mergeCell ref="H972:I972"/>
    <mergeCell ref="L972:M972"/>
    <mergeCell ref="P972:Q972"/>
    <mergeCell ref="R972:S972"/>
    <mergeCell ref="T972:U972"/>
    <mergeCell ref="V972:W972"/>
    <mergeCell ref="X972:AA972"/>
    <mergeCell ref="AB972:AE972"/>
    <mergeCell ref="AJ972:AK972"/>
    <mergeCell ref="AL972:AM972"/>
    <mergeCell ref="AN972:AO972"/>
    <mergeCell ref="AP972:AQ972"/>
    <mergeCell ref="AR972:AS972"/>
    <mergeCell ref="AT972:AU972"/>
    <mergeCell ref="AX972:AZ972"/>
    <mergeCell ref="BA972:BB972"/>
    <mergeCell ref="BD972:BE972"/>
    <mergeCell ref="BF972:BI972"/>
    <mergeCell ref="BJ972:BM972"/>
    <mergeCell ref="BN970:BV970"/>
    <mergeCell ref="B971:C971"/>
    <mergeCell ref="D971:E971"/>
    <mergeCell ref="F971:G971"/>
    <mergeCell ref="H971:I971"/>
    <mergeCell ref="L971:M971"/>
    <mergeCell ref="P971:Q971"/>
    <mergeCell ref="R971:S971"/>
    <mergeCell ref="T971:U971"/>
    <mergeCell ref="V971:W971"/>
    <mergeCell ref="X971:AA971"/>
    <mergeCell ref="AB971:AE971"/>
    <mergeCell ref="AJ971:AK971"/>
    <mergeCell ref="AL971:AM971"/>
    <mergeCell ref="AN971:AO971"/>
    <mergeCell ref="AP971:AQ971"/>
    <mergeCell ref="AR971:AS971"/>
    <mergeCell ref="AT971:AU971"/>
    <mergeCell ref="AX971:AZ971"/>
    <mergeCell ref="BA971:BB971"/>
    <mergeCell ref="BD971:BE971"/>
    <mergeCell ref="BF971:BI971"/>
    <mergeCell ref="BJ971:BM971"/>
    <mergeCell ref="AV971:AW971"/>
    <mergeCell ref="AV972:AW972"/>
    <mergeCell ref="BN973:BV973"/>
    <mergeCell ref="B974:C974"/>
    <mergeCell ref="D974:E974"/>
    <mergeCell ref="F974:G974"/>
    <mergeCell ref="H974:I974"/>
    <mergeCell ref="L974:M974"/>
    <mergeCell ref="P974:Q974"/>
    <mergeCell ref="R974:S974"/>
    <mergeCell ref="T974:U974"/>
    <mergeCell ref="V974:W974"/>
    <mergeCell ref="X974:AA974"/>
    <mergeCell ref="AB974:AE974"/>
    <mergeCell ref="AJ974:AK974"/>
    <mergeCell ref="AL974:AM974"/>
    <mergeCell ref="AN974:AO974"/>
    <mergeCell ref="AP974:AQ974"/>
    <mergeCell ref="AR974:AS974"/>
    <mergeCell ref="AT974:AU974"/>
    <mergeCell ref="AX974:AZ974"/>
    <mergeCell ref="BA974:BB974"/>
    <mergeCell ref="BD974:BE974"/>
    <mergeCell ref="BF974:BI974"/>
    <mergeCell ref="BJ974:BM974"/>
    <mergeCell ref="BN974:BV974"/>
    <mergeCell ref="BN972:BV972"/>
    <mergeCell ref="B973:C973"/>
    <mergeCell ref="D973:E973"/>
    <mergeCell ref="F973:G973"/>
    <mergeCell ref="H973:I973"/>
    <mergeCell ref="L973:M973"/>
    <mergeCell ref="P973:Q973"/>
    <mergeCell ref="R973:S973"/>
    <mergeCell ref="T973:U973"/>
    <mergeCell ref="V973:W973"/>
    <mergeCell ref="X973:AA973"/>
    <mergeCell ref="AB973:AE973"/>
    <mergeCell ref="AJ973:AK973"/>
    <mergeCell ref="AL973:AM973"/>
    <mergeCell ref="AN973:AO973"/>
    <mergeCell ref="AP973:AQ973"/>
    <mergeCell ref="AR973:AS973"/>
    <mergeCell ref="AT973:AU973"/>
    <mergeCell ref="AX973:AZ973"/>
    <mergeCell ref="BA973:BB973"/>
    <mergeCell ref="BD973:BE973"/>
    <mergeCell ref="BF973:BI973"/>
    <mergeCell ref="BJ973:BM973"/>
    <mergeCell ref="AV973:AW973"/>
    <mergeCell ref="AV974:AW974"/>
    <mergeCell ref="AN976:AO976"/>
    <mergeCell ref="AP976:AQ976"/>
    <mergeCell ref="AR976:AS976"/>
    <mergeCell ref="AT976:AU976"/>
    <mergeCell ref="AX976:AZ976"/>
    <mergeCell ref="BA976:BB976"/>
    <mergeCell ref="BD976:BE976"/>
    <mergeCell ref="BF976:BI976"/>
    <mergeCell ref="BJ976:BM976"/>
    <mergeCell ref="BN976:BV976"/>
    <mergeCell ref="B977:C977"/>
    <mergeCell ref="D977:E977"/>
    <mergeCell ref="F977:G977"/>
    <mergeCell ref="H977:I977"/>
    <mergeCell ref="L977:M977"/>
    <mergeCell ref="P977:Q977"/>
    <mergeCell ref="R977:S977"/>
    <mergeCell ref="T977:U977"/>
    <mergeCell ref="V977:W977"/>
    <mergeCell ref="X977:AA977"/>
    <mergeCell ref="AB977:AE977"/>
    <mergeCell ref="AJ977:AK977"/>
    <mergeCell ref="AL977:AM977"/>
    <mergeCell ref="AN977:AO977"/>
    <mergeCell ref="AL975:AM975"/>
    <mergeCell ref="AN975:AO975"/>
    <mergeCell ref="AP975:AQ975"/>
    <mergeCell ref="AR975:AS975"/>
    <mergeCell ref="AT975:AU975"/>
    <mergeCell ref="AX975:AZ975"/>
    <mergeCell ref="BA975:BB975"/>
    <mergeCell ref="BD975:BE975"/>
    <mergeCell ref="BF975:BI975"/>
    <mergeCell ref="BJ975:BM975"/>
    <mergeCell ref="BN975:BV975"/>
    <mergeCell ref="B976:C976"/>
    <mergeCell ref="D976:E976"/>
    <mergeCell ref="F976:G976"/>
    <mergeCell ref="H976:I976"/>
    <mergeCell ref="L976:M976"/>
    <mergeCell ref="P976:Q976"/>
    <mergeCell ref="R976:S976"/>
    <mergeCell ref="T976:U976"/>
    <mergeCell ref="V976:W976"/>
    <mergeCell ref="X976:AA976"/>
    <mergeCell ref="AB976:AE976"/>
    <mergeCell ref="AJ976:AK976"/>
    <mergeCell ref="AL976:AM976"/>
    <mergeCell ref="B975:C975"/>
    <mergeCell ref="D975:E975"/>
    <mergeCell ref="F975:G975"/>
    <mergeCell ref="H975:I975"/>
    <mergeCell ref="L975:M975"/>
    <mergeCell ref="P975:Q975"/>
    <mergeCell ref="R975:S975"/>
    <mergeCell ref="T975:U975"/>
    <mergeCell ref="V975:W975"/>
    <mergeCell ref="X975:AA975"/>
    <mergeCell ref="AB975:AE975"/>
    <mergeCell ref="AJ975:AK975"/>
    <mergeCell ref="AV975:AW975"/>
    <mergeCell ref="AV976:AW976"/>
    <mergeCell ref="AV977:AW977"/>
    <mergeCell ref="J976:K976"/>
    <mergeCell ref="AR978:AS978"/>
    <mergeCell ref="AT978:AU978"/>
    <mergeCell ref="AX978:AZ978"/>
    <mergeCell ref="BA978:BB978"/>
    <mergeCell ref="BD978:BE978"/>
    <mergeCell ref="BF978:BI978"/>
    <mergeCell ref="BJ978:BM978"/>
    <mergeCell ref="BN978:BV978"/>
    <mergeCell ref="B979:C979"/>
    <mergeCell ref="D979:E979"/>
    <mergeCell ref="F979:G979"/>
    <mergeCell ref="H979:I979"/>
    <mergeCell ref="L979:M979"/>
    <mergeCell ref="P979:Q979"/>
    <mergeCell ref="R979:S979"/>
    <mergeCell ref="T979:U979"/>
    <mergeCell ref="V979:W979"/>
    <mergeCell ref="X979:AA979"/>
    <mergeCell ref="AB979:AE979"/>
    <mergeCell ref="AJ979:AK979"/>
    <mergeCell ref="AL979:AM979"/>
    <mergeCell ref="AN979:AO979"/>
    <mergeCell ref="AP979:AQ979"/>
    <mergeCell ref="AR979:AS979"/>
    <mergeCell ref="AP977:AQ977"/>
    <mergeCell ref="AR977:AS977"/>
    <mergeCell ref="AT977:AU977"/>
    <mergeCell ref="AX977:AZ977"/>
    <mergeCell ref="BA977:BB977"/>
    <mergeCell ref="BD977:BE977"/>
    <mergeCell ref="BF977:BI977"/>
    <mergeCell ref="BJ977:BM977"/>
    <mergeCell ref="BN977:BV977"/>
    <mergeCell ref="B978:C978"/>
    <mergeCell ref="D978:E978"/>
    <mergeCell ref="F978:G978"/>
    <mergeCell ref="H978:I978"/>
    <mergeCell ref="L978:M978"/>
    <mergeCell ref="P978:Q978"/>
    <mergeCell ref="R978:S978"/>
    <mergeCell ref="T978:U978"/>
    <mergeCell ref="V978:W978"/>
    <mergeCell ref="X978:AA978"/>
    <mergeCell ref="AB978:AE978"/>
    <mergeCell ref="AJ978:AK978"/>
    <mergeCell ref="AL978:AM978"/>
    <mergeCell ref="AN978:AO978"/>
    <mergeCell ref="AP978:AQ978"/>
    <mergeCell ref="AV978:AW978"/>
    <mergeCell ref="AV979:AW979"/>
    <mergeCell ref="J977:K977"/>
    <mergeCell ref="J978:K978"/>
    <mergeCell ref="AX980:AZ980"/>
    <mergeCell ref="BA980:BB980"/>
    <mergeCell ref="BD980:BE980"/>
    <mergeCell ref="BF980:BI980"/>
    <mergeCell ref="BJ980:BM980"/>
    <mergeCell ref="BN980:BV980"/>
    <mergeCell ref="B981:C981"/>
    <mergeCell ref="D981:E981"/>
    <mergeCell ref="F981:G981"/>
    <mergeCell ref="H981:I981"/>
    <mergeCell ref="L981:M981"/>
    <mergeCell ref="P981:Q981"/>
    <mergeCell ref="R981:S981"/>
    <mergeCell ref="T981:U981"/>
    <mergeCell ref="V981:W981"/>
    <mergeCell ref="X981:AA981"/>
    <mergeCell ref="AB981:AE981"/>
    <mergeCell ref="AJ981:AK981"/>
    <mergeCell ref="AL981:AM981"/>
    <mergeCell ref="AN981:AO981"/>
    <mergeCell ref="AP981:AQ981"/>
    <mergeCell ref="AR981:AS981"/>
    <mergeCell ref="AT981:AU981"/>
    <mergeCell ref="AX981:AZ981"/>
    <mergeCell ref="AT979:AU979"/>
    <mergeCell ref="AX979:AZ979"/>
    <mergeCell ref="BA979:BB979"/>
    <mergeCell ref="BD979:BE979"/>
    <mergeCell ref="BF979:BI979"/>
    <mergeCell ref="BJ979:BM979"/>
    <mergeCell ref="BN979:BV979"/>
    <mergeCell ref="B980:C980"/>
    <mergeCell ref="D980:E980"/>
    <mergeCell ref="F980:G980"/>
    <mergeCell ref="H980:I980"/>
    <mergeCell ref="L980:M980"/>
    <mergeCell ref="P980:Q980"/>
    <mergeCell ref="R980:S980"/>
    <mergeCell ref="T980:U980"/>
    <mergeCell ref="V980:W980"/>
    <mergeCell ref="X980:AA980"/>
    <mergeCell ref="AB980:AE980"/>
    <mergeCell ref="AJ980:AK980"/>
    <mergeCell ref="AL980:AM980"/>
    <mergeCell ref="AN980:AO980"/>
    <mergeCell ref="AP980:AQ980"/>
    <mergeCell ref="AR980:AS980"/>
    <mergeCell ref="AT980:AU980"/>
    <mergeCell ref="AV980:AW980"/>
    <mergeCell ref="AV981:AW981"/>
    <mergeCell ref="AH979:AI979"/>
    <mergeCell ref="AH980:AI980"/>
    <mergeCell ref="J979:K979"/>
    <mergeCell ref="J980:K980"/>
    <mergeCell ref="BD982:BE982"/>
    <mergeCell ref="BF982:BI982"/>
    <mergeCell ref="BJ982:BM982"/>
    <mergeCell ref="BN982:BV982"/>
    <mergeCell ref="B983:C983"/>
    <mergeCell ref="D983:E983"/>
    <mergeCell ref="F983:G983"/>
    <mergeCell ref="H983:I983"/>
    <mergeCell ref="L983:M983"/>
    <mergeCell ref="P983:Q983"/>
    <mergeCell ref="R983:S983"/>
    <mergeCell ref="T983:U983"/>
    <mergeCell ref="V983:W983"/>
    <mergeCell ref="X983:AA983"/>
    <mergeCell ref="AB983:AE983"/>
    <mergeCell ref="AJ983:AK983"/>
    <mergeCell ref="AL983:AM983"/>
    <mergeCell ref="AN983:AO983"/>
    <mergeCell ref="AP983:AQ983"/>
    <mergeCell ref="AR983:AS983"/>
    <mergeCell ref="AT983:AU983"/>
    <mergeCell ref="AX983:AZ983"/>
    <mergeCell ref="BA983:BB983"/>
    <mergeCell ref="BD983:BE983"/>
    <mergeCell ref="BA981:BB981"/>
    <mergeCell ref="BD981:BE981"/>
    <mergeCell ref="BF981:BI981"/>
    <mergeCell ref="BJ981:BM981"/>
    <mergeCell ref="BN981:BV981"/>
    <mergeCell ref="B982:C982"/>
    <mergeCell ref="D982:E982"/>
    <mergeCell ref="F982:G982"/>
    <mergeCell ref="H982:I982"/>
    <mergeCell ref="L982:M982"/>
    <mergeCell ref="P982:Q982"/>
    <mergeCell ref="R982:S982"/>
    <mergeCell ref="T982:U982"/>
    <mergeCell ref="V982:W982"/>
    <mergeCell ref="X982:AA982"/>
    <mergeCell ref="AB982:AE982"/>
    <mergeCell ref="AJ982:AK982"/>
    <mergeCell ref="AL982:AM982"/>
    <mergeCell ref="AN982:AO982"/>
    <mergeCell ref="AP982:AQ982"/>
    <mergeCell ref="AR982:AS982"/>
    <mergeCell ref="AT982:AU982"/>
    <mergeCell ref="AX982:AZ982"/>
    <mergeCell ref="BA982:BB982"/>
    <mergeCell ref="AV982:AW982"/>
    <mergeCell ref="AV983:AW983"/>
    <mergeCell ref="AH981:AI981"/>
    <mergeCell ref="AH982:AI982"/>
    <mergeCell ref="J981:K981"/>
    <mergeCell ref="J982:K982"/>
    <mergeCell ref="BJ984:BM984"/>
    <mergeCell ref="BN984:BV984"/>
    <mergeCell ref="B985:C985"/>
    <mergeCell ref="D985:E985"/>
    <mergeCell ref="F985:G985"/>
    <mergeCell ref="H985:I985"/>
    <mergeCell ref="L985:M985"/>
    <mergeCell ref="P985:Q985"/>
    <mergeCell ref="R985:S985"/>
    <mergeCell ref="T985:U985"/>
    <mergeCell ref="V985:W985"/>
    <mergeCell ref="X985:AA985"/>
    <mergeCell ref="AB985:AE985"/>
    <mergeCell ref="AJ985:AK985"/>
    <mergeCell ref="AL985:AM985"/>
    <mergeCell ref="AN985:AO985"/>
    <mergeCell ref="AP985:AQ985"/>
    <mergeCell ref="AR985:AS985"/>
    <mergeCell ref="AT985:AU985"/>
    <mergeCell ref="AX985:AZ985"/>
    <mergeCell ref="BA985:BB985"/>
    <mergeCell ref="BD985:BE985"/>
    <mergeCell ref="BF985:BI985"/>
    <mergeCell ref="BJ985:BM985"/>
    <mergeCell ref="BF983:BI983"/>
    <mergeCell ref="BJ983:BM983"/>
    <mergeCell ref="BN983:BV983"/>
    <mergeCell ref="B984:C984"/>
    <mergeCell ref="D984:E984"/>
    <mergeCell ref="F984:G984"/>
    <mergeCell ref="H984:I984"/>
    <mergeCell ref="L984:M984"/>
    <mergeCell ref="P984:Q984"/>
    <mergeCell ref="R984:S984"/>
    <mergeCell ref="T984:U984"/>
    <mergeCell ref="V984:W984"/>
    <mergeCell ref="X984:AA984"/>
    <mergeCell ref="AB984:AE984"/>
    <mergeCell ref="AJ984:AK984"/>
    <mergeCell ref="AL984:AM984"/>
    <mergeCell ref="AN984:AO984"/>
    <mergeCell ref="AP984:AQ984"/>
    <mergeCell ref="AR984:AS984"/>
    <mergeCell ref="AT984:AU984"/>
    <mergeCell ref="AX984:AZ984"/>
    <mergeCell ref="BA984:BB984"/>
    <mergeCell ref="BD984:BE984"/>
    <mergeCell ref="BF984:BI984"/>
    <mergeCell ref="AV984:AW984"/>
    <mergeCell ref="AV985:AW985"/>
    <mergeCell ref="AH983:AI983"/>
    <mergeCell ref="AH984:AI984"/>
    <mergeCell ref="J983:K983"/>
    <mergeCell ref="J984:K984"/>
    <mergeCell ref="BN986:BV986"/>
    <mergeCell ref="B987:C987"/>
    <mergeCell ref="D987:E987"/>
    <mergeCell ref="F987:G987"/>
    <mergeCell ref="H987:I987"/>
    <mergeCell ref="L987:M987"/>
    <mergeCell ref="P987:Q987"/>
    <mergeCell ref="R987:S987"/>
    <mergeCell ref="T987:U987"/>
    <mergeCell ref="V987:W987"/>
    <mergeCell ref="X987:AA987"/>
    <mergeCell ref="AB987:AE987"/>
    <mergeCell ref="AJ987:AK987"/>
    <mergeCell ref="AL987:AM987"/>
    <mergeCell ref="AN987:AO987"/>
    <mergeCell ref="AP987:AQ987"/>
    <mergeCell ref="AR987:AS987"/>
    <mergeCell ref="AT987:AU987"/>
    <mergeCell ref="AX987:AZ987"/>
    <mergeCell ref="BA987:BB987"/>
    <mergeCell ref="BD987:BE987"/>
    <mergeCell ref="BF987:BI987"/>
    <mergeCell ref="BJ987:BM987"/>
    <mergeCell ref="BN985:BV985"/>
    <mergeCell ref="B986:C986"/>
    <mergeCell ref="D986:E986"/>
    <mergeCell ref="F986:G986"/>
    <mergeCell ref="H986:I986"/>
    <mergeCell ref="L986:M986"/>
    <mergeCell ref="P986:Q986"/>
    <mergeCell ref="R986:S986"/>
    <mergeCell ref="T986:U986"/>
    <mergeCell ref="V986:W986"/>
    <mergeCell ref="X986:AA986"/>
    <mergeCell ref="AB986:AE986"/>
    <mergeCell ref="AJ986:AK986"/>
    <mergeCell ref="AL986:AM986"/>
    <mergeCell ref="AN986:AO986"/>
    <mergeCell ref="AP986:AQ986"/>
    <mergeCell ref="AR986:AS986"/>
    <mergeCell ref="AT986:AU986"/>
    <mergeCell ref="AX986:AZ986"/>
    <mergeCell ref="BA986:BB986"/>
    <mergeCell ref="BD986:BE986"/>
    <mergeCell ref="BF986:BI986"/>
    <mergeCell ref="BJ986:BM986"/>
    <mergeCell ref="AV986:AW986"/>
    <mergeCell ref="AV987:AW987"/>
    <mergeCell ref="AH985:AI985"/>
    <mergeCell ref="AH986:AI986"/>
    <mergeCell ref="J985:K985"/>
    <mergeCell ref="J986:K986"/>
    <mergeCell ref="BN988:BV988"/>
    <mergeCell ref="B989:C989"/>
    <mergeCell ref="D989:E989"/>
    <mergeCell ref="F989:G989"/>
    <mergeCell ref="H989:I989"/>
    <mergeCell ref="L989:M989"/>
    <mergeCell ref="P989:Q989"/>
    <mergeCell ref="R989:S989"/>
    <mergeCell ref="T989:U989"/>
    <mergeCell ref="V989:W989"/>
    <mergeCell ref="X989:AA989"/>
    <mergeCell ref="AB989:AE989"/>
    <mergeCell ref="AJ989:AK989"/>
    <mergeCell ref="AL989:AM989"/>
    <mergeCell ref="AN989:AO989"/>
    <mergeCell ref="AP989:AQ989"/>
    <mergeCell ref="AR989:AS989"/>
    <mergeCell ref="AT989:AU989"/>
    <mergeCell ref="AX989:AZ989"/>
    <mergeCell ref="BA989:BB989"/>
    <mergeCell ref="BD989:BE989"/>
    <mergeCell ref="BF989:BI989"/>
    <mergeCell ref="BJ989:BM989"/>
    <mergeCell ref="BN989:BV989"/>
    <mergeCell ref="BN987:BV987"/>
    <mergeCell ref="B988:C988"/>
    <mergeCell ref="D988:E988"/>
    <mergeCell ref="F988:G988"/>
    <mergeCell ref="H988:I988"/>
    <mergeCell ref="L988:M988"/>
    <mergeCell ref="P988:Q988"/>
    <mergeCell ref="R988:S988"/>
    <mergeCell ref="T988:U988"/>
    <mergeCell ref="V988:W988"/>
    <mergeCell ref="X988:AA988"/>
    <mergeCell ref="AB988:AE988"/>
    <mergeCell ref="AJ988:AK988"/>
    <mergeCell ref="AL988:AM988"/>
    <mergeCell ref="AN988:AO988"/>
    <mergeCell ref="AP988:AQ988"/>
    <mergeCell ref="AR988:AS988"/>
    <mergeCell ref="AT988:AU988"/>
    <mergeCell ref="AX988:AZ988"/>
    <mergeCell ref="BA988:BB988"/>
    <mergeCell ref="BD988:BE988"/>
    <mergeCell ref="BF988:BI988"/>
    <mergeCell ref="BJ988:BM988"/>
    <mergeCell ref="AV988:AW988"/>
    <mergeCell ref="AV989:AW989"/>
    <mergeCell ref="AH987:AI987"/>
    <mergeCell ref="AH988:AI988"/>
    <mergeCell ref="AH989:AI989"/>
    <mergeCell ref="J987:K987"/>
    <mergeCell ref="J988:K988"/>
    <mergeCell ref="J989:K989"/>
    <mergeCell ref="AN991:AO991"/>
    <mergeCell ref="AP991:AQ991"/>
    <mergeCell ref="AR991:AS991"/>
    <mergeCell ref="AT991:AU991"/>
    <mergeCell ref="AX991:AZ991"/>
    <mergeCell ref="BA991:BB991"/>
    <mergeCell ref="BD991:BE991"/>
    <mergeCell ref="BF991:BI991"/>
    <mergeCell ref="BJ991:BM991"/>
    <mergeCell ref="BN991:BV991"/>
    <mergeCell ref="B992:C992"/>
    <mergeCell ref="D992:E992"/>
    <mergeCell ref="F992:G992"/>
    <mergeCell ref="H992:I992"/>
    <mergeCell ref="L992:M992"/>
    <mergeCell ref="P992:Q992"/>
    <mergeCell ref="R992:S992"/>
    <mergeCell ref="T992:U992"/>
    <mergeCell ref="V992:W992"/>
    <mergeCell ref="X992:AA992"/>
    <mergeCell ref="AB992:AE992"/>
    <mergeCell ref="AJ992:AK992"/>
    <mergeCell ref="AL992:AM992"/>
    <mergeCell ref="AN992:AO992"/>
    <mergeCell ref="AL990:AM990"/>
    <mergeCell ref="AN990:AO990"/>
    <mergeCell ref="AP990:AQ990"/>
    <mergeCell ref="AR990:AS990"/>
    <mergeCell ref="AT990:AU990"/>
    <mergeCell ref="AX990:AZ990"/>
    <mergeCell ref="BA990:BB990"/>
    <mergeCell ref="BD990:BE990"/>
    <mergeCell ref="BF990:BI990"/>
    <mergeCell ref="BJ990:BM990"/>
    <mergeCell ref="BN990:BV990"/>
    <mergeCell ref="B991:C991"/>
    <mergeCell ref="D991:E991"/>
    <mergeCell ref="F991:G991"/>
    <mergeCell ref="H991:I991"/>
    <mergeCell ref="L991:M991"/>
    <mergeCell ref="P991:Q991"/>
    <mergeCell ref="R991:S991"/>
    <mergeCell ref="T991:U991"/>
    <mergeCell ref="V991:W991"/>
    <mergeCell ref="X991:AA991"/>
    <mergeCell ref="AB991:AE991"/>
    <mergeCell ref="AJ991:AK991"/>
    <mergeCell ref="AL991:AM991"/>
    <mergeCell ref="B990:C990"/>
    <mergeCell ref="D990:E990"/>
    <mergeCell ref="F990:G990"/>
    <mergeCell ref="H990:I990"/>
    <mergeCell ref="L990:M990"/>
    <mergeCell ref="P990:Q990"/>
    <mergeCell ref="R990:S990"/>
    <mergeCell ref="T990:U990"/>
    <mergeCell ref="V990:W990"/>
    <mergeCell ref="X990:AA990"/>
    <mergeCell ref="AB990:AE990"/>
    <mergeCell ref="AJ990:AK990"/>
    <mergeCell ref="AV990:AW990"/>
    <mergeCell ref="AV991:AW991"/>
    <mergeCell ref="AV992:AW992"/>
    <mergeCell ref="AH990:AI990"/>
    <mergeCell ref="AR993:AS993"/>
    <mergeCell ref="AT993:AU993"/>
    <mergeCell ref="AX993:AZ993"/>
    <mergeCell ref="BA993:BB993"/>
    <mergeCell ref="BD993:BE993"/>
    <mergeCell ref="BF993:BI993"/>
    <mergeCell ref="BJ993:BM993"/>
    <mergeCell ref="BN993:BV993"/>
    <mergeCell ref="B994:C994"/>
    <mergeCell ref="D994:E994"/>
    <mergeCell ref="F994:G994"/>
    <mergeCell ref="H994:I994"/>
    <mergeCell ref="L994:M994"/>
    <mergeCell ref="P994:Q994"/>
    <mergeCell ref="R994:S994"/>
    <mergeCell ref="T994:U994"/>
    <mergeCell ref="V994:W994"/>
    <mergeCell ref="X994:AA994"/>
    <mergeCell ref="AB994:AE994"/>
    <mergeCell ref="AJ994:AK994"/>
    <mergeCell ref="AL994:AM994"/>
    <mergeCell ref="AN994:AO994"/>
    <mergeCell ref="AP994:AQ994"/>
    <mergeCell ref="AR994:AS994"/>
    <mergeCell ref="AP992:AQ992"/>
    <mergeCell ref="AR992:AS992"/>
    <mergeCell ref="AT992:AU992"/>
    <mergeCell ref="AX992:AZ992"/>
    <mergeCell ref="BA992:BB992"/>
    <mergeCell ref="BD992:BE992"/>
    <mergeCell ref="BF992:BI992"/>
    <mergeCell ref="BJ992:BM992"/>
    <mergeCell ref="BN992:BV992"/>
    <mergeCell ref="B993:C993"/>
    <mergeCell ref="D993:E993"/>
    <mergeCell ref="F993:G993"/>
    <mergeCell ref="H993:I993"/>
    <mergeCell ref="L993:M993"/>
    <mergeCell ref="P993:Q993"/>
    <mergeCell ref="R993:S993"/>
    <mergeCell ref="T993:U993"/>
    <mergeCell ref="V993:W993"/>
    <mergeCell ref="X993:AA993"/>
    <mergeCell ref="AB993:AE993"/>
    <mergeCell ref="AJ993:AK993"/>
    <mergeCell ref="AL993:AM993"/>
    <mergeCell ref="AN993:AO993"/>
    <mergeCell ref="AP993:AQ993"/>
    <mergeCell ref="AV993:AW993"/>
    <mergeCell ref="AV994:AW994"/>
    <mergeCell ref="AF994:AG994"/>
    <mergeCell ref="J993:K993"/>
    <mergeCell ref="AX995:AZ995"/>
    <mergeCell ref="BA995:BB995"/>
    <mergeCell ref="BD995:BE995"/>
    <mergeCell ref="BF995:BI995"/>
    <mergeCell ref="BJ995:BM995"/>
    <mergeCell ref="BN995:BV995"/>
    <mergeCell ref="B996:C996"/>
    <mergeCell ref="D996:E996"/>
    <mergeCell ref="F996:G996"/>
    <mergeCell ref="H996:I996"/>
    <mergeCell ref="L996:M996"/>
    <mergeCell ref="P996:Q996"/>
    <mergeCell ref="R996:S996"/>
    <mergeCell ref="T996:U996"/>
    <mergeCell ref="V996:W996"/>
    <mergeCell ref="X996:AA996"/>
    <mergeCell ref="AB996:AE996"/>
    <mergeCell ref="AJ996:AK996"/>
    <mergeCell ref="AL996:AM996"/>
    <mergeCell ref="AN996:AO996"/>
    <mergeCell ref="AP996:AQ996"/>
    <mergeCell ref="AR996:AS996"/>
    <mergeCell ref="AT996:AU996"/>
    <mergeCell ref="AX996:AZ996"/>
    <mergeCell ref="AT994:AU994"/>
    <mergeCell ref="AX994:AZ994"/>
    <mergeCell ref="BA994:BB994"/>
    <mergeCell ref="BD994:BE994"/>
    <mergeCell ref="BF994:BI994"/>
    <mergeCell ref="BJ994:BM994"/>
    <mergeCell ref="BN994:BV994"/>
    <mergeCell ref="B995:C995"/>
    <mergeCell ref="D995:E995"/>
    <mergeCell ref="F995:G995"/>
    <mergeCell ref="H995:I995"/>
    <mergeCell ref="L995:M995"/>
    <mergeCell ref="P995:Q995"/>
    <mergeCell ref="R995:S995"/>
    <mergeCell ref="T995:U995"/>
    <mergeCell ref="V995:W995"/>
    <mergeCell ref="X995:AA995"/>
    <mergeCell ref="AB995:AE995"/>
    <mergeCell ref="AJ995:AK995"/>
    <mergeCell ref="AL995:AM995"/>
    <mergeCell ref="AN995:AO995"/>
    <mergeCell ref="AP995:AQ995"/>
    <mergeCell ref="AR995:AS995"/>
    <mergeCell ref="AT995:AU995"/>
    <mergeCell ref="AV995:AW995"/>
    <mergeCell ref="AV996:AW996"/>
    <mergeCell ref="AF995:AG995"/>
    <mergeCell ref="AF996:AG996"/>
    <mergeCell ref="J994:K994"/>
    <mergeCell ref="J995:K995"/>
    <mergeCell ref="BD997:BE997"/>
    <mergeCell ref="BF997:BI997"/>
    <mergeCell ref="BJ997:BM997"/>
    <mergeCell ref="BN997:BV997"/>
    <mergeCell ref="B998:C998"/>
    <mergeCell ref="D998:E998"/>
    <mergeCell ref="F998:G998"/>
    <mergeCell ref="H998:I998"/>
    <mergeCell ref="L998:M998"/>
    <mergeCell ref="P998:Q998"/>
    <mergeCell ref="R998:S998"/>
    <mergeCell ref="T998:U998"/>
    <mergeCell ref="V998:W998"/>
    <mergeCell ref="X998:AA998"/>
    <mergeCell ref="AB998:AE998"/>
    <mergeCell ref="AJ998:AK998"/>
    <mergeCell ref="AL998:AM998"/>
    <mergeCell ref="AN998:AO998"/>
    <mergeCell ref="AP998:AQ998"/>
    <mergeCell ref="AR998:AS998"/>
    <mergeCell ref="AT998:AU998"/>
    <mergeCell ref="AX998:AZ998"/>
    <mergeCell ref="BA998:BB998"/>
    <mergeCell ref="BD998:BE998"/>
    <mergeCell ref="BA996:BB996"/>
    <mergeCell ref="BD996:BE996"/>
    <mergeCell ref="BF996:BI996"/>
    <mergeCell ref="BJ996:BM996"/>
    <mergeCell ref="BN996:BV996"/>
    <mergeCell ref="B997:C997"/>
    <mergeCell ref="D997:E997"/>
    <mergeCell ref="F997:G997"/>
    <mergeCell ref="H997:I997"/>
    <mergeCell ref="L997:M997"/>
    <mergeCell ref="P997:Q997"/>
    <mergeCell ref="R997:S997"/>
    <mergeCell ref="T997:U997"/>
    <mergeCell ref="V997:W997"/>
    <mergeCell ref="X997:AA997"/>
    <mergeCell ref="AB997:AE997"/>
    <mergeCell ref="AJ997:AK997"/>
    <mergeCell ref="AL997:AM997"/>
    <mergeCell ref="AN997:AO997"/>
    <mergeCell ref="AP997:AQ997"/>
    <mergeCell ref="AR997:AS997"/>
    <mergeCell ref="AT997:AU997"/>
    <mergeCell ref="AX997:AZ997"/>
    <mergeCell ref="BA997:BB997"/>
    <mergeCell ref="AV997:AW997"/>
    <mergeCell ref="AV998:AW998"/>
    <mergeCell ref="AF997:AG997"/>
    <mergeCell ref="AF998:AG998"/>
    <mergeCell ref="J996:K996"/>
    <mergeCell ref="J997:K997"/>
    <mergeCell ref="BJ999:BM999"/>
    <mergeCell ref="BN999:BV999"/>
    <mergeCell ref="B1000:C1000"/>
    <mergeCell ref="D1000:E1000"/>
    <mergeCell ref="F1000:G1000"/>
    <mergeCell ref="H1000:I1000"/>
    <mergeCell ref="L1000:M1000"/>
    <mergeCell ref="P1000:Q1000"/>
    <mergeCell ref="R1000:S1000"/>
    <mergeCell ref="T1000:U1000"/>
    <mergeCell ref="V1000:W1000"/>
    <mergeCell ref="X1000:AA1000"/>
    <mergeCell ref="AB1000:AE1000"/>
    <mergeCell ref="AJ1000:AK1000"/>
    <mergeCell ref="AL1000:AM1000"/>
    <mergeCell ref="AN1000:AO1000"/>
    <mergeCell ref="AP1000:AQ1000"/>
    <mergeCell ref="AR1000:AS1000"/>
    <mergeCell ref="AT1000:AU1000"/>
    <mergeCell ref="AX1000:AZ1000"/>
    <mergeCell ref="BA1000:BB1000"/>
    <mergeCell ref="BD1000:BE1000"/>
    <mergeCell ref="BF1000:BI1000"/>
    <mergeCell ref="BJ1000:BM1000"/>
    <mergeCell ref="BF998:BI998"/>
    <mergeCell ref="BJ998:BM998"/>
    <mergeCell ref="BN998:BV998"/>
    <mergeCell ref="B999:C999"/>
    <mergeCell ref="D999:E999"/>
    <mergeCell ref="F999:G999"/>
    <mergeCell ref="H999:I999"/>
    <mergeCell ref="L999:M999"/>
    <mergeCell ref="P999:Q999"/>
    <mergeCell ref="R999:S999"/>
    <mergeCell ref="T999:U999"/>
    <mergeCell ref="V999:W999"/>
    <mergeCell ref="X999:AA999"/>
    <mergeCell ref="AB999:AE999"/>
    <mergeCell ref="AJ999:AK999"/>
    <mergeCell ref="AL999:AM999"/>
    <mergeCell ref="AN999:AO999"/>
    <mergeCell ref="AP999:AQ999"/>
    <mergeCell ref="AR999:AS999"/>
    <mergeCell ref="AT999:AU999"/>
    <mergeCell ref="AX999:AZ999"/>
    <mergeCell ref="BA999:BB999"/>
    <mergeCell ref="BD999:BE999"/>
    <mergeCell ref="BF999:BI999"/>
    <mergeCell ref="AV999:AW999"/>
    <mergeCell ref="AV1000:AW1000"/>
    <mergeCell ref="AF999:AG999"/>
    <mergeCell ref="AF1000:AG1000"/>
    <mergeCell ref="J998:K998"/>
    <mergeCell ref="J999:K999"/>
    <mergeCell ref="BN1001:BV1001"/>
    <mergeCell ref="B1002:C1002"/>
    <mergeCell ref="D1002:E1002"/>
    <mergeCell ref="F1002:G1002"/>
    <mergeCell ref="H1002:I1002"/>
    <mergeCell ref="L1002:M1002"/>
    <mergeCell ref="P1002:Q1002"/>
    <mergeCell ref="R1002:S1002"/>
    <mergeCell ref="T1002:U1002"/>
    <mergeCell ref="V1002:W1002"/>
    <mergeCell ref="X1002:AA1002"/>
    <mergeCell ref="AB1002:AE1002"/>
    <mergeCell ref="AJ1002:AK1002"/>
    <mergeCell ref="AL1002:AM1002"/>
    <mergeCell ref="AN1002:AO1002"/>
    <mergeCell ref="AP1002:AQ1002"/>
    <mergeCell ref="AR1002:AS1002"/>
    <mergeCell ref="AT1002:AU1002"/>
    <mergeCell ref="AX1002:AZ1002"/>
    <mergeCell ref="BA1002:BB1002"/>
    <mergeCell ref="BD1002:BE1002"/>
    <mergeCell ref="BF1002:BI1002"/>
    <mergeCell ref="BJ1002:BM1002"/>
    <mergeCell ref="BN1000:BV1000"/>
    <mergeCell ref="B1001:C1001"/>
    <mergeCell ref="D1001:E1001"/>
    <mergeCell ref="F1001:G1001"/>
    <mergeCell ref="H1001:I1001"/>
    <mergeCell ref="L1001:M1001"/>
    <mergeCell ref="P1001:Q1001"/>
    <mergeCell ref="R1001:S1001"/>
    <mergeCell ref="T1001:U1001"/>
    <mergeCell ref="V1001:W1001"/>
    <mergeCell ref="X1001:AA1001"/>
    <mergeCell ref="AB1001:AE1001"/>
    <mergeCell ref="AJ1001:AK1001"/>
    <mergeCell ref="AL1001:AM1001"/>
    <mergeCell ref="AN1001:AO1001"/>
    <mergeCell ref="AP1001:AQ1001"/>
    <mergeCell ref="AR1001:AS1001"/>
    <mergeCell ref="AT1001:AU1001"/>
    <mergeCell ref="AX1001:AZ1001"/>
    <mergeCell ref="BA1001:BB1001"/>
    <mergeCell ref="BD1001:BE1001"/>
    <mergeCell ref="BF1001:BI1001"/>
    <mergeCell ref="BJ1001:BM1001"/>
    <mergeCell ref="AV1001:AW1001"/>
    <mergeCell ref="AV1002:AW1002"/>
    <mergeCell ref="AF1001:AG1001"/>
    <mergeCell ref="AF1002:AG1002"/>
    <mergeCell ref="J1000:K1000"/>
    <mergeCell ref="J1001:K1001"/>
    <mergeCell ref="BN1003:BV1003"/>
    <mergeCell ref="B1004:C1004"/>
    <mergeCell ref="D1004:E1004"/>
    <mergeCell ref="F1004:G1004"/>
    <mergeCell ref="H1004:I1004"/>
    <mergeCell ref="L1004:M1004"/>
    <mergeCell ref="P1004:Q1004"/>
    <mergeCell ref="R1004:S1004"/>
    <mergeCell ref="T1004:U1004"/>
    <mergeCell ref="V1004:W1004"/>
    <mergeCell ref="X1004:AA1004"/>
    <mergeCell ref="AB1004:AE1004"/>
    <mergeCell ref="AJ1004:AK1004"/>
    <mergeCell ref="AL1004:AM1004"/>
    <mergeCell ref="AN1004:AO1004"/>
    <mergeCell ref="AP1004:AQ1004"/>
    <mergeCell ref="AR1004:AS1004"/>
    <mergeCell ref="AT1004:AU1004"/>
    <mergeCell ref="AX1004:AZ1004"/>
    <mergeCell ref="BA1004:BB1004"/>
    <mergeCell ref="BD1004:BE1004"/>
    <mergeCell ref="BF1004:BI1004"/>
    <mergeCell ref="BJ1004:BM1004"/>
    <mergeCell ref="BN1004:BV1004"/>
    <mergeCell ref="BN1002:BV1002"/>
    <mergeCell ref="B1003:C1003"/>
    <mergeCell ref="D1003:E1003"/>
    <mergeCell ref="F1003:G1003"/>
    <mergeCell ref="H1003:I1003"/>
    <mergeCell ref="L1003:M1003"/>
    <mergeCell ref="P1003:Q1003"/>
    <mergeCell ref="R1003:S1003"/>
    <mergeCell ref="T1003:U1003"/>
    <mergeCell ref="V1003:W1003"/>
    <mergeCell ref="X1003:AA1003"/>
    <mergeCell ref="AB1003:AE1003"/>
    <mergeCell ref="AJ1003:AK1003"/>
    <mergeCell ref="AL1003:AM1003"/>
    <mergeCell ref="AN1003:AO1003"/>
    <mergeCell ref="AP1003:AQ1003"/>
    <mergeCell ref="AR1003:AS1003"/>
    <mergeCell ref="AT1003:AU1003"/>
    <mergeCell ref="AX1003:AZ1003"/>
    <mergeCell ref="BA1003:BB1003"/>
    <mergeCell ref="BD1003:BE1003"/>
    <mergeCell ref="BF1003:BI1003"/>
    <mergeCell ref="BJ1003:BM1003"/>
    <mergeCell ref="AV1003:AW1003"/>
    <mergeCell ref="AV1004:AW1004"/>
    <mergeCell ref="AF1003:AG1003"/>
    <mergeCell ref="AF1004:AG1004"/>
    <mergeCell ref="J1002:K1002"/>
    <mergeCell ref="J1003:K1003"/>
    <mergeCell ref="J1004:K1004"/>
    <mergeCell ref="AN1006:AO1006"/>
    <mergeCell ref="AP1006:AQ1006"/>
    <mergeCell ref="AR1006:AS1006"/>
    <mergeCell ref="AT1006:AU1006"/>
    <mergeCell ref="AX1006:AZ1006"/>
    <mergeCell ref="BA1006:BB1006"/>
    <mergeCell ref="BD1006:BE1006"/>
    <mergeCell ref="BF1006:BI1006"/>
    <mergeCell ref="BJ1006:BM1006"/>
    <mergeCell ref="BN1006:BV1006"/>
    <mergeCell ref="B1007:C1007"/>
    <mergeCell ref="D1007:E1007"/>
    <mergeCell ref="F1007:G1007"/>
    <mergeCell ref="H1007:I1007"/>
    <mergeCell ref="L1007:M1007"/>
    <mergeCell ref="P1007:Q1007"/>
    <mergeCell ref="R1007:S1007"/>
    <mergeCell ref="T1007:U1007"/>
    <mergeCell ref="V1007:W1007"/>
    <mergeCell ref="X1007:AA1007"/>
    <mergeCell ref="AB1007:AE1007"/>
    <mergeCell ref="AJ1007:AK1007"/>
    <mergeCell ref="AL1007:AM1007"/>
    <mergeCell ref="AN1007:AO1007"/>
    <mergeCell ref="AL1005:AM1005"/>
    <mergeCell ref="AN1005:AO1005"/>
    <mergeCell ref="AP1005:AQ1005"/>
    <mergeCell ref="AR1005:AS1005"/>
    <mergeCell ref="AT1005:AU1005"/>
    <mergeCell ref="AX1005:AZ1005"/>
    <mergeCell ref="BA1005:BB1005"/>
    <mergeCell ref="BD1005:BE1005"/>
    <mergeCell ref="BF1005:BI1005"/>
    <mergeCell ref="BJ1005:BM1005"/>
    <mergeCell ref="BN1005:BV1005"/>
    <mergeCell ref="B1006:C1006"/>
    <mergeCell ref="D1006:E1006"/>
    <mergeCell ref="F1006:G1006"/>
    <mergeCell ref="H1006:I1006"/>
    <mergeCell ref="L1006:M1006"/>
    <mergeCell ref="P1006:Q1006"/>
    <mergeCell ref="R1006:S1006"/>
    <mergeCell ref="T1006:U1006"/>
    <mergeCell ref="V1006:W1006"/>
    <mergeCell ref="X1006:AA1006"/>
    <mergeCell ref="AB1006:AE1006"/>
    <mergeCell ref="AJ1006:AK1006"/>
    <mergeCell ref="AL1006:AM1006"/>
    <mergeCell ref="B1005:C1005"/>
    <mergeCell ref="D1005:E1005"/>
    <mergeCell ref="F1005:G1005"/>
    <mergeCell ref="H1005:I1005"/>
    <mergeCell ref="L1005:M1005"/>
    <mergeCell ref="P1005:Q1005"/>
    <mergeCell ref="R1005:S1005"/>
    <mergeCell ref="T1005:U1005"/>
    <mergeCell ref="V1005:W1005"/>
    <mergeCell ref="X1005:AA1005"/>
    <mergeCell ref="AB1005:AE1005"/>
    <mergeCell ref="AJ1005:AK1005"/>
    <mergeCell ref="AV1006:AW1006"/>
    <mergeCell ref="AV1005:AW1005"/>
    <mergeCell ref="AV1007:AW1007"/>
    <mergeCell ref="AF1005:AG1005"/>
    <mergeCell ref="AR1008:AS1008"/>
    <mergeCell ref="AT1008:AU1008"/>
    <mergeCell ref="AX1008:AZ1008"/>
    <mergeCell ref="BA1008:BB1008"/>
    <mergeCell ref="BD1008:BE1008"/>
    <mergeCell ref="BF1008:BI1008"/>
    <mergeCell ref="BJ1008:BM1008"/>
    <mergeCell ref="BN1008:BV1008"/>
    <mergeCell ref="B1009:C1009"/>
    <mergeCell ref="D1009:E1009"/>
    <mergeCell ref="F1009:G1009"/>
    <mergeCell ref="H1009:I1009"/>
    <mergeCell ref="L1009:M1009"/>
    <mergeCell ref="P1009:Q1009"/>
    <mergeCell ref="R1009:S1009"/>
    <mergeCell ref="T1009:U1009"/>
    <mergeCell ref="V1009:W1009"/>
    <mergeCell ref="X1009:AA1009"/>
    <mergeCell ref="AB1009:AE1009"/>
    <mergeCell ref="AJ1009:AK1009"/>
    <mergeCell ref="AL1009:AM1009"/>
    <mergeCell ref="AN1009:AO1009"/>
    <mergeCell ref="AP1009:AQ1009"/>
    <mergeCell ref="AR1009:AS1009"/>
    <mergeCell ref="AP1007:AQ1007"/>
    <mergeCell ref="AR1007:AS1007"/>
    <mergeCell ref="AT1007:AU1007"/>
    <mergeCell ref="AX1007:AZ1007"/>
    <mergeCell ref="BA1007:BB1007"/>
    <mergeCell ref="BD1007:BE1007"/>
    <mergeCell ref="BF1007:BI1007"/>
    <mergeCell ref="BJ1007:BM1007"/>
    <mergeCell ref="BN1007:BV1007"/>
    <mergeCell ref="B1008:C1008"/>
    <mergeCell ref="D1008:E1008"/>
    <mergeCell ref="F1008:G1008"/>
    <mergeCell ref="H1008:I1008"/>
    <mergeCell ref="L1008:M1008"/>
    <mergeCell ref="P1008:Q1008"/>
    <mergeCell ref="R1008:S1008"/>
    <mergeCell ref="T1008:U1008"/>
    <mergeCell ref="V1008:W1008"/>
    <mergeCell ref="X1008:AA1008"/>
    <mergeCell ref="AB1008:AE1008"/>
    <mergeCell ref="AJ1008:AK1008"/>
    <mergeCell ref="AL1008:AM1008"/>
    <mergeCell ref="AN1008:AO1008"/>
    <mergeCell ref="AP1008:AQ1008"/>
    <mergeCell ref="AV1008:AW1008"/>
    <mergeCell ref="AV1009:AW1009"/>
    <mergeCell ref="AX1010:AZ1010"/>
    <mergeCell ref="BA1010:BB1010"/>
    <mergeCell ref="BD1010:BE1010"/>
    <mergeCell ref="BF1010:BI1010"/>
    <mergeCell ref="BJ1010:BM1010"/>
    <mergeCell ref="BN1010:BV1010"/>
    <mergeCell ref="B1011:C1011"/>
    <mergeCell ref="D1011:E1011"/>
    <mergeCell ref="F1011:G1011"/>
    <mergeCell ref="H1011:I1011"/>
    <mergeCell ref="L1011:M1011"/>
    <mergeCell ref="P1011:Q1011"/>
    <mergeCell ref="R1011:S1011"/>
    <mergeCell ref="T1011:U1011"/>
    <mergeCell ref="V1011:W1011"/>
    <mergeCell ref="X1011:AA1011"/>
    <mergeCell ref="AB1011:AE1011"/>
    <mergeCell ref="AJ1011:AK1011"/>
    <mergeCell ref="AL1011:AM1011"/>
    <mergeCell ref="AN1011:AO1011"/>
    <mergeCell ref="AP1011:AQ1011"/>
    <mergeCell ref="AR1011:AS1011"/>
    <mergeCell ref="AT1011:AU1011"/>
    <mergeCell ref="AX1011:AZ1011"/>
    <mergeCell ref="AT1009:AU1009"/>
    <mergeCell ref="AX1009:AZ1009"/>
    <mergeCell ref="BA1009:BB1009"/>
    <mergeCell ref="BD1009:BE1009"/>
    <mergeCell ref="BF1009:BI1009"/>
    <mergeCell ref="BJ1009:BM1009"/>
    <mergeCell ref="BN1009:BV1009"/>
    <mergeCell ref="B1010:C1010"/>
    <mergeCell ref="D1010:E1010"/>
    <mergeCell ref="F1010:G1010"/>
    <mergeCell ref="H1010:I1010"/>
    <mergeCell ref="L1010:M1010"/>
    <mergeCell ref="P1010:Q1010"/>
    <mergeCell ref="R1010:S1010"/>
    <mergeCell ref="T1010:U1010"/>
    <mergeCell ref="V1010:W1010"/>
    <mergeCell ref="X1010:AA1010"/>
    <mergeCell ref="AB1010:AE1010"/>
    <mergeCell ref="AJ1010:AK1010"/>
    <mergeCell ref="AL1010:AM1010"/>
    <mergeCell ref="AN1010:AO1010"/>
    <mergeCell ref="AP1010:AQ1010"/>
    <mergeCell ref="AR1010:AS1010"/>
    <mergeCell ref="AT1010:AU1010"/>
    <mergeCell ref="AV1010:AW1010"/>
    <mergeCell ref="AV1011:AW1011"/>
    <mergeCell ref="BD1012:BE1012"/>
    <mergeCell ref="BF1012:BI1012"/>
    <mergeCell ref="BJ1012:BM1012"/>
    <mergeCell ref="BN1012:BV1012"/>
    <mergeCell ref="B1013:C1013"/>
    <mergeCell ref="D1013:E1013"/>
    <mergeCell ref="F1013:G1013"/>
    <mergeCell ref="H1013:I1013"/>
    <mergeCell ref="L1013:M1013"/>
    <mergeCell ref="P1013:Q1013"/>
    <mergeCell ref="R1013:S1013"/>
    <mergeCell ref="T1013:U1013"/>
    <mergeCell ref="V1013:W1013"/>
    <mergeCell ref="X1013:AA1013"/>
    <mergeCell ref="AB1013:AE1013"/>
    <mergeCell ref="AJ1013:AK1013"/>
    <mergeCell ref="AL1013:AM1013"/>
    <mergeCell ref="AN1013:AO1013"/>
    <mergeCell ref="AP1013:AQ1013"/>
    <mergeCell ref="AR1013:AS1013"/>
    <mergeCell ref="AT1013:AU1013"/>
    <mergeCell ref="AX1013:AZ1013"/>
    <mergeCell ref="BA1013:BB1013"/>
    <mergeCell ref="BD1013:BE1013"/>
    <mergeCell ref="BA1011:BB1011"/>
    <mergeCell ref="BD1011:BE1011"/>
    <mergeCell ref="BF1011:BI1011"/>
    <mergeCell ref="BJ1011:BM1011"/>
    <mergeCell ref="BN1011:BV1011"/>
    <mergeCell ref="B1012:C1012"/>
    <mergeCell ref="D1012:E1012"/>
    <mergeCell ref="F1012:G1012"/>
    <mergeCell ref="H1012:I1012"/>
    <mergeCell ref="L1012:M1012"/>
    <mergeCell ref="P1012:Q1012"/>
    <mergeCell ref="R1012:S1012"/>
    <mergeCell ref="T1012:U1012"/>
    <mergeCell ref="V1012:W1012"/>
    <mergeCell ref="X1012:AA1012"/>
    <mergeCell ref="AB1012:AE1012"/>
    <mergeCell ref="AJ1012:AK1012"/>
    <mergeCell ref="AL1012:AM1012"/>
    <mergeCell ref="AN1012:AO1012"/>
    <mergeCell ref="AP1012:AQ1012"/>
    <mergeCell ref="AR1012:AS1012"/>
    <mergeCell ref="AT1012:AU1012"/>
    <mergeCell ref="AX1012:AZ1012"/>
    <mergeCell ref="BA1012:BB1012"/>
    <mergeCell ref="AV1012:AW1012"/>
    <mergeCell ref="AV1013:AW1013"/>
    <mergeCell ref="BJ1014:BM1014"/>
    <mergeCell ref="BN1014:BV1014"/>
    <mergeCell ref="B1015:C1015"/>
    <mergeCell ref="D1015:E1015"/>
    <mergeCell ref="F1015:G1015"/>
    <mergeCell ref="H1015:I1015"/>
    <mergeCell ref="L1015:M1015"/>
    <mergeCell ref="P1015:Q1015"/>
    <mergeCell ref="R1015:S1015"/>
    <mergeCell ref="T1015:U1015"/>
    <mergeCell ref="V1015:W1015"/>
    <mergeCell ref="X1015:AA1015"/>
    <mergeCell ref="AB1015:AE1015"/>
    <mergeCell ref="AJ1015:AK1015"/>
    <mergeCell ref="AL1015:AM1015"/>
    <mergeCell ref="AN1015:AO1015"/>
    <mergeCell ref="AP1015:AQ1015"/>
    <mergeCell ref="AR1015:AS1015"/>
    <mergeCell ref="AT1015:AU1015"/>
    <mergeCell ref="AX1015:AZ1015"/>
    <mergeCell ref="BA1015:BB1015"/>
    <mergeCell ref="BD1015:BE1015"/>
    <mergeCell ref="BF1015:BI1015"/>
    <mergeCell ref="BJ1015:BM1015"/>
    <mergeCell ref="BF1013:BI1013"/>
    <mergeCell ref="BJ1013:BM1013"/>
    <mergeCell ref="BN1013:BV1013"/>
    <mergeCell ref="B1014:C1014"/>
    <mergeCell ref="D1014:E1014"/>
    <mergeCell ref="F1014:G1014"/>
    <mergeCell ref="H1014:I1014"/>
    <mergeCell ref="L1014:M1014"/>
    <mergeCell ref="P1014:Q1014"/>
    <mergeCell ref="R1014:S1014"/>
    <mergeCell ref="T1014:U1014"/>
    <mergeCell ref="V1014:W1014"/>
    <mergeCell ref="X1014:AA1014"/>
    <mergeCell ref="AB1014:AE1014"/>
    <mergeCell ref="AJ1014:AK1014"/>
    <mergeCell ref="AL1014:AM1014"/>
    <mergeCell ref="AN1014:AO1014"/>
    <mergeCell ref="AP1014:AQ1014"/>
    <mergeCell ref="AR1014:AS1014"/>
    <mergeCell ref="AT1014:AU1014"/>
    <mergeCell ref="AX1014:AZ1014"/>
    <mergeCell ref="BA1014:BB1014"/>
    <mergeCell ref="BD1014:BE1014"/>
    <mergeCell ref="BF1014:BI1014"/>
    <mergeCell ref="AV1014:AW1014"/>
    <mergeCell ref="AV1015:AW1015"/>
    <mergeCell ref="BN1016:BV1016"/>
    <mergeCell ref="B1017:C1017"/>
    <mergeCell ref="D1017:E1017"/>
    <mergeCell ref="F1017:G1017"/>
    <mergeCell ref="H1017:I1017"/>
    <mergeCell ref="L1017:M1017"/>
    <mergeCell ref="P1017:Q1017"/>
    <mergeCell ref="R1017:S1017"/>
    <mergeCell ref="T1017:U1017"/>
    <mergeCell ref="V1017:W1017"/>
    <mergeCell ref="X1017:AA1017"/>
    <mergeCell ref="AB1017:AE1017"/>
    <mergeCell ref="AJ1017:AK1017"/>
    <mergeCell ref="AL1017:AM1017"/>
    <mergeCell ref="AN1017:AO1017"/>
    <mergeCell ref="AP1017:AQ1017"/>
    <mergeCell ref="AR1017:AS1017"/>
    <mergeCell ref="AT1017:AU1017"/>
    <mergeCell ref="AX1017:AZ1017"/>
    <mergeCell ref="BA1017:BB1017"/>
    <mergeCell ref="BD1017:BE1017"/>
    <mergeCell ref="BF1017:BI1017"/>
    <mergeCell ref="BJ1017:BM1017"/>
    <mergeCell ref="BN1015:BV1015"/>
    <mergeCell ref="B1016:C1016"/>
    <mergeCell ref="D1016:E1016"/>
    <mergeCell ref="F1016:G1016"/>
    <mergeCell ref="H1016:I1016"/>
    <mergeCell ref="L1016:M1016"/>
    <mergeCell ref="P1016:Q1016"/>
    <mergeCell ref="R1016:S1016"/>
    <mergeCell ref="T1016:U1016"/>
    <mergeCell ref="V1016:W1016"/>
    <mergeCell ref="X1016:AA1016"/>
    <mergeCell ref="AB1016:AE1016"/>
    <mergeCell ref="AJ1016:AK1016"/>
    <mergeCell ref="AL1016:AM1016"/>
    <mergeCell ref="AN1016:AO1016"/>
    <mergeCell ref="AP1016:AQ1016"/>
    <mergeCell ref="AR1016:AS1016"/>
    <mergeCell ref="AT1016:AU1016"/>
    <mergeCell ref="AX1016:AZ1016"/>
    <mergeCell ref="BA1016:BB1016"/>
    <mergeCell ref="BD1016:BE1016"/>
    <mergeCell ref="BF1016:BI1016"/>
    <mergeCell ref="BJ1016:BM1016"/>
    <mergeCell ref="AV1016:AW1016"/>
    <mergeCell ref="AV1017:AW1017"/>
    <mergeCell ref="BN1018:BV1018"/>
    <mergeCell ref="B1019:C1019"/>
    <mergeCell ref="D1019:E1019"/>
    <mergeCell ref="F1019:G1019"/>
    <mergeCell ref="H1019:I1019"/>
    <mergeCell ref="L1019:M1019"/>
    <mergeCell ref="P1019:Q1019"/>
    <mergeCell ref="R1019:S1019"/>
    <mergeCell ref="T1019:U1019"/>
    <mergeCell ref="V1019:W1019"/>
    <mergeCell ref="X1019:AA1019"/>
    <mergeCell ref="AB1019:AE1019"/>
    <mergeCell ref="AJ1019:AK1019"/>
    <mergeCell ref="AL1019:AM1019"/>
    <mergeCell ref="AN1019:AO1019"/>
    <mergeCell ref="AP1019:AQ1019"/>
    <mergeCell ref="AR1019:AS1019"/>
    <mergeCell ref="AT1019:AU1019"/>
    <mergeCell ref="AX1019:AZ1019"/>
    <mergeCell ref="BA1019:BB1019"/>
    <mergeCell ref="BD1019:BE1019"/>
    <mergeCell ref="BF1019:BI1019"/>
    <mergeCell ref="BJ1019:BM1019"/>
    <mergeCell ref="BN1019:BV1019"/>
    <mergeCell ref="BN1017:BV1017"/>
    <mergeCell ref="B1018:C1018"/>
    <mergeCell ref="D1018:E1018"/>
    <mergeCell ref="F1018:G1018"/>
    <mergeCell ref="H1018:I1018"/>
    <mergeCell ref="L1018:M1018"/>
    <mergeCell ref="P1018:Q1018"/>
    <mergeCell ref="R1018:S1018"/>
    <mergeCell ref="T1018:U1018"/>
    <mergeCell ref="V1018:W1018"/>
    <mergeCell ref="X1018:AA1018"/>
    <mergeCell ref="AB1018:AE1018"/>
    <mergeCell ref="AJ1018:AK1018"/>
    <mergeCell ref="AL1018:AM1018"/>
    <mergeCell ref="AN1018:AO1018"/>
    <mergeCell ref="AP1018:AQ1018"/>
    <mergeCell ref="AR1018:AS1018"/>
    <mergeCell ref="AT1018:AU1018"/>
    <mergeCell ref="AX1018:AZ1018"/>
    <mergeCell ref="BA1018:BB1018"/>
    <mergeCell ref="BD1018:BE1018"/>
    <mergeCell ref="BF1018:BI1018"/>
    <mergeCell ref="BJ1018:BM1018"/>
    <mergeCell ref="AV1018:AW1018"/>
    <mergeCell ref="AV1019:AW1019"/>
    <mergeCell ref="AN1021:AO1021"/>
    <mergeCell ref="AP1021:AQ1021"/>
    <mergeCell ref="AR1021:AS1021"/>
    <mergeCell ref="AT1021:AU1021"/>
    <mergeCell ref="AX1021:AZ1021"/>
    <mergeCell ref="BA1021:BB1021"/>
    <mergeCell ref="BD1021:BE1021"/>
    <mergeCell ref="BF1021:BI1021"/>
    <mergeCell ref="BJ1021:BM1021"/>
    <mergeCell ref="BN1021:BV1021"/>
    <mergeCell ref="B1022:C1022"/>
    <mergeCell ref="D1022:E1022"/>
    <mergeCell ref="F1022:G1022"/>
    <mergeCell ref="H1022:I1022"/>
    <mergeCell ref="L1022:M1022"/>
    <mergeCell ref="P1022:Q1022"/>
    <mergeCell ref="R1022:S1022"/>
    <mergeCell ref="T1022:U1022"/>
    <mergeCell ref="V1022:W1022"/>
    <mergeCell ref="X1022:AA1022"/>
    <mergeCell ref="AB1022:AE1022"/>
    <mergeCell ref="AJ1022:AK1022"/>
    <mergeCell ref="AL1022:AM1022"/>
    <mergeCell ref="AN1022:AO1022"/>
    <mergeCell ref="AL1020:AM1020"/>
    <mergeCell ref="AN1020:AO1020"/>
    <mergeCell ref="AP1020:AQ1020"/>
    <mergeCell ref="AR1020:AS1020"/>
    <mergeCell ref="AT1020:AU1020"/>
    <mergeCell ref="AX1020:AZ1020"/>
    <mergeCell ref="BA1020:BB1020"/>
    <mergeCell ref="BD1020:BE1020"/>
    <mergeCell ref="BF1020:BI1020"/>
    <mergeCell ref="BJ1020:BM1020"/>
    <mergeCell ref="BN1020:BV1020"/>
    <mergeCell ref="B1021:C1021"/>
    <mergeCell ref="D1021:E1021"/>
    <mergeCell ref="F1021:G1021"/>
    <mergeCell ref="H1021:I1021"/>
    <mergeCell ref="L1021:M1021"/>
    <mergeCell ref="P1021:Q1021"/>
    <mergeCell ref="R1021:S1021"/>
    <mergeCell ref="T1021:U1021"/>
    <mergeCell ref="V1021:W1021"/>
    <mergeCell ref="X1021:AA1021"/>
    <mergeCell ref="AB1021:AE1021"/>
    <mergeCell ref="AJ1021:AK1021"/>
    <mergeCell ref="AL1021:AM1021"/>
    <mergeCell ref="B1020:C1020"/>
    <mergeCell ref="D1020:E1020"/>
    <mergeCell ref="F1020:G1020"/>
    <mergeCell ref="H1020:I1020"/>
    <mergeCell ref="L1020:M1020"/>
    <mergeCell ref="P1020:Q1020"/>
    <mergeCell ref="R1020:S1020"/>
    <mergeCell ref="T1020:U1020"/>
    <mergeCell ref="V1020:W1020"/>
    <mergeCell ref="X1020:AA1020"/>
    <mergeCell ref="AB1020:AE1020"/>
    <mergeCell ref="AJ1020:AK1020"/>
    <mergeCell ref="AV1020:AW1020"/>
    <mergeCell ref="AV1021:AW1021"/>
    <mergeCell ref="AV1022:AW1022"/>
    <mergeCell ref="AR1023:AS1023"/>
    <mergeCell ref="AT1023:AU1023"/>
    <mergeCell ref="AX1023:AZ1023"/>
    <mergeCell ref="BA1023:BB1023"/>
    <mergeCell ref="BD1023:BE1023"/>
    <mergeCell ref="BF1023:BI1023"/>
    <mergeCell ref="BJ1023:BM1023"/>
    <mergeCell ref="BN1023:BV1023"/>
    <mergeCell ref="B1024:C1024"/>
    <mergeCell ref="D1024:E1024"/>
    <mergeCell ref="F1024:G1024"/>
    <mergeCell ref="H1024:I1024"/>
    <mergeCell ref="L1024:M1024"/>
    <mergeCell ref="P1024:Q1024"/>
    <mergeCell ref="R1024:S1024"/>
    <mergeCell ref="T1024:U1024"/>
    <mergeCell ref="V1024:W1024"/>
    <mergeCell ref="X1024:AA1024"/>
    <mergeCell ref="AB1024:AE1024"/>
    <mergeCell ref="AJ1024:AK1024"/>
    <mergeCell ref="AL1024:AM1024"/>
    <mergeCell ref="AN1024:AO1024"/>
    <mergeCell ref="AP1024:AQ1024"/>
    <mergeCell ref="AR1024:AS1024"/>
    <mergeCell ref="AP1022:AQ1022"/>
    <mergeCell ref="AR1022:AS1022"/>
    <mergeCell ref="AT1022:AU1022"/>
    <mergeCell ref="AX1022:AZ1022"/>
    <mergeCell ref="BA1022:BB1022"/>
    <mergeCell ref="BD1022:BE1022"/>
    <mergeCell ref="BF1022:BI1022"/>
    <mergeCell ref="BJ1022:BM1022"/>
    <mergeCell ref="BN1022:BV1022"/>
    <mergeCell ref="B1023:C1023"/>
    <mergeCell ref="D1023:E1023"/>
    <mergeCell ref="F1023:G1023"/>
    <mergeCell ref="H1023:I1023"/>
    <mergeCell ref="L1023:M1023"/>
    <mergeCell ref="P1023:Q1023"/>
    <mergeCell ref="R1023:S1023"/>
    <mergeCell ref="T1023:U1023"/>
    <mergeCell ref="V1023:W1023"/>
    <mergeCell ref="X1023:AA1023"/>
    <mergeCell ref="AB1023:AE1023"/>
    <mergeCell ref="AJ1023:AK1023"/>
    <mergeCell ref="AL1023:AM1023"/>
    <mergeCell ref="AN1023:AO1023"/>
    <mergeCell ref="AP1023:AQ1023"/>
    <mergeCell ref="AV1023:AW1023"/>
    <mergeCell ref="AV1024:AW1024"/>
    <mergeCell ref="AX1025:AZ1025"/>
    <mergeCell ref="BA1025:BB1025"/>
    <mergeCell ref="BD1025:BE1025"/>
    <mergeCell ref="BF1025:BI1025"/>
    <mergeCell ref="BJ1025:BM1025"/>
    <mergeCell ref="BN1025:BV1025"/>
    <mergeCell ref="B1026:C1026"/>
    <mergeCell ref="D1026:E1026"/>
    <mergeCell ref="F1026:G1026"/>
    <mergeCell ref="H1026:I1026"/>
    <mergeCell ref="L1026:M1026"/>
    <mergeCell ref="P1026:Q1026"/>
    <mergeCell ref="R1026:S1026"/>
    <mergeCell ref="T1026:U1026"/>
    <mergeCell ref="V1026:W1026"/>
    <mergeCell ref="X1026:AA1026"/>
    <mergeCell ref="AB1026:AE1026"/>
    <mergeCell ref="AJ1026:AK1026"/>
    <mergeCell ref="AL1026:AM1026"/>
    <mergeCell ref="AN1026:AO1026"/>
    <mergeCell ref="AP1026:AQ1026"/>
    <mergeCell ref="AR1026:AS1026"/>
    <mergeCell ref="AT1026:AU1026"/>
    <mergeCell ref="AX1026:AZ1026"/>
    <mergeCell ref="AT1024:AU1024"/>
    <mergeCell ref="AX1024:AZ1024"/>
    <mergeCell ref="BA1024:BB1024"/>
    <mergeCell ref="BD1024:BE1024"/>
    <mergeCell ref="BF1024:BI1024"/>
    <mergeCell ref="BJ1024:BM1024"/>
    <mergeCell ref="BN1024:BV1024"/>
    <mergeCell ref="B1025:C1025"/>
    <mergeCell ref="D1025:E1025"/>
    <mergeCell ref="F1025:G1025"/>
    <mergeCell ref="H1025:I1025"/>
    <mergeCell ref="L1025:M1025"/>
    <mergeCell ref="P1025:Q1025"/>
    <mergeCell ref="R1025:S1025"/>
    <mergeCell ref="T1025:U1025"/>
    <mergeCell ref="V1025:W1025"/>
    <mergeCell ref="X1025:AA1025"/>
    <mergeCell ref="AB1025:AE1025"/>
    <mergeCell ref="AJ1025:AK1025"/>
    <mergeCell ref="AL1025:AM1025"/>
    <mergeCell ref="AN1025:AO1025"/>
    <mergeCell ref="AP1025:AQ1025"/>
    <mergeCell ref="AR1025:AS1025"/>
    <mergeCell ref="AT1025:AU1025"/>
    <mergeCell ref="AV1025:AW1025"/>
    <mergeCell ref="AV1026:AW1026"/>
    <mergeCell ref="AH1024:AI1024"/>
    <mergeCell ref="AH1025:AI1025"/>
    <mergeCell ref="BD1027:BE1027"/>
    <mergeCell ref="BF1027:BI1027"/>
    <mergeCell ref="BJ1027:BM1027"/>
    <mergeCell ref="BN1027:BV1027"/>
    <mergeCell ref="B1028:C1028"/>
    <mergeCell ref="D1028:E1028"/>
    <mergeCell ref="F1028:G1028"/>
    <mergeCell ref="H1028:I1028"/>
    <mergeCell ref="L1028:M1028"/>
    <mergeCell ref="P1028:Q1028"/>
    <mergeCell ref="R1028:S1028"/>
    <mergeCell ref="T1028:U1028"/>
    <mergeCell ref="V1028:W1028"/>
    <mergeCell ref="X1028:AA1028"/>
    <mergeCell ref="AB1028:AE1028"/>
    <mergeCell ref="AJ1028:AK1028"/>
    <mergeCell ref="AL1028:AM1028"/>
    <mergeCell ref="AN1028:AO1028"/>
    <mergeCell ref="AP1028:AQ1028"/>
    <mergeCell ref="AR1028:AS1028"/>
    <mergeCell ref="AT1028:AU1028"/>
    <mergeCell ref="AX1028:AZ1028"/>
    <mergeCell ref="BA1028:BB1028"/>
    <mergeCell ref="BD1028:BE1028"/>
    <mergeCell ref="BA1026:BB1026"/>
    <mergeCell ref="BD1026:BE1026"/>
    <mergeCell ref="BF1026:BI1026"/>
    <mergeCell ref="BJ1026:BM1026"/>
    <mergeCell ref="BN1026:BV1026"/>
    <mergeCell ref="B1027:C1027"/>
    <mergeCell ref="D1027:E1027"/>
    <mergeCell ref="F1027:G1027"/>
    <mergeCell ref="H1027:I1027"/>
    <mergeCell ref="L1027:M1027"/>
    <mergeCell ref="P1027:Q1027"/>
    <mergeCell ref="R1027:S1027"/>
    <mergeCell ref="T1027:U1027"/>
    <mergeCell ref="V1027:W1027"/>
    <mergeCell ref="X1027:AA1027"/>
    <mergeCell ref="AB1027:AE1027"/>
    <mergeCell ref="AJ1027:AK1027"/>
    <mergeCell ref="AL1027:AM1027"/>
    <mergeCell ref="AN1027:AO1027"/>
    <mergeCell ref="AP1027:AQ1027"/>
    <mergeCell ref="AR1027:AS1027"/>
    <mergeCell ref="AT1027:AU1027"/>
    <mergeCell ref="AX1027:AZ1027"/>
    <mergeCell ref="BA1027:BB1027"/>
    <mergeCell ref="AV1027:AW1027"/>
    <mergeCell ref="AV1028:AW1028"/>
    <mergeCell ref="AH1026:AI1026"/>
    <mergeCell ref="AH1027:AI1027"/>
    <mergeCell ref="BJ1029:BM1029"/>
    <mergeCell ref="BN1029:BV1029"/>
    <mergeCell ref="B1030:C1030"/>
    <mergeCell ref="D1030:E1030"/>
    <mergeCell ref="F1030:G1030"/>
    <mergeCell ref="H1030:I1030"/>
    <mergeCell ref="L1030:M1030"/>
    <mergeCell ref="P1030:Q1030"/>
    <mergeCell ref="R1030:S1030"/>
    <mergeCell ref="T1030:U1030"/>
    <mergeCell ref="V1030:W1030"/>
    <mergeCell ref="X1030:AA1030"/>
    <mergeCell ref="AB1030:AE1030"/>
    <mergeCell ref="AJ1030:AK1030"/>
    <mergeCell ref="AL1030:AM1030"/>
    <mergeCell ref="AN1030:AO1030"/>
    <mergeCell ref="AP1030:AQ1030"/>
    <mergeCell ref="AR1030:AS1030"/>
    <mergeCell ref="AT1030:AU1030"/>
    <mergeCell ref="AX1030:AZ1030"/>
    <mergeCell ref="BA1030:BB1030"/>
    <mergeCell ref="BD1030:BE1030"/>
    <mergeCell ref="BF1030:BI1030"/>
    <mergeCell ref="BJ1030:BM1030"/>
    <mergeCell ref="BF1028:BI1028"/>
    <mergeCell ref="BJ1028:BM1028"/>
    <mergeCell ref="BN1028:BV1028"/>
    <mergeCell ref="B1029:C1029"/>
    <mergeCell ref="D1029:E1029"/>
    <mergeCell ref="F1029:G1029"/>
    <mergeCell ref="H1029:I1029"/>
    <mergeCell ref="L1029:M1029"/>
    <mergeCell ref="P1029:Q1029"/>
    <mergeCell ref="R1029:S1029"/>
    <mergeCell ref="T1029:U1029"/>
    <mergeCell ref="V1029:W1029"/>
    <mergeCell ref="X1029:AA1029"/>
    <mergeCell ref="AB1029:AE1029"/>
    <mergeCell ref="AJ1029:AK1029"/>
    <mergeCell ref="AL1029:AM1029"/>
    <mergeCell ref="AN1029:AO1029"/>
    <mergeCell ref="AP1029:AQ1029"/>
    <mergeCell ref="AR1029:AS1029"/>
    <mergeCell ref="AT1029:AU1029"/>
    <mergeCell ref="AX1029:AZ1029"/>
    <mergeCell ref="BA1029:BB1029"/>
    <mergeCell ref="BD1029:BE1029"/>
    <mergeCell ref="BF1029:BI1029"/>
    <mergeCell ref="AV1029:AW1029"/>
    <mergeCell ref="AV1030:AW1030"/>
    <mergeCell ref="AH1028:AI1028"/>
    <mergeCell ref="AH1029:AI1029"/>
    <mergeCell ref="BN1031:BV1031"/>
    <mergeCell ref="B1032:C1032"/>
    <mergeCell ref="D1032:E1032"/>
    <mergeCell ref="F1032:G1032"/>
    <mergeCell ref="H1032:I1032"/>
    <mergeCell ref="L1032:M1032"/>
    <mergeCell ref="P1032:Q1032"/>
    <mergeCell ref="R1032:S1032"/>
    <mergeCell ref="T1032:U1032"/>
    <mergeCell ref="V1032:W1032"/>
    <mergeCell ref="X1032:AA1032"/>
    <mergeCell ref="AB1032:AE1032"/>
    <mergeCell ref="AJ1032:AK1032"/>
    <mergeCell ref="AL1032:AM1032"/>
    <mergeCell ref="AN1032:AO1032"/>
    <mergeCell ref="AP1032:AQ1032"/>
    <mergeCell ref="AR1032:AS1032"/>
    <mergeCell ref="AT1032:AU1032"/>
    <mergeCell ref="AX1032:AZ1032"/>
    <mergeCell ref="BA1032:BB1032"/>
    <mergeCell ref="BD1032:BE1032"/>
    <mergeCell ref="BF1032:BI1032"/>
    <mergeCell ref="BJ1032:BM1032"/>
    <mergeCell ref="BN1030:BV1030"/>
    <mergeCell ref="B1031:C1031"/>
    <mergeCell ref="D1031:E1031"/>
    <mergeCell ref="F1031:G1031"/>
    <mergeCell ref="H1031:I1031"/>
    <mergeCell ref="L1031:M1031"/>
    <mergeCell ref="P1031:Q1031"/>
    <mergeCell ref="R1031:S1031"/>
    <mergeCell ref="T1031:U1031"/>
    <mergeCell ref="V1031:W1031"/>
    <mergeCell ref="X1031:AA1031"/>
    <mergeCell ref="AB1031:AE1031"/>
    <mergeCell ref="AJ1031:AK1031"/>
    <mergeCell ref="AL1031:AM1031"/>
    <mergeCell ref="AN1031:AO1031"/>
    <mergeCell ref="AP1031:AQ1031"/>
    <mergeCell ref="AR1031:AS1031"/>
    <mergeCell ref="AT1031:AU1031"/>
    <mergeCell ref="AX1031:AZ1031"/>
    <mergeCell ref="BA1031:BB1031"/>
    <mergeCell ref="BD1031:BE1031"/>
    <mergeCell ref="BF1031:BI1031"/>
    <mergeCell ref="BJ1031:BM1031"/>
    <mergeCell ref="AV1031:AW1031"/>
    <mergeCell ref="AV1032:AW1032"/>
    <mergeCell ref="AH1030:AI1030"/>
    <mergeCell ref="AH1031:AI1031"/>
    <mergeCell ref="BN1033:BV1033"/>
    <mergeCell ref="B1034:C1034"/>
    <mergeCell ref="D1034:E1034"/>
    <mergeCell ref="F1034:G1034"/>
    <mergeCell ref="H1034:I1034"/>
    <mergeCell ref="L1034:M1034"/>
    <mergeCell ref="P1034:Q1034"/>
    <mergeCell ref="R1034:S1034"/>
    <mergeCell ref="T1034:U1034"/>
    <mergeCell ref="V1034:W1034"/>
    <mergeCell ref="X1034:AA1034"/>
    <mergeCell ref="AB1034:AE1034"/>
    <mergeCell ref="AJ1034:AK1034"/>
    <mergeCell ref="AL1034:AM1034"/>
    <mergeCell ref="AN1034:AO1034"/>
    <mergeCell ref="AP1034:AQ1034"/>
    <mergeCell ref="AR1034:AS1034"/>
    <mergeCell ref="AT1034:AU1034"/>
    <mergeCell ref="AX1034:AZ1034"/>
    <mergeCell ref="BA1034:BB1034"/>
    <mergeCell ref="BD1034:BE1034"/>
    <mergeCell ref="BF1034:BI1034"/>
    <mergeCell ref="BJ1034:BM1034"/>
    <mergeCell ref="BN1034:BV1034"/>
    <mergeCell ref="BN1032:BV1032"/>
    <mergeCell ref="B1033:C1033"/>
    <mergeCell ref="D1033:E1033"/>
    <mergeCell ref="F1033:G1033"/>
    <mergeCell ref="H1033:I1033"/>
    <mergeCell ref="L1033:M1033"/>
    <mergeCell ref="P1033:Q1033"/>
    <mergeCell ref="R1033:S1033"/>
    <mergeCell ref="T1033:U1033"/>
    <mergeCell ref="V1033:W1033"/>
    <mergeCell ref="X1033:AA1033"/>
    <mergeCell ref="AB1033:AE1033"/>
    <mergeCell ref="AJ1033:AK1033"/>
    <mergeCell ref="AL1033:AM1033"/>
    <mergeCell ref="AN1033:AO1033"/>
    <mergeCell ref="AP1033:AQ1033"/>
    <mergeCell ref="AR1033:AS1033"/>
    <mergeCell ref="AT1033:AU1033"/>
    <mergeCell ref="AX1033:AZ1033"/>
    <mergeCell ref="BA1033:BB1033"/>
    <mergeCell ref="BD1033:BE1033"/>
    <mergeCell ref="BF1033:BI1033"/>
    <mergeCell ref="BJ1033:BM1033"/>
    <mergeCell ref="AV1033:AW1033"/>
    <mergeCell ref="AV1034:AW1034"/>
    <mergeCell ref="AH1032:AI1032"/>
    <mergeCell ref="AH1033:AI1033"/>
    <mergeCell ref="AH1034:AI1034"/>
    <mergeCell ref="AN1036:AO1036"/>
    <mergeCell ref="AP1036:AQ1036"/>
    <mergeCell ref="AR1036:AS1036"/>
    <mergeCell ref="AT1036:AU1036"/>
    <mergeCell ref="AX1036:AZ1036"/>
    <mergeCell ref="BA1036:BB1036"/>
    <mergeCell ref="BD1036:BE1036"/>
    <mergeCell ref="BF1036:BI1036"/>
    <mergeCell ref="BJ1036:BM1036"/>
    <mergeCell ref="BN1036:BV1036"/>
    <mergeCell ref="B1037:C1037"/>
    <mergeCell ref="D1037:E1037"/>
    <mergeCell ref="F1037:G1037"/>
    <mergeCell ref="H1037:I1037"/>
    <mergeCell ref="L1037:M1037"/>
    <mergeCell ref="P1037:Q1037"/>
    <mergeCell ref="R1037:S1037"/>
    <mergeCell ref="T1037:U1037"/>
    <mergeCell ref="V1037:W1037"/>
    <mergeCell ref="X1037:AA1037"/>
    <mergeCell ref="AB1037:AE1037"/>
    <mergeCell ref="AJ1037:AK1037"/>
    <mergeCell ref="AL1037:AM1037"/>
    <mergeCell ref="AN1037:AO1037"/>
    <mergeCell ref="AL1035:AM1035"/>
    <mergeCell ref="AN1035:AO1035"/>
    <mergeCell ref="AP1035:AQ1035"/>
    <mergeCell ref="AR1035:AS1035"/>
    <mergeCell ref="AT1035:AU1035"/>
    <mergeCell ref="AX1035:AZ1035"/>
    <mergeCell ref="BA1035:BB1035"/>
    <mergeCell ref="BD1035:BE1035"/>
    <mergeCell ref="BF1035:BI1035"/>
    <mergeCell ref="BJ1035:BM1035"/>
    <mergeCell ref="BN1035:BV1035"/>
    <mergeCell ref="B1036:C1036"/>
    <mergeCell ref="D1036:E1036"/>
    <mergeCell ref="F1036:G1036"/>
    <mergeCell ref="H1036:I1036"/>
    <mergeCell ref="L1036:M1036"/>
    <mergeCell ref="P1036:Q1036"/>
    <mergeCell ref="R1036:S1036"/>
    <mergeCell ref="T1036:U1036"/>
    <mergeCell ref="V1036:W1036"/>
    <mergeCell ref="X1036:AA1036"/>
    <mergeCell ref="AB1036:AE1036"/>
    <mergeCell ref="AJ1036:AK1036"/>
    <mergeCell ref="AL1036:AM1036"/>
    <mergeCell ref="B1035:C1035"/>
    <mergeCell ref="D1035:E1035"/>
    <mergeCell ref="F1035:G1035"/>
    <mergeCell ref="H1035:I1035"/>
    <mergeCell ref="L1035:M1035"/>
    <mergeCell ref="P1035:Q1035"/>
    <mergeCell ref="R1035:S1035"/>
    <mergeCell ref="T1035:U1035"/>
    <mergeCell ref="V1035:W1035"/>
    <mergeCell ref="X1035:AA1035"/>
    <mergeCell ref="AB1035:AE1035"/>
    <mergeCell ref="AJ1035:AK1035"/>
    <mergeCell ref="AV1035:AW1035"/>
    <mergeCell ref="AV1036:AW1036"/>
    <mergeCell ref="AV1037:AW1037"/>
    <mergeCell ref="AH1035:AI1035"/>
    <mergeCell ref="AR1038:AS1038"/>
    <mergeCell ref="AT1038:AU1038"/>
    <mergeCell ref="AX1038:AZ1038"/>
    <mergeCell ref="BA1038:BB1038"/>
    <mergeCell ref="BD1038:BE1038"/>
    <mergeCell ref="BF1038:BI1038"/>
    <mergeCell ref="BJ1038:BM1038"/>
    <mergeCell ref="BN1038:BV1038"/>
    <mergeCell ref="B1039:C1039"/>
    <mergeCell ref="D1039:E1039"/>
    <mergeCell ref="F1039:G1039"/>
    <mergeCell ref="H1039:I1039"/>
    <mergeCell ref="L1039:M1039"/>
    <mergeCell ref="P1039:Q1039"/>
    <mergeCell ref="R1039:S1039"/>
    <mergeCell ref="T1039:U1039"/>
    <mergeCell ref="V1039:W1039"/>
    <mergeCell ref="X1039:AA1039"/>
    <mergeCell ref="AB1039:AE1039"/>
    <mergeCell ref="AJ1039:AK1039"/>
    <mergeCell ref="AL1039:AM1039"/>
    <mergeCell ref="AN1039:AO1039"/>
    <mergeCell ref="AP1039:AQ1039"/>
    <mergeCell ref="AR1039:AS1039"/>
    <mergeCell ref="AP1037:AQ1037"/>
    <mergeCell ref="AR1037:AS1037"/>
    <mergeCell ref="AT1037:AU1037"/>
    <mergeCell ref="AX1037:AZ1037"/>
    <mergeCell ref="BA1037:BB1037"/>
    <mergeCell ref="BD1037:BE1037"/>
    <mergeCell ref="BF1037:BI1037"/>
    <mergeCell ref="BJ1037:BM1037"/>
    <mergeCell ref="BN1037:BV1037"/>
    <mergeCell ref="B1038:C1038"/>
    <mergeCell ref="D1038:E1038"/>
    <mergeCell ref="F1038:G1038"/>
    <mergeCell ref="H1038:I1038"/>
    <mergeCell ref="L1038:M1038"/>
    <mergeCell ref="P1038:Q1038"/>
    <mergeCell ref="R1038:S1038"/>
    <mergeCell ref="T1038:U1038"/>
    <mergeCell ref="V1038:W1038"/>
    <mergeCell ref="X1038:AA1038"/>
    <mergeCell ref="AB1038:AE1038"/>
    <mergeCell ref="AJ1038:AK1038"/>
    <mergeCell ref="AL1038:AM1038"/>
    <mergeCell ref="AN1038:AO1038"/>
    <mergeCell ref="AP1038:AQ1038"/>
    <mergeCell ref="AV1038:AW1038"/>
    <mergeCell ref="AV1039:AW1039"/>
    <mergeCell ref="AF1039:AG1039"/>
    <mergeCell ref="J1038:K1038"/>
    <mergeCell ref="AX1040:AZ1040"/>
    <mergeCell ref="BA1040:BB1040"/>
    <mergeCell ref="BD1040:BE1040"/>
    <mergeCell ref="BF1040:BI1040"/>
    <mergeCell ref="BJ1040:BM1040"/>
    <mergeCell ref="BN1040:BV1040"/>
    <mergeCell ref="B1041:C1041"/>
    <mergeCell ref="D1041:E1041"/>
    <mergeCell ref="F1041:G1041"/>
    <mergeCell ref="H1041:I1041"/>
    <mergeCell ref="L1041:M1041"/>
    <mergeCell ref="P1041:Q1041"/>
    <mergeCell ref="R1041:S1041"/>
    <mergeCell ref="T1041:U1041"/>
    <mergeCell ref="V1041:W1041"/>
    <mergeCell ref="X1041:AA1041"/>
    <mergeCell ref="AB1041:AE1041"/>
    <mergeCell ref="AJ1041:AK1041"/>
    <mergeCell ref="AL1041:AM1041"/>
    <mergeCell ref="AN1041:AO1041"/>
    <mergeCell ref="AP1041:AQ1041"/>
    <mergeCell ref="AR1041:AS1041"/>
    <mergeCell ref="AT1041:AU1041"/>
    <mergeCell ref="AX1041:AZ1041"/>
    <mergeCell ref="AT1039:AU1039"/>
    <mergeCell ref="AX1039:AZ1039"/>
    <mergeCell ref="BA1039:BB1039"/>
    <mergeCell ref="BD1039:BE1039"/>
    <mergeCell ref="BF1039:BI1039"/>
    <mergeCell ref="BJ1039:BM1039"/>
    <mergeCell ref="BN1039:BV1039"/>
    <mergeCell ref="B1040:C1040"/>
    <mergeCell ref="D1040:E1040"/>
    <mergeCell ref="F1040:G1040"/>
    <mergeCell ref="H1040:I1040"/>
    <mergeCell ref="L1040:M1040"/>
    <mergeCell ref="P1040:Q1040"/>
    <mergeCell ref="R1040:S1040"/>
    <mergeCell ref="T1040:U1040"/>
    <mergeCell ref="V1040:W1040"/>
    <mergeCell ref="X1040:AA1040"/>
    <mergeCell ref="AB1040:AE1040"/>
    <mergeCell ref="AJ1040:AK1040"/>
    <mergeCell ref="AL1040:AM1040"/>
    <mergeCell ref="AN1040:AO1040"/>
    <mergeCell ref="AP1040:AQ1040"/>
    <mergeCell ref="AR1040:AS1040"/>
    <mergeCell ref="AT1040:AU1040"/>
    <mergeCell ref="AV1040:AW1040"/>
    <mergeCell ref="AV1041:AW1041"/>
    <mergeCell ref="AF1040:AG1040"/>
    <mergeCell ref="AF1041:AG1041"/>
    <mergeCell ref="J1039:K1039"/>
    <mergeCell ref="J1040:K1040"/>
    <mergeCell ref="BD1042:BE1042"/>
    <mergeCell ref="BF1042:BI1042"/>
    <mergeCell ref="BJ1042:BM1042"/>
    <mergeCell ref="BN1042:BV1042"/>
    <mergeCell ref="B1043:C1043"/>
    <mergeCell ref="D1043:E1043"/>
    <mergeCell ref="F1043:G1043"/>
    <mergeCell ref="H1043:I1043"/>
    <mergeCell ref="L1043:M1043"/>
    <mergeCell ref="P1043:Q1043"/>
    <mergeCell ref="R1043:S1043"/>
    <mergeCell ref="T1043:U1043"/>
    <mergeCell ref="V1043:W1043"/>
    <mergeCell ref="X1043:AA1043"/>
    <mergeCell ref="AB1043:AE1043"/>
    <mergeCell ref="AJ1043:AK1043"/>
    <mergeCell ref="AL1043:AM1043"/>
    <mergeCell ref="AN1043:AO1043"/>
    <mergeCell ref="AP1043:AQ1043"/>
    <mergeCell ref="AR1043:AS1043"/>
    <mergeCell ref="AT1043:AU1043"/>
    <mergeCell ref="AX1043:AZ1043"/>
    <mergeCell ref="BA1043:BB1043"/>
    <mergeCell ref="BD1043:BE1043"/>
    <mergeCell ref="BA1041:BB1041"/>
    <mergeCell ref="BD1041:BE1041"/>
    <mergeCell ref="BF1041:BI1041"/>
    <mergeCell ref="BJ1041:BM1041"/>
    <mergeCell ref="BN1041:BV1041"/>
    <mergeCell ref="B1042:C1042"/>
    <mergeCell ref="D1042:E1042"/>
    <mergeCell ref="F1042:G1042"/>
    <mergeCell ref="H1042:I1042"/>
    <mergeCell ref="L1042:M1042"/>
    <mergeCell ref="P1042:Q1042"/>
    <mergeCell ref="R1042:S1042"/>
    <mergeCell ref="T1042:U1042"/>
    <mergeCell ref="V1042:W1042"/>
    <mergeCell ref="X1042:AA1042"/>
    <mergeCell ref="AB1042:AE1042"/>
    <mergeCell ref="AJ1042:AK1042"/>
    <mergeCell ref="AL1042:AM1042"/>
    <mergeCell ref="AN1042:AO1042"/>
    <mergeCell ref="AP1042:AQ1042"/>
    <mergeCell ref="AR1042:AS1042"/>
    <mergeCell ref="AT1042:AU1042"/>
    <mergeCell ref="AX1042:AZ1042"/>
    <mergeCell ref="BA1042:BB1042"/>
    <mergeCell ref="AV1042:AW1042"/>
    <mergeCell ref="AV1043:AW1043"/>
    <mergeCell ref="AF1042:AG1042"/>
    <mergeCell ref="AF1043:AG1043"/>
    <mergeCell ref="J1041:K1041"/>
    <mergeCell ref="J1042:K1042"/>
    <mergeCell ref="BJ1044:BM1044"/>
    <mergeCell ref="BN1044:BV1044"/>
    <mergeCell ref="B1045:C1045"/>
    <mergeCell ref="D1045:E1045"/>
    <mergeCell ref="F1045:G1045"/>
    <mergeCell ref="H1045:I1045"/>
    <mergeCell ref="L1045:M1045"/>
    <mergeCell ref="P1045:Q1045"/>
    <mergeCell ref="R1045:S1045"/>
    <mergeCell ref="T1045:U1045"/>
    <mergeCell ref="V1045:W1045"/>
    <mergeCell ref="X1045:AA1045"/>
    <mergeCell ref="AB1045:AE1045"/>
    <mergeCell ref="AJ1045:AK1045"/>
    <mergeCell ref="AL1045:AM1045"/>
    <mergeCell ref="AN1045:AO1045"/>
    <mergeCell ref="AP1045:AQ1045"/>
    <mergeCell ref="AR1045:AS1045"/>
    <mergeCell ref="AT1045:AU1045"/>
    <mergeCell ref="AX1045:AZ1045"/>
    <mergeCell ref="BA1045:BB1045"/>
    <mergeCell ref="BD1045:BE1045"/>
    <mergeCell ref="BF1045:BI1045"/>
    <mergeCell ref="BJ1045:BM1045"/>
    <mergeCell ref="BF1043:BI1043"/>
    <mergeCell ref="BJ1043:BM1043"/>
    <mergeCell ref="BN1043:BV1043"/>
    <mergeCell ref="B1044:C1044"/>
    <mergeCell ref="D1044:E1044"/>
    <mergeCell ref="F1044:G1044"/>
    <mergeCell ref="H1044:I1044"/>
    <mergeCell ref="L1044:M1044"/>
    <mergeCell ref="P1044:Q1044"/>
    <mergeCell ref="R1044:S1044"/>
    <mergeCell ref="T1044:U1044"/>
    <mergeCell ref="V1044:W1044"/>
    <mergeCell ref="X1044:AA1044"/>
    <mergeCell ref="AB1044:AE1044"/>
    <mergeCell ref="AJ1044:AK1044"/>
    <mergeCell ref="AL1044:AM1044"/>
    <mergeCell ref="AN1044:AO1044"/>
    <mergeCell ref="AP1044:AQ1044"/>
    <mergeCell ref="AR1044:AS1044"/>
    <mergeCell ref="AT1044:AU1044"/>
    <mergeCell ref="AX1044:AZ1044"/>
    <mergeCell ref="BA1044:BB1044"/>
    <mergeCell ref="BD1044:BE1044"/>
    <mergeCell ref="BF1044:BI1044"/>
    <mergeCell ref="AV1044:AW1044"/>
    <mergeCell ref="AV1045:AW1045"/>
    <mergeCell ref="AF1044:AG1044"/>
    <mergeCell ref="AF1045:AG1045"/>
    <mergeCell ref="J1043:K1043"/>
    <mergeCell ref="J1044:K1044"/>
    <mergeCell ref="BN1046:BV1046"/>
    <mergeCell ref="B1047:C1047"/>
    <mergeCell ref="D1047:E1047"/>
    <mergeCell ref="F1047:G1047"/>
    <mergeCell ref="H1047:I1047"/>
    <mergeCell ref="L1047:M1047"/>
    <mergeCell ref="P1047:Q1047"/>
    <mergeCell ref="R1047:S1047"/>
    <mergeCell ref="T1047:U1047"/>
    <mergeCell ref="V1047:W1047"/>
    <mergeCell ref="X1047:AA1047"/>
    <mergeCell ref="AB1047:AE1047"/>
    <mergeCell ref="AJ1047:AK1047"/>
    <mergeCell ref="AL1047:AM1047"/>
    <mergeCell ref="AN1047:AO1047"/>
    <mergeCell ref="AP1047:AQ1047"/>
    <mergeCell ref="AR1047:AS1047"/>
    <mergeCell ref="AT1047:AU1047"/>
    <mergeCell ref="AX1047:AZ1047"/>
    <mergeCell ref="BA1047:BB1047"/>
    <mergeCell ref="BD1047:BE1047"/>
    <mergeCell ref="BF1047:BI1047"/>
    <mergeCell ref="BJ1047:BM1047"/>
    <mergeCell ref="BN1045:BV1045"/>
    <mergeCell ref="B1046:C1046"/>
    <mergeCell ref="D1046:E1046"/>
    <mergeCell ref="F1046:G1046"/>
    <mergeCell ref="H1046:I1046"/>
    <mergeCell ref="L1046:M1046"/>
    <mergeCell ref="P1046:Q1046"/>
    <mergeCell ref="R1046:S1046"/>
    <mergeCell ref="T1046:U1046"/>
    <mergeCell ref="V1046:W1046"/>
    <mergeCell ref="X1046:AA1046"/>
    <mergeCell ref="AB1046:AE1046"/>
    <mergeCell ref="AJ1046:AK1046"/>
    <mergeCell ref="AL1046:AM1046"/>
    <mergeCell ref="AN1046:AO1046"/>
    <mergeCell ref="AP1046:AQ1046"/>
    <mergeCell ref="AR1046:AS1046"/>
    <mergeCell ref="AT1046:AU1046"/>
    <mergeCell ref="AX1046:AZ1046"/>
    <mergeCell ref="BA1046:BB1046"/>
    <mergeCell ref="BD1046:BE1046"/>
    <mergeCell ref="BF1046:BI1046"/>
    <mergeCell ref="BJ1046:BM1046"/>
    <mergeCell ref="AV1046:AW1046"/>
    <mergeCell ref="AV1047:AW1047"/>
    <mergeCell ref="AF1046:AG1046"/>
    <mergeCell ref="AF1047:AG1047"/>
    <mergeCell ref="J1045:K1045"/>
    <mergeCell ref="J1046:K1046"/>
    <mergeCell ref="BN1048:BV1048"/>
    <mergeCell ref="B1049:C1049"/>
    <mergeCell ref="D1049:E1049"/>
    <mergeCell ref="F1049:G1049"/>
    <mergeCell ref="H1049:I1049"/>
    <mergeCell ref="L1049:M1049"/>
    <mergeCell ref="P1049:Q1049"/>
    <mergeCell ref="R1049:S1049"/>
    <mergeCell ref="T1049:U1049"/>
    <mergeCell ref="V1049:W1049"/>
    <mergeCell ref="X1049:AA1049"/>
    <mergeCell ref="AB1049:AE1049"/>
    <mergeCell ref="AJ1049:AK1049"/>
    <mergeCell ref="AL1049:AM1049"/>
    <mergeCell ref="AN1049:AO1049"/>
    <mergeCell ref="AP1049:AQ1049"/>
    <mergeCell ref="AR1049:AS1049"/>
    <mergeCell ref="AT1049:AU1049"/>
    <mergeCell ref="AX1049:AZ1049"/>
    <mergeCell ref="BA1049:BB1049"/>
    <mergeCell ref="BD1049:BE1049"/>
    <mergeCell ref="BF1049:BI1049"/>
    <mergeCell ref="BJ1049:BM1049"/>
    <mergeCell ref="BN1049:BV1049"/>
    <mergeCell ref="BN1047:BV1047"/>
    <mergeCell ref="B1048:C1048"/>
    <mergeCell ref="D1048:E1048"/>
    <mergeCell ref="F1048:G1048"/>
    <mergeCell ref="H1048:I1048"/>
    <mergeCell ref="L1048:M1048"/>
    <mergeCell ref="P1048:Q1048"/>
    <mergeCell ref="R1048:S1048"/>
    <mergeCell ref="T1048:U1048"/>
    <mergeCell ref="V1048:W1048"/>
    <mergeCell ref="X1048:AA1048"/>
    <mergeCell ref="AB1048:AE1048"/>
    <mergeCell ref="AJ1048:AK1048"/>
    <mergeCell ref="AL1048:AM1048"/>
    <mergeCell ref="AN1048:AO1048"/>
    <mergeCell ref="AP1048:AQ1048"/>
    <mergeCell ref="AR1048:AS1048"/>
    <mergeCell ref="AT1048:AU1048"/>
    <mergeCell ref="AX1048:AZ1048"/>
    <mergeCell ref="BA1048:BB1048"/>
    <mergeCell ref="BD1048:BE1048"/>
    <mergeCell ref="BF1048:BI1048"/>
    <mergeCell ref="BJ1048:BM1048"/>
    <mergeCell ref="AV1048:AW1048"/>
    <mergeCell ref="AV1049:AW1049"/>
    <mergeCell ref="AF1048:AG1048"/>
    <mergeCell ref="AF1049:AG1049"/>
    <mergeCell ref="J1047:K1047"/>
    <mergeCell ref="J1048:K1048"/>
    <mergeCell ref="J1049:K1049"/>
    <mergeCell ref="AN1051:AO1051"/>
    <mergeCell ref="AP1051:AQ1051"/>
    <mergeCell ref="AR1051:AS1051"/>
    <mergeCell ref="AT1051:AU1051"/>
    <mergeCell ref="AX1051:AZ1051"/>
    <mergeCell ref="BA1051:BB1051"/>
    <mergeCell ref="BD1051:BE1051"/>
    <mergeCell ref="BF1051:BI1051"/>
    <mergeCell ref="BJ1051:BM1051"/>
    <mergeCell ref="BN1051:BV1051"/>
    <mergeCell ref="B1052:C1052"/>
    <mergeCell ref="D1052:E1052"/>
    <mergeCell ref="F1052:G1052"/>
    <mergeCell ref="H1052:I1052"/>
    <mergeCell ref="L1052:M1052"/>
    <mergeCell ref="P1052:Q1052"/>
    <mergeCell ref="R1052:S1052"/>
    <mergeCell ref="T1052:U1052"/>
    <mergeCell ref="V1052:W1052"/>
    <mergeCell ref="X1052:AA1052"/>
    <mergeCell ref="AB1052:AE1052"/>
    <mergeCell ref="AJ1052:AK1052"/>
    <mergeCell ref="AL1052:AM1052"/>
    <mergeCell ref="AN1052:AO1052"/>
    <mergeCell ref="AL1050:AM1050"/>
    <mergeCell ref="AN1050:AO1050"/>
    <mergeCell ref="AP1050:AQ1050"/>
    <mergeCell ref="AR1050:AS1050"/>
    <mergeCell ref="AT1050:AU1050"/>
    <mergeCell ref="AX1050:AZ1050"/>
    <mergeCell ref="BA1050:BB1050"/>
    <mergeCell ref="BD1050:BE1050"/>
    <mergeCell ref="BF1050:BI1050"/>
    <mergeCell ref="BJ1050:BM1050"/>
    <mergeCell ref="BN1050:BV1050"/>
    <mergeCell ref="B1051:C1051"/>
    <mergeCell ref="D1051:E1051"/>
    <mergeCell ref="F1051:G1051"/>
    <mergeCell ref="H1051:I1051"/>
    <mergeCell ref="L1051:M1051"/>
    <mergeCell ref="P1051:Q1051"/>
    <mergeCell ref="R1051:S1051"/>
    <mergeCell ref="T1051:U1051"/>
    <mergeCell ref="V1051:W1051"/>
    <mergeCell ref="X1051:AA1051"/>
    <mergeCell ref="AB1051:AE1051"/>
    <mergeCell ref="AJ1051:AK1051"/>
    <mergeCell ref="AL1051:AM1051"/>
    <mergeCell ref="B1050:C1050"/>
    <mergeCell ref="D1050:E1050"/>
    <mergeCell ref="F1050:G1050"/>
    <mergeCell ref="H1050:I1050"/>
    <mergeCell ref="L1050:M1050"/>
    <mergeCell ref="P1050:Q1050"/>
    <mergeCell ref="R1050:S1050"/>
    <mergeCell ref="T1050:U1050"/>
    <mergeCell ref="V1050:W1050"/>
    <mergeCell ref="X1050:AA1050"/>
    <mergeCell ref="AB1050:AE1050"/>
    <mergeCell ref="AJ1050:AK1050"/>
    <mergeCell ref="AV1050:AW1050"/>
    <mergeCell ref="AV1051:AW1051"/>
    <mergeCell ref="AV1052:AW1052"/>
    <mergeCell ref="AF1050:AG1050"/>
    <mergeCell ref="AR1053:AS1053"/>
    <mergeCell ref="AT1053:AU1053"/>
    <mergeCell ref="AX1053:AZ1053"/>
    <mergeCell ref="BA1053:BB1053"/>
    <mergeCell ref="BD1053:BE1053"/>
    <mergeCell ref="BF1053:BI1053"/>
    <mergeCell ref="BJ1053:BM1053"/>
    <mergeCell ref="BN1053:BV1053"/>
    <mergeCell ref="B1054:C1054"/>
    <mergeCell ref="D1054:E1054"/>
    <mergeCell ref="F1054:G1054"/>
    <mergeCell ref="H1054:I1054"/>
    <mergeCell ref="L1054:M1054"/>
    <mergeCell ref="P1054:Q1054"/>
    <mergeCell ref="R1054:S1054"/>
    <mergeCell ref="T1054:U1054"/>
    <mergeCell ref="V1054:W1054"/>
    <mergeCell ref="X1054:AA1054"/>
    <mergeCell ref="AB1054:AE1054"/>
    <mergeCell ref="AJ1054:AK1054"/>
    <mergeCell ref="AL1054:AM1054"/>
    <mergeCell ref="AN1054:AO1054"/>
    <mergeCell ref="AP1054:AQ1054"/>
    <mergeCell ref="AR1054:AS1054"/>
    <mergeCell ref="AP1052:AQ1052"/>
    <mergeCell ref="AR1052:AS1052"/>
    <mergeCell ref="AT1052:AU1052"/>
    <mergeCell ref="AX1052:AZ1052"/>
    <mergeCell ref="BA1052:BB1052"/>
    <mergeCell ref="BD1052:BE1052"/>
    <mergeCell ref="BF1052:BI1052"/>
    <mergeCell ref="BJ1052:BM1052"/>
    <mergeCell ref="BN1052:BV1052"/>
    <mergeCell ref="B1053:C1053"/>
    <mergeCell ref="D1053:E1053"/>
    <mergeCell ref="F1053:G1053"/>
    <mergeCell ref="H1053:I1053"/>
    <mergeCell ref="L1053:M1053"/>
    <mergeCell ref="P1053:Q1053"/>
    <mergeCell ref="R1053:S1053"/>
    <mergeCell ref="T1053:U1053"/>
    <mergeCell ref="V1053:W1053"/>
    <mergeCell ref="X1053:AA1053"/>
    <mergeCell ref="AB1053:AE1053"/>
    <mergeCell ref="AJ1053:AK1053"/>
    <mergeCell ref="AL1053:AM1053"/>
    <mergeCell ref="AN1053:AO1053"/>
    <mergeCell ref="AP1053:AQ1053"/>
    <mergeCell ref="AV1053:AW1053"/>
    <mergeCell ref="AV1054:AW1054"/>
    <mergeCell ref="AX1055:AZ1055"/>
    <mergeCell ref="BA1055:BB1055"/>
    <mergeCell ref="BD1055:BE1055"/>
    <mergeCell ref="BF1055:BI1055"/>
    <mergeCell ref="BJ1055:BM1055"/>
    <mergeCell ref="BN1055:BV1055"/>
    <mergeCell ref="B1056:C1056"/>
    <mergeCell ref="D1056:E1056"/>
    <mergeCell ref="F1056:G1056"/>
    <mergeCell ref="H1056:I1056"/>
    <mergeCell ref="L1056:M1056"/>
    <mergeCell ref="P1056:Q1056"/>
    <mergeCell ref="R1056:S1056"/>
    <mergeCell ref="T1056:U1056"/>
    <mergeCell ref="V1056:W1056"/>
    <mergeCell ref="X1056:AA1056"/>
    <mergeCell ref="AB1056:AE1056"/>
    <mergeCell ref="AJ1056:AK1056"/>
    <mergeCell ref="AL1056:AM1056"/>
    <mergeCell ref="AN1056:AO1056"/>
    <mergeCell ref="AP1056:AQ1056"/>
    <mergeCell ref="AR1056:AS1056"/>
    <mergeCell ref="AT1056:AU1056"/>
    <mergeCell ref="AX1056:AZ1056"/>
    <mergeCell ref="AT1054:AU1054"/>
    <mergeCell ref="AX1054:AZ1054"/>
    <mergeCell ref="BA1054:BB1054"/>
    <mergeCell ref="BD1054:BE1054"/>
    <mergeCell ref="BF1054:BI1054"/>
    <mergeCell ref="BJ1054:BM1054"/>
    <mergeCell ref="BN1054:BV1054"/>
    <mergeCell ref="B1055:C1055"/>
    <mergeCell ref="D1055:E1055"/>
    <mergeCell ref="F1055:G1055"/>
    <mergeCell ref="H1055:I1055"/>
    <mergeCell ref="L1055:M1055"/>
    <mergeCell ref="P1055:Q1055"/>
    <mergeCell ref="R1055:S1055"/>
    <mergeCell ref="T1055:U1055"/>
    <mergeCell ref="V1055:W1055"/>
    <mergeCell ref="X1055:AA1055"/>
    <mergeCell ref="AB1055:AE1055"/>
    <mergeCell ref="AJ1055:AK1055"/>
    <mergeCell ref="AL1055:AM1055"/>
    <mergeCell ref="AN1055:AO1055"/>
    <mergeCell ref="AP1055:AQ1055"/>
    <mergeCell ref="AR1055:AS1055"/>
    <mergeCell ref="AT1055:AU1055"/>
    <mergeCell ref="AV1055:AW1055"/>
    <mergeCell ref="AV1056:AW1056"/>
    <mergeCell ref="BD1057:BE1057"/>
    <mergeCell ref="BF1057:BI1057"/>
    <mergeCell ref="BJ1057:BM1057"/>
    <mergeCell ref="BN1057:BV1057"/>
    <mergeCell ref="B1058:C1058"/>
    <mergeCell ref="D1058:E1058"/>
    <mergeCell ref="F1058:G1058"/>
    <mergeCell ref="H1058:I1058"/>
    <mergeCell ref="L1058:M1058"/>
    <mergeCell ref="P1058:Q1058"/>
    <mergeCell ref="R1058:S1058"/>
    <mergeCell ref="T1058:U1058"/>
    <mergeCell ref="V1058:W1058"/>
    <mergeCell ref="X1058:AA1058"/>
    <mergeCell ref="AB1058:AE1058"/>
    <mergeCell ref="AJ1058:AK1058"/>
    <mergeCell ref="AL1058:AM1058"/>
    <mergeCell ref="AN1058:AO1058"/>
    <mergeCell ref="AP1058:AQ1058"/>
    <mergeCell ref="AR1058:AS1058"/>
    <mergeCell ref="AT1058:AU1058"/>
    <mergeCell ref="AX1058:AZ1058"/>
    <mergeCell ref="BA1058:BB1058"/>
    <mergeCell ref="BD1058:BE1058"/>
    <mergeCell ref="BA1056:BB1056"/>
    <mergeCell ref="BD1056:BE1056"/>
    <mergeCell ref="BF1056:BI1056"/>
    <mergeCell ref="BJ1056:BM1056"/>
    <mergeCell ref="BN1056:BV1056"/>
    <mergeCell ref="B1057:C1057"/>
    <mergeCell ref="D1057:E1057"/>
    <mergeCell ref="F1057:G1057"/>
    <mergeCell ref="H1057:I1057"/>
    <mergeCell ref="L1057:M1057"/>
    <mergeCell ref="P1057:Q1057"/>
    <mergeCell ref="R1057:S1057"/>
    <mergeCell ref="T1057:U1057"/>
    <mergeCell ref="V1057:W1057"/>
    <mergeCell ref="X1057:AA1057"/>
    <mergeCell ref="AB1057:AE1057"/>
    <mergeCell ref="AJ1057:AK1057"/>
    <mergeCell ref="AL1057:AM1057"/>
    <mergeCell ref="AN1057:AO1057"/>
    <mergeCell ref="AP1057:AQ1057"/>
    <mergeCell ref="AR1057:AS1057"/>
    <mergeCell ref="AT1057:AU1057"/>
    <mergeCell ref="AX1057:AZ1057"/>
    <mergeCell ref="BA1057:BB1057"/>
    <mergeCell ref="AV1057:AW1057"/>
    <mergeCell ref="AV1058:AW1058"/>
    <mergeCell ref="BJ1059:BM1059"/>
    <mergeCell ref="BN1059:BV1059"/>
    <mergeCell ref="B1060:C1060"/>
    <mergeCell ref="D1060:E1060"/>
    <mergeCell ref="F1060:G1060"/>
    <mergeCell ref="H1060:I1060"/>
    <mergeCell ref="L1060:M1060"/>
    <mergeCell ref="P1060:Q1060"/>
    <mergeCell ref="R1060:S1060"/>
    <mergeCell ref="T1060:U1060"/>
    <mergeCell ref="V1060:W1060"/>
    <mergeCell ref="X1060:AA1060"/>
    <mergeCell ref="AB1060:AE1060"/>
    <mergeCell ref="AJ1060:AK1060"/>
    <mergeCell ref="AL1060:AM1060"/>
    <mergeCell ref="AN1060:AO1060"/>
    <mergeCell ref="AP1060:AQ1060"/>
    <mergeCell ref="AR1060:AS1060"/>
    <mergeCell ref="AT1060:AU1060"/>
    <mergeCell ref="AX1060:AZ1060"/>
    <mergeCell ref="BA1060:BB1060"/>
    <mergeCell ref="BD1060:BE1060"/>
    <mergeCell ref="BF1060:BI1060"/>
    <mergeCell ref="BJ1060:BM1060"/>
    <mergeCell ref="BF1058:BI1058"/>
    <mergeCell ref="BJ1058:BM1058"/>
    <mergeCell ref="BN1058:BV1058"/>
    <mergeCell ref="B1059:C1059"/>
    <mergeCell ref="D1059:E1059"/>
    <mergeCell ref="F1059:G1059"/>
    <mergeCell ref="H1059:I1059"/>
    <mergeCell ref="L1059:M1059"/>
    <mergeCell ref="P1059:Q1059"/>
    <mergeCell ref="R1059:S1059"/>
    <mergeCell ref="T1059:U1059"/>
    <mergeCell ref="V1059:W1059"/>
    <mergeCell ref="X1059:AA1059"/>
    <mergeCell ref="AB1059:AE1059"/>
    <mergeCell ref="AJ1059:AK1059"/>
    <mergeCell ref="AL1059:AM1059"/>
    <mergeCell ref="AN1059:AO1059"/>
    <mergeCell ref="AP1059:AQ1059"/>
    <mergeCell ref="AR1059:AS1059"/>
    <mergeCell ref="AT1059:AU1059"/>
    <mergeCell ref="AX1059:AZ1059"/>
    <mergeCell ref="BA1059:BB1059"/>
    <mergeCell ref="BD1059:BE1059"/>
    <mergeCell ref="BF1059:BI1059"/>
    <mergeCell ref="AV1059:AW1059"/>
    <mergeCell ref="AV1060:AW1060"/>
    <mergeCell ref="BN1061:BV1061"/>
    <mergeCell ref="B1062:C1062"/>
    <mergeCell ref="D1062:E1062"/>
    <mergeCell ref="F1062:G1062"/>
    <mergeCell ref="H1062:I1062"/>
    <mergeCell ref="L1062:M1062"/>
    <mergeCell ref="P1062:Q1062"/>
    <mergeCell ref="R1062:S1062"/>
    <mergeCell ref="T1062:U1062"/>
    <mergeCell ref="V1062:W1062"/>
    <mergeCell ref="X1062:AA1062"/>
    <mergeCell ref="AB1062:AE1062"/>
    <mergeCell ref="AJ1062:AK1062"/>
    <mergeCell ref="AL1062:AM1062"/>
    <mergeCell ref="AN1062:AO1062"/>
    <mergeCell ref="AP1062:AQ1062"/>
    <mergeCell ref="AR1062:AS1062"/>
    <mergeCell ref="AT1062:AU1062"/>
    <mergeCell ref="AX1062:AZ1062"/>
    <mergeCell ref="BA1062:BB1062"/>
    <mergeCell ref="BD1062:BE1062"/>
    <mergeCell ref="BF1062:BI1062"/>
    <mergeCell ref="BJ1062:BM1062"/>
    <mergeCell ref="BN1060:BV1060"/>
    <mergeCell ref="B1061:C1061"/>
    <mergeCell ref="D1061:E1061"/>
    <mergeCell ref="F1061:G1061"/>
    <mergeCell ref="H1061:I1061"/>
    <mergeCell ref="L1061:M1061"/>
    <mergeCell ref="P1061:Q1061"/>
    <mergeCell ref="R1061:S1061"/>
    <mergeCell ref="T1061:U1061"/>
    <mergeCell ref="V1061:W1061"/>
    <mergeCell ref="X1061:AA1061"/>
    <mergeCell ref="AB1061:AE1061"/>
    <mergeCell ref="AJ1061:AK1061"/>
    <mergeCell ref="AL1061:AM1061"/>
    <mergeCell ref="AN1061:AO1061"/>
    <mergeCell ref="AP1061:AQ1061"/>
    <mergeCell ref="AR1061:AS1061"/>
    <mergeCell ref="AT1061:AU1061"/>
    <mergeCell ref="AX1061:AZ1061"/>
    <mergeCell ref="BA1061:BB1061"/>
    <mergeCell ref="BD1061:BE1061"/>
    <mergeCell ref="BF1061:BI1061"/>
    <mergeCell ref="BJ1061:BM1061"/>
    <mergeCell ref="AV1061:AW1061"/>
    <mergeCell ref="AV1062:AW1062"/>
    <mergeCell ref="BN1063:BV1063"/>
    <mergeCell ref="B1064:C1064"/>
    <mergeCell ref="D1064:E1064"/>
    <mergeCell ref="F1064:G1064"/>
    <mergeCell ref="H1064:I1064"/>
    <mergeCell ref="L1064:M1064"/>
    <mergeCell ref="P1064:Q1064"/>
    <mergeCell ref="R1064:S1064"/>
    <mergeCell ref="T1064:U1064"/>
    <mergeCell ref="V1064:W1064"/>
    <mergeCell ref="X1064:AA1064"/>
    <mergeCell ref="AB1064:AE1064"/>
    <mergeCell ref="AJ1064:AK1064"/>
    <mergeCell ref="AL1064:AM1064"/>
    <mergeCell ref="AN1064:AO1064"/>
    <mergeCell ref="AP1064:AQ1064"/>
    <mergeCell ref="AR1064:AS1064"/>
    <mergeCell ref="AT1064:AU1064"/>
    <mergeCell ref="AX1064:AZ1064"/>
    <mergeCell ref="BA1064:BB1064"/>
    <mergeCell ref="BD1064:BE1064"/>
    <mergeCell ref="BF1064:BI1064"/>
    <mergeCell ref="BJ1064:BM1064"/>
    <mergeCell ref="BN1064:BV1064"/>
    <mergeCell ref="BN1062:BV1062"/>
    <mergeCell ref="B1063:C1063"/>
    <mergeCell ref="D1063:E1063"/>
    <mergeCell ref="F1063:G1063"/>
    <mergeCell ref="H1063:I1063"/>
    <mergeCell ref="L1063:M1063"/>
    <mergeCell ref="P1063:Q1063"/>
    <mergeCell ref="R1063:S1063"/>
    <mergeCell ref="T1063:U1063"/>
    <mergeCell ref="V1063:W1063"/>
    <mergeCell ref="X1063:AA1063"/>
    <mergeCell ref="AB1063:AE1063"/>
    <mergeCell ref="AJ1063:AK1063"/>
    <mergeCell ref="AL1063:AM1063"/>
    <mergeCell ref="AN1063:AO1063"/>
    <mergeCell ref="AP1063:AQ1063"/>
    <mergeCell ref="AR1063:AS1063"/>
    <mergeCell ref="AT1063:AU1063"/>
    <mergeCell ref="AX1063:AZ1063"/>
    <mergeCell ref="BA1063:BB1063"/>
    <mergeCell ref="BD1063:BE1063"/>
    <mergeCell ref="BF1063:BI1063"/>
    <mergeCell ref="BJ1063:BM1063"/>
    <mergeCell ref="AV1063:AW1063"/>
    <mergeCell ref="AV1064:AW1064"/>
    <mergeCell ref="AN1066:AO1066"/>
    <mergeCell ref="AP1066:AQ1066"/>
    <mergeCell ref="AR1066:AS1066"/>
    <mergeCell ref="AT1066:AU1066"/>
    <mergeCell ref="AX1066:AZ1066"/>
    <mergeCell ref="BA1066:BB1066"/>
    <mergeCell ref="BD1066:BE1066"/>
    <mergeCell ref="BF1066:BI1066"/>
    <mergeCell ref="BJ1066:BM1066"/>
    <mergeCell ref="BN1066:BV1066"/>
    <mergeCell ref="B1067:C1067"/>
    <mergeCell ref="D1067:E1067"/>
    <mergeCell ref="F1067:G1067"/>
    <mergeCell ref="H1067:I1067"/>
    <mergeCell ref="L1067:M1067"/>
    <mergeCell ref="P1067:Q1067"/>
    <mergeCell ref="R1067:S1067"/>
    <mergeCell ref="T1067:U1067"/>
    <mergeCell ref="V1067:W1067"/>
    <mergeCell ref="X1067:AA1067"/>
    <mergeCell ref="AB1067:AE1067"/>
    <mergeCell ref="AJ1067:AK1067"/>
    <mergeCell ref="AL1067:AM1067"/>
    <mergeCell ref="AN1067:AO1067"/>
    <mergeCell ref="AL1065:AM1065"/>
    <mergeCell ref="AN1065:AO1065"/>
    <mergeCell ref="AP1065:AQ1065"/>
    <mergeCell ref="AR1065:AS1065"/>
    <mergeCell ref="AT1065:AU1065"/>
    <mergeCell ref="AX1065:AZ1065"/>
    <mergeCell ref="BA1065:BB1065"/>
    <mergeCell ref="BD1065:BE1065"/>
    <mergeCell ref="BF1065:BI1065"/>
    <mergeCell ref="BJ1065:BM1065"/>
    <mergeCell ref="BN1065:BV1065"/>
    <mergeCell ref="B1066:C1066"/>
    <mergeCell ref="D1066:E1066"/>
    <mergeCell ref="F1066:G1066"/>
    <mergeCell ref="H1066:I1066"/>
    <mergeCell ref="L1066:M1066"/>
    <mergeCell ref="P1066:Q1066"/>
    <mergeCell ref="R1066:S1066"/>
    <mergeCell ref="T1066:U1066"/>
    <mergeCell ref="V1066:W1066"/>
    <mergeCell ref="X1066:AA1066"/>
    <mergeCell ref="AB1066:AE1066"/>
    <mergeCell ref="AJ1066:AK1066"/>
    <mergeCell ref="AL1066:AM1066"/>
    <mergeCell ref="B1065:C1065"/>
    <mergeCell ref="D1065:E1065"/>
    <mergeCell ref="F1065:G1065"/>
    <mergeCell ref="H1065:I1065"/>
    <mergeCell ref="L1065:M1065"/>
    <mergeCell ref="P1065:Q1065"/>
    <mergeCell ref="R1065:S1065"/>
    <mergeCell ref="T1065:U1065"/>
    <mergeCell ref="V1065:W1065"/>
    <mergeCell ref="X1065:AA1065"/>
    <mergeCell ref="AB1065:AE1065"/>
    <mergeCell ref="AJ1065:AK1065"/>
    <mergeCell ref="AV1065:AW1065"/>
    <mergeCell ref="AV1066:AW1066"/>
    <mergeCell ref="AV1067:AW1067"/>
    <mergeCell ref="AR1068:AS1068"/>
    <mergeCell ref="AT1068:AU1068"/>
    <mergeCell ref="AX1068:AZ1068"/>
    <mergeCell ref="BA1068:BB1068"/>
    <mergeCell ref="BD1068:BE1068"/>
    <mergeCell ref="BF1068:BI1068"/>
    <mergeCell ref="BJ1068:BM1068"/>
    <mergeCell ref="BN1068:BV1068"/>
    <mergeCell ref="B1069:C1069"/>
    <mergeCell ref="D1069:E1069"/>
    <mergeCell ref="F1069:G1069"/>
    <mergeCell ref="H1069:I1069"/>
    <mergeCell ref="L1069:M1069"/>
    <mergeCell ref="P1069:Q1069"/>
    <mergeCell ref="R1069:S1069"/>
    <mergeCell ref="T1069:U1069"/>
    <mergeCell ref="V1069:W1069"/>
    <mergeCell ref="X1069:AA1069"/>
    <mergeCell ref="AB1069:AE1069"/>
    <mergeCell ref="AJ1069:AK1069"/>
    <mergeCell ref="AL1069:AM1069"/>
    <mergeCell ref="AN1069:AO1069"/>
    <mergeCell ref="AP1069:AQ1069"/>
    <mergeCell ref="AR1069:AS1069"/>
    <mergeCell ref="AP1067:AQ1067"/>
    <mergeCell ref="AR1067:AS1067"/>
    <mergeCell ref="AT1067:AU1067"/>
    <mergeCell ref="AX1067:AZ1067"/>
    <mergeCell ref="BA1067:BB1067"/>
    <mergeCell ref="BD1067:BE1067"/>
    <mergeCell ref="BF1067:BI1067"/>
    <mergeCell ref="BJ1067:BM1067"/>
    <mergeCell ref="BN1067:BV1067"/>
    <mergeCell ref="B1068:C1068"/>
    <mergeCell ref="D1068:E1068"/>
    <mergeCell ref="F1068:G1068"/>
    <mergeCell ref="H1068:I1068"/>
    <mergeCell ref="L1068:M1068"/>
    <mergeCell ref="P1068:Q1068"/>
    <mergeCell ref="R1068:S1068"/>
    <mergeCell ref="T1068:U1068"/>
    <mergeCell ref="V1068:W1068"/>
    <mergeCell ref="X1068:AA1068"/>
    <mergeCell ref="AB1068:AE1068"/>
    <mergeCell ref="AJ1068:AK1068"/>
    <mergeCell ref="AL1068:AM1068"/>
    <mergeCell ref="AN1068:AO1068"/>
    <mergeCell ref="AP1068:AQ1068"/>
    <mergeCell ref="AV1068:AW1068"/>
    <mergeCell ref="AV1069:AW1069"/>
    <mergeCell ref="AX1070:AZ1070"/>
    <mergeCell ref="BA1070:BB1070"/>
    <mergeCell ref="BD1070:BE1070"/>
    <mergeCell ref="BF1070:BI1070"/>
    <mergeCell ref="BJ1070:BM1070"/>
    <mergeCell ref="BN1070:BV1070"/>
    <mergeCell ref="B1071:C1071"/>
    <mergeCell ref="D1071:E1071"/>
    <mergeCell ref="F1071:G1071"/>
    <mergeCell ref="H1071:I1071"/>
    <mergeCell ref="L1071:M1071"/>
    <mergeCell ref="P1071:Q1071"/>
    <mergeCell ref="R1071:S1071"/>
    <mergeCell ref="T1071:U1071"/>
    <mergeCell ref="V1071:W1071"/>
    <mergeCell ref="X1071:AA1071"/>
    <mergeCell ref="AB1071:AE1071"/>
    <mergeCell ref="AJ1071:AK1071"/>
    <mergeCell ref="AL1071:AM1071"/>
    <mergeCell ref="AN1071:AO1071"/>
    <mergeCell ref="AP1071:AQ1071"/>
    <mergeCell ref="AR1071:AS1071"/>
    <mergeCell ref="AT1071:AU1071"/>
    <mergeCell ref="AX1071:AZ1071"/>
    <mergeCell ref="AT1069:AU1069"/>
    <mergeCell ref="AX1069:AZ1069"/>
    <mergeCell ref="BA1069:BB1069"/>
    <mergeCell ref="BD1069:BE1069"/>
    <mergeCell ref="BF1069:BI1069"/>
    <mergeCell ref="BJ1069:BM1069"/>
    <mergeCell ref="BN1069:BV1069"/>
    <mergeCell ref="B1070:C1070"/>
    <mergeCell ref="D1070:E1070"/>
    <mergeCell ref="F1070:G1070"/>
    <mergeCell ref="H1070:I1070"/>
    <mergeCell ref="L1070:M1070"/>
    <mergeCell ref="P1070:Q1070"/>
    <mergeCell ref="R1070:S1070"/>
    <mergeCell ref="T1070:U1070"/>
    <mergeCell ref="V1070:W1070"/>
    <mergeCell ref="X1070:AA1070"/>
    <mergeCell ref="AB1070:AE1070"/>
    <mergeCell ref="AJ1070:AK1070"/>
    <mergeCell ref="AL1070:AM1070"/>
    <mergeCell ref="AN1070:AO1070"/>
    <mergeCell ref="AP1070:AQ1070"/>
    <mergeCell ref="AR1070:AS1070"/>
    <mergeCell ref="AT1070:AU1070"/>
    <mergeCell ref="AV1070:AW1070"/>
    <mergeCell ref="AV1071:AW1071"/>
    <mergeCell ref="AH1069:AI1069"/>
    <mergeCell ref="AH1070:AI1070"/>
    <mergeCell ref="BD1072:BE1072"/>
    <mergeCell ref="BF1072:BI1072"/>
    <mergeCell ref="BJ1072:BM1072"/>
    <mergeCell ref="BN1072:BV1072"/>
    <mergeCell ref="B1073:C1073"/>
    <mergeCell ref="D1073:E1073"/>
    <mergeCell ref="F1073:G1073"/>
    <mergeCell ref="H1073:I1073"/>
    <mergeCell ref="L1073:M1073"/>
    <mergeCell ref="P1073:Q1073"/>
    <mergeCell ref="R1073:S1073"/>
    <mergeCell ref="T1073:U1073"/>
    <mergeCell ref="V1073:W1073"/>
    <mergeCell ref="X1073:AA1073"/>
    <mergeCell ref="AB1073:AE1073"/>
    <mergeCell ref="AJ1073:AK1073"/>
    <mergeCell ref="AL1073:AM1073"/>
    <mergeCell ref="AN1073:AO1073"/>
    <mergeCell ref="AP1073:AQ1073"/>
    <mergeCell ref="AR1073:AS1073"/>
    <mergeCell ref="AT1073:AU1073"/>
    <mergeCell ref="AX1073:AZ1073"/>
    <mergeCell ref="BA1073:BB1073"/>
    <mergeCell ref="BD1073:BE1073"/>
    <mergeCell ref="BA1071:BB1071"/>
    <mergeCell ref="BD1071:BE1071"/>
    <mergeCell ref="BF1071:BI1071"/>
    <mergeCell ref="BJ1071:BM1071"/>
    <mergeCell ref="BN1071:BV1071"/>
    <mergeCell ref="B1072:C1072"/>
    <mergeCell ref="D1072:E1072"/>
    <mergeCell ref="F1072:G1072"/>
    <mergeCell ref="H1072:I1072"/>
    <mergeCell ref="L1072:M1072"/>
    <mergeCell ref="P1072:Q1072"/>
    <mergeCell ref="R1072:S1072"/>
    <mergeCell ref="T1072:U1072"/>
    <mergeCell ref="V1072:W1072"/>
    <mergeCell ref="X1072:AA1072"/>
    <mergeCell ref="AB1072:AE1072"/>
    <mergeCell ref="AJ1072:AK1072"/>
    <mergeCell ref="AL1072:AM1072"/>
    <mergeCell ref="AN1072:AO1072"/>
    <mergeCell ref="AP1072:AQ1072"/>
    <mergeCell ref="AR1072:AS1072"/>
    <mergeCell ref="AT1072:AU1072"/>
    <mergeCell ref="AX1072:AZ1072"/>
    <mergeCell ref="BA1072:BB1072"/>
    <mergeCell ref="AV1072:AW1072"/>
    <mergeCell ref="AV1073:AW1073"/>
    <mergeCell ref="AH1071:AI1071"/>
    <mergeCell ref="AH1072:AI1072"/>
    <mergeCell ref="BJ1074:BM1074"/>
    <mergeCell ref="BN1074:BV1074"/>
    <mergeCell ref="B1075:C1075"/>
    <mergeCell ref="D1075:E1075"/>
    <mergeCell ref="F1075:G1075"/>
    <mergeCell ref="H1075:I1075"/>
    <mergeCell ref="L1075:M1075"/>
    <mergeCell ref="P1075:Q1075"/>
    <mergeCell ref="R1075:S1075"/>
    <mergeCell ref="T1075:U1075"/>
    <mergeCell ref="V1075:W1075"/>
    <mergeCell ref="X1075:AA1075"/>
    <mergeCell ref="AB1075:AE1075"/>
    <mergeCell ref="AJ1075:AK1075"/>
    <mergeCell ref="AL1075:AM1075"/>
    <mergeCell ref="AN1075:AO1075"/>
    <mergeCell ref="AP1075:AQ1075"/>
    <mergeCell ref="AR1075:AS1075"/>
    <mergeCell ref="AT1075:AU1075"/>
    <mergeCell ref="AX1075:AZ1075"/>
    <mergeCell ref="BA1075:BB1075"/>
    <mergeCell ref="BD1075:BE1075"/>
    <mergeCell ref="BF1075:BI1075"/>
    <mergeCell ref="BJ1075:BM1075"/>
    <mergeCell ref="BF1073:BI1073"/>
    <mergeCell ref="BJ1073:BM1073"/>
    <mergeCell ref="BN1073:BV1073"/>
    <mergeCell ref="B1074:C1074"/>
    <mergeCell ref="D1074:E1074"/>
    <mergeCell ref="F1074:G1074"/>
    <mergeCell ref="H1074:I1074"/>
    <mergeCell ref="L1074:M1074"/>
    <mergeCell ref="P1074:Q1074"/>
    <mergeCell ref="R1074:S1074"/>
    <mergeCell ref="T1074:U1074"/>
    <mergeCell ref="V1074:W1074"/>
    <mergeCell ref="X1074:AA1074"/>
    <mergeCell ref="AB1074:AE1074"/>
    <mergeCell ref="AJ1074:AK1074"/>
    <mergeCell ref="AL1074:AM1074"/>
    <mergeCell ref="AN1074:AO1074"/>
    <mergeCell ref="AP1074:AQ1074"/>
    <mergeCell ref="AR1074:AS1074"/>
    <mergeCell ref="AT1074:AU1074"/>
    <mergeCell ref="AX1074:AZ1074"/>
    <mergeCell ref="BA1074:BB1074"/>
    <mergeCell ref="BD1074:BE1074"/>
    <mergeCell ref="BF1074:BI1074"/>
    <mergeCell ref="AV1074:AW1074"/>
    <mergeCell ref="AV1075:AW1075"/>
    <mergeCell ref="AH1073:AI1073"/>
    <mergeCell ref="AH1074:AI1074"/>
    <mergeCell ref="BN1076:BV1076"/>
    <mergeCell ref="B1077:C1077"/>
    <mergeCell ref="D1077:E1077"/>
    <mergeCell ref="F1077:G1077"/>
    <mergeCell ref="H1077:I1077"/>
    <mergeCell ref="L1077:M1077"/>
    <mergeCell ref="P1077:Q1077"/>
    <mergeCell ref="R1077:S1077"/>
    <mergeCell ref="T1077:U1077"/>
    <mergeCell ref="V1077:W1077"/>
    <mergeCell ref="X1077:AA1077"/>
    <mergeCell ref="AB1077:AE1077"/>
    <mergeCell ref="AJ1077:AK1077"/>
    <mergeCell ref="AL1077:AM1077"/>
    <mergeCell ref="AN1077:AO1077"/>
    <mergeCell ref="AP1077:AQ1077"/>
    <mergeCell ref="AR1077:AS1077"/>
    <mergeCell ref="AT1077:AU1077"/>
    <mergeCell ref="AX1077:AZ1077"/>
    <mergeCell ref="BA1077:BB1077"/>
    <mergeCell ref="BD1077:BE1077"/>
    <mergeCell ref="BF1077:BI1077"/>
    <mergeCell ref="BJ1077:BM1077"/>
    <mergeCell ref="BN1075:BV1075"/>
    <mergeCell ref="B1076:C1076"/>
    <mergeCell ref="D1076:E1076"/>
    <mergeCell ref="F1076:G1076"/>
    <mergeCell ref="H1076:I1076"/>
    <mergeCell ref="L1076:M1076"/>
    <mergeCell ref="P1076:Q1076"/>
    <mergeCell ref="R1076:S1076"/>
    <mergeCell ref="T1076:U1076"/>
    <mergeCell ref="V1076:W1076"/>
    <mergeCell ref="X1076:AA1076"/>
    <mergeCell ref="AB1076:AE1076"/>
    <mergeCell ref="AJ1076:AK1076"/>
    <mergeCell ref="AL1076:AM1076"/>
    <mergeCell ref="AN1076:AO1076"/>
    <mergeCell ref="AP1076:AQ1076"/>
    <mergeCell ref="AR1076:AS1076"/>
    <mergeCell ref="AT1076:AU1076"/>
    <mergeCell ref="AX1076:AZ1076"/>
    <mergeCell ref="BA1076:BB1076"/>
    <mergeCell ref="BD1076:BE1076"/>
    <mergeCell ref="BF1076:BI1076"/>
    <mergeCell ref="BJ1076:BM1076"/>
    <mergeCell ref="AV1076:AW1076"/>
    <mergeCell ref="AV1077:AW1077"/>
    <mergeCell ref="AH1075:AI1075"/>
    <mergeCell ref="AH1076:AI1076"/>
    <mergeCell ref="BN1078:BV1078"/>
    <mergeCell ref="B1079:C1079"/>
    <mergeCell ref="D1079:E1079"/>
    <mergeCell ref="F1079:G1079"/>
    <mergeCell ref="H1079:I1079"/>
    <mergeCell ref="L1079:M1079"/>
    <mergeCell ref="P1079:Q1079"/>
    <mergeCell ref="R1079:S1079"/>
    <mergeCell ref="T1079:U1079"/>
    <mergeCell ref="V1079:W1079"/>
    <mergeCell ref="X1079:AA1079"/>
    <mergeCell ref="AB1079:AE1079"/>
    <mergeCell ref="AJ1079:AK1079"/>
    <mergeCell ref="AL1079:AM1079"/>
    <mergeCell ref="AN1079:AO1079"/>
    <mergeCell ref="AP1079:AQ1079"/>
    <mergeCell ref="AR1079:AS1079"/>
    <mergeCell ref="AT1079:AU1079"/>
    <mergeCell ref="AX1079:AZ1079"/>
    <mergeCell ref="BA1079:BB1079"/>
    <mergeCell ref="BD1079:BE1079"/>
    <mergeCell ref="BF1079:BI1079"/>
    <mergeCell ref="BJ1079:BM1079"/>
    <mergeCell ref="BN1079:BV1079"/>
    <mergeCell ref="BN1077:BV1077"/>
    <mergeCell ref="B1078:C1078"/>
    <mergeCell ref="D1078:E1078"/>
    <mergeCell ref="F1078:G1078"/>
    <mergeCell ref="H1078:I1078"/>
    <mergeCell ref="L1078:M1078"/>
    <mergeCell ref="P1078:Q1078"/>
    <mergeCell ref="R1078:S1078"/>
    <mergeCell ref="T1078:U1078"/>
    <mergeCell ref="V1078:W1078"/>
    <mergeCell ref="X1078:AA1078"/>
    <mergeCell ref="AB1078:AE1078"/>
    <mergeCell ref="AJ1078:AK1078"/>
    <mergeCell ref="AL1078:AM1078"/>
    <mergeCell ref="AN1078:AO1078"/>
    <mergeCell ref="AP1078:AQ1078"/>
    <mergeCell ref="AR1078:AS1078"/>
    <mergeCell ref="AT1078:AU1078"/>
    <mergeCell ref="AX1078:AZ1078"/>
    <mergeCell ref="BA1078:BB1078"/>
    <mergeCell ref="BD1078:BE1078"/>
    <mergeCell ref="BF1078:BI1078"/>
    <mergeCell ref="BJ1078:BM1078"/>
    <mergeCell ref="AV1078:AW1078"/>
    <mergeCell ref="AV1079:AW1079"/>
    <mergeCell ref="AH1077:AI1077"/>
    <mergeCell ref="AH1078:AI1078"/>
    <mergeCell ref="AH1079:AI1079"/>
    <mergeCell ref="AN1081:AO1081"/>
    <mergeCell ref="AP1081:AQ1081"/>
    <mergeCell ref="AR1081:AS1081"/>
    <mergeCell ref="AT1081:AU1081"/>
    <mergeCell ref="AX1081:AZ1081"/>
    <mergeCell ref="BA1081:BB1081"/>
    <mergeCell ref="BD1081:BE1081"/>
    <mergeCell ref="BF1081:BI1081"/>
    <mergeCell ref="BJ1081:BM1081"/>
    <mergeCell ref="BN1081:BV1081"/>
    <mergeCell ref="B1082:C1082"/>
    <mergeCell ref="D1082:E1082"/>
    <mergeCell ref="F1082:G1082"/>
    <mergeCell ref="H1082:I1082"/>
    <mergeCell ref="L1082:M1082"/>
    <mergeCell ref="P1082:Q1082"/>
    <mergeCell ref="R1082:S1082"/>
    <mergeCell ref="T1082:U1082"/>
    <mergeCell ref="V1082:W1082"/>
    <mergeCell ref="X1082:AA1082"/>
    <mergeCell ref="AB1082:AE1082"/>
    <mergeCell ref="AJ1082:AK1082"/>
    <mergeCell ref="AL1082:AM1082"/>
    <mergeCell ref="AN1082:AO1082"/>
    <mergeCell ref="AL1080:AM1080"/>
    <mergeCell ref="AN1080:AO1080"/>
    <mergeCell ref="AP1080:AQ1080"/>
    <mergeCell ref="AR1080:AS1080"/>
    <mergeCell ref="AT1080:AU1080"/>
    <mergeCell ref="AX1080:AZ1080"/>
    <mergeCell ref="BA1080:BB1080"/>
    <mergeCell ref="BD1080:BE1080"/>
    <mergeCell ref="BF1080:BI1080"/>
    <mergeCell ref="BJ1080:BM1080"/>
    <mergeCell ref="BN1080:BV1080"/>
    <mergeCell ref="B1081:C1081"/>
    <mergeCell ref="D1081:E1081"/>
    <mergeCell ref="F1081:G1081"/>
    <mergeCell ref="H1081:I1081"/>
    <mergeCell ref="L1081:M1081"/>
    <mergeCell ref="P1081:Q1081"/>
    <mergeCell ref="R1081:S1081"/>
    <mergeCell ref="T1081:U1081"/>
    <mergeCell ref="V1081:W1081"/>
    <mergeCell ref="X1081:AA1081"/>
    <mergeCell ref="AB1081:AE1081"/>
    <mergeCell ref="AJ1081:AK1081"/>
    <mergeCell ref="AL1081:AM1081"/>
    <mergeCell ref="B1080:C1080"/>
    <mergeCell ref="D1080:E1080"/>
    <mergeCell ref="F1080:G1080"/>
    <mergeCell ref="H1080:I1080"/>
    <mergeCell ref="L1080:M1080"/>
    <mergeCell ref="P1080:Q1080"/>
    <mergeCell ref="R1080:S1080"/>
    <mergeCell ref="T1080:U1080"/>
    <mergeCell ref="V1080:W1080"/>
    <mergeCell ref="X1080:AA1080"/>
    <mergeCell ref="AB1080:AE1080"/>
    <mergeCell ref="AJ1080:AK1080"/>
    <mergeCell ref="AV1080:AW1080"/>
    <mergeCell ref="AV1081:AW1081"/>
    <mergeCell ref="AV1082:AW1082"/>
    <mergeCell ref="AH1080:AI1080"/>
    <mergeCell ref="AR1083:AS1083"/>
    <mergeCell ref="AT1083:AU1083"/>
    <mergeCell ref="AX1083:AZ1083"/>
    <mergeCell ref="BA1083:BB1083"/>
    <mergeCell ref="BD1083:BE1083"/>
    <mergeCell ref="BF1083:BI1083"/>
    <mergeCell ref="BJ1083:BM1083"/>
    <mergeCell ref="BN1083:BV1083"/>
    <mergeCell ref="B1084:C1084"/>
    <mergeCell ref="D1084:E1084"/>
    <mergeCell ref="F1084:G1084"/>
    <mergeCell ref="H1084:I1084"/>
    <mergeCell ref="L1084:M1084"/>
    <mergeCell ref="P1084:Q1084"/>
    <mergeCell ref="R1084:S1084"/>
    <mergeCell ref="T1084:U1084"/>
    <mergeCell ref="V1084:W1084"/>
    <mergeCell ref="X1084:AA1084"/>
    <mergeCell ref="AB1084:AE1084"/>
    <mergeCell ref="AJ1084:AK1084"/>
    <mergeCell ref="AL1084:AM1084"/>
    <mergeCell ref="AN1084:AO1084"/>
    <mergeCell ref="AP1084:AQ1084"/>
    <mergeCell ref="AR1084:AS1084"/>
    <mergeCell ref="AP1082:AQ1082"/>
    <mergeCell ref="AR1082:AS1082"/>
    <mergeCell ref="AT1082:AU1082"/>
    <mergeCell ref="AX1082:AZ1082"/>
    <mergeCell ref="BA1082:BB1082"/>
    <mergeCell ref="BD1082:BE1082"/>
    <mergeCell ref="BF1082:BI1082"/>
    <mergeCell ref="BJ1082:BM1082"/>
    <mergeCell ref="BN1082:BV1082"/>
    <mergeCell ref="B1083:C1083"/>
    <mergeCell ref="D1083:E1083"/>
    <mergeCell ref="F1083:G1083"/>
    <mergeCell ref="H1083:I1083"/>
    <mergeCell ref="L1083:M1083"/>
    <mergeCell ref="P1083:Q1083"/>
    <mergeCell ref="R1083:S1083"/>
    <mergeCell ref="T1083:U1083"/>
    <mergeCell ref="V1083:W1083"/>
    <mergeCell ref="X1083:AA1083"/>
    <mergeCell ref="AB1083:AE1083"/>
    <mergeCell ref="AJ1083:AK1083"/>
    <mergeCell ref="AL1083:AM1083"/>
    <mergeCell ref="AN1083:AO1083"/>
    <mergeCell ref="AP1083:AQ1083"/>
    <mergeCell ref="AV1083:AW1083"/>
    <mergeCell ref="AV1084:AW1084"/>
    <mergeCell ref="AF1084:AG1084"/>
    <mergeCell ref="J1083:K1083"/>
    <mergeCell ref="AX1085:AZ1085"/>
    <mergeCell ref="BA1085:BB1085"/>
    <mergeCell ref="BD1085:BE1085"/>
    <mergeCell ref="BF1085:BI1085"/>
    <mergeCell ref="BJ1085:BM1085"/>
    <mergeCell ref="BN1085:BV1085"/>
    <mergeCell ref="B1086:C1086"/>
    <mergeCell ref="D1086:E1086"/>
    <mergeCell ref="F1086:G1086"/>
    <mergeCell ref="H1086:I1086"/>
    <mergeCell ref="L1086:M1086"/>
    <mergeCell ref="P1086:Q1086"/>
    <mergeCell ref="R1086:S1086"/>
    <mergeCell ref="T1086:U1086"/>
    <mergeCell ref="V1086:W1086"/>
    <mergeCell ref="X1086:AA1086"/>
    <mergeCell ref="AB1086:AE1086"/>
    <mergeCell ref="AJ1086:AK1086"/>
    <mergeCell ref="AL1086:AM1086"/>
    <mergeCell ref="AN1086:AO1086"/>
    <mergeCell ref="AP1086:AQ1086"/>
    <mergeCell ref="AR1086:AS1086"/>
    <mergeCell ref="AT1086:AU1086"/>
    <mergeCell ref="AX1086:AZ1086"/>
    <mergeCell ref="AT1084:AU1084"/>
    <mergeCell ref="AX1084:AZ1084"/>
    <mergeCell ref="BA1084:BB1084"/>
    <mergeCell ref="BD1084:BE1084"/>
    <mergeCell ref="BF1084:BI1084"/>
    <mergeCell ref="BJ1084:BM1084"/>
    <mergeCell ref="BN1084:BV1084"/>
    <mergeCell ref="B1085:C1085"/>
    <mergeCell ref="D1085:E1085"/>
    <mergeCell ref="F1085:G1085"/>
    <mergeCell ref="H1085:I1085"/>
    <mergeCell ref="L1085:M1085"/>
    <mergeCell ref="P1085:Q1085"/>
    <mergeCell ref="R1085:S1085"/>
    <mergeCell ref="T1085:U1085"/>
    <mergeCell ref="V1085:W1085"/>
    <mergeCell ref="X1085:AA1085"/>
    <mergeCell ref="AB1085:AE1085"/>
    <mergeCell ref="AJ1085:AK1085"/>
    <mergeCell ref="AL1085:AM1085"/>
    <mergeCell ref="AN1085:AO1085"/>
    <mergeCell ref="AP1085:AQ1085"/>
    <mergeCell ref="AR1085:AS1085"/>
    <mergeCell ref="AT1085:AU1085"/>
    <mergeCell ref="AV1085:AW1085"/>
    <mergeCell ref="AV1086:AW1086"/>
    <mergeCell ref="AF1085:AG1085"/>
    <mergeCell ref="AF1086:AG1086"/>
    <mergeCell ref="J1084:K1084"/>
    <mergeCell ref="J1085:K1085"/>
    <mergeCell ref="BD1087:BE1087"/>
    <mergeCell ref="BF1087:BI1087"/>
    <mergeCell ref="BJ1087:BM1087"/>
    <mergeCell ref="BN1087:BV1087"/>
    <mergeCell ref="B1088:C1088"/>
    <mergeCell ref="D1088:E1088"/>
    <mergeCell ref="F1088:G1088"/>
    <mergeCell ref="H1088:I1088"/>
    <mergeCell ref="L1088:M1088"/>
    <mergeCell ref="P1088:Q1088"/>
    <mergeCell ref="R1088:S1088"/>
    <mergeCell ref="T1088:U1088"/>
    <mergeCell ref="V1088:W1088"/>
    <mergeCell ref="X1088:AA1088"/>
    <mergeCell ref="AB1088:AE1088"/>
    <mergeCell ref="AJ1088:AK1088"/>
    <mergeCell ref="AL1088:AM1088"/>
    <mergeCell ref="AN1088:AO1088"/>
    <mergeCell ref="AP1088:AQ1088"/>
    <mergeCell ref="AR1088:AS1088"/>
    <mergeCell ref="AT1088:AU1088"/>
    <mergeCell ref="AX1088:AZ1088"/>
    <mergeCell ref="BA1088:BB1088"/>
    <mergeCell ref="BD1088:BE1088"/>
    <mergeCell ref="BA1086:BB1086"/>
    <mergeCell ref="BD1086:BE1086"/>
    <mergeCell ref="BF1086:BI1086"/>
    <mergeCell ref="BJ1086:BM1086"/>
    <mergeCell ref="BN1086:BV1086"/>
    <mergeCell ref="B1087:C1087"/>
    <mergeCell ref="D1087:E1087"/>
    <mergeCell ref="F1087:G1087"/>
    <mergeCell ref="H1087:I1087"/>
    <mergeCell ref="L1087:M1087"/>
    <mergeCell ref="P1087:Q1087"/>
    <mergeCell ref="R1087:S1087"/>
    <mergeCell ref="T1087:U1087"/>
    <mergeCell ref="V1087:W1087"/>
    <mergeCell ref="X1087:AA1087"/>
    <mergeCell ref="AB1087:AE1087"/>
    <mergeCell ref="AJ1087:AK1087"/>
    <mergeCell ref="AL1087:AM1087"/>
    <mergeCell ref="AN1087:AO1087"/>
    <mergeCell ref="AP1087:AQ1087"/>
    <mergeCell ref="AR1087:AS1087"/>
    <mergeCell ref="AT1087:AU1087"/>
    <mergeCell ref="AX1087:AZ1087"/>
    <mergeCell ref="BA1087:BB1087"/>
    <mergeCell ref="AV1087:AW1087"/>
    <mergeCell ref="AV1088:AW1088"/>
    <mergeCell ref="AF1087:AG1087"/>
    <mergeCell ref="AF1088:AG1088"/>
    <mergeCell ref="J1086:K1086"/>
    <mergeCell ref="J1087:K1087"/>
    <mergeCell ref="BJ1089:BM1089"/>
    <mergeCell ref="BN1089:BV1089"/>
    <mergeCell ref="B1090:C1090"/>
    <mergeCell ref="D1090:E1090"/>
    <mergeCell ref="F1090:G1090"/>
    <mergeCell ref="H1090:I1090"/>
    <mergeCell ref="L1090:M1090"/>
    <mergeCell ref="P1090:Q1090"/>
    <mergeCell ref="R1090:S1090"/>
    <mergeCell ref="T1090:U1090"/>
    <mergeCell ref="V1090:W1090"/>
    <mergeCell ref="X1090:AA1090"/>
    <mergeCell ref="AB1090:AE1090"/>
    <mergeCell ref="AJ1090:AK1090"/>
    <mergeCell ref="AL1090:AM1090"/>
    <mergeCell ref="AN1090:AO1090"/>
    <mergeCell ref="AP1090:AQ1090"/>
    <mergeCell ref="AR1090:AS1090"/>
    <mergeCell ref="AT1090:AU1090"/>
    <mergeCell ref="AX1090:AZ1090"/>
    <mergeCell ref="BA1090:BB1090"/>
    <mergeCell ref="BD1090:BE1090"/>
    <mergeCell ref="BF1090:BI1090"/>
    <mergeCell ref="BJ1090:BM1090"/>
    <mergeCell ref="BF1088:BI1088"/>
    <mergeCell ref="BJ1088:BM1088"/>
    <mergeCell ref="BN1088:BV1088"/>
    <mergeCell ref="B1089:C1089"/>
    <mergeCell ref="D1089:E1089"/>
    <mergeCell ref="F1089:G1089"/>
    <mergeCell ref="H1089:I1089"/>
    <mergeCell ref="L1089:M1089"/>
    <mergeCell ref="P1089:Q1089"/>
    <mergeCell ref="R1089:S1089"/>
    <mergeCell ref="T1089:U1089"/>
    <mergeCell ref="V1089:W1089"/>
    <mergeCell ref="X1089:AA1089"/>
    <mergeCell ref="AB1089:AE1089"/>
    <mergeCell ref="AJ1089:AK1089"/>
    <mergeCell ref="AL1089:AM1089"/>
    <mergeCell ref="AN1089:AO1089"/>
    <mergeCell ref="AP1089:AQ1089"/>
    <mergeCell ref="AR1089:AS1089"/>
    <mergeCell ref="AT1089:AU1089"/>
    <mergeCell ref="AX1089:AZ1089"/>
    <mergeCell ref="BA1089:BB1089"/>
    <mergeCell ref="BD1089:BE1089"/>
    <mergeCell ref="BF1089:BI1089"/>
    <mergeCell ref="AV1089:AW1089"/>
    <mergeCell ref="AV1090:AW1090"/>
    <mergeCell ref="AF1089:AG1089"/>
    <mergeCell ref="AF1090:AG1090"/>
    <mergeCell ref="J1088:K1088"/>
    <mergeCell ref="J1089:K1089"/>
    <mergeCell ref="BN1091:BV1091"/>
    <mergeCell ref="B1092:C1092"/>
    <mergeCell ref="D1092:E1092"/>
    <mergeCell ref="F1092:G1092"/>
    <mergeCell ref="H1092:I1092"/>
    <mergeCell ref="L1092:M1092"/>
    <mergeCell ref="P1092:Q1092"/>
    <mergeCell ref="R1092:S1092"/>
    <mergeCell ref="T1092:U1092"/>
    <mergeCell ref="V1092:W1092"/>
    <mergeCell ref="X1092:AA1092"/>
    <mergeCell ref="AB1092:AE1092"/>
    <mergeCell ref="AJ1092:AK1092"/>
    <mergeCell ref="AL1092:AM1092"/>
    <mergeCell ref="AN1092:AO1092"/>
    <mergeCell ref="AP1092:AQ1092"/>
    <mergeCell ref="AR1092:AS1092"/>
    <mergeCell ref="AT1092:AU1092"/>
    <mergeCell ref="AX1092:AZ1092"/>
    <mergeCell ref="BA1092:BB1092"/>
    <mergeCell ref="BD1092:BE1092"/>
    <mergeCell ref="BF1092:BI1092"/>
    <mergeCell ref="BJ1092:BM1092"/>
    <mergeCell ref="BN1090:BV1090"/>
    <mergeCell ref="B1091:C1091"/>
    <mergeCell ref="D1091:E1091"/>
    <mergeCell ref="F1091:G1091"/>
    <mergeCell ref="H1091:I1091"/>
    <mergeCell ref="L1091:M1091"/>
    <mergeCell ref="P1091:Q1091"/>
    <mergeCell ref="R1091:S1091"/>
    <mergeCell ref="T1091:U1091"/>
    <mergeCell ref="V1091:W1091"/>
    <mergeCell ref="X1091:AA1091"/>
    <mergeCell ref="AB1091:AE1091"/>
    <mergeCell ref="AJ1091:AK1091"/>
    <mergeCell ref="AL1091:AM1091"/>
    <mergeCell ref="AN1091:AO1091"/>
    <mergeCell ref="AP1091:AQ1091"/>
    <mergeCell ref="AR1091:AS1091"/>
    <mergeCell ref="AT1091:AU1091"/>
    <mergeCell ref="AX1091:AZ1091"/>
    <mergeCell ref="BA1091:BB1091"/>
    <mergeCell ref="BD1091:BE1091"/>
    <mergeCell ref="BF1091:BI1091"/>
    <mergeCell ref="BJ1091:BM1091"/>
    <mergeCell ref="AV1091:AW1091"/>
    <mergeCell ref="AV1092:AW1092"/>
    <mergeCell ref="AF1091:AG1091"/>
    <mergeCell ref="AF1092:AG1092"/>
    <mergeCell ref="J1090:K1090"/>
    <mergeCell ref="J1091:K1091"/>
    <mergeCell ref="BN1093:BV1093"/>
    <mergeCell ref="B1094:C1094"/>
    <mergeCell ref="D1094:E1094"/>
    <mergeCell ref="F1094:G1094"/>
    <mergeCell ref="H1094:I1094"/>
    <mergeCell ref="L1094:M1094"/>
    <mergeCell ref="P1094:Q1094"/>
    <mergeCell ref="R1094:S1094"/>
    <mergeCell ref="T1094:U1094"/>
    <mergeCell ref="V1094:W1094"/>
    <mergeCell ref="X1094:AA1094"/>
    <mergeCell ref="AB1094:AE1094"/>
    <mergeCell ref="AJ1094:AK1094"/>
    <mergeCell ref="AL1094:AM1094"/>
    <mergeCell ref="AN1094:AO1094"/>
    <mergeCell ref="AP1094:AQ1094"/>
    <mergeCell ref="AR1094:AS1094"/>
    <mergeCell ref="AT1094:AU1094"/>
    <mergeCell ref="AX1094:AZ1094"/>
    <mergeCell ref="BA1094:BB1094"/>
    <mergeCell ref="BD1094:BE1094"/>
    <mergeCell ref="BF1094:BI1094"/>
    <mergeCell ref="BJ1094:BM1094"/>
    <mergeCell ref="BN1094:BV1094"/>
    <mergeCell ref="BN1092:BV1092"/>
    <mergeCell ref="B1093:C1093"/>
    <mergeCell ref="D1093:E1093"/>
    <mergeCell ref="F1093:G1093"/>
    <mergeCell ref="H1093:I1093"/>
    <mergeCell ref="L1093:M1093"/>
    <mergeCell ref="P1093:Q1093"/>
    <mergeCell ref="R1093:S1093"/>
    <mergeCell ref="T1093:U1093"/>
    <mergeCell ref="V1093:W1093"/>
    <mergeCell ref="X1093:AA1093"/>
    <mergeCell ref="AB1093:AE1093"/>
    <mergeCell ref="AJ1093:AK1093"/>
    <mergeCell ref="AL1093:AM1093"/>
    <mergeCell ref="AN1093:AO1093"/>
    <mergeCell ref="AP1093:AQ1093"/>
    <mergeCell ref="AR1093:AS1093"/>
    <mergeCell ref="AT1093:AU1093"/>
    <mergeCell ref="AX1093:AZ1093"/>
    <mergeCell ref="BA1093:BB1093"/>
    <mergeCell ref="BD1093:BE1093"/>
    <mergeCell ref="BF1093:BI1093"/>
    <mergeCell ref="BJ1093:BM1093"/>
    <mergeCell ref="AV1093:AW1093"/>
    <mergeCell ref="AV1094:AW1094"/>
    <mergeCell ref="AF1093:AG1093"/>
    <mergeCell ref="AF1094:AG1094"/>
    <mergeCell ref="J1092:K1092"/>
    <mergeCell ref="J1093:K1093"/>
    <mergeCell ref="J1094:K1094"/>
    <mergeCell ref="AN1096:AO1096"/>
    <mergeCell ref="AP1096:AQ1096"/>
    <mergeCell ref="AR1096:AS1096"/>
    <mergeCell ref="AT1096:AU1096"/>
    <mergeCell ref="AX1096:AZ1096"/>
    <mergeCell ref="BA1096:BB1096"/>
    <mergeCell ref="BD1096:BE1096"/>
    <mergeCell ref="BF1096:BI1096"/>
    <mergeCell ref="BJ1096:BM1096"/>
    <mergeCell ref="BN1096:BV1096"/>
    <mergeCell ref="B1097:C1097"/>
    <mergeCell ref="D1097:E1097"/>
    <mergeCell ref="F1097:G1097"/>
    <mergeCell ref="H1097:I1097"/>
    <mergeCell ref="L1097:M1097"/>
    <mergeCell ref="P1097:Q1097"/>
    <mergeCell ref="R1097:S1097"/>
    <mergeCell ref="T1097:U1097"/>
    <mergeCell ref="V1097:W1097"/>
    <mergeCell ref="X1097:AA1097"/>
    <mergeCell ref="AB1097:AE1097"/>
    <mergeCell ref="AJ1097:AK1097"/>
    <mergeCell ref="AL1097:AM1097"/>
    <mergeCell ref="AN1097:AO1097"/>
    <mergeCell ref="AL1095:AM1095"/>
    <mergeCell ref="AN1095:AO1095"/>
    <mergeCell ref="AP1095:AQ1095"/>
    <mergeCell ref="AR1095:AS1095"/>
    <mergeCell ref="AT1095:AU1095"/>
    <mergeCell ref="AX1095:AZ1095"/>
    <mergeCell ref="BA1095:BB1095"/>
    <mergeCell ref="BD1095:BE1095"/>
    <mergeCell ref="BF1095:BI1095"/>
    <mergeCell ref="BJ1095:BM1095"/>
    <mergeCell ref="BN1095:BV1095"/>
    <mergeCell ref="B1096:C1096"/>
    <mergeCell ref="D1096:E1096"/>
    <mergeCell ref="F1096:G1096"/>
    <mergeCell ref="H1096:I1096"/>
    <mergeCell ref="L1096:M1096"/>
    <mergeCell ref="P1096:Q1096"/>
    <mergeCell ref="R1096:S1096"/>
    <mergeCell ref="T1096:U1096"/>
    <mergeCell ref="V1096:W1096"/>
    <mergeCell ref="X1096:AA1096"/>
    <mergeCell ref="AB1096:AE1096"/>
    <mergeCell ref="AJ1096:AK1096"/>
    <mergeCell ref="AL1096:AM1096"/>
    <mergeCell ref="B1095:C1095"/>
    <mergeCell ref="D1095:E1095"/>
    <mergeCell ref="F1095:G1095"/>
    <mergeCell ref="H1095:I1095"/>
    <mergeCell ref="L1095:M1095"/>
    <mergeCell ref="P1095:Q1095"/>
    <mergeCell ref="R1095:S1095"/>
    <mergeCell ref="T1095:U1095"/>
    <mergeCell ref="V1095:W1095"/>
    <mergeCell ref="X1095:AA1095"/>
    <mergeCell ref="AB1095:AE1095"/>
    <mergeCell ref="AJ1095:AK1095"/>
    <mergeCell ref="AV1095:AW1095"/>
    <mergeCell ref="AV1096:AW1096"/>
    <mergeCell ref="AV1097:AW1097"/>
    <mergeCell ref="AF1095:AG1095"/>
    <mergeCell ref="AR1098:AS1098"/>
    <mergeCell ref="AT1098:AU1098"/>
    <mergeCell ref="AX1098:AZ1098"/>
    <mergeCell ref="BA1098:BB1098"/>
    <mergeCell ref="BD1098:BE1098"/>
    <mergeCell ref="BF1098:BI1098"/>
    <mergeCell ref="BJ1098:BM1098"/>
    <mergeCell ref="BN1098:BV1098"/>
    <mergeCell ref="B1099:C1099"/>
    <mergeCell ref="D1099:E1099"/>
    <mergeCell ref="F1099:G1099"/>
    <mergeCell ref="H1099:I1099"/>
    <mergeCell ref="L1099:M1099"/>
    <mergeCell ref="P1099:Q1099"/>
    <mergeCell ref="R1099:S1099"/>
    <mergeCell ref="T1099:U1099"/>
    <mergeCell ref="V1099:W1099"/>
    <mergeCell ref="X1099:AA1099"/>
    <mergeCell ref="AB1099:AE1099"/>
    <mergeCell ref="AJ1099:AK1099"/>
    <mergeCell ref="AL1099:AM1099"/>
    <mergeCell ref="AN1099:AO1099"/>
    <mergeCell ref="AP1099:AQ1099"/>
    <mergeCell ref="AR1099:AS1099"/>
    <mergeCell ref="AP1097:AQ1097"/>
    <mergeCell ref="AR1097:AS1097"/>
    <mergeCell ref="AT1097:AU1097"/>
    <mergeCell ref="AX1097:AZ1097"/>
    <mergeCell ref="BA1097:BB1097"/>
    <mergeCell ref="BD1097:BE1097"/>
    <mergeCell ref="BF1097:BI1097"/>
    <mergeCell ref="BJ1097:BM1097"/>
    <mergeCell ref="BN1097:BV1097"/>
    <mergeCell ref="B1098:C1098"/>
    <mergeCell ref="D1098:E1098"/>
    <mergeCell ref="F1098:G1098"/>
    <mergeCell ref="H1098:I1098"/>
    <mergeCell ref="L1098:M1098"/>
    <mergeCell ref="P1098:Q1098"/>
    <mergeCell ref="R1098:S1098"/>
    <mergeCell ref="T1098:U1098"/>
    <mergeCell ref="V1098:W1098"/>
    <mergeCell ref="X1098:AA1098"/>
    <mergeCell ref="AB1098:AE1098"/>
    <mergeCell ref="AJ1098:AK1098"/>
    <mergeCell ref="AL1098:AM1098"/>
    <mergeCell ref="AN1098:AO1098"/>
    <mergeCell ref="AP1098:AQ1098"/>
    <mergeCell ref="AV1098:AW1098"/>
    <mergeCell ref="AV1099:AW1099"/>
    <mergeCell ref="AX1100:AZ1100"/>
    <mergeCell ref="BA1100:BB1100"/>
    <mergeCell ref="BD1100:BE1100"/>
    <mergeCell ref="BF1100:BI1100"/>
    <mergeCell ref="BJ1100:BM1100"/>
    <mergeCell ref="BN1100:BV1100"/>
    <mergeCell ref="B1101:C1101"/>
    <mergeCell ref="D1101:E1101"/>
    <mergeCell ref="F1101:G1101"/>
    <mergeCell ref="H1101:I1101"/>
    <mergeCell ref="L1101:M1101"/>
    <mergeCell ref="P1101:Q1101"/>
    <mergeCell ref="R1101:S1101"/>
    <mergeCell ref="T1101:U1101"/>
    <mergeCell ref="V1101:W1101"/>
    <mergeCell ref="X1101:AA1101"/>
    <mergeCell ref="AB1101:AE1101"/>
    <mergeCell ref="AJ1101:AK1101"/>
    <mergeCell ref="AL1101:AM1101"/>
    <mergeCell ref="AN1101:AO1101"/>
    <mergeCell ref="AP1101:AQ1101"/>
    <mergeCell ref="AR1101:AS1101"/>
    <mergeCell ref="AT1101:AU1101"/>
    <mergeCell ref="AX1101:AZ1101"/>
    <mergeCell ref="AT1099:AU1099"/>
    <mergeCell ref="AX1099:AZ1099"/>
    <mergeCell ref="BA1099:BB1099"/>
    <mergeCell ref="BD1099:BE1099"/>
    <mergeCell ref="BF1099:BI1099"/>
    <mergeCell ref="BJ1099:BM1099"/>
    <mergeCell ref="BN1099:BV1099"/>
    <mergeCell ref="B1100:C1100"/>
    <mergeCell ref="D1100:E1100"/>
    <mergeCell ref="F1100:G1100"/>
    <mergeCell ref="H1100:I1100"/>
    <mergeCell ref="L1100:M1100"/>
    <mergeCell ref="P1100:Q1100"/>
    <mergeCell ref="R1100:S1100"/>
    <mergeCell ref="T1100:U1100"/>
    <mergeCell ref="V1100:W1100"/>
    <mergeCell ref="X1100:AA1100"/>
    <mergeCell ref="AB1100:AE1100"/>
    <mergeCell ref="AJ1100:AK1100"/>
    <mergeCell ref="AL1100:AM1100"/>
    <mergeCell ref="AN1100:AO1100"/>
    <mergeCell ref="AP1100:AQ1100"/>
    <mergeCell ref="AR1100:AS1100"/>
    <mergeCell ref="AT1100:AU1100"/>
    <mergeCell ref="AV1100:AW1100"/>
    <mergeCell ref="AV1101:AW1101"/>
    <mergeCell ref="BD1102:BE1102"/>
    <mergeCell ref="BF1102:BI1102"/>
    <mergeCell ref="BJ1102:BM1102"/>
    <mergeCell ref="BN1102:BV1102"/>
    <mergeCell ref="B1103:C1103"/>
    <mergeCell ref="D1103:E1103"/>
    <mergeCell ref="F1103:G1103"/>
    <mergeCell ref="H1103:I1103"/>
    <mergeCell ref="L1103:M1103"/>
    <mergeCell ref="P1103:Q1103"/>
    <mergeCell ref="R1103:S1103"/>
    <mergeCell ref="T1103:U1103"/>
    <mergeCell ref="V1103:W1103"/>
    <mergeCell ref="X1103:AA1103"/>
    <mergeCell ref="AB1103:AE1103"/>
    <mergeCell ref="AJ1103:AK1103"/>
    <mergeCell ref="AL1103:AM1103"/>
    <mergeCell ref="AN1103:AO1103"/>
    <mergeCell ref="AP1103:AQ1103"/>
    <mergeCell ref="AR1103:AS1103"/>
    <mergeCell ref="AT1103:AU1103"/>
    <mergeCell ref="AX1103:AZ1103"/>
    <mergeCell ref="BA1103:BB1103"/>
    <mergeCell ref="BD1103:BE1103"/>
    <mergeCell ref="BA1101:BB1101"/>
    <mergeCell ref="BD1101:BE1101"/>
    <mergeCell ref="BF1101:BI1101"/>
    <mergeCell ref="BJ1101:BM1101"/>
    <mergeCell ref="BN1101:BV1101"/>
    <mergeCell ref="B1102:C1102"/>
    <mergeCell ref="D1102:E1102"/>
    <mergeCell ref="F1102:G1102"/>
    <mergeCell ref="H1102:I1102"/>
    <mergeCell ref="L1102:M1102"/>
    <mergeCell ref="P1102:Q1102"/>
    <mergeCell ref="R1102:S1102"/>
    <mergeCell ref="T1102:U1102"/>
    <mergeCell ref="V1102:W1102"/>
    <mergeCell ref="X1102:AA1102"/>
    <mergeCell ref="AB1102:AE1102"/>
    <mergeCell ref="AJ1102:AK1102"/>
    <mergeCell ref="AL1102:AM1102"/>
    <mergeCell ref="AN1102:AO1102"/>
    <mergeCell ref="AP1102:AQ1102"/>
    <mergeCell ref="AR1102:AS1102"/>
    <mergeCell ref="AT1102:AU1102"/>
    <mergeCell ref="AX1102:AZ1102"/>
    <mergeCell ref="BA1102:BB1102"/>
    <mergeCell ref="AV1102:AW1102"/>
    <mergeCell ref="AV1103:AW1103"/>
    <mergeCell ref="BJ1104:BM1104"/>
    <mergeCell ref="BN1104:BV1104"/>
    <mergeCell ref="B1105:C1105"/>
    <mergeCell ref="D1105:E1105"/>
    <mergeCell ref="F1105:G1105"/>
    <mergeCell ref="H1105:I1105"/>
    <mergeCell ref="L1105:M1105"/>
    <mergeCell ref="P1105:Q1105"/>
    <mergeCell ref="R1105:S1105"/>
    <mergeCell ref="T1105:U1105"/>
    <mergeCell ref="V1105:W1105"/>
    <mergeCell ref="X1105:AA1105"/>
    <mergeCell ref="AB1105:AE1105"/>
    <mergeCell ref="AJ1105:AK1105"/>
    <mergeCell ref="AL1105:AM1105"/>
    <mergeCell ref="AN1105:AO1105"/>
    <mergeCell ref="AP1105:AQ1105"/>
    <mergeCell ref="AR1105:AS1105"/>
    <mergeCell ref="AT1105:AU1105"/>
    <mergeCell ref="AX1105:AZ1105"/>
    <mergeCell ref="BA1105:BB1105"/>
    <mergeCell ref="BD1105:BE1105"/>
    <mergeCell ref="BF1105:BI1105"/>
    <mergeCell ref="BJ1105:BM1105"/>
    <mergeCell ref="BF1103:BI1103"/>
    <mergeCell ref="BJ1103:BM1103"/>
    <mergeCell ref="BN1103:BV1103"/>
    <mergeCell ref="B1104:C1104"/>
    <mergeCell ref="D1104:E1104"/>
    <mergeCell ref="F1104:G1104"/>
    <mergeCell ref="H1104:I1104"/>
    <mergeCell ref="P1104:Q1104"/>
    <mergeCell ref="R1104:S1104"/>
    <mergeCell ref="T1104:U1104"/>
    <mergeCell ref="V1104:W1104"/>
    <mergeCell ref="X1104:AA1104"/>
    <mergeCell ref="AB1104:AE1104"/>
    <mergeCell ref="AJ1104:AK1104"/>
    <mergeCell ref="AL1104:AM1104"/>
    <mergeCell ref="AN1104:AO1104"/>
    <mergeCell ref="AP1104:AQ1104"/>
    <mergeCell ref="AR1104:AS1104"/>
    <mergeCell ref="AT1104:AU1104"/>
    <mergeCell ref="AX1104:AZ1104"/>
    <mergeCell ref="BA1104:BB1104"/>
    <mergeCell ref="BD1104:BE1104"/>
    <mergeCell ref="BF1104:BI1104"/>
    <mergeCell ref="AV1104:AW1104"/>
    <mergeCell ref="AV1105:AW1105"/>
    <mergeCell ref="BN1106:BV1106"/>
    <mergeCell ref="B1107:C1107"/>
    <mergeCell ref="D1107:E1107"/>
    <mergeCell ref="F1107:G1107"/>
    <mergeCell ref="H1107:I1107"/>
    <mergeCell ref="L1107:M1107"/>
    <mergeCell ref="P1107:Q1107"/>
    <mergeCell ref="R1107:S1107"/>
    <mergeCell ref="T1107:U1107"/>
    <mergeCell ref="V1107:W1107"/>
    <mergeCell ref="X1107:AA1107"/>
    <mergeCell ref="AB1107:AE1107"/>
    <mergeCell ref="AJ1107:AK1107"/>
    <mergeCell ref="AL1107:AM1107"/>
    <mergeCell ref="AN1107:AO1107"/>
    <mergeCell ref="AP1107:AQ1107"/>
    <mergeCell ref="AR1107:AS1107"/>
    <mergeCell ref="AT1107:AU1107"/>
    <mergeCell ref="AX1107:AZ1107"/>
    <mergeCell ref="BA1107:BB1107"/>
    <mergeCell ref="BD1107:BE1107"/>
    <mergeCell ref="BF1107:BI1107"/>
    <mergeCell ref="BJ1107:BM1107"/>
    <mergeCell ref="BN1105:BV1105"/>
    <mergeCell ref="B1106:C1106"/>
    <mergeCell ref="D1106:E1106"/>
    <mergeCell ref="F1106:G1106"/>
    <mergeCell ref="H1106:I1106"/>
    <mergeCell ref="P1106:Q1106"/>
    <mergeCell ref="R1106:S1106"/>
    <mergeCell ref="T1106:U1106"/>
    <mergeCell ref="V1106:W1106"/>
    <mergeCell ref="X1106:AA1106"/>
    <mergeCell ref="AB1106:AE1106"/>
    <mergeCell ref="AJ1106:AK1106"/>
    <mergeCell ref="AL1106:AM1106"/>
    <mergeCell ref="AN1106:AO1106"/>
    <mergeCell ref="AP1106:AQ1106"/>
    <mergeCell ref="AR1106:AS1106"/>
    <mergeCell ref="AT1106:AU1106"/>
    <mergeCell ref="AX1106:AZ1106"/>
    <mergeCell ref="BA1106:BB1106"/>
    <mergeCell ref="BD1106:BE1106"/>
    <mergeCell ref="BF1106:BI1106"/>
    <mergeCell ref="BJ1106:BM1106"/>
    <mergeCell ref="AV1106:AW1106"/>
    <mergeCell ref="AV1107:AW1107"/>
    <mergeCell ref="BN1108:BV1108"/>
    <mergeCell ref="B1109:C1109"/>
    <mergeCell ref="D1109:E1109"/>
    <mergeCell ref="F1109:G1109"/>
    <mergeCell ref="H1109:I1109"/>
    <mergeCell ref="L1109:M1109"/>
    <mergeCell ref="P1109:Q1109"/>
    <mergeCell ref="R1109:S1109"/>
    <mergeCell ref="T1109:U1109"/>
    <mergeCell ref="V1109:W1109"/>
    <mergeCell ref="X1109:AA1109"/>
    <mergeCell ref="AB1109:AE1109"/>
    <mergeCell ref="AJ1109:AK1109"/>
    <mergeCell ref="AL1109:AM1109"/>
    <mergeCell ref="AN1109:AO1109"/>
    <mergeCell ref="AP1109:AQ1109"/>
    <mergeCell ref="AR1109:AS1109"/>
    <mergeCell ref="AT1109:AU1109"/>
    <mergeCell ref="AX1109:AZ1109"/>
    <mergeCell ref="BA1109:BB1109"/>
    <mergeCell ref="BD1109:BE1109"/>
    <mergeCell ref="BF1109:BI1109"/>
    <mergeCell ref="BJ1109:BM1109"/>
    <mergeCell ref="BN1109:BV1109"/>
    <mergeCell ref="BN1107:BV1107"/>
    <mergeCell ref="B1108:C1108"/>
    <mergeCell ref="D1108:E1108"/>
    <mergeCell ref="F1108:G1108"/>
    <mergeCell ref="H1108:I1108"/>
    <mergeCell ref="P1108:Q1108"/>
    <mergeCell ref="R1108:S1108"/>
    <mergeCell ref="T1108:U1108"/>
    <mergeCell ref="V1108:W1108"/>
    <mergeCell ref="X1108:AA1108"/>
    <mergeCell ref="AB1108:AE1108"/>
    <mergeCell ref="AJ1108:AK1108"/>
    <mergeCell ref="AL1108:AM1108"/>
    <mergeCell ref="AN1108:AO1108"/>
    <mergeCell ref="AP1108:AQ1108"/>
    <mergeCell ref="AR1108:AS1108"/>
    <mergeCell ref="AT1108:AU1108"/>
    <mergeCell ref="AX1108:AZ1108"/>
    <mergeCell ref="BA1108:BB1108"/>
    <mergeCell ref="BD1108:BE1108"/>
    <mergeCell ref="BF1108:BI1108"/>
    <mergeCell ref="BJ1108:BM1108"/>
    <mergeCell ref="AV1108:AW1108"/>
    <mergeCell ref="AV1109:AW1109"/>
    <mergeCell ref="AN1111:AO1111"/>
    <mergeCell ref="AP1111:AQ1111"/>
    <mergeCell ref="AR1111:AS1111"/>
    <mergeCell ref="AT1111:AU1111"/>
    <mergeCell ref="AX1111:AZ1111"/>
    <mergeCell ref="BA1111:BB1111"/>
    <mergeCell ref="BD1111:BE1111"/>
    <mergeCell ref="BF1111:BI1111"/>
    <mergeCell ref="BJ1111:BM1111"/>
    <mergeCell ref="BN1111:BV1111"/>
    <mergeCell ref="B1112:C1112"/>
    <mergeCell ref="D1112:E1112"/>
    <mergeCell ref="F1112:G1112"/>
    <mergeCell ref="H1112:I1112"/>
    <mergeCell ref="P1112:Q1112"/>
    <mergeCell ref="R1112:S1112"/>
    <mergeCell ref="T1112:U1112"/>
    <mergeCell ref="V1112:W1112"/>
    <mergeCell ref="X1112:AA1112"/>
    <mergeCell ref="AB1112:AE1112"/>
    <mergeCell ref="AJ1112:AK1112"/>
    <mergeCell ref="AL1112:AM1112"/>
    <mergeCell ref="AN1112:AO1112"/>
    <mergeCell ref="AL1110:AM1110"/>
    <mergeCell ref="AN1110:AO1110"/>
    <mergeCell ref="AP1110:AQ1110"/>
    <mergeCell ref="AR1110:AS1110"/>
    <mergeCell ref="AT1110:AU1110"/>
    <mergeCell ref="AX1110:AZ1110"/>
    <mergeCell ref="BA1110:BB1110"/>
    <mergeCell ref="BD1110:BE1110"/>
    <mergeCell ref="BF1110:BI1110"/>
    <mergeCell ref="BJ1110:BM1110"/>
    <mergeCell ref="BN1110:BV1110"/>
    <mergeCell ref="B1111:C1111"/>
    <mergeCell ref="D1111:E1111"/>
    <mergeCell ref="F1111:G1111"/>
    <mergeCell ref="H1111:I1111"/>
    <mergeCell ref="L1111:M1111"/>
    <mergeCell ref="P1111:Q1111"/>
    <mergeCell ref="R1111:S1111"/>
    <mergeCell ref="T1111:U1111"/>
    <mergeCell ref="V1111:W1111"/>
    <mergeCell ref="X1111:AA1111"/>
    <mergeCell ref="AB1111:AE1111"/>
    <mergeCell ref="AJ1111:AK1111"/>
    <mergeCell ref="AL1111:AM1111"/>
    <mergeCell ref="B1110:C1110"/>
    <mergeCell ref="D1110:E1110"/>
    <mergeCell ref="F1110:G1110"/>
    <mergeCell ref="H1110:I1110"/>
    <mergeCell ref="P1110:Q1110"/>
    <mergeCell ref="R1110:S1110"/>
    <mergeCell ref="T1110:U1110"/>
    <mergeCell ref="V1110:W1110"/>
    <mergeCell ref="X1110:AA1110"/>
    <mergeCell ref="AB1110:AE1110"/>
    <mergeCell ref="AJ1110:AK1110"/>
    <mergeCell ref="AV1110:AW1110"/>
    <mergeCell ref="AV1111:AW1111"/>
    <mergeCell ref="AV1112:AW1112"/>
    <mergeCell ref="AR1113:AS1113"/>
    <mergeCell ref="AT1113:AU1113"/>
    <mergeCell ref="AX1113:AZ1113"/>
    <mergeCell ref="BA1113:BB1113"/>
    <mergeCell ref="BD1113:BE1113"/>
    <mergeCell ref="BF1113:BI1113"/>
    <mergeCell ref="BJ1113:BM1113"/>
    <mergeCell ref="BN1113:BV1113"/>
    <mergeCell ref="B1114:C1114"/>
    <mergeCell ref="D1114:E1114"/>
    <mergeCell ref="F1114:G1114"/>
    <mergeCell ref="H1114:I1114"/>
    <mergeCell ref="P1114:Q1114"/>
    <mergeCell ref="R1114:S1114"/>
    <mergeCell ref="T1114:U1114"/>
    <mergeCell ref="V1114:W1114"/>
    <mergeCell ref="X1114:AA1114"/>
    <mergeCell ref="AB1114:AE1114"/>
    <mergeCell ref="AJ1114:AK1114"/>
    <mergeCell ref="AL1114:AM1114"/>
    <mergeCell ref="AN1114:AO1114"/>
    <mergeCell ref="AP1114:AQ1114"/>
    <mergeCell ref="AR1114:AS1114"/>
    <mergeCell ref="AP1112:AQ1112"/>
    <mergeCell ref="AR1112:AS1112"/>
    <mergeCell ref="AT1112:AU1112"/>
    <mergeCell ref="AX1112:AZ1112"/>
    <mergeCell ref="BA1112:BB1112"/>
    <mergeCell ref="BD1112:BE1112"/>
    <mergeCell ref="BF1112:BI1112"/>
    <mergeCell ref="BJ1112:BM1112"/>
    <mergeCell ref="BN1112:BV1112"/>
    <mergeCell ref="B1113:C1113"/>
    <mergeCell ref="D1113:E1113"/>
    <mergeCell ref="F1113:G1113"/>
    <mergeCell ref="H1113:I1113"/>
    <mergeCell ref="L1113:M1113"/>
    <mergeCell ref="P1113:Q1113"/>
    <mergeCell ref="R1113:S1113"/>
    <mergeCell ref="T1113:U1113"/>
    <mergeCell ref="V1113:W1113"/>
    <mergeCell ref="X1113:AA1113"/>
    <mergeCell ref="AB1113:AE1113"/>
    <mergeCell ref="AJ1113:AK1113"/>
    <mergeCell ref="AL1113:AM1113"/>
    <mergeCell ref="AN1113:AO1113"/>
    <mergeCell ref="AP1113:AQ1113"/>
    <mergeCell ref="AV1113:AW1113"/>
    <mergeCell ref="AV1114:AW1114"/>
    <mergeCell ref="AX1115:AZ1115"/>
    <mergeCell ref="BA1115:BB1115"/>
    <mergeCell ref="BD1115:BE1115"/>
    <mergeCell ref="BF1115:BI1115"/>
    <mergeCell ref="BJ1115:BM1115"/>
    <mergeCell ref="BN1115:BV1115"/>
    <mergeCell ref="B1116:C1116"/>
    <mergeCell ref="D1116:E1116"/>
    <mergeCell ref="F1116:G1116"/>
    <mergeCell ref="H1116:I1116"/>
    <mergeCell ref="P1116:Q1116"/>
    <mergeCell ref="R1116:S1116"/>
    <mergeCell ref="T1116:U1116"/>
    <mergeCell ref="V1116:W1116"/>
    <mergeCell ref="X1116:AA1116"/>
    <mergeCell ref="AB1116:AE1116"/>
    <mergeCell ref="AJ1116:AK1116"/>
    <mergeCell ref="AL1116:AM1116"/>
    <mergeCell ref="AN1116:AO1116"/>
    <mergeCell ref="AP1116:AQ1116"/>
    <mergeCell ref="AR1116:AS1116"/>
    <mergeCell ref="AT1116:AU1116"/>
    <mergeCell ref="AX1116:AZ1116"/>
    <mergeCell ref="AT1114:AU1114"/>
    <mergeCell ref="AX1114:AZ1114"/>
    <mergeCell ref="BA1114:BB1114"/>
    <mergeCell ref="BD1114:BE1114"/>
    <mergeCell ref="BF1114:BI1114"/>
    <mergeCell ref="BJ1114:BM1114"/>
    <mergeCell ref="BN1114:BV1114"/>
    <mergeCell ref="B1115:C1115"/>
    <mergeCell ref="D1115:E1115"/>
    <mergeCell ref="F1115:G1115"/>
    <mergeCell ref="H1115:I1115"/>
    <mergeCell ref="L1115:M1115"/>
    <mergeCell ref="P1115:Q1115"/>
    <mergeCell ref="R1115:S1115"/>
    <mergeCell ref="T1115:U1115"/>
    <mergeCell ref="V1115:W1115"/>
    <mergeCell ref="X1115:AA1115"/>
    <mergeCell ref="AB1115:AE1115"/>
    <mergeCell ref="AJ1115:AK1115"/>
    <mergeCell ref="AL1115:AM1115"/>
    <mergeCell ref="AN1115:AO1115"/>
    <mergeCell ref="AP1115:AQ1115"/>
    <mergeCell ref="AR1115:AS1115"/>
    <mergeCell ref="AT1115:AU1115"/>
    <mergeCell ref="AV1115:AW1115"/>
    <mergeCell ref="AV1116:AW1116"/>
    <mergeCell ref="AH1114:AI1114"/>
    <mergeCell ref="AH1115:AI1115"/>
    <mergeCell ref="BD1117:BE1117"/>
    <mergeCell ref="BF1117:BI1117"/>
    <mergeCell ref="BJ1117:BM1117"/>
    <mergeCell ref="BN1117:BV1117"/>
    <mergeCell ref="B1118:C1118"/>
    <mergeCell ref="D1118:E1118"/>
    <mergeCell ref="F1118:G1118"/>
    <mergeCell ref="H1118:I1118"/>
    <mergeCell ref="P1118:Q1118"/>
    <mergeCell ref="R1118:S1118"/>
    <mergeCell ref="T1118:U1118"/>
    <mergeCell ref="V1118:W1118"/>
    <mergeCell ref="X1118:AA1118"/>
    <mergeCell ref="AB1118:AE1118"/>
    <mergeCell ref="AJ1118:AK1118"/>
    <mergeCell ref="AL1118:AM1118"/>
    <mergeCell ref="AN1118:AO1118"/>
    <mergeCell ref="AP1118:AQ1118"/>
    <mergeCell ref="AR1118:AS1118"/>
    <mergeCell ref="AT1118:AU1118"/>
    <mergeCell ref="AX1118:AZ1118"/>
    <mergeCell ref="BA1118:BB1118"/>
    <mergeCell ref="BD1118:BE1118"/>
    <mergeCell ref="BA1116:BB1116"/>
    <mergeCell ref="BD1116:BE1116"/>
    <mergeCell ref="BF1116:BI1116"/>
    <mergeCell ref="BJ1116:BM1116"/>
    <mergeCell ref="BN1116:BV1116"/>
    <mergeCell ref="B1117:C1117"/>
    <mergeCell ref="D1117:E1117"/>
    <mergeCell ref="F1117:G1117"/>
    <mergeCell ref="H1117:I1117"/>
    <mergeCell ref="L1117:M1117"/>
    <mergeCell ref="P1117:Q1117"/>
    <mergeCell ref="R1117:S1117"/>
    <mergeCell ref="T1117:U1117"/>
    <mergeCell ref="V1117:W1117"/>
    <mergeCell ref="X1117:AA1117"/>
    <mergeCell ref="AB1117:AE1117"/>
    <mergeCell ref="AJ1117:AK1117"/>
    <mergeCell ref="AL1117:AM1117"/>
    <mergeCell ref="AN1117:AO1117"/>
    <mergeCell ref="AP1117:AQ1117"/>
    <mergeCell ref="AR1117:AS1117"/>
    <mergeCell ref="AT1117:AU1117"/>
    <mergeCell ref="AX1117:AZ1117"/>
    <mergeCell ref="BA1117:BB1117"/>
    <mergeCell ref="AV1117:AW1117"/>
    <mergeCell ref="AV1118:AW1118"/>
    <mergeCell ref="AH1116:AI1116"/>
    <mergeCell ref="AH1117:AI1117"/>
    <mergeCell ref="BJ1119:BM1119"/>
    <mergeCell ref="BN1119:BV1119"/>
    <mergeCell ref="B1120:C1120"/>
    <mergeCell ref="D1120:E1120"/>
    <mergeCell ref="F1120:G1120"/>
    <mergeCell ref="H1120:I1120"/>
    <mergeCell ref="P1120:Q1120"/>
    <mergeCell ref="R1120:S1120"/>
    <mergeCell ref="T1120:U1120"/>
    <mergeCell ref="V1120:W1120"/>
    <mergeCell ref="X1120:AA1120"/>
    <mergeCell ref="AB1120:AE1120"/>
    <mergeCell ref="AJ1120:AK1120"/>
    <mergeCell ref="AL1120:AM1120"/>
    <mergeCell ref="AN1120:AO1120"/>
    <mergeCell ref="AP1120:AQ1120"/>
    <mergeCell ref="AR1120:AS1120"/>
    <mergeCell ref="AT1120:AU1120"/>
    <mergeCell ref="AX1120:AZ1120"/>
    <mergeCell ref="BA1120:BB1120"/>
    <mergeCell ref="BD1120:BE1120"/>
    <mergeCell ref="BF1120:BI1120"/>
    <mergeCell ref="BJ1120:BM1120"/>
    <mergeCell ref="BF1118:BI1118"/>
    <mergeCell ref="BJ1118:BM1118"/>
    <mergeCell ref="BN1118:BV1118"/>
    <mergeCell ref="B1119:C1119"/>
    <mergeCell ref="D1119:E1119"/>
    <mergeCell ref="F1119:G1119"/>
    <mergeCell ref="H1119:I1119"/>
    <mergeCell ref="L1119:M1119"/>
    <mergeCell ref="P1119:Q1119"/>
    <mergeCell ref="R1119:S1119"/>
    <mergeCell ref="T1119:U1119"/>
    <mergeCell ref="V1119:W1119"/>
    <mergeCell ref="X1119:AA1119"/>
    <mergeCell ref="AB1119:AE1119"/>
    <mergeCell ref="AJ1119:AK1119"/>
    <mergeCell ref="AL1119:AM1119"/>
    <mergeCell ref="AN1119:AO1119"/>
    <mergeCell ref="AP1119:AQ1119"/>
    <mergeCell ref="AR1119:AS1119"/>
    <mergeCell ref="AT1119:AU1119"/>
    <mergeCell ref="AX1119:AZ1119"/>
    <mergeCell ref="BA1119:BB1119"/>
    <mergeCell ref="BD1119:BE1119"/>
    <mergeCell ref="BF1119:BI1119"/>
    <mergeCell ref="AV1119:AW1119"/>
    <mergeCell ref="AV1120:AW1120"/>
    <mergeCell ref="AH1118:AI1118"/>
    <mergeCell ref="AH1119:AI1119"/>
    <mergeCell ref="BN1121:BV1121"/>
    <mergeCell ref="B1122:C1122"/>
    <mergeCell ref="D1122:E1122"/>
    <mergeCell ref="F1122:G1122"/>
    <mergeCell ref="H1122:I1122"/>
    <mergeCell ref="P1122:Q1122"/>
    <mergeCell ref="R1122:S1122"/>
    <mergeCell ref="T1122:U1122"/>
    <mergeCell ref="V1122:W1122"/>
    <mergeCell ref="X1122:AA1122"/>
    <mergeCell ref="AB1122:AE1122"/>
    <mergeCell ref="AJ1122:AK1122"/>
    <mergeCell ref="AL1122:AM1122"/>
    <mergeCell ref="AN1122:AO1122"/>
    <mergeCell ref="AP1122:AQ1122"/>
    <mergeCell ref="AR1122:AS1122"/>
    <mergeCell ref="AT1122:AU1122"/>
    <mergeCell ref="AX1122:AZ1122"/>
    <mergeCell ref="BA1122:BB1122"/>
    <mergeCell ref="BD1122:BE1122"/>
    <mergeCell ref="BF1122:BI1122"/>
    <mergeCell ref="BJ1122:BM1122"/>
    <mergeCell ref="BN1120:BV1120"/>
    <mergeCell ref="B1121:C1121"/>
    <mergeCell ref="D1121:E1121"/>
    <mergeCell ref="F1121:G1121"/>
    <mergeCell ref="H1121:I1121"/>
    <mergeCell ref="L1121:M1121"/>
    <mergeCell ref="P1121:Q1121"/>
    <mergeCell ref="R1121:S1121"/>
    <mergeCell ref="T1121:U1121"/>
    <mergeCell ref="V1121:W1121"/>
    <mergeCell ref="X1121:AA1121"/>
    <mergeCell ref="AB1121:AE1121"/>
    <mergeCell ref="AJ1121:AK1121"/>
    <mergeCell ref="AL1121:AM1121"/>
    <mergeCell ref="AN1121:AO1121"/>
    <mergeCell ref="AP1121:AQ1121"/>
    <mergeCell ref="AR1121:AS1121"/>
    <mergeCell ref="AT1121:AU1121"/>
    <mergeCell ref="AX1121:AZ1121"/>
    <mergeCell ref="BA1121:BB1121"/>
    <mergeCell ref="BD1121:BE1121"/>
    <mergeCell ref="BF1121:BI1121"/>
    <mergeCell ref="BJ1121:BM1121"/>
    <mergeCell ref="AV1121:AW1121"/>
    <mergeCell ref="AV1122:AW1122"/>
    <mergeCell ref="AH1120:AI1120"/>
    <mergeCell ref="AH1121:AI1121"/>
    <mergeCell ref="BN1123:BV1123"/>
    <mergeCell ref="B1124:C1124"/>
    <mergeCell ref="D1124:E1124"/>
    <mergeCell ref="F1124:G1124"/>
    <mergeCell ref="H1124:I1124"/>
    <mergeCell ref="P1124:Q1124"/>
    <mergeCell ref="R1124:S1124"/>
    <mergeCell ref="T1124:U1124"/>
    <mergeCell ref="V1124:W1124"/>
    <mergeCell ref="X1124:AA1124"/>
    <mergeCell ref="AB1124:AE1124"/>
    <mergeCell ref="AJ1124:AK1124"/>
    <mergeCell ref="AL1124:AM1124"/>
    <mergeCell ref="AN1124:AO1124"/>
    <mergeCell ref="AP1124:AQ1124"/>
    <mergeCell ref="AR1124:AS1124"/>
    <mergeCell ref="AT1124:AU1124"/>
    <mergeCell ref="AX1124:AZ1124"/>
    <mergeCell ref="BA1124:BB1124"/>
    <mergeCell ref="BD1124:BE1124"/>
    <mergeCell ref="BF1124:BI1124"/>
    <mergeCell ref="BJ1124:BM1124"/>
    <mergeCell ref="BN1124:BV1124"/>
    <mergeCell ref="BN1122:BV1122"/>
    <mergeCell ref="B1123:C1123"/>
    <mergeCell ref="D1123:E1123"/>
    <mergeCell ref="F1123:G1123"/>
    <mergeCell ref="H1123:I1123"/>
    <mergeCell ref="L1123:M1123"/>
    <mergeCell ref="P1123:Q1123"/>
    <mergeCell ref="R1123:S1123"/>
    <mergeCell ref="T1123:U1123"/>
    <mergeCell ref="V1123:W1123"/>
    <mergeCell ref="X1123:AA1123"/>
    <mergeCell ref="AB1123:AE1123"/>
    <mergeCell ref="AJ1123:AK1123"/>
    <mergeCell ref="AL1123:AM1123"/>
    <mergeCell ref="AN1123:AO1123"/>
    <mergeCell ref="AP1123:AQ1123"/>
    <mergeCell ref="AR1123:AS1123"/>
    <mergeCell ref="AT1123:AU1123"/>
    <mergeCell ref="AX1123:AZ1123"/>
    <mergeCell ref="BA1123:BB1123"/>
    <mergeCell ref="BD1123:BE1123"/>
    <mergeCell ref="BF1123:BI1123"/>
    <mergeCell ref="BJ1123:BM1123"/>
    <mergeCell ref="AV1123:AW1123"/>
    <mergeCell ref="AV1124:AW1124"/>
    <mergeCell ref="AH1122:AI1122"/>
    <mergeCell ref="AH1123:AI1123"/>
    <mergeCell ref="AH1124:AI1124"/>
    <mergeCell ref="AN1126:AO1126"/>
    <mergeCell ref="AP1126:AQ1126"/>
    <mergeCell ref="AR1126:AS1126"/>
    <mergeCell ref="AT1126:AU1126"/>
    <mergeCell ref="AX1126:AZ1126"/>
    <mergeCell ref="BA1126:BB1126"/>
    <mergeCell ref="BD1126:BE1126"/>
    <mergeCell ref="BF1126:BI1126"/>
    <mergeCell ref="BJ1126:BM1126"/>
    <mergeCell ref="BN1126:BV1126"/>
    <mergeCell ref="B1127:C1127"/>
    <mergeCell ref="D1127:E1127"/>
    <mergeCell ref="F1127:G1127"/>
    <mergeCell ref="H1127:I1127"/>
    <mergeCell ref="L1127:M1127"/>
    <mergeCell ref="P1127:Q1127"/>
    <mergeCell ref="R1127:S1127"/>
    <mergeCell ref="T1127:U1127"/>
    <mergeCell ref="V1127:W1127"/>
    <mergeCell ref="X1127:AA1127"/>
    <mergeCell ref="AB1127:AE1127"/>
    <mergeCell ref="AJ1127:AK1127"/>
    <mergeCell ref="AL1127:AM1127"/>
    <mergeCell ref="AN1127:AO1127"/>
    <mergeCell ref="AL1125:AM1125"/>
    <mergeCell ref="AN1125:AO1125"/>
    <mergeCell ref="AP1125:AQ1125"/>
    <mergeCell ref="AR1125:AS1125"/>
    <mergeCell ref="AT1125:AU1125"/>
    <mergeCell ref="AX1125:AZ1125"/>
    <mergeCell ref="BA1125:BB1125"/>
    <mergeCell ref="BD1125:BE1125"/>
    <mergeCell ref="BF1125:BI1125"/>
    <mergeCell ref="BJ1125:BM1125"/>
    <mergeCell ref="BN1125:BV1125"/>
    <mergeCell ref="B1126:C1126"/>
    <mergeCell ref="D1126:E1126"/>
    <mergeCell ref="F1126:G1126"/>
    <mergeCell ref="H1126:I1126"/>
    <mergeCell ref="P1126:Q1126"/>
    <mergeCell ref="R1126:S1126"/>
    <mergeCell ref="T1126:U1126"/>
    <mergeCell ref="V1126:W1126"/>
    <mergeCell ref="X1126:AA1126"/>
    <mergeCell ref="AB1126:AE1126"/>
    <mergeCell ref="AJ1126:AK1126"/>
    <mergeCell ref="AL1126:AM1126"/>
    <mergeCell ref="B1125:C1125"/>
    <mergeCell ref="D1125:E1125"/>
    <mergeCell ref="F1125:G1125"/>
    <mergeCell ref="H1125:I1125"/>
    <mergeCell ref="L1125:M1125"/>
    <mergeCell ref="P1125:Q1125"/>
    <mergeCell ref="R1125:S1125"/>
    <mergeCell ref="T1125:U1125"/>
    <mergeCell ref="V1125:W1125"/>
    <mergeCell ref="X1125:AA1125"/>
    <mergeCell ref="AB1125:AE1125"/>
    <mergeCell ref="AJ1125:AK1125"/>
    <mergeCell ref="AV1125:AW1125"/>
    <mergeCell ref="AV1126:AW1126"/>
    <mergeCell ref="AV1127:AW1127"/>
    <mergeCell ref="AH1125:AI1125"/>
    <mergeCell ref="AH1126:AI1126"/>
    <mergeCell ref="AR1128:AS1128"/>
    <mergeCell ref="AT1128:AU1128"/>
    <mergeCell ref="AX1128:AZ1128"/>
    <mergeCell ref="BA1128:BB1128"/>
    <mergeCell ref="BD1128:BE1128"/>
    <mergeCell ref="BF1128:BI1128"/>
    <mergeCell ref="BJ1128:BM1128"/>
    <mergeCell ref="BN1128:BV1128"/>
    <mergeCell ref="B1129:C1129"/>
    <mergeCell ref="D1129:E1129"/>
    <mergeCell ref="F1129:G1129"/>
    <mergeCell ref="H1129:I1129"/>
    <mergeCell ref="L1129:M1129"/>
    <mergeCell ref="P1129:Q1129"/>
    <mergeCell ref="R1129:S1129"/>
    <mergeCell ref="T1129:U1129"/>
    <mergeCell ref="V1129:W1129"/>
    <mergeCell ref="X1129:AA1129"/>
    <mergeCell ref="AB1129:AE1129"/>
    <mergeCell ref="AJ1129:AK1129"/>
    <mergeCell ref="AL1129:AM1129"/>
    <mergeCell ref="AN1129:AO1129"/>
    <mergeCell ref="AP1129:AQ1129"/>
    <mergeCell ref="AR1129:AS1129"/>
    <mergeCell ref="AP1127:AQ1127"/>
    <mergeCell ref="AR1127:AS1127"/>
    <mergeCell ref="AT1127:AU1127"/>
    <mergeCell ref="AX1127:AZ1127"/>
    <mergeCell ref="BA1127:BB1127"/>
    <mergeCell ref="BD1127:BE1127"/>
    <mergeCell ref="BF1127:BI1127"/>
    <mergeCell ref="BJ1127:BM1127"/>
    <mergeCell ref="BN1127:BV1127"/>
    <mergeCell ref="B1128:C1128"/>
    <mergeCell ref="D1128:E1128"/>
    <mergeCell ref="F1128:G1128"/>
    <mergeCell ref="H1128:I1128"/>
    <mergeCell ref="P1128:Q1128"/>
    <mergeCell ref="R1128:S1128"/>
    <mergeCell ref="T1128:U1128"/>
    <mergeCell ref="V1128:W1128"/>
    <mergeCell ref="X1128:AA1128"/>
    <mergeCell ref="AB1128:AE1128"/>
    <mergeCell ref="AJ1128:AK1128"/>
    <mergeCell ref="AL1128:AM1128"/>
    <mergeCell ref="AN1128:AO1128"/>
    <mergeCell ref="AP1128:AQ1128"/>
    <mergeCell ref="AV1128:AW1128"/>
    <mergeCell ref="AV1129:AW1129"/>
    <mergeCell ref="AF1129:AG1129"/>
    <mergeCell ref="AH1127:AI1127"/>
    <mergeCell ref="AH1128:AI1128"/>
    <mergeCell ref="AX1130:AZ1130"/>
    <mergeCell ref="BA1130:BB1130"/>
    <mergeCell ref="BD1130:BE1130"/>
    <mergeCell ref="BF1130:BI1130"/>
    <mergeCell ref="BJ1130:BM1130"/>
    <mergeCell ref="BN1130:BV1130"/>
    <mergeCell ref="B1131:C1131"/>
    <mergeCell ref="D1131:E1131"/>
    <mergeCell ref="F1131:G1131"/>
    <mergeCell ref="H1131:I1131"/>
    <mergeCell ref="L1131:M1131"/>
    <mergeCell ref="P1131:Q1131"/>
    <mergeCell ref="R1131:S1131"/>
    <mergeCell ref="T1131:U1131"/>
    <mergeCell ref="V1131:W1131"/>
    <mergeCell ref="X1131:AA1131"/>
    <mergeCell ref="AB1131:AE1131"/>
    <mergeCell ref="AJ1131:AK1131"/>
    <mergeCell ref="AL1131:AM1131"/>
    <mergeCell ref="AN1131:AO1131"/>
    <mergeCell ref="AP1131:AQ1131"/>
    <mergeCell ref="AR1131:AS1131"/>
    <mergeCell ref="AT1131:AU1131"/>
    <mergeCell ref="AX1131:AZ1131"/>
    <mergeCell ref="AT1129:AU1129"/>
    <mergeCell ref="AX1129:AZ1129"/>
    <mergeCell ref="BA1129:BB1129"/>
    <mergeCell ref="BD1129:BE1129"/>
    <mergeCell ref="BF1129:BI1129"/>
    <mergeCell ref="BJ1129:BM1129"/>
    <mergeCell ref="BN1129:BV1129"/>
    <mergeCell ref="B1130:C1130"/>
    <mergeCell ref="D1130:E1130"/>
    <mergeCell ref="F1130:G1130"/>
    <mergeCell ref="H1130:I1130"/>
    <mergeCell ref="P1130:Q1130"/>
    <mergeCell ref="R1130:S1130"/>
    <mergeCell ref="T1130:U1130"/>
    <mergeCell ref="V1130:W1130"/>
    <mergeCell ref="X1130:AA1130"/>
    <mergeCell ref="AB1130:AE1130"/>
    <mergeCell ref="AJ1130:AK1130"/>
    <mergeCell ref="AL1130:AM1130"/>
    <mergeCell ref="AN1130:AO1130"/>
    <mergeCell ref="AP1130:AQ1130"/>
    <mergeCell ref="AR1130:AS1130"/>
    <mergeCell ref="AT1130:AU1130"/>
    <mergeCell ref="AV1130:AW1130"/>
    <mergeCell ref="AV1131:AW1131"/>
    <mergeCell ref="AF1130:AG1130"/>
    <mergeCell ref="AF1131:AG1131"/>
    <mergeCell ref="J1129:K1129"/>
    <mergeCell ref="AH1129:AI1129"/>
    <mergeCell ref="AH1130:AI1130"/>
    <mergeCell ref="BD1132:BE1132"/>
    <mergeCell ref="BF1132:BI1132"/>
    <mergeCell ref="BJ1132:BM1132"/>
    <mergeCell ref="BN1132:BV1132"/>
    <mergeCell ref="B1133:C1133"/>
    <mergeCell ref="D1133:E1133"/>
    <mergeCell ref="F1133:G1133"/>
    <mergeCell ref="H1133:I1133"/>
    <mergeCell ref="L1133:M1133"/>
    <mergeCell ref="P1133:Q1133"/>
    <mergeCell ref="R1133:S1133"/>
    <mergeCell ref="T1133:U1133"/>
    <mergeCell ref="V1133:W1133"/>
    <mergeCell ref="X1133:AA1133"/>
    <mergeCell ref="AB1133:AE1133"/>
    <mergeCell ref="AJ1133:AK1133"/>
    <mergeCell ref="AL1133:AM1133"/>
    <mergeCell ref="AN1133:AO1133"/>
    <mergeCell ref="AP1133:AQ1133"/>
    <mergeCell ref="AR1133:AS1133"/>
    <mergeCell ref="AT1133:AU1133"/>
    <mergeCell ref="AX1133:AZ1133"/>
    <mergeCell ref="BA1133:BB1133"/>
    <mergeCell ref="BD1133:BE1133"/>
    <mergeCell ref="BA1131:BB1131"/>
    <mergeCell ref="BD1131:BE1131"/>
    <mergeCell ref="BF1131:BI1131"/>
    <mergeCell ref="BJ1131:BM1131"/>
    <mergeCell ref="BN1131:BV1131"/>
    <mergeCell ref="B1132:C1132"/>
    <mergeCell ref="D1132:E1132"/>
    <mergeCell ref="F1132:G1132"/>
    <mergeCell ref="H1132:I1132"/>
    <mergeCell ref="P1132:Q1132"/>
    <mergeCell ref="R1132:S1132"/>
    <mergeCell ref="T1132:U1132"/>
    <mergeCell ref="V1132:W1132"/>
    <mergeCell ref="X1132:AA1132"/>
    <mergeCell ref="AB1132:AE1132"/>
    <mergeCell ref="AJ1132:AK1132"/>
    <mergeCell ref="AL1132:AM1132"/>
    <mergeCell ref="AN1132:AO1132"/>
    <mergeCell ref="AP1132:AQ1132"/>
    <mergeCell ref="AR1132:AS1132"/>
    <mergeCell ref="AT1132:AU1132"/>
    <mergeCell ref="AX1132:AZ1132"/>
    <mergeCell ref="BA1132:BB1132"/>
    <mergeCell ref="AV1132:AW1132"/>
    <mergeCell ref="AV1133:AW1133"/>
    <mergeCell ref="AF1132:AG1132"/>
    <mergeCell ref="AF1133:AG1133"/>
    <mergeCell ref="J1131:K1131"/>
    <mergeCell ref="AH1131:AI1131"/>
    <mergeCell ref="AH1132:AI1132"/>
    <mergeCell ref="BJ1134:BM1134"/>
    <mergeCell ref="BN1134:BV1134"/>
    <mergeCell ref="B1135:C1135"/>
    <mergeCell ref="D1135:E1135"/>
    <mergeCell ref="F1135:G1135"/>
    <mergeCell ref="H1135:I1135"/>
    <mergeCell ref="L1135:M1135"/>
    <mergeCell ref="P1135:Q1135"/>
    <mergeCell ref="R1135:S1135"/>
    <mergeCell ref="T1135:U1135"/>
    <mergeCell ref="V1135:W1135"/>
    <mergeCell ref="X1135:AA1135"/>
    <mergeCell ref="AB1135:AE1135"/>
    <mergeCell ref="AJ1135:AK1135"/>
    <mergeCell ref="AL1135:AM1135"/>
    <mergeCell ref="AN1135:AO1135"/>
    <mergeCell ref="AP1135:AQ1135"/>
    <mergeCell ref="AR1135:AS1135"/>
    <mergeCell ref="AT1135:AU1135"/>
    <mergeCell ref="AX1135:AZ1135"/>
    <mergeCell ref="BA1135:BB1135"/>
    <mergeCell ref="BD1135:BE1135"/>
    <mergeCell ref="BF1135:BI1135"/>
    <mergeCell ref="BJ1135:BM1135"/>
    <mergeCell ref="BF1133:BI1133"/>
    <mergeCell ref="BJ1133:BM1133"/>
    <mergeCell ref="BN1133:BV1133"/>
    <mergeCell ref="B1134:C1134"/>
    <mergeCell ref="D1134:E1134"/>
    <mergeCell ref="F1134:G1134"/>
    <mergeCell ref="H1134:I1134"/>
    <mergeCell ref="P1134:Q1134"/>
    <mergeCell ref="R1134:S1134"/>
    <mergeCell ref="T1134:U1134"/>
    <mergeCell ref="V1134:W1134"/>
    <mergeCell ref="X1134:AA1134"/>
    <mergeCell ref="AB1134:AE1134"/>
    <mergeCell ref="AJ1134:AK1134"/>
    <mergeCell ref="AL1134:AM1134"/>
    <mergeCell ref="AN1134:AO1134"/>
    <mergeCell ref="AP1134:AQ1134"/>
    <mergeCell ref="AR1134:AS1134"/>
    <mergeCell ref="AT1134:AU1134"/>
    <mergeCell ref="AX1134:AZ1134"/>
    <mergeCell ref="BA1134:BB1134"/>
    <mergeCell ref="BD1134:BE1134"/>
    <mergeCell ref="BF1134:BI1134"/>
    <mergeCell ref="AV1134:AW1134"/>
    <mergeCell ref="AV1135:AW1135"/>
    <mergeCell ref="AF1134:AG1134"/>
    <mergeCell ref="AF1135:AG1135"/>
    <mergeCell ref="J1133:K1133"/>
    <mergeCell ref="AH1133:AI1133"/>
    <mergeCell ref="AH1134:AI1134"/>
    <mergeCell ref="BN1136:BV1136"/>
    <mergeCell ref="B1137:C1137"/>
    <mergeCell ref="D1137:E1137"/>
    <mergeCell ref="F1137:G1137"/>
    <mergeCell ref="H1137:I1137"/>
    <mergeCell ref="L1137:M1137"/>
    <mergeCell ref="P1137:Q1137"/>
    <mergeCell ref="R1137:S1137"/>
    <mergeCell ref="T1137:U1137"/>
    <mergeCell ref="V1137:W1137"/>
    <mergeCell ref="X1137:AA1137"/>
    <mergeCell ref="AB1137:AE1137"/>
    <mergeCell ref="AJ1137:AK1137"/>
    <mergeCell ref="AL1137:AM1137"/>
    <mergeCell ref="AN1137:AO1137"/>
    <mergeCell ref="AP1137:AQ1137"/>
    <mergeCell ref="AR1137:AS1137"/>
    <mergeCell ref="AT1137:AU1137"/>
    <mergeCell ref="AX1137:AZ1137"/>
    <mergeCell ref="BA1137:BB1137"/>
    <mergeCell ref="BD1137:BE1137"/>
    <mergeCell ref="BF1137:BI1137"/>
    <mergeCell ref="BJ1137:BM1137"/>
    <mergeCell ref="BN1135:BV1135"/>
    <mergeCell ref="B1136:C1136"/>
    <mergeCell ref="D1136:E1136"/>
    <mergeCell ref="F1136:G1136"/>
    <mergeCell ref="H1136:I1136"/>
    <mergeCell ref="P1136:Q1136"/>
    <mergeCell ref="R1136:S1136"/>
    <mergeCell ref="T1136:U1136"/>
    <mergeCell ref="V1136:W1136"/>
    <mergeCell ref="X1136:AA1136"/>
    <mergeCell ref="AB1136:AE1136"/>
    <mergeCell ref="AJ1136:AK1136"/>
    <mergeCell ref="AL1136:AM1136"/>
    <mergeCell ref="AN1136:AO1136"/>
    <mergeCell ref="AP1136:AQ1136"/>
    <mergeCell ref="AR1136:AS1136"/>
    <mergeCell ref="AT1136:AU1136"/>
    <mergeCell ref="AX1136:AZ1136"/>
    <mergeCell ref="BA1136:BB1136"/>
    <mergeCell ref="BD1136:BE1136"/>
    <mergeCell ref="BF1136:BI1136"/>
    <mergeCell ref="BJ1136:BM1136"/>
    <mergeCell ref="AV1136:AW1136"/>
    <mergeCell ref="AV1137:AW1137"/>
    <mergeCell ref="AF1136:AG1136"/>
    <mergeCell ref="AF1137:AG1137"/>
    <mergeCell ref="J1135:K1135"/>
    <mergeCell ref="AH1135:AI1135"/>
    <mergeCell ref="AH1136:AI1136"/>
    <mergeCell ref="BN1138:BV1138"/>
    <mergeCell ref="B1139:C1139"/>
    <mergeCell ref="D1139:E1139"/>
    <mergeCell ref="F1139:G1139"/>
    <mergeCell ref="H1139:I1139"/>
    <mergeCell ref="L1139:M1139"/>
    <mergeCell ref="P1139:Q1139"/>
    <mergeCell ref="R1139:S1139"/>
    <mergeCell ref="T1139:U1139"/>
    <mergeCell ref="V1139:W1139"/>
    <mergeCell ref="X1139:AA1139"/>
    <mergeCell ref="AB1139:AE1139"/>
    <mergeCell ref="AJ1139:AK1139"/>
    <mergeCell ref="AL1139:AM1139"/>
    <mergeCell ref="AN1139:AO1139"/>
    <mergeCell ref="AP1139:AQ1139"/>
    <mergeCell ref="AR1139:AS1139"/>
    <mergeCell ref="AT1139:AU1139"/>
    <mergeCell ref="AX1139:AZ1139"/>
    <mergeCell ref="BA1139:BB1139"/>
    <mergeCell ref="BD1139:BE1139"/>
    <mergeCell ref="BF1139:BI1139"/>
    <mergeCell ref="BJ1139:BM1139"/>
    <mergeCell ref="BN1139:BV1139"/>
    <mergeCell ref="AV1139:AW1139"/>
    <mergeCell ref="AV1140:AW1140"/>
    <mergeCell ref="BN1137:BV1137"/>
    <mergeCell ref="B1138:C1138"/>
    <mergeCell ref="D1138:E1138"/>
    <mergeCell ref="F1138:G1138"/>
    <mergeCell ref="H1138:I1138"/>
    <mergeCell ref="P1138:Q1138"/>
    <mergeCell ref="R1138:S1138"/>
    <mergeCell ref="T1138:U1138"/>
    <mergeCell ref="V1138:W1138"/>
    <mergeCell ref="X1138:AA1138"/>
    <mergeCell ref="AB1138:AE1138"/>
    <mergeCell ref="AJ1138:AK1138"/>
    <mergeCell ref="AL1138:AM1138"/>
    <mergeCell ref="AN1138:AO1138"/>
    <mergeCell ref="AP1138:AQ1138"/>
    <mergeCell ref="AR1138:AS1138"/>
    <mergeCell ref="AT1138:AU1138"/>
    <mergeCell ref="AX1138:AZ1138"/>
    <mergeCell ref="BA1138:BB1138"/>
    <mergeCell ref="BD1138:BE1138"/>
    <mergeCell ref="BF1138:BI1138"/>
    <mergeCell ref="BJ1138:BM1138"/>
    <mergeCell ref="AV1138:AW1138"/>
    <mergeCell ref="AF1138:AG1138"/>
    <mergeCell ref="AF1139:AG1139"/>
    <mergeCell ref="AF1140:AG1140"/>
    <mergeCell ref="J1137:K1137"/>
    <mergeCell ref="J1139:K1139"/>
    <mergeCell ref="AH1137:AI1137"/>
    <mergeCell ref="AH1138:AI1138"/>
    <mergeCell ref="AH1139:AI1139"/>
    <mergeCell ref="AN1141:AO1141"/>
    <mergeCell ref="AP1141:AQ1141"/>
    <mergeCell ref="AR1141:AS1141"/>
    <mergeCell ref="AT1141:AU1141"/>
    <mergeCell ref="AX1141:AZ1141"/>
    <mergeCell ref="BA1141:BB1141"/>
    <mergeCell ref="BD1141:BE1141"/>
    <mergeCell ref="BF1141:BI1141"/>
    <mergeCell ref="BJ1141:BM1141"/>
    <mergeCell ref="BN1141:BV1141"/>
    <mergeCell ref="B1142:C1142"/>
    <mergeCell ref="D1142:E1142"/>
    <mergeCell ref="F1142:G1142"/>
    <mergeCell ref="H1142:I1142"/>
    <mergeCell ref="P1142:Q1142"/>
    <mergeCell ref="R1142:S1142"/>
    <mergeCell ref="T1142:U1142"/>
    <mergeCell ref="V1142:W1142"/>
    <mergeCell ref="X1142:AA1142"/>
    <mergeCell ref="AB1142:AE1142"/>
    <mergeCell ref="AJ1142:AK1142"/>
    <mergeCell ref="AL1142:AM1142"/>
    <mergeCell ref="AN1142:AO1142"/>
    <mergeCell ref="AL1140:AM1140"/>
    <mergeCell ref="AN1140:AO1140"/>
    <mergeCell ref="AP1140:AQ1140"/>
    <mergeCell ref="AR1140:AS1140"/>
    <mergeCell ref="AT1140:AU1140"/>
    <mergeCell ref="AX1140:AZ1140"/>
    <mergeCell ref="BA1140:BB1140"/>
    <mergeCell ref="BD1140:BE1140"/>
    <mergeCell ref="BF1140:BI1140"/>
    <mergeCell ref="BJ1140:BM1140"/>
    <mergeCell ref="BN1140:BV1140"/>
    <mergeCell ref="B1141:C1141"/>
    <mergeCell ref="D1141:E1141"/>
    <mergeCell ref="F1141:G1141"/>
    <mergeCell ref="H1141:I1141"/>
    <mergeCell ref="L1141:M1141"/>
    <mergeCell ref="P1141:Q1141"/>
    <mergeCell ref="R1141:S1141"/>
    <mergeCell ref="T1141:U1141"/>
    <mergeCell ref="V1141:W1141"/>
    <mergeCell ref="X1141:AA1141"/>
    <mergeCell ref="AB1141:AE1141"/>
    <mergeCell ref="AJ1141:AK1141"/>
    <mergeCell ref="AL1141:AM1141"/>
    <mergeCell ref="B1140:C1140"/>
    <mergeCell ref="D1140:E1140"/>
    <mergeCell ref="F1140:G1140"/>
    <mergeCell ref="H1140:I1140"/>
    <mergeCell ref="P1140:Q1140"/>
    <mergeCell ref="R1140:S1140"/>
    <mergeCell ref="T1140:U1140"/>
    <mergeCell ref="V1140:W1140"/>
    <mergeCell ref="X1140:AA1140"/>
    <mergeCell ref="AB1140:AE1140"/>
    <mergeCell ref="AJ1140:AK1140"/>
    <mergeCell ref="AV1141:AW1141"/>
    <mergeCell ref="AV1142:AW1142"/>
    <mergeCell ref="AF1141:AG1141"/>
    <mergeCell ref="AF1142:AG1142"/>
    <mergeCell ref="AH1140:AI1140"/>
    <mergeCell ref="AH1141:AI1141"/>
    <mergeCell ref="AR1143:AS1143"/>
    <mergeCell ref="AT1143:AU1143"/>
    <mergeCell ref="AX1143:AZ1143"/>
    <mergeCell ref="BA1143:BB1143"/>
    <mergeCell ref="BD1143:BE1143"/>
    <mergeCell ref="BF1143:BI1143"/>
    <mergeCell ref="BJ1143:BM1143"/>
    <mergeCell ref="BN1143:BV1143"/>
    <mergeCell ref="B1144:C1144"/>
    <mergeCell ref="D1144:E1144"/>
    <mergeCell ref="F1144:G1144"/>
    <mergeCell ref="H1144:I1144"/>
    <mergeCell ref="P1144:Q1144"/>
    <mergeCell ref="R1144:S1144"/>
    <mergeCell ref="T1144:U1144"/>
    <mergeCell ref="V1144:W1144"/>
    <mergeCell ref="X1144:AA1144"/>
    <mergeCell ref="AB1144:AE1144"/>
    <mergeCell ref="AJ1144:AK1144"/>
    <mergeCell ref="AL1144:AM1144"/>
    <mergeCell ref="AN1144:AO1144"/>
    <mergeCell ref="AP1144:AQ1144"/>
    <mergeCell ref="AR1144:AS1144"/>
    <mergeCell ref="AP1142:AQ1142"/>
    <mergeCell ref="AR1142:AS1142"/>
    <mergeCell ref="AT1142:AU1142"/>
    <mergeCell ref="AX1142:AZ1142"/>
    <mergeCell ref="BA1142:BB1142"/>
    <mergeCell ref="BD1142:BE1142"/>
    <mergeCell ref="BF1142:BI1142"/>
    <mergeCell ref="BJ1142:BM1142"/>
    <mergeCell ref="BN1142:BV1142"/>
    <mergeCell ref="B1143:C1143"/>
    <mergeCell ref="D1143:E1143"/>
    <mergeCell ref="F1143:G1143"/>
    <mergeCell ref="H1143:I1143"/>
    <mergeCell ref="L1143:M1143"/>
    <mergeCell ref="P1143:Q1143"/>
    <mergeCell ref="R1143:S1143"/>
    <mergeCell ref="T1143:U1143"/>
    <mergeCell ref="V1143:W1143"/>
    <mergeCell ref="X1143:AA1143"/>
    <mergeCell ref="AB1143:AE1143"/>
    <mergeCell ref="AJ1143:AK1143"/>
    <mergeCell ref="AL1143:AM1143"/>
    <mergeCell ref="AN1143:AO1143"/>
    <mergeCell ref="AP1143:AQ1143"/>
    <mergeCell ref="AV1143:AW1143"/>
    <mergeCell ref="AV1144:AW1144"/>
    <mergeCell ref="AF1143:AG1143"/>
    <mergeCell ref="AF1144:AG1144"/>
    <mergeCell ref="AH1142:AI1142"/>
    <mergeCell ref="AH1143:AI1143"/>
    <mergeCell ref="AX1145:AZ1145"/>
    <mergeCell ref="BA1145:BB1145"/>
    <mergeCell ref="BD1145:BE1145"/>
    <mergeCell ref="BF1145:BI1145"/>
    <mergeCell ref="BJ1145:BM1145"/>
    <mergeCell ref="BN1145:BV1145"/>
    <mergeCell ref="B1146:C1146"/>
    <mergeCell ref="D1146:E1146"/>
    <mergeCell ref="F1146:G1146"/>
    <mergeCell ref="H1146:I1146"/>
    <mergeCell ref="P1146:Q1146"/>
    <mergeCell ref="R1146:S1146"/>
    <mergeCell ref="T1146:U1146"/>
    <mergeCell ref="V1146:W1146"/>
    <mergeCell ref="X1146:AA1146"/>
    <mergeCell ref="AB1146:AE1146"/>
    <mergeCell ref="AJ1146:AK1146"/>
    <mergeCell ref="AL1146:AM1146"/>
    <mergeCell ref="AN1146:AO1146"/>
    <mergeCell ref="AP1146:AQ1146"/>
    <mergeCell ref="AR1146:AS1146"/>
    <mergeCell ref="AT1146:AU1146"/>
    <mergeCell ref="AX1146:AZ1146"/>
    <mergeCell ref="AT1144:AU1144"/>
    <mergeCell ref="AX1144:AZ1144"/>
    <mergeCell ref="BA1144:BB1144"/>
    <mergeCell ref="BD1144:BE1144"/>
    <mergeCell ref="BF1144:BI1144"/>
    <mergeCell ref="BJ1144:BM1144"/>
    <mergeCell ref="BN1144:BV1144"/>
    <mergeCell ref="B1145:C1145"/>
    <mergeCell ref="D1145:E1145"/>
    <mergeCell ref="F1145:G1145"/>
    <mergeCell ref="H1145:I1145"/>
    <mergeCell ref="L1145:M1145"/>
    <mergeCell ref="P1145:Q1145"/>
    <mergeCell ref="R1145:S1145"/>
    <mergeCell ref="T1145:U1145"/>
    <mergeCell ref="V1145:W1145"/>
    <mergeCell ref="X1145:AA1145"/>
    <mergeCell ref="AB1145:AE1145"/>
    <mergeCell ref="AJ1145:AK1145"/>
    <mergeCell ref="AL1145:AM1145"/>
    <mergeCell ref="AN1145:AO1145"/>
    <mergeCell ref="AP1145:AQ1145"/>
    <mergeCell ref="AR1145:AS1145"/>
    <mergeCell ref="AT1145:AU1145"/>
    <mergeCell ref="AV1145:AW1145"/>
    <mergeCell ref="AV1146:AW1146"/>
    <mergeCell ref="AF1145:AG1145"/>
    <mergeCell ref="AF1146:AG1146"/>
    <mergeCell ref="AH1144:AI1144"/>
    <mergeCell ref="AH1145:AI1145"/>
    <mergeCell ref="BD1147:BE1147"/>
    <mergeCell ref="BF1147:BI1147"/>
    <mergeCell ref="BJ1147:BM1147"/>
    <mergeCell ref="BN1147:BV1147"/>
    <mergeCell ref="B1148:C1148"/>
    <mergeCell ref="D1148:E1148"/>
    <mergeCell ref="F1148:G1148"/>
    <mergeCell ref="H1148:I1148"/>
    <mergeCell ref="P1148:Q1148"/>
    <mergeCell ref="R1148:S1148"/>
    <mergeCell ref="T1148:U1148"/>
    <mergeCell ref="V1148:W1148"/>
    <mergeCell ref="X1148:AA1148"/>
    <mergeCell ref="AB1148:AE1148"/>
    <mergeCell ref="AJ1148:AK1148"/>
    <mergeCell ref="AL1148:AM1148"/>
    <mergeCell ref="AN1148:AO1148"/>
    <mergeCell ref="AP1148:AQ1148"/>
    <mergeCell ref="AR1148:AS1148"/>
    <mergeCell ref="AT1148:AU1148"/>
    <mergeCell ref="AX1148:AZ1148"/>
    <mergeCell ref="BA1148:BB1148"/>
    <mergeCell ref="BD1148:BE1148"/>
    <mergeCell ref="BA1146:BB1146"/>
    <mergeCell ref="BD1146:BE1146"/>
    <mergeCell ref="BF1146:BI1146"/>
    <mergeCell ref="BJ1146:BM1146"/>
    <mergeCell ref="BN1146:BV1146"/>
    <mergeCell ref="B1147:C1147"/>
    <mergeCell ref="D1147:E1147"/>
    <mergeCell ref="F1147:G1147"/>
    <mergeCell ref="H1147:I1147"/>
    <mergeCell ref="L1147:M1147"/>
    <mergeCell ref="P1147:Q1147"/>
    <mergeCell ref="R1147:S1147"/>
    <mergeCell ref="T1147:U1147"/>
    <mergeCell ref="V1147:W1147"/>
    <mergeCell ref="X1147:AA1147"/>
    <mergeCell ref="AB1147:AE1147"/>
    <mergeCell ref="AJ1147:AK1147"/>
    <mergeCell ref="AL1147:AM1147"/>
    <mergeCell ref="AN1147:AO1147"/>
    <mergeCell ref="AP1147:AQ1147"/>
    <mergeCell ref="AR1147:AS1147"/>
    <mergeCell ref="AT1147:AU1147"/>
    <mergeCell ref="AX1147:AZ1147"/>
    <mergeCell ref="BA1147:BB1147"/>
    <mergeCell ref="AV1147:AW1147"/>
    <mergeCell ref="AV1148:AW1148"/>
    <mergeCell ref="AF1147:AG1147"/>
    <mergeCell ref="AF1148:AG1148"/>
    <mergeCell ref="AH1146:AI1146"/>
    <mergeCell ref="AH1147:AI1147"/>
    <mergeCell ref="BJ1149:BM1149"/>
    <mergeCell ref="BN1149:BV1149"/>
    <mergeCell ref="B1150:C1150"/>
    <mergeCell ref="D1150:E1150"/>
    <mergeCell ref="F1150:G1150"/>
    <mergeCell ref="H1150:I1150"/>
    <mergeCell ref="P1150:Q1150"/>
    <mergeCell ref="R1150:S1150"/>
    <mergeCell ref="T1150:U1150"/>
    <mergeCell ref="V1150:W1150"/>
    <mergeCell ref="X1150:AA1150"/>
    <mergeCell ref="AB1150:AE1150"/>
    <mergeCell ref="AJ1150:AK1150"/>
    <mergeCell ref="AL1150:AM1150"/>
    <mergeCell ref="AN1150:AO1150"/>
    <mergeCell ref="AP1150:AQ1150"/>
    <mergeCell ref="AR1150:AS1150"/>
    <mergeCell ref="AT1150:AU1150"/>
    <mergeCell ref="AX1150:AZ1150"/>
    <mergeCell ref="BA1150:BB1150"/>
    <mergeCell ref="BD1150:BE1150"/>
    <mergeCell ref="BF1150:BI1150"/>
    <mergeCell ref="BJ1150:BM1150"/>
    <mergeCell ref="BF1148:BI1148"/>
    <mergeCell ref="BJ1148:BM1148"/>
    <mergeCell ref="BN1148:BV1148"/>
    <mergeCell ref="B1149:C1149"/>
    <mergeCell ref="D1149:E1149"/>
    <mergeCell ref="F1149:G1149"/>
    <mergeCell ref="H1149:I1149"/>
    <mergeCell ref="L1149:M1149"/>
    <mergeCell ref="P1149:Q1149"/>
    <mergeCell ref="R1149:S1149"/>
    <mergeCell ref="T1149:U1149"/>
    <mergeCell ref="V1149:W1149"/>
    <mergeCell ref="X1149:AA1149"/>
    <mergeCell ref="AB1149:AE1149"/>
    <mergeCell ref="AJ1149:AK1149"/>
    <mergeCell ref="AL1149:AM1149"/>
    <mergeCell ref="AN1149:AO1149"/>
    <mergeCell ref="AP1149:AQ1149"/>
    <mergeCell ref="AR1149:AS1149"/>
    <mergeCell ref="AT1149:AU1149"/>
    <mergeCell ref="AX1149:AZ1149"/>
    <mergeCell ref="BA1149:BB1149"/>
    <mergeCell ref="BD1149:BE1149"/>
    <mergeCell ref="BF1149:BI1149"/>
    <mergeCell ref="AV1149:AW1149"/>
    <mergeCell ref="AV1150:AW1150"/>
    <mergeCell ref="AF1149:AG1149"/>
    <mergeCell ref="AF1150:AG1150"/>
    <mergeCell ref="AH1148:AI1148"/>
    <mergeCell ref="AH1149:AI1149"/>
    <mergeCell ref="BN1151:BV1151"/>
    <mergeCell ref="B1152:C1152"/>
    <mergeCell ref="D1152:E1152"/>
    <mergeCell ref="F1152:G1152"/>
    <mergeCell ref="H1152:I1152"/>
    <mergeCell ref="P1152:Q1152"/>
    <mergeCell ref="R1152:S1152"/>
    <mergeCell ref="T1152:U1152"/>
    <mergeCell ref="V1152:W1152"/>
    <mergeCell ref="X1152:AA1152"/>
    <mergeCell ref="AB1152:AE1152"/>
    <mergeCell ref="AJ1152:AK1152"/>
    <mergeCell ref="AL1152:AM1152"/>
    <mergeCell ref="AN1152:AO1152"/>
    <mergeCell ref="AP1152:AQ1152"/>
    <mergeCell ref="AR1152:AS1152"/>
    <mergeCell ref="AT1152:AU1152"/>
    <mergeCell ref="AX1152:AZ1152"/>
    <mergeCell ref="BA1152:BB1152"/>
    <mergeCell ref="BD1152:BE1152"/>
    <mergeCell ref="BF1152:BI1152"/>
    <mergeCell ref="BJ1152:BM1152"/>
    <mergeCell ref="BN1150:BV1150"/>
    <mergeCell ref="B1151:C1151"/>
    <mergeCell ref="D1151:E1151"/>
    <mergeCell ref="F1151:G1151"/>
    <mergeCell ref="H1151:I1151"/>
    <mergeCell ref="L1151:M1151"/>
    <mergeCell ref="P1151:Q1151"/>
    <mergeCell ref="R1151:S1151"/>
    <mergeCell ref="T1151:U1151"/>
    <mergeCell ref="V1151:W1151"/>
    <mergeCell ref="X1151:AA1151"/>
    <mergeCell ref="AB1151:AE1151"/>
    <mergeCell ref="AJ1151:AK1151"/>
    <mergeCell ref="AL1151:AM1151"/>
    <mergeCell ref="AN1151:AO1151"/>
    <mergeCell ref="AP1151:AQ1151"/>
    <mergeCell ref="AR1151:AS1151"/>
    <mergeCell ref="AT1151:AU1151"/>
    <mergeCell ref="AX1151:AZ1151"/>
    <mergeCell ref="BA1151:BB1151"/>
    <mergeCell ref="BD1151:BE1151"/>
    <mergeCell ref="BF1151:BI1151"/>
    <mergeCell ref="BJ1151:BM1151"/>
    <mergeCell ref="AV1151:AW1151"/>
    <mergeCell ref="AV1152:AW1152"/>
    <mergeCell ref="AF1151:AG1151"/>
    <mergeCell ref="AF1152:AG1152"/>
    <mergeCell ref="AH1150:AI1150"/>
    <mergeCell ref="AH1151:AI1151"/>
    <mergeCell ref="BN1153:BV1153"/>
    <mergeCell ref="B1154:C1154"/>
    <mergeCell ref="D1154:E1154"/>
    <mergeCell ref="F1154:G1154"/>
    <mergeCell ref="H1154:I1154"/>
    <mergeCell ref="P1154:Q1154"/>
    <mergeCell ref="R1154:S1154"/>
    <mergeCell ref="T1154:U1154"/>
    <mergeCell ref="V1154:W1154"/>
    <mergeCell ref="X1154:AA1154"/>
    <mergeCell ref="AB1154:AE1154"/>
    <mergeCell ref="AJ1154:AK1154"/>
    <mergeCell ref="AL1154:AM1154"/>
    <mergeCell ref="AN1154:AO1154"/>
    <mergeCell ref="AP1154:AQ1154"/>
    <mergeCell ref="AR1154:AS1154"/>
    <mergeCell ref="AT1154:AU1154"/>
    <mergeCell ref="AX1154:AZ1154"/>
    <mergeCell ref="BA1154:BB1154"/>
    <mergeCell ref="BD1154:BE1154"/>
    <mergeCell ref="BF1154:BI1154"/>
    <mergeCell ref="BJ1154:BM1154"/>
    <mergeCell ref="BN1154:BV1154"/>
    <mergeCell ref="BN1152:BV1152"/>
    <mergeCell ref="B1153:C1153"/>
    <mergeCell ref="D1153:E1153"/>
    <mergeCell ref="F1153:G1153"/>
    <mergeCell ref="H1153:I1153"/>
    <mergeCell ref="L1153:M1153"/>
    <mergeCell ref="P1153:Q1153"/>
    <mergeCell ref="R1153:S1153"/>
    <mergeCell ref="T1153:U1153"/>
    <mergeCell ref="V1153:W1153"/>
    <mergeCell ref="X1153:AA1153"/>
    <mergeCell ref="AB1153:AE1153"/>
    <mergeCell ref="AJ1153:AK1153"/>
    <mergeCell ref="AL1153:AM1153"/>
    <mergeCell ref="AN1153:AO1153"/>
    <mergeCell ref="AP1153:AQ1153"/>
    <mergeCell ref="AR1153:AS1153"/>
    <mergeCell ref="AT1153:AU1153"/>
    <mergeCell ref="AX1153:AZ1153"/>
    <mergeCell ref="BA1153:BB1153"/>
    <mergeCell ref="BD1153:BE1153"/>
    <mergeCell ref="BF1153:BI1153"/>
    <mergeCell ref="BJ1153:BM1153"/>
    <mergeCell ref="AV1153:AW1153"/>
    <mergeCell ref="AV1154:AW1154"/>
    <mergeCell ref="AF1153:AG1153"/>
    <mergeCell ref="AF1154:AG1154"/>
    <mergeCell ref="AH1152:AI1152"/>
    <mergeCell ref="AH1153:AI1153"/>
    <mergeCell ref="AH1154:AI1154"/>
    <mergeCell ref="AN1156:AO1156"/>
    <mergeCell ref="AP1156:AQ1156"/>
    <mergeCell ref="AR1156:AS1156"/>
    <mergeCell ref="AT1156:AU1156"/>
    <mergeCell ref="AX1156:AZ1156"/>
    <mergeCell ref="BA1156:BB1156"/>
    <mergeCell ref="BD1156:BE1156"/>
    <mergeCell ref="BF1156:BI1156"/>
    <mergeCell ref="BJ1156:BM1156"/>
    <mergeCell ref="BN1156:BV1156"/>
    <mergeCell ref="B1157:C1157"/>
    <mergeCell ref="D1157:E1157"/>
    <mergeCell ref="F1157:G1157"/>
    <mergeCell ref="H1157:I1157"/>
    <mergeCell ref="L1157:M1157"/>
    <mergeCell ref="P1157:Q1157"/>
    <mergeCell ref="R1157:S1157"/>
    <mergeCell ref="T1157:U1157"/>
    <mergeCell ref="V1157:W1157"/>
    <mergeCell ref="X1157:AA1157"/>
    <mergeCell ref="AB1157:AE1157"/>
    <mergeCell ref="AJ1157:AK1157"/>
    <mergeCell ref="AL1157:AM1157"/>
    <mergeCell ref="AN1157:AO1157"/>
    <mergeCell ref="AL1155:AM1155"/>
    <mergeCell ref="AN1155:AO1155"/>
    <mergeCell ref="AP1155:AQ1155"/>
    <mergeCell ref="AR1155:AS1155"/>
    <mergeCell ref="AT1155:AU1155"/>
    <mergeCell ref="AX1155:AZ1155"/>
    <mergeCell ref="BA1155:BB1155"/>
    <mergeCell ref="BD1155:BE1155"/>
    <mergeCell ref="BF1155:BI1155"/>
    <mergeCell ref="BJ1155:BM1155"/>
    <mergeCell ref="BN1155:BV1155"/>
    <mergeCell ref="B1156:C1156"/>
    <mergeCell ref="D1156:E1156"/>
    <mergeCell ref="F1156:G1156"/>
    <mergeCell ref="H1156:I1156"/>
    <mergeCell ref="P1156:Q1156"/>
    <mergeCell ref="R1156:S1156"/>
    <mergeCell ref="T1156:U1156"/>
    <mergeCell ref="V1156:W1156"/>
    <mergeCell ref="X1156:AA1156"/>
    <mergeCell ref="AB1156:AE1156"/>
    <mergeCell ref="AJ1156:AK1156"/>
    <mergeCell ref="AL1156:AM1156"/>
    <mergeCell ref="B1155:C1155"/>
    <mergeCell ref="D1155:E1155"/>
    <mergeCell ref="F1155:G1155"/>
    <mergeCell ref="H1155:I1155"/>
    <mergeCell ref="L1155:M1155"/>
    <mergeCell ref="P1155:Q1155"/>
    <mergeCell ref="R1155:S1155"/>
    <mergeCell ref="T1155:U1155"/>
    <mergeCell ref="V1155:W1155"/>
    <mergeCell ref="X1155:AA1155"/>
    <mergeCell ref="AB1155:AE1155"/>
    <mergeCell ref="AJ1155:AK1155"/>
    <mergeCell ref="AV1155:AW1155"/>
    <mergeCell ref="AV1156:AW1156"/>
    <mergeCell ref="AV1157:AW1157"/>
    <mergeCell ref="AF1155:AG1155"/>
    <mergeCell ref="AF1156:AG1156"/>
    <mergeCell ref="AR1158:AS1158"/>
    <mergeCell ref="AT1158:AU1158"/>
    <mergeCell ref="AX1158:AZ1158"/>
    <mergeCell ref="BA1158:BB1158"/>
    <mergeCell ref="BD1158:BE1158"/>
    <mergeCell ref="BF1158:BI1158"/>
    <mergeCell ref="BJ1158:BM1158"/>
    <mergeCell ref="BN1158:BV1158"/>
    <mergeCell ref="B1159:C1159"/>
    <mergeCell ref="D1159:E1159"/>
    <mergeCell ref="F1159:G1159"/>
    <mergeCell ref="H1159:I1159"/>
    <mergeCell ref="L1159:M1159"/>
    <mergeCell ref="P1159:Q1159"/>
    <mergeCell ref="R1159:S1159"/>
    <mergeCell ref="T1159:U1159"/>
    <mergeCell ref="V1159:W1159"/>
    <mergeCell ref="X1159:AA1159"/>
    <mergeCell ref="AB1159:AE1159"/>
    <mergeCell ref="AJ1159:AK1159"/>
    <mergeCell ref="AL1159:AM1159"/>
    <mergeCell ref="AN1159:AO1159"/>
    <mergeCell ref="AP1159:AQ1159"/>
    <mergeCell ref="AR1159:AS1159"/>
    <mergeCell ref="AP1157:AQ1157"/>
    <mergeCell ref="AR1157:AS1157"/>
    <mergeCell ref="AT1157:AU1157"/>
    <mergeCell ref="AX1157:AZ1157"/>
    <mergeCell ref="BA1157:BB1157"/>
    <mergeCell ref="BD1157:BE1157"/>
    <mergeCell ref="BF1157:BI1157"/>
    <mergeCell ref="BJ1157:BM1157"/>
    <mergeCell ref="BN1157:BV1157"/>
    <mergeCell ref="B1158:C1158"/>
    <mergeCell ref="D1158:E1158"/>
    <mergeCell ref="F1158:G1158"/>
    <mergeCell ref="H1158:I1158"/>
    <mergeCell ref="P1158:Q1158"/>
    <mergeCell ref="R1158:S1158"/>
    <mergeCell ref="T1158:U1158"/>
    <mergeCell ref="V1158:W1158"/>
    <mergeCell ref="X1158:AA1158"/>
    <mergeCell ref="AB1158:AE1158"/>
    <mergeCell ref="AJ1158:AK1158"/>
    <mergeCell ref="AL1158:AM1158"/>
    <mergeCell ref="AN1158:AO1158"/>
    <mergeCell ref="AP1158:AQ1158"/>
    <mergeCell ref="AV1158:AW1158"/>
    <mergeCell ref="AV1159:AW1159"/>
    <mergeCell ref="AF1157:AG1157"/>
    <mergeCell ref="AF1158:AG1158"/>
    <mergeCell ref="AF1159:AG1159"/>
    <mergeCell ref="AX1160:AZ1160"/>
    <mergeCell ref="BA1160:BB1160"/>
    <mergeCell ref="BD1160:BE1160"/>
    <mergeCell ref="BF1160:BI1160"/>
    <mergeCell ref="BJ1160:BM1160"/>
    <mergeCell ref="BN1160:BV1160"/>
    <mergeCell ref="B1161:C1161"/>
    <mergeCell ref="D1161:E1161"/>
    <mergeCell ref="F1161:G1161"/>
    <mergeCell ref="H1161:I1161"/>
    <mergeCell ref="L1161:M1161"/>
    <mergeCell ref="P1161:Q1161"/>
    <mergeCell ref="R1161:S1161"/>
    <mergeCell ref="T1161:U1161"/>
    <mergeCell ref="V1161:W1161"/>
    <mergeCell ref="X1161:AA1161"/>
    <mergeCell ref="AB1161:AE1161"/>
    <mergeCell ref="AJ1161:AK1161"/>
    <mergeCell ref="AL1161:AM1161"/>
    <mergeCell ref="AN1161:AO1161"/>
    <mergeCell ref="AP1161:AQ1161"/>
    <mergeCell ref="AR1161:AS1161"/>
    <mergeCell ref="AT1161:AU1161"/>
    <mergeCell ref="AX1161:AZ1161"/>
    <mergeCell ref="AT1159:AU1159"/>
    <mergeCell ref="AX1159:AZ1159"/>
    <mergeCell ref="BA1159:BB1159"/>
    <mergeCell ref="BD1159:BE1159"/>
    <mergeCell ref="BF1159:BI1159"/>
    <mergeCell ref="BJ1159:BM1159"/>
    <mergeCell ref="BN1159:BV1159"/>
    <mergeCell ref="B1160:C1160"/>
    <mergeCell ref="D1160:E1160"/>
    <mergeCell ref="F1160:G1160"/>
    <mergeCell ref="H1160:I1160"/>
    <mergeCell ref="P1160:Q1160"/>
    <mergeCell ref="R1160:S1160"/>
    <mergeCell ref="T1160:U1160"/>
    <mergeCell ref="V1160:W1160"/>
    <mergeCell ref="X1160:AA1160"/>
    <mergeCell ref="AB1160:AE1160"/>
    <mergeCell ref="AJ1160:AK1160"/>
    <mergeCell ref="AL1160:AM1160"/>
    <mergeCell ref="AN1160:AO1160"/>
    <mergeCell ref="AP1160:AQ1160"/>
    <mergeCell ref="AR1160:AS1160"/>
    <mergeCell ref="AT1160:AU1160"/>
    <mergeCell ref="AV1160:AW1160"/>
    <mergeCell ref="AV1161:AW1161"/>
    <mergeCell ref="AH1159:AI1159"/>
    <mergeCell ref="AH1160:AI1160"/>
    <mergeCell ref="AF1160:AG1160"/>
    <mergeCell ref="AF1161:AG1161"/>
    <mergeCell ref="BD1162:BE1162"/>
    <mergeCell ref="BF1162:BI1162"/>
    <mergeCell ref="BJ1162:BM1162"/>
    <mergeCell ref="BN1162:BV1162"/>
    <mergeCell ref="B1163:C1163"/>
    <mergeCell ref="D1163:E1163"/>
    <mergeCell ref="F1163:G1163"/>
    <mergeCell ref="H1163:I1163"/>
    <mergeCell ref="L1163:M1163"/>
    <mergeCell ref="P1163:Q1163"/>
    <mergeCell ref="R1163:S1163"/>
    <mergeCell ref="T1163:U1163"/>
    <mergeCell ref="V1163:W1163"/>
    <mergeCell ref="X1163:AA1163"/>
    <mergeCell ref="AB1163:AE1163"/>
    <mergeCell ref="AJ1163:AK1163"/>
    <mergeCell ref="AL1163:AM1163"/>
    <mergeCell ref="AN1163:AO1163"/>
    <mergeCell ref="AP1163:AQ1163"/>
    <mergeCell ref="AR1163:AS1163"/>
    <mergeCell ref="AT1163:AU1163"/>
    <mergeCell ref="AX1163:AZ1163"/>
    <mergeCell ref="BA1163:BB1163"/>
    <mergeCell ref="BD1163:BE1163"/>
    <mergeCell ref="BA1161:BB1161"/>
    <mergeCell ref="BD1161:BE1161"/>
    <mergeCell ref="BF1161:BI1161"/>
    <mergeCell ref="BJ1161:BM1161"/>
    <mergeCell ref="BN1161:BV1161"/>
    <mergeCell ref="B1162:C1162"/>
    <mergeCell ref="D1162:E1162"/>
    <mergeCell ref="F1162:G1162"/>
    <mergeCell ref="H1162:I1162"/>
    <mergeCell ref="P1162:Q1162"/>
    <mergeCell ref="R1162:S1162"/>
    <mergeCell ref="T1162:U1162"/>
    <mergeCell ref="V1162:W1162"/>
    <mergeCell ref="X1162:AA1162"/>
    <mergeCell ref="AB1162:AE1162"/>
    <mergeCell ref="AJ1162:AK1162"/>
    <mergeCell ref="AL1162:AM1162"/>
    <mergeCell ref="AN1162:AO1162"/>
    <mergeCell ref="AP1162:AQ1162"/>
    <mergeCell ref="AR1162:AS1162"/>
    <mergeCell ref="AT1162:AU1162"/>
    <mergeCell ref="AX1162:AZ1162"/>
    <mergeCell ref="BA1162:BB1162"/>
    <mergeCell ref="AV1162:AW1162"/>
    <mergeCell ref="AV1163:AW1163"/>
    <mergeCell ref="AH1161:AI1161"/>
    <mergeCell ref="AH1162:AI1162"/>
    <mergeCell ref="AF1162:AG1162"/>
    <mergeCell ref="AF1163:AG1163"/>
    <mergeCell ref="BJ1164:BM1164"/>
    <mergeCell ref="BN1164:BV1164"/>
    <mergeCell ref="B1165:C1165"/>
    <mergeCell ref="D1165:E1165"/>
    <mergeCell ref="F1165:G1165"/>
    <mergeCell ref="H1165:I1165"/>
    <mergeCell ref="L1165:M1165"/>
    <mergeCell ref="P1165:Q1165"/>
    <mergeCell ref="R1165:S1165"/>
    <mergeCell ref="T1165:U1165"/>
    <mergeCell ref="V1165:W1165"/>
    <mergeCell ref="X1165:AA1165"/>
    <mergeCell ref="AB1165:AE1165"/>
    <mergeCell ref="AJ1165:AK1165"/>
    <mergeCell ref="AL1165:AM1165"/>
    <mergeCell ref="AN1165:AO1165"/>
    <mergeCell ref="AP1165:AQ1165"/>
    <mergeCell ref="AR1165:AS1165"/>
    <mergeCell ref="AT1165:AU1165"/>
    <mergeCell ref="AX1165:AZ1165"/>
    <mergeCell ref="BA1165:BB1165"/>
    <mergeCell ref="BD1165:BE1165"/>
    <mergeCell ref="BF1165:BI1165"/>
    <mergeCell ref="BJ1165:BM1165"/>
    <mergeCell ref="BF1163:BI1163"/>
    <mergeCell ref="BJ1163:BM1163"/>
    <mergeCell ref="BN1163:BV1163"/>
    <mergeCell ref="B1164:C1164"/>
    <mergeCell ref="D1164:E1164"/>
    <mergeCell ref="F1164:G1164"/>
    <mergeCell ref="H1164:I1164"/>
    <mergeCell ref="P1164:Q1164"/>
    <mergeCell ref="R1164:S1164"/>
    <mergeCell ref="T1164:U1164"/>
    <mergeCell ref="V1164:W1164"/>
    <mergeCell ref="X1164:AA1164"/>
    <mergeCell ref="AB1164:AE1164"/>
    <mergeCell ref="AJ1164:AK1164"/>
    <mergeCell ref="AL1164:AM1164"/>
    <mergeCell ref="AN1164:AO1164"/>
    <mergeCell ref="AP1164:AQ1164"/>
    <mergeCell ref="AR1164:AS1164"/>
    <mergeCell ref="AT1164:AU1164"/>
    <mergeCell ref="AX1164:AZ1164"/>
    <mergeCell ref="BA1164:BB1164"/>
    <mergeCell ref="BD1164:BE1164"/>
    <mergeCell ref="BF1164:BI1164"/>
    <mergeCell ref="AV1164:AW1164"/>
    <mergeCell ref="AV1165:AW1165"/>
    <mergeCell ref="AH1163:AI1163"/>
    <mergeCell ref="AH1164:AI1164"/>
    <mergeCell ref="AF1164:AG1164"/>
    <mergeCell ref="AF1165:AG1165"/>
    <mergeCell ref="BN1166:BV1166"/>
    <mergeCell ref="B1167:C1167"/>
    <mergeCell ref="D1167:E1167"/>
    <mergeCell ref="F1167:G1167"/>
    <mergeCell ref="H1167:I1167"/>
    <mergeCell ref="L1167:M1167"/>
    <mergeCell ref="P1167:Q1167"/>
    <mergeCell ref="R1167:S1167"/>
    <mergeCell ref="T1167:U1167"/>
    <mergeCell ref="V1167:W1167"/>
    <mergeCell ref="X1167:AA1167"/>
    <mergeCell ref="AB1167:AE1167"/>
    <mergeCell ref="AJ1167:AK1167"/>
    <mergeCell ref="AL1167:AM1167"/>
    <mergeCell ref="AN1167:AO1167"/>
    <mergeCell ref="AP1167:AQ1167"/>
    <mergeCell ref="AR1167:AS1167"/>
    <mergeCell ref="AT1167:AU1167"/>
    <mergeCell ref="AX1167:AZ1167"/>
    <mergeCell ref="BA1167:BB1167"/>
    <mergeCell ref="BD1167:BE1167"/>
    <mergeCell ref="BF1167:BI1167"/>
    <mergeCell ref="BJ1167:BM1167"/>
    <mergeCell ref="BN1165:BV1165"/>
    <mergeCell ref="B1166:C1166"/>
    <mergeCell ref="D1166:E1166"/>
    <mergeCell ref="F1166:G1166"/>
    <mergeCell ref="H1166:I1166"/>
    <mergeCell ref="P1166:Q1166"/>
    <mergeCell ref="R1166:S1166"/>
    <mergeCell ref="T1166:U1166"/>
    <mergeCell ref="V1166:W1166"/>
    <mergeCell ref="X1166:AA1166"/>
    <mergeCell ref="AB1166:AE1166"/>
    <mergeCell ref="AJ1166:AK1166"/>
    <mergeCell ref="AL1166:AM1166"/>
    <mergeCell ref="AN1166:AO1166"/>
    <mergeCell ref="AP1166:AQ1166"/>
    <mergeCell ref="AR1166:AS1166"/>
    <mergeCell ref="AT1166:AU1166"/>
    <mergeCell ref="AX1166:AZ1166"/>
    <mergeCell ref="BA1166:BB1166"/>
    <mergeCell ref="BD1166:BE1166"/>
    <mergeCell ref="BF1166:BI1166"/>
    <mergeCell ref="BJ1166:BM1166"/>
    <mergeCell ref="AV1166:AW1166"/>
    <mergeCell ref="AV1167:AW1167"/>
    <mergeCell ref="AH1165:AI1165"/>
    <mergeCell ref="AH1166:AI1166"/>
    <mergeCell ref="AF1166:AG1166"/>
    <mergeCell ref="AF1167:AG1167"/>
    <mergeCell ref="BN1168:BV1168"/>
    <mergeCell ref="B1169:C1169"/>
    <mergeCell ref="D1169:E1169"/>
    <mergeCell ref="F1169:G1169"/>
    <mergeCell ref="H1169:I1169"/>
    <mergeCell ref="L1169:M1169"/>
    <mergeCell ref="P1169:Q1169"/>
    <mergeCell ref="R1169:S1169"/>
    <mergeCell ref="T1169:U1169"/>
    <mergeCell ref="V1169:W1169"/>
    <mergeCell ref="X1169:AA1169"/>
    <mergeCell ref="AB1169:AE1169"/>
    <mergeCell ref="AJ1169:AK1169"/>
    <mergeCell ref="AL1169:AM1169"/>
    <mergeCell ref="AN1169:AO1169"/>
    <mergeCell ref="AP1169:AQ1169"/>
    <mergeCell ref="AR1169:AS1169"/>
    <mergeCell ref="AT1169:AU1169"/>
    <mergeCell ref="AX1169:AZ1169"/>
    <mergeCell ref="BA1169:BB1169"/>
    <mergeCell ref="BD1169:BE1169"/>
    <mergeCell ref="BF1169:BI1169"/>
    <mergeCell ref="BJ1169:BM1169"/>
    <mergeCell ref="BN1169:BV1169"/>
    <mergeCell ref="BN1167:BV1167"/>
    <mergeCell ref="B1168:C1168"/>
    <mergeCell ref="D1168:E1168"/>
    <mergeCell ref="F1168:G1168"/>
    <mergeCell ref="H1168:I1168"/>
    <mergeCell ref="P1168:Q1168"/>
    <mergeCell ref="R1168:S1168"/>
    <mergeCell ref="T1168:U1168"/>
    <mergeCell ref="V1168:W1168"/>
    <mergeCell ref="X1168:AA1168"/>
    <mergeCell ref="AB1168:AE1168"/>
    <mergeCell ref="AJ1168:AK1168"/>
    <mergeCell ref="AL1168:AM1168"/>
    <mergeCell ref="AN1168:AO1168"/>
    <mergeCell ref="AP1168:AQ1168"/>
    <mergeCell ref="AR1168:AS1168"/>
    <mergeCell ref="AT1168:AU1168"/>
    <mergeCell ref="AX1168:AZ1168"/>
    <mergeCell ref="BA1168:BB1168"/>
    <mergeCell ref="BD1168:BE1168"/>
    <mergeCell ref="BF1168:BI1168"/>
    <mergeCell ref="BJ1168:BM1168"/>
    <mergeCell ref="AV1168:AW1168"/>
    <mergeCell ref="AV1169:AW1169"/>
    <mergeCell ref="AH1167:AI1167"/>
    <mergeCell ref="AH1168:AI1168"/>
    <mergeCell ref="AH1169:AI1169"/>
    <mergeCell ref="AF1168:AG1168"/>
    <mergeCell ref="AF1169:AG1169"/>
    <mergeCell ref="AN1171:AO1171"/>
    <mergeCell ref="AP1171:AQ1171"/>
    <mergeCell ref="AR1171:AS1171"/>
    <mergeCell ref="AT1171:AU1171"/>
    <mergeCell ref="AX1171:AZ1171"/>
    <mergeCell ref="BA1171:BB1171"/>
    <mergeCell ref="BD1171:BE1171"/>
    <mergeCell ref="BF1171:BI1171"/>
    <mergeCell ref="BJ1171:BM1171"/>
    <mergeCell ref="BN1171:BV1171"/>
    <mergeCell ref="B1172:C1172"/>
    <mergeCell ref="D1172:E1172"/>
    <mergeCell ref="F1172:G1172"/>
    <mergeCell ref="H1172:I1172"/>
    <mergeCell ref="P1172:Q1172"/>
    <mergeCell ref="R1172:S1172"/>
    <mergeCell ref="T1172:U1172"/>
    <mergeCell ref="V1172:W1172"/>
    <mergeCell ref="X1172:AA1172"/>
    <mergeCell ref="AB1172:AE1172"/>
    <mergeCell ref="AJ1172:AK1172"/>
    <mergeCell ref="AL1172:AM1172"/>
    <mergeCell ref="AN1172:AO1172"/>
    <mergeCell ref="AL1170:AM1170"/>
    <mergeCell ref="AN1170:AO1170"/>
    <mergeCell ref="AP1170:AQ1170"/>
    <mergeCell ref="AR1170:AS1170"/>
    <mergeCell ref="AT1170:AU1170"/>
    <mergeCell ref="AX1170:AZ1170"/>
    <mergeCell ref="BA1170:BB1170"/>
    <mergeCell ref="BD1170:BE1170"/>
    <mergeCell ref="BF1170:BI1170"/>
    <mergeCell ref="BJ1170:BM1170"/>
    <mergeCell ref="BN1170:BV1170"/>
    <mergeCell ref="B1171:C1171"/>
    <mergeCell ref="D1171:E1171"/>
    <mergeCell ref="F1171:G1171"/>
    <mergeCell ref="H1171:I1171"/>
    <mergeCell ref="L1171:M1171"/>
    <mergeCell ref="P1171:Q1171"/>
    <mergeCell ref="R1171:S1171"/>
    <mergeCell ref="T1171:U1171"/>
    <mergeCell ref="V1171:W1171"/>
    <mergeCell ref="X1171:AA1171"/>
    <mergeCell ref="AB1171:AE1171"/>
    <mergeCell ref="AJ1171:AK1171"/>
    <mergeCell ref="AL1171:AM1171"/>
    <mergeCell ref="B1170:C1170"/>
    <mergeCell ref="D1170:E1170"/>
    <mergeCell ref="F1170:G1170"/>
    <mergeCell ref="H1170:I1170"/>
    <mergeCell ref="P1170:Q1170"/>
    <mergeCell ref="R1170:S1170"/>
    <mergeCell ref="T1170:U1170"/>
    <mergeCell ref="V1170:W1170"/>
    <mergeCell ref="X1170:AA1170"/>
    <mergeCell ref="AB1170:AE1170"/>
    <mergeCell ref="AJ1170:AK1170"/>
    <mergeCell ref="AV1170:AW1170"/>
    <mergeCell ref="AV1171:AW1171"/>
    <mergeCell ref="AV1172:AW1172"/>
    <mergeCell ref="AH1170:AI1170"/>
    <mergeCell ref="AF1170:AG1170"/>
    <mergeCell ref="AF1171:AG1171"/>
    <mergeCell ref="AR1173:AS1173"/>
    <mergeCell ref="AT1173:AU1173"/>
    <mergeCell ref="AX1173:AZ1173"/>
    <mergeCell ref="BA1173:BB1173"/>
    <mergeCell ref="BD1173:BE1173"/>
    <mergeCell ref="BF1173:BI1173"/>
    <mergeCell ref="BJ1173:BM1173"/>
    <mergeCell ref="BN1173:BV1173"/>
    <mergeCell ref="B1174:C1174"/>
    <mergeCell ref="D1174:E1174"/>
    <mergeCell ref="F1174:G1174"/>
    <mergeCell ref="H1174:I1174"/>
    <mergeCell ref="P1174:Q1174"/>
    <mergeCell ref="R1174:S1174"/>
    <mergeCell ref="T1174:U1174"/>
    <mergeCell ref="V1174:W1174"/>
    <mergeCell ref="X1174:AA1174"/>
    <mergeCell ref="AB1174:AE1174"/>
    <mergeCell ref="AJ1174:AK1174"/>
    <mergeCell ref="AL1174:AM1174"/>
    <mergeCell ref="AN1174:AO1174"/>
    <mergeCell ref="AP1174:AQ1174"/>
    <mergeCell ref="AR1174:AS1174"/>
    <mergeCell ref="AP1172:AQ1172"/>
    <mergeCell ref="AR1172:AS1172"/>
    <mergeCell ref="AT1172:AU1172"/>
    <mergeCell ref="AX1172:AZ1172"/>
    <mergeCell ref="BA1172:BB1172"/>
    <mergeCell ref="BD1172:BE1172"/>
    <mergeCell ref="BF1172:BI1172"/>
    <mergeCell ref="BJ1172:BM1172"/>
    <mergeCell ref="BN1172:BV1172"/>
    <mergeCell ref="B1173:C1173"/>
    <mergeCell ref="D1173:E1173"/>
    <mergeCell ref="F1173:G1173"/>
    <mergeCell ref="H1173:I1173"/>
    <mergeCell ref="L1173:M1173"/>
    <mergeCell ref="P1173:Q1173"/>
    <mergeCell ref="R1173:S1173"/>
    <mergeCell ref="T1173:U1173"/>
    <mergeCell ref="V1173:W1173"/>
    <mergeCell ref="X1173:AA1173"/>
    <mergeCell ref="AB1173:AE1173"/>
    <mergeCell ref="AJ1173:AK1173"/>
    <mergeCell ref="AL1173:AM1173"/>
    <mergeCell ref="AN1173:AO1173"/>
    <mergeCell ref="AP1173:AQ1173"/>
    <mergeCell ref="AV1173:AW1173"/>
    <mergeCell ref="AV1174:AW1174"/>
    <mergeCell ref="AF1172:AG1172"/>
    <mergeCell ref="AF1173:AG1173"/>
    <mergeCell ref="AF1174:AG1174"/>
    <mergeCell ref="AX1175:AZ1175"/>
    <mergeCell ref="BA1175:BB1175"/>
    <mergeCell ref="BD1175:BE1175"/>
    <mergeCell ref="BF1175:BI1175"/>
    <mergeCell ref="BJ1175:BM1175"/>
    <mergeCell ref="BN1175:BV1175"/>
    <mergeCell ref="B1176:C1176"/>
    <mergeCell ref="D1176:E1176"/>
    <mergeCell ref="F1176:G1176"/>
    <mergeCell ref="H1176:I1176"/>
    <mergeCell ref="P1176:Q1176"/>
    <mergeCell ref="R1176:S1176"/>
    <mergeCell ref="T1176:U1176"/>
    <mergeCell ref="V1176:W1176"/>
    <mergeCell ref="X1176:AA1176"/>
    <mergeCell ref="AB1176:AE1176"/>
    <mergeCell ref="AJ1176:AK1176"/>
    <mergeCell ref="AL1176:AM1176"/>
    <mergeCell ref="AN1176:AO1176"/>
    <mergeCell ref="AP1176:AQ1176"/>
    <mergeCell ref="AR1176:AS1176"/>
    <mergeCell ref="AT1176:AU1176"/>
    <mergeCell ref="AX1176:AZ1176"/>
    <mergeCell ref="AT1174:AU1174"/>
    <mergeCell ref="AX1174:AZ1174"/>
    <mergeCell ref="BA1174:BB1174"/>
    <mergeCell ref="BD1174:BE1174"/>
    <mergeCell ref="BF1174:BI1174"/>
    <mergeCell ref="BJ1174:BM1174"/>
    <mergeCell ref="BN1174:BV1174"/>
    <mergeCell ref="B1175:C1175"/>
    <mergeCell ref="D1175:E1175"/>
    <mergeCell ref="F1175:G1175"/>
    <mergeCell ref="H1175:I1175"/>
    <mergeCell ref="L1175:M1175"/>
    <mergeCell ref="P1175:Q1175"/>
    <mergeCell ref="R1175:S1175"/>
    <mergeCell ref="T1175:U1175"/>
    <mergeCell ref="V1175:W1175"/>
    <mergeCell ref="X1175:AA1175"/>
    <mergeCell ref="AB1175:AE1175"/>
    <mergeCell ref="AJ1175:AK1175"/>
    <mergeCell ref="AL1175:AM1175"/>
    <mergeCell ref="AN1175:AO1175"/>
    <mergeCell ref="AP1175:AQ1175"/>
    <mergeCell ref="AR1175:AS1175"/>
    <mergeCell ref="AT1175:AU1175"/>
    <mergeCell ref="AV1175:AW1175"/>
    <mergeCell ref="AV1176:AW1176"/>
    <mergeCell ref="J1175:K1175"/>
    <mergeCell ref="AF1175:AG1175"/>
    <mergeCell ref="AF1176:AG1176"/>
    <mergeCell ref="BD1177:BE1177"/>
    <mergeCell ref="BF1177:BI1177"/>
    <mergeCell ref="BJ1177:BM1177"/>
    <mergeCell ref="BN1177:BV1177"/>
    <mergeCell ref="B1178:C1178"/>
    <mergeCell ref="D1178:E1178"/>
    <mergeCell ref="F1178:G1178"/>
    <mergeCell ref="H1178:I1178"/>
    <mergeCell ref="P1178:Q1178"/>
    <mergeCell ref="R1178:S1178"/>
    <mergeCell ref="T1178:U1178"/>
    <mergeCell ref="V1178:W1178"/>
    <mergeCell ref="X1178:AA1178"/>
    <mergeCell ref="AB1178:AE1178"/>
    <mergeCell ref="AJ1178:AK1178"/>
    <mergeCell ref="AL1178:AM1178"/>
    <mergeCell ref="AN1178:AO1178"/>
    <mergeCell ref="AP1178:AQ1178"/>
    <mergeCell ref="AR1178:AS1178"/>
    <mergeCell ref="AT1178:AU1178"/>
    <mergeCell ref="AX1178:AZ1178"/>
    <mergeCell ref="BA1178:BB1178"/>
    <mergeCell ref="BD1178:BE1178"/>
    <mergeCell ref="BA1176:BB1176"/>
    <mergeCell ref="BD1176:BE1176"/>
    <mergeCell ref="BF1176:BI1176"/>
    <mergeCell ref="BJ1176:BM1176"/>
    <mergeCell ref="BN1176:BV1176"/>
    <mergeCell ref="B1177:C1177"/>
    <mergeCell ref="D1177:E1177"/>
    <mergeCell ref="F1177:G1177"/>
    <mergeCell ref="H1177:I1177"/>
    <mergeCell ref="L1177:M1177"/>
    <mergeCell ref="P1177:Q1177"/>
    <mergeCell ref="R1177:S1177"/>
    <mergeCell ref="T1177:U1177"/>
    <mergeCell ref="V1177:W1177"/>
    <mergeCell ref="X1177:AA1177"/>
    <mergeCell ref="AB1177:AE1177"/>
    <mergeCell ref="AJ1177:AK1177"/>
    <mergeCell ref="AL1177:AM1177"/>
    <mergeCell ref="AN1177:AO1177"/>
    <mergeCell ref="AP1177:AQ1177"/>
    <mergeCell ref="AR1177:AS1177"/>
    <mergeCell ref="AT1177:AU1177"/>
    <mergeCell ref="AX1177:AZ1177"/>
    <mergeCell ref="BA1177:BB1177"/>
    <mergeCell ref="AV1177:AW1177"/>
    <mergeCell ref="AV1178:AW1178"/>
    <mergeCell ref="J1177:K1177"/>
    <mergeCell ref="AF1177:AG1177"/>
    <mergeCell ref="AF1178:AG1178"/>
    <mergeCell ref="BJ1179:BM1179"/>
    <mergeCell ref="BN1179:BV1179"/>
    <mergeCell ref="B1180:C1180"/>
    <mergeCell ref="D1180:E1180"/>
    <mergeCell ref="F1180:G1180"/>
    <mergeCell ref="H1180:I1180"/>
    <mergeCell ref="P1180:Q1180"/>
    <mergeCell ref="R1180:S1180"/>
    <mergeCell ref="T1180:U1180"/>
    <mergeCell ref="V1180:W1180"/>
    <mergeCell ref="X1180:AA1180"/>
    <mergeCell ref="AB1180:AE1180"/>
    <mergeCell ref="AJ1180:AK1180"/>
    <mergeCell ref="AL1180:AM1180"/>
    <mergeCell ref="AN1180:AO1180"/>
    <mergeCell ref="AP1180:AQ1180"/>
    <mergeCell ref="AR1180:AS1180"/>
    <mergeCell ref="AT1180:AU1180"/>
    <mergeCell ref="AX1180:AZ1180"/>
    <mergeCell ref="BA1180:BB1180"/>
    <mergeCell ref="BD1180:BE1180"/>
    <mergeCell ref="BF1180:BI1180"/>
    <mergeCell ref="BJ1180:BM1180"/>
    <mergeCell ref="BF1178:BI1178"/>
    <mergeCell ref="BJ1178:BM1178"/>
    <mergeCell ref="BN1178:BV1178"/>
    <mergeCell ref="B1179:C1179"/>
    <mergeCell ref="D1179:E1179"/>
    <mergeCell ref="F1179:G1179"/>
    <mergeCell ref="H1179:I1179"/>
    <mergeCell ref="L1179:M1179"/>
    <mergeCell ref="P1179:Q1179"/>
    <mergeCell ref="R1179:S1179"/>
    <mergeCell ref="T1179:U1179"/>
    <mergeCell ref="V1179:W1179"/>
    <mergeCell ref="X1179:AA1179"/>
    <mergeCell ref="AB1179:AE1179"/>
    <mergeCell ref="AJ1179:AK1179"/>
    <mergeCell ref="AL1179:AM1179"/>
    <mergeCell ref="AN1179:AO1179"/>
    <mergeCell ref="AP1179:AQ1179"/>
    <mergeCell ref="AR1179:AS1179"/>
    <mergeCell ref="AT1179:AU1179"/>
    <mergeCell ref="AX1179:AZ1179"/>
    <mergeCell ref="BA1179:BB1179"/>
    <mergeCell ref="BD1179:BE1179"/>
    <mergeCell ref="BF1179:BI1179"/>
    <mergeCell ref="AV1179:AW1179"/>
    <mergeCell ref="AV1180:AW1180"/>
    <mergeCell ref="J1179:K1179"/>
    <mergeCell ref="AF1179:AG1179"/>
    <mergeCell ref="AF1180:AG1180"/>
    <mergeCell ref="BN1181:BV1181"/>
    <mergeCell ref="B1182:C1182"/>
    <mergeCell ref="D1182:E1182"/>
    <mergeCell ref="F1182:G1182"/>
    <mergeCell ref="H1182:I1182"/>
    <mergeCell ref="P1182:Q1182"/>
    <mergeCell ref="R1182:S1182"/>
    <mergeCell ref="T1182:U1182"/>
    <mergeCell ref="V1182:W1182"/>
    <mergeCell ref="X1182:AA1182"/>
    <mergeCell ref="AB1182:AE1182"/>
    <mergeCell ref="AJ1182:AK1182"/>
    <mergeCell ref="AL1182:AM1182"/>
    <mergeCell ref="AN1182:AO1182"/>
    <mergeCell ref="AP1182:AQ1182"/>
    <mergeCell ref="AR1182:AS1182"/>
    <mergeCell ref="AT1182:AU1182"/>
    <mergeCell ref="AX1182:AZ1182"/>
    <mergeCell ref="BA1182:BB1182"/>
    <mergeCell ref="BD1182:BE1182"/>
    <mergeCell ref="BF1182:BI1182"/>
    <mergeCell ref="BJ1182:BM1182"/>
    <mergeCell ref="BN1180:BV1180"/>
    <mergeCell ref="B1181:C1181"/>
    <mergeCell ref="D1181:E1181"/>
    <mergeCell ref="F1181:G1181"/>
    <mergeCell ref="H1181:I1181"/>
    <mergeCell ref="L1181:M1181"/>
    <mergeCell ref="P1181:Q1181"/>
    <mergeCell ref="R1181:S1181"/>
    <mergeCell ref="T1181:U1181"/>
    <mergeCell ref="V1181:W1181"/>
    <mergeCell ref="X1181:AA1181"/>
    <mergeCell ref="AB1181:AE1181"/>
    <mergeCell ref="AJ1181:AK1181"/>
    <mergeCell ref="AL1181:AM1181"/>
    <mergeCell ref="AN1181:AO1181"/>
    <mergeCell ref="AP1181:AQ1181"/>
    <mergeCell ref="AR1181:AS1181"/>
    <mergeCell ref="AT1181:AU1181"/>
    <mergeCell ref="AX1181:AZ1181"/>
    <mergeCell ref="BA1181:BB1181"/>
    <mergeCell ref="BD1181:BE1181"/>
    <mergeCell ref="BF1181:BI1181"/>
    <mergeCell ref="BJ1181:BM1181"/>
    <mergeCell ref="AV1181:AW1181"/>
    <mergeCell ref="AV1182:AW1182"/>
    <mergeCell ref="J1181:K1181"/>
    <mergeCell ref="AF1181:AG1181"/>
    <mergeCell ref="AF1182:AG1182"/>
    <mergeCell ref="BN1183:BV1183"/>
    <mergeCell ref="B1184:C1184"/>
    <mergeCell ref="D1184:E1184"/>
    <mergeCell ref="F1184:G1184"/>
    <mergeCell ref="H1184:I1184"/>
    <mergeCell ref="P1184:Q1184"/>
    <mergeCell ref="R1184:S1184"/>
    <mergeCell ref="T1184:U1184"/>
    <mergeCell ref="V1184:W1184"/>
    <mergeCell ref="X1184:AA1184"/>
    <mergeCell ref="AB1184:AE1184"/>
    <mergeCell ref="AJ1184:AK1184"/>
    <mergeCell ref="AL1184:AM1184"/>
    <mergeCell ref="AN1184:AO1184"/>
    <mergeCell ref="AP1184:AQ1184"/>
    <mergeCell ref="AR1184:AS1184"/>
    <mergeCell ref="AT1184:AU1184"/>
    <mergeCell ref="AX1184:AZ1184"/>
    <mergeCell ref="BA1184:BB1184"/>
    <mergeCell ref="BD1184:BE1184"/>
    <mergeCell ref="BF1184:BI1184"/>
    <mergeCell ref="BJ1184:BM1184"/>
    <mergeCell ref="BN1184:BV1184"/>
    <mergeCell ref="BN1182:BV1182"/>
    <mergeCell ref="B1183:C1183"/>
    <mergeCell ref="D1183:E1183"/>
    <mergeCell ref="F1183:G1183"/>
    <mergeCell ref="H1183:I1183"/>
    <mergeCell ref="L1183:M1183"/>
    <mergeCell ref="P1183:Q1183"/>
    <mergeCell ref="R1183:S1183"/>
    <mergeCell ref="T1183:U1183"/>
    <mergeCell ref="V1183:W1183"/>
    <mergeCell ref="X1183:AA1183"/>
    <mergeCell ref="AB1183:AE1183"/>
    <mergeCell ref="AJ1183:AK1183"/>
    <mergeCell ref="AL1183:AM1183"/>
    <mergeCell ref="AN1183:AO1183"/>
    <mergeCell ref="AP1183:AQ1183"/>
    <mergeCell ref="AR1183:AS1183"/>
    <mergeCell ref="AT1183:AU1183"/>
    <mergeCell ref="AX1183:AZ1183"/>
    <mergeCell ref="BA1183:BB1183"/>
    <mergeCell ref="BD1183:BE1183"/>
    <mergeCell ref="BF1183:BI1183"/>
    <mergeCell ref="BJ1183:BM1183"/>
    <mergeCell ref="AV1183:AW1183"/>
    <mergeCell ref="AV1184:AW1184"/>
    <mergeCell ref="J1183:K1183"/>
    <mergeCell ref="AF1183:AG1183"/>
    <mergeCell ref="AF1184:AG1184"/>
    <mergeCell ref="AN1186:AO1186"/>
    <mergeCell ref="AP1186:AQ1186"/>
    <mergeCell ref="AR1186:AS1186"/>
    <mergeCell ref="AT1186:AU1186"/>
    <mergeCell ref="AX1186:AZ1186"/>
    <mergeCell ref="BA1186:BB1186"/>
    <mergeCell ref="BD1186:BE1186"/>
    <mergeCell ref="BF1186:BI1186"/>
    <mergeCell ref="BJ1186:BM1186"/>
    <mergeCell ref="BN1186:BV1186"/>
    <mergeCell ref="B1187:C1187"/>
    <mergeCell ref="D1187:E1187"/>
    <mergeCell ref="F1187:G1187"/>
    <mergeCell ref="H1187:I1187"/>
    <mergeCell ref="L1187:M1187"/>
    <mergeCell ref="P1187:Q1187"/>
    <mergeCell ref="R1187:S1187"/>
    <mergeCell ref="T1187:U1187"/>
    <mergeCell ref="V1187:W1187"/>
    <mergeCell ref="X1187:AA1187"/>
    <mergeCell ref="AB1187:AE1187"/>
    <mergeCell ref="AJ1187:AK1187"/>
    <mergeCell ref="AL1187:AM1187"/>
    <mergeCell ref="AN1187:AO1187"/>
    <mergeCell ref="AL1185:AM1185"/>
    <mergeCell ref="AN1185:AO1185"/>
    <mergeCell ref="AP1185:AQ1185"/>
    <mergeCell ref="AR1185:AS1185"/>
    <mergeCell ref="AT1185:AU1185"/>
    <mergeCell ref="AX1185:AZ1185"/>
    <mergeCell ref="BA1185:BB1185"/>
    <mergeCell ref="BD1185:BE1185"/>
    <mergeCell ref="BF1185:BI1185"/>
    <mergeCell ref="BJ1185:BM1185"/>
    <mergeCell ref="BN1185:BV1185"/>
    <mergeCell ref="B1186:C1186"/>
    <mergeCell ref="D1186:E1186"/>
    <mergeCell ref="F1186:G1186"/>
    <mergeCell ref="H1186:I1186"/>
    <mergeCell ref="P1186:Q1186"/>
    <mergeCell ref="R1186:S1186"/>
    <mergeCell ref="T1186:U1186"/>
    <mergeCell ref="V1186:W1186"/>
    <mergeCell ref="X1186:AA1186"/>
    <mergeCell ref="AB1186:AE1186"/>
    <mergeCell ref="AJ1186:AK1186"/>
    <mergeCell ref="AL1186:AM1186"/>
    <mergeCell ref="B1185:C1185"/>
    <mergeCell ref="D1185:E1185"/>
    <mergeCell ref="F1185:G1185"/>
    <mergeCell ref="H1185:I1185"/>
    <mergeCell ref="L1185:M1185"/>
    <mergeCell ref="P1185:Q1185"/>
    <mergeCell ref="R1185:S1185"/>
    <mergeCell ref="T1185:U1185"/>
    <mergeCell ref="V1185:W1185"/>
    <mergeCell ref="X1185:AA1185"/>
    <mergeCell ref="AB1185:AE1185"/>
    <mergeCell ref="AJ1185:AK1185"/>
    <mergeCell ref="AV1185:AW1185"/>
    <mergeCell ref="AV1186:AW1186"/>
    <mergeCell ref="AV1187:AW1187"/>
    <mergeCell ref="J1185:K1185"/>
    <mergeCell ref="AF1185:AG1185"/>
    <mergeCell ref="AR1188:AS1188"/>
    <mergeCell ref="AT1188:AU1188"/>
    <mergeCell ref="AX1188:AZ1188"/>
    <mergeCell ref="BA1188:BB1188"/>
    <mergeCell ref="BD1188:BE1188"/>
    <mergeCell ref="BF1188:BI1188"/>
    <mergeCell ref="BJ1188:BM1188"/>
    <mergeCell ref="BN1188:BV1188"/>
    <mergeCell ref="B1189:C1189"/>
    <mergeCell ref="D1189:E1189"/>
    <mergeCell ref="F1189:G1189"/>
    <mergeCell ref="H1189:I1189"/>
    <mergeCell ref="L1189:M1189"/>
    <mergeCell ref="P1189:Q1189"/>
    <mergeCell ref="R1189:S1189"/>
    <mergeCell ref="T1189:U1189"/>
    <mergeCell ref="V1189:W1189"/>
    <mergeCell ref="X1189:AA1189"/>
    <mergeCell ref="AB1189:AE1189"/>
    <mergeCell ref="AJ1189:AK1189"/>
    <mergeCell ref="AL1189:AM1189"/>
    <mergeCell ref="AN1189:AO1189"/>
    <mergeCell ref="AP1189:AQ1189"/>
    <mergeCell ref="AR1189:AS1189"/>
    <mergeCell ref="AP1187:AQ1187"/>
    <mergeCell ref="AR1187:AS1187"/>
    <mergeCell ref="AT1187:AU1187"/>
    <mergeCell ref="AX1187:AZ1187"/>
    <mergeCell ref="BA1187:BB1187"/>
    <mergeCell ref="BD1187:BE1187"/>
    <mergeCell ref="BF1187:BI1187"/>
    <mergeCell ref="BJ1187:BM1187"/>
    <mergeCell ref="BN1187:BV1187"/>
    <mergeCell ref="B1188:C1188"/>
    <mergeCell ref="D1188:E1188"/>
    <mergeCell ref="F1188:G1188"/>
    <mergeCell ref="H1188:I1188"/>
    <mergeCell ref="P1188:Q1188"/>
    <mergeCell ref="R1188:S1188"/>
    <mergeCell ref="T1188:U1188"/>
    <mergeCell ref="V1188:W1188"/>
    <mergeCell ref="X1188:AA1188"/>
    <mergeCell ref="AB1188:AE1188"/>
    <mergeCell ref="AJ1188:AK1188"/>
    <mergeCell ref="AL1188:AM1188"/>
    <mergeCell ref="AN1188:AO1188"/>
    <mergeCell ref="AP1188:AQ1188"/>
    <mergeCell ref="AV1188:AW1188"/>
    <mergeCell ref="AV1189:AW1189"/>
    <mergeCell ref="AF1189:AG1189"/>
    <mergeCell ref="J1187:K1187"/>
    <mergeCell ref="AX1190:AZ1190"/>
    <mergeCell ref="BA1190:BB1190"/>
    <mergeCell ref="BD1190:BE1190"/>
    <mergeCell ref="BF1190:BI1190"/>
    <mergeCell ref="BJ1190:BM1190"/>
    <mergeCell ref="BN1190:BV1190"/>
    <mergeCell ref="B1191:C1191"/>
    <mergeCell ref="D1191:E1191"/>
    <mergeCell ref="F1191:G1191"/>
    <mergeCell ref="H1191:I1191"/>
    <mergeCell ref="L1191:M1191"/>
    <mergeCell ref="P1191:Q1191"/>
    <mergeCell ref="R1191:S1191"/>
    <mergeCell ref="T1191:U1191"/>
    <mergeCell ref="V1191:W1191"/>
    <mergeCell ref="X1191:AA1191"/>
    <mergeCell ref="AB1191:AE1191"/>
    <mergeCell ref="AJ1191:AK1191"/>
    <mergeCell ref="AL1191:AM1191"/>
    <mergeCell ref="AN1191:AO1191"/>
    <mergeCell ref="AP1191:AQ1191"/>
    <mergeCell ref="AR1191:AS1191"/>
    <mergeCell ref="AT1191:AU1191"/>
    <mergeCell ref="AX1191:AZ1191"/>
    <mergeCell ref="AT1189:AU1189"/>
    <mergeCell ref="AX1189:AZ1189"/>
    <mergeCell ref="BA1189:BB1189"/>
    <mergeCell ref="BD1189:BE1189"/>
    <mergeCell ref="BF1189:BI1189"/>
    <mergeCell ref="BJ1189:BM1189"/>
    <mergeCell ref="BN1189:BV1189"/>
    <mergeCell ref="B1190:C1190"/>
    <mergeCell ref="D1190:E1190"/>
    <mergeCell ref="F1190:G1190"/>
    <mergeCell ref="H1190:I1190"/>
    <mergeCell ref="P1190:Q1190"/>
    <mergeCell ref="R1190:S1190"/>
    <mergeCell ref="T1190:U1190"/>
    <mergeCell ref="V1190:W1190"/>
    <mergeCell ref="X1190:AA1190"/>
    <mergeCell ref="AB1190:AE1190"/>
    <mergeCell ref="AJ1190:AK1190"/>
    <mergeCell ref="AL1190:AM1190"/>
    <mergeCell ref="AN1190:AO1190"/>
    <mergeCell ref="AP1190:AQ1190"/>
    <mergeCell ref="AR1190:AS1190"/>
    <mergeCell ref="AT1190:AU1190"/>
    <mergeCell ref="AV1190:AW1190"/>
    <mergeCell ref="AV1191:AW1191"/>
    <mergeCell ref="AF1190:AG1190"/>
    <mergeCell ref="AF1191:AG1191"/>
    <mergeCell ref="J1189:K1189"/>
    <mergeCell ref="BD1192:BE1192"/>
    <mergeCell ref="BF1192:BI1192"/>
    <mergeCell ref="BJ1192:BM1192"/>
    <mergeCell ref="BN1192:BV1192"/>
    <mergeCell ref="B1193:C1193"/>
    <mergeCell ref="D1193:E1193"/>
    <mergeCell ref="F1193:G1193"/>
    <mergeCell ref="H1193:I1193"/>
    <mergeCell ref="L1193:M1193"/>
    <mergeCell ref="P1193:Q1193"/>
    <mergeCell ref="R1193:S1193"/>
    <mergeCell ref="T1193:U1193"/>
    <mergeCell ref="V1193:W1193"/>
    <mergeCell ref="X1193:AA1193"/>
    <mergeCell ref="AB1193:AE1193"/>
    <mergeCell ref="AJ1193:AK1193"/>
    <mergeCell ref="AL1193:AM1193"/>
    <mergeCell ref="AN1193:AO1193"/>
    <mergeCell ref="AP1193:AQ1193"/>
    <mergeCell ref="AR1193:AS1193"/>
    <mergeCell ref="AT1193:AU1193"/>
    <mergeCell ref="AX1193:AZ1193"/>
    <mergeCell ref="BA1193:BB1193"/>
    <mergeCell ref="BD1193:BE1193"/>
    <mergeCell ref="BA1191:BB1191"/>
    <mergeCell ref="BD1191:BE1191"/>
    <mergeCell ref="BF1191:BI1191"/>
    <mergeCell ref="BJ1191:BM1191"/>
    <mergeCell ref="BN1191:BV1191"/>
    <mergeCell ref="B1192:C1192"/>
    <mergeCell ref="D1192:E1192"/>
    <mergeCell ref="F1192:G1192"/>
    <mergeCell ref="H1192:I1192"/>
    <mergeCell ref="P1192:Q1192"/>
    <mergeCell ref="R1192:S1192"/>
    <mergeCell ref="T1192:U1192"/>
    <mergeCell ref="V1192:W1192"/>
    <mergeCell ref="X1192:AA1192"/>
    <mergeCell ref="AB1192:AE1192"/>
    <mergeCell ref="AJ1192:AK1192"/>
    <mergeCell ref="AL1192:AM1192"/>
    <mergeCell ref="AN1192:AO1192"/>
    <mergeCell ref="AP1192:AQ1192"/>
    <mergeCell ref="AR1192:AS1192"/>
    <mergeCell ref="AT1192:AU1192"/>
    <mergeCell ref="AX1192:AZ1192"/>
    <mergeCell ref="BA1192:BB1192"/>
    <mergeCell ref="AV1192:AW1192"/>
    <mergeCell ref="AV1193:AW1193"/>
    <mergeCell ref="AF1192:AG1192"/>
    <mergeCell ref="AF1193:AG1193"/>
    <mergeCell ref="J1191:K1191"/>
    <mergeCell ref="BJ1194:BM1194"/>
    <mergeCell ref="BN1194:BV1194"/>
    <mergeCell ref="B1195:C1195"/>
    <mergeCell ref="D1195:E1195"/>
    <mergeCell ref="F1195:G1195"/>
    <mergeCell ref="H1195:I1195"/>
    <mergeCell ref="L1195:M1195"/>
    <mergeCell ref="P1195:Q1195"/>
    <mergeCell ref="R1195:S1195"/>
    <mergeCell ref="T1195:U1195"/>
    <mergeCell ref="V1195:W1195"/>
    <mergeCell ref="X1195:AA1195"/>
    <mergeCell ref="AB1195:AE1195"/>
    <mergeCell ref="AJ1195:AK1195"/>
    <mergeCell ref="AL1195:AM1195"/>
    <mergeCell ref="AN1195:AO1195"/>
    <mergeCell ref="AP1195:AQ1195"/>
    <mergeCell ref="AR1195:AS1195"/>
    <mergeCell ref="AT1195:AU1195"/>
    <mergeCell ref="AX1195:AZ1195"/>
    <mergeCell ref="BA1195:BB1195"/>
    <mergeCell ref="BD1195:BE1195"/>
    <mergeCell ref="BF1195:BI1195"/>
    <mergeCell ref="BJ1195:BM1195"/>
    <mergeCell ref="BF1193:BI1193"/>
    <mergeCell ref="BJ1193:BM1193"/>
    <mergeCell ref="BN1193:BV1193"/>
    <mergeCell ref="B1194:C1194"/>
    <mergeCell ref="D1194:E1194"/>
    <mergeCell ref="F1194:G1194"/>
    <mergeCell ref="H1194:I1194"/>
    <mergeCell ref="P1194:Q1194"/>
    <mergeCell ref="R1194:S1194"/>
    <mergeCell ref="T1194:U1194"/>
    <mergeCell ref="V1194:W1194"/>
    <mergeCell ref="X1194:AA1194"/>
    <mergeCell ref="AB1194:AE1194"/>
    <mergeCell ref="AJ1194:AK1194"/>
    <mergeCell ref="AL1194:AM1194"/>
    <mergeCell ref="AN1194:AO1194"/>
    <mergeCell ref="AP1194:AQ1194"/>
    <mergeCell ref="AR1194:AS1194"/>
    <mergeCell ref="AT1194:AU1194"/>
    <mergeCell ref="AX1194:AZ1194"/>
    <mergeCell ref="BA1194:BB1194"/>
    <mergeCell ref="BD1194:BE1194"/>
    <mergeCell ref="BF1194:BI1194"/>
    <mergeCell ref="AV1194:AW1194"/>
    <mergeCell ref="AV1195:AW1195"/>
    <mergeCell ref="AF1194:AG1194"/>
    <mergeCell ref="AF1195:AG1195"/>
    <mergeCell ref="J1193:K1193"/>
    <mergeCell ref="BN1196:BV1196"/>
    <mergeCell ref="B1197:C1197"/>
    <mergeCell ref="D1197:E1197"/>
    <mergeCell ref="F1197:G1197"/>
    <mergeCell ref="H1197:I1197"/>
    <mergeCell ref="L1197:M1197"/>
    <mergeCell ref="P1197:Q1197"/>
    <mergeCell ref="R1197:S1197"/>
    <mergeCell ref="T1197:U1197"/>
    <mergeCell ref="V1197:W1197"/>
    <mergeCell ref="X1197:AA1197"/>
    <mergeCell ref="AB1197:AE1197"/>
    <mergeCell ref="AJ1197:AK1197"/>
    <mergeCell ref="AL1197:AM1197"/>
    <mergeCell ref="AN1197:AO1197"/>
    <mergeCell ref="AP1197:AQ1197"/>
    <mergeCell ref="AR1197:AS1197"/>
    <mergeCell ref="AT1197:AU1197"/>
    <mergeCell ref="AX1197:AZ1197"/>
    <mergeCell ref="BA1197:BB1197"/>
    <mergeCell ref="BD1197:BE1197"/>
    <mergeCell ref="BF1197:BI1197"/>
    <mergeCell ref="BJ1197:BM1197"/>
    <mergeCell ref="BN1195:BV1195"/>
    <mergeCell ref="B1196:C1196"/>
    <mergeCell ref="D1196:E1196"/>
    <mergeCell ref="F1196:G1196"/>
    <mergeCell ref="H1196:I1196"/>
    <mergeCell ref="P1196:Q1196"/>
    <mergeCell ref="R1196:S1196"/>
    <mergeCell ref="T1196:U1196"/>
    <mergeCell ref="V1196:W1196"/>
    <mergeCell ref="X1196:AA1196"/>
    <mergeCell ref="AB1196:AE1196"/>
    <mergeCell ref="AJ1196:AK1196"/>
    <mergeCell ref="AL1196:AM1196"/>
    <mergeCell ref="AN1196:AO1196"/>
    <mergeCell ref="AP1196:AQ1196"/>
    <mergeCell ref="AR1196:AS1196"/>
    <mergeCell ref="AT1196:AU1196"/>
    <mergeCell ref="AX1196:AZ1196"/>
    <mergeCell ref="BA1196:BB1196"/>
    <mergeCell ref="BD1196:BE1196"/>
    <mergeCell ref="BF1196:BI1196"/>
    <mergeCell ref="BJ1196:BM1196"/>
    <mergeCell ref="AV1196:AW1196"/>
    <mergeCell ref="AV1197:AW1197"/>
    <mergeCell ref="AF1196:AG1196"/>
    <mergeCell ref="AF1197:AG1197"/>
    <mergeCell ref="J1195:K1195"/>
    <mergeCell ref="BN1198:BV1198"/>
    <mergeCell ref="B1199:C1199"/>
    <mergeCell ref="D1199:E1199"/>
    <mergeCell ref="F1199:G1199"/>
    <mergeCell ref="H1199:I1199"/>
    <mergeCell ref="L1199:M1199"/>
    <mergeCell ref="P1199:Q1199"/>
    <mergeCell ref="R1199:S1199"/>
    <mergeCell ref="T1199:U1199"/>
    <mergeCell ref="V1199:W1199"/>
    <mergeCell ref="X1199:AA1199"/>
    <mergeCell ref="AB1199:AE1199"/>
    <mergeCell ref="AJ1199:AK1199"/>
    <mergeCell ref="AL1199:AM1199"/>
    <mergeCell ref="AN1199:AO1199"/>
    <mergeCell ref="AP1199:AQ1199"/>
    <mergeCell ref="AR1199:AS1199"/>
    <mergeCell ref="AT1199:AU1199"/>
    <mergeCell ref="AX1199:AZ1199"/>
    <mergeCell ref="BA1199:BB1199"/>
    <mergeCell ref="BD1199:BE1199"/>
    <mergeCell ref="BF1199:BI1199"/>
    <mergeCell ref="BJ1199:BM1199"/>
    <mergeCell ref="BN1199:BV1199"/>
    <mergeCell ref="BN1197:BV1197"/>
    <mergeCell ref="B1198:C1198"/>
    <mergeCell ref="D1198:E1198"/>
    <mergeCell ref="F1198:G1198"/>
    <mergeCell ref="H1198:I1198"/>
    <mergeCell ref="P1198:Q1198"/>
    <mergeCell ref="R1198:S1198"/>
    <mergeCell ref="T1198:U1198"/>
    <mergeCell ref="V1198:W1198"/>
    <mergeCell ref="X1198:AA1198"/>
    <mergeCell ref="AB1198:AE1198"/>
    <mergeCell ref="AJ1198:AK1198"/>
    <mergeCell ref="AL1198:AM1198"/>
    <mergeCell ref="AN1198:AO1198"/>
    <mergeCell ref="AP1198:AQ1198"/>
    <mergeCell ref="AR1198:AS1198"/>
    <mergeCell ref="AT1198:AU1198"/>
    <mergeCell ref="AX1198:AZ1198"/>
    <mergeCell ref="BA1198:BB1198"/>
    <mergeCell ref="BD1198:BE1198"/>
    <mergeCell ref="BF1198:BI1198"/>
    <mergeCell ref="BJ1198:BM1198"/>
    <mergeCell ref="AV1198:AW1198"/>
    <mergeCell ref="AV1199:AW1199"/>
    <mergeCell ref="AF1198:AG1198"/>
    <mergeCell ref="AF1199:AG1199"/>
    <mergeCell ref="J1197:K1197"/>
    <mergeCell ref="J1199:K1199"/>
    <mergeCell ref="AN1201:AO1201"/>
    <mergeCell ref="AP1201:AQ1201"/>
    <mergeCell ref="AR1201:AS1201"/>
    <mergeCell ref="AT1201:AU1201"/>
    <mergeCell ref="AX1201:AZ1201"/>
    <mergeCell ref="BA1201:BB1201"/>
    <mergeCell ref="BD1201:BE1201"/>
    <mergeCell ref="BF1201:BI1201"/>
    <mergeCell ref="BJ1201:BM1201"/>
    <mergeCell ref="BN1201:BV1201"/>
    <mergeCell ref="B1202:C1202"/>
    <mergeCell ref="D1202:E1202"/>
    <mergeCell ref="F1202:G1202"/>
    <mergeCell ref="H1202:I1202"/>
    <mergeCell ref="P1202:Q1202"/>
    <mergeCell ref="R1202:S1202"/>
    <mergeCell ref="T1202:U1202"/>
    <mergeCell ref="V1202:W1202"/>
    <mergeCell ref="X1202:AA1202"/>
    <mergeCell ref="AB1202:AE1202"/>
    <mergeCell ref="AJ1202:AK1202"/>
    <mergeCell ref="AL1202:AM1202"/>
    <mergeCell ref="AN1202:AO1202"/>
    <mergeCell ref="AL1200:AM1200"/>
    <mergeCell ref="AN1200:AO1200"/>
    <mergeCell ref="AP1200:AQ1200"/>
    <mergeCell ref="AR1200:AS1200"/>
    <mergeCell ref="AT1200:AU1200"/>
    <mergeCell ref="AX1200:AZ1200"/>
    <mergeCell ref="BA1200:BB1200"/>
    <mergeCell ref="BD1200:BE1200"/>
    <mergeCell ref="BF1200:BI1200"/>
    <mergeCell ref="BJ1200:BM1200"/>
    <mergeCell ref="BN1200:BV1200"/>
    <mergeCell ref="B1201:C1201"/>
    <mergeCell ref="D1201:E1201"/>
    <mergeCell ref="F1201:G1201"/>
    <mergeCell ref="H1201:I1201"/>
    <mergeCell ref="L1201:M1201"/>
    <mergeCell ref="P1201:Q1201"/>
    <mergeCell ref="R1201:S1201"/>
    <mergeCell ref="T1201:U1201"/>
    <mergeCell ref="V1201:W1201"/>
    <mergeCell ref="X1201:AA1201"/>
    <mergeCell ref="AB1201:AE1201"/>
    <mergeCell ref="AJ1201:AK1201"/>
    <mergeCell ref="AL1201:AM1201"/>
    <mergeCell ref="B1200:C1200"/>
    <mergeCell ref="D1200:E1200"/>
    <mergeCell ref="F1200:G1200"/>
    <mergeCell ref="H1200:I1200"/>
    <mergeCell ref="P1200:Q1200"/>
    <mergeCell ref="R1200:S1200"/>
    <mergeCell ref="T1200:U1200"/>
    <mergeCell ref="V1200:W1200"/>
    <mergeCell ref="X1200:AA1200"/>
    <mergeCell ref="AB1200:AE1200"/>
    <mergeCell ref="AJ1200:AK1200"/>
    <mergeCell ref="AV1200:AW1200"/>
    <mergeCell ref="AV1201:AW1201"/>
    <mergeCell ref="AV1202:AW1202"/>
    <mergeCell ref="AF1200:AG1200"/>
    <mergeCell ref="AH1200:AI1200"/>
    <mergeCell ref="AH1201:AI1201"/>
    <mergeCell ref="AR1203:AS1203"/>
    <mergeCell ref="AT1203:AU1203"/>
    <mergeCell ref="AX1203:AZ1203"/>
    <mergeCell ref="BA1203:BB1203"/>
    <mergeCell ref="BD1203:BE1203"/>
    <mergeCell ref="BF1203:BI1203"/>
    <mergeCell ref="BJ1203:BM1203"/>
    <mergeCell ref="BN1203:BV1203"/>
    <mergeCell ref="B1204:C1204"/>
    <mergeCell ref="D1204:E1204"/>
    <mergeCell ref="F1204:G1204"/>
    <mergeCell ref="H1204:I1204"/>
    <mergeCell ref="P1204:Q1204"/>
    <mergeCell ref="R1204:S1204"/>
    <mergeCell ref="T1204:U1204"/>
    <mergeCell ref="V1204:W1204"/>
    <mergeCell ref="X1204:AA1204"/>
    <mergeCell ref="AB1204:AE1204"/>
    <mergeCell ref="AJ1204:AK1204"/>
    <mergeCell ref="AL1204:AM1204"/>
    <mergeCell ref="AN1204:AO1204"/>
    <mergeCell ref="AP1204:AQ1204"/>
    <mergeCell ref="AR1204:AS1204"/>
    <mergeCell ref="AP1202:AQ1202"/>
    <mergeCell ref="AR1202:AS1202"/>
    <mergeCell ref="AT1202:AU1202"/>
    <mergeCell ref="AX1202:AZ1202"/>
    <mergeCell ref="BA1202:BB1202"/>
    <mergeCell ref="BD1202:BE1202"/>
    <mergeCell ref="BF1202:BI1202"/>
    <mergeCell ref="BJ1202:BM1202"/>
    <mergeCell ref="BN1202:BV1202"/>
    <mergeCell ref="B1203:C1203"/>
    <mergeCell ref="D1203:E1203"/>
    <mergeCell ref="F1203:G1203"/>
    <mergeCell ref="H1203:I1203"/>
    <mergeCell ref="L1203:M1203"/>
    <mergeCell ref="P1203:Q1203"/>
    <mergeCell ref="R1203:S1203"/>
    <mergeCell ref="T1203:U1203"/>
    <mergeCell ref="V1203:W1203"/>
    <mergeCell ref="X1203:AA1203"/>
    <mergeCell ref="AB1203:AE1203"/>
    <mergeCell ref="AJ1203:AK1203"/>
    <mergeCell ref="AL1203:AM1203"/>
    <mergeCell ref="AN1203:AO1203"/>
    <mergeCell ref="AP1203:AQ1203"/>
    <mergeCell ref="AV1203:AW1203"/>
    <mergeCell ref="AV1204:AW1204"/>
    <mergeCell ref="AH1202:AI1202"/>
    <mergeCell ref="AH1203:AI1203"/>
    <mergeCell ref="AX1205:AZ1205"/>
    <mergeCell ref="BA1205:BB1205"/>
    <mergeCell ref="BD1205:BE1205"/>
    <mergeCell ref="BF1205:BI1205"/>
    <mergeCell ref="BJ1205:BM1205"/>
    <mergeCell ref="BN1205:BV1205"/>
    <mergeCell ref="B1206:C1206"/>
    <mergeCell ref="D1206:E1206"/>
    <mergeCell ref="F1206:G1206"/>
    <mergeCell ref="H1206:I1206"/>
    <mergeCell ref="P1206:Q1206"/>
    <mergeCell ref="R1206:S1206"/>
    <mergeCell ref="T1206:U1206"/>
    <mergeCell ref="V1206:W1206"/>
    <mergeCell ref="X1206:AA1206"/>
    <mergeCell ref="AB1206:AE1206"/>
    <mergeCell ref="AJ1206:AK1206"/>
    <mergeCell ref="AL1206:AM1206"/>
    <mergeCell ref="AN1206:AO1206"/>
    <mergeCell ref="AP1206:AQ1206"/>
    <mergeCell ref="AR1206:AS1206"/>
    <mergeCell ref="AT1206:AU1206"/>
    <mergeCell ref="AX1206:AZ1206"/>
    <mergeCell ref="AT1204:AU1204"/>
    <mergeCell ref="AX1204:AZ1204"/>
    <mergeCell ref="BA1204:BB1204"/>
    <mergeCell ref="BD1204:BE1204"/>
    <mergeCell ref="BF1204:BI1204"/>
    <mergeCell ref="BJ1204:BM1204"/>
    <mergeCell ref="BN1204:BV1204"/>
    <mergeCell ref="B1205:C1205"/>
    <mergeCell ref="D1205:E1205"/>
    <mergeCell ref="F1205:G1205"/>
    <mergeCell ref="H1205:I1205"/>
    <mergeCell ref="L1205:M1205"/>
    <mergeCell ref="P1205:Q1205"/>
    <mergeCell ref="R1205:S1205"/>
    <mergeCell ref="T1205:U1205"/>
    <mergeCell ref="V1205:W1205"/>
    <mergeCell ref="X1205:AA1205"/>
    <mergeCell ref="AB1205:AE1205"/>
    <mergeCell ref="AJ1205:AK1205"/>
    <mergeCell ref="AL1205:AM1205"/>
    <mergeCell ref="AN1205:AO1205"/>
    <mergeCell ref="AP1205:AQ1205"/>
    <mergeCell ref="AR1205:AS1205"/>
    <mergeCell ref="AT1205:AU1205"/>
    <mergeCell ref="AV1205:AW1205"/>
    <mergeCell ref="AV1206:AW1206"/>
    <mergeCell ref="AH1204:AI1204"/>
    <mergeCell ref="AH1205:AI1205"/>
    <mergeCell ref="BD1207:BE1207"/>
    <mergeCell ref="BF1207:BI1207"/>
    <mergeCell ref="BJ1207:BM1207"/>
    <mergeCell ref="BN1207:BV1207"/>
    <mergeCell ref="B1208:C1208"/>
    <mergeCell ref="D1208:E1208"/>
    <mergeCell ref="F1208:G1208"/>
    <mergeCell ref="H1208:I1208"/>
    <mergeCell ref="L1208:M1208"/>
    <mergeCell ref="P1208:Q1208"/>
    <mergeCell ref="R1208:S1208"/>
    <mergeCell ref="T1208:U1208"/>
    <mergeCell ref="V1208:W1208"/>
    <mergeCell ref="X1208:AA1208"/>
    <mergeCell ref="AB1208:AE1208"/>
    <mergeCell ref="AJ1208:AK1208"/>
    <mergeCell ref="AL1208:AM1208"/>
    <mergeCell ref="AN1208:AO1208"/>
    <mergeCell ref="AP1208:AQ1208"/>
    <mergeCell ref="AR1208:AS1208"/>
    <mergeCell ref="AT1208:AU1208"/>
    <mergeCell ref="AX1208:AZ1208"/>
    <mergeCell ref="BA1208:BB1208"/>
    <mergeCell ref="BD1208:BE1208"/>
    <mergeCell ref="BA1206:BB1206"/>
    <mergeCell ref="BD1206:BE1206"/>
    <mergeCell ref="BF1206:BI1206"/>
    <mergeCell ref="BJ1206:BM1206"/>
    <mergeCell ref="BN1206:BV1206"/>
    <mergeCell ref="B1207:C1207"/>
    <mergeCell ref="D1207:E1207"/>
    <mergeCell ref="F1207:G1207"/>
    <mergeCell ref="H1207:I1207"/>
    <mergeCell ref="L1207:M1207"/>
    <mergeCell ref="P1207:Q1207"/>
    <mergeCell ref="R1207:S1207"/>
    <mergeCell ref="T1207:U1207"/>
    <mergeCell ref="V1207:W1207"/>
    <mergeCell ref="X1207:AA1207"/>
    <mergeCell ref="AB1207:AE1207"/>
    <mergeCell ref="AJ1207:AK1207"/>
    <mergeCell ref="AL1207:AM1207"/>
    <mergeCell ref="AN1207:AO1207"/>
    <mergeCell ref="AP1207:AQ1207"/>
    <mergeCell ref="AR1207:AS1207"/>
    <mergeCell ref="AT1207:AU1207"/>
    <mergeCell ref="AX1207:AZ1207"/>
    <mergeCell ref="BA1207:BB1207"/>
    <mergeCell ref="AV1207:AW1207"/>
    <mergeCell ref="AV1208:AW1208"/>
    <mergeCell ref="AH1206:AI1206"/>
    <mergeCell ref="AH1207:AI1207"/>
    <mergeCell ref="BJ1209:BM1209"/>
    <mergeCell ref="BN1209:BV1209"/>
    <mergeCell ref="B1210:C1210"/>
    <mergeCell ref="D1210:E1210"/>
    <mergeCell ref="F1210:G1210"/>
    <mergeCell ref="H1210:I1210"/>
    <mergeCell ref="L1210:M1210"/>
    <mergeCell ref="P1210:Q1210"/>
    <mergeCell ref="R1210:S1210"/>
    <mergeCell ref="T1210:U1210"/>
    <mergeCell ref="V1210:W1210"/>
    <mergeCell ref="X1210:AA1210"/>
    <mergeCell ref="AB1210:AE1210"/>
    <mergeCell ref="AJ1210:AK1210"/>
    <mergeCell ref="AL1210:AM1210"/>
    <mergeCell ref="AN1210:AO1210"/>
    <mergeCell ref="AP1210:AQ1210"/>
    <mergeCell ref="AR1210:AS1210"/>
    <mergeCell ref="AT1210:AU1210"/>
    <mergeCell ref="AX1210:AZ1210"/>
    <mergeCell ref="BA1210:BB1210"/>
    <mergeCell ref="BD1210:BE1210"/>
    <mergeCell ref="BF1210:BI1210"/>
    <mergeCell ref="BJ1210:BM1210"/>
    <mergeCell ref="BF1208:BI1208"/>
    <mergeCell ref="BJ1208:BM1208"/>
    <mergeCell ref="BN1208:BV1208"/>
    <mergeCell ref="B1209:C1209"/>
    <mergeCell ref="D1209:E1209"/>
    <mergeCell ref="F1209:G1209"/>
    <mergeCell ref="H1209:I1209"/>
    <mergeCell ref="L1209:M1209"/>
    <mergeCell ref="P1209:Q1209"/>
    <mergeCell ref="R1209:S1209"/>
    <mergeCell ref="T1209:U1209"/>
    <mergeCell ref="V1209:W1209"/>
    <mergeCell ref="X1209:AA1209"/>
    <mergeCell ref="AB1209:AE1209"/>
    <mergeCell ref="AJ1209:AK1209"/>
    <mergeCell ref="AL1209:AM1209"/>
    <mergeCell ref="AN1209:AO1209"/>
    <mergeCell ref="AP1209:AQ1209"/>
    <mergeCell ref="AR1209:AS1209"/>
    <mergeCell ref="AT1209:AU1209"/>
    <mergeCell ref="AX1209:AZ1209"/>
    <mergeCell ref="BA1209:BB1209"/>
    <mergeCell ref="BD1209:BE1209"/>
    <mergeCell ref="BF1209:BI1209"/>
    <mergeCell ref="AV1209:AW1209"/>
    <mergeCell ref="AV1210:AW1210"/>
    <mergeCell ref="AH1208:AI1208"/>
    <mergeCell ref="AH1209:AI1209"/>
    <mergeCell ref="BN1211:BV1211"/>
    <mergeCell ref="B1212:C1212"/>
    <mergeCell ref="D1212:E1212"/>
    <mergeCell ref="F1212:G1212"/>
    <mergeCell ref="H1212:I1212"/>
    <mergeCell ref="L1212:M1212"/>
    <mergeCell ref="P1212:Q1212"/>
    <mergeCell ref="R1212:S1212"/>
    <mergeCell ref="T1212:U1212"/>
    <mergeCell ref="V1212:W1212"/>
    <mergeCell ref="X1212:AA1212"/>
    <mergeCell ref="AB1212:AE1212"/>
    <mergeCell ref="AJ1212:AK1212"/>
    <mergeCell ref="AL1212:AM1212"/>
    <mergeCell ref="AN1212:AO1212"/>
    <mergeCell ref="AP1212:AQ1212"/>
    <mergeCell ref="AR1212:AS1212"/>
    <mergeCell ref="AT1212:AU1212"/>
    <mergeCell ref="AX1212:AZ1212"/>
    <mergeCell ref="BA1212:BB1212"/>
    <mergeCell ref="BD1212:BE1212"/>
    <mergeCell ref="BF1212:BI1212"/>
    <mergeCell ref="BJ1212:BM1212"/>
    <mergeCell ref="BN1210:BV1210"/>
    <mergeCell ref="B1211:C1211"/>
    <mergeCell ref="D1211:E1211"/>
    <mergeCell ref="F1211:G1211"/>
    <mergeCell ref="H1211:I1211"/>
    <mergeCell ref="L1211:M1211"/>
    <mergeCell ref="P1211:Q1211"/>
    <mergeCell ref="R1211:S1211"/>
    <mergeCell ref="T1211:U1211"/>
    <mergeCell ref="V1211:W1211"/>
    <mergeCell ref="X1211:AA1211"/>
    <mergeCell ref="AB1211:AE1211"/>
    <mergeCell ref="AJ1211:AK1211"/>
    <mergeCell ref="AL1211:AM1211"/>
    <mergeCell ref="AN1211:AO1211"/>
    <mergeCell ref="AP1211:AQ1211"/>
    <mergeCell ref="AR1211:AS1211"/>
    <mergeCell ref="AT1211:AU1211"/>
    <mergeCell ref="AX1211:AZ1211"/>
    <mergeCell ref="BA1211:BB1211"/>
    <mergeCell ref="BD1211:BE1211"/>
    <mergeCell ref="BF1211:BI1211"/>
    <mergeCell ref="BJ1211:BM1211"/>
    <mergeCell ref="AV1211:AW1211"/>
    <mergeCell ref="AV1212:AW1212"/>
    <mergeCell ref="AH1210:AI1210"/>
    <mergeCell ref="AH1211:AI1211"/>
    <mergeCell ref="BN1213:BV1213"/>
    <mergeCell ref="B1214:C1214"/>
    <mergeCell ref="D1214:E1214"/>
    <mergeCell ref="F1214:G1214"/>
    <mergeCell ref="H1214:I1214"/>
    <mergeCell ref="L1214:M1214"/>
    <mergeCell ref="P1214:Q1214"/>
    <mergeCell ref="R1214:S1214"/>
    <mergeCell ref="T1214:U1214"/>
    <mergeCell ref="V1214:W1214"/>
    <mergeCell ref="X1214:AA1214"/>
    <mergeCell ref="AB1214:AE1214"/>
    <mergeCell ref="AJ1214:AK1214"/>
    <mergeCell ref="AL1214:AM1214"/>
    <mergeCell ref="AN1214:AO1214"/>
    <mergeCell ref="AP1214:AQ1214"/>
    <mergeCell ref="AR1214:AS1214"/>
    <mergeCell ref="AT1214:AU1214"/>
    <mergeCell ref="AX1214:AZ1214"/>
    <mergeCell ref="BA1214:BB1214"/>
    <mergeCell ref="BD1214:BE1214"/>
    <mergeCell ref="BF1214:BI1214"/>
    <mergeCell ref="BJ1214:BM1214"/>
    <mergeCell ref="BN1214:BV1214"/>
    <mergeCell ref="BN1212:BV1212"/>
    <mergeCell ref="B1213:C1213"/>
    <mergeCell ref="D1213:E1213"/>
    <mergeCell ref="F1213:G1213"/>
    <mergeCell ref="H1213:I1213"/>
    <mergeCell ref="L1213:M1213"/>
    <mergeCell ref="P1213:Q1213"/>
    <mergeCell ref="R1213:S1213"/>
    <mergeCell ref="T1213:U1213"/>
    <mergeCell ref="V1213:W1213"/>
    <mergeCell ref="X1213:AA1213"/>
    <mergeCell ref="AB1213:AE1213"/>
    <mergeCell ref="AJ1213:AK1213"/>
    <mergeCell ref="AL1213:AM1213"/>
    <mergeCell ref="AN1213:AO1213"/>
    <mergeCell ref="AP1213:AQ1213"/>
    <mergeCell ref="AR1213:AS1213"/>
    <mergeCell ref="AT1213:AU1213"/>
    <mergeCell ref="AX1213:AZ1213"/>
    <mergeCell ref="BA1213:BB1213"/>
    <mergeCell ref="BD1213:BE1213"/>
    <mergeCell ref="BF1213:BI1213"/>
    <mergeCell ref="BJ1213:BM1213"/>
    <mergeCell ref="AV1213:AW1213"/>
    <mergeCell ref="AV1214:AW1214"/>
    <mergeCell ref="AH1212:AI1212"/>
    <mergeCell ref="AH1213:AI1213"/>
    <mergeCell ref="AH1214:AI1214"/>
    <mergeCell ref="AN1216:AO1216"/>
    <mergeCell ref="AP1216:AQ1216"/>
    <mergeCell ref="AR1216:AS1216"/>
    <mergeCell ref="AT1216:AU1216"/>
    <mergeCell ref="AX1216:AZ1216"/>
    <mergeCell ref="BA1216:BB1216"/>
    <mergeCell ref="BD1216:BE1216"/>
    <mergeCell ref="BF1216:BI1216"/>
    <mergeCell ref="BJ1216:BM1216"/>
    <mergeCell ref="BN1216:BV1216"/>
    <mergeCell ref="B1217:C1217"/>
    <mergeCell ref="D1217:E1217"/>
    <mergeCell ref="F1217:G1217"/>
    <mergeCell ref="H1217:I1217"/>
    <mergeCell ref="L1217:M1217"/>
    <mergeCell ref="P1217:Q1217"/>
    <mergeCell ref="R1217:S1217"/>
    <mergeCell ref="T1217:U1217"/>
    <mergeCell ref="V1217:W1217"/>
    <mergeCell ref="X1217:AA1217"/>
    <mergeCell ref="AB1217:AE1217"/>
    <mergeCell ref="AJ1217:AK1217"/>
    <mergeCell ref="AL1217:AM1217"/>
    <mergeCell ref="AN1217:AO1217"/>
    <mergeCell ref="AL1215:AM1215"/>
    <mergeCell ref="AN1215:AO1215"/>
    <mergeCell ref="AP1215:AQ1215"/>
    <mergeCell ref="AR1215:AS1215"/>
    <mergeCell ref="AT1215:AU1215"/>
    <mergeCell ref="AX1215:AZ1215"/>
    <mergeCell ref="BA1215:BB1215"/>
    <mergeCell ref="BD1215:BE1215"/>
    <mergeCell ref="BF1215:BI1215"/>
    <mergeCell ref="BJ1215:BM1215"/>
    <mergeCell ref="BN1215:BV1215"/>
    <mergeCell ref="B1216:C1216"/>
    <mergeCell ref="D1216:E1216"/>
    <mergeCell ref="F1216:G1216"/>
    <mergeCell ref="H1216:I1216"/>
    <mergeCell ref="L1216:M1216"/>
    <mergeCell ref="P1216:Q1216"/>
    <mergeCell ref="R1216:S1216"/>
    <mergeCell ref="T1216:U1216"/>
    <mergeCell ref="V1216:W1216"/>
    <mergeCell ref="X1216:AA1216"/>
    <mergeCell ref="AB1216:AE1216"/>
    <mergeCell ref="AJ1216:AK1216"/>
    <mergeCell ref="AL1216:AM1216"/>
    <mergeCell ref="B1215:C1215"/>
    <mergeCell ref="D1215:E1215"/>
    <mergeCell ref="F1215:G1215"/>
    <mergeCell ref="H1215:I1215"/>
    <mergeCell ref="L1215:M1215"/>
    <mergeCell ref="P1215:Q1215"/>
    <mergeCell ref="R1215:S1215"/>
    <mergeCell ref="T1215:U1215"/>
    <mergeCell ref="V1215:W1215"/>
    <mergeCell ref="X1215:AA1215"/>
    <mergeCell ref="AB1215:AE1215"/>
    <mergeCell ref="AJ1215:AK1215"/>
    <mergeCell ref="AV1215:AW1215"/>
    <mergeCell ref="AV1216:AW1216"/>
    <mergeCell ref="AV1217:AW1217"/>
    <mergeCell ref="AH1215:AI1215"/>
    <mergeCell ref="AR1218:AS1218"/>
    <mergeCell ref="AT1218:AU1218"/>
    <mergeCell ref="AX1218:AZ1218"/>
    <mergeCell ref="BA1218:BB1218"/>
    <mergeCell ref="BD1218:BE1218"/>
    <mergeCell ref="BF1218:BI1218"/>
    <mergeCell ref="BJ1218:BM1218"/>
    <mergeCell ref="BN1218:BV1218"/>
    <mergeCell ref="B1219:C1219"/>
    <mergeCell ref="D1219:E1219"/>
    <mergeCell ref="F1219:G1219"/>
    <mergeCell ref="H1219:I1219"/>
    <mergeCell ref="L1219:M1219"/>
    <mergeCell ref="P1219:Q1219"/>
    <mergeCell ref="R1219:S1219"/>
    <mergeCell ref="T1219:U1219"/>
    <mergeCell ref="V1219:W1219"/>
    <mergeCell ref="X1219:AA1219"/>
    <mergeCell ref="AB1219:AE1219"/>
    <mergeCell ref="AJ1219:AK1219"/>
    <mergeCell ref="AL1219:AM1219"/>
    <mergeCell ref="AN1219:AO1219"/>
    <mergeCell ref="AP1219:AQ1219"/>
    <mergeCell ref="AR1219:AS1219"/>
    <mergeCell ref="AP1217:AQ1217"/>
    <mergeCell ref="AR1217:AS1217"/>
    <mergeCell ref="AT1217:AU1217"/>
    <mergeCell ref="AX1217:AZ1217"/>
    <mergeCell ref="BA1217:BB1217"/>
    <mergeCell ref="BD1217:BE1217"/>
    <mergeCell ref="BF1217:BI1217"/>
    <mergeCell ref="BJ1217:BM1217"/>
    <mergeCell ref="BN1217:BV1217"/>
    <mergeCell ref="B1218:C1218"/>
    <mergeCell ref="D1218:E1218"/>
    <mergeCell ref="F1218:G1218"/>
    <mergeCell ref="H1218:I1218"/>
    <mergeCell ref="L1218:M1218"/>
    <mergeCell ref="P1218:Q1218"/>
    <mergeCell ref="R1218:S1218"/>
    <mergeCell ref="T1218:U1218"/>
    <mergeCell ref="V1218:W1218"/>
    <mergeCell ref="X1218:AA1218"/>
    <mergeCell ref="AB1218:AE1218"/>
    <mergeCell ref="AJ1218:AK1218"/>
    <mergeCell ref="AL1218:AM1218"/>
    <mergeCell ref="AN1218:AO1218"/>
    <mergeCell ref="AP1218:AQ1218"/>
    <mergeCell ref="AV1218:AW1218"/>
    <mergeCell ref="AV1219:AW1219"/>
    <mergeCell ref="AX1220:AZ1220"/>
    <mergeCell ref="BA1220:BB1220"/>
    <mergeCell ref="BD1220:BE1220"/>
    <mergeCell ref="BF1220:BI1220"/>
    <mergeCell ref="BJ1220:BM1220"/>
    <mergeCell ref="BN1220:BV1220"/>
    <mergeCell ref="B1221:C1221"/>
    <mergeCell ref="D1221:E1221"/>
    <mergeCell ref="F1221:G1221"/>
    <mergeCell ref="H1221:I1221"/>
    <mergeCell ref="L1221:M1221"/>
    <mergeCell ref="P1221:Q1221"/>
    <mergeCell ref="R1221:S1221"/>
    <mergeCell ref="T1221:U1221"/>
    <mergeCell ref="V1221:W1221"/>
    <mergeCell ref="X1221:AA1221"/>
    <mergeCell ref="AB1221:AE1221"/>
    <mergeCell ref="AJ1221:AK1221"/>
    <mergeCell ref="AL1221:AM1221"/>
    <mergeCell ref="AN1221:AO1221"/>
    <mergeCell ref="AP1221:AQ1221"/>
    <mergeCell ref="AR1221:AS1221"/>
    <mergeCell ref="AT1221:AU1221"/>
    <mergeCell ref="AX1221:AZ1221"/>
    <mergeCell ref="AT1219:AU1219"/>
    <mergeCell ref="AX1219:AZ1219"/>
    <mergeCell ref="BA1219:BB1219"/>
    <mergeCell ref="BD1219:BE1219"/>
    <mergeCell ref="BF1219:BI1219"/>
    <mergeCell ref="BJ1219:BM1219"/>
    <mergeCell ref="BN1219:BV1219"/>
    <mergeCell ref="B1220:C1220"/>
    <mergeCell ref="D1220:E1220"/>
    <mergeCell ref="F1220:G1220"/>
    <mergeCell ref="H1220:I1220"/>
    <mergeCell ref="L1220:M1220"/>
    <mergeCell ref="P1220:Q1220"/>
    <mergeCell ref="R1220:S1220"/>
    <mergeCell ref="T1220:U1220"/>
    <mergeCell ref="V1220:W1220"/>
    <mergeCell ref="X1220:AA1220"/>
    <mergeCell ref="AB1220:AE1220"/>
    <mergeCell ref="AJ1220:AK1220"/>
    <mergeCell ref="AL1220:AM1220"/>
    <mergeCell ref="AN1220:AO1220"/>
    <mergeCell ref="AP1220:AQ1220"/>
    <mergeCell ref="AR1220:AS1220"/>
    <mergeCell ref="AT1220:AU1220"/>
    <mergeCell ref="AV1220:AW1220"/>
    <mergeCell ref="AV1221:AW1221"/>
    <mergeCell ref="J1219:K1219"/>
    <mergeCell ref="J1220:K1220"/>
    <mergeCell ref="BD1222:BE1222"/>
    <mergeCell ref="BF1222:BI1222"/>
    <mergeCell ref="BJ1222:BM1222"/>
    <mergeCell ref="BN1222:BV1222"/>
    <mergeCell ref="B1223:C1223"/>
    <mergeCell ref="D1223:E1223"/>
    <mergeCell ref="F1223:G1223"/>
    <mergeCell ref="H1223:I1223"/>
    <mergeCell ref="L1223:M1223"/>
    <mergeCell ref="P1223:Q1223"/>
    <mergeCell ref="R1223:S1223"/>
    <mergeCell ref="T1223:U1223"/>
    <mergeCell ref="V1223:W1223"/>
    <mergeCell ref="X1223:AA1223"/>
    <mergeCell ref="AB1223:AE1223"/>
    <mergeCell ref="AJ1223:AK1223"/>
    <mergeCell ref="AL1223:AM1223"/>
    <mergeCell ref="AN1223:AO1223"/>
    <mergeCell ref="AP1223:AQ1223"/>
    <mergeCell ref="AR1223:AS1223"/>
    <mergeCell ref="AT1223:AU1223"/>
    <mergeCell ref="AX1223:AZ1223"/>
    <mergeCell ref="BA1223:BB1223"/>
    <mergeCell ref="BD1223:BE1223"/>
    <mergeCell ref="BA1221:BB1221"/>
    <mergeCell ref="BD1221:BE1221"/>
    <mergeCell ref="BF1221:BI1221"/>
    <mergeCell ref="BJ1221:BM1221"/>
    <mergeCell ref="BN1221:BV1221"/>
    <mergeCell ref="B1222:C1222"/>
    <mergeCell ref="D1222:E1222"/>
    <mergeCell ref="F1222:G1222"/>
    <mergeCell ref="H1222:I1222"/>
    <mergeCell ref="L1222:M1222"/>
    <mergeCell ref="P1222:Q1222"/>
    <mergeCell ref="R1222:S1222"/>
    <mergeCell ref="T1222:U1222"/>
    <mergeCell ref="V1222:W1222"/>
    <mergeCell ref="X1222:AA1222"/>
    <mergeCell ref="AB1222:AE1222"/>
    <mergeCell ref="AJ1222:AK1222"/>
    <mergeCell ref="AL1222:AM1222"/>
    <mergeCell ref="AN1222:AO1222"/>
    <mergeCell ref="AP1222:AQ1222"/>
    <mergeCell ref="AR1222:AS1222"/>
    <mergeCell ref="AT1222:AU1222"/>
    <mergeCell ref="AX1222:AZ1222"/>
    <mergeCell ref="BA1222:BB1222"/>
    <mergeCell ref="AV1222:AW1222"/>
    <mergeCell ref="AV1223:AW1223"/>
    <mergeCell ref="J1221:K1221"/>
    <mergeCell ref="J1222:K1222"/>
    <mergeCell ref="BJ1224:BM1224"/>
    <mergeCell ref="BN1224:BV1224"/>
    <mergeCell ref="B1225:C1225"/>
    <mergeCell ref="D1225:E1225"/>
    <mergeCell ref="F1225:G1225"/>
    <mergeCell ref="H1225:I1225"/>
    <mergeCell ref="L1225:M1225"/>
    <mergeCell ref="P1225:Q1225"/>
    <mergeCell ref="R1225:S1225"/>
    <mergeCell ref="T1225:U1225"/>
    <mergeCell ref="V1225:W1225"/>
    <mergeCell ref="X1225:AA1225"/>
    <mergeCell ref="AB1225:AE1225"/>
    <mergeCell ref="AJ1225:AK1225"/>
    <mergeCell ref="AL1225:AM1225"/>
    <mergeCell ref="AN1225:AO1225"/>
    <mergeCell ref="AP1225:AQ1225"/>
    <mergeCell ref="AR1225:AS1225"/>
    <mergeCell ref="AT1225:AU1225"/>
    <mergeCell ref="AX1225:AZ1225"/>
    <mergeCell ref="BA1225:BB1225"/>
    <mergeCell ref="BD1225:BE1225"/>
    <mergeCell ref="BF1225:BI1225"/>
    <mergeCell ref="BJ1225:BM1225"/>
    <mergeCell ref="BF1223:BI1223"/>
    <mergeCell ref="BJ1223:BM1223"/>
    <mergeCell ref="BN1223:BV1223"/>
    <mergeCell ref="B1224:C1224"/>
    <mergeCell ref="D1224:E1224"/>
    <mergeCell ref="F1224:G1224"/>
    <mergeCell ref="H1224:I1224"/>
    <mergeCell ref="L1224:M1224"/>
    <mergeCell ref="P1224:Q1224"/>
    <mergeCell ref="R1224:S1224"/>
    <mergeCell ref="T1224:U1224"/>
    <mergeCell ref="V1224:W1224"/>
    <mergeCell ref="X1224:AA1224"/>
    <mergeCell ref="AB1224:AE1224"/>
    <mergeCell ref="AJ1224:AK1224"/>
    <mergeCell ref="AL1224:AM1224"/>
    <mergeCell ref="AN1224:AO1224"/>
    <mergeCell ref="AP1224:AQ1224"/>
    <mergeCell ref="AR1224:AS1224"/>
    <mergeCell ref="AT1224:AU1224"/>
    <mergeCell ref="AX1224:AZ1224"/>
    <mergeCell ref="BA1224:BB1224"/>
    <mergeCell ref="BD1224:BE1224"/>
    <mergeCell ref="BF1224:BI1224"/>
    <mergeCell ref="AV1224:AW1224"/>
    <mergeCell ref="AV1225:AW1225"/>
    <mergeCell ref="J1223:K1223"/>
    <mergeCell ref="J1224:K1224"/>
    <mergeCell ref="BN1226:BV1226"/>
    <mergeCell ref="B1227:C1227"/>
    <mergeCell ref="D1227:E1227"/>
    <mergeCell ref="F1227:G1227"/>
    <mergeCell ref="H1227:I1227"/>
    <mergeCell ref="L1227:M1227"/>
    <mergeCell ref="P1227:Q1227"/>
    <mergeCell ref="R1227:S1227"/>
    <mergeCell ref="T1227:U1227"/>
    <mergeCell ref="V1227:W1227"/>
    <mergeCell ref="X1227:AA1227"/>
    <mergeCell ref="AB1227:AE1227"/>
    <mergeCell ref="AJ1227:AK1227"/>
    <mergeCell ref="AL1227:AM1227"/>
    <mergeCell ref="AN1227:AO1227"/>
    <mergeCell ref="AP1227:AQ1227"/>
    <mergeCell ref="AR1227:AS1227"/>
    <mergeCell ref="AT1227:AU1227"/>
    <mergeCell ref="AX1227:AZ1227"/>
    <mergeCell ref="BA1227:BB1227"/>
    <mergeCell ref="BD1227:BE1227"/>
    <mergeCell ref="BF1227:BI1227"/>
    <mergeCell ref="BJ1227:BM1227"/>
    <mergeCell ref="BN1225:BV1225"/>
    <mergeCell ref="B1226:C1226"/>
    <mergeCell ref="D1226:E1226"/>
    <mergeCell ref="F1226:G1226"/>
    <mergeCell ref="H1226:I1226"/>
    <mergeCell ref="L1226:M1226"/>
    <mergeCell ref="P1226:Q1226"/>
    <mergeCell ref="R1226:S1226"/>
    <mergeCell ref="T1226:U1226"/>
    <mergeCell ref="V1226:W1226"/>
    <mergeCell ref="X1226:AA1226"/>
    <mergeCell ref="AB1226:AE1226"/>
    <mergeCell ref="AJ1226:AK1226"/>
    <mergeCell ref="AL1226:AM1226"/>
    <mergeCell ref="AN1226:AO1226"/>
    <mergeCell ref="AP1226:AQ1226"/>
    <mergeCell ref="AR1226:AS1226"/>
    <mergeCell ref="AT1226:AU1226"/>
    <mergeCell ref="AX1226:AZ1226"/>
    <mergeCell ref="BA1226:BB1226"/>
    <mergeCell ref="BD1226:BE1226"/>
    <mergeCell ref="BF1226:BI1226"/>
    <mergeCell ref="BJ1226:BM1226"/>
    <mergeCell ref="AV1226:AW1226"/>
    <mergeCell ref="AV1227:AW1227"/>
    <mergeCell ref="J1225:K1225"/>
    <mergeCell ref="J1226:K1226"/>
    <mergeCell ref="BN1228:BV1228"/>
    <mergeCell ref="B1229:C1229"/>
    <mergeCell ref="D1229:E1229"/>
    <mergeCell ref="F1229:G1229"/>
    <mergeCell ref="H1229:I1229"/>
    <mergeCell ref="L1229:M1229"/>
    <mergeCell ref="P1229:Q1229"/>
    <mergeCell ref="R1229:S1229"/>
    <mergeCell ref="T1229:U1229"/>
    <mergeCell ref="V1229:W1229"/>
    <mergeCell ref="X1229:AA1229"/>
    <mergeCell ref="AB1229:AE1229"/>
    <mergeCell ref="AJ1229:AK1229"/>
    <mergeCell ref="AL1229:AM1229"/>
    <mergeCell ref="AN1229:AO1229"/>
    <mergeCell ref="AP1229:AQ1229"/>
    <mergeCell ref="AR1229:AS1229"/>
    <mergeCell ref="AT1229:AU1229"/>
    <mergeCell ref="AX1229:AZ1229"/>
    <mergeCell ref="BA1229:BB1229"/>
    <mergeCell ref="BD1229:BE1229"/>
    <mergeCell ref="BF1229:BI1229"/>
    <mergeCell ref="BJ1229:BM1229"/>
    <mergeCell ref="BN1229:BV1229"/>
    <mergeCell ref="BN1227:BV1227"/>
    <mergeCell ref="B1228:C1228"/>
    <mergeCell ref="D1228:E1228"/>
    <mergeCell ref="F1228:G1228"/>
    <mergeCell ref="H1228:I1228"/>
    <mergeCell ref="L1228:M1228"/>
    <mergeCell ref="P1228:Q1228"/>
    <mergeCell ref="R1228:S1228"/>
    <mergeCell ref="T1228:U1228"/>
    <mergeCell ref="V1228:W1228"/>
    <mergeCell ref="X1228:AA1228"/>
    <mergeCell ref="AB1228:AE1228"/>
    <mergeCell ref="AJ1228:AK1228"/>
    <mergeCell ref="AL1228:AM1228"/>
    <mergeCell ref="AN1228:AO1228"/>
    <mergeCell ref="AP1228:AQ1228"/>
    <mergeCell ref="AR1228:AS1228"/>
    <mergeCell ref="AT1228:AU1228"/>
    <mergeCell ref="AX1228:AZ1228"/>
    <mergeCell ref="BA1228:BB1228"/>
    <mergeCell ref="BD1228:BE1228"/>
    <mergeCell ref="BF1228:BI1228"/>
    <mergeCell ref="BJ1228:BM1228"/>
    <mergeCell ref="AV1228:AW1228"/>
    <mergeCell ref="AV1229:AW1229"/>
    <mergeCell ref="J1227:K1227"/>
    <mergeCell ref="J1228:K1228"/>
    <mergeCell ref="J1229:K1229"/>
    <mergeCell ref="AN1231:AO1231"/>
    <mergeCell ref="AP1231:AQ1231"/>
    <mergeCell ref="AR1231:AS1231"/>
    <mergeCell ref="AT1231:AU1231"/>
    <mergeCell ref="AX1231:AZ1231"/>
    <mergeCell ref="BA1231:BB1231"/>
    <mergeCell ref="BD1231:BE1231"/>
    <mergeCell ref="BF1231:BI1231"/>
    <mergeCell ref="BJ1231:BM1231"/>
    <mergeCell ref="BN1231:BV1231"/>
    <mergeCell ref="B1232:C1232"/>
    <mergeCell ref="D1232:E1232"/>
    <mergeCell ref="F1232:G1232"/>
    <mergeCell ref="H1232:I1232"/>
    <mergeCell ref="L1232:M1232"/>
    <mergeCell ref="P1232:Q1232"/>
    <mergeCell ref="R1232:S1232"/>
    <mergeCell ref="T1232:U1232"/>
    <mergeCell ref="V1232:W1232"/>
    <mergeCell ref="X1232:AA1232"/>
    <mergeCell ref="AB1232:AE1232"/>
    <mergeCell ref="AJ1232:AK1232"/>
    <mergeCell ref="AL1232:AM1232"/>
    <mergeCell ref="AN1232:AO1232"/>
    <mergeCell ref="AL1230:AM1230"/>
    <mergeCell ref="AN1230:AO1230"/>
    <mergeCell ref="AP1230:AQ1230"/>
    <mergeCell ref="AR1230:AS1230"/>
    <mergeCell ref="AT1230:AU1230"/>
    <mergeCell ref="AX1230:AZ1230"/>
    <mergeCell ref="BA1230:BB1230"/>
    <mergeCell ref="BD1230:BE1230"/>
    <mergeCell ref="BF1230:BI1230"/>
    <mergeCell ref="BJ1230:BM1230"/>
    <mergeCell ref="BN1230:BV1230"/>
    <mergeCell ref="B1231:C1231"/>
    <mergeCell ref="D1231:E1231"/>
    <mergeCell ref="F1231:G1231"/>
    <mergeCell ref="H1231:I1231"/>
    <mergeCell ref="L1231:M1231"/>
    <mergeCell ref="P1231:Q1231"/>
    <mergeCell ref="R1231:S1231"/>
    <mergeCell ref="T1231:U1231"/>
    <mergeCell ref="V1231:W1231"/>
    <mergeCell ref="X1231:AA1231"/>
    <mergeCell ref="AB1231:AE1231"/>
    <mergeCell ref="AJ1231:AK1231"/>
    <mergeCell ref="AL1231:AM1231"/>
    <mergeCell ref="B1230:C1230"/>
    <mergeCell ref="D1230:E1230"/>
    <mergeCell ref="F1230:G1230"/>
    <mergeCell ref="H1230:I1230"/>
    <mergeCell ref="L1230:M1230"/>
    <mergeCell ref="P1230:Q1230"/>
    <mergeCell ref="R1230:S1230"/>
    <mergeCell ref="T1230:U1230"/>
    <mergeCell ref="V1230:W1230"/>
    <mergeCell ref="X1230:AA1230"/>
    <mergeCell ref="AB1230:AE1230"/>
    <mergeCell ref="AJ1230:AK1230"/>
    <mergeCell ref="AV1230:AW1230"/>
    <mergeCell ref="AV1231:AW1231"/>
    <mergeCell ref="AV1232:AW1232"/>
    <mergeCell ref="J1230:K1230"/>
    <mergeCell ref="AR1233:AS1233"/>
    <mergeCell ref="AT1233:AU1233"/>
    <mergeCell ref="AX1233:AZ1233"/>
    <mergeCell ref="BA1233:BB1233"/>
    <mergeCell ref="BD1233:BE1233"/>
    <mergeCell ref="BF1233:BI1233"/>
    <mergeCell ref="BJ1233:BM1233"/>
    <mergeCell ref="BN1233:BV1233"/>
    <mergeCell ref="B1234:C1234"/>
    <mergeCell ref="D1234:E1234"/>
    <mergeCell ref="F1234:G1234"/>
    <mergeCell ref="H1234:I1234"/>
    <mergeCell ref="L1234:M1234"/>
    <mergeCell ref="P1234:Q1234"/>
    <mergeCell ref="R1234:S1234"/>
    <mergeCell ref="T1234:U1234"/>
    <mergeCell ref="V1234:W1234"/>
    <mergeCell ref="X1234:AA1234"/>
    <mergeCell ref="AB1234:AE1234"/>
    <mergeCell ref="AJ1234:AK1234"/>
    <mergeCell ref="AL1234:AM1234"/>
    <mergeCell ref="AN1234:AO1234"/>
    <mergeCell ref="AP1234:AQ1234"/>
    <mergeCell ref="AR1234:AS1234"/>
    <mergeCell ref="AP1232:AQ1232"/>
    <mergeCell ref="AR1232:AS1232"/>
    <mergeCell ref="AT1232:AU1232"/>
    <mergeCell ref="AX1232:AZ1232"/>
    <mergeCell ref="BA1232:BB1232"/>
    <mergeCell ref="BD1232:BE1232"/>
    <mergeCell ref="BF1232:BI1232"/>
    <mergeCell ref="BJ1232:BM1232"/>
    <mergeCell ref="BN1232:BV1232"/>
    <mergeCell ref="B1233:C1233"/>
    <mergeCell ref="D1233:E1233"/>
    <mergeCell ref="F1233:G1233"/>
    <mergeCell ref="H1233:I1233"/>
    <mergeCell ref="L1233:M1233"/>
    <mergeCell ref="P1233:Q1233"/>
    <mergeCell ref="R1233:S1233"/>
    <mergeCell ref="T1233:U1233"/>
    <mergeCell ref="V1233:W1233"/>
    <mergeCell ref="X1233:AA1233"/>
    <mergeCell ref="AB1233:AE1233"/>
    <mergeCell ref="AJ1233:AK1233"/>
    <mergeCell ref="AL1233:AM1233"/>
    <mergeCell ref="AN1233:AO1233"/>
    <mergeCell ref="AP1233:AQ1233"/>
    <mergeCell ref="AV1233:AW1233"/>
    <mergeCell ref="AV1234:AW1234"/>
    <mergeCell ref="AF1234:AG1234"/>
    <mergeCell ref="J1232:K1232"/>
    <mergeCell ref="J1233:K1233"/>
    <mergeCell ref="AX1235:AZ1235"/>
    <mergeCell ref="BA1235:BB1235"/>
    <mergeCell ref="BD1235:BE1235"/>
    <mergeCell ref="BF1235:BI1235"/>
    <mergeCell ref="BJ1235:BM1235"/>
    <mergeCell ref="BN1235:BV1235"/>
    <mergeCell ref="B1236:C1236"/>
    <mergeCell ref="D1236:E1236"/>
    <mergeCell ref="F1236:G1236"/>
    <mergeCell ref="H1236:I1236"/>
    <mergeCell ref="L1236:M1236"/>
    <mergeCell ref="P1236:Q1236"/>
    <mergeCell ref="R1236:S1236"/>
    <mergeCell ref="T1236:U1236"/>
    <mergeCell ref="V1236:W1236"/>
    <mergeCell ref="X1236:AA1236"/>
    <mergeCell ref="AB1236:AE1236"/>
    <mergeCell ref="AJ1236:AK1236"/>
    <mergeCell ref="AL1236:AM1236"/>
    <mergeCell ref="AN1236:AO1236"/>
    <mergeCell ref="AP1236:AQ1236"/>
    <mergeCell ref="AR1236:AS1236"/>
    <mergeCell ref="AT1236:AU1236"/>
    <mergeCell ref="AX1236:AZ1236"/>
    <mergeCell ref="AT1234:AU1234"/>
    <mergeCell ref="AX1234:AZ1234"/>
    <mergeCell ref="BA1234:BB1234"/>
    <mergeCell ref="BD1234:BE1234"/>
    <mergeCell ref="BF1234:BI1234"/>
    <mergeCell ref="BJ1234:BM1234"/>
    <mergeCell ref="BN1234:BV1234"/>
    <mergeCell ref="B1235:C1235"/>
    <mergeCell ref="D1235:E1235"/>
    <mergeCell ref="F1235:G1235"/>
    <mergeCell ref="H1235:I1235"/>
    <mergeCell ref="L1235:M1235"/>
    <mergeCell ref="P1235:Q1235"/>
    <mergeCell ref="R1235:S1235"/>
    <mergeCell ref="T1235:U1235"/>
    <mergeCell ref="V1235:W1235"/>
    <mergeCell ref="X1235:AA1235"/>
    <mergeCell ref="AB1235:AE1235"/>
    <mergeCell ref="AJ1235:AK1235"/>
    <mergeCell ref="AL1235:AM1235"/>
    <mergeCell ref="AN1235:AO1235"/>
    <mergeCell ref="AP1235:AQ1235"/>
    <mergeCell ref="AR1235:AS1235"/>
    <mergeCell ref="AT1235:AU1235"/>
    <mergeCell ref="AV1235:AW1235"/>
    <mergeCell ref="AV1236:AW1236"/>
    <mergeCell ref="AF1235:AG1235"/>
    <mergeCell ref="AF1236:AG1236"/>
    <mergeCell ref="J1234:K1234"/>
    <mergeCell ref="J1235:K1235"/>
    <mergeCell ref="BD1237:BE1237"/>
    <mergeCell ref="BF1237:BI1237"/>
    <mergeCell ref="BJ1237:BM1237"/>
    <mergeCell ref="BN1237:BV1237"/>
    <mergeCell ref="B1238:C1238"/>
    <mergeCell ref="D1238:E1238"/>
    <mergeCell ref="F1238:G1238"/>
    <mergeCell ref="H1238:I1238"/>
    <mergeCell ref="L1238:M1238"/>
    <mergeCell ref="P1238:Q1238"/>
    <mergeCell ref="R1238:S1238"/>
    <mergeCell ref="T1238:U1238"/>
    <mergeCell ref="V1238:W1238"/>
    <mergeCell ref="X1238:AA1238"/>
    <mergeCell ref="AB1238:AE1238"/>
    <mergeCell ref="AJ1238:AK1238"/>
    <mergeCell ref="AL1238:AM1238"/>
    <mergeCell ref="AN1238:AO1238"/>
    <mergeCell ref="AP1238:AQ1238"/>
    <mergeCell ref="AR1238:AS1238"/>
    <mergeCell ref="AT1238:AU1238"/>
    <mergeCell ref="AX1238:AZ1238"/>
    <mergeCell ref="BA1238:BB1238"/>
    <mergeCell ref="BD1238:BE1238"/>
    <mergeCell ref="BA1236:BB1236"/>
    <mergeCell ref="BD1236:BE1236"/>
    <mergeCell ref="BF1236:BI1236"/>
    <mergeCell ref="BJ1236:BM1236"/>
    <mergeCell ref="BN1236:BV1236"/>
    <mergeCell ref="B1237:C1237"/>
    <mergeCell ref="D1237:E1237"/>
    <mergeCell ref="F1237:G1237"/>
    <mergeCell ref="H1237:I1237"/>
    <mergeCell ref="L1237:M1237"/>
    <mergeCell ref="P1237:Q1237"/>
    <mergeCell ref="R1237:S1237"/>
    <mergeCell ref="T1237:U1237"/>
    <mergeCell ref="V1237:W1237"/>
    <mergeCell ref="X1237:AA1237"/>
    <mergeCell ref="AB1237:AE1237"/>
    <mergeCell ref="AJ1237:AK1237"/>
    <mergeCell ref="AL1237:AM1237"/>
    <mergeCell ref="AN1237:AO1237"/>
    <mergeCell ref="AP1237:AQ1237"/>
    <mergeCell ref="AR1237:AS1237"/>
    <mergeCell ref="AT1237:AU1237"/>
    <mergeCell ref="AX1237:AZ1237"/>
    <mergeCell ref="BA1237:BB1237"/>
    <mergeCell ref="AV1237:AW1237"/>
    <mergeCell ref="AV1238:AW1238"/>
    <mergeCell ref="AF1237:AG1237"/>
    <mergeCell ref="AF1238:AG1238"/>
    <mergeCell ref="J1236:K1236"/>
    <mergeCell ref="J1237:K1237"/>
    <mergeCell ref="BJ1239:BM1239"/>
    <mergeCell ref="BN1239:BV1239"/>
    <mergeCell ref="B1240:C1240"/>
    <mergeCell ref="D1240:E1240"/>
    <mergeCell ref="F1240:G1240"/>
    <mergeCell ref="H1240:I1240"/>
    <mergeCell ref="L1240:M1240"/>
    <mergeCell ref="P1240:Q1240"/>
    <mergeCell ref="R1240:S1240"/>
    <mergeCell ref="T1240:U1240"/>
    <mergeCell ref="V1240:W1240"/>
    <mergeCell ref="X1240:AA1240"/>
    <mergeCell ref="AB1240:AE1240"/>
    <mergeCell ref="AJ1240:AK1240"/>
    <mergeCell ref="AL1240:AM1240"/>
    <mergeCell ref="AN1240:AO1240"/>
    <mergeCell ref="AP1240:AQ1240"/>
    <mergeCell ref="AR1240:AS1240"/>
    <mergeCell ref="AT1240:AU1240"/>
    <mergeCell ref="AX1240:AZ1240"/>
    <mergeCell ref="BA1240:BB1240"/>
    <mergeCell ref="BD1240:BE1240"/>
    <mergeCell ref="BF1240:BI1240"/>
    <mergeCell ref="BJ1240:BM1240"/>
    <mergeCell ref="BF1238:BI1238"/>
    <mergeCell ref="BJ1238:BM1238"/>
    <mergeCell ref="BN1238:BV1238"/>
    <mergeCell ref="B1239:C1239"/>
    <mergeCell ref="D1239:E1239"/>
    <mergeCell ref="F1239:G1239"/>
    <mergeCell ref="H1239:I1239"/>
    <mergeCell ref="L1239:M1239"/>
    <mergeCell ref="P1239:Q1239"/>
    <mergeCell ref="R1239:S1239"/>
    <mergeCell ref="T1239:U1239"/>
    <mergeCell ref="V1239:W1239"/>
    <mergeCell ref="X1239:AA1239"/>
    <mergeCell ref="AB1239:AE1239"/>
    <mergeCell ref="AJ1239:AK1239"/>
    <mergeCell ref="AL1239:AM1239"/>
    <mergeCell ref="AN1239:AO1239"/>
    <mergeCell ref="AP1239:AQ1239"/>
    <mergeCell ref="AR1239:AS1239"/>
    <mergeCell ref="AT1239:AU1239"/>
    <mergeCell ref="AX1239:AZ1239"/>
    <mergeCell ref="BA1239:BB1239"/>
    <mergeCell ref="BD1239:BE1239"/>
    <mergeCell ref="BF1239:BI1239"/>
    <mergeCell ref="AV1239:AW1239"/>
    <mergeCell ref="AV1240:AW1240"/>
    <mergeCell ref="AF1239:AG1239"/>
    <mergeCell ref="AF1240:AG1240"/>
    <mergeCell ref="J1238:K1238"/>
    <mergeCell ref="J1239:K1239"/>
    <mergeCell ref="BN1241:BV1241"/>
    <mergeCell ref="B1242:C1242"/>
    <mergeCell ref="D1242:E1242"/>
    <mergeCell ref="F1242:G1242"/>
    <mergeCell ref="H1242:I1242"/>
    <mergeCell ref="L1242:M1242"/>
    <mergeCell ref="P1242:Q1242"/>
    <mergeCell ref="R1242:S1242"/>
    <mergeCell ref="T1242:U1242"/>
    <mergeCell ref="V1242:W1242"/>
    <mergeCell ref="X1242:AA1242"/>
    <mergeCell ref="AB1242:AE1242"/>
    <mergeCell ref="AJ1242:AK1242"/>
    <mergeCell ref="AL1242:AM1242"/>
    <mergeCell ref="AN1242:AO1242"/>
    <mergeCell ref="AP1242:AQ1242"/>
    <mergeCell ref="AR1242:AS1242"/>
    <mergeCell ref="AT1242:AU1242"/>
    <mergeCell ref="AX1242:AZ1242"/>
    <mergeCell ref="BA1242:BB1242"/>
    <mergeCell ref="BD1242:BE1242"/>
    <mergeCell ref="BF1242:BI1242"/>
    <mergeCell ref="BJ1242:BM1242"/>
    <mergeCell ref="BN1240:BV1240"/>
    <mergeCell ref="B1241:C1241"/>
    <mergeCell ref="D1241:E1241"/>
    <mergeCell ref="F1241:G1241"/>
    <mergeCell ref="H1241:I1241"/>
    <mergeCell ref="L1241:M1241"/>
    <mergeCell ref="P1241:Q1241"/>
    <mergeCell ref="R1241:S1241"/>
    <mergeCell ref="T1241:U1241"/>
    <mergeCell ref="V1241:W1241"/>
    <mergeCell ref="X1241:AA1241"/>
    <mergeCell ref="AB1241:AE1241"/>
    <mergeCell ref="AJ1241:AK1241"/>
    <mergeCell ref="AL1241:AM1241"/>
    <mergeCell ref="AN1241:AO1241"/>
    <mergeCell ref="AP1241:AQ1241"/>
    <mergeCell ref="AR1241:AS1241"/>
    <mergeCell ref="AT1241:AU1241"/>
    <mergeCell ref="AX1241:AZ1241"/>
    <mergeCell ref="BA1241:BB1241"/>
    <mergeCell ref="BD1241:BE1241"/>
    <mergeCell ref="BF1241:BI1241"/>
    <mergeCell ref="BJ1241:BM1241"/>
    <mergeCell ref="AV1241:AW1241"/>
    <mergeCell ref="AV1242:AW1242"/>
    <mergeCell ref="AF1241:AG1241"/>
    <mergeCell ref="AF1242:AG1242"/>
    <mergeCell ref="J1240:K1240"/>
    <mergeCell ref="J1241:K1241"/>
    <mergeCell ref="BN1243:BV1243"/>
    <mergeCell ref="B1244:C1244"/>
    <mergeCell ref="D1244:E1244"/>
    <mergeCell ref="F1244:G1244"/>
    <mergeCell ref="H1244:I1244"/>
    <mergeCell ref="L1244:M1244"/>
    <mergeCell ref="P1244:Q1244"/>
    <mergeCell ref="R1244:S1244"/>
    <mergeCell ref="T1244:U1244"/>
    <mergeCell ref="V1244:W1244"/>
    <mergeCell ref="X1244:AA1244"/>
    <mergeCell ref="AB1244:AE1244"/>
    <mergeCell ref="AJ1244:AK1244"/>
    <mergeCell ref="AL1244:AM1244"/>
    <mergeCell ref="AN1244:AO1244"/>
    <mergeCell ref="AP1244:AQ1244"/>
    <mergeCell ref="AR1244:AS1244"/>
    <mergeCell ref="AT1244:AU1244"/>
    <mergeCell ref="AX1244:AZ1244"/>
    <mergeCell ref="BA1244:BB1244"/>
    <mergeCell ref="BD1244:BE1244"/>
    <mergeCell ref="BF1244:BI1244"/>
    <mergeCell ref="BJ1244:BM1244"/>
    <mergeCell ref="BN1244:BV1244"/>
    <mergeCell ref="BN1242:BV1242"/>
    <mergeCell ref="B1243:C1243"/>
    <mergeCell ref="D1243:E1243"/>
    <mergeCell ref="F1243:G1243"/>
    <mergeCell ref="H1243:I1243"/>
    <mergeCell ref="L1243:M1243"/>
    <mergeCell ref="P1243:Q1243"/>
    <mergeCell ref="R1243:S1243"/>
    <mergeCell ref="T1243:U1243"/>
    <mergeCell ref="V1243:W1243"/>
    <mergeCell ref="X1243:AA1243"/>
    <mergeCell ref="AB1243:AE1243"/>
    <mergeCell ref="AJ1243:AK1243"/>
    <mergeCell ref="AL1243:AM1243"/>
    <mergeCell ref="AN1243:AO1243"/>
    <mergeCell ref="AP1243:AQ1243"/>
    <mergeCell ref="AR1243:AS1243"/>
    <mergeCell ref="AT1243:AU1243"/>
    <mergeCell ref="AX1243:AZ1243"/>
    <mergeCell ref="BA1243:BB1243"/>
    <mergeCell ref="BD1243:BE1243"/>
    <mergeCell ref="BF1243:BI1243"/>
    <mergeCell ref="BJ1243:BM1243"/>
    <mergeCell ref="AV1243:AW1243"/>
    <mergeCell ref="AV1244:AW1244"/>
    <mergeCell ref="AF1243:AG1243"/>
    <mergeCell ref="AF1244:AG1244"/>
    <mergeCell ref="J1242:K1242"/>
    <mergeCell ref="J1243:K1243"/>
    <mergeCell ref="J1244:K1244"/>
    <mergeCell ref="AN1246:AO1246"/>
    <mergeCell ref="AP1246:AQ1246"/>
    <mergeCell ref="AR1246:AS1246"/>
    <mergeCell ref="AT1246:AU1246"/>
    <mergeCell ref="AX1246:AZ1246"/>
    <mergeCell ref="BA1246:BB1246"/>
    <mergeCell ref="BD1246:BE1246"/>
    <mergeCell ref="BF1246:BI1246"/>
    <mergeCell ref="BJ1246:BM1246"/>
    <mergeCell ref="BN1246:BV1246"/>
    <mergeCell ref="B1247:C1247"/>
    <mergeCell ref="D1247:E1247"/>
    <mergeCell ref="F1247:G1247"/>
    <mergeCell ref="H1247:I1247"/>
    <mergeCell ref="L1247:M1247"/>
    <mergeCell ref="P1247:Q1247"/>
    <mergeCell ref="R1247:S1247"/>
    <mergeCell ref="T1247:U1247"/>
    <mergeCell ref="V1247:W1247"/>
    <mergeCell ref="X1247:AA1247"/>
    <mergeCell ref="AB1247:AE1247"/>
    <mergeCell ref="AJ1247:AK1247"/>
    <mergeCell ref="AL1247:AM1247"/>
    <mergeCell ref="AN1247:AO1247"/>
    <mergeCell ref="AL1245:AM1245"/>
    <mergeCell ref="AN1245:AO1245"/>
    <mergeCell ref="AP1245:AQ1245"/>
    <mergeCell ref="AR1245:AS1245"/>
    <mergeCell ref="AT1245:AU1245"/>
    <mergeCell ref="AX1245:AZ1245"/>
    <mergeCell ref="BA1245:BB1245"/>
    <mergeCell ref="BD1245:BE1245"/>
    <mergeCell ref="BF1245:BI1245"/>
    <mergeCell ref="BJ1245:BM1245"/>
    <mergeCell ref="BN1245:BV1245"/>
    <mergeCell ref="B1246:C1246"/>
    <mergeCell ref="D1246:E1246"/>
    <mergeCell ref="F1246:G1246"/>
    <mergeCell ref="H1246:I1246"/>
    <mergeCell ref="L1246:M1246"/>
    <mergeCell ref="P1246:Q1246"/>
    <mergeCell ref="R1246:S1246"/>
    <mergeCell ref="T1246:U1246"/>
    <mergeCell ref="V1246:W1246"/>
    <mergeCell ref="X1246:AA1246"/>
    <mergeCell ref="AB1246:AE1246"/>
    <mergeCell ref="AJ1246:AK1246"/>
    <mergeCell ref="AL1246:AM1246"/>
    <mergeCell ref="B1245:C1245"/>
    <mergeCell ref="D1245:E1245"/>
    <mergeCell ref="F1245:G1245"/>
    <mergeCell ref="H1245:I1245"/>
    <mergeCell ref="L1245:M1245"/>
    <mergeCell ref="P1245:Q1245"/>
    <mergeCell ref="R1245:S1245"/>
    <mergeCell ref="T1245:U1245"/>
    <mergeCell ref="V1245:W1245"/>
    <mergeCell ref="X1245:AA1245"/>
    <mergeCell ref="AB1245:AE1245"/>
    <mergeCell ref="AJ1245:AK1245"/>
    <mergeCell ref="AV1245:AW1245"/>
    <mergeCell ref="AV1246:AW1246"/>
    <mergeCell ref="AV1247:AW1247"/>
    <mergeCell ref="AF1245:AG1245"/>
    <mergeCell ref="AR1248:AS1248"/>
    <mergeCell ref="AT1248:AU1248"/>
    <mergeCell ref="AX1248:AZ1248"/>
    <mergeCell ref="BA1248:BB1248"/>
    <mergeCell ref="BD1248:BE1248"/>
    <mergeCell ref="BF1248:BI1248"/>
    <mergeCell ref="BJ1248:BM1248"/>
    <mergeCell ref="BN1248:BV1248"/>
    <mergeCell ref="B1249:C1249"/>
    <mergeCell ref="D1249:E1249"/>
    <mergeCell ref="F1249:G1249"/>
    <mergeCell ref="H1249:I1249"/>
    <mergeCell ref="L1249:M1249"/>
    <mergeCell ref="P1249:Q1249"/>
    <mergeCell ref="R1249:S1249"/>
    <mergeCell ref="T1249:U1249"/>
    <mergeCell ref="V1249:W1249"/>
    <mergeCell ref="X1249:AA1249"/>
    <mergeCell ref="AB1249:AE1249"/>
    <mergeCell ref="AJ1249:AK1249"/>
    <mergeCell ref="AL1249:AM1249"/>
    <mergeCell ref="AN1249:AO1249"/>
    <mergeCell ref="AP1249:AQ1249"/>
    <mergeCell ref="AR1249:AS1249"/>
    <mergeCell ref="AP1247:AQ1247"/>
    <mergeCell ref="AR1247:AS1247"/>
    <mergeCell ref="AT1247:AU1247"/>
    <mergeCell ref="AX1247:AZ1247"/>
    <mergeCell ref="BA1247:BB1247"/>
    <mergeCell ref="BD1247:BE1247"/>
    <mergeCell ref="BF1247:BI1247"/>
    <mergeCell ref="BJ1247:BM1247"/>
    <mergeCell ref="BN1247:BV1247"/>
    <mergeCell ref="B1248:C1248"/>
    <mergeCell ref="D1248:E1248"/>
    <mergeCell ref="F1248:G1248"/>
    <mergeCell ref="H1248:I1248"/>
    <mergeCell ref="L1248:M1248"/>
    <mergeCell ref="P1248:Q1248"/>
    <mergeCell ref="R1248:S1248"/>
    <mergeCell ref="T1248:U1248"/>
    <mergeCell ref="V1248:W1248"/>
    <mergeCell ref="X1248:AA1248"/>
    <mergeCell ref="AB1248:AE1248"/>
    <mergeCell ref="AJ1248:AK1248"/>
    <mergeCell ref="AL1248:AM1248"/>
    <mergeCell ref="AN1248:AO1248"/>
    <mergeCell ref="AP1248:AQ1248"/>
    <mergeCell ref="AV1248:AW1248"/>
    <mergeCell ref="AV1249:AW1249"/>
    <mergeCell ref="AX1250:AZ1250"/>
    <mergeCell ref="BA1250:BB1250"/>
    <mergeCell ref="BD1250:BE1250"/>
    <mergeCell ref="BF1250:BI1250"/>
    <mergeCell ref="BJ1250:BM1250"/>
    <mergeCell ref="BN1250:BV1250"/>
    <mergeCell ref="B1251:C1251"/>
    <mergeCell ref="D1251:E1251"/>
    <mergeCell ref="F1251:G1251"/>
    <mergeCell ref="H1251:I1251"/>
    <mergeCell ref="L1251:M1251"/>
    <mergeCell ref="P1251:Q1251"/>
    <mergeCell ref="R1251:S1251"/>
    <mergeCell ref="T1251:U1251"/>
    <mergeCell ref="V1251:W1251"/>
    <mergeCell ref="X1251:AA1251"/>
    <mergeCell ref="AB1251:AE1251"/>
    <mergeCell ref="AJ1251:AK1251"/>
    <mergeCell ref="AL1251:AM1251"/>
    <mergeCell ref="AN1251:AO1251"/>
    <mergeCell ref="AP1251:AQ1251"/>
    <mergeCell ref="AR1251:AS1251"/>
    <mergeCell ref="AT1251:AU1251"/>
    <mergeCell ref="AX1251:AZ1251"/>
    <mergeCell ref="AT1249:AU1249"/>
    <mergeCell ref="AX1249:AZ1249"/>
    <mergeCell ref="BA1249:BB1249"/>
    <mergeCell ref="BD1249:BE1249"/>
    <mergeCell ref="BF1249:BI1249"/>
    <mergeCell ref="BJ1249:BM1249"/>
    <mergeCell ref="BN1249:BV1249"/>
    <mergeCell ref="B1250:C1250"/>
    <mergeCell ref="D1250:E1250"/>
    <mergeCell ref="F1250:G1250"/>
    <mergeCell ref="H1250:I1250"/>
    <mergeCell ref="L1250:M1250"/>
    <mergeCell ref="P1250:Q1250"/>
    <mergeCell ref="R1250:S1250"/>
    <mergeCell ref="T1250:U1250"/>
    <mergeCell ref="V1250:W1250"/>
    <mergeCell ref="X1250:AA1250"/>
    <mergeCell ref="AB1250:AE1250"/>
    <mergeCell ref="AJ1250:AK1250"/>
    <mergeCell ref="AL1250:AM1250"/>
    <mergeCell ref="AN1250:AO1250"/>
    <mergeCell ref="AP1250:AQ1250"/>
    <mergeCell ref="AR1250:AS1250"/>
    <mergeCell ref="AT1250:AU1250"/>
    <mergeCell ref="AV1250:AW1250"/>
    <mergeCell ref="AV1251:AW1251"/>
    <mergeCell ref="AH1249:AI1249"/>
    <mergeCell ref="AH1250:AI1250"/>
    <mergeCell ref="BD1252:BE1252"/>
    <mergeCell ref="BF1252:BI1252"/>
    <mergeCell ref="BJ1252:BM1252"/>
    <mergeCell ref="BN1252:BV1252"/>
    <mergeCell ref="B1253:C1253"/>
    <mergeCell ref="D1253:E1253"/>
    <mergeCell ref="F1253:G1253"/>
    <mergeCell ref="H1253:I1253"/>
    <mergeCell ref="L1253:M1253"/>
    <mergeCell ref="P1253:Q1253"/>
    <mergeCell ref="R1253:S1253"/>
    <mergeCell ref="T1253:U1253"/>
    <mergeCell ref="V1253:W1253"/>
    <mergeCell ref="X1253:AA1253"/>
    <mergeCell ref="AB1253:AE1253"/>
    <mergeCell ref="AJ1253:AK1253"/>
    <mergeCell ref="AL1253:AM1253"/>
    <mergeCell ref="AN1253:AO1253"/>
    <mergeCell ref="AP1253:AQ1253"/>
    <mergeCell ref="AR1253:AS1253"/>
    <mergeCell ref="AT1253:AU1253"/>
    <mergeCell ref="AX1253:AZ1253"/>
    <mergeCell ref="BA1253:BB1253"/>
    <mergeCell ref="BD1253:BE1253"/>
    <mergeCell ref="BA1251:BB1251"/>
    <mergeCell ref="BD1251:BE1251"/>
    <mergeCell ref="BF1251:BI1251"/>
    <mergeCell ref="BJ1251:BM1251"/>
    <mergeCell ref="BN1251:BV1251"/>
    <mergeCell ref="B1252:C1252"/>
    <mergeCell ref="D1252:E1252"/>
    <mergeCell ref="F1252:G1252"/>
    <mergeCell ref="H1252:I1252"/>
    <mergeCell ref="L1252:M1252"/>
    <mergeCell ref="P1252:Q1252"/>
    <mergeCell ref="R1252:S1252"/>
    <mergeCell ref="T1252:U1252"/>
    <mergeCell ref="V1252:W1252"/>
    <mergeCell ref="X1252:AA1252"/>
    <mergeCell ref="AB1252:AE1252"/>
    <mergeCell ref="AJ1252:AK1252"/>
    <mergeCell ref="AL1252:AM1252"/>
    <mergeCell ref="AN1252:AO1252"/>
    <mergeCell ref="AP1252:AQ1252"/>
    <mergeCell ref="AR1252:AS1252"/>
    <mergeCell ref="AT1252:AU1252"/>
    <mergeCell ref="AX1252:AZ1252"/>
    <mergeCell ref="BA1252:BB1252"/>
    <mergeCell ref="AV1252:AW1252"/>
    <mergeCell ref="AV1253:AW1253"/>
    <mergeCell ref="AH1251:AI1251"/>
    <mergeCell ref="AH1252:AI1252"/>
    <mergeCell ref="BJ1254:BM1254"/>
    <mergeCell ref="BN1254:BV1254"/>
    <mergeCell ref="B1255:C1255"/>
    <mergeCell ref="D1255:E1255"/>
    <mergeCell ref="F1255:G1255"/>
    <mergeCell ref="H1255:I1255"/>
    <mergeCell ref="L1255:M1255"/>
    <mergeCell ref="P1255:Q1255"/>
    <mergeCell ref="R1255:S1255"/>
    <mergeCell ref="T1255:U1255"/>
    <mergeCell ref="V1255:W1255"/>
    <mergeCell ref="X1255:AA1255"/>
    <mergeCell ref="AB1255:AE1255"/>
    <mergeCell ref="AJ1255:AK1255"/>
    <mergeCell ref="AL1255:AM1255"/>
    <mergeCell ref="AN1255:AO1255"/>
    <mergeCell ref="AP1255:AQ1255"/>
    <mergeCell ref="AR1255:AS1255"/>
    <mergeCell ref="AT1255:AU1255"/>
    <mergeCell ref="AX1255:AZ1255"/>
    <mergeCell ref="BA1255:BB1255"/>
    <mergeCell ref="BD1255:BE1255"/>
    <mergeCell ref="BF1255:BI1255"/>
    <mergeCell ref="BJ1255:BM1255"/>
    <mergeCell ref="BF1253:BI1253"/>
    <mergeCell ref="BJ1253:BM1253"/>
    <mergeCell ref="BN1253:BV1253"/>
    <mergeCell ref="B1254:C1254"/>
    <mergeCell ref="D1254:E1254"/>
    <mergeCell ref="F1254:G1254"/>
    <mergeCell ref="H1254:I1254"/>
    <mergeCell ref="L1254:M1254"/>
    <mergeCell ref="P1254:Q1254"/>
    <mergeCell ref="R1254:S1254"/>
    <mergeCell ref="T1254:U1254"/>
    <mergeCell ref="V1254:W1254"/>
    <mergeCell ref="X1254:AA1254"/>
    <mergeCell ref="AB1254:AE1254"/>
    <mergeCell ref="AJ1254:AK1254"/>
    <mergeCell ref="AL1254:AM1254"/>
    <mergeCell ref="AN1254:AO1254"/>
    <mergeCell ref="AP1254:AQ1254"/>
    <mergeCell ref="AR1254:AS1254"/>
    <mergeCell ref="AT1254:AU1254"/>
    <mergeCell ref="AX1254:AZ1254"/>
    <mergeCell ref="BA1254:BB1254"/>
    <mergeCell ref="BD1254:BE1254"/>
    <mergeCell ref="BF1254:BI1254"/>
    <mergeCell ref="AV1254:AW1254"/>
    <mergeCell ref="AV1255:AW1255"/>
    <mergeCell ref="AH1253:AI1253"/>
    <mergeCell ref="AH1254:AI1254"/>
    <mergeCell ref="BN1256:BV1256"/>
    <mergeCell ref="B1257:C1257"/>
    <mergeCell ref="D1257:E1257"/>
    <mergeCell ref="F1257:G1257"/>
    <mergeCell ref="H1257:I1257"/>
    <mergeCell ref="L1257:M1257"/>
    <mergeCell ref="P1257:Q1257"/>
    <mergeCell ref="R1257:S1257"/>
    <mergeCell ref="T1257:U1257"/>
    <mergeCell ref="V1257:W1257"/>
    <mergeCell ref="X1257:AA1257"/>
    <mergeCell ref="AB1257:AE1257"/>
    <mergeCell ref="AJ1257:AK1257"/>
    <mergeCell ref="AL1257:AM1257"/>
    <mergeCell ref="AN1257:AO1257"/>
    <mergeCell ref="AP1257:AQ1257"/>
    <mergeCell ref="AR1257:AS1257"/>
    <mergeCell ref="AT1257:AU1257"/>
    <mergeCell ref="AX1257:AZ1257"/>
    <mergeCell ref="BA1257:BB1257"/>
    <mergeCell ref="BD1257:BE1257"/>
    <mergeCell ref="BF1257:BI1257"/>
    <mergeCell ref="BJ1257:BM1257"/>
    <mergeCell ref="BN1255:BV1255"/>
    <mergeCell ref="B1256:C1256"/>
    <mergeCell ref="D1256:E1256"/>
    <mergeCell ref="F1256:G1256"/>
    <mergeCell ref="H1256:I1256"/>
    <mergeCell ref="L1256:M1256"/>
    <mergeCell ref="P1256:Q1256"/>
    <mergeCell ref="R1256:S1256"/>
    <mergeCell ref="T1256:U1256"/>
    <mergeCell ref="V1256:W1256"/>
    <mergeCell ref="X1256:AA1256"/>
    <mergeCell ref="AB1256:AE1256"/>
    <mergeCell ref="AJ1256:AK1256"/>
    <mergeCell ref="AL1256:AM1256"/>
    <mergeCell ref="AN1256:AO1256"/>
    <mergeCell ref="AP1256:AQ1256"/>
    <mergeCell ref="AR1256:AS1256"/>
    <mergeCell ref="AT1256:AU1256"/>
    <mergeCell ref="AX1256:AZ1256"/>
    <mergeCell ref="BA1256:BB1256"/>
    <mergeCell ref="BD1256:BE1256"/>
    <mergeCell ref="BF1256:BI1256"/>
    <mergeCell ref="BJ1256:BM1256"/>
    <mergeCell ref="AV1256:AW1256"/>
    <mergeCell ref="AV1257:AW1257"/>
    <mergeCell ref="AH1255:AI1255"/>
    <mergeCell ref="AH1256:AI1256"/>
    <mergeCell ref="BN1258:BV1258"/>
    <mergeCell ref="B1259:C1259"/>
    <mergeCell ref="D1259:E1259"/>
    <mergeCell ref="F1259:G1259"/>
    <mergeCell ref="H1259:I1259"/>
    <mergeCell ref="L1259:M1259"/>
    <mergeCell ref="P1259:Q1259"/>
    <mergeCell ref="R1259:S1259"/>
    <mergeCell ref="T1259:U1259"/>
    <mergeCell ref="V1259:W1259"/>
    <mergeCell ref="X1259:AA1259"/>
    <mergeCell ref="AB1259:AE1259"/>
    <mergeCell ref="AJ1259:AK1259"/>
    <mergeCell ref="AL1259:AM1259"/>
    <mergeCell ref="AN1259:AO1259"/>
    <mergeCell ref="AP1259:AQ1259"/>
    <mergeCell ref="AR1259:AS1259"/>
    <mergeCell ref="AT1259:AU1259"/>
    <mergeCell ref="AX1259:AZ1259"/>
    <mergeCell ref="BA1259:BB1259"/>
    <mergeCell ref="BD1259:BE1259"/>
    <mergeCell ref="BF1259:BI1259"/>
    <mergeCell ref="BJ1259:BM1259"/>
    <mergeCell ref="BN1259:BV1259"/>
    <mergeCell ref="BN1257:BV1257"/>
    <mergeCell ref="B1258:C1258"/>
    <mergeCell ref="D1258:E1258"/>
    <mergeCell ref="F1258:G1258"/>
    <mergeCell ref="H1258:I1258"/>
    <mergeCell ref="L1258:M1258"/>
    <mergeCell ref="P1258:Q1258"/>
    <mergeCell ref="R1258:S1258"/>
    <mergeCell ref="T1258:U1258"/>
    <mergeCell ref="V1258:W1258"/>
    <mergeCell ref="X1258:AA1258"/>
    <mergeCell ref="AB1258:AE1258"/>
    <mergeCell ref="AJ1258:AK1258"/>
    <mergeCell ref="AL1258:AM1258"/>
    <mergeCell ref="AN1258:AO1258"/>
    <mergeCell ref="AP1258:AQ1258"/>
    <mergeCell ref="AR1258:AS1258"/>
    <mergeCell ref="AT1258:AU1258"/>
    <mergeCell ref="AX1258:AZ1258"/>
    <mergeCell ref="BA1258:BB1258"/>
    <mergeCell ref="BD1258:BE1258"/>
    <mergeCell ref="BF1258:BI1258"/>
    <mergeCell ref="BJ1258:BM1258"/>
    <mergeCell ref="AV1258:AW1258"/>
    <mergeCell ref="AV1259:AW1259"/>
    <mergeCell ref="AH1257:AI1257"/>
    <mergeCell ref="AH1258:AI1258"/>
    <mergeCell ref="AH1259:AI1259"/>
    <mergeCell ref="AN1261:AO1261"/>
    <mergeCell ref="AP1261:AQ1261"/>
    <mergeCell ref="AR1261:AS1261"/>
    <mergeCell ref="AT1261:AU1261"/>
    <mergeCell ref="AX1261:AZ1261"/>
    <mergeCell ref="BA1261:BB1261"/>
    <mergeCell ref="BD1261:BE1261"/>
    <mergeCell ref="BF1261:BI1261"/>
    <mergeCell ref="BJ1261:BM1261"/>
    <mergeCell ref="BN1261:BV1261"/>
    <mergeCell ref="B1262:C1262"/>
    <mergeCell ref="D1262:E1262"/>
    <mergeCell ref="F1262:G1262"/>
    <mergeCell ref="H1262:I1262"/>
    <mergeCell ref="L1262:M1262"/>
    <mergeCell ref="P1262:Q1262"/>
    <mergeCell ref="R1262:S1262"/>
    <mergeCell ref="T1262:U1262"/>
    <mergeCell ref="V1262:W1262"/>
    <mergeCell ref="X1262:AA1262"/>
    <mergeCell ref="AB1262:AE1262"/>
    <mergeCell ref="AJ1262:AK1262"/>
    <mergeCell ref="AL1262:AM1262"/>
    <mergeCell ref="AN1262:AO1262"/>
    <mergeCell ref="AL1260:AM1260"/>
    <mergeCell ref="AN1260:AO1260"/>
    <mergeCell ref="AP1260:AQ1260"/>
    <mergeCell ref="AR1260:AS1260"/>
    <mergeCell ref="AT1260:AU1260"/>
    <mergeCell ref="AX1260:AZ1260"/>
    <mergeCell ref="BA1260:BB1260"/>
    <mergeCell ref="BD1260:BE1260"/>
    <mergeCell ref="BF1260:BI1260"/>
    <mergeCell ref="BJ1260:BM1260"/>
    <mergeCell ref="BN1260:BV1260"/>
    <mergeCell ref="B1261:C1261"/>
    <mergeCell ref="D1261:E1261"/>
    <mergeCell ref="F1261:G1261"/>
    <mergeCell ref="H1261:I1261"/>
    <mergeCell ref="L1261:M1261"/>
    <mergeCell ref="P1261:Q1261"/>
    <mergeCell ref="R1261:S1261"/>
    <mergeCell ref="T1261:U1261"/>
    <mergeCell ref="V1261:W1261"/>
    <mergeCell ref="X1261:AA1261"/>
    <mergeCell ref="AB1261:AE1261"/>
    <mergeCell ref="AJ1261:AK1261"/>
    <mergeCell ref="AL1261:AM1261"/>
    <mergeCell ref="B1260:C1260"/>
    <mergeCell ref="D1260:E1260"/>
    <mergeCell ref="F1260:G1260"/>
    <mergeCell ref="H1260:I1260"/>
    <mergeCell ref="L1260:M1260"/>
    <mergeCell ref="P1260:Q1260"/>
    <mergeCell ref="R1260:S1260"/>
    <mergeCell ref="T1260:U1260"/>
    <mergeCell ref="V1260:W1260"/>
    <mergeCell ref="X1260:AA1260"/>
    <mergeCell ref="AB1260:AE1260"/>
    <mergeCell ref="AJ1260:AK1260"/>
    <mergeCell ref="AV1260:AW1260"/>
    <mergeCell ref="AV1261:AW1261"/>
    <mergeCell ref="AV1262:AW1262"/>
    <mergeCell ref="AH1260:AI1260"/>
    <mergeCell ref="AR1263:AS1263"/>
    <mergeCell ref="AT1263:AU1263"/>
    <mergeCell ref="AX1263:AZ1263"/>
    <mergeCell ref="BA1263:BB1263"/>
    <mergeCell ref="BD1263:BE1263"/>
    <mergeCell ref="BF1263:BI1263"/>
    <mergeCell ref="BJ1263:BM1263"/>
    <mergeCell ref="BN1263:BV1263"/>
    <mergeCell ref="B1264:C1264"/>
    <mergeCell ref="D1264:E1264"/>
    <mergeCell ref="F1264:G1264"/>
    <mergeCell ref="H1264:I1264"/>
    <mergeCell ref="L1264:M1264"/>
    <mergeCell ref="P1264:Q1264"/>
    <mergeCell ref="R1264:S1264"/>
    <mergeCell ref="T1264:U1264"/>
    <mergeCell ref="V1264:W1264"/>
    <mergeCell ref="X1264:AA1264"/>
    <mergeCell ref="AB1264:AE1264"/>
    <mergeCell ref="AJ1264:AK1264"/>
    <mergeCell ref="AL1264:AM1264"/>
    <mergeCell ref="AN1264:AO1264"/>
    <mergeCell ref="AP1264:AQ1264"/>
    <mergeCell ref="AR1264:AS1264"/>
    <mergeCell ref="AP1262:AQ1262"/>
    <mergeCell ref="AR1262:AS1262"/>
    <mergeCell ref="AT1262:AU1262"/>
    <mergeCell ref="AX1262:AZ1262"/>
    <mergeCell ref="BA1262:BB1262"/>
    <mergeCell ref="BD1262:BE1262"/>
    <mergeCell ref="BF1262:BI1262"/>
    <mergeCell ref="BJ1262:BM1262"/>
    <mergeCell ref="BN1262:BV1262"/>
    <mergeCell ref="B1263:C1263"/>
    <mergeCell ref="D1263:E1263"/>
    <mergeCell ref="F1263:G1263"/>
    <mergeCell ref="H1263:I1263"/>
    <mergeCell ref="L1263:M1263"/>
    <mergeCell ref="P1263:Q1263"/>
    <mergeCell ref="R1263:S1263"/>
    <mergeCell ref="T1263:U1263"/>
    <mergeCell ref="V1263:W1263"/>
    <mergeCell ref="X1263:AA1263"/>
    <mergeCell ref="AB1263:AE1263"/>
    <mergeCell ref="AJ1263:AK1263"/>
    <mergeCell ref="AL1263:AM1263"/>
    <mergeCell ref="AN1263:AO1263"/>
    <mergeCell ref="AP1263:AQ1263"/>
    <mergeCell ref="AV1263:AW1263"/>
    <mergeCell ref="AV1264:AW1264"/>
    <mergeCell ref="AX1265:AZ1265"/>
    <mergeCell ref="BA1265:BB1265"/>
    <mergeCell ref="BD1265:BE1265"/>
    <mergeCell ref="BF1265:BI1265"/>
    <mergeCell ref="BJ1265:BM1265"/>
    <mergeCell ref="BN1265:BV1265"/>
    <mergeCell ref="B1266:C1266"/>
    <mergeCell ref="D1266:E1266"/>
    <mergeCell ref="F1266:G1266"/>
    <mergeCell ref="H1266:I1266"/>
    <mergeCell ref="L1266:M1266"/>
    <mergeCell ref="P1266:Q1266"/>
    <mergeCell ref="R1266:S1266"/>
    <mergeCell ref="T1266:U1266"/>
    <mergeCell ref="V1266:W1266"/>
    <mergeCell ref="X1266:AA1266"/>
    <mergeCell ref="AB1266:AE1266"/>
    <mergeCell ref="AJ1266:AK1266"/>
    <mergeCell ref="AL1266:AM1266"/>
    <mergeCell ref="AN1266:AO1266"/>
    <mergeCell ref="AP1266:AQ1266"/>
    <mergeCell ref="AR1266:AS1266"/>
    <mergeCell ref="AT1266:AU1266"/>
    <mergeCell ref="AX1266:AZ1266"/>
    <mergeCell ref="AT1264:AU1264"/>
    <mergeCell ref="AX1264:AZ1264"/>
    <mergeCell ref="BA1264:BB1264"/>
    <mergeCell ref="BD1264:BE1264"/>
    <mergeCell ref="BF1264:BI1264"/>
    <mergeCell ref="BJ1264:BM1264"/>
    <mergeCell ref="BN1264:BV1264"/>
    <mergeCell ref="B1265:C1265"/>
    <mergeCell ref="D1265:E1265"/>
    <mergeCell ref="F1265:G1265"/>
    <mergeCell ref="H1265:I1265"/>
    <mergeCell ref="L1265:M1265"/>
    <mergeCell ref="P1265:Q1265"/>
    <mergeCell ref="R1265:S1265"/>
    <mergeCell ref="T1265:U1265"/>
    <mergeCell ref="V1265:W1265"/>
    <mergeCell ref="X1265:AA1265"/>
    <mergeCell ref="AB1265:AE1265"/>
    <mergeCell ref="AJ1265:AK1265"/>
    <mergeCell ref="AL1265:AM1265"/>
    <mergeCell ref="AN1265:AO1265"/>
    <mergeCell ref="AP1265:AQ1265"/>
    <mergeCell ref="AR1265:AS1265"/>
    <mergeCell ref="AT1265:AU1265"/>
    <mergeCell ref="AV1265:AW1265"/>
    <mergeCell ref="AV1266:AW1266"/>
    <mergeCell ref="J1264:K1264"/>
    <mergeCell ref="J1265:K1265"/>
    <mergeCell ref="BD1267:BE1267"/>
    <mergeCell ref="BF1267:BI1267"/>
    <mergeCell ref="BJ1267:BM1267"/>
    <mergeCell ref="BN1267:BV1267"/>
    <mergeCell ref="B1268:C1268"/>
    <mergeCell ref="D1268:E1268"/>
    <mergeCell ref="F1268:G1268"/>
    <mergeCell ref="H1268:I1268"/>
    <mergeCell ref="L1268:M1268"/>
    <mergeCell ref="P1268:Q1268"/>
    <mergeCell ref="R1268:S1268"/>
    <mergeCell ref="T1268:U1268"/>
    <mergeCell ref="V1268:W1268"/>
    <mergeCell ref="X1268:AA1268"/>
    <mergeCell ref="AB1268:AE1268"/>
    <mergeCell ref="AJ1268:AK1268"/>
    <mergeCell ref="AL1268:AM1268"/>
    <mergeCell ref="AN1268:AO1268"/>
    <mergeCell ref="AP1268:AQ1268"/>
    <mergeCell ref="AR1268:AS1268"/>
    <mergeCell ref="AT1268:AU1268"/>
    <mergeCell ref="AX1268:AZ1268"/>
    <mergeCell ref="BA1268:BB1268"/>
    <mergeCell ref="BD1268:BE1268"/>
    <mergeCell ref="BA1266:BB1266"/>
    <mergeCell ref="BD1266:BE1266"/>
    <mergeCell ref="BF1266:BI1266"/>
    <mergeCell ref="BJ1266:BM1266"/>
    <mergeCell ref="BN1266:BV1266"/>
    <mergeCell ref="B1267:C1267"/>
    <mergeCell ref="D1267:E1267"/>
    <mergeCell ref="F1267:G1267"/>
    <mergeCell ref="H1267:I1267"/>
    <mergeCell ref="L1267:M1267"/>
    <mergeCell ref="P1267:Q1267"/>
    <mergeCell ref="R1267:S1267"/>
    <mergeCell ref="T1267:U1267"/>
    <mergeCell ref="V1267:W1267"/>
    <mergeCell ref="X1267:AA1267"/>
    <mergeCell ref="AB1267:AE1267"/>
    <mergeCell ref="AJ1267:AK1267"/>
    <mergeCell ref="AL1267:AM1267"/>
    <mergeCell ref="AN1267:AO1267"/>
    <mergeCell ref="AP1267:AQ1267"/>
    <mergeCell ref="AR1267:AS1267"/>
    <mergeCell ref="AT1267:AU1267"/>
    <mergeCell ref="AX1267:AZ1267"/>
    <mergeCell ref="BA1267:BB1267"/>
    <mergeCell ref="AV1267:AW1267"/>
    <mergeCell ref="AV1268:AW1268"/>
    <mergeCell ref="J1266:K1266"/>
    <mergeCell ref="J1267:K1267"/>
    <mergeCell ref="BJ1269:BM1269"/>
    <mergeCell ref="BN1269:BV1269"/>
    <mergeCell ref="B1270:C1270"/>
    <mergeCell ref="D1270:E1270"/>
    <mergeCell ref="F1270:G1270"/>
    <mergeCell ref="H1270:I1270"/>
    <mergeCell ref="L1270:M1270"/>
    <mergeCell ref="P1270:Q1270"/>
    <mergeCell ref="R1270:S1270"/>
    <mergeCell ref="T1270:U1270"/>
    <mergeCell ref="V1270:W1270"/>
    <mergeCell ref="X1270:AA1270"/>
    <mergeCell ref="AB1270:AE1270"/>
    <mergeCell ref="AJ1270:AK1270"/>
    <mergeCell ref="AL1270:AM1270"/>
    <mergeCell ref="AN1270:AO1270"/>
    <mergeCell ref="AP1270:AQ1270"/>
    <mergeCell ref="AR1270:AS1270"/>
    <mergeCell ref="AT1270:AU1270"/>
    <mergeCell ref="AX1270:AZ1270"/>
    <mergeCell ref="BA1270:BB1270"/>
    <mergeCell ref="BD1270:BE1270"/>
    <mergeCell ref="BF1270:BI1270"/>
    <mergeCell ref="BJ1270:BM1270"/>
    <mergeCell ref="BF1268:BI1268"/>
    <mergeCell ref="BJ1268:BM1268"/>
    <mergeCell ref="BN1268:BV1268"/>
    <mergeCell ref="B1269:C1269"/>
    <mergeCell ref="D1269:E1269"/>
    <mergeCell ref="F1269:G1269"/>
    <mergeCell ref="H1269:I1269"/>
    <mergeCell ref="L1269:M1269"/>
    <mergeCell ref="P1269:Q1269"/>
    <mergeCell ref="R1269:S1269"/>
    <mergeCell ref="T1269:U1269"/>
    <mergeCell ref="V1269:W1269"/>
    <mergeCell ref="X1269:AA1269"/>
    <mergeCell ref="AB1269:AE1269"/>
    <mergeCell ref="AJ1269:AK1269"/>
    <mergeCell ref="AL1269:AM1269"/>
    <mergeCell ref="AN1269:AO1269"/>
    <mergeCell ref="AP1269:AQ1269"/>
    <mergeCell ref="AR1269:AS1269"/>
    <mergeCell ref="AT1269:AU1269"/>
    <mergeCell ref="AX1269:AZ1269"/>
    <mergeCell ref="BA1269:BB1269"/>
    <mergeCell ref="BD1269:BE1269"/>
    <mergeCell ref="BF1269:BI1269"/>
    <mergeCell ref="AV1269:AW1269"/>
    <mergeCell ref="AV1270:AW1270"/>
    <mergeCell ref="J1268:K1268"/>
    <mergeCell ref="J1269:K1269"/>
    <mergeCell ref="BN1271:BV1271"/>
    <mergeCell ref="B1272:C1272"/>
    <mergeCell ref="D1272:E1272"/>
    <mergeCell ref="F1272:G1272"/>
    <mergeCell ref="H1272:I1272"/>
    <mergeCell ref="L1272:M1272"/>
    <mergeCell ref="P1272:Q1272"/>
    <mergeCell ref="R1272:S1272"/>
    <mergeCell ref="T1272:U1272"/>
    <mergeCell ref="V1272:W1272"/>
    <mergeCell ref="X1272:AA1272"/>
    <mergeCell ref="AB1272:AE1272"/>
    <mergeCell ref="AJ1272:AK1272"/>
    <mergeCell ref="AL1272:AM1272"/>
    <mergeCell ref="AN1272:AO1272"/>
    <mergeCell ref="AP1272:AQ1272"/>
    <mergeCell ref="AR1272:AS1272"/>
    <mergeCell ref="AT1272:AU1272"/>
    <mergeCell ref="AX1272:AZ1272"/>
    <mergeCell ref="BA1272:BB1272"/>
    <mergeCell ref="BD1272:BE1272"/>
    <mergeCell ref="BF1272:BI1272"/>
    <mergeCell ref="BJ1272:BM1272"/>
    <mergeCell ref="BN1270:BV1270"/>
    <mergeCell ref="B1271:C1271"/>
    <mergeCell ref="D1271:E1271"/>
    <mergeCell ref="F1271:G1271"/>
    <mergeCell ref="H1271:I1271"/>
    <mergeCell ref="L1271:M1271"/>
    <mergeCell ref="P1271:Q1271"/>
    <mergeCell ref="R1271:S1271"/>
    <mergeCell ref="T1271:U1271"/>
    <mergeCell ref="V1271:W1271"/>
    <mergeCell ref="X1271:AA1271"/>
    <mergeCell ref="AB1271:AE1271"/>
    <mergeCell ref="AJ1271:AK1271"/>
    <mergeCell ref="AL1271:AM1271"/>
    <mergeCell ref="AN1271:AO1271"/>
    <mergeCell ref="AP1271:AQ1271"/>
    <mergeCell ref="AR1271:AS1271"/>
    <mergeCell ref="AT1271:AU1271"/>
    <mergeCell ref="AX1271:AZ1271"/>
    <mergeCell ref="BA1271:BB1271"/>
    <mergeCell ref="BD1271:BE1271"/>
    <mergeCell ref="BF1271:BI1271"/>
    <mergeCell ref="BJ1271:BM1271"/>
    <mergeCell ref="AV1271:AW1271"/>
    <mergeCell ref="AV1272:AW1272"/>
    <mergeCell ref="J1270:K1270"/>
    <mergeCell ref="J1271:K1271"/>
    <mergeCell ref="BN1273:BV1273"/>
    <mergeCell ref="B1274:C1274"/>
    <mergeCell ref="D1274:E1274"/>
    <mergeCell ref="F1274:G1274"/>
    <mergeCell ref="H1274:I1274"/>
    <mergeCell ref="L1274:M1274"/>
    <mergeCell ref="P1274:Q1274"/>
    <mergeCell ref="R1274:S1274"/>
    <mergeCell ref="T1274:U1274"/>
    <mergeCell ref="V1274:W1274"/>
    <mergeCell ref="X1274:AA1274"/>
    <mergeCell ref="AB1274:AE1274"/>
    <mergeCell ref="AJ1274:AK1274"/>
    <mergeCell ref="AL1274:AM1274"/>
    <mergeCell ref="AN1274:AO1274"/>
    <mergeCell ref="AP1274:AQ1274"/>
    <mergeCell ref="AR1274:AS1274"/>
    <mergeCell ref="AT1274:AU1274"/>
    <mergeCell ref="AX1274:AZ1274"/>
    <mergeCell ref="BA1274:BB1274"/>
    <mergeCell ref="BD1274:BE1274"/>
    <mergeCell ref="BF1274:BI1274"/>
    <mergeCell ref="BJ1274:BM1274"/>
    <mergeCell ref="BN1274:BV1274"/>
    <mergeCell ref="BN1272:BV1272"/>
    <mergeCell ref="B1273:C1273"/>
    <mergeCell ref="D1273:E1273"/>
    <mergeCell ref="F1273:G1273"/>
    <mergeCell ref="H1273:I1273"/>
    <mergeCell ref="L1273:M1273"/>
    <mergeCell ref="P1273:Q1273"/>
    <mergeCell ref="R1273:S1273"/>
    <mergeCell ref="T1273:U1273"/>
    <mergeCell ref="V1273:W1273"/>
    <mergeCell ref="X1273:AA1273"/>
    <mergeCell ref="AB1273:AE1273"/>
    <mergeCell ref="AJ1273:AK1273"/>
    <mergeCell ref="AL1273:AM1273"/>
    <mergeCell ref="AN1273:AO1273"/>
    <mergeCell ref="AP1273:AQ1273"/>
    <mergeCell ref="AR1273:AS1273"/>
    <mergeCell ref="AT1273:AU1273"/>
    <mergeCell ref="AX1273:AZ1273"/>
    <mergeCell ref="BA1273:BB1273"/>
    <mergeCell ref="BD1273:BE1273"/>
    <mergeCell ref="BF1273:BI1273"/>
    <mergeCell ref="BJ1273:BM1273"/>
    <mergeCell ref="AV1273:AW1273"/>
    <mergeCell ref="AV1274:AW1274"/>
    <mergeCell ref="J1272:K1272"/>
    <mergeCell ref="J1273:K1273"/>
    <mergeCell ref="J1274:K1274"/>
    <mergeCell ref="AN1276:AO1276"/>
    <mergeCell ref="AP1276:AQ1276"/>
    <mergeCell ref="AR1276:AS1276"/>
    <mergeCell ref="AT1276:AU1276"/>
    <mergeCell ref="AX1276:AZ1276"/>
    <mergeCell ref="BA1276:BB1276"/>
    <mergeCell ref="BD1276:BE1276"/>
    <mergeCell ref="BF1276:BI1276"/>
    <mergeCell ref="BJ1276:BM1276"/>
    <mergeCell ref="BN1276:BV1276"/>
    <mergeCell ref="B1277:C1277"/>
    <mergeCell ref="D1277:E1277"/>
    <mergeCell ref="F1277:G1277"/>
    <mergeCell ref="H1277:I1277"/>
    <mergeCell ref="L1277:M1277"/>
    <mergeCell ref="P1277:Q1277"/>
    <mergeCell ref="R1277:S1277"/>
    <mergeCell ref="T1277:U1277"/>
    <mergeCell ref="V1277:W1277"/>
    <mergeCell ref="X1277:AA1277"/>
    <mergeCell ref="AB1277:AE1277"/>
    <mergeCell ref="AJ1277:AK1277"/>
    <mergeCell ref="AL1277:AM1277"/>
    <mergeCell ref="AN1277:AO1277"/>
    <mergeCell ref="AL1275:AM1275"/>
    <mergeCell ref="AN1275:AO1275"/>
    <mergeCell ref="AP1275:AQ1275"/>
    <mergeCell ref="AR1275:AS1275"/>
    <mergeCell ref="AT1275:AU1275"/>
    <mergeCell ref="AX1275:AZ1275"/>
    <mergeCell ref="BA1275:BB1275"/>
    <mergeCell ref="BD1275:BE1275"/>
    <mergeCell ref="BF1275:BI1275"/>
    <mergeCell ref="BJ1275:BM1275"/>
    <mergeCell ref="BN1275:BV1275"/>
    <mergeCell ref="B1276:C1276"/>
    <mergeCell ref="D1276:E1276"/>
    <mergeCell ref="F1276:G1276"/>
    <mergeCell ref="H1276:I1276"/>
    <mergeCell ref="L1276:M1276"/>
    <mergeCell ref="P1276:Q1276"/>
    <mergeCell ref="R1276:S1276"/>
    <mergeCell ref="T1276:U1276"/>
    <mergeCell ref="V1276:W1276"/>
    <mergeCell ref="X1276:AA1276"/>
    <mergeCell ref="AB1276:AE1276"/>
    <mergeCell ref="AJ1276:AK1276"/>
    <mergeCell ref="AL1276:AM1276"/>
    <mergeCell ref="B1275:C1275"/>
    <mergeCell ref="D1275:E1275"/>
    <mergeCell ref="F1275:G1275"/>
    <mergeCell ref="H1275:I1275"/>
    <mergeCell ref="L1275:M1275"/>
    <mergeCell ref="P1275:Q1275"/>
    <mergeCell ref="R1275:S1275"/>
    <mergeCell ref="T1275:U1275"/>
    <mergeCell ref="V1275:W1275"/>
    <mergeCell ref="X1275:AA1275"/>
    <mergeCell ref="AB1275:AE1275"/>
    <mergeCell ref="AJ1275:AK1275"/>
    <mergeCell ref="AV1275:AW1275"/>
    <mergeCell ref="AV1276:AW1276"/>
    <mergeCell ref="AV1277:AW1277"/>
    <mergeCell ref="J1275:K1275"/>
    <mergeCell ref="AR1278:AS1278"/>
    <mergeCell ref="AT1278:AU1278"/>
    <mergeCell ref="AX1278:AZ1278"/>
    <mergeCell ref="BA1278:BB1278"/>
    <mergeCell ref="BD1278:BE1278"/>
    <mergeCell ref="BF1278:BI1278"/>
    <mergeCell ref="BJ1278:BM1278"/>
    <mergeCell ref="BN1278:BV1278"/>
    <mergeCell ref="B1279:C1279"/>
    <mergeCell ref="D1279:E1279"/>
    <mergeCell ref="F1279:G1279"/>
    <mergeCell ref="H1279:I1279"/>
    <mergeCell ref="L1279:M1279"/>
    <mergeCell ref="P1279:Q1279"/>
    <mergeCell ref="R1279:S1279"/>
    <mergeCell ref="T1279:U1279"/>
    <mergeCell ref="V1279:W1279"/>
    <mergeCell ref="X1279:AA1279"/>
    <mergeCell ref="AB1279:AE1279"/>
    <mergeCell ref="AJ1279:AK1279"/>
    <mergeCell ref="AL1279:AM1279"/>
    <mergeCell ref="AN1279:AO1279"/>
    <mergeCell ref="AP1279:AQ1279"/>
    <mergeCell ref="AR1279:AS1279"/>
    <mergeCell ref="AP1277:AQ1277"/>
    <mergeCell ref="AR1277:AS1277"/>
    <mergeCell ref="AT1277:AU1277"/>
    <mergeCell ref="AX1277:AZ1277"/>
    <mergeCell ref="BA1277:BB1277"/>
    <mergeCell ref="BD1277:BE1277"/>
    <mergeCell ref="BF1277:BI1277"/>
    <mergeCell ref="BJ1277:BM1277"/>
    <mergeCell ref="BN1277:BV1277"/>
    <mergeCell ref="B1278:C1278"/>
    <mergeCell ref="D1278:E1278"/>
    <mergeCell ref="F1278:G1278"/>
    <mergeCell ref="H1278:I1278"/>
    <mergeCell ref="L1278:M1278"/>
    <mergeCell ref="P1278:Q1278"/>
    <mergeCell ref="R1278:S1278"/>
    <mergeCell ref="T1278:U1278"/>
    <mergeCell ref="V1278:W1278"/>
    <mergeCell ref="X1278:AA1278"/>
    <mergeCell ref="AB1278:AE1278"/>
    <mergeCell ref="AJ1278:AK1278"/>
    <mergeCell ref="AL1278:AM1278"/>
    <mergeCell ref="AN1278:AO1278"/>
    <mergeCell ref="AP1278:AQ1278"/>
    <mergeCell ref="AV1278:AW1278"/>
    <mergeCell ref="AV1279:AW1279"/>
    <mergeCell ref="AF1279:AG1279"/>
    <mergeCell ref="AX1280:AZ1280"/>
    <mergeCell ref="BA1280:BB1280"/>
    <mergeCell ref="BD1280:BE1280"/>
    <mergeCell ref="BF1280:BI1280"/>
    <mergeCell ref="BJ1280:BM1280"/>
    <mergeCell ref="BN1280:BV1280"/>
    <mergeCell ref="B1281:C1281"/>
    <mergeCell ref="D1281:E1281"/>
    <mergeCell ref="F1281:G1281"/>
    <mergeCell ref="H1281:I1281"/>
    <mergeCell ref="L1281:M1281"/>
    <mergeCell ref="P1281:Q1281"/>
    <mergeCell ref="R1281:S1281"/>
    <mergeCell ref="T1281:U1281"/>
    <mergeCell ref="V1281:W1281"/>
    <mergeCell ref="X1281:AA1281"/>
    <mergeCell ref="AB1281:AE1281"/>
    <mergeCell ref="AJ1281:AK1281"/>
    <mergeCell ref="AL1281:AM1281"/>
    <mergeCell ref="AN1281:AO1281"/>
    <mergeCell ref="AP1281:AQ1281"/>
    <mergeCell ref="AR1281:AS1281"/>
    <mergeCell ref="AT1281:AU1281"/>
    <mergeCell ref="AX1281:AZ1281"/>
    <mergeCell ref="AT1279:AU1279"/>
    <mergeCell ref="AX1279:AZ1279"/>
    <mergeCell ref="BA1279:BB1279"/>
    <mergeCell ref="BD1279:BE1279"/>
    <mergeCell ref="BF1279:BI1279"/>
    <mergeCell ref="BJ1279:BM1279"/>
    <mergeCell ref="BN1279:BV1279"/>
    <mergeCell ref="B1280:C1280"/>
    <mergeCell ref="D1280:E1280"/>
    <mergeCell ref="F1280:G1280"/>
    <mergeCell ref="H1280:I1280"/>
    <mergeCell ref="L1280:M1280"/>
    <mergeCell ref="P1280:Q1280"/>
    <mergeCell ref="R1280:S1280"/>
    <mergeCell ref="T1280:U1280"/>
    <mergeCell ref="V1280:W1280"/>
    <mergeCell ref="X1280:AA1280"/>
    <mergeCell ref="AB1280:AE1280"/>
    <mergeCell ref="AJ1280:AK1280"/>
    <mergeCell ref="AL1280:AM1280"/>
    <mergeCell ref="AN1280:AO1280"/>
    <mergeCell ref="AP1280:AQ1280"/>
    <mergeCell ref="AR1280:AS1280"/>
    <mergeCell ref="AT1280:AU1280"/>
    <mergeCell ref="AV1280:AW1280"/>
    <mergeCell ref="AV1281:AW1281"/>
    <mergeCell ref="AF1280:AG1280"/>
    <mergeCell ref="AF1281:AG1281"/>
    <mergeCell ref="BD1282:BE1282"/>
    <mergeCell ref="BF1282:BI1282"/>
    <mergeCell ref="BJ1282:BM1282"/>
    <mergeCell ref="BN1282:BV1282"/>
    <mergeCell ref="B1283:C1283"/>
    <mergeCell ref="D1283:E1283"/>
    <mergeCell ref="F1283:G1283"/>
    <mergeCell ref="H1283:I1283"/>
    <mergeCell ref="L1283:M1283"/>
    <mergeCell ref="P1283:Q1283"/>
    <mergeCell ref="R1283:S1283"/>
    <mergeCell ref="T1283:U1283"/>
    <mergeCell ref="V1283:W1283"/>
    <mergeCell ref="X1283:AA1283"/>
    <mergeCell ref="AB1283:AE1283"/>
    <mergeCell ref="AJ1283:AK1283"/>
    <mergeCell ref="AL1283:AM1283"/>
    <mergeCell ref="AN1283:AO1283"/>
    <mergeCell ref="AP1283:AQ1283"/>
    <mergeCell ref="AR1283:AS1283"/>
    <mergeCell ref="AT1283:AU1283"/>
    <mergeCell ref="AX1283:AZ1283"/>
    <mergeCell ref="BA1283:BB1283"/>
    <mergeCell ref="BD1283:BE1283"/>
    <mergeCell ref="BA1281:BB1281"/>
    <mergeCell ref="BD1281:BE1281"/>
    <mergeCell ref="BF1281:BI1281"/>
    <mergeCell ref="BJ1281:BM1281"/>
    <mergeCell ref="BN1281:BV1281"/>
    <mergeCell ref="B1282:C1282"/>
    <mergeCell ref="D1282:E1282"/>
    <mergeCell ref="F1282:G1282"/>
    <mergeCell ref="H1282:I1282"/>
    <mergeCell ref="L1282:M1282"/>
    <mergeCell ref="P1282:Q1282"/>
    <mergeCell ref="R1282:S1282"/>
    <mergeCell ref="T1282:U1282"/>
    <mergeCell ref="V1282:W1282"/>
    <mergeCell ref="X1282:AA1282"/>
    <mergeCell ref="AB1282:AE1282"/>
    <mergeCell ref="AJ1282:AK1282"/>
    <mergeCell ref="AL1282:AM1282"/>
    <mergeCell ref="AN1282:AO1282"/>
    <mergeCell ref="AP1282:AQ1282"/>
    <mergeCell ref="AR1282:AS1282"/>
    <mergeCell ref="AT1282:AU1282"/>
    <mergeCell ref="AX1282:AZ1282"/>
    <mergeCell ref="BA1282:BB1282"/>
    <mergeCell ref="AV1282:AW1282"/>
    <mergeCell ref="AV1283:AW1283"/>
    <mergeCell ref="AF1282:AG1282"/>
    <mergeCell ref="AF1283:AG1283"/>
    <mergeCell ref="BJ1284:BM1284"/>
    <mergeCell ref="BN1284:BV1284"/>
    <mergeCell ref="B1285:C1285"/>
    <mergeCell ref="D1285:E1285"/>
    <mergeCell ref="F1285:G1285"/>
    <mergeCell ref="H1285:I1285"/>
    <mergeCell ref="L1285:M1285"/>
    <mergeCell ref="P1285:Q1285"/>
    <mergeCell ref="R1285:S1285"/>
    <mergeCell ref="T1285:U1285"/>
    <mergeCell ref="V1285:W1285"/>
    <mergeCell ref="X1285:AA1285"/>
    <mergeCell ref="AB1285:AE1285"/>
    <mergeCell ref="AJ1285:AK1285"/>
    <mergeCell ref="AL1285:AM1285"/>
    <mergeCell ref="AN1285:AO1285"/>
    <mergeCell ref="AP1285:AQ1285"/>
    <mergeCell ref="AR1285:AS1285"/>
    <mergeCell ref="AT1285:AU1285"/>
    <mergeCell ref="AX1285:AZ1285"/>
    <mergeCell ref="BA1285:BB1285"/>
    <mergeCell ref="BD1285:BE1285"/>
    <mergeCell ref="BF1285:BI1285"/>
    <mergeCell ref="BJ1285:BM1285"/>
    <mergeCell ref="BF1283:BI1283"/>
    <mergeCell ref="BJ1283:BM1283"/>
    <mergeCell ref="BN1283:BV1283"/>
    <mergeCell ref="B1284:C1284"/>
    <mergeCell ref="D1284:E1284"/>
    <mergeCell ref="F1284:G1284"/>
    <mergeCell ref="H1284:I1284"/>
    <mergeCell ref="L1284:M1284"/>
    <mergeCell ref="P1284:Q1284"/>
    <mergeCell ref="R1284:S1284"/>
    <mergeCell ref="T1284:U1284"/>
    <mergeCell ref="V1284:W1284"/>
    <mergeCell ref="X1284:AA1284"/>
    <mergeCell ref="AB1284:AE1284"/>
    <mergeCell ref="AJ1284:AK1284"/>
    <mergeCell ref="AL1284:AM1284"/>
    <mergeCell ref="AN1284:AO1284"/>
    <mergeCell ref="AP1284:AQ1284"/>
    <mergeCell ref="AR1284:AS1284"/>
    <mergeCell ref="AT1284:AU1284"/>
    <mergeCell ref="AX1284:AZ1284"/>
    <mergeCell ref="BA1284:BB1284"/>
    <mergeCell ref="BD1284:BE1284"/>
    <mergeCell ref="BF1284:BI1284"/>
    <mergeCell ref="AV1284:AW1284"/>
    <mergeCell ref="AV1285:AW1285"/>
    <mergeCell ref="AF1284:AG1284"/>
    <mergeCell ref="AF1285:AG1285"/>
    <mergeCell ref="BN1286:BV1286"/>
    <mergeCell ref="B1287:C1287"/>
    <mergeCell ref="D1287:E1287"/>
    <mergeCell ref="F1287:G1287"/>
    <mergeCell ref="H1287:I1287"/>
    <mergeCell ref="L1287:M1287"/>
    <mergeCell ref="P1287:Q1287"/>
    <mergeCell ref="R1287:S1287"/>
    <mergeCell ref="T1287:U1287"/>
    <mergeCell ref="V1287:W1287"/>
    <mergeCell ref="X1287:AA1287"/>
    <mergeCell ref="AB1287:AE1287"/>
    <mergeCell ref="AJ1287:AK1287"/>
    <mergeCell ref="AL1287:AM1287"/>
    <mergeCell ref="AN1287:AO1287"/>
    <mergeCell ref="AP1287:AQ1287"/>
    <mergeCell ref="AR1287:AS1287"/>
    <mergeCell ref="AT1287:AU1287"/>
    <mergeCell ref="AX1287:AZ1287"/>
    <mergeCell ref="BA1287:BB1287"/>
    <mergeCell ref="BD1287:BE1287"/>
    <mergeCell ref="BF1287:BI1287"/>
    <mergeCell ref="BJ1287:BM1287"/>
    <mergeCell ref="BN1285:BV1285"/>
    <mergeCell ref="B1286:C1286"/>
    <mergeCell ref="D1286:E1286"/>
    <mergeCell ref="F1286:G1286"/>
    <mergeCell ref="H1286:I1286"/>
    <mergeCell ref="L1286:M1286"/>
    <mergeCell ref="P1286:Q1286"/>
    <mergeCell ref="R1286:S1286"/>
    <mergeCell ref="T1286:U1286"/>
    <mergeCell ref="V1286:W1286"/>
    <mergeCell ref="X1286:AA1286"/>
    <mergeCell ref="AB1286:AE1286"/>
    <mergeCell ref="AJ1286:AK1286"/>
    <mergeCell ref="AL1286:AM1286"/>
    <mergeCell ref="AN1286:AO1286"/>
    <mergeCell ref="AP1286:AQ1286"/>
    <mergeCell ref="AR1286:AS1286"/>
    <mergeCell ref="AT1286:AU1286"/>
    <mergeCell ref="AX1286:AZ1286"/>
    <mergeCell ref="BA1286:BB1286"/>
    <mergeCell ref="BD1286:BE1286"/>
    <mergeCell ref="BF1286:BI1286"/>
    <mergeCell ref="BJ1286:BM1286"/>
    <mergeCell ref="AV1286:AW1286"/>
    <mergeCell ref="AV1287:AW1287"/>
    <mergeCell ref="AF1286:AG1286"/>
    <mergeCell ref="AF1287:AG1287"/>
    <mergeCell ref="BN1288:BV1288"/>
    <mergeCell ref="B1289:C1289"/>
    <mergeCell ref="D1289:E1289"/>
    <mergeCell ref="F1289:G1289"/>
    <mergeCell ref="H1289:I1289"/>
    <mergeCell ref="L1289:M1289"/>
    <mergeCell ref="P1289:Q1289"/>
    <mergeCell ref="R1289:S1289"/>
    <mergeCell ref="T1289:U1289"/>
    <mergeCell ref="V1289:W1289"/>
    <mergeCell ref="X1289:AA1289"/>
    <mergeCell ref="AB1289:AE1289"/>
    <mergeCell ref="AJ1289:AK1289"/>
    <mergeCell ref="AL1289:AM1289"/>
    <mergeCell ref="AN1289:AO1289"/>
    <mergeCell ref="AP1289:AQ1289"/>
    <mergeCell ref="AR1289:AS1289"/>
    <mergeCell ref="AT1289:AU1289"/>
    <mergeCell ref="AX1289:AZ1289"/>
    <mergeCell ref="BA1289:BB1289"/>
    <mergeCell ref="BD1289:BE1289"/>
    <mergeCell ref="BF1289:BI1289"/>
    <mergeCell ref="BJ1289:BM1289"/>
    <mergeCell ref="BN1289:BV1289"/>
    <mergeCell ref="BN1287:BV1287"/>
    <mergeCell ref="B1288:C1288"/>
    <mergeCell ref="D1288:E1288"/>
    <mergeCell ref="F1288:G1288"/>
    <mergeCell ref="H1288:I1288"/>
    <mergeCell ref="L1288:M1288"/>
    <mergeCell ref="P1288:Q1288"/>
    <mergeCell ref="R1288:S1288"/>
    <mergeCell ref="T1288:U1288"/>
    <mergeCell ref="V1288:W1288"/>
    <mergeCell ref="X1288:AA1288"/>
    <mergeCell ref="AB1288:AE1288"/>
    <mergeCell ref="AJ1288:AK1288"/>
    <mergeCell ref="AL1288:AM1288"/>
    <mergeCell ref="AN1288:AO1288"/>
    <mergeCell ref="AP1288:AQ1288"/>
    <mergeCell ref="AR1288:AS1288"/>
    <mergeCell ref="AT1288:AU1288"/>
    <mergeCell ref="AX1288:AZ1288"/>
    <mergeCell ref="BA1288:BB1288"/>
    <mergeCell ref="BD1288:BE1288"/>
    <mergeCell ref="BF1288:BI1288"/>
    <mergeCell ref="BJ1288:BM1288"/>
    <mergeCell ref="AV1288:AW1288"/>
    <mergeCell ref="AV1289:AW1289"/>
    <mergeCell ref="AF1288:AG1288"/>
    <mergeCell ref="AF1289:AG1289"/>
    <mergeCell ref="AN1291:AO1291"/>
    <mergeCell ref="AP1291:AQ1291"/>
    <mergeCell ref="AR1291:AS1291"/>
    <mergeCell ref="AT1291:AU1291"/>
    <mergeCell ref="AX1291:AZ1291"/>
    <mergeCell ref="BA1291:BB1291"/>
    <mergeCell ref="BD1291:BE1291"/>
    <mergeCell ref="BF1291:BI1291"/>
    <mergeCell ref="BJ1291:BM1291"/>
    <mergeCell ref="BN1291:BV1291"/>
    <mergeCell ref="B1292:C1292"/>
    <mergeCell ref="D1292:E1292"/>
    <mergeCell ref="F1292:G1292"/>
    <mergeCell ref="H1292:I1292"/>
    <mergeCell ref="L1292:M1292"/>
    <mergeCell ref="P1292:Q1292"/>
    <mergeCell ref="R1292:S1292"/>
    <mergeCell ref="T1292:U1292"/>
    <mergeCell ref="V1292:W1292"/>
    <mergeCell ref="X1292:AA1292"/>
    <mergeCell ref="AB1292:AE1292"/>
    <mergeCell ref="AJ1292:AK1292"/>
    <mergeCell ref="AL1292:AM1292"/>
    <mergeCell ref="AN1292:AO1292"/>
    <mergeCell ref="AL1290:AM1290"/>
    <mergeCell ref="AN1290:AO1290"/>
    <mergeCell ref="AP1290:AQ1290"/>
    <mergeCell ref="AR1290:AS1290"/>
    <mergeCell ref="AT1290:AU1290"/>
    <mergeCell ref="AX1290:AZ1290"/>
    <mergeCell ref="BA1290:BB1290"/>
    <mergeCell ref="BD1290:BE1290"/>
    <mergeCell ref="BF1290:BI1290"/>
    <mergeCell ref="BJ1290:BM1290"/>
    <mergeCell ref="BN1290:BV1290"/>
    <mergeCell ref="B1291:C1291"/>
    <mergeCell ref="D1291:E1291"/>
    <mergeCell ref="F1291:G1291"/>
    <mergeCell ref="H1291:I1291"/>
    <mergeCell ref="L1291:M1291"/>
    <mergeCell ref="P1291:Q1291"/>
    <mergeCell ref="R1291:S1291"/>
    <mergeCell ref="T1291:U1291"/>
    <mergeCell ref="V1291:W1291"/>
    <mergeCell ref="X1291:AA1291"/>
    <mergeCell ref="AB1291:AE1291"/>
    <mergeCell ref="AJ1291:AK1291"/>
    <mergeCell ref="AL1291:AM1291"/>
    <mergeCell ref="B1290:C1290"/>
    <mergeCell ref="D1290:E1290"/>
    <mergeCell ref="F1290:G1290"/>
    <mergeCell ref="H1290:I1290"/>
    <mergeCell ref="L1290:M1290"/>
    <mergeCell ref="P1290:Q1290"/>
    <mergeCell ref="R1290:S1290"/>
    <mergeCell ref="T1290:U1290"/>
    <mergeCell ref="V1290:W1290"/>
    <mergeCell ref="X1290:AA1290"/>
    <mergeCell ref="AB1290:AE1290"/>
    <mergeCell ref="AJ1290:AK1290"/>
    <mergeCell ref="AV1290:AW1290"/>
    <mergeCell ref="AV1291:AW1291"/>
    <mergeCell ref="AV1292:AW1292"/>
    <mergeCell ref="AF1290:AG1290"/>
    <mergeCell ref="AR1293:AS1293"/>
    <mergeCell ref="AT1293:AU1293"/>
    <mergeCell ref="AX1293:AZ1293"/>
    <mergeCell ref="BA1293:BB1293"/>
    <mergeCell ref="BD1293:BE1293"/>
    <mergeCell ref="BF1293:BI1293"/>
    <mergeCell ref="BJ1293:BM1293"/>
    <mergeCell ref="BN1293:BV1293"/>
    <mergeCell ref="B1294:C1294"/>
    <mergeCell ref="D1294:E1294"/>
    <mergeCell ref="F1294:G1294"/>
    <mergeCell ref="H1294:I1294"/>
    <mergeCell ref="L1294:M1294"/>
    <mergeCell ref="P1294:Q1294"/>
    <mergeCell ref="R1294:S1294"/>
    <mergeCell ref="T1294:U1294"/>
    <mergeCell ref="V1294:W1294"/>
    <mergeCell ref="X1294:AA1294"/>
    <mergeCell ref="AB1294:AE1294"/>
    <mergeCell ref="AJ1294:AK1294"/>
    <mergeCell ref="AL1294:AM1294"/>
    <mergeCell ref="AN1294:AO1294"/>
    <mergeCell ref="AP1294:AQ1294"/>
    <mergeCell ref="AR1294:AS1294"/>
    <mergeCell ref="AP1292:AQ1292"/>
    <mergeCell ref="AR1292:AS1292"/>
    <mergeCell ref="AT1292:AU1292"/>
    <mergeCell ref="AX1292:AZ1292"/>
    <mergeCell ref="BA1292:BB1292"/>
    <mergeCell ref="BD1292:BE1292"/>
    <mergeCell ref="BF1292:BI1292"/>
    <mergeCell ref="BJ1292:BM1292"/>
    <mergeCell ref="BN1292:BV1292"/>
    <mergeCell ref="B1293:C1293"/>
    <mergeCell ref="D1293:E1293"/>
    <mergeCell ref="F1293:G1293"/>
    <mergeCell ref="H1293:I1293"/>
    <mergeCell ref="L1293:M1293"/>
    <mergeCell ref="P1293:Q1293"/>
    <mergeCell ref="R1293:S1293"/>
    <mergeCell ref="T1293:U1293"/>
    <mergeCell ref="V1293:W1293"/>
    <mergeCell ref="X1293:AA1293"/>
    <mergeCell ref="AB1293:AE1293"/>
    <mergeCell ref="AJ1293:AK1293"/>
    <mergeCell ref="AL1293:AM1293"/>
    <mergeCell ref="AN1293:AO1293"/>
    <mergeCell ref="AP1293:AQ1293"/>
    <mergeCell ref="AV1293:AW1293"/>
    <mergeCell ref="AV1294:AW1294"/>
    <mergeCell ref="AX1295:AZ1295"/>
    <mergeCell ref="BA1295:BB1295"/>
    <mergeCell ref="BD1295:BE1295"/>
    <mergeCell ref="BF1295:BI1295"/>
    <mergeCell ref="BJ1295:BM1295"/>
    <mergeCell ref="BN1295:BV1295"/>
    <mergeCell ref="B1296:C1296"/>
    <mergeCell ref="D1296:E1296"/>
    <mergeCell ref="F1296:G1296"/>
    <mergeCell ref="H1296:I1296"/>
    <mergeCell ref="L1296:M1296"/>
    <mergeCell ref="P1296:Q1296"/>
    <mergeCell ref="R1296:S1296"/>
    <mergeCell ref="T1296:U1296"/>
    <mergeCell ref="V1296:W1296"/>
    <mergeCell ref="X1296:AA1296"/>
    <mergeCell ref="AB1296:AE1296"/>
    <mergeCell ref="AJ1296:AK1296"/>
    <mergeCell ref="AL1296:AM1296"/>
    <mergeCell ref="AN1296:AO1296"/>
    <mergeCell ref="AP1296:AQ1296"/>
    <mergeCell ref="AR1296:AS1296"/>
    <mergeCell ref="AT1296:AU1296"/>
    <mergeCell ref="AX1296:AZ1296"/>
    <mergeCell ref="AT1294:AU1294"/>
    <mergeCell ref="AX1294:AZ1294"/>
    <mergeCell ref="BA1294:BB1294"/>
    <mergeCell ref="BD1294:BE1294"/>
    <mergeCell ref="BF1294:BI1294"/>
    <mergeCell ref="BJ1294:BM1294"/>
    <mergeCell ref="BN1294:BV1294"/>
    <mergeCell ref="B1295:C1295"/>
    <mergeCell ref="D1295:E1295"/>
    <mergeCell ref="F1295:G1295"/>
    <mergeCell ref="H1295:I1295"/>
    <mergeCell ref="L1295:M1295"/>
    <mergeCell ref="P1295:Q1295"/>
    <mergeCell ref="R1295:S1295"/>
    <mergeCell ref="T1295:U1295"/>
    <mergeCell ref="V1295:W1295"/>
    <mergeCell ref="X1295:AA1295"/>
    <mergeCell ref="AB1295:AE1295"/>
    <mergeCell ref="AJ1295:AK1295"/>
    <mergeCell ref="AL1295:AM1295"/>
    <mergeCell ref="AN1295:AO1295"/>
    <mergeCell ref="AP1295:AQ1295"/>
    <mergeCell ref="AR1295:AS1295"/>
    <mergeCell ref="AT1295:AU1295"/>
    <mergeCell ref="AV1295:AW1295"/>
    <mergeCell ref="AV1296:AW1296"/>
    <mergeCell ref="AH1294:AI1294"/>
    <mergeCell ref="AH1295:AI1295"/>
    <mergeCell ref="BD1297:BE1297"/>
    <mergeCell ref="BF1297:BI1297"/>
    <mergeCell ref="BJ1297:BM1297"/>
    <mergeCell ref="BN1297:BV1297"/>
    <mergeCell ref="B1298:C1298"/>
    <mergeCell ref="D1298:E1298"/>
    <mergeCell ref="F1298:G1298"/>
    <mergeCell ref="H1298:I1298"/>
    <mergeCell ref="L1298:M1298"/>
    <mergeCell ref="P1298:Q1298"/>
    <mergeCell ref="R1298:S1298"/>
    <mergeCell ref="T1298:U1298"/>
    <mergeCell ref="V1298:W1298"/>
    <mergeCell ref="X1298:AA1298"/>
    <mergeCell ref="AB1298:AE1298"/>
    <mergeCell ref="AJ1298:AK1298"/>
    <mergeCell ref="AL1298:AM1298"/>
    <mergeCell ref="AN1298:AO1298"/>
    <mergeCell ref="AP1298:AQ1298"/>
    <mergeCell ref="AR1298:AS1298"/>
    <mergeCell ref="AT1298:AU1298"/>
    <mergeCell ref="AX1298:AZ1298"/>
    <mergeCell ref="BA1298:BB1298"/>
    <mergeCell ref="BD1298:BE1298"/>
    <mergeCell ref="BA1296:BB1296"/>
    <mergeCell ref="BD1296:BE1296"/>
    <mergeCell ref="BF1296:BI1296"/>
    <mergeCell ref="BJ1296:BM1296"/>
    <mergeCell ref="BN1296:BV1296"/>
    <mergeCell ref="B1297:C1297"/>
    <mergeCell ref="D1297:E1297"/>
    <mergeCell ref="F1297:G1297"/>
    <mergeCell ref="H1297:I1297"/>
    <mergeCell ref="L1297:M1297"/>
    <mergeCell ref="P1297:Q1297"/>
    <mergeCell ref="R1297:S1297"/>
    <mergeCell ref="T1297:U1297"/>
    <mergeCell ref="V1297:W1297"/>
    <mergeCell ref="X1297:AA1297"/>
    <mergeCell ref="AB1297:AE1297"/>
    <mergeCell ref="AJ1297:AK1297"/>
    <mergeCell ref="AL1297:AM1297"/>
    <mergeCell ref="AN1297:AO1297"/>
    <mergeCell ref="AP1297:AQ1297"/>
    <mergeCell ref="AR1297:AS1297"/>
    <mergeCell ref="AT1297:AU1297"/>
    <mergeCell ref="AX1297:AZ1297"/>
    <mergeCell ref="BA1297:BB1297"/>
    <mergeCell ref="AV1297:AW1297"/>
    <mergeCell ref="AV1298:AW1298"/>
    <mergeCell ref="AH1296:AI1296"/>
    <mergeCell ref="AH1297:AI1297"/>
    <mergeCell ref="BJ1299:BM1299"/>
    <mergeCell ref="BN1299:BV1299"/>
    <mergeCell ref="B1300:C1300"/>
    <mergeCell ref="D1300:E1300"/>
    <mergeCell ref="F1300:G1300"/>
    <mergeCell ref="H1300:I1300"/>
    <mergeCell ref="L1300:M1300"/>
    <mergeCell ref="P1300:Q1300"/>
    <mergeCell ref="R1300:S1300"/>
    <mergeCell ref="T1300:U1300"/>
    <mergeCell ref="V1300:W1300"/>
    <mergeCell ref="X1300:AA1300"/>
    <mergeCell ref="AB1300:AE1300"/>
    <mergeCell ref="AJ1300:AK1300"/>
    <mergeCell ref="AL1300:AM1300"/>
    <mergeCell ref="AN1300:AO1300"/>
    <mergeCell ref="AP1300:AQ1300"/>
    <mergeCell ref="AR1300:AS1300"/>
    <mergeCell ref="AT1300:AU1300"/>
    <mergeCell ref="AX1300:AZ1300"/>
    <mergeCell ref="BA1300:BB1300"/>
    <mergeCell ref="BD1300:BE1300"/>
    <mergeCell ref="BF1300:BI1300"/>
    <mergeCell ref="BJ1300:BM1300"/>
    <mergeCell ref="BF1298:BI1298"/>
    <mergeCell ref="BJ1298:BM1298"/>
    <mergeCell ref="BN1298:BV1298"/>
    <mergeCell ref="B1299:C1299"/>
    <mergeCell ref="D1299:E1299"/>
    <mergeCell ref="F1299:G1299"/>
    <mergeCell ref="H1299:I1299"/>
    <mergeCell ref="L1299:M1299"/>
    <mergeCell ref="P1299:Q1299"/>
    <mergeCell ref="R1299:S1299"/>
    <mergeCell ref="T1299:U1299"/>
    <mergeCell ref="V1299:W1299"/>
    <mergeCell ref="X1299:AA1299"/>
    <mergeCell ref="AB1299:AE1299"/>
    <mergeCell ref="AJ1299:AK1299"/>
    <mergeCell ref="AL1299:AM1299"/>
    <mergeCell ref="AN1299:AO1299"/>
    <mergeCell ref="AP1299:AQ1299"/>
    <mergeCell ref="AR1299:AS1299"/>
    <mergeCell ref="AT1299:AU1299"/>
    <mergeCell ref="AX1299:AZ1299"/>
    <mergeCell ref="BA1299:BB1299"/>
    <mergeCell ref="BD1299:BE1299"/>
    <mergeCell ref="BF1299:BI1299"/>
    <mergeCell ref="AV1299:AW1299"/>
    <mergeCell ref="AV1300:AW1300"/>
    <mergeCell ref="AH1298:AI1298"/>
    <mergeCell ref="AH1299:AI1299"/>
    <mergeCell ref="BN1301:BV1301"/>
    <mergeCell ref="B1302:C1302"/>
    <mergeCell ref="D1302:E1302"/>
    <mergeCell ref="F1302:G1302"/>
    <mergeCell ref="H1302:I1302"/>
    <mergeCell ref="L1302:M1302"/>
    <mergeCell ref="P1302:Q1302"/>
    <mergeCell ref="R1302:S1302"/>
    <mergeCell ref="T1302:U1302"/>
    <mergeCell ref="V1302:W1302"/>
    <mergeCell ref="X1302:AA1302"/>
    <mergeCell ref="AB1302:AE1302"/>
    <mergeCell ref="AJ1302:AK1302"/>
    <mergeCell ref="AL1302:AM1302"/>
    <mergeCell ref="AN1302:AO1302"/>
    <mergeCell ref="AP1302:AQ1302"/>
    <mergeCell ref="AR1302:AS1302"/>
    <mergeCell ref="AT1302:AU1302"/>
    <mergeCell ref="AX1302:AZ1302"/>
    <mergeCell ref="BA1302:BB1302"/>
    <mergeCell ref="BD1302:BE1302"/>
    <mergeCell ref="BF1302:BI1302"/>
    <mergeCell ref="BJ1302:BM1302"/>
    <mergeCell ref="BN1300:BV1300"/>
    <mergeCell ref="B1301:C1301"/>
    <mergeCell ref="D1301:E1301"/>
    <mergeCell ref="F1301:G1301"/>
    <mergeCell ref="H1301:I1301"/>
    <mergeCell ref="L1301:M1301"/>
    <mergeCell ref="P1301:Q1301"/>
    <mergeCell ref="R1301:S1301"/>
    <mergeCell ref="T1301:U1301"/>
    <mergeCell ref="V1301:W1301"/>
    <mergeCell ref="X1301:AA1301"/>
    <mergeCell ref="AB1301:AE1301"/>
    <mergeCell ref="AJ1301:AK1301"/>
    <mergeCell ref="AL1301:AM1301"/>
    <mergeCell ref="AN1301:AO1301"/>
    <mergeCell ref="AP1301:AQ1301"/>
    <mergeCell ref="AR1301:AS1301"/>
    <mergeCell ref="AT1301:AU1301"/>
    <mergeCell ref="AX1301:AZ1301"/>
    <mergeCell ref="BA1301:BB1301"/>
    <mergeCell ref="BD1301:BE1301"/>
    <mergeCell ref="BF1301:BI1301"/>
    <mergeCell ref="BJ1301:BM1301"/>
    <mergeCell ref="AV1301:AW1301"/>
    <mergeCell ref="AV1302:AW1302"/>
    <mergeCell ref="AH1300:AI1300"/>
    <mergeCell ref="AH1301:AI1301"/>
    <mergeCell ref="BN1303:BV1303"/>
    <mergeCell ref="B1304:C1304"/>
    <mergeCell ref="D1304:E1304"/>
    <mergeCell ref="F1304:G1304"/>
    <mergeCell ref="H1304:I1304"/>
    <mergeCell ref="L1304:M1304"/>
    <mergeCell ref="P1304:Q1304"/>
    <mergeCell ref="R1304:S1304"/>
    <mergeCell ref="T1304:U1304"/>
    <mergeCell ref="V1304:W1304"/>
    <mergeCell ref="X1304:AA1304"/>
    <mergeCell ref="AB1304:AE1304"/>
    <mergeCell ref="AJ1304:AK1304"/>
    <mergeCell ref="AL1304:AM1304"/>
    <mergeCell ref="AN1304:AO1304"/>
    <mergeCell ref="AP1304:AQ1304"/>
    <mergeCell ref="AR1304:AS1304"/>
    <mergeCell ref="AT1304:AU1304"/>
    <mergeCell ref="AX1304:AZ1304"/>
    <mergeCell ref="BA1304:BB1304"/>
    <mergeCell ref="BD1304:BE1304"/>
    <mergeCell ref="BF1304:BI1304"/>
    <mergeCell ref="BJ1304:BM1304"/>
    <mergeCell ref="BN1304:BV1304"/>
    <mergeCell ref="BN1302:BV1302"/>
    <mergeCell ref="B1303:C1303"/>
    <mergeCell ref="D1303:E1303"/>
    <mergeCell ref="F1303:G1303"/>
    <mergeCell ref="H1303:I1303"/>
    <mergeCell ref="L1303:M1303"/>
    <mergeCell ref="P1303:Q1303"/>
    <mergeCell ref="R1303:S1303"/>
    <mergeCell ref="T1303:U1303"/>
    <mergeCell ref="V1303:W1303"/>
    <mergeCell ref="X1303:AA1303"/>
    <mergeCell ref="AB1303:AE1303"/>
    <mergeCell ref="AJ1303:AK1303"/>
    <mergeCell ref="AL1303:AM1303"/>
    <mergeCell ref="AN1303:AO1303"/>
    <mergeCell ref="AP1303:AQ1303"/>
    <mergeCell ref="AR1303:AS1303"/>
    <mergeCell ref="AT1303:AU1303"/>
    <mergeCell ref="AX1303:AZ1303"/>
    <mergeCell ref="BA1303:BB1303"/>
    <mergeCell ref="BD1303:BE1303"/>
    <mergeCell ref="BF1303:BI1303"/>
    <mergeCell ref="BJ1303:BM1303"/>
    <mergeCell ref="AV1303:AW1303"/>
    <mergeCell ref="AV1304:AW1304"/>
    <mergeCell ref="AH1302:AI1302"/>
    <mergeCell ref="AH1303:AI1303"/>
    <mergeCell ref="AH1304:AI1304"/>
    <mergeCell ref="AN1306:AO1306"/>
    <mergeCell ref="AP1306:AQ1306"/>
    <mergeCell ref="AR1306:AS1306"/>
    <mergeCell ref="AT1306:AU1306"/>
    <mergeCell ref="AX1306:AZ1306"/>
    <mergeCell ref="BA1306:BB1306"/>
    <mergeCell ref="BD1306:BE1306"/>
    <mergeCell ref="BF1306:BI1306"/>
    <mergeCell ref="BJ1306:BM1306"/>
    <mergeCell ref="BN1306:BV1306"/>
    <mergeCell ref="B1307:C1307"/>
    <mergeCell ref="D1307:E1307"/>
    <mergeCell ref="F1307:G1307"/>
    <mergeCell ref="H1307:I1307"/>
    <mergeCell ref="L1307:M1307"/>
    <mergeCell ref="P1307:Q1307"/>
    <mergeCell ref="R1307:S1307"/>
    <mergeCell ref="T1307:U1307"/>
    <mergeCell ref="V1307:W1307"/>
    <mergeCell ref="X1307:AA1307"/>
    <mergeCell ref="AB1307:AE1307"/>
    <mergeCell ref="AJ1307:AK1307"/>
    <mergeCell ref="AL1307:AM1307"/>
    <mergeCell ref="AN1307:AO1307"/>
    <mergeCell ref="AL1305:AM1305"/>
    <mergeCell ref="AN1305:AO1305"/>
    <mergeCell ref="AP1305:AQ1305"/>
    <mergeCell ref="AR1305:AS1305"/>
    <mergeCell ref="AT1305:AU1305"/>
    <mergeCell ref="AX1305:AZ1305"/>
    <mergeCell ref="BA1305:BB1305"/>
    <mergeCell ref="BD1305:BE1305"/>
    <mergeCell ref="BF1305:BI1305"/>
    <mergeCell ref="BJ1305:BM1305"/>
    <mergeCell ref="BN1305:BV1305"/>
    <mergeCell ref="B1306:C1306"/>
    <mergeCell ref="D1306:E1306"/>
    <mergeCell ref="F1306:G1306"/>
    <mergeCell ref="H1306:I1306"/>
    <mergeCell ref="L1306:M1306"/>
    <mergeCell ref="P1306:Q1306"/>
    <mergeCell ref="R1306:S1306"/>
    <mergeCell ref="T1306:U1306"/>
    <mergeCell ref="V1306:W1306"/>
    <mergeCell ref="X1306:AA1306"/>
    <mergeCell ref="AB1306:AE1306"/>
    <mergeCell ref="AJ1306:AK1306"/>
    <mergeCell ref="AL1306:AM1306"/>
    <mergeCell ref="B1305:C1305"/>
    <mergeCell ref="D1305:E1305"/>
    <mergeCell ref="F1305:G1305"/>
    <mergeCell ref="H1305:I1305"/>
    <mergeCell ref="L1305:M1305"/>
    <mergeCell ref="P1305:Q1305"/>
    <mergeCell ref="R1305:S1305"/>
    <mergeCell ref="T1305:U1305"/>
    <mergeCell ref="V1305:W1305"/>
    <mergeCell ref="X1305:AA1305"/>
    <mergeCell ref="AB1305:AE1305"/>
    <mergeCell ref="AJ1305:AK1305"/>
    <mergeCell ref="AV1306:AW1306"/>
    <mergeCell ref="AV1305:AW1305"/>
    <mergeCell ref="AV1307:AW1307"/>
    <mergeCell ref="AH1305:AI1305"/>
    <mergeCell ref="AR1308:AS1308"/>
    <mergeCell ref="AT1308:AU1308"/>
    <mergeCell ref="AX1308:AZ1308"/>
    <mergeCell ref="BA1308:BB1308"/>
    <mergeCell ref="BD1308:BE1308"/>
    <mergeCell ref="BF1308:BI1308"/>
    <mergeCell ref="BJ1308:BM1308"/>
    <mergeCell ref="BN1308:BV1308"/>
    <mergeCell ref="B1309:C1309"/>
    <mergeCell ref="D1309:E1309"/>
    <mergeCell ref="F1309:G1309"/>
    <mergeCell ref="H1309:I1309"/>
    <mergeCell ref="L1309:M1309"/>
    <mergeCell ref="P1309:Q1309"/>
    <mergeCell ref="R1309:S1309"/>
    <mergeCell ref="T1309:U1309"/>
    <mergeCell ref="V1309:W1309"/>
    <mergeCell ref="X1309:AA1309"/>
    <mergeCell ref="AB1309:AE1309"/>
    <mergeCell ref="AJ1309:AK1309"/>
    <mergeCell ref="AL1309:AM1309"/>
    <mergeCell ref="AN1309:AO1309"/>
    <mergeCell ref="AP1309:AQ1309"/>
    <mergeCell ref="AR1309:AS1309"/>
    <mergeCell ref="AP1307:AQ1307"/>
    <mergeCell ref="AR1307:AS1307"/>
    <mergeCell ref="AT1307:AU1307"/>
    <mergeCell ref="AX1307:AZ1307"/>
    <mergeCell ref="BA1307:BB1307"/>
    <mergeCell ref="BD1307:BE1307"/>
    <mergeCell ref="BF1307:BI1307"/>
    <mergeCell ref="BJ1307:BM1307"/>
    <mergeCell ref="BN1307:BV1307"/>
    <mergeCell ref="B1308:C1308"/>
    <mergeCell ref="D1308:E1308"/>
    <mergeCell ref="F1308:G1308"/>
    <mergeCell ref="H1308:I1308"/>
    <mergeCell ref="L1308:M1308"/>
    <mergeCell ref="P1308:Q1308"/>
    <mergeCell ref="R1308:S1308"/>
    <mergeCell ref="T1308:U1308"/>
    <mergeCell ref="V1308:W1308"/>
    <mergeCell ref="X1308:AA1308"/>
    <mergeCell ref="AB1308:AE1308"/>
    <mergeCell ref="AJ1308:AK1308"/>
    <mergeCell ref="AL1308:AM1308"/>
    <mergeCell ref="AN1308:AO1308"/>
    <mergeCell ref="AP1308:AQ1308"/>
    <mergeCell ref="AV1308:AW1308"/>
    <mergeCell ref="AV1309:AW1309"/>
    <mergeCell ref="AX1310:AZ1310"/>
    <mergeCell ref="BA1310:BB1310"/>
    <mergeCell ref="BD1310:BE1310"/>
    <mergeCell ref="BF1310:BI1310"/>
    <mergeCell ref="BJ1310:BM1310"/>
    <mergeCell ref="BN1310:BV1310"/>
    <mergeCell ref="B1311:C1311"/>
    <mergeCell ref="D1311:E1311"/>
    <mergeCell ref="F1311:G1311"/>
    <mergeCell ref="H1311:I1311"/>
    <mergeCell ref="L1311:M1311"/>
    <mergeCell ref="P1311:Q1311"/>
    <mergeCell ref="R1311:S1311"/>
    <mergeCell ref="T1311:U1311"/>
    <mergeCell ref="V1311:W1311"/>
    <mergeCell ref="X1311:AA1311"/>
    <mergeCell ref="AB1311:AE1311"/>
    <mergeCell ref="AJ1311:AK1311"/>
    <mergeCell ref="AL1311:AM1311"/>
    <mergeCell ref="AN1311:AO1311"/>
    <mergeCell ref="AP1311:AQ1311"/>
    <mergeCell ref="AR1311:AS1311"/>
    <mergeCell ref="AT1311:AU1311"/>
    <mergeCell ref="AX1311:AZ1311"/>
    <mergeCell ref="AT1309:AU1309"/>
    <mergeCell ref="AX1309:AZ1309"/>
    <mergeCell ref="BA1309:BB1309"/>
    <mergeCell ref="BD1309:BE1309"/>
    <mergeCell ref="BF1309:BI1309"/>
    <mergeCell ref="BJ1309:BM1309"/>
    <mergeCell ref="BN1309:BV1309"/>
    <mergeCell ref="B1310:C1310"/>
    <mergeCell ref="D1310:E1310"/>
    <mergeCell ref="F1310:G1310"/>
    <mergeCell ref="H1310:I1310"/>
    <mergeCell ref="L1310:M1310"/>
    <mergeCell ref="P1310:Q1310"/>
    <mergeCell ref="R1310:S1310"/>
    <mergeCell ref="T1310:U1310"/>
    <mergeCell ref="V1310:W1310"/>
    <mergeCell ref="X1310:AA1310"/>
    <mergeCell ref="AB1310:AE1310"/>
    <mergeCell ref="AJ1310:AK1310"/>
    <mergeCell ref="AL1310:AM1310"/>
    <mergeCell ref="AN1310:AO1310"/>
    <mergeCell ref="AP1310:AQ1310"/>
    <mergeCell ref="AR1310:AS1310"/>
    <mergeCell ref="AT1310:AU1310"/>
    <mergeCell ref="AV1310:AW1310"/>
    <mergeCell ref="AV1311:AW1311"/>
    <mergeCell ref="J1309:K1309"/>
    <mergeCell ref="J1310:K1310"/>
    <mergeCell ref="BD1312:BE1312"/>
    <mergeCell ref="BF1312:BI1312"/>
    <mergeCell ref="BJ1312:BM1312"/>
    <mergeCell ref="BN1312:BV1312"/>
    <mergeCell ref="B1313:C1313"/>
    <mergeCell ref="D1313:E1313"/>
    <mergeCell ref="F1313:G1313"/>
    <mergeCell ref="H1313:I1313"/>
    <mergeCell ref="L1313:M1313"/>
    <mergeCell ref="P1313:Q1313"/>
    <mergeCell ref="R1313:S1313"/>
    <mergeCell ref="T1313:U1313"/>
    <mergeCell ref="V1313:W1313"/>
    <mergeCell ref="X1313:AA1313"/>
    <mergeCell ref="AB1313:AE1313"/>
    <mergeCell ref="AJ1313:AK1313"/>
    <mergeCell ref="AL1313:AM1313"/>
    <mergeCell ref="AN1313:AO1313"/>
    <mergeCell ref="AP1313:AQ1313"/>
    <mergeCell ref="AR1313:AS1313"/>
    <mergeCell ref="AT1313:AU1313"/>
    <mergeCell ref="AX1313:AZ1313"/>
    <mergeCell ref="BA1313:BB1313"/>
    <mergeCell ref="BD1313:BE1313"/>
    <mergeCell ref="BA1311:BB1311"/>
    <mergeCell ref="BD1311:BE1311"/>
    <mergeCell ref="BF1311:BI1311"/>
    <mergeCell ref="BJ1311:BM1311"/>
    <mergeCell ref="BN1311:BV1311"/>
    <mergeCell ref="B1312:C1312"/>
    <mergeCell ref="D1312:E1312"/>
    <mergeCell ref="F1312:G1312"/>
    <mergeCell ref="H1312:I1312"/>
    <mergeCell ref="L1312:M1312"/>
    <mergeCell ref="P1312:Q1312"/>
    <mergeCell ref="R1312:S1312"/>
    <mergeCell ref="T1312:U1312"/>
    <mergeCell ref="V1312:W1312"/>
    <mergeCell ref="X1312:AA1312"/>
    <mergeCell ref="AB1312:AE1312"/>
    <mergeCell ref="AJ1312:AK1312"/>
    <mergeCell ref="AL1312:AM1312"/>
    <mergeCell ref="AN1312:AO1312"/>
    <mergeCell ref="AP1312:AQ1312"/>
    <mergeCell ref="AR1312:AS1312"/>
    <mergeCell ref="AT1312:AU1312"/>
    <mergeCell ref="AX1312:AZ1312"/>
    <mergeCell ref="BA1312:BB1312"/>
    <mergeCell ref="AV1312:AW1312"/>
    <mergeCell ref="AV1313:AW1313"/>
    <mergeCell ref="J1311:K1311"/>
    <mergeCell ref="J1312:K1312"/>
    <mergeCell ref="BJ1314:BM1314"/>
    <mergeCell ref="BN1314:BV1314"/>
    <mergeCell ref="B1315:C1315"/>
    <mergeCell ref="D1315:E1315"/>
    <mergeCell ref="F1315:G1315"/>
    <mergeCell ref="H1315:I1315"/>
    <mergeCell ref="L1315:M1315"/>
    <mergeCell ref="P1315:Q1315"/>
    <mergeCell ref="R1315:S1315"/>
    <mergeCell ref="T1315:U1315"/>
    <mergeCell ref="V1315:W1315"/>
    <mergeCell ref="X1315:AA1315"/>
    <mergeCell ref="AB1315:AE1315"/>
    <mergeCell ref="AJ1315:AK1315"/>
    <mergeCell ref="AL1315:AM1315"/>
    <mergeCell ref="AN1315:AO1315"/>
    <mergeCell ref="AP1315:AQ1315"/>
    <mergeCell ref="AR1315:AS1315"/>
    <mergeCell ref="AT1315:AU1315"/>
    <mergeCell ref="AX1315:AZ1315"/>
    <mergeCell ref="BA1315:BB1315"/>
    <mergeCell ref="BD1315:BE1315"/>
    <mergeCell ref="BF1315:BI1315"/>
    <mergeCell ref="BJ1315:BM1315"/>
    <mergeCell ref="BF1313:BI1313"/>
    <mergeCell ref="BJ1313:BM1313"/>
    <mergeCell ref="BN1313:BV1313"/>
    <mergeCell ref="B1314:C1314"/>
    <mergeCell ref="D1314:E1314"/>
    <mergeCell ref="F1314:G1314"/>
    <mergeCell ref="H1314:I1314"/>
    <mergeCell ref="L1314:M1314"/>
    <mergeCell ref="P1314:Q1314"/>
    <mergeCell ref="R1314:S1314"/>
    <mergeCell ref="T1314:U1314"/>
    <mergeCell ref="V1314:W1314"/>
    <mergeCell ref="X1314:AA1314"/>
    <mergeCell ref="AB1314:AE1314"/>
    <mergeCell ref="AJ1314:AK1314"/>
    <mergeCell ref="AL1314:AM1314"/>
    <mergeCell ref="AN1314:AO1314"/>
    <mergeCell ref="AP1314:AQ1314"/>
    <mergeCell ref="AR1314:AS1314"/>
    <mergeCell ref="AT1314:AU1314"/>
    <mergeCell ref="AX1314:AZ1314"/>
    <mergeCell ref="BA1314:BB1314"/>
    <mergeCell ref="BD1314:BE1314"/>
    <mergeCell ref="BF1314:BI1314"/>
    <mergeCell ref="AV1314:AW1314"/>
    <mergeCell ref="AV1315:AW1315"/>
    <mergeCell ref="J1313:K1313"/>
    <mergeCell ref="J1314:K1314"/>
    <mergeCell ref="BN1316:BV1316"/>
    <mergeCell ref="B1317:C1317"/>
    <mergeCell ref="D1317:E1317"/>
    <mergeCell ref="F1317:G1317"/>
    <mergeCell ref="H1317:I1317"/>
    <mergeCell ref="L1317:M1317"/>
    <mergeCell ref="P1317:Q1317"/>
    <mergeCell ref="R1317:S1317"/>
    <mergeCell ref="T1317:U1317"/>
    <mergeCell ref="V1317:W1317"/>
    <mergeCell ref="X1317:AA1317"/>
    <mergeCell ref="AB1317:AE1317"/>
    <mergeCell ref="AJ1317:AK1317"/>
    <mergeCell ref="AL1317:AM1317"/>
    <mergeCell ref="AN1317:AO1317"/>
    <mergeCell ref="AP1317:AQ1317"/>
    <mergeCell ref="AR1317:AS1317"/>
    <mergeCell ref="AT1317:AU1317"/>
    <mergeCell ref="AX1317:AZ1317"/>
    <mergeCell ref="BA1317:BB1317"/>
    <mergeCell ref="BD1317:BE1317"/>
    <mergeCell ref="BF1317:BI1317"/>
    <mergeCell ref="BJ1317:BM1317"/>
    <mergeCell ref="BN1315:BV1315"/>
    <mergeCell ref="B1316:C1316"/>
    <mergeCell ref="D1316:E1316"/>
    <mergeCell ref="F1316:G1316"/>
    <mergeCell ref="H1316:I1316"/>
    <mergeCell ref="L1316:M1316"/>
    <mergeCell ref="P1316:Q1316"/>
    <mergeCell ref="R1316:S1316"/>
    <mergeCell ref="T1316:U1316"/>
    <mergeCell ref="V1316:W1316"/>
    <mergeCell ref="X1316:AA1316"/>
    <mergeCell ref="AB1316:AE1316"/>
    <mergeCell ref="AJ1316:AK1316"/>
    <mergeCell ref="AL1316:AM1316"/>
    <mergeCell ref="AN1316:AO1316"/>
    <mergeCell ref="AP1316:AQ1316"/>
    <mergeCell ref="AR1316:AS1316"/>
    <mergeCell ref="AT1316:AU1316"/>
    <mergeCell ref="AX1316:AZ1316"/>
    <mergeCell ref="BA1316:BB1316"/>
    <mergeCell ref="BD1316:BE1316"/>
    <mergeCell ref="BF1316:BI1316"/>
    <mergeCell ref="BJ1316:BM1316"/>
    <mergeCell ref="AV1316:AW1316"/>
    <mergeCell ref="AV1317:AW1317"/>
    <mergeCell ref="J1315:K1315"/>
    <mergeCell ref="J1316:K1316"/>
    <mergeCell ref="BN1318:BV1318"/>
    <mergeCell ref="B1319:C1319"/>
    <mergeCell ref="D1319:E1319"/>
    <mergeCell ref="F1319:G1319"/>
    <mergeCell ref="H1319:I1319"/>
    <mergeCell ref="L1319:M1319"/>
    <mergeCell ref="P1319:Q1319"/>
    <mergeCell ref="R1319:S1319"/>
    <mergeCell ref="T1319:U1319"/>
    <mergeCell ref="V1319:W1319"/>
    <mergeCell ref="X1319:AA1319"/>
    <mergeCell ref="AB1319:AE1319"/>
    <mergeCell ref="AJ1319:AK1319"/>
    <mergeCell ref="AL1319:AM1319"/>
    <mergeCell ref="AN1319:AO1319"/>
    <mergeCell ref="AP1319:AQ1319"/>
    <mergeCell ref="AR1319:AS1319"/>
    <mergeCell ref="AT1319:AU1319"/>
    <mergeCell ref="AX1319:AZ1319"/>
    <mergeCell ref="BA1319:BB1319"/>
    <mergeCell ref="BD1319:BE1319"/>
    <mergeCell ref="BF1319:BI1319"/>
    <mergeCell ref="BJ1319:BM1319"/>
    <mergeCell ref="BN1319:BV1319"/>
    <mergeCell ref="BN1317:BV1317"/>
    <mergeCell ref="B1318:C1318"/>
    <mergeCell ref="D1318:E1318"/>
    <mergeCell ref="F1318:G1318"/>
    <mergeCell ref="H1318:I1318"/>
    <mergeCell ref="L1318:M1318"/>
    <mergeCell ref="P1318:Q1318"/>
    <mergeCell ref="R1318:S1318"/>
    <mergeCell ref="T1318:U1318"/>
    <mergeCell ref="V1318:W1318"/>
    <mergeCell ref="X1318:AA1318"/>
    <mergeCell ref="AB1318:AE1318"/>
    <mergeCell ref="AJ1318:AK1318"/>
    <mergeCell ref="AL1318:AM1318"/>
    <mergeCell ref="AN1318:AO1318"/>
    <mergeCell ref="AP1318:AQ1318"/>
    <mergeCell ref="AR1318:AS1318"/>
    <mergeCell ref="AT1318:AU1318"/>
    <mergeCell ref="AX1318:AZ1318"/>
    <mergeCell ref="BA1318:BB1318"/>
    <mergeCell ref="BD1318:BE1318"/>
    <mergeCell ref="BF1318:BI1318"/>
    <mergeCell ref="BJ1318:BM1318"/>
    <mergeCell ref="AV1318:AW1318"/>
    <mergeCell ref="AV1319:AW1319"/>
    <mergeCell ref="J1317:K1317"/>
    <mergeCell ref="J1318:K1318"/>
    <mergeCell ref="J1319:K1319"/>
    <mergeCell ref="AN1321:AO1321"/>
    <mergeCell ref="AP1321:AQ1321"/>
    <mergeCell ref="AR1321:AS1321"/>
    <mergeCell ref="AT1321:AU1321"/>
    <mergeCell ref="AX1321:AZ1321"/>
    <mergeCell ref="BA1321:BB1321"/>
    <mergeCell ref="BD1321:BE1321"/>
    <mergeCell ref="BF1321:BI1321"/>
    <mergeCell ref="BJ1321:BM1321"/>
    <mergeCell ref="BN1321:BV1321"/>
    <mergeCell ref="B1322:C1322"/>
    <mergeCell ref="D1322:E1322"/>
    <mergeCell ref="F1322:G1322"/>
    <mergeCell ref="H1322:I1322"/>
    <mergeCell ref="L1322:M1322"/>
    <mergeCell ref="P1322:Q1322"/>
    <mergeCell ref="R1322:S1322"/>
    <mergeCell ref="T1322:U1322"/>
    <mergeCell ref="V1322:W1322"/>
    <mergeCell ref="X1322:AA1322"/>
    <mergeCell ref="AB1322:AE1322"/>
    <mergeCell ref="AJ1322:AK1322"/>
    <mergeCell ref="AL1322:AM1322"/>
    <mergeCell ref="AN1322:AO1322"/>
    <mergeCell ref="AL1320:AM1320"/>
    <mergeCell ref="AN1320:AO1320"/>
    <mergeCell ref="AP1320:AQ1320"/>
    <mergeCell ref="AR1320:AS1320"/>
    <mergeCell ref="AT1320:AU1320"/>
    <mergeCell ref="AX1320:AZ1320"/>
    <mergeCell ref="BA1320:BB1320"/>
    <mergeCell ref="BD1320:BE1320"/>
    <mergeCell ref="BF1320:BI1320"/>
    <mergeCell ref="BJ1320:BM1320"/>
    <mergeCell ref="BN1320:BV1320"/>
    <mergeCell ref="B1321:C1321"/>
    <mergeCell ref="D1321:E1321"/>
    <mergeCell ref="F1321:G1321"/>
    <mergeCell ref="H1321:I1321"/>
    <mergeCell ref="L1321:M1321"/>
    <mergeCell ref="P1321:Q1321"/>
    <mergeCell ref="R1321:S1321"/>
    <mergeCell ref="T1321:U1321"/>
    <mergeCell ref="V1321:W1321"/>
    <mergeCell ref="X1321:AA1321"/>
    <mergeCell ref="AB1321:AE1321"/>
    <mergeCell ref="AJ1321:AK1321"/>
    <mergeCell ref="AL1321:AM1321"/>
    <mergeCell ref="B1320:C1320"/>
    <mergeCell ref="D1320:E1320"/>
    <mergeCell ref="F1320:G1320"/>
    <mergeCell ref="H1320:I1320"/>
    <mergeCell ref="L1320:M1320"/>
    <mergeCell ref="P1320:Q1320"/>
    <mergeCell ref="R1320:S1320"/>
    <mergeCell ref="T1320:U1320"/>
    <mergeCell ref="V1320:W1320"/>
    <mergeCell ref="X1320:AA1320"/>
    <mergeCell ref="AB1320:AE1320"/>
    <mergeCell ref="AJ1320:AK1320"/>
    <mergeCell ref="AV1320:AW1320"/>
    <mergeCell ref="AV1321:AW1321"/>
    <mergeCell ref="AV1322:AW1322"/>
    <mergeCell ref="J1320:K1320"/>
    <mergeCell ref="AR1323:AS1323"/>
    <mergeCell ref="AT1323:AU1323"/>
    <mergeCell ref="AX1323:AZ1323"/>
    <mergeCell ref="BA1323:BB1323"/>
    <mergeCell ref="BD1323:BE1323"/>
    <mergeCell ref="BF1323:BI1323"/>
    <mergeCell ref="BJ1323:BM1323"/>
    <mergeCell ref="BN1323:BV1323"/>
    <mergeCell ref="B1324:C1324"/>
    <mergeCell ref="D1324:E1324"/>
    <mergeCell ref="F1324:G1324"/>
    <mergeCell ref="H1324:I1324"/>
    <mergeCell ref="L1324:M1324"/>
    <mergeCell ref="P1324:Q1324"/>
    <mergeCell ref="R1324:S1324"/>
    <mergeCell ref="T1324:U1324"/>
    <mergeCell ref="V1324:W1324"/>
    <mergeCell ref="X1324:AA1324"/>
    <mergeCell ref="AB1324:AE1324"/>
    <mergeCell ref="AJ1324:AK1324"/>
    <mergeCell ref="AL1324:AM1324"/>
    <mergeCell ref="AN1324:AO1324"/>
    <mergeCell ref="AP1324:AQ1324"/>
    <mergeCell ref="AR1324:AS1324"/>
    <mergeCell ref="AP1322:AQ1322"/>
    <mergeCell ref="AR1322:AS1322"/>
    <mergeCell ref="AT1322:AU1322"/>
    <mergeCell ref="AX1322:AZ1322"/>
    <mergeCell ref="BA1322:BB1322"/>
    <mergeCell ref="BD1322:BE1322"/>
    <mergeCell ref="BF1322:BI1322"/>
    <mergeCell ref="BJ1322:BM1322"/>
    <mergeCell ref="BN1322:BV1322"/>
    <mergeCell ref="B1323:C1323"/>
    <mergeCell ref="D1323:E1323"/>
    <mergeCell ref="F1323:G1323"/>
    <mergeCell ref="H1323:I1323"/>
    <mergeCell ref="L1323:M1323"/>
    <mergeCell ref="P1323:Q1323"/>
    <mergeCell ref="R1323:S1323"/>
    <mergeCell ref="T1323:U1323"/>
    <mergeCell ref="V1323:W1323"/>
    <mergeCell ref="X1323:AA1323"/>
    <mergeCell ref="AB1323:AE1323"/>
    <mergeCell ref="AJ1323:AK1323"/>
    <mergeCell ref="AL1323:AM1323"/>
    <mergeCell ref="AN1323:AO1323"/>
    <mergeCell ref="AP1323:AQ1323"/>
    <mergeCell ref="AV1323:AW1323"/>
    <mergeCell ref="AV1324:AW1324"/>
    <mergeCell ref="AF1324:AG1324"/>
    <mergeCell ref="AX1325:AZ1325"/>
    <mergeCell ref="BA1325:BB1325"/>
    <mergeCell ref="BD1325:BE1325"/>
    <mergeCell ref="BF1325:BI1325"/>
    <mergeCell ref="BJ1325:BM1325"/>
    <mergeCell ref="BN1325:BV1325"/>
    <mergeCell ref="B1326:C1326"/>
    <mergeCell ref="D1326:E1326"/>
    <mergeCell ref="F1326:G1326"/>
    <mergeCell ref="H1326:I1326"/>
    <mergeCell ref="L1326:M1326"/>
    <mergeCell ref="P1326:Q1326"/>
    <mergeCell ref="R1326:S1326"/>
    <mergeCell ref="T1326:U1326"/>
    <mergeCell ref="V1326:W1326"/>
    <mergeCell ref="X1326:AA1326"/>
    <mergeCell ref="AB1326:AE1326"/>
    <mergeCell ref="AJ1326:AK1326"/>
    <mergeCell ref="AL1326:AM1326"/>
    <mergeCell ref="AN1326:AO1326"/>
    <mergeCell ref="AP1326:AQ1326"/>
    <mergeCell ref="AR1326:AS1326"/>
    <mergeCell ref="AT1326:AU1326"/>
    <mergeCell ref="AX1326:AZ1326"/>
    <mergeCell ref="AT1324:AU1324"/>
    <mergeCell ref="AX1324:AZ1324"/>
    <mergeCell ref="BA1324:BB1324"/>
    <mergeCell ref="BD1324:BE1324"/>
    <mergeCell ref="BF1324:BI1324"/>
    <mergeCell ref="BJ1324:BM1324"/>
    <mergeCell ref="BN1324:BV1324"/>
    <mergeCell ref="B1325:C1325"/>
    <mergeCell ref="D1325:E1325"/>
    <mergeCell ref="F1325:G1325"/>
    <mergeCell ref="H1325:I1325"/>
    <mergeCell ref="L1325:M1325"/>
    <mergeCell ref="P1325:Q1325"/>
    <mergeCell ref="R1325:S1325"/>
    <mergeCell ref="T1325:U1325"/>
    <mergeCell ref="V1325:W1325"/>
    <mergeCell ref="X1325:AA1325"/>
    <mergeCell ref="AB1325:AE1325"/>
    <mergeCell ref="AJ1325:AK1325"/>
    <mergeCell ref="AL1325:AM1325"/>
    <mergeCell ref="AN1325:AO1325"/>
    <mergeCell ref="AP1325:AQ1325"/>
    <mergeCell ref="AR1325:AS1325"/>
    <mergeCell ref="AT1325:AU1325"/>
    <mergeCell ref="AV1325:AW1325"/>
    <mergeCell ref="AV1326:AW1326"/>
    <mergeCell ref="AF1325:AG1325"/>
    <mergeCell ref="AF1326:AG1326"/>
    <mergeCell ref="BD1327:BE1327"/>
    <mergeCell ref="BF1327:BI1327"/>
    <mergeCell ref="BJ1327:BM1327"/>
    <mergeCell ref="BN1327:BV1327"/>
    <mergeCell ref="B1328:C1328"/>
    <mergeCell ref="D1328:E1328"/>
    <mergeCell ref="F1328:G1328"/>
    <mergeCell ref="H1328:I1328"/>
    <mergeCell ref="L1328:M1328"/>
    <mergeCell ref="P1328:Q1328"/>
    <mergeCell ref="R1328:S1328"/>
    <mergeCell ref="T1328:U1328"/>
    <mergeCell ref="V1328:W1328"/>
    <mergeCell ref="X1328:AA1328"/>
    <mergeCell ref="AB1328:AE1328"/>
    <mergeCell ref="AJ1328:AK1328"/>
    <mergeCell ref="AL1328:AM1328"/>
    <mergeCell ref="AN1328:AO1328"/>
    <mergeCell ref="AP1328:AQ1328"/>
    <mergeCell ref="AR1328:AS1328"/>
    <mergeCell ref="AT1328:AU1328"/>
    <mergeCell ref="AX1328:AZ1328"/>
    <mergeCell ref="BA1328:BB1328"/>
    <mergeCell ref="BD1328:BE1328"/>
    <mergeCell ref="BA1326:BB1326"/>
    <mergeCell ref="BD1326:BE1326"/>
    <mergeCell ref="BF1326:BI1326"/>
    <mergeCell ref="BJ1326:BM1326"/>
    <mergeCell ref="BN1326:BV1326"/>
    <mergeCell ref="B1327:C1327"/>
    <mergeCell ref="D1327:E1327"/>
    <mergeCell ref="F1327:G1327"/>
    <mergeCell ref="H1327:I1327"/>
    <mergeCell ref="L1327:M1327"/>
    <mergeCell ref="P1327:Q1327"/>
    <mergeCell ref="R1327:S1327"/>
    <mergeCell ref="T1327:U1327"/>
    <mergeCell ref="V1327:W1327"/>
    <mergeCell ref="X1327:AA1327"/>
    <mergeCell ref="AB1327:AE1327"/>
    <mergeCell ref="AJ1327:AK1327"/>
    <mergeCell ref="AL1327:AM1327"/>
    <mergeCell ref="AN1327:AO1327"/>
    <mergeCell ref="AP1327:AQ1327"/>
    <mergeCell ref="AR1327:AS1327"/>
    <mergeCell ref="AT1327:AU1327"/>
    <mergeCell ref="AX1327:AZ1327"/>
    <mergeCell ref="BA1327:BB1327"/>
    <mergeCell ref="AV1327:AW1327"/>
    <mergeCell ref="AV1328:AW1328"/>
    <mergeCell ref="AF1327:AG1327"/>
    <mergeCell ref="AF1328:AG1328"/>
    <mergeCell ref="BJ1329:BM1329"/>
    <mergeCell ref="BN1329:BV1329"/>
    <mergeCell ref="B1330:C1330"/>
    <mergeCell ref="D1330:E1330"/>
    <mergeCell ref="F1330:G1330"/>
    <mergeCell ref="H1330:I1330"/>
    <mergeCell ref="L1330:M1330"/>
    <mergeCell ref="P1330:Q1330"/>
    <mergeCell ref="R1330:S1330"/>
    <mergeCell ref="T1330:U1330"/>
    <mergeCell ref="V1330:W1330"/>
    <mergeCell ref="X1330:AA1330"/>
    <mergeCell ref="AB1330:AE1330"/>
    <mergeCell ref="AJ1330:AK1330"/>
    <mergeCell ref="AL1330:AM1330"/>
    <mergeCell ref="AN1330:AO1330"/>
    <mergeCell ref="AP1330:AQ1330"/>
    <mergeCell ref="AR1330:AS1330"/>
    <mergeCell ref="AT1330:AU1330"/>
    <mergeCell ref="AX1330:AZ1330"/>
    <mergeCell ref="BA1330:BB1330"/>
    <mergeCell ref="BD1330:BE1330"/>
    <mergeCell ref="BF1330:BI1330"/>
    <mergeCell ref="BJ1330:BM1330"/>
    <mergeCell ref="BF1328:BI1328"/>
    <mergeCell ref="BJ1328:BM1328"/>
    <mergeCell ref="BN1328:BV1328"/>
    <mergeCell ref="B1329:C1329"/>
    <mergeCell ref="D1329:E1329"/>
    <mergeCell ref="F1329:G1329"/>
    <mergeCell ref="H1329:I1329"/>
    <mergeCell ref="L1329:M1329"/>
    <mergeCell ref="P1329:Q1329"/>
    <mergeCell ref="R1329:S1329"/>
    <mergeCell ref="T1329:U1329"/>
    <mergeCell ref="V1329:W1329"/>
    <mergeCell ref="X1329:AA1329"/>
    <mergeCell ref="AB1329:AE1329"/>
    <mergeCell ref="AJ1329:AK1329"/>
    <mergeCell ref="AL1329:AM1329"/>
    <mergeCell ref="AN1329:AO1329"/>
    <mergeCell ref="AP1329:AQ1329"/>
    <mergeCell ref="AR1329:AS1329"/>
    <mergeCell ref="AT1329:AU1329"/>
    <mergeCell ref="AX1329:AZ1329"/>
    <mergeCell ref="BA1329:BB1329"/>
    <mergeCell ref="BD1329:BE1329"/>
    <mergeCell ref="BF1329:BI1329"/>
    <mergeCell ref="AV1329:AW1329"/>
    <mergeCell ref="AV1330:AW1330"/>
    <mergeCell ref="AF1329:AG1329"/>
    <mergeCell ref="AF1330:AG1330"/>
    <mergeCell ref="BN1331:BV1331"/>
    <mergeCell ref="B1332:C1332"/>
    <mergeCell ref="D1332:E1332"/>
    <mergeCell ref="F1332:G1332"/>
    <mergeCell ref="H1332:I1332"/>
    <mergeCell ref="L1332:M1332"/>
    <mergeCell ref="P1332:Q1332"/>
    <mergeCell ref="R1332:S1332"/>
    <mergeCell ref="T1332:U1332"/>
    <mergeCell ref="V1332:W1332"/>
    <mergeCell ref="X1332:AA1332"/>
    <mergeCell ref="AB1332:AE1332"/>
    <mergeCell ref="AJ1332:AK1332"/>
    <mergeCell ref="AL1332:AM1332"/>
    <mergeCell ref="AN1332:AO1332"/>
    <mergeCell ref="AP1332:AQ1332"/>
    <mergeCell ref="AR1332:AS1332"/>
    <mergeCell ref="AT1332:AU1332"/>
    <mergeCell ref="AX1332:AZ1332"/>
    <mergeCell ref="BA1332:BB1332"/>
    <mergeCell ref="BD1332:BE1332"/>
    <mergeCell ref="BF1332:BI1332"/>
    <mergeCell ref="BJ1332:BM1332"/>
    <mergeCell ref="BN1330:BV1330"/>
    <mergeCell ref="B1331:C1331"/>
    <mergeCell ref="D1331:E1331"/>
    <mergeCell ref="F1331:G1331"/>
    <mergeCell ref="H1331:I1331"/>
    <mergeCell ref="L1331:M1331"/>
    <mergeCell ref="P1331:Q1331"/>
    <mergeCell ref="R1331:S1331"/>
    <mergeCell ref="T1331:U1331"/>
    <mergeCell ref="V1331:W1331"/>
    <mergeCell ref="X1331:AA1331"/>
    <mergeCell ref="AB1331:AE1331"/>
    <mergeCell ref="AJ1331:AK1331"/>
    <mergeCell ref="AL1331:AM1331"/>
    <mergeCell ref="AN1331:AO1331"/>
    <mergeCell ref="AP1331:AQ1331"/>
    <mergeCell ref="AR1331:AS1331"/>
    <mergeCell ref="AT1331:AU1331"/>
    <mergeCell ref="AX1331:AZ1331"/>
    <mergeCell ref="BA1331:BB1331"/>
    <mergeCell ref="BD1331:BE1331"/>
    <mergeCell ref="BF1331:BI1331"/>
    <mergeCell ref="BJ1331:BM1331"/>
    <mergeCell ref="AV1331:AW1331"/>
    <mergeCell ref="AV1332:AW1332"/>
    <mergeCell ref="AF1331:AG1331"/>
    <mergeCell ref="AF1332:AG1332"/>
    <mergeCell ref="BN1333:BV1333"/>
    <mergeCell ref="B1334:C1334"/>
    <mergeCell ref="D1334:E1334"/>
    <mergeCell ref="F1334:G1334"/>
    <mergeCell ref="H1334:I1334"/>
    <mergeCell ref="L1334:M1334"/>
    <mergeCell ref="P1334:Q1334"/>
    <mergeCell ref="R1334:S1334"/>
    <mergeCell ref="T1334:U1334"/>
    <mergeCell ref="V1334:W1334"/>
    <mergeCell ref="X1334:AA1334"/>
    <mergeCell ref="AB1334:AE1334"/>
    <mergeCell ref="AJ1334:AK1334"/>
    <mergeCell ref="AL1334:AM1334"/>
    <mergeCell ref="AN1334:AO1334"/>
    <mergeCell ref="AP1334:AQ1334"/>
    <mergeCell ref="AR1334:AS1334"/>
    <mergeCell ref="AT1334:AU1334"/>
    <mergeCell ref="AX1334:AZ1334"/>
    <mergeCell ref="BA1334:BB1334"/>
    <mergeCell ref="BD1334:BE1334"/>
    <mergeCell ref="BF1334:BI1334"/>
    <mergeCell ref="BJ1334:BM1334"/>
    <mergeCell ref="BN1334:BV1334"/>
    <mergeCell ref="BN1332:BV1332"/>
    <mergeCell ref="B1333:C1333"/>
    <mergeCell ref="D1333:E1333"/>
    <mergeCell ref="F1333:G1333"/>
    <mergeCell ref="H1333:I1333"/>
    <mergeCell ref="L1333:M1333"/>
    <mergeCell ref="P1333:Q1333"/>
    <mergeCell ref="R1333:S1333"/>
    <mergeCell ref="T1333:U1333"/>
    <mergeCell ref="V1333:W1333"/>
    <mergeCell ref="X1333:AA1333"/>
    <mergeCell ref="AB1333:AE1333"/>
    <mergeCell ref="AJ1333:AK1333"/>
    <mergeCell ref="AL1333:AM1333"/>
    <mergeCell ref="AN1333:AO1333"/>
    <mergeCell ref="AP1333:AQ1333"/>
    <mergeCell ref="AR1333:AS1333"/>
    <mergeCell ref="AT1333:AU1333"/>
    <mergeCell ref="AX1333:AZ1333"/>
    <mergeCell ref="BA1333:BB1333"/>
    <mergeCell ref="BD1333:BE1333"/>
    <mergeCell ref="BF1333:BI1333"/>
    <mergeCell ref="BJ1333:BM1333"/>
    <mergeCell ref="AV1333:AW1333"/>
    <mergeCell ref="AV1334:AW1334"/>
    <mergeCell ref="AF1333:AG1333"/>
    <mergeCell ref="AF1334:AG1334"/>
    <mergeCell ref="AN1336:AO1336"/>
    <mergeCell ref="AP1336:AQ1336"/>
    <mergeCell ref="AR1336:AS1336"/>
    <mergeCell ref="AT1336:AU1336"/>
    <mergeCell ref="AX1336:AZ1336"/>
    <mergeCell ref="BA1336:BB1336"/>
    <mergeCell ref="BD1336:BE1336"/>
    <mergeCell ref="BF1336:BI1336"/>
    <mergeCell ref="BJ1336:BM1336"/>
    <mergeCell ref="BN1336:BV1336"/>
    <mergeCell ref="B1337:C1337"/>
    <mergeCell ref="D1337:E1337"/>
    <mergeCell ref="F1337:G1337"/>
    <mergeCell ref="H1337:I1337"/>
    <mergeCell ref="L1337:M1337"/>
    <mergeCell ref="P1337:Q1337"/>
    <mergeCell ref="R1337:S1337"/>
    <mergeCell ref="T1337:U1337"/>
    <mergeCell ref="V1337:W1337"/>
    <mergeCell ref="X1337:AA1337"/>
    <mergeCell ref="AB1337:AE1337"/>
    <mergeCell ref="AJ1337:AK1337"/>
    <mergeCell ref="AL1337:AM1337"/>
    <mergeCell ref="AN1337:AO1337"/>
    <mergeCell ref="AL1335:AM1335"/>
    <mergeCell ref="AN1335:AO1335"/>
    <mergeCell ref="AP1335:AQ1335"/>
    <mergeCell ref="AR1335:AS1335"/>
    <mergeCell ref="AT1335:AU1335"/>
    <mergeCell ref="AX1335:AZ1335"/>
    <mergeCell ref="BA1335:BB1335"/>
    <mergeCell ref="BD1335:BE1335"/>
    <mergeCell ref="BF1335:BI1335"/>
    <mergeCell ref="BJ1335:BM1335"/>
    <mergeCell ref="BN1335:BV1335"/>
    <mergeCell ref="B1336:C1336"/>
    <mergeCell ref="D1336:E1336"/>
    <mergeCell ref="F1336:G1336"/>
    <mergeCell ref="H1336:I1336"/>
    <mergeCell ref="L1336:M1336"/>
    <mergeCell ref="P1336:Q1336"/>
    <mergeCell ref="R1336:S1336"/>
    <mergeCell ref="T1336:U1336"/>
    <mergeCell ref="V1336:W1336"/>
    <mergeCell ref="X1336:AA1336"/>
    <mergeCell ref="AB1336:AE1336"/>
    <mergeCell ref="AJ1336:AK1336"/>
    <mergeCell ref="AL1336:AM1336"/>
    <mergeCell ref="B1335:C1335"/>
    <mergeCell ref="D1335:E1335"/>
    <mergeCell ref="F1335:G1335"/>
    <mergeCell ref="H1335:I1335"/>
    <mergeCell ref="L1335:M1335"/>
    <mergeCell ref="P1335:Q1335"/>
    <mergeCell ref="R1335:S1335"/>
    <mergeCell ref="T1335:U1335"/>
    <mergeCell ref="V1335:W1335"/>
    <mergeCell ref="X1335:AA1335"/>
    <mergeCell ref="AB1335:AE1335"/>
    <mergeCell ref="AJ1335:AK1335"/>
    <mergeCell ref="AV1335:AW1335"/>
    <mergeCell ref="AV1336:AW1336"/>
    <mergeCell ref="AV1337:AW1337"/>
    <mergeCell ref="AF1335:AG1335"/>
    <mergeCell ref="AR1338:AS1338"/>
    <mergeCell ref="AT1338:AU1338"/>
    <mergeCell ref="AX1338:AZ1338"/>
    <mergeCell ref="BA1338:BB1338"/>
    <mergeCell ref="BD1338:BE1338"/>
    <mergeCell ref="BF1338:BI1338"/>
    <mergeCell ref="BJ1338:BM1338"/>
    <mergeCell ref="BN1338:BV1338"/>
    <mergeCell ref="B1339:C1339"/>
    <mergeCell ref="D1339:E1339"/>
    <mergeCell ref="F1339:G1339"/>
    <mergeCell ref="H1339:I1339"/>
    <mergeCell ref="L1339:M1339"/>
    <mergeCell ref="P1339:Q1339"/>
    <mergeCell ref="R1339:S1339"/>
    <mergeCell ref="T1339:U1339"/>
    <mergeCell ref="V1339:W1339"/>
    <mergeCell ref="X1339:AA1339"/>
    <mergeCell ref="AB1339:AE1339"/>
    <mergeCell ref="AJ1339:AK1339"/>
    <mergeCell ref="AL1339:AM1339"/>
    <mergeCell ref="AN1339:AO1339"/>
    <mergeCell ref="AP1339:AQ1339"/>
    <mergeCell ref="AR1339:AS1339"/>
    <mergeCell ref="AP1337:AQ1337"/>
    <mergeCell ref="AR1337:AS1337"/>
    <mergeCell ref="AT1337:AU1337"/>
    <mergeCell ref="AX1337:AZ1337"/>
    <mergeCell ref="BA1337:BB1337"/>
    <mergeCell ref="BD1337:BE1337"/>
    <mergeCell ref="BF1337:BI1337"/>
    <mergeCell ref="BJ1337:BM1337"/>
    <mergeCell ref="BN1337:BV1337"/>
    <mergeCell ref="B1338:C1338"/>
    <mergeCell ref="D1338:E1338"/>
    <mergeCell ref="F1338:G1338"/>
    <mergeCell ref="H1338:I1338"/>
    <mergeCell ref="L1338:M1338"/>
    <mergeCell ref="P1338:Q1338"/>
    <mergeCell ref="R1338:S1338"/>
    <mergeCell ref="T1338:U1338"/>
    <mergeCell ref="V1338:W1338"/>
    <mergeCell ref="X1338:AA1338"/>
    <mergeCell ref="AB1338:AE1338"/>
    <mergeCell ref="AJ1338:AK1338"/>
    <mergeCell ref="AL1338:AM1338"/>
    <mergeCell ref="AN1338:AO1338"/>
    <mergeCell ref="AP1338:AQ1338"/>
    <mergeCell ref="AV1338:AW1338"/>
    <mergeCell ref="AV1339:AW1339"/>
    <mergeCell ref="AX1340:AZ1340"/>
    <mergeCell ref="BA1340:BB1340"/>
    <mergeCell ref="BD1340:BE1340"/>
    <mergeCell ref="BF1340:BI1340"/>
    <mergeCell ref="BJ1340:BM1340"/>
    <mergeCell ref="BN1340:BV1340"/>
    <mergeCell ref="B1341:C1341"/>
    <mergeCell ref="D1341:E1341"/>
    <mergeCell ref="F1341:G1341"/>
    <mergeCell ref="H1341:I1341"/>
    <mergeCell ref="L1341:M1341"/>
    <mergeCell ref="P1341:Q1341"/>
    <mergeCell ref="R1341:S1341"/>
    <mergeCell ref="T1341:U1341"/>
    <mergeCell ref="V1341:W1341"/>
    <mergeCell ref="X1341:AA1341"/>
    <mergeCell ref="AB1341:AE1341"/>
    <mergeCell ref="AJ1341:AK1341"/>
    <mergeCell ref="AL1341:AM1341"/>
    <mergeCell ref="AN1341:AO1341"/>
    <mergeCell ref="AP1341:AQ1341"/>
    <mergeCell ref="AR1341:AS1341"/>
    <mergeCell ref="AT1341:AU1341"/>
    <mergeCell ref="AX1341:AZ1341"/>
    <mergeCell ref="AT1339:AU1339"/>
    <mergeCell ref="AX1339:AZ1339"/>
    <mergeCell ref="BA1339:BB1339"/>
    <mergeCell ref="BD1339:BE1339"/>
    <mergeCell ref="BF1339:BI1339"/>
    <mergeCell ref="BJ1339:BM1339"/>
    <mergeCell ref="BN1339:BV1339"/>
    <mergeCell ref="B1340:C1340"/>
    <mergeCell ref="D1340:E1340"/>
    <mergeCell ref="F1340:G1340"/>
    <mergeCell ref="H1340:I1340"/>
    <mergeCell ref="L1340:M1340"/>
    <mergeCell ref="P1340:Q1340"/>
    <mergeCell ref="R1340:S1340"/>
    <mergeCell ref="T1340:U1340"/>
    <mergeCell ref="V1340:W1340"/>
    <mergeCell ref="X1340:AA1340"/>
    <mergeCell ref="AB1340:AE1340"/>
    <mergeCell ref="AJ1340:AK1340"/>
    <mergeCell ref="AL1340:AM1340"/>
    <mergeCell ref="AN1340:AO1340"/>
    <mergeCell ref="AP1340:AQ1340"/>
    <mergeCell ref="AR1340:AS1340"/>
    <mergeCell ref="AT1340:AU1340"/>
    <mergeCell ref="AV1340:AW1340"/>
    <mergeCell ref="AV1341:AW1341"/>
    <mergeCell ref="AH1339:AI1339"/>
    <mergeCell ref="AH1340:AI1340"/>
    <mergeCell ref="BD1342:BE1342"/>
    <mergeCell ref="BF1342:BI1342"/>
    <mergeCell ref="BJ1342:BM1342"/>
    <mergeCell ref="BN1342:BV1342"/>
    <mergeCell ref="B1343:C1343"/>
    <mergeCell ref="D1343:E1343"/>
    <mergeCell ref="F1343:G1343"/>
    <mergeCell ref="H1343:I1343"/>
    <mergeCell ref="L1343:M1343"/>
    <mergeCell ref="P1343:Q1343"/>
    <mergeCell ref="R1343:S1343"/>
    <mergeCell ref="T1343:U1343"/>
    <mergeCell ref="V1343:W1343"/>
    <mergeCell ref="X1343:AA1343"/>
    <mergeCell ref="AB1343:AE1343"/>
    <mergeCell ref="AJ1343:AK1343"/>
    <mergeCell ref="AL1343:AM1343"/>
    <mergeCell ref="AN1343:AO1343"/>
    <mergeCell ref="AP1343:AQ1343"/>
    <mergeCell ref="AR1343:AS1343"/>
    <mergeCell ref="AT1343:AU1343"/>
    <mergeCell ref="AX1343:AZ1343"/>
    <mergeCell ref="BA1343:BB1343"/>
    <mergeCell ref="BD1343:BE1343"/>
    <mergeCell ref="BA1341:BB1341"/>
    <mergeCell ref="BD1341:BE1341"/>
    <mergeCell ref="BF1341:BI1341"/>
    <mergeCell ref="BJ1341:BM1341"/>
    <mergeCell ref="BN1341:BV1341"/>
    <mergeCell ref="B1342:C1342"/>
    <mergeCell ref="D1342:E1342"/>
    <mergeCell ref="F1342:G1342"/>
    <mergeCell ref="H1342:I1342"/>
    <mergeCell ref="L1342:M1342"/>
    <mergeCell ref="P1342:Q1342"/>
    <mergeCell ref="R1342:S1342"/>
    <mergeCell ref="T1342:U1342"/>
    <mergeCell ref="V1342:W1342"/>
    <mergeCell ref="X1342:AA1342"/>
    <mergeCell ref="AB1342:AE1342"/>
    <mergeCell ref="AJ1342:AK1342"/>
    <mergeCell ref="AL1342:AM1342"/>
    <mergeCell ref="AN1342:AO1342"/>
    <mergeCell ref="AP1342:AQ1342"/>
    <mergeCell ref="AR1342:AS1342"/>
    <mergeCell ref="AT1342:AU1342"/>
    <mergeCell ref="AX1342:AZ1342"/>
    <mergeCell ref="BA1342:BB1342"/>
    <mergeCell ref="AV1342:AW1342"/>
    <mergeCell ref="AV1343:AW1343"/>
    <mergeCell ref="AH1341:AI1341"/>
    <mergeCell ref="AH1342:AI1342"/>
    <mergeCell ref="BJ1344:BM1344"/>
    <mergeCell ref="BN1344:BV1344"/>
    <mergeCell ref="B1345:C1345"/>
    <mergeCell ref="D1345:E1345"/>
    <mergeCell ref="F1345:G1345"/>
    <mergeCell ref="H1345:I1345"/>
    <mergeCell ref="L1345:M1345"/>
    <mergeCell ref="P1345:Q1345"/>
    <mergeCell ref="R1345:S1345"/>
    <mergeCell ref="T1345:U1345"/>
    <mergeCell ref="V1345:W1345"/>
    <mergeCell ref="X1345:AA1345"/>
    <mergeCell ref="AB1345:AE1345"/>
    <mergeCell ref="AJ1345:AK1345"/>
    <mergeCell ref="AL1345:AM1345"/>
    <mergeCell ref="AN1345:AO1345"/>
    <mergeCell ref="AP1345:AQ1345"/>
    <mergeCell ref="AR1345:AS1345"/>
    <mergeCell ref="AT1345:AU1345"/>
    <mergeCell ref="AX1345:AZ1345"/>
    <mergeCell ref="BA1345:BB1345"/>
    <mergeCell ref="BD1345:BE1345"/>
    <mergeCell ref="BF1345:BI1345"/>
    <mergeCell ref="BJ1345:BM1345"/>
    <mergeCell ref="BF1343:BI1343"/>
    <mergeCell ref="BJ1343:BM1343"/>
    <mergeCell ref="BN1343:BV1343"/>
    <mergeCell ref="B1344:C1344"/>
    <mergeCell ref="D1344:E1344"/>
    <mergeCell ref="F1344:G1344"/>
    <mergeCell ref="H1344:I1344"/>
    <mergeCell ref="L1344:M1344"/>
    <mergeCell ref="P1344:Q1344"/>
    <mergeCell ref="R1344:S1344"/>
    <mergeCell ref="T1344:U1344"/>
    <mergeCell ref="V1344:W1344"/>
    <mergeCell ref="X1344:AA1344"/>
    <mergeCell ref="AB1344:AE1344"/>
    <mergeCell ref="AJ1344:AK1344"/>
    <mergeCell ref="AL1344:AM1344"/>
    <mergeCell ref="AN1344:AO1344"/>
    <mergeCell ref="AP1344:AQ1344"/>
    <mergeCell ref="AR1344:AS1344"/>
    <mergeCell ref="AT1344:AU1344"/>
    <mergeCell ref="AX1344:AZ1344"/>
    <mergeCell ref="BA1344:BB1344"/>
    <mergeCell ref="BD1344:BE1344"/>
    <mergeCell ref="BF1344:BI1344"/>
    <mergeCell ref="AV1344:AW1344"/>
    <mergeCell ref="AV1345:AW1345"/>
    <mergeCell ref="AH1343:AI1343"/>
    <mergeCell ref="AH1344:AI1344"/>
    <mergeCell ref="BN1346:BV1346"/>
    <mergeCell ref="B1347:C1347"/>
    <mergeCell ref="D1347:E1347"/>
    <mergeCell ref="F1347:G1347"/>
    <mergeCell ref="H1347:I1347"/>
    <mergeCell ref="L1347:M1347"/>
    <mergeCell ref="P1347:Q1347"/>
    <mergeCell ref="R1347:S1347"/>
    <mergeCell ref="T1347:U1347"/>
    <mergeCell ref="V1347:W1347"/>
    <mergeCell ref="X1347:AA1347"/>
    <mergeCell ref="AB1347:AE1347"/>
    <mergeCell ref="AJ1347:AK1347"/>
    <mergeCell ref="AL1347:AM1347"/>
    <mergeCell ref="AN1347:AO1347"/>
    <mergeCell ref="AP1347:AQ1347"/>
    <mergeCell ref="AR1347:AS1347"/>
    <mergeCell ref="AT1347:AU1347"/>
    <mergeCell ref="AX1347:AZ1347"/>
    <mergeCell ref="BA1347:BB1347"/>
    <mergeCell ref="BD1347:BE1347"/>
    <mergeCell ref="BF1347:BI1347"/>
    <mergeCell ref="BJ1347:BM1347"/>
    <mergeCell ref="BN1345:BV1345"/>
    <mergeCell ref="B1346:C1346"/>
    <mergeCell ref="D1346:E1346"/>
    <mergeCell ref="F1346:G1346"/>
    <mergeCell ref="H1346:I1346"/>
    <mergeCell ref="L1346:M1346"/>
    <mergeCell ref="P1346:Q1346"/>
    <mergeCell ref="R1346:S1346"/>
    <mergeCell ref="T1346:U1346"/>
    <mergeCell ref="V1346:W1346"/>
    <mergeCell ref="X1346:AA1346"/>
    <mergeCell ref="AB1346:AE1346"/>
    <mergeCell ref="AJ1346:AK1346"/>
    <mergeCell ref="AL1346:AM1346"/>
    <mergeCell ref="AN1346:AO1346"/>
    <mergeCell ref="AP1346:AQ1346"/>
    <mergeCell ref="AR1346:AS1346"/>
    <mergeCell ref="AT1346:AU1346"/>
    <mergeCell ref="AX1346:AZ1346"/>
    <mergeCell ref="BA1346:BB1346"/>
    <mergeCell ref="BD1346:BE1346"/>
    <mergeCell ref="BF1346:BI1346"/>
    <mergeCell ref="BJ1346:BM1346"/>
    <mergeCell ref="AV1346:AW1346"/>
    <mergeCell ref="AV1347:AW1347"/>
    <mergeCell ref="AH1345:AI1345"/>
    <mergeCell ref="AH1346:AI1346"/>
    <mergeCell ref="BN1348:BV1348"/>
    <mergeCell ref="B1349:C1349"/>
    <mergeCell ref="D1349:E1349"/>
    <mergeCell ref="F1349:G1349"/>
    <mergeCell ref="H1349:I1349"/>
    <mergeCell ref="L1349:M1349"/>
    <mergeCell ref="P1349:Q1349"/>
    <mergeCell ref="R1349:S1349"/>
    <mergeCell ref="T1349:U1349"/>
    <mergeCell ref="V1349:W1349"/>
    <mergeCell ref="X1349:AA1349"/>
    <mergeCell ref="AB1349:AE1349"/>
    <mergeCell ref="AJ1349:AK1349"/>
    <mergeCell ref="AL1349:AM1349"/>
    <mergeCell ref="AN1349:AO1349"/>
    <mergeCell ref="AP1349:AQ1349"/>
    <mergeCell ref="AR1349:AS1349"/>
    <mergeCell ref="AT1349:AU1349"/>
    <mergeCell ref="AX1349:AZ1349"/>
    <mergeCell ref="BA1349:BB1349"/>
    <mergeCell ref="BD1349:BE1349"/>
    <mergeCell ref="BF1349:BI1349"/>
    <mergeCell ref="BJ1349:BM1349"/>
    <mergeCell ref="BN1349:BV1349"/>
    <mergeCell ref="BN1347:BV1347"/>
    <mergeCell ref="B1348:C1348"/>
    <mergeCell ref="D1348:E1348"/>
    <mergeCell ref="F1348:G1348"/>
    <mergeCell ref="H1348:I1348"/>
    <mergeCell ref="L1348:M1348"/>
    <mergeCell ref="P1348:Q1348"/>
    <mergeCell ref="R1348:S1348"/>
    <mergeCell ref="T1348:U1348"/>
    <mergeCell ref="V1348:W1348"/>
    <mergeCell ref="X1348:AA1348"/>
    <mergeCell ref="AB1348:AE1348"/>
    <mergeCell ref="AJ1348:AK1348"/>
    <mergeCell ref="AL1348:AM1348"/>
    <mergeCell ref="AN1348:AO1348"/>
    <mergeCell ref="AP1348:AQ1348"/>
    <mergeCell ref="AR1348:AS1348"/>
    <mergeCell ref="AT1348:AU1348"/>
    <mergeCell ref="AX1348:AZ1348"/>
    <mergeCell ref="BA1348:BB1348"/>
    <mergeCell ref="BD1348:BE1348"/>
    <mergeCell ref="BF1348:BI1348"/>
    <mergeCell ref="BJ1348:BM1348"/>
    <mergeCell ref="AV1348:AW1348"/>
    <mergeCell ref="AV1349:AW1349"/>
    <mergeCell ref="AH1347:AI1347"/>
    <mergeCell ref="AH1348:AI1348"/>
    <mergeCell ref="AH1349:AI1349"/>
    <mergeCell ref="AN1351:AO1351"/>
    <mergeCell ref="AP1351:AQ1351"/>
    <mergeCell ref="AR1351:AS1351"/>
    <mergeCell ref="AT1351:AU1351"/>
    <mergeCell ref="AX1351:AZ1351"/>
    <mergeCell ref="BA1351:BB1351"/>
    <mergeCell ref="BD1351:BE1351"/>
    <mergeCell ref="BF1351:BI1351"/>
    <mergeCell ref="BJ1351:BM1351"/>
    <mergeCell ref="BN1351:BV1351"/>
    <mergeCell ref="B1352:C1352"/>
    <mergeCell ref="D1352:E1352"/>
    <mergeCell ref="F1352:G1352"/>
    <mergeCell ref="H1352:I1352"/>
    <mergeCell ref="L1352:M1352"/>
    <mergeCell ref="P1352:Q1352"/>
    <mergeCell ref="R1352:S1352"/>
    <mergeCell ref="T1352:U1352"/>
    <mergeCell ref="V1352:W1352"/>
    <mergeCell ref="X1352:AA1352"/>
    <mergeCell ref="AB1352:AE1352"/>
    <mergeCell ref="AJ1352:AK1352"/>
    <mergeCell ref="AL1352:AM1352"/>
    <mergeCell ref="AN1352:AO1352"/>
    <mergeCell ref="AL1350:AM1350"/>
    <mergeCell ref="AN1350:AO1350"/>
    <mergeCell ref="AP1350:AQ1350"/>
    <mergeCell ref="AR1350:AS1350"/>
    <mergeCell ref="AT1350:AU1350"/>
    <mergeCell ref="AX1350:AZ1350"/>
    <mergeCell ref="BA1350:BB1350"/>
    <mergeCell ref="BD1350:BE1350"/>
    <mergeCell ref="BF1350:BI1350"/>
    <mergeCell ref="BJ1350:BM1350"/>
    <mergeCell ref="BN1350:BV1350"/>
    <mergeCell ref="B1351:C1351"/>
    <mergeCell ref="D1351:E1351"/>
    <mergeCell ref="F1351:G1351"/>
    <mergeCell ref="H1351:I1351"/>
    <mergeCell ref="L1351:M1351"/>
    <mergeCell ref="P1351:Q1351"/>
    <mergeCell ref="R1351:S1351"/>
    <mergeCell ref="T1351:U1351"/>
    <mergeCell ref="V1351:W1351"/>
    <mergeCell ref="X1351:AA1351"/>
    <mergeCell ref="AB1351:AE1351"/>
    <mergeCell ref="AJ1351:AK1351"/>
    <mergeCell ref="AL1351:AM1351"/>
    <mergeCell ref="B1350:C1350"/>
    <mergeCell ref="D1350:E1350"/>
    <mergeCell ref="F1350:G1350"/>
    <mergeCell ref="H1350:I1350"/>
    <mergeCell ref="L1350:M1350"/>
    <mergeCell ref="P1350:Q1350"/>
    <mergeCell ref="R1350:S1350"/>
    <mergeCell ref="T1350:U1350"/>
    <mergeCell ref="V1350:W1350"/>
    <mergeCell ref="X1350:AA1350"/>
    <mergeCell ref="AB1350:AE1350"/>
    <mergeCell ref="AJ1350:AK1350"/>
    <mergeCell ref="AV1350:AW1350"/>
    <mergeCell ref="AV1351:AW1351"/>
    <mergeCell ref="AV1352:AW1352"/>
    <mergeCell ref="AH1350:AI1350"/>
    <mergeCell ref="AR1353:AS1353"/>
    <mergeCell ref="AT1353:AU1353"/>
    <mergeCell ref="AX1353:AZ1353"/>
    <mergeCell ref="BA1353:BB1353"/>
    <mergeCell ref="BD1353:BE1353"/>
    <mergeCell ref="BF1353:BI1353"/>
    <mergeCell ref="BJ1353:BM1353"/>
    <mergeCell ref="BN1353:BV1353"/>
    <mergeCell ref="B1354:C1354"/>
    <mergeCell ref="D1354:E1354"/>
    <mergeCell ref="F1354:G1354"/>
    <mergeCell ref="H1354:I1354"/>
    <mergeCell ref="L1354:M1354"/>
    <mergeCell ref="P1354:Q1354"/>
    <mergeCell ref="R1354:S1354"/>
    <mergeCell ref="T1354:U1354"/>
    <mergeCell ref="V1354:W1354"/>
    <mergeCell ref="X1354:AA1354"/>
    <mergeCell ref="AB1354:AE1354"/>
    <mergeCell ref="AJ1354:AK1354"/>
    <mergeCell ref="AL1354:AM1354"/>
    <mergeCell ref="AN1354:AO1354"/>
    <mergeCell ref="AP1354:AQ1354"/>
    <mergeCell ref="AR1354:AS1354"/>
    <mergeCell ref="AP1352:AQ1352"/>
    <mergeCell ref="AR1352:AS1352"/>
    <mergeCell ref="AT1352:AU1352"/>
    <mergeCell ref="AX1352:AZ1352"/>
    <mergeCell ref="BA1352:BB1352"/>
    <mergeCell ref="BD1352:BE1352"/>
    <mergeCell ref="BF1352:BI1352"/>
    <mergeCell ref="BJ1352:BM1352"/>
    <mergeCell ref="BN1352:BV1352"/>
    <mergeCell ref="B1353:C1353"/>
    <mergeCell ref="D1353:E1353"/>
    <mergeCell ref="F1353:G1353"/>
    <mergeCell ref="H1353:I1353"/>
    <mergeCell ref="L1353:M1353"/>
    <mergeCell ref="P1353:Q1353"/>
    <mergeCell ref="R1353:S1353"/>
    <mergeCell ref="T1353:U1353"/>
    <mergeCell ref="V1353:W1353"/>
    <mergeCell ref="X1353:AA1353"/>
    <mergeCell ref="AB1353:AE1353"/>
    <mergeCell ref="AJ1353:AK1353"/>
    <mergeCell ref="AL1353:AM1353"/>
    <mergeCell ref="AN1353:AO1353"/>
    <mergeCell ref="AP1353:AQ1353"/>
    <mergeCell ref="AV1353:AW1353"/>
    <mergeCell ref="AV1354:AW1354"/>
    <mergeCell ref="AX1355:AZ1355"/>
    <mergeCell ref="BA1355:BB1355"/>
    <mergeCell ref="BD1355:BE1355"/>
    <mergeCell ref="BF1355:BI1355"/>
    <mergeCell ref="BJ1355:BM1355"/>
    <mergeCell ref="BN1355:BV1355"/>
    <mergeCell ref="B1356:C1356"/>
    <mergeCell ref="D1356:E1356"/>
    <mergeCell ref="F1356:G1356"/>
    <mergeCell ref="H1356:I1356"/>
    <mergeCell ref="L1356:M1356"/>
    <mergeCell ref="P1356:Q1356"/>
    <mergeCell ref="R1356:S1356"/>
    <mergeCell ref="T1356:U1356"/>
    <mergeCell ref="V1356:W1356"/>
    <mergeCell ref="X1356:AA1356"/>
    <mergeCell ref="AB1356:AE1356"/>
    <mergeCell ref="AJ1356:AK1356"/>
    <mergeCell ref="AL1356:AM1356"/>
    <mergeCell ref="AN1356:AO1356"/>
    <mergeCell ref="AP1356:AQ1356"/>
    <mergeCell ref="AR1356:AS1356"/>
    <mergeCell ref="AT1356:AU1356"/>
    <mergeCell ref="AX1356:AZ1356"/>
    <mergeCell ref="AT1354:AU1354"/>
    <mergeCell ref="AX1354:AZ1354"/>
    <mergeCell ref="BA1354:BB1354"/>
    <mergeCell ref="BD1354:BE1354"/>
    <mergeCell ref="BF1354:BI1354"/>
    <mergeCell ref="BJ1354:BM1354"/>
    <mergeCell ref="BN1354:BV1354"/>
    <mergeCell ref="B1355:C1355"/>
    <mergeCell ref="D1355:E1355"/>
    <mergeCell ref="F1355:G1355"/>
    <mergeCell ref="H1355:I1355"/>
    <mergeCell ref="L1355:M1355"/>
    <mergeCell ref="P1355:Q1355"/>
    <mergeCell ref="R1355:S1355"/>
    <mergeCell ref="T1355:U1355"/>
    <mergeCell ref="V1355:W1355"/>
    <mergeCell ref="X1355:AA1355"/>
    <mergeCell ref="AB1355:AE1355"/>
    <mergeCell ref="AJ1355:AK1355"/>
    <mergeCell ref="AL1355:AM1355"/>
    <mergeCell ref="AN1355:AO1355"/>
    <mergeCell ref="AP1355:AQ1355"/>
    <mergeCell ref="AR1355:AS1355"/>
    <mergeCell ref="AT1355:AU1355"/>
    <mergeCell ref="AV1355:AW1355"/>
    <mergeCell ref="AV1356:AW1356"/>
    <mergeCell ref="J1354:K1354"/>
    <mergeCell ref="J1355:K1355"/>
    <mergeCell ref="BD1357:BE1357"/>
    <mergeCell ref="BF1357:BI1357"/>
    <mergeCell ref="BJ1357:BM1357"/>
    <mergeCell ref="BN1357:BV1357"/>
    <mergeCell ref="B1358:C1358"/>
    <mergeCell ref="D1358:E1358"/>
    <mergeCell ref="F1358:G1358"/>
    <mergeCell ref="H1358:I1358"/>
    <mergeCell ref="L1358:M1358"/>
    <mergeCell ref="P1358:Q1358"/>
    <mergeCell ref="R1358:S1358"/>
    <mergeCell ref="T1358:U1358"/>
    <mergeCell ref="V1358:W1358"/>
    <mergeCell ref="X1358:AA1358"/>
    <mergeCell ref="AB1358:AE1358"/>
    <mergeCell ref="AJ1358:AK1358"/>
    <mergeCell ref="AL1358:AM1358"/>
    <mergeCell ref="AN1358:AO1358"/>
    <mergeCell ref="AP1358:AQ1358"/>
    <mergeCell ref="AR1358:AS1358"/>
    <mergeCell ref="AT1358:AU1358"/>
    <mergeCell ref="AX1358:AZ1358"/>
    <mergeCell ref="BA1358:BB1358"/>
    <mergeCell ref="BD1358:BE1358"/>
    <mergeCell ref="BA1356:BB1356"/>
    <mergeCell ref="BD1356:BE1356"/>
    <mergeCell ref="BF1356:BI1356"/>
    <mergeCell ref="BJ1356:BM1356"/>
    <mergeCell ref="BN1356:BV1356"/>
    <mergeCell ref="B1357:C1357"/>
    <mergeCell ref="D1357:E1357"/>
    <mergeCell ref="F1357:G1357"/>
    <mergeCell ref="H1357:I1357"/>
    <mergeCell ref="L1357:M1357"/>
    <mergeCell ref="P1357:Q1357"/>
    <mergeCell ref="R1357:S1357"/>
    <mergeCell ref="T1357:U1357"/>
    <mergeCell ref="V1357:W1357"/>
    <mergeCell ref="X1357:AA1357"/>
    <mergeCell ref="AB1357:AE1357"/>
    <mergeCell ref="AJ1357:AK1357"/>
    <mergeCell ref="AL1357:AM1357"/>
    <mergeCell ref="AN1357:AO1357"/>
    <mergeCell ref="AP1357:AQ1357"/>
    <mergeCell ref="AR1357:AS1357"/>
    <mergeCell ref="AT1357:AU1357"/>
    <mergeCell ref="AX1357:AZ1357"/>
    <mergeCell ref="BA1357:BB1357"/>
    <mergeCell ref="AV1357:AW1357"/>
    <mergeCell ref="AV1358:AW1358"/>
    <mergeCell ref="J1356:K1356"/>
    <mergeCell ref="J1357:K1357"/>
    <mergeCell ref="BJ1359:BM1359"/>
    <mergeCell ref="BN1359:BV1359"/>
    <mergeCell ref="B1360:C1360"/>
    <mergeCell ref="D1360:E1360"/>
    <mergeCell ref="F1360:G1360"/>
    <mergeCell ref="H1360:I1360"/>
    <mergeCell ref="L1360:M1360"/>
    <mergeCell ref="P1360:Q1360"/>
    <mergeCell ref="R1360:S1360"/>
    <mergeCell ref="T1360:U1360"/>
    <mergeCell ref="V1360:W1360"/>
    <mergeCell ref="X1360:AA1360"/>
    <mergeCell ref="AB1360:AE1360"/>
    <mergeCell ref="AJ1360:AK1360"/>
    <mergeCell ref="AL1360:AM1360"/>
    <mergeCell ref="AN1360:AO1360"/>
    <mergeCell ref="AP1360:AQ1360"/>
    <mergeCell ref="AR1360:AS1360"/>
    <mergeCell ref="AT1360:AU1360"/>
    <mergeCell ref="AX1360:AZ1360"/>
    <mergeCell ref="BA1360:BB1360"/>
    <mergeCell ref="BD1360:BE1360"/>
    <mergeCell ref="BF1360:BI1360"/>
    <mergeCell ref="BJ1360:BM1360"/>
    <mergeCell ref="BF1358:BI1358"/>
    <mergeCell ref="BJ1358:BM1358"/>
    <mergeCell ref="BN1358:BV1358"/>
    <mergeCell ref="B1359:C1359"/>
    <mergeCell ref="D1359:E1359"/>
    <mergeCell ref="F1359:G1359"/>
    <mergeCell ref="H1359:I1359"/>
    <mergeCell ref="L1359:M1359"/>
    <mergeCell ref="P1359:Q1359"/>
    <mergeCell ref="R1359:S1359"/>
    <mergeCell ref="T1359:U1359"/>
    <mergeCell ref="V1359:W1359"/>
    <mergeCell ref="X1359:AA1359"/>
    <mergeCell ref="AB1359:AE1359"/>
    <mergeCell ref="AJ1359:AK1359"/>
    <mergeCell ref="AL1359:AM1359"/>
    <mergeCell ref="AN1359:AO1359"/>
    <mergeCell ref="AP1359:AQ1359"/>
    <mergeCell ref="AR1359:AS1359"/>
    <mergeCell ref="AT1359:AU1359"/>
    <mergeCell ref="AX1359:AZ1359"/>
    <mergeCell ref="BA1359:BB1359"/>
    <mergeCell ref="BD1359:BE1359"/>
    <mergeCell ref="BF1359:BI1359"/>
    <mergeCell ref="AV1359:AW1359"/>
    <mergeCell ref="AV1360:AW1360"/>
    <mergeCell ref="J1358:K1358"/>
    <mergeCell ref="J1359:K1359"/>
    <mergeCell ref="BN1361:BV1361"/>
    <mergeCell ref="B1362:C1362"/>
    <mergeCell ref="D1362:E1362"/>
    <mergeCell ref="F1362:G1362"/>
    <mergeCell ref="H1362:I1362"/>
    <mergeCell ref="L1362:M1362"/>
    <mergeCell ref="P1362:Q1362"/>
    <mergeCell ref="R1362:S1362"/>
    <mergeCell ref="T1362:U1362"/>
    <mergeCell ref="V1362:W1362"/>
    <mergeCell ref="X1362:AA1362"/>
    <mergeCell ref="AB1362:AE1362"/>
    <mergeCell ref="AJ1362:AK1362"/>
    <mergeCell ref="AL1362:AM1362"/>
    <mergeCell ref="AN1362:AO1362"/>
    <mergeCell ref="AP1362:AQ1362"/>
    <mergeCell ref="AR1362:AS1362"/>
    <mergeCell ref="AT1362:AU1362"/>
    <mergeCell ref="AX1362:AZ1362"/>
    <mergeCell ref="BA1362:BB1362"/>
    <mergeCell ref="BD1362:BE1362"/>
    <mergeCell ref="BF1362:BI1362"/>
    <mergeCell ref="BJ1362:BM1362"/>
    <mergeCell ref="BN1360:BV1360"/>
    <mergeCell ref="B1361:C1361"/>
    <mergeCell ref="D1361:E1361"/>
    <mergeCell ref="F1361:G1361"/>
    <mergeCell ref="H1361:I1361"/>
    <mergeCell ref="L1361:M1361"/>
    <mergeCell ref="P1361:Q1361"/>
    <mergeCell ref="R1361:S1361"/>
    <mergeCell ref="T1361:U1361"/>
    <mergeCell ref="V1361:W1361"/>
    <mergeCell ref="X1361:AA1361"/>
    <mergeCell ref="AB1361:AE1361"/>
    <mergeCell ref="AJ1361:AK1361"/>
    <mergeCell ref="AL1361:AM1361"/>
    <mergeCell ref="AN1361:AO1361"/>
    <mergeCell ref="AP1361:AQ1361"/>
    <mergeCell ref="AR1361:AS1361"/>
    <mergeCell ref="AT1361:AU1361"/>
    <mergeCell ref="AX1361:AZ1361"/>
    <mergeCell ref="BA1361:BB1361"/>
    <mergeCell ref="BD1361:BE1361"/>
    <mergeCell ref="BF1361:BI1361"/>
    <mergeCell ref="BJ1361:BM1361"/>
    <mergeCell ref="AV1361:AW1361"/>
    <mergeCell ref="AV1362:AW1362"/>
    <mergeCell ref="J1360:K1360"/>
    <mergeCell ref="J1361:K1361"/>
    <mergeCell ref="BN1363:BV1363"/>
    <mergeCell ref="B1364:C1364"/>
    <mergeCell ref="D1364:E1364"/>
    <mergeCell ref="F1364:G1364"/>
    <mergeCell ref="H1364:I1364"/>
    <mergeCell ref="L1364:M1364"/>
    <mergeCell ref="P1364:Q1364"/>
    <mergeCell ref="R1364:S1364"/>
    <mergeCell ref="T1364:U1364"/>
    <mergeCell ref="V1364:W1364"/>
    <mergeCell ref="X1364:AA1364"/>
    <mergeCell ref="AB1364:AE1364"/>
    <mergeCell ref="AJ1364:AK1364"/>
    <mergeCell ref="AL1364:AM1364"/>
    <mergeCell ref="AN1364:AO1364"/>
    <mergeCell ref="AP1364:AQ1364"/>
    <mergeCell ref="AR1364:AS1364"/>
    <mergeCell ref="AT1364:AU1364"/>
    <mergeCell ref="AX1364:AZ1364"/>
    <mergeCell ref="BA1364:BB1364"/>
    <mergeCell ref="BD1364:BE1364"/>
    <mergeCell ref="BF1364:BI1364"/>
    <mergeCell ref="BJ1364:BM1364"/>
    <mergeCell ref="BN1364:BV1364"/>
    <mergeCell ref="BN1362:BV1362"/>
    <mergeCell ref="B1363:C1363"/>
    <mergeCell ref="D1363:E1363"/>
    <mergeCell ref="F1363:G1363"/>
    <mergeCell ref="H1363:I1363"/>
    <mergeCell ref="L1363:M1363"/>
    <mergeCell ref="P1363:Q1363"/>
    <mergeCell ref="R1363:S1363"/>
    <mergeCell ref="T1363:U1363"/>
    <mergeCell ref="V1363:W1363"/>
    <mergeCell ref="X1363:AA1363"/>
    <mergeCell ref="AB1363:AE1363"/>
    <mergeCell ref="AJ1363:AK1363"/>
    <mergeCell ref="AL1363:AM1363"/>
    <mergeCell ref="AN1363:AO1363"/>
    <mergeCell ref="AP1363:AQ1363"/>
    <mergeCell ref="AR1363:AS1363"/>
    <mergeCell ref="AT1363:AU1363"/>
    <mergeCell ref="AX1363:AZ1363"/>
    <mergeCell ref="BA1363:BB1363"/>
    <mergeCell ref="BD1363:BE1363"/>
    <mergeCell ref="BF1363:BI1363"/>
    <mergeCell ref="BJ1363:BM1363"/>
    <mergeCell ref="AV1363:AW1363"/>
    <mergeCell ref="AV1364:AW1364"/>
    <mergeCell ref="J1362:K1362"/>
    <mergeCell ref="J1363:K1363"/>
    <mergeCell ref="J1364:K1364"/>
    <mergeCell ref="AN1366:AO1366"/>
    <mergeCell ref="AP1366:AQ1366"/>
    <mergeCell ref="AR1366:AS1366"/>
    <mergeCell ref="AT1366:AU1366"/>
    <mergeCell ref="AX1366:AZ1366"/>
    <mergeCell ref="BA1366:BB1366"/>
    <mergeCell ref="BD1366:BE1366"/>
    <mergeCell ref="BF1366:BI1366"/>
    <mergeCell ref="BJ1366:BM1366"/>
    <mergeCell ref="BN1366:BV1366"/>
    <mergeCell ref="B1367:C1367"/>
    <mergeCell ref="D1367:E1367"/>
    <mergeCell ref="F1367:G1367"/>
    <mergeCell ref="H1367:I1367"/>
    <mergeCell ref="L1367:M1367"/>
    <mergeCell ref="P1367:Q1367"/>
    <mergeCell ref="R1367:S1367"/>
    <mergeCell ref="T1367:U1367"/>
    <mergeCell ref="V1367:W1367"/>
    <mergeCell ref="X1367:AA1367"/>
    <mergeCell ref="AB1367:AE1367"/>
    <mergeCell ref="AJ1367:AK1367"/>
    <mergeCell ref="AL1367:AM1367"/>
    <mergeCell ref="AN1367:AO1367"/>
    <mergeCell ref="AL1365:AM1365"/>
    <mergeCell ref="AN1365:AO1365"/>
    <mergeCell ref="AP1365:AQ1365"/>
    <mergeCell ref="AR1365:AS1365"/>
    <mergeCell ref="AT1365:AU1365"/>
    <mergeCell ref="AX1365:AZ1365"/>
    <mergeCell ref="BA1365:BB1365"/>
    <mergeCell ref="BD1365:BE1365"/>
    <mergeCell ref="BF1365:BI1365"/>
    <mergeCell ref="BJ1365:BM1365"/>
    <mergeCell ref="BN1365:BV1365"/>
    <mergeCell ref="B1366:C1366"/>
    <mergeCell ref="D1366:E1366"/>
    <mergeCell ref="F1366:G1366"/>
    <mergeCell ref="H1366:I1366"/>
    <mergeCell ref="L1366:M1366"/>
    <mergeCell ref="P1366:Q1366"/>
    <mergeCell ref="R1366:S1366"/>
    <mergeCell ref="T1366:U1366"/>
    <mergeCell ref="V1366:W1366"/>
    <mergeCell ref="X1366:AA1366"/>
    <mergeCell ref="AB1366:AE1366"/>
    <mergeCell ref="AJ1366:AK1366"/>
    <mergeCell ref="AL1366:AM1366"/>
    <mergeCell ref="B1365:C1365"/>
    <mergeCell ref="D1365:E1365"/>
    <mergeCell ref="F1365:G1365"/>
    <mergeCell ref="H1365:I1365"/>
    <mergeCell ref="L1365:M1365"/>
    <mergeCell ref="P1365:Q1365"/>
    <mergeCell ref="R1365:S1365"/>
    <mergeCell ref="T1365:U1365"/>
    <mergeCell ref="V1365:W1365"/>
    <mergeCell ref="X1365:AA1365"/>
    <mergeCell ref="AB1365:AE1365"/>
    <mergeCell ref="AJ1365:AK1365"/>
    <mergeCell ref="AV1365:AW1365"/>
    <mergeCell ref="AV1366:AW1366"/>
    <mergeCell ref="AV1367:AW1367"/>
    <mergeCell ref="J1365:K1365"/>
    <mergeCell ref="AR1368:AS1368"/>
    <mergeCell ref="AT1368:AU1368"/>
    <mergeCell ref="AX1368:AZ1368"/>
    <mergeCell ref="BA1368:BB1368"/>
    <mergeCell ref="BD1368:BE1368"/>
    <mergeCell ref="BF1368:BI1368"/>
    <mergeCell ref="BJ1368:BM1368"/>
    <mergeCell ref="BN1368:BV1368"/>
    <mergeCell ref="B1369:C1369"/>
    <mergeCell ref="D1369:E1369"/>
    <mergeCell ref="F1369:G1369"/>
    <mergeCell ref="H1369:I1369"/>
    <mergeCell ref="L1369:M1369"/>
    <mergeCell ref="P1369:Q1369"/>
    <mergeCell ref="R1369:S1369"/>
    <mergeCell ref="T1369:U1369"/>
    <mergeCell ref="V1369:W1369"/>
    <mergeCell ref="X1369:AA1369"/>
    <mergeCell ref="AB1369:AE1369"/>
    <mergeCell ref="AJ1369:AK1369"/>
    <mergeCell ref="AL1369:AM1369"/>
    <mergeCell ref="AN1369:AO1369"/>
    <mergeCell ref="AP1369:AQ1369"/>
    <mergeCell ref="AR1369:AS1369"/>
    <mergeCell ref="AP1367:AQ1367"/>
    <mergeCell ref="AR1367:AS1367"/>
    <mergeCell ref="AT1367:AU1367"/>
    <mergeCell ref="AX1367:AZ1367"/>
    <mergeCell ref="BA1367:BB1367"/>
    <mergeCell ref="BD1367:BE1367"/>
    <mergeCell ref="BF1367:BI1367"/>
    <mergeCell ref="BJ1367:BM1367"/>
    <mergeCell ref="BN1367:BV1367"/>
    <mergeCell ref="B1368:C1368"/>
    <mergeCell ref="D1368:E1368"/>
    <mergeCell ref="F1368:G1368"/>
    <mergeCell ref="H1368:I1368"/>
    <mergeCell ref="L1368:M1368"/>
    <mergeCell ref="P1368:Q1368"/>
    <mergeCell ref="R1368:S1368"/>
    <mergeCell ref="T1368:U1368"/>
    <mergeCell ref="V1368:W1368"/>
    <mergeCell ref="X1368:AA1368"/>
    <mergeCell ref="AB1368:AE1368"/>
    <mergeCell ref="AJ1368:AK1368"/>
    <mergeCell ref="AL1368:AM1368"/>
    <mergeCell ref="AN1368:AO1368"/>
    <mergeCell ref="AP1368:AQ1368"/>
    <mergeCell ref="AV1368:AW1368"/>
    <mergeCell ref="AV1369:AW1369"/>
    <mergeCell ref="AF1369:AG1369"/>
    <mergeCell ref="AX1370:AZ1370"/>
    <mergeCell ref="BA1370:BB1370"/>
    <mergeCell ref="BD1370:BE1370"/>
    <mergeCell ref="BF1370:BI1370"/>
    <mergeCell ref="BJ1370:BM1370"/>
    <mergeCell ref="BN1370:BV1370"/>
    <mergeCell ref="B1371:C1371"/>
    <mergeCell ref="D1371:E1371"/>
    <mergeCell ref="F1371:G1371"/>
    <mergeCell ref="H1371:I1371"/>
    <mergeCell ref="L1371:M1371"/>
    <mergeCell ref="P1371:Q1371"/>
    <mergeCell ref="R1371:S1371"/>
    <mergeCell ref="T1371:U1371"/>
    <mergeCell ref="V1371:W1371"/>
    <mergeCell ref="X1371:AA1371"/>
    <mergeCell ref="AB1371:AE1371"/>
    <mergeCell ref="AJ1371:AK1371"/>
    <mergeCell ref="AL1371:AM1371"/>
    <mergeCell ref="AN1371:AO1371"/>
    <mergeCell ref="AP1371:AQ1371"/>
    <mergeCell ref="AR1371:AS1371"/>
    <mergeCell ref="AT1371:AU1371"/>
    <mergeCell ref="AX1371:AZ1371"/>
    <mergeCell ref="AT1369:AU1369"/>
    <mergeCell ref="AX1369:AZ1369"/>
    <mergeCell ref="BA1369:BB1369"/>
    <mergeCell ref="BD1369:BE1369"/>
    <mergeCell ref="BF1369:BI1369"/>
    <mergeCell ref="BJ1369:BM1369"/>
    <mergeCell ref="BN1369:BV1369"/>
    <mergeCell ref="B1370:C1370"/>
    <mergeCell ref="D1370:E1370"/>
    <mergeCell ref="F1370:G1370"/>
    <mergeCell ref="H1370:I1370"/>
    <mergeCell ref="L1370:M1370"/>
    <mergeCell ref="P1370:Q1370"/>
    <mergeCell ref="R1370:S1370"/>
    <mergeCell ref="T1370:U1370"/>
    <mergeCell ref="V1370:W1370"/>
    <mergeCell ref="X1370:AA1370"/>
    <mergeCell ref="AB1370:AE1370"/>
    <mergeCell ref="AJ1370:AK1370"/>
    <mergeCell ref="AL1370:AM1370"/>
    <mergeCell ref="AN1370:AO1370"/>
    <mergeCell ref="AP1370:AQ1370"/>
    <mergeCell ref="AR1370:AS1370"/>
    <mergeCell ref="AT1370:AU1370"/>
    <mergeCell ref="AV1370:AW1370"/>
    <mergeCell ref="AV1371:AW1371"/>
    <mergeCell ref="AF1370:AG1370"/>
    <mergeCell ref="AF1371:AG1371"/>
    <mergeCell ref="BD1372:BE1372"/>
    <mergeCell ref="BF1372:BI1372"/>
    <mergeCell ref="BJ1372:BM1372"/>
    <mergeCell ref="BN1372:BV1372"/>
    <mergeCell ref="B1373:C1373"/>
    <mergeCell ref="D1373:E1373"/>
    <mergeCell ref="F1373:G1373"/>
    <mergeCell ref="H1373:I1373"/>
    <mergeCell ref="L1373:M1373"/>
    <mergeCell ref="P1373:Q1373"/>
    <mergeCell ref="R1373:S1373"/>
    <mergeCell ref="T1373:U1373"/>
    <mergeCell ref="V1373:W1373"/>
    <mergeCell ref="X1373:AA1373"/>
    <mergeCell ref="AB1373:AE1373"/>
    <mergeCell ref="AJ1373:AK1373"/>
    <mergeCell ref="AL1373:AM1373"/>
    <mergeCell ref="AN1373:AO1373"/>
    <mergeCell ref="AP1373:AQ1373"/>
    <mergeCell ref="AR1373:AS1373"/>
    <mergeCell ref="AT1373:AU1373"/>
    <mergeCell ref="AX1373:AZ1373"/>
    <mergeCell ref="BA1373:BB1373"/>
    <mergeCell ref="BD1373:BE1373"/>
    <mergeCell ref="BA1371:BB1371"/>
    <mergeCell ref="BD1371:BE1371"/>
    <mergeCell ref="BF1371:BI1371"/>
    <mergeCell ref="BJ1371:BM1371"/>
    <mergeCell ref="BN1371:BV1371"/>
    <mergeCell ref="B1372:C1372"/>
    <mergeCell ref="D1372:E1372"/>
    <mergeCell ref="F1372:G1372"/>
    <mergeCell ref="H1372:I1372"/>
    <mergeCell ref="L1372:M1372"/>
    <mergeCell ref="P1372:Q1372"/>
    <mergeCell ref="R1372:S1372"/>
    <mergeCell ref="T1372:U1372"/>
    <mergeCell ref="V1372:W1372"/>
    <mergeCell ref="X1372:AA1372"/>
    <mergeCell ref="AB1372:AE1372"/>
    <mergeCell ref="AJ1372:AK1372"/>
    <mergeCell ref="AL1372:AM1372"/>
    <mergeCell ref="AN1372:AO1372"/>
    <mergeCell ref="AP1372:AQ1372"/>
    <mergeCell ref="AR1372:AS1372"/>
    <mergeCell ref="AT1372:AU1372"/>
    <mergeCell ref="AX1372:AZ1372"/>
    <mergeCell ref="BA1372:BB1372"/>
    <mergeCell ref="AV1372:AW1372"/>
    <mergeCell ref="AV1373:AW1373"/>
    <mergeCell ref="AF1372:AG1372"/>
    <mergeCell ref="AF1373:AG1373"/>
    <mergeCell ref="BJ1374:BM1374"/>
    <mergeCell ref="BN1374:BV1374"/>
    <mergeCell ref="B1375:C1375"/>
    <mergeCell ref="D1375:E1375"/>
    <mergeCell ref="F1375:G1375"/>
    <mergeCell ref="H1375:I1375"/>
    <mergeCell ref="L1375:M1375"/>
    <mergeCell ref="P1375:Q1375"/>
    <mergeCell ref="R1375:S1375"/>
    <mergeCell ref="T1375:U1375"/>
    <mergeCell ref="V1375:W1375"/>
    <mergeCell ref="X1375:AA1375"/>
    <mergeCell ref="AB1375:AE1375"/>
    <mergeCell ref="AJ1375:AK1375"/>
    <mergeCell ref="AL1375:AM1375"/>
    <mergeCell ref="AN1375:AO1375"/>
    <mergeCell ref="AP1375:AQ1375"/>
    <mergeCell ref="AR1375:AS1375"/>
    <mergeCell ref="AT1375:AU1375"/>
    <mergeCell ref="AX1375:AZ1375"/>
    <mergeCell ref="BA1375:BB1375"/>
    <mergeCell ref="BD1375:BE1375"/>
    <mergeCell ref="BF1375:BI1375"/>
    <mergeCell ref="BJ1375:BM1375"/>
    <mergeCell ref="BF1373:BI1373"/>
    <mergeCell ref="BJ1373:BM1373"/>
    <mergeCell ref="BN1373:BV1373"/>
    <mergeCell ref="B1374:C1374"/>
    <mergeCell ref="D1374:E1374"/>
    <mergeCell ref="F1374:G1374"/>
    <mergeCell ref="H1374:I1374"/>
    <mergeCell ref="L1374:M1374"/>
    <mergeCell ref="P1374:Q1374"/>
    <mergeCell ref="R1374:S1374"/>
    <mergeCell ref="T1374:U1374"/>
    <mergeCell ref="V1374:W1374"/>
    <mergeCell ref="X1374:AA1374"/>
    <mergeCell ref="AB1374:AE1374"/>
    <mergeCell ref="AJ1374:AK1374"/>
    <mergeCell ref="AL1374:AM1374"/>
    <mergeCell ref="AN1374:AO1374"/>
    <mergeCell ref="AP1374:AQ1374"/>
    <mergeCell ref="AR1374:AS1374"/>
    <mergeCell ref="AT1374:AU1374"/>
    <mergeCell ref="AX1374:AZ1374"/>
    <mergeCell ref="BA1374:BB1374"/>
    <mergeCell ref="BD1374:BE1374"/>
    <mergeCell ref="BF1374:BI1374"/>
    <mergeCell ref="AV1374:AW1374"/>
    <mergeCell ref="AV1375:AW1375"/>
    <mergeCell ref="AF1374:AG1374"/>
    <mergeCell ref="AF1375:AG1375"/>
    <mergeCell ref="BN1376:BV1376"/>
    <mergeCell ref="B1377:C1377"/>
    <mergeCell ref="D1377:E1377"/>
    <mergeCell ref="F1377:G1377"/>
    <mergeCell ref="H1377:I1377"/>
    <mergeCell ref="L1377:M1377"/>
    <mergeCell ref="P1377:Q1377"/>
    <mergeCell ref="R1377:S1377"/>
    <mergeCell ref="T1377:U1377"/>
    <mergeCell ref="V1377:W1377"/>
    <mergeCell ref="X1377:AA1377"/>
    <mergeCell ref="AB1377:AE1377"/>
    <mergeCell ref="AJ1377:AK1377"/>
    <mergeCell ref="AL1377:AM1377"/>
    <mergeCell ref="AN1377:AO1377"/>
    <mergeCell ref="AP1377:AQ1377"/>
    <mergeCell ref="AR1377:AS1377"/>
    <mergeCell ref="AT1377:AU1377"/>
    <mergeCell ref="AX1377:AZ1377"/>
    <mergeCell ref="BA1377:BB1377"/>
    <mergeCell ref="BD1377:BE1377"/>
    <mergeCell ref="BF1377:BI1377"/>
    <mergeCell ref="BJ1377:BM1377"/>
    <mergeCell ref="BN1375:BV1375"/>
    <mergeCell ref="B1376:C1376"/>
    <mergeCell ref="D1376:E1376"/>
    <mergeCell ref="F1376:G1376"/>
    <mergeCell ref="H1376:I1376"/>
    <mergeCell ref="L1376:M1376"/>
    <mergeCell ref="P1376:Q1376"/>
    <mergeCell ref="R1376:S1376"/>
    <mergeCell ref="T1376:U1376"/>
    <mergeCell ref="V1376:W1376"/>
    <mergeCell ref="X1376:AA1376"/>
    <mergeCell ref="AB1376:AE1376"/>
    <mergeCell ref="AJ1376:AK1376"/>
    <mergeCell ref="AL1376:AM1376"/>
    <mergeCell ref="AN1376:AO1376"/>
    <mergeCell ref="AP1376:AQ1376"/>
    <mergeCell ref="AR1376:AS1376"/>
    <mergeCell ref="AT1376:AU1376"/>
    <mergeCell ref="AX1376:AZ1376"/>
    <mergeCell ref="BA1376:BB1376"/>
    <mergeCell ref="BD1376:BE1376"/>
    <mergeCell ref="BF1376:BI1376"/>
    <mergeCell ref="BJ1376:BM1376"/>
    <mergeCell ref="AV1376:AW1376"/>
    <mergeCell ref="AV1377:AW1377"/>
    <mergeCell ref="AF1376:AG1376"/>
    <mergeCell ref="AF1377:AG1377"/>
    <mergeCell ref="BN1378:BV1378"/>
    <mergeCell ref="B1379:C1379"/>
    <mergeCell ref="D1379:E1379"/>
    <mergeCell ref="F1379:G1379"/>
    <mergeCell ref="H1379:I1379"/>
    <mergeCell ref="L1379:M1379"/>
    <mergeCell ref="P1379:Q1379"/>
    <mergeCell ref="R1379:S1379"/>
    <mergeCell ref="T1379:U1379"/>
    <mergeCell ref="V1379:W1379"/>
    <mergeCell ref="X1379:AA1379"/>
    <mergeCell ref="AB1379:AE1379"/>
    <mergeCell ref="AJ1379:AK1379"/>
    <mergeCell ref="AL1379:AM1379"/>
    <mergeCell ref="AN1379:AO1379"/>
    <mergeCell ref="AP1379:AQ1379"/>
    <mergeCell ref="AR1379:AS1379"/>
    <mergeCell ref="AT1379:AU1379"/>
    <mergeCell ref="AX1379:AZ1379"/>
    <mergeCell ref="BA1379:BB1379"/>
    <mergeCell ref="BD1379:BE1379"/>
    <mergeCell ref="BF1379:BI1379"/>
    <mergeCell ref="BJ1379:BM1379"/>
    <mergeCell ref="BN1379:BV1379"/>
    <mergeCell ref="BN1377:BV1377"/>
    <mergeCell ref="B1378:C1378"/>
    <mergeCell ref="D1378:E1378"/>
    <mergeCell ref="F1378:G1378"/>
    <mergeCell ref="H1378:I1378"/>
    <mergeCell ref="L1378:M1378"/>
    <mergeCell ref="P1378:Q1378"/>
    <mergeCell ref="R1378:S1378"/>
    <mergeCell ref="T1378:U1378"/>
    <mergeCell ref="V1378:W1378"/>
    <mergeCell ref="X1378:AA1378"/>
    <mergeCell ref="AB1378:AE1378"/>
    <mergeCell ref="AJ1378:AK1378"/>
    <mergeCell ref="AL1378:AM1378"/>
    <mergeCell ref="AN1378:AO1378"/>
    <mergeCell ref="AP1378:AQ1378"/>
    <mergeCell ref="AR1378:AS1378"/>
    <mergeCell ref="AT1378:AU1378"/>
    <mergeCell ref="AX1378:AZ1378"/>
    <mergeCell ref="BA1378:BB1378"/>
    <mergeCell ref="BD1378:BE1378"/>
    <mergeCell ref="BF1378:BI1378"/>
    <mergeCell ref="BJ1378:BM1378"/>
    <mergeCell ref="AV1378:AW1378"/>
    <mergeCell ref="AV1379:AW1379"/>
    <mergeCell ref="AF1378:AG1378"/>
    <mergeCell ref="AF1379:AG1379"/>
    <mergeCell ref="AN1381:AO1381"/>
    <mergeCell ref="AP1381:AQ1381"/>
    <mergeCell ref="AR1381:AS1381"/>
    <mergeCell ref="AT1381:AU1381"/>
    <mergeCell ref="AX1381:AZ1381"/>
    <mergeCell ref="BA1381:BB1381"/>
    <mergeCell ref="BD1381:BE1381"/>
    <mergeCell ref="BF1381:BI1381"/>
    <mergeCell ref="BJ1381:BM1381"/>
    <mergeCell ref="BN1381:BV1381"/>
    <mergeCell ref="B1382:C1382"/>
    <mergeCell ref="D1382:E1382"/>
    <mergeCell ref="F1382:G1382"/>
    <mergeCell ref="H1382:I1382"/>
    <mergeCell ref="L1382:M1382"/>
    <mergeCell ref="P1382:Q1382"/>
    <mergeCell ref="R1382:S1382"/>
    <mergeCell ref="T1382:U1382"/>
    <mergeCell ref="V1382:W1382"/>
    <mergeCell ref="X1382:AA1382"/>
    <mergeCell ref="AB1382:AE1382"/>
    <mergeCell ref="AJ1382:AK1382"/>
    <mergeCell ref="AL1382:AM1382"/>
    <mergeCell ref="AN1382:AO1382"/>
    <mergeCell ref="AL1380:AM1380"/>
    <mergeCell ref="AN1380:AO1380"/>
    <mergeCell ref="AP1380:AQ1380"/>
    <mergeCell ref="AR1380:AS1380"/>
    <mergeCell ref="AT1380:AU1380"/>
    <mergeCell ref="AX1380:AZ1380"/>
    <mergeCell ref="BA1380:BB1380"/>
    <mergeCell ref="BD1380:BE1380"/>
    <mergeCell ref="BF1380:BI1380"/>
    <mergeCell ref="BJ1380:BM1380"/>
    <mergeCell ref="BN1380:BV1380"/>
    <mergeCell ref="B1381:C1381"/>
    <mergeCell ref="D1381:E1381"/>
    <mergeCell ref="F1381:G1381"/>
    <mergeCell ref="H1381:I1381"/>
    <mergeCell ref="L1381:M1381"/>
    <mergeCell ref="P1381:Q1381"/>
    <mergeCell ref="R1381:S1381"/>
    <mergeCell ref="T1381:U1381"/>
    <mergeCell ref="V1381:W1381"/>
    <mergeCell ref="X1381:AA1381"/>
    <mergeCell ref="AB1381:AE1381"/>
    <mergeCell ref="AJ1381:AK1381"/>
    <mergeCell ref="AL1381:AM1381"/>
    <mergeCell ref="B1380:C1380"/>
    <mergeCell ref="D1380:E1380"/>
    <mergeCell ref="F1380:G1380"/>
    <mergeCell ref="H1380:I1380"/>
    <mergeCell ref="L1380:M1380"/>
    <mergeCell ref="P1380:Q1380"/>
    <mergeCell ref="R1380:S1380"/>
    <mergeCell ref="T1380:U1380"/>
    <mergeCell ref="V1380:W1380"/>
    <mergeCell ref="X1380:AA1380"/>
    <mergeCell ref="AB1380:AE1380"/>
    <mergeCell ref="AJ1380:AK1380"/>
    <mergeCell ref="AV1380:AW1380"/>
    <mergeCell ref="AV1381:AW1381"/>
    <mergeCell ref="AV1382:AW1382"/>
    <mergeCell ref="AF1380:AG1380"/>
    <mergeCell ref="AR1383:AS1383"/>
    <mergeCell ref="AT1383:AU1383"/>
    <mergeCell ref="AX1383:AZ1383"/>
    <mergeCell ref="BA1383:BB1383"/>
    <mergeCell ref="BD1383:BE1383"/>
    <mergeCell ref="BF1383:BI1383"/>
    <mergeCell ref="BJ1383:BM1383"/>
    <mergeCell ref="BN1383:BV1383"/>
    <mergeCell ref="B1384:C1384"/>
    <mergeCell ref="D1384:E1384"/>
    <mergeCell ref="F1384:G1384"/>
    <mergeCell ref="H1384:I1384"/>
    <mergeCell ref="L1384:M1384"/>
    <mergeCell ref="P1384:Q1384"/>
    <mergeCell ref="R1384:S1384"/>
    <mergeCell ref="T1384:U1384"/>
    <mergeCell ref="V1384:W1384"/>
    <mergeCell ref="X1384:AA1384"/>
    <mergeCell ref="AB1384:AE1384"/>
    <mergeCell ref="AJ1384:AK1384"/>
    <mergeCell ref="AL1384:AM1384"/>
    <mergeCell ref="AN1384:AO1384"/>
    <mergeCell ref="AP1384:AQ1384"/>
    <mergeCell ref="AR1384:AS1384"/>
    <mergeCell ref="AP1382:AQ1382"/>
    <mergeCell ref="AR1382:AS1382"/>
    <mergeCell ref="AT1382:AU1382"/>
    <mergeCell ref="AX1382:AZ1382"/>
    <mergeCell ref="BA1382:BB1382"/>
    <mergeCell ref="BD1382:BE1382"/>
    <mergeCell ref="BF1382:BI1382"/>
    <mergeCell ref="BJ1382:BM1382"/>
    <mergeCell ref="BN1382:BV1382"/>
    <mergeCell ref="B1383:C1383"/>
    <mergeCell ref="D1383:E1383"/>
    <mergeCell ref="F1383:G1383"/>
    <mergeCell ref="H1383:I1383"/>
    <mergeCell ref="L1383:M1383"/>
    <mergeCell ref="P1383:Q1383"/>
    <mergeCell ref="R1383:S1383"/>
    <mergeCell ref="T1383:U1383"/>
    <mergeCell ref="V1383:W1383"/>
    <mergeCell ref="X1383:AA1383"/>
    <mergeCell ref="AB1383:AE1383"/>
    <mergeCell ref="AJ1383:AK1383"/>
    <mergeCell ref="AL1383:AM1383"/>
    <mergeCell ref="AN1383:AO1383"/>
    <mergeCell ref="AP1383:AQ1383"/>
    <mergeCell ref="AV1383:AW1383"/>
    <mergeCell ref="AV1384:AW1384"/>
    <mergeCell ref="AX1385:AZ1385"/>
    <mergeCell ref="BA1385:BB1385"/>
    <mergeCell ref="BD1385:BE1385"/>
    <mergeCell ref="BF1385:BI1385"/>
    <mergeCell ref="BJ1385:BM1385"/>
    <mergeCell ref="BN1385:BV1385"/>
    <mergeCell ref="B1386:C1386"/>
    <mergeCell ref="D1386:E1386"/>
    <mergeCell ref="F1386:G1386"/>
    <mergeCell ref="H1386:I1386"/>
    <mergeCell ref="L1386:M1386"/>
    <mergeCell ref="P1386:Q1386"/>
    <mergeCell ref="R1386:S1386"/>
    <mergeCell ref="T1386:U1386"/>
    <mergeCell ref="V1386:W1386"/>
    <mergeCell ref="X1386:AA1386"/>
    <mergeCell ref="AB1386:AE1386"/>
    <mergeCell ref="AJ1386:AK1386"/>
    <mergeCell ref="AL1386:AM1386"/>
    <mergeCell ref="AN1386:AO1386"/>
    <mergeCell ref="AP1386:AQ1386"/>
    <mergeCell ref="AR1386:AS1386"/>
    <mergeCell ref="AT1386:AU1386"/>
    <mergeCell ref="AX1386:AZ1386"/>
    <mergeCell ref="AT1384:AU1384"/>
    <mergeCell ref="AX1384:AZ1384"/>
    <mergeCell ref="BA1384:BB1384"/>
    <mergeCell ref="BD1384:BE1384"/>
    <mergeCell ref="BF1384:BI1384"/>
    <mergeCell ref="BJ1384:BM1384"/>
    <mergeCell ref="BN1384:BV1384"/>
    <mergeCell ref="B1385:C1385"/>
    <mergeCell ref="D1385:E1385"/>
    <mergeCell ref="F1385:G1385"/>
    <mergeCell ref="H1385:I1385"/>
    <mergeCell ref="L1385:M1385"/>
    <mergeCell ref="P1385:Q1385"/>
    <mergeCell ref="R1385:S1385"/>
    <mergeCell ref="T1385:U1385"/>
    <mergeCell ref="V1385:W1385"/>
    <mergeCell ref="X1385:AA1385"/>
    <mergeCell ref="AB1385:AE1385"/>
    <mergeCell ref="AJ1385:AK1385"/>
    <mergeCell ref="AL1385:AM1385"/>
    <mergeCell ref="AN1385:AO1385"/>
    <mergeCell ref="AP1385:AQ1385"/>
    <mergeCell ref="AR1385:AS1385"/>
    <mergeCell ref="AT1385:AU1385"/>
    <mergeCell ref="AV1385:AW1385"/>
    <mergeCell ref="AV1386:AW1386"/>
    <mergeCell ref="AH1384:AI1384"/>
    <mergeCell ref="AH1385:AI1385"/>
    <mergeCell ref="BD1387:BE1387"/>
    <mergeCell ref="BF1387:BI1387"/>
    <mergeCell ref="BJ1387:BM1387"/>
    <mergeCell ref="BN1387:BV1387"/>
    <mergeCell ref="B1388:C1388"/>
    <mergeCell ref="D1388:E1388"/>
    <mergeCell ref="F1388:G1388"/>
    <mergeCell ref="H1388:I1388"/>
    <mergeCell ref="L1388:M1388"/>
    <mergeCell ref="P1388:Q1388"/>
    <mergeCell ref="R1388:S1388"/>
    <mergeCell ref="T1388:U1388"/>
    <mergeCell ref="V1388:W1388"/>
    <mergeCell ref="X1388:AA1388"/>
    <mergeCell ref="AB1388:AE1388"/>
    <mergeCell ref="AJ1388:AK1388"/>
    <mergeCell ref="AL1388:AM1388"/>
    <mergeCell ref="AN1388:AO1388"/>
    <mergeCell ref="AP1388:AQ1388"/>
    <mergeCell ref="AR1388:AS1388"/>
    <mergeCell ref="AT1388:AU1388"/>
    <mergeCell ref="AX1388:AZ1388"/>
    <mergeCell ref="BA1388:BB1388"/>
    <mergeCell ref="BD1388:BE1388"/>
    <mergeCell ref="BA1386:BB1386"/>
    <mergeCell ref="BD1386:BE1386"/>
    <mergeCell ref="BF1386:BI1386"/>
    <mergeCell ref="BJ1386:BM1386"/>
    <mergeCell ref="BN1386:BV1386"/>
    <mergeCell ref="B1387:C1387"/>
    <mergeCell ref="D1387:E1387"/>
    <mergeCell ref="F1387:G1387"/>
    <mergeCell ref="H1387:I1387"/>
    <mergeCell ref="L1387:M1387"/>
    <mergeCell ref="P1387:Q1387"/>
    <mergeCell ref="R1387:S1387"/>
    <mergeCell ref="T1387:U1387"/>
    <mergeCell ref="V1387:W1387"/>
    <mergeCell ref="X1387:AA1387"/>
    <mergeCell ref="AB1387:AE1387"/>
    <mergeCell ref="AJ1387:AK1387"/>
    <mergeCell ref="AL1387:AM1387"/>
    <mergeCell ref="AN1387:AO1387"/>
    <mergeCell ref="AP1387:AQ1387"/>
    <mergeCell ref="AR1387:AS1387"/>
    <mergeCell ref="AT1387:AU1387"/>
    <mergeCell ref="AX1387:AZ1387"/>
    <mergeCell ref="BA1387:BB1387"/>
    <mergeCell ref="AV1387:AW1387"/>
    <mergeCell ref="AV1388:AW1388"/>
    <mergeCell ref="AH1386:AI1386"/>
    <mergeCell ref="AH1387:AI1387"/>
    <mergeCell ref="BJ1389:BM1389"/>
    <mergeCell ref="BN1389:BV1389"/>
    <mergeCell ref="B1390:C1390"/>
    <mergeCell ref="D1390:E1390"/>
    <mergeCell ref="F1390:G1390"/>
    <mergeCell ref="H1390:I1390"/>
    <mergeCell ref="L1390:M1390"/>
    <mergeCell ref="P1390:Q1390"/>
    <mergeCell ref="R1390:S1390"/>
    <mergeCell ref="T1390:U1390"/>
    <mergeCell ref="V1390:W1390"/>
    <mergeCell ref="X1390:AA1390"/>
    <mergeCell ref="AB1390:AE1390"/>
    <mergeCell ref="AJ1390:AK1390"/>
    <mergeCell ref="AL1390:AM1390"/>
    <mergeCell ref="AN1390:AO1390"/>
    <mergeCell ref="AP1390:AQ1390"/>
    <mergeCell ref="AR1390:AS1390"/>
    <mergeCell ref="AT1390:AU1390"/>
    <mergeCell ref="AX1390:AZ1390"/>
    <mergeCell ref="BA1390:BB1390"/>
    <mergeCell ref="BD1390:BE1390"/>
    <mergeCell ref="BF1390:BI1390"/>
    <mergeCell ref="BJ1390:BM1390"/>
    <mergeCell ref="BF1388:BI1388"/>
    <mergeCell ref="BJ1388:BM1388"/>
    <mergeCell ref="BN1388:BV1388"/>
    <mergeCell ref="B1389:C1389"/>
    <mergeCell ref="D1389:E1389"/>
    <mergeCell ref="F1389:G1389"/>
    <mergeCell ref="H1389:I1389"/>
    <mergeCell ref="L1389:M1389"/>
    <mergeCell ref="P1389:Q1389"/>
    <mergeCell ref="R1389:S1389"/>
    <mergeCell ref="T1389:U1389"/>
    <mergeCell ref="V1389:W1389"/>
    <mergeCell ref="X1389:AA1389"/>
    <mergeCell ref="AB1389:AE1389"/>
    <mergeCell ref="AJ1389:AK1389"/>
    <mergeCell ref="AL1389:AM1389"/>
    <mergeCell ref="AN1389:AO1389"/>
    <mergeCell ref="AP1389:AQ1389"/>
    <mergeCell ref="AR1389:AS1389"/>
    <mergeCell ref="AT1389:AU1389"/>
    <mergeCell ref="AX1389:AZ1389"/>
    <mergeCell ref="BA1389:BB1389"/>
    <mergeCell ref="BD1389:BE1389"/>
    <mergeCell ref="BF1389:BI1389"/>
    <mergeCell ref="AV1389:AW1389"/>
    <mergeCell ref="AV1390:AW1390"/>
    <mergeCell ref="AH1388:AI1388"/>
    <mergeCell ref="AH1389:AI1389"/>
    <mergeCell ref="BN1391:BV1391"/>
    <mergeCell ref="B1392:C1392"/>
    <mergeCell ref="D1392:E1392"/>
    <mergeCell ref="F1392:G1392"/>
    <mergeCell ref="H1392:I1392"/>
    <mergeCell ref="L1392:M1392"/>
    <mergeCell ref="P1392:Q1392"/>
    <mergeCell ref="R1392:S1392"/>
    <mergeCell ref="T1392:U1392"/>
    <mergeCell ref="V1392:W1392"/>
    <mergeCell ref="X1392:AA1392"/>
    <mergeCell ref="AB1392:AE1392"/>
    <mergeCell ref="AJ1392:AK1392"/>
    <mergeCell ref="AL1392:AM1392"/>
    <mergeCell ref="AN1392:AO1392"/>
    <mergeCell ref="AP1392:AQ1392"/>
    <mergeCell ref="AR1392:AS1392"/>
    <mergeCell ref="AT1392:AU1392"/>
    <mergeCell ref="AX1392:AZ1392"/>
    <mergeCell ref="BA1392:BB1392"/>
    <mergeCell ref="BD1392:BE1392"/>
    <mergeCell ref="BF1392:BI1392"/>
    <mergeCell ref="BJ1392:BM1392"/>
    <mergeCell ref="BN1390:BV1390"/>
    <mergeCell ref="B1391:C1391"/>
    <mergeCell ref="D1391:E1391"/>
    <mergeCell ref="F1391:G1391"/>
    <mergeCell ref="H1391:I1391"/>
    <mergeCell ref="L1391:M1391"/>
    <mergeCell ref="P1391:Q1391"/>
    <mergeCell ref="R1391:S1391"/>
    <mergeCell ref="T1391:U1391"/>
    <mergeCell ref="V1391:W1391"/>
    <mergeCell ref="X1391:AA1391"/>
    <mergeCell ref="AB1391:AE1391"/>
    <mergeCell ref="AJ1391:AK1391"/>
    <mergeCell ref="AL1391:AM1391"/>
    <mergeCell ref="AN1391:AO1391"/>
    <mergeCell ref="AP1391:AQ1391"/>
    <mergeCell ref="AR1391:AS1391"/>
    <mergeCell ref="AT1391:AU1391"/>
    <mergeCell ref="AX1391:AZ1391"/>
    <mergeCell ref="BA1391:BB1391"/>
    <mergeCell ref="BD1391:BE1391"/>
    <mergeCell ref="BF1391:BI1391"/>
    <mergeCell ref="BJ1391:BM1391"/>
    <mergeCell ref="AV1391:AW1391"/>
    <mergeCell ref="AV1392:AW1392"/>
    <mergeCell ref="AH1390:AI1390"/>
    <mergeCell ref="AH1391:AI1391"/>
    <mergeCell ref="BN1393:BV1393"/>
    <mergeCell ref="B1394:C1394"/>
    <mergeCell ref="D1394:E1394"/>
    <mergeCell ref="F1394:G1394"/>
    <mergeCell ref="H1394:I1394"/>
    <mergeCell ref="L1394:M1394"/>
    <mergeCell ref="P1394:Q1394"/>
    <mergeCell ref="R1394:S1394"/>
    <mergeCell ref="T1394:U1394"/>
    <mergeCell ref="V1394:W1394"/>
    <mergeCell ref="X1394:AA1394"/>
    <mergeCell ref="AB1394:AE1394"/>
    <mergeCell ref="AJ1394:AK1394"/>
    <mergeCell ref="AL1394:AM1394"/>
    <mergeCell ref="AN1394:AO1394"/>
    <mergeCell ref="AP1394:AQ1394"/>
    <mergeCell ref="AR1394:AS1394"/>
    <mergeCell ref="AT1394:AU1394"/>
    <mergeCell ref="AX1394:AZ1394"/>
    <mergeCell ref="BA1394:BB1394"/>
    <mergeCell ref="BD1394:BE1394"/>
    <mergeCell ref="BF1394:BI1394"/>
    <mergeCell ref="BJ1394:BM1394"/>
    <mergeCell ref="BN1394:BV1394"/>
    <mergeCell ref="BN1392:BV1392"/>
    <mergeCell ref="B1393:C1393"/>
    <mergeCell ref="D1393:E1393"/>
    <mergeCell ref="F1393:G1393"/>
    <mergeCell ref="H1393:I1393"/>
    <mergeCell ref="L1393:M1393"/>
    <mergeCell ref="P1393:Q1393"/>
    <mergeCell ref="R1393:S1393"/>
    <mergeCell ref="T1393:U1393"/>
    <mergeCell ref="V1393:W1393"/>
    <mergeCell ref="X1393:AA1393"/>
    <mergeCell ref="AB1393:AE1393"/>
    <mergeCell ref="AJ1393:AK1393"/>
    <mergeCell ref="AL1393:AM1393"/>
    <mergeCell ref="AN1393:AO1393"/>
    <mergeCell ref="AP1393:AQ1393"/>
    <mergeCell ref="AR1393:AS1393"/>
    <mergeCell ref="AT1393:AU1393"/>
    <mergeCell ref="AX1393:AZ1393"/>
    <mergeCell ref="BA1393:BB1393"/>
    <mergeCell ref="BD1393:BE1393"/>
    <mergeCell ref="BF1393:BI1393"/>
    <mergeCell ref="BJ1393:BM1393"/>
    <mergeCell ref="AV1393:AW1393"/>
    <mergeCell ref="AV1394:AW1394"/>
    <mergeCell ref="AH1392:AI1392"/>
    <mergeCell ref="AH1393:AI1393"/>
    <mergeCell ref="AH1394:AI1394"/>
    <mergeCell ref="AN1396:AO1396"/>
    <mergeCell ref="AP1396:AQ1396"/>
    <mergeCell ref="AR1396:AS1396"/>
    <mergeCell ref="AT1396:AU1396"/>
    <mergeCell ref="AX1396:AZ1396"/>
    <mergeCell ref="BA1396:BB1396"/>
    <mergeCell ref="BD1396:BE1396"/>
    <mergeCell ref="BF1396:BI1396"/>
    <mergeCell ref="BJ1396:BM1396"/>
    <mergeCell ref="BN1396:BV1396"/>
    <mergeCell ref="B1397:C1397"/>
    <mergeCell ref="D1397:E1397"/>
    <mergeCell ref="F1397:G1397"/>
    <mergeCell ref="H1397:I1397"/>
    <mergeCell ref="L1397:M1397"/>
    <mergeCell ref="P1397:Q1397"/>
    <mergeCell ref="R1397:S1397"/>
    <mergeCell ref="T1397:U1397"/>
    <mergeCell ref="V1397:W1397"/>
    <mergeCell ref="X1397:AA1397"/>
    <mergeCell ref="AB1397:AE1397"/>
    <mergeCell ref="AJ1397:AK1397"/>
    <mergeCell ref="AL1397:AM1397"/>
    <mergeCell ref="AN1397:AO1397"/>
    <mergeCell ref="AL1395:AM1395"/>
    <mergeCell ref="AN1395:AO1395"/>
    <mergeCell ref="AP1395:AQ1395"/>
    <mergeCell ref="AR1395:AS1395"/>
    <mergeCell ref="AT1395:AU1395"/>
    <mergeCell ref="AX1395:AZ1395"/>
    <mergeCell ref="BA1395:BB1395"/>
    <mergeCell ref="BD1395:BE1395"/>
    <mergeCell ref="BF1395:BI1395"/>
    <mergeCell ref="BJ1395:BM1395"/>
    <mergeCell ref="BN1395:BV1395"/>
    <mergeCell ref="B1396:C1396"/>
    <mergeCell ref="D1396:E1396"/>
    <mergeCell ref="F1396:G1396"/>
    <mergeCell ref="H1396:I1396"/>
    <mergeCell ref="L1396:M1396"/>
    <mergeCell ref="P1396:Q1396"/>
    <mergeCell ref="R1396:S1396"/>
    <mergeCell ref="T1396:U1396"/>
    <mergeCell ref="V1396:W1396"/>
    <mergeCell ref="X1396:AA1396"/>
    <mergeCell ref="AB1396:AE1396"/>
    <mergeCell ref="AJ1396:AK1396"/>
    <mergeCell ref="AL1396:AM1396"/>
    <mergeCell ref="B1395:C1395"/>
    <mergeCell ref="D1395:E1395"/>
    <mergeCell ref="F1395:G1395"/>
    <mergeCell ref="H1395:I1395"/>
    <mergeCell ref="L1395:M1395"/>
    <mergeCell ref="P1395:Q1395"/>
    <mergeCell ref="R1395:S1395"/>
    <mergeCell ref="T1395:U1395"/>
    <mergeCell ref="V1395:W1395"/>
    <mergeCell ref="X1395:AA1395"/>
    <mergeCell ref="AB1395:AE1395"/>
    <mergeCell ref="AJ1395:AK1395"/>
    <mergeCell ref="AV1395:AW1395"/>
    <mergeCell ref="AV1396:AW1396"/>
    <mergeCell ref="AV1397:AW1397"/>
    <mergeCell ref="AH1395:AI1395"/>
    <mergeCell ref="AR1398:AS1398"/>
    <mergeCell ref="AT1398:AU1398"/>
    <mergeCell ref="AX1398:AZ1398"/>
    <mergeCell ref="BA1398:BB1398"/>
    <mergeCell ref="BD1398:BE1398"/>
    <mergeCell ref="BF1398:BI1398"/>
    <mergeCell ref="BJ1398:BM1398"/>
    <mergeCell ref="BN1398:BV1398"/>
    <mergeCell ref="B1399:C1399"/>
    <mergeCell ref="D1399:E1399"/>
    <mergeCell ref="F1399:G1399"/>
    <mergeCell ref="H1399:I1399"/>
    <mergeCell ref="L1399:M1399"/>
    <mergeCell ref="P1399:Q1399"/>
    <mergeCell ref="R1399:S1399"/>
    <mergeCell ref="T1399:U1399"/>
    <mergeCell ref="V1399:W1399"/>
    <mergeCell ref="X1399:AA1399"/>
    <mergeCell ref="AB1399:AE1399"/>
    <mergeCell ref="AJ1399:AK1399"/>
    <mergeCell ref="AL1399:AM1399"/>
    <mergeCell ref="AN1399:AO1399"/>
    <mergeCell ref="AP1399:AQ1399"/>
    <mergeCell ref="AR1399:AS1399"/>
    <mergeCell ref="AP1397:AQ1397"/>
    <mergeCell ref="AR1397:AS1397"/>
    <mergeCell ref="AT1397:AU1397"/>
    <mergeCell ref="AX1397:AZ1397"/>
    <mergeCell ref="BA1397:BB1397"/>
    <mergeCell ref="BD1397:BE1397"/>
    <mergeCell ref="BF1397:BI1397"/>
    <mergeCell ref="BJ1397:BM1397"/>
    <mergeCell ref="BN1397:BV1397"/>
    <mergeCell ref="B1398:C1398"/>
    <mergeCell ref="D1398:E1398"/>
    <mergeCell ref="F1398:G1398"/>
    <mergeCell ref="H1398:I1398"/>
    <mergeCell ref="L1398:M1398"/>
    <mergeCell ref="P1398:Q1398"/>
    <mergeCell ref="R1398:S1398"/>
    <mergeCell ref="T1398:U1398"/>
    <mergeCell ref="V1398:W1398"/>
    <mergeCell ref="X1398:AA1398"/>
    <mergeCell ref="AB1398:AE1398"/>
    <mergeCell ref="AJ1398:AK1398"/>
    <mergeCell ref="AL1398:AM1398"/>
    <mergeCell ref="AN1398:AO1398"/>
    <mergeCell ref="AP1398:AQ1398"/>
    <mergeCell ref="AV1398:AW1398"/>
    <mergeCell ref="AV1399:AW1399"/>
    <mergeCell ref="AX1400:AZ1400"/>
    <mergeCell ref="BA1400:BB1400"/>
    <mergeCell ref="BD1400:BE1400"/>
    <mergeCell ref="BF1400:BI1400"/>
    <mergeCell ref="BJ1400:BM1400"/>
    <mergeCell ref="BN1400:BV1400"/>
    <mergeCell ref="B1401:C1401"/>
    <mergeCell ref="D1401:E1401"/>
    <mergeCell ref="F1401:G1401"/>
    <mergeCell ref="H1401:I1401"/>
    <mergeCell ref="L1401:M1401"/>
    <mergeCell ref="P1401:Q1401"/>
    <mergeCell ref="R1401:S1401"/>
    <mergeCell ref="T1401:U1401"/>
    <mergeCell ref="V1401:W1401"/>
    <mergeCell ref="X1401:AA1401"/>
    <mergeCell ref="AB1401:AE1401"/>
    <mergeCell ref="AJ1401:AK1401"/>
    <mergeCell ref="AL1401:AM1401"/>
    <mergeCell ref="AN1401:AO1401"/>
    <mergeCell ref="AP1401:AQ1401"/>
    <mergeCell ref="AR1401:AS1401"/>
    <mergeCell ref="AT1401:AU1401"/>
    <mergeCell ref="AX1401:AZ1401"/>
    <mergeCell ref="AT1399:AU1399"/>
    <mergeCell ref="AX1399:AZ1399"/>
    <mergeCell ref="BA1399:BB1399"/>
    <mergeCell ref="BD1399:BE1399"/>
    <mergeCell ref="BF1399:BI1399"/>
    <mergeCell ref="BJ1399:BM1399"/>
    <mergeCell ref="BN1399:BV1399"/>
    <mergeCell ref="B1400:C1400"/>
    <mergeCell ref="D1400:E1400"/>
    <mergeCell ref="F1400:G1400"/>
    <mergeCell ref="H1400:I1400"/>
    <mergeCell ref="L1400:M1400"/>
    <mergeCell ref="P1400:Q1400"/>
    <mergeCell ref="R1400:S1400"/>
    <mergeCell ref="T1400:U1400"/>
    <mergeCell ref="V1400:W1400"/>
    <mergeCell ref="X1400:AA1400"/>
    <mergeCell ref="AB1400:AE1400"/>
    <mergeCell ref="AJ1400:AK1400"/>
    <mergeCell ref="AL1400:AM1400"/>
    <mergeCell ref="AN1400:AO1400"/>
    <mergeCell ref="AP1400:AQ1400"/>
    <mergeCell ref="AR1400:AS1400"/>
    <mergeCell ref="AT1400:AU1400"/>
    <mergeCell ref="AV1400:AW1400"/>
    <mergeCell ref="AV1401:AW1401"/>
    <mergeCell ref="J1399:K1399"/>
    <mergeCell ref="J1400:K1400"/>
    <mergeCell ref="BD1402:BE1402"/>
    <mergeCell ref="BF1402:BI1402"/>
    <mergeCell ref="BJ1402:BM1402"/>
    <mergeCell ref="BN1402:BV1402"/>
    <mergeCell ref="B1403:C1403"/>
    <mergeCell ref="D1403:E1403"/>
    <mergeCell ref="F1403:G1403"/>
    <mergeCell ref="H1403:I1403"/>
    <mergeCell ref="L1403:M1403"/>
    <mergeCell ref="P1403:Q1403"/>
    <mergeCell ref="R1403:S1403"/>
    <mergeCell ref="T1403:U1403"/>
    <mergeCell ref="V1403:W1403"/>
    <mergeCell ref="X1403:AA1403"/>
    <mergeCell ref="AB1403:AE1403"/>
    <mergeCell ref="AJ1403:AK1403"/>
    <mergeCell ref="AL1403:AM1403"/>
    <mergeCell ref="AN1403:AO1403"/>
    <mergeCell ref="AP1403:AQ1403"/>
    <mergeCell ref="AR1403:AS1403"/>
    <mergeCell ref="AT1403:AU1403"/>
    <mergeCell ref="AX1403:AZ1403"/>
    <mergeCell ref="BA1403:BB1403"/>
    <mergeCell ref="BD1403:BE1403"/>
    <mergeCell ref="BA1401:BB1401"/>
    <mergeCell ref="BD1401:BE1401"/>
    <mergeCell ref="BF1401:BI1401"/>
    <mergeCell ref="BJ1401:BM1401"/>
    <mergeCell ref="BN1401:BV1401"/>
    <mergeCell ref="B1402:C1402"/>
    <mergeCell ref="D1402:E1402"/>
    <mergeCell ref="F1402:G1402"/>
    <mergeCell ref="H1402:I1402"/>
    <mergeCell ref="P1402:Q1402"/>
    <mergeCell ref="R1402:S1402"/>
    <mergeCell ref="T1402:U1402"/>
    <mergeCell ref="V1402:W1402"/>
    <mergeCell ref="X1402:AA1402"/>
    <mergeCell ref="AB1402:AE1402"/>
    <mergeCell ref="AJ1402:AK1402"/>
    <mergeCell ref="AL1402:AM1402"/>
    <mergeCell ref="AN1402:AO1402"/>
    <mergeCell ref="AP1402:AQ1402"/>
    <mergeCell ref="AR1402:AS1402"/>
    <mergeCell ref="AT1402:AU1402"/>
    <mergeCell ref="AX1402:AZ1402"/>
    <mergeCell ref="BA1402:BB1402"/>
    <mergeCell ref="AV1402:AW1402"/>
    <mergeCell ref="AV1403:AW1403"/>
    <mergeCell ref="J1401:K1401"/>
    <mergeCell ref="BJ1404:BM1404"/>
    <mergeCell ref="BN1404:BV1404"/>
    <mergeCell ref="B1405:C1405"/>
    <mergeCell ref="D1405:E1405"/>
    <mergeCell ref="F1405:G1405"/>
    <mergeCell ref="H1405:I1405"/>
    <mergeCell ref="L1405:M1405"/>
    <mergeCell ref="P1405:Q1405"/>
    <mergeCell ref="R1405:S1405"/>
    <mergeCell ref="T1405:U1405"/>
    <mergeCell ref="V1405:W1405"/>
    <mergeCell ref="X1405:AA1405"/>
    <mergeCell ref="AB1405:AE1405"/>
    <mergeCell ref="AJ1405:AK1405"/>
    <mergeCell ref="AL1405:AM1405"/>
    <mergeCell ref="AN1405:AO1405"/>
    <mergeCell ref="AP1405:AQ1405"/>
    <mergeCell ref="AR1405:AS1405"/>
    <mergeCell ref="AT1405:AU1405"/>
    <mergeCell ref="AX1405:AZ1405"/>
    <mergeCell ref="BA1405:BB1405"/>
    <mergeCell ref="BD1405:BE1405"/>
    <mergeCell ref="BF1405:BI1405"/>
    <mergeCell ref="BJ1405:BM1405"/>
    <mergeCell ref="BF1403:BI1403"/>
    <mergeCell ref="BJ1403:BM1403"/>
    <mergeCell ref="BN1403:BV1403"/>
    <mergeCell ref="B1404:C1404"/>
    <mergeCell ref="D1404:E1404"/>
    <mergeCell ref="F1404:G1404"/>
    <mergeCell ref="H1404:I1404"/>
    <mergeCell ref="P1404:Q1404"/>
    <mergeCell ref="R1404:S1404"/>
    <mergeCell ref="T1404:U1404"/>
    <mergeCell ref="V1404:W1404"/>
    <mergeCell ref="X1404:AA1404"/>
    <mergeCell ref="AB1404:AE1404"/>
    <mergeCell ref="AJ1404:AK1404"/>
    <mergeCell ref="AL1404:AM1404"/>
    <mergeCell ref="AN1404:AO1404"/>
    <mergeCell ref="AP1404:AQ1404"/>
    <mergeCell ref="AR1404:AS1404"/>
    <mergeCell ref="AT1404:AU1404"/>
    <mergeCell ref="AX1404:AZ1404"/>
    <mergeCell ref="BA1404:BB1404"/>
    <mergeCell ref="BD1404:BE1404"/>
    <mergeCell ref="BF1404:BI1404"/>
    <mergeCell ref="AV1404:AW1404"/>
    <mergeCell ref="AV1405:AW1405"/>
    <mergeCell ref="J1403:K1403"/>
    <mergeCell ref="BN1406:BV1406"/>
    <mergeCell ref="B1407:C1407"/>
    <mergeCell ref="D1407:E1407"/>
    <mergeCell ref="F1407:G1407"/>
    <mergeCell ref="H1407:I1407"/>
    <mergeCell ref="L1407:M1407"/>
    <mergeCell ref="P1407:Q1407"/>
    <mergeCell ref="R1407:S1407"/>
    <mergeCell ref="T1407:U1407"/>
    <mergeCell ref="V1407:W1407"/>
    <mergeCell ref="X1407:AA1407"/>
    <mergeCell ref="AB1407:AE1407"/>
    <mergeCell ref="AJ1407:AK1407"/>
    <mergeCell ref="AL1407:AM1407"/>
    <mergeCell ref="AN1407:AO1407"/>
    <mergeCell ref="AP1407:AQ1407"/>
    <mergeCell ref="AR1407:AS1407"/>
    <mergeCell ref="AT1407:AU1407"/>
    <mergeCell ref="AX1407:AZ1407"/>
    <mergeCell ref="BA1407:BB1407"/>
    <mergeCell ref="BD1407:BE1407"/>
    <mergeCell ref="BF1407:BI1407"/>
    <mergeCell ref="BJ1407:BM1407"/>
    <mergeCell ref="BN1405:BV1405"/>
    <mergeCell ref="B1406:C1406"/>
    <mergeCell ref="D1406:E1406"/>
    <mergeCell ref="F1406:G1406"/>
    <mergeCell ref="H1406:I1406"/>
    <mergeCell ref="P1406:Q1406"/>
    <mergeCell ref="R1406:S1406"/>
    <mergeCell ref="T1406:U1406"/>
    <mergeCell ref="V1406:W1406"/>
    <mergeCell ref="X1406:AA1406"/>
    <mergeCell ref="AB1406:AE1406"/>
    <mergeCell ref="AJ1406:AK1406"/>
    <mergeCell ref="AL1406:AM1406"/>
    <mergeCell ref="AN1406:AO1406"/>
    <mergeCell ref="AP1406:AQ1406"/>
    <mergeCell ref="AR1406:AS1406"/>
    <mergeCell ref="AT1406:AU1406"/>
    <mergeCell ref="AX1406:AZ1406"/>
    <mergeCell ref="BA1406:BB1406"/>
    <mergeCell ref="BD1406:BE1406"/>
    <mergeCell ref="BF1406:BI1406"/>
    <mergeCell ref="BJ1406:BM1406"/>
    <mergeCell ref="AV1406:AW1406"/>
    <mergeCell ref="AV1407:AW1407"/>
    <mergeCell ref="J1405:K1405"/>
    <mergeCell ref="BN1408:BV1408"/>
    <mergeCell ref="B1409:C1409"/>
    <mergeCell ref="D1409:E1409"/>
    <mergeCell ref="F1409:G1409"/>
    <mergeCell ref="H1409:I1409"/>
    <mergeCell ref="L1409:M1409"/>
    <mergeCell ref="P1409:Q1409"/>
    <mergeCell ref="R1409:S1409"/>
    <mergeCell ref="T1409:U1409"/>
    <mergeCell ref="V1409:W1409"/>
    <mergeCell ref="X1409:AA1409"/>
    <mergeCell ref="AB1409:AE1409"/>
    <mergeCell ref="AJ1409:AK1409"/>
    <mergeCell ref="AL1409:AM1409"/>
    <mergeCell ref="AN1409:AO1409"/>
    <mergeCell ref="AP1409:AQ1409"/>
    <mergeCell ref="AR1409:AS1409"/>
    <mergeCell ref="AT1409:AU1409"/>
    <mergeCell ref="AX1409:AZ1409"/>
    <mergeCell ref="BA1409:BB1409"/>
    <mergeCell ref="BD1409:BE1409"/>
    <mergeCell ref="BF1409:BI1409"/>
    <mergeCell ref="BJ1409:BM1409"/>
    <mergeCell ref="BN1409:BV1409"/>
    <mergeCell ref="BN1407:BV1407"/>
    <mergeCell ref="B1408:C1408"/>
    <mergeCell ref="D1408:E1408"/>
    <mergeCell ref="F1408:G1408"/>
    <mergeCell ref="H1408:I1408"/>
    <mergeCell ref="P1408:Q1408"/>
    <mergeCell ref="R1408:S1408"/>
    <mergeCell ref="T1408:U1408"/>
    <mergeCell ref="V1408:W1408"/>
    <mergeCell ref="X1408:AA1408"/>
    <mergeCell ref="AB1408:AE1408"/>
    <mergeCell ref="AJ1408:AK1408"/>
    <mergeCell ref="AL1408:AM1408"/>
    <mergeCell ref="AN1408:AO1408"/>
    <mergeCell ref="AP1408:AQ1408"/>
    <mergeCell ref="AR1408:AS1408"/>
    <mergeCell ref="AT1408:AU1408"/>
    <mergeCell ref="AX1408:AZ1408"/>
    <mergeCell ref="BA1408:BB1408"/>
    <mergeCell ref="BD1408:BE1408"/>
    <mergeCell ref="BF1408:BI1408"/>
    <mergeCell ref="BJ1408:BM1408"/>
    <mergeCell ref="AV1408:AW1408"/>
    <mergeCell ref="AV1409:AW1409"/>
    <mergeCell ref="J1407:K1407"/>
    <mergeCell ref="J1409:K1409"/>
    <mergeCell ref="AN1411:AO1411"/>
    <mergeCell ref="AP1411:AQ1411"/>
    <mergeCell ref="AR1411:AS1411"/>
    <mergeCell ref="AT1411:AU1411"/>
    <mergeCell ref="AX1411:AZ1411"/>
    <mergeCell ref="BA1411:BB1411"/>
    <mergeCell ref="BD1411:BE1411"/>
    <mergeCell ref="BF1411:BI1411"/>
    <mergeCell ref="BJ1411:BM1411"/>
    <mergeCell ref="BN1411:BV1411"/>
    <mergeCell ref="B1412:C1412"/>
    <mergeCell ref="D1412:E1412"/>
    <mergeCell ref="F1412:G1412"/>
    <mergeCell ref="H1412:I1412"/>
    <mergeCell ref="P1412:Q1412"/>
    <mergeCell ref="R1412:S1412"/>
    <mergeCell ref="T1412:U1412"/>
    <mergeCell ref="V1412:W1412"/>
    <mergeCell ref="X1412:AA1412"/>
    <mergeCell ref="AB1412:AE1412"/>
    <mergeCell ref="AJ1412:AK1412"/>
    <mergeCell ref="AL1412:AM1412"/>
    <mergeCell ref="AN1412:AO1412"/>
    <mergeCell ref="AL1410:AM1410"/>
    <mergeCell ref="AN1410:AO1410"/>
    <mergeCell ref="AP1410:AQ1410"/>
    <mergeCell ref="AR1410:AS1410"/>
    <mergeCell ref="AT1410:AU1410"/>
    <mergeCell ref="AX1410:AZ1410"/>
    <mergeCell ref="BA1410:BB1410"/>
    <mergeCell ref="BD1410:BE1410"/>
    <mergeCell ref="BF1410:BI1410"/>
    <mergeCell ref="BJ1410:BM1410"/>
    <mergeCell ref="BN1410:BV1410"/>
    <mergeCell ref="B1411:C1411"/>
    <mergeCell ref="D1411:E1411"/>
    <mergeCell ref="F1411:G1411"/>
    <mergeCell ref="H1411:I1411"/>
    <mergeCell ref="L1411:M1411"/>
    <mergeCell ref="P1411:Q1411"/>
    <mergeCell ref="R1411:S1411"/>
    <mergeCell ref="T1411:U1411"/>
    <mergeCell ref="V1411:W1411"/>
    <mergeCell ref="X1411:AA1411"/>
    <mergeCell ref="AB1411:AE1411"/>
    <mergeCell ref="AJ1411:AK1411"/>
    <mergeCell ref="AL1411:AM1411"/>
    <mergeCell ref="B1410:C1410"/>
    <mergeCell ref="D1410:E1410"/>
    <mergeCell ref="F1410:G1410"/>
    <mergeCell ref="H1410:I1410"/>
    <mergeCell ref="P1410:Q1410"/>
    <mergeCell ref="R1410:S1410"/>
    <mergeCell ref="T1410:U1410"/>
    <mergeCell ref="V1410:W1410"/>
    <mergeCell ref="X1410:AA1410"/>
    <mergeCell ref="AB1410:AE1410"/>
    <mergeCell ref="AJ1410:AK1410"/>
    <mergeCell ref="AV1410:AW1410"/>
    <mergeCell ref="AV1411:AW1411"/>
    <mergeCell ref="AV1412:AW1412"/>
    <mergeCell ref="AF1411:AG1411"/>
    <mergeCell ref="AF1412:AG1412"/>
    <mergeCell ref="AR1413:AS1413"/>
    <mergeCell ref="AT1413:AU1413"/>
    <mergeCell ref="AX1413:AZ1413"/>
    <mergeCell ref="BA1413:BB1413"/>
    <mergeCell ref="BD1413:BE1413"/>
    <mergeCell ref="BF1413:BI1413"/>
    <mergeCell ref="BJ1413:BM1413"/>
    <mergeCell ref="BN1413:BV1413"/>
    <mergeCell ref="B1414:C1414"/>
    <mergeCell ref="D1414:E1414"/>
    <mergeCell ref="F1414:G1414"/>
    <mergeCell ref="H1414:I1414"/>
    <mergeCell ref="P1414:Q1414"/>
    <mergeCell ref="R1414:S1414"/>
    <mergeCell ref="T1414:U1414"/>
    <mergeCell ref="V1414:W1414"/>
    <mergeCell ref="X1414:AA1414"/>
    <mergeCell ref="AB1414:AE1414"/>
    <mergeCell ref="AJ1414:AK1414"/>
    <mergeCell ref="AL1414:AM1414"/>
    <mergeCell ref="AN1414:AO1414"/>
    <mergeCell ref="AP1414:AQ1414"/>
    <mergeCell ref="AR1414:AS1414"/>
    <mergeCell ref="AP1412:AQ1412"/>
    <mergeCell ref="AR1412:AS1412"/>
    <mergeCell ref="AT1412:AU1412"/>
    <mergeCell ref="AX1412:AZ1412"/>
    <mergeCell ref="BA1412:BB1412"/>
    <mergeCell ref="BD1412:BE1412"/>
    <mergeCell ref="BF1412:BI1412"/>
    <mergeCell ref="BJ1412:BM1412"/>
    <mergeCell ref="BN1412:BV1412"/>
    <mergeCell ref="B1413:C1413"/>
    <mergeCell ref="D1413:E1413"/>
    <mergeCell ref="F1413:G1413"/>
    <mergeCell ref="H1413:I1413"/>
    <mergeCell ref="L1413:M1413"/>
    <mergeCell ref="P1413:Q1413"/>
    <mergeCell ref="R1413:S1413"/>
    <mergeCell ref="T1413:U1413"/>
    <mergeCell ref="V1413:W1413"/>
    <mergeCell ref="X1413:AA1413"/>
    <mergeCell ref="AB1413:AE1413"/>
    <mergeCell ref="AJ1413:AK1413"/>
    <mergeCell ref="AL1413:AM1413"/>
    <mergeCell ref="AN1413:AO1413"/>
    <mergeCell ref="AP1413:AQ1413"/>
    <mergeCell ref="AV1413:AW1413"/>
    <mergeCell ref="AV1414:AW1414"/>
    <mergeCell ref="AF1414:AG1414"/>
    <mergeCell ref="AF1413:AG1413"/>
    <mergeCell ref="AX1415:AZ1415"/>
    <mergeCell ref="BA1415:BB1415"/>
    <mergeCell ref="BD1415:BE1415"/>
    <mergeCell ref="BF1415:BI1415"/>
    <mergeCell ref="BJ1415:BM1415"/>
    <mergeCell ref="BN1415:BV1415"/>
    <mergeCell ref="B1416:C1416"/>
    <mergeCell ref="D1416:E1416"/>
    <mergeCell ref="F1416:G1416"/>
    <mergeCell ref="H1416:I1416"/>
    <mergeCell ref="P1416:Q1416"/>
    <mergeCell ref="R1416:S1416"/>
    <mergeCell ref="T1416:U1416"/>
    <mergeCell ref="V1416:W1416"/>
    <mergeCell ref="X1416:AA1416"/>
    <mergeCell ref="AB1416:AE1416"/>
    <mergeCell ref="AJ1416:AK1416"/>
    <mergeCell ref="AL1416:AM1416"/>
    <mergeCell ref="AN1416:AO1416"/>
    <mergeCell ref="AP1416:AQ1416"/>
    <mergeCell ref="AR1416:AS1416"/>
    <mergeCell ref="AT1416:AU1416"/>
    <mergeCell ref="AX1416:AZ1416"/>
    <mergeCell ref="AT1414:AU1414"/>
    <mergeCell ref="AX1414:AZ1414"/>
    <mergeCell ref="BA1414:BB1414"/>
    <mergeCell ref="BD1414:BE1414"/>
    <mergeCell ref="BF1414:BI1414"/>
    <mergeCell ref="BJ1414:BM1414"/>
    <mergeCell ref="BN1414:BV1414"/>
    <mergeCell ref="B1415:C1415"/>
    <mergeCell ref="D1415:E1415"/>
    <mergeCell ref="F1415:G1415"/>
    <mergeCell ref="H1415:I1415"/>
    <mergeCell ref="L1415:M1415"/>
    <mergeCell ref="P1415:Q1415"/>
    <mergeCell ref="R1415:S1415"/>
    <mergeCell ref="T1415:U1415"/>
    <mergeCell ref="V1415:W1415"/>
    <mergeCell ref="X1415:AA1415"/>
    <mergeCell ref="AB1415:AE1415"/>
    <mergeCell ref="AJ1415:AK1415"/>
    <mergeCell ref="AL1415:AM1415"/>
    <mergeCell ref="AN1415:AO1415"/>
    <mergeCell ref="AP1415:AQ1415"/>
    <mergeCell ref="AR1415:AS1415"/>
    <mergeCell ref="AT1415:AU1415"/>
    <mergeCell ref="AV1415:AW1415"/>
    <mergeCell ref="AV1416:AW1416"/>
    <mergeCell ref="AF1415:AG1415"/>
    <mergeCell ref="AF1416:AG1416"/>
    <mergeCell ref="BD1417:BE1417"/>
    <mergeCell ref="BF1417:BI1417"/>
    <mergeCell ref="BJ1417:BM1417"/>
    <mergeCell ref="BN1417:BV1417"/>
    <mergeCell ref="B1418:C1418"/>
    <mergeCell ref="D1418:E1418"/>
    <mergeCell ref="F1418:G1418"/>
    <mergeCell ref="H1418:I1418"/>
    <mergeCell ref="P1418:Q1418"/>
    <mergeCell ref="R1418:S1418"/>
    <mergeCell ref="T1418:U1418"/>
    <mergeCell ref="V1418:W1418"/>
    <mergeCell ref="X1418:AA1418"/>
    <mergeCell ref="AB1418:AE1418"/>
    <mergeCell ref="AJ1418:AK1418"/>
    <mergeCell ref="AL1418:AM1418"/>
    <mergeCell ref="AN1418:AO1418"/>
    <mergeCell ref="AP1418:AQ1418"/>
    <mergeCell ref="AR1418:AS1418"/>
    <mergeCell ref="AT1418:AU1418"/>
    <mergeCell ref="AX1418:AZ1418"/>
    <mergeCell ref="BA1418:BB1418"/>
    <mergeCell ref="BD1418:BE1418"/>
    <mergeCell ref="BA1416:BB1416"/>
    <mergeCell ref="BD1416:BE1416"/>
    <mergeCell ref="BF1416:BI1416"/>
    <mergeCell ref="BJ1416:BM1416"/>
    <mergeCell ref="BN1416:BV1416"/>
    <mergeCell ref="B1417:C1417"/>
    <mergeCell ref="D1417:E1417"/>
    <mergeCell ref="F1417:G1417"/>
    <mergeCell ref="H1417:I1417"/>
    <mergeCell ref="L1417:M1417"/>
    <mergeCell ref="P1417:Q1417"/>
    <mergeCell ref="R1417:S1417"/>
    <mergeCell ref="T1417:U1417"/>
    <mergeCell ref="V1417:W1417"/>
    <mergeCell ref="X1417:AA1417"/>
    <mergeCell ref="AB1417:AE1417"/>
    <mergeCell ref="AJ1417:AK1417"/>
    <mergeCell ref="AL1417:AM1417"/>
    <mergeCell ref="AN1417:AO1417"/>
    <mergeCell ref="AP1417:AQ1417"/>
    <mergeCell ref="AR1417:AS1417"/>
    <mergeCell ref="AT1417:AU1417"/>
    <mergeCell ref="AX1417:AZ1417"/>
    <mergeCell ref="BA1417:BB1417"/>
    <mergeCell ref="AV1417:AW1417"/>
    <mergeCell ref="AV1418:AW1418"/>
    <mergeCell ref="AF1417:AG1417"/>
    <mergeCell ref="AF1418:AG1418"/>
    <mergeCell ref="BJ1419:BM1419"/>
    <mergeCell ref="BN1419:BV1419"/>
    <mergeCell ref="B1420:C1420"/>
    <mergeCell ref="D1420:E1420"/>
    <mergeCell ref="F1420:G1420"/>
    <mergeCell ref="H1420:I1420"/>
    <mergeCell ref="P1420:Q1420"/>
    <mergeCell ref="R1420:S1420"/>
    <mergeCell ref="T1420:U1420"/>
    <mergeCell ref="V1420:W1420"/>
    <mergeCell ref="X1420:AA1420"/>
    <mergeCell ref="AB1420:AE1420"/>
    <mergeCell ref="AJ1420:AK1420"/>
    <mergeCell ref="AL1420:AM1420"/>
    <mergeCell ref="AN1420:AO1420"/>
    <mergeCell ref="AP1420:AQ1420"/>
    <mergeCell ref="AR1420:AS1420"/>
    <mergeCell ref="AT1420:AU1420"/>
    <mergeCell ref="AX1420:AZ1420"/>
    <mergeCell ref="BA1420:BB1420"/>
    <mergeCell ref="BD1420:BE1420"/>
    <mergeCell ref="BF1420:BI1420"/>
    <mergeCell ref="BJ1420:BM1420"/>
    <mergeCell ref="BF1418:BI1418"/>
    <mergeCell ref="BJ1418:BM1418"/>
    <mergeCell ref="BN1418:BV1418"/>
    <mergeCell ref="B1419:C1419"/>
    <mergeCell ref="D1419:E1419"/>
    <mergeCell ref="F1419:G1419"/>
    <mergeCell ref="H1419:I1419"/>
    <mergeCell ref="L1419:M1419"/>
    <mergeCell ref="P1419:Q1419"/>
    <mergeCell ref="R1419:S1419"/>
    <mergeCell ref="T1419:U1419"/>
    <mergeCell ref="V1419:W1419"/>
    <mergeCell ref="X1419:AA1419"/>
    <mergeCell ref="AB1419:AE1419"/>
    <mergeCell ref="AJ1419:AK1419"/>
    <mergeCell ref="AL1419:AM1419"/>
    <mergeCell ref="AN1419:AO1419"/>
    <mergeCell ref="AP1419:AQ1419"/>
    <mergeCell ref="AR1419:AS1419"/>
    <mergeCell ref="AT1419:AU1419"/>
    <mergeCell ref="AX1419:AZ1419"/>
    <mergeCell ref="BA1419:BB1419"/>
    <mergeCell ref="BD1419:BE1419"/>
    <mergeCell ref="BF1419:BI1419"/>
    <mergeCell ref="AV1419:AW1419"/>
    <mergeCell ref="AV1420:AW1420"/>
    <mergeCell ref="AF1419:AG1419"/>
    <mergeCell ref="AF1420:AG1420"/>
    <mergeCell ref="BN1421:BV1421"/>
    <mergeCell ref="B1422:C1422"/>
    <mergeCell ref="D1422:E1422"/>
    <mergeCell ref="F1422:G1422"/>
    <mergeCell ref="H1422:I1422"/>
    <mergeCell ref="P1422:Q1422"/>
    <mergeCell ref="R1422:S1422"/>
    <mergeCell ref="T1422:U1422"/>
    <mergeCell ref="V1422:W1422"/>
    <mergeCell ref="X1422:AA1422"/>
    <mergeCell ref="AB1422:AE1422"/>
    <mergeCell ref="AJ1422:AK1422"/>
    <mergeCell ref="AL1422:AM1422"/>
    <mergeCell ref="AN1422:AO1422"/>
    <mergeCell ref="AP1422:AQ1422"/>
    <mergeCell ref="AR1422:AS1422"/>
    <mergeCell ref="AT1422:AU1422"/>
    <mergeCell ref="AX1422:AZ1422"/>
    <mergeCell ref="BA1422:BB1422"/>
    <mergeCell ref="BD1422:BE1422"/>
    <mergeCell ref="BF1422:BI1422"/>
    <mergeCell ref="BJ1422:BM1422"/>
    <mergeCell ref="BN1420:BV1420"/>
    <mergeCell ref="B1421:C1421"/>
    <mergeCell ref="D1421:E1421"/>
    <mergeCell ref="F1421:G1421"/>
    <mergeCell ref="H1421:I1421"/>
    <mergeCell ref="L1421:M1421"/>
    <mergeCell ref="P1421:Q1421"/>
    <mergeCell ref="R1421:S1421"/>
    <mergeCell ref="T1421:U1421"/>
    <mergeCell ref="V1421:W1421"/>
    <mergeCell ref="X1421:AA1421"/>
    <mergeCell ref="AB1421:AE1421"/>
    <mergeCell ref="AJ1421:AK1421"/>
    <mergeCell ref="AL1421:AM1421"/>
    <mergeCell ref="AN1421:AO1421"/>
    <mergeCell ref="AP1421:AQ1421"/>
    <mergeCell ref="AR1421:AS1421"/>
    <mergeCell ref="AT1421:AU1421"/>
    <mergeCell ref="AX1421:AZ1421"/>
    <mergeCell ref="BA1421:BB1421"/>
    <mergeCell ref="BD1421:BE1421"/>
    <mergeCell ref="BF1421:BI1421"/>
    <mergeCell ref="BJ1421:BM1421"/>
    <mergeCell ref="AV1421:AW1421"/>
    <mergeCell ref="AV1422:AW1422"/>
    <mergeCell ref="AF1421:AG1421"/>
    <mergeCell ref="AF1422:AG1422"/>
    <mergeCell ref="BN1423:BV1423"/>
    <mergeCell ref="B1424:C1424"/>
    <mergeCell ref="D1424:E1424"/>
    <mergeCell ref="F1424:G1424"/>
    <mergeCell ref="H1424:I1424"/>
    <mergeCell ref="P1424:Q1424"/>
    <mergeCell ref="R1424:S1424"/>
    <mergeCell ref="T1424:U1424"/>
    <mergeCell ref="V1424:W1424"/>
    <mergeCell ref="X1424:AA1424"/>
    <mergeCell ref="AB1424:AE1424"/>
    <mergeCell ref="AJ1424:AK1424"/>
    <mergeCell ref="AL1424:AM1424"/>
    <mergeCell ref="AN1424:AO1424"/>
    <mergeCell ref="AP1424:AQ1424"/>
    <mergeCell ref="AR1424:AS1424"/>
    <mergeCell ref="AT1424:AU1424"/>
    <mergeCell ref="AX1424:AZ1424"/>
    <mergeCell ref="BA1424:BB1424"/>
    <mergeCell ref="BD1424:BE1424"/>
    <mergeCell ref="BF1424:BI1424"/>
    <mergeCell ref="BJ1424:BM1424"/>
    <mergeCell ref="BN1424:BV1424"/>
    <mergeCell ref="BN1422:BV1422"/>
    <mergeCell ref="B1423:C1423"/>
    <mergeCell ref="D1423:E1423"/>
    <mergeCell ref="F1423:G1423"/>
    <mergeCell ref="H1423:I1423"/>
    <mergeCell ref="L1423:M1423"/>
    <mergeCell ref="P1423:Q1423"/>
    <mergeCell ref="R1423:S1423"/>
    <mergeCell ref="T1423:U1423"/>
    <mergeCell ref="V1423:W1423"/>
    <mergeCell ref="X1423:AA1423"/>
    <mergeCell ref="AB1423:AE1423"/>
    <mergeCell ref="AJ1423:AK1423"/>
    <mergeCell ref="AL1423:AM1423"/>
    <mergeCell ref="AN1423:AO1423"/>
    <mergeCell ref="AP1423:AQ1423"/>
    <mergeCell ref="AR1423:AS1423"/>
    <mergeCell ref="AT1423:AU1423"/>
    <mergeCell ref="AX1423:AZ1423"/>
    <mergeCell ref="BA1423:BB1423"/>
    <mergeCell ref="BD1423:BE1423"/>
    <mergeCell ref="BF1423:BI1423"/>
    <mergeCell ref="BJ1423:BM1423"/>
    <mergeCell ref="AV1423:AW1423"/>
    <mergeCell ref="AV1424:AW1424"/>
    <mergeCell ref="AF1423:AG1423"/>
    <mergeCell ref="AF1424:AG1424"/>
    <mergeCell ref="AN1426:AO1426"/>
    <mergeCell ref="AP1426:AQ1426"/>
    <mergeCell ref="AR1426:AS1426"/>
    <mergeCell ref="AT1426:AU1426"/>
    <mergeCell ref="AX1426:AZ1426"/>
    <mergeCell ref="BA1426:BB1426"/>
    <mergeCell ref="BD1426:BE1426"/>
    <mergeCell ref="BF1426:BI1426"/>
    <mergeCell ref="BJ1426:BM1426"/>
    <mergeCell ref="BN1426:BV1426"/>
    <mergeCell ref="B1427:C1427"/>
    <mergeCell ref="D1427:E1427"/>
    <mergeCell ref="F1427:G1427"/>
    <mergeCell ref="H1427:I1427"/>
    <mergeCell ref="L1427:M1427"/>
    <mergeCell ref="P1427:Q1427"/>
    <mergeCell ref="R1427:S1427"/>
    <mergeCell ref="T1427:U1427"/>
    <mergeCell ref="V1427:W1427"/>
    <mergeCell ref="X1427:AA1427"/>
    <mergeCell ref="AB1427:AE1427"/>
    <mergeCell ref="AJ1427:AK1427"/>
    <mergeCell ref="AL1427:AM1427"/>
    <mergeCell ref="AN1427:AO1427"/>
    <mergeCell ref="AL1425:AM1425"/>
    <mergeCell ref="AN1425:AO1425"/>
    <mergeCell ref="AP1425:AQ1425"/>
    <mergeCell ref="AR1425:AS1425"/>
    <mergeCell ref="AT1425:AU1425"/>
    <mergeCell ref="AX1425:AZ1425"/>
    <mergeCell ref="BA1425:BB1425"/>
    <mergeCell ref="BD1425:BE1425"/>
    <mergeCell ref="BF1425:BI1425"/>
    <mergeCell ref="BJ1425:BM1425"/>
    <mergeCell ref="BN1425:BV1425"/>
    <mergeCell ref="B1426:C1426"/>
    <mergeCell ref="D1426:E1426"/>
    <mergeCell ref="F1426:G1426"/>
    <mergeCell ref="H1426:I1426"/>
    <mergeCell ref="P1426:Q1426"/>
    <mergeCell ref="R1426:S1426"/>
    <mergeCell ref="T1426:U1426"/>
    <mergeCell ref="V1426:W1426"/>
    <mergeCell ref="X1426:AA1426"/>
    <mergeCell ref="AB1426:AE1426"/>
    <mergeCell ref="AJ1426:AK1426"/>
    <mergeCell ref="AL1426:AM1426"/>
    <mergeCell ref="B1425:C1425"/>
    <mergeCell ref="D1425:E1425"/>
    <mergeCell ref="F1425:G1425"/>
    <mergeCell ref="H1425:I1425"/>
    <mergeCell ref="L1425:M1425"/>
    <mergeCell ref="P1425:Q1425"/>
    <mergeCell ref="R1425:S1425"/>
    <mergeCell ref="T1425:U1425"/>
    <mergeCell ref="V1425:W1425"/>
    <mergeCell ref="X1425:AA1425"/>
    <mergeCell ref="AB1425:AE1425"/>
    <mergeCell ref="AJ1425:AK1425"/>
    <mergeCell ref="AV1425:AW1425"/>
    <mergeCell ref="AV1426:AW1426"/>
    <mergeCell ref="AV1427:AW1427"/>
    <mergeCell ref="AF1425:AG1425"/>
    <mergeCell ref="AF1426:AG1426"/>
    <mergeCell ref="AR1428:AS1428"/>
    <mergeCell ref="AT1428:AU1428"/>
    <mergeCell ref="AX1428:AZ1428"/>
    <mergeCell ref="BA1428:BB1428"/>
    <mergeCell ref="BD1428:BE1428"/>
    <mergeCell ref="BF1428:BI1428"/>
    <mergeCell ref="BJ1428:BM1428"/>
    <mergeCell ref="BN1428:BV1428"/>
    <mergeCell ref="B1429:C1429"/>
    <mergeCell ref="D1429:E1429"/>
    <mergeCell ref="F1429:G1429"/>
    <mergeCell ref="H1429:I1429"/>
    <mergeCell ref="L1429:M1429"/>
    <mergeCell ref="P1429:Q1429"/>
    <mergeCell ref="R1429:S1429"/>
    <mergeCell ref="T1429:U1429"/>
    <mergeCell ref="V1429:W1429"/>
    <mergeCell ref="X1429:AA1429"/>
    <mergeCell ref="AB1429:AE1429"/>
    <mergeCell ref="AJ1429:AK1429"/>
    <mergeCell ref="AL1429:AM1429"/>
    <mergeCell ref="AN1429:AO1429"/>
    <mergeCell ref="AP1429:AQ1429"/>
    <mergeCell ref="AR1429:AS1429"/>
    <mergeCell ref="AP1427:AQ1427"/>
    <mergeCell ref="AR1427:AS1427"/>
    <mergeCell ref="AT1427:AU1427"/>
    <mergeCell ref="AX1427:AZ1427"/>
    <mergeCell ref="BA1427:BB1427"/>
    <mergeCell ref="BD1427:BE1427"/>
    <mergeCell ref="BF1427:BI1427"/>
    <mergeCell ref="BJ1427:BM1427"/>
    <mergeCell ref="BN1427:BV1427"/>
    <mergeCell ref="B1428:C1428"/>
    <mergeCell ref="D1428:E1428"/>
    <mergeCell ref="F1428:G1428"/>
    <mergeCell ref="H1428:I1428"/>
    <mergeCell ref="P1428:Q1428"/>
    <mergeCell ref="R1428:S1428"/>
    <mergeCell ref="T1428:U1428"/>
    <mergeCell ref="V1428:W1428"/>
    <mergeCell ref="X1428:AA1428"/>
    <mergeCell ref="AB1428:AE1428"/>
    <mergeCell ref="AJ1428:AK1428"/>
    <mergeCell ref="AL1428:AM1428"/>
    <mergeCell ref="AN1428:AO1428"/>
    <mergeCell ref="AP1428:AQ1428"/>
    <mergeCell ref="AV1428:AW1428"/>
    <mergeCell ref="AV1429:AW1429"/>
    <mergeCell ref="AH1427:AI1427"/>
    <mergeCell ref="AH1428:AI1428"/>
    <mergeCell ref="AF1427:AG1427"/>
    <mergeCell ref="AF1428:AG1428"/>
    <mergeCell ref="AF1429:AG1429"/>
    <mergeCell ref="AX1430:AZ1430"/>
    <mergeCell ref="BA1430:BB1430"/>
    <mergeCell ref="BD1430:BE1430"/>
    <mergeCell ref="BF1430:BI1430"/>
    <mergeCell ref="BJ1430:BM1430"/>
    <mergeCell ref="BN1430:BV1430"/>
    <mergeCell ref="B1431:C1431"/>
    <mergeCell ref="D1431:E1431"/>
    <mergeCell ref="F1431:G1431"/>
    <mergeCell ref="H1431:I1431"/>
    <mergeCell ref="L1431:M1431"/>
    <mergeCell ref="P1431:Q1431"/>
    <mergeCell ref="R1431:S1431"/>
    <mergeCell ref="T1431:U1431"/>
    <mergeCell ref="V1431:W1431"/>
    <mergeCell ref="X1431:AA1431"/>
    <mergeCell ref="AB1431:AE1431"/>
    <mergeCell ref="AJ1431:AK1431"/>
    <mergeCell ref="AL1431:AM1431"/>
    <mergeCell ref="AN1431:AO1431"/>
    <mergeCell ref="AP1431:AQ1431"/>
    <mergeCell ref="AR1431:AS1431"/>
    <mergeCell ref="AT1431:AU1431"/>
    <mergeCell ref="AX1431:AZ1431"/>
    <mergeCell ref="AT1429:AU1429"/>
    <mergeCell ref="AX1429:AZ1429"/>
    <mergeCell ref="BA1429:BB1429"/>
    <mergeCell ref="BD1429:BE1429"/>
    <mergeCell ref="BF1429:BI1429"/>
    <mergeCell ref="BJ1429:BM1429"/>
    <mergeCell ref="BN1429:BV1429"/>
    <mergeCell ref="B1430:C1430"/>
    <mergeCell ref="D1430:E1430"/>
    <mergeCell ref="F1430:G1430"/>
    <mergeCell ref="H1430:I1430"/>
    <mergeCell ref="P1430:Q1430"/>
    <mergeCell ref="R1430:S1430"/>
    <mergeCell ref="T1430:U1430"/>
    <mergeCell ref="V1430:W1430"/>
    <mergeCell ref="X1430:AA1430"/>
    <mergeCell ref="AB1430:AE1430"/>
    <mergeCell ref="AJ1430:AK1430"/>
    <mergeCell ref="AL1430:AM1430"/>
    <mergeCell ref="AN1430:AO1430"/>
    <mergeCell ref="AP1430:AQ1430"/>
    <mergeCell ref="AR1430:AS1430"/>
    <mergeCell ref="AT1430:AU1430"/>
    <mergeCell ref="AV1430:AW1430"/>
    <mergeCell ref="AV1431:AW1431"/>
    <mergeCell ref="AH1429:AI1429"/>
    <mergeCell ref="AH1430:AI1430"/>
    <mergeCell ref="AF1430:AG1430"/>
    <mergeCell ref="AF1431:AG1431"/>
    <mergeCell ref="BD1432:BE1432"/>
    <mergeCell ref="BF1432:BI1432"/>
    <mergeCell ref="BJ1432:BM1432"/>
    <mergeCell ref="BN1432:BV1432"/>
    <mergeCell ref="B1433:C1433"/>
    <mergeCell ref="D1433:E1433"/>
    <mergeCell ref="F1433:G1433"/>
    <mergeCell ref="H1433:I1433"/>
    <mergeCell ref="L1433:M1433"/>
    <mergeCell ref="P1433:Q1433"/>
    <mergeCell ref="R1433:S1433"/>
    <mergeCell ref="T1433:U1433"/>
    <mergeCell ref="V1433:W1433"/>
    <mergeCell ref="X1433:AA1433"/>
    <mergeCell ref="AB1433:AE1433"/>
    <mergeCell ref="AJ1433:AK1433"/>
    <mergeCell ref="AL1433:AM1433"/>
    <mergeCell ref="AN1433:AO1433"/>
    <mergeCell ref="AP1433:AQ1433"/>
    <mergeCell ref="AR1433:AS1433"/>
    <mergeCell ref="AT1433:AU1433"/>
    <mergeCell ref="AX1433:AZ1433"/>
    <mergeCell ref="BA1433:BB1433"/>
    <mergeCell ref="BD1433:BE1433"/>
    <mergeCell ref="BA1431:BB1431"/>
    <mergeCell ref="BD1431:BE1431"/>
    <mergeCell ref="BF1431:BI1431"/>
    <mergeCell ref="BJ1431:BM1431"/>
    <mergeCell ref="BN1431:BV1431"/>
    <mergeCell ref="B1432:C1432"/>
    <mergeCell ref="D1432:E1432"/>
    <mergeCell ref="F1432:G1432"/>
    <mergeCell ref="H1432:I1432"/>
    <mergeCell ref="P1432:Q1432"/>
    <mergeCell ref="R1432:S1432"/>
    <mergeCell ref="T1432:U1432"/>
    <mergeCell ref="V1432:W1432"/>
    <mergeCell ref="X1432:AA1432"/>
    <mergeCell ref="AB1432:AE1432"/>
    <mergeCell ref="AJ1432:AK1432"/>
    <mergeCell ref="AL1432:AM1432"/>
    <mergeCell ref="AN1432:AO1432"/>
    <mergeCell ref="AP1432:AQ1432"/>
    <mergeCell ref="AR1432:AS1432"/>
    <mergeCell ref="AT1432:AU1432"/>
    <mergeCell ref="AX1432:AZ1432"/>
    <mergeCell ref="BA1432:BB1432"/>
    <mergeCell ref="AV1432:AW1432"/>
    <mergeCell ref="AV1433:AW1433"/>
    <mergeCell ref="AH1431:AI1431"/>
    <mergeCell ref="AH1432:AI1432"/>
    <mergeCell ref="AF1432:AG1432"/>
    <mergeCell ref="AF1433:AG1433"/>
    <mergeCell ref="BJ1434:BM1434"/>
    <mergeCell ref="BN1434:BV1434"/>
    <mergeCell ref="B1435:C1435"/>
    <mergeCell ref="D1435:E1435"/>
    <mergeCell ref="F1435:G1435"/>
    <mergeCell ref="H1435:I1435"/>
    <mergeCell ref="L1435:M1435"/>
    <mergeCell ref="P1435:Q1435"/>
    <mergeCell ref="R1435:S1435"/>
    <mergeCell ref="T1435:U1435"/>
    <mergeCell ref="V1435:W1435"/>
    <mergeCell ref="X1435:AA1435"/>
    <mergeCell ref="AB1435:AE1435"/>
    <mergeCell ref="AJ1435:AK1435"/>
    <mergeCell ref="AL1435:AM1435"/>
    <mergeCell ref="AN1435:AO1435"/>
    <mergeCell ref="AP1435:AQ1435"/>
    <mergeCell ref="AR1435:AS1435"/>
    <mergeCell ref="AT1435:AU1435"/>
    <mergeCell ref="AX1435:AZ1435"/>
    <mergeCell ref="BA1435:BB1435"/>
    <mergeCell ref="BD1435:BE1435"/>
    <mergeCell ref="BF1435:BI1435"/>
    <mergeCell ref="BJ1435:BM1435"/>
    <mergeCell ref="BF1433:BI1433"/>
    <mergeCell ref="BJ1433:BM1433"/>
    <mergeCell ref="BN1433:BV1433"/>
    <mergeCell ref="B1434:C1434"/>
    <mergeCell ref="D1434:E1434"/>
    <mergeCell ref="F1434:G1434"/>
    <mergeCell ref="H1434:I1434"/>
    <mergeCell ref="P1434:Q1434"/>
    <mergeCell ref="R1434:S1434"/>
    <mergeCell ref="T1434:U1434"/>
    <mergeCell ref="V1434:W1434"/>
    <mergeCell ref="X1434:AA1434"/>
    <mergeCell ref="AB1434:AE1434"/>
    <mergeCell ref="AJ1434:AK1434"/>
    <mergeCell ref="AL1434:AM1434"/>
    <mergeCell ref="AN1434:AO1434"/>
    <mergeCell ref="AP1434:AQ1434"/>
    <mergeCell ref="AR1434:AS1434"/>
    <mergeCell ref="AT1434:AU1434"/>
    <mergeCell ref="AX1434:AZ1434"/>
    <mergeCell ref="BA1434:BB1434"/>
    <mergeCell ref="BD1434:BE1434"/>
    <mergeCell ref="BF1434:BI1434"/>
    <mergeCell ref="AV1434:AW1434"/>
    <mergeCell ref="AV1435:AW1435"/>
    <mergeCell ref="AH1433:AI1433"/>
    <mergeCell ref="AH1434:AI1434"/>
    <mergeCell ref="AF1434:AG1434"/>
    <mergeCell ref="AF1435:AG1435"/>
    <mergeCell ref="BN1436:BV1436"/>
    <mergeCell ref="B1437:C1437"/>
    <mergeCell ref="D1437:E1437"/>
    <mergeCell ref="F1437:G1437"/>
    <mergeCell ref="H1437:I1437"/>
    <mergeCell ref="L1437:M1437"/>
    <mergeCell ref="P1437:Q1437"/>
    <mergeCell ref="R1437:S1437"/>
    <mergeCell ref="T1437:U1437"/>
    <mergeCell ref="V1437:W1437"/>
    <mergeCell ref="X1437:AA1437"/>
    <mergeCell ref="AB1437:AE1437"/>
    <mergeCell ref="AJ1437:AK1437"/>
    <mergeCell ref="AL1437:AM1437"/>
    <mergeCell ref="AN1437:AO1437"/>
    <mergeCell ref="AP1437:AQ1437"/>
    <mergeCell ref="AR1437:AS1437"/>
    <mergeCell ref="AT1437:AU1437"/>
    <mergeCell ref="AX1437:AZ1437"/>
    <mergeCell ref="BA1437:BB1437"/>
    <mergeCell ref="BD1437:BE1437"/>
    <mergeCell ref="BF1437:BI1437"/>
    <mergeCell ref="BJ1437:BM1437"/>
    <mergeCell ref="BN1435:BV1435"/>
    <mergeCell ref="B1436:C1436"/>
    <mergeCell ref="D1436:E1436"/>
    <mergeCell ref="F1436:G1436"/>
    <mergeCell ref="H1436:I1436"/>
    <mergeCell ref="P1436:Q1436"/>
    <mergeCell ref="R1436:S1436"/>
    <mergeCell ref="T1436:U1436"/>
    <mergeCell ref="V1436:W1436"/>
    <mergeCell ref="X1436:AA1436"/>
    <mergeCell ref="AB1436:AE1436"/>
    <mergeCell ref="AJ1436:AK1436"/>
    <mergeCell ref="AL1436:AM1436"/>
    <mergeCell ref="AN1436:AO1436"/>
    <mergeCell ref="AP1436:AQ1436"/>
    <mergeCell ref="AR1436:AS1436"/>
    <mergeCell ref="AT1436:AU1436"/>
    <mergeCell ref="AX1436:AZ1436"/>
    <mergeCell ref="BA1436:BB1436"/>
    <mergeCell ref="BD1436:BE1436"/>
    <mergeCell ref="BF1436:BI1436"/>
    <mergeCell ref="BJ1436:BM1436"/>
    <mergeCell ref="AV1436:AW1436"/>
    <mergeCell ref="AV1437:AW1437"/>
    <mergeCell ref="AH1435:AI1435"/>
    <mergeCell ref="AH1436:AI1436"/>
    <mergeCell ref="AF1436:AG1436"/>
    <mergeCell ref="AF1437:AG1437"/>
    <mergeCell ref="BN1438:BV1438"/>
    <mergeCell ref="B1439:C1439"/>
    <mergeCell ref="D1439:E1439"/>
    <mergeCell ref="F1439:G1439"/>
    <mergeCell ref="H1439:I1439"/>
    <mergeCell ref="L1439:M1439"/>
    <mergeCell ref="P1439:Q1439"/>
    <mergeCell ref="R1439:S1439"/>
    <mergeCell ref="T1439:U1439"/>
    <mergeCell ref="V1439:W1439"/>
    <mergeCell ref="X1439:AA1439"/>
    <mergeCell ref="AB1439:AE1439"/>
    <mergeCell ref="AJ1439:AK1439"/>
    <mergeCell ref="AL1439:AM1439"/>
    <mergeCell ref="AN1439:AO1439"/>
    <mergeCell ref="AP1439:AQ1439"/>
    <mergeCell ref="AR1439:AS1439"/>
    <mergeCell ref="AT1439:AU1439"/>
    <mergeCell ref="AX1439:AZ1439"/>
    <mergeCell ref="BA1439:BB1439"/>
    <mergeCell ref="BD1439:BE1439"/>
    <mergeCell ref="BF1439:BI1439"/>
    <mergeCell ref="BJ1439:BM1439"/>
    <mergeCell ref="BN1439:BV1439"/>
    <mergeCell ref="AV1439:AW1439"/>
    <mergeCell ref="BN1437:BV1437"/>
    <mergeCell ref="B1438:C1438"/>
    <mergeCell ref="D1438:E1438"/>
    <mergeCell ref="F1438:G1438"/>
    <mergeCell ref="H1438:I1438"/>
    <mergeCell ref="P1438:Q1438"/>
    <mergeCell ref="R1438:S1438"/>
    <mergeCell ref="T1438:U1438"/>
    <mergeCell ref="V1438:W1438"/>
    <mergeCell ref="X1438:AA1438"/>
    <mergeCell ref="AB1438:AE1438"/>
    <mergeCell ref="AJ1438:AK1438"/>
    <mergeCell ref="AL1438:AM1438"/>
    <mergeCell ref="AN1438:AO1438"/>
    <mergeCell ref="AP1438:AQ1438"/>
    <mergeCell ref="AR1438:AS1438"/>
    <mergeCell ref="AT1438:AU1438"/>
    <mergeCell ref="AX1438:AZ1438"/>
    <mergeCell ref="BA1438:BB1438"/>
    <mergeCell ref="BD1438:BE1438"/>
    <mergeCell ref="BF1438:BI1438"/>
    <mergeCell ref="BJ1438:BM1438"/>
    <mergeCell ref="AV1438:AW1438"/>
    <mergeCell ref="AH1437:AI1437"/>
    <mergeCell ref="AH1438:AI1438"/>
    <mergeCell ref="AH1439:AI1439"/>
    <mergeCell ref="AF1438:AG1438"/>
    <mergeCell ref="AF1439:AG1439"/>
    <mergeCell ref="J1439:K1439"/>
    <mergeCell ref="AN1441:AO1441"/>
    <mergeCell ref="AP1441:AQ1441"/>
    <mergeCell ref="AR1441:AS1441"/>
    <mergeCell ref="AT1441:AU1441"/>
    <mergeCell ref="AX1441:AZ1441"/>
    <mergeCell ref="BA1441:BB1441"/>
    <mergeCell ref="BD1441:BE1441"/>
    <mergeCell ref="BF1441:BI1441"/>
    <mergeCell ref="BJ1441:BM1441"/>
    <mergeCell ref="BN1441:BV1441"/>
    <mergeCell ref="B1442:C1442"/>
    <mergeCell ref="D1442:E1442"/>
    <mergeCell ref="F1442:G1442"/>
    <mergeCell ref="H1442:I1442"/>
    <mergeCell ref="P1442:Q1442"/>
    <mergeCell ref="R1442:S1442"/>
    <mergeCell ref="T1442:U1442"/>
    <mergeCell ref="V1442:W1442"/>
    <mergeCell ref="X1442:AA1442"/>
    <mergeCell ref="AB1442:AE1442"/>
    <mergeCell ref="AJ1442:AK1442"/>
    <mergeCell ref="AL1442:AM1442"/>
    <mergeCell ref="AN1442:AO1442"/>
    <mergeCell ref="AL1440:AM1440"/>
    <mergeCell ref="AN1440:AO1440"/>
    <mergeCell ref="AP1440:AQ1440"/>
    <mergeCell ref="AR1440:AS1440"/>
    <mergeCell ref="AT1440:AU1440"/>
    <mergeCell ref="AX1440:AZ1440"/>
    <mergeCell ref="BA1440:BB1440"/>
    <mergeCell ref="BD1440:BE1440"/>
    <mergeCell ref="BF1440:BI1440"/>
    <mergeCell ref="BJ1440:BM1440"/>
    <mergeCell ref="BN1440:BV1440"/>
    <mergeCell ref="B1441:C1441"/>
    <mergeCell ref="D1441:E1441"/>
    <mergeCell ref="F1441:G1441"/>
    <mergeCell ref="H1441:I1441"/>
    <mergeCell ref="L1441:M1441"/>
    <mergeCell ref="P1441:Q1441"/>
    <mergeCell ref="R1441:S1441"/>
    <mergeCell ref="T1441:U1441"/>
    <mergeCell ref="V1441:W1441"/>
    <mergeCell ref="X1441:AA1441"/>
    <mergeCell ref="AB1441:AE1441"/>
    <mergeCell ref="AJ1441:AK1441"/>
    <mergeCell ref="AL1441:AM1441"/>
    <mergeCell ref="B1440:C1440"/>
    <mergeCell ref="D1440:E1440"/>
    <mergeCell ref="F1440:G1440"/>
    <mergeCell ref="H1440:I1440"/>
    <mergeCell ref="P1440:Q1440"/>
    <mergeCell ref="R1440:S1440"/>
    <mergeCell ref="T1440:U1440"/>
    <mergeCell ref="V1440:W1440"/>
    <mergeCell ref="X1440:AA1440"/>
    <mergeCell ref="AB1440:AE1440"/>
    <mergeCell ref="AJ1440:AK1440"/>
    <mergeCell ref="AV1441:AW1441"/>
    <mergeCell ref="AV1442:AW1442"/>
    <mergeCell ref="AH1440:AI1440"/>
    <mergeCell ref="AH1441:AI1441"/>
    <mergeCell ref="AF1440:AG1440"/>
    <mergeCell ref="AF1441:AG1441"/>
    <mergeCell ref="AR1443:AS1443"/>
    <mergeCell ref="AT1443:AU1443"/>
    <mergeCell ref="AX1443:AZ1443"/>
    <mergeCell ref="BA1443:BB1443"/>
    <mergeCell ref="BD1443:BE1443"/>
    <mergeCell ref="BF1443:BI1443"/>
    <mergeCell ref="BJ1443:BM1443"/>
    <mergeCell ref="BN1443:BV1443"/>
    <mergeCell ref="B1444:C1444"/>
    <mergeCell ref="D1444:E1444"/>
    <mergeCell ref="F1444:G1444"/>
    <mergeCell ref="H1444:I1444"/>
    <mergeCell ref="P1444:Q1444"/>
    <mergeCell ref="R1444:S1444"/>
    <mergeCell ref="T1444:U1444"/>
    <mergeCell ref="V1444:W1444"/>
    <mergeCell ref="X1444:AA1444"/>
    <mergeCell ref="AB1444:AE1444"/>
    <mergeCell ref="AJ1444:AK1444"/>
    <mergeCell ref="AL1444:AM1444"/>
    <mergeCell ref="AN1444:AO1444"/>
    <mergeCell ref="AP1444:AQ1444"/>
    <mergeCell ref="AR1444:AS1444"/>
    <mergeCell ref="AP1442:AQ1442"/>
    <mergeCell ref="AR1442:AS1442"/>
    <mergeCell ref="AT1442:AU1442"/>
    <mergeCell ref="AX1442:AZ1442"/>
    <mergeCell ref="BA1442:BB1442"/>
    <mergeCell ref="BD1442:BE1442"/>
    <mergeCell ref="BF1442:BI1442"/>
    <mergeCell ref="BJ1442:BM1442"/>
    <mergeCell ref="BN1442:BV1442"/>
    <mergeCell ref="B1443:C1443"/>
    <mergeCell ref="D1443:E1443"/>
    <mergeCell ref="F1443:G1443"/>
    <mergeCell ref="H1443:I1443"/>
    <mergeCell ref="L1443:M1443"/>
    <mergeCell ref="P1443:Q1443"/>
    <mergeCell ref="R1443:S1443"/>
    <mergeCell ref="T1443:U1443"/>
    <mergeCell ref="V1443:W1443"/>
    <mergeCell ref="X1443:AA1443"/>
    <mergeCell ref="AB1443:AE1443"/>
    <mergeCell ref="AJ1443:AK1443"/>
    <mergeCell ref="AL1443:AM1443"/>
    <mergeCell ref="AN1443:AO1443"/>
    <mergeCell ref="AP1443:AQ1443"/>
    <mergeCell ref="AV1443:AW1443"/>
    <mergeCell ref="AV1444:AW1444"/>
    <mergeCell ref="AH1442:AI1442"/>
    <mergeCell ref="AH1443:AI1443"/>
    <mergeCell ref="AF1442:AG1442"/>
    <mergeCell ref="AF1443:AG1443"/>
    <mergeCell ref="AF1444:AG1444"/>
    <mergeCell ref="AX1445:AZ1445"/>
    <mergeCell ref="BA1445:BB1445"/>
    <mergeCell ref="BD1445:BE1445"/>
    <mergeCell ref="BF1445:BI1445"/>
    <mergeCell ref="BJ1445:BM1445"/>
    <mergeCell ref="BN1445:BV1445"/>
    <mergeCell ref="B1446:C1446"/>
    <mergeCell ref="D1446:E1446"/>
    <mergeCell ref="F1446:G1446"/>
    <mergeCell ref="H1446:I1446"/>
    <mergeCell ref="P1446:Q1446"/>
    <mergeCell ref="R1446:S1446"/>
    <mergeCell ref="T1446:U1446"/>
    <mergeCell ref="V1446:W1446"/>
    <mergeCell ref="X1446:AA1446"/>
    <mergeCell ref="AB1446:AE1446"/>
    <mergeCell ref="AJ1446:AK1446"/>
    <mergeCell ref="AL1446:AM1446"/>
    <mergeCell ref="AN1446:AO1446"/>
    <mergeCell ref="AP1446:AQ1446"/>
    <mergeCell ref="AR1446:AS1446"/>
    <mergeCell ref="AT1446:AU1446"/>
    <mergeCell ref="AX1446:AZ1446"/>
    <mergeCell ref="AT1444:AU1444"/>
    <mergeCell ref="AX1444:AZ1444"/>
    <mergeCell ref="BA1444:BB1444"/>
    <mergeCell ref="BD1444:BE1444"/>
    <mergeCell ref="BF1444:BI1444"/>
    <mergeCell ref="BJ1444:BM1444"/>
    <mergeCell ref="BN1444:BV1444"/>
    <mergeCell ref="B1445:C1445"/>
    <mergeCell ref="D1445:E1445"/>
    <mergeCell ref="F1445:G1445"/>
    <mergeCell ref="H1445:I1445"/>
    <mergeCell ref="L1445:M1445"/>
    <mergeCell ref="P1445:Q1445"/>
    <mergeCell ref="R1445:S1445"/>
    <mergeCell ref="T1445:U1445"/>
    <mergeCell ref="V1445:W1445"/>
    <mergeCell ref="X1445:AA1445"/>
    <mergeCell ref="AB1445:AE1445"/>
    <mergeCell ref="AJ1445:AK1445"/>
    <mergeCell ref="AL1445:AM1445"/>
    <mergeCell ref="AN1445:AO1445"/>
    <mergeCell ref="AP1445:AQ1445"/>
    <mergeCell ref="AR1445:AS1445"/>
    <mergeCell ref="AT1445:AU1445"/>
    <mergeCell ref="AV1445:AW1445"/>
    <mergeCell ref="AV1446:AW1446"/>
    <mergeCell ref="AH1444:AI1444"/>
    <mergeCell ref="AH1445:AI1445"/>
    <mergeCell ref="J1445:K1445"/>
    <mergeCell ref="AF1445:AG1445"/>
    <mergeCell ref="AF1446:AG1446"/>
    <mergeCell ref="BD1447:BE1447"/>
    <mergeCell ref="BF1447:BI1447"/>
    <mergeCell ref="BJ1447:BM1447"/>
    <mergeCell ref="BN1447:BV1447"/>
    <mergeCell ref="B1448:C1448"/>
    <mergeCell ref="D1448:E1448"/>
    <mergeCell ref="F1448:G1448"/>
    <mergeCell ref="H1448:I1448"/>
    <mergeCell ref="P1448:Q1448"/>
    <mergeCell ref="R1448:S1448"/>
    <mergeCell ref="T1448:U1448"/>
    <mergeCell ref="V1448:W1448"/>
    <mergeCell ref="X1448:AA1448"/>
    <mergeCell ref="AB1448:AE1448"/>
    <mergeCell ref="AJ1448:AK1448"/>
    <mergeCell ref="AL1448:AM1448"/>
    <mergeCell ref="AN1448:AO1448"/>
    <mergeCell ref="AP1448:AQ1448"/>
    <mergeCell ref="AR1448:AS1448"/>
    <mergeCell ref="AT1448:AU1448"/>
    <mergeCell ref="AX1448:AZ1448"/>
    <mergeCell ref="BA1448:BB1448"/>
    <mergeCell ref="BD1448:BE1448"/>
    <mergeCell ref="BA1446:BB1446"/>
    <mergeCell ref="BD1446:BE1446"/>
    <mergeCell ref="BF1446:BI1446"/>
    <mergeCell ref="BJ1446:BM1446"/>
    <mergeCell ref="BN1446:BV1446"/>
    <mergeCell ref="B1447:C1447"/>
    <mergeCell ref="D1447:E1447"/>
    <mergeCell ref="F1447:G1447"/>
    <mergeCell ref="H1447:I1447"/>
    <mergeCell ref="L1447:M1447"/>
    <mergeCell ref="P1447:Q1447"/>
    <mergeCell ref="R1447:S1447"/>
    <mergeCell ref="T1447:U1447"/>
    <mergeCell ref="V1447:W1447"/>
    <mergeCell ref="X1447:AA1447"/>
    <mergeCell ref="AB1447:AE1447"/>
    <mergeCell ref="AJ1447:AK1447"/>
    <mergeCell ref="AL1447:AM1447"/>
    <mergeCell ref="AN1447:AO1447"/>
    <mergeCell ref="AP1447:AQ1447"/>
    <mergeCell ref="AR1447:AS1447"/>
    <mergeCell ref="AT1447:AU1447"/>
    <mergeCell ref="AX1447:AZ1447"/>
    <mergeCell ref="BA1447:BB1447"/>
    <mergeCell ref="AV1447:AW1447"/>
    <mergeCell ref="AV1448:AW1448"/>
    <mergeCell ref="AH1446:AI1446"/>
    <mergeCell ref="AH1447:AI1447"/>
    <mergeCell ref="J1447:K1447"/>
    <mergeCell ref="AF1447:AG1447"/>
    <mergeCell ref="AF1448:AG1448"/>
    <mergeCell ref="BJ1449:BM1449"/>
    <mergeCell ref="BN1449:BV1449"/>
    <mergeCell ref="B1450:C1450"/>
    <mergeCell ref="D1450:E1450"/>
    <mergeCell ref="F1450:G1450"/>
    <mergeCell ref="H1450:I1450"/>
    <mergeCell ref="P1450:Q1450"/>
    <mergeCell ref="R1450:S1450"/>
    <mergeCell ref="T1450:U1450"/>
    <mergeCell ref="V1450:W1450"/>
    <mergeCell ref="X1450:AA1450"/>
    <mergeCell ref="AB1450:AE1450"/>
    <mergeCell ref="AJ1450:AK1450"/>
    <mergeCell ref="AL1450:AM1450"/>
    <mergeCell ref="AN1450:AO1450"/>
    <mergeCell ref="AP1450:AQ1450"/>
    <mergeCell ref="AR1450:AS1450"/>
    <mergeCell ref="AT1450:AU1450"/>
    <mergeCell ref="AX1450:AZ1450"/>
    <mergeCell ref="BA1450:BB1450"/>
    <mergeCell ref="BD1450:BE1450"/>
    <mergeCell ref="BF1450:BI1450"/>
    <mergeCell ref="BJ1450:BM1450"/>
    <mergeCell ref="BF1448:BI1448"/>
    <mergeCell ref="BJ1448:BM1448"/>
    <mergeCell ref="BN1448:BV1448"/>
    <mergeCell ref="B1449:C1449"/>
    <mergeCell ref="D1449:E1449"/>
    <mergeCell ref="F1449:G1449"/>
    <mergeCell ref="H1449:I1449"/>
    <mergeCell ref="L1449:M1449"/>
    <mergeCell ref="P1449:Q1449"/>
    <mergeCell ref="R1449:S1449"/>
    <mergeCell ref="T1449:U1449"/>
    <mergeCell ref="V1449:W1449"/>
    <mergeCell ref="X1449:AA1449"/>
    <mergeCell ref="AB1449:AE1449"/>
    <mergeCell ref="AJ1449:AK1449"/>
    <mergeCell ref="AL1449:AM1449"/>
    <mergeCell ref="AN1449:AO1449"/>
    <mergeCell ref="AP1449:AQ1449"/>
    <mergeCell ref="AR1449:AS1449"/>
    <mergeCell ref="AT1449:AU1449"/>
    <mergeCell ref="AX1449:AZ1449"/>
    <mergeCell ref="BA1449:BB1449"/>
    <mergeCell ref="BD1449:BE1449"/>
    <mergeCell ref="BF1449:BI1449"/>
    <mergeCell ref="AV1449:AW1449"/>
    <mergeCell ref="AV1450:AW1450"/>
    <mergeCell ref="AH1448:AI1448"/>
    <mergeCell ref="AH1449:AI1449"/>
    <mergeCell ref="J1449:K1449"/>
    <mergeCell ref="AF1449:AG1449"/>
    <mergeCell ref="AF1450:AG1450"/>
    <mergeCell ref="BN1451:BV1451"/>
    <mergeCell ref="B1452:C1452"/>
    <mergeCell ref="D1452:E1452"/>
    <mergeCell ref="F1452:G1452"/>
    <mergeCell ref="H1452:I1452"/>
    <mergeCell ref="P1452:Q1452"/>
    <mergeCell ref="R1452:S1452"/>
    <mergeCell ref="T1452:U1452"/>
    <mergeCell ref="V1452:W1452"/>
    <mergeCell ref="X1452:AA1452"/>
    <mergeCell ref="AB1452:AE1452"/>
    <mergeCell ref="AJ1452:AK1452"/>
    <mergeCell ref="AL1452:AM1452"/>
    <mergeCell ref="AN1452:AO1452"/>
    <mergeCell ref="AP1452:AQ1452"/>
    <mergeCell ref="AR1452:AS1452"/>
    <mergeCell ref="AT1452:AU1452"/>
    <mergeCell ref="AX1452:AZ1452"/>
    <mergeCell ref="BA1452:BB1452"/>
    <mergeCell ref="BD1452:BE1452"/>
    <mergeCell ref="BF1452:BI1452"/>
    <mergeCell ref="BJ1452:BM1452"/>
    <mergeCell ref="BN1450:BV1450"/>
    <mergeCell ref="B1451:C1451"/>
    <mergeCell ref="D1451:E1451"/>
    <mergeCell ref="F1451:G1451"/>
    <mergeCell ref="H1451:I1451"/>
    <mergeCell ref="L1451:M1451"/>
    <mergeCell ref="P1451:Q1451"/>
    <mergeCell ref="R1451:S1451"/>
    <mergeCell ref="T1451:U1451"/>
    <mergeCell ref="V1451:W1451"/>
    <mergeCell ref="X1451:AA1451"/>
    <mergeCell ref="AB1451:AE1451"/>
    <mergeCell ref="AJ1451:AK1451"/>
    <mergeCell ref="AL1451:AM1451"/>
    <mergeCell ref="AN1451:AO1451"/>
    <mergeCell ref="AP1451:AQ1451"/>
    <mergeCell ref="AR1451:AS1451"/>
    <mergeCell ref="AT1451:AU1451"/>
    <mergeCell ref="AX1451:AZ1451"/>
    <mergeCell ref="BA1451:BB1451"/>
    <mergeCell ref="BD1451:BE1451"/>
    <mergeCell ref="BF1451:BI1451"/>
    <mergeCell ref="BJ1451:BM1451"/>
    <mergeCell ref="AV1451:AW1451"/>
    <mergeCell ref="AV1452:AW1452"/>
    <mergeCell ref="AH1450:AI1450"/>
    <mergeCell ref="AH1451:AI1451"/>
    <mergeCell ref="J1451:K1451"/>
    <mergeCell ref="AF1451:AG1451"/>
    <mergeCell ref="AF1452:AG1452"/>
    <mergeCell ref="BN1453:BV1453"/>
    <mergeCell ref="B1454:C1454"/>
    <mergeCell ref="D1454:E1454"/>
    <mergeCell ref="F1454:G1454"/>
    <mergeCell ref="H1454:I1454"/>
    <mergeCell ref="P1454:Q1454"/>
    <mergeCell ref="R1454:S1454"/>
    <mergeCell ref="T1454:U1454"/>
    <mergeCell ref="V1454:W1454"/>
    <mergeCell ref="X1454:AA1454"/>
    <mergeCell ref="AB1454:AE1454"/>
    <mergeCell ref="AJ1454:AK1454"/>
    <mergeCell ref="AL1454:AM1454"/>
    <mergeCell ref="AN1454:AO1454"/>
    <mergeCell ref="AP1454:AQ1454"/>
    <mergeCell ref="AR1454:AS1454"/>
    <mergeCell ref="AT1454:AU1454"/>
    <mergeCell ref="AX1454:AZ1454"/>
    <mergeCell ref="BA1454:BB1454"/>
    <mergeCell ref="BD1454:BE1454"/>
    <mergeCell ref="BF1454:BI1454"/>
    <mergeCell ref="BJ1454:BM1454"/>
    <mergeCell ref="BN1454:BV1454"/>
    <mergeCell ref="BN1452:BV1452"/>
    <mergeCell ref="B1453:C1453"/>
    <mergeCell ref="D1453:E1453"/>
    <mergeCell ref="F1453:G1453"/>
    <mergeCell ref="H1453:I1453"/>
    <mergeCell ref="L1453:M1453"/>
    <mergeCell ref="P1453:Q1453"/>
    <mergeCell ref="R1453:S1453"/>
    <mergeCell ref="T1453:U1453"/>
    <mergeCell ref="V1453:W1453"/>
    <mergeCell ref="X1453:AA1453"/>
    <mergeCell ref="AB1453:AE1453"/>
    <mergeCell ref="AJ1453:AK1453"/>
    <mergeCell ref="AL1453:AM1453"/>
    <mergeCell ref="AN1453:AO1453"/>
    <mergeCell ref="AP1453:AQ1453"/>
    <mergeCell ref="AR1453:AS1453"/>
    <mergeCell ref="AT1453:AU1453"/>
    <mergeCell ref="AX1453:AZ1453"/>
    <mergeCell ref="BA1453:BB1453"/>
    <mergeCell ref="BD1453:BE1453"/>
    <mergeCell ref="BF1453:BI1453"/>
    <mergeCell ref="BJ1453:BM1453"/>
    <mergeCell ref="AV1453:AW1453"/>
    <mergeCell ref="AV1454:AW1454"/>
    <mergeCell ref="AH1452:AI1452"/>
    <mergeCell ref="AH1453:AI1453"/>
    <mergeCell ref="AH1454:AI1454"/>
    <mergeCell ref="J1453:K1453"/>
    <mergeCell ref="AF1453:AG1453"/>
    <mergeCell ref="AF1454:AG1454"/>
    <mergeCell ref="AN1456:AO1456"/>
    <mergeCell ref="AP1456:AQ1456"/>
    <mergeCell ref="AR1456:AS1456"/>
    <mergeCell ref="AT1456:AU1456"/>
    <mergeCell ref="AX1456:AZ1456"/>
    <mergeCell ref="BA1456:BB1456"/>
    <mergeCell ref="BD1456:BE1456"/>
    <mergeCell ref="BF1456:BI1456"/>
    <mergeCell ref="BJ1456:BM1456"/>
    <mergeCell ref="BN1456:BV1456"/>
    <mergeCell ref="B1457:C1457"/>
    <mergeCell ref="D1457:E1457"/>
    <mergeCell ref="F1457:G1457"/>
    <mergeCell ref="H1457:I1457"/>
    <mergeCell ref="L1457:M1457"/>
    <mergeCell ref="P1457:Q1457"/>
    <mergeCell ref="R1457:S1457"/>
    <mergeCell ref="T1457:U1457"/>
    <mergeCell ref="V1457:W1457"/>
    <mergeCell ref="X1457:AA1457"/>
    <mergeCell ref="AB1457:AE1457"/>
    <mergeCell ref="AJ1457:AK1457"/>
    <mergeCell ref="AL1457:AM1457"/>
    <mergeCell ref="AN1457:AO1457"/>
    <mergeCell ref="AL1455:AM1455"/>
    <mergeCell ref="AN1455:AO1455"/>
    <mergeCell ref="AP1455:AQ1455"/>
    <mergeCell ref="AR1455:AS1455"/>
    <mergeCell ref="AT1455:AU1455"/>
    <mergeCell ref="AX1455:AZ1455"/>
    <mergeCell ref="BA1455:BB1455"/>
    <mergeCell ref="BD1455:BE1455"/>
    <mergeCell ref="BF1455:BI1455"/>
    <mergeCell ref="BJ1455:BM1455"/>
    <mergeCell ref="BN1455:BV1455"/>
    <mergeCell ref="B1456:C1456"/>
    <mergeCell ref="D1456:E1456"/>
    <mergeCell ref="F1456:G1456"/>
    <mergeCell ref="H1456:I1456"/>
    <mergeCell ref="P1456:Q1456"/>
    <mergeCell ref="R1456:S1456"/>
    <mergeCell ref="T1456:U1456"/>
    <mergeCell ref="V1456:W1456"/>
    <mergeCell ref="X1456:AA1456"/>
    <mergeCell ref="AB1456:AE1456"/>
    <mergeCell ref="AJ1456:AK1456"/>
    <mergeCell ref="AL1456:AM1456"/>
    <mergeCell ref="B1455:C1455"/>
    <mergeCell ref="D1455:E1455"/>
    <mergeCell ref="F1455:G1455"/>
    <mergeCell ref="H1455:I1455"/>
    <mergeCell ref="L1455:M1455"/>
    <mergeCell ref="P1455:Q1455"/>
    <mergeCell ref="R1455:S1455"/>
    <mergeCell ref="T1455:U1455"/>
    <mergeCell ref="V1455:W1455"/>
    <mergeCell ref="X1455:AA1455"/>
    <mergeCell ref="AB1455:AE1455"/>
    <mergeCell ref="AJ1455:AK1455"/>
    <mergeCell ref="AV1455:AW1455"/>
    <mergeCell ref="AV1456:AW1456"/>
    <mergeCell ref="AV1457:AW1457"/>
    <mergeCell ref="AH1455:AI1455"/>
    <mergeCell ref="AF1455:AG1455"/>
    <mergeCell ref="AR1458:AS1458"/>
    <mergeCell ref="AT1458:AU1458"/>
    <mergeCell ref="AX1458:AZ1458"/>
    <mergeCell ref="BA1458:BB1458"/>
    <mergeCell ref="BD1458:BE1458"/>
    <mergeCell ref="BF1458:BI1458"/>
    <mergeCell ref="BJ1458:BM1458"/>
    <mergeCell ref="BN1458:BV1458"/>
    <mergeCell ref="B1459:C1459"/>
    <mergeCell ref="D1459:E1459"/>
    <mergeCell ref="F1459:G1459"/>
    <mergeCell ref="H1459:I1459"/>
    <mergeCell ref="L1459:M1459"/>
    <mergeCell ref="P1459:Q1459"/>
    <mergeCell ref="R1459:S1459"/>
    <mergeCell ref="T1459:U1459"/>
    <mergeCell ref="V1459:W1459"/>
    <mergeCell ref="X1459:AA1459"/>
    <mergeCell ref="AB1459:AE1459"/>
    <mergeCell ref="AJ1459:AK1459"/>
    <mergeCell ref="AL1459:AM1459"/>
    <mergeCell ref="AN1459:AO1459"/>
    <mergeCell ref="AP1459:AQ1459"/>
    <mergeCell ref="AR1459:AS1459"/>
    <mergeCell ref="AP1457:AQ1457"/>
    <mergeCell ref="AR1457:AS1457"/>
    <mergeCell ref="AT1457:AU1457"/>
    <mergeCell ref="AX1457:AZ1457"/>
    <mergeCell ref="BA1457:BB1457"/>
    <mergeCell ref="BD1457:BE1457"/>
    <mergeCell ref="BF1457:BI1457"/>
    <mergeCell ref="BJ1457:BM1457"/>
    <mergeCell ref="BN1457:BV1457"/>
    <mergeCell ref="B1458:C1458"/>
    <mergeCell ref="D1458:E1458"/>
    <mergeCell ref="F1458:G1458"/>
    <mergeCell ref="H1458:I1458"/>
    <mergeCell ref="P1458:Q1458"/>
    <mergeCell ref="R1458:S1458"/>
    <mergeCell ref="T1458:U1458"/>
    <mergeCell ref="V1458:W1458"/>
    <mergeCell ref="X1458:AA1458"/>
    <mergeCell ref="AB1458:AE1458"/>
    <mergeCell ref="AJ1458:AK1458"/>
    <mergeCell ref="AL1458:AM1458"/>
    <mergeCell ref="AN1458:AO1458"/>
    <mergeCell ref="AP1458:AQ1458"/>
    <mergeCell ref="AV1458:AW1458"/>
    <mergeCell ref="AV1459:AW1459"/>
    <mergeCell ref="AF1459:AG1459"/>
    <mergeCell ref="AX1460:AZ1460"/>
    <mergeCell ref="BA1460:BB1460"/>
    <mergeCell ref="BD1460:BE1460"/>
    <mergeCell ref="BF1460:BI1460"/>
    <mergeCell ref="BJ1460:BM1460"/>
    <mergeCell ref="BN1460:BV1460"/>
    <mergeCell ref="B1461:C1461"/>
    <mergeCell ref="D1461:E1461"/>
    <mergeCell ref="F1461:G1461"/>
    <mergeCell ref="H1461:I1461"/>
    <mergeCell ref="L1461:M1461"/>
    <mergeCell ref="P1461:Q1461"/>
    <mergeCell ref="R1461:S1461"/>
    <mergeCell ref="T1461:U1461"/>
    <mergeCell ref="V1461:W1461"/>
    <mergeCell ref="X1461:AA1461"/>
    <mergeCell ref="AB1461:AE1461"/>
    <mergeCell ref="AJ1461:AK1461"/>
    <mergeCell ref="AL1461:AM1461"/>
    <mergeCell ref="AN1461:AO1461"/>
    <mergeCell ref="AP1461:AQ1461"/>
    <mergeCell ref="AR1461:AS1461"/>
    <mergeCell ref="AT1461:AU1461"/>
    <mergeCell ref="AX1461:AZ1461"/>
    <mergeCell ref="AT1459:AU1459"/>
    <mergeCell ref="AX1459:AZ1459"/>
    <mergeCell ref="BA1459:BB1459"/>
    <mergeCell ref="BD1459:BE1459"/>
    <mergeCell ref="BF1459:BI1459"/>
    <mergeCell ref="BJ1459:BM1459"/>
    <mergeCell ref="BN1459:BV1459"/>
    <mergeCell ref="B1460:C1460"/>
    <mergeCell ref="D1460:E1460"/>
    <mergeCell ref="F1460:G1460"/>
    <mergeCell ref="H1460:I1460"/>
    <mergeCell ref="P1460:Q1460"/>
    <mergeCell ref="R1460:S1460"/>
    <mergeCell ref="T1460:U1460"/>
    <mergeCell ref="V1460:W1460"/>
    <mergeCell ref="X1460:AA1460"/>
    <mergeCell ref="AB1460:AE1460"/>
    <mergeCell ref="AJ1460:AK1460"/>
    <mergeCell ref="AL1460:AM1460"/>
    <mergeCell ref="AN1460:AO1460"/>
    <mergeCell ref="AP1460:AQ1460"/>
    <mergeCell ref="AR1460:AS1460"/>
    <mergeCell ref="AT1460:AU1460"/>
    <mergeCell ref="AV1460:AW1460"/>
    <mergeCell ref="AV1461:AW1461"/>
    <mergeCell ref="AF1460:AG1460"/>
    <mergeCell ref="AF1461:AG1461"/>
    <mergeCell ref="AH1460:AI1460"/>
    <mergeCell ref="BD1462:BE1462"/>
    <mergeCell ref="BF1462:BI1462"/>
    <mergeCell ref="BJ1462:BM1462"/>
    <mergeCell ref="BN1462:BV1462"/>
    <mergeCell ref="B1463:C1463"/>
    <mergeCell ref="D1463:E1463"/>
    <mergeCell ref="F1463:G1463"/>
    <mergeCell ref="H1463:I1463"/>
    <mergeCell ref="L1463:M1463"/>
    <mergeCell ref="P1463:Q1463"/>
    <mergeCell ref="R1463:S1463"/>
    <mergeCell ref="T1463:U1463"/>
    <mergeCell ref="V1463:W1463"/>
    <mergeCell ref="X1463:AA1463"/>
    <mergeCell ref="AB1463:AE1463"/>
    <mergeCell ref="AJ1463:AK1463"/>
    <mergeCell ref="AL1463:AM1463"/>
    <mergeCell ref="AN1463:AO1463"/>
    <mergeCell ref="AP1463:AQ1463"/>
    <mergeCell ref="AR1463:AS1463"/>
    <mergeCell ref="AT1463:AU1463"/>
    <mergeCell ref="AX1463:AZ1463"/>
    <mergeCell ref="BA1463:BB1463"/>
    <mergeCell ref="BD1463:BE1463"/>
    <mergeCell ref="BA1461:BB1461"/>
    <mergeCell ref="BD1461:BE1461"/>
    <mergeCell ref="BF1461:BI1461"/>
    <mergeCell ref="BJ1461:BM1461"/>
    <mergeCell ref="BN1461:BV1461"/>
    <mergeCell ref="B1462:C1462"/>
    <mergeCell ref="D1462:E1462"/>
    <mergeCell ref="F1462:G1462"/>
    <mergeCell ref="H1462:I1462"/>
    <mergeCell ref="P1462:Q1462"/>
    <mergeCell ref="R1462:S1462"/>
    <mergeCell ref="T1462:U1462"/>
    <mergeCell ref="V1462:W1462"/>
    <mergeCell ref="X1462:AA1462"/>
    <mergeCell ref="AB1462:AE1462"/>
    <mergeCell ref="AJ1462:AK1462"/>
    <mergeCell ref="AL1462:AM1462"/>
    <mergeCell ref="AN1462:AO1462"/>
    <mergeCell ref="AP1462:AQ1462"/>
    <mergeCell ref="AR1462:AS1462"/>
    <mergeCell ref="AT1462:AU1462"/>
    <mergeCell ref="AX1462:AZ1462"/>
    <mergeCell ref="BA1462:BB1462"/>
    <mergeCell ref="AV1462:AW1462"/>
    <mergeCell ref="AV1463:AW1463"/>
    <mergeCell ref="AF1462:AG1462"/>
    <mergeCell ref="AF1463:AG1463"/>
    <mergeCell ref="AH1461:AI1461"/>
    <mergeCell ref="AH1462:AI1462"/>
    <mergeCell ref="BJ1464:BM1464"/>
    <mergeCell ref="BN1464:BV1464"/>
    <mergeCell ref="B1465:C1465"/>
    <mergeCell ref="D1465:E1465"/>
    <mergeCell ref="F1465:G1465"/>
    <mergeCell ref="H1465:I1465"/>
    <mergeCell ref="L1465:M1465"/>
    <mergeCell ref="P1465:Q1465"/>
    <mergeCell ref="R1465:S1465"/>
    <mergeCell ref="T1465:U1465"/>
    <mergeCell ref="V1465:W1465"/>
    <mergeCell ref="X1465:AA1465"/>
    <mergeCell ref="AB1465:AE1465"/>
    <mergeCell ref="AJ1465:AK1465"/>
    <mergeCell ref="AL1465:AM1465"/>
    <mergeCell ref="AN1465:AO1465"/>
    <mergeCell ref="AP1465:AQ1465"/>
    <mergeCell ref="AR1465:AS1465"/>
    <mergeCell ref="AT1465:AU1465"/>
    <mergeCell ref="AX1465:AZ1465"/>
    <mergeCell ref="BA1465:BB1465"/>
    <mergeCell ref="BD1465:BE1465"/>
    <mergeCell ref="BF1465:BI1465"/>
    <mergeCell ref="BJ1465:BM1465"/>
    <mergeCell ref="BF1463:BI1463"/>
    <mergeCell ref="BJ1463:BM1463"/>
    <mergeCell ref="BN1463:BV1463"/>
    <mergeCell ref="B1464:C1464"/>
    <mergeCell ref="D1464:E1464"/>
    <mergeCell ref="F1464:G1464"/>
    <mergeCell ref="H1464:I1464"/>
    <mergeCell ref="P1464:Q1464"/>
    <mergeCell ref="R1464:S1464"/>
    <mergeCell ref="T1464:U1464"/>
    <mergeCell ref="V1464:W1464"/>
    <mergeCell ref="X1464:AA1464"/>
    <mergeCell ref="AB1464:AE1464"/>
    <mergeCell ref="AJ1464:AK1464"/>
    <mergeCell ref="AL1464:AM1464"/>
    <mergeCell ref="AN1464:AO1464"/>
    <mergeCell ref="AP1464:AQ1464"/>
    <mergeCell ref="AR1464:AS1464"/>
    <mergeCell ref="AT1464:AU1464"/>
    <mergeCell ref="AX1464:AZ1464"/>
    <mergeCell ref="BA1464:BB1464"/>
    <mergeCell ref="BD1464:BE1464"/>
    <mergeCell ref="BF1464:BI1464"/>
    <mergeCell ref="AV1464:AW1464"/>
    <mergeCell ref="AV1465:AW1465"/>
    <mergeCell ref="AF1464:AG1464"/>
    <mergeCell ref="AF1465:AG1465"/>
    <mergeCell ref="AH1463:AI1463"/>
    <mergeCell ref="AH1464:AI1464"/>
    <mergeCell ref="BN1466:BV1466"/>
    <mergeCell ref="B1467:C1467"/>
    <mergeCell ref="D1467:E1467"/>
    <mergeCell ref="F1467:G1467"/>
    <mergeCell ref="H1467:I1467"/>
    <mergeCell ref="L1467:M1467"/>
    <mergeCell ref="P1467:Q1467"/>
    <mergeCell ref="R1467:S1467"/>
    <mergeCell ref="T1467:U1467"/>
    <mergeCell ref="V1467:W1467"/>
    <mergeCell ref="X1467:AA1467"/>
    <mergeCell ref="AB1467:AE1467"/>
    <mergeCell ref="AJ1467:AK1467"/>
    <mergeCell ref="AL1467:AM1467"/>
    <mergeCell ref="AN1467:AO1467"/>
    <mergeCell ref="AP1467:AQ1467"/>
    <mergeCell ref="AR1467:AS1467"/>
    <mergeCell ref="AT1467:AU1467"/>
    <mergeCell ref="AX1467:AZ1467"/>
    <mergeCell ref="BA1467:BB1467"/>
    <mergeCell ref="BD1467:BE1467"/>
    <mergeCell ref="BF1467:BI1467"/>
    <mergeCell ref="BJ1467:BM1467"/>
    <mergeCell ref="BN1465:BV1465"/>
    <mergeCell ref="B1466:C1466"/>
    <mergeCell ref="D1466:E1466"/>
    <mergeCell ref="F1466:G1466"/>
    <mergeCell ref="H1466:I1466"/>
    <mergeCell ref="P1466:Q1466"/>
    <mergeCell ref="R1466:S1466"/>
    <mergeCell ref="T1466:U1466"/>
    <mergeCell ref="V1466:W1466"/>
    <mergeCell ref="X1466:AA1466"/>
    <mergeCell ref="AB1466:AE1466"/>
    <mergeCell ref="AJ1466:AK1466"/>
    <mergeCell ref="AL1466:AM1466"/>
    <mergeCell ref="AN1466:AO1466"/>
    <mergeCell ref="AP1466:AQ1466"/>
    <mergeCell ref="AR1466:AS1466"/>
    <mergeCell ref="AT1466:AU1466"/>
    <mergeCell ref="AX1466:AZ1466"/>
    <mergeCell ref="BA1466:BB1466"/>
    <mergeCell ref="BD1466:BE1466"/>
    <mergeCell ref="BF1466:BI1466"/>
    <mergeCell ref="BJ1466:BM1466"/>
    <mergeCell ref="AV1466:AW1466"/>
    <mergeCell ref="AV1467:AW1467"/>
    <mergeCell ref="AF1466:AG1466"/>
    <mergeCell ref="AF1467:AG1467"/>
    <mergeCell ref="AH1465:AI1465"/>
    <mergeCell ref="AH1466:AI1466"/>
    <mergeCell ref="BN1468:BV1468"/>
    <mergeCell ref="B1469:C1469"/>
    <mergeCell ref="D1469:E1469"/>
    <mergeCell ref="F1469:G1469"/>
    <mergeCell ref="H1469:I1469"/>
    <mergeCell ref="L1469:M1469"/>
    <mergeCell ref="P1469:Q1469"/>
    <mergeCell ref="R1469:S1469"/>
    <mergeCell ref="T1469:U1469"/>
    <mergeCell ref="V1469:W1469"/>
    <mergeCell ref="X1469:AA1469"/>
    <mergeCell ref="AB1469:AE1469"/>
    <mergeCell ref="AJ1469:AK1469"/>
    <mergeCell ref="AL1469:AM1469"/>
    <mergeCell ref="AN1469:AO1469"/>
    <mergeCell ref="AP1469:AQ1469"/>
    <mergeCell ref="AR1469:AS1469"/>
    <mergeCell ref="AT1469:AU1469"/>
    <mergeCell ref="AX1469:AZ1469"/>
    <mergeCell ref="BA1469:BB1469"/>
    <mergeCell ref="BD1469:BE1469"/>
    <mergeCell ref="BF1469:BI1469"/>
    <mergeCell ref="BJ1469:BM1469"/>
    <mergeCell ref="BN1469:BV1469"/>
    <mergeCell ref="BN1467:BV1467"/>
    <mergeCell ref="B1468:C1468"/>
    <mergeCell ref="D1468:E1468"/>
    <mergeCell ref="F1468:G1468"/>
    <mergeCell ref="H1468:I1468"/>
    <mergeCell ref="P1468:Q1468"/>
    <mergeCell ref="R1468:S1468"/>
    <mergeCell ref="T1468:U1468"/>
    <mergeCell ref="V1468:W1468"/>
    <mergeCell ref="X1468:AA1468"/>
    <mergeCell ref="AB1468:AE1468"/>
    <mergeCell ref="AJ1468:AK1468"/>
    <mergeCell ref="AL1468:AM1468"/>
    <mergeCell ref="AN1468:AO1468"/>
    <mergeCell ref="AP1468:AQ1468"/>
    <mergeCell ref="AR1468:AS1468"/>
    <mergeCell ref="AT1468:AU1468"/>
    <mergeCell ref="AX1468:AZ1468"/>
    <mergeCell ref="BA1468:BB1468"/>
    <mergeCell ref="BD1468:BE1468"/>
    <mergeCell ref="BF1468:BI1468"/>
    <mergeCell ref="BJ1468:BM1468"/>
    <mergeCell ref="AV1468:AW1468"/>
    <mergeCell ref="AV1469:AW1469"/>
    <mergeCell ref="AF1468:AG1468"/>
    <mergeCell ref="AF1469:AG1469"/>
    <mergeCell ref="AH1467:AI1467"/>
    <mergeCell ref="AH1468:AI1468"/>
    <mergeCell ref="AH1469:AI1469"/>
    <mergeCell ref="AN1471:AO1471"/>
    <mergeCell ref="AP1471:AQ1471"/>
    <mergeCell ref="AR1471:AS1471"/>
    <mergeCell ref="AT1471:AU1471"/>
    <mergeCell ref="AX1471:AZ1471"/>
    <mergeCell ref="BA1471:BB1471"/>
    <mergeCell ref="BD1471:BE1471"/>
    <mergeCell ref="BF1471:BI1471"/>
    <mergeCell ref="BJ1471:BM1471"/>
    <mergeCell ref="BN1471:BV1471"/>
    <mergeCell ref="B1472:C1472"/>
    <mergeCell ref="D1472:E1472"/>
    <mergeCell ref="F1472:G1472"/>
    <mergeCell ref="H1472:I1472"/>
    <mergeCell ref="P1472:Q1472"/>
    <mergeCell ref="R1472:S1472"/>
    <mergeCell ref="T1472:U1472"/>
    <mergeCell ref="V1472:W1472"/>
    <mergeCell ref="X1472:AA1472"/>
    <mergeCell ref="AB1472:AE1472"/>
    <mergeCell ref="AJ1472:AK1472"/>
    <mergeCell ref="AL1472:AM1472"/>
    <mergeCell ref="AN1472:AO1472"/>
    <mergeCell ref="AL1470:AM1470"/>
    <mergeCell ref="AN1470:AO1470"/>
    <mergeCell ref="AP1470:AQ1470"/>
    <mergeCell ref="AR1470:AS1470"/>
    <mergeCell ref="AT1470:AU1470"/>
    <mergeCell ref="AX1470:AZ1470"/>
    <mergeCell ref="BA1470:BB1470"/>
    <mergeCell ref="BD1470:BE1470"/>
    <mergeCell ref="BF1470:BI1470"/>
    <mergeCell ref="BJ1470:BM1470"/>
    <mergeCell ref="BN1470:BV1470"/>
    <mergeCell ref="B1471:C1471"/>
    <mergeCell ref="D1471:E1471"/>
    <mergeCell ref="F1471:G1471"/>
    <mergeCell ref="H1471:I1471"/>
    <mergeCell ref="L1471:M1471"/>
    <mergeCell ref="P1471:Q1471"/>
    <mergeCell ref="R1471:S1471"/>
    <mergeCell ref="T1471:U1471"/>
    <mergeCell ref="V1471:W1471"/>
    <mergeCell ref="X1471:AA1471"/>
    <mergeCell ref="AB1471:AE1471"/>
    <mergeCell ref="AJ1471:AK1471"/>
    <mergeCell ref="AL1471:AM1471"/>
    <mergeCell ref="B1470:C1470"/>
    <mergeCell ref="D1470:E1470"/>
    <mergeCell ref="F1470:G1470"/>
    <mergeCell ref="H1470:I1470"/>
    <mergeCell ref="P1470:Q1470"/>
    <mergeCell ref="R1470:S1470"/>
    <mergeCell ref="T1470:U1470"/>
    <mergeCell ref="V1470:W1470"/>
    <mergeCell ref="X1470:AA1470"/>
    <mergeCell ref="AB1470:AE1470"/>
    <mergeCell ref="AJ1470:AK1470"/>
    <mergeCell ref="AV1470:AW1470"/>
    <mergeCell ref="AV1471:AW1471"/>
    <mergeCell ref="AV1472:AW1472"/>
    <mergeCell ref="AF1470:AG1470"/>
    <mergeCell ref="AH1470:AI1470"/>
    <mergeCell ref="AH1471:AI1471"/>
    <mergeCell ref="AR1473:AS1473"/>
    <mergeCell ref="AT1473:AU1473"/>
    <mergeCell ref="AX1473:AZ1473"/>
    <mergeCell ref="BA1473:BB1473"/>
    <mergeCell ref="BD1473:BE1473"/>
    <mergeCell ref="BF1473:BI1473"/>
    <mergeCell ref="BJ1473:BM1473"/>
    <mergeCell ref="BN1473:BV1473"/>
    <mergeCell ref="B1474:C1474"/>
    <mergeCell ref="D1474:E1474"/>
    <mergeCell ref="F1474:G1474"/>
    <mergeCell ref="H1474:I1474"/>
    <mergeCell ref="P1474:Q1474"/>
    <mergeCell ref="R1474:S1474"/>
    <mergeCell ref="T1474:U1474"/>
    <mergeCell ref="V1474:W1474"/>
    <mergeCell ref="X1474:AA1474"/>
    <mergeCell ref="AB1474:AE1474"/>
    <mergeCell ref="AJ1474:AK1474"/>
    <mergeCell ref="AL1474:AM1474"/>
    <mergeCell ref="AN1474:AO1474"/>
    <mergeCell ref="AP1474:AQ1474"/>
    <mergeCell ref="AR1474:AS1474"/>
    <mergeCell ref="AP1472:AQ1472"/>
    <mergeCell ref="AR1472:AS1472"/>
    <mergeCell ref="AT1472:AU1472"/>
    <mergeCell ref="AX1472:AZ1472"/>
    <mergeCell ref="BA1472:BB1472"/>
    <mergeCell ref="BD1472:BE1472"/>
    <mergeCell ref="BF1472:BI1472"/>
    <mergeCell ref="BJ1472:BM1472"/>
    <mergeCell ref="BN1472:BV1472"/>
    <mergeCell ref="B1473:C1473"/>
    <mergeCell ref="D1473:E1473"/>
    <mergeCell ref="F1473:G1473"/>
    <mergeCell ref="H1473:I1473"/>
    <mergeCell ref="L1473:M1473"/>
    <mergeCell ref="P1473:Q1473"/>
    <mergeCell ref="R1473:S1473"/>
    <mergeCell ref="T1473:U1473"/>
    <mergeCell ref="V1473:W1473"/>
    <mergeCell ref="X1473:AA1473"/>
    <mergeCell ref="AB1473:AE1473"/>
    <mergeCell ref="AJ1473:AK1473"/>
    <mergeCell ref="AL1473:AM1473"/>
    <mergeCell ref="AN1473:AO1473"/>
    <mergeCell ref="AP1473:AQ1473"/>
    <mergeCell ref="AV1473:AW1473"/>
    <mergeCell ref="AV1474:AW1474"/>
    <mergeCell ref="AH1472:AI1472"/>
    <mergeCell ref="AH1473:AI1473"/>
    <mergeCell ref="AX1475:AZ1475"/>
    <mergeCell ref="BA1475:BB1475"/>
    <mergeCell ref="BD1475:BE1475"/>
    <mergeCell ref="BF1475:BI1475"/>
    <mergeCell ref="BJ1475:BM1475"/>
    <mergeCell ref="BN1475:BV1475"/>
    <mergeCell ref="B1476:C1476"/>
    <mergeCell ref="D1476:E1476"/>
    <mergeCell ref="F1476:G1476"/>
    <mergeCell ref="H1476:I1476"/>
    <mergeCell ref="P1476:Q1476"/>
    <mergeCell ref="R1476:S1476"/>
    <mergeCell ref="T1476:U1476"/>
    <mergeCell ref="V1476:W1476"/>
    <mergeCell ref="X1476:AA1476"/>
    <mergeCell ref="AB1476:AE1476"/>
    <mergeCell ref="AJ1476:AK1476"/>
    <mergeCell ref="AL1476:AM1476"/>
    <mergeCell ref="AN1476:AO1476"/>
    <mergeCell ref="AP1476:AQ1476"/>
    <mergeCell ref="AR1476:AS1476"/>
    <mergeCell ref="AT1476:AU1476"/>
    <mergeCell ref="AX1476:AZ1476"/>
    <mergeCell ref="AT1474:AU1474"/>
    <mergeCell ref="AX1474:AZ1474"/>
    <mergeCell ref="BA1474:BB1474"/>
    <mergeCell ref="BD1474:BE1474"/>
    <mergeCell ref="BF1474:BI1474"/>
    <mergeCell ref="BJ1474:BM1474"/>
    <mergeCell ref="BN1474:BV1474"/>
    <mergeCell ref="B1475:C1475"/>
    <mergeCell ref="D1475:E1475"/>
    <mergeCell ref="F1475:G1475"/>
    <mergeCell ref="H1475:I1475"/>
    <mergeCell ref="L1475:M1475"/>
    <mergeCell ref="P1475:Q1475"/>
    <mergeCell ref="R1475:S1475"/>
    <mergeCell ref="T1475:U1475"/>
    <mergeCell ref="V1475:W1475"/>
    <mergeCell ref="X1475:AA1475"/>
    <mergeCell ref="AB1475:AE1475"/>
    <mergeCell ref="AJ1475:AK1475"/>
    <mergeCell ref="AL1475:AM1475"/>
    <mergeCell ref="AN1475:AO1475"/>
    <mergeCell ref="AP1475:AQ1475"/>
    <mergeCell ref="AR1475:AS1475"/>
    <mergeCell ref="AT1475:AU1475"/>
    <mergeCell ref="AV1475:AW1475"/>
    <mergeCell ref="AV1476:AW1476"/>
    <mergeCell ref="AH1474:AI1474"/>
    <mergeCell ref="AH1475:AI1475"/>
    <mergeCell ref="BD1477:BE1477"/>
    <mergeCell ref="BF1477:BI1477"/>
    <mergeCell ref="BJ1477:BM1477"/>
    <mergeCell ref="BN1477:BV1477"/>
    <mergeCell ref="B1478:C1478"/>
    <mergeCell ref="D1478:E1478"/>
    <mergeCell ref="F1478:G1478"/>
    <mergeCell ref="H1478:I1478"/>
    <mergeCell ref="P1478:Q1478"/>
    <mergeCell ref="R1478:S1478"/>
    <mergeCell ref="T1478:U1478"/>
    <mergeCell ref="V1478:W1478"/>
    <mergeCell ref="X1478:AA1478"/>
    <mergeCell ref="AB1478:AE1478"/>
    <mergeCell ref="AJ1478:AK1478"/>
    <mergeCell ref="AL1478:AM1478"/>
    <mergeCell ref="AN1478:AO1478"/>
    <mergeCell ref="AP1478:AQ1478"/>
    <mergeCell ref="AR1478:AS1478"/>
    <mergeCell ref="AT1478:AU1478"/>
    <mergeCell ref="AX1478:AZ1478"/>
    <mergeCell ref="BA1478:BB1478"/>
    <mergeCell ref="BD1478:BE1478"/>
    <mergeCell ref="BA1476:BB1476"/>
    <mergeCell ref="BD1476:BE1476"/>
    <mergeCell ref="BF1476:BI1476"/>
    <mergeCell ref="BJ1476:BM1476"/>
    <mergeCell ref="BN1476:BV1476"/>
    <mergeCell ref="B1477:C1477"/>
    <mergeCell ref="D1477:E1477"/>
    <mergeCell ref="F1477:G1477"/>
    <mergeCell ref="H1477:I1477"/>
    <mergeCell ref="L1477:M1477"/>
    <mergeCell ref="P1477:Q1477"/>
    <mergeCell ref="R1477:S1477"/>
    <mergeCell ref="T1477:U1477"/>
    <mergeCell ref="V1477:W1477"/>
    <mergeCell ref="X1477:AA1477"/>
    <mergeCell ref="AB1477:AE1477"/>
    <mergeCell ref="AJ1477:AK1477"/>
    <mergeCell ref="AL1477:AM1477"/>
    <mergeCell ref="AN1477:AO1477"/>
    <mergeCell ref="AP1477:AQ1477"/>
    <mergeCell ref="AR1477:AS1477"/>
    <mergeCell ref="AT1477:AU1477"/>
    <mergeCell ref="AX1477:AZ1477"/>
    <mergeCell ref="BA1477:BB1477"/>
    <mergeCell ref="AV1477:AW1477"/>
    <mergeCell ref="AV1478:AW1478"/>
    <mergeCell ref="AH1476:AI1476"/>
    <mergeCell ref="AH1477:AI1477"/>
    <mergeCell ref="BJ1479:BM1479"/>
    <mergeCell ref="BN1479:BV1479"/>
    <mergeCell ref="B1480:C1480"/>
    <mergeCell ref="D1480:E1480"/>
    <mergeCell ref="F1480:G1480"/>
    <mergeCell ref="H1480:I1480"/>
    <mergeCell ref="P1480:Q1480"/>
    <mergeCell ref="R1480:S1480"/>
    <mergeCell ref="T1480:U1480"/>
    <mergeCell ref="V1480:W1480"/>
    <mergeCell ref="X1480:AA1480"/>
    <mergeCell ref="AB1480:AE1480"/>
    <mergeCell ref="AJ1480:AK1480"/>
    <mergeCell ref="AL1480:AM1480"/>
    <mergeCell ref="AN1480:AO1480"/>
    <mergeCell ref="AP1480:AQ1480"/>
    <mergeCell ref="AR1480:AS1480"/>
    <mergeCell ref="AT1480:AU1480"/>
    <mergeCell ref="AX1480:AZ1480"/>
    <mergeCell ref="BA1480:BB1480"/>
    <mergeCell ref="BD1480:BE1480"/>
    <mergeCell ref="BF1480:BI1480"/>
    <mergeCell ref="BJ1480:BM1480"/>
    <mergeCell ref="BF1478:BI1478"/>
    <mergeCell ref="BJ1478:BM1478"/>
    <mergeCell ref="BN1478:BV1478"/>
    <mergeCell ref="B1479:C1479"/>
    <mergeCell ref="D1479:E1479"/>
    <mergeCell ref="F1479:G1479"/>
    <mergeCell ref="H1479:I1479"/>
    <mergeCell ref="L1479:M1479"/>
    <mergeCell ref="P1479:Q1479"/>
    <mergeCell ref="R1479:S1479"/>
    <mergeCell ref="T1479:U1479"/>
    <mergeCell ref="V1479:W1479"/>
    <mergeCell ref="X1479:AA1479"/>
    <mergeCell ref="AB1479:AE1479"/>
    <mergeCell ref="AJ1479:AK1479"/>
    <mergeCell ref="AL1479:AM1479"/>
    <mergeCell ref="AN1479:AO1479"/>
    <mergeCell ref="AP1479:AQ1479"/>
    <mergeCell ref="AR1479:AS1479"/>
    <mergeCell ref="AT1479:AU1479"/>
    <mergeCell ref="AX1479:AZ1479"/>
    <mergeCell ref="BA1479:BB1479"/>
    <mergeCell ref="BD1479:BE1479"/>
    <mergeCell ref="BF1479:BI1479"/>
    <mergeCell ref="AV1479:AW1479"/>
    <mergeCell ref="AV1480:AW1480"/>
    <mergeCell ref="AH1478:AI1478"/>
    <mergeCell ref="AH1479:AI1479"/>
    <mergeCell ref="BN1481:BV1481"/>
    <mergeCell ref="B1482:C1482"/>
    <mergeCell ref="D1482:E1482"/>
    <mergeCell ref="F1482:G1482"/>
    <mergeCell ref="H1482:I1482"/>
    <mergeCell ref="P1482:Q1482"/>
    <mergeCell ref="R1482:S1482"/>
    <mergeCell ref="T1482:U1482"/>
    <mergeCell ref="V1482:W1482"/>
    <mergeCell ref="X1482:AA1482"/>
    <mergeCell ref="AB1482:AE1482"/>
    <mergeCell ref="AJ1482:AK1482"/>
    <mergeCell ref="AL1482:AM1482"/>
    <mergeCell ref="AN1482:AO1482"/>
    <mergeCell ref="AP1482:AQ1482"/>
    <mergeCell ref="AR1482:AS1482"/>
    <mergeCell ref="AT1482:AU1482"/>
    <mergeCell ref="AX1482:AZ1482"/>
    <mergeCell ref="BA1482:BB1482"/>
    <mergeCell ref="BD1482:BE1482"/>
    <mergeCell ref="BF1482:BI1482"/>
    <mergeCell ref="BJ1482:BM1482"/>
    <mergeCell ref="BN1480:BV1480"/>
    <mergeCell ref="B1481:C1481"/>
    <mergeCell ref="D1481:E1481"/>
    <mergeCell ref="F1481:G1481"/>
    <mergeCell ref="H1481:I1481"/>
    <mergeCell ref="L1481:M1481"/>
    <mergeCell ref="P1481:Q1481"/>
    <mergeCell ref="R1481:S1481"/>
    <mergeCell ref="T1481:U1481"/>
    <mergeCell ref="V1481:W1481"/>
    <mergeCell ref="X1481:AA1481"/>
    <mergeCell ref="AB1481:AE1481"/>
    <mergeCell ref="AJ1481:AK1481"/>
    <mergeCell ref="AL1481:AM1481"/>
    <mergeCell ref="AN1481:AO1481"/>
    <mergeCell ref="AP1481:AQ1481"/>
    <mergeCell ref="AR1481:AS1481"/>
    <mergeCell ref="AT1481:AU1481"/>
    <mergeCell ref="AX1481:AZ1481"/>
    <mergeCell ref="BA1481:BB1481"/>
    <mergeCell ref="BD1481:BE1481"/>
    <mergeCell ref="BF1481:BI1481"/>
    <mergeCell ref="BJ1481:BM1481"/>
    <mergeCell ref="AV1481:AW1481"/>
    <mergeCell ref="AV1482:AW1482"/>
    <mergeCell ref="AH1480:AI1480"/>
    <mergeCell ref="AH1481:AI1481"/>
    <mergeCell ref="BN1483:BV1483"/>
    <mergeCell ref="B1484:C1484"/>
    <mergeCell ref="D1484:E1484"/>
    <mergeCell ref="F1484:G1484"/>
    <mergeCell ref="H1484:I1484"/>
    <mergeCell ref="P1484:Q1484"/>
    <mergeCell ref="R1484:S1484"/>
    <mergeCell ref="T1484:U1484"/>
    <mergeCell ref="V1484:W1484"/>
    <mergeCell ref="X1484:AA1484"/>
    <mergeCell ref="AB1484:AE1484"/>
    <mergeCell ref="AJ1484:AK1484"/>
    <mergeCell ref="AL1484:AM1484"/>
    <mergeCell ref="AN1484:AO1484"/>
    <mergeCell ref="AP1484:AQ1484"/>
    <mergeCell ref="AR1484:AS1484"/>
    <mergeCell ref="AT1484:AU1484"/>
    <mergeCell ref="AX1484:AZ1484"/>
    <mergeCell ref="BA1484:BB1484"/>
    <mergeCell ref="BD1484:BE1484"/>
    <mergeCell ref="BF1484:BI1484"/>
    <mergeCell ref="BJ1484:BM1484"/>
    <mergeCell ref="BN1484:BV1484"/>
    <mergeCell ref="BN1482:BV1482"/>
    <mergeCell ref="B1483:C1483"/>
    <mergeCell ref="D1483:E1483"/>
    <mergeCell ref="F1483:G1483"/>
    <mergeCell ref="H1483:I1483"/>
    <mergeCell ref="L1483:M1483"/>
    <mergeCell ref="P1483:Q1483"/>
    <mergeCell ref="R1483:S1483"/>
    <mergeCell ref="T1483:U1483"/>
    <mergeCell ref="V1483:W1483"/>
    <mergeCell ref="X1483:AA1483"/>
    <mergeCell ref="AB1483:AE1483"/>
    <mergeCell ref="AJ1483:AK1483"/>
    <mergeCell ref="AL1483:AM1483"/>
    <mergeCell ref="AN1483:AO1483"/>
    <mergeCell ref="AP1483:AQ1483"/>
    <mergeCell ref="AR1483:AS1483"/>
    <mergeCell ref="AT1483:AU1483"/>
    <mergeCell ref="AX1483:AZ1483"/>
    <mergeCell ref="BA1483:BB1483"/>
    <mergeCell ref="BD1483:BE1483"/>
    <mergeCell ref="BF1483:BI1483"/>
    <mergeCell ref="BJ1483:BM1483"/>
    <mergeCell ref="AV1483:AW1483"/>
    <mergeCell ref="AV1484:AW1484"/>
    <mergeCell ref="AH1482:AI1482"/>
    <mergeCell ref="AH1483:AI1483"/>
    <mergeCell ref="AH1484:AI1484"/>
    <mergeCell ref="AN1486:AO1486"/>
    <mergeCell ref="AP1486:AQ1486"/>
    <mergeCell ref="AR1486:AS1486"/>
    <mergeCell ref="AT1486:AU1486"/>
    <mergeCell ref="AX1486:AZ1486"/>
    <mergeCell ref="BA1486:BB1486"/>
    <mergeCell ref="BD1486:BE1486"/>
    <mergeCell ref="BF1486:BI1486"/>
    <mergeCell ref="BJ1486:BM1486"/>
    <mergeCell ref="BN1486:BV1486"/>
    <mergeCell ref="B1487:C1487"/>
    <mergeCell ref="D1487:E1487"/>
    <mergeCell ref="F1487:G1487"/>
    <mergeCell ref="H1487:I1487"/>
    <mergeCell ref="L1487:M1487"/>
    <mergeCell ref="P1487:Q1487"/>
    <mergeCell ref="R1487:S1487"/>
    <mergeCell ref="T1487:U1487"/>
    <mergeCell ref="V1487:W1487"/>
    <mergeCell ref="X1487:AA1487"/>
    <mergeCell ref="AB1487:AE1487"/>
    <mergeCell ref="AJ1487:AK1487"/>
    <mergeCell ref="AL1487:AM1487"/>
    <mergeCell ref="AN1487:AO1487"/>
    <mergeCell ref="AL1485:AM1485"/>
    <mergeCell ref="AN1485:AO1485"/>
    <mergeCell ref="AP1485:AQ1485"/>
    <mergeCell ref="AR1485:AS1485"/>
    <mergeCell ref="AT1485:AU1485"/>
    <mergeCell ref="AX1485:AZ1485"/>
    <mergeCell ref="BA1485:BB1485"/>
    <mergeCell ref="BD1485:BE1485"/>
    <mergeCell ref="BF1485:BI1485"/>
    <mergeCell ref="BJ1485:BM1485"/>
    <mergeCell ref="BN1485:BV1485"/>
    <mergeCell ref="B1486:C1486"/>
    <mergeCell ref="D1486:E1486"/>
    <mergeCell ref="F1486:G1486"/>
    <mergeCell ref="H1486:I1486"/>
    <mergeCell ref="P1486:Q1486"/>
    <mergeCell ref="R1486:S1486"/>
    <mergeCell ref="T1486:U1486"/>
    <mergeCell ref="V1486:W1486"/>
    <mergeCell ref="X1486:AA1486"/>
    <mergeCell ref="AB1486:AE1486"/>
    <mergeCell ref="AJ1486:AK1486"/>
    <mergeCell ref="AL1486:AM1486"/>
    <mergeCell ref="B1485:C1485"/>
    <mergeCell ref="D1485:E1485"/>
    <mergeCell ref="F1485:G1485"/>
    <mergeCell ref="H1485:I1485"/>
    <mergeCell ref="L1485:M1485"/>
    <mergeCell ref="P1485:Q1485"/>
    <mergeCell ref="R1485:S1485"/>
    <mergeCell ref="T1485:U1485"/>
    <mergeCell ref="V1485:W1485"/>
    <mergeCell ref="X1485:AA1485"/>
    <mergeCell ref="AB1485:AE1485"/>
    <mergeCell ref="AJ1485:AK1485"/>
    <mergeCell ref="AV1485:AW1485"/>
    <mergeCell ref="AV1486:AW1486"/>
    <mergeCell ref="AV1487:AW1487"/>
    <mergeCell ref="AH1485:AI1485"/>
    <mergeCell ref="AH1486:AI1486"/>
    <mergeCell ref="AR1488:AS1488"/>
    <mergeCell ref="AT1488:AU1488"/>
    <mergeCell ref="AX1488:AZ1488"/>
    <mergeCell ref="BA1488:BB1488"/>
    <mergeCell ref="BD1488:BE1488"/>
    <mergeCell ref="BF1488:BI1488"/>
    <mergeCell ref="BJ1488:BM1488"/>
    <mergeCell ref="BN1488:BV1488"/>
    <mergeCell ref="B1489:C1489"/>
    <mergeCell ref="D1489:E1489"/>
    <mergeCell ref="F1489:G1489"/>
    <mergeCell ref="H1489:I1489"/>
    <mergeCell ref="L1489:M1489"/>
    <mergeCell ref="P1489:Q1489"/>
    <mergeCell ref="R1489:S1489"/>
    <mergeCell ref="T1489:U1489"/>
    <mergeCell ref="V1489:W1489"/>
    <mergeCell ref="X1489:AA1489"/>
    <mergeCell ref="AB1489:AE1489"/>
    <mergeCell ref="AJ1489:AK1489"/>
    <mergeCell ref="AL1489:AM1489"/>
    <mergeCell ref="AN1489:AO1489"/>
    <mergeCell ref="AP1489:AQ1489"/>
    <mergeCell ref="AR1489:AS1489"/>
    <mergeCell ref="AP1487:AQ1487"/>
    <mergeCell ref="AR1487:AS1487"/>
    <mergeCell ref="AT1487:AU1487"/>
    <mergeCell ref="AX1487:AZ1487"/>
    <mergeCell ref="BA1487:BB1487"/>
    <mergeCell ref="BD1487:BE1487"/>
    <mergeCell ref="BF1487:BI1487"/>
    <mergeCell ref="BJ1487:BM1487"/>
    <mergeCell ref="BN1487:BV1487"/>
    <mergeCell ref="B1488:C1488"/>
    <mergeCell ref="D1488:E1488"/>
    <mergeCell ref="F1488:G1488"/>
    <mergeCell ref="H1488:I1488"/>
    <mergeCell ref="P1488:Q1488"/>
    <mergeCell ref="R1488:S1488"/>
    <mergeCell ref="T1488:U1488"/>
    <mergeCell ref="V1488:W1488"/>
    <mergeCell ref="X1488:AA1488"/>
    <mergeCell ref="AB1488:AE1488"/>
    <mergeCell ref="AJ1488:AK1488"/>
    <mergeCell ref="AL1488:AM1488"/>
    <mergeCell ref="AN1488:AO1488"/>
    <mergeCell ref="AP1488:AQ1488"/>
    <mergeCell ref="AV1488:AW1488"/>
    <mergeCell ref="AV1489:AW1489"/>
    <mergeCell ref="AH1487:AI1487"/>
    <mergeCell ref="AH1488:AI1488"/>
    <mergeCell ref="AX1490:AZ1490"/>
    <mergeCell ref="BA1490:BB1490"/>
    <mergeCell ref="BD1490:BE1490"/>
    <mergeCell ref="BF1490:BI1490"/>
    <mergeCell ref="BJ1490:BM1490"/>
    <mergeCell ref="BN1490:BV1490"/>
    <mergeCell ref="B1491:C1491"/>
    <mergeCell ref="D1491:E1491"/>
    <mergeCell ref="F1491:G1491"/>
    <mergeCell ref="H1491:I1491"/>
    <mergeCell ref="L1491:M1491"/>
    <mergeCell ref="P1491:Q1491"/>
    <mergeCell ref="R1491:S1491"/>
    <mergeCell ref="T1491:U1491"/>
    <mergeCell ref="V1491:W1491"/>
    <mergeCell ref="X1491:AA1491"/>
    <mergeCell ref="AB1491:AE1491"/>
    <mergeCell ref="AJ1491:AK1491"/>
    <mergeCell ref="AL1491:AM1491"/>
    <mergeCell ref="AN1491:AO1491"/>
    <mergeCell ref="AP1491:AQ1491"/>
    <mergeCell ref="AR1491:AS1491"/>
    <mergeCell ref="AT1491:AU1491"/>
    <mergeCell ref="AX1491:AZ1491"/>
    <mergeCell ref="AT1489:AU1489"/>
    <mergeCell ref="AX1489:AZ1489"/>
    <mergeCell ref="BA1489:BB1489"/>
    <mergeCell ref="BD1489:BE1489"/>
    <mergeCell ref="BF1489:BI1489"/>
    <mergeCell ref="BJ1489:BM1489"/>
    <mergeCell ref="BN1489:BV1489"/>
    <mergeCell ref="B1490:C1490"/>
    <mergeCell ref="D1490:E1490"/>
    <mergeCell ref="F1490:G1490"/>
    <mergeCell ref="H1490:I1490"/>
    <mergeCell ref="P1490:Q1490"/>
    <mergeCell ref="R1490:S1490"/>
    <mergeCell ref="T1490:U1490"/>
    <mergeCell ref="V1490:W1490"/>
    <mergeCell ref="X1490:AA1490"/>
    <mergeCell ref="AB1490:AE1490"/>
    <mergeCell ref="AJ1490:AK1490"/>
    <mergeCell ref="AL1490:AM1490"/>
    <mergeCell ref="AN1490:AO1490"/>
    <mergeCell ref="AP1490:AQ1490"/>
    <mergeCell ref="AR1490:AS1490"/>
    <mergeCell ref="AT1490:AU1490"/>
    <mergeCell ref="AV1490:AW1490"/>
    <mergeCell ref="AV1491:AW1491"/>
    <mergeCell ref="AH1489:AI1489"/>
    <mergeCell ref="AH1490:AI1490"/>
    <mergeCell ref="J1489:K1489"/>
    <mergeCell ref="BD1492:BE1492"/>
    <mergeCell ref="BF1492:BI1492"/>
    <mergeCell ref="BJ1492:BM1492"/>
    <mergeCell ref="BN1492:BV1492"/>
    <mergeCell ref="B1493:C1493"/>
    <mergeCell ref="D1493:E1493"/>
    <mergeCell ref="F1493:G1493"/>
    <mergeCell ref="H1493:I1493"/>
    <mergeCell ref="L1493:M1493"/>
    <mergeCell ref="P1493:Q1493"/>
    <mergeCell ref="R1493:S1493"/>
    <mergeCell ref="T1493:U1493"/>
    <mergeCell ref="V1493:W1493"/>
    <mergeCell ref="X1493:AA1493"/>
    <mergeCell ref="AB1493:AE1493"/>
    <mergeCell ref="AJ1493:AK1493"/>
    <mergeCell ref="AL1493:AM1493"/>
    <mergeCell ref="AN1493:AO1493"/>
    <mergeCell ref="AP1493:AQ1493"/>
    <mergeCell ref="AR1493:AS1493"/>
    <mergeCell ref="AT1493:AU1493"/>
    <mergeCell ref="AX1493:AZ1493"/>
    <mergeCell ref="BA1493:BB1493"/>
    <mergeCell ref="BD1493:BE1493"/>
    <mergeCell ref="BA1491:BB1491"/>
    <mergeCell ref="BD1491:BE1491"/>
    <mergeCell ref="BF1491:BI1491"/>
    <mergeCell ref="BJ1491:BM1491"/>
    <mergeCell ref="BN1491:BV1491"/>
    <mergeCell ref="B1492:C1492"/>
    <mergeCell ref="D1492:E1492"/>
    <mergeCell ref="F1492:G1492"/>
    <mergeCell ref="H1492:I1492"/>
    <mergeCell ref="P1492:Q1492"/>
    <mergeCell ref="R1492:S1492"/>
    <mergeCell ref="T1492:U1492"/>
    <mergeCell ref="V1492:W1492"/>
    <mergeCell ref="X1492:AA1492"/>
    <mergeCell ref="AB1492:AE1492"/>
    <mergeCell ref="AJ1492:AK1492"/>
    <mergeCell ref="AL1492:AM1492"/>
    <mergeCell ref="AN1492:AO1492"/>
    <mergeCell ref="AP1492:AQ1492"/>
    <mergeCell ref="AR1492:AS1492"/>
    <mergeCell ref="AT1492:AU1492"/>
    <mergeCell ref="AX1492:AZ1492"/>
    <mergeCell ref="BA1492:BB1492"/>
    <mergeCell ref="AV1492:AW1492"/>
    <mergeCell ref="AV1493:AW1493"/>
    <mergeCell ref="AH1491:AI1491"/>
    <mergeCell ref="AH1492:AI1492"/>
    <mergeCell ref="J1491:K1491"/>
    <mergeCell ref="BJ1494:BM1494"/>
    <mergeCell ref="BN1494:BV1494"/>
    <mergeCell ref="B1495:C1495"/>
    <mergeCell ref="D1495:E1495"/>
    <mergeCell ref="F1495:G1495"/>
    <mergeCell ref="H1495:I1495"/>
    <mergeCell ref="L1495:M1495"/>
    <mergeCell ref="P1495:Q1495"/>
    <mergeCell ref="R1495:S1495"/>
    <mergeCell ref="T1495:U1495"/>
    <mergeCell ref="V1495:W1495"/>
    <mergeCell ref="X1495:AA1495"/>
    <mergeCell ref="AB1495:AE1495"/>
    <mergeCell ref="AJ1495:AK1495"/>
    <mergeCell ref="AL1495:AM1495"/>
    <mergeCell ref="AN1495:AO1495"/>
    <mergeCell ref="AP1495:AQ1495"/>
    <mergeCell ref="AR1495:AS1495"/>
    <mergeCell ref="AT1495:AU1495"/>
    <mergeCell ref="AX1495:AZ1495"/>
    <mergeCell ref="BA1495:BB1495"/>
    <mergeCell ref="BD1495:BE1495"/>
    <mergeCell ref="BF1495:BI1495"/>
    <mergeCell ref="BJ1495:BM1495"/>
    <mergeCell ref="BF1493:BI1493"/>
    <mergeCell ref="BJ1493:BM1493"/>
    <mergeCell ref="BN1493:BV1493"/>
    <mergeCell ref="B1494:C1494"/>
    <mergeCell ref="D1494:E1494"/>
    <mergeCell ref="F1494:G1494"/>
    <mergeCell ref="H1494:I1494"/>
    <mergeCell ref="P1494:Q1494"/>
    <mergeCell ref="R1494:S1494"/>
    <mergeCell ref="T1494:U1494"/>
    <mergeCell ref="V1494:W1494"/>
    <mergeCell ref="X1494:AA1494"/>
    <mergeCell ref="AB1494:AE1494"/>
    <mergeCell ref="AJ1494:AK1494"/>
    <mergeCell ref="AL1494:AM1494"/>
    <mergeCell ref="AN1494:AO1494"/>
    <mergeCell ref="AP1494:AQ1494"/>
    <mergeCell ref="AR1494:AS1494"/>
    <mergeCell ref="AT1494:AU1494"/>
    <mergeCell ref="AX1494:AZ1494"/>
    <mergeCell ref="BA1494:BB1494"/>
    <mergeCell ref="BD1494:BE1494"/>
    <mergeCell ref="BF1494:BI1494"/>
    <mergeCell ref="AV1494:AW1494"/>
    <mergeCell ref="AV1495:AW1495"/>
    <mergeCell ref="AH1493:AI1493"/>
    <mergeCell ref="AH1494:AI1494"/>
    <mergeCell ref="J1493:K1493"/>
    <mergeCell ref="BN1496:BV1496"/>
    <mergeCell ref="B1497:C1497"/>
    <mergeCell ref="D1497:E1497"/>
    <mergeCell ref="F1497:G1497"/>
    <mergeCell ref="H1497:I1497"/>
    <mergeCell ref="L1497:M1497"/>
    <mergeCell ref="P1497:Q1497"/>
    <mergeCell ref="R1497:S1497"/>
    <mergeCell ref="T1497:U1497"/>
    <mergeCell ref="V1497:W1497"/>
    <mergeCell ref="X1497:AA1497"/>
    <mergeCell ref="AB1497:AE1497"/>
    <mergeCell ref="AJ1497:AK1497"/>
    <mergeCell ref="AL1497:AM1497"/>
    <mergeCell ref="AN1497:AO1497"/>
    <mergeCell ref="AP1497:AQ1497"/>
    <mergeCell ref="AR1497:AS1497"/>
    <mergeCell ref="AT1497:AU1497"/>
    <mergeCell ref="AX1497:AZ1497"/>
    <mergeCell ref="BA1497:BB1497"/>
    <mergeCell ref="BD1497:BE1497"/>
    <mergeCell ref="BF1497:BI1497"/>
    <mergeCell ref="BJ1497:BM1497"/>
    <mergeCell ref="BN1495:BV1495"/>
    <mergeCell ref="B1496:C1496"/>
    <mergeCell ref="D1496:E1496"/>
    <mergeCell ref="F1496:G1496"/>
    <mergeCell ref="H1496:I1496"/>
    <mergeCell ref="P1496:Q1496"/>
    <mergeCell ref="R1496:S1496"/>
    <mergeCell ref="T1496:U1496"/>
    <mergeCell ref="V1496:W1496"/>
    <mergeCell ref="X1496:AA1496"/>
    <mergeCell ref="AB1496:AE1496"/>
    <mergeCell ref="AJ1496:AK1496"/>
    <mergeCell ref="AL1496:AM1496"/>
    <mergeCell ref="AN1496:AO1496"/>
    <mergeCell ref="AP1496:AQ1496"/>
    <mergeCell ref="AR1496:AS1496"/>
    <mergeCell ref="AT1496:AU1496"/>
    <mergeCell ref="AX1496:AZ1496"/>
    <mergeCell ref="BA1496:BB1496"/>
    <mergeCell ref="BD1496:BE1496"/>
    <mergeCell ref="BF1496:BI1496"/>
    <mergeCell ref="BJ1496:BM1496"/>
    <mergeCell ref="AV1496:AW1496"/>
    <mergeCell ref="AV1497:AW1497"/>
    <mergeCell ref="AH1495:AI1495"/>
    <mergeCell ref="AH1496:AI1496"/>
    <mergeCell ref="J1495:K1495"/>
    <mergeCell ref="BN1498:BV1498"/>
    <mergeCell ref="B1499:C1499"/>
    <mergeCell ref="D1499:E1499"/>
    <mergeCell ref="F1499:G1499"/>
    <mergeCell ref="H1499:I1499"/>
    <mergeCell ref="L1499:M1499"/>
    <mergeCell ref="P1499:Q1499"/>
    <mergeCell ref="R1499:S1499"/>
    <mergeCell ref="T1499:U1499"/>
    <mergeCell ref="V1499:W1499"/>
    <mergeCell ref="X1499:AA1499"/>
    <mergeCell ref="AB1499:AE1499"/>
    <mergeCell ref="AJ1499:AK1499"/>
    <mergeCell ref="AL1499:AM1499"/>
    <mergeCell ref="AN1499:AO1499"/>
    <mergeCell ref="AP1499:AQ1499"/>
    <mergeCell ref="AR1499:AS1499"/>
    <mergeCell ref="AT1499:AU1499"/>
    <mergeCell ref="AX1499:AZ1499"/>
    <mergeCell ref="BA1499:BB1499"/>
    <mergeCell ref="BD1499:BE1499"/>
    <mergeCell ref="BF1499:BI1499"/>
    <mergeCell ref="BJ1499:BM1499"/>
    <mergeCell ref="BN1499:BV1499"/>
    <mergeCell ref="BN1497:BV1497"/>
    <mergeCell ref="B1498:C1498"/>
    <mergeCell ref="D1498:E1498"/>
    <mergeCell ref="F1498:G1498"/>
    <mergeCell ref="H1498:I1498"/>
    <mergeCell ref="P1498:Q1498"/>
    <mergeCell ref="R1498:S1498"/>
    <mergeCell ref="T1498:U1498"/>
    <mergeCell ref="V1498:W1498"/>
    <mergeCell ref="X1498:AA1498"/>
    <mergeCell ref="AB1498:AE1498"/>
    <mergeCell ref="AJ1498:AK1498"/>
    <mergeCell ref="AL1498:AM1498"/>
    <mergeCell ref="AN1498:AO1498"/>
    <mergeCell ref="AP1498:AQ1498"/>
    <mergeCell ref="AR1498:AS1498"/>
    <mergeCell ref="AT1498:AU1498"/>
    <mergeCell ref="AX1498:AZ1498"/>
    <mergeCell ref="BA1498:BB1498"/>
    <mergeCell ref="BD1498:BE1498"/>
    <mergeCell ref="BF1498:BI1498"/>
    <mergeCell ref="BJ1498:BM1498"/>
    <mergeCell ref="AV1498:AW1498"/>
    <mergeCell ref="AV1499:AW1499"/>
    <mergeCell ref="AH1497:AI1497"/>
    <mergeCell ref="AH1498:AI1498"/>
    <mergeCell ref="AH1499:AI1499"/>
    <mergeCell ref="J1497:K1497"/>
    <mergeCell ref="J1499:K1499"/>
    <mergeCell ref="AN1501:AO1501"/>
    <mergeCell ref="AP1501:AQ1501"/>
    <mergeCell ref="AR1501:AS1501"/>
    <mergeCell ref="AT1501:AU1501"/>
    <mergeCell ref="AX1501:AZ1501"/>
    <mergeCell ref="BA1501:BB1501"/>
    <mergeCell ref="BD1501:BE1501"/>
    <mergeCell ref="BF1501:BI1501"/>
    <mergeCell ref="BJ1501:BM1501"/>
    <mergeCell ref="BN1501:BV1501"/>
    <mergeCell ref="B1502:C1502"/>
    <mergeCell ref="D1502:E1502"/>
    <mergeCell ref="F1502:G1502"/>
    <mergeCell ref="H1502:I1502"/>
    <mergeCell ref="P1502:Q1502"/>
    <mergeCell ref="R1502:S1502"/>
    <mergeCell ref="T1502:U1502"/>
    <mergeCell ref="V1502:W1502"/>
    <mergeCell ref="X1502:AA1502"/>
    <mergeCell ref="AB1502:AE1502"/>
    <mergeCell ref="AJ1502:AK1502"/>
    <mergeCell ref="AL1502:AM1502"/>
    <mergeCell ref="AN1502:AO1502"/>
    <mergeCell ref="AL1500:AM1500"/>
    <mergeCell ref="AN1500:AO1500"/>
    <mergeCell ref="AP1500:AQ1500"/>
    <mergeCell ref="AR1500:AS1500"/>
    <mergeCell ref="AT1500:AU1500"/>
    <mergeCell ref="AX1500:AZ1500"/>
    <mergeCell ref="BA1500:BB1500"/>
    <mergeCell ref="BD1500:BE1500"/>
    <mergeCell ref="BF1500:BI1500"/>
    <mergeCell ref="BJ1500:BM1500"/>
    <mergeCell ref="BN1500:BV1500"/>
    <mergeCell ref="B1501:C1501"/>
    <mergeCell ref="D1501:E1501"/>
    <mergeCell ref="F1501:G1501"/>
    <mergeCell ref="H1501:I1501"/>
    <mergeCell ref="L1501:M1501"/>
    <mergeCell ref="P1501:Q1501"/>
    <mergeCell ref="R1501:S1501"/>
    <mergeCell ref="T1501:U1501"/>
    <mergeCell ref="V1501:W1501"/>
    <mergeCell ref="X1501:AA1501"/>
    <mergeCell ref="AB1501:AE1501"/>
    <mergeCell ref="AJ1501:AK1501"/>
    <mergeCell ref="AL1501:AM1501"/>
    <mergeCell ref="B1500:C1500"/>
    <mergeCell ref="D1500:E1500"/>
    <mergeCell ref="F1500:G1500"/>
    <mergeCell ref="H1500:I1500"/>
    <mergeCell ref="P1500:Q1500"/>
    <mergeCell ref="R1500:S1500"/>
    <mergeCell ref="T1500:U1500"/>
    <mergeCell ref="V1500:W1500"/>
    <mergeCell ref="X1500:AA1500"/>
    <mergeCell ref="AB1500:AE1500"/>
    <mergeCell ref="AJ1500:AK1500"/>
    <mergeCell ref="AV1500:AW1500"/>
    <mergeCell ref="AV1501:AW1501"/>
    <mergeCell ref="AV1502:AW1502"/>
    <mergeCell ref="AH1500:AI1500"/>
    <mergeCell ref="J1501:K1501"/>
    <mergeCell ref="AR1503:AS1503"/>
    <mergeCell ref="AT1503:AU1503"/>
    <mergeCell ref="AX1503:AZ1503"/>
    <mergeCell ref="BA1503:BB1503"/>
    <mergeCell ref="BD1503:BE1503"/>
    <mergeCell ref="BF1503:BI1503"/>
    <mergeCell ref="BJ1503:BM1503"/>
    <mergeCell ref="BN1503:BV1503"/>
    <mergeCell ref="B1504:C1504"/>
    <mergeCell ref="D1504:E1504"/>
    <mergeCell ref="F1504:G1504"/>
    <mergeCell ref="H1504:I1504"/>
    <mergeCell ref="P1504:Q1504"/>
    <mergeCell ref="R1504:S1504"/>
    <mergeCell ref="T1504:U1504"/>
    <mergeCell ref="V1504:W1504"/>
    <mergeCell ref="X1504:AA1504"/>
    <mergeCell ref="AB1504:AE1504"/>
    <mergeCell ref="AJ1504:AK1504"/>
    <mergeCell ref="AL1504:AM1504"/>
    <mergeCell ref="AN1504:AO1504"/>
    <mergeCell ref="AP1504:AQ1504"/>
    <mergeCell ref="AR1504:AS1504"/>
    <mergeCell ref="AP1502:AQ1502"/>
    <mergeCell ref="AR1502:AS1502"/>
    <mergeCell ref="AT1502:AU1502"/>
    <mergeCell ref="AX1502:AZ1502"/>
    <mergeCell ref="BA1502:BB1502"/>
    <mergeCell ref="BD1502:BE1502"/>
    <mergeCell ref="BF1502:BI1502"/>
    <mergeCell ref="BJ1502:BM1502"/>
    <mergeCell ref="BN1502:BV1502"/>
    <mergeCell ref="B1503:C1503"/>
    <mergeCell ref="D1503:E1503"/>
    <mergeCell ref="F1503:G1503"/>
    <mergeCell ref="H1503:I1503"/>
    <mergeCell ref="L1503:M1503"/>
    <mergeCell ref="P1503:Q1503"/>
    <mergeCell ref="R1503:S1503"/>
    <mergeCell ref="T1503:U1503"/>
    <mergeCell ref="V1503:W1503"/>
    <mergeCell ref="X1503:AA1503"/>
    <mergeCell ref="AB1503:AE1503"/>
    <mergeCell ref="AJ1503:AK1503"/>
    <mergeCell ref="AL1503:AM1503"/>
    <mergeCell ref="AN1503:AO1503"/>
    <mergeCell ref="AP1503:AQ1503"/>
    <mergeCell ref="AV1503:AW1503"/>
    <mergeCell ref="AV1504:AW1504"/>
    <mergeCell ref="AF1504:AG1504"/>
    <mergeCell ref="J1503:K1503"/>
    <mergeCell ref="AX1505:AZ1505"/>
    <mergeCell ref="BA1505:BB1505"/>
    <mergeCell ref="BD1505:BE1505"/>
    <mergeCell ref="BF1505:BI1505"/>
    <mergeCell ref="BJ1505:BM1505"/>
    <mergeCell ref="BN1505:BV1505"/>
    <mergeCell ref="B1506:C1506"/>
    <mergeCell ref="D1506:E1506"/>
    <mergeCell ref="F1506:G1506"/>
    <mergeCell ref="H1506:I1506"/>
    <mergeCell ref="L1506:M1506"/>
    <mergeCell ref="P1506:Q1506"/>
    <mergeCell ref="R1506:S1506"/>
    <mergeCell ref="T1506:U1506"/>
    <mergeCell ref="V1506:W1506"/>
    <mergeCell ref="X1506:AA1506"/>
    <mergeCell ref="AB1506:AE1506"/>
    <mergeCell ref="AJ1506:AK1506"/>
    <mergeCell ref="AL1506:AM1506"/>
    <mergeCell ref="AN1506:AO1506"/>
    <mergeCell ref="AP1506:AQ1506"/>
    <mergeCell ref="AR1506:AS1506"/>
    <mergeCell ref="AT1506:AU1506"/>
    <mergeCell ref="AX1506:AZ1506"/>
    <mergeCell ref="AT1504:AU1504"/>
    <mergeCell ref="AX1504:AZ1504"/>
    <mergeCell ref="BA1504:BB1504"/>
    <mergeCell ref="BD1504:BE1504"/>
    <mergeCell ref="BF1504:BI1504"/>
    <mergeCell ref="BJ1504:BM1504"/>
    <mergeCell ref="BN1504:BV1504"/>
    <mergeCell ref="B1505:C1505"/>
    <mergeCell ref="D1505:E1505"/>
    <mergeCell ref="F1505:G1505"/>
    <mergeCell ref="H1505:I1505"/>
    <mergeCell ref="L1505:M1505"/>
    <mergeCell ref="P1505:Q1505"/>
    <mergeCell ref="R1505:S1505"/>
    <mergeCell ref="T1505:U1505"/>
    <mergeCell ref="V1505:W1505"/>
    <mergeCell ref="X1505:AA1505"/>
    <mergeCell ref="AB1505:AE1505"/>
    <mergeCell ref="AJ1505:AK1505"/>
    <mergeCell ref="AL1505:AM1505"/>
    <mergeCell ref="AN1505:AO1505"/>
    <mergeCell ref="AP1505:AQ1505"/>
    <mergeCell ref="AR1505:AS1505"/>
    <mergeCell ref="AT1505:AU1505"/>
    <mergeCell ref="AV1505:AW1505"/>
    <mergeCell ref="AV1506:AW1506"/>
    <mergeCell ref="AF1505:AG1505"/>
    <mergeCell ref="AF1506:AG1506"/>
    <mergeCell ref="J1505:K1505"/>
    <mergeCell ref="BD1507:BE1507"/>
    <mergeCell ref="BF1507:BI1507"/>
    <mergeCell ref="BJ1507:BM1507"/>
    <mergeCell ref="BN1507:BV1507"/>
    <mergeCell ref="B1508:C1508"/>
    <mergeCell ref="D1508:E1508"/>
    <mergeCell ref="F1508:G1508"/>
    <mergeCell ref="H1508:I1508"/>
    <mergeCell ref="L1508:M1508"/>
    <mergeCell ref="P1508:Q1508"/>
    <mergeCell ref="R1508:S1508"/>
    <mergeCell ref="T1508:U1508"/>
    <mergeCell ref="V1508:W1508"/>
    <mergeCell ref="X1508:AA1508"/>
    <mergeCell ref="AB1508:AE1508"/>
    <mergeCell ref="AJ1508:AK1508"/>
    <mergeCell ref="AL1508:AM1508"/>
    <mergeCell ref="AN1508:AO1508"/>
    <mergeCell ref="AP1508:AQ1508"/>
    <mergeCell ref="AR1508:AS1508"/>
    <mergeCell ref="AT1508:AU1508"/>
    <mergeCell ref="AX1508:AZ1508"/>
    <mergeCell ref="BA1508:BB1508"/>
    <mergeCell ref="BD1508:BE1508"/>
    <mergeCell ref="BA1506:BB1506"/>
    <mergeCell ref="BD1506:BE1506"/>
    <mergeCell ref="BF1506:BI1506"/>
    <mergeCell ref="BJ1506:BM1506"/>
    <mergeCell ref="BN1506:BV1506"/>
    <mergeCell ref="B1507:C1507"/>
    <mergeCell ref="D1507:E1507"/>
    <mergeCell ref="F1507:G1507"/>
    <mergeCell ref="H1507:I1507"/>
    <mergeCell ref="L1507:M1507"/>
    <mergeCell ref="P1507:Q1507"/>
    <mergeCell ref="R1507:S1507"/>
    <mergeCell ref="T1507:U1507"/>
    <mergeCell ref="V1507:W1507"/>
    <mergeCell ref="X1507:AA1507"/>
    <mergeCell ref="AB1507:AE1507"/>
    <mergeCell ref="AJ1507:AK1507"/>
    <mergeCell ref="AL1507:AM1507"/>
    <mergeCell ref="AN1507:AO1507"/>
    <mergeCell ref="AP1507:AQ1507"/>
    <mergeCell ref="AR1507:AS1507"/>
    <mergeCell ref="AT1507:AU1507"/>
    <mergeCell ref="AX1507:AZ1507"/>
    <mergeCell ref="BA1507:BB1507"/>
    <mergeCell ref="AV1507:AW1507"/>
    <mergeCell ref="AV1508:AW1508"/>
    <mergeCell ref="AF1507:AG1507"/>
    <mergeCell ref="AF1508:AG1508"/>
    <mergeCell ref="J1506:K1506"/>
    <mergeCell ref="J1507:K1507"/>
    <mergeCell ref="BJ1509:BM1509"/>
    <mergeCell ref="BN1509:BV1509"/>
    <mergeCell ref="B1510:C1510"/>
    <mergeCell ref="D1510:E1510"/>
    <mergeCell ref="F1510:G1510"/>
    <mergeCell ref="H1510:I1510"/>
    <mergeCell ref="L1510:M1510"/>
    <mergeCell ref="P1510:Q1510"/>
    <mergeCell ref="R1510:S1510"/>
    <mergeCell ref="T1510:U1510"/>
    <mergeCell ref="V1510:W1510"/>
    <mergeCell ref="X1510:AA1510"/>
    <mergeCell ref="AB1510:AE1510"/>
    <mergeCell ref="AJ1510:AK1510"/>
    <mergeCell ref="AL1510:AM1510"/>
    <mergeCell ref="AN1510:AO1510"/>
    <mergeCell ref="AP1510:AQ1510"/>
    <mergeCell ref="AR1510:AS1510"/>
    <mergeCell ref="AT1510:AU1510"/>
    <mergeCell ref="AX1510:AZ1510"/>
    <mergeCell ref="BA1510:BB1510"/>
    <mergeCell ref="BD1510:BE1510"/>
    <mergeCell ref="BF1510:BI1510"/>
    <mergeCell ref="BJ1510:BM1510"/>
    <mergeCell ref="BF1508:BI1508"/>
    <mergeCell ref="BJ1508:BM1508"/>
    <mergeCell ref="BN1508:BV1508"/>
    <mergeCell ref="B1509:C1509"/>
    <mergeCell ref="D1509:E1509"/>
    <mergeCell ref="F1509:G1509"/>
    <mergeCell ref="H1509:I1509"/>
    <mergeCell ref="L1509:M1509"/>
    <mergeCell ref="P1509:Q1509"/>
    <mergeCell ref="R1509:S1509"/>
    <mergeCell ref="T1509:U1509"/>
    <mergeCell ref="V1509:W1509"/>
    <mergeCell ref="X1509:AA1509"/>
    <mergeCell ref="AB1509:AE1509"/>
    <mergeCell ref="AJ1509:AK1509"/>
    <mergeCell ref="AL1509:AM1509"/>
    <mergeCell ref="AN1509:AO1509"/>
    <mergeCell ref="AP1509:AQ1509"/>
    <mergeCell ref="AR1509:AS1509"/>
    <mergeCell ref="AT1509:AU1509"/>
    <mergeCell ref="AX1509:AZ1509"/>
    <mergeCell ref="BA1509:BB1509"/>
    <mergeCell ref="BD1509:BE1509"/>
    <mergeCell ref="BF1509:BI1509"/>
    <mergeCell ref="AV1509:AW1509"/>
    <mergeCell ref="AV1510:AW1510"/>
    <mergeCell ref="AF1509:AG1509"/>
    <mergeCell ref="AF1510:AG1510"/>
    <mergeCell ref="J1508:K1508"/>
    <mergeCell ref="J1509:K1509"/>
    <mergeCell ref="BN1511:BV1511"/>
    <mergeCell ref="B1512:C1512"/>
    <mergeCell ref="D1512:E1512"/>
    <mergeCell ref="F1512:G1512"/>
    <mergeCell ref="H1512:I1512"/>
    <mergeCell ref="L1512:M1512"/>
    <mergeCell ref="P1512:Q1512"/>
    <mergeCell ref="R1512:S1512"/>
    <mergeCell ref="T1512:U1512"/>
    <mergeCell ref="V1512:W1512"/>
    <mergeCell ref="X1512:AA1512"/>
    <mergeCell ref="AB1512:AE1512"/>
    <mergeCell ref="AJ1512:AK1512"/>
    <mergeCell ref="AL1512:AM1512"/>
    <mergeCell ref="AN1512:AO1512"/>
    <mergeCell ref="AP1512:AQ1512"/>
    <mergeCell ref="AR1512:AS1512"/>
    <mergeCell ref="AT1512:AU1512"/>
    <mergeCell ref="AX1512:AZ1512"/>
    <mergeCell ref="BA1512:BB1512"/>
    <mergeCell ref="BD1512:BE1512"/>
    <mergeCell ref="BF1512:BI1512"/>
    <mergeCell ref="BJ1512:BM1512"/>
    <mergeCell ref="BN1510:BV1510"/>
    <mergeCell ref="B1511:C1511"/>
    <mergeCell ref="D1511:E1511"/>
    <mergeCell ref="F1511:G1511"/>
    <mergeCell ref="H1511:I1511"/>
    <mergeCell ref="L1511:M1511"/>
    <mergeCell ref="P1511:Q1511"/>
    <mergeCell ref="R1511:S1511"/>
    <mergeCell ref="T1511:U1511"/>
    <mergeCell ref="V1511:W1511"/>
    <mergeCell ref="X1511:AA1511"/>
    <mergeCell ref="AB1511:AE1511"/>
    <mergeCell ref="AJ1511:AK1511"/>
    <mergeCell ref="AL1511:AM1511"/>
    <mergeCell ref="AN1511:AO1511"/>
    <mergeCell ref="AP1511:AQ1511"/>
    <mergeCell ref="AR1511:AS1511"/>
    <mergeCell ref="AT1511:AU1511"/>
    <mergeCell ref="AX1511:AZ1511"/>
    <mergeCell ref="BA1511:BB1511"/>
    <mergeCell ref="BD1511:BE1511"/>
    <mergeCell ref="BF1511:BI1511"/>
    <mergeCell ref="BJ1511:BM1511"/>
    <mergeCell ref="AV1511:AW1511"/>
    <mergeCell ref="AV1512:AW1512"/>
    <mergeCell ref="AF1511:AG1511"/>
    <mergeCell ref="AF1512:AG1512"/>
    <mergeCell ref="J1510:K1510"/>
    <mergeCell ref="J1511:K1511"/>
    <mergeCell ref="BN1513:BV1513"/>
    <mergeCell ref="B1514:C1514"/>
    <mergeCell ref="D1514:E1514"/>
    <mergeCell ref="F1514:G1514"/>
    <mergeCell ref="H1514:I1514"/>
    <mergeCell ref="L1514:M1514"/>
    <mergeCell ref="P1514:Q1514"/>
    <mergeCell ref="R1514:S1514"/>
    <mergeCell ref="T1514:U1514"/>
    <mergeCell ref="V1514:W1514"/>
    <mergeCell ref="X1514:AA1514"/>
    <mergeCell ref="AB1514:AE1514"/>
    <mergeCell ref="AJ1514:AK1514"/>
    <mergeCell ref="AL1514:AM1514"/>
    <mergeCell ref="AN1514:AO1514"/>
    <mergeCell ref="AP1514:AQ1514"/>
    <mergeCell ref="AR1514:AS1514"/>
    <mergeCell ref="AT1514:AU1514"/>
    <mergeCell ref="AX1514:AZ1514"/>
    <mergeCell ref="BA1514:BB1514"/>
    <mergeCell ref="BD1514:BE1514"/>
    <mergeCell ref="BF1514:BI1514"/>
    <mergeCell ref="BJ1514:BM1514"/>
    <mergeCell ref="BN1514:BV1514"/>
    <mergeCell ref="BN1512:BV1512"/>
    <mergeCell ref="B1513:C1513"/>
    <mergeCell ref="D1513:E1513"/>
    <mergeCell ref="F1513:G1513"/>
    <mergeCell ref="H1513:I1513"/>
    <mergeCell ref="L1513:M1513"/>
    <mergeCell ref="P1513:Q1513"/>
    <mergeCell ref="R1513:S1513"/>
    <mergeCell ref="T1513:U1513"/>
    <mergeCell ref="V1513:W1513"/>
    <mergeCell ref="X1513:AA1513"/>
    <mergeCell ref="AB1513:AE1513"/>
    <mergeCell ref="AJ1513:AK1513"/>
    <mergeCell ref="AL1513:AM1513"/>
    <mergeCell ref="AN1513:AO1513"/>
    <mergeCell ref="AP1513:AQ1513"/>
    <mergeCell ref="AR1513:AS1513"/>
    <mergeCell ref="AT1513:AU1513"/>
    <mergeCell ref="AX1513:AZ1513"/>
    <mergeCell ref="BA1513:BB1513"/>
    <mergeCell ref="BD1513:BE1513"/>
    <mergeCell ref="BF1513:BI1513"/>
    <mergeCell ref="BJ1513:BM1513"/>
    <mergeCell ref="AV1513:AW1513"/>
    <mergeCell ref="AV1514:AW1514"/>
    <mergeCell ref="AF1513:AG1513"/>
    <mergeCell ref="AF1514:AG1514"/>
    <mergeCell ref="J1512:K1512"/>
    <mergeCell ref="J1513:K1513"/>
    <mergeCell ref="J1514:K1514"/>
    <mergeCell ref="AN1516:AO1516"/>
    <mergeCell ref="AP1516:AQ1516"/>
    <mergeCell ref="AR1516:AS1516"/>
    <mergeCell ref="AT1516:AU1516"/>
    <mergeCell ref="AX1516:AZ1516"/>
    <mergeCell ref="BA1516:BB1516"/>
    <mergeCell ref="BD1516:BE1516"/>
    <mergeCell ref="BF1516:BI1516"/>
    <mergeCell ref="BJ1516:BM1516"/>
    <mergeCell ref="BN1516:BV1516"/>
    <mergeCell ref="B1517:C1517"/>
    <mergeCell ref="D1517:E1517"/>
    <mergeCell ref="F1517:G1517"/>
    <mergeCell ref="H1517:I1517"/>
    <mergeCell ref="L1517:M1517"/>
    <mergeCell ref="P1517:Q1517"/>
    <mergeCell ref="R1517:S1517"/>
    <mergeCell ref="T1517:U1517"/>
    <mergeCell ref="V1517:W1517"/>
    <mergeCell ref="X1517:AA1517"/>
    <mergeCell ref="AB1517:AE1517"/>
    <mergeCell ref="AJ1517:AK1517"/>
    <mergeCell ref="AL1517:AM1517"/>
    <mergeCell ref="AN1517:AO1517"/>
    <mergeCell ref="AL1515:AM1515"/>
    <mergeCell ref="AN1515:AO1515"/>
    <mergeCell ref="AP1515:AQ1515"/>
    <mergeCell ref="AR1515:AS1515"/>
    <mergeCell ref="AT1515:AU1515"/>
    <mergeCell ref="AX1515:AZ1515"/>
    <mergeCell ref="BA1515:BB1515"/>
    <mergeCell ref="BD1515:BE1515"/>
    <mergeCell ref="BF1515:BI1515"/>
    <mergeCell ref="BJ1515:BM1515"/>
    <mergeCell ref="BN1515:BV1515"/>
    <mergeCell ref="B1516:C1516"/>
    <mergeCell ref="D1516:E1516"/>
    <mergeCell ref="F1516:G1516"/>
    <mergeCell ref="H1516:I1516"/>
    <mergeCell ref="L1516:M1516"/>
    <mergeCell ref="P1516:Q1516"/>
    <mergeCell ref="R1516:S1516"/>
    <mergeCell ref="T1516:U1516"/>
    <mergeCell ref="V1516:W1516"/>
    <mergeCell ref="X1516:AA1516"/>
    <mergeCell ref="AB1516:AE1516"/>
    <mergeCell ref="AJ1516:AK1516"/>
    <mergeCell ref="AL1516:AM1516"/>
    <mergeCell ref="B1515:C1515"/>
    <mergeCell ref="D1515:E1515"/>
    <mergeCell ref="F1515:G1515"/>
    <mergeCell ref="H1515:I1515"/>
    <mergeCell ref="L1515:M1515"/>
    <mergeCell ref="P1515:Q1515"/>
    <mergeCell ref="R1515:S1515"/>
    <mergeCell ref="T1515:U1515"/>
    <mergeCell ref="V1515:W1515"/>
    <mergeCell ref="X1515:AA1515"/>
    <mergeCell ref="AB1515:AE1515"/>
    <mergeCell ref="AJ1515:AK1515"/>
    <mergeCell ref="AV1515:AW1515"/>
    <mergeCell ref="AV1516:AW1516"/>
    <mergeCell ref="AV1517:AW1517"/>
    <mergeCell ref="AF1515:AG1515"/>
    <mergeCell ref="AR1518:AS1518"/>
    <mergeCell ref="AT1518:AU1518"/>
    <mergeCell ref="AX1518:AZ1518"/>
    <mergeCell ref="BA1518:BB1518"/>
    <mergeCell ref="BD1518:BE1518"/>
    <mergeCell ref="BF1518:BI1518"/>
    <mergeCell ref="BJ1518:BM1518"/>
    <mergeCell ref="BN1518:BV1518"/>
    <mergeCell ref="B1519:C1519"/>
    <mergeCell ref="D1519:E1519"/>
    <mergeCell ref="F1519:G1519"/>
    <mergeCell ref="H1519:I1519"/>
    <mergeCell ref="L1519:M1519"/>
    <mergeCell ref="P1519:Q1519"/>
    <mergeCell ref="R1519:S1519"/>
    <mergeCell ref="T1519:U1519"/>
    <mergeCell ref="V1519:W1519"/>
    <mergeCell ref="X1519:AA1519"/>
    <mergeCell ref="AB1519:AE1519"/>
    <mergeCell ref="AJ1519:AK1519"/>
    <mergeCell ref="AL1519:AM1519"/>
    <mergeCell ref="AN1519:AO1519"/>
    <mergeCell ref="AP1519:AQ1519"/>
    <mergeCell ref="AR1519:AS1519"/>
    <mergeCell ref="AP1517:AQ1517"/>
    <mergeCell ref="AR1517:AS1517"/>
    <mergeCell ref="AT1517:AU1517"/>
    <mergeCell ref="AX1517:AZ1517"/>
    <mergeCell ref="BA1517:BB1517"/>
    <mergeCell ref="BD1517:BE1517"/>
    <mergeCell ref="BF1517:BI1517"/>
    <mergeCell ref="BJ1517:BM1517"/>
    <mergeCell ref="BN1517:BV1517"/>
    <mergeCell ref="B1518:C1518"/>
    <mergeCell ref="D1518:E1518"/>
    <mergeCell ref="F1518:G1518"/>
    <mergeCell ref="H1518:I1518"/>
    <mergeCell ref="L1518:M1518"/>
    <mergeCell ref="P1518:Q1518"/>
    <mergeCell ref="R1518:S1518"/>
    <mergeCell ref="T1518:U1518"/>
    <mergeCell ref="V1518:W1518"/>
    <mergeCell ref="X1518:AA1518"/>
    <mergeCell ref="AB1518:AE1518"/>
    <mergeCell ref="AJ1518:AK1518"/>
    <mergeCell ref="AL1518:AM1518"/>
    <mergeCell ref="AN1518:AO1518"/>
    <mergeCell ref="AP1518:AQ1518"/>
    <mergeCell ref="AV1518:AW1518"/>
    <mergeCell ref="AV1519:AW1519"/>
    <mergeCell ref="AX1520:AZ1520"/>
    <mergeCell ref="BA1520:BB1520"/>
    <mergeCell ref="BD1520:BE1520"/>
    <mergeCell ref="BF1520:BI1520"/>
    <mergeCell ref="BJ1520:BM1520"/>
    <mergeCell ref="BN1520:BV1520"/>
    <mergeCell ref="B1521:C1521"/>
    <mergeCell ref="D1521:E1521"/>
    <mergeCell ref="F1521:G1521"/>
    <mergeCell ref="H1521:I1521"/>
    <mergeCell ref="L1521:M1521"/>
    <mergeCell ref="P1521:Q1521"/>
    <mergeCell ref="R1521:S1521"/>
    <mergeCell ref="T1521:U1521"/>
    <mergeCell ref="V1521:W1521"/>
    <mergeCell ref="X1521:AA1521"/>
    <mergeCell ref="AB1521:AE1521"/>
    <mergeCell ref="AJ1521:AK1521"/>
    <mergeCell ref="AL1521:AM1521"/>
    <mergeCell ref="AN1521:AO1521"/>
    <mergeCell ref="AP1521:AQ1521"/>
    <mergeCell ref="AR1521:AS1521"/>
    <mergeCell ref="AT1521:AU1521"/>
    <mergeCell ref="AX1521:AZ1521"/>
    <mergeCell ref="AT1519:AU1519"/>
    <mergeCell ref="AX1519:AZ1519"/>
    <mergeCell ref="BA1519:BB1519"/>
    <mergeCell ref="BD1519:BE1519"/>
    <mergeCell ref="BF1519:BI1519"/>
    <mergeCell ref="BJ1519:BM1519"/>
    <mergeCell ref="BN1519:BV1519"/>
    <mergeCell ref="B1520:C1520"/>
    <mergeCell ref="D1520:E1520"/>
    <mergeCell ref="F1520:G1520"/>
    <mergeCell ref="H1520:I1520"/>
    <mergeCell ref="L1520:M1520"/>
    <mergeCell ref="P1520:Q1520"/>
    <mergeCell ref="R1520:S1520"/>
    <mergeCell ref="T1520:U1520"/>
    <mergeCell ref="V1520:W1520"/>
    <mergeCell ref="X1520:AA1520"/>
    <mergeCell ref="AB1520:AE1520"/>
    <mergeCell ref="AJ1520:AK1520"/>
    <mergeCell ref="AL1520:AM1520"/>
    <mergeCell ref="AN1520:AO1520"/>
    <mergeCell ref="AP1520:AQ1520"/>
    <mergeCell ref="AR1520:AS1520"/>
    <mergeCell ref="AT1520:AU1520"/>
    <mergeCell ref="AV1520:AW1520"/>
    <mergeCell ref="AV1521:AW1521"/>
    <mergeCell ref="BD1522:BE1522"/>
    <mergeCell ref="BF1522:BI1522"/>
    <mergeCell ref="BJ1522:BM1522"/>
    <mergeCell ref="BN1522:BV1522"/>
    <mergeCell ref="B1523:C1523"/>
    <mergeCell ref="D1523:E1523"/>
    <mergeCell ref="F1523:G1523"/>
    <mergeCell ref="H1523:I1523"/>
    <mergeCell ref="L1523:M1523"/>
    <mergeCell ref="P1523:Q1523"/>
    <mergeCell ref="R1523:S1523"/>
    <mergeCell ref="T1523:U1523"/>
    <mergeCell ref="V1523:W1523"/>
    <mergeCell ref="X1523:AA1523"/>
    <mergeCell ref="AB1523:AE1523"/>
    <mergeCell ref="AJ1523:AK1523"/>
    <mergeCell ref="AL1523:AM1523"/>
    <mergeCell ref="AN1523:AO1523"/>
    <mergeCell ref="AP1523:AQ1523"/>
    <mergeCell ref="AR1523:AS1523"/>
    <mergeCell ref="AT1523:AU1523"/>
    <mergeCell ref="AX1523:AZ1523"/>
    <mergeCell ref="BA1523:BB1523"/>
    <mergeCell ref="BD1523:BE1523"/>
    <mergeCell ref="BA1521:BB1521"/>
    <mergeCell ref="BD1521:BE1521"/>
    <mergeCell ref="BF1521:BI1521"/>
    <mergeCell ref="BJ1521:BM1521"/>
    <mergeCell ref="BN1521:BV1521"/>
    <mergeCell ref="B1522:C1522"/>
    <mergeCell ref="D1522:E1522"/>
    <mergeCell ref="F1522:G1522"/>
    <mergeCell ref="H1522:I1522"/>
    <mergeCell ref="L1522:M1522"/>
    <mergeCell ref="P1522:Q1522"/>
    <mergeCell ref="R1522:S1522"/>
    <mergeCell ref="T1522:U1522"/>
    <mergeCell ref="V1522:W1522"/>
    <mergeCell ref="X1522:AA1522"/>
    <mergeCell ref="AB1522:AE1522"/>
    <mergeCell ref="AJ1522:AK1522"/>
    <mergeCell ref="AL1522:AM1522"/>
    <mergeCell ref="AN1522:AO1522"/>
    <mergeCell ref="AP1522:AQ1522"/>
    <mergeCell ref="AR1522:AS1522"/>
    <mergeCell ref="AT1522:AU1522"/>
    <mergeCell ref="AX1522:AZ1522"/>
    <mergeCell ref="BA1522:BB1522"/>
    <mergeCell ref="AV1522:AW1522"/>
    <mergeCell ref="AV1523:AW1523"/>
    <mergeCell ref="BJ1524:BM1524"/>
    <mergeCell ref="BN1524:BV1524"/>
    <mergeCell ref="B1525:C1525"/>
    <mergeCell ref="D1525:E1525"/>
    <mergeCell ref="F1525:G1525"/>
    <mergeCell ref="H1525:I1525"/>
    <mergeCell ref="L1525:M1525"/>
    <mergeCell ref="P1525:Q1525"/>
    <mergeCell ref="R1525:S1525"/>
    <mergeCell ref="T1525:U1525"/>
    <mergeCell ref="V1525:W1525"/>
    <mergeCell ref="X1525:AA1525"/>
    <mergeCell ref="AB1525:AE1525"/>
    <mergeCell ref="AJ1525:AK1525"/>
    <mergeCell ref="AL1525:AM1525"/>
    <mergeCell ref="AN1525:AO1525"/>
    <mergeCell ref="AP1525:AQ1525"/>
    <mergeCell ref="AR1525:AS1525"/>
    <mergeCell ref="AT1525:AU1525"/>
    <mergeCell ref="AX1525:AZ1525"/>
    <mergeCell ref="BA1525:BB1525"/>
    <mergeCell ref="BD1525:BE1525"/>
    <mergeCell ref="BF1525:BI1525"/>
    <mergeCell ref="BJ1525:BM1525"/>
    <mergeCell ref="BF1523:BI1523"/>
    <mergeCell ref="BJ1523:BM1523"/>
    <mergeCell ref="BN1523:BV1523"/>
    <mergeCell ref="B1524:C1524"/>
    <mergeCell ref="D1524:E1524"/>
    <mergeCell ref="F1524:G1524"/>
    <mergeCell ref="H1524:I1524"/>
    <mergeCell ref="L1524:M1524"/>
    <mergeCell ref="P1524:Q1524"/>
    <mergeCell ref="R1524:S1524"/>
    <mergeCell ref="T1524:U1524"/>
    <mergeCell ref="V1524:W1524"/>
    <mergeCell ref="X1524:AA1524"/>
    <mergeCell ref="AB1524:AE1524"/>
    <mergeCell ref="AJ1524:AK1524"/>
    <mergeCell ref="AL1524:AM1524"/>
    <mergeCell ref="AN1524:AO1524"/>
    <mergeCell ref="AP1524:AQ1524"/>
    <mergeCell ref="AR1524:AS1524"/>
    <mergeCell ref="AT1524:AU1524"/>
    <mergeCell ref="AX1524:AZ1524"/>
    <mergeCell ref="BA1524:BB1524"/>
    <mergeCell ref="BD1524:BE1524"/>
    <mergeCell ref="BF1524:BI1524"/>
    <mergeCell ref="AV1524:AW1524"/>
    <mergeCell ref="AV1525:AW1525"/>
    <mergeCell ref="BN1526:BV1526"/>
    <mergeCell ref="B1527:C1527"/>
    <mergeCell ref="D1527:E1527"/>
    <mergeCell ref="F1527:G1527"/>
    <mergeCell ref="H1527:I1527"/>
    <mergeCell ref="L1527:M1527"/>
    <mergeCell ref="P1527:Q1527"/>
    <mergeCell ref="R1527:S1527"/>
    <mergeCell ref="T1527:U1527"/>
    <mergeCell ref="V1527:W1527"/>
    <mergeCell ref="X1527:AA1527"/>
    <mergeCell ref="AB1527:AE1527"/>
    <mergeCell ref="AJ1527:AK1527"/>
    <mergeCell ref="AL1527:AM1527"/>
    <mergeCell ref="AN1527:AO1527"/>
    <mergeCell ref="AP1527:AQ1527"/>
    <mergeCell ref="AR1527:AS1527"/>
    <mergeCell ref="AT1527:AU1527"/>
    <mergeCell ref="AX1527:AZ1527"/>
    <mergeCell ref="BA1527:BB1527"/>
    <mergeCell ref="BD1527:BE1527"/>
    <mergeCell ref="BF1527:BI1527"/>
    <mergeCell ref="BJ1527:BM1527"/>
    <mergeCell ref="BN1525:BV1525"/>
    <mergeCell ref="B1526:C1526"/>
    <mergeCell ref="D1526:E1526"/>
    <mergeCell ref="F1526:G1526"/>
    <mergeCell ref="H1526:I1526"/>
    <mergeCell ref="L1526:M1526"/>
    <mergeCell ref="P1526:Q1526"/>
    <mergeCell ref="R1526:S1526"/>
    <mergeCell ref="T1526:U1526"/>
    <mergeCell ref="V1526:W1526"/>
    <mergeCell ref="X1526:AA1526"/>
    <mergeCell ref="AB1526:AE1526"/>
    <mergeCell ref="AJ1526:AK1526"/>
    <mergeCell ref="AL1526:AM1526"/>
    <mergeCell ref="AN1526:AO1526"/>
    <mergeCell ref="AP1526:AQ1526"/>
    <mergeCell ref="AR1526:AS1526"/>
    <mergeCell ref="AT1526:AU1526"/>
    <mergeCell ref="AX1526:AZ1526"/>
    <mergeCell ref="BA1526:BB1526"/>
    <mergeCell ref="BD1526:BE1526"/>
    <mergeCell ref="BF1526:BI1526"/>
    <mergeCell ref="BJ1526:BM1526"/>
    <mergeCell ref="AV1526:AW1526"/>
    <mergeCell ref="AV1527:AW1527"/>
    <mergeCell ref="AH1525:AI1525"/>
    <mergeCell ref="AH1526:AI1526"/>
    <mergeCell ref="BN1528:BV1528"/>
    <mergeCell ref="B1529:C1529"/>
    <mergeCell ref="D1529:E1529"/>
    <mergeCell ref="F1529:G1529"/>
    <mergeCell ref="H1529:I1529"/>
    <mergeCell ref="L1529:M1529"/>
    <mergeCell ref="P1529:Q1529"/>
    <mergeCell ref="R1529:S1529"/>
    <mergeCell ref="T1529:U1529"/>
    <mergeCell ref="V1529:W1529"/>
    <mergeCell ref="X1529:AA1529"/>
    <mergeCell ref="AB1529:AE1529"/>
    <mergeCell ref="AJ1529:AK1529"/>
    <mergeCell ref="AL1529:AM1529"/>
    <mergeCell ref="AN1529:AO1529"/>
    <mergeCell ref="AP1529:AQ1529"/>
    <mergeCell ref="AR1529:AS1529"/>
    <mergeCell ref="AT1529:AU1529"/>
    <mergeCell ref="AX1529:AZ1529"/>
    <mergeCell ref="BA1529:BB1529"/>
    <mergeCell ref="BD1529:BE1529"/>
    <mergeCell ref="BF1529:BI1529"/>
    <mergeCell ref="BJ1529:BM1529"/>
    <mergeCell ref="BN1529:BV1529"/>
    <mergeCell ref="BN1527:BV1527"/>
    <mergeCell ref="B1528:C1528"/>
    <mergeCell ref="D1528:E1528"/>
    <mergeCell ref="F1528:G1528"/>
    <mergeCell ref="H1528:I1528"/>
    <mergeCell ref="L1528:M1528"/>
    <mergeCell ref="P1528:Q1528"/>
    <mergeCell ref="R1528:S1528"/>
    <mergeCell ref="T1528:U1528"/>
    <mergeCell ref="V1528:W1528"/>
    <mergeCell ref="X1528:AA1528"/>
    <mergeCell ref="AB1528:AE1528"/>
    <mergeCell ref="AJ1528:AK1528"/>
    <mergeCell ref="AL1528:AM1528"/>
    <mergeCell ref="AN1528:AO1528"/>
    <mergeCell ref="AP1528:AQ1528"/>
    <mergeCell ref="AR1528:AS1528"/>
    <mergeCell ref="AT1528:AU1528"/>
    <mergeCell ref="AX1528:AZ1528"/>
    <mergeCell ref="BA1528:BB1528"/>
    <mergeCell ref="BD1528:BE1528"/>
    <mergeCell ref="BF1528:BI1528"/>
    <mergeCell ref="BJ1528:BM1528"/>
    <mergeCell ref="AV1528:AW1528"/>
    <mergeCell ref="AV1529:AW1529"/>
    <mergeCell ref="AH1527:AI1527"/>
    <mergeCell ref="AH1528:AI1528"/>
    <mergeCell ref="AH1529:AI1529"/>
    <mergeCell ref="AN1531:AO1531"/>
    <mergeCell ref="AP1531:AQ1531"/>
    <mergeCell ref="AR1531:AS1531"/>
    <mergeCell ref="AT1531:AU1531"/>
    <mergeCell ref="AX1531:AZ1531"/>
    <mergeCell ref="BA1531:BB1531"/>
    <mergeCell ref="BD1531:BE1531"/>
    <mergeCell ref="BF1531:BI1531"/>
    <mergeCell ref="BJ1531:BM1531"/>
    <mergeCell ref="BN1531:BV1531"/>
    <mergeCell ref="B1532:C1532"/>
    <mergeCell ref="D1532:E1532"/>
    <mergeCell ref="F1532:G1532"/>
    <mergeCell ref="H1532:I1532"/>
    <mergeCell ref="L1532:M1532"/>
    <mergeCell ref="P1532:Q1532"/>
    <mergeCell ref="R1532:S1532"/>
    <mergeCell ref="T1532:U1532"/>
    <mergeCell ref="V1532:W1532"/>
    <mergeCell ref="X1532:AA1532"/>
    <mergeCell ref="AB1532:AE1532"/>
    <mergeCell ref="AJ1532:AK1532"/>
    <mergeCell ref="AL1532:AM1532"/>
    <mergeCell ref="AN1532:AO1532"/>
    <mergeCell ref="AL1530:AM1530"/>
    <mergeCell ref="AN1530:AO1530"/>
    <mergeCell ref="AP1530:AQ1530"/>
    <mergeCell ref="AR1530:AS1530"/>
    <mergeCell ref="AT1530:AU1530"/>
    <mergeCell ref="AX1530:AZ1530"/>
    <mergeCell ref="BA1530:BB1530"/>
    <mergeCell ref="BD1530:BE1530"/>
    <mergeCell ref="BF1530:BI1530"/>
    <mergeCell ref="BJ1530:BM1530"/>
    <mergeCell ref="BN1530:BV1530"/>
    <mergeCell ref="B1531:C1531"/>
    <mergeCell ref="D1531:E1531"/>
    <mergeCell ref="F1531:G1531"/>
    <mergeCell ref="H1531:I1531"/>
    <mergeCell ref="L1531:M1531"/>
    <mergeCell ref="P1531:Q1531"/>
    <mergeCell ref="R1531:S1531"/>
    <mergeCell ref="T1531:U1531"/>
    <mergeCell ref="V1531:W1531"/>
    <mergeCell ref="X1531:AA1531"/>
    <mergeCell ref="AB1531:AE1531"/>
    <mergeCell ref="AJ1531:AK1531"/>
    <mergeCell ref="AL1531:AM1531"/>
    <mergeCell ref="B1530:C1530"/>
    <mergeCell ref="D1530:E1530"/>
    <mergeCell ref="F1530:G1530"/>
    <mergeCell ref="H1530:I1530"/>
    <mergeCell ref="L1530:M1530"/>
    <mergeCell ref="P1530:Q1530"/>
    <mergeCell ref="R1530:S1530"/>
    <mergeCell ref="T1530:U1530"/>
    <mergeCell ref="V1530:W1530"/>
    <mergeCell ref="X1530:AA1530"/>
    <mergeCell ref="AB1530:AE1530"/>
    <mergeCell ref="AJ1530:AK1530"/>
    <mergeCell ref="AV1530:AW1530"/>
    <mergeCell ref="AV1531:AW1531"/>
    <mergeCell ref="AV1532:AW1532"/>
    <mergeCell ref="AH1530:AI1530"/>
    <mergeCell ref="AR1533:AS1533"/>
    <mergeCell ref="AT1533:AU1533"/>
    <mergeCell ref="AX1533:AZ1533"/>
    <mergeCell ref="BA1533:BB1533"/>
    <mergeCell ref="BD1533:BE1533"/>
    <mergeCell ref="BF1533:BI1533"/>
    <mergeCell ref="BJ1533:BM1533"/>
    <mergeCell ref="BN1533:BV1533"/>
    <mergeCell ref="B1534:C1534"/>
    <mergeCell ref="D1534:E1534"/>
    <mergeCell ref="F1534:G1534"/>
    <mergeCell ref="H1534:I1534"/>
    <mergeCell ref="L1534:M1534"/>
    <mergeCell ref="P1534:Q1534"/>
    <mergeCell ref="R1534:S1534"/>
    <mergeCell ref="T1534:U1534"/>
    <mergeCell ref="V1534:W1534"/>
    <mergeCell ref="X1534:AA1534"/>
    <mergeCell ref="AB1534:AE1534"/>
    <mergeCell ref="AJ1534:AK1534"/>
    <mergeCell ref="AL1534:AM1534"/>
    <mergeCell ref="AN1534:AO1534"/>
    <mergeCell ref="AP1534:AQ1534"/>
    <mergeCell ref="AR1534:AS1534"/>
    <mergeCell ref="AP1532:AQ1532"/>
    <mergeCell ref="AR1532:AS1532"/>
    <mergeCell ref="AT1532:AU1532"/>
    <mergeCell ref="AX1532:AZ1532"/>
    <mergeCell ref="BA1532:BB1532"/>
    <mergeCell ref="BD1532:BE1532"/>
    <mergeCell ref="BF1532:BI1532"/>
    <mergeCell ref="BJ1532:BM1532"/>
    <mergeCell ref="BN1532:BV1532"/>
    <mergeCell ref="B1533:C1533"/>
    <mergeCell ref="D1533:E1533"/>
    <mergeCell ref="F1533:G1533"/>
    <mergeCell ref="H1533:I1533"/>
    <mergeCell ref="L1533:M1533"/>
    <mergeCell ref="P1533:Q1533"/>
    <mergeCell ref="R1533:S1533"/>
    <mergeCell ref="T1533:U1533"/>
    <mergeCell ref="V1533:W1533"/>
    <mergeCell ref="X1533:AA1533"/>
    <mergeCell ref="AB1533:AE1533"/>
    <mergeCell ref="AJ1533:AK1533"/>
    <mergeCell ref="AL1533:AM1533"/>
    <mergeCell ref="AN1533:AO1533"/>
    <mergeCell ref="AP1533:AQ1533"/>
    <mergeCell ref="AV1533:AW1533"/>
    <mergeCell ref="AV1534:AW1534"/>
    <mergeCell ref="J1533:K1533"/>
    <mergeCell ref="AX1535:AZ1535"/>
    <mergeCell ref="BA1535:BB1535"/>
    <mergeCell ref="BD1535:BE1535"/>
    <mergeCell ref="BF1535:BI1535"/>
    <mergeCell ref="BJ1535:BM1535"/>
    <mergeCell ref="BN1535:BV1535"/>
    <mergeCell ref="B1536:C1536"/>
    <mergeCell ref="D1536:E1536"/>
    <mergeCell ref="F1536:G1536"/>
    <mergeCell ref="H1536:I1536"/>
    <mergeCell ref="L1536:M1536"/>
    <mergeCell ref="P1536:Q1536"/>
    <mergeCell ref="R1536:S1536"/>
    <mergeCell ref="T1536:U1536"/>
    <mergeCell ref="V1536:W1536"/>
    <mergeCell ref="X1536:AA1536"/>
    <mergeCell ref="AB1536:AE1536"/>
    <mergeCell ref="AJ1536:AK1536"/>
    <mergeCell ref="AL1536:AM1536"/>
    <mergeCell ref="AN1536:AO1536"/>
    <mergeCell ref="AP1536:AQ1536"/>
    <mergeCell ref="AR1536:AS1536"/>
    <mergeCell ref="AT1536:AU1536"/>
    <mergeCell ref="AX1536:AZ1536"/>
    <mergeCell ref="AT1534:AU1534"/>
    <mergeCell ref="AX1534:AZ1534"/>
    <mergeCell ref="BA1534:BB1534"/>
    <mergeCell ref="BD1534:BE1534"/>
    <mergeCell ref="BF1534:BI1534"/>
    <mergeCell ref="BJ1534:BM1534"/>
    <mergeCell ref="BN1534:BV1534"/>
    <mergeCell ref="B1535:C1535"/>
    <mergeCell ref="D1535:E1535"/>
    <mergeCell ref="F1535:G1535"/>
    <mergeCell ref="H1535:I1535"/>
    <mergeCell ref="L1535:M1535"/>
    <mergeCell ref="P1535:Q1535"/>
    <mergeCell ref="R1535:S1535"/>
    <mergeCell ref="T1535:U1535"/>
    <mergeCell ref="V1535:W1535"/>
    <mergeCell ref="X1535:AA1535"/>
    <mergeCell ref="AB1535:AE1535"/>
    <mergeCell ref="AJ1535:AK1535"/>
    <mergeCell ref="AL1535:AM1535"/>
    <mergeCell ref="AN1535:AO1535"/>
    <mergeCell ref="AP1535:AQ1535"/>
    <mergeCell ref="AR1535:AS1535"/>
    <mergeCell ref="AT1535:AU1535"/>
    <mergeCell ref="AV1535:AW1535"/>
    <mergeCell ref="AV1536:AW1536"/>
    <mergeCell ref="AH1534:AI1534"/>
    <mergeCell ref="AH1535:AI1535"/>
    <mergeCell ref="J1534:K1534"/>
    <mergeCell ref="J1535:K1535"/>
    <mergeCell ref="BD1537:BE1537"/>
    <mergeCell ref="BF1537:BI1537"/>
    <mergeCell ref="BJ1537:BM1537"/>
    <mergeCell ref="BN1537:BV1537"/>
    <mergeCell ref="B1538:C1538"/>
    <mergeCell ref="D1538:E1538"/>
    <mergeCell ref="F1538:G1538"/>
    <mergeCell ref="H1538:I1538"/>
    <mergeCell ref="L1538:M1538"/>
    <mergeCell ref="P1538:Q1538"/>
    <mergeCell ref="R1538:S1538"/>
    <mergeCell ref="T1538:U1538"/>
    <mergeCell ref="V1538:W1538"/>
    <mergeCell ref="X1538:AA1538"/>
    <mergeCell ref="AB1538:AE1538"/>
    <mergeCell ref="AJ1538:AK1538"/>
    <mergeCell ref="AL1538:AM1538"/>
    <mergeCell ref="AN1538:AO1538"/>
    <mergeCell ref="AP1538:AQ1538"/>
    <mergeCell ref="AR1538:AS1538"/>
    <mergeCell ref="AT1538:AU1538"/>
    <mergeCell ref="AX1538:AZ1538"/>
    <mergeCell ref="BA1538:BB1538"/>
    <mergeCell ref="BD1538:BE1538"/>
    <mergeCell ref="BA1536:BB1536"/>
    <mergeCell ref="BD1536:BE1536"/>
    <mergeCell ref="BF1536:BI1536"/>
    <mergeCell ref="BJ1536:BM1536"/>
    <mergeCell ref="BN1536:BV1536"/>
    <mergeCell ref="B1537:C1537"/>
    <mergeCell ref="D1537:E1537"/>
    <mergeCell ref="F1537:G1537"/>
    <mergeCell ref="H1537:I1537"/>
    <mergeCell ref="L1537:M1537"/>
    <mergeCell ref="P1537:Q1537"/>
    <mergeCell ref="R1537:S1537"/>
    <mergeCell ref="T1537:U1537"/>
    <mergeCell ref="V1537:W1537"/>
    <mergeCell ref="X1537:AA1537"/>
    <mergeCell ref="AB1537:AE1537"/>
    <mergeCell ref="AJ1537:AK1537"/>
    <mergeCell ref="AL1537:AM1537"/>
    <mergeCell ref="AN1537:AO1537"/>
    <mergeCell ref="AP1537:AQ1537"/>
    <mergeCell ref="AR1537:AS1537"/>
    <mergeCell ref="AT1537:AU1537"/>
    <mergeCell ref="AX1537:AZ1537"/>
    <mergeCell ref="BA1537:BB1537"/>
    <mergeCell ref="AV1537:AW1537"/>
    <mergeCell ref="AV1538:AW1538"/>
    <mergeCell ref="AH1536:AI1536"/>
    <mergeCell ref="AH1537:AI1537"/>
    <mergeCell ref="J1536:K1536"/>
    <mergeCell ref="J1537:K1537"/>
    <mergeCell ref="BJ1539:BM1539"/>
    <mergeCell ref="BN1539:BV1539"/>
    <mergeCell ref="B1540:C1540"/>
    <mergeCell ref="D1540:E1540"/>
    <mergeCell ref="F1540:G1540"/>
    <mergeCell ref="H1540:I1540"/>
    <mergeCell ref="L1540:M1540"/>
    <mergeCell ref="P1540:Q1540"/>
    <mergeCell ref="R1540:S1540"/>
    <mergeCell ref="T1540:U1540"/>
    <mergeCell ref="V1540:W1540"/>
    <mergeCell ref="X1540:AA1540"/>
    <mergeCell ref="AB1540:AE1540"/>
    <mergeCell ref="AJ1540:AK1540"/>
    <mergeCell ref="AL1540:AM1540"/>
    <mergeCell ref="AN1540:AO1540"/>
    <mergeCell ref="AP1540:AQ1540"/>
    <mergeCell ref="AR1540:AS1540"/>
    <mergeCell ref="AT1540:AU1540"/>
    <mergeCell ref="AX1540:AZ1540"/>
    <mergeCell ref="BA1540:BB1540"/>
    <mergeCell ref="BD1540:BE1540"/>
    <mergeCell ref="BF1540:BI1540"/>
    <mergeCell ref="BJ1540:BM1540"/>
    <mergeCell ref="BF1538:BI1538"/>
    <mergeCell ref="BJ1538:BM1538"/>
    <mergeCell ref="BN1538:BV1538"/>
    <mergeCell ref="B1539:C1539"/>
    <mergeCell ref="D1539:E1539"/>
    <mergeCell ref="F1539:G1539"/>
    <mergeCell ref="H1539:I1539"/>
    <mergeCell ref="L1539:M1539"/>
    <mergeCell ref="P1539:Q1539"/>
    <mergeCell ref="R1539:S1539"/>
    <mergeCell ref="T1539:U1539"/>
    <mergeCell ref="V1539:W1539"/>
    <mergeCell ref="X1539:AA1539"/>
    <mergeCell ref="AB1539:AE1539"/>
    <mergeCell ref="AJ1539:AK1539"/>
    <mergeCell ref="AL1539:AM1539"/>
    <mergeCell ref="AN1539:AO1539"/>
    <mergeCell ref="AP1539:AQ1539"/>
    <mergeCell ref="AR1539:AS1539"/>
    <mergeCell ref="AT1539:AU1539"/>
    <mergeCell ref="AX1539:AZ1539"/>
    <mergeCell ref="BA1539:BB1539"/>
    <mergeCell ref="BD1539:BE1539"/>
    <mergeCell ref="BF1539:BI1539"/>
    <mergeCell ref="AV1539:AW1539"/>
    <mergeCell ref="AH1538:AI1538"/>
    <mergeCell ref="AH1539:AI1539"/>
    <mergeCell ref="AF1540:AG1540"/>
    <mergeCell ref="J1538:K1538"/>
    <mergeCell ref="J1539:K1539"/>
    <mergeCell ref="BN1541:BV1541"/>
    <mergeCell ref="B1542:C1542"/>
    <mergeCell ref="D1542:E1542"/>
    <mergeCell ref="F1542:G1542"/>
    <mergeCell ref="H1542:I1542"/>
    <mergeCell ref="L1542:M1542"/>
    <mergeCell ref="P1542:Q1542"/>
    <mergeCell ref="R1542:S1542"/>
    <mergeCell ref="T1542:U1542"/>
    <mergeCell ref="V1542:W1542"/>
    <mergeCell ref="X1542:AA1542"/>
    <mergeCell ref="AB1542:AE1542"/>
    <mergeCell ref="AJ1542:AK1542"/>
    <mergeCell ref="AL1542:AM1542"/>
    <mergeCell ref="AN1542:AO1542"/>
    <mergeCell ref="AP1542:AQ1542"/>
    <mergeCell ref="AR1542:AS1542"/>
    <mergeCell ref="AT1542:AU1542"/>
    <mergeCell ref="AX1542:AZ1542"/>
    <mergeCell ref="BA1542:BB1542"/>
    <mergeCell ref="BD1542:BE1542"/>
    <mergeCell ref="BF1542:BI1542"/>
    <mergeCell ref="BJ1542:BM1542"/>
    <mergeCell ref="BN1540:BV1540"/>
    <mergeCell ref="B1541:C1541"/>
    <mergeCell ref="D1541:E1541"/>
    <mergeCell ref="F1541:G1541"/>
    <mergeCell ref="H1541:I1541"/>
    <mergeCell ref="L1541:M1541"/>
    <mergeCell ref="P1541:Q1541"/>
    <mergeCell ref="R1541:S1541"/>
    <mergeCell ref="T1541:U1541"/>
    <mergeCell ref="V1541:W1541"/>
    <mergeCell ref="X1541:AA1541"/>
    <mergeCell ref="AB1541:AE1541"/>
    <mergeCell ref="AJ1541:AK1541"/>
    <mergeCell ref="AL1541:AM1541"/>
    <mergeCell ref="AN1541:AO1541"/>
    <mergeCell ref="AP1541:AQ1541"/>
    <mergeCell ref="AR1541:AS1541"/>
    <mergeCell ref="AT1541:AU1541"/>
    <mergeCell ref="AX1541:AZ1541"/>
    <mergeCell ref="BA1541:BB1541"/>
    <mergeCell ref="BD1541:BE1541"/>
    <mergeCell ref="BF1541:BI1541"/>
    <mergeCell ref="BJ1541:BM1541"/>
    <mergeCell ref="AH1540:AI1540"/>
    <mergeCell ref="AH1541:AI1541"/>
    <mergeCell ref="AV1541:AW1541"/>
    <mergeCell ref="AV1540:AW1540"/>
    <mergeCell ref="AF1541:AG1541"/>
    <mergeCell ref="AF1542:AG1542"/>
    <mergeCell ref="J1540:K1540"/>
    <mergeCell ref="J1541:K1541"/>
    <mergeCell ref="BN1543:BV1543"/>
    <mergeCell ref="B1544:C1544"/>
    <mergeCell ref="D1544:E1544"/>
    <mergeCell ref="F1544:G1544"/>
    <mergeCell ref="H1544:I1544"/>
    <mergeCell ref="L1544:M1544"/>
    <mergeCell ref="P1544:Q1544"/>
    <mergeCell ref="R1544:S1544"/>
    <mergeCell ref="T1544:U1544"/>
    <mergeCell ref="V1544:W1544"/>
    <mergeCell ref="X1544:AA1544"/>
    <mergeCell ref="AB1544:AE1544"/>
    <mergeCell ref="AJ1544:AK1544"/>
    <mergeCell ref="AL1544:AM1544"/>
    <mergeCell ref="AN1544:AO1544"/>
    <mergeCell ref="AP1544:AQ1544"/>
    <mergeCell ref="AR1544:AS1544"/>
    <mergeCell ref="AT1544:AU1544"/>
    <mergeCell ref="AX1544:AZ1544"/>
    <mergeCell ref="BA1544:BB1544"/>
    <mergeCell ref="BD1544:BE1544"/>
    <mergeCell ref="BF1544:BI1544"/>
    <mergeCell ref="BJ1544:BM1544"/>
    <mergeCell ref="BN1544:BV1544"/>
    <mergeCell ref="BN1542:BV1542"/>
    <mergeCell ref="B1543:C1543"/>
    <mergeCell ref="D1543:E1543"/>
    <mergeCell ref="F1543:G1543"/>
    <mergeCell ref="H1543:I1543"/>
    <mergeCell ref="L1543:M1543"/>
    <mergeCell ref="P1543:Q1543"/>
    <mergeCell ref="R1543:S1543"/>
    <mergeCell ref="T1543:U1543"/>
    <mergeCell ref="V1543:W1543"/>
    <mergeCell ref="X1543:AA1543"/>
    <mergeCell ref="AB1543:AE1543"/>
    <mergeCell ref="AJ1543:AK1543"/>
    <mergeCell ref="AL1543:AM1543"/>
    <mergeCell ref="AN1543:AO1543"/>
    <mergeCell ref="AP1543:AQ1543"/>
    <mergeCell ref="AR1543:AS1543"/>
    <mergeCell ref="AT1543:AU1543"/>
    <mergeCell ref="AX1543:AZ1543"/>
    <mergeCell ref="BA1543:BB1543"/>
    <mergeCell ref="BD1543:BE1543"/>
    <mergeCell ref="BF1543:BI1543"/>
    <mergeCell ref="BJ1543:BM1543"/>
    <mergeCell ref="AH1542:AI1542"/>
    <mergeCell ref="AH1543:AI1543"/>
    <mergeCell ref="AH1544:AI1544"/>
    <mergeCell ref="AV1544:AW1544"/>
    <mergeCell ref="AV1543:AW1543"/>
    <mergeCell ref="AV1542:AW1542"/>
    <mergeCell ref="AF1543:AG1543"/>
    <mergeCell ref="AF1544:AG1544"/>
    <mergeCell ref="J1542:K1542"/>
    <mergeCell ref="J1543:K1543"/>
    <mergeCell ref="J1544:K1544"/>
    <mergeCell ref="AN1546:AO1546"/>
    <mergeCell ref="AP1546:AQ1546"/>
    <mergeCell ref="AR1546:AS1546"/>
    <mergeCell ref="AT1546:AU1546"/>
    <mergeCell ref="AX1546:AZ1546"/>
    <mergeCell ref="BA1546:BB1546"/>
    <mergeCell ref="BD1546:BE1546"/>
    <mergeCell ref="BF1546:BI1546"/>
    <mergeCell ref="BJ1546:BM1546"/>
    <mergeCell ref="BN1546:BV1546"/>
    <mergeCell ref="B1547:C1547"/>
    <mergeCell ref="D1547:E1547"/>
    <mergeCell ref="F1547:G1547"/>
    <mergeCell ref="H1547:I1547"/>
    <mergeCell ref="L1547:M1547"/>
    <mergeCell ref="P1547:Q1547"/>
    <mergeCell ref="R1547:S1547"/>
    <mergeCell ref="T1547:U1547"/>
    <mergeCell ref="V1547:W1547"/>
    <mergeCell ref="X1547:AA1547"/>
    <mergeCell ref="AB1547:AE1547"/>
    <mergeCell ref="AJ1547:AK1547"/>
    <mergeCell ref="AL1547:AM1547"/>
    <mergeCell ref="AN1547:AO1547"/>
    <mergeCell ref="AL1545:AM1545"/>
    <mergeCell ref="AN1545:AO1545"/>
    <mergeCell ref="AP1545:AQ1545"/>
    <mergeCell ref="AR1545:AS1545"/>
    <mergeCell ref="AT1545:AU1545"/>
    <mergeCell ref="AX1545:AZ1545"/>
    <mergeCell ref="BA1545:BB1545"/>
    <mergeCell ref="BD1545:BE1545"/>
    <mergeCell ref="BF1545:BI1545"/>
    <mergeCell ref="BJ1545:BM1545"/>
    <mergeCell ref="BN1545:BV1545"/>
    <mergeCell ref="B1546:C1546"/>
    <mergeCell ref="D1546:E1546"/>
    <mergeCell ref="F1546:G1546"/>
    <mergeCell ref="H1546:I1546"/>
    <mergeCell ref="L1546:M1546"/>
    <mergeCell ref="P1546:Q1546"/>
    <mergeCell ref="R1546:S1546"/>
    <mergeCell ref="T1546:U1546"/>
    <mergeCell ref="V1546:W1546"/>
    <mergeCell ref="X1546:AA1546"/>
    <mergeCell ref="AB1546:AE1546"/>
    <mergeCell ref="AJ1546:AK1546"/>
    <mergeCell ref="AL1546:AM1546"/>
    <mergeCell ref="B1545:C1545"/>
    <mergeCell ref="D1545:E1545"/>
    <mergeCell ref="F1545:G1545"/>
    <mergeCell ref="H1545:I1545"/>
    <mergeCell ref="L1545:M1545"/>
    <mergeCell ref="P1545:Q1545"/>
    <mergeCell ref="R1545:S1545"/>
    <mergeCell ref="T1545:U1545"/>
    <mergeCell ref="V1545:W1545"/>
    <mergeCell ref="X1545:AA1545"/>
    <mergeCell ref="AB1545:AE1545"/>
    <mergeCell ref="AJ1545:AK1545"/>
    <mergeCell ref="AH1545:AI1545"/>
    <mergeCell ref="AH1546:AI1546"/>
    <mergeCell ref="AV1546:AW1546"/>
    <mergeCell ref="AV1545:AW1545"/>
    <mergeCell ref="AR1548:AS1548"/>
    <mergeCell ref="AT1548:AU1548"/>
    <mergeCell ref="AX1548:AZ1548"/>
    <mergeCell ref="BA1548:BB1548"/>
    <mergeCell ref="BD1548:BE1548"/>
    <mergeCell ref="BF1548:BI1548"/>
    <mergeCell ref="BJ1548:BM1548"/>
    <mergeCell ref="BN1548:BV1548"/>
    <mergeCell ref="B1549:C1549"/>
    <mergeCell ref="D1549:E1549"/>
    <mergeCell ref="F1549:G1549"/>
    <mergeCell ref="H1549:I1549"/>
    <mergeCell ref="L1549:M1549"/>
    <mergeCell ref="P1549:Q1549"/>
    <mergeCell ref="R1549:S1549"/>
    <mergeCell ref="T1549:U1549"/>
    <mergeCell ref="V1549:W1549"/>
    <mergeCell ref="X1549:AA1549"/>
    <mergeCell ref="AB1549:AE1549"/>
    <mergeCell ref="AJ1549:AK1549"/>
    <mergeCell ref="AL1549:AM1549"/>
    <mergeCell ref="AN1549:AO1549"/>
    <mergeCell ref="AP1549:AQ1549"/>
    <mergeCell ref="AR1549:AS1549"/>
    <mergeCell ref="AP1547:AQ1547"/>
    <mergeCell ref="AR1547:AS1547"/>
    <mergeCell ref="AT1547:AU1547"/>
    <mergeCell ref="AX1547:AZ1547"/>
    <mergeCell ref="BA1547:BB1547"/>
    <mergeCell ref="BD1547:BE1547"/>
    <mergeCell ref="BF1547:BI1547"/>
    <mergeCell ref="BJ1547:BM1547"/>
    <mergeCell ref="BN1547:BV1547"/>
    <mergeCell ref="B1548:C1548"/>
    <mergeCell ref="D1548:E1548"/>
    <mergeCell ref="F1548:G1548"/>
    <mergeCell ref="H1548:I1548"/>
    <mergeCell ref="L1548:M1548"/>
    <mergeCell ref="P1548:Q1548"/>
    <mergeCell ref="R1548:S1548"/>
    <mergeCell ref="T1548:U1548"/>
    <mergeCell ref="V1548:W1548"/>
    <mergeCell ref="X1548:AA1548"/>
    <mergeCell ref="AB1548:AE1548"/>
    <mergeCell ref="AJ1548:AK1548"/>
    <mergeCell ref="AL1548:AM1548"/>
    <mergeCell ref="AN1548:AO1548"/>
    <mergeCell ref="AP1548:AQ1548"/>
    <mergeCell ref="AF1549:AG1549"/>
    <mergeCell ref="AH1547:AI1547"/>
    <mergeCell ref="AH1548:AI1548"/>
    <mergeCell ref="AV1548:AW1548"/>
    <mergeCell ref="AV1547:AW1547"/>
    <mergeCell ref="AX1550:AZ1550"/>
    <mergeCell ref="BA1550:BB1550"/>
    <mergeCell ref="BD1550:BE1550"/>
    <mergeCell ref="BF1550:BI1550"/>
    <mergeCell ref="BJ1550:BM1550"/>
    <mergeCell ref="BN1550:BV1550"/>
    <mergeCell ref="B1551:C1551"/>
    <mergeCell ref="D1551:E1551"/>
    <mergeCell ref="F1551:G1551"/>
    <mergeCell ref="H1551:I1551"/>
    <mergeCell ref="L1551:M1551"/>
    <mergeCell ref="P1551:Q1551"/>
    <mergeCell ref="R1551:S1551"/>
    <mergeCell ref="T1551:U1551"/>
    <mergeCell ref="V1551:W1551"/>
    <mergeCell ref="X1551:AA1551"/>
    <mergeCell ref="AB1551:AE1551"/>
    <mergeCell ref="AJ1551:AK1551"/>
    <mergeCell ref="AL1551:AM1551"/>
    <mergeCell ref="AN1551:AO1551"/>
    <mergeCell ref="AP1551:AQ1551"/>
    <mergeCell ref="AR1551:AS1551"/>
    <mergeCell ref="AT1551:AU1551"/>
    <mergeCell ref="AX1551:AZ1551"/>
    <mergeCell ref="AT1549:AU1549"/>
    <mergeCell ref="AX1549:AZ1549"/>
    <mergeCell ref="BA1549:BB1549"/>
    <mergeCell ref="BD1549:BE1549"/>
    <mergeCell ref="BF1549:BI1549"/>
    <mergeCell ref="BJ1549:BM1549"/>
    <mergeCell ref="BN1549:BV1549"/>
    <mergeCell ref="B1550:C1550"/>
    <mergeCell ref="D1550:E1550"/>
    <mergeCell ref="F1550:G1550"/>
    <mergeCell ref="H1550:I1550"/>
    <mergeCell ref="L1550:M1550"/>
    <mergeCell ref="P1550:Q1550"/>
    <mergeCell ref="R1550:S1550"/>
    <mergeCell ref="T1550:U1550"/>
    <mergeCell ref="V1550:W1550"/>
    <mergeCell ref="X1550:AA1550"/>
    <mergeCell ref="AB1550:AE1550"/>
    <mergeCell ref="AJ1550:AK1550"/>
    <mergeCell ref="AL1550:AM1550"/>
    <mergeCell ref="AN1550:AO1550"/>
    <mergeCell ref="AP1550:AQ1550"/>
    <mergeCell ref="AR1550:AS1550"/>
    <mergeCell ref="AT1550:AU1550"/>
    <mergeCell ref="AF1550:AG1550"/>
    <mergeCell ref="AF1551:AG1551"/>
    <mergeCell ref="AH1549:AI1549"/>
    <mergeCell ref="AH1550:AI1550"/>
    <mergeCell ref="AV1550:AW1550"/>
    <mergeCell ref="AV1549:AW1549"/>
    <mergeCell ref="BD1552:BE1552"/>
    <mergeCell ref="BF1552:BI1552"/>
    <mergeCell ref="BJ1552:BM1552"/>
    <mergeCell ref="BN1552:BV1552"/>
    <mergeCell ref="B1553:C1553"/>
    <mergeCell ref="D1553:E1553"/>
    <mergeCell ref="F1553:G1553"/>
    <mergeCell ref="H1553:I1553"/>
    <mergeCell ref="L1553:M1553"/>
    <mergeCell ref="P1553:Q1553"/>
    <mergeCell ref="R1553:S1553"/>
    <mergeCell ref="T1553:U1553"/>
    <mergeCell ref="V1553:W1553"/>
    <mergeCell ref="X1553:AA1553"/>
    <mergeCell ref="AB1553:AE1553"/>
    <mergeCell ref="AJ1553:AK1553"/>
    <mergeCell ref="AL1553:AM1553"/>
    <mergeCell ref="AN1553:AO1553"/>
    <mergeCell ref="AP1553:AQ1553"/>
    <mergeCell ref="AR1553:AS1553"/>
    <mergeCell ref="AT1553:AU1553"/>
    <mergeCell ref="AX1553:AZ1553"/>
    <mergeCell ref="BA1553:BB1553"/>
    <mergeCell ref="BD1553:BE1553"/>
    <mergeCell ref="BA1551:BB1551"/>
    <mergeCell ref="BD1551:BE1551"/>
    <mergeCell ref="BF1551:BI1551"/>
    <mergeCell ref="BJ1551:BM1551"/>
    <mergeCell ref="BN1551:BV1551"/>
    <mergeCell ref="B1552:C1552"/>
    <mergeCell ref="D1552:E1552"/>
    <mergeCell ref="F1552:G1552"/>
    <mergeCell ref="H1552:I1552"/>
    <mergeCell ref="L1552:M1552"/>
    <mergeCell ref="P1552:Q1552"/>
    <mergeCell ref="R1552:S1552"/>
    <mergeCell ref="T1552:U1552"/>
    <mergeCell ref="V1552:W1552"/>
    <mergeCell ref="X1552:AA1552"/>
    <mergeCell ref="AB1552:AE1552"/>
    <mergeCell ref="AJ1552:AK1552"/>
    <mergeCell ref="AL1552:AM1552"/>
    <mergeCell ref="AN1552:AO1552"/>
    <mergeCell ref="AP1552:AQ1552"/>
    <mergeCell ref="AR1552:AS1552"/>
    <mergeCell ref="AT1552:AU1552"/>
    <mergeCell ref="AX1552:AZ1552"/>
    <mergeCell ref="BA1552:BB1552"/>
    <mergeCell ref="AF1552:AG1552"/>
    <mergeCell ref="AF1553:AG1553"/>
    <mergeCell ref="AH1551:AI1551"/>
    <mergeCell ref="AH1552:AI1552"/>
    <mergeCell ref="AV1552:AW1552"/>
    <mergeCell ref="AV1551:AW1551"/>
    <mergeCell ref="BJ1554:BM1554"/>
    <mergeCell ref="BN1554:BV1554"/>
    <mergeCell ref="B1555:C1555"/>
    <mergeCell ref="D1555:E1555"/>
    <mergeCell ref="F1555:G1555"/>
    <mergeCell ref="H1555:I1555"/>
    <mergeCell ref="L1555:M1555"/>
    <mergeCell ref="P1555:Q1555"/>
    <mergeCell ref="R1555:S1555"/>
    <mergeCell ref="T1555:U1555"/>
    <mergeCell ref="V1555:W1555"/>
    <mergeCell ref="X1555:AA1555"/>
    <mergeCell ref="AB1555:AE1555"/>
    <mergeCell ref="AJ1555:AK1555"/>
    <mergeCell ref="AL1555:AM1555"/>
    <mergeCell ref="AN1555:AO1555"/>
    <mergeCell ref="AP1555:AQ1555"/>
    <mergeCell ref="AR1555:AS1555"/>
    <mergeCell ref="AT1555:AU1555"/>
    <mergeCell ref="AX1555:AZ1555"/>
    <mergeCell ref="BA1555:BB1555"/>
    <mergeCell ref="BD1555:BE1555"/>
    <mergeCell ref="BF1555:BI1555"/>
    <mergeCell ref="BJ1555:BM1555"/>
    <mergeCell ref="BF1553:BI1553"/>
    <mergeCell ref="BJ1553:BM1553"/>
    <mergeCell ref="BN1553:BV1553"/>
    <mergeCell ref="B1554:C1554"/>
    <mergeCell ref="D1554:E1554"/>
    <mergeCell ref="F1554:G1554"/>
    <mergeCell ref="H1554:I1554"/>
    <mergeCell ref="L1554:M1554"/>
    <mergeCell ref="P1554:Q1554"/>
    <mergeCell ref="R1554:S1554"/>
    <mergeCell ref="T1554:U1554"/>
    <mergeCell ref="V1554:W1554"/>
    <mergeCell ref="X1554:AA1554"/>
    <mergeCell ref="AB1554:AE1554"/>
    <mergeCell ref="AJ1554:AK1554"/>
    <mergeCell ref="AL1554:AM1554"/>
    <mergeCell ref="AN1554:AO1554"/>
    <mergeCell ref="AP1554:AQ1554"/>
    <mergeCell ref="AR1554:AS1554"/>
    <mergeCell ref="AT1554:AU1554"/>
    <mergeCell ref="AX1554:AZ1554"/>
    <mergeCell ref="BA1554:BB1554"/>
    <mergeCell ref="BD1554:BE1554"/>
    <mergeCell ref="BF1554:BI1554"/>
    <mergeCell ref="AF1554:AG1554"/>
    <mergeCell ref="AF1555:AG1555"/>
    <mergeCell ref="AH1553:AI1553"/>
    <mergeCell ref="AH1554:AI1554"/>
    <mergeCell ref="AV1554:AW1554"/>
    <mergeCell ref="AV1553:AW1553"/>
    <mergeCell ref="BN1556:BV1556"/>
    <mergeCell ref="B1557:C1557"/>
    <mergeCell ref="D1557:E1557"/>
    <mergeCell ref="F1557:G1557"/>
    <mergeCell ref="H1557:I1557"/>
    <mergeCell ref="L1557:M1557"/>
    <mergeCell ref="P1557:Q1557"/>
    <mergeCell ref="R1557:S1557"/>
    <mergeCell ref="T1557:U1557"/>
    <mergeCell ref="V1557:W1557"/>
    <mergeCell ref="X1557:AA1557"/>
    <mergeCell ref="AB1557:AE1557"/>
    <mergeCell ref="AJ1557:AK1557"/>
    <mergeCell ref="AL1557:AM1557"/>
    <mergeCell ref="AN1557:AO1557"/>
    <mergeCell ref="AP1557:AQ1557"/>
    <mergeCell ref="AR1557:AS1557"/>
    <mergeCell ref="AT1557:AU1557"/>
    <mergeCell ref="AX1557:AZ1557"/>
    <mergeCell ref="BA1557:BB1557"/>
    <mergeCell ref="BD1557:BE1557"/>
    <mergeCell ref="BF1557:BI1557"/>
    <mergeCell ref="BJ1557:BM1557"/>
    <mergeCell ref="BN1555:BV1555"/>
    <mergeCell ref="B1556:C1556"/>
    <mergeCell ref="D1556:E1556"/>
    <mergeCell ref="F1556:G1556"/>
    <mergeCell ref="H1556:I1556"/>
    <mergeCell ref="L1556:M1556"/>
    <mergeCell ref="P1556:Q1556"/>
    <mergeCell ref="R1556:S1556"/>
    <mergeCell ref="T1556:U1556"/>
    <mergeCell ref="V1556:W1556"/>
    <mergeCell ref="X1556:AA1556"/>
    <mergeCell ref="AB1556:AE1556"/>
    <mergeCell ref="AJ1556:AK1556"/>
    <mergeCell ref="AL1556:AM1556"/>
    <mergeCell ref="AN1556:AO1556"/>
    <mergeCell ref="AP1556:AQ1556"/>
    <mergeCell ref="AR1556:AS1556"/>
    <mergeCell ref="AT1556:AU1556"/>
    <mergeCell ref="AX1556:AZ1556"/>
    <mergeCell ref="BA1556:BB1556"/>
    <mergeCell ref="BD1556:BE1556"/>
    <mergeCell ref="BF1556:BI1556"/>
    <mergeCell ref="BJ1556:BM1556"/>
    <mergeCell ref="AF1556:AG1556"/>
    <mergeCell ref="AF1557:AG1557"/>
    <mergeCell ref="AH1555:AI1555"/>
    <mergeCell ref="AH1556:AI1556"/>
    <mergeCell ref="AV1556:AW1556"/>
    <mergeCell ref="AV1555:AW1555"/>
    <mergeCell ref="BN1558:BV1558"/>
    <mergeCell ref="B1559:C1559"/>
    <mergeCell ref="D1559:E1559"/>
    <mergeCell ref="F1559:G1559"/>
    <mergeCell ref="H1559:I1559"/>
    <mergeCell ref="L1559:M1559"/>
    <mergeCell ref="P1559:Q1559"/>
    <mergeCell ref="R1559:S1559"/>
    <mergeCell ref="T1559:U1559"/>
    <mergeCell ref="V1559:W1559"/>
    <mergeCell ref="X1559:AA1559"/>
    <mergeCell ref="AB1559:AE1559"/>
    <mergeCell ref="AJ1559:AK1559"/>
    <mergeCell ref="AL1559:AM1559"/>
    <mergeCell ref="AN1559:AO1559"/>
    <mergeCell ref="AP1559:AQ1559"/>
    <mergeCell ref="AR1559:AS1559"/>
    <mergeCell ref="AT1559:AU1559"/>
    <mergeCell ref="AX1559:AZ1559"/>
    <mergeCell ref="BA1559:BB1559"/>
    <mergeCell ref="BD1559:BE1559"/>
    <mergeCell ref="BF1559:BI1559"/>
    <mergeCell ref="BJ1559:BM1559"/>
    <mergeCell ref="BN1559:BV1559"/>
    <mergeCell ref="BN1557:BV1557"/>
    <mergeCell ref="B1558:C1558"/>
    <mergeCell ref="D1558:E1558"/>
    <mergeCell ref="F1558:G1558"/>
    <mergeCell ref="H1558:I1558"/>
    <mergeCell ref="L1558:M1558"/>
    <mergeCell ref="P1558:Q1558"/>
    <mergeCell ref="R1558:S1558"/>
    <mergeCell ref="T1558:U1558"/>
    <mergeCell ref="V1558:W1558"/>
    <mergeCell ref="X1558:AA1558"/>
    <mergeCell ref="AB1558:AE1558"/>
    <mergeCell ref="AJ1558:AK1558"/>
    <mergeCell ref="AL1558:AM1558"/>
    <mergeCell ref="AN1558:AO1558"/>
    <mergeCell ref="AP1558:AQ1558"/>
    <mergeCell ref="AR1558:AS1558"/>
    <mergeCell ref="AT1558:AU1558"/>
    <mergeCell ref="AX1558:AZ1558"/>
    <mergeCell ref="BA1558:BB1558"/>
    <mergeCell ref="BD1558:BE1558"/>
    <mergeCell ref="BF1558:BI1558"/>
    <mergeCell ref="BJ1558:BM1558"/>
    <mergeCell ref="AV1558:AW1558"/>
    <mergeCell ref="AV1559:AW1559"/>
    <mergeCell ref="AF1558:AG1558"/>
    <mergeCell ref="AF1559:AG1559"/>
    <mergeCell ref="AH1557:AI1557"/>
    <mergeCell ref="AH1558:AI1558"/>
    <mergeCell ref="AH1559:AI1559"/>
    <mergeCell ref="AV1557:AW1557"/>
    <mergeCell ref="AN1561:AO1561"/>
    <mergeCell ref="AP1561:AQ1561"/>
    <mergeCell ref="AR1561:AS1561"/>
    <mergeCell ref="AT1561:AU1561"/>
    <mergeCell ref="AX1561:AZ1561"/>
    <mergeCell ref="BA1561:BB1561"/>
    <mergeCell ref="BD1561:BE1561"/>
    <mergeCell ref="BF1561:BI1561"/>
    <mergeCell ref="BJ1561:BM1561"/>
    <mergeCell ref="BN1561:BV1561"/>
    <mergeCell ref="B1562:C1562"/>
    <mergeCell ref="D1562:E1562"/>
    <mergeCell ref="F1562:G1562"/>
    <mergeCell ref="H1562:I1562"/>
    <mergeCell ref="L1562:M1562"/>
    <mergeCell ref="P1562:Q1562"/>
    <mergeCell ref="R1562:S1562"/>
    <mergeCell ref="T1562:U1562"/>
    <mergeCell ref="V1562:W1562"/>
    <mergeCell ref="X1562:AA1562"/>
    <mergeCell ref="AB1562:AE1562"/>
    <mergeCell ref="AJ1562:AK1562"/>
    <mergeCell ref="AL1562:AM1562"/>
    <mergeCell ref="AN1562:AO1562"/>
    <mergeCell ref="AL1560:AM1560"/>
    <mergeCell ref="AN1560:AO1560"/>
    <mergeCell ref="AP1560:AQ1560"/>
    <mergeCell ref="AR1560:AS1560"/>
    <mergeCell ref="AT1560:AU1560"/>
    <mergeCell ref="AX1560:AZ1560"/>
    <mergeCell ref="BA1560:BB1560"/>
    <mergeCell ref="BD1560:BE1560"/>
    <mergeCell ref="BF1560:BI1560"/>
    <mergeCell ref="BJ1560:BM1560"/>
    <mergeCell ref="BN1560:BV1560"/>
    <mergeCell ref="B1561:C1561"/>
    <mergeCell ref="D1561:E1561"/>
    <mergeCell ref="F1561:G1561"/>
    <mergeCell ref="H1561:I1561"/>
    <mergeCell ref="L1561:M1561"/>
    <mergeCell ref="P1561:Q1561"/>
    <mergeCell ref="R1561:S1561"/>
    <mergeCell ref="T1561:U1561"/>
    <mergeCell ref="V1561:W1561"/>
    <mergeCell ref="X1561:AA1561"/>
    <mergeCell ref="AB1561:AE1561"/>
    <mergeCell ref="AJ1561:AK1561"/>
    <mergeCell ref="AL1561:AM1561"/>
    <mergeCell ref="B1560:C1560"/>
    <mergeCell ref="D1560:E1560"/>
    <mergeCell ref="F1560:G1560"/>
    <mergeCell ref="H1560:I1560"/>
    <mergeCell ref="L1560:M1560"/>
    <mergeCell ref="P1560:Q1560"/>
    <mergeCell ref="R1560:S1560"/>
    <mergeCell ref="T1560:U1560"/>
    <mergeCell ref="V1560:W1560"/>
    <mergeCell ref="X1560:AA1560"/>
    <mergeCell ref="AB1560:AE1560"/>
    <mergeCell ref="AJ1560:AK1560"/>
    <mergeCell ref="AV1560:AW1560"/>
    <mergeCell ref="AV1561:AW1561"/>
    <mergeCell ref="AV1562:AW1562"/>
    <mergeCell ref="AF1560:AG1560"/>
    <mergeCell ref="AR1563:AS1563"/>
    <mergeCell ref="AT1563:AU1563"/>
    <mergeCell ref="AX1563:AZ1563"/>
    <mergeCell ref="BA1563:BB1563"/>
    <mergeCell ref="BD1563:BE1563"/>
    <mergeCell ref="BF1563:BI1563"/>
    <mergeCell ref="BJ1563:BM1563"/>
    <mergeCell ref="BN1563:BV1563"/>
    <mergeCell ref="B1564:C1564"/>
    <mergeCell ref="D1564:E1564"/>
    <mergeCell ref="F1564:G1564"/>
    <mergeCell ref="H1564:I1564"/>
    <mergeCell ref="L1564:M1564"/>
    <mergeCell ref="P1564:Q1564"/>
    <mergeCell ref="R1564:S1564"/>
    <mergeCell ref="T1564:U1564"/>
    <mergeCell ref="V1564:W1564"/>
    <mergeCell ref="X1564:AA1564"/>
    <mergeCell ref="AB1564:AE1564"/>
    <mergeCell ref="AJ1564:AK1564"/>
    <mergeCell ref="AL1564:AM1564"/>
    <mergeCell ref="AN1564:AO1564"/>
    <mergeCell ref="AP1564:AQ1564"/>
    <mergeCell ref="AR1564:AS1564"/>
    <mergeCell ref="AP1562:AQ1562"/>
    <mergeCell ref="AR1562:AS1562"/>
    <mergeCell ref="AT1562:AU1562"/>
    <mergeCell ref="AX1562:AZ1562"/>
    <mergeCell ref="BA1562:BB1562"/>
    <mergeCell ref="BD1562:BE1562"/>
    <mergeCell ref="BF1562:BI1562"/>
    <mergeCell ref="BJ1562:BM1562"/>
    <mergeCell ref="BN1562:BV1562"/>
    <mergeCell ref="B1563:C1563"/>
    <mergeCell ref="D1563:E1563"/>
    <mergeCell ref="F1563:G1563"/>
    <mergeCell ref="H1563:I1563"/>
    <mergeCell ref="L1563:M1563"/>
    <mergeCell ref="P1563:Q1563"/>
    <mergeCell ref="R1563:S1563"/>
    <mergeCell ref="T1563:U1563"/>
    <mergeCell ref="V1563:W1563"/>
    <mergeCell ref="X1563:AA1563"/>
    <mergeCell ref="AB1563:AE1563"/>
    <mergeCell ref="AJ1563:AK1563"/>
    <mergeCell ref="AL1563:AM1563"/>
    <mergeCell ref="AN1563:AO1563"/>
    <mergeCell ref="AP1563:AQ1563"/>
    <mergeCell ref="AV1563:AW1563"/>
    <mergeCell ref="AV1564:AW1564"/>
    <mergeCell ref="AX1565:AZ1565"/>
    <mergeCell ref="BA1565:BB1565"/>
    <mergeCell ref="BD1565:BE1565"/>
    <mergeCell ref="BF1565:BI1565"/>
    <mergeCell ref="BJ1565:BM1565"/>
    <mergeCell ref="BN1565:BV1565"/>
    <mergeCell ref="B1566:C1566"/>
    <mergeCell ref="D1566:E1566"/>
    <mergeCell ref="F1566:G1566"/>
    <mergeCell ref="H1566:I1566"/>
    <mergeCell ref="L1566:M1566"/>
    <mergeCell ref="P1566:Q1566"/>
    <mergeCell ref="R1566:S1566"/>
    <mergeCell ref="T1566:U1566"/>
    <mergeCell ref="V1566:W1566"/>
    <mergeCell ref="X1566:AA1566"/>
    <mergeCell ref="AB1566:AE1566"/>
    <mergeCell ref="AJ1566:AK1566"/>
    <mergeCell ref="AL1566:AM1566"/>
    <mergeCell ref="AN1566:AO1566"/>
    <mergeCell ref="AP1566:AQ1566"/>
    <mergeCell ref="AR1566:AS1566"/>
    <mergeCell ref="AT1566:AU1566"/>
    <mergeCell ref="AX1566:AZ1566"/>
    <mergeCell ref="AT1564:AU1564"/>
    <mergeCell ref="AX1564:AZ1564"/>
    <mergeCell ref="BA1564:BB1564"/>
    <mergeCell ref="BD1564:BE1564"/>
    <mergeCell ref="BF1564:BI1564"/>
    <mergeCell ref="BJ1564:BM1564"/>
    <mergeCell ref="BN1564:BV1564"/>
    <mergeCell ref="B1565:C1565"/>
    <mergeCell ref="D1565:E1565"/>
    <mergeCell ref="F1565:G1565"/>
    <mergeCell ref="H1565:I1565"/>
    <mergeCell ref="L1565:M1565"/>
    <mergeCell ref="P1565:Q1565"/>
    <mergeCell ref="R1565:S1565"/>
    <mergeCell ref="T1565:U1565"/>
    <mergeCell ref="V1565:W1565"/>
    <mergeCell ref="X1565:AA1565"/>
    <mergeCell ref="AB1565:AE1565"/>
    <mergeCell ref="AJ1565:AK1565"/>
    <mergeCell ref="AL1565:AM1565"/>
    <mergeCell ref="AN1565:AO1565"/>
    <mergeCell ref="AP1565:AQ1565"/>
    <mergeCell ref="AR1565:AS1565"/>
    <mergeCell ref="AT1565:AU1565"/>
    <mergeCell ref="AV1565:AW1565"/>
    <mergeCell ref="AV1566:AW1566"/>
    <mergeCell ref="BD1567:BE1567"/>
    <mergeCell ref="BF1567:BI1567"/>
    <mergeCell ref="BJ1567:BM1567"/>
    <mergeCell ref="BN1567:BV1567"/>
    <mergeCell ref="B1568:C1568"/>
    <mergeCell ref="D1568:E1568"/>
    <mergeCell ref="F1568:G1568"/>
    <mergeCell ref="H1568:I1568"/>
    <mergeCell ref="L1568:M1568"/>
    <mergeCell ref="P1568:Q1568"/>
    <mergeCell ref="R1568:S1568"/>
    <mergeCell ref="T1568:U1568"/>
    <mergeCell ref="V1568:W1568"/>
    <mergeCell ref="X1568:AA1568"/>
    <mergeCell ref="AB1568:AE1568"/>
    <mergeCell ref="AJ1568:AK1568"/>
    <mergeCell ref="AL1568:AM1568"/>
    <mergeCell ref="AN1568:AO1568"/>
    <mergeCell ref="AP1568:AQ1568"/>
    <mergeCell ref="AR1568:AS1568"/>
    <mergeCell ref="AT1568:AU1568"/>
    <mergeCell ref="AX1568:AZ1568"/>
    <mergeCell ref="BA1568:BB1568"/>
    <mergeCell ref="BD1568:BE1568"/>
    <mergeCell ref="BA1566:BB1566"/>
    <mergeCell ref="BD1566:BE1566"/>
    <mergeCell ref="BF1566:BI1566"/>
    <mergeCell ref="BJ1566:BM1566"/>
    <mergeCell ref="BN1566:BV1566"/>
    <mergeCell ref="B1567:C1567"/>
    <mergeCell ref="D1567:E1567"/>
    <mergeCell ref="F1567:G1567"/>
    <mergeCell ref="H1567:I1567"/>
    <mergeCell ref="L1567:M1567"/>
    <mergeCell ref="P1567:Q1567"/>
    <mergeCell ref="R1567:S1567"/>
    <mergeCell ref="T1567:U1567"/>
    <mergeCell ref="V1567:W1567"/>
    <mergeCell ref="X1567:AA1567"/>
    <mergeCell ref="AB1567:AE1567"/>
    <mergeCell ref="AJ1567:AK1567"/>
    <mergeCell ref="AL1567:AM1567"/>
    <mergeCell ref="AN1567:AO1567"/>
    <mergeCell ref="AP1567:AQ1567"/>
    <mergeCell ref="AR1567:AS1567"/>
    <mergeCell ref="AT1567:AU1567"/>
    <mergeCell ref="AX1567:AZ1567"/>
    <mergeCell ref="BA1567:BB1567"/>
    <mergeCell ref="AV1567:AW1567"/>
    <mergeCell ref="AV1568:AW1568"/>
    <mergeCell ref="BJ1569:BM1569"/>
    <mergeCell ref="BN1569:BV1569"/>
    <mergeCell ref="B1570:C1570"/>
    <mergeCell ref="D1570:E1570"/>
    <mergeCell ref="F1570:G1570"/>
    <mergeCell ref="H1570:I1570"/>
    <mergeCell ref="L1570:M1570"/>
    <mergeCell ref="P1570:Q1570"/>
    <mergeCell ref="R1570:S1570"/>
    <mergeCell ref="T1570:U1570"/>
    <mergeCell ref="V1570:W1570"/>
    <mergeCell ref="X1570:AA1570"/>
    <mergeCell ref="AB1570:AE1570"/>
    <mergeCell ref="AJ1570:AK1570"/>
    <mergeCell ref="AL1570:AM1570"/>
    <mergeCell ref="AN1570:AO1570"/>
    <mergeCell ref="AP1570:AQ1570"/>
    <mergeCell ref="AR1570:AS1570"/>
    <mergeCell ref="AT1570:AU1570"/>
    <mergeCell ref="AX1570:AZ1570"/>
    <mergeCell ref="BA1570:BB1570"/>
    <mergeCell ref="BD1570:BE1570"/>
    <mergeCell ref="BF1570:BI1570"/>
    <mergeCell ref="BJ1570:BM1570"/>
    <mergeCell ref="BF1568:BI1568"/>
    <mergeCell ref="BJ1568:BM1568"/>
    <mergeCell ref="BN1568:BV1568"/>
    <mergeCell ref="B1569:C1569"/>
    <mergeCell ref="D1569:E1569"/>
    <mergeCell ref="F1569:G1569"/>
    <mergeCell ref="H1569:I1569"/>
    <mergeCell ref="L1569:M1569"/>
    <mergeCell ref="P1569:Q1569"/>
    <mergeCell ref="R1569:S1569"/>
    <mergeCell ref="T1569:U1569"/>
    <mergeCell ref="V1569:W1569"/>
    <mergeCell ref="X1569:AA1569"/>
    <mergeCell ref="AB1569:AE1569"/>
    <mergeCell ref="AJ1569:AK1569"/>
    <mergeCell ref="AL1569:AM1569"/>
    <mergeCell ref="AN1569:AO1569"/>
    <mergeCell ref="AP1569:AQ1569"/>
    <mergeCell ref="AR1569:AS1569"/>
    <mergeCell ref="AT1569:AU1569"/>
    <mergeCell ref="AX1569:AZ1569"/>
    <mergeCell ref="BA1569:BB1569"/>
    <mergeCell ref="BD1569:BE1569"/>
    <mergeCell ref="BF1569:BI1569"/>
    <mergeCell ref="AV1569:AW1569"/>
    <mergeCell ref="AV1570:AW1570"/>
    <mergeCell ref="BN1571:BV1571"/>
    <mergeCell ref="B1572:C1572"/>
    <mergeCell ref="D1572:E1572"/>
    <mergeCell ref="F1572:G1572"/>
    <mergeCell ref="H1572:I1572"/>
    <mergeCell ref="L1572:M1572"/>
    <mergeCell ref="P1572:Q1572"/>
    <mergeCell ref="R1572:S1572"/>
    <mergeCell ref="T1572:U1572"/>
    <mergeCell ref="V1572:W1572"/>
    <mergeCell ref="X1572:AA1572"/>
    <mergeCell ref="AB1572:AE1572"/>
    <mergeCell ref="AJ1572:AK1572"/>
    <mergeCell ref="AL1572:AM1572"/>
    <mergeCell ref="AN1572:AO1572"/>
    <mergeCell ref="AP1572:AQ1572"/>
    <mergeCell ref="AR1572:AS1572"/>
    <mergeCell ref="AT1572:AU1572"/>
    <mergeCell ref="AX1572:AZ1572"/>
    <mergeCell ref="BA1572:BB1572"/>
    <mergeCell ref="BD1572:BE1572"/>
    <mergeCell ref="BF1572:BI1572"/>
    <mergeCell ref="BJ1572:BM1572"/>
    <mergeCell ref="BN1570:BV1570"/>
    <mergeCell ref="B1571:C1571"/>
    <mergeCell ref="D1571:E1571"/>
    <mergeCell ref="F1571:G1571"/>
    <mergeCell ref="H1571:I1571"/>
    <mergeCell ref="L1571:M1571"/>
    <mergeCell ref="P1571:Q1571"/>
    <mergeCell ref="R1571:S1571"/>
    <mergeCell ref="T1571:U1571"/>
    <mergeCell ref="V1571:W1571"/>
    <mergeCell ref="X1571:AA1571"/>
    <mergeCell ref="AB1571:AE1571"/>
    <mergeCell ref="AJ1571:AK1571"/>
    <mergeCell ref="AL1571:AM1571"/>
    <mergeCell ref="AN1571:AO1571"/>
    <mergeCell ref="AP1571:AQ1571"/>
    <mergeCell ref="AR1571:AS1571"/>
    <mergeCell ref="AT1571:AU1571"/>
    <mergeCell ref="AX1571:AZ1571"/>
    <mergeCell ref="BA1571:BB1571"/>
    <mergeCell ref="BD1571:BE1571"/>
    <mergeCell ref="BF1571:BI1571"/>
    <mergeCell ref="BJ1571:BM1571"/>
    <mergeCell ref="AV1571:AW1571"/>
    <mergeCell ref="AV1572:AW1572"/>
    <mergeCell ref="BN1573:BV1573"/>
    <mergeCell ref="B1574:C1574"/>
    <mergeCell ref="D1574:E1574"/>
    <mergeCell ref="F1574:G1574"/>
    <mergeCell ref="H1574:I1574"/>
    <mergeCell ref="L1574:M1574"/>
    <mergeCell ref="P1574:Q1574"/>
    <mergeCell ref="R1574:S1574"/>
    <mergeCell ref="T1574:U1574"/>
    <mergeCell ref="V1574:W1574"/>
    <mergeCell ref="X1574:AA1574"/>
    <mergeCell ref="AB1574:AE1574"/>
    <mergeCell ref="AJ1574:AK1574"/>
    <mergeCell ref="AL1574:AM1574"/>
    <mergeCell ref="AN1574:AO1574"/>
    <mergeCell ref="AP1574:AQ1574"/>
    <mergeCell ref="AR1574:AS1574"/>
    <mergeCell ref="AT1574:AU1574"/>
    <mergeCell ref="AX1574:AZ1574"/>
    <mergeCell ref="BA1574:BB1574"/>
    <mergeCell ref="BD1574:BE1574"/>
    <mergeCell ref="BF1574:BI1574"/>
    <mergeCell ref="BJ1574:BM1574"/>
    <mergeCell ref="BN1574:BV1574"/>
    <mergeCell ref="BN1572:BV1572"/>
    <mergeCell ref="B1573:C1573"/>
    <mergeCell ref="D1573:E1573"/>
    <mergeCell ref="F1573:G1573"/>
    <mergeCell ref="H1573:I1573"/>
    <mergeCell ref="L1573:M1573"/>
    <mergeCell ref="P1573:Q1573"/>
    <mergeCell ref="R1573:S1573"/>
    <mergeCell ref="T1573:U1573"/>
    <mergeCell ref="V1573:W1573"/>
    <mergeCell ref="X1573:AA1573"/>
    <mergeCell ref="AB1573:AE1573"/>
    <mergeCell ref="AJ1573:AK1573"/>
    <mergeCell ref="AL1573:AM1573"/>
    <mergeCell ref="AN1573:AO1573"/>
    <mergeCell ref="AP1573:AQ1573"/>
    <mergeCell ref="AR1573:AS1573"/>
    <mergeCell ref="AT1573:AU1573"/>
    <mergeCell ref="AX1573:AZ1573"/>
    <mergeCell ref="BA1573:BB1573"/>
    <mergeCell ref="BD1573:BE1573"/>
    <mergeCell ref="BF1573:BI1573"/>
    <mergeCell ref="BJ1573:BM1573"/>
    <mergeCell ref="AV1574:AW1574"/>
    <mergeCell ref="AV1573:AW1573"/>
    <mergeCell ref="AN1576:AO1576"/>
    <mergeCell ref="AP1576:AQ1576"/>
    <mergeCell ref="AR1576:AS1576"/>
    <mergeCell ref="AT1576:AU1576"/>
    <mergeCell ref="AX1576:AZ1576"/>
    <mergeCell ref="BA1576:BB1576"/>
    <mergeCell ref="BD1576:BE1576"/>
    <mergeCell ref="BF1576:BI1576"/>
    <mergeCell ref="BJ1576:BM1576"/>
    <mergeCell ref="BN1576:BV1576"/>
    <mergeCell ref="B1577:C1577"/>
    <mergeCell ref="D1577:E1577"/>
    <mergeCell ref="F1577:G1577"/>
    <mergeCell ref="H1577:I1577"/>
    <mergeCell ref="L1577:M1577"/>
    <mergeCell ref="P1577:Q1577"/>
    <mergeCell ref="R1577:S1577"/>
    <mergeCell ref="T1577:U1577"/>
    <mergeCell ref="V1577:W1577"/>
    <mergeCell ref="X1577:AA1577"/>
    <mergeCell ref="AB1577:AE1577"/>
    <mergeCell ref="AJ1577:AK1577"/>
    <mergeCell ref="AL1577:AM1577"/>
    <mergeCell ref="AN1577:AO1577"/>
    <mergeCell ref="AL1575:AM1575"/>
    <mergeCell ref="AN1575:AO1575"/>
    <mergeCell ref="AP1575:AQ1575"/>
    <mergeCell ref="AR1575:AS1575"/>
    <mergeCell ref="AT1575:AU1575"/>
    <mergeCell ref="AX1575:AZ1575"/>
    <mergeCell ref="BA1575:BB1575"/>
    <mergeCell ref="BD1575:BE1575"/>
    <mergeCell ref="BF1575:BI1575"/>
    <mergeCell ref="BJ1575:BM1575"/>
    <mergeCell ref="BN1575:BV1575"/>
    <mergeCell ref="B1576:C1576"/>
    <mergeCell ref="D1576:E1576"/>
    <mergeCell ref="F1576:G1576"/>
    <mergeCell ref="H1576:I1576"/>
    <mergeCell ref="L1576:M1576"/>
    <mergeCell ref="P1576:Q1576"/>
    <mergeCell ref="R1576:S1576"/>
    <mergeCell ref="T1576:U1576"/>
    <mergeCell ref="V1576:W1576"/>
    <mergeCell ref="X1576:AA1576"/>
    <mergeCell ref="AB1576:AE1576"/>
    <mergeCell ref="AJ1576:AK1576"/>
    <mergeCell ref="AL1576:AM1576"/>
    <mergeCell ref="B1575:C1575"/>
    <mergeCell ref="D1575:E1575"/>
    <mergeCell ref="F1575:G1575"/>
    <mergeCell ref="H1575:I1575"/>
    <mergeCell ref="L1575:M1575"/>
    <mergeCell ref="P1575:Q1575"/>
    <mergeCell ref="R1575:S1575"/>
    <mergeCell ref="T1575:U1575"/>
    <mergeCell ref="V1575:W1575"/>
    <mergeCell ref="X1575:AA1575"/>
    <mergeCell ref="AB1575:AE1575"/>
    <mergeCell ref="AJ1575:AK1575"/>
    <mergeCell ref="AV1576:AW1576"/>
    <mergeCell ref="AV1575:AW1575"/>
    <mergeCell ref="AR1578:AS1578"/>
    <mergeCell ref="AT1578:AU1578"/>
    <mergeCell ref="AX1578:AZ1578"/>
    <mergeCell ref="BA1578:BB1578"/>
    <mergeCell ref="BD1578:BE1578"/>
    <mergeCell ref="BF1578:BI1578"/>
    <mergeCell ref="BJ1578:BM1578"/>
    <mergeCell ref="BN1578:BV1578"/>
    <mergeCell ref="B1579:C1579"/>
    <mergeCell ref="D1579:E1579"/>
    <mergeCell ref="F1579:G1579"/>
    <mergeCell ref="H1579:I1579"/>
    <mergeCell ref="L1579:M1579"/>
    <mergeCell ref="P1579:Q1579"/>
    <mergeCell ref="R1579:S1579"/>
    <mergeCell ref="T1579:U1579"/>
    <mergeCell ref="V1579:W1579"/>
    <mergeCell ref="X1579:AA1579"/>
    <mergeCell ref="AB1579:AE1579"/>
    <mergeCell ref="AJ1579:AK1579"/>
    <mergeCell ref="AL1579:AM1579"/>
    <mergeCell ref="AN1579:AO1579"/>
    <mergeCell ref="AP1579:AQ1579"/>
    <mergeCell ref="AR1579:AS1579"/>
    <mergeCell ref="AP1577:AQ1577"/>
    <mergeCell ref="AR1577:AS1577"/>
    <mergeCell ref="AT1577:AU1577"/>
    <mergeCell ref="AX1577:AZ1577"/>
    <mergeCell ref="BA1577:BB1577"/>
    <mergeCell ref="BD1577:BE1577"/>
    <mergeCell ref="BF1577:BI1577"/>
    <mergeCell ref="BJ1577:BM1577"/>
    <mergeCell ref="BN1577:BV1577"/>
    <mergeCell ref="B1578:C1578"/>
    <mergeCell ref="D1578:E1578"/>
    <mergeCell ref="F1578:G1578"/>
    <mergeCell ref="H1578:I1578"/>
    <mergeCell ref="L1578:M1578"/>
    <mergeCell ref="P1578:Q1578"/>
    <mergeCell ref="R1578:S1578"/>
    <mergeCell ref="T1578:U1578"/>
    <mergeCell ref="V1578:W1578"/>
    <mergeCell ref="X1578:AA1578"/>
    <mergeCell ref="AB1578:AE1578"/>
    <mergeCell ref="AJ1578:AK1578"/>
    <mergeCell ref="AL1578:AM1578"/>
    <mergeCell ref="AN1578:AO1578"/>
    <mergeCell ref="AP1578:AQ1578"/>
    <mergeCell ref="AV1578:AW1578"/>
    <mergeCell ref="AV1577:AW1577"/>
    <mergeCell ref="J1578:K1578"/>
    <mergeCell ref="AX1580:AZ1580"/>
    <mergeCell ref="BA1580:BB1580"/>
    <mergeCell ref="BD1580:BE1580"/>
    <mergeCell ref="BF1580:BI1580"/>
    <mergeCell ref="BJ1580:BM1580"/>
    <mergeCell ref="BN1580:BV1580"/>
    <mergeCell ref="B1581:C1581"/>
    <mergeCell ref="D1581:E1581"/>
    <mergeCell ref="F1581:G1581"/>
    <mergeCell ref="H1581:I1581"/>
    <mergeCell ref="L1581:M1581"/>
    <mergeCell ref="P1581:Q1581"/>
    <mergeCell ref="R1581:S1581"/>
    <mergeCell ref="T1581:U1581"/>
    <mergeCell ref="V1581:W1581"/>
    <mergeCell ref="X1581:AA1581"/>
    <mergeCell ref="AB1581:AE1581"/>
    <mergeCell ref="AJ1581:AK1581"/>
    <mergeCell ref="AL1581:AM1581"/>
    <mergeCell ref="AN1581:AO1581"/>
    <mergeCell ref="AP1581:AQ1581"/>
    <mergeCell ref="AR1581:AS1581"/>
    <mergeCell ref="AT1581:AU1581"/>
    <mergeCell ref="AX1581:AZ1581"/>
    <mergeCell ref="AT1579:AU1579"/>
    <mergeCell ref="AX1579:AZ1579"/>
    <mergeCell ref="BA1579:BB1579"/>
    <mergeCell ref="BD1579:BE1579"/>
    <mergeCell ref="BF1579:BI1579"/>
    <mergeCell ref="BJ1579:BM1579"/>
    <mergeCell ref="BN1579:BV1579"/>
    <mergeCell ref="B1580:C1580"/>
    <mergeCell ref="D1580:E1580"/>
    <mergeCell ref="F1580:G1580"/>
    <mergeCell ref="H1580:I1580"/>
    <mergeCell ref="L1580:M1580"/>
    <mergeCell ref="P1580:Q1580"/>
    <mergeCell ref="R1580:S1580"/>
    <mergeCell ref="T1580:U1580"/>
    <mergeCell ref="V1580:W1580"/>
    <mergeCell ref="X1580:AA1580"/>
    <mergeCell ref="AB1580:AE1580"/>
    <mergeCell ref="AJ1580:AK1580"/>
    <mergeCell ref="AL1580:AM1580"/>
    <mergeCell ref="AN1580:AO1580"/>
    <mergeCell ref="AP1580:AQ1580"/>
    <mergeCell ref="AR1580:AS1580"/>
    <mergeCell ref="AT1580:AU1580"/>
    <mergeCell ref="AV1580:AW1580"/>
    <mergeCell ref="AV1579:AW1579"/>
    <mergeCell ref="J1579:K1579"/>
    <mergeCell ref="J1580:K1580"/>
    <mergeCell ref="BD1582:BE1582"/>
    <mergeCell ref="BF1582:BI1582"/>
    <mergeCell ref="BJ1582:BM1582"/>
    <mergeCell ref="BN1582:BV1582"/>
    <mergeCell ref="B1583:C1583"/>
    <mergeCell ref="D1583:E1583"/>
    <mergeCell ref="F1583:G1583"/>
    <mergeCell ref="H1583:I1583"/>
    <mergeCell ref="L1583:M1583"/>
    <mergeCell ref="P1583:Q1583"/>
    <mergeCell ref="R1583:S1583"/>
    <mergeCell ref="T1583:U1583"/>
    <mergeCell ref="V1583:W1583"/>
    <mergeCell ref="X1583:AA1583"/>
    <mergeCell ref="AB1583:AE1583"/>
    <mergeCell ref="AJ1583:AK1583"/>
    <mergeCell ref="AL1583:AM1583"/>
    <mergeCell ref="AN1583:AO1583"/>
    <mergeCell ref="AP1583:AQ1583"/>
    <mergeCell ref="AR1583:AS1583"/>
    <mergeCell ref="AT1583:AU1583"/>
    <mergeCell ref="AX1583:AZ1583"/>
    <mergeCell ref="BA1583:BB1583"/>
    <mergeCell ref="BD1583:BE1583"/>
    <mergeCell ref="BA1581:BB1581"/>
    <mergeCell ref="BD1581:BE1581"/>
    <mergeCell ref="BF1581:BI1581"/>
    <mergeCell ref="BJ1581:BM1581"/>
    <mergeCell ref="BN1581:BV1581"/>
    <mergeCell ref="B1582:C1582"/>
    <mergeCell ref="D1582:E1582"/>
    <mergeCell ref="F1582:G1582"/>
    <mergeCell ref="H1582:I1582"/>
    <mergeCell ref="L1582:M1582"/>
    <mergeCell ref="P1582:Q1582"/>
    <mergeCell ref="R1582:S1582"/>
    <mergeCell ref="T1582:U1582"/>
    <mergeCell ref="V1582:W1582"/>
    <mergeCell ref="X1582:AA1582"/>
    <mergeCell ref="AB1582:AE1582"/>
    <mergeCell ref="AJ1582:AK1582"/>
    <mergeCell ref="AL1582:AM1582"/>
    <mergeCell ref="AN1582:AO1582"/>
    <mergeCell ref="AP1582:AQ1582"/>
    <mergeCell ref="AR1582:AS1582"/>
    <mergeCell ref="AT1582:AU1582"/>
    <mergeCell ref="AX1582:AZ1582"/>
    <mergeCell ref="BA1582:BB1582"/>
    <mergeCell ref="AV1582:AW1582"/>
    <mergeCell ref="AV1581:AW1581"/>
    <mergeCell ref="J1581:K1581"/>
    <mergeCell ref="J1582:K1582"/>
    <mergeCell ref="BJ1584:BM1584"/>
    <mergeCell ref="BN1584:BV1584"/>
    <mergeCell ref="B1585:C1585"/>
    <mergeCell ref="D1585:E1585"/>
    <mergeCell ref="F1585:G1585"/>
    <mergeCell ref="H1585:I1585"/>
    <mergeCell ref="L1585:M1585"/>
    <mergeCell ref="P1585:Q1585"/>
    <mergeCell ref="R1585:S1585"/>
    <mergeCell ref="T1585:U1585"/>
    <mergeCell ref="V1585:W1585"/>
    <mergeCell ref="X1585:AA1585"/>
    <mergeCell ref="AB1585:AE1585"/>
    <mergeCell ref="AJ1585:AK1585"/>
    <mergeCell ref="AL1585:AM1585"/>
    <mergeCell ref="AN1585:AO1585"/>
    <mergeCell ref="AP1585:AQ1585"/>
    <mergeCell ref="AR1585:AS1585"/>
    <mergeCell ref="AT1585:AU1585"/>
    <mergeCell ref="AX1585:AZ1585"/>
    <mergeCell ref="BA1585:BB1585"/>
    <mergeCell ref="BD1585:BE1585"/>
    <mergeCell ref="BF1585:BI1585"/>
    <mergeCell ref="BJ1585:BM1585"/>
    <mergeCell ref="BF1583:BI1583"/>
    <mergeCell ref="BJ1583:BM1583"/>
    <mergeCell ref="BN1583:BV1583"/>
    <mergeCell ref="B1584:C1584"/>
    <mergeCell ref="D1584:E1584"/>
    <mergeCell ref="F1584:G1584"/>
    <mergeCell ref="H1584:I1584"/>
    <mergeCell ref="L1584:M1584"/>
    <mergeCell ref="P1584:Q1584"/>
    <mergeCell ref="R1584:S1584"/>
    <mergeCell ref="T1584:U1584"/>
    <mergeCell ref="V1584:W1584"/>
    <mergeCell ref="X1584:AA1584"/>
    <mergeCell ref="AB1584:AE1584"/>
    <mergeCell ref="AJ1584:AK1584"/>
    <mergeCell ref="AL1584:AM1584"/>
    <mergeCell ref="AN1584:AO1584"/>
    <mergeCell ref="AP1584:AQ1584"/>
    <mergeCell ref="AR1584:AS1584"/>
    <mergeCell ref="AT1584:AU1584"/>
    <mergeCell ref="AX1584:AZ1584"/>
    <mergeCell ref="BA1584:BB1584"/>
    <mergeCell ref="BD1584:BE1584"/>
    <mergeCell ref="BF1584:BI1584"/>
    <mergeCell ref="AV1584:AW1584"/>
    <mergeCell ref="AV1583:AW1583"/>
    <mergeCell ref="J1583:K1583"/>
    <mergeCell ref="J1584:K1584"/>
    <mergeCell ref="BN1586:BV1586"/>
    <mergeCell ref="B1587:C1587"/>
    <mergeCell ref="D1587:E1587"/>
    <mergeCell ref="F1587:G1587"/>
    <mergeCell ref="H1587:I1587"/>
    <mergeCell ref="L1587:M1587"/>
    <mergeCell ref="P1587:Q1587"/>
    <mergeCell ref="R1587:S1587"/>
    <mergeCell ref="T1587:U1587"/>
    <mergeCell ref="V1587:W1587"/>
    <mergeCell ref="X1587:AA1587"/>
    <mergeCell ref="AB1587:AE1587"/>
    <mergeCell ref="AJ1587:AK1587"/>
    <mergeCell ref="AL1587:AM1587"/>
    <mergeCell ref="AN1587:AO1587"/>
    <mergeCell ref="AP1587:AQ1587"/>
    <mergeCell ref="AR1587:AS1587"/>
    <mergeCell ref="AT1587:AU1587"/>
    <mergeCell ref="AX1587:AZ1587"/>
    <mergeCell ref="BA1587:BB1587"/>
    <mergeCell ref="BD1587:BE1587"/>
    <mergeCell ref="BF1587:BI1587"/>
    <mergeCell ref="BJ1587:BM1587"/>
    <mergeCell ref="BN1585:BV1585"/>
    <mergeCell ref="B1586:C1586"/>
    <mergeCell ref="D1586:E1586"/>
    <mergeCell ref="F1586:G1586"/>
    <mergeCell ref="H1586:I1586"/>
    <mergeCell ref="L1586:M1586"/>
    <mergeCell ref="P1586:Q1586"/>
    <mergeCell ref="R1586:S1586"/>
    <mergeCell ref="T1586:U1586"/>
    <mergeCell ref="V1586:W1586"/>
    <mergeCell ref="X1586:AA1586"/>
    <mergeCell ref="AB1586:AE1586"/>
    <mergeCell ref="AJ1586:AK1586"/>
    <mergeCell ref="AL1586:AM1586"/>
    <mergeCell ref="AN1586:AO1586"/>
    <mergeCell ref="AP1586:AQ1586"/>
    <mergeCell ref="AR1586:AS1586"/>
    <mergeCell ref="AT1586:AU1586"/>
    <mergeCell ref="AX1586:AZ1586"/>
    <mergeCell ref="BA1586:BB1586"/>
    <mergeCell ref="BD1586:BE1586"/>
    <mergeCell ref="BF1586:BI1586"/>
    <mergeCell ref="BJ1586:BM1586"/>
    <mergeCell ref="AV1586:AW1586"/>
    <mergeCell ref="AV1585:AW1585"/>
    <mergeCell ref="J1585:K1585"/>
    <mergeCell ref="J1586:K1586"/>
    <mergeCell ref="BN1588:BV1588"/>
    <mergeCell ref="B1589:C1589"/>
    <mergeCell ref="D1589:E1589"/>
    <mergeCell ref="F1589:G1589"/>
    <mergeCell ref="H1589:I1589"/>
    <mergeCell ref="L1589:M1589"/>
    <mergeCell ref="P1589:Q1589"/>
    <mergeCell ref="R1589:S1589"/>
    <mergeCell ref="T1589:U1589"/>
    <mergeCell ref="V1589:W1589"/>
    <mergeCell ref="X1589:AA1589"/>
    <mergeCell ref="AB1589:AE1589"/>
    <mergeCell ref="AJ1589:AK1589"/>
    <mergeCell ref="AL1589:AM1589"/>
    <mergeCell ref="AN1589:AO1589"/>
    <mergeCell ref="AP1589:AQ1589"/>
    <mergeCell ref="AR1589:AS1589"/>
    <mergeCell ref="AT1589:AU1589"/>
    <mergeCell ref="AX1589:AZ1589"/>
    <mergeCell ref="BA1589:BB1589"/>
    <mergeCell ref="BD1589:BE1589"/>
    <mergeCell ref="BF1589:BI1589"/>
    <mergeCell ref="BJ1589:BM1589"/>
    <mergeCell ref="BN1589:BV1589"/>
    <mergeCell ref="BN1587:BV1587"/>
    <mergeCell ref="B1588:C1588"/>
    <mergeCell ref="D1588:E1588"/>
    <mergeCell ref="F1588:G1588"/>
    <mergeCell ref="H1588:I1588"/>
    <mergeCell ref="L1588:M1588"/>
    <mergeCell ref="P1588:Q1588"/>
    <mergeCell ref="R1588:S1588"/>
    <mergeCell ref="T1588:U1588"/>
    <mergeCell ref="V1588:W1588"/>
    <mergeCell ref="X1588:AA1588"/>
    <mergeCell ref="AB1588:AE1588"/>
    <mergeCell ref="AJ1588:AK1588"/>
    <mergeCell ref="AL1588:AM1588"/>
    <mergeCell ref="AN1588:AO1588"/>
    <mergeCell ref="AP1588:AQ1588"/>
    <mergeCell ref="AR1588:AS1588"/>
    <mergeCell ref="AT1588:AU1588"/>
    <mergeCell ref="AX1588:AZ1588"/>
    <mergeCell ref="BA1588:BB1588"/>
    <mergeCell ref="BD1588:BE1588"/>
    <mergeCell ref="BF1588:BI1588"/>
    <mergeCell ref="BJ1588:BM1588"/>
    <mergeCell ref="AV1589:AW1589"/>
    <mergeCell ref="AV1588:AW1588"/>
    <mergeCell ref="AV1587:AW1587"/>
    <mergeCell ref="J1587:K1587"/>
    <mergeCell ref="J1588:K1588"/>
    <mergeCell ref="J1589:K1589"/>
    <mergeCell ref="AN1591:AO1591"/>
    <mergeCell ref="AP1591:AQ1591"/>
    <mergeCell ref="AR1591:AS1591"/>
    <mergeCell ref="AT1591:AU1591"/>
    <mergeCell ref="AX1591:AZ1591"/>
    <mergeCell ref="BA1591:BB1591"/>
    <mergeCell ref="BD1591:BE1591"/>
    <mergeCell ref="BF1591:BI1591"/>
    <mergeCell ref="BJ1591:BM1591"/>
    <mergeCell ref="BN1591:BV1591"/>
    <mergeCell ref="B1592:C1592"/>
    <mergeCell ref="D1592:E1592"/>
    <mergeCell ref="F1592:G1592"/>
    <mergeCell ref="H1592:I1592"/>
    <mergeCell ref="L1592:M1592"/>
    <mergeCell ref="P1592:Q1592"/>
    <mergeCell ref="R1592:S1592"/>
    <mergeCell ref="T1592:U1592"/>
    <mergeCell ref="V1592:W1592"/>
    <mergeCell ref="X1592:AA1592"/>
    <mergeCell ref="AB1592:AE1592"/>
    <mergeCell ref="AJ1592:AK1592"/>
    <mergeCell ref="AL1592:AM1592"/>
    <mergeCell ref="AN1592:AO1592"/>
    <mergeCell ref="AL1590:AM1590"/>
    <mergeCell ref="AN1590:AO1590"/>
    <mergeCell ref="AP1590:AQ1590"/>
    <mergeCell ref="AR1590:AS1590"/>
    <mergeCell ref="AT1590:AU1590"/>
    <mergeCell ref="AX1590:AZ1590"/>
    <mergeCell ref="BA1590:BB1590"/>
    <mergeCell ref="BD1590:BE1590"/>
    <mergeCell ref="BF1590:BI1590"/>
    <mergeCell ref="BJ1590:BM1590"/>
    <mergeCell ref="BN1590:BV1590"/>
    <mergeCell ref="B1591:C1591"/>
    <mergeCell ref="D1591:E1591"/>
    <mergeCell ref="F1591:G1591"/>
    <mergeCell ref="H1591:I1591"/>
    <mergeCell ref="L1591:M1591"/>
    <mergeCell ref="P1591:Q1591"/>
    <mergeCell ref="R1591:S1591"/>
    <mergeCell ref="T1591:U1591"/>
    <mergeCell ref="V1591:W1591"/>
    <mergeCell ref="X1591:AA1591"/>
    <mergeCell ref="AB1591:AE1591"/>
    <mergeCell ref="AJ1591:AK1591"/>
    <mergeCell ref="AL1591:AM1591"/>
    <mergeCell ref="B1590:C1590"/>
    <mergeCell ref="D1590:E1590"/>
    <mergeCell ref="F1590:G1590"/>
    <mergeCell ref="H1590:I1590"/>
    <mergeCell ref="L1590:M1590"/>
    <mergeCell ref="P1590:Q1590"/>
    <mergeCell ref="R1590:S1590"/>
    <mergeCell ref="T1590:U1590"/>
    <mergeCell ref="V1590:W1590"/>
    <mergeCell ref="X1590:AA1590"/>
    <mergeCell ref="AB1590:AE1590"/>
    <mergeCell ref="AJ1590:AK1590"/>
    <mergeCell ref="AV1591:AW1591"/>
    <mergeCell ref="AV1590:AW1590"/>
    <mergeCell ref="J1590:K1590"/>
    <mergeCell ref="J1591:K1591"/>
    <mergeCell ref="AR1593:AS1593"/>
    <mergeCell ref="AT1593:AU1593"/>
    <mergeCell ref="AX1593:AZ1593"/>
    <mergeCell ref="BA1593:BB1593"/>
    <mergeCell ref="BD1593:BE1593"/>
    <mergeCell ref="BF1593:BI1593"/>
    <mergeCell ref="BJ1593:BM1593"/>
    <mergeCell ref="BN1593:BV1593"/>
    <mergeCell ref="B1594:C1594"/>
    <mergeCell ref="D1594:E1594"/>
    <mergeCell ref="F1594:G1594"/>
    <mergeCell ref="H1594:I1594"/>
    <mergeCell ref="L1594:M1594"/>
    <mergeCell ref="P1594:Q1594"/>
    <mergeCell ref="R1594:S1594"/>
    <mergeCell ref="T1594:U1594"/>
    <mergeCell ref="V1594:W1594"/>
    <mergeCell ref="X1594:AA1594"/>
    <mergeCell ref="AB1594:AE1594"/>
    <mergeCell ref="AJ1594:AK1594"/>
    <mergeCell ref="AL1594:AM1594"/>
    <mergeCell ref="AN1594:AO1594"/>
    <mergeCell ref="AP1594:AQ1594"/>
    <mergeCell ref="AR1594:AS1594"/>
    <mergeCell ref="AP1592:AQ1592"/>
    <mergeCell ref="AR1592:AS1592"/>
    <mergeCell ref="AT1592:AU1592"/>
    <mergeCell ref="AX1592:AZ1592"/>
    <mergeCell ref="BA1592:BB1592"/>
    <mergeCell ref="BD1592:BE1592"/>
    <mergeCell ref="BF1592:BI1592"/>
    <mergeCell ref="BJ1592:BM1592"/>
    <mergeCell ref="BN1592:BV1592"/>
    <mergeCell ref="B1593:C1593"/>
    <mergeCell ref="D1593:E1593"/>
    <mergeCell ref="F1593:G1593"/>
    <mergeCell ref="H1593:I1593"/>
    <mergeCell ref="L1593:M1593"/>
    <mergeCell ref="P1593:Q1593"/>
    <mergeCell ref="R1593:S1593"/>
    <mergeCell ref="T1593:U1593"/>
    <mergeCell ref="V1593:W1593"/>
    <mergeCell ref="X1593:AA1593"/>
    <mergeCell ref="AB1593:AE1593"/>
    <mergeCell ref="AJ1593:AK1593"/>
    <mergeCell ref="AL1593:AM1593"/>
    <mergeCell ref="AN1593:AO1593"/>
    <mergeCell ref="AP1593:AQ1593"/>
    <mergeCell ref="AF1594:AG1594"/>
    <mergeCell ref="AH1593:AI1593"/>
    <mergeCell ref="AV1593:AW1593"/>
    <mergeCell ref="AV1592:AW1592"/>
    <mergeCell ref="J1592:K1592"/>
    <mergeCell ref="J1593:K1593"/>
    <mergeCell ref="AX1595:AZ1595"/>
    <mergeCell ref="BA1595:BB1595"/>
    <mergeCell ref="BD1595:BE1595"/>
    <mergeCell ref="BF1595:BI1595"/>
    <mergeCell ref="BJ1595:BM1595"/>
    <mergeCell ref="BN1595:BV1595"/>
    <mergeCell ref="B1596:C1596"/>
    <mergeCell ref="D1596:E1596"/>
    <mergeCell ref="F1596:G1596"/>
    <mergeCell ref="H1596:I1596"/>
    <mergeCell ref="L1596:M1596"/>
    <mergeCell ref="P1596:Q1596"/>
    <mergeCell ref="R1596:S1596"/>
    <mergeCell ref="T1596:U1596"/>
    <mergeCell ref="V1596:W1596"/>
    <mergeCell ref="X1596:AA1596"/>
    <mergeCell ref="AB1596:AE1596"/>
    <mergeCell ref="AJ1596:AK1596"/>
    <mergeCell ref="AL1596:AM1596"/>
    <mergeCell ref="AN1596:AO1596"/>
    <mergeCell ref="AP1596:AQ1596"/>
    <mergeCell ref="AR1596:AS1596"/>
    <mergeCell ref="AT1596:AU1596"/>
    <mergeCell ref="AX1596:AZ1596"/>
    <mergeCell ref="AT1594:AU1594"/>
    <mergeCell ref="AX1594:AZ1594"/>
    <mergeCell ref="BA1594:BB1594"/>
    <mergeCell ref="BD1594:BE1594"/>
    <mergeCell ref="BF1594:BI1594"/>
    <mergeCell ref="BJ1594:BM1594"/>
    <mergeCell ref="BN1594:BV1594"/>
    <mergeCell ref="B1595:C1595"/>
    <mergeCell ref="D1595:E1595"/>
    <mergeCell ref="F1595:G1595"/>
    <mergeCell ref="H1595:I1595"/>
    <mergeCell ref="L1595:M1595"/>
    <mergeCell ref="P1595:Q1595"/>
    <mergeCell ref="R1595:S1595"/>
    <mergeCell ref="T1595:U1595"/>
    <mergeCell ref="V1595:W1595"/>
    <mergeCell ref="X1595:AA1595"/>
    <mergeCell ref="AB1595:AE1595"/>
    <mergeCell ref="AJ1595:AK1595"/>
    <mergeCell ref="AL1595:AM1595"/>
    <mergeCell ref="AN1595:AO1595"/>
    <mergeCell ref="AP1595:AQ1595"/>
    <mergeCell ref="AR1595:AS1595"/>
    <mergeCell ref="AT1595:AU1595"/>
    <mergeCell ref="AF1595:AG1595"/>
    <mergeCell ref="AF1596:AG1596"/>
    <mergeCell ref="AH1594:AI1594"/>
    <mergeCell ref="AH1595:AI1595"/>
    <mergeCell ref="AV1595:AW1595"/>
    <mergeCell ref="AV1594:AW1594"/>
    <mergeCell ref="J1594:K1594"/>
    <mergeCell ref="J1595:K1595"/>
    <mergeCell ref="BD1597:BE1597"/>
    <mergeCell ref="BF1597:BI1597"/>
    <mergeCell ref="BJ1597:BM1597"/>
    <mergeCell ref="BN1597:BV1597"/>
    <mergeCell ref="B1598:C1598"/>
    <mergeCell ref="D1598:E1598"/>
    <mergeCell ref="F1598:G1598"/>
    <mergeCell ref="H1598:I1598"/>
    <mergeCell ref="L1598:M1598"/>
    <mergeCell ref="P1598:Q1598"/>
    <mergeCell ref="R1598:S1598"/>
    <mergeCell ref="T1598:U1598"/>
    <mergeCell ref="V1598:W1598"/>
    <mergeCell ref="X1598:AA1598"/>
    <mergeCell ref="AB1598:AE1598"/>
    <mergeCell ref="AJ1598:AK1598"/>
    <mergeCell ref="AL1598:AM1598"/>
    <mergeCell ref="AN1598:AO1598"/>
    <mergeCell ref="AP1598:AQ1598"/>
    <mergeCell ref="AR1598:AS1598"/>
    <mergeCell ref="AT1598:AU1598"/>
    <mergeCell ref="AX1598:AZ1598"/>
    <mergeCell ref="BA1598:BB1598"/>
    <mergeCell ref="BD1598:BE1598"/>
    <mergeCell ref="BA1596:BB1596"/>
    <mergeCell ref="BD1596:BE1596"/>
    <mergeCell ref="BF1596:BI1596"/>
    <mergeCell ref="BJ1596:BM1596"/>
    <mergeCell ref="BN1596:BV1596"/>
    <mergeCell ref="B1597:C1597"/>
    <mergeCell ref="D1597:E1597"/>
    <mergeCell ref="F1597:G1597"/>
    <mergeCell ref="H1597:I1597"/>
    <mergeCell ref="L1597:M1597"/>
    <mergeCell ref="P1597:Q1597"/>
    <mergeCell ref="R1597:S1597"/>
    <mergeCell ref="T1597:U1597"/>
    <mergeCell ref="V1597:W1597"/>
    <mergeCell ref="X1597:AA1597"/>
    <mergeCell ref="AB1597:AE1597"/>
    <mergeCell ref="AJ1597:AK1597"/>
    <mergeCell ref="AL1597:AM1597"/>
    <mergeCell ref="AN1597:AO1597"/>
    <mergeCell ref="AP1597:AQ1597"/>
    <mergeCell ref="AR1597:AS1597"/>
    <mergeCell ref="AT1597:AU1597"/>
    <mergeCell ref="AX1597:AZ1597"/>
    <mergeCell ref="BA1597:BB1597"/>
    <mergeCell ref="AF1597:AG1597"/>
    <mergeCell ref="AF1598:AG1598"/>
    <mergeCell ref="AH1596:AI1596"/>
    <mergeCell ref="AH1597:AI1597"/>
    <mergeCell ref="AV1597:AW1597"/>
    <mergeCell ref="AV1596:AW1596"/>
    <mergeCell ref="J1596:K1596"/>
    <mergeCell ref="J1597:K1597"/>
    <mergeCell ref="BJ1599:BM1599"/>
    <mergeCell ref="BN1599:BV1599"/>
    <mergeCell ref="B1600:C1600"/>
    <mergeCell ref="D1600:E1600"/>
    <mergeCell ref="F1600:G1600"/>
    <mergeCell ref="H1600:I1600"/>
    <mergeCell ref="L1600:M1600"/>
    <mergeCell ref="P1600:Q1600"/>
    <mergeCell ref="R1600:S1600"/>
    <mergeCell ref="T1600:U1600"/>
    <mergeCell ref="V1600:W1600"/>
    <mergeCell ref="X1600:AA1600"/>
    <mergeCell ref="AB1600:AE1600"/>
    <mergeCell ref="AJ1600:AK1600"/>
    <mergeCell ref="AL1600:AM1600"/>
    <mergeCell ref="AN1600:AO1600"/>
    <mergeCell ref="AP1600:AQ1600"/>
    <mergeCell ref="AR1600:AS1600"/>
    <mergeCell ref="AT1600:AU1600"/>
    <mergeCell ref="AX1600:AZ1600"/>
    <mergeCell ref="BA1600:BB1600"/>
    <mergeCell ref="BD1600:BE1600"/>
    <mergeCell ref="BF1600:BI1600"/>
    <mergeCell ref="BJ1600:BM1600"/>
    <mergeCell ref="BF1598:BI1598"/>
    <mergeCell ref="BJ1598:BM1598"/>
    <mergeCell ref="BN1598:BV1598"/>
    <mergeCell ref="B1599:C1599"/>
    <mergeCell ref="D1599:E1599"/>
    <mergeCell ref="F1599:G1599"/>
    <mergeCell ref="H1599:I1599"/>
    <mergeCell ref="L1599:M1599"/>
    <mergeCell ref="P1599:Q1599"/>
    <mergeCell ref="R1599:S1599"/>
    <mergeCell ref="T1599:U1599"/>
    <mergeCell ref="V1599:W1599"/>
    <mergeCell ref="X1599:AA1599"/>
    <mergeCell ref="AB1599:AE1599"/>
    <mergeCell ref="AJ1599:AK1599"/>
    <mergeCell ref="AL1599:AM1599"/>
    <mergeCell ref="AN1599:AO1599"/>
    <mergeCell ref="AP1599:AQ1599"/>
    <mergeCell ref="AR1599:AS1599"/>
    <mergeCell ref="AT1599:AU1599"/>
    <mergeCell ref="AX1599:AZ1599"/>
    <mergeCell ref="BA1599:BB1599"/>
    <mergeCell ref="BD1599:BE1599"/>
    <mergeCell ref="BF1599:BI1599"/>
    <mergeCell ref="AV1599:AW1599"/>
    <mergeCell ref="AV1600:AW1600"/>
    <mergeCell ref="AF1599:AG1599"/>
    <mergeCell ref="AF1600:AG1600"/>
    <mergeCell ref="AH1598:AI1598"/>
    <mergeCell ref="AH1599:AI1599"/>
    <mergeCell ref="AV1598:AW1598"/>
    <mergeCell ref="J1598:K1598"/>
    <mergeCell ref="J1599:K1599"/>
    <mergeCell ref="BN1601:BV1601"/>
    <mergeCell ref="B1602:C1602"/>
    <mergeCell ref="D1602:E1602"/>
    <mergeCell ref="F1602:G1602"/>
    <mergeCell ref="H1602:I1602"/>
    <mergeCell ref="L1602:M1602"/>
    <mergeCell ref="P1602:Q1602"/>
    <mergeCell ref="R1602:S1602"/>
    <mergeCell ref="T1602:U1602"/>
    <mergeCell ref="V1602:W1602"/>
    <mergeCell ref="X1602:AA1602"/>
    <mergeCell ref="AB1602:AE1602"/>
    <mergeCell ref="AJ1602:AK1602"/>
    <mergeCell ref="AL1602:AM1602"/>
    <mergeCell ref="AN1602:AO1602"/>
    <mergeCell ref="AP1602:AQ1602"/>
    <mergeCell ref="AR1602:AS1602"/>
    <mergeCell ref="AT1602:AU1602"/>
    <mergeCell ref="AX1602:AZ1602"/>
    <mergeCell ref="BA1602:BB1602"/>
    <mergeCell ref="BD1602:BE1602"/>
    <mergeCell ref="BF1602:BI1602"/>
    <mergeCell ref="BJ1602:BM1602"/>
    <mergeCell ref="BN1600:BV1600"/>
    <mergeCell ref="B1601:C1601"/>
    <mergeCell ref="D1601:E1601"/>
    <mergeCell ref="F1601:G1601"/>
    <mergeCell ref="H1601:I1601"/>
    <mergeCell ref="L1601:M1601"/>
    <mergeCell ref="P1601:Q1601"/>
    <mergeCell ref="R1601:S1601"/>
    <mergeCell ref="T1601:U1601"/>
    <mergeCell ref="V1601:W1601"/>
    <mergeCell ref="X1601:AA1601"/>
    <mergeCell ref="AB1601:AE1601"/>
    <mergeCell ref="AJ1601:AK1601"/>
    <mergeCell ref="AL1601:AM1601"/>
    <mergeCell ref="AN1601:AO1601"/>
    <mergeCell ref="AP1601:AQ1601"/>
    <mergeCell ref="AR1601:AS1601"/>
    <mergeCell ref="AT1601:AU1601"/>
    <mergeCell ref="AX1601:AZ1601"/>
    <mergeCell ref="BA1601:BB1601"/>
    <mergeCell ref="BD1601:BE1601"/>
    <mergeCell ref="BF1601:BI1601"/>
    <mergeCell ref="BJ1601:BM1601"/>
    <mergeCell ref="AV1601:AW1601"/>
    <mergeCell ref="AV1602:AW1602"/>
    <mergeCell ref="AF1601:AG1601"/>
    <mergeCell ref="AF1602:AG1602"/>
    <mergeCell ref="AH1600:AI1600"/>
    <mergeCell ref="AH1601:AI1601"/>
    <mergeCell ref="J1600:K1600"/>
    <mergeCell ref="J1601:K1601"/>
    <mergeCell ref="BN1603:BV1603"/>
    <mergeCell ref="B1604:C1604"/>
    <mergeCell ref="D1604:E1604"/>
    <mergeCell ref="F1604:G1604"/>
    <mergeCell ref="H1604:I1604"/>
    <mergeCell ref="L1604:M1604"/>
    <mergeCell ref="P1604:Q1604"/>
    <mergeCell ref="R1604:S1604"/>
    <mergeCell ref="T1604:U1604"/>
    <mergeCell ref="V1604:W1604"/>
    <mergeCell ref="X1604:AA1604"/>
    <mergeCell ref="AB1604:AE1604"/>
    <mergeCell ref="AJ1604:AK1604"/>
    <mergeCell ref="AL1604:AM1604"/>
    <mergeCell ref="AN1604:AO1604"/>
    <mergeCell ref="AP1604:AQ1604"/>
    <mergeCell ref="AR1604:AS1604"/>
    <mergeCell ref="AT1604:AU1604"/>
    <mergeCell ref="AX1604:AZ1604"/>
    <mergeCell ref="BA1604:BB1604"/>
    <mergeCell ref="BD1604:BE1604"/>
    <mergeCell ref="BF1604:BI1604"/>
    <mergeCell ref="BJ1604:BM1604"/>
    <mergeCell ref="BN1604:BV1604"/>
    <mergeCell ref="BN1602:BV1602"/>
    <mergeCell ref="B1603:C1603"/>
    <mergeCell ref="D1603:E1603"/>
    <mergeCell ref="F1603:G1603"/>
    <mergeCell ref="H1603:I1603"/>
    <mergeCell ref="L1603:M1603"/>
    <mergeCell ref="P1603:Q1603"/>
    <mergeCell ref="R1603:S1603"/>
    <mergeCell ref="T1603:U1603"/>
    <mergeCell ref="V1603:W1603"/>
    <mergeCell ref="X1603:AA1603"/>
    <mergeCell ref="AB1603:AE1603"/>
    <mergeCell ref="AJ1603:AK1603"/>
    <mergeCell ref="AL1603:AM1603"/>
    <mergeCell ref="AN1603:AO1603"/>
    <mergeCell ref="AP1603:AQ1603"/>
    <mergeCell ref="AR1603:AS1603"/>
    <mergeCell ref="AT1603:AU1603"/>
    <mergeCell ref="AX1603:AZ1603"/>
    <mergeCell ref="BA1603:BB1603"/>
    <mergeCell ref="BD1603:BE1603"/>
    <mergeCell ref="BF1603:BI1603"/>
    <mergeCell ref="BJ1603:BM1603"/>
    <mergeCell ref="AV1603:AW1603"/>
    <mergeCell ref="AV1604:AW1604"/>
    <mergeCell ref="AF1603:AG1603"/>
    <mergeCell ref="AF1604:AG1604"/>
    <mergeCell ref="AH1602:AI1602"/>
    <mergeCell ref="AH1603:AI1603"/>
    <mergeCell ref="AH1604:AI1604"/>
    <mergeCell ref="J1602:K1602"/>
    <mergeCell ref="J1603:K1603"/>
    <mergeCell ref="J1604:K1604"/>
    <mergeCell ref="AN1606:AO1606"/>
    <mergeCell ref="AP1606:AQ1606"/>
    <mergeCell ref="AR1606:AS1606"/>
    <mergeCell ref="AT1606:AU1606"/>
    <mergeCell ref="AX1606:AZ1606"/>
    <mergeCell ref="BA1606:BB1606"/>
    <mergeCell ref="BD1606:BE1606"/>
    <mergeCell ref="BF1606:BI1606"/>
    <mergeCell ref="BJ1606:BM1606"/>
    <mergeCell ref="BN1606:BV1606"/>
    <mergeCell ref="B1607:C1607"/>
    <mergeCell ref="D1607:E1607"/>
    <mergeCell ref="F1607:G1607"/>
    <mergeCell ref="H1607:I1607"/>
    <mergeCell ref="L1607:M1607"/>
    <mergeCell ref="P1607:Q1607"/>
    <mergeCell ref="R1607:S1607"/>
    <mergeCell ref="T1607:U1607"/>
    <mergeCell ref="V1607:W1607"/>
    <mergeCell ref="X1607:AA1607"/>
    <mergeCell ref="AB1607:AE1607"/>
    <mergeCell ref="AJ1607:AK1607"/>
    <mergeCell ref="AL1607:AM1607"/>
    <mergeCell ref="AN1607:AO1607"/>
    <mergeCell ref="AL1605:AM1605"/>
    <mergeCell ref="AN1605:AO1605"/>
    <mergeCell ref="AP1605:AQ1605"/>
    <mergeCell ref="AR1605:AS1605"/>
    <mergeCell ref="AT1605:AU1605"/>
    <mergeCell ref="AX1605:AZ1605"/>
    <mergeCell ref="BA1605:BB1605"/>
    <mergeCell ref="BD1605:BE1605"/>
    <mergeCell ref="BF1605:BI1605"/>
    <mergeCell ref="BJ1605:BM1605"/>
    <mergeCell ref="BN1605:BV1605"/>
    <mergeCell ref="B1606:C1606"/>
    <mergeCell ref="D1606:E1606"/>
    <mergeCell ref="F1606:G1606"/>
    <mergeCell ref="H1606:I1606"/>
    <mergeCell ref="L1606:M1606"/>
    <mergeCell ref="P1606:Q1606"/>
    <mergeCell ref="R1606:S1606"/>
    <mergeCell ref="T1606:U1606"/>
    <mergeCell ref="V1606:W1606"/>
    <mergeCell ref="X1606:AA1606"/>
    <mergeCell ref="AB1606:AE1606"/>
    <mergeCell ref="AJ1606:AK1606"/>
    <mergeCell ref="AL1606:AM1606"/>
    <mergeCell ref="B1605:C1605"/>
    <mergeCell ref="D1605:E1605"/>
    <mergeCell ref="F1605:G1605"/>
    <mergeCell ref="H1605:I1605"/>
    <mergeCell ref="L1605:M1605"/>
    <mergeCell ref="P1605:Q1605"/>
    <mergeCell ref="R1605:S1605"/>
    <mergeCell ref="T1605:U1605"/>
    <mergeCell ref="V1605:W1605"/>
    <mergeCell ref="X1605:AA1605"/>
    <mergeCell ref="AB1605:AE1605"/>
    <mergeCell ref="AJ1605:AK1605"/>
    <mergeCell ref="AV1606:AW1606"/>
    <mergeCell ref="AV1607:AW1607"/>
    <mergeCell ref="AV1605:AW1605"/>
    <mergeCell ref="AF1605:AG1605"/>
    <mergeCell ref="BF1608:BI1608"/>
    <mergeCell ref="BJ1608:BM1608"/>
    <mergeCell ref="BN1608:BV1608"/>
    <mergeCell ref="B1609:C1609"/>
    <mergeCell ref="D1609:E1609"/>
    <mergeCell ref="F1609:G1609"/>
    <mergeCell ref="H1609:I1609"/>
    <mergeCell ref="L1609:M1609"/>
    <mergeCell ref="P1609:Q1609"/>
    <mergeCell ref="R1609:S1609"/>
    <mergeCell ref="T1609:U1609"/>
    <mergeCell ref="V1609:W1609"/>
    <mergeCell ref="X1609:AA1609"/>
    <mergeCell ref="AB1609:AE1609"/>
    <mergeCell ref="AJ1609:AK1609"/>
    <mergeCell ref="AL1609:AM1609"/>
    <mergeCell ref="AN1609:AO1609"/>
    <mergeCell ref="AP1609:AQ1609"/>
    <mergeCell ref="AR1609:AS1609"/>
    <mergeCell ref="AP1607:AQ1607"/>
    <mergeCell ref="AR1607:AS1607"/>
    <mergeCell ref="AT1607:AU1607"/>
    <mergeCell ref="AX1607:AZ1607"/>
    <mergeCell ref="BA1607:BB1607"/>
    <mergeCell ref="BD1607:BE1607"/>
    <mergeCell ref="BF1607:BI1607"/>
    <mergeCell ref="BJ1607:BM1607"/>
    <mergeCell ref="BN1607:BV1607"/>
    <mergeCell ref="B1608:C1608"/>
    <mergeCell ref="D1608:E1608"/>
    <mergeCell ref="F1608:G1608"/>
    <mergeCell ref="H1608:I1608"/>
    <mergeCell ref="L1608:M1608"/>
    <mergeCell ref="P1608:Q1608"/>
    <mergeCell ref="R1608:S1608"/>
    <mergeCell ref="T1608:U1608"/>
    <mergeCell ref="V1608:W1608"/>
    <mergeCell ref="X1608:AA1608"/>
    <mergeCell ref="AB1608:AE1608"/>
    <mergeCell ref="AJ1608:AK1608"/>
    <mergeCell ref="AL1608:AM1608"/>
    <mergeCell ref="AN1608:AO1608"/>
    <mergeCell ref="AP1608:AQ1608"/>
    <mergeCell ref="AV1608:AW1608"/>
    <mergeCell ref="AV1609:AW1609"/>
    <mergeCell ref="AH83:AI83"/>
    <mergeCell ref="AH84:AI84"/>
    <mergeCell ref="AH85:AI85"/>
    <mergeCell ref="AH86:AI86"/>
    <mergeCell ref="AH87:AI87"/>
    <mergeCell ref="AH88:AI88"/>
    <mergeCell ref="AH89:AI89"/>
    <mergeCell ref="AH90:AI90"/>
    <mergeCell ref="AH91:AI91"/>
    <mergeCell ref="AH92:AI92"/>
    <mergeCell ref="AH93:AI93"/>
    <mergeCell ref="AH1:AI1"/>
    <mergeCell ref="AH13:AI13"/>
    <mergeCell ref="AH14:AI14"/>
    <mergeCell ref="AH15:AI15"/>
    <mergeCell ref="AH16:AI16"/>
    <mergeCell ref="AH17:AI17"/>
    <mergeCell ref="AH18:AI18"/>
    <mergeCell ref="AH19:AI19"/>
    <mergeCell ref="AH20:AI20"/>
    <mergeCell ref="AH21:AI21"/>
    <mergeCell ref="AH22:AI22"/>
    <mergeCell ref="AH23:AI23"/>
    <mergeCell ref="AH24:AI24"/>
    <mergeCell ref="AH25:AI25"/>
    <mergeCell ref="AH26:AI26"/>
    <mergeCell ref="AH27:AI27"/>
    <mergeCell ref="AH28:AI28"/>
    <mergeCell ref="AH29:AI29"/>
    <mergeCell ref="AH30:AI30"/>
    <mergeCell ref="AH31:AI31"/>
    <mergeCell ref="AH32:AI32"/>
    <mergeCell ref="AH33:AI33"/>
    <mergeCell ref="AH34:AI34"/>
    <mergeCell ref="AH35:AI35"/>
    <mergeCell ref="AH36:AI36"/>
    <mergeCell ref="AH37:AI37"/>
    <mergeCell ref="AH38:AI38"/>
    <mergeCell ref="AH39:AI39"/>
    <mergeCell ref="AH40:AI40"/>
    <mergeCell ref="AH41:AI41"/>
    <mergeCell ref="AH42:AI42"/>
    <mergeCell ref="AH43:AI43"/>
    <mergeCell ref="AH44:AI44"/>
    <mergeCell ref="AH50:AI50"/>
    <mergeCell ref="AH51:AI51"/>
    <mergeCell ref="AH101:AI101"/>
    <mergeCell ref="AH102:AI102"/>
    <mergeCell ref="AH103:AI103"/>
    <mergeCell ref="AH104:AI104"/>
    <mergeCell ref="AH105:AI105"/>
    <mergeCell ref="AH106:AI106"/>
    <mergeCell ref="AH107:AI107"/>
    <mergeCell ref="AH108:AI108"/>
    <mergeCell ref="AH109:AI109"/>
    <mergeCell ref="AH110:AI110"/>
    <mergeCell ref="AH111:AI111"/>
    <mergeCell ref="AH112:AI112"/>
    <mergeCell ref="AH113:AI113"/>
    <mergeCell ref="AH114:AI114"/>
    <mergeCell ref="AH115:AI115"/>
    <mergeCell ref="AH116:AI116"/>
    <mergeCell ref="AH117:AI117"/>
    <mergeCell ref="AH118:AI118"/>
    <mergeCell ref="AH119:AI119"/>
    <mergeCell ref="AH120:AI120"/>
    <mergeCell ref="AH121:AI121"/>
    <mergeCell ref="AH122:AI122"/>
    <mergeCell ref="AH123:AI123"/>
    <mergeCell ref="AH124:AI124"/>
    <mergeCell ref="AH125:AI125"/>
    <mergeCell ref="AH126:AI126"/>
    <mergeCell ref="AH127:AI127"/>
    <mergeCell ref="AH128:AI128"/>
    <mergeCell ref="AH129:AI129"/>
    <mergeCell ref="AH130:AI130"/>
    <mergeCell ref="AH131:AI131"/>
    <mergeCell ref="AH132:AI132"/>
    <mergeCell ref="AH133:AI133"/>
    <mergeCell ref="AH134:AI134"/>
    <mergeCell ref="AH135:AI135"/>
    <mergeCell ref="AH136:AI136"/>
    <mergeCell ref="AH137:AI137"/>
    <mergeCell ref="AH138:AI138"/>
    <mergeCell ref="AH139:AI139"/>
    <mergeCell ref="AH140:AI140"/>
    <mergeCell ref="AH141:AI141"/>
    <mergeCell ref="AH142:AI142"/>
    <mergeCell ref="AH143:AI143"/>
    <mergeCell ref="AH144:AI144"/>
    <mergeCell ref="AH145:AI145"/>
    <mergeCell ref="AH146:AI146"/>
    <mergeCell ref="AH147:AI147"/>
    <mergeCell ref="AH148:AI148"/>
    <mergeCell ref="AH149:AI149"/>
    <mergeCell ref="AH150:AI150"/>
    <mergeCell ref="AH151:AI151"/>
    <mergeCell ref="AH152:AI152"/>
    <mergeCell ref="AH153:AI153"/>
    <mergeCell ref="AH154:AI154"/>
    <mergeCell ref="AH155:AI155"/>
    <mergeCell ref="AH156:AI156"/>
    <mergeCell ref="AH157:AI157"/>
    <mergeCell ref="AH158:AI158"/>
    <mergeCell ref="AH159:AI159"/>
    <mergeCell ref="AH160:AI160"/>
    <mergeCell ref="AH161:AI161"/>
    <mergeCell ref="AH162:AI162"/>
    <mergeCell ref="AH163:AI163"/>
    <mergeCell ref="AH164:AI164"/>
    <mergeCell ref="AH165:AI165"/>
    <mergeCell ref="AH166:AI166"/>
    <mergeCell ref="AH226:AI226"/>
    <mergeCell ref="AH227:AI227"/>
    <mergeCell ref="AH228:AI228"/>
    <mergeCell ref="AH229:AI229"/>
    <mergeCell ref="AH230:AI230"/>
    <mergeCell ref="AH231:AI231"/>
    <mergeCell ref="AH232:AI232"/>
    <mergeCell ref="AH233:AI233"/>
    <mergeCell ref="AH234:AI234"/>
    <mergeCell ref="AH235:AI235"/>
    <mergeCell ref="AH236:AI236"/>
    <mergeCell ref="AH167:AI167"/>
    <mergeCell ref="AH168:AI168"/>
    <mergeCell ref="AH169:AI169"/>
    <mergeCell ref="AH170:AI170"/>
    <mergeCell ref="AH171:AI171"/>
    <mergeCell ref="AH172:AI172"/>
    <mergeCell ref="AH173:AI173"/>
    <mergeCell ref="AH174:AI174"/>
    <mergeCell ref="AH175:AI175"/>
    <mergeCell ref="AH176:AI176"/>
    <mergeCell ref="AH177:AI177"/>
    <mergeCell ref="AH178:AI178"/>
    <mergeCell ref="AH179:AI179"/>
    <mergeCell ref="AH180:AI180"/>
    <mergeCell ref="AH181:AI181"/>
    <mergeCell ref="AH182:AI182"/>
    <mergeCell ref="AH183:AI183"/>
    <mergeCell ref="AH184:AI184"/>
    <mergeCell ref="AH185:AI185"/>
    <mergeCell ref="AH186:AI186"/>
    <mergeCell ref="AH187:AI187"/>
    <mergeCell ref="AH188:AI188"/>
    <mergeCell ref="AH189:AI189"/>
    <mergeCell ref="AH190:AI190"/>
    <mergeCell ref="AH191:AI191"/>
    <mergeCell ref="AH192:AI192"/>
    <mergeCell ref="AH193:AI193"/>
    <mergeCell ref="AH194:AI194"/>
    <mergeCell ref="AH195:AI195"/>
    <mergeCell ref="AH196:AI196"/>
    <mergeCell ref="AH197:AI197"/>
    <mergeCell ref="AH198:AI198"/>
    <mergeCell ref="AH256:AI256"/>
    <mergeCell ref="AH257:AI257"/>
    <mergeCell ref="AH258:AI258"/>
    <mergeCell ref="AH259:AI259"/>
    <mergeCell ref="AH260:AI260"/>
    <mergeCell ref="AH261:AI261"/>
    <mergeCell ref="AH262:AI262"/>
    <mergeCell ref="AH263:AI263"/>
    <mergeCell ref="AH264:AI264"/>
    <mergeCell ref="AH265:AI265"/>
    <mergeCell ref="AH266:AI266"/>
    <mergeCell ref="AH267:AI267"/>
    <mergeCell ref="AH268:AI268"/>
    <mergeCell ref="AH269:AI269"/>
    <mergeCell ref="AH270:AI270"/>
    <mergeCell ref="AH271:AI271"/>
    <mergeCell ref="AH272:AI272"/>
    <mergeCell ref="AH273:AI273"/>
    <mergeCell ref="AH274:AI274"/>
    <mergeCell ref="AH275:AI275"/>
    <mergeCell ref="AH276:AI276"/>
    <mergeCell ref="AH277:AI277"/>
    <mergeCell ref="AH278:AI278"/>
    <mergeCell ref="AH279:AI279"/>
    <mergeCell ref="AH280:AI280"/>
    <mergeCell ref="AH281:AI281"/>
    <mergeCell ref="AH282:AI282"/>
    <mergeCell ref="AH283:AI283"/>
    <mergeCell ref="AH284:AI284"/>
    <mergeCell ref="AH285:AI285"/>
    <mergeCell ref="AH286:AI286"/>
    <mergeCell ref="AH287:AI287"/>
    <mergeCell ref="AH288:AI288"/>
    <mergeCell ref="AH315:AI315"/>
    <mergeCell ref="AH316:AI316"/>
    <mergeCell ref="AH317:AI317"/>
    <mergeCell ref="AH318:AI318"/>
    <mergeCell ref="AH319:AI319"/>
    <mergeCell ref="AH320:AI320"/>
    <mergeCell ref="AH321:AI321"/>
    <mergeCell ref="AH322:AI322"/>
    <mergeCell ref="AH323:AI323"/>
    <mergeCell ref="AH324:AI324"/>
    <mergeCell ref="AH325:AI325"/>
    <mergeCell ref="AH326:AI326"/>
    <mergeCell ref="AH327:AI327"/>
    <mergeCell ref="AH328:AI328"/>
    <mergeCell ref="AH329:AI329"/>
    <mergeCell ref="AH330:AI330"/>
    <mergeCell ref="AH331:AI331"/>
    <mergeCell ref="AH332:AI332"/>
    <mergeCell ref="AH333:AI333"/>
    <mergeCell ref="AH346:AI346"/>
    <mergeCell ref="AH347:AI347"/>
    <mergeCell ref="AH348:AI348"/>
    <mergeCell ref="AH349:AI349"/>
    <mergeCell ref="AH350:AI350"/>
    <mergeCell ref="AH351:AI351"/>
    <mergeCell ref="AH352:AI352"/>
    <mergeCell ref="AH353:AI353"/>
    <mergeCell ref="AH354:AI354"/>
    <mergeCell ref="AH355:AI355"/>
    <mergeCell ref="AH356:AI356"/>
    <mergeCell ref="AH357:AI357"/>
    <mergeCell ref="AH358:AI358"/>
    <mergeCell ref="AH359:AI359"/>
    <mergeCell ref="AH360:AI360"/>
    <mergeCell ref="AH361:AI361"/>
    <mergeCell ref="AH362:AI362"/>
    <mergeCell ref="AH363:AI363"/>
    <mergeCell ref="AH364:AI364"/>
    <mergeCell ref="AH365:AI365"/>
    <mergeCell ref="AH366:AI366"/>
    <mergeCell ref="AH367:AI367"/>
    <mergeCell ref="AH368:AI368"/>
    <mergeCell ref="AH369:AI369"/>
    <mergeCell ref="AH370:AI370"/>
    <mergeCell ref="AH371:AI371"/>
    <mergeCell ref="AH372:AI372"/>
    <mergeCell ref="AH373:AI373"/>
    <mergeCell ref="AH374:AI374"/>
    <mergeCell ref="AH375:AI375"/>
    <mergeCell ref="AH376:AI376"/>
    <mergeCell ref="AH377:AI377"/>
    <mergeCell ref="AH378:AI378"/>
    <mergeCell ref="AH391:AI391"/>
    <mergeCell ref="AH392:AI392"/>
    <mergeCell ref="AH393:AI393"/>
    <mergeCell ref="AH394:AI394"/>
    <mergeCell ref="AH395:AI395"/>
    <mergeCell ref="AH396:AI396"/>
    <mergeCell ref="AH397:AI397"/>
    <mergeCell ref="AH398:AI398"/>
    <mergeCell ref="AH399:AI399"/>
    <mergeCell ref="AH400:AI400"/>
    <mergeCell ref="AH401:AI401"/>
    <mergeCell ref="AH402:AI402"/>
    <mergeCell ref="AH403:AI403"/>
    <mergeCell ref="AH404:AI404"/>
    <mergeCell ref="AH405:AI405"/>
    <mergeCell ref="AH406:AI406"/>
    <mergeCell ref="AH407:AI407"/>
    <mergeCell ref="AH408:AI408"/>
    <mergeCell ref="AH409:AI409"/>
    <mergeCell ref="AH410:AI410"/>
    <mergeCell ref="AH411:AI411"/>
    <mergeCell ref="AH412:AI412"/>
    <mergeCell ref="AH413:AI413"/>
    <mergeCell ref="AH414:AI414"/>
    <mergeCell ref="AH415:AI415"/>
    <mergeCell ref="AH416:AI416"/>
    <mergeCell ref="AH417:AI417"/>
    <mergeCell ref="AH418:AI418"/>
    <mergeCell ref="AH419:AI419"/>
    <mergeCell ref="AH420:AI420"/>
    <mergeCell ref="AH421:AI421"/>
    <mergeCell ref="AH422:AI422"/>
    <mergeCell ref="AH423:AI423"/>
    <mergeCell ref="AH436:AI436"/>
    <mergeCell ref="AH437:AI437"/>
    <mergeCell ref="AH438:AI438"/>
    <mergeCell ref="AH439:AI439"/>
    <mergeCell ref="AH440:AI440"/>
    <mergeCell ref="AH441:AI441"/>
    <mergeCell ref="AH442:AI442"/>
    <mergeCell ref="AH443:AI443"/>
    <mergeCell ref="AH444:AI444"/>
    <mergeCell ref="AH445:AI445"/>
    <mergeCell ref="AH446:AI446"/>
    <mergeCell ref="AH447:AI447"/>
    <mergeCell ref="AH448:AI448"/>
    <mergeCell ref="AH449:AI449"/>
    <mergeCell ref="AH450:AI450"/>
    <mergeCell ref="AH451:AI451"/>
    <mergeCell ref="AH452:AI452"/>
    <mergeCell ref="AH453:AI453"/>
    <mergeCell ref="AH454:AI454"/>
    <mergeCell ref="AH455:AI455"/>
    <mergeCell ref="AH456:AI456"/>
    <mergeCell ref="AH457:AI457"/>
    <mergeCell ref="AH458:AI458"/>
    <mergeCell ref="AH459:AI459"/>
    <mergeCell ref="AH460:AI460"/>
    <mergeCell ref="AH461:AI461"/>
    <mergeCell ref="AH462:AI462"/>
    <mergeCell ref="AH463:AI463"/>
    <mergeCell ref="AH464:AI464"/>
    <mergeCell ref="AH465:AI465"/>
    <mergeCell ref="AH466:AI466"/>
    <mergeCell ref="AH467:AI467"/>
    <mergeCell ref="AH468:AI468"/>
    <mergeCell ref="AH481:AI481"/>
    <mergeCell ref="AH482:AI482"/>
    <mergeCell ref="AH483:AI483"/>
    <mergeCell ref="AH484:AI484"/>
    <mergeCell ref="AH485:AI485"/>
    <mergeCell ref="AH486:AI486"/>
    <mergeCell ref="AH487:AI487"/>
    <mergeCell ref="AH488:AI488"/>
    <mergeCell ref="AH489:AI489"/>
    <mergeCell ref="AH490:AI490"/>
    <mergeCell ref="AH491:AI491"/>
    <mergeCell ref="AH492:AI492"/>
    <mergeCell ref="AH493:AI493"/>
    <mergeCell ref="AH494:AI494"/>
    <mergeCell ref="AH495:AI495"/>
    <mergeCell ref="AH496:AI496"/>
    <mergeCell ref="AH497:AI497"/>
    <mergeCell ref="AH498:AI498"/>
    <mergeCell ref="AH499:AI499"/>
    <mergeCell ref="AH500:AI500"/>
    <mergeCell ref="AH501:AI501"/>
    <mergeCell ref="AH502:AI502"/>
    <mergeCell ref="AH503:AI503"/>
    <mergeCell ref="AH504:AI504"/>
    <mergeCell ref="AH505:AI505"/>
    <mergeCell ref="AH506:AI506"/>
    <mergeCell ref="AH507:AI507"/>
    <mergeCell ref="AH508:AI508"/>
    <mergeCell ref="AH509:AI509"/>
    <mergeCell ref="AH510:AI510"/>
    <mergeCell ref="AH511:AI511"/>
    <mergeCell ref="AH512:AI512"/>
    <mergeCell ref="AH513:AI513"/>
    <mergeCell ref="AH526:AI526"/>
    <mergeCell ref="AH527:AI527"/>
    <mergeCell ref="AH528:AI528"/>
    <mergeCell ref="AH529:AI529"/>
    <mergeCell ref="AH530:AI530"/>
    <mergeCell ref="AH531:AI531"/>
    <mergeCell ref="AH532:AI532"/>
    <mergeCell ref="AH533:AI533"/>
    <mergeCell ref="AH534:AI534"/>
    <mergeCell ref="AH535:AI535"/>
    <mergeCell ref="AH536:AI536"/>
    <mergeCell ref="AH537:AI537"/>
    <mergeCell ref="AH538:AI538"/>
    <mergeCell ref="AH539:AI539"/>
    <mergeCell ref="AH556:AI556"/>
    <mergeCell ref="AH557:AI557"/>
    <mergeCell ref="AH558:AI558"/>
    <mergeCell ref="AH571:AI571"/>
    <mergeCell ref="AH572:AI572"/>
    <mergeCell ref="AH573:AI573"/>
    <mergeCell ref="AH574:AI574"/>
    <mergeCell ref="AH575:AI575"/>
    <mergeCell ref="AH576:AI576"/>
    <mergeCell ref="AH577:AI577"/>
    <mergeCell ref="AH578:AI578"/>
    <mergeCell ref="AH579:AI579"/>
    <mergeCell ref="AH580:AI580"/>
    <mergeCell ref="AH581:AI581"/>
    <mergeCell ref="AH582:AI582"/>
    <mergeCell ref="AH583:AI583"/>
    <mergeCell ref="AH584:AI584"/>
    <mergeCell ref="AH585:AI585"/>
    <mergeCell ref="AH586:AI586"/>
    <mergeCell ref="AH587:AI587"/>
    <mergeCell ref="AH588:AI588"/>
    <mergeCell ref="AH589:AI589"/>
    <mergeCell ref="AH590:AI590"/>
    <mergeCell ref="AH591:AI591"/>
    <mergeCell ref="AH592:AI592"/>
    <mergeCell ref="AH593:AI593"/>
    <mergeCell ref="AH594:AI594"/>
    <mergeCell ref="AH595:AI595"/>
    <mergeCell ref="AH596:AI596"/>
    <mergeCell ref="AH597:AI597"/>
    <mergeCell ref="AH598:AI598"/>
    <mergeCell ref="AH599:AI599"/>
    <mergeCell ref="AH600:AI600"/>
    <mergeCell ref="AH601:AI601"/>
    <mergeCell ref="AH602:AI602"/>
    <mergeCell ref="AH603:AI603"/>
    <mergeCell ref="AH616:AI616"/>
    <mergeCell ref="AH617:AI617"/>
    <mergeCell ref="AH618:AI618"/>
    <mergeCell ref="AH619:AI619"/>
    <mergeCell ref="AH620:AI620"/>
    <mergeCell ref="AH621:AI621"/>
    <mergeCell ref="AH622:AI622"/>
    <mergeCell ref="AH623:AI623"/>
    <mergeCell ref="AH624:AI624"/>
    <mergeCell ref="AH625:AI625"/>
    <mergeCell ref="AH626:AI626"/>
    <mergeCell ref="AH627:AI627"/>
    <mergeCell ref="AH628:AI628"/>
    <mergeCell ref="AH629:AI629"/>
    <mergeCell ref="AH630:AI630"/>
    <mergeCell ref="AH631:AI631"/>
    <mergeCell ref="AH632:AI632"/>
    <mergeCell ref="AH633:AI633"/>
    <mergeCell ref="AH634:AI634"/>
    <mergeCell ref="AH635:AI635"/>
    <mergeCell ref="AH636:AI636"/>
    <mergeCell ref="AH637:AI637"/>
    <mergeCell ref="AH638:AI638"/>
    <mergeCell ref="AH639:AI639"/>
    <mergeCell ref="AH640:AI640"/>
    <mergeCell ref="AH641:AI641"/>
    <mergeCell ref="AH642:AI642"/>
    <mergeCell ref="AH643:AI643"/>
    <mergeCell ref="AH644:AI644"/>
    <mergeCell ref="AH645:AI645"/>
    <mergeCell ref="AH646:AI646"/>
    <mergeCell ref="AH647:AI647"/>
    <mergeCell ref="AH648:AI648"/>
    <mergeCell ref="AH661:AI661"/>
    <mergeCell ref="AH662:AI662"/>
    <mergeCell ref="AH663:AI663"/>
    <mergeCell ref="AH664:AI664"/>
    <mergeCell ref="AH665:AI665"/>
    <mergeCell ref="AH666:AI666"/>
    <mergeCell ref="AH667:AI667"/>
    <mergeCell ref="AH668:AI668"/>
    <mergeCell ref="AH669:AI669"/>
    <mergeCell ref="AH670:AI670"/>
    <mergeCell ref="AH671:AI671"/>
    <mergeCell ref="AH672:AI672"/>
    <mergeCell ref="AH673:AI673"/>
    <mergeCell ref="AH674:AI674"/>
    <mergeCell ref="AH675:AI675"/>
    <mergeCell ref="AH676:AI676"/>
    <mergeCell ref="AH677:AI677"/>
    <mergeCell ref="AH678:AI678"/>
    <mergeCell ref="AH679:AI679"/>
    <mergeCell ref="AH680:AI680"/>
    <mergeCell ref="AH681:AI681"/>
    <mergeCell ref="AH682:AI682"/>
    <mergeCell ref="AH683:AI683"/>
    <mergeCell ref="AH684:AI684"/>
    <mergeCell ref="AH685:AI685"/>
    <mergeCell ref="AH686:AI686"/>
    <mergeCell ref="AH687:AI687"/>
    <mergeCell ref="AH688:AI688"/>
    <mergeCell ref="AH689:AI689"/>
    <mergeCell ref="AH690:AI690"/>
    <mergeCell ref="AH691:AI691"/>
    <mergeCell ref="AH692:AI692"/>
    <mergeCell ref="AH693:AI693"/>
    <mergeCell ref="AH706:AI706"/>
    <mergeCell ref="AH707:AI707"/>
    <mergeCell ref="AH708:AI708"/>
    <mergeCell ref="AH709:AI709"/>
    <mergeCell ref="AH710:AI710"/>
    <mergeCell ref="AH711:AI711"/>
    <mergeCell ref="AH712:AI712"/>
    <mergeCell ref="AH713:AI713"/>
    <mergeCell ref="AH714:AI714"/>
    <mergeCell ref="AH715:AI715"/>
    <mergeCell ref="AH716:AI716"/>
    <mergeCell ref="AH717:AI717"/>
    <mergeCell ref="AH718:AI718"/>
    <mergeCell ref="AH719:AI719"/>
    <mergeCell ref="AH720:AI720"/>
    <mergeCell ref="AH721:AI721"/>
    <mergeCell ref="AH722:AI722"/>
    <mergeCell ref="AH723:AI723"/>
    <mergeCell ref="AH724:AI724"/>
    <mergeCell ref="AH725:AI725"/>
    <mergeCell ref="AH726:AI726"/>
    <mergeCell ref="AH727:AI727"/>
    <mergeCell ref="AH728:AI728"/>
    <mergeCell ref="AH729:AI729"/>
    <mergeCell ref="AH730:AI730"/>
    <mergeCell ref="AH731:AI731"/>
    <mergeCell ref="AH732:AI732"/>
    <mergeCell ref="AH733:AI733"/>
    <mergeCell ref="AH734:AI734"/>
    <mergeCell ref="AH735:AI735"/>
    <mergeCell ref="AH736:AI736"/>
    <mergeCell ref="AH737:AI737"/>
    <mergeCell ref="AH738:AI738"/>
    <mergeCell ref="AH751:AI751"/>
    <mergeCell ref="AH752:AI752"/>
    <mergeCell ref="AH753:AI753"/>
    <mergeCell ref="AH754:AI754"/>
    <mergeCell ref="AH755:AI755"/>
    <mergeCell ref="AH756:AI756"/>
    <mergeCell ref="AH757:AI757"/>
    <mergeCell ref="AH758:AI758"/>
    <mergeCell ref="AH759:AI759"/>
    <mergeCell ref="AH760:AI760"/>
    <mergeCell ref="AH761:AI761"/>
    <mergeCell ref="AH762:AI762"/>
    <mergeCell ref="AH763:AI763"/>
    <mergeCell ref="AH764:AI764"/>
    <mergeCell ref="AH765:AI765"/>
    <mergeCell ref="AH766:AI766"/>
    <mergeCell ref="AH767:AI767"/>
    <mergeCell ref="AH768:AI768"/>
    <mergeCell ref="AH769:AI769"/>
    <mergeCell ref="AH770:AI770"/>
    <mergeCell ref="AH771:AI771"/>
    <mergeCell ref="AH772:AI772"/>
    <mergeCell ref="AH773:AI773"/>
    <mergeCell ref="AH774:AI774"/>
    <mergeCell ref="AH775:AI775"/>
    <mergeCell ref="AH776:AI776"/>
    <mergeCell ref="AH777:AI777"/>
    <mergeCell ref="AH778:AI778"/>
    <mergeCell ref="AH779:AI779"/>
    <mergeCell ref="AH780:AI780"/>
    <mergeCell ref="AH781:AI781"/>
    <mergeCell ref="AH782:AI782"/>
    <mergeCell ref="AH783:AI783"/>
    <mergeCell ref="AH796:AI796"/>
    <mergeCell ref="AH797:AI797"/>
    <mergeCell ref="AH798:AI798"/>
    <mergeCell ref="AH799:AI799"/>
    <mergeCell ref="AH800:AI800"/>
    <mergeCell ref="AH801:AI801"/>
    <mergeCell ref="AH802:AI802"/>
    <mergeCell ref="AH803:AI803"/>
    <mergeCell ref="AH804:AI804"/>
    <mergeCell ref="AH805:AI805"/>
    <mergeCell ref="AH806:AI806"/>
    <mergeCell ref="AH807:AI807"/>
    <mergeCell ref="AH808:AI808"/>
    <mergeCell ref="AH809:AI809"/>
    <mergeCell ref="AH810:AI810"/>
    <mergeCell ref="AH811:AI811"/>
    <mergeCell ref="AH812:AI812"/>
    <mergeCell ref="AH813:AI813"/>
    <mergeCell ref="AH814:AI814"/>
    <mergeCell ref="AH815:AI815"/>
    <mergeCell ref="AH816:AI816"/>
    <mergeCell ref="AH817:AI817"/>
    <mergeCell ref="AH818:AI818"/>
    <mergeCell ref="AH819:AI819"/>
    <mergeCell ref="AH820:AI820"/>
    <mergeCell ref="AH821:AI821"/>
    <mergeCell ref="AH822:AI822"/>
    <mergeCell ref="AH823:AI823"/>
    <mergeCell ref="AH824:AI824"/>
    <mergeCell ref="AH825:AI825"/>
    <mergeCell ref="AH826:AI826"/>
    <mergeCell ref="AH827:AI827"/>
    <mergeCell ref="AH828:AI828"/>
    <mergeCell ref="AH856:AI856"/>
    <mergeCell ref="AH857:AI857"/>
    <mergeCell ref="AH858:AI858"/>
    <mergeCell ref="AH859:AI859"/>
    <mergeCell ref="AH860:AI860"/>
    <mergeCell ref="AH861:AI861"/>
    <mergeCell ref="AH862:AI862"/>
    <mergeCell ref="AH863:AI863"/>
    <mergeCell ref="AH864:AI864"/>
    <mergeCell ref="AH865:AI865"/>
    <mergeCell ref="AH866:AI866"/>
    <mergeCell ref="AH867:AI867"/>
    <mergeCell ref="AH868:AI868"/>
    <mergeCell ref="AH869:AI869"/>
    <mergeCell ref="AH870:AI870"/>
    <mergeCell ref="AH871:AI871"/>
    <mergeCell ref="AH872:AI872"/>
    <mergeCell ref="AH873:AI873"/>
    <mergeCell ref="AH874:AI874"/>
    <mergeCell ref="AH875:AI875"/>
    <mergeCell ref="AH876:AI876"/>
    <mergeCell ref="AH877:AI877"/>
    <mergeCell ref="AH878:AI878"/>
    <mergeCell ref="AH879:AI879"/>
    <mergeCell ref="AH880:AI880"/>
    <mergeCell ref="AH881:AI881"/>
    <mergeCell ref="AH882:AI882"/>
    <mergeCell ref="AH883:AI883"/>
    <mergeCell ref="AH884:AI884"/>
    <mergeCell ref="AH885:AI885"/>
    <mergeCell ref="AH901:AI901"/>
    <mergeCell ref="AH902:AI902"/>
    <mergeCell ref="AH903:AI903"/>
    <mergeCell ref="AH904:AI904"/>
    <mergeCell ref="AH905:AI905"/>
    <mergeCell ref="AH906:AI906"/>
    <mergeCell ref="AH907:AI907"/>
    <mergeCell ref="AH908:AI908"/>
    <mergeCell ref="AH909:AI909"/>
    <mergeCell ref="AH910:AI910"/>
    <mergeCell ref="AH911:AI911"/>
    <mergeCell ref="AH912:AI912"/>
    <mergeCell ref="AH913:AI913"/>
    <mergeCell ref="AH914:AI914"/>
    <mergeCell ref="AH915:AI915"/>
    <mergeCell ref="AH916:AI916"/>
    <mergeCell ref="AH917:AI917"/>
    <mergeCell ref="AH918:AI918"/>
    <mergeCell ref="AH919:AI919"/>
    <mergeCell ref="AH920:AI920"/>
    <mergeCell ref="AH921:AI921"/>
    <mergeCell ref="AH922:AI922"/>
    <mergeCell ref="AH923:AI923"/>
    <mergeCell ref="AH924:AI924"/>
    <mergeCell ref="AH925:AI925"/>
    <mergeCell ref="AH926:AI926"/>
    <mergeCell ref="AH927:AI927"/>
    <mergeCell ref="AH928:AI928"/>
    <mergeCell ref="AH929:AI929"/>
    <mergeCell ref="AH930:AI930"/>
    <mergeCell ref="AH931:AI931"/>
    <mergeCell ref="AH932:AI932"/>
    <mergeCell ref="AH933:AI933"/>
    <mergeCell ref="AH946:AI946"/>
    <mergeCell ref="AH947:AI947"/>
    <mergeCell ref="AH948:AI948"/>
    <mergeCell ref="AH949:AI949"/>
    <mergeCell ref="AH950:AI950"/>
    <mergeCell ref="AH951:AI951"/>
    <mergeCell ref="AH952:AI952"/>
    <mergeCell ref="AH953:AI953"/>
    <mergeCell ref="AH954:AI954"/>
    <mergeCell ref="AH955:AI955"/>
    <mergeCell ref="AH956:AI956"/>
    <mergeCell ref="AH957:AI957"/>
    <mergeCell ref="AH958:AI958"/>
    <mergeCell ref="AH959:AI959"/>
    <mergeCell ref="AH960:AI960"/>
    <mergeCell ref="AH961:AI961"/>
    <mergeCell ref="AH962:AI962"/>
    <mergeCell ref="AH963:AI963"/>
    <mergeCell ref="AH964:AI964"/>
    <mergeCell ref="AH965:AI965"/>
    <mergeCell ref="AH966:AI966"/>
    <mergeCell ref="AH967:AI967"/>
    <mergeCell ref="AH968:AI968"/>
    <mergeCell ref="AH969:AI969"/>
    <mergeCell ref="AH970:AI970"/>
    <mergeCell ref="AH971:AI971"/>
    <mergeCell ref="AH972:AI972"/>
    <mergeCell ref="AH973:AI973"/>
    <mergeCell ref="AH974:AI974"/>
    <mergeCell ref="AH975:AI975"/>
    <mergeCell ref="AH976:AI976"/>
    <mergeCell ref="AH977:AI977"/>
    <mergeCell ref="AH978:AI978"/>
    <mergeCell ref="AH991:AI991"/>
    <mergeCell ref="AH992:AI992"/>
    <mergeCell ref="AH993:AI993"/>
    <mergeCell ref="AH994:AI994"/>
    <mergeCell ref="AH995:AI995"/>
    <mergeCell ref="AH996:AI996"/>
    <mergeCell ref="AH997:AI997"/>
    <mergeCell ref="AH998:AI998"/>
    <mergeCell ref="AH999:AI999"/>
    <mergeCell ref="AH1000:AI1000"/>
    <mergeCell ref="AH1001:AI1001"/>
    <mergeCell ref="AH1002:AI1002"/>
    <mergeCell ref="AH1003:AI1003"/>
    <mergeCell ref="AH1004:AI1004"/>
    <mergeCell ref="AH1005:AI1005"/>
    <mergeCell ref="AH1006:AI1006"/>
    <mergeCell ref="AH1007:AI1007"/>
    <mergeCell ref="AH1008:AI1008"/>
    <mergeCell ref="AH1009:AI1009"/>
    <mergeCell ref="AH1010:AI1010"/>
    <mergeCell ref="AH1011:AI1011"/>
    <mergeCell ref="AH1012:AI1012"/>
    <mergeCell ref="AH1013:AI1013"/>
    <mergeCell ref="AH1014:AI1014"/>
    <mergeCell ref="AH1015:AI1015"/>
    <mergeCell ref="AH1016:AI1016"/>
    <mergeCell ref="AH1017:AI1017"/>
    <mergeCell ref="AH1018:AI1018"/>
    <mergeCell ref="AH1019:AI1019"/>
    <mergeCell ref="AH1020:AI1020"/>
    <mergeCell ref="AH1021:AI1021"/>
    <mergeCell ref="AH1022:AI1022"/>
    <mergeCell ref="AH1023:AI1023"/>
    <mergeCell ref="AH1036:AI1036"/>
    <mergeCell ref="AH1037:AI1037"/>
    <mergeCell ref="AH1038:AI1038"/>
    <mergeCell ref="AH1039:AI1039"/>
    <mergeCell ref="AH1040:AI1040"/>
    <mergeCell ref="AH1041:AI1041"/>
    <mergeCell ref="AH1042:AI1042"/>
    <mergeCell ref="AH1043:AI1043"/>
    <mergeCell ref="AH1044:AI1044"/>
    <mergeCell ref="AH1045:AI1045"/>
    <mergeCell ref="AH1046:AI1046"/>
    <mergeCell ref="AH1047:AI1047"/>
    <mergeCell ref="AH1048:AI1048"/>
    <mergeCell ref="AH1049:AI1049"/>
    <mergeCell ref="AH1050:AI1050"/>
    <mergeCell ref="AH1051:AI1051"/>
    <mergeCell ref="AH1052:AI1052"/>
    <mergeCell ref="AH1053:AI1053"/>
    <mergeCell ref="AH1054:AI1054"/>
    <mergeCell ref="AH1055:AI1055"/>
    <mergeCell ref="AH1056:AI1056"/>
    <mergeCell ref="AH1057:AI1057"/>
    <mergeCell ref="AH1058:AI1058"/>
    <mergeCell ref="AH1059:AI1059"/>
    <mergeCell ref="AH1060:AI1060"/>
    <mergeCell ref="AH1061:AI1061"/>
    <mergeCell ref="AH1062:AI1062"/>
    <mergeCell ref="AH1063:AI1063"/>
    <mergeCell ref="AH1064:AI1064"/>
    <mergeCell ref="AH1065:AI1065"/>
    <mergeCell ref="AH1066:AI1066"/>
    <mergeCell ref="AH1067:AI1067"/>
    <mergeCell ref="AH1068:AI1068"/>
    <mergeCell ref="AH1081:AI1081"/>
    <mergeCell ref="AH1082:AI1082"/>
    <mergeCell ref="AH1083:AI1083"/>
    <mergeCell ref="AH1084:AI1084"/>
    <mergeCell ref="AH1085:AI1085"/>
    <mergeCell ref="AH1086:AI1086"/>
    <mergeCell ref="AH1087:AI1087"/>
    <mergeCell ref="AH1088:AI1088"/>
    <mergeCell ref="AH1089:AI1089"/>
    <mergeCell ref="AH1090:AI1090"/>
    <mergeCell ref="AH1091:AI1091"/>
    <mergeCell ref="AH1092:AI1092"/>
    <mergeCell ref="AH1093:AI1093"/>
    <mergeCell ref="AH1094:AI1094"/>
    <mergeCell ref="AH1095:AI1095"/>
    <mergeCell ref="AH1096:AI1096"/>
    <mergeCell ref="AH1097:AI1097"/>
    <mergeCell ref="AH1098:AI1098"/>
    <mergeCell ref="AH1099:AI1099"/>
    <mergeCell ref="AH1100:AI1100"/>
    <mergeCell ref="AH1101:AI1101"/>
    <mergeCell ref="AH1102:AI1102"/>
    <mergeCell ref="AH1103:AI1103"/>
    <mergeCell ref="AH1104:AI1104"/>
    <mergeCell ref="AH1105:AI1105"/>
    <mergeCell ref="AH1106:AI1106"/>
    <mergeCell ref="AH1107:AI1107"/>
    <mergeCell ref="AH1108:AI1108"/>
    <mergeCell ref="AH1109:AI1109"/>
    <mergeCell ref="AH1110:AI1110"/>
    <mergeCell ref="AH1111:AI1111"/>
    <mergeCell ref="AH1112:AI1112"/>
    <mergeCell ref="AH1113:AI1113"/>
    <mergeCell ref="AH1155:AI1155"/>
    <mergeCell ref="AH1156:AI1156"/>
    <mergeCell ref="AH1157:AI1157"/>
    <mergeCell ref="AH1158:AI1158"/>
    <mergeCell ref="AH1171:AI1171"/>
    <mergeCell ref="AH1172:AI1172"/>
    <mergeCell ref="AH1173:AI1173"/>
    <mergeCell ref="AH1174:AI1174"/>
    <mergeCell ref="AH1175:AI1175"/>
    <mergeCell ref="AH1176:AI1176"/>
    <mergeCell ref="AH1177:AI1177"/>
    <mergeCell ref="AH1178:AI1178"/>
    <mergeCell ref="AH1179:AI1179"/>
    <mergeCell ref="AH1180:AI1180"/>
    <mergeCell ref="AH1181:AI1181"/>
    <mergeCell ref="AH1182:AI1182"/>
    <mergeCell ref="AH1183:AI1183"/>
    <mergeCell ref="AH1184:AI1184"/>
    <mergeCell ref="AH1185:AI1185"/>
    <mergeCell ref="AH1186:AI1186"/>
    <mergeCell ref="AH1187:AI1187"/>
    <mergeCell ref="AH1188:AI1188"/>
    <mergeCell ref="AH1189:AI1189"/>
    <mergeCell ref="AH1190:AI1190"/>
    <mergeCell ref="AH1191:AI1191"/>
    <mergeCell ref="AH1192:AI1192"/>
    <mergeCell ref="AH1193:AI1193"/>
    <mergeCell ref="AH1194:AI1194"/>
    <mergeCell ref="AH1195:AI1195"/>
    <mergeCell ref="AH1196:AI1196"/>
    <mergeCell ref="AH1197:AI1197"/>
    <mergeCell ref="AH1198:AI1198"/>
    <mergeCell ref="AH1199:AI1199"/>
    <mergeCell ref="AH1216:AI1216"/>
    <mergeCell ref="AH1217:AI1217"/>
    <mergeCell ref="AH1218:AI1218"/>
    <mergeCell ref="AH1219:AI1219"/>
    <mergeCell ref="AH1220:AI1220"/>
    <mergeCell ref="AH1221:AI1221"/>
    <mergeCell ref="AH1222:AI1222"/>
    <mergeCell ref="AH1223:AI1223"/>
    <mergeCell ref="AH1224:AI1224"/>
    <mergeCell ref="AH1225:AI1225"/>
    <mergeCell ref="AH1226:AI1226"/>
    <mergeCell ref="AH1227:AI1227"/>
    <mergeCell ref="AH1228:AI1228"/>
    <mergeCell ref="AH1229:AI1229"/>
    <mergeCell ref="AH1230:AI1230"/>
    <mergeCell ref="AH1231:AI1231"/>
    <mergeCell ref="AH1232:AI1232"/>
    <mergeCell ref="AH1233:AI1233"/>
    <mergeCell ref="AH1234:AI1234"/>
    <mergeCell ref="AH1235:AI1235"/>
    <mergeCell ref="AH1236:AI1236"/>
    <mergeCell ref="AH1237:AI1237"/>
    <mergeCell ref="AH1238:AI1238"/>
    <mergeCell ref="AH1239:AI1239"/>
    <mergeCell ref="AH1240:AI1240"/>
    <mergeCell ref="AH1241:AI1241"/>
    <mergeCell ref="AH1242:AI1242"/>
    <mergeCell ref="AH1243:AI1243"/>
    <mergeCell ref="AH1244:AI1244"/>
    <mergeCell ref="AH1245:AI1245"/>
    <mergeCell ref="AH1246:AI1246"/>
    <mergeCell ref="AH1247:AI1247"/>
    <mergeCell ref="AH1248:AI1248"/>
    <mergeCell ref="AH1261:AI1261"/>
    <mergeCell ref="AH1262:AI1262"/>
    <mergeCell ref="AH1263:AI1263"/>
    <mergeCell ref="AH1264:AI1264"/>
    <mergeCell ref="AH1265:AI1265"/>
    <mergeCell ref="AH1266:AI1266"/>
    <mergeCell ref="AH1267:AI1267"/>
    <mergeCell ref="AH1268:AI1268"/>
    <mergeCell ref="AH1269:AI1269"/>
    <mergeCell ref="AH1270:AI1270"/>
    <mergeCell ref="AH1271:AI1271"/>
    <mergeCell ref="AH1272:AI1272"/>
    <mergeCell ref="AH1273:AI1273"/>
    <mergeCell ref="AH1274:AI1274"/>
    <mergeCell ref="AH1275:AI1275"/>
    <mergeCell ref="AH1276:AI1276"/>
    <mergeCell ref="AH1277:AI1277"/>
    <mergeCell ref="AH1278:AI1278"/>
    <mergeCell ref="AH1279:AI1279"/>
    <mergeCell ref="AH1280:AI1280"/>
    <mergeCell ref="AH1281:AI1281"/>
    <mergeCell ref="AH1282:AI1282"/>
    <mergeCell ref="AH1283:AI1283"/>
    <mergeCell ref="AH1284:AI1284"/>
    <mergeCell ref="AH1285:AI1285"/>
    <mergeCell ref="AH1286:AI1286"/>
    <mergeCell ref="AH1287:AI1287"/>
    <mergeCell ref="AH1288:AI1288"/>
    <mergeCell ref="AH1289:AI1289"/>
    <mergeCell ref="AH1290:AI1290"/>
    <mergeCell ref="AH1291:AI1291"/>
    <mergeCell ref="AH1292:AI1292"/>
    <mergeCell ref="AH1293:AI1293"/>
    <mergeCell ref="AH1306:AI1306"/>
    <mergeCell ref="AH1307:AI1307"/>
    <mergeCell ref="AH1308:AI1308"/>
    <mergeCell ref="AH1309:AI1309"/>
    <mergeCell ref="AH1310:AI1310"/>
    <mergeCell ref="AH1311:AI1311"/>
    <mergeCell ref="AH1312:AI1312"/>
    <mergeCell ref="AH1313:AI1313"/>
    <mergeCell ref="AH1314:AI1314"/>
    <mergeCell ref="AH1315:AI1315"/>
    <mergeCell ref="AH1316:AI1316"/>
    <mergeCell ref="AH1317:AI1317"/>
    <mergeCell ref="AH1318:AI1318"/>
    <mergeCell ref="AH1319:AI1319"/>
    <mergeCell ref="AH1320:AI1320"/>
    <mergeCell ref="AH1321:AI1321"/>
    <mergeCell ref="AH1322:AI1322"/>
    <mergeCell ref="AH1323:AI1323"/>
    <mergeCell ref="AH1324:AI1324"/>
    <mergeCell ref="AH1325:AI1325"/>
    <mergeCell ref="AH1326:AI1326"/>
    <mergeCell ref="AH1327:AI1327"/>
    <mergeCell ref="AH1328:AI1328"/>
    <mergeCell ref="AH1329:AI1329"/>
    <mergeCell ref="AH1330:AI1330"/>
    <mergeCell ref="AH1331:AI1331"/>
    <mergeCell ref="AH1332:AI1332"/>
    <mergeCell ref="AH1333:AI1333"/>
    <mergeCell ref="AH1334:AI1334"/>
    <mergeCell ref="AH1335:AI1335"/>
    <mergeCell ref="AH1336:AI1336"/>
    <mergeCell ref="AH1337:AI1337"/>
    <mergeCell ref="AH1338:AI1338"/>
    <mergeCell ref="AH1351:AI1351"/>
    <mergeCell ref="AH1352:AI1352"/>
    <mergeCell ref="AH1353:AI1353"/>
    <mergeCell ref="AH1354:AI1354"/>
    <mergeCell ref="AH1355:AI1355"/>
    <mergeCell ref="AH1356:AI1356"/>
    <mergeCell ref="AH1357:AI1357"/>
    <mergeCell ref="AH1358:AI1358"/>
    <mergeCell ref="AH1359:AI1359"/>
    <mergeCell ref="AH1360:AI1360"/>
    <mergeCell ref="AH1361:AI1361"/>
    <mergeCell ref="AH1362:AI1362"/>
    <mergeCell ref="AH1363:AI1363"/>
    <mergeCell ref="AH1364:AI1364"/>
    <mergeCell ref="AH1365:AI1365"/>
    <mergeCell ref="AH1366:AI1366"/>
    <mergeCell ref="AH1367:AI1367"/>
    <mergeCell ref="AH1368:AI1368"/>
    <mergeCell ref="AH1369:AI1369"/>
    <mergeCell ref="AH1370:AI1370"/>
    <mergeCell ref="AH1371:AI1371"/>
    <mergeCell ref="AH1372:AI1372"/>
    <mergeCell ref="AH1373:AI1373"/>
    <mergeCell ref="AH1374:AI1374"/>
    <mergeCell ref="AH1375:AI1375"/>
    <mergeCell ref="AH1376:AI1376"/>
    <mergeCell ref="AH1377:AI1377"/>
    <mergeCell ref="AH1378:AI1378"/>
    <mergeCell ref="AH1379:AI1379"/>
    <mergeCell ref="AH1380:AI1380"/>
    <mergeCell ref="AH1381:AI1381"/>
    <mergeCell ref="AH1382:AI1382"/>
    <mergeCell ref="AH1383:AI1383"/>
    <mergeCell ref="X13:AA13"/>
    <mergeCell ref="AB13:AE13"/>
    <mergeCell ref="AH1560:AI1560"/>
    <mergeCell ref="AH1561:AI1561"/>
    <mergeCell ref="AH1562:AI1562"/>
    <mergeCell ref="AH1563:AI1563"/>
    <mergeCell ref="AH1564:AI1564"/>
    <mergeCell ref="AH1565:AI1565"/>
    <mergeCell ref="AH1566:AI1566"/>
    <mergeCell ref="AH1567:AI1567"/>
    <mergeCell ref="AH1568:AI1568"/>
    <mergeCell ref="AH1569:AI1569"/>
    <mergeCell ref="AH1570:AI1570"/>
    <mergeCell ref="AH1571:AI1571"/>
    <mergeCell ref="AH1572:AI1572"/>
    <mergeCell ref="AH1573:AI1573"/>
    <mergeCell ref="AH1574:AI1574"/>
    <mergeCell ref="AH1575:AI1575"/>
    <mergeCell ref="AH1576:AI1576"/>
    <mergeCell ref="AH1577:AI1577"/>
    <mergeCell ref="AH1578:AI1578"/>
    <mergeCell ref="AH1579:AI1579"/>
    <mergeCell ref="AH1580:AI1580"/>
    <mergeCell ref="AH1581:AI1581"/>
    <mergeCell ref="AH1582:AI1582"/>
    <mergeCell ref="AH1583:AI1583"/>
    <mergeCell ref="AH1584:AI1584"/>
    <mergeCell ref="AH1585:AI1585"/>
    <mergeCell ref="AH1586:AI1586"/>
    <mergeCell ref="AH1587:AI1587"/>
    <mergeCell ref="AH1588:AI1588"/>
    <mergeCell ref="AH1589:AI1589"/>
    <mergeCell ref="AH1590:AI1590"/>
    <mergeCell ref="AH1501:AI1501"/>
    <mergeCell ref="AH1502:AI1502"/>
    <mergeCell ref="AH1503:AI1503"/>
    <mergeCell ref="AH1504:AI1504"/>
    <mergeCell ref="AH1505:AI1505"/>
    <mergeCell ref="AH1506:AI1506"/>
    <mergeCell ref="AH1507:AI1507"/>
    <mergeCell ref="AH1508:AI1508"/>
    <mergeCell ref="AH1509:AI1509"/>
    <mergeCell ref="AH1510:AI1510"/>
    <mergeCell ref="AH1511:AI1511"/>
    <mergeCell ref="AH1512:AI1512"/>
    <mergeCell ref="AH1513:AI1513"/>
    <mergeCell ref="AH1514:AI1514"/>
    <mergeCell ref="AH1515:AI1515"/>
    <mergeCell ref="AH1516:AI1516"/>
    <mergeCell ref="AH1517:AI1517"/>
    <mergeCell ref="AH1518:AI1518"/>
    <mergeCell ref="AH1519:AI1519"/>
    <mergeCell ref="AH1520:AI1520"/>
    <mergeCell ref="AH1521:AI1521"/>
    <mergeCell ref="AH1522:AI1522"/>
    <mergeCell ref="AH1523:AI1523"/>
    <mergeCell ref="AH1524:AI1524"/>
    <mergeCell ref="AH1531:AI1531"/>
    <mergeCell ref="AH1532:AI1532"/>
    <mergeCell ref="AH1533:AI1533"/>
    <mergeCell ref="AH1456:AI1456"/>
    <mergeCell ref="AH1457:AI1457"/>
    <mergeCell ref="AH1458:AI1458"/>
    <mergeCell ref="AH1459:AI1459"/>
    <mergeCell ref="AV1440:AW1440"/>
    <mergeCell ref="AV840:AW840"/>
    <mergeCell ref="AV240:AW240"/>
    <mergeCell ref="AL204:AM204"/>
    <mergeCell ref="AJ204:AK204"/>
    <mergeCell ref="AH204:AI204"/>
    <mergeCell ref="AH203:AI203"/>
    <mergeCell ref="AX202:AZ202"/>
    <mergeCell ref="AL202:AM202"/>
    <mergeCell ref="AH202:AI202"/>
    <mergeCell ref="BA201:BB201"/>
    <mergeCell ref="AX201:AZ201"/>
    <mergeCell ref="AT201:AU201"/>
    <mergeCell ref="AR201:AS201"/>
    <mergeCell ref="AP201:AQ201"/>
    <mergeCell ref="AN201:AO201"/>
    <mergeCell ref="AL201:AM201"/>
    <mergeCell ref="AJ201:AK201"/>
    <mergeCell ref="AH201:AI201"/>
    <mergeCell ref="BA200:BB200"/>
    <mergeCell ref="AX200:AZ200"/>
    <mergeCell ref="AT200:AU200"/>
    <mergeCell ref="AR200:AS200"/>
    <mergeCell ref="AP200:AQ200"/>
    <mergeCell ref="AN200:AO200"/>
    <mergeCell ref="AL200:AM200"/>
    <mergeCell ref="AJ200:AK200"/>
    <mergeCell ref="AH200:AI200"/>
    <mergeCell ref="AR199:AS199"/>
    <mergeCell ref="AV182:AW182"/>
    <mergeCell ref="AV181:AW181"/>
    <mergeCell ref="AV180:AW180"/>
    <mergeCell ref="AV179:AW179"/>
    <mergeCell ref="AH1396:AI1396"/>
    <mergeCell ref="AH1397:AI1397"/>
    <mergeCell ref="AH1398:AI1398"/>
    <mergeCell ref="AH1399:AI1399"/>
    <mergeCell ref="AH1400:AI1400"/>
    <mergeCell ref="AH1401:AI1401"/>
    <mergeCell ref="AH1402:AI1402"/>
    <mergeCell ref="AH1403:AI1403"/>
    <mergeCell ref="AH1404:AI1404"/>
    <mergeCell ref="AH1405:AI1405"/>
    <mergeCell ref="AH1406:AI1406"/>
    <mergeCell ref="AH1407:AI1407"/>
    <mergeCell ref="AH1408:AI1408"/>
    <mergeCell ref="AH1409:AI1409"/>
    <mergeCell ref="AH1410:AI1410"/>
    <mergeCell ref="AH1411:AI1411"/>
    <mergeCell ref="AH1412:AI1412"/>
    <mergeCell ref="AH1413:AI1413"/>
    <mergeCell ref="AH1414:AI1414"/>
    <mergeCell ref="AH1415:AI1415"/>
    <mergeCell ref="AH1416:AI1416"/>
    <mergeCell ref="AH1417:AI1417"/>
    <mergeCell ref="AH1418:AI1418"/>
    <mergeCell ref="AH1419:AI1419"/>
    <mergeCell ref="AH1420:AI1420"/>
    <mergeCell ref="AH1421:AI1421"/>
    <mergeCell ref="AH1422:AI1422"/>
    <mergeCell ref="AH1423:AI1423"/>
    <mergeCell ref="AH1424:AI1424"/>
    <mergeCell ref="AH1425:AI1425"/>
    <mergeCell ref="AH1426:AI1426"/>
    <mergeCell ref="AV29:AW29"/>
    <mergeCell ref="AV28:AW28"/>
    <mergeCell ref="AV27:AW27"/>
    <mergeCell ref="AV26:AW26"/>
    <mergeCell ref="AV25:AW25"/>
    <mergeCell ref="AV24:AW24"/>
    <mergeCell ref="AV23:AW23"/>
    <mergeCell ref="AV22:AW22"/>
    <mergeCell ref="AV21:AW21"/>
    <mergeCell ref="AV20:AW20"/>
    <mergeCell ref="AV19:AW19"/>
    <mergeCell ref="AV18:AW18"/>
    <mergeCell ref="AV17:AW17"/>
    <mergeCell ref="AV16:AW16"/>
    <mergeCell ref="AV15:AW15"/>
    <mergeCell ref="AV14:AW14"/>
    <mergeCell ref="AV1:AW1"/>
    <mergeCell ref="AL95:AM95"/>
    <mergeCell ref="AJ95:AK95"/>
    <mergeCell ref="AH95:AI95"/>
    <mergeCell ref="AJ94:AK94"/>
    <mergeCell ref="AH94:AI94"/>
    <mergeCell ref="AJ93:AK93"/>
    <mergeCell ref="AT92:AU92"/>
    <mergeCell ref="AR92:AS92"/>
    <mergeCell ref="AP92:AQ92"/>
    <mergeCell ref="AN92:AO92"/>
    <mergeCell ref="AJ92:AK92"/>
    <mergeCell ref="AT91:AU91"/>
    <mergeCell ref="AL89:AM89"/>
    <mergeCell ref="AJ89:AK89"/>
    <mergeCell ref="AV68:AW68"/>
    <mergeCell ref="AV66:AW66"/>
    <mergeCell ref="AV65:AW65"/>
    <mergeCell ref="AV64:AW64"/>
    <mergeCell ref="AV63:AW63"/>
    <mergeCell ref="AV62:AW62"/>
    <mergeCell ref="AV61:AW61"/>
    <mergeCell ref="AV60:AW60"/>
    <mergeCell ref="AV59:AW59"/>
    <mergeCell ref="AV58:AW58"/>
    <mergeCell ref="AV57:AW57"/>
    <mergeCell ref="AV56:AW56"/>
    <mergeCell ref="AV55:AW55"/>
    <mergeCell ref="AV54:AW54"/>
    <mergeCell ref="AV53:AW53"/>
    <mergeCell ref="AV52:AW52"/>
    <mergeCell ref="AV51:AW51"/>
    <mergeCell ref="AV50:AW50"/>
    <mergeCell ref="AV49:AW49"/>
    <mergeCell ref="AH65:AI65"/>
    <mergeCell ref="AH66:AI66"/>
    <mergeCell ref="AH67:AI67"/>
    <mergeCell ref="AH68:AI68"/>
    <mergeCell ref="AH69:AI69"/>
    <mergeCell ref="AH70:AI70"/>
    <mergeCell ref="AH71:AI71"/>
    <mergeCell ref="AH72:AI72"/>
    <mergeCell ref="AH73:AI73"/>
    <mergeCell ref="AH74:AI74"/>
    <mergeCell ref="AH75:AI75"/>
    <mergeCell ref="AH76:AI76"/>
    <mergeCell ref="AH79:AI79"/>
    <mergeCell ref="AH80:AI80"/>
    <mergeCell ref="J1:K1"/>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201:K201"/>
    <mergeCell ref="J202:K202"/>
    <mergeCell ref="J203:K203"/>
    <mergeCell ref="J204:K204"/>
    <mergeCell ref="J205:K205"/>
    <mergeCell ref="J206:K206"/>
    <mergeCell ref="J207:K207"/>
    <mergeCell ref="J208:K208"/>
    <mergeCell ref="J209:K209"/>
    <mergeCell ref="J211:K211"/>
    <mergeCell ref="J213:K213"/>
    <mergeCell ref="J215:K215"/>
    <mergeCell ref="J217:K217"/>
    <mergeCell ref="J219:K219"/>
    <mergeCell ref="J221:K221"/>
    <mergeCell ref="J223:K223"/>
    <mergeCell ref="J225:K225"/>
    <mergeCell ref="J227:K227"/>
    <mergeCell ref="J229:K229"/>
    <mergeCell ref="J231:K231"/>
    <mergeCell ref="J233:K233"/>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301:K301"/>
    <mergeCell ref="J303:K303"/>
    <mergeCell ref="J305:K305"/>
    <mergeCell ref="J307:K307"/>
    <mergeCell ref="J309:K309"/>
    <mergeCell ref="J311:K311"/>
    <mergeCell ref="J313:K313"/>
    <mergeCell ref="J314:K314"/>
    <mergeCell ref="J315:K315"/>
    <mergeCell ref="J316:K316"/>
    <mergeCell ref="J317:K317"/>
    <mergeCell ref="J241:K241"/>
    <mergeCell ref="J243:K243"/>
    <mergeCell ref="J245:K245"/>
    <mergeCell ref="J247:K247"/>
    <mergeCell ref="J249:K249"/>
    <mergeCell ref="J251:K251"/>
    <mergeCell ref="J253:K253"/>
    <mergeCell ref="J255:K255"/>
    <mergeCell ref="J257:K257"/>
    <mergeCell ref="J259:K259"/>
    <mergeCell ref="J261:K261"/>
    <mergeCell ref="J263:K263"/>
    <mergeCell ref="J265:K265"/>
    <mergeCell ref="J267:K267"/>
    <mergeCell ref="J269:K269"/>
    <mergeCell ref="J271:K271"/>
    <mergeCell ref="J330:K330"/>
    <mergeCell ref="J331:K331"/>
    <mergeCell ref="J332:K332"/>
    <mergeCell ref="J333:K333"/>
    <mergeCell ref="J334:K334"/>
    <mergeCell ref="J335:K335"/>
    <mergeCell ref="J345:K345"/>
    <mergeCell ref="J346:K346"/>
    <mergeCell ref="J347:K347"/>
    <mergeCell ref="J348:K348"/>
    <mergeCell ref="J349:K349"/>
    <mergeCell ref="J350:K350"/>
    <mergeCell ref="J351:K351"/>
    <mergeCell ref="J352:K352"/>
    <mergeCell ref="J353:K353"/>
    <mergeCell ref="J354:K354"/>
    <mergeCell ref="J355:K355"/>
    <mergeCell ref="J356:K356"/>
    <mergeCell ref="J357:K357"/>
    <mergeCell ref="J358:K358"/>
    <mergeCell ref="J359:K359"/>
    <mergeCell ref="J360:K360"/>
    <mergeCell ref="J361:K361"/>
    <mergeCell ref="J362:K362"/>
    <mergeCell ref="J376:K376"/>
    <mergeCell ref="J377:K377"/>
    <mergeCell ref="J378:K378"/>
    <mergeCell ref="J379:K379"/>
    <mergeCell ref="J380:K380"/>
    <mergeCell ref="J381:K381"/>
    <mergeCell ref="J382:K382"/>
    <mergeCell ref="J383:K383"/>
    <mergeCell ref="J384:K384"/>
    <mergeCell ref="J385:K385"/>
    <mergeCell ref="J386:K386"/>
    <mergeCell ref="J387:K387"/>
    <mergeCell ref="J388:K388"/>
    <mergeCell ref="J389:K389"/>
    <mergeCell ref="J390:K390"/>
    <mergeCell ref="J391:K391"/>
    <mergeCell ref="J392:K392"/>
    <mergeCell ref="J393:K393"/>
    <mergeCell ref="J394:K394"/>
    <mergeCell ref="J395:K395"/>
    <mergeCell ref="J396:K396"/>
    <mergeCell ref="J397:K397"/>
    <mergeCell ref="J398:K398"/>
    <mergeCell ref="J399:K399"/>
    <mergeCell ref="J400:K400"/>
    <mergeCell ref="J401:K401"/>
    <mergeCell ref="J402:K402"/>
    <mergeCell ref="J403:K403"/>
    <mergeCell ref="J404:K404"/>
    <mergeCell ref="J405:K405"/>
    <mergeCell ref="J406:K406"/>
    <mergeCell ref="J407:K407"/>
    <mergeCell ref="J408:K408"/>
    <mergeCell ref="J421:K421"/>
    <mergeCell ref="J422:K422"/>
    <mergeCell ref="J423:K423"/>
    <mergeCell ref="J424:K424"/>
    <mergeCell ref="J425:K425"/>
    <mergeCell ref="J426:K426"/>
    <mergeCell ref="J427:K427"/>
    <mergeCell ref="J428:K428"/>
    <mergeCell ref="J429:K429"/>
    <mergeCell ref="J430:K430"/>
    <mergeCell ref="J431:K431"/>
    <mergeCell ref="J432:K432"/>
    <mergeCell ref="J433:K433"/>
    <mergeCell ref="J434:K434"/>
    <mergeCell ref="J435:K435"/>
    <mergeCell ref="J436:K436"/>
    <mergeCell ref="J437:K437"/>
    <mergeCell ref="J438:K438"/>
    <mergeCell ref="J439:K439"/>
    <mergeCell ref="J440:K440"/>
    <mergeCell ref="J441:K441"/>
    <mergeCell ref="J442:K442"/>
    <mergeCell ref="J443:K443"/>
    <mergeCell ref="J444:K444"/>
    <mergeCell ref="J445:K445"/>
    <mergeCell ref="J446:K446"/>
    <mergeCell ref="J447:K447"/>
    <mergeCell ref="J448:K448"/>
    <mergeCell ref="J449:K449"/>
    <mergeCell ref="J450:K450"/>
    <mergeCell ref="J451:K451"/>
    <mergeCell ref="J452:K452"/>
    <mergeCell ref="J453:K453"/>
    <mergeCell ref="J511:K511"/>
    <mergeCell ref="J513:K513"/>
    <mergeCell ref="J515:K515"/>
    <mergeCell ref="J517:K517"/>
    <mergeCell ref="J519:K519"/>
    <mergeCell ref="J521:K521"/>
    <mergeCell ref="J523:K523"/>
    <mergeCell ref="J525:K525"/>
    <mergeCell ref="J527:K527"/>
    <mergeCell ref="J529:K529"/>
    <mergeCell ref="J531:K531"/>
    <mergeCell ref="J533:K533"/>
    <mergeCell ref="J535:K535"/>
    <mergeCell ref="J537:K537"/>
    <mergeCell ref="J539:K539"/>
    <mergeCell ref="J541:K541"/>
    <mergeCell ref="J543:K543"/>
    <mergeCell ref="J466:K466"/>
    <mergeCell ref="J467:K467"/>
    <mergeCell ref="J468:K468"/>
    <mergeCell ref="J469:K469"/>
    <mergeCell ref="J470:K470"/>
    <mergeCell ref="J471:K471"/>
    <mergeCell ref="J472:K472"/>
    <mergeCell ref="J473:K473"/>
    <mergeCell ref="J474:K474"/>
    <mergeCell ref="J475:K475"/>
    <mergeCell ref="J476:K476"/>
    <mergeCell ref="J477:K477"/>
    <mergeCell ref="J478:K478"/>
    <mergeCell ref="J479:K479"/>
    <mergeCell ref="J480:K480"/>
    <mergeCell ref="J481:K481"/>
    <mergeCell ref="J482:K482"/>
    <mergeCell ref="J483:K483"/>
    <mergeCell ref="J484:K484"/>
    <mergeCell ref="J485:K485"/>
    <mergeCell ref="J486:K486"/>
    <mergeCell ref="J487:K487"/>
    <mergeCell ref="J488:K488"/>
    <mergeCell ref="J489:K489"/>
    <mergeCell ref="J490:K490"/>
    <mergeCell ref="J491:K491"/>
    <mergeCell ref="J492:K492"/>
    <mergeCell ref="J493:K493"/>
    <mergeCell ref="J494:K494"/>
    <mergeCell ref="J495:K495"/>
    <mergeCell ref="J496:K496"/>
    <mergeCell ref="J497:K497"/>
    <mergeCell ref="J498:K498"/>
    <mergeCell ref="J601:K601"/>
    <mergeCell ref="J603:K603"/>
    <mergeCell ref="J605:K605"/>
    <mergeCell ref="J607:K607"/>
    <mergeCell ref="J609:K609"/>
    <mergeCell ref="J611:K611"/>
    <mergeCell ref="J612:K612"/>
    <mergeCell ref="J613:K613"/>
    <mergeCell ref="J614:K614"/>
    <mergeCell ref="J615:K615"/>
    <mergeCell ref="J616:K616"/>
    <mergeCell ref="J617:K617"/>
    <mergeCell ref="J618:K618"/>
    <mergeCell ref="J619:K619"/>
    <mergeCell ref="J620:K620"/>
    <mergeCell ref="J621:K621"/>
    <mergeCell ref="J622:K622"/>
    <mergeCell ref="J623:K623"/>
    <mergeCell ref="J624:K624"/>
    <mergeCell ref="J625:K625"/>
    <mergeCell ref="J626:K626"/>
    <mergeCell ref="J627:K627"/>
    <mergeCell ref="J628:K628"/>
    <mergeCell ref="J629:K629"/>
    <mergeCell ref="J630:K630"/>
    <mergeCell ref="J631:K631"/>
    <mergeCell ref="J632:K632"/>
    <mergeCell ref="J555:K555"/>
    <mergeCell ref="J557:K557"/>
    <mergeCell ref="J559:K559"/>
    <mergeCell ref="J561:K561"/>
    <mergeCell ref="J563:K563"/>
    <mergeCell ref="J565:K565"/>
    <mergeCell ref="J567:K567"/>
    <mergeCell ref="J569:K569"/>
    <mergeCell ref="J571:K571"/>
    <mergeCell ref="J573:K573"/>
    <mergeCell ref="J575:K575"/>
    <mergeCell ref="J577:K577"/>
    <mergeCell ref="J579:K579"/>
    <mergeCell ref="J581:K581"/>
    <mergeCell ref="J583:K583"/>
    <mergeCell ref="J585:K585"/>
    <mergeCell ref="J587:K587"/>
    <mergeCell ref="J645:K645"/>
    <mergeCell ref="J646:K646"/>
    <mergeCell ref="J647:K647"/>
    <mergeCell ref="J648:K648"/>
    <mergeCell ref="J649:K649"/>
    <mergeCell ref="J650:K650"/>
    <mergeCell ref="J651:K651"/>
    <mergeCell ref="J652:K652"/>
    <mergeCell ref="J653:K653"/>
    <mergeCell ref="J654:K654"/>
    <mergeCell ref="J655:K655"/>
    <mergeCell ref="J656:K656"/>
    <mergeCell ref="J657:K657"/>
    <mergeCell ref="J658:K658"/>
    <mergeCell ref="J659:K659"/>
    <mergeCell ref="J660:K660"/>
    <mergeCell ref="J661:K661"/>
    <mergeCell ref="J662:K662"/>
    <mergeCell ref="J663:K663"/>
    <mergeCell ref="J664:K664"/>
    <mergeCell ref="J665:K665"/>
    <mergeCell ref="J666:K666"/>
    <mergeCell ref="J667:K667"/>
    <mergeCell ref="J668:K668"/>
    <mergeCell ref="J669:K669"/>
    <mergeCell ref="J670:K670"/>
    <mergeCell ref="J671:K671"/>
    <mergeCell ref="J672:K672"/>
    <mergeCell ref="J673:K673"/>
    <mergeCell ref="J674:K674"/>
    <mergeCell ref="J675:K675"/>
    <mergeCell ref="J676:K676"/>
    <mergeCell ref="J677:K677"/>
    <mergeCell ref="J690:K690"/>
    <mergeCell ref="J691:K691"/>
    <mergeCell ref="J692:K692"/>
    <mergeCell ref="J693:K693"/>
    <mergeCell ref="J694:K694"/>
    <mergeCell ref="J695:K695"/>
    <mergeCell ref="J696:K696"/>
    <mergeCell ref="J697:K697"/>
    <mergeCell ref="J698:K698"/>
    <mergeCell ref="J699:K699"/>
    <mergeCell ref="J700:K700"/>
    <mergeCell ref="J701:K701"/>
    <mergeCell ref="J702:K702"/>
    <mergeCell ref="J703:K703"/>
    <mergeCell ref="J704:K704"/>
    <mergeCell ref="J705:K705"/>
    <mergeCell ref="J706:K706"/>
    <mergeCell ref="J707:K707"/>
    <mergeCell ref="J708:K708"/>
    <mergeCell ref="J709:K709"/>
    <mergeCell ref="J710:K710"/>
    <mergeCell ref="J711:K711"/>
    <mergeCell ref="J712:K712"/>
    <mergeCell ref="J713:K713"/>
    <mergeCell ref="J714:K714"/>
    <mergeCell ref="J715:K715"/>
    <mergeCell ref="J716:K716"/>
    <mergeCell ref="J717:K717"/>
    <mergeCell ref="J718:K718"/>
    <mergeCell ref="J719:K719"/>
    <mergeCell ref="J720:K720"/>
    <mergeCell ref="J721:K721"/>
    <mergeCell ref="J722:K722"/>
    <mergeCell ref="J780:K780"/>
    <mergeCell ref="J781:K781"/>
    <mergeCell ref="J782:K782"/>
    <mergeCell ref="J783:K783"/>
    <mergeCell ref="J784:K784"/>
    <mergeCell ref="J785:K785"/>
    <mergeCell ref="J786:K786"/>
    <mergeCell ref="J787:K787"/>
    <mergeCell ref="J788:K788"/>
    <mergeCell ref="J789:K789"/>
    <mergeCell ref="J790:K790"/>
    <mergeCell ref="J791:K791"/>
    <mergeCell ref="J792:K792"/>
    <mergeCell ref="J793:K793"/>
    <mergeCell ref="J794:K794"/>
    <mergeCell ref="J795:K795"/>
    <mergeCell ref="J796:K796"/>
    <mergeCell ref="J797:K797"/>
    <mergeCell ref="J798:K798"/>
    <mergeCell ref="J799:K799"/>
    <mergeCell ref="J800:K800"/>
    <mergeCell ref="J801:K801"/>
    <mergeCell ref="J802:K802"/>
    <mergeCell ref="J803:K803"/>
    <mergeCell ref="J804:K804"/>
    <mergeCell ref="J805:K805"/>
    <mergeCell ref="J807:K807"/>
    <mergeCell ref="J809:K809"/>
    <mergeCell ref="J811:K811"/>
    <mergeCell ref="J735:K735"/>
    <mergeCell ref="J736:K736"/>
    <mergeCell ref="J737:K737"/>
    <mergeCell ref="J738:K738"/>
    <mergeCell ref="J739:K739"/>
    <mergeCell ref="J740:K740"/>
    <mergeCell ref="J741:K741"/>
    <mergeCell ref="J742:K742"/>
    <mergeCell ref="J743:K743"/>
    <mergeCell ref="J744:K744"/>
    <mergeCell ref="J745:K745"/>
    <mergeCell ref="J746:K746"/>
    <mergeCell ref="J747:K747"/>
    <mergeCell ref="J748:K748"/>
    <mergeCell ref="J749:K749"/>
    <mergeCell ref="J750:K750"/>
    <mergeCell ref="J751:K751"/>
    <mergeCell ref="J752:K752"/>
    <mergeCell ref="J753:K753"/>
    <mergeCell ref="J754:K754"/>
    <mergeCell ref="J755:K755"/>
    <mergeCell ref="J756:K756"/>
    <mergeCell ref="J757:K757"/>
    <mergeCell ref="J758:K758"/>
    <mergeCell ref="J759:K759"/>
    <mergeCell ref="J760:K760"/>
    <mergeCell ref="J761:K761"/>
    <mergeCell ref="J762:K762"/>
    <mergeCell ref="J763:K763"/>
    <mergeCell ref="J764:K764"/>
    <mergeCell ref="J765:K765"/>
    <mergeCell ref="J766:K766"/>
    <mergeCell ref="J767:K767"/>
    <mergeCell ref="J901:K901"/>
    <mergeCell ref="J825:K825"/>
    <mergeCell ref="J827:K827"/>
    <mergeCell ref="J829:K829"/>
    <mergeCell ref="J831:K831"/>
    <mergeCell ref="J833:K833"/>
    <mergeCell ref="J835:K835"/>
    <mergeCell ref="J837:K837"/>
    <mergeCell ref="J839:K839"/>
    <mergeCell ref="J841:K841"/>
    <mergeCell ref="J843:K843"/>
    <mergeCell ref="J845:K845"/>
    <mergeCell ref="J847:K847"/>
    <mergeCell ref="J849:K849"/>
    <mergeCell ref="J851:K851"/>
    <mergeCell ref="J853:K853"/>
    <mergeCell ref="J855:K855"/>
    <mergeCell ref="J857:K857"/>
    <mergeCell ref="J915:K915"/>
    <mergeCell ref="J916:K916"/>
    <mergeCell ref="J917:K917"/>
    <mergeCell ref="J918:K918"/>
    <mergeCell ref="J919:K919"/>
    <mergeCell ref="J920:K920"/>
    <mergeCell ref="J921:K921"/>
    <mergeCell ref="J922:K922"/>
    <mergeCell ref="J923:K923"/>
    <mergeCell ref="J924:K924"/>
    <mergeCell ref="J925:K925"/>
    <mergeCell ref="J926:K926"/>
    <mergeCell ref="J927:K927"/>
    <mergeCell ref="J928:K928"/>
    <mergeCell ref="J929:K929"/>
    <mergeCell ref="J931:K931"/>
    <mergeCell ref="J932:K932"/>
    <mergeCell ref="J933:K933"/>
    <mergeCell ref="J934:K934"/>
    <mergeCell ref="J935:K935"/>
    <mergeCell ref="J936:K936"/>
    <mergeCell ref="J937:K937"/>
    <mergeCell ref="J938:K938"/>
    <mergeCell ref="J939:K939"/>
    <mergeCell ref="J940:K940"/>
    <mergeCell ref="J941:K941"/>
    <mergeCell ref="J942:K942"/>
    <mergeCell ref="J943:K943"/>
    <mergeCell ref="J944:K944"/>
    <mergeCell ref="J945:K945"/>
    <mergeCell ref="J946:K946"/>
    <mergeCell ref="J947:K947"/>
    <mergeCell ref="J960:K960"/>
    <mergeCell ref="J961:K961"/>
    <mergeCell ref="J962:K962"/>
    <mergeCell ref="J963:K963"/>
    <mergeCell ref="J964:K964"/>
    <mergeCell ref="J965:K965"/>
    <mergeCell ref="J966:K966"/>
    <mergeCell ref="J967:K967"/>
    <mergeCell ref="J968:K968"/>
    <mergeCell ref="J969:K969"/>
    <mergeCell ref="J970:K970"/>
    <mergeCell ref="J971:K971"/>
    <mergeCell ref="J972:K972"/>
    <mergeCell ref="J973:K973"/>
    <mergeCell ref="J974:K974"/>
    <mergeCell ref="J975:K975"/>
    <mergeCell ref="J990:K990"/>
    <mergeCell ref="J991:K991"/>
    <mergeCell ref="J992:K992"/>
    <mergeCell ref="J1005:K1005"/>
    <mergeCell ref="J1006:K1006"/>
    <mergeCell ref="J1007:K1007"/>
    <mergeCell ref="J1008:K1008"/>
    <mergeCell ref="J1009:K1009"/>
    <mergeCell ref="J1010:K1010"/>
    <mergeCell ref="J1011:K1011"/>
    <mergeCell ref="J1012:K1012"/>
    <mergeCell ref="J1013:K1013"/>
    <mergeCell ref="J1014:K1014"/>
    <mergeCell ref="J1015:K1015"/>
    <mergeCell ref="J1016:K1016"/>
    <mergeCell ref="J1017:K1017"/>
    <mergeCell ref="J1018:K1018"/>
    <mergeCell ref="J1019:K1019"/>
    <mergeCell ref="J1020:K1020"/>
    <mergeCell ref="J1021:K1021"/>
    <mergeCell ref="J1022:K1022"/>
    <mergeCell ref="J1023:K1023"/>
    <mergeCell ref="J1024:K1024"/>
    <mergeCell ref="J1025:K1025"/>
    <mergeCell ref="J1026:K1026"/>
    <mergeCell ref="J1027:K1027"/>
    <mergeCell ref="J1028:K1028"/>
    <mergeCell ref="J1029:K1029"/>
    <mergeCell ref="J1030:K1030"/>
    <mergeCell ref="J1031:K1031"/>
    <mergeCell ref="J1032:K1032"/>
    <mergeCell ref="J1033:K1033"/>
    <mergeCell ref="J1034:K1034"/>
    <mergeCell ref="J1035:K1035"/>
    <mergeCell ref="J1036:K1036"/>
    <mergeCell ref="J1037:K1037"/>
    <mergeCell ref="J1095:K1095"/>
    <mergeCell ref="J1096:K1096"/>
    <mergeCell ref="J1097:K1097"/>
    <mergeCell ref="J1098:K1098"/>
    <mergeCell ref="J1099:K1099"/>
    <mergeCell ref="J1100:K1100"/>
    <mergeCell ref="J1101:K1101"/>
    <mergeCell ref="J1102:K1102"/>
    <mergeCell ref="J1103:K1103"/>
    <mergeCell ref="J1105:K1105"/>
    <mergeCell ref="J1107:K1107"/>
    <mergeCell ref="J1109:K1109"/>
    <mergeCell ref="J1111:K1111"/>
    <mergeCell ref="J1113:K1113"/>
    <mergeCell ref="J1115:K1115"/>
    <mergeCell ref="J1117:K1117"/>
    <mergeCell ref="J1119:K1119"/>
    <mergeCell ref="J1121:K1121"/>
    <mergeCell ref="J1123:K1123"/>
    <mergeCell ref="J1125:K1125"/>
    <mergeCell ref="J1127:K1127"/>
    <mergeCell ref="J1050:K1050"/>
    <mergeCell ref="J1051:K1051"/>
    <mergeCell ref="J1052:K1052"/>
    <mergeCell ref="J1053:K1053"/>
    <mergeCell ref="J1054:K1054"/>
    <mergeCell ref="J1055:K1055"/>
    <mergeCell ref="J1056:K1056"/>
    <mergeCell ref="J1057:K1057"/>
    <mergeCell ref="J1058:K1058"/>
    <mergeCell ref="J1059:K1059"/>
    <mergeCell ref="J1060:K1060"/>
    <mergeCell ref="J1061:K1061"/>
    <mergeCell ref="J1062:K1062"/>
    <mergeCell ref="J1063:K1063"/>
    <mergeCell ref="J1064:K1064"/>
    <mergeCell ref="J1065:K1065"/>
    <mergeCell ref="J1066:K1066"/>
    <mergeCell ref="J1067:K1067"/>
    <mergeCell ref="J1068:K1068"/>
    <mergeCell ref="J1069:K1069"/>
    <mergeCell ref="J1070:K1070"/>
    <mergeCell ref="J1071:K1071"/>
    <mergeCell ref="J1072:K1072"/>
    <mergeCell ref="J1073:K1073"/>
    <mergeCell ref="J1074:K1074"/>
    <mergeCell ref="J1075:K1075"/>
    <mergeCell ref="J1076:K1076"/>
    <mergeCell ref="J1077:K1077"/>
    <mergeCell ref="J1078:K1078"/>
    <mergeCell ref="J1079:K1079"/>
    <mergeCell ref="J1080:K1080"/>
    <mergeCell ref="J1081:K1081"/>
    <mergeCell ref="J1082:K1082"/>
    <mergeCell ref="J1201:K1201"/>
    <mergeCell ref="J1203:K1203"/>
    <mergeCell ref="J1205:K1205"/>
    <mergeCell ref="J1207:K1207"/>
    <mergeCell ref="J1208:K1208"/>
    <mergeCell ref="J1209:K1209"/>
    <mergeCell ref="J1210:K1210"/>
    <mergeCell ref="J1211:K1211"/>
    <mergeCell ref="J1212:K1212"/>
    <mergeCell ref="J1213:K1213"/>
    <mergeCell ref="J1214:K1214"/>
    <mergeCell ref="J1215:K1215"/>
    <mergeCell ref="J1216:K1216"/>
    <mergeCell ref="J1217:K1217"/>
    <mergeCell ref="J1218:K1218"/>
    <mergeCell ref="J1141:K1141"/>
    <mergeCell ref="J1143:K1143"/>
    <mergeCell ref="J1145:K1145"/>
    <mergeCell ref="J1147:K1147"/>
    <mergeCell ref="J1149:K1149"/>
    <mergeCell ref="J1151:K1151"/>
    <mergeCell ref="J1153:K1153"/>
    <mergeCell ref="J1155:K1155"/>
    <mergeCell ref="J1157:K1157"/>
    <mergeCell ref="J1159:K1159"/>
    <mergeCell ref="J1161:K1161"/>
    <mergeCell ref="J1163:K1163"/>
    <mergeCell ref="J1165:K1165"/>
    <mergeCell ref="J1167:K1167"/>
    <mergeCell ref="J1169:K1169"/>
    <mergeCell ref="J1171:K1171"/>
    <mergeCell ref="J1173:K1173"/>
    <mergeCell ref="J1231:K1231"/>
    <mergeCell ref="J1245:K1245"/>
    <mergeCell ref="J1246:K1246"/>
    <mergeCell ref="J1247:K1247"/>
    <mergeCell ref="J1248:K1248"/>
    <mergeCell ref="J1249:K1249"/>
    <mergeCell ref="J1250:K1250"/>
    <mergeCell ref="J1251:K1251"/>
    <mergeCell ref="J1252:K1252"/>
    <mergeCell ref="J1253:K1253"/>
    <mergeCell ref="J1254:K1254"/>
    <mergeCell ref="J1255:K1255"/>
    <mergeCell ref="J1256:K1256"/>
    <mergeCell ref="J1257:K1257"/>
    <mergeCell ref="J1258:K1258"/>
    <mergeCell ref="J1259:K1259"/>
    <mergeCell ref="J1260:K1260"/>
    <mergeCell ref="J1261:K1261"/>
    <mergeCell ref="J1262:K1262"/>
    <mergeCell ref="J1263:K1263"/>
    <mergeCell ref="J1276:K1276"/>
    <mergeCell ref="J1277:K1277"/>
    <mergeCell ref="J1278:K1278"/>
    <mergeCell ref="J1279:K1279"/>
    <mergeCell ref="J1280:K1280"/>
    <mergeCell ref="J1281:K1281"/>
    <mergeCell ref="J1282:K1282"/>
    <mergeCell ref="J1283:K1283"/>
    <mergeCell ref="J1284:K1284"/>
    <mergeCell ref="J1285:K1285"/>
    <mergeCell ref="J1286:K1286"/>
    <mergeCell ref="J1287:K1287"/>
    <mergeCell ref="J1288:K1288"/>
    <mergeCell ref="J1289:K1289"/>
    <mergeCell ref="J1290:K1290"/>
    <mergeCell ref="J1291:K1291"/>
    <mergeCell ref="J1292:K1292"/>
    <mergeCell ref="J1293:K1293"/>
    <mergeCell ref="J1294:K1294"/>
    <mergeCell ref="J1295:K1295"/>
    <mergeCell ref="J1296:K1296"/>
    <mergeCell ref="J1297:K1297"/>
    <mergeCell ref="J1298:K1298"/>
    <mergeCell ref="J1299:K1299"/>
    <mergeCell ref="J1300:K1300"/>
    <mergeCell ref="J1301:K1301"/>
    <mergeCell ref="J1302:K1302"/>
    <mergeCell ref="J1303:K1303"/>
    <mergeCell ref="J1304:K1304"/>
    <mergeCell ref="J1305:K1305"/>
    <mergeCell ref="J1306:K1306"/>
    <mergeCell ref="J1307:K1307"/>
    <mergeCell ref="J1308:K1308"/>
    <mergeCell ref="J1321:K1321"/>
    <mergeCell ref="J1322:K1322"/>
    <mergeCell ref="J1323:K1323"/>
    <mergeCell ref="J1324:K1324"/>
    <mergeCell ref="J1325:K1325"/>
    <mergeCell ref="J1326:K1326"/>
    <mergeCell ref="J1327:K1327"/>
    <mergeCell ref="J1328:K1328"/>
    <mergeCell ref="J1329:K1329"/>
    <mergeCell ref="J1330:K1330"/>
    <mergeCell ref="J1331:K1331"/>
    <mergeCell ref="J1332:K1332"/>
    <mergeCell ref="J1333:K1333"/>
    <mergeCell ref="J1334:K1334"/>
    <mergeCell ref="J1335:K1335"/>
    <mergeCell ref="J1336:K1336"/>
    <mergeCell ref="J1337:K1337"/>
    <mergeCell ref="J1338:K1338"/>
    <mergeCell ref="J1339:K1339"/>
    <mergeCell ref="J1340:K1340"/>
    <mergeCell ref="J1341:K1341"/>
    <mergeCell ref="J1342:K1342"/>
    <mergeCell ref="J1343:K1343"/>
    <mergeCell ref="J1344:K1344"/>
    <mergeCell ref="J1345:K1345"/>
    <mergeCell ref="J1346:K1346"/>
    <mergeCell ref="J1347:K1347"/>
    <mergeCell ref="J1348:K1348"/>
    <mergeCell ref="J1349:K1349"/>
    <mergeCell ref="J1350:K1350"/>
    <mergeCell ref="J1351:K1351"/>
    <mergeCell ref="J1352:K1352"/>
    <mergeCell ref="J1353:K1353"/>
    <mergeCell ref="J1411:K1411"/>
    <mergeCell ref="J1413:K1413"/>
    <mergeCell ref="J1415:K1415"/>
    <mergeCell ref="J1417:K1417"/>
    <mergeCell ref="J1419:K1419"/>
    <mergeCell ref="J1421:K1421"/>
    <mergeCell ref="J1423:K1423"/>
    <mergeCell ref="J1425:K1425"/>
    <mergeCell ref="J1427:K1427"/>
    <mergeCell ref="J1429:K1429"/>
    <mergeCell ref="J1431:K1431"/>
    <mergeCell ref="J1433:K1433"/>
    <mergeCell ref="J1435:K1435"/>
    <mergeCell ref="J1437:K1437"/>
    <mergeCell ref="J1441:K1441"/>
    <mergeCell ref="J1443:K1443"/>
    <mergeCell ref="J1366:K1366"/>
    <mergeCell ref="J1367:K1367"/>
    <mergeCell ref="J1368:K1368"/>
    <mergeCell ref="J1369:K1369"/>
    <mergeCell ref="J1370:K1370"/>
    <mergeCell ref="J1371:K1371"/>
    <mergeCell ref="J1372:K1372"/>
    <mergeCell ref="J1373:K1373"/>
    <mergeCell ref="J1374:K1374"/>
    <mergeCell ref="J1375:K1375"/>
    <mergeCell ref="J1376:K1376"/>
    <mergeCell ref="J1377:K1377"/>
    <mergeCell ref="J1378:K1378"/>
    <mergeCell ref="J1379:K1379"/>
    <mergeCell ref="J1380:K1380"/>
    <mergeCell ref="J1381:K1381"/>
    <mergeCell ref="J1382:K1382"/>
    <mergeCell ref="J1383:K1383"/>
    <mergeCell ref="J1384:K1384"/>
    <mergeCell ref="J1385:K1385"/>
    <mergeCell ref="J1386:K1386"/>
    <mergeCell ref="J1387:K1387"/>
    <mergeCell ref="J1388:K1388"/>
    <mergeCell ref="J1389:K1389"/>
    <mergeCell ref="J1390:K1390"/>
    <mergeCell ref="J1391:K1391"/>
    <mergeCell ref="J1392:K1392"/>
    <mergeCell ref="J1393:K1393"/>
    <mergeCell ref="J1394:K1394"/>
    <mergeCell ref="J1395:K1395"/>
    <mergeCell ref="J1396:K1396"/>
    <mergeCell ref="J1397:K1397"/>
    <mergeCell ref="J1398:K1398"/>
    <mergeCell ref="J1515:K1515"/>
    <mergeCell ref="J1516:K1516"/>
    <mergeCell ref="J1517:K1517"/>
    <mergeCell ref="J1518:K1518"/>
    <mergeCell ref="J1519:K1519"/>
    <mergeCell ref="J1520:K1520"/>
    <mergeCell ref="J1521:K1521"/>
    <mergeCell ref="J1522:K1522"/>
    <mergeCell ref="J1523:K1523"/>
    <mergeCell ref="J1524:K1524"/>
    <mergeCell ref="J1525:K1525"/>
    <mergeCell ref="J1526:K1526"/>
    <mergeCell ref="J1527:K1527"/>
    <mergeCell ref="J1528:K1528"/>
    <mergeCell ref="J1529:K1529"/>
    <mergeCell ref="J1530:K1530"/>
    <mergeCell ref="J1531:K1531"/>
    <mergeCell ref="J1532:K1532"/>
    <mergeCell ref="J1455:K1455"/>
    <mergeCell ref="J1457:K1457"/>
    <mergeCell ref="J1459:K1459"/>
    <mergeCell ref="J1461:K1461"/>
    <mergeCell ref="J1463:K1463"/>
    <mergeCell ref="J1465:K1465"/>
    <mergeCell ref="J1467:K1467"/>
    <mergeCell ref="J1469:K1469"/>
    <mergeCell ref="J1471:K1471"/>
    <mergeCell ref="J1473:K1473"/>
    <mergeCell ref="J1475:K1475"/>
    <mergeCell ref="J1477:K1477"/>
    <mergeCell ref="J1479:K1479"/>
    <mergeCell ref="J1481:K1481"/>
    <mergeCell ref="J1483:K1483"/>
    <mergeCell ref="J1485:K1485"/>
    <mergeCell ref="J1487:K1487"/>
    <mergeCell ref="AV1611:AW1611"/>
    <mergeCell ref="AX1611:AZ1611"/>
    <mergeCell ref="BA1611:BB1611"/>
    <mergeCell ref="BD1611:BE1611"/>
    <mergeCell ref="BF1611:BI1611"/>
    <mergeCell ref="BJ1611:BM1611"/>
    <mergeCell ref="BN1611:BV1611"/>
    <mergeCell ref="J1605:K1605"/>
    <mergeCell ref="J1606:K1606"/>
    <mergeCell ref="J1607:K1607"/>
    <mergeCell ref="J1608:K1608"/>
    <mergeCell ref="J1609:K1609"/>
    <mergeCell ref="J1545:K1545"/>
    <mergeCell ref="J1546:K1546"/>
    <mergeCell ref="J1547:K1547"/>
    <mergeCell ref="J1548:K1548"/>
    <mergeCell ref="J1549:K1549"/>
    <mergeCell ref="J1550:K1550"/>
    <mergeCell ref="J1551:K1551"/>
    <mergeCell ref="J1552:K1552"/>
    <mergeCell ref="J1553:K1553"/>
    <mergeCell ref="J1554:K1554"/>
    <mergeCell ref="J1555:K1555"/>
    <mergeCell ref="J1556:K1556"/>
    <mergeCell ref="J1557:K1557"/>
    <mergeCell ref="J1558:K1558"/>
    <mergeCell ref="J1559:K1559"/>
    <mergeCell ref="J1560:K1560"/>
    <mergeCell ref="J1561:K1561"/>
    <mergeCell ref="J1562:K1562"/>
    <mergeCell ref="J1563:K1563"/>
    <mergeCell ref="J1564:K1564"/>
    <mergeCell ref="J1565:K1565"/>
    <mergeCell ref="J1566:K1566"/>
    <mergeCell ref="J1567:K1567"/>
    <mergeCell ref="J1568:K1568"/>
    <mergeCell ref="J1569:K1569"/>
    <mergeCell ref="J1570:K1570"/>
    <mergeCell ref="J1571:K1571"/>
    <mergeCell ref="J1572:K1572"/>
    <mergeCell ref="J1573:K1573"/>
    <mergeCell ref="J1574:K1574"/>
    <mergeCell ref="J1575:K1575"/>
    <mergeCell ref="J1576:K1576"/>
    <mergeCell ref="J1577:K1577"/>
    <mergeCell ref="AH1605:AI1605"/>
    <mergeCell ref="AH1606:AI1606"/>
    <mergeCell ref="AH1607:AI1607"/>
    <mergeCell ref="AH1608:AI1608"/>
    <mergeCell ref="AH1609:AI1609"/>
    <mergeCell ref="AH1591:AI1591"/>
    <mergeCell ref="AH1592:AI1592"/>
    <mergeCell ref="AT1609:AU1609"/>
    <mergeCell ref="AX1609:AZ1609"/>
    <mergeCell ref="BA1609:BB1609"/>
    <mergeCell ref="BD1609:BE1609"/>
    <mergeCell ref="BF1609:BI1609"/>
    <mergeCell ref="BJ1609:BM1609"/>
    <mergeCell ref="BN1609:BV1609"/>
    <mergeCell ref="AR1608:AS1608"/>
    <mergeCell ref="AT1608:AU1608"/>
    <mergeCell ref="AX1608:AZ1608"/>
    <mergeCell ref="BA1608:BB1608"/>
    <mergeCell ref="BD1608:BE1608"/>
    <mergeCell ref="X1613:AA1613"/>
    <mergeCell ref="AB1613:AE1613"/>
    <mergeCell ref="AF1613:AG1613"/>
    <mergeCell ref="AH1613:AI1613"/>
    <mergeCell ref="AJ1613:AK1613"/>
    <mergeCell ref="AL1613:AM1613"/>
    <mergeCell ref="AN1613:AO1613"/>
    <mergeCell ref="AP1613:AQ1613"/>
    <mergeCell ref="AR1613:AS1613"/>
    <mergeCell ref="AT1613:AU1613"/>
    <mergeCell ref="AV1613:AW1613"/>
    <mergeCell ref="AX1613:AZ1613"/>
    <mergeCell ref="BA1613:BB1613"/>
    <mergeCell ref="BD1613:BE1613"/>
    <mergeCell ref="BF1613:BI1613"/>
    <mergeCell ref="BJ1613:BM1613"/>
    <mergeCell ref="BN1613:BV1613"/>
    <mergeCell ref="B1610:C1610"/>
    <mergeCell ref="D1610:E1610"/>
    <mergeCell ref="F1610:G1610"/>
    <mergeCell ref="H1610:I1610"/>
    <mergeCell ref="J1610:K1610"/>
    <mergeCell ref="L1610:M1610"/>
    <mergeCell ref="P1610:Q1610"/>
    <mergeCell ref="R1610:S1610"/>
    <mergeCell ref="T1610:U1610"/>
    <mergeCell ref="V1610:W1610"/>
    <mergeCell ref="X1610:AA1610"/>
    <mergeCell ref="AB1610:AE1610"/>
    <mergeCell ref="AF1610:AG1610"/>
    <mergeCell ref="AH1610:AI1610"/>
    <mergeCell ref="AJ1610:AK1610"/>
    <mergeCell ref="AL1610:AM1610"/>
    <mergeCell ref="AN1610:AO1610"/>
    <mergeCell ref="AP1610:AQ1610"/>
    <mergeCell ref="AR1610:AS1610"/>
    <mergeCell ref="AT1610:AU1610"/>
    <mergeCell ref="AV1610:AW1610"/>
    <mergeCell ref="AX1610:AZ1610"/>
    <mergeCell ref="BA1610:BB1610"/>
    <mergeCell ref="BD1610:BE1610"/>
    <mergeCell ref="BF1610:BI1610"/>
    <mergeCell ref="BJ1610:BM1610"/>
    <mergeCell ref="BN1610:BV1610"/>
    <mergeCell ref="B1611:C1611"/>
    <mergeCell ref="D1611:E1611"/>
    <mergeCell ref="F1611:G1611"/>
    <mergeCell ref="H1611:I1611"/>
    <mergeCell ref="J1611:K1611"/>
    <mergeCell ref="L1611:M1611"/>
    <mergeCell ref="P1611:Q1611"/>
    <mergeCell ref="R1611:S1611"/>
    <mergeCell ref="T1611:U1611"/>
    <mergeCell ref="V1611:W1611"/>
    <mergeCell ref="X1611:AA1611"/>
    <mergeCell ref="AB1611:AE1611"/>
    <mergeCell ref="AF1611:AG1611"/>
    <mergeCell ref="AH1611:AI1611"/>
    <mergeCell ref="AJ1611:AK1611"/>
    <mergeCell ref="AL1611:AM1611"/>
    <mergeCell ref="AN1611:AO1611"/>
    <mergeCell ref="AP1611:AQ1611"/>
    <mergeCell ref="AR1611:AS1611"/>
    <mergeCell ref="AT1611:AU1611"/>
    <mergeCell ref="B1614:C1614"/>
    <mergeCell ref="D1614:E1614"/>
    <mergeCell ref="F1614:G1614"/>
    <mergeCell ref="H1614:I1614"/>
    <mergeCell ref="J1614:K1614"/>
    <mergeCell ref="L1614:M1614"/>
    <mergeCell ref="P1614:Q1614"/>
    <mergeCell ref="R1614:S1614"/>
    <mergeCell ref="T1614:U1614"/>
    <mergeCell ref="V1614:W1614"/>
    <mergeCell ref="X1614:AA1614"/>
    <mergeCell ref="AB1614:AE1614"/>
    <mergeCell ref="AF1614:AG1614"/>
    <mergeCell ref="AH1614:AI1614"/>
    <mergeCell ref="AJ1614:AK1614"/>
    <mergeCell ref="AL1614:AM1614"/>
    <mergeCell ref="AN1614:AO1614"/>
    <mergeCell ref="AP1614:AQ1614"/>
    <mergeCell ref="AR1614:AS1614"/>
    <mergeCell ref="AT1614:AU1614"/>
    <mergeCell ref="AV1614:AW1614"/>
    <mergeCell ref="AX1614:AZ1614"/>
    <mergeCell ref="BA1614:BB1614"/>
    <mergeCell ref="BD1614:BE1614"/>
    <mergeCell ref="BF1614:BI1614"/>
    <mergeCell ref="BJ1614:BM1614"/>
    <mergeCell ref="BN1614:BV1614"/>
    <mergeCell ref="B1612:C1612"/>
    <mergeCell ref="D1612:E1612"/>
    <mergeCell ref="F1612:G1612"/>
    <mergeCell ref="H1612:I1612"/>
    <mergeCell ref="J1612:K1612"/>
    <mergeCell ref="L1612:M1612"/>
    <mergeCell ref="P1612:Q1612"/>
    <mergeCell ref="R1612:S1612"/>
    <mergeCell ref="T1612:U1612"/>
    <mergeCell ref="V1612:W1612"/>
    <mergeCell ref="X1612:AA1612"/>
    <mergeCell ref="AB1612:AE1612"/>
    <mergeCell ref="AF1612:AG1612"/>
    <mergeCell ref="AH1612:AI1612"/>
    <mergeCell ref="AJ1612:AK1612"/>
    <mergeCell ref="AL1612:AM1612"/>
    <mergeCell ref="AN1612:AO1612"/>
    <mergeCell ref="AP1612:AQ1612"/>
    <mergeCell ref="AR1612:AS1612"/>
    <mergeCell ref="AT1612:AU1612"/>
    <mergeCell ref="AV1612:AW1612"/>
    <mergeCell ref="AX1612:AZ1612"/>
    <mergeCell ref="BA1612:BB1612"/>
    <mergeCell ref="BD1612:BE1612"/>
    <mergeCell ref="BF1612:BI1612"/>
    <mergeCell ref="BJ1612:BM1612"/>
    <mergeCell ref="BN1612:BV1612"/>
    <mergeCell ref="B1613:C1613"/>
    <mergeCell ref="D1613:E1613"/>
    <mergeCell ref="F1613:G1613"/>
    <mergeCell ref="H1613:I1613"/>
    <mergeCell ref="J1613:K1613"/>
    <mergeCell ref="L1613:M1613"/>
    <mergeCell ref="P1613:Q1613"/>
    <mergeCell ref="R1613:S1613"/>
    <mergeCell ref="T1613:U1613"/>
    <mergeCell ref="V1613:W1613"/>
  </mergeCells>
  <conditionalFormatting sqref="R17:S18 A15:E15 B410:E606 P625:Q625 P633:Q633 N624:N633 P825:Q825 P833:Q833 N824:N833 P1025:Q1025 P1033:Q1033 N1024:N1033 B1010:E1206 P1225:Q1225 P1233:Q1233 N1224:N1233 B1210:E1406 P1425:Q1425 P1433:Q1433 N1424:N1433 B1505:F1606 AL811:AU1009 AL1011:AU1209 AL1211:AU1409 AL1411:AU1609 AR17:AS18 N17:N24 V612:AF675 V677:AF682 AJ810:AU810 V812:AF875 V877:AF882 AJ1010:AU1010 V1012:AF1075 V1077:AF1082 AJ1210:AU1210 V1212:AF1275 V1277:AF1282 AJ1410:AU1410 V1412:AF1475 V1477:AF1482 O67 AL615:AU809 AJ15:AU16 F208:F312 B211:F312 X17:AE564 O535:U564 O525:Q534 O519:O524 O565:AF611 AL17:AO112 AL113:AQ114 AL115:AO614 AV15:BV1609 B115:F207 B16:E114 O130 O193 O256 O319 O382 O445 O508 AP213:AQ214 AP313:AQ314 AP413:AQ414 AP513:AQ514 AP613:AQ614 L15:AF16 L29:M207 N615:N621 N676:AF676 N683:AF811 N812:N821 N876:AF876 N1012:N1021 N1076:AF1076 N1212:N1221 N1276:AF1276 N1283:AF1411 N1412:N1421 N1476:AF1476 H1505:I1609 L1505:AF1609 H15:I34 L210:M211 F1505:F1609 B313:E406 B610:E806 B810:E1006 N883:AF1011 N1083:AF1211 B1410:E1504 N1483:AF1504">
    <cfRule type="expression" dxfId="4899" priority="5913">
      <formula>$BC15="YES"</formula>
    </cfRule>
  </conditionalFormatting>
  <conditionalFormatting sqref="B208:F210">
    <cfRule type="expression" dxfId="4898" priority="5910">
      <formula>$BC208="YES"</formula>
    </cfRule>
  </conditionalFormatting>
  <conditionalFormatting sqref="P17:Q18">
    <cfRule type="expression" dxfId="4897" priority="5908">
      <formula>$BC17="YES"</formula>
    </cfRule>
  </conditionalFormatting>
  <conditionalFormatting sqref="P19:Q20">
    <cfRule type="expression" dxfId="4896" priority="5907">
      <formula>$BC19="YES"</formula>
    </cfRule>
  </conditionalFormatting>
  <conditionalFormatting sqref="P21:Q22">
    <cfRule type="expression" dxfId="4895" priority="5906">
      <formula>$BC21="YES"</formula>
    </cfRule>
  </conditionalFormatting>
  <conditionalFormatting sqref="R31:S34">
    <cfRule type="expression" dxfId="4894" priority="5874">
      <formula>$BC31="YES"</formula>
    </cfRule>
  </conditionalFormatting>
  <conditionalFormatting sqref="B407:E409">
    <cfRule type="expression" dxfId="4893" priority="5651">
      <formula>$BC407="YES"</formula>
    </cfRule>
  </conditionalFormatting>
  <conditionalFormatting sqref="B607:E609">
    <cfRule type="expression" dxfId="4892" priority="5449">
      <formula>$BC607="YES"</formula>
    </cfRule>
  </conditionalFormatting>
  <conditionalFormatting sqref="R612:S613">
    <cfRule type="expression" dxfId="4891" priority="5248">
      <formula>$BC612="YES"</formula>
    </cfRule>
  </conditionalFormatting>
  <conditionalFormatting sqref="B807:E809">
    <cfRule type="expression" dxfId="4890" priority="5247">
      <formula>$BC807="YES"</formula>
    </cfRule>
  </conditionalFormatting>
  <conditionalFormatting sqref="P612:Q613">
    <cfRule type="expression" dxfId="4889" priority="5246">
      <formula>$BC612="YES"</formula>
    </cfRule>
  </conditionalFormatting>
  <conditionalFormatting sqref="P614:Q615">
    <cfRule type="expression" dxfId="4888" priority="5245">
      <formula>$BC614="YES"</formula>
    </cfRule>
  </conditionalFormatting>
  <conditionalFormatting sqref="P616:Q617">
    <cfRule type="expression" dxfId="4887" priority="5244">
      <formula>$BC616="YES"</formula>
    </cfRule>
  </conditionalFormatting>
  <conditionalFormatting sqref="O612:O613">
    <cfRule type="expression" dxfId="4886" priority="5243">
      <formula>$BC612="YES"</formula>
    </cfRule>
  </conditionalFormatting>
  <conditionalFormatting sqref="O614:O615">
    <cfRule type="expression" dxfId="4885" priority="5242">
      <formula>$BC614="YES"</formula>
    </cfRule>
  </conditionalFormatting>
  <conditionalFormatting sqref="O616:O617">
    <cfRule type="expression" dxfId="4884" priority="5241">
      <formula>$BC616="YES"</formula>
    </cfRule>
  </conditionalFormatting>
  <conditionalFormatting sqref="O618:O619">
    <cfRule type="expression" dxfId="4883" priority="5240">
      <formula>$BC618="YES"</formula>
    </cfRule>
  </conditionalFormatting>
  <conditionalFormatting sqref="O620:O621">
    <cfRule type="expression" dxfId="4882" priority="5239">
      <formula>$BC620="YES"</formula>
    </cfRule>
  </conditionalFormatting>
  <conditionalFormatting sqref="N622:O623">
    <cfRule type="expression" dxfId="4881" priority="5238">
      <formula>$BC622="YES"</formula>
    </cfRule>
  </conditionalFormatting>
  <conditionalFormatting sqref="O624:O625">
    <cfRule type="expression" dxfId="4880" priority="5237">
      <formula>$BC624="YES"</formula>
    </cfRule>
  </conditionalFormatting>
  <conditionalFormatting sqref="O626:O627">
    <cfRule type="expression" dxfId="4879" priority="5236">
      <formula>$BC626="YES"</formula>
    </cfRule>
  </conditionalFormatting>
  <conditionalFormatting sqref="O628:O629">
    <cfRule type="expression" dxfId="4878" priority="5235">
      <formula>$BC628="YES"</formula>
    </cfRule>
  </conditionalFormatting>
  <conditionalFormatting sqref="O630:O631">
    <cfRule type="expression" dxfId="4877" priority="5234">
      <formula>$BC630="YES"</formula>
    </cfRule>
  </conditionalFormatting>
  <conditionalFormatting sqref="O632:O633">
    <cfRule type="expression" dxfId="4876" priority="5233">
      <formula>$BC632="YES"</formula>
    </cfRule>
  </conditionalFormatting>
  <conditionalFormatting sqref="P618:Q619">
    <cfRule type="expression" dxfId="4875" priority="5232">
      <formula>$BC618="YES"</formula>
    </cfRule>
  </conditionalFormatting>
  <conditionalFormatting sqref="P620:Q621">
    <cfRule type="expression" dxfId="4874" priority="5231">
      <formula>$BC620="YES"</formula>
    </cfRule>
  </conditionalFormatting>
  <conditionalFormatting sqref="P622:Q623">
    <cfRule type="expression" dxfId="4873" priority="5230">
      <formula>$BC622="YES"</formula>
    </cfRule>
  </conditionalFormatting>
  <conditionalFormatting sqref="P624:Q624">
    <cfRule type="expression" dxfId="4872" priority="5229">
      <formula>$BC624="YES"</formula>
    </cfRule>
  </conditionalFormatting>
  <conditionalFormatting sqref="P626:Q627">
    <cfRule type="expression" dxfId="4871" priority="5228">
      <formula>$BC626="YES"</formula>
    </cfRule>
  </conditionalFormatting>
  <conditionalFormatting sqref="P628:Q629">
    <cfRule type="expression" dxfId="4870" priority="5227">
      <formula>$BC628="YES"</formula>
    </cfRule>
  </conditionalFormatting>
  <conditionalFormatting sqref="P630:Q631">
    <cfRule type="expression" dxfId="4869" priority="5226">
      <formula>$BC630="YES"</formula>
    </cfRule>
  </conditionalFormatting>
  <conditionalFormatting sqref="P632:Q632">
    <cfRule type="expression" dxfId="4868" priority="5225">
      <formula>$BC632="YES"</formula>
    </cfRule>
  </conditionalFormatting>
  <conditionalFormatting sqref="R614:S617">
    <cfRule type="expression" dxfId="4867" priority="5224">
      <formula>$BC614="YES"</formula>
    </cfRule>
  </conditionalFormatting>
  <conditionalFormatting sqref="R618:S621">
    <cfRule type="expression" dxfId="4866" priority="5223">
      <formula>$BC618="YES"</formula>
    </cfRule>
  </conditionalFormatting>
  <conditionalFormatting sqref="R622:S625">
    <cfRule type="expression" dxfId="4865" priority="5222">
      <formula>$BC622="YES"</formula>
    </cfRule>
  </conditionalFormatting>
  <conditionalFormatting sqref="R626:S629">
    <cfRule type="expression" dxfId="4864" priority="5221">
      <formula>$BC626="YES"</formula>
    </cfRule>
  </conditionalFormatting>
  <conditionalFormatting sqref="R630:S633">
    <cfRule type="expression" dxfId="4863" priority="5220">
      <formula>$BC630="YES"</formula>
    </cfRule>
  </conditionalFormatting>
  <conditionalFormatting sqref="T612:U613">
    <cfRule type="expression" dxfId="4862" priority="5219">
      <formula>$BC612="YES"</formula>
    </cfRule>
  </conditionalFormatting>
  <conditionalFormatting sqref="T614:U615">
    <cfRule type="expression" dxfId="4861" priority="5218">
      <formula>$BC614="YES"</formula>
    </cfRule>
  </conditionalFormatting>
  <conditionalFormatting sqref="T616:U617">
    <cfRule type="expression" dxfId="4860" priority="5217">
      <formula>$BC616="YES"</formula>
    </cfRule>
  </conditionalFormatting>
  <conditionalFormatting sqref="T618:U619">
    <cfRule type="expression" dxfId="4859" priority="5216">
      <formula>$BC618="YES"</formula>
    </cfRule>
  </conditionalFormatting>
  <conditionalFormatting sqref="T620:U621">
    <cfRule type="expression" dxfId="4858" priority="5215">
      <formula>$BC620="YES"</formula>
    </cfRule>
  </conditionalFormatting>
  <conditionalFormatting sqref="T622:U623">
    <cfRule type="expression" dxfId="4857" priority="5214">
      <formula>$BC622="YES"</formula>
    </cfRule>
  </conditionalFormatting>
  <conditionalFormatting sqref="T624:U625">
    <cfRule type="expression" dxfId="4856" priority="5213">
      <formula>$BC624="YES"</formula>
    </cfRule>
  </conditionalFormatting>
  <conditionalFormatting sqref="T626:U627">
    <cfRule type="expression" dxfId="4855" priority="5212">
      <formula>$BC626="YES"</formula>
    </cfRule>
  </conditionalFormatting>
  <conditionalFormatting sqref="T628:U629">
    <cfRule type="expression" dxfId="4854" priority="5211">
      <formula>$BC628="YES"</formula>
    </cfRule>
  </conditionalFormatting>
  <conditionalFormatting sqref="T630:U631">
    <cfRule type="expression" dxfId="4853" priority="5210">
      <formula>$BC630="YES"</formula>
    </cfRule>
  </conditionalFormatting>
  <conditionalFormatting sqref="T632:U633">
    <cfRule type="expression" dxfId="4852" priority="5209">
      <formula>$BC632="YES"</formula>
    </cfRule>
  </conditionalFormatting>
  <conditionalFormatting sqref="P635:Q635">
    <cfRule type="expression" dxfId="4851" priority="5208">
      <formula>$BC635="YES"</formula>
    </cfRule>
  </conditionalFormatting>
  <conditionalFormatting sqref="N634:N637">
    <cfRule type="expression" dxfId="4850" priority="5207">
      <formula>$BC634="YES"</formula>
    </cfRule>
  </conditionalFormatting>
  <conditionalFormatting sqref="O634:O635">
    <cfRule type="expression" dxfId="4849" priority="5206">
      <formula>$BC634="YES"</formula>
    </cfRule>
  </conditionalFormatting>
  <conditionalFormatting sqref="O636:O637">
    <cfRule type="expression" dxfId="4848" priority="5205">
      <formula>$BC636="YES"</formula>
    </cfRule>
  </conditionalFormatting>
  <conditionalFormatting sqref="P634:Q634">
    <cfRule type="expression" dxfId="4847" priority="5204">
      <formula>$BC634="YES"</formula>
    </cfRule>
  </conditionalFormatting>
  <conditionalFormatting sqref="P636:Q637">
    <cfRule type="expression" dxfId="4846" priority="5203">
      <formula>$BC636="YES"</formula>
    </cfRule>
  </conditionalFormatting>
  <conditionalFormatting sqref="R634:S635">
    <cfRule type="expression" dxfId="4845" priority="5202">
      <formula>$BC634="YES"</formula>
    </cfRule>
  </conditionalFormatting>
  <conditionalFormatting sqref="R636:S637">
    <cfRule type="expression" dxfId="4844" priority="5201">
      <formula>$BC636="YES"</formula>
    </cfRule>
  </conditionalFormatting>
  <conditionalFormatting sqref="T634:U635">
    <cfRule type="expression" dxfId="4843" priority="5200">
      <formula>$BC634="YES"</formula>
    </cfRule>
  </conditionalFormatting>
  <conditionalFormatting sqref="T636:U637">
    <cfRule type="expression" dxfId="4842" priority="5199">
      <formula>$BC636="YES"</formula>
    </cfRule>
  </conditionalFormatting>
  <conditionalFormatting sqref="P639:Q639">
    <cfRule type="expression" dxfId="4841" priority="5198">
      <formula>$BC639="YES"</formula>
    </cfRule>
  </conditionalFormatting>
  <conditionalFormatting sqref="N638:N641">
    <cfRule type="expression" dxfId="4840" priority="5197">
      <formula>$BC638="YES"</formula>
    </cfRule>
  </conditionalFormatting>
  <conditionalFormatting sqref="O638:O639">
    <cfRule type="expression" dxfId="4839" priority="5196">
      <formula>$BC638="YES"</formula>
    </cfRule>
  </conditionalFormatting>
  <conditionalFormatting sqref="O640:O641">
    <cfRule type="expression" dxfId="4838" priority="5195">
      <formula>$BC640="YES"</formula>
    </cfRule>
  </conditionalFormatting>
  <conditionalFormatting sqref="P638:Q638">
    <cfRule type="expression" dxfId="4837" priority="5194">
      <formula>$BC638="YES"</formula>
    </cfRule>
  </conditionalFormatting>
  <conditionalFormatting sqref="P640:Q641">
    <cfRule type="expression" dxfId="4836" priority="5193">
      <formula>$BC640="YES"</formula>
    </cfRule>
  </conditionalFormatting>
  <conditionalFormatting sqref="R638:S639">
    <cfRule type="expression" dxfId="4835" priority="5192">
      <formula>$BC638="YES"</formula>
    </cfRule>
  </conditionalFormatting>
  <conditionalFormatting sqref="R640:S641">
    <cfRule type="expression" dxfId="4834" priority="5191">
      <formula>$BC640="YES"</formula>
    </cfRule>
  </conditionalFormatting>
  <conditionalFormatting sqref="T638:U639">
    <cfRule type="expression" dxfId="4833" priority="5190">
      <formula>$BC638="YES"</formula>
    </cfRule>
  </conditionalFormatting>
  <conditionalFormatting sqref="T640:U641">
    <cfRule type="expression" dxfId="4832" priority="5189">
      <formula>$BC640="YES"</formula>
    </cfRule>
  </conditionalFormatting>
  <conditionalFormatting sqref="P643:Q643">
    <cfRule type="expression" dxfId="4831" priority="5188">
      <formula>$BC643="YES"</formula>
    </cfRule>
  </conditionalFormatting>
  <conditionalFormatting sqref="N642:N645">
    <cfRule type="expression" dxfId="4830" priority="5187">
      <formula>$BC642="YES"</formula>
    </cfRule>
  </conditionalFormatting>
  <conditionalFormatting sqref="O642:O643">
    <cfRule type="expression" dxfId="4829" priority="5186">
      <formula>$BC642="YES"</formula>
    </cfRule>
  </conditionalFormatting>
  <conditionalFormatting sqref="O644:O645">
    <cfRule type="expression" dxfId="4828" priority="5185">
      <formula>$BC644="YES"</formula>
    </cfRule>
  </conditionalFormatting>
  <conditionalFormatting sqref="P642:Q642">
    <cfRule type="expression" dxfId="4827" priority="5184">
      <formula>$BC642="YES"</formula>
    </cfRule>
  </conditionalFormatting>
  <conditionalFormatting sqref="P644:Q645">
    <cfRule type="expression" dxfId="4826" priority="5183">
      <formula>$BC644="YES"</formula>
    </cfRule>
  </conditionalFormatting>
  <conditionalFormatting sqref="R642:S643">
    <cfRule type="expression" dxfId="4825" priority="5182">
      <formula>$BC642="YES"</formula>
    </cfRule>
  </conditionalFormatting>
  <conditionalFormatting sqref="R644:S645">
    <cfRule type="expression" dxfId="4824" priority="5181">
      <formula>$BC644="YES"</formula>
    </cfRule>
  </conditionalFormatting>
  <conditionalFormatting sqref="T642:U643">
    <cfRule type="expression" dxfId="4823" priority="5180">
      <formula>$BC642="YES"</formula>
    </cfRule>
  </conditionalFormatting>
  <conditionalFormatting sqref="T644:U645">
    <cfRule type="expression" dxfId="4822" priority="5179">
      <formula>$BC644="YES"</formula>
    </cfRule>
  </conditionalFormatting>
  <conditionalFormatting sqref="P647:Q647">
    <cfRule type="expression" dxfId="4821" priority="5178">
      <formula>$BC647="YES"</formula>
    </cfRule>
  </conditionalFormatting>
  <conditionalFormatting sqref="N646:N649">
    <cfRule type="expression" dxfId="4820" priority="5177">
      <formula>$BC646="YES"</formula>
    </cfRule>
  </conditionalFormatting>
  <conditionalFormatting sqref="O646:O647">
    <cfRule type="expression" dxfId="4819" priority="5176">
      <formula>$BC646="YES"</formula>
    </cfRule>
  </conditionalFormatting>
  <conditionalFormatting sqref="O648:O649">
    <cfRule type="expression" dxfId="4818" priority="5175">
      <formula>$BC648="YES"</formula>
    </cfRule>
  </conditionalFormatting>
  <conditionalFormatting sqref="P646:Q646">
    <cfRule type="expression" dxfId="4817" priority="5174">
      <formula>$BC646="YES"</formula>
    </cfRule>
  </conditionalFormatting>
  <conditionalFormatting sqref="P648:Q649">
    <cfRule type="expression" dxfId="4816" priority="5173">
      <formula>$BC648="YES"</formula>
    </cfRule>
  </conditionalFormatting>
  <conditionalFormatting sqref="R646:S647">
    <cfRule type="expression" dxfId="4815" priority="5172">
      <formula>$BC646="YES"</formula>
    </cfRule>
  </conditionalFormatting>
  <conditionalFormatting sqref="R648:S649">
    <cfRule type="expression" dxfId="4814" priority="5171">
      <formula>$BC648="YES"</formula>
    </cfRule>
  </conditionalFormatting>
  <conditionalFormatting sqref="T646:U647">
    <cfRule type="expression" dxfId="4813" priority="5170">
      <formula>$BC646="YES"</formula>
    </cfRule>
  </conditionalFormatting>
  <conditionalFormatting sqref="T648:U649">
    <cfRule type="expression" dxfId="4812" priority="5169">
      <formula>$BC648="YES"</formula>
    </cfRule>
  </conditionalFormatting>
  <conditionalFormatting sqref="P651:Q651">
    <cfRule type="expression" dxfId="4811" priority="5168">
      <formula>$BC651="YES"</formula>
    </cfRule>
  </conditionalFormatting>
  <conditionalFormatting sqref="N650:N653">
    <cfRule type="expression" dxfId="4810" priority="5167">
      <formula>$BC650="YES"</formula>
    </cfRule>
  </conditionalFormatting>
  <conditionalFormatting sqref="O650:O651">
    <cfRule type="expression" dxfId="4809" priority="5166">
      <formula>$BC650="YES"</formula>
    </cfRule>
  </conditionalFormatting>
  <conditionalFormatting sqref="O652:O653">
    <cfRule type="expression" dxfId="4808" priority="5165">
      <formula>$BC652="YES"</formula>
    </cfRule>
  </conditionalFormatting>
  <conditionalFormatting sqref="P650:Q650">
    <cfRule type="expression" dxfId="4807" priority="5164">
      <formula>$BC650="YES"</formula>
    </cfRule>
  </conditionalFormatting>
  <conditionalFormatting sqref="P652:Q653">
    <cfRule type="expression" dxfId="4806" priority="5163">
      <formula>$BC652="YES"</formula>
    </cfRule>
  </conditionalFormatting>
  <conditionalFormatting sqref="R650:S651">
    <cfRule type="expression" dxfId="4805" priority="5162">
      <formula>$BC650="YES"</formula>
    </cfRule>
  </conditionalFormatting>
  <conditionalFormatting sqref="R652:S653">
    <cfRule type="expression" dxfId="4804" priority="5161">
      <formula>$BC652="YES"</formula>
    </cfRule>
  </conditionalFormatting>
  <conditionalFormatting sqref="T650:U651">
    <cfRule type="expression" dxfId="4803" priority="5160">
      <formula>$BC650="YES"</formula>
    </cfRule>
  </conditionalFormatting>
  <conditionalFormatting sqref="T652:U653">
    <cfRule type="expression" dxfId="4802" priority="5159">
      <formula>$BC652="YES"</formula>
    </cfRule>
  </conditionalFormatting>
  <conditionalFormatting sqref="P655:Q655">
    <cfRule type="expression" dxfId="4801" priority="5158">
      <formula>$BC655="YES"</formula>
    </cfRule>
  </conditionalFormatting>
  <conditionalFormatting sqref="N654:N657">
    <cfRule type="expression" dxfId="4800" priority="5157">
      <formula>$BC654="YES"</formula>
    </cfRule>
  </conditionalFormatting>
  <conditionalFormatting sqref="O654:O655">
    <cfRule type="expression" dxfId="4799" priority="5156">
      <formula>$BC654="YES"</formula>
    </cfRule>
  </conditionalFormatting>
  <conditionalFormatting sqref="O656:O657">
    <cfRule type="expression" dxfId="4798" priority="5155">
      <formula>$BC656="YES"</formula>
    </cfRule>
  </conditionalFormatting>
  <conditionalFormatting sqref="P654:Q654">
    <cfRule type="expression" dxfId="4797" priority="5154">
      <formula>$BC654="YES"</formula>
    </cfRule>
  </conditionalFormatting>
  <conditionalFormatting sqref="P656:Q657">
    <cfRule type="expression" dxfId="4796" priority="5153">
      <formula>$BC656="YES"</formula>
    </cfRule>
  </conditionalFormatting>
  <conditionalFormatting sqref="R654:S655">
    <cfRule type="expression" dxfId="4795" priority="5152">
      <formula>$BC654="YES"</formula>
    </cfRule>
  </conditionalFormatting>
  <conditionalFormatting sqref="R656:S657">
    <cfRule type="expression" dxfId="4794" priority="5151">
      <formula>$BC656="YES"</formula>
    </cfRule>
  </conditionalFormatting>
  <conditionalFormatting sqref="T654:U655">
    <cfRule type="expression" dxfId="4793" priority="5150">
      <formula>$BC654="YES"</formula>
    </cfRule>
  </conditionalFormatting>
  <conditionalFormatting sqref="T656:U657">
    <cfRule type="expression" dxfId="4792" priority="5149">
      <formula>$BC656="YES"</formula>
    </cfRule>
  </conditionalFormatting>
  <conditionalFormatting sqref="P659:Q659">
    <cfRule type="expression" dxfId="4791" priority="5148">
      <formula>$BC659="YES"</formula>
    </cfRule>
  </conditionalFormatting>
  <conditionalFormatting sqref="N658:N661">
    <cfRule type="expression" dxfId="4790" priority="5147">
      <formula>$BC658="YES"</formula>
    </cfRule>
  </conditionalFormatting>
  <conditionalFormatting sqref="O658:O659">
    <cfRule type="expression" dxfId="4789" priority="5146">
      <formula>$BC658="YES"</formula>
    </cfRule>
  </conditionalFormatting>
  <conditionalFormatting sqref="O660:O661">
    <cfRule type="expression" dxfId="4788" priority="5145">
      <formula>$BC660="YES"</formula>
    </cfRule>
  </conditionalFormatting>
  <conditionalFormatting sqref="P658:Q658">
    <cfRule type="expression" dxfId="4787" priority="5144">
      <formula>$BC658="YES"</formula>
    </cfRule>
  </conditionalFormatting>
  <conditionalFormatting sqref="P660:Q661">
    <cfRule type="expression" dxfId="4786" priority="5143">
      <formula>$BC660="YES"</formula>
    </cfRule>
  </conditionalFormatting>
  <conditionalFormatting sqref="R658:S659">
    <cfRule type="expression" dxfId="4785" priority="5142">
      <formula>$BC658="YES"</formula>
    </cfRule>
  </conditionalFormatting>
  <conditionalFormatting sqref="R660:S661">
    <cfRule type="expression" dxfId="4784" priority="5141">
      <formula>$BC660="YES"</formula>
    </cfRule>
  </conditionalFormatting>
  <conditionalFormatting sqref="T658:U659">
    <cfRule type="expression" dxfId="4783" priority="5140">
      <formula>$BC658="YES"</formula>
    </cfRule>
  </conditionalFormatting>
  <conditionalFormatting sqref="T660:U661">
    <cfRule type="expression" dxfId="4782" priority="5139">
      <formula>$BC660="YES"</formula>
    </cfRule>
  </conditionalFormatting>
  <conditionalFormatting sqref="P662:Q662">
    <cfRule type="expression" dxfId="4781" priority="5138">
      <formula>$BC662="YES"</formula>
    </cfRule>
  </conditionalFormatting>
  <conditionalFormatting sqref="N662:N663">
    <cfRule type="expression" dxfId="4780" priority="5137">
      <formula>$BC662="YES"</formula>
    </cfRule>
  </conditionalFormatting>
  <conditionalFormatting sqref="O662">
    <cfRule type="expression" dxfId="4779" priority="5136">
      <formula>$BC662="YES"</formula>
    </cfRule>
  </conditionalFormatting>
  <conditionalFormatting sqref="O663">
    <cfRule type="expression" dxfId="4778" priority="5135">
      <formula>$BC663="YES"</formula>
    </cfRule>
  </conditionalFormatting>
  <conditionalFormatting sqref="P663:Q663">
    <cfRule type="expression" dxfId="4777" priority="5134">
      <formula>$BC663="YES"</formula>
    </cfRule>
  </conditionalFormatting>
  <conditionalFormatting sqref="R662:S662">
    <cfRule type="expression" dxfId="4776" priority="5133">
      <formula>$BC662="YES"</formula>
    </cfRule>
  </conditionalFormatting>
  <conditionalFormatting sqref="R663:S663">
    <cfRule type="expression" dxfId="4775" priority="5132">
      <formula>$BC663="YES"</formula>
    </cfRule>
  </conditionalFormatting>
  <conditionalFormatting sqref="T662:U662">
    <cfRule type="expression" dxfId="4774" priority="5131">
      <formula>$BC662="YES"</formula>
    </cfRule>
  </conditionalFormatting>
  <conditionalFormatting sqref="T663:U663">
    <cfRule type="expression" dxfId="4773" priority="5130">
      <formula>$BC663="YES"</formula>
    </cfRule>
  </conditionalFormatting>
  <conditionalFormatting sqref="P664:Q664">
    <cfRule type="expression" dxfId="4772" priority="5129">
      <formula>$BC664="YES"</formula>
    </cfRule>
  </conditionalFormatting>
  <conditionalFormatting sqref="N664:N665">
    <cfRule type="expression" dxfId="4771" priority="5128">
      <formula>$BC664="YES"</formula>
    </cfRule>
  </conditionalFormatting>
  <conditionalFormatting sqref="O664">
    <cfRule type="expression" dxfId="4770" priority="5127">
      <formula>$BC664="YES"</formula>
    </cfRule>
  </conditionalFormatting>
  <conditionalFormatting sqref="O665">
    <cfRule type="expression" dxfId="4769" priority="5126">
      <formula>$BC665="YES"</formula>
    </cfRule>
  </conditionalFormatting>
  <conditionalFormatting sqref="P665:Q665">
    <cfRule type="expression" dxfId="4768" priority="5125">
      <formula>$BC665="YES"</formula>
    </cfRule>
  </conditionalFormatting>
  <conditionalFormatting sqref="R664:S664">
    <cfRule type="expression" dxfId="4767" priority="5124">
      <formula>$BC664="YES"</formula>
    </cfRule>
  </conditionalFormatting>
  <conditionalFormatting sqref="R665:S665">
    <cfRule type="expression" dxfId="4766" priority="5123">
      <formula>$BC665="YES"</formula>
    </cfRule>
  </conditionalFormatting>
  <conditionalFormatting sqref="T664:U664">
    <cfRule type="expression" dxfId="4765" priority="5122">
      <formula>$BC664="YES"</formula>
    </cfRule>
  </conditionalFormatting>
  <conditionalFormatting sqref="T665:U665">
    <cfRule type="expression" dxfId="4764" priority="5121">
      <formula>$BC665="YES"</formula>
    </cfRule>
  </conditionalFormatting>
  <conditionalFormatting sqref="P666:Q666">
    <cfRule type="expression" dxfId="4763" priority="5120">
      <formula>$BC666="YES"</formula>
    </cfRule>
  </conditionalFormatting>
  <conditionalFormatting sqref="N666:N667">
    <cfRule type="expression" dxfId="4762" priority="5119">
      <formula>$BC666="YES"</formula>
    </cfRule>
  </conditionalFormatting>
  <conditionalFormatting sqref="O666">
    <cfRule type="expression" dxfId="4761" priority="5118">
      <formula>$BC666="YES"</formula>
    </cfRule>
  </conditionalFormatting>
  <conditionalFormatting sqref="O667">
    <cfRule type="expression" dxfId="4760" priority="5117">
      <formula>$BC667="YES"</formula>
    </cfRule>
  </conditionalFormatting>
  <conditionalFormatting sqref="P667:Q667">
    <cfRule type="expression" dxfId="4759" priority="5116">
      <formula>$BC667="YES"</formula>
    </cfRule>
  </conditionalFormatting>
  <conditionalFormatting sqref="R666:S666">
    <cfRule type="expression" dxfId="4758" priority="5115">
      <formula>$BC666="YES"</formula>
    </cfRule>
  </conditionalFormatting>
  <conditionalFormatting sqref="R667:S667">
    <cfRule type="expression" dxfId="4757" priority="5114">
      <formula>$BC667="YES"</formula>
    </cfRule>
  </conditionalFormatting>
  <conditionalFormatting sqref="T666:U666">
    <cfRule type="expression" dxfId="4756" priority="5113">
      <formula>$BC666="YES"</formula>
    </cfRule>
  </conditionalFormatting>
  <conditionalFormatting sqref="T667:U667">
    <cfRule type="expression" dxfId="4755" priority="5112">
      <formula>$BC667="YES"</formula>
    </cfRule>
  </conditionalFormatting>
  <conditionalFormatting sqref="P668:Q668">
    <cfRule type="expression" dxfId="4754" priority="5111">
      <formula>$BC668="YES"</formula>
    </cfRule>
  </conditionalFormatting>
  <conditionalFormatting sqref="N668:N669">
    <cfRule type="expression" dxfId="4753" priority="5110">
      <formula>$BC668="YES"</formula>
    </cfRule>
  </conditionalFormatting>
  <conditionalFormatting sqref="O668">
    <cfRule type="expression" dxfId="4752" priority="5109">
      <formula>$BC668="YES"</formula>
    </cfRule>
  </conditionalFormatting>
  <conditionalFormatting sqref="O669">
    <cfRule type="expression" dxfId="4751" priority="5108">
      <formula>$BC669="YES"</formula>
    </cfRule>
  </conditionalFormatting>
  <conditionalFormatting sqref="P669:Q669">
    <cfRule type="expression" dxfId="4750" priority="5107">
      <formula>$BC669="YES"</formula>
    </cfRule>
  </conditionalFormatting>
  <conditionalFormatting sqref="R668:S668">
    <cfRule type="expression" dxfId="4749" priority="5106">
      <formula>$BC668="YES"</formula>
    </cfRule>
  </conditionalFormatting>
  <conditionalFormatting sqref="R669:S669">
    <cfRule type="expression" dxfId="4748" priority="5105">
      <formula>$BC669="YES"</formula>
    </cfRule>
  </conditionalFormatting>
  <conditionalFormatting sqref="T668:U668">
    <cfRule type="expression" dxfId="4747" priority="5104">
      <formula>$BC668="YES"</formula>
    </cfRule>
  </conditionalFormatting>
  <conditionalFormatting sqref="T669:U669">
    <cfRule type="expression" dxfId="4746" priority="5103">
      <formula>$BC669="YES"</formula>
    </cfRule>
  </conditionalFormatting>
  <conditionalFormatting sqref="P670:Q670">
    <cfRule type="expression" dxfId="4745" priority="5102">
      <formula>$BC670="YES"</formula>
    </cfRule>
  </conditionalFormatting>
  <conditionalFormatting sqref="N670:N671">
    <cfRule type="expression" dxfId="4744" priority="5101">
      <formula>$BC670="YES"</formula>
    </cfRule>
  </conditionalFormatting>
  <conditionalFormatting sqref="O670">
    <cfRule type="expression" dxfId="4743" priority="5100">
      <formula>$BC670="YES"</formula>
    </cfRule>
  </conditionalFormatting>
  <conditionalFormatting sqref="O671">
    <cfRule type="expression" dxfId="4742" priority="5099">
      <formula>$BC671="YES"</formula>
    </cfRule>
  </conditionalFormatting>
  <conditionalFormatting sqref="P671:Q671">
    <cfRule type="expression" dxfId="4741" priority="5098">
      <formula>$BC671="YES"</formula>
    </cfRule>
  </conditionalFormatting>
  <conditionalFormatting sqref="R670:S670">
    <cfRule type="expression" dxfId="4740" priority="5097">
      <formula>$BC670="YES"</formula>
    </cfRule>
  </conditionalFormatting>
  <conditionalFormatting sqref="R671:S671">
    <cfRule type="expression" dxfId="4739" priority="5096">
      <formula>$BC671="YES"</formula>
    </cfRule>
  </conditionalFormatting>
  <conditionalFormatting sqref="T670:U670">
    <cfRule type="expression" dxfId="4738" priority="5095">
      <formula>$BC670="YES"</formula>
    </cfRule>
  </conditionalFormatting>
  <conditionalFormatting sqref="T671:U671">
    <cfRule type="expression" dxfId="4737" priority="5094">
      <formula>$BC671="YES"</formula>
    </cfRule>
  </conditionalFormatting>
  <conditionalFormatting sqref="P672:Q672">
    <cfRule type="expression" dxfId="4736" priority="5093">
      <formula>$BC672="YES"</formula>
    </cfRule>
  </conditionalFormatting>
  <conditionalFormatting sqref="N672:N673">
    <cfRule type="expression" dxfId="4735" priority="5092">
      <formula>$BC672="YES"</formula>
    </cfRule>
  </conditionalFormatting>
  <conditionalFormatting sqref="O672">
    <cfRule type="expression" dxfId="4734" priority="5091">
      <formula>$BC672="YES"</formula>
    </cfRule>
  </conditionalFormatting>
  <conditionalFormatting sqref="O673">
    <cfRule type="expression" dxfId="4733" priority="5090">
      <formula>$BC673="YES"</formula>
    </cfRule>
  </conditionalFormatting>
  <conditionalFormatting sqref="P673:Q673">
    <cfRule type="expression" dxfId="4732" priority="5089">
      <formula>$BC673="YES"</formula>
    </cfRule>
  </conditionalFormatting>
  <conditionalFormatting sqref="R672:S672">
    <cfRule type="expression" dxfId="4731" priority="5088">
      <formula>$BC672="YES"</formula>
    </cfRule>
  </conditionalFormatting>
  <conditionalFormatting sqref="R673:S673">
    <cfRule type="expression" dxfId="4730" priority="5087">
      <formula>$BC673="YES"</formula>
    </cfRule>
  </conditionalFormatting>
  <conditionalFormatting sqref="T672:U672">
    <cfRule type="expression" dxfId="4729" priority="5086">
      <formula>$BC672="YES"</formula>
    </cfRule>
  </conditionalFormatting>
  <conditionalFormatting sqref="T673:U673">
    <cfRule type="expression" dxfId="4728" priority="5085">
      <formula>$BC673="YES"</formula>
    </cfRule>
  </conditionalFormatting>
  <conditionalFormatting sqref="P674:Q674">
    <cfRule type="expression" dxfId="4727" priority="5084">
      <formula>$BC674="YES"</formula>
    </cfRule>
  </conditionalFormatting>
  <conditionalFormatting sqref="N674:N675">
    <cfRule type="expression" dxfId="4726" priority="5083">
      <formula>$BC674="YES"</formula>
    </cfRule>
  </conditionalFormatting>
  <conditionalFormatting sqref="O674">
    <cfRule type="expression" dxfId="4725" priority="5082">
      <formula>$BC674="YES"</formula>
    </cfRule>
  </conditionalFormatting>
  <conditionalFormatting sqref="O675">
    <cfRule type="expression" dxfId="4724" priority="5081">
      <formula>$BC675="YES"</formula>
    </cfRule>
  </conditionalFormatting>
  <conditionalFormatting sqref="P675:Q675">
    <cfRule type="expression" dxfId="4723" priority="5080">
      <formula>$BC675="YES"</formula>
    </cfRule>
  </conditionalFormatting>
  <conditionalFormatting sqref="R674:S674">
    <cfRule type="expression" dxfId="4722" priority="5079">
      <formula>$BC674="YES"</formula>
    </cfRule>
  </conditionalFormatting>
  <conditionalFormatting sqref="R675:S675">
    <cfRule type="expression" dxfId="4721" priority="5078">
      <formula>$BC675="YES"</formula>
    </cfRule>
  </conditionalFormatting>
  <conditionalFormatting sqref="T674:U674">
    <cfRule type="expression" dxfId="4720" priority="5077">
      <formula>$BC674="YES"</formula>
    </cfRule>
  </conditionalFormatting>
  <conditionalFormatting sqref="T675:U675">
    <cfRule type="expression" dxfId="4719" priority="5076">
      <formula>$BC675="YES"</formula>
    </cfRule>
  </conditionalFormatting>
  <conditionalFormatting sqref="P677:Q677">
    <cfRule type="expression" dxfId="4718" priority="5075">
      <formula>$BC677="YES"</formula>
    </cfRule>
  </conditionalFormatting>
  <conditionalFormatting sqref="N677:N678">
    <cfRule type="expression" dxfId="4717" priority="5074">
      <formula>$BC677="YES"</formula>
    </cfRule>
  </conditionalFormatting>
  <conditionalFormatting sqref="O677">
    <cfRule type="expression" dxfId="4716" priority="5073">
      <formula>$BC677="YES"</formula>
    </cfRule>
  </conditionalFormatting>
  <conditionalFormatting sqref="O678">
    <cfRule type="expression" dxfId="4715" priority="5072">
      <formula>$BC678="YES"</formula>
    </cfRule>
  </conditionalFormatting>
  <conditionalFormatting sqref="P678:Q678">
    <cfRule type="expression" dxfId="4714" priority="5071">
      <formula>$BC678="YES"</formula>
    </cfRule>
  </conditionalFormatting>
  <conditionalFormatting sqref="R677:S677">
    <cfRule type="expression" dxfId="4713" priority="5070">
      <formula>$BC677="YES"</formula>
    </cfRule>
  </conditionalFormatting>
  <conditionalFormatting sqref="R678:S678">
    <cfRule type="expression" dxfId="4712" priority="5069">
      <formula>$BC678="YES"</formula>
    </cfRule>
  </conditionalFormatting>
  <conditionalFormatting sqref="T677:U677">
    <cfRule type="expression" dxfId="4711" priority="5068">
      <formula>$BC677="YES"</formula>
    </cfRule>
  </conditionalFormatting>
  <conditionalFormatting sqref="T678:U678">
    <cfRule type="expression" dxfId="4710" priority="5067">
      <formula>$BC678="YES"</formula>
    </cfRule>
  </conditionalFormatting>
  <conditionalFormatting sqref="P679:Q679">
    <cfRule type="expression" dxfId="4709" priority="5066">
      <formula>$BC679="YES"</formula>
    </cfRule>
  </conditionalFormatting>
  <conditionalFormatting sqref="N679:N680">
    <cfRule type="expression" dxfId="4708" priority="5065">
      <formula>$BC679="YES"</formula>
    </cfRule>
  </conditionalFormatting>
  <conditionalFormatting sqref="O679">
    <cfRule type="expression" dxfId="4707" priority="5064">
      <formula>$BC679="YES"</formula>
    </cfRule>
  </conditionalFormatting>
  <conditionalFormatting sqref="O680">
    <cfRule type="expression" dxfId="4706" priority="5063">
      <formula>$BC680="YES"</formula>
    </cfRule>
  </conditionalFormatting>
  <conditionalFormatting sqref="P680:Q680">
    <cfRule type="expression" dxfId="4705" priority="5062">
      <formula>$BC680="YES"</formula>
    </cfRule>
  </conditionalFormatting>
  <conditionalFormatting sqref="R679:S679">
    <cfRule type="expression" dxfId="4704" priority="5061">
      <formula>$BC679="YES"</formula>
    </cfRule>
  </conditionalFormatting>
  <conditionalFormatting sqref="R680:S680">
    <cfRule type="expression" dxfId="4703" priority="5060">
      <formula>$BC680="YES"</formula>
    </cfRule>
  </conditionalFormatting>
  <conditionalFormatting sqref="T679:U679">
    <cfRule type="expression" dxfId="4702" priority="5059">
      <formula>$BC679="YES"</formula>
    </cfRule>
  </conditionalFormatting>
  <conditionalFormatting sqref="T680:U680">
    <cfRule type="expression" dxfId="4701" priority="5058">
      <formula>$BC680="YES"</formula>
    </cfRule>
  </conditionalFormatting>
  <conditionalFormatting sqref="P681:Q681">
    <cfRule type="expression" dxfId="4700" priority="5057">
      <formula>$BC681="YES"</formula>
    </cfRule>
  </conditionalFormatting>
  <conditionalFormatting sqref="N681:N682">
    <cfRule type="expression" dxfId="4699" priority="5056">
      <formula>$BC681="YES"</formula>
    </cfRule>
  </conditionalFormatting>
  <conditionalFormatting sqref="O681">
    <cfRule type="expression" dxfId="4698" priority="5055">
      <formula>$BC681="YES"</formula>
    </cfRule>
  </conditionalFormatting>
  <conditionalFormatting sqref="O682">
    <cfRule type="expression" dxfId="4697" priority="5054">
      <formula>$BC682="YES"</formula>
    </cfRule>
  </conditionalFormatting>
  <conditionalFormatting sqref="P682:Q682">
    <cfRule type="expression" dxfId="4696" priority="5053">
      <formula>$BC682="YES"</formula>
    </cfRule>
  </conditionalFormatting>
  <conditionalFormatting sqref="R681:S681">
    <cfRule type="expression" dxfId="4695" priority="5052">
      <formula>$BC681="YES"</formula>
    </cfRule>
  </conditionalFormatting>
  <conditionalFormatting sqref="R682:S682">
    <cfRule type="expression" dxfId="4694" priority="5051">
      <formula>$BC682="YES"</formula>
    </cfRule>
  </conditionalFormatting>
  <conditionalFormatting sqref="T681:U681">
    <cfRule type="expression" dxfId="4693" priority="5050">
      <formula>$BC681="YES"</formula>
    </cfRule>
  </conditionalFormatting>
  <conditionalFormatting sqref="T682:U682">
    <cfRule type="expression" dxfId="4692" priority="5049">
      <formula>$BC682="YES"</formula>
    </cfRule>
  </conditionalFormatting>
  <conditionalFormatting sqref="AJ615:AK809">
    <cfRule type="expression" dxfId="4691" priority="5048">
      <formula>$BC615="YES"</formula>
    </cfRule>
  </conditionalFormatting>
  <conditionalFormatting sqref="R812:S813">
    <cfRule type="expression" dxfId="4690" priority="5046">
      <formula>$BC812="YES"</formula>
    </cfRule>
  </conditionalFormatting>
  <conditionalFormatting sqref="B1007:E1009">
    <cfRule type="expression" dxfId="4689" priority="5045">
      <formula>$BC1007="YES"</formula>
    </cfRule>
  </conditionalFormatting>
  <conditionalFormatting sqref="P812:Q813">
    <cfRule type="expression" dxfId="4688" priority="5044">
      <formula>$BC812="YES"</formula>
    </cfRule>
  </conditionalFormatting>
  <conditionalFormatting sqref="P814:Q815">
    <cfRule type="expression" dxfId="4687" priority="5043">
      <formula>$BC814="YES"</formula>
    </cfRule>
  </conditionalFormatting>
  <conditionalFormatting sqref="P816:Q817">
    <cfRule type="expression" dxfId="4686" priority="5042">
      <formula>$BC816="YES"</formula>
    </cfRule>
  </conditionalFormatting>
  <conditionalFormatting sqref="O812:O813">
    <cfRule type="expression" dxfId="4685" priority="5041">
      <formula>$BC812="YES"</formula>
    </cfRule>
  </conditionalFormatting>
  <conditionalFormatting sqref="O814:O815">
    <cfRule type="expression" dxfId="4684" priority="5040">
      <formula>$BC814="YES"</formula>
    </cfRule>
  </conditionalFormatting>
  <conditionalFormatting sqref="O816:O817">
    <cfRule type="expression" dxfId="4683" priority="5039">
      <formula>$BC816="YES"</formula>
    </cfRule>
  </conditionalFormatting>
  <conditionalFormatting sqref="O818:O819">
    <cfRule type="expression" dxfId="4682" priority="5038">
      <formula>$BC818="YES"</formula>
    </cfRule>
  </conditionalFormatting>
  <conditionalFormatting sqref="O820:O821">
    <cfRule type="expression" dxfId="4681" priority="5037">
      <formula>$BC820="YES"</formula>
    </cfRule>
  </conditionalFormatting>
  <conditionalFormatting sqref="N822:O823">
    <cfRule type="expression" dxfId="4680" priority="5036">
      <formula>$BC822="YES"</formula>
    </cfRule>
  </conditionalFormatting>
  <conditionalFormatting sqref="O824:O825">
    <cfRule type="expression" dxfId="4679" priority="5035">
      <formula>$BC824="YES"</formula>
    </cfRule>
  </conditionalFormatting>
  <conditionalFormatting sqref="O826:O827">
    <cfRule type="expression" dxfId="4678" priority="5034">
      <formula>$BC826="YES"</formula>
    </cfRule>
  </conditionalFormatting>
  <conditionalFormatting sqref="O828:O829">
    <cfRule type="expression" dxfId="4677" priority="5033">
      <formula>$BC828="YES"</formula>
    </cfRule>
  </conditionalFormatting>
  <conditionalFormatting sqref="O830:O831">
    <cfRule type="expression" dxfId="4676" priority="5032">
      <formula>$BC830="YES"</formula>
    </cfRule>
  </conditionalFormatting>
  <conditionalFormatting sqref="O832:O833">
    <cfRule type="expression" dxfId="4675" priority="5031">
      <formula>$BC832="YES"</formula>
    </cfRule>
  </conditionalFormatting>
  <conditionalFormatting sqref="P818:Q819">
    <cfRule type="expression" dxfId="4674" priority="5030">
      <formula>$BC818="YES"</formula>
    </cfRule>
  </conditionalFormatting>
  <conditionalFormatting sqref="P820:Q821">
    <cfRule type="expression" dxfId="4673" priority="5029">
      <formula>$BC820="YES"</formula>
    </cfRule>
  </conditionalFormatting>
  <conditionalFormatting sqref="P822:Q823">
    <cfRule type="expression" dxfId="4672" priority="5028">
      <formula>$BC822="YES"</formula>
    </cfRule>
  </conditionalFormatting>
  <conditionalFormatting sqref="P824:Q824">
    <cfRule type="expression" dxfId="4671" priority="5027">
      <formula>$BC824="YES"</formula>
    </cfRule>
  </conditionalFormatting>
  <conditionalFormatting sqref="P826:Q827">
    <cfRule type="expression" dxfId="4670" priority="5026">
      <formula>$BC826="YES"</formula>
    </cfRule>
  </conditionalFormatting>
  <conditionalFormatting sqref="P828:Q829">
    <cfRule type="expression" dxfId="4669" priority="5025">
      <formula>$BC828="YES"</formula>
    </cfRule>
  </conditionalFormatting>
  <conditionalFormatting sqref="P830:Q831">
    <cfRule type="expression" dxfId="4668" priority="5024">
      <formula>$BC830="YES"</formula>
    </cfRule>
  </conditionalFormatting>
  <conditionalFormatting sqref="P832:Q832">
    <cfRule type="expression" dxfId="4667" priority="5023">
      <formula>$BC832="YES"</formula>
    </cfRule>
  </conditionalFormatting>
  <conditionalFormatting sqref="R814:S817">
    <cfRule type="expression" dxfId="4666" priority="5022">
      <formula>$BC814="YES"</formula>
    </cfRule>
  </conditionalFormatting>
  <conditionalFormatting sqref="R818:S821">
    <cfRule type="expression" dxfId="4665" priority="5021">
      <formula>$BC818="YES"</formula>
    </cfRule>
  </conditionalFormatting>
  <conditionalFormatting sqref="R822:S825">
    <cfRule type="expression" dxfId="4664" priority="5020">
      <formula>$BC822="YES"</formula>
    </cfRule>
  </conditionalFormatting>
  <conditionalFormatting sqref="R826:S829">
    <cfRule type="expression" dxfId="4663" priority="5019">
      <formula>$BC826="YES"</formula>
    </cfRule>
  </conditionalFormatting>
  <conditionalFormatting sqref="R830:S833">
    <cfRule type="expression" dxfId="4662" priority="5018">
      <formula>$BC830="YES"</formula>
    </cfRule>
  </conditionalFormatting>
  <conditionalFormatting sqref="T812:U813">
    <cfRule type="expression" dxfId="4661" priority="5017">
      <formula>$BC812="YES"</formula>
    </cfRule>
  </conditionalFormatting>
  <conditionalFormatting sqref="T814:U815">
    <cfRule type="expression" dxfId="4660" priority="5016">
      <formula>$BC814="YES"</formula>
    </cfRule>
  </conditionalFormatting>
  <conditionalFormatting sqref="T816:U817">
    <cfRule type="expression" dxfId="4659" priority="5015">
      <formula>$BC816="YES"</formula>
    </cfRule>
  </conditionalFormatting>
  <conditionalFormatting sqref="T818:U819">
    <cfRule type="expression" dxfId="4658" priority="5014">
      <formula>$BC818="YES"</formula>
    </cfRule>
  </conditionalFormatting>
  <conditionalFormatting sqref="T820:U821">
    <cfRule type="expression" dxfId="4657" priority="5013">
      <formula>$BC820="YES"</formula>
    </cfRule>
  </conditionalFormatting>
  <conditionalFormatting sqref="T822:U823">
    <cfRule type="expression" dxfId="4656" priority="5012">
      <formula>$BC822="YES"</formula>
    </cfRule>
  </conditionalFormatting>
  <conditionalFormatting sqref="T824:U825">
    <cfRule type="expression" dxfId="4655" priority="5011">
      <formula>$BC824="YES"</formula>
    </cfRule>
  </conditionalFormatting>
  <conditionalFormatting sqref="T826:U827">
    <cfRule type="expression" dxfId="4654" priority="5010">
      <formula>$BC826="YES"</formula>
    </cfRule>
  </conditionalFormatting>
  <conditionalFormatting sqref="T828:U829">
    <cfRule type="expression" dxfId="4653" priority="5009">
      <formula>$BC828="YES"</formula>
    </cfRule>
  </conditionalFormatting>
  <conditionalFormatting sqref="T830:U831">
    <cfRule type="expression" dxfId="4652" priority="5008">
      <formula>$BC830="YES"</formula>
    </cfRule>
  </conditionalFormatting>
  <conditionalFormatting sqref="T832:U833">
    <cfRule type="expression" dxfId="4651" priority="5007">
      <formula>$BC832="YES"</formula>
    </cfRule>
  </conditionalFormatting>
  <conditionalFormatting sqref="P835:Q835">
    <cfRule type="expression" dxfId="4650" priority="5006">
      <formula>$BC835="YES"</formula>
    </cfRule>
  </conditionalFormatting>
  <conditionalFormatting sqref="N834:N837">
    <cfRule type="expression" dxfId="4649" priority="5005">
      <formula>$BC834="YES"</formula>
    </cfRule>
  </conditionalFormatting>
  <conditionalFormatting sqref="O834:O835">
    <cfRule type="expression" dxfId="4648" priority="5004">
      <formula>$BC834="YES"</formula>
    </cfRule>
  </conditionalFormatting>
  <conditionalFormatting sqref="O836:O837">
    <cfRule type="expression" dxfId="4647" priority="5003">
      <formula>$BC836="YES"</formula>
    </cfRule>
  </conditionalFormatting>
  <conditionalFormatting sqref="P834:Q834">
    <cfRule type="expression" dxfId="4646" priority="5002">
      <formula>$BC834="YES"</formula>
    </cfRule>
  </conditionalFormatting>
  <conditionalFormatting sqref="P836:Q837">
    <cfRule type="expression" dxfId="4645" priority="5001">
      <formula>$BC836="YES"</formula>
    </cfRule>
  </conditionalFormatting>
  <conditionalFormatting sqref="R834:S835">
    <cfRule type="expression" dxfId="4644" priority="5000">
      <formula>$BC834="YES"</formula>
    </cfRule>
  </conditionalFormatting>
  <conditionalFormatting sqref="R836:S837">
    <cfRule type="expression" dxfId="4643" priority="4999">
      <formula>$BC836="YES"</formula>
    </cfRule>
  </conditionalFormatting>
  <conditionalFormatting sqref="T834:U835">
    <cfRule type="expression" dxfId="4642" priority="4998">
      <formula>$BC834="YES"</formula>
    </cfRule>
  </conditionalFormatting>
  <conditionalFormatting sqref="T836:U837">
    <cfRule type="expression" dxfId="4641" priority="4997">
      <formula>$BC836="YES"</formula>
    </cfRule>
  </conditionalFormatting>
  <conditionalFormatting sqref="P839:Q839">
    <cfRule type="expression" dxfId="4640" priority="4996">
      <formula>$BC839="YES"</formula>
    </cfRule>
  </conditionalFormatting>
  <conditionalFormatting sqref="N838:N841">
    <cfRule type="expression" dxfId="4639" priority="4995">
      <formula>$BC838="YES"</formula>
    </cfRule>
  </conditionalFormatting>
  <conditionalFormatting sqref="O838:O839">
    <cfRule type="expression" dxfId="4638" priority="4994">
      <formula>$BC838="YES"</formula>
    </cfRule>
  </conditionalFormatting>
  <conditionalFormatting sqref="O840:O841">
    <cfRule type="expression" dxfId="4637" priority="4993">
      <formula>$BC840="YES"</formula>
    </cfRule>
  </conditionalFormatting>
  <conditionalFormatting sqref="P838:Q838">
    <cfRule type="expression" dxfId="4636" priority="4992">
      <formula>$BC838="YES"</formula>
    </cfRule>
  </conditionalFormatting>
  <conditionalFormatting sqref="P840:Q841">
    <cfRule type="expression" dxfId="4635" priority="4991">
      <formula>$BC840="YES"</formula>
    </cfRule>
  </conditionalFormatting>
  <conditionalFormatting sqref="R838:S839">
    <cfRule type="expression" dxfId="4634" priority="4990">
      <formula>$BC838="YES"</formula>
    </cfRule>
  </conditionalFormatting>
  <conditionalFormatting sqref="R840:S841">
    <cfRule type="expression" dxfId="4633" priority="4989">
      <formula>$BC840="YES"</formula>
    </cfRule>
  </conditionalFormatting>
  <conditionalFormatting sqref="T838:U839">
    <cfRule type="expression" dxfId="4632" priority="4988">
      <formula>$BC838="YES"</formula>
    </cfRule>
  </conditionalFormatting>
  <conditionalFormatting sqref="T840:U841">
    <cfRule type="expression" dxfId="4631" priority="4987">
      <formula>$BC840="YES"</formula>
    </cfRule>
  </conditionalFormatting>
  <conditionalFormatting sqref="P843:Q843">
    <cfRule type="expression" dxfId="4630" priority="4986">
      <formula>$BC843="YES"</formula>
    </cfRule>
  </conditionalFormatting>
  <conditionalFormatting sqref="N842:N845">
    <cfRule type="expression" dxfId="4629" priority="4985">
      <formula>$BC842="YES"</formula>
    </cfRule>
  </conditionalFormatting>
  <conditionalFormatting sqref="O842:O843">
    <cfRule type="expression" dxfId="4628" priority="4984">
      <formula>$BC842="YES"</formula>
    </cfRule>
  </conditionalFormatting>
  <conditionalFormatting sqref="O844:O845">
    <cfRule type="expression" dxfId="4627" priority="4983">
      <formula>$BC844="YES"</formula>
    </cfRule>
  </conditionalFormatting>
  <conditionalFormatting sqref="P842:Q842">
    <cfRule type="expression" dxfId="4626" priority="4982">
      <formula>$BC842="YES"</formula>
    </cfRule>
  </conditionalFormatting>
  <conditionalFormatting sqref="P844:Q845">
    <cfRule type="expression" dxfId="4625" priority="4981">
      <formula>$BC844="YES"</formula>
    </cfRule>
  </conditionalFormatting>
  <conditionalFormatting sqref="R842:S843">
    <cfRule type="expression" dxfId="4624" priority="4980">
      <formula>$BC842="YES"</formula>
    </cfRule>
  </conditionalFormatting>
  <conditionalFormatting sqref="R844:S845">
    <cfRule type="expression" dxfId="4623" priority="4979">
      <formula>$BC844="YES"</formula>
    </cfRule>
  </conditionalFormatting>
  <conditionalFormatting sqref="T842:U843">
    <cfRule type="expression" dxfId="4622" priority="4978">
      <formula>$BC842="YES"</formula>
    </cfRule>
  </conditionalFormatting>
  <conditionalFormatting sqref="T844:U845">
    <cfRule type="expression" dxfId="4621" priority="4977">
      <formula>$BC844="YES"</formula>
    </cfRule>
  </conditionalFormatting>
  <conditionalFormatting sqref="P847:Q847">
    <cfRule type="expression" dxfId="4620" priority="4976">
      <formula>$BC847="YES"</formula>
    </cfRule>
  </conditionalFormatting>
  <conditionalFormatting sqref="N846:N849">
    <cfRule type="expression" dxfId="4619" priority="4975">
      <formula>$BC846="YES"</formula>
    </cfRule>
  </conditionalFormatting>
  <conditionalFormatting sqref="O846:O847">
    <cfRule type="expression" dxfId="4618" priority="4974">
      <formula>$BC846="YES"</formula>
    </cfRule>
  </conditionalFormatting>
  <conditionalFormatting sqref="O848:O849">
    <cfRule type="expression" dxfId="4617" priority="4973">
      <formula>$BC848="YES"</formula>
    </cfRule>
  </conditionalFormatting>
  <conditionalFormatting sqref="P846:Q846">
    <cfRule type="expression" dxfId="4616" priority="4972">
      <formula>$BC846="YES"</formula>
    </cfRule>
  </conditionalFormatting>
  <conditionalFormatting sqref="P848:Q849">
    <cfRule type="expression" dxfId="4615" priority="4971">
      <formula>$BC848="YES"</formula>
    </cfRule>
  </conditionalFormatting>
  <conditionalFormatting sqref="R846:S847">
    <cfRule type="expression" dxfId="4614" priority="4970">
      <formula>$BC846="YES"</formula>
    </cfRule>
  </conditionalFormatting>
  <conditionalFormatting sqref="R848:S849">
    <cfRule type="expression" dxfId="4613" priority="4969">
      <formula>$BC848="YES"</formula>
    </cfRule>
  </conditionalFormatting>
  <conditionalFormatting sqref="T846:U847">
    <cfRule type="expression" dxfId="4612" priority="4968">
      <formula>$BC846="YES"</formula>
    </cfRule>
  </conditionalFormatting>
  <conditionalFormatting sqref="T848:U849">
    <cfRule type="expression" dxfId="4611" priority="4967">
      <formula>$BC848="YES"</formula>
    </cfRule>
  </conditionalFormatting>
  <conditionalFormatting sqref="P851:Q851">
    <cfRule type="expression" dxfId="4610" priority="4966">
      <formula>$BC851="YES"</formula>
    </cfRule>
  </conditionalFormatting>
  <conditionalFormatting sqref="N850:N853">
    <cfRule type="expression" dxfId="4609" priority="4965">
      <formula>$BC850="YES"</formula>
    </cfRule>
  </conditionalFormatting>
  <conditionalFormatting sqref="O850:O851">
    <cfRule type="expression" dxfId="4608" priority="4964">
      <formula>$BC850="YES"</formula>
    </cfRule>
  </conditionalFormatting>
  <conditionalFormatting sqref="O852:O853">
    <cfRule type="expression" dxfId="4607" priority="4963">
      <formula>$BC852="YES"</formula>
    </cfRule>
  </conditionalFormatting>
  <conditionalFormatting sqref="P850:Q850">
    <cfRule type="expression" dxfId="4606" priority="4962">
      <formula>$BC850="YES"</formula>
    </cfRule>
  </conditionalFormatting>
  <conditionalFormatting sqref="P852:Q853">
    <cfRule type="expression" dxfId="4605" priority="4961">
      <formula>$BC852="YES"</formula>
    </cfRule>
  </conditionalFormatting>
  <conditionalFormatting sqref="R850:S851">
    <cfRule type="expression" dxfId="4604" priority="4960">
      <formula>$BC850="YES"</formula>
    </cfRule>
  </conditionalFormatting>
  <conditionalFormatting sqref="R852:S853">
    <cfRule type="expression" dxfId="4603" priority="4959">
      <formula>$BC852="YES"</formula>
    </cfRule>
  </conditionalFormatting>
  <conditionalFormatting sqref="T850:U851">
    <cfRule type="expression" dxfId="4602" priority="4958">
      <formula>$BC850="YES"</formula>
    </cfRule>
  </conditionalFormatting>
  <conditionalFormatting sqref="T852:U853">
    <cfRule type="expression" dxfId="4601" priority="4957">
      <formula>$BC852="YES"</formula>
    </cfRule>
  </conditionalFormatting>
  <conditionalFormatting sqref="P855:Q855">
    <cfRule type="expression" dxfId="4600" priority="4956">
      <formula>$BC855="YES"</formula>
    </cfRule>
  </conditionalFormatting>
  <conditionalFormatting sqref="N854:N857">
    <cfRule type="expression" dxfId="4599" priority="4955">
      <formula>$BC854="YES"</formula>
    </cfRule>
  </conditionalFormatting>
  <conditionalFormatting sqref="O854:O855">
    <cfRule type="expression" dxfId="4598" priority="4954">
      <formula>$BC854="YES"</formula>
    </cfRule>
  </conditionalFormatting>
  <conditionalFormatting sqref="O856:O857">
    <cfRule type="expression" dxfId="4597" priority="4953">
      <formula>$BC856="YES"</formula>
    </cfRule>
  </conditionalFormatting>
  <conditionalFormatting sqref="P854:Q854">
    <cfRule type="expression" dxfId="4596" priority="4952">
      <formula>$BC854="YES"</formula>
    </cfRule>
  </conditionalFormatting>
  <conditionalFormatting sqref="P856:Q857">
    <cfRule type="expression" dxfId="4595" priority="4951">
      <formula>$BC856="YES"</formula>
    </cfRule>
  </conditionalFormatting>
  <conditionalFormatting sqref="R854:S855">
    <cfRule type="expression" dxfId="4594" priority="4950">
      <formula>$BC854="YES"</formula>
    </cfRule>
  </conditionalFormatting>
  <conditionalFormatting sqref="R856:S857">
    <cfRule type="expression" dxfId="4593" priority="4949">
      <formula>$BC856="YES"</formula>
    </cfRule>
  </conditionalFormatting>
  <conditionalFormatting sqref="T854:U855">
    <cfRule type="expression" dxfId="4592" priority="4948">
      <formula>$BC854="YES"</formula>
    </cfRule>
  </conditionalFormatting>
  <conditionalFormatting sqref="T856:U857">
    <cfRule type="expression" dxfId="4591" priority="4947">
      <formula>$BC856="YES"</formula>
    </cfRule>
  </conditionalFormatting>
  <conditionalFormatting sqref="P859:Q859">
    <cfRule type="expression" dxfId="4590" priority="4946">
      <formula>$BC859="YES"</formula>
    </cfRule>
  </conditionalFormatting>
  <conditionalFormatting sqref="N858:N861">
    <cfRule type="expression" dxfId="4589" priority="4945">
      <formula>$BC858="YES"</formula>
    </cfRule>
  </conditionalFormatting>
  <conditionalFormatting sqref="O858:O859">
    <cfRule type="expression" dxfId="4588" priority="4944">
      <formula>$BC858="YES"</formula>
    </cfRule>
  </conditionalFormatting>
  <conditionalFormatting sqref="O860:O861">
    <cfRule type="expression" dxfId="4587" priority="4943">
      <formula>$BC860="YES"</formula>
    </cfRule>
  </conditionalFormatting>
  <conditionalFormatting sqref="P858:Q858">
    <cfRule type="expression" dxfId="4586" priority="4942">
      <formula>$BC858="YES"</formula>
    </cfRule>
  </conditionalFormatting>
  <conditionalFormatting sqref="P860:Q861">
    <cfRule type="expression" dxfId="4585" priority="4941">
      <formula>$BC860="YES"</formula>
    </cfRule>
  </conditionalFormatting>
  <conditionalFormatting sqref="R858:S859">
    <cfRule type="expression" dxfId="4584" priority="4940">
      <formula>$BC858="YES"</formula>
    </cfRule>
  </conditionalFormatting>
  <conditionalFormatting sqref="R860:S861">
    <cfRule type="expression" dxfId="4583" priority="4939">
      <formula>$BC860="YES"</formula>
    </cfRule>
  </conditionalFormatting>
  <conditionalFormatting sqref="T858:U859">
    <cfRule type="expression" dxfId="4582" priority="4938">
      <formula>$BC858="YES"</formula>
    </cfRule>
  </conditionalFormatting>
  <conditionalFormatting sqref="T860:U861">
    <cfRule type="expression" dxfId="4581" priority="4937">
      <formula>$BC860="YES"</formula>
    </cfRule>
  </conditionalFormatting>
  <conditionalFormatting sqref="P862:Q862">
    <cfRule type="expression" dxfId="4580" priority="4936">
      <formula>$BC862="YES"</formula>
    </cfRule>
  </conditionalFormatting>
  <conditionalFormatting sqref="N862:N863">
    <cfRule type="expression" dxfId="4579" priority="4935">
      <formula>$BC862="YES"</formula>
    </cfRule>
  </conditionalFormatting>
  <conditionalFormatting sqref="O862">
    <cfRule type="expression" dxfId="4578" priority="4934">
      <formula>$BC862="YES"</formula>
    </cfRule>
  </conditionalFormatting>
  <conditionalFormatting sqref="O863">
    <cfRule type="expression" dxfId="4577" priority="4933">
      <formula>$BC863="YES"</formula>
    </cfRule>
  </conditionalFormatting>
  <conditionalFormatting sqref="P863:Q863">
    <cfRule type="expression" dxfId="4576" priority="4932">
      <formula>$BC863="YES"</formula>
    </cfRule>
  </conditionalFormatting>
  <conditionalFormatting sqref="R862:S862">
    <cfRule type="expression" dxfId="4575" priority="4931">
      <formula>$BC862="YES"</formula>
    </cfRule>
  </conditionalFormatting>
  <conditionalFormatting sqref="R863:S863">
    <cfRule type="expression" dxfId="4574" priority="4930">
      <formula>$BC863="YES"</formula>
    </cfRule>
  </conditionalFormatting>
  <conditionalFormatting sqref="T862:U862">
    <cfRule type="expression" dxfId="4573" priority="4929">
      <formula>$BC862="YES"</formula>
    </cfRule>
  </conditionalFormatting>
  <conditionalFormatting sqref="T863:U863">
    <cfRule type="expression" dxfId="4572" priority="4928">
      <formula>$BC863="YES"</formula>
    </cfRule>
  </conditionalFormatting>
  <conditionalFormatting sqref="P864:Q864">
    <cfRule type="expression" dxfId="4571" priority="4927">
      <formula>$BC864="YES"</formula>
    </cfRule>
  </conditionalFormatting>
  <conditionalFormatting sqref="N864:N865">
    <cfRule type="expression" dxfId="4570" priority="4926">
      <formula>$BC864="YES"</formula>
    </cfRule>
  </conditionalFormatting>
  <conditionalFormatting sqref="O864">
    <cfRule type="expression" dxfId="4569" priority="4925">
      <formula>$BC864="YES"</formula>
    </cfRule>
  </conditionalFormatting>
  <conditionalFormatting sqref="O865">
    <cfRule type="expression" dxfId="4568" priority="4924">
      <formula>$BC865="YES"</formula>
    </cfRule>
  </conditionalFormatting>
  <conditionalFormatting sqref="P865:Q865">
    <cfRule type="expression" dxfId="4567" priority="4923">
      <formula>$BC865="YES"</formula>
    </cfRule>
  </conditionalFormatting>
  <conditionalFormatting sqref="R864:S864">
    <cfRule type="expression" dxfId="4566" priority="4922">
      <formula>$BC864="YES"</formula>
    </cfRule>
  </conditionalFormatting>
  <conditionalFormatting sqref="R865:S865">
    <cfRule type="expression" dxfId="4565" priority="4921">
      <formula>$BC865="YES"</formula>
    </cfRule>
  </conditionalFormatting>
  <conditionalFormatting sqref="T864:U864">
    <cfRule type="expression" dxfId="4564" priority="4920">
      <formula>$BC864="YES"</formula>
    </cfRule>
  </conditionalFormatting>
  <conditionalFormatting sqref="T865:U865">
    <cfRule type="expression" dxfId="4563" priority="4919">
      <formula>$BC865="YES"</formula>
    </cfRule>
  </conditionalFormatting>
  <conditionalFormatting sqref="P866:Q866">
    <cfRule type="expression" dxfId="4562" priority="4918">
      <formula>$BC866="YES"</formula>
    </cfRule>
  </conditionalFormatting>
  <conditionalFormatting sqref="N866:N867">
    <cfRule type="expression" dxfId="4561" priority="4917">
      <formula>$BC866="YES"</formula>
    </cfRule>
  </conditionalFormatting>
  <conditionalFormatting sqref="O866">
    <cfRule type="expression" dxfId="4560" priority="4916">
      <formula>$BC866="YES"</formula>
    </cfRule>
  </conditionalFormatting>
  <conditionalFormatting sqref="O867">
    <cfRule type="expression" dxfId="4559" priority="4915">
      <formula>$BC867="YES"</formula>
    </cfRule>
  </conditionalFormatting>
  <conditionalFormatting sqref="P867:Q867">
    <cfRule type="expression" dxfId="4558" priority="4914">
      <formula>$BC867="YES"</formula>
    </cfRule>
  </conditionalFormatting>
  <conditionalFormatting sqref="R866:S866">
    <cfRule type="expression" dxfId="4557" priority="4913">
      <formula>$BC866="YES"</formula>
    </cfRule>
  </conditionalFormatting>
  <conditionalFormatting sqref="R867:S867">
    <cfRule type="expression" dxfId="4556" priority="4912">
      <formula>$BC867="YES"</formula>
    </cfRule>
  </conditionalFormatting>
  <conditionalFormatting sqref="T866:U866">
    <cfRule type="expression" dxfId="4555" priority="4911">
      <formula>$BC866="YES"</formula>
    </cfRule>
  </conditionalFormatting>
  <conditionalFormatting sqref="T867:U867">
    <cfRule type="expression" dxfId="4554" priority="4910">
      <formula>$BC867="YES"</formula>
    </cfRule>
  </conditionalFormatting>
  <conditionalFormatting sqref="P868:Q868">
    <cfRule type="expression" dxfId="4553" priority="4909">
      <formula>$BC868="YES"</formula>
    </cfRule>
  </conditionalFormatting>
  <conditionalFormatting sqref="N868:N869">
    <cfRule type="expression" dxfId="4552" priority="4908">
      <formula>$BC868="YES"</formula>
    </cfRule>
  </conditionalFormatting>
  <conditionalFormatting sqref="O868">
    <cfRule type="expression" dxfId="4551" priority="4907">
      <formula>$BC868="YES"</formula>
    </cfRule>
  </conditionalFormatting>
  <conditionalFormatting sqref="O869">
    <cfRule type="expression" dxfId="4550" priority="4906">
      <formula>$BC869="YES"</formula>
    </cfRule>
  </conditionalFormatting>
  <conditionalFormatting sqref="P869:Q869">
    <cfRule type="expression" dxfId="4549" priority="4905">
      <formula>$BC869="YES"</formula>
    </cfRule>
  </conditionalFormatting>
  <conditionalFormatting sqref="R868:S868">
    <cfRule type="expression" dxfId="4548" priority="4904">
      <formula>$BC868="YES"</formula>
    </cfRule>
  </conditionalFormatting>
  <conditionalFormatting sqref="R869:S869">
    <cfRule type="expression" dxfId="4547" priority="4903">
      <formula>$BC869="YES"</formula>
    </cfRule>
  </conditionalFormatting>
  <conditionalFormatting sqref="T868:U868">
    <cfRule type="expression" dxfId="4546" priority="4902">
      <formula>$BC868="YES"</formula>
    </cfRule>
  </conditionalFormatting>
  <conditionalFormatting sqref="T869:U869">
    <cfRule type="expression" dxfId="4545" priority="4901">
      <formula>$BC869="YES"</formula>
    </cfRule>
  </conditionalFormatting>
  <conditionalFormatting sqref="P870:Q870">
    <cfRule type="expression" dxfId="4544" priority="4900">
      <formula>$BC870="YES"</formula>
    </cfRule>
  </conditionalFormatting>
  <conditionalFormatting sqref="N870:N871">
    <cfRule type="expression" dxfId="4543" priority="4899">
      <formula>$BC870="YES"</formula>
    </cfRule>
  </conditionalFormatting>
  <conditionalFormatting sqref="O870">
    <cfRule type="expression" dxfId="4542" priority="4898">
      <formula>$BC870="YES"</formula>
    </cfRule>
  </conditionalFormatting>
  <conditionalFormatting sqref="O871">
    <cfRule type="expression" dxfId="4541" priority="4897">
      <formula>$BC871="YES"</formula>
    </cfRule>
  </conditionalFormatting>
  <conditionalFormatting sqref="P871:Q871">
    <cfRule type="expression" dxfId="4540" priority="4896">
      <formula>$BC871="YES"</formula>
    </cfRule>
  </conditionalFormatting>
  <conditionalFormatting sqref="R870:S870">
    <cfRule type="expression" dxfId="4539" priority="4895">
      <formula>$BC870="YES"</formula>
    </cfRule>
  </conditionalFormatting>
  <conditionalFormatting sqref="R871:S871">
    <cfRule type="expression" dxfId="4538" priority="4894">
      <formula>$BC871="YES"</formula>
    </cfRule>
  </conditionalFormatting>
  <conditionalFormatting sqref="T870:U870">
    <cfRule type="expression" dxfId="4537" priority="4893">
      <formula>$BC870="YES"</formula>
    </cfRule>
  </conditionalFormatting>
  <conditionalFormatting sqref="T871:U871">
    <cfRule type="expression" dxfId="4536" priority="4892">
      <formula>$BC871="YES"</formula>
    </cfRule>
  </conditionalFormatting>
  <conditionalFormatting sqref="P872:Q872">
    <cfRule type="expression" dxfId="4535" priority="4891">
      <formula>$BC872="YES"</formula>
    </cfRule>
  </conditionalFormatting>
  <conditionalFormatting sqref="N872:N873">
    <cfRule type="expression" dxfId="4534" priority="4890">
      <formula>$BC872="YES"</formula>
    </cfRule>
  </conditionalFormatting>
  <conditionalFormatting sqref="O872">
    <cfRule type="expression" dxfId="4533" priority="4889">
      <formula>$BC872="YES"</formula>
    </cfRule>
  </conditionalFormatting>
  <conditionalFormatting sqref="O873">
    <cfRule type="expression" dxfId="4532" priority="4888">
      <formula>$BC873="YES"</formula>
    </cfRule>
  </conditionalFormatting>
  <conditionalFormatting sqref="P873:Q873">
    <cfRule type="expression" dxfId="4531" priority="4887">
      <formula>$BC873="YES"</formula>
    </cfRule>
  </conditionalFormatting>
  <conditionalFormatting sqref="R872:S872">
    <cfRule type="expression" dxfId="4530" priority="4886">
      <formula>$BC872="YES"</formula>
    </cfRule>
  </conditionalFormatting>
  <conditionalFormatting sqref="R873:S873">
    <cfRule type="expression" dxfId="4529" priority="4885">
      <formula>$BC873="YES"</formula>
    </cfRule>
  </conditionalFormatting>
  <conditionalFormatting sqref="T872:U872">
    <cfRule type="expression" dxfId="4528" priority="4884">
      <formula>$BC872="YES"</formula>
    </cfRule>
  </conditionalFormatting>
  <conditionalFormatting sqref="T873:U873">
    <cfRule type="expression" dxfId="4527" priority="4883">
      <formula>$BC873="YES"</formula>
    </cfRule>
  </conditionalFormatting>
  <conditionalFormatting sqref="P874:Q874">
    <cfRule type="expression" dxfId="4526" priority="4882">
      <formula>$BC874="YES"</formula>
    </cfRule>
  </conditionalFormatting>
  <conditionalFormatting sqref="N874:N875">
    <cfRule type="expression" dxfId="4525" priority="4881">
      <formula>$BC874="YES"</formula>
    </cfRule>
  </conditionalFormatting>
  <conditionalFormatting sqref="O874">
    <cfRule type="expression" dxfId="4524" priority="4880">
      <formula>$BC874="YES"</formula>
    </cfRule>
  </conditionalFormatting>
  <conditionalFormatting sqref="O875">
    <cfRule type="expression" dxfId="4523" priority="4879">
      <formula>$BC875="YES"</formula>
    </cfRule>
  </conditionalFormatting>
  <conditionalFormatting sqref="P875:Q875">
    <cfRule type="expression" dxfId="4522" priority="4878">
      <formula>$BC875="YES"</formula>
    </cfRule>
  </conditionalFormatting>
  <conditionalFormatting sqref="R874:S874">
    <cfRule type="expression" dxfId="4521" priority="4877">
      <formula>$BC874="YES"</formula>
    </cfRule>
  </conditionalFormatting>
  <conditionalFormatting sqref="R875:S875">
    <cfRule type="expression" dxfId="4520" priority="4876">
      <formula>$BC875="YES"</formula>
    </cfRule>
  </conditionalFormatting>
  <conditionalFormatting sqref="T874:U874">
    <cfRule type="expression" dxfId="4519" priority="4875">
      <formula>$BC874="YES"</formula>
    </cfRule>
  </conditionalFormatting>
  <conditionalFormatting sqref="T875:U875">
    <cfRule type="expression" dxfId="4518" priority="4874">
      <formula>$BC875="YES"</formula>
    </cfRule>
  </conditionalFormatting>
  <conditionalFormatting sqref="P877:Q877">
    <cfRule type="expression" dxfId="4517" priority="4873">
      <formula>$BC877="YES"</formula>
    </cfRule>
  </conditionalFormatting>
  <conditionalFormatting sqref="N877:N878">
    <cfRule type="expression" dxfId="4516" priority="4872">
      <formula>$BC877="YES"</formula>
    </cfRule>
  </conditionalFormatting>
  <conditionalFormatting sqref="O877">
    <cfRule type="expression" dxfId="4515" priority="4871">
      <formula>$BC877="YES"</formula>
    </cfRule>
  </conditionalFormatting>
  <conditionalFormatting sqref="O878">
    <cfRule type="expression" dxfId="4514" priority="4870">
      <formula>$BC878="YES"</formula>
    </cfRule>
  </conditionalFormatting>
  <conditionalFormatting sqref="P878:Q878">
    <cfRule type="expression" dxfId="4513" priority="4869">
      <formula>$BC878="YES"</formula>
    </cfRule>
  </conditionalFormatting>
  <conditionalFormatting sqref="R877:S877">
    <cfRule type="expression" dxfId="4512" priority="4868">
      <formula>$BC877="YES"</formula>
    </cfRule>
  </conditionalFormatting>
  <conditionalFormatting sqref="R878:S878">
    <cfRule type="expression" dxfId="4511" priority="4867">
      <formula>$BC878="YES"</formula>
    </cfRule>
  </conditionalFormatting>
  <conditionalFormatting sqref="T877:U877">
    <cfRule type="expression" dxfId="4510" priority="4866">
      <formula>$BC877="YES"</formula>
    </cfRule>
  </conditionalFormatting>
  <conditionalFormatting sqref="T878:U878">
    <cfRule type="expression" dxfId="4509" priority="4865">
      <formula>$BC878="YES"</formula>
    </cfRule>
  </conditionalFormatting>
  <conditionalFormatting sqref="P879:Q879">
    <cfRule type="expression" dxfId="4508" priority="4864">
      <formula>$BC879="YES"</formula>
    </cfRule>
  </conditionalFormatting>
  <conditionalFormatting sqref="N879:N880">
    <cfRule type="expression" dxfId="4507" priority="4863">
      <formula>$BC879="YES"</formula>
    </cfRule>
  </conditionalFormatting>
  <conditionalFormatting sqref="O879">
    <cfRule type="expression" dxfId="4506" priority="4862">
      <formula>$BC879="YES"</formula>
    </cfRule>
  </conditionalFormatting>
  <conditionalFormatting sqref="O880">
    <cfRule type="expression" dxfId="4505" priority="4861">
      <formula>$BC880="YES"</formula>
    </cfRule>
  </conditionalFormatting>
  <conditionalFormatting sqref="P880:Q880">
    <cfRule type="expression" dxfId="4504" priority="4860">
      <formula>$BC880="YES"</formula>
    </cfRule>
  </conditionalFormatting>
  <conditionalFormatting sqref="R879:S879">
    <cfRule type="expression" dxfId="4503" priority="4859">
      <formula>$BC879="YES"</formula>
    </cfRule>
  </conditionalFormatting>
  <conditionalFormatting sqref="R880:S880">
    <cfRule type="expression" dxfId="4502" priority="4858">
      <formula>$BC880="YES"</formula>
    </cfRule>
  </conditionalFormatting>
  <conditionalFormatting sqref="T879:U879">
    <cfRule type="expression" dxfId="4501" priority="4857">
      <formula>$BC879="YES"</formula>
    </cfRule>
  </conditionalFormatting>
  <conditionalFormatting sqref="T880:U880">
    <cfRule type="expression" dxfId="4500" priority="4856">
      <formula>$BC880="YES"</formula>
    </cfRule>
  </conditionalFormatting>
  <conditionalFormatting sqref="P881:Q881">
    <cfRule type="expression" dxfId="4499" priority="4855">
      <formula>$BC881="YES"</formula>
    </cfRule>
  </conditionalFormatting>
  <conditionalFormatting sqref="N881:N882">
    <cfRule type="expression" dxfId="4498" priority="4854">
      <formula>$BC881="YES"</formula>
    </cfRule>
  </conditionalFormatting>
  <conditionalFormatting sqref="O881">
    <cfRule type="expression" dxfId="4497" priority="4853">
      <formula>$BC881="YES"</formula>
    </cfRule>
  </conditionalFormatting>
  <conditionalFormatting sqref="O882">
    <cfRule type="expression" dxfId="4496" priority="4852">
      <formula>$BC882="YES"</formula>
    </cfRule>
  </conditionalFormatting>
  <conditionalFormatting sqref="P882:Q882">
    <cfRule type="expression" dxfId="4495" priority="4851">
      <formula>$BC882="YES"</formula>
    </cfRule>
  </conditionalFormatting>
  <conditionalFormatting sqref="R881:S881">
    <cfRule type="expression" dxfId="4494" priority="4850">
      <formula>$BC881="YES"</formula>
    </cfRule>
  </conditionalFormatting>
  <conditionalFormatting sqref="R882:S882">
    <cfRule type="expression" dxfId="4493" priority="4849">
      <formula>$BC882="YES"</formula>
    </cfRule>
  </conditionalFormatting>
  <conditionalFormatting sqref="T881:U881">
    <cfRule type="expression" dxfId="4492" priority="4848">
      <formula>$BC881="YES"</formula>
    </cfRule>
  </conditionalFormatting>
  <conditionalFormatting sqref="T882:U882">
    <cfRule type="expression" dxfId="4491" priority="4847">
      <formula>$BC882="YES"</formula>
    </cfRule>
  </conditionalFormatting>
  <conditionalFormatting sqref="AJ811:AK1009">
    <cfRule type="expression" dxfId="4490" priority="4846">
      <formula>$BC811="YES"</formula>
    </cfRule>
  </conditionalFormatting>
  <conditionalFormatting sqref="R1012:S1013">
    <cfRule type="expression" dxfId="4489" priority="4844">
      <formula>$BC1012="YES"</formula>
    </cfRule>
  </conditionalFormatting>
  <conditionalFormatting sqref="B1207:E1209">
    <cfRule type="expression" dxfId="4488" priority="4843">
      <formula>$BC1207="YES"</formula>
    </cfRule>
  </conditionalFormatting>
  <conditionalFormatting sqref="P1012:Q1013">
    <cfRule type="expression" dxfId="4487" priority="4842">
      <formula>$BC1012="YES"</formula>
    </cfRule>
  </conditionalFormatting>
  <conditionalFormatting sqref="P1014:Q1015">
    <cfRule type="expression" dxfId="4486" priority="4841">
      <formula>$BC1014="YES"</formula>
    </cfRule>
  </conditionalFormatting>
  <conditionalFormatting sqref="P1016:Q1017">
    <cfRule type="expression" dxfId="4485" priority="4840">
      <formula>$BC1016="YES"</formula>
    </cfRule>
  </conditionalFormatting>
  <conditionalFormatting sqref="O1012:O1013">
    <cfRule type="expression" dxfId="4484" priority="4839">
      <formula>$BC1012="YES"</formula>
    </cfRule>
  </conditionalFormatting>
  <conditionalFormatting sqref="O1014:O1015">
    <cfRule type="expression" dxfId="4483" priority="4838">
      <formula>$BC1014="YES"</formula>
    </cfRule>
  </conditionalFormatting>
  <conditionalFormatting sqref="O1016:O1017">
    <cfRule type="expression" dxfId="4482" priority="4837">
      <formula>$BC1016="YES"</formula>
    </cfRule>
  </conditionalFormatting>
  <conditionalFormatting sqref="O1018:O1019">
    <cfRule type="expression" dxfId="4481" priority="4836">
      <formula>$BC1018="YES"</formula>
    </cfRule>
  </conditionalFormatting>
  <conditionalFormatting sqref="O1020:O1021">
    <cfRule type="expression" dxfId="4480" priority="4835">
      <formula>$BC1020="YES"</formula>
    </cfRule>
  </conditionalFormatting>
  <conditionalFormatting sqref="N1022:O1023">
    <cfRule type="expression" dxfId="4479" priority="4834">
      <formula>$BC1022="YES"</formula>
    </cfRule>
  </conditionalFormatting>
  <conditionalFormatting sqref="O1024:O1025">
    <cfRule type="expression" dxfId="4478" priority="4833">
      <formula>$BC1024="YES"</formula>
    </cfRule>
  </conditionalFormatting>
  <conditionalFormatting sqref="O1026:O1027">
    <cfRule type="expression" dxfId="4477" priority="4832">
      <formula>$BC1026="YES"</formula>
    </cfRule>
  </conditionalFormatting>
  <conditionalFormatting sqref="O1028:O1029">
    <cfRule type="expression" dxfId="4476" priority="4831">
      <formula>$BC1028="YES"</formula>
    </cfRule>
  </conditionalFormatting>
  <conditionalFormatting sqref="O1030:O1031">
    <cfRule type="expression" dxfId="4475" priority="4830">
      <formula>$BC1030="YES"</formula>
    </cfRule>
  </conditionalFormatting>
  <conditionalFormatting sqref="O1032:O1033">
    <cfRule type="expression" dxfId="4474" priority="4829">
      <formula>$BC1032="YES"</formula>
    </cfRule>
  </conditionalFormatting>
  <conditionalFormatting sqref="P1018:Q1019">
    <cfRule type="expression" dxfId="4473" priority="4828">
      <formula>$BC1018="YES"</formula>
    </cfRule>
  </conditionalFormatting>
  <conditionalFormatting sqref="P1020:Q1021">
    <cfRule type="expression" dxfId="4472" priority="4827">
      <formula>$BC1020="YES"</formula>
    </cfRule>
  </conditionalFormatting>
  <conditionalFormatting sqref="P1022:Q1023">
    <cfRule type="expression" dxfId="4471" priority="4826">
      <formula>$BC1022="YES"</formula>
    </cfRule>
  </conditionalFormatting>
  <conditionalFormatting sqref="P1024:Q1024">
    <cfRule type="expression" dxfId="4470" priority="4825">
      <formula>$BC1024="YES"</formula>
    </cfRule>
  </conditionalFormatting>
  <conditionalFormatting sqref="P1026:Q1027">
    <cfRule type="expression" dxfId="4469" priority="4824">
      <formula>$BC1026="YES"</formula>
    </cfRule>
  </conditionalFormatting>
  <conditionalFormatting sqref="P1028:Q1029">
    <cfRule type="expression" dxfId="4468" priority="4823">
      <formula>$BC1028="YES"</formula>
    </cfRule>
  </conditionalFormatting>
  <conditionalFormatting sqref="P1030:Q1031">
    <cfRule type="expression" dxfId="4467" priority="4822">
      <formula>$BC1030="YES"</formula>
    </cfRule>
  </conditionalFormatting>
  <conditionalFormatting sqref="P1032:Q1032">
    <cfRule type="expression" dxfId="4466" priority="4821">
      <formula>$BC1032="YES"</formula>
    </cfRule>
  </conditionalFormatting>
  <conditionalFormatting sqref="R1014:S1017">
    <cfRule type="expression" dxfId="4465" priority="4820">
      <formula>$BC1014="YES"</formula>
    </cfRule>
  </conditionalFormatting>
  <conditionalFormatting sqref="R1018:S1021">
    <cfRule type="expression" dxfId="4464" priority="4819">
      <formula>$BC1018="YES"</formula>
    </cfRule>
  </conditionalFormatting>
  <conditionalFormatting sqref="R1022:S1025">
    <cfRule type="expression" dxfId="4463" priority="4818">
      <formula>$BC1022="YES"</formula>
    </cfRule>
  </conditionalFormatting>
  <conditionalFormatting sqref="R1026:S1029">
    <cfRule type="expression" dxfId="4462" priority="4817">
      <formula>$BC1026="YES"</formula>
    </cfRule>
  </conditionalFormatting>
  <conditionalFormatting sqref="R1030:S1033">
    <cfRule type="expression" dxfId="4461" priority="4816">
      <formula>$BC1030="YES"</formula>
    </cfRule>
  </conditionalFormatting>
  <conditionalFormatting sqref="T1012:U1013">
    <cfRule type="expression" dxfId="4460" priority="4815">
      <formula>$BC1012="YES"</formula>
    </cfRule>
  </conditionalFormatting>
  <conditionalFormatting sqref="T1014:U1015">
    <cfRule type="expression" dxfId="4459" priority="4814">
      <formula>$BC1014="YES"</formula>
    </cfRule>
  </conditionalFormatting>
  <conditionalFormatting sqref="T1016:U1017">
    <cfRule type="expression" dxfId="4458" priority="4813">
      <formula>$BC1016="YES"</formula>
    </cfRule>
  </conditionalFormatting>
  <conditionalFormatting sqref="T1018:U1019">
    <cfRule type="expression" dxfId="4457" priority="4812">
      <formula>$BC1018="YES"</formula>
    </cfRule>
  </conditionalFormatting>
  <conditionalFormatting sqref="T1020:U1021">
    <cfRule type="expression" dxfId="4456" priority="4811">
      <formula>$BC1020="YES"</formula>
    </cfRule>
  </conditionalFormatting>
  <conditionalFormatting sqref="T1022:U1023">
    <cfRule type="expression" dxfId="4455" priority="4810">
      <formula>$BC1022="YES"</formula>
    </cfRule>
  </conditionalFormatting>
  <conditionalFormatting sqref="T1024:U1025">
    <cfRule type="expression" dxfId="4454" priority="4809">
      <formula>$BC1024="YES"</formula>
    </cfRule>
  </conditionalFormatting>
  <conditionalFormatting sqref="T1026:U1027">
    <cfRule type="expression" dxfId="4453" priority="4808">
      <formula>$BC1026="YES"</formula>
    </cfRule>
  </conditionalFormatting>
  <conditionalFormatting sqref="T1028:U1029">
    <cfRule type="expression" dxfId="4452" priority="4807">
      <formula>$BC1028="YES"</formula>
    </cfRule>
  </conditionalFormatting>
  <conditionalFormatting sqref="T1030:U1031">
    <cfRule type="expression" dxfId="4451" priority="4806">
      <formula>$BC1030="YES"</formula>
    </cfRule>
  </conditionalFormatting>
  <conditionalFormatting sqref="T1032:U1033">
    <cfRule type="expression" dxfId="4450" priority="4805">
      <formula>$BC1032="YES"</formula>
    </cfRule>
  </conditionalFormatting>
  <conditionalFormatting sqref="P1035:Q1035">
    <cfRule type="expression" dxfId="4449" priority="4804">
      <formula>$BC1035="YES"</formula>
    </cfRule>
  </conditionalFormatting>
  <conditionalFormatting sqref="N1034:N1037">
    <cfRule type="expression" dxfId="4448" priority="4803">
      <formula>$BC1034="YES"</formula>
    </cfRule>
  </conditionalFormatting>
  <conditionalFormatting sqref="O1034:O1035">
    <cfRule type="expression" dxfId="4447" priority="4802">
      <formula>$BC1034="YES"</formula>
    </cfRule>
  </conditionalFormatting>
  <conditionalFormatting sqref="O1036:O1037">
    <cfRule type="expression" dxfId="4446" priority="4801">
      <formula>$BC1036="YES"</formula>
    </cfRule>
  </conditionalFormatting>
  <conditionalFormatting sqref="P1034:Q1034">
    <cfRule type="expression" dxfId="4445" priority="4800">
      <formula>$BC1034="YES"</formula>
    </cfRule>
  </conditionalFormatting>
  <conditionalFormatting sqref="P1036:Q1037">
    <cfRule type="expression" dxfId="4444" priority="4799">
      <formula>$BC1036="YES"</formula>
    </cfRule>
  </conditionalFormatting>
  <conditionalFormatting sqref="R1034:S1035">
    <cfRule type="expression" dxfId="4443" priority="4798">
      <formula>$BC1034="YES"</formula>
    </cfRule>
  </conditionalFormatting>
  <conditionalFormatting sqref="R1036:S1037">
    <cfRule type="expression" dxfId="4442" priority="4797">
      <formula>$BC1036="YES"</formula>
    </cfRule>
  </conditionalFormatting>
  <conditionalFormatting sqref="T1034:U1035">
    <cfRule type="expression" dxfId="4441" priority="4796">
      <formula>$BC1034="YES"</formula>
    </cfRule>
  </conditionalFormatting>
  <conditionalFormatting sqref="T1036:U1037">
    <cfRule type="expression" dxfId="4440" priority="4795">
      <formula>$BC1036="YES"</formula>
    </cfRule>
  </conditionalFormatting>
  <conditionalFormatting sqref="P1039:Q1039">
    <cfRule type="expression" dxfId="4439" priority="4794">
      <formula>$BC1039="YES"</formula>
    </cfRule>
  </conditionalFormatting>
  <conditionalFormatting sqref="N1038:N1041">
    <cfRule type="expression" dxfId="4438" priority="4793">
      <formula>$BC1038="YES"</formula>
    </cfRule>
  </conditionalFormatting>
  <conditionalFormatting sqref="O1038:O1039">
    <cfRule type="expression" dxfId="4437" priority="4792">
      <formula>$BC1038="YES"</formula>
    </cfRule>
  </conditionalFormatting>
  <conditionalFormatting sqref="O1040:O1041">
    <cfRule type="expression" dxfId="4436" priority="4791">
      <formula>$BC1040="YES"</formula>
    </cfRule>
  </conditionalFormatting>
  <conditionalFormatting sqref="P1038:Q1038">
    <cfRule type="expression" dxfId="4435" priority="4790">
      <formula>$BC1038="YES"</formula>
    </cfRule>
  </conditionalFormatting>
  <conditionalFormatting sqref="P1040:Q1041">
    <cfRule type="expression" dxfId="4434" priority="4789">
      <formula>$BC1040="YES"</formula>
    </cfRule>
  </conditionalFormatting>
  <conditionalFormatting sqref="R1038:S1039">
    <cfRule type="expression" dxfId="4433" priority="4788">
      <formula>$BC1038="YES"</formula>
    </cfRule>
  </conditionalFormatting>
  <conditionalFormatting sqref="R1040:S1041">
    <cfRule type="expression" dxfId="4432" priority="4787">
      <formula>$BC1040="YES"</formula>
    </cfRule>
  </conditionalFormatting>
  <conditionalFormatting sqref="T1038:U1039">
    <cfRule type="expression" dxfId="4431" priority="4786">
      <formula>$BC1038="YES"</formula>
    </cfRule>
  </conditionalFormatting>
  <conditionalFormatting sqref="T1040:U1041">
    <cfRule type="expression" dxfId="4430" priority="4785">
      <formula>$BC1040="YES"</formula>
    </cfRule>
  </conditionalFormatting>
  <conditionalFormatting sqref="P1043:Q1043">
    <cfRule type="expression" dxfId="4429" priority="4784">
      <formula>$BC1043="YES"</formula>
    </cfRule>
  </conditionalFormatting>
  <conditionalFormatting sqref="N1042:N1045">
    <cfRule type="expression" dxfId="4428" priority="4783">
      <formula>$BC1042="YES"</formula>
    </cfRule>
  </conditionalFormatting>
  <conditionalFormatting sqref="O1042:O1043">
    <cfRule type="expression" dxfId="4427" priority="4782">
      <formula>$BC1042="YES"</formula>
    </cfRule>
  </conditionalFormatting>
  <conditionalFormatting sqref="O1044:O1045">
    <cfRule type="expression" dxfId="4426" priority="4781">
      <formula>$BC1044="YES"</formula>
    </cfRule>
  </conditionalFormatting>
  <conditionalFormatting sqref="P1042:Q1042">
    <cfRule type="expression" dxfId="4425" priority="4780">
      <formula>$BC1042="YES"</formula>
    </cfRule>
  </conditionalFormatting>
  <conditionalFormatting sqref="P1044:Q1045">
    <cfRule type="expression" dxfId="4424" priority="4779">
      <formula>$BC1044="YES"</formula>
    </cfRule>
  </conditionalFormatting>
  <conditionalFormatting sqref="R1042:S1043">
    <cfRule type="expression" dxfId="4423" priority="4778">
      <formula>$BC1042="YES"</formula>
    </cfRule>
  </conditionalFormatting>
  <conditionalFormatting sqref="R1044:S1045">
    <cfRule type="expression" dxfId="4422" priority="4777">
      <formula>$BC1044="YES"</formula>
    </cfRule>
  </conditionalFormatting>
  <conditionalFormatting sqref="T1042:U1043">
    <cfRule type="expression" dxfId="4421" priority="4776">
      <formula>$BC1042="YES"</formula>
    </cfRule>
  </conditionalFormatting>
  <conditionalFormatting sqref="T1044:U1045">
    <cfRule type="expression" dxfId="4420" priority="4775">
      <formula>$BC1044="YES"</formula>
    </cfRule>
  </conditionalFormatting>
  <conditionalFormatting sqref="P1047:Q1047">
    <cfRule type="expression" dxfId="4419" priority="4774">
      <formula>$BC1047="YES"</formula>
    </cfRule>
  </conditionalFormatting>
  <conditionalFormatting sqref="N1046:N1049">
    <cfRule type="expression" dxfId="4418" priority="4773">
      <formula>$BC1046="YES"</formula>
    </cfRule>
  </conditionalFormatting>
  <conditionalFormatting sqref="O1046:O1047">
    <cfRule type="expression" dxfId="4417" priority="4772">
      <formula>$BC1046="YES"</formula>
    </cfRule>
  </conditionalFormatting>
  <conditionalFormatting sqref="O1048:O1049">
    <cfRule type="expression" dxfId="4416" priority="4771">
      <formula>$BC1048="YES"</formula>
    </cfRule>
  </conditionalFormatting>
  <conditionalFormatting sqref="P1046:Q1046">
    <cfRule type="expression" dxfId="4415" priority="4770">
      <formula>$BC1046="YES"</formula>
    </cfRule>
  </conditionalFormatting>
  <conditionalFormatting sqref="P1048:Q1049">
    <cfRule type="expression" dxfId="4414" priority="4769">
      <formula>$BC1048="YES"</formula>
    </cfRule>
  </conditionalFormatting>
  <conditionalFormatting sqref="R1046:S1047">
    <cfRule type="expression" dxfId="4413" priority="4768">
      <formula>$BC1046="YES"</formula>
    </cfRule>
  </conditionalFormatting>
  <conditionalFormatting sqref="R1048:S1049">
    <cfRule type="expression" dxfId="4412" priority="4767">
      <formula>$BC1048="YES"</formula>
    </cfRule>
  </conditionalFormatting>
  <conditionalFormatting sqref="T1046:U1047">
    <cfRule type="expression" dxfId="4411" priority="4766">
      <formula>$BC1046="YES"</formula>
    </cfRule>
  </conditionalFormatting>
  <conditionalFormatting sqref="T1048:U1049">
    <cfRule type="expression" dxfId="4410" priority="4765">
      <formula>$BC1048="YES"</formula>
    </cfRule>
  </conditionalFormatting>
  <conditionalFormatting sqref="P1051:Q1051">
    <cfRule type="expression" dxfId="4409" priority="4764">
      <formula>$BC1051="YES"</formula>
    </cfRule>
  </conditionalFormatting>
  <conditionalFormatting sqref="N1050:N1053">
    <cfRule type="expression" dxfId="4408" priority="4763">
      <formula>$BC1050="YES"</formula>
    </cfRule>
  </conditionalFormatting>
  <conditionalFormatting sqref="O1050:O1051">
    <cfRule type="expression" dxfId="4407" priority="4762">
      <formula>$BC1050="YES"</formula>
    </cfRule>
  </conditionalFormatting>
  <conditionalFormatting sqref="O1052:O1053">
    <cfRule type="expression" dxfId="4406" priority="4761">
      <formula>$BC1052="YES"</formula>
    </cfRule>
  </conditionalFormatting>
  <conditionalFormatting sqref="P1050:Q1050">
    <cfRule type="expression" dxfId="4405" priority="4760">
      <formula>$BC1050="YES"</formula>
    </cfRule>
  </conditionalFormatting>
  <conditionalFormatting sqref="P1052:Q1053">
    <cfRule type="expression" dxfId="4404" priority="4759">
      <formula>$BC1052="YES"</formula>
    </cfRule>
  </conditionalFormatting>
  <conditionalFormatting sqref="R1050:S1051">
    <cfRule type="expression" dxfId="4403" priority="4758">
      <formula>$BC1050="YES"</formula>
    </cfRule>
  </conditionalFormatting>
  <conditionalFormatting sqref="R1052:S1053">
    <cfRule type="expression" dxfId="4402" priority="4757">
      <formula>$BC1052="YES"</formula>
    </cfRule>
  </conditionalFormatting>
  <conditionalFormatting sqref="T1050:U1051">
    <cfRule type="expression" dxfId="4401" priority="4756">
      <formula>$BC1050="YES"</formula>
    </cfRule>
  </conditionalFormatting>
  <conditionalFormatting sqref="T1052:U1053">
    <cfRule type="expression" dxfId="4400" priority="4755">
      <formula>$BC1052="YES"</formula>
    </cfRule>
  </conditionalFormatting>
  <conditionalFormatting sqref="P1055:Q1055">
    <cfRule type="expression" dxfId="4399" priority="4754">
      <formula>$BC1055="YES"</formula>
    </cfRule>
  </conditionalFormatting>
  <conditionalFormatting sqref="N1054:N1057">
    <cfRule type="expression" dxfId="4398" priority="4753">
      <formula>$BC1054="YES"</formula>
    </cfRule>
  </conditionalFormatting>
  <conditionalFormatting sqref="O1054:O1055">
    <cfRule type="expression" dxfId="4397" priority="4752">
      <formula>$BC1054="YES"</formula>
    </cfRule>
  </conditionalFormatting>
  <conditionalFormatting sqref="O1056:O1057">
    <cfRule type="expression" dxfId="4396" priority="4751">
      <formula>$BC1056="YES"</formula>
    </cfRule>
  </conditionalFormatting>
  <conditionalFormatting sqref="P1054:Q1054">
    <cfRule type="expression" dxfId="4395" priority="4750">
      <formula>$BC1054="YES"</formula>
    </cfRule>
  </conditionalFormatting>
  <conditionalFormatting sqref="P1056:Q1057">
    <cfRule type="expression" dxfId="4394" priority="4749">
      <formula>$BC1056="YES"</formula>
    </cfRule>
  </conditionalFormatting>
  <conditionalFormatting sqref="R1054:S1055">
    <cfRule type="expression" dxfId="4393" priority="4748">
      <formula>$BC1054="YES"</formula>
    </cfRule>
  </conditionalFormatting>
  <conditionalFormatting sqref="R1056:S1057">
    <cfRule type="expression" dxfId="4392" priority="4747">
      <formula>$BC1056="YES"</formula>
    </cfRule>
  </conditionalFormatting>
  <conditionalFormatting sqref="T1054:U1055">
    <cfRule type="expression" dxfId="4391" priority="4746">
      <formula>$BC1054="YES"</formula>
    </cfRule>
  </conditionalFormatting>
  <conditionalFormatting sqref="T1056:U1057">
    <cfRule type="expression" dxfId="4390" priority="4745">
      <formula>$BC1056="YES"</formula>
    </cfRule>
  </conditionalFormatting>
  <conditionalFormatting sqref="P1059:Q1059">
    <cfRule type="expression" dxfId="4389" priority="4744">
      <formula>$BC1059="YES"</formula>
    </cfRule>
  </conditionalFormatting>
  <conditionalFormatting sqref="N1058:N1061">
    <cfRule type="expression" dxfId="4388" priority="4743">
      <formula>$BC1058="YES"</formula>
    </cfRule>
  </conditionalFormatting>
  <conditionalFormatting sqref="O1058:O1059">
    <cfRule type="expression" dxfId="4387" priority="4742">
      <formula>$BC1058="YES"</formula>
    </cfRule>
  </conditionalFormatting>
  <conditionalFormatting sqref="O1060:O1061">
    <cfRule type="expression" dxfId="4386" priority="4741">
      <formula>$BC1060="YES"</formula>
    </cfRule>
  </conditionalFormatting>
  <conditionalFormatting sqref="P1058:Q1058">
    <cfRule type="expression" dxfId="4385" priority="4740">
      <formula>$BC1058="YES"</formula>
    </cfRule>
  </conditionalFormatting>
  <conditionalFormatting sqref="P1060:Q1061">
    <cfRule type="expression" dxfId="4384" priority="4739">
      <formula>$BC1060="YES"</formula>
    </cfRule>
  </conditionalFormatting>
  <conditionalFormatting sqref="R1058:S1059">
    <cfRule type="expression" dxfId="4383" priority="4738">
      <formula>$BC1058="YES"</formula>
    </cfRule>
  </conditionalFormatting>
  <conditionalFormatting sqref="R1060:S1061">
    <cfRule type="expression" dxfId="4382" priority="4737">
      <formula>$BC1060="YES"</formula>
    </cfRule>
  </conditionalFormatting>
  <conditionalFormatting sqref="T1058:U1059">
    <cfRule type="expression" dxfId="4381" priority="4736">
      <formula>$BC1058="YES"</formula>
    </cfRule>
  </conditionalFormatting>
  <conditionalFormatting sqref="T1060:U1061">
    <cfRule type="expression" dxfId="4380" priority="4735">
      <formula>$BC1060="YES"</formula>
    </cfRule>
  </conditionalFormatting>
  <conditionalFormatting sqref="P1062:Q1062">
    <cfRule type="expression" dxfId="4379" priority="4734">
      <formula>$BC1062="YES"</formula>
    </cfRule>
  </conditionalFormatting>
  <conditionalFormatting sqref="N1062:N1063">
    <cfRule type="expression" dxfId="4378" priority="4733">
      <formula>$BC1062="YES"</formula>
    </cfRule>
  </conditionalFormatting>
  <conditionalFormatting sqref="O1062">
    <cfRule type="expression" dxfId="4377" priority="4732">
      <formula>$BC1062="YES"</formula>
    </cfRule>
  </conditionalFormatting>
  <conditionalFormatting sqref="O1063">
    <cfRule type="expression" dxfId="4376" priority="4731">
      <formula>$BC1063="YES"</formula>
    </cfRule>
  </conditionalFormatting>
  <conditionalFormatting sqref="P1063:Q1063">
    <cfRule type="expression" dxfId="4375" priority="4730">
      <formula>$BC1063="YES"</formula>
    </cfRule>
  </conditionalFormatting>
  <conditionalFormatting sqref="R1062:S1062">
    <cfRule type="expression" dxfId="4374" priority="4729">
      <formula>$BC1062="YES"</formula>
    </cfRule>
  </conditionalFormatting>
  <conditionalFormatting sqref="R1063:S1063">
    <cfRule type="expression" dxfId="4373" priority="4728">
      <formula>$BC1063="YES"</formula>
    </cfRule>
  </conditionalFormatting>
  <conditionalFormatting sqref="T1062:U1062">
    <cfRule type="expression" dxfId="4372" priority="4727">
      <formula>$BC1062="YES"</formula>
    </cfRule>
  </conditionalFormatting>
  <conditionalFormatting sqref="T1063:U1063">
    <cfRule type="expression" dxfId="4371" priority="4726">
      <formula>$BC1063="YES"</formula>
    </cfRule>
  </conditionalFormatting>
  <conditionalFormatting sqref="P1064:Q1064">
    <cfRule type="expression" dxfId="4370" priority="4725">
      <formula>$BC1064="YES"</formula>
    </cfRule>
  </conditionalFormatting>
  <conditionalFormatting sqref="N1064:N1065">
    <cfRule type="expression" dxfId="4369" priority="4724">
      <formula>$BC1064="YES"</formula>
    </cfRule>
  </conditionalFormatting>
  <conditionalFormatting sqref="O1064">
    <cfRule type="expression" dxfId="4368" priority="4723">
      <formula>$BC1064="YES"</formula>
    </cfRule>
  </conditionalFormatting>
  <conditionalFormatting sqref="O1065">
    <cfRule type="expression" dxfId="4367" priority="4722">
      <formula>$BC1065="YES"</formula>
    </cfRule>
  </conditionalFormatting>
  <conditionalFormatting sqref="P1065:Q1065">
    <cfRule type="expression" dxfId="4366" priority="4721">
      <formula>$BC1065="YES"</formula>
    </cfRule>
  </conditionalFormatting>
  <conditionalFormatting sqref="R1064:S1064">
    <cfRule type="expression" dxfId="4365" priority="4720">
      <formula>$BC1064="YES"</formula>
    </cfRule>
  </conditionalFormatting>
  <conditionalFormatting sqref="R1065:S1065">
    <cfRule type="expression" dxfId="4364" priority="4719">
      <formula>$BC1065="YES"</formula>
    </cfRule>
  </conditionalFormatting>
  <conditionalFormatting sqref="T1064:U1064">
    <cfRule type="expression" dxfId="4363" priority="4718">
      <formula>$BC1064="YES"</formula>
    </cfRule>
  </conditionalFormatting>
  <conditionalFormatting sqref="T1065:U1065">
    <cfRule type="expression" dxfId="4362" priority="4717">
      <formula>$BC1065="YES"</formula>
    </cfRule>
  </conditionalFormatting>
  <conditionalFormatting sqref="P1066:Q1066">
    <cfRule type="expression" dxfId="4361" priority="4716">
      <formula>$BC1066="YES"</formula>
    </cfRule>
  </conditionalFormatting>
  <conditionalFormatting sqref="N1066:N1067">
    <cfRule type="expression" dxfId="4360" priority="4715">
      <formula>$BC1066="YES"</formula>
    </cfRule>
  </conditionalFormatting>
  <conditionalFormatting sqref="O1066">
    <cfRule type="expression" dxfId="4359" priority="4714">
      <formula>$BC1066="YES"</formula>
    </cfRule>
  </conditionalFormatting>
  <conditionalFormatting sqref="O1067">
    <cfRule type="expression" dxfId="4358" priority="4713">
      <formula>$BC1067="YES"</formula>
    </cfRule>
  </conditionalFormatting>
  <conditionalFormatting sqref="P1067:Q1067">
    <cfRule type="expression" dxfId="4357" priority="4712">
      <formula>$BC1067="YES"</formula>
    </cfRule>
  </conditionalFormatting>
  <conditionalFormatting sqref="R1066:S1066">
    <cfRule type="expression" dxfId="4356" priority="4711">
      <formula>$BC1066="YES"</formula>
    </cfRule>
  </conditionalFormatting>
  <conditionalFormatting sqref="R1067:S1067">
    <cfRule type="expression" dxfId="4355" priority="4710">
      <formula>$BC1067="YES"</formula>
    </cfRule>
  </conditionalFormatting>
  <conditionalFormatting sqref="T1066:U1066">
    <cfRule type="expression" dxfId="4354" priority="4709">
      <formula>$BC1066="YES"</formula>
    </cfRule>
  </conditionalFormatting>
  <conditionalFormatting sqref="T1067:U1067">
    <cfRule type="expression" dxfId="4353" priority="4708">
      <formula>$BC1067="YES"</formula>
    </cfRule>
  </conditionalFormatting>
  <conditionalFormatting sqref="P1068:Q1068">
    <cfRule type="expression" dxfId="4352" priority="4707">
      <formula>$BC1068="YES"</formula>
    </cfRule>
  </conditionalFormatting>
  <conditionalFormatting sqref="N1068:N1069">
    <cfRule type="expression" dxfId="4351" priority="4706">
      <formula>$BC1068="YES"</formula>
    </cfRule>
  </conditionalFormatting>
  <conditionalFormatting sqref="O1068">
    <cfRule type="expression" dxfId="4350" priority="4705">
      <formula>$BC1068="YES"</formula>
    </cfRule>
  </conditionalFormatting>
  <conditionalFormatting sqref="O1069">
    <cfRule type="expression" dxfId="4349" priority="4704">
      <formula>$BC1069="YES"</formula>
    </cfRule>
  </conditionalFormatting>
  <conditionalFormatting sqref="P1069:Q1069">
    <cfRule type="expression" dxfId="4348" priority="4703">
      <formula>$BC1069="YES"</formula>
    </cfRule>
  </conditionalFormatting>
  <conditionalFormatting sqref="R1068:S1068">
    <cfRule type="expression" dxfId="4347" priority="4702">
      <formula>$BC1068="YES"</formula>
    </cfRule>
  </conditionalFormatting>
  <conditionalFormatting sqref="R1069:S1069">
    <cfRule type="expression" dxfId="4346" priority="4701">
      <formula>$BC1069="YES"</formula>
    </cfRule>
  </conditionalFormatting>
  <conditionalFormatting sqref="T1068:U1068">
    <cfRule type="expression" dxfId="4345" priority="4700">
      <formula>$BC1068="YES"</formula>
    </cfRule>
  </conditionalFormatting>
  <conditionalFormatting sqref="T1069:U1069">
    <cfRule type="expression" dxfId="4344" priority="4699">
      <formula>$BC1069="YES"</formula>
    </cfRule>
  </conditionalFormatting>
  <conditionalFormatting sqref="P1070:Q1070">
    <cfRule type="expression" dxfId="4343" priority="4698">
      <formula>$BC1070="YES"</formula>
    </cfRule>
  </conditionalFormatting>
  <conditionalFormatting sqref="N1070:N1071">
    <cfRule type="expression" dxfId="4342" priority="4697">
      <formula>$BC1070="YES"</formula>
    </cfRule>
  </conditionalFormatting>
  <conditionalFormatting sqref="O1070">
    <cfRule type="expression" dxfId="4341" priority="4696">
      <formula>$BC1070="YES"</formula>
    </cfRule>
  </conditionalFormatting>
  <conditionalFormatting sqref="O1071">
    <cfRule type="expression" dxfId="4340" priority="4695">
      <formula>$BC1071="YES"</formula>
    </cfRule>
  </conditionalFormatting>
  <conditionalFormatting sqref="P1071:Q1071">
    <cfRule type="expression" dxfId="4339" priority="4694">
      <formula>$BC1071="YES"</formula>
    </cfRule>
  </conditionalFormatting>
  <conditionalFormatting sqref="R1070:S1070">
    <cfRule type="expression" dxfId="4338" priority="4693">
      <formula>$BC1070="YES"</formula>
    </cfRule>
  </conditionalFormatting>
  <conditionalFormatting sqref="R1071:S1071">
    <cfRule type="expression" dxfId="4337" priority="4692">
      <formula>$BC1071="YES"</formula>
    </cfRule>
  </conditionalFormatting>
  <conditionalFormatting sqref="T1070:U1070">
    <cfRule type="expression" dxfId="4336" priority="4691">
      <formula>$BC1070="YES"</formula>
    </cfRule>
  </conditionalFormatting>
  <conditionalFormatting sqref="T1071:U1071">
    <cfRule type="expression" dxfId="4335" priority="4690">
      <formula>$BC1071="YES"</formula>
    </cfRule>
  </conditionalFormatting>
  <conditionalFormatting sqref="P1072:Q1072">
    <cfRule type="expression" dxfId="4334" priority="4689">
      <formula>$BC1072="YES"</formula>
    </cfRule>
  </conditionalFormatting>
  <conditionalFormatting sqref="N1072:N1073">
    <cfRule type="expression" dxfId="4333" priority="4688">
      <formula>$BC1072="YES"</formula>
    </cfRule>
  </conditionalFormatting>
  <conditionalFormatting sqref="O1072">
    <cfRule type="expression" dxfId="4332" priority="4687">
      <formula>$BC1072="YES"</formula>
    </cfRule>
  </conditionalFormatting>
  <conditionalFormatting sqref="O1073">
    <cfRule type="expression" dxfId="4331" priority="4686">
      <formula>$BC1073="YES"</formula>
    </cfRule>
  </conditionalFormatting>
  <conditionalFormatting sqref="P1073:Q1073">
    <cfRule type="expression" dxfId="4330" priority="4685">
      <formula>$BC1073="YES"</formula>
    </cfRule>
  </conditionalFormatting>
  <conditionalFormatting sqref="R1072:S1072">
    <cfRule type="expression" dxfId="4329" priority="4684">
      <formula>$BC1072="YES"</formula>
    </cfRule>
  </conditionalFormatting>
  <conditionalFormatting sqref="R1073:S1073">
    <cfRule type="expression" dxfId="4328" priority="4683">
      <formula>$BC1073="YES"</formula>
    </cfRule>
  </conditionalFormatting>
  <conditionalFormatting sqref="T1072:U1072">
    <cfRule type="expression" dxfId="4327" priority="4682">
      <formula>$BC1072="YES"</formula>
    </cfRule>
  </conditionalFormatting>
  <conditionalFormatting sqref="T1073:U1073">
    <cfRule type="expression" dxfId="4326" priority="4681">
      <formula>$BC1073="YES"</formula>
    </cfRule>
  </conditionalFormatting>
  <conditionalFormatting sqref="P1074:Q1074">
    <cfRule type="expression" dxfId="4325" priority="4680">
      <formula>$BC1074="YES"</formula>
    </cfRule>
  </conditionalFormatting>
  <conditionalFormatting sqref="N1074:N1075">
    <cfRule type="expression" dxfId="4324" priority="4679">
      <formula>$BC1074="YES"</formula>
    </cfRule>
  </conditionalFormatting>
  <conditionalFormatting sqref="O1074">
    <cfRule type="expression" dxfId="4323" priority="4678">
      <formula>$BC1074="YES"</formula>
    </cfRule>
  </conditionalFormatting>
  <conditionalFormatting sqref="O1075">
    <cfRule type="expression" dxfId="4322" priority="4677">
      <formula>$BC1075="YES"</formula>
    </cfRule>
  </conditionalFormatting>
  <conditionalFormatting sqref="P1075:Q1075">
    <cfRule type="expression" dxfId="4321" priority="4676">
      <formula>$BC1075="YES"</formula>
    </cfRule>
  </conditionalFormatting>
  <conditionalFormatting sqref="R1074:S1074">
    <cfRule type="expression" dxfId="4320" priority="4675">
      <formula>$BC1074="YES"</formula>
    </cfRule>
  </conditionalFormatting>
  <conditionalFormatting sqref="R1075:S1075">
    <cfRule type="expression" dxfId="4319" priority="4674">
      <formula>$BC1075="YES"</formula>
    </cfRule>
  </conditionalFormatting>
  <conditionalFormatting sqref="T1074:U1074">
    <cfRule type="expression" dxfId="4318" priority="4673">
      <formula>$BC1074="YES"</formula>
    </cfRule>
  </conditionalFormatting>
  <conditionalFormatting sqref="T1075:U1075">
    <cfRule type="expression" dxfId="4317" priority="4672">
      <formula>$BC1075="YES"</formula>
    </cfRule>
  </conditionalFormatting>
  <conditionalFormatting sqref="P1077:Q1077">
    <cfRule type="expression" dxfId="4316" priority="4671">
      <formula>$BC1077="YES"</formula>
    </cfRule>
  </conditionalFormatting>
  <conditionalFormatting sqref="N1077:N1078">
    <cfRule type="expression" dxfId="4315" priority="4670">
      <formula>$BC1077="YES"</formula>
    </cfRule>
  </conditionalFormatting>
  <conditionalFormatting sqref="O1077">
    <cfRule type="expression" dxfId="4314" priority="4669">
      <formula>$BC1077="YES"</formula>
    </cfRule>
  </conditionalFormatting>
  <conditionalFormatting sqref="O1078">
    <cfRule type="expression" dxfId="4313" priority="4668">
      <formula>$BC1078="YES"</formula>
    </cfRule>
  </conditionalFormatting>
  <conditionalFormatting sqref="P1078:Q1078">
    <cfRule type="expression" dxfId="4312" priority="4667">
      <formula>$BC1078="YES"</formula>
    </cfRule>
  </conditionalFormatting>
  <conditionalFormatting sqref="R1077:S1077">
    <cfRule type="expression" dxfId="4311" priority="4666">
      <formula>$BC1077="YES"</formula>
    </cfRule>
  </conditionalFormatting>
  <conditionalFormatting sqref="R1078:S1078">
    <cfRule type="expression" dxfId="4310" priority="4665">
      <formula>$BC1078="YES"</formula>
    </cfRule>
  </conditionalFormatting>
  <conditionalFormatting sqref="T1077:U1077">
    <cfRule type="expression" dxfId="4309" priority="4664">
      <formula>$BC1077="YES"</formula>
    </cfRule>
  </conditionalFormatting>
  <conditionalFormatting sqref="T1078:U1078">
    <cfRule type="expression" dxfId="4308" priority="4663">
      <formula>$BC1078="YES"</formula>
    </cfRule>
  </conditionalFormatting>
  <conditionalFormatting sqref="P1079:Q1079">
    <cfRule type="expression" dxfId="4307" priority="4662">
      <formula>$BC1079="YES"</formula>
    </cfRule>
  </conditionalFormatting>
  <conditionalFormatting sqref="N1079:N1080">
    <cfRule type="expression" dxfId="4306" priority="4661">
      <formula>$BC1079="YES"</formula>
    </cfRule>
  </conditionalFormatting>
  <conditionalFormatting sqref="O1079">
    <cfRule type="expression" dxfId="4305" priority="4660">
      <formula>$BC1079="YES"</formula>
    </cfRule>
  </conditionalFormatting>
  <conditionalFormatting sqref="O1080">
    <cfRule type="expression" dxfId="4304" priority="4659">
      <formula>$BC1080="YES"</formula>
    </cfRule>
  </conditionalFormatting>
  <conditionalFormatting sqref="P1080:Q1080">
    <cfRule type="expression" dxfId="4303" priority="4658">
      <formula>$BC1080="YES"</formula>
    </cfRule>
  </conditionalFormatting>
  <conditionalFormatting sqref="R1079:S1079">
    <cfRule type="expression" dxfId="4302" priority="4657">
      <formula>$BC1079="YES"</formula>
    </cfRule>
  </conditionalFormatting>
  <conditionalFormatting sqref="R1080:S1080">
    <cfRule type="expression" dxfId="4301" priority="4656">
      <formula>$BC1080="YES"</formula>
    </cfRule>
  </conditionalFormatting>
  <conditionalFormatting sqref="T1079:U1079">
    <cfRule type="expression" dxfId="4300" priority="4655">
      <formula>$BC1079="YES"</formula>
    </cfRule>
  </conditionalFormatting>
  <conditionalFormatting sqref="T1080:U1080">
    <cfRule type="expression" dxfId="4299" priority="4654">
      <formula>$BC1080="YES"</formula>
    </cfRule>
  </conditionalFormatting>
  <conditionalFormatting sqref="P1081:Q1081">
    <cfRule type="expression" dxfId="4298" priority="4653">
      <formula>$BC1081="YES"</formula>
    </cfRule>
  </conditionalFormatting>
  <conditionalFormatting sqref="N1081:N1082">
    <cfRule type="expression" dxfId="4297" priority="4652">
      <formula>$BC1081="YES"</formula>
    </cfRule>
  </conditionalFormatting>
  <conditionalFormatting sqref="O1081">
    <cfRule type="expression" dxfId="4296" priority="4651">
      <formula>$BC1081="YES"</formula>
    </cfRule>
  </conditionalFormatting>
  <conditionalFormatting sqref="O1082">
    <cfRule type="expression" dxfId="4295" priority="4650">
      <formula>$BC1082="YES"</formula>
    </cfRule>
  </conditionalFormatting>
  <conditionalFormatting sqref="P1082:Q1082">
    <cfRule type="expression" dxfId="4294" priority="4649">
      <formula>$BC1082="YES"</formula>
    </cfRule>
  </conditionalFormatting>
  <conditionalFormatting sqref="R1081:S1081">
    <cfRule type="expression" dxfId="4293" priority="4648">
      <formula>$BC1081="YES"</formula>
    </cfRule>
  </conditionalFormatting>
  <conditionalFormatting sqref="R1082:S1082">
    <cfRule type="expression" dxfId="4292" priority="4647">
      <formula>$BC1082="YES"</formula>
    </cfRule>
  </conditionalFormatting>
  <conditionalFormatting sqref="T1081:U1081">
    <cfRule type="expression" dxfId="4291" priority="4646">
      <formula>$BC1081="YES"</formula>
    </cfRule>
  </conditionalFormatting>
  <conditionalFormatting sqref="T1082:U1082">
    <cfRule type="expression" dxfId="4290" priority="4645">
      <formula>$BC1082="YES"</formula>
    </cfRule>
  </conditionalFormatting>
  <conditionalFormatting sqref="AJ1011:AK1209">
    <cfRule type="expression" dxfId="4289" priority="4644">
      <formula>$BC1011="YES"</formula>
    </cfRule>
  </conditionalFormatting>
  <conditionalFormatting sqref="R1212:S1213">
    <cfRule type="expression" dxfId="4288" priority="4642">
      <formula>$BC1212="YES"</formula>
    </cfRule>
  </conditionalFormatting>
  <conditionalFormatting sqref="B1407:E1409">
    <cfRule type="expression" dxfId="4287" priority="4641">
      <formula>$BC1407="YES"</formula>
    </cfRule>
  </conditionalFormatting>
  <conditionalFormatting sqref="P1212:Q1213">
    <cfRule type="expression" dxfId="4286" priority="4640">
      <formula>$BC1212="YES"</formula>
    </cfRule>
  </conditionalFormatting>
  <conditionalFormatting sqref="P1214:Q1215">
    <cfRule type="expression" dxfId="4285" priority="4639">
      <formula>$BC1214="YES"</formula>
    </cfRule>
  </conditionalFormatting>
  <conditionalFormatting sqref="P1216:Q1217">
    <cfRule type="expression" dxfId="4284" priority="4638">
      <formula>$BC1216="YES"</formula>
    </cfRule>
  </conditionalFormatting>
  <conditionalFormatting sqref="O1212:O1213">
    <cfRule type="expression" dxfId="4283" priority="4637">
      <formula>$BC1212="YES"</formula>
    </cfRule>
  </conditionalFormatting>
  <conditionalFormatting sqref="O1214:O1215">
    <cfRule type="expression" dxfId="4282" priority="4636">
      <formula>$BC1214="YES"</formula>
    </cfRule>
  </conditionalFormatting>
  <conditionalFormatting sqref="O1216:O1217">
    <cfRule type="expression" dxfId="4281" priority="4635">
      <formula>$BC1216="YES"</formula>
    </cfRule>
  </conditionalFormatting>
  <conditionalFormatting sqref="O1218:O1219">
    <cfRule type="expression" dxfId="4280" priority="4634">
      <formula>$BC1218="YES"</formula>
    </cfRule>
  </conditionalFormatting>
  <conditionalFormatting sqref="O1220:O1221">
    <cfRule type="expression" dxfId="4279" priority="4633">
      <formula>$BC1220="YES"</formula>
    </cfRule>
  </conditionalFormatting>
  <conditionalFormatting sqref="N1222:O1223">
    <cfRule type="expression" dxfId="4278" priority="4632">
      <formula>$BC1222="YES"</formula>
    </cfRule>
  </conditionalFormatting>
  <conditionalFormatting sqref="O1224:O1225">
    <cfRule type="expression" dxfId="4277" priority="4631">
      <formula>$BC1224="YES"</formula>
    </cfRule>
  </conditionalFormatting>
  <conditionalFormatting sqref="O1226:O1227">
    <cfRule type="expression" dxfId="4276" priority="4630">
      <formula>$BC1226="YES"</formula>
    </cfRule>
  </conditionalFormatting>
  <conditionalFormatting sqref="O1228:O1229">
    <cfRule type="expression" dxfId="4275" priority="4629">
      <formula>$BC1228="YES"</formula>
    </cfRule>
  </conditionalFormatting>
  <conditionalFormatting sqref="O1230:O1231">
    <cfRule type="expression" dxfId="4274" priority="4628">
      <formula>$BC1230="YES"</formula>
    </cfRule>
  </conditionalFormatting>
  <conditionalFormatting sqref="O1232:O1233">
    <cfRule type="expression" dxfId="4273" priority="4627">
      <formula>$BC1232="YES"</formula>
    </cfRule>
  </conditionalFormatting>
  <conditionalFormatting sqref="P1218:Q1219">
    <cfRule type="expression" dxfId="4272" priority="4626">
      <formula>$BC1218="YES"</formula>
    </cfRule>
  </conditionalFormatting>
  <conditionalFormatting sqref="P1220:Q1221">
    <cfRule type="expression" dxfId="4271" priority="4625">
      <formula>$BC1220="YES"</formula>
    </cfRule>
  </conditionalFormatting>
  <conditionalFormatting sqref="P1222:Q1223">
    <cfRule type="expression" dxfId="4270" priority="4624">
      <formula>$BC1222="YES"</formula>
    </cfRule>
  </conditionalFormatting>
  <conditionalFormatting sqref="P1224:Q1224">
    <cfRule type="expression" dxfId="4269" priority="4623">
      <formula>$BC1224="YES"</formula>
    </cfRule>
  </conditionalFormatting>
  <conditionalFormatting sqref="P1226:Q1227">
    <cfRule type="expression" dxfId="4268" priority="4622">
      <formula>$BC1226="YES"</formula>
    </cfRule>
  </conditionalFormatting>
  <conditionalFormatting sqref="P1228:Q1229">
    <cfRule type="expression" dxfId="4267" priority="4621">
      <formula>$BC1228="YES"</formula>
    </cfRule>
  </conditionalFormatting>
  <conditionalFormatting sqref="P1230:Q1231">
    <cfRule type="expression" dxfId="4266" priority="4620">
      <formula>$BC1230="YES"</formula>
    </cfRule>
  </conditionalFormatting>
  <conditionalFormatting sqref="P1232:Q1232">
    <cfRule type="expression" dxfId="4265" priority="4619">
      <formula>$BC1232="YES"</formula>
    </cfRule>
  </conditionalFormatting>
  <conditionalFormatting sqref="R1214:S1217">
    <cfRule type="expression" dxfId="4264" priority="4618">
      <formula>$BC1214="YES"</formula>
    </cfRule>
  </conditionalFormatting>
  <conditionalFormatting sqref="R1218:S1221">
    <cfRule type="expression" dxfId="4263" priority="4617">
      <formula>$BC1218="YES"</formula>
    </cfRule>
  </conditionalFormatting>
  <conditionalFormatting sqref="R1222:S1225">
    <cfRule type="expression" dxfId="4262" priority="4616">
      <formula>$BC1222="YES"</formula>
    </cfRule>
  </conditionalFormatting>
  <conditionalFormatting sqref="R1226:S1229">
    <cfRule type="expression" dxfId="4261" priority="4615">
      <formula>$BC1226="YES"</formula>
    </cfRule>
  </conditionalFormatting>
  <conditionalFormatting sqref="R1230:S1233">
    <cfRule type="expression" dxfId="4260" priority="4614">
      <formula>$BC1230="YES"</formula>
    </cfRule>
  </conditionalFormatting>
  <conditionalFormatting sqref="T1212:U1213">
    <cfRule type="expression" dxfId="4259" priority="4613">
      <formula>$BC1212="YES"</formula>
    </cfRule>
  </conditionalFormatting>
  <conditionalFormatting sqref="T1214:U1215">
    <cfRule type="expression" dxfId="4258" priority="4612">
      <formula>$BC1214="YES"</formula>
    </cfRule>
  </conditionalFormatting>
  <conditionalFormatting sqref="T1216:U1217">
    <cfRule type="expression" dxfId="4257" priority="4611">
      <formula>$BC1216="YES"</formula>
    </cfRule>
  </conditionalFormatting>
  <conditionalFormatting sqref="T1218:U1219">
    <cfRule type="expression" dxfId="4256" priority="4610">
      <formula>$BC1218="YES"</formula>
    </cfRule>
  </conditionalFormatting>
  <conditionalFormatting sqref="T1220:U1221">
    <cfRule type="expression" dxfId="4255" priority="4609">
      <formula>$BC1220="YES"</formula>
    </cfRule>
  </conditionalFormatting>
  <conditionalFormatting sqref="T1222:U1223">
    <cfRule type="expression" dxfId="4254" priority="4608">
      <formula>$BC1222="YES"</formula>
    </cfRule>
  </conditionalFormatting>
  <conditionalFormatting sqref="T1224:U1225">
    <cfRule type="expression" dxfId="4253" priority="4607">
      <formula>$BC1224="YES"</formula>
    </cfRule>
  </conditionalFormatting>
  <conditionalFormatting sqref="T1226:U1227">
    <cfRule type="expression" dxfId="4252" priority="4606">
      <formula>$BC1226="YES"</formula>
    </cfRule>
  </conditionalFormatting>
  <conditionalFormatting sqref="T1228:U1229">
    <cfRule type="expression" dxfId="4251" priority="4605">
      <formula>$BC1228="YES"</formula>
    </cfRule>
  </conditionalFormatting>
  <conditionalFormatting sqref="T1230:U1231">
    <cfRule type="expression" dxfId="4250" priority="4604">
      <formula>$BC1230="YES"</formula>
    </cfRule>
  </conditionalFormatting>
  <conditionalFormatting sqref="T1232:U1233">
    <cfRule type="expression" dxfId="4249" priority="4603">
      <formula>$BC1232="YES"</formula>
    </cfRule>
  </conditionalFormatting>
  <conditionalFormatting sqref="P1235:Q1235">
    <cfRule type="expression" dxfId="4248" priority="4602">
      <formula>$BC1235="YES"</formula>
    </cfRule>
  </conditionalFormatting>
  <conditionalFormatting sqref="N1234:N1237">
    <cfRule type="expression" dxfId="4247" priority="4601">
      <formula>$BC1234="YES"</formula>
    </cfRule>
  </conditionalFormatting>
  <conditionalFormatting sqref="O1234:O1235">
    <cfRule type="expression" dxfId="4246" priority="4600">
      <formula>$BC1234="YES"</formula>
    </cfRule>
  </conditionalFormatting>
  <conditionalFormatting sqref="O1236:O1237">
    <cfRule type="expression" dxfId="4245" priority="4599">
      <formula>$BC1236="YES"</formula>
    </cfRule>
  </conditionalFormatting>
  <conditionalFormatting sqref="P1234:Q1234">
    <cfRule type="expression" dxfId="4244" priority="4598">
      <formula>$BC1234="YES"</formula>
    </cfRule>
  </conditionalFormatting>
  <conditionalFormatting sqref="P1236:Q1237">
    <cfRule type="expression" dxfId="4243" priority="4597">
      <formula>$BC1236="YES"</formula>
    </cfRule>
  </conditionalFormatting>
  <conditionalFormatting sqref="R1234:S1235">
    <cfRule type="expression" dxfId="4242" priority="4596">
      <formula>$BC1234="YES"</formula>
    </cfRule>
  </conditionalFormatting>
  <conditionalFormatting sqref="R1236:S1237">
    <cfRule type="expression" dxfId="4241" priority="4595">
      <formula>$BC1236="YES"</formula>
    </cfRule>
  </conditionalFormatting>
  <conditionalFormatting sqref="T1234:U1235">
    <cfRule type="expression" dxfId="4240" priority="4594">
      <formula>$BC1234="YES"</formula>
    </cfRule>
  </conditionalFormatting>
  <conditionalFormatting sqref="T1236:U1237">
    <cfRule type="expression" dxfId="4239" priority="4593">
      <formula>$BC1236="YES"</formula>
    </cfRule>
  </conditionalFormatting>
  <conditionalFormatting sqref="P1239:Q1239">
    <cfRule type="expression" dxfId="4238" priority="4592">
      <formula>$BC1239="YES"</formula>
    </cfRule>
  </conditionalFormatting>
  <conditionalFormatting sqref="N1238:N1241">
    <cfRule type="expression" dxfId="4237" priority="4591">
      <formula>$BC1238="YES"</formula>
    </cfRule>
  </conditionalFormatting>
  <conditionalFormatting sqref="O1238:O1239">
    <cfRule type="expression" dxfId="4236" priority="4590">
      <formula>$BC1238="YES"</formula>
    </cfRule>
  </conditionalFormatting>
  <conditionalFormatting sqref="O1240:O1241">
    <cfRule type="expression" dxfId="4235" priority="4589">
      <formula>$BC1240="YES"</formula>
    </cfRule>
  </conditionalFormatting>
  <conditionalFormatting sqref="P1238:Q1238">
    <cfRule type="expression" dxfId="4234" priority="4588">
      <formula>$BC1238="YES"</formula>
    </cfRule>
  </conditionalFormatting>
  <conditionalFormatting sqref="P1240:Q1241">
    <cfRule type="expression" dxfId="4233" priority="4587">
      <formula>$BC1240="YES"</formula>
    </cfRule>
  </conditionalFormatting>
  <conditionalFormatting sqref="R1238:S1239">
    <cfRule type="expression" dxfId="4232" priority="4586">
      <formula>$BC1238="YES"</formula>
    </cfRule>
  </conditionalFormatting>
  <conditionalFormatting sqref="R1240:S1241">
    <cfRule type="expression" dxfId="4231" priority="4585">
      <formula>$BC1240="YES"</formula>
    </cfRule>
  </conditionalFormatting>
  <conditionalFormatting sqref="T1238:U1239">
    <cfRule type="expression" dxfId="4230" priority="4584">
      <formula>$BC1238="YES"</formula>
    </cfRule>
  </conditionalFormatting>
  <conditionalFormatting sqref="T1240:U1241">
    <cfRule type="expression" dxfId="4229" priority="4583">
      <formula>$BC1240="YES"</formula>
    </cfRule>
  </conditionalFormatting>
  <conditionalFormatting sqref="P1243:Q1243">
    <cfRule type="expression" dxfId="4228" priority="4582">
      <formula>$BC1243="YES"</formula>
    </cfRule>
  </conditionalFormatting>
  <conditionalFormatting sqref="N1242:N1245">
    <cfRule type="expression" dxfId="4227" priority="4581">
      <formula>$BC1242="YES"</formula>
    </cfRule>
  </conditionalFormatting>
  <conditionalFormatting sqref="O1242:O1243">
    <cfRule type="expression" dxfId="4226" priority="4580">
      <formula>$BC1242="YES"</formula>
    </cfRule>
  </conditionalFormatting>
  <conditionalFormatting sqref="O1244:O1245">
    <cfRule type="expression" dxfId="4225" priority="4579">
      <formula>$BC1244="YES"</formula>
    </cfRule>
  </conditionalFormatting>
  <conditionalFormatting sqref="P1242:Q1242">
    <cfRule type="expression" dxfId="4224" priority="4578">
      <formula>$BC1242="YES"</formula>
    </cfRule>
  </conditionalFormatting>
  <conditionalFormatting sqref="P1244:Q1245">
    <cfRule type="expression" dxfId="4223" priority="4577">
      <formula>$BC1244="YES"</formula>
    </cfRule>
  </conditionalFormatting>
  <conditionalFormatting sqref="R1242:S1243">
    <cfRule type="expression" dxfId="4222" priority="4576">
      <formula>$BC1242="YES"</formula>
    </cfRule>
  </conditionalFormatting>
  <conditionalFormatting sqref="R1244:S1245">
    <cfRule type="expression" dxfId="4221" priority="4575">
      <formula>$BC1244="YES"</formula>
    </cfRule>
  </conditionalFormatting>
  <conditionalFormatting sqref="T1242:U1243">
    <cfRule type="expression" dxfId="4220" priority="4574">
      <formula>$BC1242="YES"</formula>
    </cfRule>
  </conditionalFormatting>
  <conditionalFormatting sqref="T1244:U1245">
    <cfRule type="expression" dxfId="4219" priority="4573">
      <formula>$BC1244="YES"</formula>
    </cfRule>
  </conditionalFormatting>
  <conditionalFormatting sqref="P1247:Q1247">
    <cfRule type="expression" dxfId="4218" priority="4572">
      <formula>$BC1247="YES"</formula>
    </cfRule>
  </conditionalFormatting>
  <conditionalFormatting sqref="N1246:N1249">
    <cfRule type="expression" dxfId="4217" priority="4571">
      <formula>$BC1246="YES"</formula>
    </cfRule>
  </conditionalFormatting>
  <conditionalFormatting sqref="O1246:O1247">
    <cfRule type="expression" dxfId="4216" priority="4570">
      <formula>$BC1246="YES"</formula>
    </cfRule>
  </conditionalFormatting>
  <conditionalFormatting sqref="O1248:O1249">
    <cfRule type="expression" dxfId="4215" priority="4569">
      <formula>$BC1248="YES"</formula>
    </cfRule>
  </conditionalFormatting>
  <conditionalFormatting sqref="P1246:Q1246">
    <cfRule type="expression" dxfId="4214" priority="4568">
      <formula>$BC1246="YES"</formula>
    </cfRule>
  </conditionalFormatting>
  <conditionalFormatting sqref="P1248:Q1249">
    <cfRule type="expression" dxfId="4213" priority="4567">
      <formula>$BC1248="YES"</formula>
    </cfRule>
  </conditionalFormatting>
  <conditionalFormatting sqref="R1246:S1247">
    <cfRule type="expression" dxfId="4212" priority="4566">
      <formula>$BC1246="YES"</formula>
    </cfRule>
  </conditionalFormatting>
  <conditionalFormatting sqref="R1248:S1249">
    <cfRule type="expression" dxfId="4211" priority="4565">
      <formula>$BC1248="YES"</formula>
    </cfRule>
  </conditionalFormatting>
  <conditionalFormatting sqref="T1246:U1247">
    <cfRule type="expression" dxfId="4210" priority="4564">
      <formula>$BC1246="YES"</formula>
    </cfRule>
  </conditionalFormatting>
  <conditionalFormatting sqref="T1248:U1249">
    <cfRule type="expression" dxfId="4209" priority="4563">
      <formula>$BC1248="YES"</formula>
    </cfRule>
  </conditionalFormatting>
  <conditionalFormatting sqref="P1251:Q1251">
    <cfRule type="expression" dxfId="4208" priority="4562">
      <formula>$BC1251="YES"</formula>
    </cfRule>
  </conditionalFormatting>
  <conditionalFormatting sqref="N1250:N1253">
    <cfRule type="expression" dxfId="4207" priority="4561">
      <formula>$BC1250="YES"</formula>
    </cfRule>
  </conditionalFormatting>
  <conditionalFormatting sqref="O1250:O1251">
    <cfRule type="expression" dxfId="4206" priority="4560">
      <formula>$BC1250="YES"</formula>
    </cfRule>
  </conditionalFormatting>
  <conditionalFormatting sqref="O1252:O1253">
    <cfRule type="expression" dxfId="4205" priority="4559">
      <formula>$BC1252="YES"</formula>
    </cfRule>
  </conditionalFormatting>
  <conditionalFormatting sqref="P1250:Q1250">
    <cfRule type="expression" dxfId="4204" priority="4558">
      <formula>$BC1250="YES"</formula>
    </cfRule>
  </conditionalFormatting>
  <conditionalFormatting sqref="P1252:Q1253">
    <cfRule type="expression" dxfId="4203" priority="4557">
      <formula>$BC1252="YES"</formula>
    </cfRule>
  </conditionalFormatting>
  <conditionalFormatting sqref="R1250:S1251">
    <cfRule type="expression" dxfId="4202" priority="4556">
      <formula>$BC1250="YES"</formula>
    </cfRule>
  </conditionalFormatting>
  <conditionalFormatting sqref="R1252:S1253">
    <cfRule type="expression" dxfId="4201" priority="4555">
      <formula>$BC1252="YES"</formula>
    </cfRule>
  </conditionalFormatting>
  <conditionalFormatting sqref="T1250:U1251">
    <cfRule type="expression" dxfId="4200" priority="4554">
      <formula>$BC1250="YES"</formula>
    </cfRule>
  </conditionalFormatting>
  <conditionalFormatting sqref="T1252:U1253">
    <cfRule type="expression" dxfId="4199" priority="4553">
      <formula>$BC1252="YES"</formula>
    </cfRule>
  </conditionalFormatting>
  <conditionalFormatting sqref="P1255:Q1255">
    <cfRule type="expression" dxfId="4198" priority="4552">
      <formula>$BC1255="YES"</formula>
    </cfRule>
  </conditionalFormatting>
  <conditionalFormatting sqref="N1254:N1257">
    <cfRule type="expression" dxfId="4197" priority="4551">
      <formula>$BC1254="YES"</formula>
    </cfRule>
  </conditionalFormatting>
  <conditionalFormatting sqref="O1254:O1255">
    <cfRule type="expression" dxfId="4196" priority="4550">
      <formula>$BC1254="YES"</formula>
    </cfRule>
  </conditionalFormatting>
  <conditionalFormatting sqref="O1256:O1257">
    <cfRule type="expression" dxfId="4195" priority="4549">
      <formula>$BC1256="YES"</formula>
    </cfRule>
  </conditionalFormatting>
  <conditionalFormatting sqref="P1254:Q1254">
    <cfRule type="expression" dxfId="4194" priority="4548">
      <formula>$BC1254="YES"</formula>
    </cfRule>
  </conditionalFormatting>
  <conditionalFormatting sqref="P1256:Q1257">
    <cfRule type="expression" dxfId="4193" priority="4547">
      <formula>$BC1256="YES"</formula>
    </cfRule>
  </conditionalFormatting>
  <conditionalFormatting sqref="R1254:S1255">
    <cfRule type="expression" dxfId="4192" priority="4546">
      <formula>$BC1254="YES"</formula>
    </cfRule>
  </conditionalFormatting>
  <conditionalFormatting sqref="R1256:S1257">
    <cfRule type="expression" dxfId="4191" priority="4545">
      <formula>$BC1256="YES"</formula>
    </cfRule>
  </conditionalFormatting>
  <conditionalFormatting sqref="T1254:U1255">
    <cfRule type="expression" dxfId="4190" priority="4544">
      <formula>$BC1254="YES"</formula>
    </cfRule>
  </conditionalFormatting>
  <conditionalFormatting sqref="T1256:U1257">
    <cfRule type="expression" dxfId="4189" priority="4543">
      <formula>$BC1256="YES"</formula>
    </cfRule>
  </conditionalFormatting>
  <conditionalFormatting sqref="P1259:Q1259">
    <cfRule type="expression" dxfId="4188" priority="4542">
      <formula>$BC1259="YES"</formula>
    </cfRule>
  </conditionalFormatting>
  <conditionalFormatting sqref="N1258:N1261">
    <cfRule type="expression" dxfId="4187" priority="4541">
      <formula>$BC1258="YES"</formula>
    </cfRule>
  </conditionalFormatting>
  <conditionalFormatting sqref="O1258:O1259">
    <cfRule type="expression" dxfId="4186" priority="4540">
      <formula>$BC1258="YES"</formula>
    </cfRule>
  </conditionalFormatting>
  <conditionalFormatting sqref="O1260:O1261">
    <cfRule type="expression" dxfId="4185" priority="4539">
      <formula>$BC1260="YES"</formula>
    </cfRule>
  </conditionalFormatting>
  <conditionalFormatting sqref="P1258:Q1258">
    <cfRule type="expression" dxfId="4184" priority="4538">
      <formula>$BC1258="YES"</formula>
    </cfRule>
  </conditionalFormatting>
  <conditionalFormatting sqref="P1260:Q1261">
    <cfRule type="expression" dxfId="4183" priority="4537">
      <formula>$BC1260="YES"</formula>
    </cfRule>
  </conditionalFormatting>
  <conditionalFormatting sqref="R1258:S1259">
    <cfRule type="expression" dxfId="4182" priority="4536">
      <formula>$BC1258="YES"</formula>
    </cfRule>
  </conditionalFormatting>
  <conditionalFormatting sqref="R1260:S1261">
    <cfRule type="expression" dxfId="4181" priority="4535">
      <formula>$BC1260="YES"</formula>
    </cfRule>
  </conditionalFormatting>
  <conditionalFormatting sqref="T1258:U1259">
    <cfRule type="expression" dxfId="4180" priority="4534">
      <formula>$BC1258="YES"</formula>
    </cfRule>
  </conditionalFormatting>
  <conditionalFormatting sqref="T1260:U1261">
    <cfRule type="expression" dxfId="4179" priority="4533">
      <formula>$BC1260="YES"</formula>
    </cfRule>
  </conditionalFormatting>
  <conditionalFormatting sqref="P1262:Q1262">
    <cfRule type="expression" dxfId="4178" priority="4532">
      <formula>$BC1262="YES"</formula>
    </cfRule>
  </conditionalFormatting>
  <conditionalFormatting sqref="N1262:N1263">
    <cfRule type="expression" dxfId="4177" priority="4531">
      <formula>$BC1262="YES"</formula>
    </cfRule>
  </conditionalFormatting>
  <conditionalFormatting sqref="O1262">
    <cfRule type="expression" dxfId="4176" priority="4530">
      <formula>$BC1262="YES"</formula>
    </cfRule>
  </conditionalFormatting>
  <conditionalFormatting sqref="O1263">
    <cfRule type="expression" dxfId="4175" priority="4529">
      <formula>$BC1263="YES"</formula>
    </cfRule>
  </conditionalFormatting>
  <conditionalFormatting sqref="P1263:Q1263">
    <cfRule type="expression" dxfId="4174" priority="4528">
      <formula>$BC1263="YES"</formula>
    </cfRule>
  </conditionalFormatting>
  <conditionalFormatting sqref="R1262:S1262">
    <cfRule type="expression" dxfId="4173" priority="4527">
      <formula>$BC1262="YES"</formula>
    </cfRule>
  </conditionalFormatting>
  <conditionalFormatting sqref="R1263:S1263">
    <cfRule type="expression" dxfId="4172" priority="4526">
      <formula>$BC1263="YES"</formula>
    </cfRule>
  </conditionalFormatting>
  <conditionalFormatting sqref="T1262:U1262">
    <cfRule type="expression" dxfId="4171" priority="4525">
      <formula>$BC1262="YES"</formula>
    </cfRule>
  </conditionalFormatting>
  <conditionalFormatting sqref="T1263:U1263">
    <cfRule type="expression" dxfId="4170" priority="4524">
      <formula>$BC1263="YES"</formula>
    </cfRule>
  </conditionalFormatting>
  <conditionalFormatting sqref="P1264:Q1264">
    <cfRule type="expression" dxfId="4169" priority="4523">
      <formula>$BC1264="YES"</formula>
    </cfRule>
  </conditionalFormatting>
  <conditionalFormatting sqref="N1264:N1265">
    <cfRule type="expression" dxfId="4168" priority="4522">
      <formula>$BC1264="YES"</formula>
    </cfRule>
  </conditionalFormatting>
  <conditionalFormatting sqref="O1264">
    <cfRule type="expression" dxfId="4167" priority="4521">
      <formula>$BC1264="YES"</formula>
    </cfRule>
  </conditionalFormatting>
  <conditionalFormatting sqref="O1265">
    <cfRule type="expression" dxfId="4166" priority="4520">
      <formula>$BC1265="YES"</formula>
    </cfRule>
  </conditionalFormatting>
  <conditionalFormatting sqref="P1265:Q1265">
    <cfRule type="expression" dxfId="4165" priority="4519">
      <formula>$BC1265="YES"</formula>
    </cfRule>
  </conditionalFormatting>
  <conditionalFormatting sqref="R1264:S1264">
    <cfRule type="expression" dxfId="4164" priority="4518">
      <formula>$BC1264="YES"</formula>
    </cfRule>
  </conditionalFormatting>
  <conditionalFormatting sqref="R1265:S1265">
    <cfRule type="expression" dxfId="4163" priority="4517">
      <formula>$BC1265="YES"</formula>
    </cfRule>
  </conditionalFormatting>
  <conditionalFormatting sqref="T1264:U1264">
    <cfRule type="expression" dxfId="4162" priority="4516">
      <formula>$BC1264="YES"</formula>
    </cfRule>
  </conditionalFormatting>
  <conditionalFormatting sqref="T1265:U1265">
    <cfRule type="expression" dxfId="4161" priority="4515">
      <formula>$BC1265="YES"</formula>
    </cfRule>
  </conditionalFormatting>
  <conditionalFormatting sqref="P1266:Q1266">
    <cfRule type="expression" dxfId="4160" priority="4514">
      <formula>$BC1266="YES"</formula>
    </cfRule>
  </conditionalFormatting>
  <conditionalFormatting sqref="N1266:N1267">
    <cfRule type="expression" dxfId="4159" priority="4513">
      <formula>$BC1266="YES"</formula>
    </cfRule>
  </conditionalFormatting>
  <conditionalFormatting sqref="O1266">
    <cfRule type="expression" dxfId="4158" priority="4512">
      <formula>$BC1266="YES"</formula>
    </cfRule>
  </conditionalFormatting>
  <conditionalFormatting sqref="O1267">
    <cfRule type="expression" dxfId="4157" priority="4511">
      <formula>$BC1267="YES"</formula>
    </cfRule>
  </conditionalFormatting>
  <conditionalFormatting sqref="P1267:Q1267">
    <cfRule type="expression" dxfId="4156" priority="4510">
      <formula>$BC1267="YES"</formula>
    </cfRule>
  </conditionalFormatting>
  <conditionalFormatting sqref="R1266:S1266">
    <cfRule type="expression" dxfId="4155" priority="4509">
      <formula>$BC1266="YES"</formula>
    </cfRule>
  </conditionalFormatting>
  <conditionalFormatting sqref="R1267:S1267">
    <cfRule type="expression" dxfId="4154" priority="4508">
      <formula>$BC1267="YES"</formula>
    </cfRule>
  </conditionalFormatting>
  <conditionalFormatting sqref="T1266:U1266">
    <cfRule type="expression" dxfId="4153" priority="4507">
      <formula>$BC1266="YES"</formula>
    </cfRule>
  </conditionalFormatting>
  <conditionalFormatting sqref="T1267:U1267">
    <cfRule type="expression" dxfId="4152" priority="4506">
      <formula>$BC1267="YES"</formula>
    </cfRule>
  </conditionalFormatting>
  <conditionalFormatting sqref="P1268:Q1268">
    <cfRule type="expression" dxfId="4151" priority="4505">
      <formula>$BC1268="YES"</formula>
    </cfRule>
  </conditionalFormatting>
  <conditionalFormatting sqref="N1268:N1269">
    <cfRule type="expression" dxfId="4150" priority="4504">
      <formula>$BC1268="YES"</formula>
    </cfRule>
  </conditionalFormatting>
  <conditionalFormatting sqref="O1268">
    <cfRule type="expression" dxfId="4149" priority="4503">
      <formula>$BC1268="YES"</formula>
    </cfRule>
  </conditionalFormatting>
  <conditionalFormatting sqref="O1269">
    <cfRule type="expression" dxfId="4148" priority="4502">
      <formula>$BC1269="YES"</formula>
    </cfRule>
  </conditionalFormatting>
  <conditionalFormatting sqref="P1269:Q1269">
    <cfRule type="expression" dxfId="4147" priority="4501">
      <formula>$BC1269="YES"</formula>
    </cfRule>
  </conditionalFormatting>
  <conditionalFormatting sqref="R1268:S1268">
    <cfRule type="expression" dxfId="4146" priority="4500">
      <formula>$BC1268="YES"</formula>
    </cfRule>
  </conditionalFormatting>
  <conditionalFormatting sqref="R1269:S1269">
    <cfRule type="expression" dxfId="4145" priority="4499">
      <formula>$BC1269="YES"</formula>
    </cfRule>
  </conditionalFormatting>
  <conditionalFormatting sqref="T1268:U1268">
    <cfRule type="expression" dxfId="4144" priority="4498">
      <formula>$BC1268="YES"</formula>
    </cfRule>
  </conditionalFormatting>
  <conditionalFormatting sqref="T1269:U1269">
    <cfRule type="expression" dxfId="4143" priority="4497">
      <formula>$BC1269="YES"</formula>
    </cfRule>
  </conditionalFormatting>
  <conditionalFormatting sqref="P1270:Q1270">
    <cfRule type="expression" dxfId="4142" priority="4496">
      <formula>$BC1270="YES"</formula>
    </cfRule>
  </conditionalFormatting>
  <conditionalFormatting sqref="N1270:N1271">
    <cfRule type="expression" dxfId="4141" priority="4495">
      <formula>$BC1270="YES"</formula>
    </cfRule>
  </conditionalFormatting>
  <conditionalFormatting sqref="O1270">
    <cfRule type="expression" dxfId="4140" priority="4494">
      <formula>$BC1270="YES"</formula>
    </cfRule>
  </conditionalFormatting>
  <conditionalFormatting sqref="O1271">
    <cfRule type="expression" dxfId="4139" priority="4493">
      <formula>$BC1271="YES"</formula>
    </cfRule>
  </conditionalFormatting>
  <conditionalFormatting sqref="P1271:Q1271">
    <cfRule type="expression" dxfId="4138" priority="4492">
      <formula>$BC1271="YES"</formula>
    </cfRule>
  </conditionalFormatting>
  <conditionalFormatting sqref="R1270:S1270">
    <cfRule type="expression" dxfId="4137" priority="4491">
      <formula>$BC1270="YES"</formula>
    </cfRule>
  </conditionalFormatting>
  <conditionalFormatting sqref="R1271:S1271">
    <cfRule type="expression" dxfId="4136" priority="4490">
      <formula>$BC1271="YES"</formula>
    </cfRule>
  </conditionalFormatting>
  <conditionalFormatting sqref="T1270:U1270">
    <cfRule type="expression" dxfId="4135" priority="4489">
      <formula>$BC1270="YES"</formula>
    </cfRule>
  </conditionalFormatting>
  <conditionalFormatting sqref="T1271:U1271">
    <cfRule type="expression" dxfId="4134" priority="4488">
      <formula>$BC1271="YES"</formula>
    </cfRule>
  </conditionalFormatting>
  <conditionalFormatting sqref="P1272:Q1272">
    <cfRule type="expression" dxfId="4133" priority="4487">
      <formula>$BC1272="YES"</formula>
    </cfRule>
  </conditionalFormatting>
  <conditionalFormatting sqref="N1272:N1273">
    <cfRule type="expression" dxfId="4132" priority="4486">
      <formula>$BC1272="YES"</formula>
    </cfRule>
  </conditionalFormatting>
  <conditionalFormatting sqref="O1272">
    <cfRule type="expression" dxfId="4131" priority="4485">
      <formula>$BC1272="YES"</formula>
    </cfRule>
  </conditionalFormatting>
  <conditionalFormatting sqref="O1273">
    <cfRule type="expression" dxfId="4130" priority="4484">
      <formula>$BC1273="YES"</formula>
    </cfRule>
  </conditionalFormatting>
  <conditionalFormatting sqref="P1273:Q1273">
    <cfRule type="expression" dxfId="4129" priority="4483">
      <formula>$BC1273="YES"</formula>
    </cfRule>
  </conditionalFormatting>
  <conditionalFormatting sqref="R1272:S1272">
    <cfRule type="expression" dxfId="4128" priority="4482">
      <formula>$BC1272="YES"</formula>
    </cfRule>
  </conditionalFormatting>
  <conditionalFormatting sqref="R1273:S1273">
    <cfRule type="expression" dxfId="4127" priority="4481">
      <formula>$BC1273="YES"</formula>
    </cfRule>
  </conditionalFormatting>
  <conditionalFormatting sqref="T1272:U1272">
    <cfRule type="expression" dxfId="4126" priority="4480">
      <formula>$BC1272="YES"</formula>
    </cfRule>
  </conditionalFormatting>
  <conditionalFormatting sqref="T1273:U1273">
    <cfRule type="expression" dxfId="4125" priority="4479">
      <formula>$BC1273="YES"</formula>
    </cfRule>
  </conditionalFormatting>
  <conditionalFormatting sqref="P1274:Q1274">
    <cfRule type="expression" dxfId="4124" priority="4478">
      <formula>$BC1274="YES"</formula>
    </cfRule>
  </conditionalFormatting>
  <conditionalFormatting sqref="N1274:N1275">
    <cfRule type="expression" dxfId="4123" priority="4477">
      <formula>$BC1274="YES"</formula>
    </cfRule>
  </conditionalFormatting>
  <conditionalFormatting sqref="O1274">
    <cfRule type="expression" dxfId="4122" priority="4476">
      <formula>$BC1274="YES"</formula>
    </cfRule>
  </conditionalFormatting>
  <conditionalFormatting sqref="O1275">
    <cfRule type="expression" dxfId="4121" priority="4475">
      <formula>$BC1275="YES"</formula>
    </cfRule>
  </conditionalFormatting>
  <conditionalFormatting sqref="P1275:Q1275">
    <cfRule type="expression" dxfId="4120" priority="4474">
      <formula>$BC1275="YES"</formula>
    </cfRule>
  </conditionalFormatting>
  <conditionalFormatting sqref="R1274:S1274">
    <cfRule type="expression" dxfId="4119" priority="4473">
      <formula>$BC1274="YES"</formula>
    </cfRule>
  </conditionalFormatting>
  <conditionalFormatting sqref="R1275:S1275">
    <cfRule type="expression" dxfId="4118" priority="4472">
      <formula>$BC1275="YES"</formula>
    </cfRule>
  </conditionalFormatting>
  <conditionalFormatting sqref="T1274:U1274">
    <cfRule type="expression" dxfId="4117" priority="4471">
      <formula>$BC1274="YES"</formula>
    </cfRule>
  </conditionalFormatting>
  <conditionalFormatting sqref="T1275:U1275">
    <cfRule type="expression" dxfId="4116" priority="4470">
      <formula>$BC1275="YES"</formula>
    </cfRule>
  </conditionalFormatting>
  <conditionalFormatting sqref="P1277:Q1277">
    <cfRule type="expression" dxfId="4115" priority="4469">
      <formula>$BC1277="YES"</formula>
    </cfRule>
  </conditionalFormatting>
  <conditionalFormatting sqref="N1277:N1278">
    <cfRule type="expression" dxfId="4114" priority="4468">
      <formula>$BC1277="YES"</formula>
    </cfRule>
  </conditionalFormatting>
  <conditionalFormatting sqref="O1277">
    <cfRule type="expression" dxfId="4113" priority="4467">
      <formula>$BC1277="YES"</formula>
    </cfRule>
  </conditionalFormatting>
  <conditionalFormatting sqref="O1278">
    <cfRule type="expression" dxfId="4112" priority="4466">
      <formula>$BC1278="YES"</formula>
    </cfRule>
  </conditionalFormatting>
  <conditionalFormatting sqref="P1278:Q1278">
    <cfRule type="expression" dxfId="4111" priority="4465">
      <formula>$BC1278="YES"</formula>
    </cfRule>
  </conditionalFormatting>
  <conditionalFormatting sqref="R1277:S1277">
    <cfRule type="expression" dxfId="4110" priority="4464">
      <formula>$BC1277="YES"</formula>
    </cfRule>
  </conditionalFormatting>
  <conditionalFormatting sqref="R1278:S1278">
    <cfRule type="expression" dxfId="4109" priority="4463">
      <formula>$BC1278="YES"</formula>
    </cfRule>
  </conditionalFormatting>
  <conditionalFormatting sqref="T1277:U1277">
    <cfRule type="expression" dxfId="4108" priority="4462">
      <formula>$BC1277="YES"</formula>
    </cfRule>
  </conditionalFormatting>
  <conditionalFormatting sqref="T1278:U1278">
    <cfRule type="expression" dxfId="4107" priority="4461">
      <formula>$BC1278="YES"</formula>
    </cfRule>
  </conditionalFormatting>
  <conditionalFormatting sqref="P1279:Q1279">
    <cfRule type="expression" dxfId="4106" priority="4460">
      <formula>$BC1279="YES"</formula>
    </cfRule>
  </conditionalFormatting>
  <conditionalFormatting sqref="N1279:N1280">
    <cfRule type="expression" dxfId="4105" priority="4459">
      <formula>$BC1279="YES"</formula>
    </cfRule>
  </conditionalFormatting>
  <conditionalFormatting sqref="O1279">
    <cfRule type="expression" dxfId="4104" priority="4458">
      <formula>$BC1279="YES"</formula>
    </cfRule>
  </conditionalFormatting>
  <conditionalFormatting sqref="O1280">
    <cfRule type="expression" dxfId="4103" priority="4457">
      <formula>$BC1280="YES"</formula>
    </cfRule>
  </conditionalFormatting>
  <conditionalFormatting sqref="P1280:Q1280">
    <cfRule type="expression" dxfId="4102" priority="4456">
      <formula>$BC1280="YES"</formula>
    </cfRule>
  </conditionalFormatting>
  <conditionalFormatting sqref="R1279:S1279">
    <cfRule type="expression" dxfId="4101" priority="4455">
      <formula>$BC1279="YES"</formula>
    </cfRule>
  </conditionalFormatting>
  <conditionalFormatting sqref="R1280:S1280">
    <cfRule type="expression" dxfId="4100" priority="4454">
      <formula>$BC1280="YES"</formula>
    </cfRule>
  </conditionalFormatting>
  <conditionalFormatting sqref="T1279:U1279">
    <cfRule type="expression" dxfId="4099" priority="4453">
      <formula>$BC1279="YES"</formula>
    </cfRule>
  </conditionalFormatting>
  <conditionalFormatting sqref="T1280:U1280">
    <cfRule type="expression" dxfId="4098" priority="4452">
      <formula>$BC1280="YES"</formula>
    </cfRule>
  </conditionalFormatting>
  <conditionalFormatting sqref="P1281:Q1281">
    <cfRule type="expression" dxfId="4097" priority="4451">
      <formula>$BC1281="YES"</formula>
    </cfRule>
  </conditionalFormatting>
  <conditionalFormatting sqref="N1281:N1282">
    <cfRule type="expression" dxfId="4096" priority="4450">
      <formula>$BC1281="YES"</formula>
    </cfRule>
  </conditionalFormatting>
  <conditionalFormatting sqref="O1281">
    <cfRule type="expression" dxfId="4095" priority="4449">
      <formula>$BC1281="YES"</formula>
    </cfRule>
  </conditionalFormatting>
  <conditionalFormatting sqref="O1282">
    <cfRule type="expression" dxfId="4094" priority="4448">
      <formula>$BC1282="YES"</formula>
    </cfRule>
  </conditionalFormatting>
  <conditionalFormatting sqref="P1282:Q1282">
    <cfRule type="expression" dxfId="4093" priority="4447">
      <formula>$BC1282="YES"</formula>
    </cfRule>
  </conditionalFormatting>
  <conditionalFormatting sqref="R1281:S1281">
    <cfRule type="expression" dxfId="4092" priority="4446">
      <formula>$BC1281="YES"</formula>
    </cfRule>
  </conditionalFormatting>
  <conditionalFormatting sqref="R1282:S1282">
    <cfRule type="expression" dxfId="4091" priority="4445">
      <formula>$BC1282="YES"</formula>
    </cfRule>
  </conditionalFormatting>
  <conditionalFormatting sqref="T1281:U1281">
    <cfRule type="expression" dxfId="4090" priority="4444">
      <formula>$BC1281="YES"</formula>
    </cfRule>
  </conditionalFormatting>
  <conditionalFormatting sqref="T1282:U1282">
    <cfRule type="expression" dxfId="4089" priority="4443">
      <formula>$BC1282="YES"</formula>
    </cfRule>
  </conditionalFormatting>
  <conditionalFormatting sqref="AJ1211:AK1409">
    <cfRule type="expression" dxfId="4088" priority="4442">
      <formula>$BC1211="YES"</formula>
    </cfRule>
  </conditionalFormatting>
  <conditionalFormatting sqref="R1412:S1413">
    <cfRule type="expression" dxfId="4087" priority="4440">
      <formula>$BC1412="YES"</formula>
    </cfRule>
  </conditionalFormatting>
  <conditionalFormatting sqref="B1607:F1609">
    <cfRule type="expression" dxfId="4086" priority="4439">
      <formula>$BC1607="YES"</formula>
    </cfRule>
  </conditionalFormatting>
  <conditionalFormatting sqref="P1412:Q1413">
    <cfRule type="expression" dxfId="4085" priority="4438">
      <formula>$BC1412="YES"</formula>
    </cfRule>
  </conditionalFormatting>
  <conditionalFormatting sqref="P1414:Q1415">
    <cfRule type="expression" dxfId="4084" priority="4437">
      <formula>$BC1414="YES"</formula>
    </cfRule>
  </conditionalFormatting>
  <conditionalFormatting sqref="P1416:Q1417">
    <cfRule type="expression" dxfId="4083" priority="4436">
      <formula>$BC1416="YES"</formula>
    </cfRule>
  </conditionalFormatting>
  <conditionalFormatting sqref="O1412:O1413">
    <cfRule type="expression" dxfId="4082" priority="4435">
      <formula>$BC1412="YES"</formula>
    </cfRule>
  </conditionalFormatting>
  <conditionalFormatting sqref="O1414:O1415">
    <cfRule type="expression" dxfId="4081" priority="4434">
      <formula>$BC1414="YES"</formula>
    </cfRule>
  </conditionalFormatting>
  <conditionalFormatting sqref="O1416:O1417">
    <cfRule type="expression" dxfId="4080" priority="4433">
      <formula>$BC1416="YES"</formula>
    </cfRule>
  </conditionalFormatting>
  <conditionalFormatting sqref="O1418:O1419">
    <cfRule type="expression" dxfId="4079" priority="4432">
      <formula>$BC1418="YES"</formula>
    </cfRule>
  </conditionalFormatting>
  <conditionalFormatting sqref="O1420:O1421">
    <cfRule type="expression" dxfId="4078" priority="4431">
      <formula>$BC1420="YES"</formula>
    </cfRule>
  </conditionalFormatting>
  <conditionalFormatting sqref="N1422:O1423">
    <cfRule type="expression" dxfId="4077" priority="4430">
      <formula>$BC1422="YES"</formula>
    </cfRule>
  </conditionalFormatting>
  <conditionalFormatting sqref="O1424:O1425">
    <cfRule type="expression" dxfId="4076" priority="4429">
      <formula>$BC1424="YES"</formula>
    </cfRule>
  </conditionalFormatting>
  <conditionalFormatting sqref="O1426:O1427">
    <cfRule type="expression" dxfId="4075" priority="4428">
      <formula>$BC1426="YES"</formula>
    </cfRule>
  </conditionalFormatting>
  <conditionalFormatting sqref="O1428:O1429">
    <cfRule type="expression" dxfId="4074" priority="4427">
      <formula>$BC1428="YES"</formula>
    </cfRule>
  </conditionalFormatting>
  <conditionalFormatting sqref="O1430:O1431">
    <cfRule type="expression" dxfId="4073" priority="4426">
      <formula>$BC1430="YES"</formula>
    </cfRule>
  </conditionalFormatting>
  <conditionalFormatting sqref="O1432:O1433">
    <cfRule type="expression" dxfId="4072" priority="4425">
      <formula>$BC1432="YES"</formula>
    </cfRule>
  </conditionalFormatting>
  <conditionalFormatting sqref="P1418:Q1419">
    <cfRule type="expression" dxfId="4071" priority="4424">
      <formula>$BC1418="YES"</formula>
    </cfRule>
  </conditionalFormatting>
  <conditionalFormatting sqref="P1420:Q1421">
    <cfRule type="expression" dxfId="4070" priority="4423">
      <formula>$BC1420="YES"</formula>
    </cfRule>
  </conditionalFormatting>
  <conditionalFormatting sqref="P1422:Q1423">
    <cfRule type="expression" dxfId="4069" priority="4422">
      <formula>$BC1422="YES"</formula>
    </cfRule>
  </conditionalFormatting>
  <conditionalFormatting sqref="P1424:Q1424">
    <cfRule type="expression" dxfId="4068" priority="4421">
      <formula>$BC1424="YES"</formula>
    </cfRule>
  </conditionalFormatting>
  <conditionalFormatting sqref="P1426:Q1427">
    <cfRule type="expression" dxfId="4067" priority="4420">
      <formula>$BC1426="YES"</formula>
    </cfRule>
  </conditionalFormatting>
  <conditionalFormatting sqref="P1428:Q1429">
    <cfRule type="expression" dxfId="4066" priority="4419">
      <formula>$BC1428="YES"</formula>
    </cfRule>
  </conditionalFormatting>
  <conditionalFormatting sqref="P1430:Q1431">
    <cfRule type="expression" dxfId="4065" priority="4418">
      <formula>$BC1430="YES"</formula>
    </cfRule>
  </conditionalFormatting>
  <conditionalFormatting sqref="P1432:Q1432">
    <cfRule type="expression" dxfId="4064" priority="4417">
      <formula>$BC1432="YES"</formula>
    </cfRule>
  </conditionalFormatting>
  <conditionalFormatting sqref="R1414:S1417">
    <cfRule type="expression" dxfId="4063" priority="4416">
      <formula>$BC1414="YES"</formula>
    </cfRule>
  </conditionalFormatting>
  <conditionalFormatting sqref="R1418:S1421">
    <cfRule type="expression" dxfId="4062" priority="4415">
      <formula>$BC1418="YES"</formula>
    </cfRule>
  </conditionalFormatting>
  <conditionalFormatting sqref="R1422:S1425">
    <cfRule type="expression" dxfId="4061" priority="4414">
      <formula>$BC1422="YES"</formula>
    </cfRule>
  </conditionalFormatting>
  <conditionalFormatting sqref="R1426:S1429">
    <cfRule type="expression" dxfId="4060" priority="4413">
      <formula>$BC1426="YES"</formula>
    </cfRule>
  </conditionalFormatting>
  <conditionalFormatting sqref="R1430:S1433">
    <cfRule type="expression" dxfId="4059" priority="4412">
      <formula>$BC1430="YES"</formula>
    </cfRule>
  </conditionalFormatting>
  <conditionalFormatting sqref="T1412:U1413">
    <cfRule type="expression" dxfId="4058" priority="4411">
      <formula>$BC1412="YES"</formula>
    </cfRule>
  </conditionalFormatting>
  <conditionalFormatting sqref="T1414:U1415">
    <cfRule type="expression" dxfId="4057" priority="4410">
      <formula>$BC1414="YES"</formula>
    </cfRule>
  </conditionalFormatting>
  <conditionalFormatting sqref="T1416:U1417">
    <cfRule type="expression" dxfId="4056" priority="4409">
      <formula>$BC1416="YES"</formula>
    </cfRule>
  </conditionalFormatting>
  <conditionalFormatting sqref="T1418:U1419">
    <cfRule type="expression" dxfId="4055" priority="4408">
      <formula>$BC1418="YES"</formula>
    </cfRule>
  </conditionalFormatting>
  <conditionalFormatting sqref="T1420:U1421">
    <cfRule type="expression" dxfId="4054" priority="4407">
      <formula>$BC1420="YES"</formula>
    </cfRule>
  </conditionalFormatting>
  <conditionalFormatting sqref="T1422:U1423">
    <cfRule type="expression" dxfId="4053" priority="4406">
      <formula>$BC1422="YES"</formula>
    </cfRule>
  </conditionalFormatting>
  <conditionalFormatting sqref="T1424:U1425">
    <cfRule type="expression" dxfId="4052" priority="4405">
      <formula>$BC1424="YES"</formula>
    </cfRule>
  </conditionalFormatting>
  <conditionalFormatting sqref="T1426:U1427">
    <cfRule type="expression" dxfId="4051" priority="4404">
      <formula>$BC1426="YES"</formula>
    </cfRule>
  </conditionalFormatting>
  <conditionalFormatting sqref="T1428:U1429">
    <cfRule type="expression" dxfId="4050" priority="4403">
      <formula>$BC1428="YES"</formula>
    </cfRule>
  </conditionalFormatting>
  <conditionalFormatting sqref="T1430:U1431">
    <cfRule type="expression" dxfId="4049" priority="4402">
      <formula>$BC1430="YES"</formula>
    </cfRule>
  </conditionalFormatting>
  <conditionalFormatting sqref="T1432:U1433">
    <cfRule type="expression" dxfId="4048" priority="4401">
      <formula>$BC1432="YES"</formula>
    </cfRule>
  </conditionalFormatting>
  <conditionalFormatting sqref="P1435:Q1435">
    <cfRule type="expression" dxfId="4047" priority="4400">
      <formula>$BC1435="YES"</formula>
    </cfRule>
  </conditionalFormatting>
  <conditionalFormatting sqref="N1434:N1437">
    <cfRule type="expression" dxfId="4046" priority="4399">
      <formula>$BC1434="YES"</formula>
    </cfRule>
  </conditionalFormatting>
  <conditionalFormatting sqref="O1434:O1435">
    <cfRule type="expression" dxfId="4045" priority="4398">
      <formula>$BC1434="YES"</formula>
    </cfRule>
  </conditionalFormatting>
  <conditionalFormatting sqref="O1436:O1437">
    <cfRule type="expression" dxfId="4044" priority="4397">
      <formula>$BC1436="YES"</formula>
    </cfRule>
  </conditionalFormatting>
  <conditionalFormatting sqref="P1434:Q1434">
    <cfRule type="expression" dxfId="4043" priority="4396">
      <formula>$BC1434="YES"</formula>
    </cfRule>
  </conditionalFormatting>
  <conditionalFormatting sqref="P1436:Q1437">
    <cfRule type="expression" dxfId="4042" priority="4395">
      <formula>$BC1436="YES"</formula>
    </cfRule>
  </conditionalFormatting>
  <conditionalFormatting sqref="R1434:S1435">
    <cfRule type="expression" dxfId="4041" priority="4394">
      <formula>$BC1434="YES"</formula>
    </cfRule>
  </conditionalFormatting>
  <conditionalFormatting sqref="R1436:S1437">
    <cfRule type="expression" dxfId="4040" priority="4393">
      <formula>$BC1436="YES"</formula>
    </cfRule>
  </conditionalFormatting>
  <conditionalFormatting sqref="T1434:U1435">
    <cfRule type="expression" dxfId="4039" priority="4392">
      <formula>$BC1434="YES"</formula>
    </cfRule>
  </conditionalFormatting>
  <conditionalFormatting sqref="T1436:U1437">
    <cfRule type="expression" dxfId="4038" priority="4391">
      <formula>$BC1436="YES"</formula>
    </cfRule>
  </conditionalFormatting>
  <conditionalFormatting sqref="P1439:Q1439">
    <cfRule type="expression" dxfId="4037" priority="4390">
      <formula>$BC1439="YES"</formula>
    </cfRule>
  </conditionalFormatting>
  <conditionalFormatting sqref="N1438:N1441">
    <cfRule type="expression" dxfId="4036" priority="4389">
      <formula>$BC1438="YES"</formula>
    </cfRule>
  </conditionalFormatting>
  <conditionalFormatting sqref="O1438:O1439">
    <cfRule type="expression" dxfId="4035" priority="4388">
      <formula>$BC1438="YES"</formula>
    </cfRule>
  </conditionalFormatting>
  <conditionalFormatting sqref="O1440:O1441">
    <cfRule type="expression" dxfId="4034" priority="4387">
      <formula>$BC1440="YES"</formula>
    </cfRule>
  </conditionalFormatting>
  <conditionalFormatting sqref="P1438:Q1438">
    <cfRule type="expression" dxfId="4033" priority="4386">
      <formula>$BC1438="YES"</formula>
    </cfRule>
  </conditionalFormatting>
  <conditionalFormatting sqref="P1440:Q1441">
    <cfRule type="expression" dxfId="4032" priority="4385">
      <formula>$BC1440="YES"</formula>
    </cfRule>
  </conditionalFormatting>
  <conditionalFormatting sqref="R1438:S1439">
    <cfRule type="expression" dxfId="4031" priority="4384">
      <formula>$BC1438="YES"</formula>
    </cfRule>
  </conditionalFormatting>
  <conditionalFormatting sqref="R1440:S1441">
    <cfRule type="expression" dxfId="4030" priority="4383">
      <formula>$BC1440="YES"</formula>
    </cfRule>
  </conditionalFormatting>
  <conditionalFormatting sqref="T1438:U1439">
    <cfRule type="expression" dxfId="4029" priority="4382">
      <formula>$BC1438="YES"</formula>
    </cfRule>
  </conditionalFormatting>
  <conditionalFormatting sqref="T1440:U1441">
    <cfRule type="expression" dxfId="4028" priority="4381">
      <formula>$BC1440="YES"</formula>
    </cfRule>
  </conditionalFormatting>
  <conditionalFormatting sqref="P1443:Q1443">
    <cfRule type="expression" dxfId="4027" priority="4380">
      <formula>$BC1443="YES"</formula>
    </cfRule>
  </conditionalFormatting>
  <conditionalFormatting sqref="N1442:N1445">
    <cfRule type="expression" dxfId="4026" priority="4379">
      <formula>$BC1442="YES"</formula>
    </cfRule>
  </conditionalFormatting>
  <conditionalFormatting sqref="O1442:O1443">
    <cfRule type="expression" dxfId="4025" priority="4378">
      <formula>$BC1442="YES"</formula>
    </cfRule>
  </conditionalFormatting>
  <conditionalFormatting sqref="O1444:O1445">
    <cfRule type="expression" dxfId="4024" priority="4377">
      <formula>$BC1444="YES"</formula>
    </cfRule>
  </conditionalFormatting>
  <conditionalFormatting sqref="P1442:Q1442">
    <cfRule type="expression" dxfId="4023" priority="4376">
      <formula>$BC1442="YES"</formula>
    </cfRule>
  </conditionalFormatting>
  <conditionalFormatting sqref="P1444:Q1445">
    <cfRule type="expression" dxfId="4022" priority="4375">
      <formula>$BC1444="YES"</formula>
    </cfRule>
  </conditionalFormatting>
  <conditionalFormatting sqref="R1442:S1443">
    <cfRule type="expression" dxfId="4021" priority="4374">
      <formula>$BC1442="YES"</formula>
    </cfRule>
  </conditionalFormatting>
  <conditionalFormatting sqref="R1444:S1445">
    <cfRule type="expression" dxfId="4020" priority="4373">
      <formula>$BC1444="YES"</formula>
    </cfRule>
  </conditionalFormatting>
  <conditionalFormatting sqref="T1442:U1443">
    <cfRule type="expression" dxfId="4019" priority="4372">
      <formula>$BC1442="YES"</formula>
    </cfRule>
  </conditionalFormatting>
  <conditionalFormatting sqref="T1444:U1445">
    <cfRule type="expression" dxfId="4018" priority="4371">
      <formula>$BC1444="YES"</formula>
    </cfRule>
  </conditionalFormatting>
  <conditionalFormatting sqref="P1447:Q1447">
    <cfRule type="expression" dxfId="4017" priority="4370">
      <formula>$BC1447="YES"</formula>
    </cfRule>
  </conditionalFormatting>
  <conditionalFormatting sqref="N1446:N1449">
    <cfRule type="expression" dxfId="4016" priority="4369">
      <formula>$BC1446="YES"</formula>
    </cfRule>
  </conditionalFormatting>
  <conditionalFormatting sqref="O1446:O1447">
    <cfRule type="expression" dxfId="4015" priority="4368">
      <formula>$BC1446="YES"</formula>
    </cfRule>
  </conditionalFormatting>
  <conditionalFormatting sqref="O1448:O1449">
    <cfRule type="expression" dxfId="4014" priority="4367">
      <formula>$BC1448="YES"</formula>
    </cfRule>
  </conditionalFormatting>
  <conditionalFormatting sqref="P1446:Q1446">
    <cfRule type="expression" dxfId="4013" priority="4366">
      <formula>$BC1446="YES"</formula>
    </cfRule>
  </conditionalFormatting>
  <conditionalFormatting sqref="P1448:Q1449">
    <cfRule type="expression" dxfId="4012" priority="4365">
      <formula>$BC1448="YES"</formula>
    </cfRule>
  </conditionalFormatting>
  <conditionalFormatting sqref="R1446:S1447">
    <cfRule type="expression" dxfId="4011" priority="4364">
      <formula>$BC1446="YES"</formula>
    </cfRule>
  </conditionalFormatting>
  <conditionalFormatting sqref="R1448:S1449">
    <cfRule type="expression" dxfId="4010" priority="4363">
      <formula>$BC1448="YES"</formula>
    </cfRule>
  </conditionalFormatting>
  <conditionalFormatting sqref="T1446:U1447">
    <cfRule type="expression" dxfId="4009" priority="4362">
      <formula>$BC1446="YES"</formula>
    </cfRule>
  </conditionalFormatting>
  <conditionalFormatting sqref="T1448:U1449">
    <cfRule type="expression" dxfId="4008" priority="4361">
      <formula>$BC1448="YES"</formula>
    </cfRule>
  </conditionalFormatting>
  <conditionalFormatting sqref="P1451:Q1451">
    <cfRule type="expression" dxfId="4007" priority="4360">
      <formula>$BC1451="YES"</formula>
    </cfRule>
  </conditionalFormatting>
  <conditionalFormatting sqref="N1450:N1453">
    <cfRule type="expression" dxfId="4006" priority="4359">
      <formula>$BC1450="YES"</formula>
    </cfRule>
  </conditionalFormatting>
  <conditionalFormatting sqref="O1450:O1451">
    <cfRule type="expression" dxfId="4005" priority="4358">
      <formula>$BC1450="YES"</formula>
    </cfRule>
  </conditionalFormatting>
  <conditionalFormatting sqref="O1452:O1453">
    <cfRule type="expression" dxfId="4004" priority="4357">
      <formula>$BC1452="YES"</formula>
    </cfRule>
  </conditionalFormatting>
  <conditionalFormatting sqref="P1450:Q1450">
    <cfRule type="expression" dxfId="4003" priority="4356">
      <formula>$BC1450="YES"</formula>
    </cfRule>
  </conditionalFormatting>
  <conditionalFormatting sqref="P1452:Q1453">
    <cfRule type="expression" dxfId="4002" priority="4355">
      <formula>$BC1452="YES"</formula>
    </cfRule>
  </conditionalFormatting>
  <conditionalFormatting sqref="R1450:S1451">
    <cfRule type="expression" dxfId="4001" priority="4354">
      <formula>$BC1450="YES"</formula>
    </cfRule>
  </conditionalFormatting>
  <conditionalFormatting sqref="R1452:S1453">
    <cfRule type="expression" dxfId="4000" priority="4353">
      <formula>$BC1452="YES"</formula>
    </cfRule>
  </conditionalFormatting>
  <conditionalFormatting sqref="T1450:U1451">
    <cfRule type="expression" dxfId="3999" priority="4352">
      <formula>$BC1450="YES"</formula>
    </cfRule>
  </conditionalFormatting>
  <conditionalFormatting sqref="T1452:U1453">
    <cfRule type="expression" dxfId="3998" priority="4351">
      <formula>$BC1452="YES"</formula>
    </cfRule>
  </conditionalFormatting>
  <conditionalFormatting sqref="P1455:Q1455">
    <cfRule type="expression" dxfId="3997" priority="4350">
      <formula>$BC1455="YES"</formula>
    </cfRule>
  </conditionalFormatting>
  <conditionalFormatting sqref="N1454:N1457">
    <cfRule type="expression" dxfId="3996" priority="4349">
      <formula>$BC1454="YES"</formula>
    </cfRule>
  </conditionalFormatting>
  <conditionalFormatting sqref="O1454:O1455">
    <cfRule type="expression" dxfId="3995" priority="4348">
      <formula>$BC1454="YES"</formula>
    </cfRule>
  </conditionalFormatting>
  <conditionalFormatting sqref="O1456:O1457">
    <cfRule type="expression" dxfId="3994" priority="4347">
      <formula>$BC1456="YES"</formula>
    </cfRule>
  </conditionalFormatting>
  <conditionalFormatting sqref="P1454:Q1454">
    <cfRule type="expression" dxfId="3993" priority="4346">
      <formula>$BC1454="YES"</formula>
    </cfRule>
  </conditionalFormatting>
  <conditionalFormatting sqref="P1456:Q1457">
    <cfRule type="expression" dxfId="3992" priority="4345">
      <formula>$BC1456="YES"</formula>
    </cfRule>
  </conditionalFormatting>
  <conditionalFormatting sqref="R1454:S1455">
    <cfRule type="expression" dxfId="3991" priority="4344">
      <formula>$BC1454="YES"</formula>
    </cfRule>
  </conditionalFormatting>
  <conditionalFormatting sqref="R1456:S1457">
    <cfRule type="expression" dxfId="3990" priority="4343">
      <formula>$BC1456="YES"</formula>
    </cfRule>
  </conditionalFormatting>
  <conditionalFormatting sqref="T1454:U1455">
    <cfRule type="expression" dxfId="3989" priority="4342">
      <formula>$BC1454="YES"</formula>
    </cfRule>
  </conditionalFormatting>
  <conditionalFormatting sqref="T1456:U1457">
    <cfRule type="expression" dxfId="3988" priority="4341">
      <formula>$BC1456="YES"</formula>
    </cfRule>
  </conditionalFormatting>
  <conditionalFormatting sqref="P1459:Q1459">
    <cfRule type="expression" dxfId="3987" priority="4340">
      <formula>$BC1459="YES"</formula>
    </cfRule>
  </conditionalFormatting>
  <conditionalFormatting sqref="N1458:N1461">
    <cfRule type="expression" dxfId="3986" priority="4339">
      <formula>$BC1458="YES"</formula>
    </cfRule>
  </conditionalFormatting>
  <conditionalFormatting sqref="O1458:O1459">
    <cfRule type="expression" dxfId="3985" priority="4338">
      <formula>$BC1458="YES"</formula>
    </cfRule>
  </conditionalFormatting>
  <conditionalFormatting sqref="O1460:O1461">
    <cfRule type="expression" dxfId="3984" priority="4337">
      <formula>$BC1460="YES"</formula>
    </cfRule>
  </conditionalFormatting>
  <conditionalFormatting sqref="P1458:Q1458">
    <cfRule type="expression" dxfId="3983" priority="4336">
      <formula>$BC1458="YES"</formula>
    </cfRule>
  </conditionalFormatting>
  <conditionalFormatting sqref="P1460:Q1461">
    <cfRule type="expression" dxfId="3982" priority="4335">
      <formula>$BC1460="YES"</formula>
    </cfRule>
  </conditionalFormatting>
  <conditionalFormatting sqref="R1458:S1459">
    <cfRule type="expression" dxfId="3981" priority="4334">
      <formula>$BC1458="YES"</formula>
    </cfRule>
  </conditionalFormatting>
  <conditionalFormatting sqref="R1460:S1461">
    <cfRule type="expression" dxfId="3980" priority="4333">
      <formula>$BC1460="YES"</formula>
    </cfRule>
  </conditionalFormatting>
  <conditionalFormatting sqref="T1458:U1459">
    <cfRule type="expression" dxfId="3979" priority="4332">
      <formula>$BC1458="YES"</formula>
    </cfRule>
  </conditionalFormatting>
  <conditionalFormatting sqref="T1460:U1461">
    <cfRule type="expression" dxfId="3978" priority="4331">
      <formula>$BC1460="YES"</formula>
    </cfRule>
  </conditionalFormatting>
  <conditionalFormatting sqref="P1462:Q1462">
    <cfRule type="expression" dxfId="3977" priority="4330">
      <formula>$BC1462="YES"</formula>
    </cfRule>
  </conditionalFormatting>
  <conditionalFormatting sqref="N1462:N1463">
    <cfRule type="expression" dxfId="3976" priority="4329">
      <formula>$BC1462="YES"</formula>
    </cfRule>
  </conditionalFormatting>
  <conditionalFormatting sqref="O1462">
    <cfRule type="expression" dxfId="3975" priority="4328">
      <formula>$BC1462="YES"</formula>
    </cfRule>
  </conditionalFormatting>
  <conditionalFormatting sqref="O1463">
    <cfRule type="expression" dxfId="3974" priority="4327">
      <formula>$BC1463="YES"</formula>
    </cfRule>
  </conditionalFormatting>
  <conditionalFormatting sqref="P1463:Q1463">
    <cfRule type="expression" dxfId="3973" priority="4326">
      <formula>$BC1463="YES"</formula>
    </cfRule>
  </conditionalFormatting>
  <conditionalFormatting sqref="R1462:S1462">
    <cfRule type="expression" dxfId="3972" priority="4325">
      <formula>$BC1462="YES"</formula>
    </cfRule>
  </conditionalFormatting>
  <conditionalFormatting sqref="R1463:S1463">
    <cfRule type="expression" dxfId="3971" priority="4324">
      <formula>$BC1463="YES"</formula>
    </cfRule>
  </conditionalFormatting>
  <conditionalFormatting sqref="T1462:U1462">
    <cfRule type="expression" dxfId="3970" priority="4323">
      <formula>$BC1462="YES"</formula>
    </cfRule>
  </conditionalFormatting>
  <conditionalFormatting sqref="T1463:U1463">
    <cfRule type="expression" dxfId="3969" priority="4322">
      <formula>$BC1463="YES"</formula>
    </cfRule>
  </conditionalFormatting>
  <conditionalFormatting sqref="P1464:Q1464">
    <cfRule type="expression" dxfId="3968" priority="4321">
      <formula>$BC1464="YES"</formula>
    </cfRule>
  </conditionalFormatting>
  <conditionalFormatting sqref="N1464:N1465">
    <cfRule type="expression" dxfId="3967" priority="4320">
      <formula>$BC1464="YES"</formula>
    </cfRule>
  </conditionalFormatting>
  <conditionalFormatting sqref="O1464">
    <cfRule type="expression" dxfId="3966" priority="4319">
      <formula>$BC1464="YES"</formula>
    </cfRule>
  </conditionalFormatting>
  <conditionalFormatting sqref="O1465">
    <cfRule type="expression" dxfId="3965" priority="4318">
      <formula>$BC1465="YES"</formula>
    </cfRule>
  </conditionalFormatting>
  <conditionalFormatting sqref="P1465:Q1465">
    <cfRule type="expression" dxfId="3964" priority="4317">
      <formula>$BC1465="YES"</formula>
    </cfRule>
  </conditionalFormatting>
  <conditionalFormatting sqref="R1464:S1464">
    <cfRule type="expression" dxfId="3963" priority="4316">
      <formula>$BC1464="YES"</formula>
    </cfRule>
  </conditionalFormatting>
  <conditionalFormatting sqref="R1465:S1465">
    <cfRule type="expression" dxfId="3962" priority="4315">
      <formula>$BC1465="YES"</formula>
    </cfRule>
  </conditionalFormatting>
  <conditionalFormatting sqref="T1464:U1464">
    <cfRule type="expression" dxfId="3961" priority="4314">
      <formula>$BC1464="YES"</formula>
    </cfRule>
  </conditionalFormatting>
  <conditionalFormatting sqref="T1465:U1465">
    <cfRule type="expression" dxfId="3960" priority="4313">
      <formula>$BC1465="YES"</formula>
    </cfRule>
  </conditionalFormatting>
  <conditionalFormatting sqref="P1466:Q1466">
    <cfRule type="expression" dxfId="3959" priority="4312">
      <formula>$BC1466="YES"</formula>
    </cfRule>
  </conditionalFormatting>
  <conditionalFormatting sqref="N1466:N1467">
    <cfRule type="expression" dxfId="3958" priority="4311">
      <formula>$BC1466="YES"</formula>
    </cfRule>
  </conditionalFormatting>
  <conditionalFormatting sqref="O1466">
    <cfRule type="expression" dxfId="3957" priority="4310">
      <formula>$BC1466="YES"</formula>
    </cfRule>
  </conditionalFormatting>
  <conditionalFormatting sqref="O1467">
    <cfRule type="expression" dxfId="3956" priority="4309">
      <formula>$BC1467="YES"</formula>
    </cfRule>
  </conditionalFormatting>
  <conditionalFormatting sqref="P1467:Q1467">
    <cfRule type="expression" dxfId="3955" priority="4308">
      <formula>$BC1467="YES"</formula>
    </cfRule>
  </conditionalFormatting>
  <conditionalFormatting sqref="R1466:S1466">
    <cfRule type="expression" dxfId="3954" priority="4307">
      <formula>$BC1466="YES"</formula>
    </cfRule>
  </conditionalFormatting>
  <conditionalFormatting sqref="R1467:S1467">
    <cfRule type="expression" dxfId="3953" priority="4306">
      <formula>$BC1467="YES"</formula>
    </cfRule>
  </conditionalFormatting>
  <conditionalFormatting sqref="T1466:U1466">
    <cfRule type="expression" dxfId="3952" priority="4305">
      <formula>$BC1466="YES"</formula>
    </cfRule>
  </conditionalFormatting>
  <conditionalFormatting sqref="T1467:U1467">
    <cfRule type="expression" dxfId="3951" priority="4304">
      <formula>$BC1467="YES"</formula>
    </cfRule>
  </conditionalFormatting>
  <conditionalFormatting sqref="P1468:Q1468">
    <cfRule type="expression" dxfId="3950" priority="4303">
      <formula>$BC1468="YES"</formula>
    </cfRule>
  </conditionalFormatting>
  <conditionalFormatting sqref="N1468:N1469">
    <cfRule type="expression" dxfId="3949" priority="4302">
      <formula>$BC1468="YES"</formula>
    </cfRule>
  </conditionalFormatting>
  <conditionalFormatting sqref="O1468">
    <cfRule type="expression" dxfId="3948" priority="4301">
      <formula>$BC1468="YES"</formula>
    </cfRule>
  </conditionalFormatting>
  <conditionalFormatting sqref="O1469">
    <cfRule type="expression" dxfId="3947" priority="4300">
      <formula>$BC1469="YES"</formula>
    </cfRule>
  </conditionalFormatting>
  <conditionalFormatting sqref="P1469:Q1469">
    <cfRule type="expression" dxfId="3946" priority="4299">
      <formula>$BC1469="YES"</formula>
    </cfRule>
  </conditionalFormatting>
  <conditionalFormatting sqref="R1468:S1468">
    <cfRule type="expression" dxfId="3945" priority="4298">
      <formula>$BC1468="YES"</formula>
    </cfRule>
  </conditionalFormatting>
  <conditionalFormatting sqref="R1469:S1469">
    <cfRule type="expression" dxfId="3944" priority="4297">
      <formula>$BC1469="YES"</formula>
    </cfRule>
  </conditionalFormatting>
  <conditionalFormatting sqref="T1468:U1468">
    <cfRule type="expression" dxfId="3943" priority="4296">
      <formula>$BC1468="YES"</formula>
    </cfRule>
  </conditionalFormatting>
  <conditionalFormatting sqref="T1469:U1469">
    <cfRule type="expression" dxfId="3942" priority="4295">
      <formula>$BC1469="YES"</formula>
    </cfRule>
  </conditionalFormatting>
  <conditionalFormatting sqref="P1470:Q1470">
    <cfRule type="expression" dxfId="3941" priority="4294">
      <formula>$BC1470="YES"</formula>
    </cfRule>
  </conditionalFormatting>
  <conditionalFormatting sqref="N1470:N1471">
    <cfRule type="expression" dxfId="3940" priority="4293">
      <formula>$BC1470="YES"</formula>
    </cfRule>
  </conditionalFormatting>
  <conditionalFormatting sqref="O1470">
    <cfRule type="expression" dxfId="3939" priority="4292">
      <formula>$BC1470="YES"</formula>
    </cfRule>
  </conditionalFormatting>
  <conditionalFormatting sqref="O1471">
    <cfRule type="expression" dxfId="3938" priority="4291">
      <formula>$BC1471="YES"</formula>
    </cfRule>
  </conditionalFormatting>
  <conditionalFormatting sqref="P1471:Q1471">
    <cfRule type="expression" dxfId="3937" priority="4290">
      <formula>$BC1471="YES"</formula>
    </cfRule>
  </conditionalFormatting>
  <conditionalFormatting sqref="R1470:S1470">
    <cfRule type="expression" dxfId="3936" priority="4289">
      <formula>$BC1470="YES"</formula>
    </cfRule>
  </conditionalFormatting>
  <conditionalFormatting sqref="R1471:S1471">
    <cfRule type="expression" dxfId="3935" priority="4288">
      <formula>$BC1471="YES"</formula>
    </cfRule>
  </conditionalFormatting>
  <conditionalFormatting sqref="T1470:U1470">
    <cfRule type="expression" dxfId="3934" priority="4287">
      <formula>$BC1470="YES"</formula>
    </cfRule>
  </conditionalFormatting>
  <conditionalFormatting sqref="T1471:U1471">
    <cfRule type="expression" dxfId="3933" priority="4286">
      <formula>$BC1471="YES"</formula>
    </cfRule>
  </conditionalFormatting>
  <conditionalFormatting sqref="P1472:Q1472">
    <cfRule type="expression" dxfId="3932" priority="4285">
      <formula>$BC1472="YES"</formula>
    </cfRule>
  </conditionalFormatting>
  <conditionalFormatting sqref="N1472:N1473">
    <cfRule type="expression" dxfId="3931" priority="4284">
      <formula>$BC1472="YES"</formula>
    </cfRule>
  </conditionalFormatting>
  <conditionalFormatting sqref="O1472">
    <cfRule type="expression" dxfId="3930" priority="4283">
      <formula>$BC1472="YES"</formula>
    </cfRule>
  </conditionalFormatting>
  <conditionalFormatting sqref="O1473">
    <cfRule type="expression" dxfId="3929" priority="4282">
      <formula>$BC1473="YES"</formula>
    </cfRule>
  </conditionalFormatting>
  <conditionalFormatting sqref="P1473:Q1473">
    <cfRule type="expression" dxfId="3928" priority="4281">
      <formula>$BC1473="YES"</formula>
    </cfRule>
  </conditionalFormatting>
  <conditionalFormatting sqref="R1472:S1472">
    <cfRule type="expression" dxfId="3927" priority="4280">
      <formula>$BC1472="YES"</formula>
    </cfRule>
  </conditionalFormatting>
  <conditionalFormatting sqref="R1473:S1473">
    <cfRule type="expression" dxfId="3926" priority="4279">
      <formula>$BC1473="YES"</formula>
    </cfRule>
  </conditionalFormatting>
  <conditionalFormatting sqref="T1472:U1472">
    <cfRule type="expression" dxfId="3925" priority="4278">
      <formula>$BC1472="YES"</formula>
    </cfRule>
  </conditionalFormatting>
  <conditionalFormatting sqref="T1473:U1473">
    <cfRule type="expression" dxfId="3924" priority="4277">
      <formula>$BC1473="YES"</formula>
    </cfRule>
  </conditionalFormatting>
  <conditionalFormatting sqref="P1474:Q1474">
    <cfRule type="expression" dxfId="3923" priority="4276">
      <formula>$BC1474="YES"</formula>
    </cfRule>
  </conditionalFormatting>
  <conditionalFormatting sqref="N1474:N1475">
    <cfRule type="expression" dxfId="3922" priority="4275">
      <formula>$BC1474="YES"</formula>
    </cfRule>
  </conditionalFormatting>
  <conditionalFormatting sqref="O1474">
    <cfRule type="expression" dxfId="3921" priority="4274">
      <formula>$BC1474="YES"</formula>
    </cfRule>
  </conditionalFormatting>
  <conditionalFormatting sqref="O1475">
    <cfRule type="expression" dxfId="3920" priority="4273">
      <formula>$BC1475="YES"</formula>
    </cfRule>
  </conditionalFormatting>
  <conditionalFormatting sqref="P1475:Q1475">
    <cfRule type="expression" dxfId="3919" priority="4272">
      <formula>$BC1475="YES"</formula>
    </cfRule>
  </conditionalFormatting>
  <conditionalFormatting sqref="R1474:S1474">
    <cfRule type="expression" dxfId="3918" priority="4271">
      <formula>$BC1474="YES"</formula>
    </cfRule>
  </conditionalFormatting>
  <conditionalFormatting sqref="R1475:S1475">
    <cfRule type="expression" dxfId="3917" priority="4270">
      <formula>$BC1475="YES"</formula>
    </cfRule>
  </conditionalFormatting>
  <conditionalFormatting sqref="T1474:U1474">
    <cfRule type="expression" dxfId="3916" priority="4269">
      <formula>$BC1474="YES"</formula>
    </cfRule>
  </conditionalFormatting>
  <conditionalFormatting sqref="T1475:U1475">
    <cfRule type="expression" dxfId="3915" priority="4268">
      <formula>$BC1475="YES"</formula>
    </cfRule>
  </conditionalFormatting>
  <conditionalFormatting sqref="P1477:Q1477">
    <cfRule type="expression" dxfId="3914" priority="4267">
      <formula>$BC1477="YES"</formula>
    </cfRule>
  </conditionalFormatting>
  <conditionalFormatting sqref="N1477:N1478">
    <cfRule type="expression" dxfId="3913" priority="4266">
      <formula>$BC1477="YES"</formula>
    </cfRule>
  </conditionalFormatting>
  <conditionalFormatting sqref="O1477">
    <cfRule type="expression" dxfId="3912" priority="4265">
      <formula>$BC1477="YES"</formula>
    </cfRule>
  </conditionalFormatting>
  <conditionalFormatting sqref="O1478">
    <cfRule type="expression" dxfId="3911" priority="4264">
      <formula>$BC1478="YES"</formula>
    </cfRule>
  </conditionalFormatting>
  <conditionalFormatting sqref="P1478:Q1478">
    <cfRule type="expression" dxfId="3910" priority="4263">
      <formula>$BC1478="YES"</formula>
    </cfRule>
  </conditionalFormatting>
  <conditionalFormatting sqref="R1477:S1477">
    <cfRule type="expression" dxfId="3909" priority="4262">
      <formula>$BC1477="YES"</formula>
    </cfRule>
  </conditionalFormatting>
  <conditionalFormatting sqref="R1478:S1478">
    <cfRule type="expression" dxfId="3908" priority="4261">
      <formula>$BC1478="YES"</formula>
    </cfRule>
  </conditionalFormatting>
  <conditionalFormatting sqref="T1477:U1477">
    <cfRule type="expression" dxfId="3907" priority="4260">
      <formula>$BC1477="YES"</formula>
    </cfRule>
  </conditionalFormatting>
  <conditionalFormatting sqref="T1478:U1478">
    <cfRule type="expression" dxfId="3906" priority="4259">
      <formula>$BC1478="YES"</formula>
    </cfRule>
  </conditionalFormatting>
  <conditionalFormatting sqref="P1479:Q1479">
    <cfRule type="expression" dxfId="3905" priority="4258">
      <formula>$BC1479="YES"</formula>
    </cfRule>
  </conditionalFormatting>
  <conditionalFormatting sqref="N1479:N1480">
    <cfRule type="expression" dxfId="3904" priority="4257">
      <formula>$BC1479="YES"</formula>
    </cfRule>
  </conditionalFormatting>
  <conditionalFormatting sqref="O1479">
    <cfRule type="expression" dxfId="3903" priority="4256">
      <formula>$BC1479="YES"</formula>
    </cfRule>
  </conditionalFormatting>
  <conditionalFormatting sqref="O1480">
    <cfRule type="expression" dxfId="3902" priority="4255">
      <formula>$BC1480="YES"</formula>
    </cfRule>
  </conditionalFormatting>
  <conditionalFormatting sqref="P1480:Q1480">
    <cfRule type="expression" dxfId="3901" priority="4254">
      <formula>$BC1480="YES"</formula>
    </cfRule>
  </conditionalFormatting>
  <conditionalFormatting sqref="R1479:S1479">
    <cfRule type="expression" dxfId="3900" priority="4253">
      <formula>$BC1479="YES"</formula>
    </cfRule>
  </conditionalFormatting>
  <conditionalFormatting sqref="R1480:S1480">
    <cfRule type="expression" dxfId="3899" priority="4252">
      <formula>$BC1480="YES"</formula>
    </cfRule>
  </conditionalFormatting>
  <conditionalFormatting sqref="T1479:U1479">
    <cfRule type="expression" dxfId="3898" priority="4251">
      <formula>$BC1479="YES"</formula>
    </cfRule>
  </conditionalFormatting>
  <conditionalFormatting sqref="T1480:U1480">
    <cfRule type="expression" dxfId="3897" priority="4250">
      <formula>$BC1480="YES"</formula>
    </cfRule>
  </conditionalFormatting>
  <conditionalFormatting sqref="P1481:Q1481">
    <cfRule type="expression" dxfId="3896" priority="4249">
      <formula>$BC1481="YES"</formula>
    </cfRule>
  </conditionalFormatting>
  <conditionalFormatting sqref="N1481:N1482">
    <cfRule type="expression" dxfId="3895" priority="4248">
      <formula>$BC1481="YES"</formula>
    </cfRule>
  </conditionalFormatting>
  <conditionalFormatting sqref="O1481">
    <cfRule type="expression" dxfId="3894" priority="4247">
      <formula>$BC1481="YES"</formula>
    </cfRule>
  </conditionalFormatting>
  <conditionalFormatting sqref="O1482">
    <cfRule type="expression" dxfId="3893" priority="4246">
      <formula>$BC1482="YES"</formula>
    </cfRule>
  </conditionalFormatting>
  <conditionalFormatting sqref="P1482:Q1482">
    <cfRule type="expression" dxfId="3892" priority="4245">
      <formula>$BC1482="YES"</formula>
    </cfRule>
  </conditionalFormatting>
  <conditionalFormatting sqref="R1481:S1481">
    <cfRule type="expression" dxfId="3891" priority="4244">
      <formula>$BC1481="YES"</formula>
    </cfRule>
  </conditionalFormatting>
  <conditionalFormatting sqref="R1482:S1482">
    <cfRule type="expression" dxfId="3890" priority="4243">
      <formula>$BC1482="YES"</formula>
    </cfRule>
  </conditionalFormatting>
  <conditionalFormatting sqref="T1481:U1481">
    <cfRule type="expression" dxfId="3889" priority="4242">
      <formula>$BC1481="YES"</formula>
    </cfRule>
  </conditionalFormatting>
  <conditionalFormatting sqref="T1482:U1482">
    <cfRule type="expression" dxfId="3888" priority="4241">
      <formula>$BC1482="YES"</formula>
    </cfRule>
  </conditionalFormatting>
  <conditionalFormatting sqref="AJ1411:AK1609">
    <cfRule type="expression" dxfId="3887" priority="4240">
      <formula>$BC1411="YES"</formula>
    </cfRule>
  </conditionalFormatting>
  <conditionalFormatting sqref="O17:O18">
    <cfRule type="expression" dxfId="3886" priority="4236">
      <formula>$BC17="YES"</formula>
    </cfRule>
  </conditionalFormatting>
  <conditionalFormatting sqref="AP17:AQ18">
    <cfRule type="expression" dxfId="3885" priority="4211">
      <formula>$BC17="YES"</formula>
    </cfRule>
  </conditionalFormatting>
  <conditionalFormatting sqref="AP19:AQ20">
    <cfRule type="expression" dxfId="3884" priority="4210">
      <formula>$BC19="YES"</formula>
    </cfRule>
  </conditionalFormatting>
  <conditionalFormatting sqref="P23:Q24">
    <cfRule type="expression" dxfId="3883" priority="4230">
      <formula>$BC23="YES"</formula>
    </cfRule>
  </conditionalFormatting>
  <conditionalFormatting sqref="R19:S22">
    <cfRule type="expression" dxfId="3882" priority="4226">
      <formula>$BC19="YES"</formula>
    </cfRule>
  </conditionalFormatting>
  <conditionalFormatting sqref="R23:S26">
    <cfRule type="expression" dxfId="3881" priority="4225">
      <formula>$BC23="YES"</formula>
    </cfRule>
  </conditionalFormatting>
  <conditionalFormatting sqref="R27:S30">
    <cfRule type="expression" dxfId="3880" priority="4224">
      <formula>$BC27="YES"</formula>
    </cfRule>
  </conditionalFormatting>
  <conditionalFormatting sqref="V17:W18">
    <cfRule type="expression" dxfId="3879" priority="4217">
      <formula>$BC17="YES"</formula>
    </cfRule>
  </conditionalFormatting>
  <conditionalFormatting sqref="V19:W20">
    <cfRule type="expression" dxfId="3878" priority="4216">
      <formula>$BC19="YES"</formula>
    </cfRule>
  </conditionalFormatting>
  <conditionalFormatting sqref="V21:W22">
    <cfRule type="expression" dxfId="3877" priority="4215">
      <formula>$BC21="YES"</formula>
    </cfRule>
  </conditionalFormatting>
  <conditionalFormatting sqref="V23:W24">
    <cfRule type="expression" dxfId="3876" priority="4214">
      <formula>$BC23="YES"</formula>
    </cfRule>
  </conditionalFormatting>
  <conditionalFormatting sqref="AP21:AQ22">
    <cfRule type="expression" dxfId="3875" priority="4209">
      <formula>$BC21="YES"</formula>
    </cfRule>
  </conditionalFormatting>
  <conditionalFormatting sqref="AP23:AQ24">
    <cfRule type="expression" dxfId="3874" priority="4208">
      <formula>$BC23="YES"</formula>
    </cfRule>
  </conditionalFormatting>
  <conditionalFormatting sqref="AR19:AS22">
    <cfRule type="expression" dxfId="3873" priority="4200">
      <formula>$BC19="YES"</formula>
    </cfRule>
  </conditionalFormatting>
  <conditionalFormatting sqref="AR23:AS24">
    <cfRule type="expression" dxfId="3872" priority="4199">
      <formula>$BC23="YES"</formula>
    </cfRule>
  </conditionalFormatting>
  <conditionalFormatting sqref="AT17:AU18">
    <cfRule type="expression" dxfId="3871" priority="4197">
      <formula>$BC17="YES"</formula>
    </cfRule>
  </conditionalFormatting>
  <conditionalFormatting sqref="AT19:AU20">
    <cfRule type="expression" dxfId="3870" priority="4196">
      <formula>$BC19="YES"</formula>
    </cfRule>
  </conditionalFormatting>
  <conditionalFormatting sqref="AT21:AU22">
    <cfRule type="expression" dxfId="3869" priority="4195">
      <formula>$BC21="YES"</formula>
    </cfRule>
  </conditionalFormatting>
  <conditionalFormatting sqref="AT23:AU24">
    <cfRule type="expression" dxfId="3868" priority="4194">
      <formula>$BC23="YES"</formula>
    </cfRule>
  </conditionalFormatting>
  <conditionalFormatting sqref="L17:M18">
    <cfRule type="expression" dxfId="3867" priority="4191">
      <formula>$BC17="YES"</formula>
    </cfRule>
  </conditionalFormatting>
  <conditionalFormatting sqref="L19:M20">
    <cfRule type="expression" dxfId="3866" priority="4190">
      <formula>$BC19="YES"</formula>
    </cfRule>
  </conditionalFormatting>
  <conditionalFormatting sqref="L21:M22">
    <cfRule type="expression" dxfId="3865" priority="4189">
      <formula>$BC21="YES"</formula>
    </cfRule>
  </conditionalFormatting>
  <conditionalFormatting sqref="L23:M24">
    <cfRule type="expression" dxfId="3864" priority="4188">
      <formula>$BC23="YES"</formula>
    </cfRule>
  </conditionalFormatting>
  <conditionalFormatting sqref="L25:M26">
    <cfRule type="expression" dxfId="3863" priority="4187">
      <formula>$BC25="YES"</formula>
    </cfRule>
  </conditionalFormatting>
  <conditionalFormatting sqref="L27:M28">
    <cfRule type="expression" dxfId="3862" priority="4186">
      <formula>$BC27="YES"</formula>
    </cfRule>
  </conditionalFormatting>
  <conditionalFormatting sqref="V373:W374">
    <cfRule type="expression" dxfId="3861" priority="3119">
      <formula>$BC373="YES"</formula>
    </cfRule>
  </conditionalFormatting>
  <conditionalFormatting sqref="V375:W376">
    <cfRule type="expression" dxfId="3860" priority="3118">
      <formula>$BC375="YES"</formula>
    </cfRule>
  </conditionalFormatting>
  <conditionalFormatting sqref="V377:W378">
    <cfRule type="expression" dxfId="3859" priority="3117">
      <formula>$BC377="YES"</formula>
    </cfRule>
  </conditionalFormatting>
  <conditionalFormatting sqref="V379:W380">
    <cfRule type="expression" dxfId="3858" priority="3116">
      <formula>$BC379="YES"</formula>
    </cfRule>
  </conditionalFormatting>
  <conditionalFormatting sqref="V381:W382">
    <cfRule type="expression" dxfId="3857" priority="3115">
      <formula>$BC381="YES"</formula>
    </cfRule>
  </conditionalFormatting>
  <conditionalFormatting sqref="V383:W384">
    <cfRule type="expression" dxfId="3856" priority="3114">
      <formula>$BC383="YES"</formula>
    </cfRule>
  </conditionalFormatting>
  <conditionalFormatting sqref="V385:W386">
    <cfRule type="expression" dxfId="3855" priority="3113">
      <formula>$BC385="YES"</formula>
    </cfRule>
  </conditionalFormatting>
  <conditionalFormatting sqref="O65:O66">
    <cfRule type="expression" dxfId="3854" priority="4152">
      <formula>$BC65="YES"</formula>
    </cfRule>
  </conditionalFormatting>
  <conditionalFormatting sqref="O19:O20">
    <cfRule type="expression" dxfId="3853" priority="4175">
      <formula>$BC19="YES"</formula>
    </cfRule>
  </conditionalFormatting>
  <conditionalFormatting sqref="O21:O22">
    <cfRule type="expression" dxfId="3852" priority="4174">
      <formula>$BC21="YES"</formula>
    </cfRule>
  </conditionalFormatting>
  <conditionalFormatting sqref="O23:O24">
    <cfRule type="expression" dxfId="3851" priority="4173">
      <formula>$BC23="YES"</formula>
    </cfRule>
  </conditionalFormatting>
  <conditionalFormatting sqref="O25:O26">
    <cfRule type="expression" dxfId="3850" priority="4172">
      <formula>$BC25="YES"</formula>
    </cfRule>
  </conditionalFormatting>
  <conditionalFormatting sqref="O27:O28">
    <cfRule type="expression" dxfId="3849" priority="4171">
      <formula>$BC27="YES"</formula>
    </cfRule>
  </conditionalFormatting>
  <conditionalFormatting sqref="O29:O30">
    <cfRule type="expression" dxfId="3848" priority="4170">
      <formula>$BC29="YES"</formula>
    </cfRule>
  </conditionalFormatting>
  <conditionalFormatting sqref="O31:O32">
    <cfRule type="expression" dxfId="3847" priority="4169">
      <formula>$BC31="YES"</formula>
    </cfRule>
  </conditionalFormatting>
  <conditionalFormatting sqref="O33:O34">
    <cfRule type="expression" dxfId="3846" priority="4168">
      <formula>$BC33="YES"</formula>
    </cfRule>
  </conditionalFormatting>
  <conditionalFormatting sqref="O35:O36">
    <cfRule type="expression" dxfId="3845" priority="4167">
      <formula>$BC35="YES"</formula>
    </cfRule>
  </conditionalFormatting>
  <conditionalFormatting sqref="O37:O38">
    <cfRule type="expression" dxfId="3844" priority="4166">
      <formula>$BC37="YES"</formula>
    </cfRule>
  </conditionalFormatting>
  <conditionalFormatting sqref="O39:O40">
    <cfRule type="expression" dxfId="3843" priority="4165">
      <formula>$BC39="YES"</formula>
    </cfRule>
  </conditionalFormatting>
  <conditionalFormatting sqref="O41:O42">
    <cfRule type="expression" dxfId="3842" priority="4164">
      <formula>$BC41="YES"</formula>
    </cfRule>
  </conditionalFormatting>
  <conditionalFormatting sqref="O43:O44">
    <cfRule type="expression" dxfId="3841" priority="4163">
      <formula>$BC43="YES"</formula>
    </cfRule>
  </conditionalFormatting>
  <conditionalFormatting sqref="O45:O46">
    <cfRule type="expression" dxfId="3840" priority="4162">
      <formula>$BC45="YES"</formula>
    </cfRule>
  </conditionalFormatting>
  <conditionalFormatting sqref="O47:O48">
    <cfRule type="expression" dxfId="3839" priority="4161">
      <formula>$BC47="YES"</formula>
    </cfRule>
  </conditionalFormatting>
  <conditionalFormatting sqref="O49:O50">
    <cfRule type="expression" dxfId="3838" priority="4160">
      <formula>$BC49="YES"</formula>
    </cfRule>
  </conditionalFormatting>
  <conditionalFormatting sqref="O51:O52">
    <cfRule type="expression" dxfId="3837" priority="4159">
      <formula>$BC51="YES"</formula>
    </cfRule>
  </conditionalFormatting>
  <conditionalFormatting sqref="O53:O54">
    <cfRule type="expression" dxfId="3836" priority="4158">
      <formula>$BC53="YES"</formula>
    </cfRule>
  </conditionalFormatting>
  <conditionalFormatting sqref="O55:O56">
    <cfRule type="expression" dxfId="3835" priority="4157">
      <formula>$BC55="YES"</formula>
    </cfRule>
  </conditionalFormatting>
  <conditionalFormatting sqref="O57:O58">
    <cfRule type="expression" dxfId="3834" priority="4156">
      <formula>$BC57="YES"</formula>
    </cfRule>
  </conditionalFormatting>
  <conditionalFormatting sqref="O59:O60">
    <cfRule type="expression" dxfId="3833" priority="4155">
      <formula>$BC59="YES"</formula>
    </cfRule>
  </conditionalFormatting>
  <conditionalFormatting sqref="O61:O62">
    <cfRule type="expression" dxfId="3832" priority="4154">
      <formula>$BC61="YES"</formula>
    </cfRule>
  </conditionalFormatting>
  <conditionalFormatting sqref="O63:O64">
    <cfRule type="expression" dxfId="3831" priority="4153">
      <formula>$BC63="YES"</formula>
    </cfRule>
  </conditionalFormatting>
  <conditionalFormatting sqref="O68:O69">
    <cfRule type="expression" dxfId="3830" priority="4150">
      <formula>$BC68="YES"</formula>
    </cfRule>
  </conditionalFormatting>
  <conditionalFormatting sqref="O70:O71">
    <cfRule type="expression" dxfId="3829" priority="4149">
      <formula>$BC70="YES"</formula>
    </cfRule>
  </conditionalFormatting>
  <conditionalFormatting sqref="O72:O73">
    <cfRule type="expression" dxfId="3828" priority="4148">
      <formula>$BC72="YES"</formula>
    </cfRule>
  </conditionalFormatting>
  <conditionalFormatting sqref="O74:O75">
    <cfRule type="expression" dxfId="3827" priority="4147">
      <formula>$BC74="YES"</formula>
    </cfRule>
  </conditionalFormatting>
  <conditionalFormatting sqref="O76:O77">
    <cfRule type="expression" dxfId="3826" priority="4146">
      <formula>$BC76="YES"</formula>
    </cfRule>
  </conditionalFormatting>
  <conditionalFormatting sqref="O78:O79">
    <cfRule type="expression" dxfId="3825" priority="4145">
      <formula>$BC78="YES"</formula>
    </cfRule>
  </conditionalFormatting>
  <conditionalFormatting sqref="O80:O81">
    <cfRule type="expression" dxfId="3824" priority="4144">
      <formula>$BC80="YES"</formula>
    </cfRule>
  </conditionalFormatting>
  <conditionalFormatting sqref="O128:O129">
    <cfRule type="expression" dxfId="3823" priority="4120">
      <formula>$BC128="YES"</formula>
    </cfRule>
  </conditionalFormatting>
  <conditionalFormatting sqref="O82:O83">
    <cfRule type="expression" dxfId="3822" priority="4143">
      <formula>$BC82="YES"</formula>
    </cfRule>
  </conditionalFormatting>
  <conditionalFormatting sqref="O84:O85">
    <cfRule type="expression" dxfId="3821" priority="4142">
      <formula>$BC84="YES"</formula>
    </cfRule>
  </conditionalFormatting>
  <conditionalFormatting sqref="O86:O87">
    <cfRule type="expression" dxfId="3820" priority="4141">
      <formula>$BC86="YES"</formula>
    </cfRule>
  </conditionalFormatting>
  <conditionalFormatting sqref="O88:O89">
    <cfRule type="expression" dxfId="3819" priority="4140">
      <formula>$BC88="YES"</formula>
    </cfRule>
  </conditionalFormatting>
  <conditionalFormatting sqref="O90:O91">
    <cfRule type="expression" dxfId="3818" priority="4139">
      <formula>$BC90="YES"</formula>
    </cfRule>
  </conditionalFormatting>
  <conditionalFormatting sqref="O92:O93">
    <cfRule type="expression" dxfId="3817" priority="4138">
      <formula>$BC92="YES"</formula>
    </cfRule>
  </conditionalFormatting>
  <conditionalFormatting sqref="O94:O95">
    <cfRule type="expression" dxfId="3816" priority="4137">
      <formula>$BC94="YES"</formula>
    </cfRule>
  </conditionalFormatting>
  <conditionalFormatting sqref="O96:O97">
    <cfRule type="expression" dxfId="3815" priority="4136">
      <formula>$BC96="YES"</formula>
    </cfRule>
  </conditionalFormatting>
  <conditionalFormatting sqref="O98:O99">
    <cfRule type="expression" dxfId="3814" priority="4135">
      <formula>$BC98="YES"</formula>
    </cfRule>
  </conditionalFormatting>
  <conditionalFormatting sqref="O100:O101">
    <cfRule type="expression" dxfId="3813" priority="4134">
      <formula>$BC100="YES"</formula>
    </cfRule>
  </conditionalFormatting>
  <conditionalFormatting sqref="O102:O103">
    <cfRule type="expression" dxfId="3812" priority="4133">
      <formula>$BC102="YES"</formula>
    </cfRule>
  </conditionalFormatting>
  <conditionalFormatting sqref="O104:O105">
    <cfRule type="expression" dxfId="3811" priority="4132">
      <formula>$BC104="YES"</formula>
    </cfRule>
  </conditionalFormatting>
  <conditionalFormatting sqref="O106:O107">
    <cfRule type="expression" dxfId="3810" priority="4131">
      <formula>$BC106="YES"</formula>
    </cfRule>
  </conditionalFormatting>
  <conditionalFormatting sqref="O108:O109">
    <cfRule type="expression" dxfId="3809" priority="4130">
      <formula>$BC108="YES"</formula>
    </cfRule>
  </conditionalFormatting>
  <conditionalFormatting sqref="O110:O111">
    <cfRule type="expression" dxfId="3808" priority="4129">
      <formula>$BC110="YES"</formula>
    </cfRule>
  </conditionalFormatting>
  <conditionalFormatting sqref="O112:O113">
    <cfRule type="expression" dxfId="3807" priority="4128">
      <formula>$BC112="YES"</formula>
    </cfRule>
  </conditionalFormatting>
  <conditionalFormatting sqref="O114:O115">
    <cfRule type="expression" dxfId="3806" priority="4127">
      <formula>$BC114="YES"</formula>
    </cfRule>
  </conditionalFormatting>
  <conditionalFormatting sqref="O116:O117">
    <cfRule type="expression" dxfId="3805" priority="4126">
      <formula>$BC116="YES"</formula>
    </cfRule>
  </conditionalFormatting>
  <conditionalFormatting sqref="O118:O119">
    <cfRule type="expression" dxfId="3804" priority="4125">
      <formula>$BC118="YES"</formula>
    </cfRule>
  </conditionalFormatting>
  <conditionalFormatting sqref="O120:O121">
    <cfRule type="expression" dxfId="3803" priority="4124">
      <formula>$BC120="YES"</formula>
    </cfRule>
  </conditionalFormatting>
  <conditionalFormatting sqref="O122:O123">
    <cfRule type="expression" dxfId="3802" priority="4123">
      <formula>$BC122="YES"</formula>
    </cfRule>
  </conditionalFormatting>
  <conditionalFormatting sqref="O124:O125">
    <cfRule type="expression" dxfId="3801" priority="4122">
      <formula>$BC124="YES"</formula>
    </cfRule>
  </conditionalFormatting>
  <conditionalFormatting sqref="O126:O127">
    <cfRule type="expression" dxfId="3800" priority="4121">
      <formula>$BC126="YES"</formula>
    </cfRule>
  </conditionalFormatting>
  <conditionalFormatting sqref="O131:O132">
    <cfRule type="expression" dxfId="3799" priority="4119">
      <formula>$BC131="YES"</formula>
    </cfRule>
  </conditionalFormatting>
  <conditionalFormatting sqref="O133:O134">
    <cfRule type="expression" dxfId="3798" priority="4118">
      <formula>$BC133="YES"</formula>
    </cfRule>
  </conditionalFormatting>
  <conditionalFormatting sqref="O135:O136">
    <cfRule type="expression" dxfId="3797" priority="4117">
      <formula>$BC135="YES"</formula>
    </cfRule>
  </conditionalFormatting>
  <conditionalFormatting sqref="O137:O138">
    <cfRule type="expression" dxfId="3796" priority="4116">
      <formula>$BC137="YES"</formula>
    </cfRule>
  </conditionalFormatting>
  <conditionalFormatting sqref="O139:O140">
    <cfRule type="expression" dxfId="3795" priority="4115">
      <formula>$BC139="YES"</formula>
    </cfRule>
  </conditionalFormatting>
  <conditionalFormatting sqref="O141:O142">
    <cfRule type="expression" dxfId="3794" priority="4114">
      <formula>$BC141="YES"</formula>
    </cfRule>
  </conditionalFormatting>
  <conditionalFormatting sqref="O143:O144">
    <cfRule type="expression" dxfId="3793" priority="4113">
      <formula>$BC143="YES"</formula>
    </cfRule>
  </conditionalFormatting>
  <conditionalFormatting sqref="O191:O192">
    <cfRule type="expression" dxfId="3792" priority="4089">
      <formula>$BC191="YES"</formula>
    </cfRule>
  </conditionalFormatting>
  <conditionalFormatting sqref="O145:O146">
    <cfRule type="expression" dxfId="3791" priority="4112">
      <formula>$BC145="YES"</formula>
    </cfRule>
  </conditionalFormatting>
  <conditionalFormatting sqref="O147:O148">
    <cfRule type="expression" dxfId="3790" priority="4111">
      <formula>$BC147="YES"</formula>
    </cfRule>
  </conditionalFormatting>
  <conditionalFormatting sqref="O149:O150">
    <cfRule type="expression" dxfId="3789" priority="4110">
      <formula>$BC149="YES"</formula>
    </cfRule>
  </conditionalFormatting>
  <conditionalFormatting sqref="O151:O152">
    <cfRule type="expression" dxfId="3788" priority="4109">
      <formula>$BC151="YES"</formula>
    </cfRule>
  </conditionalFormatting>
  <conditionalFormatting sqref="O153:O154">
    <cfRule type="expression" dxfId="3787" priority="4108">
      <formula>$BC153="YES"</formula>
    </cfRule>
  </conditionalFormatting>
  <conditionalFormatting sqref="O155:O156">
    <cfRule type="expression" dxfId="3786" priority="4107">
      <formula>$BC155="YES"</formula>
    </cfRule>
  </conditionalFormatting>
  <conditionalFormatting sqref="O157:O158">
    <cfRule type="expression" dxfId="3785" priority="4106">
      <formula>$BC157="YES"</formula>
    </cfRule>
  </conditionalFormatting>
  <conditionalFormatting sqref="O159:O160">
    <cfRule type="expression" dxfId="3784" priority="4105">
      <formula>$BC159="YES"</formula>
    </cfRule>
  </conditionalFormatting>
  <conditionalFormatting sqref="O161:O162">
    <cfRule type="expression" dxfId="3783" priority="4104">
      <formula>$BC161="YES"</formula>
    </cfRule>
  </conditionalFormatting>
  <conditionalFormatting sqref="O163:O164">
    <cfRule type="expression" dxfId="3782" priority="4103">
      <formula>$BC163="YES"</formula>
    </cfRule>
  </conditionalFormatting>
  <conditionalFormatting sqref="O165:O166">
    <cfRule type="expression" dxfId="3781" priority="4102">
      <formula>$BC165="YES"</formula>
    </cfRule>
  </conditionalFormatting>
  <conditionalFormatting sqref="O167:O168">
    <cfRule type="expression" dxfId="3780" priority="4101">
      <formula>$BC167="YES"</formula>
    </cfRule>
  </conditionalFormatting>
  <conditionalFormatting sqref="O169:O170">
    <cfRule type="expression" dxfId="3779" priority="4100">
      <formula>$BC169="YES"</formula>
    </cfRule>
  </conditionalFormatting>
  <conditionalFormatting sqref="O171:O172">
    <cfRule type="expression" dxfId="3778" priority="4099">
      <formula>$BC171="YES"</formula>
    </cfRule>
  </conditionalFormatting>
  <conditionalFormatting sqref="O173:O174">
    <cfRule type="expression" dxfId="3777" priority="4098">
      <formula>$BC173="YES"</formula>
    </cfRule>
  </conditionalFormatting>
  <conditionalFormatting sqref="O175:O176">
    <cfRule type="expression" dxfId="3776" priority="4097">
      <formula>$BC175="YES"</formula>
    </cfRule>
  </conditionalFormatting>
  <conditionalFormatting sqref="O177:O178">
    <cfRule type="expression" dxfId="3775" priority="4096">
      <formula>$BC177="YES"</formula>
    </cfRule>
  </conditionalFormatting>
  <conditionalFormatting sqref="O179:O180">
    <cfRule type="expression" dxfId="3774" priority="4095">
      <formula>$BC179="YES"</formula>
    </cfRule>
  </conditionalFormatting>
  <conditionalFormatting sqref="O181:O182">
    <cfRule type="expression" dxfId="3773" priority="4094">
      <formula>$BC181="YES"</formula>
    </cfRule>
  </conditionalFormatting>
  <conditionalFormatting sqref="O183:O184">
    <cfRule type="expression" dxfId="3772" priority="4093">
      <formula>$BC183="YES"</formula>
    </cfRule>
  </conditionalFormatting>
  <conditionalFormatting sqref="O185:O186">
    <cfRule type="expression" dxfId="3771" priority="4092">
      <formula>$BC185="YES"</formula>
    </cfRule>
  </conditionalFormatting>
  <conditionalFormatting sqref="O187:O188">
    <cfRule type="expression" dxfId="3770" priority="4091">
      <formula>$BC187="YES"</formula>
    </cfRule>
  </conditionalFormatting>
  <conditionalFormatting sqref="O189:O190">
    <cfRule type="expression" dxfId="3769" priority="4090">
      <formula>$BC189="YES"</formula>
    </cfRule>
  </conditionalFormatting>
  <conditionalFormatting sqref="O194:O195">
    <cfRule type="expression" dxfId="3768" priority="4088">
      <formula>$BC194="YES"</formula>
    </cfRule>
  </conditionalFormatting>
  <conditionalFormatting sqref="O196:O197">
    <cfRule type="expression" dxfId="3767" priority="4087">
      <formula>$BC196="YES"</formula>
    </cfRule>
  </conditionalFormatting>
  <conditionalFormatting sqref="O198:O199">
    <cfRule type="expression" dxfId="3766" priority="4086">
      <formula>$BC198="YES"</formula>
    </cfRule>
  </conditionalFormatting>
  <conditionalFormatting sqref="O200:O201">
    <cfRule type="expression" dxfId="3765" priority="4085">
      <formula>$BC200="YES"</formula>
    </cfRule>
  </conditionalFormatting>
  <conditionalFormatting sqref="O202:O203">
    <cfRule type="expression" dxfId="3764" priority="4084">
      <formula>$BC202="YES"</formula>
    </cfRule>
  </conditionalFormatting>
  <conditionalFormatting sqref="O204:O205">
    <cfRule type="expression" dxfId="3763" priority="4083">
      <formula>$BC204="YES"</formula>
    </cfRule>
  </conditionalFormatting>
  <conditionalFormatting sqref="O206:O207">
    <cfRule type="expression" dxfId="3762" priority="4082">
      <formula>$BC206="YES"</formula>
    </cfRule>
  </conditionalFormatting>
  <conditionalFormatting sqref="O254:O255">
    <cfRule type="expression" dxfId="3761" priority="4058">
      <formula>$BC254="YES"</formula>
    </cfRule>
  </conditionalFormatting>
  <conditionalFormatting sqref="O208:O209">
    <cfRule type="expression" dxfId="3760" priority="4081">
      <formula>$BC208="YES"</formula>
    </cfRule>
  </conditionalFormatting>
  <conditionalFormatting sqref="O210:O211">
    <cfRule type="expression" dxfId="3759" priority="4080">
      <formula>$BC210="YES"</formula>
    </cfRule>
  </conditionalFormatting>
  <conditionalFormatting sqref="O212:O213">
    <cfRule type="expression" dxfId="3758" priority="4079">
      <formula>$BC212="YES"</formula>
    </cfRule>
  </conditionalFormatting>
  <conditionalFormatting sqref="O214:O215">
    <cfRule type="expression" dxfId="3757" priority="4078">
      <formula>$BC214="YES"</formula>
    </cfRule>
  </conditionalFormatting>
  <conditionalFormatting sqref="O216:O217">
    <cfRule type="expression" dxfId="3756" priority="4077">
      <formula>$BC216="YES"</formula>
    </cfRule>
  </conditionalFormatting>
  <conditionalFormatting sqref="O218:O219">
    <cfRule type="expression" dxfId="3755" priority="4076">
      <formula>$BC218="YES"</formula>
    </cfRule>
  </conditionalFormatting>
  <conditionalFormatting sqref="O220:O221">
    <cfRule type="expression" dxfId="3754" priority="4075">
      <formula>$BC220="YES"</formula>
    </cfRule>
  </conditionalFormatting>
  <conditionalFormatting sqref="O222:O223">
    <cfRule type="expression" dxfId="3753" priority="4074">
      <formula>$BC222="YES"</formula>
    </cfRule>
  </conditionalFormatting>
  <conditionalFormatting sqref="O224:O225">
    <cfRule type="expression" dxfId="3752" priority="4073">
      <formula>$BC224="YES"</formula>
    </cfRule>
  </conditionalFormatting>
  <conditionalFormatting sqref="O226:O227">
    <cfRule type="expression" dxfId="3751" priority="4072">
      <formula>$BC226="YES"</formula>
    </cfRule>
  </conditionalFormatting>
  <conditionalFormatting sqref="O228:O229">
    <cfRule type="expression" dxfId="3750" priority="4071">
      <formula>$BC228="YES"</formula>
    </cfRule>
  </conditionalFormatting>
  <conditionalFormatting sqref="O230:O231">
    <cfRule type="expression" dxfId="3749" priority="4070">
      <formula>$BC230="YES"</formula>
    </cfRule>
  </conditionalFormatting>
  <conditionalFormatting sqref="O232:O233">
    <cfRule type="expression" dxfId="3748" priority="4069">
      <formula>$BC232="YES"</formula>
    </cfRule>
  </conditionalFormatting>
  <conditionalFormatting sqref="O234:O235">
    <cfRule type="expression" dxfId="3747" priority="4068">
      <formula>$BC234="YES"</formula>
    </cfRule>
  </conditionalFormatting>
  <conditionalFormatting sqref="O236:O237">
    <cfRule type="expression" dxfId="3746" priority="4067">
      <formula>$BC236="YES"</formula>
    </cfRule>
  </conditionalFormatting>
  <conditionalFormatting sqref="O238:O239">
    <cfRule type="expression" dxfId="3745" priority="4066">
      <formula>$BC238="YES"</formula>
    </cfRule>
  </conditionalFormatting>
  <conditionalFormatting sqref="O240:O241">
    <cfRule type="expression" dxfId="3744" priority="4065">
      <formula>$BC240="YES"</formula>
    </cfRule>
  </conditionalFormatting>
  <conditionalFormatting sqref="O242:O243">
    <cfRule type="expression" dxfId="3743" priority="4064">
      <formula>$BC242="YES"</formula>
    </cfRule>
  </conditionalFormatting>
  <conditionalFormatting sqref="O244:O245">
    <cfRule type="expression" dxfId="3742" priority="4063">
      <formula>$BC244="YES"</formula>
    </cfRule>
  </conditionalFormatting>
  <conditionalFormatting sqref="O246:O247">
    <cfRule type="expression" dxfId="3741" priority="4062">
      <formula>$BC246="YES"</formula>
    </cfRule>
  </conditionalFormatting>
  <conditionalFormatting sqref="O248:O249">
    <cfRule type="expression" dxfId="3740" priority="4061">
      <formula>$BC248="YES"</formula>
    </cfRule>
  </conditionalFormatting>
  <conditionalFormatting sqref="O250:O251">
    <cfRule type="expression" dxfId="3739" priority="4060">
      <formula>$BC250="YES"</formula>
    </cfRule>
  </conditionalFormatting>
  <conditionalFormatting sqref="O252:O253">
    <cfRule type="expression" dxfId="3738" priority="4059">
      <formula>$BC252="YES"</formula>
    </cfRule>
  </conditionalFormatting>
  <conditionalFormatting sqref="O257:O258">
    <cfRule type="expression" dxfId="3737" priority="4057">
      <formula>$BC257="YES"</formula>
    </cfRule>
  </conditionalFormatting>
  <conditionalFormatting sqref="O259:O260">
    <cfRule type="expression" dxfId="3736" priority="4056">
      <formula>$BC259="YES"</formula>
    </cfRule>
  </conditionalFormatting>
  <conditionalFormatting sqref="O261:O262">
    <cfRule type="expression" dxfId="3735" priority="4055">
      <formula>$BC261="YES"</formula>
    </cfRule>
  </conditionalFormatting>
  <conditionalFormatting sqref="O263:O264">
    <cfRule type="expression" dxfId="3734" priority="4054">
      <formula>$BC263="YES"</formula>
    </cfRule>
  </conditionalFormatting>
  <conditionalFormatting sqref="O265:O266">
    <cfRule type="expression" dxfId="3733" priority="4053">
      <formula>$BC265="YES"</formula>
    </cfRule>
  </conditionalFormatting>
  <conditionalFormatting sqref="O267:O268">
    <cfRule type="expression" dxfId="3732" priority="4052">
      <formula>$BC267="YES"</formula>
    </cfRule>
  </conditionalFormatting>
  <conditionalFormatting sqref="O269:O270">
    <cfRule type="expression" dxfId="3731" priority="4051">
      <formula>$BC269="YES"</formula>
    </cfRule>
  </conditionalFormatting>
  <conditionalFormatting sqref="O317:O318">
    <cfRule type="expression" dxfId="3730" priority="4027">
      <formula>$BC317="YES"</formula>
    </cfRule>
  </conditionalFormatting>
  <conditionalFormatting sqref="O271:O272">
    <cfRule type="expression" dxfId="3729" priority="4050">
      <formula>$BC271="YES"</formula>
    </cfRule>
  </conditionalFormatting>
  <conditionalFormatting sqref="O273:O274">
    <cfRule type="expression" dxfId="3728" priority="4049">
      <formula>$BC273="YES"</formula>
    </cfRule>
  </conditionalFormatting>
  <conditionalFormatting sqref="O275:O276">
    <cfRule type="expression" dxfId="3727" priority="4048">
      <formula>$BC275="YES"</formula>
    </cfRule>
  </conditionalFormatting>
  <conditionalFormatting sqref="O277:O278">
    <cfRule type="expression" dxfId="3726" priority="4047">
      <formula>$BC277="YES"</formula>
    </cfRule>
  </conditionalFormatting>
  <conditionalFormatting sqref="O279:O280">
    <cfRule type="expression" dxfId="3725" priority="4046">
      <formula>$BC279="YES"</formula>
    </cfRule>
  </conditionalFormatting>
  <conditionalFormatting sqref="O281:O282">
    <cfRule type="expression" dxfId="3724" priority="4045">
      <formula>$BC281="YES"</formula>
    </cfRule>
  </conditionalFormatting>
  <conditionalFormatting sqref="O283:O284">
    <cfRule type="expression" dxfId="3723" priority="4044">
      <formula>$BC283="YES"</formula>
    </cfRule>
  </conditionalFormatting>
  <conditionalFormatting sqref="O285:O286">
    <cfRule type="expression" dxfId="3722" priority="4043">
      <formula>$BC285="YES"</formula>
    </cfRule>
  </conditionalFormatting>
  <conditionalFormatting sqref="O287:O288">
    <cfRule type="expression" dxfId="3721" priority="4042">
      <formula>$BC287="YES"</formula>
    </cfRule>
  </conditionalFormatting>
  <conditionalFormatting sqref="O289:O290">
    <cfRule type="expression" dxfId="3720" priority="4041">
      <formula>$BC289="YES"</formula>
    </cfRule>
  </conditionalFormatting>
  <conditionalFormatting sqref="O291:O292">
    <cfRule type="expression" dxfId="3719" priority="4040">
      <formula>$BC291="YES"</formula>
    </cfRule>
  </conditionalFormatting>
  <conditionalFormatting sqref="O293:O294">
    <cfRule type="expression" dxfId="3718" priority="4039">
      <formula>$BC293="YES"</formula>
    </cfRule>
  </conditionalFormatting>
  <conditionalFormatting sqref="O295:O296">
    <cfRule type="expression" dxfId="3717" priority="4038">
      <formula>$BC295="YES"</formula>
    </cfRule>
  </conditionalFormatting>
  <conditionalFormatting sqref="O297:O298">
    <cfRule type="expression" dxfId="3716" priority="4037">
      <formula>$BC297="YES"</formula>
    </cfRule>
  </conditionalFormatting>
  <conditionalFormatting sqref="O299:O300">
    <cfRule type="expression" dxfId="3715" priority="4036">
      <formula>$BC299="YES"</formula>
    </cfRule>
  </conditionalFormatting>
  <conditionalFormatting sqref="O301:O302">
    <cfRule type="expression" dxfId="3714" priority="4035">
      <formula>$BC301="YES"</formula>
    </cfRule>
  </conditionalFormatting>
  <conditionalFormatting sqref="O303:O304">
    <cfRule type="expression" dxfId="3713" priority="4034">
      <formula>$BC303="YES"</formula>
    </cfRule>
  </conditionalFormatting>
  <conditionalFormatting sqref="O305:O306">
    <cfRule type="expression" dxfId="3712" priority="4033">
      <formula>$BC305="YES"</formula>
    </cfRule>
  </conditionalFormatting>
  <conditionalFormatting sqref="O307:O308">
    <cfRule type="expression" dxfId="3711" priority="4032">
      <formula>$BC307="YES"</formula>
    </cfRule>
  </conditionalFormatting>
  <conditionalFormatting sqref="O309:O310">
    <cfRule type="expression" dxfId="3710" priority="4031">
      <formula>$BC309="YES"</formula>
    </cfRule>
  </conditionalFormatting>
  <conditionalFormatting sqref="O311:O312">
    <cfRule type="expression" dxfId="3709" priority="4030">
      <formula>$BC311="YES"</formula>
    </cfRule>
  </conditionalFormatting>
  <conditionalFormatting sqref="O313:O314">
    <cfRule type="expression" dxfId="3708" priority="4029">
      <formula>$BC313="YES"</formula>
    </cfRule>
  </conditionalFormatting>
  <conditionalFormatting sqref="O315:O316">
    <cfRule type="expression" dxfId="3707" priority="4028">
      <formula>$BC315="YES"</formula>
    </cfRule>
  </conditionalFormatting>
  <conditionalFormatting sqref="O320:O321">
    <cfRule type="expression" dxfId="3706" priority="4026">
      <formula>$BC320="YES"</formula>
    </cfRule>
  </conditionalFormatting>
  <conditionalFormatting sqref="O322:O323">
    <cfRule type="expression" dxfId="3705" priority="4025">
      <formula>$BC322="YES"</formula>
    </cfRule>
  </conditionalFormatting>
  <conditionalFormatting sqref="O324:O325">
    <cfRule type="expression" dxfId="3704" priority="4024">
      <formula>$BC324="YES"</formula>
    </cfRule>
  </conditionalFormatting>
  <conditionalFormatting sqref="O326:O327">
    <cfRule type="expression" dxfId="3703" priority="4023">
      <formula>$BC326="YES"</formula>
    </cfRule>
  </conditionalFormatting>
  <conditionalFormatting sqref="O328:O329">
    <cfRule type="expression" dxfId="3702" priority="4022">
      <formula>$BC328="YES"</formula>
    </cfRule>
  </conditionalFormatting>
  <conditionalFormatting sqref="O330:O331">
    <cfRule type="expression" dxfId="3701" priority="4021">
      <formula>$BC330="YES"</formula>
    </cfRule>
  </conditionalFormatting>
  <conditionalFormatting sqref="O332:O333">
    <cfRule type="expression" dxfId="3700" priority="4020">
      <formula>$BC332="YES"</formula>
    </cfRule>
  </conditionalFormatting>
  <conditionalFormatting sqref="O380:O381">
    <cfRule type="expression" dxfId="3699" priority="3996">
      <formula>$BC380="YES"</formula>
    </cfRule>
  </conditionalFormatting>
  <conditionalFormatting sqref="O334:O335">
    <cfRule type="expression" dxfId="3698" priority="4019">
      <formula>$BC334="YES"</formula>
    </cfRule>
  </conditionalFormatting>
  <conditionalFormatting sqref="O336:O337">
    <cfRule type="expression" dxfId="3697" priority="4018">
      <formula>$BC336="YES"</formula>
    </cfRule>
  </conditionalFormatting>
  <conditionalFormatting sqref="O338:O339">
    <cfRule type="expression" dxfId="3696" priority="4017">
      <formula>$BC338="YES"</formula>
    </cfRule>
  </conditionalFormatting>
  <conditionalFormatting sqref="O340:O341">
    <cfRule type="expression" dxfId="3695" priority="4016">
      <formula>$BC340="YES"</formula>
    </cfRule>
  </conditionalFormatting>
  <conditionalFormatting sqref="O342:O343">
    <cfRule type="expression" dxfId="3694" priority="4015">
      <formula>$BC342="YES"</formula>
    </cfRule>
  </conditionalFormatting>
  <conditionalFormatting sqref="O344:O345">
    <cfRule type="expression" dxfId="3693" priority="4014">
      <formula>$BC344="YES"</formula>
    </cfRule>
  </conditionalFormatting>
  <conditionalFormatting sqref="O346:O347">
    <cfRule type="expression" dxfId="3692" priority="4013">
      <formula>$BC346="YES"</formula>
    </cfRule>
  </conditionalFormatting>
  <conditionalFormatting sqref="O348:O349">
    <cfRule type="expression" dxfId="3691" priority="4012">
      <formula>$BC348="YES"</formula>
    </cfRule>
  </conditionalFormatting>
  <conditionalFormatting sqref="O350:O351">
    <cfRule type="expression" dxfId="3690" priority="4011">
      <formula>$BC350="YES"</formula>
    </cfRule>
  </conditionalFormatting>
  <conditionalFormatting sqref="O352:O353">
    <cfRule type="expression" dxfId="3689" priority="4010">
      <formula>$BC352="YES"</formula>
    </cfRule>
  </conditionalFormatting>
  <conditionalFormatting sqref="O354:O355">
    <cfRule type="expression" dxfId="3688" priority="4009">
      <formula>$BC354="YES"</formula>
    </cfRule>
  </conditionalFormatting>
  <conditionalFormatting sqref="O356:O357">
    <cfRule type="expression" dxfId="3687" priority="4008">
      <formula>$BC356="YES"</formula>
    </cfRule>
  </conditionalFormatting>
  <conditionalFormatting sqref="O358:O359">
    <cfRule type="expression" dxfId="3686" priority="4007">
      <formula>$BC358="YES"</formula>
    </cfRule>
  </conditionalFormatting>
  <conditionalFormatting sqref="O360:O361">
    <cfRule type="expression" dxfId="3685" priority="4006">
      <formula>$BC360="YES"</formula>
    </cfRule>
  </conditionalFormatting>
  <conditionalFormatting sqref="O362:O363">
    <cfRule type="expression" dxfId="3684" priority="4005">
      <formula>$BC362="YES"</formula>
    </cfRule>
  </conditionalFormatting>
  <conditionalFormatting sqref="O364:O365">
    <cfRule type="expression" dxfId="3683" priority="4004">
      <formula>$BC364="YES"</formula>
    </cfRule>
  </conditionalFormatting>
  <conditionalFormatting sqref="O366:O367">
    <cfRule type="expression" dxfId="3682" priority="4003">
      <formula>$BC366="YES"</formula>
    </cfRule>
  </conditionalFormatting>
  <conditionalFormatting sqref="O368:O369">
    <cfRule type="expression" dxfId="3681" priority="4002">
      <formula>$BC368="YES"</formula>
    </cfRule>
  </conditionalFormatting>
  <conditionalFormatting sqref="O370:O371">
    <cfRule type="expression" dxfId="3680" priority="4001">
      <formula>$BC370="YES"</formula>
    </cfRule>
  </conditionalFormatting>
  <conditionalFormatting sqref="O372:O373">
    <cfRule type="expression" dxfId="3679" priority="4000">
      <formula>$BC372="YES"</formula>
    </cfRule>
  </conditionalFormatting>
  <conditionalFormatting sqref="O374:O375">
    <cfRule type="expression" dxfId="3678" priority="3999">
      <formula>$BC374="YES"</formula>
    </cfRule>
  </conditionalFormatting>
  <conditionalFormatting sqref="O376:O377">
    <cfRule type="expression" dxfId="3677" priority="3998">
      <formula>$BC376="YES"</formula>
    </cfRule>
  </conditionalFormatting>
  <conditionalFormatting sqref="O378:O379">
    <cfRule type="expression" dxfId="3676" priority="3997">
      <formula>$BC378="YES"</formula>
    </cfRule>
  </conditionalFormatting>
  <conditionalFormatting sqref="O383:O384">
    <cfRule type="expression" dxfId="3675" priority="3995">
      <formula>$BC383="YES"</formula>
    </cfRule>
  </conditionalFormatting>
  <conditionalFormatting sqref="O385:O386">
    <cfRule type="expression" dxfId="3674" priority="3994">
      <formula>$BC385="YES"</formula>
    </cfRule>
  </conditionalFormatting>
  <conditionalFormatting sqref="O387:O388">
    <cfRule type="expression" dxfId="3673" priority="3993">
      <formula>$BC387="YES"</formula>
    </cfRule>
  </conditionalFormatting>
  <conditionalFormatting sqref="O389:O390">
    <cfRule type="expression" dxfId="3672" priority="3992">
      <formula>$BC389="YES"</formula>
    </cfRule>
  </conditionalFormatting>
  <conditionalFormatting sqref="O391:O392">
    <cfRule type="expression" dxfId="3671" priority="3991">
      <formula>$BC391="YES"</formula>
    </cfRule>
  </conditionalFormatting>
  <conditionalFormatting sqref="O393:O394">
    <cfRule type="expression" dxfId="3670" priority="3990">
      <formula>$BC393="YES"</formula>
    </cfRule>
  </conditionalFormatting>
  <conditionalFormatting sqref="O395:O396">
    <cfRule type="expression" dxfId="3669" priority="3989">
      <formula>$BC395="YES"</formula>
    </cfRule>
  </conditionalFormatting>
  <conditionalFormatting sqref="O443:O444">
    <cfRule type="expression" dxfId="3668" priority="3965">
      <formula>$BC443="YES"</formula>
    </cfRule>
  </conditionalFormatting>
  <conditionalFormatting sqref="O397:O398">
    <cfRule type="expression" dxfId="3667" priority="3988">
      <formula>$BC397="YES"</formula>
    </cfRule>
  </conditionalFormatting>
  <conditionalFormatting sqref="O399:O400">
    <cfRule type="expression" dxfId="3666" priority="3987">
      <formula>$BC399="YES"</formula>
    </cfRule>
  </conditionalFormatting>
  <conditionalFormatting sqref="O401:O402">
    <cfRule type="expression" dxfId="3665" priority="3986">
      <formula>$BC401="YES"</formula>
    </cfRule>
  </conditionalFormatting>
  <conditionalFormatting sqref="O403:O404">
    <cfRule type="expression" dxfId="3664" priority="3985">
      <formula>$BC403="YES"</formula>
    </cfRule>
  </conditionalFormatting>
  <conditionalFormatting sqref="O405:O406">
    <cfRule type="expression" dxfId="3663" priority="3984">
      <formula>$BC405="YES"</formula>
    </cfRule>
  </conditionalFormatting>
  <conditionalFormatting sqref="O407:O408">
    <cfRule type="expression" dxfId="3662" priority="3983">
      <formula>$BC407="YES"</formula>
    </cfRule>
  </conditionalFormatting>
  <conditionalFormatting sqref="O409:O410">
    <cfRule type="expression" dxfId="3661" priority="3982">
      <formula>$BC409="YES"</formula>
    </cfRule>
  </conditionalFormatting>
  <conditionalFormatting sqref="O411:O412">
    <cfRule type="expression" dxfId="3660" priority="3981">
      <formula>$BC411="YES"</formula>
    </cfRule>
  </conditionalFormatting>
  <conditionalFormatting sqref="O413:O414">
    <cfRule type="expression" dxfId="3659" priority="3980">
      <formula>$BC413="YES"</formula>
    </cfRule>
  </conditionalFormatting>
  <conditionalFormatting sqref="O415:O416">
    <cfRule type="expression" dxfId="3658" priority="3979">
      <formula>$BC415="YES"</formula>
    </cfRule>
  </conditionalFormatting>
  <conditionalFormatting sqref="O417:O418">
    <cfRule type="expression" dxfId="3657" priority="3978">
      <formula>$BC417="YES"</formula>
    </cfRule>
  </conditionalFormatting>
  <conditionalFormatting sqref="O419:O420">
    <cfRule type="expression" dxfId="3656" priority="3977">
      <formula>$BC419="YES"</formula>
    </cfRule>
  </conditionalFormatting>
  <conditionalFormatting sqref="O421:O422">
    <cfRule type="expression" dxfId="3655" priority="3976">
      <formula>$BC421="YES"</formula>
    </cfRule>
  </conditionalFormatting>
  <conditionalFormatting sqref="O423:O424">
    <cfRule type="expression" dxfId="3654" priority="3975">
      <formula>$BC423="YES"</formula>
    </cfRule>
  </conditionalFormatting>
  <conditionalFormatting sqref="O425:O426">
    <cfRule type="expression" dxfId="3653" priority="3974">
      <formula>$BC425="YES"</formula>
    </cfRule>
  </conditionalFormatting>
  <conditionalFormatting sqref="O427:O428">
    <cfRule type="expression" dxfId="3652" priority="3973">
      <formula>$BC427="YES"</formula>
    </cfRule>
  </conditionalFormatting>
  <conditionalFormatting sqref="O429:O430">
    <cfRule type="expression" dxfId="3651" priority="3972">
      <formula>$BC429="YES"</formula>
    </cfRule>
  </conditionalFormatting>
  <conditionalFormatting sqref="O431:O432">
    <cfRule type="expression" dxfId="3650" priority="3971">
      <formula>$BC431="YES"</formula>
    </cfRule>
  </conditionalFormatting>
  <conditionalFormatting sqref="O433:O434">
    <cfRule type="expression" dxfId="3649" priority="3970">
      <formula>$BC433="YES"</formula>
    </cfRule>
  </conditionalFormatting>
  <conditionalFormatting sqref="O435:O436">
    <cfRule type="expression" dxfId="3648" priority="3969">
      <formula>$BC435="YES"</formula>
    </cfRule>
  </conditionalFormatting>
  <conditionalFormatting sqref="O437:O438">
    <cfRule type="expression" dxfId="3647" priority="3968">
      <formula>$BC437="YES"</formula>
    </cfRule>
  </conditionalFormatting>
  <conditionalFormatting sqref="O439:O440">
    <cfRule type="expression" dxfId="3646" priority="3967">
      <formula>$BC439="YES"</formula>
    </cfRule>
  </conditionalFormatting>
  <conditionalFormatting sqref="O441:O442">
    <cfRule type="expression" dxfId="3645" priority="3966">
      <formula>$BC441="YES"</formula>
    </cfRule>
  </conditionalFormatting>
  <conditionalFormatting sqref="O446:O447">
    <cfRule type="expression" dxfId="3644" priority="3964">
      <formula>$BC446="YES"</formula>
    </cfRule>
  </conditionalFormatting>
  <conditionalFormatting sqref="O448:O449">
    <cfRule type="expression" dxfId="3643" priority="3963">
      <formula>$BC448="YES"</formula>
    </cfRule>
  </conditionalFormatting>
  <conditionalFormatting sqref="O450:O451">
    <cfRule type="expression" dxfId="3642" priority="3962">
      <formula>$BC450="YES"</formula>
    </cfRule>
  </conditionalFormatting>
  <conditionalFormatting sqref="O452:O453">
    <cfRule type="expression" dxfId="3641" priority="3961">
      <formula>$BC452="YES"</formula>
    </cfRule>
  </conditionalFormatting>
  <conditionalFormatting sqref="O454:O455">
    <cfRule type="expression" dxfId="3640" priority="3960">
      <formula>$BC454="YES"</formula>
    </cfRule>
  </conditionalFormatting>
  <conditionalFormatting sqref="O456:O457">
    <cfRule type="expression" dxfId="3639" priority="3959">
      <formula>$BC456="YES"</formula>
    </cfRule>
  </conditionalFormatting>
  <conditionalFormatting sqref="O458:O459">
    <cfRule type="expression" dxfId="3638" priority="3958">
      <formula>$BC458="YES"</formula>
    </cfRule>
  </conditionalFormatting>
  <conditionalFormatting sqref="O506:O507">
    <cfRule type="expression" dxfId="3637" priority="3934">
      <formula>$BC506="YES"</formula>
    </cfRule>
  </conditionalFormatting>
  <conditionalFormatting sqref="O460:O461">
    <cfRule type="expression" dxfId="3636" priority="3957">
      <formula>$BC460="YES"</formula>
    </cfRule>
  </conditionalFormatting>
  <conditionalFormatting sqref="O462:O463">
    <cfRule type="expression" dxfId="3635" priority="3956">
      <formula>$BC462="YES"</formula>
    </cfRule>
  </conditionalFormatting>
  <conditionalFormatting sqref="O464:O465">
    <cfRule type="expression" dxfId="3634" priority="3955">
      <formula>$BC464="YES"</formula>
    </cfRule>
  </conditionalFormatting>
  <conditionalFormatting sqref="O466:O467">
    <cfRule type="expression" dxfId="3633" priority="3954">
      <formula>$BC466="YES"</formula>
    </cfRule>
  </conditionalFormatting>
  <conditionalFormatting sqref="O468:O469">
    <cfRule type="expression" dxfId="3632" priority="3953">
      <formula>$BC468="YES"</formula>
    </cfRule>
  </conditionalFormatting>
  <conditionalFormatting sqref="O470:O471">
    <cfRule type="expression" dxfId="3631" priority="3952">
      <formula>$BC470="YES"</formula>
    </cfRule>
  </conditionalFormatting>
  <conditionalFormatting sqref="O472:O473">
    <cfRule type="expression" dxfId="3630" priority="3951">
      <formula>$BC472="YES"</formula>
    </cfRule>
  </conditionalFormatting>
  <conditionalFormatting sqref="O474:O475">
    <cfRule type="expression" dxfId="3629" priority="3950">
      <formula>$BC474="YES"</formula>
    </cfRule>
  </conditionalFormatting>
  <conditionalFormatting sqref="O476:O477">
    <cfRule type="expression" dxfId="3628" priority="3949">
      <formula>$BC476="YES"</formula>
    </cfRule>
  </conditionalFormatting>
  <conditionalFormatting sqref="O478:O479">
    <cfRule type="expression" dxfId="3627" priority="3948">
      <formula>$BC478="YES"</formula>
    </cfRule>
  </conditionalFormatting>
  <conditionalFormatting sqref="O480:O481">
    <cfRule type="expression" dxfId="3626" priority="3947">
      <formula>$BC480="YES"</formula>
    </cfRule>
  </conditionalFormatting>
  <conditionalFormatting sqref="O482:O483">
    <cfRule type="expression" dxfId="3625" priority="3946">
      <formula>$BC482="YES"</formula>
    </cfRule>
  </conditionalFormatting>
  <conditionalFormatting sqref="O484:O485">
    <cfRule type="expression" dxfId="3624" priority="3945">
      <formula>$BC484="YES"</formula>
    </cfRule>
  </conditionalFormatting>
  <conditionalFormatting sqref="O486:O487">
    <cfRule type="expression" dxfId="3623" priority="3944">
      <formula>$BC486="YES"</formula>
    </cfRule>
  </conditionalFormatting>
  <conditionalFormatting sqref="O488:O489">
    <cfRule type="expression" dxfId="3622" priority="3943">
      <formula>$BC488="YES"</formula>
    </cfRule>
  </conditionalFormatting>
  <conditionalFormatting sqref="O490:O491">
    <cfRule type="expression" dxfId="3621" priority="3942">
      <formula>$BC490="YES"</formula>
    </cfRule>
  </conditionalFormatting>
  <conditionalFormatting sqref="O492:O493">
    <cfRule type="expression" dxfId="3620" priority="3941">
      <formula>$BC492="YES"</formula>
    </cfRule>
  </conditionalFormatting>
  <conditionalFormatting sqref="O494:O495">
    <cfRule type="expression" dxfId="3619" priority="3940">
      <formula>$BC494="YES"</formula>
    </cfRule>
  </conditionalFormatting>
  <conditionalFormatting sqref="O496:O497">
    <cfRule type="expression" dxfId="3618" priority="3939">
      <formula>$BC496="YES"</formula>
    </cfRule>
  </conditionalFormatting>
  <conditionalFormatting sqref="O498:O499">
    <cfRule type="expression" dxfId="3617" priority="3938">
      <formula>$BC498="YES"</formula>
    </cfRule>
  </conditionalFormatting>
  <conditionalFormatting sqref="O500:O501">
    <cfRule type="expression" dxfId="3616" priority="3937">
      <formula>$BC500="YES"</formula>
    </cfRule>
  </conditionalFormatting>
  <conditionalFormatting sqref="O502:O503">
    <cfRule type="expression" dxfId="3615" priority="3936">
      <formula>$BC502="YES"</formula>
    </cfRule>
  </conditionalFormatting>
  <conditionalFormatting sqref="O504:O505">
    <cfRule type="expression" dxfId="3614" priority="3935">
      <formula>$BC504="YES"</formula>
    </cfRule>
  </conditionalFormatting>
  <conditionalFormatting sqref="O509:O510">
    <cfRule type="expression" dxfId="3613" priority="3933">
      <formula>$BC509="YES"</formula>
    </cfRule>
  </conditionalFormatting>
  <conditionalFormatting sqref="O511:O512">
    <cfRule type="expression" dxfId="3612" priority="3932">
      <formula>$BC511="YES"</formula>
    </cfRule>
  </conditionalFormatting>
  <conditionalFormatting sqref="O513:O514">
    <cfRule type="expression" dxfId="3611" priority="3931">
      <formula>$BC513="YES"</formula>
    </cfRule>
  </conditionalFormatting>
  <conditionalFormatting sqref="O515:O516">
    <cfRule type="expression" dxfId="3610" priority="3930">
      <formula>$BC515="YES"</formula>
    </cfRule>
  </conditionalFormatting>
  <conditionalFormatting sqref="O517:O518">
    <cfRule type="expression" dxfId="3609" priority="3929">
      <formula>$BC517="YES"</formula>
    </cfRule>
  </conditionalFormatting>
  <conditionalFormatting sqref="A16:A1609">
    <cfRule type="expression" dxfId="3608" priority="3928">
      <formula>$BC16="YES"</formula>
    </cfRule>
  </conditionalFormatting>
  <conditionalFormatting sqref="P25:Q26">
    <cfRule type="expression" dxfId="3607" priority="3927">
      <formula>$BC25="YES"</formula>
    </cfRule>
  </conditionalFormatting>
  <conditionalFormatting sqref="P27:Q28">
    <cfRule type="expression" dxfId="3606" priority="3926">
      <formula>$BC27="YES"</formula>
    </cfRule>
  </conditionalFormatting>
  <conditionalFormatting sqref="P29:Q30">
    <cfRule type="expression" dxfId="3605" priority="3925">
      <formula>$BC29="YES"</formula>
    </cfRule>
  </conditionalFormatting>
  <conditionalFormatting sqref="P31:Q32">
    <cfRule type="expression" dxfId="3604" priority="3924">
      <formula>$BC31="YES"</formula>
    </cfRule>
  </conditionalFormatting>
  <conditionalFormatting sqref="P33:Q34">
    <cfRule type="expression" dxfId="3603" priority="3923">
      <formula>$BC33="YES"</formula>
    </cfRule>
  </conditionalFormatting>
  <conditionalFormatting sqref="P35:Q36">
    <cfRule type="expression" dxfId="3602" priority="3922">
      <formula>$BC35="YES"</formula>
    </cfRule>
  </conditionalFormatting>
  <conditionalFormatting sqref="P37:Q38">
    <cfRule type="expression" dxfId="3601" priority="3921">
      <formula>$BC37="YES"</formula>
    </cfRule>
  </conditionalFormatting>
  <conditionalFormatting sqref="P39:Q40">
    <cfRule type="expression" dxfId="3600" priority="3920">
      <formula>$BC39="YES"</formula>
    </cfRule>
  </conditionalFormatting>
  <conditionalFormatting sqref="P41:Q42">
    <cfRule type="expression" dxfId="3599" priority="3919">
      <formula>$BC41="YES"</formula>
    </cfRule>
  </conditionalFormatting>
  <conditionalFormatting sqref="P43:Q44">
    <cfRule type="expression" dxfId="3598" priority="3918">
      <formula>$BC43="YES"</formula>
    </cfRule>
  </conditionalFormatting>
  <conditionalFormatting sqref="P45:Q46">
    <cfRule type="expression" dxfId="3597" priority="3917">
      <formula>$BC45="YES"</formula>
    </cfRule>
  </conditionalFormatting>
  <conditionalFormatting sqref="P47:Q48">
    <cfRule type="expression" dxfId="3596" priority="3916">
      <formula>$BC47="YES"</formula>
    </cfRule>
  </conditionalFormatting>
  <conditionalFormatting sqref="P49:Q50">
    <cfRule type="expression" dxfId="3595" priority="3915">
      <formula>$BC49="YES"</formula>
    </cfRule>
  </conditionalFormatting>
  <conditionalFormatting sqref="P51:Q52">
    <cfRule type="expression" dxfId="3594" priority="3914">
      <formula>$BC51="YES"</formula>
    </cfRule>
  </conditionalFormatting>
  <conditionalFormatting sqref="P53:Q54">
    <cfRule type="expression" dxfId="3593" priority="3913">
      <formula>$BC53="YES"</formula>
    </cfRule>
  </conditionalFormatting>
  <conditionalFormatting sqref="P55:Q56">
    <cfRule type="expression" dxfId="3592" priority="3912">
      <formula>$BC55="YES"</formula>
    </cfRule>
  </conditionalFormatting>
  <conditionalFormatting sqref="P57:Q58">
    <cfRule type="expression" dxfId="3591" priority="3911">
      <formula>$BC57="YES"</formula>
    </cfRule>
  </conditionalFormatting>
  <conditionalFormatting sqref="P59:Q60">
    <cfRule type="expression" dxfId="3590" priority="3910">
      <formula>$BC59="YES"</formula>
    </cfRule>
  </conditionalFormatting>
  <conditionalFormatting sqref="P61:Q62">
    <cfRule type="expression" dxfId="3589" priority="3909">
      <formula>$BC61="YES"</formula>
    </cfRule>
  </conditionalFormatting>
  <conditionalFormatting sqref="P63:Q64">
    <cfRule type="expression" dxfId="3588" priority="3908">
      <formula>$BC63="YES"</formula>
    </cfRule>
  </conditionalFormatting>
  <conditionalFormatting sqref="P65:Q66">
    <cfRule type="expression" dxfId="3587" priority="3907">
      <formula>$BC65="YES"</formula>
    </cfRule>
  </conditionalFormatting>
  <conditionalFormatting sqref="P67:Q68">
    <cfRule type="expression" dxfId="3586" priority="3906">
      <formula>$BC67="YES"</formula>
    </cfRule>
  </conditionalFormatting>
  <conditionalFormatting sqref="P69:Q70">
    <cfRule type="expression" dxfId="3585" priority="3905">
      <formula>$BC69="YES"</formula>
    </cfRule>
  </conditionalFormatting>
  <conditionalFormatting sqref="P71:Q72">
    <cfRule type="expression" dxfId="3584" priority="3904">
      <formula>$BC71="YES"</formula>
    </cfRule>
  </conditionalFormatting>
  <conditionalFormatting sqref="P73:Q74">
    <cfRule type="expression" dxfId="3583" priority="3903">
      <formula>$BC73="YES"</formula>
    </cfRule>
  </conditionalFormatting>
  <conditionalFormatting sqref="P75:Q76">
    <cfRule type="expression" dxfId="3582" priority="3902">
      <formula>$BC75="YES"</formula>
    </cfRule>
  </conditionalFormatting>
  <conditionalFormatting sqref="P77:Q78">
    <cfRule type="expression" dxfId="3581" priority="3901">
      <formula>$BC77="YES"</formula>
    </cfRule>
  </conditionalFormatting>
  <conditionalFormatting sqref="P79:Q80">
    <cfRule type="expression" dxfId="3580" priority="3900">
      <formula>$BC79="YES"</formula>
    </cfRule>
  </conditionalFormatting>
  <conditionalFormatting sqref="P81:Q82">
    <cfRule type="expression" dxfId="3579" priority="3899">
      <formula>$BC81="YES"</formula>
    </cfRule>
  </conditionalFormatting>
  <conditionalFormatting sqref="P83:Q84">
    <cfRule type="expression" dxfId="3578" priority="3898">
      <formula>$BC83="YES"</formula>
    </cfRule>
  </conditionalFormatting>
  <conditionalFormatting sqref="P85:Q86">
    <cfRule type="expression" dxfId="3577" priority="3897">
      <formula>$BC85="YES"</formula>
    </cfRule>
  </conditionalFormatting>
  <conditionalFormatting sqref="P87:Q88">
    <cfRule type="expression" dxfId="3576" priority="3896">
      <formula>$BC87="YES"</formula>
    </cfRule>
  </conditionalFormatting>
  <conditionalFormatting sqref="P89:Q90">
    <cfRule type="expression" dxfId="3575" priority="3895">
      <formula>$BC89="YES"</formula>
    </cfRule>
  </conditionalFormatting>
  <conditionalFormatting sqref="P91:Q92">
    <cfRule type="expression" dxfId="3574" priority="3894">
      <formula>$BC91="YES"</formula>
    </cfRule>
  </conditionalFormatting>
  <conditionalFormatting sqref="P93:Q94">
    <cfRule type="expression" dxfId="3573" priority="3893">
      <formula>$BC93="YES"</formula>
    </cfRule>
  </conditionalFormatting>
  <conditionalFormatting sqref="P95:Q96">
    <cfRule type="expression" dxfId="3572" priority="3892">
      <formula>$BC95="YES"</formula>
    </cfRule>
  </conditionalFormatting>
  <conditionalFormatting sqref="P97:Q98">
    <cfRule type="expression" dxfId="3571" priority="3891">
      <formula>$BC97="YES"</formula>
    </cfRule>
  </conditionalFormatting>
  <conditionalFormatting sqref="P99:Q100">
    <cfRule type="expression" dxfId="3570" priority="3890">
      <formula>$BC99="YES"</formula>
    </cfRule>
  </conditionalFormatting>
  <conditionalFormatting sqref="P101:Q102">
    <cfRule type="expression" dxfId="3569" priority="3889">
      <formula>$BC101="YES"</formula>
    </cfRule>
  </conditionalFormatting>
  <conditionalFormatting sqref="P103:Q104">
    <cfRule type="expression" dxfId="3568" priority="3888">
      <formula>$BC103="YES"</formula>
    </cfRule>
  </conditionalFormatting>
  <conditionalFormatting sqref="P105:Q106">
    <cfRule type="expression" dxfId="3567" priority="3887">
      <formula>$BC105="YES"</formula>
    </cfRule>
  </conditionalFormatting>
  <conditionalFormatting sqref="P107:Q108">
    <cfRule type="expression" dxfId="3566" priority="3886">
      <formula>$BC107="YES"</formula>
    </cfRule>
  </conditionalFormatting>
  <conditionalFormatting sqref="P109:Q110">
    <cfRule type="expression" dxfId="3565" priority="3885">
      <formula>$BC109="YES"</formula>
    </cfRule>
  </conditionalFormatting>
  <conditionalFormatting sqref="P111:Q112">
    <cfRule type="expression" dxfId="3564" priority="3884">
      <formula>$BC111="YES"</formula>
    </cfRule>
  </conditionalFormatting>
  <conditionalFormatting sqref="P113:Q114">
    <cfRule type="expression" dxfId="3563" priority="3883">
      <formula>$BC113="YES"</formula>
    </cfRule>
  </conditionalFormatting>
  <conditionalFormatting sqref="P115:Q116">
    <cfRule type="expression" dxfId="3562" priority="3882">
      <formula>$BC115="YES"</formula>
    </cfRule>
  </conditionalFormatting>
  <conditionalFormatting sqref="P117:Q118">
    <cfRule type="expression" dxfId="3561" priority="3881">
      <formula>$BC117="YES"</formula>
    </cfRule>
  </conditionalFormatting>
  <conditionalFormatting sqref="P119:Q120">
    <cfRule type="expression" dxfId="3560" priority="3880">
      <formula>$BC119="YES"</formula>
    </cfRule>
  </conditionalFormatting>
  <conditionalFormatting sqref="P121:Q122">
    <cfRule type="expression" dxfId="3559" priority="3879">
      <formula>$BC121="YES"</formula>
    </cfRule>
  </conditionalFormatting>
  <conditionalFormatting sqref="P123:Q124">
    <cfRule type="expression" dxfId="3558" priority="3878">
      <formula>$BC123="YES"</formula>
    </cfRule>
  </conditionalFormatting>
  <conditionalFormatting sqref="P125:Q126">
    <cfRule type="expression" dxfId="3557" priority="3877">
      <formula>$BC125="YES"</formula>
    </cfRule>
  </conditionalFormatting>
  <conditionalFormatting sqref="P127:Q128">
    <cfRule type="expression" dxfId="3556" priority="3876">
      <formula>$BC127="YES"</formula>
    </cfRule>
  </conditionalFormatting>
  <conditionalFormatting sqref="P129:Q130">
    <cfRule type="expression" dxfId="3555" priority="3875">
      <formula>$BC129="YES"</formula>
    </cfRule>
  </conditionalFormatting>
  <conditionalFormatting sqref="P131:Q132">
    <cfRule type="expression" dxfId="3554" priority="3874">
      <formula>$BC131="YES"</formula>
    </cfRule>
  </conditionalFormatting>
  <conditionalFormatting sqref="P133:Q134">
    <cfRule type="expression" dxfId="3553" priority="3873">
      <formula>$BC133="YES"</formula>
    </cfRule>
  </conditionalFormatting>
  <conditionalFormatting sqref="P135:Q136">
    <cfRule type="expression" dxfId="3552" priority="3872">
      <formula>$BC135="YES"</formula>
    </cfRule>
  </conditionalFormatting>
  <conditionalFormatting sqref="P137:Q138">
    <cfRule type="expression" dxfId="3551" priority="3871">
      <formula>$BC137="YES"</formula>
    </cfRule>
  </conditionalFormatting>
  <conditionalFormatting sqref="P139:Q140">
    <cfRule type="expression" dxfId="3550" priority="3870">
      <formula>$BC139="YES"</formula>
    </cfRule>
  </conditionalFormatting>
  <conditionalFormatting sqref="P141:Q142">
    <cfRule type="expression" dxfId="3549" priority="3869">
      <formula>$BC141="YES"</formula>
    </cfRule>
  </conditionalFormatting>
  <conditionalFormatting sqref="P143:Q144">
    <cfRule type="expression" dxfId="3548" priority="3868">
      <formula>$BC143="YES"</formula>
    </cfRule>
  </conditionalFormatting>
  <conditionalFormatting sqref="P145:Q146">
    <cfRule type="expression" dxfId="3547" priority="3867">
      <formula>$BC145="YES"</formula>
    </cfRule>
  </conditionalFormatting>
  <conditionalFormatting sqref="P147:Q148">
    <cfRule type="expression" dxfId="3546" priority="3866">
      <formula>$BC147="YES"</formula>
    </cfRule>
  </conditionalFormatting>
  <conditionalFormatting sqref="P149:Q150">
    <cfRule type="expression" dxfId="3545" priority="3865">
      <formula>$BC149="YES"</formula>
    </cfRule>
  </conditionalFormatting>
  <conditionalFormatting sqref="P151:Q152">
    <cfRule type="expression" dxfId="3544" priority="3864">
      <formula>$BC151="YES"</formula>
    </cfRule>
  </conditionalFormatting>
  <conditionalFormatting sqref="P153:Q154">
    <cfRule type="expression" dxfId="3543" priority="3863">
      <formula>$BC153="YES"</formula>
    </cfRule>
  </conditionalFormatting>
  <conditionalFormatting sqref="P155:Q156">
    <cfRule type="expression" dxfId="3542" priority="3862">
      <formula>$BC155="YES"</formula>
    </cfRule>
  </conditionalFormatting>
  <conditionalFormatting sqref="P157:Q158">
    <cfRule type="expression" dxfId="3541" priority="3861">
      <formula>$BC157="YES"</formula>
    </cfRule>
  </conditionalFormatting>
  <conditionalFormatting sqref="P159:Q160">
    <cfRule type="expression" dxfId="3540" priority="3860">
      <formula>$BC159="YES"</formula>
    </cfRule>
  </conditionalFormatting>
  <conditionalFormatting sqref="P161:Q162">
    <cfRule type="expression" dxfId="3539" priority="3859">
      <formula>$BC161="YES"</formula>
    </cfRule>
  </conditionalFormatting>
  <conditionalFormatting sqref="P163:Q164">
    <cfRule type="expression" dxfId="3538" priority="3858">
      <formula>$BC163="YES"</formula>
    </cfRule>
  </conditionalFormatting>
  <conditionalFormatting sqref="P165:Q166">
    <cfRule type="expression" dxfId="3537" priority="3857">
      <formula>$BC165="YES"</formula>
    </cfRule>
  </conditionalFormatting>
  <conditionalFormatting sqref="P167:Q168">
    <cfRule type="expression" dxfId="3536" priority="3856">
      <formula>$BC167="YES"</formula>
    </cfRule>
  </conditionalFormatting>
  <conditionalFormatting sqref="P169:Q170">
    <cfRule type="expression" dxfId="3535" priority="3855">
      <formula>$BC169="YES"</formula>
    </cfRule>
  </conditionalFormatting>
  <conditionalFormatting sqref="P171:Q172">
    <cfRule type="expression" dxfId="3534" priority="3854">
      <formula>$BC171="YES"</formula>
    </cfRule>
  </conditionalFormatting>
  <conditionalFormatting sqref="P173:Q174">
    <cfRule type="expression" dxfId="3533" priority="3853">
      <formula>$BC173="YES"</formula>
    </cfRule>
  </conditionalFormatting>
  <conditionalFormatting sqref="P175:Q176">
    <cfRule type="expression" dxfId="3532" priority="3852">
      <formula>$BC175="YES"</formula>
    </cfRule>
  </conditionalFormatting>
  <conditionalFormatting sqref="P177:Q178">
    <cfRule type="expression" dxfId="3531" priority="3851">
      <formula>$BC177="YES"</formula>
    </cfRule>
  </conditionalFormatting>
  <conditionalFormatting sqref="P179:Q180">
    <cfRule type="expression" dxfId="3530" priority="3850">
      <formula>$BC179="YES"</formula>
    </cfRule>
  </conditionalFormatting>
  <conditionalFormatting sqref="P181:Q182">
    <cfRule type="expression" dxfId="3529" priority="3849">
      <formula>$BC181="YES"</formula>
    </cfRule>
  </conditionalFormatting>
  <conditionalFormatting sqref="P183:Q184">
    <cfRule type="expression" dxfId="3528" priority="3848">
      <formula>$BC183="YES"</formula>
    </cfRule>
  </conditionalFormatting>
  <conditionalFormatting sqref="P185:Q186">
    <cfRule type="expression" dxfId="3527" priority="3847">
      <formula>$BC185="YES"</formula>
    </cfRule>
  </conditionalFormatting>
  <conditionalFormatting sqref="P187:Q188">
    <cfRule type="expression" dxfId="3526" priority="3846">
      <formula>$BC187="YES"</formula>
    </cfRule>
  </conditionalFormatting>
  <conditionalFormatting sqref="P189:Q190">
    <cfRule type="expression" dxfId="3525" priority="3845">
      <formula>$BC189="YES"</formula>
    </cfRule>
  </conditionalFormatting>
  <conditionalFormatting sqref="P191:Q192">
    <cfRule type="expression" dxfId="3524" priority="3844">
      <formula>$BC191="YES"</formula>
    </cfRule>
  </conditionalFormatting>
  <conditionalFormatting sqref="P193:Q194">
    <cfRule type="expression" dxfId="3523" priority="3843">
      <formula>$BC193="YES"</formula>
    </cfRule>
  </conditionalFormatting>
  <conditionalFormatting sqref="P195:Q196">
    <cfRule type="expression" dxfId="3522" priority="3842">
      <formula>$BC195="YES"</formula>
    </cfRule>
  </conditionalFormatting>
  <conditionalFormatting sqref="P197:Q198">
    <cfRule type="expression" dxfId="3521" priority="3841">
      <formula>$BC197="YES"</formula>
    </cfRule>
  </conditionalFormatting>
  <conditionalFormatting sqref="P199:Q200">
    <cfRule type="expression" dxfId="3520" priority="3840">
      <formula>$BC199="YES"</formula>
    </cfRule>
  </conditionalFormatting>
  <conditionalFormatting sqref="P201:Q202">
    <cfRule type="expression" dxfId="3519" priority="3839">
      <formula>$BC201="YES"</formula>
    </cfRule>
  </conditionalFormatting>
  <conditionalFormatting sqref="P203:Q204">
    <cfRule type="expression" dxfId="3518" priority="3838">
      <formula>$BC203="YES"</formula>
    </cfRule>
  </conditionalFormatting>
  <conditionalFormatting sqref="P205:Q206">
    <cfRule type="expression" dxfId="3517" priority="3837">
      <formula>$BC205="YES"</formula>
    </cfRule>
  </conditionalFormatting>
  <conditionalFormatting sqref="P207:Q208">
    <cfRule type="expression" dxfId="3516" priority="3836">
      <formula>$BC207="YES"</formula>
    </cfRule>
  </conditionalFormatting>
  <conditionalFormatting sqref="P209:Q210">
    <cfRule type="expression" dxfId="3515" priority="3835">
      <formula>$BC209="YES"</formula>
    </cfRule>
  </conditionalFormatting>
  <conditionalFormatting sqref="P211:Q212">
    <cfRule type="expression" dxfId="3514" priority="3834">
      <formula>$BC211="YES"</formula>
    </cfRule>
  </conditionalFormatting>
  <conditionalFormatting sqref="P213:Q214">
    <cfRule type="expression" dxfId="3513" priority="3833">
      <formula>$BC213="YES"</formula>
    </cfRule>
  </conditionalFormatting>
  <conditionalFormatting sqref="P215:Q216">
    <cfRule type="expression" dxfId="3512" priority="3832">
      <formula>$BC215="YES"</formula>
    </cfRule>
  </conditionalFormatting>
  <conditionalFormatting sqref="P217:Q218">
    <cfRule type="expression" dxfId="3511" priority="3831">
      <formula>$BC217="YES"</formula>
    </cfRule>
  </conditionalFormatting>
  <conditionalFormatting sqref="P219:Q220">
    <cfRule type="expression" dxfId="3510" priority="3830">
      <formula>$BC219="YES"</formula>
    </cfRule>
  </conditionalFormatting>
  <conditionalFormatting sqref="P221:Q222">
    <cfRule type="expression" dxfId="3509" priority="3829">
      <formula>$BC221="YES"</formula>
    </cfRule>
  </conditionalFormatting>
  <conditionalFormatting sqref="P223:Q224">
    <cfRule type="expression" dxfId="3508" priority="3828">
      <formula>$BC223="YES"</formula>
    </cfRule>
  </conditionalFormatting>
  <conditionalFormatting sqref="P225:Q226">
    <cfRule type="expression" dxfId="3507" priority="3827">
      <formula>$BC225="YES"</formula>
    </cfRule>
  </conditionalFormatting>
  <conditionalFormatting sqref="P227:Q228">
    <cfRule type="expression" dxfId="3506" priority="3826">
      <formula>$BC227="YES"</formula>
    </cfRule>
  </conditionalFormatting>
  <conditionalFormatting sqref="P229:Q230">
    <cfRule type="expression" dxfId="3505" priority="3825">
      <formula>$BC229="YES"</formula>
    </cfRule>
  </conditionalFormatting>
  <conditionalFormatting sqref="P231:Q232">
    <cfRule type="expression" dxfId="3504" priority="3824">
      <formula>$BC231="YES"</formula>
    </cfRule>
  </conditionalFormatting>
  <conditionalFormatting sqref="P233:Q234">
    <cfRule type="expression" dxfId="3503" priority="3823">
      <formula>$BC233="YES"</formula>
    </cfRule>
  </conditionalFormatting>
  <conditionalFormatting sqref="P235:Q236">
    <cfRule type="expression" dxfId="3502" priority="3822">
      <formula>$BC235="YES"</formula>
    </cfRule>
  </conditionalFormatting>
  <conditionalFormatting sqref="P237:Q238">
    <cfRule type="expression" dxfId="3501" priority="3821">
      <formula>$BC237="YES"</formula>
    </cfRule>
  </conditionalFormatting>
  <conditionalFormatting sqref="P239:Q240">
    <cfRule type="expression" dxfId="3500" priority="3820">
      <formula>$BC239="YES"</formula>
    </cfRule>
  </conditionalFormatting>
  <conditionalFormatting sqref="P241:Q242">
    <cfRule type="expression" dxfId="3499" priority="3819">
      <formula>$BC241="YES"</formula>
    </cfRule>
  </conditionalFormatting>
  <conditionalFormatting sqref="P243:Q244">
    <cfRule type="expression" dxfId="3498" priority="3818">
      <formula>$BC243="YES"</formula>
    </cfRule>
  </conditionalFormatting>
  <conditionalFormatting sqref="P245:Q246">
    <cfRule type="expression" dxfId="3497" priority="3817">
      <formula>$BC245="YES"</formula>
    </cfRule>
  </conditionalFormatting>
  <conditionalFormatting sqref="P247:Q248">
    <cfRule type="expression" dxfId="3496" priority="3816">
      <formula>$BC247="YES"</formula>
    </cfRule>
  </conditionalFormatting>
  <conditionalFormatting sqref="P249:Q250">
    <cfRule type="expression" dxfId="3495" priority="3815">
      <formula>$BC249="YES"</formula>
    </cfRule>
  </conditionalFormatting>
  <conditionalFormatting sqref="P251:Q252">
    <cfRule type="expression" dxfId="3494" priority="3814">
      <formula>$BC251="YES"</formula>
    </cfRule>
  </conditionalFormatting>
  <conditionalFormatting sqref="P253:Q254">
    <cfRule type="expression" dxfId="3493" priority="3813">
      <formula>$BC253="YES"</formula>
    </cfRule>
  </conditionalFormatting>
  <conditionalFormatting sqref="P255:Q256">
    <cfRule type="expression" dxfId="3492" priority="3812">
      <formula>$BC255="YES"</formula>
    </cfRule>
  </conditionalFormatting>
  <conditionalFormatting sqref="P257:Q258">
    <cfRule type="expression" dxfId="3491" priority="3811">
      <formula>$BC257="YES"</formula>
    </cfRule>
  </conditionalFormatting>
  <conditionalFormatting sqref="P259:Q260">
    <cfRule type="expression" dxfId="3490" priority="3810">
      <formula>$BC259="YES"</formula>
    </cfRule>
  </conditionalFormatting>
  <conditionalFormatting sqref="P261:Q262">
    <cfRule type="expression" dxfId="3489" priority="3809">
      <formula>$BC261="YES"</formula>
    </cfRule>
  </conditionalFormatting>
  <conditionalFormatting sqref="P263:Q264">
    <cfRule type="expression" dxfId="3488" priority="3808">
      <formula>$BC263="YES"</formula>
    </cfRule>
  </conditionalFormatting>
  <conditionalFormatting sqref="P265:Q266">
    <cfRule type="expression" dxfId="3487" priority="3807">
      <formula>$BC265="YES"</formula>
    </cfRule>
  </conditionalFormatting>
  <conditionalFormatting sqref="P267:Q268">
    <cfRule type="expression" dxfId="3486" priority="3806">
      <formula>$BC267="YES"</formula>
    </cfRule>
  </conditionalFormatting>
  <conditionalFormatting sqref="P269:Q270">
    <cfRule type="expression" dxfId="3485" priority="3805">
      <formula>$BC269="YES"</formula>
    </cfRule>
  </conditionalFormatting>
  <conditionalFormatting sqref="P271:Q272">
    <cfRule type="expression" dxfId="3484" priority="3804">
      <formula>$BC271="YES"</formula>
    </cfRule>
  </conditionalFormatting>
  <conditionalFormatting sqref="P273:Q274">
    <cfRule type="expression" dxfId="3483" priority="3803">
      <formula>$BC273="YES"</formula>
    </cfRule>
  </conditionalFormatting>
  <conditionalFormatting sqref="P275:Q276">
    <cfRule type="expression" dxfId="3482" priority="3802">
      <formula>$BC275="YES"</formula>
    </cfRule>
  </conditionalFormatting>
  <conditionalFormatting sqref="P277:Q278">
    <cfRule type="expression" dxfId="3481" priority="3801">
      <formula>$BC277="YES"</formula>
    </cfRule>
  </conditionalFormatting>
  <conditionalFormatting sqref="P279:Q280">
    <cfRule type="expression" dxfId="3480" priority="3800">
      <formula>$BC279="YES"</formula>
    </cfRule>
  </conditionalFormatting>
  <conditionalFormatting sqref="P281:Q282">
    <cfRule type="expression" dxfId="3479" priority="3799">
      <formula>$BC281="YES"</formula>
    </cfRule>
  </conditionalFormatting>
  <conditionalFormatting sqref="P283:Q284">
    <cfRule type="expression" dxfId="3478" priority="3798">
      <formula>$BC283="YES"</formula>
    </cfRule>
  </conditionalFormatting>
  <conditionalFormatting sqref="P285:Q286">
    <cfRule type="expression" dxfId="3477" priority="3797">
      <formula>$BC285="YES"</formula>
    </cfRule>
  </conditionalFormatting>
  <conditionalFormatting sqref="P287:Q288">
    <cfRule type="expression" dxfId="3476" priority="3796">
      <formula>$BC287="YES"</formula>
    </cfRule>
  </conditionalFormatting>
  <conditionalFormatting sqref="P289:Q290">
    <cfRule type="expression" dxfId="3475" priority="3795">
      <formula>$BC289="YES"</formula>
    </cfRule>
  </conditionalFormatting>
  <conditionalFormatting sqref="P291:Q292">
    <cfRule type="expression" dxfId="3474" priority="3794">
      <formula>$BC291="YES"</formula>
    </cfRule>
  </conditionalFormatting>
  <conditionalFormatting sqref="P293:Q294">
    <cfRule type="expression" dxfId="3473" priority="3793">
      <formula>$BC293="YES"</formula>
    </cfRule>
  </conditionalFormatting>
  <conditionalFormatting sqref="P295:Q296">
    <cfRule type="expression" dxfId="3472" priority="3792">
      <formula>$BC295="YES"</formula>
    </cfRule>
  </conditionalFormatting>
  <conditionalFormatting sqref="P297:Q298">
    <cfRule type="expression" dxfId="3471" priority="3791">
      <formula>$BC297="YES"</formula>
    </cfRule>
  </conditionalFormatting>
  <conditionalFormatting sqref="P299:Q300">
    <cfRule type="expression" dxfId="3470" priority="3790">
      <formula>$BC299="YES"</formula>
    </cfRule>
  </conditionalFormatting>
  <conditionalFormatting sqref="P301:Q302">
    <cfRule type="expression" dxfId="3469" priority="3789">
      <formula>$BC301="YES"</formula>
    </cfRule>
  </conditionalFormatting>
  <conditionalFormatting sqref="P303:Q304">
    <cfRule type="expression" dxfId="3468" priority="3788">
      <formula>$BC303="YES"</formula>
    </cfRule>
  </conditionalFormatting>
  <conditionalFormatting sqref="P305:Q306">
    <cfRule type="expression" dxfId="3467" priority="3787">
      <formula>$BC305="YES"</formula>
    </cfRule>
  </conditionalFormatting>
  <conditionalFormatting sqref="P307:Q308">
    <cfRule type="expression" dxfId="3466" priority="3786">
      <formula>$BC307="YES"</formula>
    </cfRule>
  </conditionalFormatting>
  <conditionalFormatting sqref="P309:Q310">
    <cfRule type="expression" dxfId="3465" priority="3785">
      <formula>$BC309="YES"</formula>
    </cfRule>
  </conditionalFormatting>
  <conditionalFormatting sqref="P311:Q312">
    <cfRule type="expression" dxfId="3464" priority="3784">
      <formula>$BC311="YES"</formula>
    </cfRule>
  </conditionalFormatting>
  <conditionalFormatting sqref="P313:Q314">
    <cfRule type="expression" dxfId="3463" priority="3783">
      <formula>$BC313="YES"</formula>
    </cfRule>
  </conditionalFormatting>
  <conditionalFormatting sqref="P315:Q316">
    <cfRule type="expression" dxfId="3462" priority="3782">
      <formula>$BC315="YES"</formula>
    </cfRule>
  </conditionalFormatting>
  <conditionalFormatting sqref="P317:Q318">
    <cfRule type="expression" dxfId="3461" priority="3781">
      <formula>$BC317="YES"</formula>
    </cfRule>
  </conditionalFormatting>
  <conditionalFormatting sqref="P319:Q320">
    <cfRule type="expression" dxfId="3460" priority="3780">
      <formula>$BC319="YES"</formula>
    </cfRule>
  </conditionalFormatting>
  <conditionalFormatting sqref="P321:Q322">
    <cfRule type="expression" dxfId="3459" priority="3779">
      <formula>$BC321="YES"</formula>
    </cfRule>
  </conditionalFormatting>
  <conditionalFormatting sqref="P323:Q324">
    <cfRule type="expression" dxfId="3458" priority="3778">
      <formula>$BC323="YES"</formula>
    </cfRule>
  </conditionalFormatting>
  <conditionalFormatting sqref="P325:Q326">
    <cfRule type="expression" dxfId="3457" priority="3777">
      <formula>$BC325="YES"</formula>
    </cfRule>
  </conditionalFormatting>
  <conditionalFormatting sqref="P327:Q328">
    <cfRule type="expression" dxfId="3456" priority="3776">
      <formula>$BC327="YES"</formula>
    </cfRule>
  </conditionalFormatting>
  <conditionalFormatting sqref="P329:Q330">
    <cfRule type="expression" dxfId="3455" priority="3775">
      <formula>$BC329="YES"</formula>
    </cfRule>
  </conditionalFormatting>
  <conditionalFormatting sqref="P331:Q332">
    <cfRule type="expression" dxfId="3454" priority="3774">
      <formula>$BC331="YES"</formula>
    </cfRule>
  </conditionalFormatting>
  <conditionalFormatting sqref="P333:Q334">
    <cfRule type="expression" dxfId="3453" priority="3773">
      <formula>$BC333="YES"</formula>
    </cfRule>
  </conditionalFormatting>
  <conditionalFormatting sqref="P335:Q336">
    <cfRule type="expression" dxfId="3452" priority="3772">
      <formula>$BC335="YES"</formula>
    </cfRule>
  </conditionalFormatting>
  <conditionalFormatting sqref="P337:Q338">
    <cfRule type="expression" dxfId="3451" priority="3771">
      <formula>$BC337="YES"</formula>
    </cfRule>
  </conditionalFormatting>
  <conditionalFormatting sqref="P339:Q340">
    <cfRule type="expression" dxfId="3450" priority="3770">
      <formula>$BC339="YES"</formula>
    </cfRule>
  </conditionalFormatting>
  <conditionalFormatting sqref="P341:Q342">
    <cfRule type="expression" dxfId="3449" priority="3769">
      <formula>$BC341="YES"</formula>
    </cfRule>
  </conditionalFormatting>
  <conditionalFormatting sqref="P343:Q344">
    <cfRule type="expression" dxfId="3448" priority="3768">
      <formula>$BC343="YES"</formula>
    </cfRule>
  </conditionalFormatting>
  <conditionalFormatting sqref="P345:Q346">
    <cfRule type="expression" dxfId="3447" priority="3767">
      <formula>$BC345="YES"</formula>
    </cfRule>
  </conditionalFormatting>
  <conditionalFormatting sqref="P347:Q348">
    <cfRule type="expression" dxfId="3446" priority="3766">
      <formula>$BC347="YES"</formula>
    </cfRule>
  </conditionalFormatting>
  <conditionalFormatting sqref="P349:Q350">
    <cfRule type="expression" dxfId="3445" priority="3765">
      <formula>$BC349="YES"</formula>
    </cfRule>
  </conditionalFormatting>
  <conditionalFormatting sqref="P351:Q352">
    <cfRule type="expression" dxfId="3444" priority="3764">
      <formula>$BC351="YES"</formula>
    </cfRule>
  </conditionalFormatting>
  <conditionalFormatting sqref="P353:Q354">
    <cfRule type="expression" dxfId="3443" priority="3763">
      <formula>$BC353="YES"</formula>
    </cfRule>
  </conditionalFormatting>
  <conditionalFormatting sqref="P355:Q356">
    <cfRule type="expression" dxfId="3442" priority="3762">
      <formula>$BC355="YES"</formula>
    </cfRule>
  </conditionalFormatting>
  <conditionalFormatting sqref="P357:Q358">
    <cfRule type="expression" dxfId="3441" priority="3761">
      <formula>$BC357="YES"</formula>
    </cfRule>
  </conditionalFormatting>
  <conditionalFormatting sqref="P359:Q360">
    <cfRule type="expression" dxfId="3440" priority="3760">
      <formula>$BC359="YES"</formula>
    </cfRule>
  </conditionalFormatting>
  <conditionalFormatting sqref="P361:Q362">
    <cfRule type="expression" dxfId="3439" priority="3759">
      <formula>$BC361="YES"</formula>
    </cfRule>
  </conditionalFormatting>
  <conditionalFormatting sqref="P363:Q364">
    <cfRule type="expression" dxfId="3438" priority="3758">
      <formula>$BC363="YES"</formula>
    </cfRule>
  </conditionalFormatting>
  <conditionalFormatting sqref="P365:Q366">
    <cfRule type="expression" dxfId="3437" priority="3757">
      <formula>$BC365="YES"</formula>
    </cfRule>
  </conditionalFormatting>
  <conditionalFormatting sqref="P367:Q368">
    <cfRule type="expression" dxfId="3436" priority="3756">
      <formula>$BC367="YES"</formula>
    </cfRule>
  </conditionalFormatting>
  <conditionalFormatting sqref="P369:Q370">
    <cfRule type="expression" dxfId="3435" priority="3755">
      <formula>$BC369="YES"</formula>
    </cfRule>
  </conditionalFormatting>
  <conditionalFormatting sqref="P371:Q372">
    <cfRule type="expression" dxfId="3434" priority="3754">
      <formula>$BC371="YES"</formula>
    </cfRule>
  </conditionalFormatting>
  <conditionalFormatting sqref="P373:Q374">
    <cfRule type="expression" dxfId="3433" priority="3753">
      <formula>$BC373="YES"</formula>
    </cfRule>
  </conditionalFormatting>
  <conditionalFormatting sqref="P375:Q376">
    <cfRule type="expression" dxfId="3432" priority="3752">
      <formula>$BC375="YES"</formula>
    </cfRule>
  </conditionalFormatting>
  <conditionalFormatting sqref="P377:Q378">
    <cfRule type="expression" dxfId="3431" priority="3751">
      <formula>$BC377="YES"</formula>
    </cfRule>
  </conditionalFormatting>
  <conditionalFormatting sqref="P379:Q380">
    <cfRule type="expression" dxfId="3430" priority="3750">
      <formula>$BC379="YES"</formula>
    </cfRule>
  </conditionalFormatting>
  <conditionalFormatting sqref="P381:Q382">
    <cfRule type="expression" dxfId="3429" priority="3749">
      <formula>$BC381="YES"</formula>
    </cfRule>
  </conditionalFormatting>
  <conditionalFormatting sqref="P383:Q384">
    <cfRule type="expression" dxfId="3428" priority="3748">
      <formula>$BC383="YES"</formula>
    </cfRule>
  </conditionalFormatting>
  <conditionalFormatting sqref="P385:Q386">
    <cfRule type="expression" dxfId="3427" priority="3747">
      <formula>$BC385="YES"</formula>
    </cfRule>
  </conditionalFormatting>
  <conditionalFormatting sqref="P387:Q388">
    <cfRule type="expression" dxfId="3426" priority="3746">
      <formula>$BC387="YES"</formula>
    </cfRule>
  </conditionalFormatting>
  <conditionalFormatting sqref="P389:Q390">
    <cfRule type="expression" dxfId="3425" priority="3745">
      <formula>$BC389="YES"</formula>
    </cfRule>
  </conditionalFormatting>
  <conditionalFormatting sqref="P391:Q392">
    <cfRule type="expression" dxfId="3424" priority="3744">
      <formula>$BC391="YES"</formula>
    </cfRule>
  </conditionalFormatting>
  <conditionalFormatting sqref="P393:Q394">
    <cfRule type="expression" dxfId="3423" priority="3743">
      <formula>$BC393="YES"</formula>
    </cfRule>
  </conditionalFormatting>
  <conditionalFormatting sqref="P395:Q396">
    <cfRule type="expression" dxfId="3422" priority="3742">
      <formula>$BC395="YES"</formula>
    </cfRule>
  </conditionalFormatting>
  <conditionalFormatting sqref="P397:Q398">
    <cfRule type="expression" dxfId="3421" priority="3741">
      <formula>$BC397="YES"</formula>
    </cfRule>
  </conditionalFormatting>
  <conditionalFormatting sqref="P399:Q400">
    <cfRule type="expression" dxfId="3420" priority="3740">
      <formula>$BC399="YES"</formula>
    </cfRule>
  </conditionalFormatting>
  <conditionalFormatting sqref="P401:Q402">
    <cfRule type="expression" dxfId="3419" priority="3739">
      <formula>$BC401="YES"</formula>
    </cfRule>
  </conditionalFormatting>
  <conditionalFormatting sqref="P403:Q404">
    <cfRule type="expression" dxfId="3418" priority="3738">
      <formula>$BC403="YES"</formula>
    </cfRule>
  </conditionalFormatting>
  <conditionalFormatting sqref="P405:Q406">
    <cfRule type="expression" dxfId="3417" priority="3737">
      <formula>$BC405="YES"</formula>
    </cfRule>
  </conditionalFormatting>
  <conditionalFormatting sqref="P407:Q408">
    <cfRule type="expression" dxfId="3416" priority="3736">
      <formula>$BC407="YES"</formula>
    </cfRule>
  </conditionalFormatting>
  <conditionalFormatting sqref="P409:Q410">
    <cfRule type="expression" dxfId="3415" priority="3735">
      <formula>$BC409="YES"</formula>
    </cfRule>
  </conditionalFormatting>
  <conditionalFormatting sqref="P411:Q412">
    <cfRule type="expression" dxfId="3414" priority="3734">
      <formula>$BC411="YES"</formula>
    </cfRule>
  </conditionalFormatting>
  <conditionalFormatting sqref="P413:Q414">
    <cfRule type="expression" dxfId="3413" priority="3733">
      <formula>$BC413="YES"</formula>
    </cfRule>
  </conditionalFormatting>
  <conditionalFormatting sqref="P415:Q416">
    <cfRule type="expression" dxfId="3412" priority="3732">
      <formula>$BC415="YES"</formula>
    </cfRule>
  </conditionalFormatting>
  <conditionalFormatting sqref="P417:Q418">
    <cfRule type="expression" dxfId="3411" priority="3731">
      <formula>$BC417="YES"</formula>
    </cfRule>
  </conditionalFormatting>
  <conditionalFormatting sqref="P419:Q420">
    <cfRule type="expression" dxfId="3410" priority="3730">
      <formula>$BC419="YES"</formula>
    </cfRule>
  </conditionalFormatting>
  <conditionalFormatting sqref="P421:Q422">
    <cfRule type="expression" dxfId="3409" priority="3729">
      <formula>$BC421="YES"</formula>
    </cfRule>
  </conditionalFormatting>
  <conditionalFormatting sqref="P423:Q424">
    <cfRule type="expression" dxfId="3408" priority="3728">
      <formula>$BC423="YES"</formula>
    </cfRule>
  </conditionalFormatting>
  <conditionalFormatting sqref="P425:Q426">
    <cfRule type="expression" dxfId="3407" priority="3727">
      <formula>$BC425="YES"</formula>
    </cfRule>
  </conditionalFormatting>
  <conditionalFormatting sqref="P427:Q428">
    <cfRule type="expression" dxfId="3406" priority="3726">
      <formula>$BC427="YES"</formula>
    </cfRule>
  </conditionalFormatting>
  <conditionalFormatting sqref="P429:Q430">
    <cfRule type="expression" dxfId="3405" priority="3725">
      <formula>$BC429="YES"</formula>
    </cfRule>
  </conditionalFormatting>
  <conditionalFormatting sqref="P431:Q432">
    <cfRule type="expression" dxfId="3404" priority="3724">
      <formula>$BC431="YES"</formula>
    </cfRule>
  </conditionalFormatting>
  <conditionalFormatting sqref="P433:Q434">
    <cfRule type="expression" dxfId="3403" priority="3723">
      <formula>$BC433="YES"</formula>
    </cfRule>
  </conditionalFormatting>
  <conditionalFormatting sqref="P435:Q436">
    <cfRule type="expression" dxfId="3402" priority="3722">
      <formula>$BC435="YES"</formula>
    </cfRule>
  </conditionalFormatting>
  <conditionalFormatting sqref="P437:Q438">
    <cfRule type="expression" dxfId="3401" priority="3721">
      <formula>$BC437="YES"</formula>
    </cfRule>
  </conditionalFormatting>
  <conditionalFormatting sqref="P439:Q440">
    <cfRule type="expression" dxfId="3400" priority="3720">
      <formula>$BC439="YES"</formula>
    </cfRule>
  </conditionalFormatting>
  <conditionalFormatting sqref="P441:Q442">
    <cfRule type="expression" dxfId="3399" priority="3719">
      <formula>$BC441="YES"</formula>
    </cfRule>
  </conditionalFormatting>
  <conditionalFormatting sqref="P443:Q444">
    <cfRule type="expression" dxfId="3398" priority="3718">
      <formula>$BC443="YES"</formula>
    </cfRule>
  </conditionalFormatting>
  <conditionalFormatting sqref="P445:Q446">
    <cfRule type="expression" dxfId="3397" priority="3717">
      <formula>$BC445="YES"</formula>
    </cfRule>
  </conditionalFormatting>
  <conditionalFormatting sqref="P447:Q448">
    <cfRule type="expression" dxfId="3396" priority="3716">
      <formula>$BC447="YES"</formula>
    </cfRule>
  </conditionalFormatting>
  <conditionalFormatting sqref="P449:Q450">
    <cfRule type="expression" dxfId="3395" priority="3715">
      <formula>$BC449="YES"</formula>
    </cfRule>
  </conditionalFormatting>
  <conditionalFormatting sqref="P451:Q452">
    <cfRule type="expression" dxfId="3394" priority="3714">
      <formula>$BC451="YES"</formula>
    </cfRule>
  </conditionalFormatting>
  <conditionalFormatting sqref="P453:Q454">
    <cfRule type="expression" dxfId="3393" priority="3713">
      <formula>$BC453="YES"</formula>
    </cfRule>
  </conditionalFormatting>
  <conditionalFormatting sqref="P455:Q456">
    <cfRule type="expression" dxfId="3392" priority="3712">
      <formula>$BC455="YES"</formula>
    </cfRule>
  </conditionalFormatting>
  <conditionalFormatting sqref="P457:Q458">
    <cfRule type="expression" dxfId="3391" priority="3711">
      <formula>$BC457="YES"</formula>
    </cfRule>
  </conditionalFormatting>
  <conditionalFormatting sqref="P459:Q460">
    <cfRule type="expression" dxfId="3390" priority="3710">
      <formula>$BC459="YES"</formula>
    </cfRule>
  </conditionalFormatting>
  <conditionalFormatting sqref="P461:Q462">
    <cfRule type="expression" dxfId="3389" priority="3709">
      <formula>$BC461="YES"</formula>
    </cfRule>
  </conditionalFormatting>
  <conditionalFormatting sqref="P463:Q464">
    <cfRule type="expression" dxfId="3388" priority="3708">
      <formula>$BC463="YES"</formula>
    </cfRule>
  </conditionalFormatting>
  <conditionalFormatting sqref="P465:Q466">
    <cfRule type="expression" dxfId="3387" priority="3707">
      <formula>$BC465="YES"</formula>
    </cfRule>
  </conditionalFormatting>
  <conditionalFormatting sqref="P467:Q468">
    <cfRule type="expression" dxfId="3386" priority="3706">
      <formula>$BC467="YES"</formula>
    </cfRule>
  </conditionalFormatting>
  <conditionalFormatting sqref="P469:Q470">
    <cfRule type="expression" dxfId="3385" priority="3705">
      <formula>$BC469="YES"</formula>
    </cfRule>
  </conditionalFormatting>
  <conditionalFormatting sqref="P471:Q472">
    <cfRule type="expression" dxfId="3384" priority="3704">
      <formula>$BC471="YES"</formula>
    </cfRule>
  </conditionalFormatting>
  <conditionalFormatting sqref="P473:Q474">
    <cfRule type="expression" dxfId="3383" priority="3703">
      <formula>$BC473="YES"</formula>
    </cfRule>
  </conditionalFormatting>
  <conditionalFormatting sqref="P475:Q476">
    <cfRule type="expression" dxfId="3382" priority="3702">
      <formula>$BC475="YES"</formula>
    </cfRule>
  </conditionalFormatting>
  <conditionalFormatting sqref="P477:Q478">
    <cfRule type="expression" dxfId="3381" priority="3701">
      <formula>$BC477="YES"</formula>
    </cfRule>
  </conditionalFormatting>
  <conditionalFormatting sqref="P479:Q480">
    <cfRule type="expression" dxfId="3380" priority="3700">
      <formula>$BC479="YES"</formula>
    </cfRule>
  </conditionalFormatting>
  <conditionalFormatting sqref="P481:Q482">
    <cfRule type="expression" dxfId="3379" priority="3699">
      <formula>$BC481="YES"</formula>
    </cfRule>
  </conditionalFormatting>
  <conditionalFormatting sqref="P483:Q484">
    <cfRule type="expression" dxfId="3378" priority="3698">
      <formula>$BC483="YES"</formula>
    </cfRule>
  </conditionalFormatting>
  <conditionalFormatting sqref="P485:Q486">
    <cfRule type="expression" dxfId="3377" priority="3697">
      <formula>$BC485="YES"</formula>
    </cfRule>
  </conditionalFormatting>
  <conditionalFormatting sqref="P487:Q488">
    <cfRule type="expression" dxfId="3376" priority="3696">
      <formula>$BC487="YES"</formula>
    </cfRule>
  </conditionalFormatting>
  <conditionalFormatting sqref="P489:Q490">
    <cfRule type="expression" dxfId="3375" priority="3695">
      <formula>$BC489="YES"</formula>
    </cfRule>
  </conditionalFormatting>
  <conditionalFormatting sqref="P491:Q492">
    <cfRule type="expression" dxfId="3374" priority="3694">
      <formula>$BC491="YES"</formula>
    </cfRule>
  </conditionalFormatting>
  <conditionalFormatting sqref="P493:Q494">
    <cfRule type="expression" dxfId="3373" priority="3693">
      <formula>$BC493="YES"</formula>
    </cfRule>
  </conditionalFormatting>
  <conditionalFormatting sqref="P495:Q496">
    <cfRule type="expression" dxfId="3372" priority="3692">
      <formula>$BC495="YES"</formula>
    </cfRule>
  </conditionalFormatting>
  <conditionalFormatting sqref="P497:Q498">
    <cfRule type="expression" dxfId="3371" priority="3691">
      <formula>$BC497="YES"</formula>
    </cfRule>
  </conditionalFormatting>
  <conditionalFormatting sqref="P499:Q500">
    <cfRule type="expression" dxfId="3370" priority="3690">
      <formula>$BC499="YES"</formula>
    </cfRule>
  </conditionalFormatting>
  <conditionalFormatting sqref="P501:Q502">
    <cfRule type="expression" dxfId="3369" priority="3689">
      <formula>$BC501="YES"</formula>
    </cfRule>
  </conditionalFormatting>
  <conditionalFormatting sqref="P503:Q504">
    <cfRule type="expression" dxfId="3368" priority="3688">
      <formula>$BC503="YES"</formula>
    </cfRule>
  </conditionalFormatting>
  <conditionalFormatting sqref="P505:Q506">
    <cfRule type="expression" dxfId="3367" priority="3687">
      <formula>$BC505="YES"</formula>
    </cfRule>
  </conditionalFormatting>
  <conditionalFormatting sqref="P507:Q508">
    <cfRule type="expression" dxfId="3366" priority="3686">
      <formula>$BC507="YES"</formula>
    </cfRule>
  </conditionalFormatting>
  <conditionalFormatting sqref="P509:Q510">
    <cfRule type="expression" dxfId="3365" priority="3685">
      <formula>$BC509="YES"</formula>
    </cfRule>
  </conditionalFormatting>
  <conditionalFormatting sqref="P511:Q512">
    <cfRule type="expression" dxfId="3364" priority="3684">
      <formula>$BC511="YES"</formula>
    </cfRule>
  </conditionalFormatting>
  <conditionalFormatting sqref="P513:Q514">
    <cfRule type="expression" dxfId="3363" priority="3683">
      <formula>$BC513="YES"</formula>
    </cfRule>
  </conditionalFormatting>
  <conditionalFormatting sqref="P515:Q516">
    <cfRule type="expression" dxfId="3362" priority="3682">
      <formula>$BC515="YES"</formula>
    </cfRule>
  </conditionalFormatting>
  <conditionalFormatting sqref="P517:Q518">
    <cfRule type="expression" dxfId="3361" priority="3681">
      <formula>$BC517="YES"</formula>
    </cfRule>
  </conditionalFormatting>
  <conditionalFormatting sqref="P519:Q520">
    <cfRule type="expression" dxfId="3360" priority="3680">
      <formula>$BC519="YES"</formula>
    </cfRule>
  </conditionalFormatting>
  <conditionalFormatting sqref="P521:Q522">
    <cfRule type="expression" dxfId="3359" priority="3679">
      <formula>$BC521="YES"</formula>
    </cfRule>
  </conditionalFormatting>
  <conditionalFormatting sqref="P523:Q524">
    <cfRule type="expression" dxfId="3358" priority="3678">
      <formula>$BC523="YES"</formula>
    </cfRule>
  </conditionalFormatting>
  <conditionalFormatting sqref="R35:S38">
    <cfRule type="expression" dxfId="3357" priority="3677">
      <formula>$BC35="YES"</formula>
    </cfRule>
  </conditionalFormatting>
  <conditionalFormatting sqref="R51:S54">
    <cfRule type="expression" dxfId="3356" priority="3676">
      <formula>$BC51="YES"</formula>
    </cfRule>
  </conditionalFormatting>
  <conditionalFormatting sqref="R39:S42">
    <cfRule type="expression" dxfId="3355" priority="3675">
      <formula>$BC39="YES"</formula>
    </cfRule>
  </conditionalFormatting>
  <conditionalFormatting sqref="R43:S46">
    <cfRule type="expression" dxfId="3354" priority="3674">
      <formula>$BC43="YES"</formula>
    </cfRule>
  </conditionalFormatting>
  <conditionalFormatting sqref="R47:S50">
    <cfRule type="expression" dxfId="3353" priority="3673">
      <formula>$BC47="YES"</formula>
    </cfRule>
  </conditionalFormatting>
  <conditionalFormatting sqref="R55:S58">
    <cfRule type="expression" dxfId="3352" priority="3672">
      <formula>$BC55="YES"</formula>
    </cfRule>
  </conditionalFormatting>
  <conditionalFormatting sqref="R71:S74">
    <cfRule type="expression" dxfId="3351" priority="3671">
      <formula>$BC71="YES"</formula>
    </cfRule>
  </conditionalFormatting>
  <conditionalFormatting sqref="R59:S62">
    <cfRule type="expression" dxfId="3350" priority="3670">
      <formula>$BC59="YES"</formula>
    </cfRule>
  </conditionalFormatting>
  <conditionalFormatting sqref="R63:S66">
    <cfRule type="expression" dxfId="3349" priority="3669">
      <formula>$BC63="YES"</formula>
    </cfRule>
  </conditionalFormatting>
  <conditionalFormatting sqref="R67:S70">
    <cfRule type="expression" dxfId="3348" priority="3668">
      <formula>$BC67="YES"</formula>
    </cfRule>
  </conditionalFormatting>
  <conditionalFormatting sqref="R75:S78">
    <cfRule type="expression" dxfId="3347" priority="3667">
      <formula>$BC75="YES"</formula>
    </cfRule>
  </conditionalFormatting>
  <conditionalFormatting sqref="R91:S94">
    <cfRule type="expression" dxfId="3346" priority="3666">
      <formula>$BC91="YES"</formula>
    </cfRule>
  </conditionalFormatting>
  <conditionalFormatting sqref="R79:S82">
    <cfRule type="expression" dxfId="3345" priority="3665">
      <formula>$BC79="YES"</formula>
    </cfRule>
  </conditionalFormatting>
  <conditionalFormatting sqref="R83:S86">
    <cfRule type="expression" dxfId="3344" priority="3664">
      <formula>$BC83="YES"</formula>
    </cfRule>
  </conditionalFormatting>
  <conditionalFormatting sqref="R87:S90">
    <cfRule type="expression" dxfId="3343" priority="3663">
      <formula>$BC87="YES"</formula>
    </cfRule>
  </conditionalFormatting>
  <conditionalFormatting sqref="R95:S98">
    <cfRule type="expression" dxfId="3342" priority="3662">
      <formula>$BC95="YES"</formula>
    </cfRule>
  </conditionalFormatting>
  <conditionalFormatting sqref="R111:S114">
    <cfRule type="expression" dxfId="3341" priority="3661">
      <formula>$BC111="YES"</formula>
    </cfRule>
  </conditionalFormatting>
  <conditionalFormatting sqref="R99:S102">
    <cfRule type="expression" dxfId="3340" priority="3660">
      <formula>$BC99="YES"</formula>
    </cfRule>
  </conditionalFormatting>
  <conditionalFormatting sqref="R103:S106">
    <cfRule type="expression" dxfId="3339" priority="3659">
      <formula>$BC103="YES"</formula>
    </cfRule>
  </conditionalFormatting>
  <conditionalFormatting sqref="R107:S110">
    <cfRule type="expression" dxfId="3338" priority="3658">
      <formula>$BC107="YES"</formula>
    </cfRule>
  </conditionalFormatting>
  <conditionalFormatting sqref="R115:S118">
    <cfRule type="expression" dxfId="3337" priority="3657">
      <formula>$BC115="YES"</formula>
    </cfRule>
  </conditionalFormatting>
  <conditionalFormatting sqref="R131:S134">
    <cfRule type="expression" dxfId="3336" priority="3656">
      <formula>$BC131="YES"</formula>
    </cfRule>
  </conditionalFormatting>
  <conditionalFormatting sqref="R119:S122">
    <cfRule type="expression" dxfId="3335" priority="3655">
      <formula>$BC119="YES"</formula>
    </cfRule>
  </conditionalFormatting>
  <conditionalFormatting sqref="R123:S126">
    <cfRule type="expression" dxfId="3334" priority="3654">
      <formula>$BC123="YES"</formula>
    </cfRule>
  </conditionalFormatting>
  <conditionalFormatting sqref="R127:S130">
    <cfRule type="expression" dxfId="3333" priority="3653">
      <formula>$BC127="YES"</formula>
    </cfRule>
  </conditionalFormatting>
  <conditionalFormatting sqref="R135:S138">
    <cfRule type="expression" dxfId="3332" priority="3652">
      <formula>$BC135="YES"</formula>
    </cfRule>
  </conditionalFormatting>
  <conditionalFormatting sqref="R151:S154">
    <cfRule type="expression" dxfId="3331" priority="3651">
      <formula>$BC151="YES"</formula>
    </cfRule>
  </conditionalFormatting>
  <conditionalFormatting sqref="R139:S142">
    <cfRule type="expression" dxfId="3330" priority="3650">
      <formula>$BC139="YES"</formula>
    </cfRule>
  </conditionalFormatting>
  <conditionalFormatting sqref="R143:S146">
    <cfRule type="expression" dxfId="3329" priority="3649">
      <formula>$BC143="YES"</formula>
    </cfRule>
  </conditionalFormatting>
  <conditionalFormatting sqref="R147:S150">
    <cfRule type="expression" dxfId="3328" priority="3648">
      <formula>$BC147="YES"</formula>
    </cfRule>
  </conditionalFormatting>
  <conditionalFormatting sqref="R155:S158">
    <cfRule type="expression" dxfId="3327" priority="3647">
      <formula>$BC155="YES"</formula>
    </cfRule>
  </conditionalFormatting>
  <conditionalFormatting sqref="R171:S174">
    <cfRule type="expression" dxfId="3326" priority="3646">
      <formula>$BC171="YES"</formula>
    </cfRule>
  </conditionalFormatting>
  <conditionalFormatting sqref="R159:S162">
    <cfRule type="expression" dxfId="3325" priority="3645">
      <formula>$BC159="YES"</formula>
    </cfRule>
  </conditionalFormatting>
  <conditionalFormatting sqref="R163:S166">
    <cfRule type="expression" dxfId="3324" priority="3644">
      <formula>$BC163="YES"</formula>
    </cfRule>
  </conditionalFormatting>
  <conditionalFormatting sqref="R167:S170">
    <cfRule type="expression" dxfId="3323" priority="3643">
      <formula>$BC167="YES"</formula>
    </cfRule>
  </conditionalFormatting>
  <conditionalFormatting sqref="R175:S178">
    <cfRule type="expression" dxfId="3322" priority="3642">
      <formula>$BC175="YES"</formula>
    </cfRule>
  </conditionalFormatting>
  <conditionalFormatting sqref="R191:S194">
    <cfRule type="expression" dxfId="3321" priority="3641">
      <formula>$BC191="YES"</formula>
    </cfRule>
  </conditionalFormatting>
  <conditionalFormatting sqref="R179:S182">
    <cfRule type="expression" dxfId="3320" priority="3640">
      <formula>$BC179="YES"</formula>
    </cfRule>
  </conditionalFormatting>
  <conditionalFormatting sqref="R183:S186">
    <cfRule type="expression" dxfId="3319" priority="3639">
      <formula>$BC183="YES"</formula>
    </cfRule>
  </conditionalFormatting>
  <conditionalFormatting sqref="R187:S190">
    <cfRule type="expression" dxfId="3318" priority="3638">
      <formula>$BC187="YES"</formula>
    </cfRule>
  </conditionalFormatting>
  <conditionalFormatting sqref="R195:S198">
    <cfRule type="expression" dxfId="3317" priority="3637">
      <formula>$BC195="YES"</formula>
    </cfRule>
  </conditionalFormatting>
  <conditionalFormatting sqref="R211:S214">
    <cfRule type="expression" dxfId="3316" priority="3636">
      <formula>$BC211="YES"</formula>
    </cfRule>
  </conditionalFormatting>
  <conditionalFormatting sqref="R199:S202">
    <cfRule type="expression" dxfId="3315" priority="3635">
      <formula>$BC199="YES"</formula>
    </cfRule>
  </conditionalFormatting>
  <conditionalFormatting sqref="R203:S206">
    <cfRule type="expression" dxfId="3314" priority="3634">
      <formula>$BC203="YES"</formula>
    </cfRule>
  </conditionalFormatting>
  <conditionalFormatting sqref="R207:S210">
    <cfRule type="expression" dxfId="3313" priority="3633">
      <formula>$BC207="YES"</formula>
    </cfRule>
  </conditionalFormatting>
  <conditionalFormatting sqref="R215:S218">
    <cfRule type="expression" dxfId="3312" priority="3632">
      <formula>$BC215="YES"</formula>
    </cfRule>
  </conditionalFormatting>
  <conditionalFormatting sqref="R231:S234">
    <cfRule type="expression" dxfId="3311" priority="3631">
      <formula>$BC231="YES"</formula>
    </cfRule>
  </conditionalFormatting>
  <conditionalFormatting sqref="R219:S222">
    <cfRule type="expression" dxfId="3310" priority="3630">
      <formula>$BC219="YES"</formula>
    </cfRule>
  </conditionalFormatting>
  <conditionalFormatting sqref="R223:S226">
    <cfRule type="expression" dxfId="3309" priority="3629">
      <formula>$BC223="YES"</formula>
    </cfRule>
  </conditionalFormatting>
  <conditionalFormatting sqref="R227:S230">
    <cfRule type="expression" dxfId="3308" priority="3628">
      <formula>$BC227="YES"</formula>
    </cfRule>
  </conditionalFormatting>
  <conditionalFormatting sqref="R235:S238">
    <cfRule type="expression" dxfId="3307" priority="3627">
      <formula>$BC235="YES"</formula>
    </cfRule>
  </conditionalFormatting>
  <conditionalFormatting sqref="R251:S254">
    <cfRule type="expression" dxfId="3306" priority="3626">
      <formula>$BC251="YES"</formula>
    </cfRule>
  </conditionalFormatting>
  <conditionalFormatting sqref="R239:S242">
    <cfRule type="expression" dxfId="3305" priority="3625">
      <formula>$BC239="YES"</formula>
    </cfRule>
  </conditionalFormatting>
  <conditionalFormatting sqref="R243:S246">
    <cfRule type="expression" dxfId="3304" priority="3624">
      <formula>$BC243="YES"</formula>
    </cfRule>
  </conditionalFormatting>
  <conditionalFormatting sqref="R247:S250">
    <cfRule type="expression" dxfId="3303" priority="3623">
      <formula>$BC247="YES"</formula>
    </cfRule>
  </conditionalFormatting>
  <conditionalFormatting sqref="R255:S258">
    <cfRule type="expression" dxfId="3302" priority="3622">
      <formula>$BC255="YES"</formula>
    </cfRule>
  </conditionalFormatting>
  <conditionalFormatting sqref="R271:S274">
    <cfRule type="expression" dxfId="3301" priority="3621">
      <formula>$BC271="YES"</formula>
    </cfRule>
  </conditionalFormatting>
  <conditionalFormatting sqref="R259:S262">
    <cfRule type="expression" dxfId="3300" priority="3620">
      <formula>$BC259="YES"</formula>
    </cfRule>
  </conditionalFormatting>
  <conditionalFormatting sqref="R263:S266">
    <cfRule type="expression" dxfId="3299" priority="3619">
      <formula>$BC263="YES"</formula>
    </cfRule>
  </conditionalFormatting>
  <conditionalFormatting sqref="R267:S270">
    <cfRule type="expression" dxfId="3298" priority="3618">
      <formula>$BC267="YES"</formula>
    </cfRule>
  </conditionalFormatting>
  <conditionalFormatting sqref="R275:S278">
    <cfRule type="expression" dxfId="3297" priority="3617">
      <formula>$BC275="YES"</formula>
    </cfRule>
  </conditionalFormatting>
  <conditionalFormatting sqref="R291:S294">
    <cfRule type="expression" dxfId="3296" priority="3616">
      <formula>$BC291="YES"</formula>
    </cfRule>
  </conditionalFormatting>
  <conditionalFormatting sqref="R279:S282">
    <cfRule type="expression" dxfId="3295" priority="3615">
      <formula>$BC279="YES"</formula>
    </cfRule>
  </conditionalFormatting>
  <conditionalFormatting sqref="R283:S286">
    <cfRule type="expression" dxfId="3294" priority="3614">
      <formula>$BC283="YES"</formula>
    </cfRule>
  </conditionalFormatting>
  <conditionalFormatting sqref="R287:S290">
    <cfRule type="expression" dxfId="3293" priority="3613">
      <formula>$BC287="YES"</formula>
    </cfRule>
  </conditionalFormatting>
  <conditionalFormatting sqref="R295:S298">
    <cfRule type="expression" dxfId="3292" priority="3612">
      <formula>$BC295="YES"</formula>
    </cfRule>
  </conditionalFormatting>
  <conditionalFormatting sqref="R311:S314">
    <cfRule type="expression" dxfId="3291" priority="3611">
      <formula>$BC311="YES"</formula>
    </cfRule>
  </conditionalFormatting>
  <conditionalFormatting sqref="R299:S302">
    <cfRule type="expression" dxfId="3290" priority="3610">
      <formula>$BC299="YES"</formula>
    </cfRule>
  </conditionalFormatting>
  <conditionalFormatting sqref="R303:S306">
    <cfRule type="expression" dxfId="3289" priority="3609">
      <formula>$BC303="YES"</formula>
    </cfRule>
  </conditionalFormatting>
  <conditionalFormatting sqref="R307:S310">
    <cfRule type="expression" dxfId="3288" priority="3608">
      <formula>$BC307="YES"</formula>
    </cfRule>
  </conditionalFormatting>
  <conditionalFormatting sqref="R315:S318">
    <cfRule type="expression" dxfId="3287" priority="3607">
      <formula>$BC315="YES"</formula>
    </cfRule>
  </conditionalFormatting>
  <conditionalFormatting sqref="R331:S334">
    <cfRule type="expression" dxfId="3286" priority="3606">
      <formula>$BC331="YES"</formula>
    </cfRule>
  </conditionalFormatting>
  <conditionalFormatting sqref="R319:S322">
    <cfRule type="expression" dxfId="3285" priority="3605">
      <formula>$BC319="YES"</formula>
    </cfRule>
  </conditionalFormatting>
  <conditionalFormatting sqref="R323:S326">
    <cfRule type="expression" dxfId="3284" priority="3604">
      <formula>$BC323="YES"</formula>
    </cfRule>
  </conditionalFormatting>
  <conditionalFormatting sqref="R327:S330">
    <cfRule type="expression" dxfId="3283" priority="3603">
      <formula>$BC327="YES"</formula>
    </cfRule>
  </conditionalFormatting>
  <conditionalFormatting sqref="R335:S338">
    <cfRule type="expression" dxfId="3282" priority="3602">
      <formula>$BC335="YES"</formula>
    </cfRule>
  </conditionalFormatting>
  <conditionalFormatting sqref="R351:S354">
    <cfRule type="expression" dxfId="3281" priority="3601">
      <formula>$BC351="YES"</formula>
    </cfRule>
  </conditionalFormatting>
  <conditionalFormatting sqref="R339:S342">
    <cfRule type="expression" dxfId="3280" priority="3600">
      <formula>$BC339="YES"</formula>
    </cfRule>
  </conditionalFormatting>
  <conditionalFormatting sqref="R343:S346">
    <cfRule type="expression" dxfId="3279" priority="3599">
      <formula>$BC343="YES"</formula>
    </cfRule>
  </conditionalFormatting>
  <conditionalFormatting sqref="R347:S350">
    <cfRule type="expression" dxfId="3278" priority="3598">
      <formula>$BC347="YES"</formula>
    </cfRule>
  </conditionalFormatting>
  <conditionalFormatting sqref="R355:S358">
    <cfRule type="expression" dxfId="3277" priority="3597">
      <formula>$BC355="YES"</formula>
    </cfRule>
  </conditionalFormatting>
  <conditionalFormatting sqref="R371:S374">
    <cfRule type="expression" dxfId="3276" priority="3596">
      <formula>$BC371="YES"</formula>
    </cfRule>
  </conditionalFormatting>
  <conditionalFormatting sqref="R359:S362">
    <cfRule type="expression" dxfId="3275" priority="3595">
      <formula>$BC359="YES"</formula>
    </cfRule>
  </conditionalFormatting>
  <conditionalFormatting sqref="R363:S366">
    <cfRule type="expression" dxfId="3274" priority="3594">
      <formula>$BC363="YES"</formula>
    </cfRule>
  </conditionalFormatting>
  <conditionalFormatting sqref="R367:S370">
    <cfRule type="expression" dxfId="3273" priority="3593">
      <formula>$BC367="YES"</formula>
    </cfRule>
  </conditionalFormatting>
  <conditionalFormatting sqref="R375:S378">
    <cfRule type="expression" dxfId="3272" priority="3592">
      <formula>$BC375="YES"</formula>
    </cfRule>
  </conditionalFormatting>
  <conditionalFormatting sqref="R391:S394">
    <cfRule type="expression" dxfId="3271" priority="3591">
      <formula>$BC391="YES"</formula>
    </cfRule>
  </conditionalFormatting>
  <conditionalFormatting sqref="R379:S382">
    <cfRule type="expression" dxfId="3270" priority="3590">
      <formula>$BC379="YES"</formula>
    </cfRule>
  </conditionalFormatting>
  <conditionalFormatting sqref="R383:S386">
    <cfRule type="expression" dxfId="3269" priority="3589">
      <formula>$BC383="YES"</formula>
    </cfRule>
  </conditionalFormatting>
  <conditionalFormatting sqref="R387:S390">
    <cfRule type="expression" dxfId="3268" priority="3588">
      <formula>$BC387="YES"</formula>
    </cfRule>
  </conditionalFormatting>
  <conditionalFormatting sqref="R395:S398">
    <cfRule type="expression" dxfId="3267" priority="3587">
      <formula>$BC395="YES"</formula>
    </cfRule>
  </conditionalFormatting>
  <conditionalFormatting sqref="R411:S414">
    <cfRule type="expression" dxfId="3266" priority="3586">
      <formula>$BC411="YES"</formula>
    </cfRule>
  </conditionalFormatting>
  <conditionalFormatting sqref="R399:S402">
    <cfRule type="expression" dxfId="3265" priority="3585">
      <formula>$BC399="YES"</formula>
    </cfRule>
  </conditionalFormatting>
  <conditionalFormatting sqref="R403:S406">
    <cfRule type="expression" dxfId="3264" priority="3584">
      <formula>$BC403="YES"</formula>
    </cfRule>
  </conditionalFormatting>
  <conditionalFormatting sqref="R407:S410">
    <cfRule type="expression" dxfId="3263" priority="3583">
      <formula>$BC407="YES"</formula>
    </cfRule>
  </conditionalFormatting>
  <conditionalFormatting sqref="R415:S418">
    <cfRule type="expression" dxfId="3262" priority="3582">
      <formula>$BC415="YES"</formula>
    </cfRule>
  </conditionalFormatting>
  <conditionalFormatting sqref="R431:S434">
    <cfRule type="expression" dxfId="3261" priority="3581">
      <formula>$BC431="YES"</formula>
    </cfRule>
  </conditionalFormatting>
  <conditionalFormatting sqref="R419:S422">
    <cfRule type="expression" dxfId="3260" priority="3580">
      <formula>$BC419="YES"</formula>
    </cfRule>
  </conditionalFormatting>
  <conditionalFormatting sqref="R423:S426">
    <cfRule type="expression" dxfId="3259" priority="3579">
      <formula>$BC423="YES"</formula>
    </cfRule>
  </conditionalFormatting>
  <conditionalFormatting sqref="R427:S430">
    <cfRule type="expression" dxfId="3258" priority="3578">
      <formula>$BC427="YES"</formula>
    </cfRule>
  </conditionalFormatting>
  <conditionalFormatting sqref="R435:S438">
    <cfRule type="expression" dxfId="3257" priority="3577">
      <formula>$BC435="YES"</formula>
    </cfRule>
  </conditionalFormatting>
  <conditionalFormatting sqref="R451:S454">
    <cfRule type="expression" dxfId="3256" priority="3576">
      <formula>$BC451="YES"</formula>
    </cfRule>
  </conditionalFormatting>
  <conditionalFormatting sqref="R439:S442">
    <cfRule type="expression" dxfId="3255" priority="3575">
      <formula>$BC439="YES"</formula>
    </cfRule>
  </conditionalFormatting>
  <conditionalFormatting sqref="R443:S446">
    <cfRule type="expression" dxfId="3254" priority="3574">
      <formula>$BC443="YES"</formula>
    </cfRule>
  </conditionalFormatting>
  <conditionalFormatting sqref="R447:S450">
    <cfRule type="expression" dxfId="3253" priority="3573">
      <formula>$BC447="YES"</formula>
    </cfRule>
  </conditionalFormatting>
  <conditionalFormatting sqref="R455:S458">
    <cfRule type="expression" dxfId="3252" priority="3572">
      <formula>$BC455="YES"</formula>
    </cfRule>
  </conditionalFormatting>
  <conditionalFormatting sqref="R471:S474">
    <cfRule type="expression" dxfId="3251" priority="3571">
      <formula>$BC471="YES"</formula>
    </cfRule>
  </conditionalFormatting>
  <conditionalFormatting sqref="R459:S462">
    <cfRule type="expression" dxfId="3250" priority="3570">
      <formula>$BC459="YES"</formula>
    </cfRule>
  </conditionalFormatting>
  <conditionalFormatting sqref="R463:S466">
    <cfRule type="expression" dxfId="3249" priority="3569">
      <formula>$BC463="YES"</formula>
    </cfRule>
  </conditionalFormatting>
  <conditionalFormatting sqref="R467:S470">
    <cfRule type="expression" dxfId="3248" priority="3568">
      <formula>$BC467="YES"</formula>
    </cfRule>
  </conditionalFormatting>
  <conditionalFormatting sqref="R475:S478">
    <cfRule type="expression" dxfId="3247" priority="3567">
      <formula>$BC475="YES"</formula>
    </cfRule>
  </conditionalFormatting>
  <conditionalFormatting sqref="R491:S494">
    <cfRule type="expression" dxfId="3246" priority="3566">
      <formula>$BC491="YES"</formula>
    </cfRule>
  </conditionalFormatting>
  <conditionalFormatting sqref="R479:S482">
    <cfRule type="expression" dxfId="3245" priority="3565">
      <formula>$BC479="YES"</formula>
    </cfRule>
  </conditionalFormatting>
  <conditionalFormatting sqref="R483:S486">
    <cfRule type="expression" dxfId="3244" priority="3564">
      <formula>$BC483="YES"</formula>
    </cfRule>
  </conditionalFormatting>
  <conditionalFormatting sqref="R487:S490">
    <cfRule type="expression" dxfId="3243" priority="3563">
      <formula>$BC487="YES"</formula>
    </cfRule>
  </conditionalFormatting>
  <conditionalFormatting sqref="R495:S498">
    <cfRule type="expression" dxfId="3242" priority="3562">
      <formula>$BC495="YES"</formula>
    </cfRule>
  </conditionalFormatting>
  <conditionalFormatting sqref="R511:S514">
    <cfRule type="expression" dxfId="3241" priority="3561">
      <formula>$BC511="YES"</formula>
    </cfRule>
  </conditionalFormatting>
  <conditionalFormatting sqref="R499:S502">
    <cfRule type="expression" dxfId="3240" priority="3560">
      <formula>$BC499="YES"</formula>
    </cfRule>
  </conditionalFormatting>
  <conditionalFormatting sqref="R503:S506">
    <cfRule type="expression" dxfId="3239" priority="3559">
      <formula>$BC503="YES"</formula>
    </cfRule>
  </conditionalFormatting>
  <conditionalFormatting sqref="R507:S510">
    <cfRule type="expression" dxfId="3238" priority="3558">
      <formula>$BC507="YES"</formula>
    </cfRule>
  </conditionalFormatting>
  <conditionalFormatting sqref="R515:S518">
    <cfRule type="expression" dxfId="3237" priority="3557">
      <formula>$BC515="YES"</formula>
    </cfRule>
  </conditionalFormatting>
  <conditionalFormatting sqref="R531:S534">
    <cfRule type="expression" dxfId="3236" priority="3556">
      <formula>$BC531="YES"</formula>
    </cfRule>
  </conditionalFormatting>
  <conditionalFormatting sqref="R519:S522">
    <cfRule type="expression" dxfId="3235" priority="3555">
      <formula>$BC519="YES"</formula>
    </cfRule>
  </conditionalFormatting>
  <conditionalFormatting sqref="R523:S526">
    <cfRule type="expression" dxfId="3234" priority="3554">
      <formula>$BC523="YES"</formula>
    </cfRule>
  </conditionalFormatting>
  <conditionalFormatting sqref="R527:S530">
    <cfRule type="expression" dxfId="3233" priority="3553">
      <formula>$BC527="YES"</formula>
    </cfRule>
  </conditionalFormatting>
  <conditionalFormatting sqref="T17:U18">
    <cfRule type="expression" dxfId="3232" priority="3552">
      <formula>$BC17="YES"</formula>
    </cfRule>
  </conditionalFormatting>
  <conditionalFormatting sqref="T19:U20">
    <cfRule type="expression" dxfId="3231" priority="3551">
      <formula>$BC19="YES"</formula>
    </cfRule>
  </conditionalFormatting>
  <conditionalFormatting sqref="T21:U22">
    <cfRule type="expression" dxfId="3230" priority="3550">
      <formula>$BC21="YES"</formula>
    </cfRule>
  </conditionalFormatting>
  <conditionalFormatting sqref="T23:U24">
    <cfRule type="expression" dxfId="3229" priority="3549">
      <formula>$BC23="YES"</formula>
    </cfRule>
  </conditionalFormatting>
  <conditionalFormatting sqref="T25:U26">
    <cfRule type="expression" dxfId="3228" priority="3548">
      <formula>$BC25="YES"</formula>
    </cfRule>
  </conditionalFormatting>
  <conditionalFormatting sqref="T27:U28">
    <cfRule type="expression" dxfId="3227" priority="3547">
      <formula>$BC27="YES"</formula>
    </cfRule>
  </conditionalFormatting>
  <conditionalFormatting sqref="T29:U30">
    <cfRule type="expression" dxfId="3226" priority="3546">
      <formula>$BC29="YES"</formula>
    </cfRule>
  </conditionalFormatting>
  <conditionalFormatting sqref="T31:U32">
    <cfRule type="expression" dxfId="3225" priority="3545">
      <formula>$BC31="YES"</formula>
    </cfRule>
  </conditionalFormatting>
  <conditionalFormatting sqref="T33:U34">
    <cfRule type="expression" dxfId="3224" priority="3544">
      <formula>$BC33="YES"</formula>
    </cfRule>
  </conditionalFormatting>
  <conditionalFormatting sqref="T35:U36">
    <cfRule type="expression" dxfId="3223" priority="3543">
      <formula>$BC35="YES"</formula>
    </cfRule>
  </conditionalFormatting>
  <conditionalFormatting sqref="T37:U38">
    <cfRule type="expression" dxfId="3222" priority="3542">
      <formula>$BC37="YES"</formula>
    </cfRule>
  </conditionalFormatting>
  <conditionalFormatting sqref="T39:U40">
    <cfRule type="expression" dxfId="3221" priority="3541">
      <formula>$BC39="YES"</formula>
    </cfRule>
  </conditionalFormatting>
  <conditionalFormatting sqref="T41:U42">
    <cfRule type="expression" dxfId="3220" priority="3540">
      <formula>$BC41="YES"</formula>
    </cfRule>
  </conditionalFormatting>
  <conditionalFormatting sqref="T43:U44">
    <cfRule type="expression" dxfId="3219" priority="3539">
      <formula>$BC43="YES"</formula>
    </cfRule>
  </conditionalFormatting>
  <conditionalFormatting sqref="T45:U46">
    <cfRule type="expression" dxfId="3218" priority="3538">
      <formula>$BC45="YES"</formula>
    </cfRule>
  </conditionalFormatting>
  <conditionalFormatting sqref="T47:U48">
    <cfRule type="expression" dxfId="3217" priority="3537">
      <formula>$BC47="YES"</formula>
    </cfRule>
  </conditionalFormatting>
  <conditionalFormatting sqref="T49:U50">
    <cfRule type="expression" dxfId="3216" priority="3536">
      <formula>$BC49="YES"</formula>
    </cfRule>
  </conditionalFormatting>
  <conditionalFormatting sqref="T51:U52">
    <cfRule type="expression" dxfId="3215" priority="3535">
      <formula>$BC51="YES"</formula>
    </cfRule>
  </conditionalFormatting>
  <conditionalFormatting sqref="T53:U54">
    <cfRule type="expression" dxfId="3214" priority="3534">
      <formula>$BC53="YES"</formula>
    </cfRule>
  </conditionalFormatting>
  <conditionalFormatting sqref="T55:U56">
    <cfRule type="expression" dxfId="3213" priority="3533">
      <formula>$BC55="YES"</formula>
    </cfRule>
  </conditionalFormatting>
  <conditionalFormatting sqref="T57:U58">
    <cfRule type="expression" dxfId="3212" priority="3532">
      <formula>$BC57="YES"</formula>
    </cfRule>
  </conditionalFormatting>
  <conditionalFormatting sqref="T59:U60">
    <cfRule type="expression" dxfId="3211" priority="3531">
      <formula>$BC59="YES"</formula>
    </cfRule>
  </conditionalFormatting>
  <conditionalFormatting sqref="T61:U62">
    <cfRule type="expression" dxfId="3210" priority="3530">
      <formula>$BC61="YES"</formula>
    </cfRule>
  </conditionalFormatting>
  <conditionalFormatting sqref="T63:U64">
    <cfRule type="expression" dxfId="3209" priority="3529">
      <formula>$BC63="YES"</formula>
    </cfRule>
  </conditionalFormatting>
  <conditionalFormatting sqref="T65:U66">
    <cfRule type="expression" dxfId="3208" priority="3528">
      <formula>$BC65="YES"</formula>
    </cfRule>
  </conditionalFormatting>
  <conditionalFormatting sqref="T67:U68">
    <cfRule type="expression" dxfId="3207" priority="3527">
      <formula>$BC67="YES"</formula>
    </cfRule>
  </conditionalFormatting>
  <conditionalFormatting sqref="T69:U70">
    <cfRule type="expression" dxfId="3206" priority="3526">
      <formula>$BC69="YES"</formula>
    </cfRule>
  </conditionalFormatting>
  <conditionalFormatting sqref="T71:U72">
    <cfRule type="expression" dxfId="3205" priority="3525">
      <formula>$BC71="YES"</formula>
    </cfRule>
  </conditionalFormatting>
  <conditionalFormatting sqref="T73:U74">
    <cfRule type="expression" dxfId="3204" priority="3524">
      <formula>$BC73="YES"</formula>
    </cfRule>
  </conditionalFormatting>
  <conditionalFormatting sqref="T75:U76">
    <cfRule type="expression" dxfId="3203" priority="3523">
      <formula>$BC75="YES"</formula>
    </cfRule>
  </conditionalFormatting>
  <conditionalFormatting sqref="T77:U78">
    <cfRule type="expression" dxfId="3202" priority="3522">
      <formula>$BC77="YES"</formula>
    </cfRule>
  </conditionalFormatting>
  <conditionalFormatting sqref="T79:U80">
    <cfRule type="expression" dxfId="3201" priority="3521">
      <formula>$BC79="YES"</formula>
    </cfRule>
  </conditionalFormatting>
  <conditionalFormatting sqref="T81:U82">
    <cfRule type="expression" dxfId="3200" priority="3520">
      <formula>$BC81="YES"</formula>
    </cfRule>
  </conditionalFormatting>
  <conditionalFormatting sqref="T83:U84">
    <cfRule type="expression" dxfId="3199" priority="3519">
      <formula>$BC83="YES"</formula>
    </cfRule>
  </conditionalFormatting>
  <conditionalFormatting sqref="T85:U86">
    <cfRule type="expression" dxfId="3198" priority="3518">
      <formula>$BC85="YES"</formula>
    </cfRule>
  </conditionalFormatting>
  <conditionalFormatting sqref="T87:U88">
    <cfRule type="expression" dxfId="3197" priority="3517">
      <formula>$BC87="YES"</formula>
    </cfRule>
  </conditionalFormatting>
  <conditionalFormatting sqref="T89:U90">
    <cfRule type="expression" dxfId="3196" priority="3516">
      <formula>$BC89="YES"</formula>
    </cfRule>
  </conditionalFormatting>
  <conditionalFormatting sqref="T91:U92">
    <cfRule type="expression" dxfId="3195" priority="3515">
      <formula>$BC91="YES"</formula>
    </cfRule>
  </conditionalFormatting>
  <conditionalFormatting sqref="T93:U94">
    <cfRule type="expression" dxfId="3194" priority="3514">
      <formula>$BC93="YES"</formula>
    </cfRule>
  </conditionalFormatting>
  <conditionalFormatting sqref="T95:U96">
    <cfRule type="expression" dxfId="3193" priority="3513">
      <formula>$BC95="YES"</formula>
    </cfRule>
  </conditionalFormatting>
  <conditionalFormatting sqref="T97:U98">
    <cfRule type="expression" dxfId="3192" priority="3512">
      <formula>$BC97="YES"</formula>
    </cfRule>
  </conditionalFormatting>
  <conditionalFormatting sqref="T99:U100">
    <cfRule type="expression" dxfId="3191" priority="3511">
      <formula>$BC99="YES"</formula>
    </cfRule>
  </conditionalFormatting>
  <conditionalFormatting sqref="T101:U102">
    <cfRule type="expression" dxfId="3190" priority="3510">
      <formula>$BC101="YES"</formula>
    </cfRule>
  </conditionalFormatting>
  <conditionalFormatting sqref="T103:U104">
    <cfRule type="expression" dxfId="3189" priority="3509">
      <formula>$BC103="YES"</formula>
    </cfRule>
  </conditionalFormatting>
  <conditionalFormatting sqref="T105:U106">
    <cfRule type="expression" dxfId="3188" priority="3508">
      <formula>$BC105="YES"</formula>
    </cfRule>
  </conditionalFormatting>
  <conditionalFormatting sqref="T107:U108">
    <cfRule type="expression" dxfId="3187" priority="3507">
      <formula>$BC107="YES"</formula>
    </cfRule>
  </conditionalFormatting>
  <conditionalFormatting sqref="T109:U110">
    <cfRule type="expression" dxfId="3186" priority="3506">
      <formula>$BC109="YES"</formula>
    </cfRule>
  </conditionalFormatting>
  <conditionalFormatting sqref="T111:U112">
    <cfRule type="expression" dxfId="3185" priority="3505">
      <formula>$BC111="YES"</formula>
    </cfRule>
  </conditionalFormatting>
  <conditionalFormatting sqref="T113:U114">
    <cfRule type="expression" dxfId="3184" priority="3504">
      <formula>$BC113="YES"</formula>
    </cfRule>
  </conditionalFormatting>
  <conditionalFormatting sqref="T115:U116">
    <cfRule type="expression" dxfId="3183" priority="3503">
      <formula>$BC115="YES"</formula>
    </cfRule>
  </conditionalFormatting>
  <conditionalFormatting sqref="T117:U118">
    <cfRule type="expression" dxfId="3182" priority="3502">
      <formula>$BC117="YES"</formula>
    </cfRule>
  </conditionalFormatting>
  <conditionalFormatting sqref="T119:U120">
    <cfRule type="expression" dxfId="3181" priority="3501">
      <formula>$BC119="YES"</formula>
    </cfRule>
  </conditionalFormatting>
  <conditionalFormatting sqref="T121:U122">
    <cfRule type="expression" dxfId="3180" priority="3500">
      <formula>$BC121="YES"</formula>
    </cfRule>
  </conditionalFormatting>
  <conditionalFormatting sqref="T123:U124">
    <cfRule type="expression" dxfId="3179" priority="3499">
      <formula>$BC123="YES"</formula>
    </cfRule>
  </conditionalFormatting>
  <conditionalFormatting sqref="T125:U126">
    <cfRule type="expression" dxfId="3178" priority="3498">
      <formula>$BC125="YES"</formula>
    </cfRule>
  </conditionalFormatting>
  <conditionalFormatting sqref="T127:U128">
    <cfRule type="expression" dxfId="3177" priority="3497">
      <formula>$BC127="YES"</formula>
    </cfRule>
  </conditionalFormatting>
  <conditionalFormatting sqref="T129:U130">
    <cfRule type="expression" dxfId="3176" priority="3496">
      <formula>$BC129="YES"</formula>
    </cfRule>
  </conditionalFormatting>
  <conditionalFormatting sqref="T131:U132">
    <cfRule type="expression" dxfId="3175" priority="3495">
      <formula>$BC131="YES"</formula>
    </cfRule>
  </conditionalFormatting>
  <conditionalFormatting sqref="T133:U134">
    <cfRule type="expression" dxfId="3174" priority="3494">
      <formula>$BC133="YES"</formula>
    </cfRule>
  </conditionalFormatting>
  <conditionalFormatting sqref="T135:U136">
    <cfRule type="expression" dxfId="3173" priority="3493">
      <formula>$BC135="YES"</formula>
    </cfRule>
  </conditionalFormatting>
  <conditionalFormatting sqref="T137:U138">
    <cfRule type="expression" dxfId="3172" priority="3492">
      <formula>$BC137="YES"</formula>
    </cfRule>
  </conditionalFormatting>
  <conditionalFormatting sqref="T139:U140">
    <cfRule type="expression" dxfId="3171" priority="3491">
      <formula>$BC139="YES"</formula>
    </cfRule>
  </conditionalFormatting>
  <conditionalFormatting sqref="T141:U142">
    <cfRule type="expression" dxfId="3170" priority="3490">
      <formula>$BC141="YES"</formula>
    </cfRule>
  </conditionalFormatting>
  <conditionalFormatting sqref="T143:U144">
    <cfRule type="expression" dxfId="3169" priority="3489">
      <formula>$BC143="YES"</formula>
    </cfRule>
  </conditionalFormatting>
  <conditionalFormatting sqref="T145:U146">
    <cfRule type="expression" dxfId="3168" priority="3488">
      <formula>$BC145="YES"</formula>
    </cfRule>
  </conditionalFormatting>
  <conditionalFormatting sqref="T147:U148">
    <cfRule type="expression" dxfId="3167" priority="3487">
      <formula>$BC147="YES"</formula>
    </cfRule>
  </conditionalFormatting>
  <conditionalFormatting sqref="T149:U150">
    <cfRule type="expression" dxfId="3166" priority="3486">
      <formula>$BC149="YES"</formula>
    </cfRule>
  </conditionalFormatting>
  <conditionalFormatting sqref="T151:U152">
    <cfRule type="expression" dxfId="3165" priority="3485">
      <formula>$BC151="YES"</formula>
    </cfRule>
  </conditionalFormatting>
  <conditionalFormatting sqref="T153:U154">
    <cfRule type="expression" dxfId="3164" priority="3484">
      <formula>$BC153="YES"</formula>
    </cfRule>
  </conditionalFormatting>
  <conditionalFormatting sqref="T155:U156">
    <cfRule type="expression" dxfId="3163" priority="3483">
      <formula>$BC155="YES"</formula>
    </cfRule>
  </conditionalFormatting>
  <conditionalFormatting sqref="T157:U158">
    <cfRule type="expression" dxfId="3162" priority="3482">
      <formula>$BC157="YES"</formula>
    </cfRule>
  </conditionalFormatting>
  <conditionalFormatting sqref="T159:U160">
    <cfRule type="expression" dxfId="3161" priority="3481">
      <formula>$BC159="YES"</formula>
    </cfRule>
  </conditionalFormatting>
  <conditionalFormatting sqref="T161:U162">
    <cfRule type="expression" dxfId="3160" priority="3480">
      <formula>$BC161="YES"</formula>
    </cfRule>
  </conditionalFormatting>
  <conditionalFormatting sqref="T163:U164">
    <cfRule type="expression" dxfId="3159" priority="3479">
      <formula>$BC163="YES"</formula>
    </cfRule>
  </conditionalFormatting>
  <conditionalFormatting sqref="T165:U166">
    <cfRule type="expression" dxfId="3158" priority="3478">
      <formula>$BC165="YES"</formula>
    </cfRule>
  </conditionalFormatting>
  <conditionalFormatting sqref="T167:U168">
    <cfRule type="expression" dxfId="3157" priority="3477">
      <formula>$BC167="YES"</formula>
    </cfRule>
  </conditionalFormatting>
  <conditionalFormatting sqref="T169:U170">
    <cfRule type="expression" dxfId="3156" priority="3476">
      <formula>$BC169="YES"</formula>
    </cfRule>
  </conditionalFormatting>
  <conditionalFormatting sqref="T171:U172">
    <cfRule type="expression" dxfId="3155" priority="3475">
      <formula>$BC171="YES"</formula>
    </cfRule>
  </conditionalFormatting>
  <conditionalFormatting sqref="T173:U174">
    <cfRule type="expression" dxfId="3154" priority="3474">
      <formula>$BC173="YES"</formula>
    </cfRule>
  </conditionalFormatting>
  <conditionalFormatting sqref="T175:U176">
    <cfRule type="expression" dxfId="3153" priority="3473">
      <formula>$BC175="YES"</formula>
    </cfRule>
  </conditionalFormatting>
  <conditionalFormatting sqref="T177:U178">
    <cfRule type="expression" dxfId="3152" priority="3472">
      <formula>$BC177="YES"</formula>
    </cfRule>
  </conditionalFormatting>
  <conditionalFormatting sqref="T179:U180">
    <cfRule type="expression" dxfId="3151" priority="3471">
      <formula>$BC179="YES"</formula>
    </cfRule>
  </conditionalFormatting>
  <conditionalFormatting sqref="T181:U182">
    <cfRule type="expression" dxfId="3150" priority="3470">
      <formula>$BC181="YES"</formula>
    </cfRule>
  </conditionalFormatting>
  <conditionalFormatting sqref="T183:U184">
    <cfRule type="expression" dxfId="3149" priority="3469">
      <formula>$BC183="YES"</formula>
    </cfRule>
  </conditionalFormatting>
  <conditionalFormatting sqref="T185:U186">
    <cfRule type="expression" dxfId="3148" priority="3468">
      <formula>$BC185="YES"</formula>
    </cfRule>
  </conditionalFormatting>
  <conditionalFormatting sqref="T187:U188">
    <cfRule type="expression" dxfId="3147" priority="3467">
      <formula>$BC187="YES"</formula>
    </cfRule>
  </conditionalFormatting>
  <conditionalFormatting sqref="T189:U190">
    <cfRule type="expression" dxfId="3146" priority="3466">
      <formula>$BC189="YES"</formula>
    </cfRule>
  </conditionalFormatting>
  <conditionalFormatting sqref="T191:U192">
    <cfRule type="expression" dxfId="3145" priority="3465">
      <formula>$BC191="YES"</formula>
    </cfRule>
  </conditionalFormatting>
  <conditionalFormatting sqref="T193:U194">
    <cfRule type="expression" dxfId="3144" priority="3464">
      <formula>$BC193="YES"</formula>
    </cfRule>
  </conditionalFormatting>
  <conditionalFormatting sqref="T195:U196">
    <cfRule type="expression" dxfId="3143" priority="3463">
      <formula>$BC195="YES"</formula>
    </cfRule>
  </conditionalFormatting>
  <conditionalFormatting sqref="T197:U198">
    <cfRule type="expression" dxfId="3142" priority="3462">
      <formula>$BC197="YES"</formula>
    </cfRule>
  </conditionalFormatting>
  <conditionalFormatting sqref="T199:U200">
    <cfRule type="expression" dxfId="3141" priority="3461">
      <formula>$BC199="YES"</formula>
    </cfRule>
  </conditionalFormatting>
  <conditionalFormatting sqref="T201:U202">
    <cfRule type="expression" dxfId="3140" priority="3460">
      <formula>$BC201="YES"</formula>
    </cfRule>
  </conditionalFormatting>
  <conditionalFormatting sqref="T203:U204">
    <cfRule type="expression" dxfId="3139" priority="3459">
      <formula>$BC203="YES"</formula>
    </cfRule>
  </conditionalFormatting>
  <conditionalFormatting sqref="T205:U206">
    <cfRule type="expression" dxfId="3138" priority="3458">
      <formula>$BC205="YES"</formula>
    </cfRule>
  </conditionalFormatting>
  <conditionalFormatting sqref="T207:U208">
    <cfRule type="expression" dxfId="3137" priority="3457">
      <formula>$BC207="YES"</formula>
    </cfRule>
  </conditionalFormatting>
  <conditionalFormatting sqref="T209:U210">
    <cfRule type="expression" dxfId="3136" priority="3456">
      <formula>$BC209="YES"</formula>
    </cfRule>
  </conditionalFormatting>
  <conditionalFormatting sqref="T211:U212">
    <cfRule type="expression" dxfId="3135" priority="3455">
      <formula>$BC211="YES"</formula>
    </cfRule>
  </conditionalFormatting>
  <conditionalFormatting sqref="T213:U214">
    <cfRule type="expression" dxfId="3134" priority="3454">
      <formula>$BC213="YES"</formula>
    </cfRule>
  </conditionalFormatting>
  <conditionalFormatting sqref="T215:U216">
    <cfRule type="expression" dxfId="3133" priority="3453">
      <formula>$BC215="YES"</formula>
    </cfRule>
  </conditionalFormatting>
  <conditionalFormatting sqref="T217:U218">
    <cfRule type="expression" dxfId="3132" priority="3452">
      <formula>$BC217="YES"</formula>
    </cfRule>
  </conditionalFormatting>
  <conditionalFormatting sqref="T219:U220">
    <cfRule type="expression" dxfId="3131" priority="3451">
      <formula>$BC219="YES"</formula>
    </cfRule>
  </conditionalFormatting>
  <conditionalFormatting sqref="T221:U222">
    <cfRule type="expression" dxfId="3130" priority="3450">
      <formula>$BC221="YES"</formula>
    </cfRule>
  </conditionalFormatting>
  <conditionalFormatting sqref="T223:U224">
    <cfRule type="expression" dxfId="3129" priority="3449">
      <formula>$BC223="YES"</formula>
    </cfRule>
  </conditionalFormatting>
  <conditionalFormatting sqref="T225:U226">
    <cfRule type="expression" dxfId="3128" priority="3448">
      <formula>$BC225="YES"</formula>
    </cfRule>
  </conditionalFormatting>
  <conditionalFormatting sqref="T227:U228">
    <cfRule type="expression" dxfId="3127" priority="3447">
      <formula>$BC227="YES"</formula>
    </cfRule>
  </conditionalFormatting>
  <conditionalFormatting sqref="T229:U230">
    <cfRule type="expression" dxfId="3126" priority="3446">
      <formula>$BC229="YES"</formula>
    </cfRule>
  </conditionalFormatting>
  <conditionalFormatting sqref="T231:U232">
    <cfRule type="expression" dxfId="3125" priority="3445">
      <formula>$BC231="YES"</formula>
    </cfRule>
  </conditionalFormatting>
  <conditionalFormatting sqref="T233:U234">
    <cfRule type="expression" dxfId="3124" priority="3444">
      <formula>$BC233="YES"</formula>
    </cfRule>
  </conditionalFormatting>
  <conditionalFormatting sqref="T235:U236">
    <cfRule type="expression" dxfId="3123" priority="3443">
      <formula>$BC235="YES"</formula>
    </cfRule>
  </conditionalFormatting>
  <conditionalFormatting sqref="T237:U238">
    <cfRule type="expression" dxfId="3122" priority="3442">
      <formula>$BC237="YES"</formula>
    </cfRule>
  </conditionalFormatting>
  <conditionalFormatting sqref="T239:U240">
    <cfRule type="expression" dxfId="3121" priority="3441">
      <formula>$BC239="YES"</formula>
    </cfRule>
  </conditionalFormatting>
  <conditionalFormatting sqref="T241:U242">
    <cfRule type="expression" dxfId="3120" priority="3440">
      <formula>$BC241="YES"</formula>
    </cfRule>
  </conditionalFormatting>
  <conditionalFormatting sqref="T243:U244">
    <cfRule type="expression" dxfId="3119" priority="3439">
      <formula>$BC243="YES"</formula>
    </cfRule>
  </conditionalFormatting>
  <conditionalFormatting sqref="T245:U246">
    <cfRule type="expression" dxfId="3118" priority="3438">
      <formula>$BC245="YES"</formula>
    </cfRule>
  </conditionalFormatting>
  <conditionalFormatting sqref="T247:U248">
    <cfRule type="expression" dxfId="3117" priority="3437">
      <formula>$BC247="YES"</formula>
    </cfRule>
  </conditionalFormatting>
  <conditionalFormatting sqref="T249:U250">
    <cfRule type="expression" dxfId="3116" priority="3436">
      <formula>$BC249="YES"</formula>
    </cfRule>
  </conditionalFormatting>
  <conditionalFormatting sqref="T251:U252">
    <cfRule type="expression" dxfId="3115" priority="3435">
      <formula>$BC251="YES"</formula>
    </cfRule>
  </conditionalFormatting>
  <conditionalFormatting sqref="T253:U254">
    <cfRule type="expression" dxfId="3114" priority="3434">
      <formula>$BC253="YES"</formula>
    </cfRule>
  </conditionalFormatting>
  <conditionalFormatting sqref="T255:U256">
    <cfRule type="expression" dxfId="3113" priority="3433">
      <formula>$BC255="YES"</formula>
    </cfRule>
  </conditionalFormatting>
  <conditionalFormatting sqref="T257:U258">
    <cfRule type="expression" dxfId="3112" priority="3432">
      <formula>$BC257="YES"</formula>
    </cfRule>
  </conditionalFormatting>
  <conditionalFormatting sqref="T259:U260">
    <cfRule type="expression" dxfId="3111" priority="3431">
      <formula>$BC259="YES"</formula>
    </cfRule>
  </conditionalFormatting>
  <conditionalFormatting sqref="T261:U262">
    <cfRule type="expression" dxfId="3110" priority="3430">
      <formula>$BC261="YES"</formula>
    </cfRule>
  </conditionalFormatting>
  <conditionalFormatting sqref="T263:U264">
    <cfRule type="expression" dxfId="3109" priority="3429">
      <formula>$BC263="YES"</formula>
    </cfRule>
  </conditionalFormatting>
  <conditionalFormatting sqref="T265:U266">
    <cfRule type="expression" dxfId="3108" priority="3428">
      <formula>$BC265="YES"</formula>
    </cfRule>
  </conditionalFormatting>
  <conditionalFormatting sqref="T267:U268">
    <cfRule type="expression" dxfId="3107" priority="3427">
      <formula>$BC267="YES"</formula>
    </cfRule>
  </conditionalFormatting>
  <conditionalFormatting sqref="T269:U270">
    <cfRule type="expression" dxfId="3106" priority="3426">
      <formula>$BC269="YES"</formula>
    </cfRule>
  </conditionalFormatting>
  <conditionalFormatting sqref="T271:U272">
    <cfRule type="expression" dxfId="3105" priority="3425">
      <formula>$BC271="YES"</formula>
    </cfRule>
  </conditionalFormatting>
  <conditionalFormatting sqref="T273:U274">
    <cfRule type="expression" dxfId="3104" priority="3424">
      <formula>$BC273="YES"</formula>
    </cfRule>
  </conditionalFormatting>
  <conditionalFormatting sqref="T275:U276">
    <cfRule type="expression" dxfId="3103" priority="3423">
      <formula>$BC275="YES"</formula>
    </cfRule>
  </conditionalFormatting>
  <conditionalFormatting sqref="T277:U278">
    <cfRule type="expression" dxfId="3102" priority="3422">
      <formula>$BC277="YES"</formula>
    </cfRule>
  </conditionalFormatting>
  <conditionalFormatting sqref="T279:U280">
    <cfRule type="expression" dxfId="3101" priority="3421">
      <formula>$BC279="YES"</formula>
    </cfRule>
  </conditionalFormatting>
  <conditionalFormatting sqref="T281:U282">
    <cfRule type="expression" dxfId="3100" priority="3420">
      <formula>$BC281="YES"</formula>
    </cfRule>
  </conditionalFormatting>
  <conditionalFormatting sqref="T283:U284">
    <cfRule type="expression" dxfId="3099" priority="3419">
      <formula>$BC283="YES"</formula>
    </cfRule>
  </conditionalFormatting>
  <conditionalFormatting sqref="T285:U286">
    <cfRule type="expression" dxfId="3098" priority="3418">
      <formula>$BC285="YES"</formula>
    </cfRule>
  </conditionalFormatting>
  <conditionalFormatting sqref="T287:U288">
    <cfRule type="expression" dxfId="3097" priority="3417">
      <formula>$BC287="YES"</formula>
    </cfRule>
  </conditionalFormatting>
  <conditionalFormatting sqref="T289:U290">
    <cfRule type="expression" dxfId="3096" priority="3416">
      <formula>$BC289="YES"</formula>
    </cfRule>
  </conditionalFormatting>
  <conditionalFormatting sqref="T291:U292">
    <cfRule type="expression" dxfId="3095" priority="3415">
      <formula>$BC291="YES"</formula>
    </cfRule>
  </conditionalFormatting>
  <conditionalFormatting sqref="T293:U294">
    <cfRule type="expression" dxfId="3094" priority="3414">
      <formula>$BC293="YES"</formula>
    </cfRule>
  </conditionalFormatting>
  <conditionalFormatting sqref="T295:U296">
    <cfRule type="expression" dxfId="3093" priority="3413">
      <formula>$BC295="YES"</formula>
    </cfRule>
  </conditionalFormatting>
  <conditionalFormatting sqref="T297:U298">
    <cfRule type="expression" dxfId="3092" priority="3412">
      <formula>$BC297="YES"</formula>
    </cfRule>
  </conditionalFormatting>
  <conditionalFormatting sqref="T299:U300">
    <cfRule type="expression" dxfId="3091" priority="3411">
      <formula>$BC299="YES"</formula>
    </cfRule>
  </conditionalFormatting>
  <conditionalFormatting sqref="T301:U302">
    <cfRule type="expression" dxfId="3090" priority="3410">
      <formula>$BC301="YES"</formula>
    </cfRule>
  </conditionalFormatting>
  <conditionalFormatting sqref="T303:U304">
    <cfRule type="expression" dxfId="3089" priority="3409">
      <formula>$BC303="YES"</formula>
    </cfRule>
  </conditionalFormatting>
  <conditionalFormatting sqref="T305:U306">
    <cfRule type="expression" dxfId="3088" priority="3408">
      <formula>$BC305="YES"</formula>
    </cfRule>
  </conditionalFormatting>
  <conditionalFormatting sqref="T307:U308">
    <cfRule type="expression" dxfId="3087" priority="3407">
      <formula>$BC307="YES"</formula>
    </cfRule>
  </conditionalFormatting>
  <conditionalFormatting sqref="T309:U310">
    <cfRule type="expression" dxfId="3086" priority="3406">
      <formula>$BC309="YES"</formula>
    </cfRule>
  </conditionalFormatting>
  <conditionalFormatting sqref="T311:U312">
    <cfRule type="expression" dxfId="3085" priority="3405">
      <formula>$BC311="YES"</formula>
    </cfRule>
  </conditionalFormatting>
  <conditionalFormatting sqref="T313:U314">
    <cfRule type="expression" dxfId="3084" priority="3404">
      <formula>$BC313="YES"</formula>
    </cfRule>
  </conditionalFormatting>
  <conditionalFormatting sqref="T315:U316">
    <cfRule type="expression" dxfId="3083" priority="3403">
      <formula>$BC315="YES"</formula>
    </cfRule>
  </conditionalFormatting>
  <conditionalFormatting sqref="T317:U318">
    <cfRule type="expression" dxfId="3082" priority="3402">
      <formula>$BC317="YES"</formula>
    </cfRule>
  </conditionalFormatting>
  <conditionalFormatting sqref="T319:U320">
    <cfRule type="expression" dxfId="3081" priority="3401">
      <formula>$BC319="YES"</formula>
    </cfRule>
  </conditionalFormatting>
  <conditionalFormatting sqref="T321:U322">
    <cfRule type="expression" dxfId="3080" priority="3400">
      <formula>$BC321="YES"</formula>
    </cfRule>
  </conditionalFormatting>
  <conditionalFormatting sqref="T323:U324">
    <cfRule type="expression" dxfId="3079" priority="3399">
      <formula>$BC323="YES"</formula>
    </cfRule>
  </conditionalFormatting>
  <conditionalFormatting sqref="T325:U326">
    <cfRule type="expression" dxfId="3078" priority="3398">
      <formula>$BC325="YES"</formula>
    </cfRule>
  </conditionalFormatting>
  <conditionalFormatting sqref="T327:U328">
    <cfRule type="expression" dxfId="3077" priority="3397">
      <formula>$BC327="YES"</formula>
    </cfRule>
  </conditionalFormatting>
  <conditionalFormatting sqref="T329:U330">
    <cfRule type="expression" dxfId="3076" priority="3396">
      <formula>$BC329="YES"</formula>
    </cfRule>
  </conditionalFormatting>
  <conditionalFormatting sqref="T331:U332">
    <cfRule type="expression" dxfId="3075" priority="3395">
      <formula>$BC331="YES"</formula>
    </cfRule>
  </conditionalFormatting>
  <conditionalFormatting sqref="T333:U334">
    <cfRule type="expression" dxfId="3074" priority="3394">
      <formula>$BC333="YES"</formula>
    </cfRule>
  </conditionalFormatting>
  <conditionalFormatting sqref="T335:U336">
    <cfRule type="expression" dxfId="3073" priority="3393">
      <formula>$BC335="YES"</formula>
    </cfRule>
  </conditionalFormatting>
  <conditionalFormatting sqref="T337:U338">
    <cfRule type="expression" dxfId="3072" priority="3392">
      <formula>$BC337="YES"</formula>
    </cfRule>
  </conditionalFormatting>
  <conditionalFormatting sqref="T339:U340">
    <cfRule type="expression" dxfId="3071" priority="3391">
      <formula>$BC339="YES"</formula>
    </cfRule>
  </conditionalFormatting>
  <conditionalFormatting sqref="T341:U342">
    <cfRule type="expression" dxfId="3070" priority="3390">
      <formula>$BC341="YES"</formula>
    </cfRule>
  </conditionalFormatting>
  <conditionalFormatting sqref="T343:U344">
    <cfRule type="expression" dxfId="3069" priority="3389">
      <formula>$BC343="YES"</formula>
    </cfRule>
  </conditionalFormatting>
  <conditionalFormatting sqref="T345:U346">
    <cfRule type="expression" dxfId="3068" priority="3388">
      <formula>$BC345="YES"</formula>
    </cfRule>
  </conditionalFormatting>
  <conditionalFormatting sqref="T347:U348">
    <cfRule type="expression" dxfId="3067" priority="3387">
      <formula>$BC347="YES"</formula>
    </cfRule>
  </conditionalFormatting>
  <conditionalFormatting sqref="T349:U350">
    <cfRule type="expression" dxfId="3066" priority="3386">
      <formula>$BC349="YES"</formula>
    </cfRule>
  </conditionalFormatting>
  <conditionalFormatting sqref="T351:U352">
    <cfRule type="expression" dxfId="3065" priority="3385">
      <formula>$BC351="YES"</formula>
    </cfRule>
  </conditionalFormatting>
  <conditionalFormatting sqref="T353:U354">
    <cfRule type="expression" dxfId="3064" priority="3384">
      <formula>$BC353="YES"</formula>
    </cfRule>
  </conditionalFormatting>
  <conditionalFormatting sqref="T355:U356">
    <cfRule type="expression" dxfId="3063" priority="3383">
      <formula>$BC355="YES"</formula>
    </cfRule>
  </conditionalFormatting>
  <conditionalFormatting sqref="T357:U358">
    <cfRule type="expression" dxfId="3062" priority="3382">
      <formula>$BC357="YES"</formula>
    </cfRule>
  </conditionalFormatting>
  <conditionalFormatting sqref="T359:U360">
    <cfRule type="expression" dxfId="3061" priority="3381">
      <formula>$BC359="YES"</formula>
    </cfRule>
  </conditionalFormatting>
  <conditionalFormatting sqref="T361:U362">
    <cfRule type="expression" dxfId="3060" priority="3380">
      <formula>$BC361="YES"</formula>
    </cfRule>
  </conditionalFormatting>
  <conditionalFormatting sqref="T363:U364">
    <cfRule type="expression" dxfId="3059" priority="3379">
      <formula>$BC363="YES"</formula>
    </cfRule>
  </conditionalFormatting>
  <conditionalFormatting sqref="T365:U366">
    <cfRule type="expression" dxfId="3058" priority="3378">
      <formula>$BC365="YES"</formula>
    </cfRule>
  </conditionalFormatting>
  <conditionalFormatting sqref="T367:U368">
    <cfRule type="expression" dxfId="3057" priority="3377">
      <formula>$BC367="YES"</formula>
    </cfRule>
  </conditionalFormatting>
  <conditionalFormatting sqref="T369:U370">
    <cfRule type="expression" dxfId="3056" priority="3376">
      <formula>$BC369="YES"</formula>
    </cfRule>
  </conditionalFormatting>
  <conditionalFormatting sqref="T371:U372">
    <cfRule type="expression" dxfId="3055" priority="3375">
      <formula>$BC371="YES"</formula>
    </cfRule>
  </conditionalFormatting>
  <conditionalFormatting sqref="T373:U374">
    <cfRule type="expression" dxfId="3054" priority="3374">
      <formula>$BC373="YES"</formula>
    </cfRule>
  </conditionalFormatting>
  <conditionalFormatting sqref="T375:U376">
    <cfRule type="expression" dxfId="3053" priority="3373">
      <formula>$BC375="YES"</formula>
    </cfRule>
  </conditionalFormatting>
  <conditionalFormatting sqref="T377:U378">
    <cfRule type="expression" dxfId="3052" priority="3372">
      <formula>$BC377="YES"</formula>
    </cfRule>
  </conditionalFormatting>
  <conditionalFormatting sqref="T379:U380">
    <cfRule type="expression" dxfId="3051" priority="3371">
      <formula>$BC379="YES"</formula>
    </cfRule>
  </conditionalFormatting>
  <conditionalFormatting sqref="T381:U382">
    <cfRule type="expression" dxfId="3050" priority="3370">
      <formula>$BC381="YES"</formula>
    </cfRule>
  </conditionalFormatting>
  <conditionalFormatting sqref="T383:U384">
    <cfRule type="expression" dxfId="3049" priority="3369">
      <formula>$BC383="YES"</formula>
    </cfRule>
  </conditionalFormatting>
  <conditionalFormatting sqref="T385:U386">
    <cfRule type="expression" dxfId="3048" priority="3368">
      <formula>$BC385="YES"</formula>
    </cfRule>
  </conditionalFormatting>
  <conditionalFormatting sqref="T387:U388">
    <cfRule type="expression" dxfId="3047" priority="3367">
      <formula>$BC387="YES"</formula>
    </cfRule>
  </conditionalFormatting>
  <conditionalFormatting sqref="T389:U390">
    <cfRule type="expression" dxfId="3046" priority="3366">
      <formula>$BC389="YES"</formula>
    </cfRule>
  </conditionalFormatting>
  <conditionalFormatting sqref="T391:U392">
    <cfRule type="expression" dxfId="3045" priority="3365">
      <formula>$BC391="YES"</formula>
    </cfRule>
  </conditionalFormatting>
  <conditionalFormatting sqref="T393:U394">
    <cfRule type="expression" dxfId="3044" priority="3364">
      <formula>$BC393="YES"</formula>
    </cfRule>
  </conditionalFormatting>
  <conditionalFormatting sqref="T395:U396">
    <cfRule type="expression" dxfId="3043" priority="3363">
      <formula>$BC395="YES"</formula>
    </cfRule>
  </conditionalFormatting>
  <conditionalFormatting sqref="T397:U398">
    <cfRule type="expression" dxfId="3042" priority="3362">
      <formula>$BC397="YES"</formula>
    </cfRule>
  </conditionalFormatting>
  <conditionalFormatting sqref="T399:U400">
    <cfRule type="expression" dxfId="3041" priority="3361">
      <formula>$BC399="YES"</formula>
    </cfRule>
  </conditionalFormatting>
  <conditionalFormatting sqref="T401:U402">
    <cfRule type="expression" dxfId="3040" priority="3360">
      <formula>$BC401="YES"</formula>
    </cfRule>
  </conditionalFormatting>
  <conditionalFormatting sqref="T403:U404">
    <cfRule type="expression" dxfId="3039" priority="3359">
      <formula>$BC403="YES"</formula>
    </cfRule>
  </conditionalFormatting>
  <conditionalFormatting sqref="T405:U406">
    <cfRule type="expression" dxfId="3038" priority="3358">
      <formula>$BC405="YES"</formula>
    </cfRule>
  </conditionalFormatting>
  <conditionalFormatting sqref="T407:U408">
    <cfRule type="expression" dxfId="3037" priority="3357">
      <formula>$BC407="YES"</formula>
    </cfRule>
  </conditionalFormatting>
  <conditionalFormatting sqref="T409:U410">
    <cfRule type="expression" dxfId="3036" priority="3356">
      <formula>$BC409="YES"</formula>
    </cfRule>
  </conditionalFormatting>
  <conditionalFormatting sqref="T411:U412">
    <cfRule type="expression" dxfId="3035" priority="3355">
      <formula>$BC411="YES"</formula>
    </cfRule>
  </conditionalFormatting>
  <conditionalFormatting sqref="T413:U414">
    <cfRule type="expression" dxfId="3034" priority="3354">
      <formula>$BC413="YES"</formula>
    </cfRule>
  </conditionalFormatting>
  <conditionalFormatting sqref="T415:U416">
    <cfRule type="expression" dxfId="3033" priority="3353">
      <formula>$BC415="YES"</formula>
    </cfRule>
  </conditionalFormatting>
  <conditionalFormatting sqref="T417:U418">
    <cfRule type="expression" dxfId="3032" priority="3352">
      <formula>$BC417="YES"</formula>
    </cfRule>
  </conditionalFormatting>
  <conditionalFormatting sqref="T419:U420">
    <cfRule type="expression" dxfId="3031" priority="3351">
      <formula>$BC419="YES"</formula>
    </cfRule>
  </conditionalFormatting>
  <conditionalFormatting sqref="T421:U422">
    <cfRule type="expression" dxfId="3030" priority="3350">
      <formula>$BC421="YES"</formula>
    </cfRule>
  </conditionalFormatting>
  <conditionalFormatting sqref="T423:U424">
    <cfRule type="expression" dxfId="3029" priority="3349">
      <formula>$BC423="YES"</formula>
    </cfRule>
  </conditionalFormatting>
  <conditionalFormatting sqref="T425:U426">
    <cfRule type="expression" dxfId="3028" priority="3348">
      <formula>$BC425="YES"</formula>
    </cfRule>
  </conditionalFormatting>
  <conditionalFormatting sqref="T427:U428">
    <cfRule type="expression" dxfId="3027" priority="3347">
      <formula>$BC427="YES"</formula>
    </cfRule>
  </conditionalFormatting>
  <conditionalFormatting sqref="T429:U430">
    <cfRule type="expression" dxfId="3026" priority="3346">
      <formula>$BC429="YES"</formula>
    </cfRule>
  </conditionalFormatting>
  <conditionalFormatting sqref="T431:U432">
    <cfRule type="expression" dxfId="3025" priority="3345">
      <formula>$BC431="YES"</formula>
    </cfRule>
  </conditionalFormatting>
  <conditionalFormatting sqref="T433:U434">
    <cfRule type="expression" dxfId="3024" priority="3344">
      <formula>$BC433="YES"</formula>
    </cfRule>
  </conditionalFormatting>
  <conditionalFormatting sqref="T435:U436">
    <cfRule type="expression" dxfId="3023" priority="3343">
      <formula>$BC435="YES"</formula>
    </cfRule>
  </conditionalFormatting>
  <conditionalFormatting sqref="T437:U438">
    <cfRule type="expression" dxfId="3022" priority="3342">
      <formula>$BC437="YES"</formula>
    </cfRule>
  </conditionalFormatting>
  <conditionalFormatting sqref="T439:U440">
    <cfRule type="expression" dxfId="3021" priority="3341">
      <formula>$BC439="YES"</formula>
    </cfRule>
  </conditionalFormatting>
  <conditionalFormatting sqref="T441:U442">
    <cfRule type="expression" dxfId="3020" priority="3340">
      <formula>$BC441="YES"</formula>
    </cfRule>
  </conditionalFormatting>
  <conditionalFormatting sqref="T443:U444">
    <cfRule type="expression" dxfId="3019" priority="3339">
      <formula>$BC443="YES"</formula>
    </cfRule>
  </conditionalFormatting>
  <conditionalFormatting sqref="T445:U446">
    <cfRule type="expression" dxfId="3018" priority="3338">
      <formula>$BC445="YES"</formula>
    </cfRule>
  </conditionalFormatting>
  <conditionalFormatting sqref="T447:U448">
    <cfRule type="expression" dxfId="3017" priority="3337">
      <formula>$BC447="YES"</formula>
    </cfRule>
  </conditionalFormatting>
  <conditionalFormatting sqref="T449:U450">
    <cfRule type="expression" dxfId="3016" priority="3336">
      <formula>$BC449="YES"</formula>
    </cfRule>
  </conditionalFormatting>
  <conditionalFormatting sqref="T451:U452">
    <cfRule type="expression" dxfId="3015" priority="3335">
      <formula>$BC451="YES"</formula>
    </cfRule>
  </conditionalFormatting>
  <conditionalFormatting sqref="T453:U454">
    <cfRule type="expression" dxfId="3014" priority="3334">
      <formula>$BC453="YES"</formula>
    </cfRule>
  </conditionalFormatting>
  <conditionalFormatting sqref="T455:U456">
    <cfRule type="expression" dxfId="3013" priority="3333">
      <formula>$BC455="YES"</formula>
    </cfRule>
  </conditionalFormatting>
  <conditionalFormatting sqref="T457:U458">
    <cfRule type="expression" dxfId="3012" priority="3332">
      <formula>$BC457="YES"</formula>
    </cfRule>
  </conditionalFormatting>
  <conditionalFormatting sqref="T459:U460">
    <cfRule type="expression" dxfId="3011" priority="3331">
      <formula>$BC459="YES"</formula>
    </cfRule>
  </conditionalFormatting>
  <conditionalFormatting sqref="T461:U462">
    <cfRule type="expression" dxfId="3010" priority="3330">
      <formula>$BC461="YES"</formula>
    </cfRule>
  </conditionalFormatting>
  <conditionalFormatting sqref="T463:U464">
    <cfRule type="expression" dxfId="3009" priority="3329">
      <formula>$BC463="YES"</formula>
    </cfRule>
  </conditionalFormatting>
  <conditionalFormatting sqref="T465:U466">
    <cfRule type="expression" dxfId="3008" priority="3328">
      <formula>$BC465="YES"</formula>
    </cfRule>
  </conditionalFormatting>
  <conditionalFormatting sqref="T467:U468">
    <cfRule type="expression" dxfId="3007" priority="3327">
      <formula>$BC467="YES"</formula>
    </cfRule>
  </conditionalFormatting>
  <conditionalFormatting sqref="T469:U470">
    <cfRule type="expression" dxfId="3006" priority="3326">
      <formula>$BC469="YES"</formula>
    </cfRule>
  </conditionalFormatting>
  <conditionalFormatting sqref="T471:U472">
    <cfRule type="expression" dxfId="3005" priority="3325">
      <formula>$BC471="YES"</formula>
    </cfRule>
  </conditionalFormatting>
  <conditionalFormatting sqref="T473:U474">
    <cfRule type="expression" dxfId="3004" priority="3324">
      <formula>$BC473="YES"</formula>
    </cfRule>
  </conditionalFormatting>
  <conditionalFormatting sqref="T475:U476">
    <cfRule type="expression" dxfId="3003" priority="3323">
      <formula>$BC475="YES"</formula>
    </cfRule>
  </conditionalFormatting>
  <conditionalFormatting sqref="T477:U478">
    <cfRule type="expression" dxfId="3002" priority="3322">
      <formula>$BC477="YES"</formula>
    </cfRule>
  </conditionalFormatting>
  <conditionalFormatting sqref="T479:U480">
    <cfRule type="expression" dxfId="3001" priority="3321">
      <formula>$BC479="YES"</formula>
    </cfRule>
  </conditionalFormatting>
  <conditionalFormatting sqref="T481:U482">
    <cfRule type="expression" dxfId="3000" priority="3320">
      <formula>$BC481="YES"</formula>
    </cfRule>
  </conditionalFormatting>
  <conditionalFormatting sqref="T483:U484">
    <cfRule type="expression" dxfId="2999" priority="3319">
      <formula>$BC483="YES"</formula>
    </cfRule>
  </conditionalFormatting>
  <conditionalFormatting sqref="T485:U486">
    <cfRule type="expression" dxfId="2998" priority="3318">
      <formula>$BC485="YES"</formula>
    </cfRule>
  </conditionalFormatting>
  <conditionalFormatting sqref="T487:U488">
    <cfRule type="expression" dxfId="2997" priority="3317">
      <formula>$BC487="YES"</formula>
    </cfRule>
  </conditionalFormatting>
  <conditionalFormatting sqref="T489:U490">
    <cfRule type="expression" dxfId="2996" priority="3316">
      <formula>$BC489="YES"</formula>
    </cfRule>
  </conditionalFormatting>
  <conditionalFormatting sqref="T491:U492">
    <cfRule type="expression" dxfId="2995" priority="3315">
      <formula>$BC491="YES"</formula>
    </cfRule>
  </conditionalFormatting>
  <conditionalFormatting sqref="T493:U494">
    <cfRule type="expression" dxfId="2994" priority="3314">
      <formula>$BC493="YES"</formula>
    </cfRule>
  </conditionalFormatting>
  <conditionalFormatting sqref="T495:U496">
    <cfRule type="expression" dxfId="2993" priority="3313">
      <formula>$BC495="YES"</formula>
    </cfRule>
  </conditionalFormatting>
  <conditionalFormatting sqref="T497:U498">
    <cfRule type="expression" dxfId="2992" priority="3312">
      <formula>$BC497="YES"</formula>
    </cfRule>
  </conditionalFormatting>
  <conditionalFormatting sqref="T499:U500">
    <cfRule type="expression" dxfId="2991" priority="3311">
      <formula>$BC499="YES"</formula>
    </cfRule>
  </conditionalFormatting>
  <conditionalFormatting sqref="T501:U502">
    <cfRule type="expression" dxfId="2990" priority="3310">
      <formula>$BC501="YES"</formula>
    </cfRule>
  </conditionalFormatting>
  <conditionalFormatting sqref="T503:U504">
    <cfRule type="expression" dxfId="2989" priority="3309">
      <formula>$BC503="YES"</formula>
    </cfRule>
  </conditionalFormatting>
  <conditionalFormatting sqref="T505:U506">
    <cfRule type="expression" dxfId="2988" priority="3308">
      <formula>$BC505="YES"</formula>
    </cfRule>
  </conditionalFormatting>
  <conditionalFormatting sqref="T507:U508">
    <cfRule type="expression" dxfId="2987" priority="3307">
      <formula>$BC507="YES"</formula>
    </cfRule>
  </conditionalFormatting>
  <conditionalFormatting sqref="T509:U510">
    <cfRule type="expression" dxfId="2986" priority="3306">
      <formula>$BC509="YES"</formula>
    </cfRule>
  </conditionalFormatting>
  <conditionalFormatting sqref="T511:U512">
    <cfRule type="expression" dxfId="2985" priority="3305">
      <formula>$BC511="YES"</formula>
    </cfRule>
  </conditionalFormatting>
  <conditionalFormatting sqref="T513:U514">
    <cfRule type="expression" dxfId="2984" priority="3304">
      <formula>$BC513="YES"</formula>
    </cfRule>
  </conditionalFormatting>
  <conditionalFormatting sqref="T515:U516">
    <cfRule type="expression" dxfId="2983" priority="3303">
      <formula>$BC515="YES"</formula>
    </cfRule>
  </conditionalFormatting>
  <conditionalFormatting sqref="T517:U518">
    <cfRule type="expression" dxfId="2982" priority="3302">
      <formula>$BC517="YES"</formula>
    </cfRule>
  </conditionalFormatting>
  <conditionalFormatting sqref="T519:U520">
    <cfRule type="expression" dxfId="2981" priority="3301">
      <formula>$BC519="YES"</formula>
    </cfRule>
  </conditionalFormatting>
  <conditionalFormatting sqref="T521:U522">
    <cfRule type="expression" dxfId="2980" priority="3300">
      <formula>$BC521="YES"</formula>
    </cfRule>
  </conditionalFormatting>
  <conditionalFormatting sqref="T523:U524">
    <cfRule type="expression" dxfId="2979" priority="3299">
      <formula>$BC523="YES"</formula>
    </cfRule>
  </conditionalFormatting>
  <conditionalFormatting sqref="T525:U526">
    <cfRule type="expression" dxfId="2978" priority="3298">
      <formula>$BC525="YES"</formula>
    </cfRule>
  </conditionalFormatting>
  <conditionalFormatting sqref="T527:U528">
    <cfRule type="expression" dxfId="2977" priority="3297">
      <formula>$BC527="YES"</formula>
    </cfRule>
  </conditionalFormatting>
  <conditionalFormatting sqref="T529:U530">
    <cfRule type="expression" dxfId="2976" priority="3296">
      <formula>$BC529="YES"</formula>
    </cfRule>
  </conditionalFormatting>
  <conditionalFormatting sqref="T531:U532">
    <cfRule type="expression" dxfId="2975" priority="3295">
      <formula>$BC531="YES"</formula>
    </cfRule>
  </conditionalFormatting>
  <conditionalFormatting sqref="T533:U534">
    <cfRule type="expression" dxfId="2974" priority="3294">
      <formula>$BC533="YES"</formula>
    </cfRule>
  </conditionalFormatting>
  <conditionalFormatting sqref="V25:W26">
    <cfRule type="expression" dxfId="2973" priority="3293">
      <formula>$BC25="YES"</formula>
    </cfRule>
  </conditionalFormatting>
  <conditionalFormatting sqref="V27:W28">
    <cfRule type="expression" dxfId="2972" priority="3292">
      <formula>$BC27="YES"</formula>
    </cfRule>
  </conditionalFormatting>
  <conditionalFormatting sqref="V29:W30">
    <cfRule type="expression" dxfId="2971" priority="3291">
      <formula>$BC29="YES"</formula>
    </cfRule>
  </conditionalFormatting>
  <conditionalFormatting sqref="V31:W32">
    <cfRule type="expression" dxfId="2970" priority="3290">
      <formula>$BC31="YES"</formula>
    </cfRule>
  </conditionalFormatting>
  <conditionalFormatting sqref="V33:W34">
    <cfRule type="expression" dxfId="2969" priority="3289">
      <formula>$BC33="YES"</formula>
    </cfRule>
  </conditionalFormatting>
  <conditionalFormatting sqref="V35:W36">
    <cfRule type="expression" dxfId="2968" priority="3288">
      <formula>$BC35="YES"</formula>
    </cfRule>
  </conditionalFormatting>
  <conditionalFormatting sqref="V37:W38">
    <cfRule type="expression" dxfId="2967" priority="3287">
      <formula>$BC37="YES"</formula>
    </cfRule>
  </conditionalFormatting>
  <conditionalFormatting sqref="V39:W40">
    <cfRule type="expression" dxfId="2966" priority="3286">
      <formula>$BC39="YES"</formula>
    </cfRule>
  </conditionalFormatting>
  <conditionalFormatting sqref="V41:W42">
    <cfRule type="expression" dxfId="2965" priority="3285">
      <formula>$BC41="YES"</formula>
    </cfRule>
  </conditionalFormatting>
  <conditionalFormatting sqref="V43:W44">
    <cfRule type="expression" dxfId="2964" priority="3284">
      <formula>$BC43="YES"</formula>
    </cfRule>
  </conditionalFormatting>
  <conditionalFormatting sqref="V45:W46">
    <cfRule type="expression" dxfId="2963" priority="3283">
      <formula>$BC45="YES"</formula>
    </cfRule>
  </conditionalFormatting>
  <conditionalFormatting sqref="V47:W48">
    <cfRule type="expression" dxfId="2962" priority="3282">
      <formula>$BC47="YES"</formula>
    </cfRule>
  </conditionalFormatting>
  <conditionalFormatting sqref="V49:W50">
    <cfRule type="expression" dxfId="2961" priority="3281">
      <formula>$BC49="YES"</formula>
    </cfRule>
  </conditionalFormatting>
  <conditionalFormatting sqref="V51:W52">
    <cfRule type="expression" dxfId="2960" priority="3280">
      <formula>$BC51="YES"</formula>
    </cfRule>
  </conditionalFormatting>
  <conditionalFormatting sqref="V53:W54">
    <cfRule type="expression" dxfId="2959" priority="3279">
      <formula>$BC53="YES"</formula>
    </cfRule>
  </conditionalFormatting>
  <conditionalFormatting sqref="V55:W56">
    <cfRule type="expression" dxfId="2958" priority="3278">
      <formula>$BC55="YES"</formula>
    </cfRule>
  </conditionalFormatting>
  <conditionalFormatting sqref="V57:W58">
    <cfRule type="expression" dxfId="2957" priority="3277">
      <formula>$BC57="YES"</formula>
    </cfRule>
  </conditionalFormatting>
  <conditionalFormatting sqref="V59:W60">
    <cfRule type="expression" dxfId="2956" priority="3276">
      <formula>$BC59="YES"</formula>
    </cfRule>
  </conditionalFormatting>
  <conditionalFormatting sqref="V61:W62">
    <cfRule type="expression" dxfId="2955" priority="3275">
      <formula>$BC61="YES"</formula>
    </cfRule>
  </conditionalFormatting>
  <conditionalFormatting sqref="V63:W64">
    <cfRule type="expression" dxfId="2954" priority="3274">
      <formula>$BC63="YES"</formula>
    </cfRule>
  </conditionalFormatting>
  <conditionalFormatting sqref="V65:W66">
    <cfRule type="expression" dxfId="2953" priority="3273">
      <formula>$BC65="YES"</formula>
    </cfRule>
  </conditionalFormatting>
  <conditionalFormatting sqref="V67:W68">
    <cfRule type="expression" dxfId="2952" priority="3272">
      <formula>$BC67="YES"</formula>
    </cfRule>
  </conditionalFormatting>
  <conditionalFormatting sqref="V69:W70">
    <cfRule type="expression" dxfId="2951" priority="3271">
      <formula>$BC69="YES"</formula>
    </cfRule>
  </conditionalFormatting>
  <conditionalFormatting sqref="V71:W72">
    <cfRule type="expression" dxfId="2950" priority="3270">
      <formula>$BC71="YES"</formula>
    </cfRule>
  </conditionalFormatting>
  <conditionalFormatting sqref="V73:W74">
    <cfRule type="expression" dxfId="2949" priority="3269">
      <formula>$BC73="YES"</formula>
    </cfRule>
  </conditionalFormatting>
  <conditionalFormatting sqref="V75:W76">
    <cfRule type="expression" dxfId="2948" priority="3268">
      <formula>$BC75="YES"</formula>
    </cfRule>
  </conditionalFormatting>
  <conditionalFormatting sqref="V77:W78">
    <cfRule type="expression" dxfId="2947" priority="3267">
      <formula>$BC77="YES"</formula>
    </cfRule>
  </conditionalFormatting>
  <conditionalFormatting sqref="V79:W80">
    <cfRule type="expression" dxfId="2946" priority="3266">
      <formula>$BC79="YES"</formula>
    </cfRule>
  </conditionalFormatting>
  <conditionalFormatting sqref="V81:W82">
    <cfRule type="expression" dxfId="2945" priority="3265">
      <formula>$BC81="YES"</formula>
    </cfRule>
  </conditionalFormatting>
  <conditionalFormatting sqref="V83:W84">
    <cfRule type="expression" dxfId="2944" priority="3264">
      <formula>$BC83="YES"</formula>
    </cfRule>
  </conditionalFormatting>
  <conditionalFormatting sqref="V85:W86">
    <cfRule type="expression" dxfId="2943" priority="3263">
      <formula>$BC85="YES"</formula>
    </cfRule>
  </conditionalFormatting>
  <conditionalFormatting sqref="V87:W88">
    <cfRule type="expression" dxfId="2942" priority="3262">
      <formula>$BC87="YES"</formula>
    </cfRule>
  </conditionalFormatting>
  <conditionalFormatting sqref="V89:W90">
    <cfRule type="expression" dxfId="2941" priority="3261">
      <formula>$BC89="YES"</formula>
    </cfRule>
  </conditionalFormatting>
  <conditionalFormatting sqref="V91:W92">
    <cfRule type="expression" dxfId="2940" priority="3260">
      <formula>$BC91="YES"</formula>
    </cfRule>
  </conditionalFormatting>
  <conditionalFormatting sqref="V93:W94">
    <cfRule type="expression" dxfId="2939" priority="3259">
      <formula>$BC93="YES"</formula>
    </cfRule>
  </conditionalFormatting>
  <conditionalFormatting sqref="V95:W96">
    <cfRule type="expression" dxfId="2938" priority="3258">
      <formula>$BC95="YES"</formula>
    </cfRule>
  </conditionalFormatting>
  <conditionalFormatting sqref="V97:W98">
    <cfRule type="expression" dxfId="2937" priority="3257">
      <formula>$BC97="YES"</formula>
    </cfRule>
  </conditionalFormatting>
  <conditionalFormatting sqref="V99:W100">
    <cfRule type="expression" dxfId="2936" priority="3256">
      <formula>$BC99="YES"</formula>
    </cfRule>
  </conditionalFormatting>
  <conditionalFormatting sqref="V101:W102">
    <cfRule type="expression" dxfId="2935" priority="3255">
      <formula>$BC101="YES"</formula>
    </cfRule>
  </conditionalFormatting>
  <conditionalFormatting sqref="V103:W104">
    <cfRule type="expression" dxfId="2934" priority="3254">
      <formula>$BC103="YES"</formula>
    </cfRule>
  </conditionalFormatting>
  <conditionalFormatting sqref="V105:W106">
    <cfRule type="expression" dxfId="2933" priority="3253">
      <formula>$BC105="YES"</formula>
    </cfRule>
  </conditionalFormatting>
  <conditionalFormatting sqref="V107:W108">
    <cfRule type="expression" dxfId="2932" priority="3252">
      <formula>$BC107="YES"</formula>
    </cfRule>
  </conditionalFormatting>
  <conditionalFormatting sqref="V109:W110">
    <cfRule type="expression" dxfId="2931" priority="3251">
      <formula>$BC109="YES"</formula>
    </cfRule>
  </conditionalFormatting>
  <conditionalFormatting sqref="V111:W112">
    <cfRule type="expression" dxfId="2930" priority="3250">
      <formula>$BC111="YES"</formula>
    </cfRule>
  </conditionalFormatting>
  <conditionalFormatting sqref="V113:W114">
    <cfRule type="expression" dxfId="2929" priority="3249">
      <formula>$BC113="YES"</formula>
    </cfRule>
  </conditionalFormatting>
  <conditionalFormatting sqref="V115:W116">
    <cfRule type="expression" dxfId="2928" priority="3248">
      <formula>$BC115="YES"</formula>
    </cfRule>
  </conditionalFormatting>
  <conditionalFormatting sqref="V117:W118">
    <cfRule type="expression" dxfId="2927" priority="3247">
      <formula>$BC117="YES"</formula>
    </cfRule>
  </conditionalFormatting>
  <conditionalFormatting sqref="V119:W120">
    <cfRule type="expression" dxfId="2926" priority="3246">
      <formula>$BC119="YES"</formula>
    </cfRule>
  </conditionalFormatting>
  <conditionalFormatting sqref="V121:W122">
    <cfRule type="expression" dxfId="2925" priority="3245">
      <formula>$BC121="YES"</formula>
    </cfRule>
  </conditionalFormatting>
  <conditionalFormatting sqref="V123:W124">
    <cfRule type="expression" dxfId="2924" priority="3244">
      <formula>$BC123="YES"</formula>
    </cfRule>
  </conditionalFormatting>
  <conditionalFormatting sqref="V125:W126">
    <cfRule type="expression" dxfId="2923" priority="3243">
      <formula>$BC125="YES"</formula>
    </cfRule>
  </conditionalFormatting>
  <conditionalFormatting sqref="V127:W128">
    <cfRule type="expression" dxfId="2922" priority="3242">
      <formula>$BC127="YES"</formula>
    </cfRule>
  </conditionalFormatting>
  <conditionalFormatting sqref="V129:W130">
    <cfRule type="expression" dxfId="2921" priority="3241">
      <formula>$BC129="YES"</formula>
    </cfRule>
  </conditionalFormatting>
  <conditionalFormatting sqref="V131:W132">
    <cfRule type="expression" dxfId="2920" priority="3240">
      <formula>$BC131="YES"</formula>
    </cfRule>
  </conditionalFormatting>
  <conditionalFormatting sqref="V133:W134">
    <cfRule type="expression" dxfId="2919" priority="3239">
      <formula>$BC133="YES"</formula>
    </cfRule>
  </conditionalFormatting>
  <conditionalFormatting sqref="V135:W136">
    <cfRule type="expression" dxfId="2918" priority="3238">
      <formula>$BC135="YES"</formula>
    </cfRule>
  </conditionalFormatting>
  <conditionalFormatting sqref="V137:W138">
    <cfRule type="expression" dxfId="2917" priority="3237">
      <formula>$BC137="YES"</formula>
    </cfRule>
  </conditionalFormatting>
  <conditionalFormatting sqref="V139:W140">
    <cfRule type="expression" dxfId="2916" priority="3236">
      <formula>$BC139="YES"</formula>
    </cfRule>
  </conditionalFormatting>
  <conditionalFormatting sqref="V141:W142">
    <cfRule type="expression" dxfId="2915" priority="3235">
      <formula>$BC141="YES"</formula>
    </cfRule>
  </conditionalFormatting>
  <conditionalFormatting sqref="V143:W144">
    <cfRule type="expression" dxfId="2914" priority="3234">
      <formula>$BC143="YES"</formula>
    </cfRule>
  </conditionalFormatting>
  <conditionalFormatting sqref="V145:W146">
    <cfRule type="expression" dxfId="2913" priority="3233">
      <formula>$BC145="YES"</formula>
    </cfRule>
  </conditionalFormatting>
  <conditionalFormatting sqref="V147:W148">
    <cfRule type="expression" dxfId="2912" priority="3232">
      <formula>$BC147="YES"</formula>
    </cfRule>
  </conditionalFormatting>
  <conditionalFormatting sqref="V149:W150">
    <cfRule type="expression" dxfId="2911" priority="3231">
      <formula>$BC149="YES"</formula>
    </cfRule>
  </conditionalFormatting>
  <conditionalFormatting sqref="V151:W152">
    <cfRule type="expression" dxfId="2910" priority="3230">
      <formula>$BC151="YES"</formula>
    </cfRule>
  </conditionalFormatting>
  <conditionalFormatting sqref="V153:W154">
    <cfRule type="expression" dxfId="2909" priority="3229">
      <formula>$BC153="YES"</formula>
    </cfRule>
  </conditionalFormatting>
  <conditionalFormatting sqref="V155:W156">
    <cfRule type="expression" dxfId="2908" priority="3228">
      <formula>$BC155="YES"</formula>
    </cfRule>
  </conditionalFormatting>
  <conditionalFormatting sqref="V157:W158">
    <cfRule type="expression" dxfId="2907" priority="3227">
      <formula>$BC157="YES"</formula>
    </cfRule>
  </conditionalFormatting>
  <conditionalFormatting sqref="V159:W160">
    <cfRule type="expression" dxfId="2906" priority="3226">
      <formula>$BC159="YES"</formula>
    </cfRule>
  </conditionalFormatting>
  <conditionalFormatting sqref="V161:W162">
    <cfRule type="expression" dxfId="2905" priority="3225">
      <formula>$BC161="YES"</formula>
    </cfRule>
  </conditionalFormatting>
  <conditionalFormatting sqref="V163:W164">
    <cfRule type="expression" dxfId="2904" priority="3224">
      <formula>$BC163="YES"</formula>
    </cfRule>
  </conditionalFormatting>
  <conditionalFormatting sqref="V165:W166">
    <cfRule type="expression" dxfId="2903" priority="3223">
      <formula>$BC165="YES"</formula>
    </cfRule>
  </conditionalFormatting>
  <conditionalFormatting sqref="V167:W168">
    <cfRule type="expression" dxfId="2902" priority="3222">
      <formula>$BC167="YES"</formula>
    </cfRule>
  </conditionalFormatting>
  <conditionalFormatting sqref="V169:W170">
    <cfRule type="expression" dxfId="2901" priority="3221">
      <formula>$BC169="YES"</formula>
    </cfRule>
  </conditionalFormatting>
  <conditionalFormatting sqref="V171:W172">
    <cfRule type="expression" dxfId="2900" priority="3220">
      <formula>$BC171="YES"</formula>
    </cfRule>
  </conditionalFormatting>
  <conditionalFormatting sqref="V173:W174">
    <cfRule type="expression" dxfId="2899" priority="3219">
      <formula>$BC173="YES"</formula>
    </cfRule>
  </conditionalFormatting>
  <conditionalFormatting sqref="V175:W176">
    <cfRule type="expression" dxfId="2898" priority="3218">
      <formula>$BC175="YES"</formula>
    </cfRule>
  </conditionalFormatting>
  <conditionalFormatting sqref="V177:W178">
    <cfRule type="expression" dxfId="2897" priority="3217">
      <formula>$BC177="YES"</formula>
    </cfRule>
  </conditionalFormatting>
  <conditionalFormatting sqref="V179:W180">
    <cfRule type="expression" dxfId="2896" priority="3216">
      <formula>$BC179="YES"</formula>
    </cfRule>
  </conditionalFormatting>
  <conditionalFormatting sqref="V181:W182">
    <cfRule type="expression" dxfId="2895" priority="3215">
      <formula>$BC181="YES"</formula>
    </cfRule>
  </conditionalFormatting>
  <conditionalFormatting sqref="V183:W184">
    <cfRule type="expression" dxfId="2894" priority="3214">
      <formula>$BC183="YES"</formula>
    </cfRule>
  </conditionalFormatting>
  <conditionalFormatting sqref="V185:W186">
    <cfRule type="expression" dxfId="2893" priority="3213">
      <formula>$BC185="YES"</formula>
    </cfRule>
  </conditionalFormatting>
  <conditionalFormatting sqref="V187:W188">
    <cfRule type="expression" dxfId="2892" priority="3212">
      <formula>$BC187="YES"</formula>
    </cfRule>
  </conditionalFormatting>
  <conditionalFormatting sqref="V189:W190">
    <cfRule type="expression" dxfId="2891" priority="3211">
      <formula>$BC189="YES"</formula>
    </cfRule>
  </conditionalFormatting>
  <conditionalFormatting sqref="V191:W192">
    <cfRule type="expression" dxfId="2890" priority="3210">
      <formula>$BC191="YES"</formula>
    </cfRule>
  </conditionalFormatting>
  <conditionalFormatting sqref="V193:W194">
    <cfRule type="expression" dxfId="2889" priority="3209">
      <formula>$BC193="YES"</formula>
    </cfRule>
  </conditionalFormatting>
  <conditionalFormatting sqref="V195:W196">
    <cfRule type="expression" dxfId="2888" priority="3208">
      <formula>$BC195="YES"</formula>
    </cfRule>
  </conditionalFormatting>
  <conditionalFormatting sqref="V197:W198">
    <cfRule type="expression" dxfId="2887" priority="3207">
      <formula>$BC197="YES"</formula>
    </cfRule>
  </conditionalFormatting>
  <conditionalFormatting sqref="V199:W200">
    <cfRule type="expression" dxfId="2886" priority="3206">
      <formula>$BC199="YES"</formula>
    </cfRule>
  </conditionalFormatting>
  <conditionalFormatting sqref="V201:W202">
    <cfRule type="expression" dxfId="2885" priority="3205">
      <formula>$BC201="YES"</formula>
    </cfRule>
  </conditionalFormatting>
  <conditionalFormatting sqref="V203:W204">
    <cfRule type="expression" dxfId="2884" priority="3204">
      <formula>$BC203="YES"</formula>
    </cfRule>
  </conditionalFormatting>
  <conditionalFormatting sqref="V205:W206">
    <cfRule type="expression" dxfId="2883" priority="3203">
      <formula>$BC205="YES"</formula>
    </cfRule>
  </conditionalFormatting>
  <conditionalFormatting sqref="V207:W208">
    <cfRule type="expression" dxfId="2882" priority="3202">
      <formula>$BC207="YES"</formula>
    </cfRule>
  </conditionalFormatting>
  <conditionalFormatting sqref="V209:W210">
    <cfRule type="expression" dxfId="2881" priority="3201">
      <formula>$BC209="YES"</formula>
    </cfRule>
  </conditionalFormatting>
  <conditionalFormatting sqref="V211:W212">
    <cfRule type="expression" dxfId="2880" priority="3200">
      <formula>$BC211="YES"</formula>
    </cfRule>
  </conditionalFormatting>
  <conditionalFormatting sqref="V213:W214">
    <cfRule type="expression" dxfId="2879" priority="3199">
      <formula>$BC213="YES"</formula>
    </cfRule>
  </conditionalFormatting>
  <conditionalFormatting sqref="V215:W216">
    <cfRule type="expression" dxfId="2878" priority="3198">
      <formula>$BC215="YES"</formula>
    </cfRule>
  </conditionalFormatting>
  <conditionalFormatting sqref="V217:W218">
    <cfRule type="expression" dxfId="2877" priority="3197">
      <formula>$BC217="YES"</formula>
    </cfRule>
  </conditionalFormatting>
  <conditionalFormatting sqref="V219:W220">
    <cfRule type="expression" dxfId="2876" priority="3196">
      <formula>$BC219="YES"</formula>
    </cfRule>
  </conditionalFormatting>
  <conditionalFormatting sqref="V221:W222">
    <cfRule type="expression" dxfId="2875" priority="3195">
      <formula>$BC221="YES"</formula>
    </cfRule>
  </conditionalFormatting>
  <conditionalFormatting sqref="V223:W224">
    <cfRule type="expression" dxfId="2874" priority="3194">
      <formula>$BC223="YES"</formula>
    </cfRule>
  </conditionalFormatting>
  <conditionalFormatting sqref="V225:W226">
    <cfRule type="expression" dxfId="2873" priority="3193">
      <formula>$BC225="YES"</formula>
    </cfRule>
  </conditionalFormatting>
  <conditionalFormatting sqref="V227:W228">
    <cfRule type="expression" dxfId="2872" priority="3192">
      <formula>$BC227="YES"</formula>
    </cfRule>
  </conditionalFormatting>
  <conditionalFormatting sqref="V229:W230">
    <cfRule type="expression" dxfId="2871" priority="3191">
      <formula>$BC229="YES"</formula>
    </cfRule>
  </conditionalFormatting>
  <conditionalFormatting sqref="V231:W232">
    <cfRule type="expression" dxfId="2870" priority="3190">
      <formula>$BC231="YES"</formula>
    </cfRule>
  </conditionalFormatting>
  <conditionalFormatting sqref="V233:W234">
    <cfRule type="expression" dxfId="2869" priority="3189">
      <formula>$BC233="YES"</formula>
    </cfRule>
  </conditionalFormatting>
  <conditionalFormatting sqref="V235:W236">
    <cfRule type="expression" dxfId="2868" priority="3188">
      <formula>$BC235="YES"</formula>
    </cfRule>
  </conditionalFormatting>
  <conditionalFormatting sqref="V237:W238">
    <cfRule type="expression" dxfId="2867" priority="3187">
      <formula>$BC237="YES"</formula>
    </cfRule>
  </conditionalFormatting>
  <conditionalFormatting sqref="V239:W240">
    <cfRule type="expression" dxfId="2866" priority="3186">
      <formula>$BC239="YES"</formula>
    </cfRule>
  </conditionalFormatting>
  <conditionalFormatting sqref="V241:W242">
    <cfRule type="expression" dxfId="2865" priority="3185">
      <formula>$BC241="YES"</formula>
    </cfRule>
  </conditionalFormatting>
  <conditionalFormatting sqref="V243:W244">
    <cfRule type="expression" dxfId="2864" priority="3184">
      <formula>$BC243="YES"</formula>
    </cfRule>
  </conditionalFormatting>
  <conditionalFormatting sqref="V245:W246">
    <cfRule type="expression" dxfId="2863" priority="3183">
      <formula>$BC245="YES"</formula>
    </cfRule>
  </conditionalFormatting>
  <conditionalFormatting sqref="V247:W248">
    <cfRule type="expression" dxfId="2862" priority="3182">
      <formula>$BC247="YES"</formula>
    </cfRule>
  </conditionalFormatting>
  <conditionalFormatting sqref="V249:W250">
    <cfRule type="expression" dxfId="2861" priority="3181">
      <formula>$BC249="YES"</formula>
    </cfRule>
  </conditionalFormatting>
  <conditionalFormatting sqref="V251:W252">
    <cfRule type="expression" dxfId="2860" priority="3180">
      <formula>$BC251="YES"</formula>
    </cfRule>
  </conditionalFormatting>
  <conditionalFormatting sqref="V253:W254">
    <cfRule type="expression" dxfId="2859" priority="3179">
      <formula>$BC253="YES"</formula>
    </cfRule>
  </conditionalFormatting>
  <conditionalFormatting sqref="V255:W256">
    <cfRule type="expression" dxfId="2858" priority="3178">
      <formula>$BC255="YES"</formula>
    </cfRule>
  </conditionalFormatting>
  <conditionalFormatting sqref="V257:W258">
    <cfRule type="expression" dxfId="2857" priority="3177">
      <formula>$BC257="YES"</formula>
    </cfRule>
  </conditionalFormatting>
  <conditionalFormatting sqref="V259:W260">
    <cfRule type="expression" dxfId="2856" priority="3176">
      <formula>$BC259="YES"</formula>
    </cfRule>
  </conditionalFormatting>
  <conditionalFormatting sqref="V261:W262">
    <cfRule type="expression" dxfId="2855" priority="3175">
      <formula>$BC261="YES"</formula>
    </cfRule>
  </conditionalFormatting>
  <conditionalFormatting sqref="V263:W264">
    <cfRule type="expression" dxfId="2854" priority="3174">
      <formula>$BC263="YES"</formula>
    </cfRule>
  </conditionalFormatting>
  <conditionalFormatting sqref="V265:W266">
    <cfRule type="expression" dxfId="2853" priority="3173">
      <formula>$BC265="YES"</formula>
    </cfRule>
  </conditionalFormatting>
  <conditionalFormatting sqref="V267:W268">
    <cfRule type="expression" dxfId="2852" priority="3172">
      <formula>$BC267="YES"</formula>
    </cfRule>
  </conditionalFormatting>
  <conditionalFormatting sqref="V269:W270">
    <cfRule type="expression" dxfId="2851" priority="3171">
      <formula>$BC269="YES"</formula>
    </cfRule>
  </conditionalFormatting>
  <conditionalFormatting sqref="V271:W272">
    <cfRule type="expression" dxfId="2850" priority="3170">
      <formula>$BC271="YES"</formula>
    </cfRule>
  </conditionalFormatting>
  <conditionalFormatting sqref="V273:W274">
    <cfRule type="expression" dxfId="2849" priority="3169">
      <formula>$BC273="YES"</formula>
    </cfRule>
  </conditionalFormatting>
  <conditionalFormatting sqref="V275:W276">
    <cfRule type="expression" dxfId="2848" priority="3168">
      <formula>$BC275="YES"</formula>
    </cfRule>
  </conditionalFormatting>
  <conditionalFormatting sqref="V277:W278">
    <cfRule type="expression" dxfId="2847" priority="3167">
      <formula>$BC277="YES"</formula>
    </cfRule>
  </conditionalFormatting>
  <conditionalFormatting sqref="V279:W280">
    <cfRule type="expression" dxfId="2846" priority="3166">
      <formula>$BC279="YES"</formula>
    </cfRule>
  </conditionalFormatting>
  <conditionalFormatting sqref="V281:W282">
    <cfRule type="expression" dxfId="2845" priority="3165">
      <formula>$BC281="YES"</formula>
    </cfRule>
  </conditionalFormatting>
  <conditionalFormatting sqref="V283:W284">
    <cfRule type="expression" dxfId="2844" priority="3164">
      <formula>$BC283="YES"</formula>
    </cfRule>
  </conditionalFormatting>
  <conditionalFormatting sqref="V285:W286">
    <cfRule type="expression" dxfId="2843" priority="3163">
      <formula>$BC285="YES"</formula>
    </cfRule>
  </conditionalFormatting>
  <conditionalFormatting sqref="V287:W288">
    <cfRule type="expression" dxfId="2842" priority="3162">
      <formula>$BC287="YES"</formula>
    </cfRule>
  </conditionalFormatting>
  <conditionalFormatting sqref="V289:W290">
    <cfRule type="expression" dxfId="2841" priority="3161">
      <formula>$BC289="YES"</formula>
    </cfRule>
  </conditionalFormatting>
  <conditionalFormatting sqref="V291:W292">
    <cfRule type="expression" dxfId="2840" priority="3160">
      <formula>$BC291="YES"</formula>
    </cfRule>
  </conditionalFormatting>
  <conditionalFormatting sqref="V293:W294">
    <cfRule type="expression" dxfId="2839" priority="3159">
      <formula>$BC293="YES"</formula>
    </cfRule>
  </conditionalFormatting>
  <conditionalFormatting sqref="V295:W296">
    <cfRule type="expression" dxfId="2838" priority="3158">
      <formula>$BC295="YES"</formula>
    </cfRule>
  </conditionalFormatting>
  <conditionalFormatting sqref="V297:W298">
    <cfRule type="expression" dxfId="2837" priority="3157">
      <formula>$BC297="YES"</formula>
    </cfRule>
  </conditionalFormatting>
  <conditionalFormatting sqref="V299:W300">
    <cfRule type="expression" dxfId="2836" priority="3156">
      <formula>$BC299="YES"</formula>
    </cfRule>
  </conditionalFormatting>
  <conditionalFormatting sqref="V301:W302">
    <cfRule type="expression" dxfId="2835" priority="3155">
      <formula>$BC301="YES"</formula>
    </cfRule>
  </conditionalFormatting>
  <conditionalFormatting sqref="V303:W304">
    <cfRule type="expression" dxfId="2834" priority="3154">
      <formula>$BC303="YES"</formula>
    </cfRule>
  </conditionalFormatting>
  <conditionalFormatting sqref="V305:W306">
    <cfRule type="expression" dxfId="2833" priority="3153">
      <formula>$BC305="YES"</formula>
    </cfRule>
  </conditionalFormatting>
  <conditionalFormatting sqref="V307:W308">
    <cfRule type="expression" dxfId="2832" priority="3152">
      <formula>$BC307="YES"</formula>
    </cfRule>
  </conditionalFormatting>
  <conditionalFormatting sqref="V309:W310">
    <cfRule type="expression" dxfId="2831" priority="3151">
      <formula>$BC309="YES"</formula>
    </cfRule>
  </conditionalFormatting>
  <conditionalFormatting sqref="V311:W312">
    <cfRule type="expression" dxfId="2830" priority="3150">
      <formula>$BC311="YES"</formula>
    </cfRule>
  </conditionalFormatting>
  <conditionalFormatting sqref="V313:W314">
    <cfRule type="expression" dxfId="2829" priority="3149">
      <formula>$BC313="YES"</formula>
    </cfRule>
  </conditionalFormatting>
  <conditionalFormatting sqref="V315:W316">
    <cfRule type="expression" dxfId="2828" priority="3148">
      <formula>$BC315="YES"</formula>
    </cfRule>
  </conditionalFormatting>
  <conditionalFormatting sqref="V317:W318">
    <cfRule type="expression" dxfId="2827" priority="3147">
      <formula>$BC317="YES"</formula>
    </cfRule>
  </conditionalFormatting>
  <conditionalFormatting sqref="V319:W320">
    <cfRule type="expression" dxfId="2826" priority="3146">
      <formula>$BC319="YES"</formula>
    </cfRule>
  </conditionalFormatting>
  <conditionalFormatting sqref="V321:W322">
    <cfRule type="expression" dxfId="2825" priority="3145">
      <formula>$BC321="YES"</formula>
    </cfRule>
  </conditionalFormatting>
  <conditionalFormatting sqref="V323:W324">
    <cfRule type="expression" dxfId="2824" priority="3144">
      <formula>$BC323="YES"</formula>
    </cfRule>
  </conditionalFormatting>
  <conditionalFormatting sqref="V325:W326">
    <cfRule type="expression" dxfId="2823" priority="3143">
      <formula>$BC325="YES"</formula>
    </cfRule>
  </conditionalFormatting>
  <conditionalFormatting sqref="V327:W328">
    <cfRule type="expression" dxfId="2822" priority="3142">
      <formula>$BC327="YES"</formula>
    </cfRule>
  </conditionalFormatting>
  <conditionalFormatting sqref="V329:W330">
    <cfRule type="expression" dxfId="2821" priority="3141">
      <formula>$BC329="YES"</formula>
    </cfRule>
  </conditionalFormatting>
  <conditionalFormatting sqref="V331:W332">
    <cfRule type="expression" dxfId="2820" priority="3140">
      <formula>$BC331="YES"</formula>
    </cfRule>
  </conditionalFormatting>
  <conditionalFormatting sqref="V333:W334">
    <cfRule type="expression" dxfId="2819" priority="3139">
      <formula>$BC333="YES"</formula>
    </cfRule>
  </conditionalFormatting>
  <conditionalFormatting sqref="V335:W336">
    <cfRule type="expression" dxfId="2818" priority="3138">
      <formula>$BC335="YES"</formula>
    </cfRule>
  </conditionalFormatting>
  <conditionalFormatting sqref="V337:W338">
    <cfRule type="expression" dxfId="2817" priority="3137">
      <formula>$BC337="YES"</formula>
    </cfRule>
  </conditionalFormatting>
  <conditionalFormatting sqref="V339:W340">
    <cfRule type="expression" dxfId="2816" priority="3136">
      <formula>$BC339="YES"</formula>
    </cfRule>
  </conditionalFormatting>
  <conditionalFormatting sqref="V341:W342">
    <cfRule type="expression" dxfId="2815" priority="3135">
      <formula>$BC341="YES"</formula>
    </cfRule>
  </conditionalFormatting>
  <conditionalFormatting sqref="V343:W344">
    <cfRule type="expression" dxfId="2814" priority="3134">
      <formula>$BC343="YES"</formula>
    </cfRule>
  </conditionalFormatting>
  <conditionalFormatting sqref="V345:W346">
    <cfRule type="expression" dxfId="2813" priority="3133">
      <formula>$BC345="YES"</formula>
    </cfRule>
  </conditionalFormatting>
  <conditionalFormatting sqref="V347:W348">
    <cfRule type="expression" dxfId="2812" priority="3132">
      <formula>$BC347="YES"</formula>
    </cfRule>
  </conditionalFormatting>
  <conditionalFormatting sqref="V349:W350">
    <cfRule type="expression" dxfId="2811" priority="3131">
      <formula>$BC349="YES"</formula>
    </cfRule>
  </conditionalFormatting>
  <conditionalFormatting sqref="V351:W352">
    <cfRule type="expression" dxfId="2810" priority="3130">
      <formula>$BC351="YES"</formula>
    </cfRule>
  </conditionalFormatting>
  <conditionalFormatting sqref="V353:W354">
    <cfRule type="expression" dxfId="2809" priority="3129">
      <formula>$BC353="YES"</formula>
    </cfRule>
  </conditionalFormatting>
  <conditionalFormatting sqref="V355:W356">
    <cfRule type="expression" dxfId="2808" priority="3128">
      <formula>$BC355="YES"</formula>
    </cfRule>
  </conditionalFormatting>
  <conditionalFormatting sqref="V357:W358">
    <cfRule type="expression" dxfId="2807" priority="3127">
      <formula>$BC357="YES"</formula>
    </cfRule>
  </conditionalFormatting>
  <conditionalFormatting sqref="V359:W360">
    <cfRule type="expression" dxfId="2806" priority="3126">
      <formula>$BC359="YES"</formula>
    </cfRule>
  </conditionalFormatting>
  <conditionalFormatting sqref="V361:W362">
    <cfRule type="expression" dxfId="2805" priority="3125">
      <formula>$BC361="YES"</formula>
    </cfRule>
  </conditionalFormatting>
  <conditionalFormatting sqref="V363:W364">
    <cfRule type="expression" dxfId="2804" priority="3124">
      <formula>$BC363="YES"</formula>
    </cfRule>
  </conditionalFormatting>
  <conditionalFormatting sqref="V365:W366">
    <cfRule type="expression" dxfId="2803" priority="3123">
      <formula>$BC365="YES"</formula>
    </cfRule>
  </conditionalFormatting>
  <conditionalFormatting sqref="V367:W368">
    <cfRule type="expression" dxfId="2802" priority="3122">
      <formula>$BC367="YES"</formula>
    </cfRule>
  </conditionalFormatting>
  <conditionalFormatting sqref="V369:W370">
    <cfRule type="expression" dxfId="2801" priority="3121">
      <formula>$BC369="YES"</formula>
    </cfRule>
  </conditionalFormatting>
  <conditionalFormatting sqref="V371:W372">
    <cfRule type="expression" dxfId="2800" priority="3120">
      <formula>$BC371="YES"</formula>
    </cfRule>
  </conditionalFormatting>
  <conditionalFormatting sqref="V387:W388">
    <cfRule type="expression" dxfId="2799" priority="3112">
      <formula>$BC387="YES"</formula>
    </cfRule>
  </conditionalFormatting>
  <conditionalFormatting sqref="V389:W390">
    <cfRule type="expression" dxfId="2798" priority="3111">
      <formula>$BC389="YES"</formula>
    </cfRule>
  </conditionalFormatting>
  <conditionalFormatting sqref="V391:W392">
    <cfRule type="expression" dxfId="2797" priority="3110">
      <formula>$BC391="YES"</formula>
    </cfRule>
  </conditionalFormatting>
  <conditionalFormatting sqref="V393:W394">
    <cfRule type="expression" dxfId="2796" priority="3109">
      <formula>$BC393="YES"</formula>
    </cfRule>
  </conditionalFormatting>
  <conditionalFormatting sqref="V395:W396">
    <cfRule type="expression" dxfId="2795" priority="3108">
      <formula>$BC395="YES"</formula>
    </cfRule>
  </conditionalFormatting>
  <conditionalFormatting sqref="V397:W398">
    <cfRule type="expression" dxfId="2794" priority="3107">
      <formula>$BC397="YES"</formula>
    </cfRule>
  </conditionalFormatting>
  <conditionalFormatting sqref="V399:W400">
    <cfRule type="expression" dxfId="2793" priority="3106">
      <formula>$BC399="YES"</formula>
    </cfRule>
  </conditionalFormatting>
  <conditionalFormatting sqref="V401:W402">
    <cfRule type="expression" dxfId="2792" priority="3105">
      <formula>$BC401="YES"</formula>
    </cfRule>
  </conditionalFormatting>
  <conditionalFormatting sqref="V403:W404">
    <cfRule type="expression" dxfId="2791" priority="3104">
      <formula>$BC403="YES"</formula>
    </cfRule>
  </conditionalFormatting>
  <conditionalFormatting sqref="V405:W406">
    <cfRule type="expression" dxfId="2790" priority="3103">
      <formula>$BC405="YES"</formula>
    </cfRule>
  </conditionalFormatting>
  <conditionalFormatting sqref="V407:W408">
    <cfRule type="expression" dxfId="2789" priority="3102">
      <formula>$BC407="YES"</formula>
    </cfRule>
  </conditionalFormatting>
  <conditionalFormatting sqref="V409:W410">
    <cfRule type="expression" dxfId="2788" priority="3101">
      <formula>$BC409="YES"</formula>
    </cfRule>
  </conditionalFormatting>
  <conditionalFormatting sqref="V411:W412">
    <cfRule type="expression" dxfId="2787" priority="3100">
      <formula>$BC411="YES"</formula>
    </cfRule>
  </conditionalFormatting>
  <conditionalFormatting sqref="V413:W414">
    <cfRule type="expression" dxfId="2786" priority="3099">
      <formula>$BC413="YES"</formula>
    </cfRule>
  </conditionalFormatting>
  <conditionalFormatting sqref="V415:W416">
    <cfRule type="expression" dxfId="2785" priority="3098">
      <formula>$BC415="YES"</formula>
    </cfRule>
  </conditionalFormatting>
  <conditionalFormatting sqref="V417:W418">
    <cfRule type="expression" dxfId="2784" priority="3097">
      <formula>$BC417="YES"</formula>
    </cfRule>
  </conditionalFormatting>
  <conditionalFormatting sqref="V419:W420">
    <cfRule type="expression" dxfId="2783" priority="3096">
      <formula>$BC419="YES"</formula>
    </cfRule>
  </conditionalFormatting>
  <conditionalFormatting sqref="V421:W422">
    <cfRule type="expression" dxfId="2782" priority="3095">
      <formula>$BC421="YES"</formula>
    </cfRule>
  </conditionalFormatting>
  <conditionalFormatting sqref="V423:W424">
    <cfRule type="expression" dxfId="2781" priority="3094">
      <formula>$BC423="YES"</formula>
    </cfRule>
  </conditionalFormatting>
  <conditionalFormatting sqref="V425:W426">
    <cfRule type="expression" dxfId="2780" priority="3093">
      <formula>$BC425="YES"</formula>
    </cfRule>
  </conditionalFormatting>
  <conditionalFormatting sqref="V427:W428">
    <cfRule type="expression" dxfId="2779" priority="3092">
      <formula>$BC427="YES"</formula>
    </cfRule>
  </conditionalFormatting>
  <conditionalFormatting sqref="V429:W430">
    <cfRule type="expression" dxfId="2778" priority="3091">
      <formula>$BC429="YES"</formula>
    </cfRule>
  </conditionalFormatting>
  <conditionalFormatting sqref="V431:W432">
    <cfRule type="expression" dxfId="2777" priority="3090">
      <formula>$BC431="YES"</formula>
    </cfRule>
  </conditionalFormatting>
  <conditionalFormatting sqref="V433:W434">
    <cfRule type="expression" dxfId="2776" priority="3089">
      <formula>$BC433="YES"</formula>
    </cfRule>
  </conditionalFormatting>
  <conditionalFormatting sqref="V435:W436">
    <cfRule type="expression" dxfId="2775" priority="3088">
      <formula>$BC435="YES"</formula>
    </cfRule>
  </conditionalFormatting>
  <conditionalFormatting sqref="V437:W438">
    <cfRule type="expression" dxfId="2774" priority="3087">
      <formula>$BC437="YES"</formula>
    </cfRule>
  </conditionalFormatting>
  <conditionalFormatting sqref="V439:W440">
    <cfRule type="expression" dxfId="2773" priority="3086">
      <formula>$BC439="YES"</formula>
    </cfRule>
  </conditionalFormatting>
  <conditionalFormatting sqref="V441:W442">
    <cfRule type="expression" dxfId="2772" priority="3085">
      <formula>$BC441="YES"</formula>
    </cfRule>
  </conditionalFormatting>
  <conditionalFormatting sqref="V443:W444">
    <cfRule type="expression" dxfId="2771" priority="3084">
      <formula>$BC443="YES"</formula>
    </cfRule>
  </conditionalFormatting>
  <conditionalFormatting sqref="V445:W446">
    <cfRule type="expression" dxfId="2770" priority="3083">
      <formula>$BC445="YES"</formula>
    </cfRule>
  </conditionalFormatting>
  <conditionalFormatting sqref="V447:W448">
    <cfRule type="expression" dxfId="2769" priority="3082">
      <formula>$BC447="YES"</formula>
    </cfRule>
  </conditionalFormatting>
  <conditionalFormatting sqref="V449:W450">
    <cfRule type="expression" dxfId="2768" priority="3081">
      <formula>$BC449="YES"</formula>
    </cfRule>
  </conditionalFormatting>
  <conditionalFormatting sqref="V451:W452">
    <cfRule type="expression" dxfId="2767" priority="3080">
      <formula>$BC451="YES"</formula>
    </cfRule>
  </conditionalFormatting>
  <conditionalFormatting sqref="V453:W454">
    <cfRule type="expression" dxfId="2766" priority="3079">
      <formula>$BC453="YES"</formula>
    </cfRule>
  </conditionalFormatting>
  <conditionalFormatting sqref="V455:W456">
    <cfRule type="expression" dxfId="2765" priority="3078">
      <formula>$BC455="YES"</formula>
    </cfRule>
  </conditionalFormatting>
  <conditionalFormatting sqref="V457:W458">
    <cfRule type="expression" dxfId="2764" priority="3077">
      <formula>$BC457="YES"</formula>
    </cfRule>
  </conditionalFormatting>
  <conditionalFormatting sqref="V459:W460">
    <cfRule type="expression" dxfId="2763" priority="3076">
      <formula>$BC459="YES"</formula>
    </cfRule>
  </conditionalFormatting>
  <conditionalFormatting sqref="V461:W462">
    <cfRule type="expression" dxfId="2762" priority="3075">
      <formula>$BC461="YES"</formula>
    </cfRule>
  </conditionalFormatting>
  <conditionalFormatting sqref="V463:W464">
    <cfRule type="expression" dxfId="2761" priority="3074">
      <formula>$BC463="YES"</formula>
    </cfRule>
  </conditionalFormatting>
  <conditionalFormatting sqref="V465:W466">
    <cfRule type="expression" dxfId="2760" priority="3073">
      <formula>$BC465="YES"</formula>
    </cfRule>
  </conditionalFormatting>
  <conditionalFormatting sqref="V467:W468">
    <cfRule type="expression" dxfId="2759" priority="3072">
      <formula>$BC467="YES"</formula>
    </cfRule>
  </conditionalFormatting>
  <conditionalFormatting sqref="V469:W470">
    <cfRule type="expression" dxfId="2758" priority="3071">
      <formula>$BC469="YES"</formula>
    </cfRule>
  </conditionalFormatting>
  <conditionalFormatting sqref="V471:W472">
    <cfRule type="expression" dxfId="2757" priority="3070">
      <formula>$BC471="YES"</formula>
    </cfRule>
  </conditionalFormatting>
  <conditionalFormatting sqref="V473:W474">
    <cfRule type="expression" dxfId="2756" priority="3069">
      <formula>$BC473="YES"</formula>
    </cfRule>
  </conditionalFormatting>
  <conditionalFormatting sqref="V475:W476">
    <cfRule type="expression" dxfId="2755" priority="3068">
      <formula>$BC475="YES"</formula>
    </cfRule>
  </conditionalFormatting>
  <conditionalFormatting sqref="V477:W478">
    <cfRule type="expression" dxfId="2754" priority="3067">
      <formula>$BC477="YES"</formula>
    </cfRule>
  </conditionalFormatting>
  <conditionalFormatting sqref="V479:W480">
    <cfRule type="expression" dxfId="2753" priority="3066">
      <formula>$BC479="YES"</formula>
    </cfRule>
  </conditionalFormatting>
  <conditionalFormatting sqref="V481:W482">
    <cfRule type="expression" dxfId="2752" priority="3065">
      <formula>$BC481="YES"</formula>
    </cfRule>
  </conditionalFormatting>
  <conditionalFormatting sqref="V483:W484">
    <cfRule type="expression" dxfId="2751" priority="3064">
      <formula>$BC483="YES"</formula>
    </cfRule>
  </conditionalFormatting>
  <conditionalFormatting sqref="V485:W486">
    <cfRule type="expression" dxfId="2750" priority="3063">
      <formula>$BC485="YES"</formula>
    </cfRule>
  </conditionalFormatting>
  <conditionalFormatting sqref="V487:W488">
    <cfRule type="expression" dxfId="2749" priority="3062">
      <formula>$BC487="YES"</formula>
    </cfRule>
  </conditionalFormatting>
  <conditionalFormatting sqref="V489:W490">
    <cfRule type="expression" dxfId="2748" priority="3061">
      <formula>$BC489="YES"</formula>
    </cfRule>
  </conditionalFormatting>
  <conditionalFormatting sqref="V491:W492">
    <cfRule type="expression" dxfId="2747" priority="3060">
      <formula>$BC491="YES"</formula>
    </cfRule>
  </conditionalFormatting>
  <conditionalFormatting sqref="V493:W494">
    <cfRule type="expression" dxfId="2746" priority="3059">
      <formula>$BC493="YES"</formula>
    </cfRule>
  </conditionalFormatting>
  <conditionalFormatting sqref="V495:W496">
    <cfRule type="expression" dxfId="2745" priority="3058">
      <formula>$BC495="YES"</formula>
    </cfRule>
  </conditionalFormatting>
  <conditionalFormatting sqref="V497:W498">
    <cfRule type="expression" dxfId="2744" priority="3057">
      <formula>$BC497="YES"</formula>
    </cfRule>
  </conditionalFormatting>
  <conditionalFormatting sqref="V499:W500">
    <cfRule type="expression" dxfId="2743" priority="3056">
      <formula>$BC499="YES"</formula>
    </cfRule>
  </conditionalFormatting>
  <conditionalFormatting sqref="V501:W502">
    <cfRule type="expression" dxfId="2742" priority="3055">
      <formula>$BC501="YES"</formula>
    </cfRule>
  </conditionalFormatting>
  <conditionalFormatting sqref="V503:W504">
    <cfRule type="expression" dxfId="2741" priority="3054">
      <formula>$BC503="YES"</formula>
    </cfRule>
  </conditionalFormatting>
  <conditionalFormatting sqref="V505:W506">
    <cfRule type="expression" dxfId="2740" priority="3053">
      <formula>$BC505="YES"</formula>
    </cfRule>
  </conditionalFormatting>
  <conditionalFormatting sqref="V507:W508">
    <cfRule type="expression" dxfId="2739" priority="3052">
      <formula>$BC507="YES"</formula>
    </cfRule>
  </conditionalFormatting>
  <conditionalFormatting sqref="V509:W510">
    <cfRule type="expression" dxfId="2738" priority="3051">
      <formula>$BC509="YES"</formula>
    </cfRule>
  </conditionalFormatting>
  <conditionalFormatting sqref="V511:W512">
    <cfRule type="expression" dxfId="2737" priority="3050">
      <formula>$BC511="YES"</formula>
    </cfRule>
  </conditionalFormatting>
  <conditionalFormatting sqref="V513:W514">
    <cfRule type="expression" dxfId="2736" priority="3049">
      <formula>$BC513="YES"</formula>
    </cfRule>
  </conditionalFormatting>
  <conditionalFormatting sqref="V515:W516">
    <cfRule type="expression" dxfId="2735" priority="3048">
      <formula>$BC515="YES"</formula>
    </cfRule>
  </conditionalFormatting>
  <conditionalFormatting sqref="V517:W518">
    <cfRule type="expression" dxfId="2734" priority="3047">
      <formula>$BC517="YES"</formula>
    </cfRule>
  </conditionalFormatting>
  <conditionalFormatting sqref="V519:W520">
    <cfRule type="expression" dxfId="2733" priority="3046">
      <formula>$BC519="YES"</formula>
    </cfRule>
  </conditionalFormatting>
  <conditionalFormatting sqref="V521:W522">
    <cfRule type="expression" dxfId="2732" priority="3045">
      <formula>$BC521="YES"</formula>
    </cfRule>
  </conditionalFormatting>
  <conditionalFormatting sqref="V523:W524">
    <cfRule type="expression" dxfId="2731" priority="3044">
      <formula>$BC523="YES"</formula>
    </cfRule>
  </conditionalFormatting>
  <conditionalFormatting sqref="V525:W526">
    <cfRule type="expression" dxfId="2730" priority="3043">
      <formula>$BC525="YES"</formula>
    </cfRule>
  </conditionalFormatting>
  <conditionalFormatting sqref="V527:W528">
    <cfRule type="expression" dxfId="2729" priority="3042">
      <formula>$BC527="YES"</formula>
    </cfRule>
  </conditionalFormatting>
  <conditionalFormatting sqref="V529:W530">
    <cfRule type="expression" dxfId="2728" priority="3041">
      <formula>$BC529="YES"</formula>
    </cfRule>
  </conditionalFormatting>
  <conditionalFormatting sqref="V531:W532">
    <cfRule type="expression" dxfId="2727" priority="3040">
      <formula>$BC531="YES"</formula>
    </cfRule>
  </conditionalFormatting>
  <conditionalFormatting sqref="V533:W534">
    <cfRule type="expression" dxfId="2726" priority="3039">
      <formula>$BC533="YES"</formula>
    </cfRule>
  </conditionalFormatting>
  <conditionalFormatting sqref="V535:W536">
    <cfRule type="expression" dxfId="2725" priority="3038">
      <formula>$BC535="YES"</formula>
    </cfRule>
  </conditionalFormatting>
  <conditionalFormatting sqref="V537:W538">
    <cfRule type="expression" dxfId="2724" priority="3037">
      <formula>$BC537="YES"</formula>
    </cfRule>
  </conditionalFormatting>
  <conditionalFormatting sqref="V539:W540">
    <cfRule type="expression" dxfId="2723" priority="3036">
      <formula>$BC539="YES"</formula>
    </cfRule>
  </conditionalFormatting>
  <conditionalFormatting sqref="V541:W542">
    <cfRule type="expression" dxfId="2722" priority="3035">
      <formula>$BC541="YES"</formula>
    </cfRule>
  </conditionalFormatting>
  <conditionalFormatting sqref="V543:W544">
    <cfRule type="expression" dxfId="2721" priority="3034">
      <formula>$BC543="YES"</formula>
    </cfRule>
  </conditionalFormatting>
  <conditionalFormatting sqref="V545:W546">
    <cfRule type="expression" dxfId="2720" priority="3033">
      <formula>$BC545="YES"</formula>
    </cfRule>
  </conditionalFormatting>
  <conditionalFormatting sqref="V547:W548">
    <cfRule type="expression" dxfId="2719" priority="3032">
      <formula>$BC547="YES"</formula>
    </cfRule>
  </conditionalFormatting>
  <conditionalFormatting sqref="V549:W550">
    <cfRule type="expression" dxfId="2718" priority="3031">
      <formula>$BC549="YES"</formula>
    </cfRule>
  </conditionalFormatting>
  <conditionalFormatting sqref="V551:W552">
    <cfRule type="expression" dxfId="2717" priority="3030">
      <formula>$BC551="YES"</formula>
    </cfRule>
  </conditionalFormatting>
  <conditionalFormatting sqref="V553:W554">
    <cfRule type="expression" dxfId="2716" priority="3029">
      <formula>$BC553="YES"</formula>
    </cfRule>
  </conditionalFormatting>
  <conditionalFormatting sqref="V555:W556">
    <cfRule type="expression" dxfId="2715" priority="3028">
      <formula>$BC555="YES"</formula>
    </cfRule>
  </conditionalFormatting>
  <conditionalFormatting sqref="V557:W558">
    <cfRule type="expression" dxfId="2714" priority="3027">
      <formula>$BC557="YES"</formula>
    </cfRule>
  </conditionalFormatting>
  <conditionalFormatting sqref="V559:W560">
    <cfRule type="expression" dxfId="2713" priority="3026">
      <formula>$BC559="YES"</formula>
    </cfRule>
  </conditionalFormatting>
  <conditionalFormatting sqref="V561:W562">
    <cfRule type="expression" dxfId="2712" priority="3025">
      <formula>$BC561="YES"</formula>
    </cfRule>
  </conditionalFormatting>
  <conditionalFormatting sqref="V563:W564">
    <cfRule type="expression" dxfId="2711" priority="3024">
      <formula>$BC563="YES"</formula>
    </cfRule>
  </conditionalFormatting>
  <conditionalFormatting sqref="AF17:AF18">
    <cfRule type="expression" dxfId="2710" priority="3023">
      <formula>$BC17="YES"</formula>
    </cfRule>
  </conditionalFormatting>
  <conditionalFormatting sqref="AF19:AF20">
    <cfRule type="expression" dxfId="2709" priority="3022">
      <formula>$BC19="YES"</formula>
    </cfRule>
  </conditionalFormatting>
  <conditionalFormatting sqref="AF21:AF22">
    <cfRule type="expression" dxfId="2708" priority="3021">
      <formula>$BC21="YES"</formula>
    </cfRule>
  </conditionalFormatting>
  <conditionalFormatting sqref="AF23:AF24">
    <cfRule type="expression" dxfId="2707" priority="3020">
      <formula>$BC23="YES"</formula>
    </cfRule>
  </conditionalFormatting>
  <conditionalFormatting sqref="AF25:AF26">
    <cfRule type="expression" dxfId="2706" priority="3019">
      <formula>$BC25="YES"</formula>
    </cfRule>
  </conditionalFormatting>
  <conditionalFormatting sqref="AF27:AF28">
    <cfRule type="expression" dxfId="2705" priority="3018">
      <formula>$BC27="YES"</formula>
    </cfRule>
  </conditionalFormatting>
  <conditionalFormatting sqref="AF29:AF30">
    <cfRule type="expression" dxfId="2704" priority="3017">
      <formula>$BC29="YES"</formula>
    </cfRule>
  </conditionalFormatting>
  <conditionalFormatting sqref="AF31:AF32">
    <cfRule type="expression" dxfId="2703" priority="3016">
      <formula>$BC31="YES"</formula>
    </cfRule>
  </conditionalFormatting>
  <conditionalFormatting sqref="AF33:AF34">
    <cfRule type="expression" dxfId="2702" priority="3015">
      <formula>$BC33="YES"</formula>
    </cfRule>
  </conditionalFormatting>
  <conditionalFormatting sqref="AF35:AF36">
    <cfRule type="expression" dxfId="2701" priority="3014">
      <formula>$BC35="YES"</formula>
    </cfRule>
  </conditionalFormatting>
  <conditionalFormatting sqref="AF37:AF38">
    <cfRule type="expression" dxfId="2700" priority="3013">
      <formula>$BC37="YES"</formula>
    </cfRule>
  </conditionalFormatting>
  <conditionalFormatting sqref="AF39:AF40">
    <cfRule type="expression" dxfId="2699" priority="3012">
      <formula>$BC39="YES"</formula>
    </cfRule>
  </conditionalFormatting>
  <conditionalFormatting sqref="AF41:AF42">
    <cfRule type="expression" dxfId="2698" priority="3011">
      <formula>$BC41="YES"</formula>
    </cfRule>
  </conditionalFormatting>
  <conditionalFormatting sqref="AF43:AF44">
    <cfRule type="expression" dxfId="2697" priority="3010">
      <formula>$BC43="YES"</formula>
    </cfRule>
  </conditionalFormatting>
  <conditionalFormatting sqref="AF45:AF46">
    <cfRule type="expression" dxfId="2696" priority="3009">
      <formula>$BC45="YES"</formula>
    </cfRule>
  </conditionalFormatting>
  <conditionalFormatting sqref="AF47:AF48">
    <cfRule type="expression" dxfId="2695" priority="3008">
      <formula>$BC47="YES"</formula>
    </cfRule>
  </conditionalFormatting>
  <conditionalFormatting sqref="AF49:AF50">
    <cfRule type="expression" dxfId="2694" priority="3007">
      <formula>$BC49="YES"</formula>
    </cfRule>
  </conditionalFormatting>
  <conditionalFormatting sqref="AF51:AF52">
    <cfRule type="expression" dxfId="2693" priority="3006">
      <formula>$BC51="YES"</formula>
    </cfRule>
  </conditionalFormatting>
  <conditionalFormatting sqref="AF53:AF54">
    <cfRule type="expression" dxfId="2692" priority="3005">
      <formula>$BC53="YES"</formula>
    </cfRule>
  </conditionalFormatting>
  <conditionalFormatting sqref="AF55:AF56">
    <cfRule type="expression" dxfId="2691" priority="3004">
      <formula>$BC55="YES"</formula>
    </cfRule>
  </conditionalFormatting>
  <conditionalFormatting sqref="AF57:AF58">
    <cfRule type="expression" dxfId="2690" priority="3003">
      <formula>$BC57="YES"</formula>
    </cfRule>
  </conditionalFormatting>
  <conditionalFormatting sqref="AF59:AF60">
    <cfRule type="expression" dxfId="2689" priority="3002">
      <formula>$BC59="YES"</formula>
    </cfRule>
  </conditionalFormatting>
  <conditionalFormatting sqref="AF61:AF62">
    <cfRule type="expression" dxfId="2688" priority="3001">
      <formula>$BC61="YES"</formula>
    </cfRule>
  </conditionalFormatting>
  <conditionalFormatting sqref="AF63:AF64">
    <cfRule type="expression" dxfId="2687" priority="3000">
      <formula>$BC63="YES"</formula>
    </cfRule>
  </conditionalFormatting>
  <conditionalFormatting sqref="AF65:AF66">
    <cfRule type="expression" dxfId="2686" priority="2999">
      <formula>$BC65="YES"</formula>
    </cfRule>
  </conditionalFormatting>
  <conditionalFormatting sqref="AF67:AF68">
    <cfRule type="expression" dxfId="2685" priority="2998">
      <formula>$BC67="YES"</formula>
    </cfRule>
  </conditionalFormatting>
  <conditionalFormatting sqref="AF69:AF70">
    <cfRule type="expression" dxfId="2684" priority="2997">
      <formula>$BC69="YES"</formula>
    </cfRule>
  </conditionalFormatting>
  <conditionalFormatting sqref="AF71:AF72">
    <cfRule type="expression" dxfId="2683" priority="2996">
      <formula>$BC71="YES"</formula>
    </cfRule>
  </conditionalFormatting>
  <conditionalFormatting sqref="AF73:AF74">
    <cfRule type="expression" dxfId="2682" priority="2995">
      <formula>$BC73="YES"</formula>
    </cfRule>
  </conditionalFormatting>
  <conditionalFormatting sqref="AF75:AF76">
    <cfRule type="expression" dxfId="2681" priority="2994">
      <formula>$BC75="YES"</formula>
    </cfRule>
  </conditionalFormatting>
  <conditionalFormatting sqref="AF77:AF78">
    <cfRule type="expression" dxfId="2680" priority="2993">
      <formula>$BC77="YES"</formula>
    </cfRule>
  </conditionalFormatting>
  <conditionalFormatting sqref="AF79:AF80">
    <cfRule type="expression" dxfId="2679" priority="2992">
      <formula>$BC79="YES"</formula>
    </cfRule>
  </conditionalFormatting>
  <conditionalFormatting sqref="AF81:AF82">
    <cfRule type="expression" dxfId="2678" priority="2991">
      <formula>$BC81="YES"</formula>
    </cfRule>
  </conditionalFormatting>
  <conditionalFormatting sqref="AF83:AF84">
    <cfRule type="expression" dxfId="2677" priority="2990">
      <formula>$BC83="YES"</formula>
    </cfRule>
  </conditionalFormatting>
  <conditionalFormatting sqref="AF85:AF86">
    <cfRule type="expression" dxfId="2676" priority="2989">
      <formula>$BC85="YES"</formula>
    </cfRule>
  </conditionalFormatting>
  <conditionalFormatting sqref="AF87:AF88">
    <cfRule type="expression" dxfId="2675" priority="2988">
      <formula>$BC87="YES"</formula>
    </cfRule>
  </conditionalFormatting>
  <conditionalFormatting sqref="AF89:AF90">
    <cfRule type="expression" dxfId="2674" priority="2987">
      <formula>$BC89="YES"</formula>
    </cfRule>
  </conditionalFormatting>
  <conditionalFormatting sqref="AF91:AF92">
    <cfRule type="expression" dxfId="2673" priority="2986">
      <formula>$BC91="YES"</formula>
    </cfRule>
  </conditionalFormatting>
  <conditionalFormatting sqref="AF93:AF94">
    <cfRule type="expression" dxfId="2672" priority="2985">
      <formula>$BC93="YES"</formula>
    </cfRule>
  </conditionalFormatting>
  <conditionalFormatting sqref="AF95:AF96">
    <cfRule type="expression" dxfId="2671" priority="2984">
      <formula>$BC95="YES"</formula>
    </cfRule>
  </conditionalFormatting>
  <conditionalFormatting sqref="AF97:AF98">
    <cfRule type="expression" dxfId="2670" priority="2983">
      <formula>$BC97="YES"</formula>
    </cfRule>
  </conditionalFormatting>
  <conditionalFormatting sqref="AF99:AF100">
    <cfRule type="expression" dxfId="2669" priority="2982">
      <formula>$BC99="YES"</formula>
    </cfRule>
  </conditionalFormatting>
  <conditionalFormatting sqref="AF101:AF102">
    <cfRule type="expression" dxfId="2668" priority="2981">
      <formula>$BC101="YES"</formula>
    </cfRule>
  </conditionalFormatting>
  <conditionalFormatting sqref="AF103:AF104">
    <cfRule type="expression" dxfId="2667" priority="2980">
      <formula>$BC103="YES"</formula>
    </cfRule>
  </conditionalFormatting>
  <conditionalFormatting sqref="AF105:AF106">
    <cfRule type="expression" dxfId="2666" priority="2979">
      <formula>$BC105="YES"</formula>
    </cfRule>
  </conditionalFormatting>
  <conditionalFormatting sqref="AF107:AF108">
    <cfRule type="expression" dxfId="2665" priority="2978">
      <formula>$BC107="YES"</formula>
    </cfRule>
  </conditionalFormatting>
  <conditionalFormatting sqref="AF109:AF110">
    <cfRule type="expression" dxfId="2664" priority="2977">
      <formula>$BC109="YES"</formula>
    </cfRule>
  </conditionalFormatting>
  <conditionalFormatting sqref="AF111:AF112">
    <cfRule type="expression" dxfId="2663" priority="2976">
      <formula>$BC111="YES"</formula>
    </cfRule>
  </conditionalFormatting>
  <conditionalFormatting sqref="AF113:AF114">
    <cfRule type="expression" dxfId="2662" priority="2975">
      <formula>$BC113="YES"</formula>
    </cfRule>
  </conditionalFormatting>
  <conditionalFormatting sqref="AF115:AF116">
    <cfRule type="expression" dxfId="2661" priority="2974">
      <formula>$BC115="YES"</formula>
    </cfRule>
  </conditionalFormatting>
  <conditionalFormatting sqref="AF117:AF118">
    <cfRule type="expression" dxfId="2660" priority="2973">
      <formula>$BC117="YES"</formula>
    </cfRule>
  </conditionalFormatting>
  <conditionalFormatting sqref="AF119:AF120">
    <cfRule type="expression" dxfId="2659" priority="2972">
      <formula>$BC119="YES"</formula>
    </cfRule>
  </conditionalFormatting>
  <conditionalFormatting sqref="AF121:AF122">
    <cfRule type="expression" dxfId="2658" priority="2971">
      <formula>$BC121="YES"</formula>
    </cfRule>
  </conditionalFormatting>
  <conditionalFormatting sqref="AF123:AF124">
    <cfRule type="expression" dxfId="2657" priority="2970">
      <formula>$BC123="YES"</formula>
    </cfRule>
  </conditionalFormatting>
  <conditionalFormatting sqref="AF125:AF126">
    <cfRule type="expression" dxfId="2656" priority="2969">
      <formula>$BC125="YES"</formula>
    </cfRule>
  </conditionalFormatting>
  <conditionalFormatting sqref="AF127:AF128">
    <cfRule type="expression" dxfId="2655" priority="2968">
      <formula>$BC127="YES"</formula>
    </cfRule>
  </conditionalFormatting>
  <conditionalFormatting sqref="AF129:AF130">
    <cfRule type="expression" dxfId="2654" priority="2967">
      <formula>$BC129="YES"</formula>
    </cfRule>
  </conditionalFormatting>
  <conditionalFormatting sqref="AF131:AF132">
    <cfRule type="expression" dxfId="2653" priority="2966">
      <formula>$BC131="YES"</formula>
    </cfRule>
  </conditionalFormatting>
  <conditionalFormatting sqref="AF133:AF134">
    <cfRule type="expression" dxfId="2652" priority="2965">
      <formula>$BC133="YES"</formula>
    </cfRule>
  </conditionalFormatting>
  <conditionalFormatting sqref="AF135:AF136">
    <cfRule type="expression" dxfId="2651" priority="2964">
      <formula>$BC135="YES"</formula>
    </cfRule>
  </conditionalFormatting>
  <conditionalFormatting sqref="AF137:AF138">
    <cfRule type="expression" dxfId="2650" priority="2963">
      <formula>$BC137="YES"</formula>
    </cfRule>
  </conditionalFormatting>
  <conditionalFormatting sqref="AF139:AF140">
    <cfRule type="expression" dxfId="2649" priority="2962">
      <formula>$BC139="YES"</formula>
    </cfRule>
  </conditionalFormatting>
  <conditionalFormatting sqref="AF141:AF142">
    <cfRule type="expression" dxfId="2648" priority="2961">
      <formula>$BC141="YES"</formula>
    </cfRule>
  </conditionalFormatting>
  <conditionalFormatting sqref="AF143:AF144">
    <cfRule type="expression" dxfId="2647" priority="2960">
      <formula>$BC143="YES"</formula>
    </cfRule>
  </conditionalFormatting>
  <conditionalFormatting sqref="AF145:AF146">
    <cfRule type="expression" dxfId="2646" priority="2959">
      <formula>$BC145="YES"</formula>
    </cfRule>
  </conditionalFormatting>
  <conditionalFormatting sqref="AF147:AF148">
    <cfRule type="expression" dxfId="2645" priority="2958">
      <formula>$BC147="YES"</formula>
    </cfRule>
  </conditionalFormatting>
  <conditionalFormatting sqref="AF149:AF150">
    <cfRule type="expression" dxfId="2644" priority="2957">
      <formula>$BC149="YES"</formula>
    </cfRule>
  </conditionalFormatting>
  <conditionalFormatting sqref="AF151:AF152">
    <cfRule type="expression" dxfId="2643" priority="2956">
      <formula>$BC151="YES"</formula>
    </cfRule>
  </conditionalFormatting>
  <conditionalFormatting sqref="AF153:AF154">
    <cfRule type="expression" dxfId="2642" priority="2955">
      <formula>$BC153="YES"</formula>
    </cfRule>
  </conditionalFormatting>
  <conditionalFormatting sqref="AF155:AF156">
    <cfRule type="expression" dxfId="2641" priority="2954">
      <formula>$BC155="YES"</formula>
    </cfRule>
  </conditionalFormatting>
  <conditionalFormatting sqref="AF157:AF158">
    <cfRule type="expression" dxfId="2640" priority="2953">
      <formula>$BC157="YES"</formula>
    </cfRule>
  </conditionalFormatting>
  <conditionalFormatting sqref="AF159:AF160">
    <cfRule type="expression" dxfId="2639" priority="2952">
      <formula>$BC159="YES"</formula>
    </cfRule>
  </conditionalFormatting>
  <conditionalFormatting sqref="AF161:AF162">
    <cfRule type="expression" dxfId="2638" priority="2951">
      <formula>$BC161="YES"</formula>
    </cfRule>
  </conditionalFormatting>
  <conditionalFormatting sqref="AF163:AF164">
    <cfRule type="expression" dxfId="2637" priority="2950">
      <formula>$BC163="YES"</formula>
    </cfRule>
  </conditionalFormatting>
  <conditionalFormatting sqref="AF165:AF166">
    <cfRule type="expression" dxfId="2636" priority="2949">
      <formula>$BC165="YES"</formula>
    </cfRule>
  </conditionalFormatting>
  <conditionalFormatting sqref="AF167:AF168">
    <cfRule type="expression" dxfId="2635" priority="2948">
      <formula>$BC167="YES"</formula>
    </cfRule>
  </conditionalFormatting>
  <conditionalFormatting sqref="AF169:AF170">
    <cfRule type="expression" dxfId="2634" priority="2947">
      <formula>$BC169="YES"</formula>
    </cfRule>
  </conditionalFormatting>
  <conditionalFormatting sqref="AF171:AF172">
    <cfRule type="expression" dxfId="2633" priority="2946">
      <formula>$BC171="YES"</formula>
    </cfRule>
  </conditionalFormatting>
  <conditionalFormatting sqref="AF173:AF174">
    <cfRule type="expression" dxfId="2632" priority="2945">
      <formula>$BC173="YES"</formula>
    </cfRule>
  </conditionalFormatting>
  <conditionalFormatting sqref="AF175:AF176">
    <cfRule type="expression" dxfId="2631" priority="2944">
      <formula>$BC175="YES"</formula>
    </cfRule>
  </conditionalFormatting>
  <conditionalFormatting sqref="AF177:AF178">
    <cfRule type="expression" dxfId="2630" priority="2943">
      <formula>$BC177="YES"</formula>
    </cfRule>
  </conditionalFormatting>
  <conditionalFormatting sqref="AF179:AF180">
    <cfRule type="expression" dxfId="2629" priority="2942">
      <formula>$BC179="YES"</formula>
    </cfRule>
  </conditionalFormatting>
  <conditionalFormatting sqref="AF181:AF182">
    <cfRule type="expression" dxfId="2628" priority="2941">
      <formula>$BC181="YES"</formula>
    </cfRule>
  </conditionalFormatting>
  <conditionalFormatting sqref="AF183:AF184">
    <cfRule type="expression" dxfId="2627" priority="2940">
      <formula>$BC183="YES"</formula>
    </cfRule>
  </conditionalFormatting>
  <conditionalFormatting sqref="AF185:AF186">
    <cfRule type="expression" dxfId="2626" priority="2939">
      <formula>$BC185="YES"</formula>
    </cfRule>
  </conditionalFormatting>
  <conditionalFormatting sqref="AF187:AF188">
    <cfRule type="expression" dxfId="2625" priority="2938">
      <formula>$BC187="YES"</formula>
    </cfRule>
  </conditionalFormatting>
  <conditionalFormatting sqref="AF189:AF190">
    <cfRule type="expression" dxfId="2624" priority="2937">
      <formula>$BC189="YES"</formula>
    </cfRule>
  </conditionalFormatting>
  <conditionalFormatting sqref="AF191:AF192">
    <cfRule type="expression" dxfId="2623" priority="2936">
      <formula>$BC191="YES"</formula>
    </cfRule>
  </conditionalFormatting>
  <conditionalFormatting sqref="AF193:AF194">
    <cfRule type="expression" dxfId="2622" priority="2935">
      <formula>$BC193="YES"</formula>
    </cfRule>
  </conditionalFormatting>
  <conditionalFormatting sqref="AF195:AF196">
    <cfRule type="expression" dxfId="2621" priority="2934">
      <formula>$BC195="YES"</formula>
    </cfRule>
  </conditionalFormatting>
  <conditionalFormatting sqref="AF197:AF198">
    <cfRule type="expression" dxfId="2620" priority="2933">
      <formula>$BC197="YES"</formula>
    </cfRule>
  </conditionalFormatting>
  <conditionalFormatting sqref="AF199:AF200">
    <cfRule type="expression" dxfId="2619" priority="2932">
      <formula>$BC199="YES"</formula>
    </cfRule>
  </conditionalFormatting>
  <conditionalFormatting sqref="AF201:AF202">
    <cfRule type="expression" dxfId="2618" priority="2931">
      <formula>$BC201="YES"</formula>
    </cfRule>
  </conditionalFormatting>
  <conditionalFormatting sqref="AF203:AF204">
    <cfRule type="expression" dxfId="2617" priority="2930">
      <formula>$BC203="YES"</formula>
    </cfRule>
  </conditionalFormatting>
  <conditionalFormatting sqref="AF205:AF206">
    <cfRule type="expression" dxfId="2616" priority="2929">
      <formula>$BC205="YES"</formula>
    </cfRule>
  </conditionalFormatting>
  <conditionalFormatting sqref="AF207:AF208">
    <cfRule type="expression" dxfId="2615" priority="2928">
      <formula>$BC207="YES"</formula>
    </cfRule>
  </conditionalFormatting>
  <conditionalFormatting sqref="AF209:AF210">
    <cfRule type="expression" dxfId="2614" priority="2927">
      <formula>$BC209="YES"</formula>
    </cfRule>
  </conditionalFormatting>
  <conditionalFormatting sqref="AF211:AF212">
    <cfRule type="expression" dxfId="2613" priority="2926">
      <formula>$BC211="YES"</formula>
    </cfRule>
  </conditionalFormatting>
  <conditionalFormatting sqref="AF213:AF214">
    <cfRule type="expression" dxfId="2612" priority="2925">
      <formula>$BC213="YES"</formula>
    </cfRule>
  </conditionalFormatting>
  <conditionalFormatting sqref="AF215:AF216">
    <cfRule type="expression" dxfId="2611" priority="2924">
      <formula>$BC215="YES"</formula>
    </cfRule>
  </conditionalFormatting>
  <conditionalFormatting sqref="AF217:AF218">
    <cfRule type="expression" dxfId="2610" priority="2923">
      <formula>$BC217="YES"</formula>
    </cfRule>
  </conditionalFormatting>
  <conditionalFormatting sqref="AF219:AF220">
    <cfRule type="expression" dxfId="2609" priority="2922">
      <formula>$BC219="YES"</formula>
    </cfRule>
  </conditionalFormatting>
  <conditionalFormatting sqref="AF221:AF222">
    <cfRule type="expression" dxfId="2608" priority="2921">
      <formula>$BC221="YES"</formula>
    </cfRule>
  </conditionalFormatting>
  <conditionalFormatting sqref="AF223:AF224">
    <cfRule type="expression" dxfId="2607" priority="2920">
      <formula>$BC223="YES"</formula>
    </cfRule>
  </conditionalFormatting>
  <conditionalFormatting sqref="AF225:AF226">
    <cfRule type="expression" dxfId="2606" priority="2919">
      <formula>$BC225="YES"</formula>
    </cfRule>
  </conditionalFormatting>
  <conditionalFormatting sqref="AF227:AF228">
    <cfRule type="expression" dxfId="2605" priority="2918">
      <formula>$BC227="YES"</formula>
    </cfRule>
  </conditionalFormatting>
  <conditionalFormatting sqref="AF229:AF230">
    <cfRule type="expression" dxfId="2604" priority="2917">
      <formula>$BC229="YES"</formula>
    </cfRule>
  </conditionalFormatting>
  <conditionalFormatting sqref="AF231:AF232">
    <cfRule type="expression" dxfId="2603" priority="2916">
      <formula>$BC231="YES"</formula>
    </cfRule>
  </conditionalFormatting>
  <conditionalFormatting sqref="AF233:AF234">
    <cfRule type="expression" dxfId="2602" priority="2915">
      <formula>$BC233="YES"</formula>
    </cfRule>
  </conditionalFormatting>
  <conditionalFormatting sqref="AF235:AF236">
    <cfRule type="expression" dxfId="2601" priority="2914">
      <formula>$BC235="YES"</formula>
    </cfRule>
  </conditionalFormatting>
  <conditionalFormatting sqref="AF237:AF238">
    <cfRule type="expression" dxfId="2600" priority="2913">
      <formula>$BC237="YES"</formula>
    </cfRule>
  </conditionalFormatting>
  <conditionalFormatting sqref="AF239:AF240">
    <cfRule type="expression" dxfId="2599" priority="2912">
      <formula>$BC239="YES"</formula>
    </cfRule>
  </conditionalFormatting>
  <conditionalFormatting sqref="AF241:AF242">
    <cfRule type="expression" dxfId="2598" priority="2911">
      <formula>$BC241="YES"</formula>
    </cfRule>
  </conditionalFormatting>
  <conditionalFormatting sqref="AF243:AF244">
    <cfRule type="expression" dxfId="2597" priority="2910">
      <formula>$BC243="YES"</formula>
    </cfRule>
  </conditionalFormatting>
  <conditionalFormatting sqref="AF245:AF246">
    <cfRule type="expression" dxfId="2596" priority="2909">
      <formula>$BC245="YES"</formula>
    </cfRule>
  </conditionalFormatting>
  <conditionalFormatting sqref="AF247:AF248">
    <cfRule type="expression" dxfId="2595" priority="2908">
      <formula>$BC247="YES"</formula>
    </cfRule>
  </conditionalFormatting>
  <conditionalFormatting sqref="AF249:AF250">
    <cfRule type="expression" dxfId="2594" priority="2907">
      <formula>$BC249="YES"</formula>
    </cfRule>
  </conditionalFormatting>
  <conditionalFormatting sqref="AF251:AF252">
    <cfRule type="expression" dxfId="2593" priority="2906">
      <formula>$BC251="YES"</formula>
    </cfRule>
  </conditionalFormatting>
  <conditionalFormatting sqref="AF253:AF254">
    <cfRule type="expression" dxfId="2592" priority="2905">
      <formula>$BC253="YES"</formula>
    </cfRule>
  </conditionalFormatting>
  <conditionalFormatting sqref="AF255:AF256">
    <cfRule type="expression" dxfId="2591" priority="2904">
      <formula>$BC255="YES"</formula>
    </cfRule>
  </conditionalFormatting>
  <conditionalFormatting sqref="AF257:AF258">
    <cfRule type="expression" dxfId="2590" priority="2903">
      <formula>$BC257="YES"</formula>
    </cfRule>
  </conditionalFormatting>
  <conditionalFormatting sqref="AF259:AF260">
    <cfRule type="expression" dxfId="2589" priority="2902">
      <formula>$BC259="YES"</formula>
    </cfRule>
  </conditionalFormatting>
  <conditionalFormatting sqref="AF261:AF262">
    <cfRule type="expression" dxfId="2588" priority="2901">
      <formula>$BC261="YES"</formula>
    </cfRule>
  </conditionalFormatting>
  <conditionalFormatting sqref="AF263:AF264">
    <cfRule type="expression" dxfId="2587" priority="2900">
      <formula>$BC263="YES"</formula>
    </cfRule>
  </conditionalFormatting>
  <conditionalFormatting sqref="AF265:AF266">
    <cfRule type="expression" dxfId="2586" priority="2899">
      <formula>$BC265="YES"</formula>
    </cfRule>
  </conditionalFormatting>
  <conditionalFormatting sqref="AF267:AF268">
    <cfRule type="expression" dxfId="2585" priority="2898">
      <formula>$BC267="YES"</formula>
    </cfRule>
  </conditionalFormatting>
  <conditionalFormatting sqref="AF269:AF270">
    <cfRule type="expression" dxfId="2584" priority="2897">
      <formula>$BC269="YES"</formula>
    </cfRule>
  </conditionalFormatting>
  <conditionalFormatting sqref="AF271:AF272">
    <cfRule type="expression" dxfId="2583" priority="2896">
      <formula>$BC271="YES"</formula>
    </cfRule>
  </conditionalFormatting>
  <conditionalFormatting sqref="AF273:AF274">
    <cfRule type="expression" dxfId="2582" priority="2895">
      <formula>$BC273="YES"</formula>
    </cfRule>
  </conditionalFormatting>
  <conditionalFormatting sqref="AF275:AF276">
    <cfRule type="expression" dxfId="2581" priority="2894">
      <formula>$BC275="YES"</formula>
    </cfRule>
  </conditionalFormatting>
  <conditionalFormatting sqref="AF277:AF278">
    <cfRule type="expression" dxfId="2580" priority="2893">
      <formula>$BC277="YES"</formula>
    </cfRule>
  </conditionalFormatting>
  <conditionalFormatting sqref="AF279:AF280">
    <cfRule type="expression" dxfId="2579" priority="2892">
      <formula>$BC279="YES"</formula>
    </cfRule>
  </conditionalFormatting>
  <conditionalFormatting sqref="AF281:AF282">
    <cfRule type="expression" dxfId="2578" priority="2891">
      <formula>$BC281="YES"</formula>
    </cfRule>
  </conditionalFormatting>
  <conditionalFormatting sqref="AF283:AF284">
    <cfRule type="expression" dxfId="2577" priority="2890">
      <formula>$BC283="YES"</formula>
    </cfRule>
  </conditionalFormatting>
  <conditionalFormatting sqref="AF285:AF286">
    <cfRule type="expression" dxfId="2576" priority="2889">
      <formula>$BC285="YES"</formula>
    </cfRule>
  </conditionalFormatting>
  <conditionalFormatting sqref="AF287:AF288">
    <cfRule type="expression" dxfId="2575" priority="2888">
      <formula>$BC287="YES"</formula>
    </cfRule>
  </conditionalFormatting>
  <conditionalFormatting sqref="AF289:AF290">
    <cfRule type="expression" dxfId="2574" priority="2887">
      <formula>$BC289="YES"</formula>
    </cfRule>
  </conditionalFormatting>
  <conditionalFormatting sqref="AF291:AF292">
    <cfRule type="expression" dxfId="2573" priority="2886">
      <formula>$BC291="YES"</formula>
    </cfRule>
  </conditionalFormatting>
  <conditionalFormatting sqref="AF293:AF294">
    <cfRule type="expression" dxfId="2572" priority="2885">
      <formula>$BC293="YES"</formula>
    </cfRule>
  </conditionalFormatting>
  <conditionalFormatting sqref="AF295:AF296">
    <cfRule type="expression" dxfId="2571" priority="2884">
      <formula>$BC295="YES"</formula>
    </cfRule>
  </conditionalFormatting>
  <conditionalFormatting sqref="AF297:AF298">
    <cfRule type="expression" dxfId="2570" priority="2883">
      <formula>$BC297="YES"</formula>
    </cfRule>
  </conditionalFormatting>
  <conditionalFormatting sqref="AF299:AF300">
    <cfRule type="expression" dxfId="2569" priority="2882">
      <formula>$BC299="YES"</formula>
    </cfRule>
  </conditionalFormatting>
  <conditionalFormatting sqref="AF301:AF302">
    <cfRule type="expression" dxfId="2568" priority="2881">
      <formula>$BC301="YES"</formula>
    </cfRule>
  </conditionalFormatting>
  <conditionalFormatting sqref="AF303:AF304">
    <cfRule type="expression" dxfId="2567" priority="2880">
      <formula>$BC303="YES"</formula>
    </cfRule>
  </conditionalFormatting>
  <conditionalFormatting sqref="AF305:AF306">
    <cfRule type="expression" dxfId="2566" priority="2879">
      <formula>$BC305="YES"</formula>
    </cfRule>
  </conditionalFormatting>
  <conditionalFormatting sqref="AF307:AF308">
    <cfRule type="expression" dxfId="2565" priority="2878">
      <formula>$BC307="YES"</formula>
    </cfRule>
  </conditionalFormatting>
  <conditionalFormatting sqref="AF309:AF310">
    <cfRule type="expression" dxfId="2564" priority="2877">
      <formula>$BC309="YES"</formula>
    </cfRule>
  </conditionalFormatting>
  <conditionalFormatting sqref="AF311:AF312">
    <cfRule type="expression" dxfId="2563" priority="2876">
      <formula>$BC311="YES"</formula>
    </cfRule>
  </conditionalFormatting>
  <conditionalFormatting sqref="AF313:AF314">
    <cfRule type="expression" dxfId="2562" priority="2875">
      <formula>$BC313="YES"</formula>
    </cfRule>
  </conditionalFormatting>
  <conditionalFormatting sqref="AF315:AF316">
    <cfRule type="expression" dxfId="2561" priority="2874">
      <formula>$BC315="YES"</formula>
    </cfRule>
  </conditionalFormatting>
  <conditionalFormatting sqref="AF317:AF318">
    <cfRule type="expression" dxfId="2560" priority="2873">
      <formula>$BC317="YES"</formula>
    </cfRule>
  </conditionalFormatting>
  <conditionalFormatting sqref="AF319:AF320">
    <cfRule type="expression" dxfId="2559" priority="2872">
      <formula>$BC319="YES"</formula>
    </cfRule>
  </conditionalFormatting>
  <conditionalFormatting sqref="AF321:AF322">
    <cfRule type="expression" dxfId="2558" priority="2871">
      <formula>$BC321="YES"</formula>
    </cfRule>
  </conditionalFormatting>
  <conditionalFormatting sqref="AF323:AF324">
    <cfRule type="expression" dxfId="2557" priority="2870">
      <formula>$BC323="YES"</formula>
    </cfRule>
  </conditionalFormatting>
  <conditionalFormatting sqref="AF325:AF326">
    <cfRule type="expression" dxfId="2556" priority="2869">
      <formula>$BC325="YES"</formula>
    </cfRule>
  </conditionalFormatting>
  <conditionalFormatting sqref="AF327:AF328">
    <cfRule type="expression" dxfId="2555" priority="2868">
      <formula>$BC327="YES"</formula>
    </cfRule>
  </conditionalFormatting>
  <conditionalFormatting sqref="AF329:AF330">
    <cfRule type="expression" dxfId="2554" priority="2867">
      <formula>$BC329="YES"</formula>
    </cfRule>
  </conditionalFormatting>
  <conditionalFormatting sqref="AF331:AF332">
    <cfRule type="expression" dxfId="2553" priority="2866">
      <formula>$BC331="YES"</formula>
    </cfRule>
  </conditionalFormatting>
  <conditionalFormatting sqref="AF333:AF334">
    <cfRule type="expression" dxfId="2552" priority="2865">
      <formula>$BC333="YES"</formula>
    </cfRule>
  </conditionalFormatting>
  <conditionalFormatting sqref="AF335:AF336">
    <cfRule type="expression" dxfId="2551" priority="2864">
      <formula>$BC335="YES"</formula>
    </cfRule>
  </conditionalFormatting>
  <conditionalFormatting sqref="AF337:AF338">
    <cfRule type="expression" dxfId="2550" priority="2863">
      <formula>$BC337="YES"</formula>
    </cfRule>
  </conditionalFormatting>
  <conditionalFormatting sqref="AF339:AF340">
    <cfRule type="expression" dxfId="2549" priority="2862">
      <formula>$BC339="YES"</formula>
    </cfRule>
  </conditionalFormatting>
  <conditionalFormatting sqref="AF341:AF342">
    <cfRule type="expression" dxfId="2548" priority="2861">
      <formula>$BC341="YES"</formula>
    </cfRule>
  </conditionalFormatting>
  <conditionalFormatting sqref="AF343:AF344">
    <cfRule type="expression" dxfId="2547" priority="2860">
      <formula>$BC343="YES"</formula>
    </cfRule>
  </conditionalFormatting>
  <conditionalFormatting sqref="AF345:AF346">
    <cfRule type="expression" dxfId="2546" priority="2859">
      <formula>$BC345="YES"</formula>
    </cfRule>
  </conditionalFormatting>
  <conditionalFormatting sqref="AF347:AF348">
    <cfRule type="expression" dxfId="2545" priority="2858">
      <formula>$BC347="YES"</formula>
    </cfRule>
  </conditionalFormatting>
  <conditionalFormatting sqref="AF349:AF350">
    <cfRule type="expression" dxfId="2544" priority="2857">
      <formula>$BC349="YES"</formula>
    </cfRule>
  </conditionalFormatting>
  <conditionalFormatting sqref="AF351:AF352">
    <cfRule type="expression" dxfId="2543" priority="2856">
      <formula>$BC351="YES"</formula>
    </cfRule>
  </conditionalFormatting>
  <conditionalFormatting sqref="AF353:AF354">
    <cfRule type="expression" dxfId="2542" priority="2855">
      <formula>$BC353="YES"</formula>
    </cfRule>
  </conditionalFormatting>
  <conditionalFormatting sqref="AF355:AF356">
    <cfRule type="expression" dxfId="2541" priority="2854">
      <formula>$BC355="YES"</formula>
    </cfRule>
  </conditionalFormatting>
  <conditionalFormatting sqref="AF357:AF358">
    <cfRule type="expression" dxfId="2540" priority="2853">
      <formula>$BC357="YES"</formula>
    </cfRule>
  </conditionalFormatting>
  <conditionalFormatting sqref="AF359:AF360">
    <cfRule type="expression" dxfId="2539" priority="2852">
      <formula>$BC359="YES"</formula>
    </cfRule>
  </conditionalFormatting>
  <conditionalFormatting sqref="AF361:AF362">
    <cfRule type="expression" dxfId="2538" priority="2851">
      <formula>$BC361="YES"</formula>
    </cfRule>
  </conditionalFormatting>
  <conditionalFormatting sqref="AF363:AF364">
    <cfRule type="expression" dxfId="2537" priority="2850">
      <formula>$BC363="YES"</formula>
    </cfRule>
  </conditionalFormatting>
  <conditionalFormatting sqref="AF365:AF366">
    <cfRule type="expression" dxfId="2536" priority="2849">
      <formula>$BC365="YES"</formula>
    </cfRule>
  </conditionalFormatting>
  <conditionalFormatting sqref="AF367:AF368">
    <cfRule type="expression" dxfId="2535" priority="2848">
      <formula>$BC367="YES"</formula>
    </cfRule>
  </conditionalFormatting>
  <conditionalFormatting sqref="AF369:AF370">
    <cfRule type="expression" dxfId="2534" priority="2847">
      <formula>$BC369="YES"</formula>
    </cfRule>
  </conditionalFormatting>
  <conditionalFormatting sqref="AF371:AF372">
    <cfRule type="expression" dxfId="2533" priority="2846">
      <formula>$BC371="YES"</formula>
    </cfRule>
  </conditionalFormatting>
  <conditionalFormatting sqref="AF373:AF374">
    <cfRule type="expression" dxfId="2532" priority="2845">
      <formula>$BC373="YES"</formula>
    </cfRule>
  </conditionalFormatting>
  <conditionalFormatting sqref="AF375:AF376">
    <cfRule type="expression" dxfId="2531" priority="2844">
      <formula>$BC375="YES"</formula>
    </cfRule>
  </conditionalFormatting>
  <conditionalFormatting sqref="AF377:AF378">
    <cfRule type="expression" dxfId="2530" priority="2843">
      <formula>$BC377="YES"</formula>
    </cfRule>
  </conditionalFormatting>
  <conditionalFormatting sqref="AF379:AF380">
    <cfRule type="expression" dxfId="2529" priority="2842">
      <formula>$BC379="YES"</formula>
    </cfRule>
  </conditionalFormatting>
  <conditionalFormatting sqref="AF381:AF382">
    <cfRule type="expression" dxfId="2528" priority="2841">
      <formula>$BC381="YES"</formula>
    </cfRule>
  </conditionalFormatting>
  <conditionalFormatting sqref="AF383:AF384">
    <cfRule type="expression" dxfId="2527" priority="2840">
      <formula>$BC383="YES"</formula>
    </cfRule>
  </conditionalFormatting>
  <conditionalFormatting sqref="AF385:AF386">
    <cfRule type="expression" dxfId="2526" priority="2839">
      <formula>$BC385="YES"</formula>
    </cfRule>
  </conditionalFormatting>
  <conditionalFormatting sqref="AF387:AF388">
    <cfRule type="expression" dxfId="2525" priority="2838">
      <formula>$BC387="YES"</formula>
    </cfRule>
  </conditionalFormatting>
  <conditionalFormatting sqref="AF389:AF390">
    <cfRule type="expression" dxfId="2524" priority="2837">
      <formula>$BC389="YES"</formula>
    </cfRule>
  </conditionalFormatting>
  <conditionalFormatting sqref="AF391:AF392">
    <cfRule type="expression" dxfId="2523" priority="2836">
      <formula>$BC391="YES"</formula>
    </cfRule>
  </conditionalFormatting>
  <conditionalFormatting sqref="AF393:AF394">
    <cfRule type="expression" dxfId="2522" priority="2835">
      <formula>$BC393="YES"</formula>
    </cfRule>
  </conditionalFormatting>
  <conditionalFormatting sqref="AF395:AF396">
    <cfRule type="expression" dxfId="2521" priority="2834">
      <formula>$BC395="YES"</formula>
    </cfRule>
  </conditionalFormatting>
  <conditionalFormatting sqref="AF397:AF398">
    <cfRule type="expression" dxfId="2520" priority="2833">
      <formula>$BC397="YES"</formula>
    </cfRule>
  </conditionalFormatting>
  <conditionalFormatting sqref="AF399:AF400">
    <cfRule type="expression" dxfId="2519" priority="2832">
      <formula>$BC399="YES"</formula>
    </cfRule>
  </conditionalFormatting>
  <conditionalFormatting sqref="AF401:AF402">
    <cfRule type="expression" dxfId="2518" priority="2831">
      <formula>$BC401="YES"</formula>
    </cfRule>
  </conditionalFormatting>
  <conditionalFormatting sqref="AF403:AF404">
    <cfRule type="expression" dxfId="2517" priority="2830">
      <formula>$BC403="YES"</formula>
    </cfRule>
  </conditionalFormatting>
  <conditionalFormatting sqref="AF405:AF406">
    <cfRule type="expression" dxfId="2516" priority="2829">
      <formula>$BC405="YES"</formula>
    </cfRule>
  </conditionalFormatting>
  <conditionalFormatting sqref="AF407:AF408">
    <cfRule type="expression" dxfId="2515" priority="2828">
      <formula>$BC407="YES"</formula>
    </cfRule>
  </conditionalFormatting>
  <conditionalFormatting sqref="AF409:AF410">
    <cfRule type="expression" dxfId="2514" priority="2827">
      <formula>$BC409="YES"</formula>
    </cfRule>
  </conditionalFormatting>
  <conditionalFormatting sqref="AF411:AF412">
    <cfRule type="expression" dxfId="2513" priority="2826">
      <formula>$BC411="YES"</formula>
    </cfRule>
  </conditionalFormatting>
  <conditionalFormatting sqref="AF413:AF414">
    <cfRule type="expression" dxfId="2512" priority="2825">
      <formula>$BC413="YES"</formula>
    </cfRule>
  </conditionalFormatting>
  <conditionalFormatting sqref="AF415:AF416">
    <cfRule type="expression" dxfId="2511" priority="2824">
      <formula>$BC415="YES"</formula>
    </cfRule>
  </conditionalFormatting>
  <conditionalFormatting sqref="AF417:AF418">
    <cfRule type="expression" dxfId="2510" priority="2823">
      <formula>$BC417="YES"</formula>
    </cfRule>
  </conditionalFormatting>
  <conditionalFormatting sqref="AF419:AF420">
    <cfRule type="expression" dxfId="2509" priority="2822">
      <formula>$BC419="YES"</formula>
    </cfRule>
  </conditionalFormatting>
  <conditionalFormatting sqref="AF421:AF422">
    <cfRule type="expression" dxfId="2508" priority="2821">
      <formula>$BC421="YES"</formula>
    </cfRule>
  </conditionalFormatting>
  <conditionalFormatting sqref="AF423:AF424">
    <cfRule type="expression" dxfId="2507" priority="2820">
      <formula>$BC423="YES"</formula>
    </cfRule>
  </conditionalFormatting>
  <conditionalFormatting sqref="AF425:AF426">
    <cfRule type="expression" dxfId="2506" priority="2819">
      <formula>$BC425="YES"</formula>
    </cfRule>
  </conditionalFormatting>
  <conditionalFormatting sqref="AF427:AF428">
    <cfRule type="expression" dxfId="2505" priority="2818">
      <formula>$BC427="YES"</formula>
    </cfRule>
  </conditionalFormatting>
  <conditionalFormatting sqref="AF429:AF430">
    <cfRule type="expression" dxfId="2504" priority="2817">
      <formula>$BC429="YES"</formula>
    </cfRule>
  </conditionalFormatting>
  <conditionalFormatting sqref="AF431:AF432">
    <cfRule type="expression" dxfId="2503" priority="2816">
      <formula>$BC431="YES"</formula>
    </cfRule>
  </conditionalFormatting>
  <conditionalFormatting sqref="AF433:AF434">
    <cfRule type="expression" dxfId="2502" priority="2815">
      <formula>$BC433="YES"</formula>
    </cfRule>
  </conditionalFormatting>
  <conditionalFormatting sqref="AF435:AF436">
    <cfRule type="expression" dxfId="2501" priority="2814">
      <formula>$BC435="YES"</formula>
    </cfRule>
  </conditionalFormatting>
  <conditionalFormatting sqref="AF437:AF438">
    <cfRule type="expression" dxfId="2500" priority="2813">
      <formula>$BC437="YES"</formula>
    </cfRule>
  </conditionalFormatting>
  <conditionalFormatting sqref="AF439:AF440">
    <cfRule type="expression" dxfId="2499" priority="2812">
      <formula>$BC439="YES"</formula>
    </cfRule>
  </conditionalFormatting>
  <conditionalFormatting sqref="AF441:AF442">
    <cfRule type="expression" dxfId="2498" priority="2811">
      <formula>$BC441="YES"</formula>
    </cfRule>
  </conditionalFormatting>
  <conditionalFormatting sqref="AF443:AF444">
    <cfRule type="expression" dxfId="2497" priority="2810">
      <formula>$BC443="YES"</formula>
    </cfRule>
  </conditionalFormatting>
  <conditionalFormatting sqref="AF445:AF446">
    <cfRule type="expression" dxfId="2496" priority="2809">
      <formula>$BC445="YES"</formula>
    </cfRule>
  </conditionalFormatting>
  <conditionalFormatting sqref="AF447:AF448">
    <cfRule type="expression" dxfId="2495" priority="2808">
      <formula>$BC447="YES"</formula>
    </cfRule>
  </conditionalFormatting>
  <conditionalFormatting sqref="AF449:AF450">
    <cfRule type="expression" dxfId="2494" priority="2807">
      <formula>$BC449="YES"</formula>
    </cfRule>
  </conditionalFormatting>
  <conditionalFormatting sqref="AF451:AF452">
    <cfRule type="expression" dxfId="2493" priority="2806">
      <formula>$BC451="YES"</formula>
    </cfRule>
  </conditionalFormatting>
  <conditionalFormatting sqref="AF453:AF454">
    <cfRule type="expression" dxfId="2492" priority="2805">
      <formula>$BC453="YES"</formula>
    </cfRule>
  </conditionalFormatting>
  <conditionalFormatting sqref="AF455:AF456">
    <cfRule type="expression" dxfId="2491" priority="2804">
      <formula>$BC455="YES"</formula>
    </cfRule>
  </conditionalFormatting>
  <conditionalFormatting sqref="AF457:AF458">
    <cfRule type="expression" dxfId="2490" priority="2803">
      <formula>$BC457="YES"</formula>
    </cfRule>
  </conditionalFormatting>
  <conditionalFormatting sqref="AF459:AF460">
    <cfRule type="expression" dxfId="2489" priority="2802">
      <formula>$BC459="YES"</formula>
    </cfRule>
  </conditionalFormatting>
  <conditionalFormatting sqref="AF461:AF462">
    <cfRule type="expression" dxfId="2488" priority="2801">
      <formula>$BC461="YES"</formula>
    </cfRule>
  </conditionalFormatting>
  <conditionalFormatting sqref="AF463:AF464">
    <cfRule type="expression" dxfId="2487" priority="2800">
      <formula>$BC463="YES"</formula>
    </cfRule>
  </conditionalFormatting>
  <conditionalFormatting sqref="AF465:AF466">
    <cfRule type="expression" dxfId="2486" priority="2799">
      <formula>$BC465="YES"</formula>
    </cfRule>
  </conditionalFormatting>
  <conditionalFormatting sqref="AF467:AF468">
    <cfRule type="expression" dxfId="2485" priority="2798">
      <formula>$BC467="YES"</formula>
    </cfRule>
  </conditionalFormatting>
  <conditionalFormatting sqref="AF469:AF470">
    <cfRule type="expression" dxfId="2484" priority="2797">
      <formula>$BC469="YES"</formula>
    </cfRule>
  </conditionalFormatting>
  <conditionalFormatting sqref="AF471:AF472">
    <cfRule type="expression" dxfId="2483" priority="2796">
      <formula>$BC471="YES"</formula>
    </cfRule>
  </conditionalFormatting>
  <conditionalFormatting sqref="AF473:AF474">
    <cfRule type="expression" dxfId="2482" priority="2795">
      <formula>$BC473="YES"</formula>
    </cfRule>
  </conditionalFormatting>
  <conditionalFormatting sqref="AF475:AF476">
    <cfRule type="expression" dxfId="2481" priority="2794">
      <formula>$BC475="YES"</formula>
    </cfRule>
  </conditionalFormatting>
  <conditionalFormatting sqref="AF477:AF478">
    <cfRule type="expression" dxfId="2480" priority="2793">
      <formula>$BC477="YES"</formula>
    </cfRule>
  </conditionalFormatting>
  <conditionalFormatting sqref="AF479:AF480">
    <cfRule type="expression" dxfId="2479" priority="2792">
      <formula>$BC479="YES"</formula>
    </cfRule>
  </conditionalFormatting>
  <conditionalFormatting sqref="AF481:AF482">
    <cfRule type="expression" dxfId="2478" priority="2791">
      <formula>$BC481="YES"</formula>
    </cfRule>
  </conditionalFormatting>
  <conditionalFormatting sqref="AF483:AF484">
    <cfRule type="expression" dxfId="2477" priority="2790">
      <formula>$BC483="YES"</formula>
    </cfRule>
  </conditionalFormatting>
  <conditionalFormatting sqref="AF485:AF486">
    <cfRule type="expression" dxfId="2476" priority="2789">
      <formula>$BC485="YES"</formula>
    </cfRule>
  </conditionalFormatting>
  <conditionalFormatting sqref="AF487:AF488">
    <cfRule type="expression" dxfId="2475" priority="2788">
      <formula>$BC487="YES"</formula>
    </cfRule>
  </conditionalFormatting>
  <conditionalFormatting sqref="AF489:AF490">
    <cfRule type="expression" dxfId="2474" priority="2787">
      <formula>$BC489="YES"</formula>
    </cfRule>
  </conditionalFormatting>
  <conditionalFormatting sqref="AF491:AF492">
    <cfRule type="expression" dxfId="2473" priority="2786">
      <formula>$BC491="YES"</formula>
    </cfRule>
  </conditionalFormatting>
  <conditionalFormatting sqref="AF493:AF494">
    <cfRule type="expression" dxfId="2472" priority="2785">
      <formula>$BC493="YES"</formula>
    </cfRule>
  </conditionalFormatting>
  <conditionalFormatting sqref="AF495:AF496">
    <cfRule type="expression" dxfId="2471" priority="2784">
      <formula>$BC495="YES"</formula>
    </cfRule>
  </conditionalFormatting>
  <conditionalFormatting sqref="AF497:AF498">
    <cfRule type="expression" dxfId="2470" priority="2783">
      <formula>$BC497="YES"</formula>
    </cfRule>
  </conditionalFormatting>
  <conditionalFormatting sqref="AF499:AF500">
    <cfRule type="expression" dxfId="2469" priority="2782">
      <formula>$BC499="YES"</formula>
    </cfRule>
  </conditionalFormatting>
  <conditionalFormatting sqref="AF501:AF502">
    <cfRule type="expression" dxfId="2468" priority="2781">
      <formula>$BC501="YES"</formula>
    </cfRule>
  </conditionalFormatting>
  <conditionalFormatting sqref="AF503:AF504">
    <cfRule type="expression" dxfId="2467" priority="2780">
      <formula>$BC503="YES"</formula>
    </cfRule>
  </conditionalFormatting>
  <conditionalFormatting sqref="AF505:AF506">
    <cfRule type="expression" dxfId="2466" priority="2779">
      <formula>$BC505="YES"</formula>
    </cfRule>
  </conditionalFormatting>
  <conditionalFormatting sqref="AF507:AF508">
    <cfRule type="expression" dxfId="2465" priority="2778">
      <formula>$BC507="YES"</formula>
    </cfRule>
  </conditionalFormatting>
  <conditionalFormatting sqref="AF509:AF510">
    <cfRule type="expression" dxfId="2464" priority="2777">
      <formula>$BC509="YES"</formula>
    </cfRule>
  </conditionalFormatting>
  <conditionalFormatting sqref="AF511:AF512">
    <cfRule type="expression" dxfId="2463" priority="2776">
      <formula>$BC511="YES"</formula>
    </cfRule>
  </conditionalFormatting>
  <conditionalFormatting sqref="AF513:AF514">
    <cfRule type="expression" dxfId="2462" priority="2775">
      <formula>$BC513="YES"</formula>
    </cfRule>
  </conditionalFormatting>
  <conditionalFormatting sqref="AF515:AF516">
    <cfRule type="expression" dxfId="2461" priority="2774">
      <formula>$BC515="YES"</formula>
    </cfRule>
  </conditionalFormatting>
  <conditionalFormatting sqref="AF517:AF518">
    <cfRule type="expression" dxfId="2460" priority="2773">
      <formula>$BC517="YES"</formula>
    </cfRule>
  </conditionalFormatting>
  <conditionalFormatting sqref="AF519:AF520">
    <cfRule type="expression" dxfId="2459" priority="2772">
      <formula>$BC519="YES"</formula>
    </cfRule>
  </conditionalFormatting>
  <conditionalFormatting sqref="AF521:AF522">
    <cfRule type="expression" dxfId="2458" priority="2771">
      <formula>$BC521="YES"</formula>
    </cfRule>
  </conditionalFormatting>
  <conditionalFormatting sqref="AF523:AF524">
    <cfRule type="expression" dxfId="2457" priority="2770">
      <formula>$BC523="YES"</formula>
    </cfRule>
  </conditionalFormatting>
  <conditionalFormatting sqref="AF525:AF526">
    <cfRule type="expression" dxfId="2456" priority="2769">
      <formula>$BC525="YES"</formula>
    </cfRule>
  </conditionalFormatting>
  <conditionalFormatting sqref="AF527:AF528">
    <cfRule type="expression" dxfId="2455" priority="2768">
      <formula>$BC527="YES"</formula>
    </cfRule>
  </conditionalFormatting>
  <conditionalFormatting sqref="AF529:AF530">
    <cfRule type="expression" dxfId="2454" priority="2767">
      <formula>$BC529="YES"</formula>
    </cfRule>
  </conditionalFormatting>
  <conditionalFormatting sqref="AF531:AF532">
    <cfRule type="expression" dxfId="2453" priority="2766">
      <formula>$BC531="YES"</formula>
    </cfRule>
  </conditionalFormatting>
  <conditionalFormatting sqref="AF533:AF534">
    <cfRule type="expression" dxfId="2452" priority="2765">
      <formula>$BC533="YES"</formula>
    </cfRule>
  </conditionalFormatting>
  <conditionalFormatting sqref="AF535:AF536">
    <cfRule type="expression" dxfId="2451" priority="2764">
      <formula>$BC535="YES"</formula>
    </cfRule>
  </conditionalFormatting>
  <conditionalFormatting sqref="AF537:AF538">
    <cfRule type="expression" dxfId="2450" priority="2763">
      <formula>$BC537="YES"</formula>
    </cfRule>
  </conditionalFormatting>
  <conditionalFormatting sqref="AF539:AF540">
    <cfRule type="expression" dxfId="2449" priority="2762">
      <formula>$BC539="YES"</formula>
    </cfRule>
  </conditionalFormatting>
  <conditionalFormatting sqref="AF541:AF542">
    <cfRule type="expression" dxfId="2448" priority="2761">
      <formula>$BC541="YES"</formula>
    </cfRule>
  </conditionalFormatting>
  <conditionalFormatting sqref="AF543:AF544">
    <cfRule type="expression" dxfId="2447" priority="2760">
      <formula>$BC543="YES"</formula>
    </cfRule>
  </conditionalFormatting>
  <conditionalFormatting sqref="AF545:AF546">
    <cfRule type="expression" dxfId="2446" priority="2759">
      <formula>$BC545="YES"</formula>
    </cfRule>
  </conditionalFormatting>
  <conditionalFormatting sqref="AF547:AF548">
    <cfRule type="expression" dxfId="2445" priority="2758">
      <formula>$BC547="YES"</formula>
    </cfRule>
  </conditionalFormatting>
  <conditionalFormatting sqref="AF549:AF550">
    <cfRule type="expression" dxfId="2444" priority="2757">
      <formula>$BC549="YES"</formula>
    </cfRule>
  </conditionalFormatting>
  <conditionalFormatting sqref="AF551:AF552">
    <cfRule type="expression" dxfId="2443" priority="2756">
      <formula>$BC551="YES"</formula>
    </cfRule>
  </conditionalFormatting>
  <conditionalFormatting sqref="AF553:AF554">
    <cfRule type="expression" dxfId="2442" priority="2755">
      <formula>$BC553="YES"</formula>
    </cfRule>
  </conditionalFormatting>
  <conditionalFormatting sqref="AF555:AF556">
    <cfRule type="expression" dxfId="2441" priority="2754">
      <formula>$BC555="YES"</formula>
    </cfRule>
  </conditionalFormatting>
  <conditionalFormatting sqref="AF557:AF558">
    <cfRule type="expression" dxfId="2440" priority="2753">
      <formula>$BC557="YES"</formula>
    </cfRule>
  </conditionalFormatting>
  <conditionalFormatting sqref="AF559:AF560">
    <cfRule type="expression" dxfId="2439" priority="2752">
      <formula>$BC559="YES"</formula>
    </cfRule>
  </conditionalFormatting>
  <conditionalFormatting sqref="AF561:AF562">
    <cfRule type="expression" dxfId="2438" priority="2751">
      <formula>$BC561="YES"</formula>
    </cfRule>
  </conditionalFormatting>
  <conditionalFormatting sqref="AF563:AF564">
    <cfRule type="expression" dxfId="2437" priority="2750">
      <formula>$BC563="YES"</formula>
    </cfRule>
  </conditionalFormatting>
  <conditionalFormatting sqref="AH15:AH16">
    <cfRule type="expression" dxfId="2436" priority="2749">
      <formula>$BC15="YES"</formula>
    </cfRule>
  </conditionalFormatting>
  <conditionalFormatting sqref="AH17:AH18">
    <cfRule type="expression" dxfId="2435" priority="2748">
      <formula>$BC17="YES"</formula>
    </cfRule>
  </conditionalFormatting>
  <conditionalFormatting sqref="AH19:AH20">
    <cfRule type="expression" dxfId="2434" priority="2747">
      <formula>$BC19="YES"</formula>
    </cfRule>
  </conditionalFormatting>
  <conditionalFormatting sqref="AH21:AH22">
    <cfRule type="expression" dxfId="2433" priority="2746">
      <formula>$BC21="YES"</formula>
    </cfRule>
  </conditionalFormatting>
  <conditionalFormatting sqref="AH23:AH24">
    <cfRule type="expression" dxfId="2432" priority="2745">
      <formula>$BC23="YES"</formula>
    </cfRule>
  </conditionalFormatting>
  <conditionalFormatting sqref="AH25:AH26">
    <cfRule type="expression" dxfId="2431" priority="2744">
      <formula>$BC25="YES"</formula>
    </cfRule>
  </conditionalFormatting>
  <conditionalFormatting sqref="AH27:AH28">
    <cfRule type="expression" dxfId="2430" priority="2743">
      <formula>$BC27="YES"</formula>
    </cfRule>
  </conditionalFormatting>
  <conditionalFormatting sqref="AH29:AH30">
    <cfRule type="expression" dxfId="2429" priority="2742">
      <formula>$BC29="YES"</formula>
    </cfRule>
  </conditionalFormatting>
  <conditionalFormatting sqref="AH31:AH32">
    <cfRule type="expression" dxfId="2428" priority="2741">
      <formula>$BC31="YES"</formula>
    </cfRule>
  </conditionalFormatting>
  <conditionalFormatting sqref="AH33:AH34">
    <cfRule type="expression" dxfId="2427" priority="2740">
      <formula>$BC33="YES"</formula>
    </cfRule>
  </conditionalFormatting>
  <conditionalFormatting sqref="AH35:AH36">
    <cfRule type="expression" dxfId="2426" priority="2739">
      <formula>$BC35="YES"</formula>
    </cfRule>
  </conditionalFormatting>
  <conditionalFormatting sqref="AH37:AH38">
    <cfRule type="expression" dxfId="2425" priority="2738">
      <formula>$BC37="YES"</formula>
    </cfRule>
  </conditionalFormatting>
  <conditionalFormatting sqref="AH39:AH40">
    <cfRule type="expression" dxfId="2424" priority="2737">
      <formula>$BC39="YES"</formula>
    </cfRule>
  </conditionalFormatting>
  <conditionalFormatting sqref="AH41:AH42">
    <cfRule type="expression" dxfId="2423" priority="2736">
      <formula>$BC41="YES"</formula>
    </cfRule>
  </conditionalFormatting>
  <conditionalFormatting sqref="AH43:AH44">
    <cfRule type="expression" dxfId="2422" priority="2735">
      <formula>$BC43="YES"</formula>
    </cfRule>
  </conditionalFormatting>
  <conditionalFormatting sqref="AH45:AH46">
    <cfRule type="expression" dxfId="2421" priority="2734">
      <formula>$BC45="YES"</formula>
    </cfRule>
  </conditionalFormatting>
  <conditionalFormatting sqref="AH47:AH48">
    <cfRule type="expression" dxfId="2420" priority="2733">
      <formula>$BC47="YES"</formula>
    </cfRule>
  </conditionalFormatting>
  <conditionalFormatting sqref="AH49:AH50">
    <cfRule type="expression" dxfId="2419" priority="2732">
      <formula>$BC49="YES"</formula>
    </cfRule>
  </conditionalFormatting>
  <conditionalFormatting sqref="AH51:AH52">
    <cfRule type="expression" dxfId="2418" priority="2731">
      <formula>$BC51="YES"</formula>
    </cfRule>
  </conditionalFormatting>
  <conditionalFormatting sqref="AH53:AH54">
    <cfRule type="expression" dxfId="2417" priority="2730">
      <formula>$BC53="YES"</formula>
    </cfRule>
  </conditionalFormatting>
  <conditionalFormatting sqref="AH55:AH56">
    <cfRule type="expression" dxfId="2416" priority="2729">
      <formula>$BC55="YES"</formula>
    </cfRule>
  </conditionalFormatting>
  <conditionalFormatting sqref="AH57:AH58">
    <cfRule type="expression" dxfId="2415" priority="2728">
      <formula>$BC57="YES"</formula>
    </cfRule>
  </conditionalFormatting>
  <conditionalFormatting sqref="AH59:AH60">
    <cfRule type="expression" dxfId="2414" priority="2727">
      <formula>$BC59="YES"</formula>
    </cfRule>
  </conditionalFormatting>
  <conditionalFormatting sqref="AH61:AH62">
    <cfRule type="expression" dxfId="2413" priority="2726">
      <formula>$BC61="YES"</formula>
    </cfRule>
  </conditionalFormatting>
  <conditionalFormatting sqref="AH63:AH64">
    <cfRule type="expression" dxfId="2412" priority="2725">
      <formula>$BC63="YES"</formula>
    </cfRule>
  </conditionalFormatting>
  <conditionalFormatting sqref="AH65:AH66">
    <cfRule type="expression" dxfId="2411" priority="2724">
      <formula>$BC65="YES"</formula>
    </cfRule>
  </conditionalFormatting>
  <conditionalFormatting sqref="AH67:AH68">
    <cfRule type="expression" dxfId="2410" priority="2723">
      <formula>$BC67="YES"</formula>
    </cfRule>
  </conditionalFormatting>
  <conditionalFormatting sqref="AH69:AH70">
    <cfRule type="expression" dxfId="2409" priority="2722">
      <formula>$BC69="YES"</formula>
    </cfRule>
  </conditionalFormatting>
  <conditionalFormatting sqref="AH71:AH72">
    <cfRule type="expression" dxfId="2408" priority="2721">
      <formula>$BC71="YES"</formula>
    </cfRule>
  </conditionalFormatting>
  <conditionalFormatting sqref="AH73:AH74">
    <cfRule type="expression" dxfId="2407" priority="2720">
      <formula>$BC73="YES"</formula>
    </cfRule>
  </conditionalFormatting>
  <conditionalFormatting sqref="AH75:AH76">
    <cfRule type="expression" dxfId="2406" priority="2719">
      <formula>$BC75="YES"</formula>
    </cfRule>
  </conditionalFormatting>
  <conditionalFormatting sqref="AH77:AH78">
    <cfRule type="expression" dxfId="2405" priority="2718">
      <formula>$BC77="YES"</formula>
    </cfRule>
  </conditionalFormatting>
  <conditionalFormatting sqref="AH79:AH80">
    <cfRule type="expression" dxfId="2404" priority="2717">
      <formula>$BC79="YES"</formula>
    </cfRule>
  </conditionalFormatting>
  <conditionalFormatting sqref="AH81:AH82">
    <cfRule type="expression" dxfId="2403" priority="2716">
      <formula>$BC81="YES"</formula>
    </cfRule>
  </conditionalFormatting>
  <conditionalFormatting sqref="AH83:AH84">
    <cfRule type="expression" dxfId="2402" priority="2715">
      <formula>$BC83="YES"</formula>
    </cfRule>
  </conditionalFormatting>
  <conditionalFormatting sqref="AH85:AH86">
    <cfRule type="expression" dxfId="2401" priority="2714">
      <formula>$BC85="YES"</formula>
    </cfRule>
  </conditionalFormatting>
  <conditionalFormatting sqref="AH87:AH88">
    <cfRule type="expression" dxfId="2400" priority="2713">
      <formula>$BC87="YES"</formula>
    </cfRule>
  </conditionalFormatting>
  <conditionalFormatting sqref="AH89:AH90">
    <cfRule type="expression" dxfId="2399" priority="2712">
      <formula>$BC89="YES"</formula>
    </cfRule>
  </conditionalFormatting>
  <conditionalFormatting sqref="AH91:AH92">
    <cfRule type="expression" dxfId="2398" priority="2711">
      <formula>$BC91="YES"</formula>
    </cfRule>
  </conditionalFormatting>
  <conditionalFormatting sqref="AH93:AH94">
    <cfRule type="expression" dxfId="2397" priority="2710">
      <formula>$BC93="YES"</formula>
    </cfRule>
  </conditionalFormatting>
  <conditionalFormatting sqref="AH95:AH96">
    <cfRule type="expression" dxfId="2396" priority="2709">
      <formula>$BC95="YES"</formula>
    </cfRule>
  </conditionalFormatting>
  <conditionalFormatting sqref="AH97:AH98">
    <cfRule type="expression" dxfId="2395" priority="2708">
      <formula>$BC97="YES"</formula>
    </cfRule>
  </conditionalFormatting>
  <conditionalFormatting sqref="AH99:AH100">
    <cfRule type="expression" dxfId="2394" priority="2707">
      <formula>$BC99="YES"</formula>
    </cfRule>
  </conditionalFormatting>
  <conditionalFormatting sqref="AH101:AH102">
    <cfRule type="expression" dxfId="2393" priority="2706">
      <formula>$BC101="YES"</formula>
    </cfRule>
  </conditionalFormatting>
  <conditionalFormatting sqref="AH103:AH104">
    <cfRule type="expression" dxfId="2392" priority="2705">
      <formula>$BC103="YES"</formula>
    </cfRule>
  </conditionalFormatting>
  <conditionalFormatting sqref="AH105:AH106">
    <cfRule type="expression" dxfId="2391" priority="2704">
      <formula>$BC105="YES"</formula>
    </cfRule>
  </conditionalFormatting>
  <conditionalFormatting sqref="AH107:AH108">
    <cfRule type="expression" dxfId="2390" priority="2703">
      <formula>$BC107="YES"</formula>
    </cfRule>
  </conditionalFormatting>
  <conditionalFormatting sqref="AH109:AH110">
    <cfRule type="expression" dxfId="2389" priority="2702">
      <formula>$BC109="YES"</formula>
    </cfRule>
  </conditionalFormatting>
  <conditionalFormatting sqref="AH111:AH112">
    <cfRule type="expression" dxfId="2388" priority="2701">
      <formula>$BC111="YES"</formula>
    </cfRule>
  </conditionalFormatting>
  <conditionalFormatting sqref="AH113:AH114">
    <cfRule type="expression" dxfId="2387" priority="2700">
      <formula>$BC113="YES"</formula>
    </cfRule>
  </conditionalFormatting>
  <conditionalFormatting sqref="AH115:AH116">
    <cfRule type="expression" dxfId="2386" priority="2699">
      <formula>$BC115="YES"</formula>
    </cfRule>
  </conditionalFormatting>
  <conditionalFormatting sqref="AH117:AH118">
    <cfRule type="expression" dxfId="2385" priority="2698">
      <formula>$BC117="YES"</formula>
    </cfRule>
  </conditionalFormatting>
  <conditionalFormatting sqref="AH119:AH120">
    <cfRule type="expression" dxfId="2384" priority="2697">
      <formula>$BC119="YES"</formula>
    </cfRule>
  </conditionalFormatting>
  <conditionalFormatting sqref="AH121:AH122">
    <cfRule type="expression" dxfId="2383" priority="2696">
      <formula>$BC121="YES"</formula>
    </cfRule>
  </conditionalFormatting>
  <conditionalFormatting sqref="AH123:AH124">
    <cfRule type="expression" dxfId="2382" priority="2695">
      <formula>$BC123="YES"</formula>
    </cfRule>
  </conditionalFormatting>
  <conditionalFormatting sqref="AH125:AH126">
    <cfRule type="expression" dxfId="2381" priority="2694">
      <formula>$BC125="YES"</formula>
    </cfRule>
  </conditionalFormatting>
  <conditionalFormatting sqref="AH127:AH128">
    <cfRule type="expression" dxfId="2380" priority="2693">
      <formula>$BC127="YES"</formula>
    </cfRule>
  </conditionalFormatting>
  <conditionalFormatting sqref="AH129:AH130">
    <cfRule type="expression" dxfId="2379" priority="2692">
      <formula>$BC129="YES"</formula>
    </cfRule>
  </conditionalFormatting>
  <conditionalFormatting sqref="AH131:AH132">
    <cfRule type="expression" dxfId="2378" priority="2691">
      <formula>$BC131="YES"</formula>
    </cfRule>
  </conditionalFormatting>
  <conditionalFormatting sqref="AH133:AH134">
    <cfRule type="expression" dxfId="2377" priority="2690">
      <formula>$BC133="YES"</formula>
    </cfRule>
  </conditionalFormatting>
  <conditionalFormatting sqref="AH135:AH136">
    <cfRule type="expression" dxfId="2376" priority="2689">
      <formula>$BC135="YES"</formula>
    </cfRule>
  </conditionalFormatting>
  <conditionalFormatting sqref="AH137:AH138">
    <cfRule type="expression" dxfId="2375" priority="2688">
      <formula>$BC137="YES"</formula>
    </cfRule>
  </conditionalFormatting>
  <conditionalFormatting sqref="AH139:AH140">
    <cfRule type="expression" dxfId="2374" priority="2687">
      <formula>$BC139="YES"</formula>
    </cfRule>
  </conditionalFormatting>
  <conditionalFormatting sqref="AH141:AH142">
    <cfRule type="expression" dxfId="2373" priority="2686">
      <formula>$BC141="YES"</formula>
    </cfRule>
  </conditionalFormatting>
  <conditionalFormatting sqref="AH143:AH144">
    <cfRule type="expression" dxfId="2372" priority="2685">
      <formula>$BC143="YES"</formula>
    </cfRule>
  </conditionalFormatting>
  <conditionalFormatting sqref="AH145:AH146">
    <cfRule type="expression" dxfId="2371" priority="2684">
      <formula>$BC145="YES"</formula>
    </cfRule>
  </conditionalFormatting>
  <conditionalFormatting sqref="AH147:AH148">
    <cfRule type="expression" dxfId="2370" priority="2683">
      <formula>$BC147="YES"</formula>
    </cfRule>
  </conditionalFormatting>
  <conditionalFormatting sqref="AH149:AH150">
    <cfRule type="expression" dxfId="2369" priority="2682">
      <formula>$BC149="YES"</formula>
    </cfRule>
  </conditionalFormatting>
  <conditionalFormatting sqref="AH151:AH152">
    <cfRule type="expression" dxfId="2368" priority="2681">
      <formula>$BC151="YES"</formula>
    </cfRule>
  </conditionalFormatting>
  <conditionalFormatting sqref="AH153:AH154">
    <cfRule type="expression" dxfId="2367" priority="2680">
      <formula>$BC153="YES"</formula>
    </cfRule>
  </conditionalFormatting>
  <conditionalFormatting sqref="AH155:AH156">
    <cfRule type="expression" dxfId="2366" priority="2679">
      <formula>$BC155="YES"</formula>
    </cfRule>
  </conditionalFormatting>
  <conditionalFormatting sqref="AH157:AH158">
    <cfRule type="expression" dxfId="2365" priority="2678">
      <formula>$BC157="YES"</formula>
    </cfRule>
  </conditionalFormatting>
  <conditionalFormatting sqref="AH159:AH160">
    <cfRule type="expression" dxfId="2364" priority="2677">
      <formula>$BC159="YES"</formula>
    </cfRule>
  </conditionalFormatting>
  <conditionalFormatting sqref="AH161:AH162">
    <cfRule type="expression" dxfId="2363" priority="2676">
      <formula>$BC161="YES"</formula>
    </cfRule>
  </conditionalFormatting>
  <conditionalFormatting sqref="AH163:AH164">
    <cfRule type="expression" dxfId="2362" priority="2675">
      <formula>$BC163="YES"</formula>
    </cfRule>
  </conditionalFormatting>
  <conditionalFormatting sqref="AH165:AH166">
    <cfRule type="expression" dxfId="2361" priority="2674">
      <formula>$BC165="YES"</formula>
    </cfRule>
  </conditionalFormatting>
  <conditionalFormatting sqref="AH167:AH168">
    <cfRule type="expression" dxfId="2360" priority="2673">
      <formula>$BC167="YES"</formula>
    </cfRule>
  </conditionalFormatting>
  <conditionalFormatting sqref="AH169:AH170">
    <cfRule type="expression" dxfId="2359" priority="2672">
      <formula>$BC169="YES"</formula>
    </cfRule>
  </conditionalFormatting>
  <conditionalFormatting sqref="AH171:AH172">
    <cfRule type="expression" dxfId="2358" priority="2671">
      <formula>$BC171="YES"</formula>
    </cfRule>
  </conditionalFormatting>
  <conditionalFormatting sqref="AH173:AH174">
    <cfRule type="expression" dxfId="2357" priority="2670">
      <formula>$BC173="YES"</formula>
    </cfRule>
  </conditionalFormatting>
  <conditionalFormatting sqref="AH175:AH176">
    <cfRule type="expression" dxfId="2356" priority="2669">
      <formula>$BC175="YES"</formula>
    </cfRule>
  </conditionalFormatting>
  <conditionalFormatting sqref="AH177:AH178">
    <cfRule type="expression" dxfId="2355" priority="2668">
      <formula>$BC177="YES"</formula>
    </cfRule>
  </conditionalFormatting>
  <conditionalFormatting sqref="AH179:AH180">
    <cfRule type="expression" dxfId="2354" priority="2667">
      <formula>$BC179="YES"</formula>
    </cfRule>
  </conditionalFormatting>
  <conditionalFormatting sqref="AH181:AH182">
    <cfRule type="expression" dxfId="2353" priority="2666">
      <formula>$BC181="YES"</formula>
    </cfRule>
  </conditionalFormatting>
  <conditionalFormatting sqref="AH183:AH184">
    <cfRule type="expression" dxfId="2352" priority="2665">
      <formula>$BC183="YES"</formula>
    </cfRule>
  </conditionalFormatting>
  <conditionalFormatting sqref="AH185:AH186">
    <cfRule type="expression" dxfId="2351" priority="2664">
      <formula>$BC185="YES"</formula>
    </cfRule>
  </conditionalFormatting>
  <conditionalFormatting sqref="AH187:AH188">
    <cfRule type="expression" dxfId="2350" priority="2663">
      <formula>$BC187="YES"</formula>
    </cfRule>
  </conditionalFormatting>
  <conditionalFormatting sqref="AH189:AH190">
    <cfRule type="expression" dxfId="2349" priority="2662">
      <formula>$BC189="YES"</formula>
    </cfRule>
  </conditionalFormatting>
  <conditionalFormatting sqref="AH191:AH192">
    <cfRule type="expression" dxfId="2348" priority="2661">
      <formula>$BC191="YES"</formula>
    </cfRule>
  </conditionalFormatting>
  <conditionalFormatting sqref="AH193:AH194">
    <cfRule type="expression" dxfId="2347" priority="2660">
      <formula>$BC193="YES"</formula>
    </cfRule>
  </conditionalFormatting>
  <conditionalFormatting sqref="AH195:AH196">
    <cfRule type="expression" dxfId="2346" priority="2659">
      <formula>$BC195="YES"</formula>
    </cfRule>
  </conditionalFormatting>
  <conditionalFormatting sqref="AH197:AH198">
    <cfRule type="expression" dxfId="2345" priority="2658">
      <formula>$BC197="YES"</formula>
    </cfRule>
  </conditionalFormatting>
  <conditionalFormatting sqref="AH199:AH200">
    <cfRule type="expression" dxfId="2344" priority="2657">
      <formula>$BC199="YES"</formula>
    </cfRule>
  </conditionalFormatting>
  <conditionalFormatting sqref="AH201:AH202">
    <cfRule type="expression" dxfId="2343" priority="2656">
      <formula>$BC201="YES"</formula>
    </cfRule>
  </conditionalFormatting>
  <conditionalFormatting sqref="AH203:AH204">
    <cfRule type="expression" dxfId="2342" priority="2655">
      <formula>$BC203="YES"</formula>
    </cfRule>
  </conditionalFormatting>
  <conditionalFormatting sqref="AH205:AH206">
    <cfRule type="expression" dxfId="2341" priority="2654">
      <formula>$BC205="YES"</formula>
    </cfRule>
  </conditionalFormatting>
  <conditionalFormatting sqref="AH207:AH208">
    <cfRule type="expression" dxfId="2340" priority="2653">
      <formula>$BC207="YES"</formula>
    </cfRule>
  </conditionalFormatting>
  <conditionalFormatting sqref="AH209:AH210">
    <cfRule type="expression" dxfId="2339" priority="2652">
      <formula>$BC209="YES"</formula>
    </cfRule>
  </conditionalFormatting>
  <conditionalFormatting sqref="AH211:AH212">
    <cfRule type="expression" dxfId="2338" priority="2651">
      <formula>$BC211="YES"</formula>
    </cfRule>
  </conditionalFormatting>
  <conditionalFormatting sqref="AH213:AH214">
    <cfRule type="expression" dxfId="2337" priority="2650">
      <formula>$BC213="YES"</formula>
    </cfRule>
  </conditionalFormatting>
  <conditionalFormatting sqref="AH215:AH216">
    <cfRule type="expression" dxfId="2336" priority="2649">
      <formula>$BC215="YES"</formula>
    </cfRule>
  </conditionalFormatting>
  <conditionalFormatting sqref="AH217:AH218">
    <cfRule type="expression" dxfId="2335" priority="2648">
      <formula>$BC217="YES"</formula>
    </cfRule>
  </conditionalFormatting>
  <conditionalFormatting sqref="AH219:AH220">
    <cfRule type="expression" dxfId="2334" priority="2647">
      <formula>$BC219="YES"</formula>
    </cfRule>
  </conditionalFormatting>
  <conditionalFormatting sqref="AH221:AH222">
    <cfRule type="expression" dxfId="2333" priority="2646">
      <formula>$BC221="YES"</formula>
    </cfRule>
  </conditionalFormatting>
  <conditionalFormatting sqref="AH223:AH224">
    <cfRule type="expression" dxfId="2332" priority="2645">
      <formula>$BC223="YES"</formula>
    </cfRule>
  </conditionalFormatting>
  <conditionalFormatting sqref="AH225:AH226">
    <cfRule type="expression" dxfId="2331" priority="2644">
      <formula>$BC225="YES"</formula>
    </cfRule>
  </conditionalFormatting>
  <conditionalFormatting sqref="AH227:AH228">
    <cfRule type="expression" dxfId="2330" priority="2643">
      <formula>$BC227="YES"</formula>
    </cfRule>
  </conditionalFormatting>
  <conditionalFormatting sqref="AH229:AH230">
    <cfRule type="expression" dxfId="2329" priority="2642">
      <formula>$BC229="YES"</formula>
    </cfRule>
  </conditionalFormatting>
  <conditionalFormatting sqref="AH231:AH232">
    <cfRule type="expression" dxfId="2328" priority="2641">
      <formula>$BC231="YES"</formula>
    </cfRule>
  </conditionalFormatting>
  <conditionalFormatting sqref="AH233:AH234">
    <cfRule type="expression" dxfId="2327" priority="2640">
      <formula>$BC233="YES"</formula>
    </cfRule>
  </conditionalFormatting>
  <conditionalFormatting sqref="AH235:AH236">
    <cfRule type="expression" dxfId="2326" priority="2639">
      <formula>$BC235="YES"</formula>
    </cfRule>
  </conditionalFormatting>
  <conditionalFormatting sqref="AH237:AH238">
    <cfRule type="expression" dxfId="2325" priority="2638">
      <formula>$BC237="YES"</formula>
    </cfRule>
  </conditionalFormatting>
  <conditionalFormatting sqref="AH239:AH240">
    <cfRule type="expression" dxfId="2324" priority="2637">
      <formula>$BC239="YES"</formula>
    </cfRule>
  </conditionalFormatting>
  <conditionalFormatting sqref="AH241:AH242">
    <cfRule type="expression" dxfId="2323" priority="2636">
      <formula>$BC241="YES"</formula>
    </cfRule>
  </conditionalFormatting>
  <conditionalFormatting sqref="AH243:AH244">
    <cfRule type="expression" dxfId="2322" priority="2635">
      <formula>$BC243="YES"</formula>
    </cfRule>
  </conditionalFormatting>
  <conditionalFormatting sqref="AH245:AH246">
    <cfRule type="expression" dxfId="2321" priority="2634">
      <formula>$BC245="YES"</formula>
    </cfRule>
  </conditionalFormatting>
  <conditionalFormatting sqref="AH247:AH248">
    <cfRule type="expression" dxfId="2320" priority="2633">
      <formula>$BC247="YES"</formula>
    </cfRule>
  </conditionalFormatting>
  <conditionalFormatting sqref="AH249:AH250">
    <cfRule type="expression" dxfId="2319" priority="2632">
      <formula>$BC249="YES"</formula>
    </cfRule>
  </conditionalFormatting>
  <conditionalFormatting sqref="AH251:AH252">
    <cfRule type="expression" dxfId="2318" priority="2631">
      <formula>$BC251="YES"</formula>
    </cfRule>
  </conditionalFormatting>
  <conditionalFormatting sqref="AH253:AH254">
    <cfRule type="expression" dxfId="2317" priority="2630">
      <formula>$BC253="YES"</formula>
    </cfRule>
  </conditionalFormatting>
  <conditionalFormatting sqref="AH255:AH256">
    <cfRule type="expression" dxfId="2316" priority="2629">
      <formula>$BC255="YES"</formula>
    </cfRule>
  </conditionalFormatting>
  <conditionalFormatting sqref="AH257:AH258">
    <cfRule type="expression" dxfId="2315" priority="2628">
      <formula>$BC257="YES"</formula>
    </cfRule>
  </conditionalFormatting>
  <conditionalFormatting sqref="AH259:AH260">
    <cfRule type="expression" dxfId="2314" priority="2627">
      <formula>$BC259="YES"</formula>
    </cfRule>
  </conditionalFormatting>
  <conditionalFormatting sqref="AH261:AH262">
    <cfRule type="expression" dxfId="2313" priority="2626">
      <formula>$BC261="YES"</formula>
    </cfRule>
  </conditionalFormatting>
  <conditionalFormatting sqref="AH263:AH264">
    <cfRule type="expression" dxfId="2312" priority="2625">
      <formula>$BC263="YES"</formula>
    </cfRule>
  </conditionalFormatting>
  <conditionalFormatting sqref="AH265:AH266">
    <cfRule type="expression" dxfId="2311" priority="2624">
      <formula>$BC265="YES"</formula>
    </cfRule>
  </conditionalFormatting>
  <conditionalFormatting sqref="AH267:AH268">
    <cfRule type="expression" dxfId="2310" priority="2623">
      <formula>$BC267="YES"</formula>
    </cfRule>
  </conditionalFormatting>
  <conditionalFormatting sqref="AH269:AH270">
    <cfRule type="expression" dxfId="2309" priority="2622">
      <formula>$BC269="YES"</formula>
    </cfRule>
  </conditionalFormatting>
  <conditionalFormatting sqref="AH271:AH272">
    <cfRule type="expression" dxfId="2308" priority="2621">
      <formula>$BC271="YES"</formula>
    </cfRule>
  </conditionalFormatting>
  <conditionalFormatting sqref="AH273:AH274">
    <cfRule type="expression" dxfId="2307" priority="2620">
      <formula>$BC273="YES"</formula>
    </cfRule>
  </conditionalFormatting>
  <conditionalFormatting sqref="AH275:AH276">
    <cfRule type="expression" dxfId="2306" priority="2619">
      <formula>$BC275="YES"</formula>
    </cfRule>
  </conditionalFormatting>
  <conditionalFormatting sqref="AH277:AH278">
    <cfRule type="expression" dxfId="2305" priority="2618">
      <formula>$BC277="YES"</formula>
    </cfRule>
  </conditionalFormatting>
  <conditionalFormatting sqref="AH279:AH280">
    <cfRule type="expression" dxfId="2304" priority="2617">
      <formula>$BC279="YES"</formula>
    </cfRule>
  </conditionalFormatting>
  <conditionalFormatting sqref="AH281:AH282">
    <cfRule type="expression" dxfId="2303" priority="2616">
      <formula>$BC281="YES"</formula>
    </cfRule>
  </conditionalFormatting>
  <conditionalFormatting sqref="AH283:AH284">
    <cfRule type="expression" dxfId="2302" priority="2615">
      <formula>$BC283="YES"</formula>
    </cfRule>
  </conditionalFormatting>
  <conditionalFormatting sqref="AH285:AH286">
    <cfRule type="expression" dxfId="2301" priority="2614">
      <formula>$BC285="YES"</formula>
    </cfRule>
  </conditionalFormatting>
  <conditionalFormatting sqref="AH287:AH288">
    <cfRule type="expression" dxfId="2300" priority="2613">
      <formula>$BC287="YES"</formula>
    </cfRule>
  </conditionalFormatting>
  <conditionalFormatting sqref="AH289:AH290">
    <cfRule type="expression" dxfId="2299" priority="2612">
      <formula>$BC289="YES"</formula>
    </cfRule>
  </conditionalFormatting>
  <conditionalFormatting sqref="AH291:AH292">
    <cfRule type="expression" dxfId="2298" priority="2611">
      <formula>$BC291="YES"</formula>
    </cfRule>
  </conditionalFormatting>
  <conditionalFormatting sqref="AH293:AH294">
    <cfRule type="expression" dxfId="2297" priority="2610">
      <formula>$BC293="YES"</formula>
    </cfRule>
  </conditionalFormatting>
  <conditionalFormatting sqref="AH295:AH296">
    <cfRule type="expression" dxfId="2296" priority="2609">
      <formula>$BC295="YES"</formula>
    </cfRule>
  </conditionalFormatting>
  <conditionalFormatting sqref="AH297:AH298">
    <cfRule type="expression" dxfId="2295" priority="2608">
      <formula>$BC297="YES"</formula>
    </cfRule>
  </conditionalFormatting>
  <conditionalFormatting sqref="AH299:AH300">
    <cfRule type="expression" dxfId="2294" priority="2607">
      <formula>$BC299="YES"</formula>
    </cfRule>
  </conditionalFormatting>
  <conditionalFormatting sqref="AH301:AH302">
    <cfRule type="expression" dxfId="2293" priority="2606">
      <formula>$BC301="YES"</formula>
    </cfRule>
  </conditionalFormatting>
  <conditionalFormatting sqref="AH303:AH304">
    <cfRule type="expression" dxfId="2292" priority="2605">
      <formula>$BC303="YES"</formula>
    </cfRule>
  </conditionalFormatting>
  <conditionalFormatting sqref="AH305:AH306">
    <cfRule type="expression" dxfId="2291" priority="2604">
      <formula>$BC305="YES"</formula>
    </cfRule>
  </conditionalFormatting>
  <conditionalFormatting sqref="AH307:AH308">
    <cfRule type="expression" dxfId="2290" priority="2603">
      <formula>$BC307="YES"</formula>
    </cfRule>
  </conditionalFormatting>
  <conditionalFormatting sqref="AH309:AH310">
    <cfRule type="expression" dxfId="2289" priority="2602">
      <formula>$BC309="YES"</formula>
    </cfRule>
  </conditionalFormatting>
  <conditionalFormatting sqref="AH311:AH312">
    <cfRule type="expression" dxfId="2288" priority="2601">
      <formula>$BC311="YES"</formula>
    </cfRule>
  </conditionalFormatting>
  <conditionalFormatting sqref="AH313:AH314">
    <cfRule type="expression" dxfId="2287" priority="2600">
      <formula>$BC313="YES"</formula>
    </cfRule>
  </conditionalFormatting>
  <conditionalFormatting sqref="AH315:AH316">
    <cfRule type="expression" dxfId="2286" priority="2599">
      <formula>$BC315="YES"</formula>
    </cfRule>
  </conditionalFormatting>
  <conditionalFormatting sqref="AH317:AH318">
    <cfRule type="expression" dxfId="2285" priority="2598">
      <formula>$BC317="YES"</formula>
    </cfRule>
  </conditionalFormatting>
  <conditionalFormatting sqref="AH319:AH320">
    <cfRule type="expression" dxfId="2284" priority="2597">
      <formula>$BC319="YES"</formula>
    </cfRule>
  </conditionalFormatting>
  <conditionalFormatting sqref="AH321:AH322">
    <cfRule type="expression" dxfId="2283" priority="2596">
      <formula>$BC321="YES"</formula>
    </cfRule>
  </conditionalFormatting>
  <conditionalFormatting sqref="AH323:AH324">
    <cfRule type="expression" dxfId="2282" priority="2595">
      <formula>$BC323="YES"</formula>
    </cfRule>
  </conditionalFormatting>
  <conditionalFormatting sqref="AH325:AH326">
    <cfRule type="expression" dxfId="2281" priority="2594">
      <formula>$BC325="YES"</formula>
    </cfRule>
  </conditionalFormatting>
  <conditionalFormatting sqref="AH327:AH328">
    <cfRule type="expression" dxfId="2280" priority="2593">
      <formula>$BC327="YES"</formula>
    </cfRule>
  </conditionalFormatting>
  <conditionalFormatting sqref="AH329:AH330">
    <cfRule type="expression" dxfId="2279" priority="2592">
      <formula>$BC329="YES"</formula>
    </cfRule>
  </conditionalFormatting>
  <conditionalFormatting sqref="AH331:AH332">
    <cfRule type="expression" dxfId="2278" priority="2591">
      <formula>$BC331="YES"</formula>
    </cfRule>
  </conditionalFormatting>
  <conditionalFormatting sqref="AH333:AH334">
    <cfRule type="expression" dxfId="2277" priority="2590">
      <formula>$BC333="YES"</formula>
    </cfRule>
  </conditionalFormatting>
  <conditionalFormatting sqref="AH335:AH336">
    <cfRule type="expression" dxfId="2276" priority="2589">
      <formula>$BC335="YES"</formula>
    </cfRule>
  </conditionalFormatting>
  <conditionalFormatting sqref="AH337:AH338">
    <cfRule type="expression" dxfId="2275" priority="2588">
      <formula>$BC337="YES"</formula>
    </cfRule>
  </conditionalFormatting>
  <conditionalFormatting sqref="AH339:AH340">
    <cfRule type="expression" dxfId="2274" priority="2587">
      <formula>$BC339="YES"</formula>
    </cfRule>
  </conditionalFormatting>
  <conditionalFormatting sqref="AH341:AH342">
    <cfRule type="expression" dxfId="2273" priority="2586">
      <formula>$BC341="YES"</formula>
    </cfRule>
  </conditionalFormatting>
  <conditionalFormatting sqref="AH343:AH344">
    <cfRule type="expression" dxfId="2272" priority="2585">
      <formula>$BC343="YES"</formula>
    </cfRule>
  </conditionalFormatting>
  <conditionalFormatting sqref="AH345:AH346">
    <cfRule type="expression" dxfId="2271" priority="2584">
      <formula>$BC345="YES"</formula>
    </cfRule>
  </conditionalFormatting>
  <conditionalFormatting sqref="AH347:AH348">
    <cfRule type="expression" dxfId="2270" priority="2583">
      <formula>$BC347="YES"</formula>
    </cfRule>
  </conditionalFormatting>
  <conditionalFormatting sqref="AH349:AH350">
    <cfRule type="expression" dxfId="2269" priority="2582">
      <formula>$BC349="YES"</formula>
    </cfRule>
  </conditionalFormatting>
  <conditionalFormatting sqref="AH351:AH352">
    <cfRule type="expression" dxfId="2268" priority="2581">
      <formula>$BC351="YES"</formula>
    </cfRule>
  </conditionalFormatting>
  <conditionalFormatting sqref="AH353:AH354">
    <cfRule type="expression" dxfId="2267" priority="2580">
      <formula>$BC353="YES"</formula>
    </cfRule>
  </conditionalFormatting>
  <conditionalFormatting sqref="AH355:AH356">
    <cfRule type="expression" dxfId="2266" priority="2579">
      <formula>$BC355="YES"</formula>
    </cfRule>
  </conditionalFormatting>
  <conditionalFormatting sqref="AH357:AH358">
    <cfRule type="expression" dxfId="2265" priority="2578">
      <formula>$BC357="YES"</formula>
    </cfRule>
  </conditionalFormatting>
  <conditionalFormatting sqref="AH359:AH360">
    <cfRule type="expression" dxfId="2264" priority="2577">
      <formula>$BC359="YES"</formula>
    </cfRule>
  </conditionalFormatting>
  <conditionalFormatting sqref="AH361:AH362">
    <cfRule type="expression" dxfId="2263" priority="2576">
      <formula>$BC361="YES"</formula>
    </cfRule>
  </conditionalFormatting>
  <conditionalFormatting sqref="AH363:AH364">
    <cfRule type="expression" dxfId="2262" priority="2575">
      <formula>$BC363="YES"</formula>
    </cfRule>
  </conditionalFormatting>
  <conditionalFormatting sqref="AH365:AH366">
    <cfRule type="expression" dxfId="2261" priority="2574">
      <formula>$BC365="YES"</formula>
    </cfRule>
  </conditionalFormatting>
  <conditionalFormatting sqref="AH367:AH368">
    <cfRule type="expression" dxfId="2260" priority="2573">
      <formula>$BC367="YES"</formula>
    </cfRule>
  </conditionalFormatting>
  <conditionalFormatting sqref="AH369:AH370">
    <cfRule type="expression" dxfId="2259" priority="2572">
      <formula>$BC369="YES"</formula>
    </cfRule>
  </conditionalFormatting>
  <conditionalFormatting sqref="AH371:AH372">
    <cfRule type="expression" dxfId="2258" priority="2571">
      <formula>$BC371="YES"</formula>
    </cfRule>
  </conditionalFormatting>
  <conditionalFormatting sqref="AH373:AH374">
    <cfRule type="expression" dxfId="2257" priority="2570">
      <formula>$BC373="YES"</formula>
    </cfRule>
  </conditionalFormatting>
  <conditionalFormatting sqref="AH375:AH376">
    <cfRule type="expression" dxfId="2256" priority="2569">
      <formula>$BC375="YES"</formula>
    </cfRule>
  </conditionalFormatting>
  <conditionalFormatting sqref="AH377:AH378">
    <cfRule type="expression" dxfId="2255" priority="2568">
      <formula>$BC377="YES"</formula>
    </cfRule>
  </conditionalFormatting>
  <conditionalFormatting sqref="AH379:AH380">
    <cfRule type="expression" dxfId="2254" priority="2567">
      <formula>$BC379="YES"</formula>
    </cfRule>
  </conditionalFormatting>
  <conditionalFormatting sqref="AH381:AH382">
    <cfRule type="expression" dxfId="2253" priority="2566">
      <formula>$BC381="YES"</formula>
    </cfRule>
  </conditionalFormatting>
  <conditionalFormatting sqref="AH383:AH384">
    <cfRule type="expression" dxfId="2252" priority="2565">
      <formula>$BC383="YES"</formula>
    </cfRule>
  </conditionalFormatting>
  <conditionalFormatting sqref="AH385:AH386">
    <cfRule type="expression" dxfId="2251" priority="2564">
      <formula>$BC385="YES"</formula>
    </cfRule>
  </conditionalFormatting>
  <conditionalFormatting sqref="AH387:AH388">
    <cfRule type="expression" dxfId="2250" priority="2563">
      <formula>$BC387="YES"</formula>
    </cfRule>
  </conditionalFormatting>
  <conditionalFormatting sqref="AH389:AH390">
    <cfRule type="expression" dxfId="2249" priority="2562">
      <formula>$BC389="YES"</formula>
    </cfRule>
  </conditionalFormatting>
  <conditionalFormatting sqref="AH391:AH392">
    <cfRule type="expression" dxfId="2248" priority="2561">
      <formula>$BC391="YES"</formula>
    </cfRule>
  </conditionalFormatting>
  <conditionalFormatting sqref="AH393:AH394">
    <cfRule type="expression" dxfId="2247" priority="2560">
      <formula>$BC393="YES"</formula>
    </cfRule>
  </conditionalFormatting>
  <conditionalFormatting sqref="AH395:AH396">
    <cfRule type="expression" dxfId="2246" priority="2559">
      <formula>$BC395="YES"</formula>
    </cfRule>
  </conditionalFormatting>
  <conditionalFormatting sqref="AH397:AH398">
    <cfRule type="expression" dxfId="2245" priority="2558">
      <formula>$BC397="YES"</formula>
    </cfRule>
  </conditionalFormatting>
  <conditionalFormatting sqref="AH399:AH400">
    <cfRule type="expression" dxfId="2244" priority="2557">
      <formula>$BC399="YES"</formula>
    </cfRule>
  </conditionalFormatting>
  <conditionalFormatting sqref="AH401:AH402">
    <cfRule type="expression" dxfId="2243" priority="2556">
      <formula>$BC401="YES"</formula>
    </cfRule>
  </conditionalFormatting>
  <conditionalFormatting sqref="AH403:AH404">
    <cfRule type="expression" dxfId="2242" priority="2555">
      <formula>$BC403="YES"</formula>
    </cfRule>
  </conditionalFormatting>
  <conditionalFormatting sqref="AH405:AH406">
    <cfRule type="expression" dxfId="2241" priority="2554">
      <formula>$BC405="YES"</formula>
    </cfRule>
  </conditionalFormatting>
  <conditionalFormatting sqref="AH407:AH408">
    <cfRule type="expression" dxfId="2240" priority="2553">
      <formula>$BC407="YES"</formula>
    </cfRule>
  </conditionalFormatting>
  <conditionalFormatting sqref="AH409:AH410">
    <cfRule type="expression" dxfId="2239" priority="2552">
      <formula>$BC409="YES"</formula>
    </cfRule>
  </conditionalFormatting>
  <conditionalFormatting sqref="AH411:AH412">
    <cfRule type="expression" dxfId="2238" priority="2551">
      <formula>$BC411="YES"</formula>
    </cfRule>
  </conditionalFormatting>
  <conditionalFormatting sqref="AH413:AH414">
    <cfRule type="expression" dxfId="2237" priority="2550">
      <formula>$BC413="YES"</formula>
    </cfRule>
  </conditionalFormatting>
  <conditionalFormatting sqref="AH415:AH416">
    <cfRule type="expression" dxfId="2236" priority="2549">
      <formula>$BC415="YES"</formula>
    </cfRule>
  </conditionalFormatting>
  <conditionalFormatting sqref="AH417:AH418">
    <cfRule type="expression" dxfId="2235" priority="2548">
      <formula>$BC417="YES"</formula>
    </cfRule>
  </conditionalFormatting>
  <conditionalFormatting sqref="AH419:AH420">
    <cfRule type="expression" dxfId="2234" priority="2547">
      <formula>$BC419="YES"</formula>
    </cfRule>
  </conditionalFormatting>
  <conditionalFormatting sqref="AH421:AH422">
    <cfRule type="expression" dxfId="2233" priority="2546">
      <formula>$BC421="YES"</formula>
    </cfRule>
  </conditionalFormatting>
  <conditionalFormatting sqref="AH423:AH424">
    <cfRule type="expression" dxfId="2232" priority="2545">
      <formula>$BC423="YES"</formula>
    </cfRule>
  </conditionalFormatting>
  <conditionalFormatting sqref="AH425:AH426">
    <cfRule type="expression" dxfId="2231" priority="2544">
      <formula>$BC425="YES"</formula>
    </cfRule>
  </conditionalFormatting>
  <conditionalFormatting sqref="AH427:AH428">
    <cfRule type="expression" dxfId="2230" priority="2543">
      <formula>$BC427="YES"</formula>
    </cfRule>
  </conditionalFormatting>
  <conditionalFormatting sqref="AH429:AH430">
    <cfRule type="expression" dxfId="2229" priority="2542">
      <formula>$BC429="YES"</formula>
    </cfRule>
  </conditionalFormatting>
  <conditionalFormatting sqref="AH431:AH432">
    <cfRule type="expression" dxfId="2228" priority="2541">
      <formula>$BC431="YES"</formula>
    </cfRule>
  </conditionalFormatting>
  <conditionalFormatting sqref="AH433:AH434">
    <cfRule type="expression" dxfId="2227" priority="2540">
      <formula>$BC433="YES"</formula>
    </cfRule>
  </conditionalFormatting>
  <conditionalFormatting sqref="AH435:AH436">
    <cfRule type="expression" dxfId="2226" priority="2539">
      <formula>$BC435="YES"</formula>
    </cfRule>
  </conditionalFormatting>
  <conditionalFormatting sqref="AH437:AH438">
    <cfRule type="expression" dxfId="2225" priority="2538">
      <formula>$BC437="YES"</formula>
    </cfRule>
  </conditionalFormatting>
  <conditionalFormatting sqref="AH439:AH440">
    <cfRule type="expression" dxfId="2224" priority="2537">
      <formula>$BC439="YES"</formula>
    </cfRule>
  </conditionalFormatting>
  <conditionalFormatting sqref="AH441:AH442">
    <cfRule type="expression" dxfId="2223" priority="2536">
      <formula>$BC441="YES"</formula>
    </cfRule>
  </conditionalFormatting>
  <conditionalFormatting sqref="AH443:AH444">
    <cfRule type="expression" dxfId="2222" priority="2535">
      <formula>$BC443="YES"</formula>
    </cfRule>
  </conditionalFormatting>
  <conditionalFormatting sqref="AH445:AH446">
    <cfRule type="expression" dxfId="2221" priority="2534">
      <formula>$BC445="YES"</formula>
    </cfRule>
  </conditionalFormatting>
  <conditionalFormatting sqref="AH447:AH448">
    <cfRule type="expression" dxfId="2220" priority="2533">
      <formula>$BC447="YES"</formula>
    </cfRule>
  </conditionalFormatting>
  <conditionalFormatting sqref="AH449:AH450">
    <cfRule type="expression" dxfId="2219" priority="2532">
      <formula>$BC449="YES"</formula>
    </cfRule>
  </conditionalFormatting>
  <conditionalFormatting sqref="AH451:AH452">
    <cfRule type="expression" dxfId="2218" priority="2531">
      <formula>$BC451="YES"</formula>
    </cfRule>
  </conditionalFormatting>
  <conditionalFormatting sqref="AH453:AH454">
    <cfRule type="expression" dxfId="2217" priority="2530">
      <formula>$BC453="YES"</formula>
    </cfRule>
  </conditionalFormatting>
  <conditionalFormatting sqref="AH455:AH456">
    <cfRule type="expression" dxfId="2216" priority="2529">
      <formula>$BC455="YES"</formula>
    </cfRule>
  </conditionalFormatting>
  <conditionalFormatting sqref="AH457:AH458">
    <cfRule type="expression" dxfId="2215" priority="2528">
      <formula>$BC457="YES"</formula>
    </cfRule>
  </conditionalFormatting>
  <conditionalFormatting sqref="AH459:AH460">
    <cfRule type="expression" dxfId="2214" priority="2527">
      <formula>$BC459="YES"</formula>
    </cfRule>
  </conditionalFormatting>
  <conditionalFormatting sqref="AH461:AH462">
    <cfRule type="expression" dxfId="2213" priority="2526">
      <formula>$BC461="YES"</formula>
    </cfRule>
  </conditionalFormatting>
  <conditionalFormatting sqref="AH463:AH464">
    <cfRule type="expression" dxfId="2212" priority="2525">
      <formula>$BC463="YES"</formula>
    </cfRule>
  </conditionalFormatting>
  <conditionalFormatting sqref="AH465:AH466">
    <cfRule type="expression" dxfId="2211" priority="2524">
      <formula>$BC465="YES"</formula>
    </cfRule>
  </conditionalFormatting>
  <conditionalFormatting sqref="AH467:AH468">
    <cfRule type="expression" dxfId="2210" priority="2523">
      <formula>$BC467="YES"</formula>
    </cfRule>
  </conditionalFormatting>
  <conditionalFormatting sqref="AH469:AH470">
    <cfRule type="expression" dxfId="2209" priority="2522">
      <formula>$BC469="YES"</formula>
    </cfRule>
  </conditionalFormatting>
  <conditionalFormatting sqref="AH471:AH472">
    <cfRule type="expression" dxfId="2208" priority="2521">
      <formula>$BC471="YES"</formula>
    </cfRule>
  </conditionalFormatting>
  <conditionalFormatting sqref="AH473:AH474">
    <cfRule type="expression" dxfId="2207" priority="2520">
      <formula>$BC473="YES"</formula>
    </cfRule>
  </conditionalFormatting>
  <conditionalFormatting sqref="AH475:AH476">
    <cfRule type="expression" dxfId="2206" priority="2519">
      <formula>$BC475="YES"</formula>
    </cfRule>
  </conditionalFormatting>
  <conditionalFormatting sqref="AH477:AH478">
    <cfRule type="expression" dxfId="2205" priority="2518">
      <formula>$BC477="YES"</formula>
    </cfRule>
  </conditionalFormatting>
  <conditionalFormatting sqref="AH479:AH480">
    <cfRule type="expression" dxfId="2204" priority="2517">
      <formula>$BC479="YES"</formula>
    </cfRule>
  </conditionalFormatting>
  <conditionalFormatting sqref="AH481:AH482">
    <cfRule type="expression" dxfId="2203" priority="2516">
      <formula>$BC481="YES"</formula>
    </cfRule>
  </conditionalFormatting>
  <conditionalFormatting sqref="AH483:AH484">
    <cfRule type="expression" dxfId="2202" priority="2515">
      <formula>$BC483="YES"</formula>
    </cfRule>
  </conditionalFormatting>
  <conditionalFormatting sqref="AH485:AH486">
    <cfRule type="expression" dxfId="2201" priority="2514">
      <formula>$BC485="YES"</formula>
    </cfRule>
  </conditionalFormatting>
  <conditionalFormatting sqref="AH487:AH488">
    <cfRule type="expression" dxfId="2200" priority="2513">
      <formula>$BC487="YES"</formula>
    </cfRule>
  </conditionalFormatting>
  <conditionalFormatting sqref="AH489:AH490">
    <cfRule type="expression" dxfId="2199" priority="2512">
      <formula>$BC489="YES"</formula>
    </cfRule>
  </conditionalFormatting>
  <conditionalFormatting sqref="AH491:AH492">
    <cfRule type="expression" dxfId="2198" priority="2511">
      <formula>$BC491="YES"</formula>
    </cfRule>
  </conditionalFormatting>
  <conditionalFormatting sqref="AH493:AH494">
    <cfRule type="expression" dxfId="2197" priority="2510">
      <formula>$BC493="YES"</formula>
    </cfRule>
  </conditionalFormatting>
  <conditionalFormatting sqref="AH495:AH496">
    <cfRule type="expression" dxfId="2196" priority="2509">
      <formula>$BC495="YES"</formula>
    </cfRule>
  </conditionalFormatting>
  <conditionalFormatting sqref="AH497:AH498">
    <cfRule type="expression" dxfId="2195" priority="2508">
      <formula>$BC497="YES"</formula>
    </cfRule>
  </conditionalFormatting>
  <conditionalFormatting sqref="AH499:AH500">
    <cfRule type="expression" dxfId="2194" priority="2507">
      <formula>$BC499="YES"</formula>
    </cfRule>
  </conditionalFormatting>
  <conditionalFormatting sqref="AH501:AH502">
    <cfRule type="expression" dxfId="2193" priority="2506">
      <formula>$BC501="YES"</formula>
    </cfRule>
  </conditionalFormatting>
  <conditionalFormatting sqref="AH503:AH504">
    <cfRule type="expression" dxfId="2192" priority="2505">
      <formula>$BC503="YES"</formula>
    </cfRule>
  </conditionalFormatting>
  <conditionalFormatting sqref="AH505:AH506">
    <cfRule type="expression" dxfId="2191" priority="2504">
      <formula>$BC505="YES"</formula>
    </cfRule>
  </conditionalFormatting>
  <conditionalFormatting sqref="AH507:AH508">
    <cfRule type="expression" dxfId="2190" priority="2503">
      <formula>$BC507="YES"</formula>
    </cfRule>
  </conditionalFormatting>
  <conditionalFormatting sqref="AH509:AH510">
    <cfRule type="expression" dxfId="2189" priority="2502">
      <formula>$BC509="YES"</formula>
    </cfRule>
  </conditionalFormatting>
  <conditionalFormatting sqref="AH511:AH512">
    <cfRule type="expression" dxfId="2188" priority="2501">
      <formula>$BC511="YES"</formula>
    </cfRule>
  </conditionalFormatting>
  <conditionalFormatting sqref="AH513:AH514">
    <cfRule type="expression" dxfId="2187" priority="2500">
      <formula>$BC513="YES"</formula>
    </cfRule>
  </conditionalFormatting>
  <conditionalFormatting sqref="AH515:AH516">
    <cfRule type="expression" dxfId="2186" priority="2499">
      <formula>$BC515="YES"</formula>
    </cfRule>
  </conditionalFormatting>
  <conditionalFormatting sqref="AH517:AH518">
    <cfRule type="expression" dxfId="2185" priority="2498">
      <formula>$BC517="YES"</formula>
    </cfRule>
  </conditionalFormatting>
  <conditionalFormatting sqref="AJ17:AK18">
    <cfRule type="expression" dxfId="2184" priority="2245">
      <formula>$BC17="YES"</formula>
    </cfRule>
  </conditionalFormatting>
  <conditionalFormatting sqref="AJ19:AK20">
    <cfRule type="expression" dxfId="2183" priority="2244">
      <formula>$BC19="YES"</formula>
    </cfRule>
  </conditionalFormatting>
  <conditionalFormatting sqref="AJ21:AK22">
    <cfRule type="expression" dxfId="2182" priority="2243">
      <formula>$BC21="YES"</formula>
    </cfRule>
  </conditionalFormatting>
  <conditionalFormatting sqref="AJ23:AK24">
    <cfRule type="expression" dxfId="2181" priority="2242">
      <formula>$BC23="YES"</formula>
    </cfRule>
  </conditionalFormatting>
  <conditionalFormatting sqref="AJ25:AK26">
    <cfRule type="expression" dxfId="2180" priority="2241">
      <formula>$BC25="YES"</formula>
    </cfRule>
  </conditionalFormatting>
  <conditionalFormatting sqref="AJ27:AK28">
    <cfRule type="expression" dxfId="2179" priority="2240">
      <formula>$BC27="YES"</formula>
    </cfRule>
  </conditionalFormatting>
  <conditionalFormatting sqref="AJ29:AK30">
    <cfRule type="expression" dxfId="2178" priority="2239">
      <formula>$BC29="YES"</formula>
    </cfRule>
  </conditionalFormatting>
  <conditionalFormatting sqref="AJ31:AK32">
    <cfRule type="expression" dxfId="2177" priority="2238">
      <formula>$BC31="YES"</formula>
    </cfRule>
  </conditionalFormatting>
  <conditionalFormatting sqref="AJ33:AK34">
    <cfRule type="expression" dxfId="2176" priority="2237">
      <formula>$BC33="YES"</formula>
    </cfRule>
  </conditionalFormatting>
  <conditionalFormatting sqref="AJ35:AK36">
    <cfRule type="expression" dxfId="2175" priority="2236">
      <formula>$BC35="YES"</formula>
    </cfRule>
  </conditionalFormatting>
  <conditionalFormatting sqref="AJ37:AK38">
    <cfRule type="expression" dxfId="2174" priority="2235">
      <formula>$BC37="YES"</formula>
    </cfRule>
  </conditionalFormatting>
  <conditionalFormatting sqref="AJ39:AK40">
    <cfRule type="expression" dxfId="2173" priority="2234">
      <formula>$BC39="YES"</formula>
    </cfRule>
  </conditionalFormatting>
  <conditionalFormatting sqref="AJ41:AK42">
    <cfRule type="expression" dxfId="2172" priority="2233">
      <formula>$BC41="YES"</formula>
    </cfRule>
  </conditionalFormatting>
  <conditionalFormatting sqref="AJ43:AK44">
    <cfRule type="expression" dxfId="2171" priority="2232">
      <formula>$BC43="YES"</formula>
    </cfRule>
  </conditionalFormatting>
  <conditionalFormatting sqref="AJ45:AK46">
    <cfRule type="expression" dxfId="2170" priority="2231">
      <formula>$BC45="YES"</formula>
    </cfRule>
  </conditionalFormatting>
  <conditionalFormatting sqref="AJ47:AK48">
    <cfRule type="expression" dxfId="2169" priority="2230">
      <formula>$BC47="YES"</formula>
    </cfRule>
  </conditionalFormatting>
  <conditionalFormatting sqref="AJ49:AK50">
    <cfRule type="expression" dxfId="2168" priority="2229">
      <formula>$BC49="YES"</formula>
    </cfRule>
  </conditionalFormatting>
  <conditionalFormatting sqref="AJ51:AK52">
    <cfRule type="expression" dxfId="2167" priority="2228">
      <formula>$BC51="YES"</formula>
    </cfRule>
  </conditionalFormatting>
  <conditionalFormatting sqref="AJ53:AK54">
    <cfRule type="expression" dxfId="2166" priority="2227">
      <formula>$BC53="YES"</formula>
    </cfRule>
  </conditionalFormatting>
  <conditionalFormatting sqref="AJ55:AK56">
    <cfRule type="expression" dxfId="2165" priority="2226">
      <formula>$BC55="YES"</formula>
    </cfRule>
  </conditionalFormatting>
  <conditionalFormatting sqref="AJ57:AK58">
    <cfRule type="expression" dxfId="2164" priority="2225">
      <formula>$BC57="YES"</formula>
    </cfRule>
  </conditionalFormatting>
  <conditionalFormatting sqref="AJ59:AK60">
    <cfRule type="expression" dxfId="2163" priority="2224">
      <formula>$BC59="YES"</formula>
    </cfRule>
  </conditionalFormatting>
  <conditionalFormatting sqref="AJ61:AK62">
    <cfRule type="expression" dxfId="2162" priority="2223">
      <formula>$BC61="YES"</formula>
    </cfRule>
  </conditionalFormatting>
  <conditionalFormatting sqref="AJ63:AK64">
    <cfRule type="expression" dxfId="2161" priority="2222">
      <formula>$BC63="YES"</formula>
    </cfRule>
  </conditionalFormatting>
  <conditionalFormatting sqref="AJ65:AK66">
    <cfRule type="expression" dxfId="2160" priority="2221">
      <formula>$BC65="YES"</formula>
    </cfRule>
  </conditionalFormatting>
  <conditionalFormatting sqref="AJ67:AK68">
    <cfRule type="expression" dxfId="2159" priority="2220">
      <formula>$BC67="YES"</formula>
    </cfRule>
  </conditionalFormatting>
  <conditionalFormatting sqref="AJ69:AK70">
    <cfRule type="expression" dxfId="2158" priority="2219">
      <formula>$BC69="YES"</formula>
    </cfRule>
  </conditionalFormatting>
  <conditionalFormatting sqref="AJ71:AK72">
    <cfRule type="expression" dxfId="2157" priority="2218">
      <formula>$BC71="YES"</formula>
    </cfRule>
  </conditionalFormatting>
  <conditionalFormatting sqref="AJ73:AK74">
    <cfRule type="expression" dxfId="2156" priority="2217">
      <formula>$BC73="YES"</formula>
    </cfRule>
  </conditionalFormatting>
  <conditionalFormatting sqref="AJ75:AK76">
    <cfRule type="expression" dxfId="2155" priority="2216">
      <formula>$BC75="YES"</formula>
    </cfRule>
  </conditionalFormatting>
  <conditionalFormatting sqref="AJ77:AK78">
    <cfRule type="expression" dxfId="2154" priority="2215">
      <formula>$BC77="YES"</formula>
    </cfRule>
  </conditionalFormatting>
  <conditionalFormatting sqref="AJ79:AK80">
    <cfRule type="expression" dxfId="2153" priority="2214">
      <formula>$BC79="YES"</formula>
    </cfRule>
  </conditionalFormatting>
  <conditionalFormatting sqref="AJ81:AK82">
    <cfRule type="expression" dxfId="2152" priority="2213">
      <formula>$BC81="YES"</formula>
    </cfRule>
  </conditionalFormatting>
  <conditionalFormatting sqref="AJ83:AK84">
    <cfRule type="expression" dxfId="2151" priority="2212">
      <formula>$BC83="YES"</formula>
    </cfRule>
  </conditionalFormatting>
  <conditionalFormatting sqref="AJ85:AK86">
    <cfRule type="expression" dxfId="2150" priority="2211">
      <formula>$BC85="YES"</formula>
    </cfRule>
  </conditionalFormatting>
  <conditionalFormatting sqref="AJ87:AK88">
    <cfRule type="expression" dxfId="2149" priority="2210">
      <formula>$BC87="YES"</formula>
    </cfRule>
  </conditionalFormatting>
  <conditionalFormatting sqref="AJ89:AK90">
    <cfRule type="expression" dxfId="2148" priority="2209">
      <formula>$BC89="YES"</formula>
    </cfRule>
  </conditionalFormatting>
  <conditionalFormatting sqref="AJ91:AK92">
    <cfRule type="expression" dxfId="2147" priority="2208">
      <formula>$BC91="YES"</formula>
    </cfRule>
  </conditionalFormatting>
  <conditionalFormatting sqref="AJ93:AK94">
    <cfRule type="expression" dxfId="2146" priority="2207">
      <formula>$BC93="YES"</formula>
    </cfRule>
  </conditionalFormatting>
  <conditionalFormatting sqref="AJ95:AK96">
    <cfRule type="expression" dxfId="2145" priority="2206">
      <formula>$BC95="YES"</formula>
    </cfRule>
  </conditionalFormatting>
  <conditionalFormatting sqref="AJ97:AK98">
    <cfRule type="expression" dxfId="2144" priority="2205">
      <formula>$BC97="YES"</formula>
    </cfRule>
  </conditionalFormatting>
  <conditionalFormatting sqref="AJ99:AK100">
    <cfRule type="expression" dxfId="2143" priority="2204">
      <formula>$BC99="YES"</formula>
    </cfRule>
  </conditionalFormatting>
  <conditionalFormatting sqref="AJ101:AK102">
    <cfRule type="expression" dxfId="2142" priority="2203">
      <formula>$BC101="YES"</formula>
    </cfRule>
  </conditionalFormatting>
  <conditionalFormatting sqref="AJ103:AK104">
    <cfRule type="expression" dxfId="2141" priority="2202">
      <formula>$BC103="YES"</formula>
    </cfRule>
  </conditionalFormatting>
  <conditionalFormatting sqref="AJ105:AK106">
    <cfRule type="expression" dxfId="2140" priority="2201">
      <formula>$BC105="YES"</formula>
    </cfRule>
  </conditionalFormatting>
  <conditionalFormatting sqref="AJ107:AK108">
    <cfRule type="expression" dxfId="2139" priority="2200">
      <formula>$BC107="YES"</formula>
    </cfRule>
  </conditionalFormatting>
  <conditionalFormatting sqref="AJ109:AK110">
    <cfRule type="expression" dxfId="2138" priority="2199">
      <formula>$BC109="YES"</formula>
    </cfRule>
  </conditionalFormatting>
  <conditionalFormatting sqref="AJ111:AK112">
    <cfRule type="expression" dxfId="2137" priority="2198">
      <formula>$BC111="YES"</formula>
    </cfRule>
  </conditionalFormatting>
  <conditionalFormatting sqref="AJ113:AK114">
    <cfRule type="expression" dxfId="2136" priority="2197">
      <formula>$BC113="YES"</formula>
    </cfRule>
  </conditionalFormatting>
  <conditionalFormatting sqref="AJ115:AK116">
    <cfRule type="expression" dxfId="2135" priority="2196">
      <formula>$BC115="YES"</formula>
    </cfRule>
  </conditionalFormatting>
  <conditionalFormatting sqref="AJ117:AK118">
    <cfRule type="expression" dxfId="2134" priority="2195">
      <formula>$BC117="YES"</formula>
    </cfRule>
  </conditionalFormatting>
  <conditionalFormatting sqref="AJ119:AK120">
    <cfRule type="expression" dxfId="2133" priority="2194">
      <formula>$BC119="YES"</formula>
    </cfRule>
  </conditionalFormatting>
  <conditionalFormatting sqref="AJ121:AK122">
    <cfRule type="expression" dxfId="2132" priority="2193">
      <formula>$BC121="YES"</formula>
    </cfRule>
  </conditionalFormatting>
  <conditionalFormatting sqref="AJ123:AK124">
    <cfRule type="expression" dxfId="2131" priority="2192">
      <formula>$BC123="YES"</formula>
    </cfRule>
  </conditionalFormatting>
  <conditionalFormatting sqref="AJ125:AK126">
    <cfRule type="expression" dxfId="2130" priority="2191">
      <formula>$BC125="YES"</formula>
    </cfRule>
  </conditionalFormatting>
  <conditionalFormatting sqref="AJ127:AK128">
    <cfRule type="expression" dxfId="2129" priority="2190">
      <formula>$BC127="YES"</formula>
    </cfRule>
  </conditionalFormatting>
  <conditionalFormatting sqref="AJ129:AK130">
    <cfRule type="expression" dxfId="2128" priority="2189">
      <formula>$BC129="YES"</formula>
    </cfRule>
  </conditionalFormatting>
  <conditionalFormatting sqref="AJ131:AK132">
    <cfRule type="expression" dxfId="2127" priority="2188">
      <formula>$BC131="YES"</formula>
    </cfRule>
  </conditionalFormatting>
  <conditionalFormatting sqref="AJ133:AK134">
    <cfRule type="expression" dxfId="2126" priority="2187">
      <formula>$BC133="YES"</formula>
    </cfRule>
  </conditionalFormatting>
  <conditionalFormatting sqref="AJ135:AK136">
    <cfRule type="expression" dxfId="2125" priority="2186">
      <formula>$BC135="YES"</formula>
    </cfRule>
  </conditionalFormatting>
  <conditionalFormatting sqref="AJ137:AK138">
    <cfRule type="expression" dxfId="2124" priority="2185">
      <formula>$BC137="YES"</formula>
    </cfRule>
  </conditionalFormatting>
  <conditionalFormatting sqref="AJ139:AK140">
    <cfRule type="expression" dxfId="2123" priority="2184">
      <formula>$BC139="YES"</formula>
    </cfRule>
  </conditionalFormatting>
  <conditionalFormatting sqref="AJ141:AK142">
    <cfRule type="expression" dxfId="2122" priority="2183">
      <formula>$BC141="YES"</formula>
    </cfRule>
  </conditionalFormatting>
  <conditionalFormatting sqref="AJ143:AK144">
    <cfRule type="expression" dxfId="2121" priority="2182">
      <formula>$BC143="YES"</formula>
    </cfRule>
  </conditionalFormatting>
  <conditionalFormatting sqref="AJ145:AK146">
    <cfRule type="expression" dxfId="2120" priority="2181">
      <formula>$BC145="YES"</formula>
    </cfRule>
  </conditionalFormatting>
  <conditionalFormatting sqref="AJ147:AK148">
    <cfRule type="expression" dxfId="2119" priority="2180">
      <formula>$BC147="YES"</formula>
    </cfRule>
  </conditionalFormatting>
  <conditionalFormatting sqref="AJ149:AK150">
    <cfRule type="expression" dxfId="2118" priority="2179">
      <formula>$BC149="YES"</formula>
    </cfRule>
  </conditionalFormatting>
  <conditionalFormatting sqref="AJ151:AK152">
    <cfRule type="expression" dxfId="2117" priority="2178">
      <formula>$BC151="YES"</formula>
    </cfRule>
  </conditionalFormatting>
  <conditionalFormatting sqref="AJ153:AK154">
    <cfRule type="expression" dxfId="2116" priority="2177">
      <formula>$BC153="YES"</formula>
    </cfRule>
  </conditionalFormatting>
  <conditionalFormatting sqref="AJ155:AK156">
    <cfRule type="expression" dxfId="2115" priority="2176">
      <formula>$BC155="YES"</formula>
    </cfRule>
  </conditionalFormatting>
  <conditionalFormatting sqref="AJ157:AK158">
    <cfRule type="expression" dxfId="2114" priority="2175">
      <formula>$BC157="YES"</formula>
    </cfRule>
  </conditionalFormatting>
  <conditionalFormatting sqref="AJ159:AK160">
    <cfRule type="expression" dxfId="2113" priority="2174">
      <formula>$BC159="YES"</formula>
    </cfRule>
  </conditionalFormatting>
  <conditionalFormatting sqref="AJ161:AK162">
    <cfRule type="expression" dxfId="2112" priority="2173">
      <formula>$BC161="YES"</formula>
    </cfRule>
  </conditionalFormatting>
  <conditionalFormatting sqref="AJ163:AK164">
    <cfRule type="expression" dxfId="2111" priority="2172">
      <formula>$BC163="YES"</formula>
    </cfRule>
  </conditionalFormatting>
  <conditionalFormatting sqref="AJ165:AK166">
    <cfRule type="expression" dxfId="2110" priority="2171">
      <formula>$BC165="YES"</formula>
    </cfRule>
  </conditionalFormatting>
  <conditionalFormatting sqref="AJ167:AK168">
    <cfRule type="expression" dxfId="2109" priority="2170">
      <formula>$BC167="YES"</formula>
    </cfRule>
  </conditionalFormatting>
  <conditionalFormatting sqref="AJ169:AK170">
    <cfRule type="expression" dxfId="2108" priority="2169">
      <formula>$BC169="YES"</formula>
    </cfRule>
  </conditionalFormatting>
  <conditionalFormatting sqref="AJ171:AK172">
    <cfRule type="expression" dxfId="2107" priority="2168">
      <formula>$BC171="YES"</formula>
    </cfRule>
  </conditionalFormatting>
  <conditionalFormatting sqref="AJ173:AK174">
    <cfRule type="expression" dxfId="2106" priority="2167">
      <formula>$BC173="YES"</formula>
    </cfRule>
  </conditionalFormatting>
  <conditionalFormatting sqref="AJ175:AK176">
    <cfRule type="expression" dxfId="2105" priority="2166">
      <formula>$BC175="YES"</formula>
    </cfRule>
  </conditionalFormatting>
  <conditionalFormatting sqref="AJ177:AK178">
    <cfRule type="expression" dxfId="2104" priority="2165">
      <formula>$BC177="YES"</formula>
    </cfRule>
  </conditionalFormatting>
  <conditionalFormatting sqref="AJ179:AK180">
    <cfRule type="expression" dxfId="2103" priority="2164">
      <formula>$BC179="YES"</formula>
    </cfRule>
  </conditionalFormatting>
  <conditionalFormatting sqref="AJ181:AK182">
    <cfRule type="expression" dxfId="2102" priority="2163">
      <formula>$BC181="YES"</formula>
    </cfRule>
  </conditionalFormatting>
  <conditionalFormatting sqref="AJ183:AK184">
    <cfRule type="expression" dxfId="2101" priority="2162">
      <formula>$BC183="YES"</formula>
    </cfRule>
  </conditionalFormatting>
  <conditionalFormatting sqref="AJ185:AK186">
    <cfRule type="expression" dxfId="2100" priority="2161">
      <formula>$BC185="YES"</formula>
    </cfRule>
  </conditionalFormatting>
  <conditionalFormatting sqref="AJ187:AK188">
    <cfRule type="expression" dxfId="2099" priority="2160">
      <formula>$BC187="YES"</formula>
    </cfRule>
  </conditionalFormatting>
  <conditionalFormatting sqref="AJ189:AK190">
    <cfRule type="expression" dxfId="2098" priority="2159">
      <formula>$BC189="YES"</formula>
    </cfRule>
  </conditionalFormatting>
  <conditionalFormatting sqref="AJ191:AK192">
    <cfRule type="expression" dxfId="2097" priority="2158">
      <formula>$BC191="YES"</formula>
    </cfRule>
  </conditionalFormatting>
  <conditionalFormatting sqref="AJ193:AK194">
    <cfRule type="expression" dxfId="2096" priority="2157">
      <formula>$BC193="YES"</formula>
    </cfRule>
  </conditionalFormatting>
  <conditionalFormatting sqref="AJ195:AK196">
    <cfRule type="expression" dxfId="2095" priority="2156">
      <formula>$BC195="YES"</formula>
    </cfRule>
  </conditionalFormatting>
  <conditionalFormatting sqref="AJ197:AK198">
    <cfRule type="expression" dxfId="2094" priority="2155">
      <formula>$BC197="YES"</formula>
    </cfRule>
  </conditionalFormatting>
  <conditionalFormatting sqref="AJ199:AK200">
    <cfRule type="expression" dxfId="2093" priority="2154">
      <formula>$BC199="YES"</formula>
    </cfRule>
  </conditionalFormatting>
  <conditionalFormatting sqref="AJ201:AK202">
    <cfRule type="expression" dxfId="2092" priority="2153">
      <formula>$BC201="YES"</formula>
    </cfRule>
  </conditionalFormatting>
  <conditionalFormatting sqref="AJ203:AK204">
    <cfRule type="expression" dxfId="2091" priority="2152">
      <formula>$BC203="YES"</formula>
    </cfRule>
  </conditionalFormatting>
  <conditionalFormatting sqref="AJ205:AK206">
    <cfRule type="expression" dxfId="2090" priority="2151">
      <formula>$BC205="YES"</formula>
    </cfRule>
  </conditionalFormatting>
  <conditionalFormatting sqref="AJ207:AK208">
    <cfRule type="expression" dxfId="2089" priority="2150">
      <formula>$BC207="YES"</formula>
    </cfRule>
  </conditionalFormatting>
  <conditionalFormatting sqref="AJ209:AK210">
    <cfRule type="expression" dxfId="2088" priority="2149">
      <formula>$BC209="YES"</formula>
    </cfRule>
  </conditionalFormatting>
  <conditionalFormatting sqref="AJ211:AK212">
    <cfRule type="expression" dxfId="2087" priority="2148">
      <formula>$BC211="YES"</formula>
    </cfRule>
  </conditionalFormatting>
  <conditionalFormatting sqref="AJ213:AK214">
    <cfRule type="expression" dxfId="2086" priority="2147">
      <formula>$BC213="YES"</formula>
    </cfRule>
  </conditionalFormatting>
  <conditionalFormatting sqref="AJ215:AK216">
    <cfRule type="expression" dxfId="2085" priority="2146">
      <formula>$BC215="YES"</formula>
    </cfRule>
  </conditionalFormatting>
  <conditionalFormatting sqref="AJ217:AK218">
    <cfRule type="expression" dxfId="2084" priority="2145">
      <formula>$BC217="YES"</formula>
    </cfRule>
  </conditionalFormatting>
  <conditionalFormatting sqref="AJ219:AK220">
    <cfRule type="expression" dxfId="2083" priority="2144">
      <formula>$BC219="YES"</formula>
    </cfRule>
  </conditionalFormatting>
  <conditionalFormatting sqref="AJ221:AK222">
    <cfRule type="expression" dxfId="2082" priority="2143">
      <formula>$BC221="YES"</formula>
    </cfRule>
  </conditionalFormatting>
  <conditionalFormatting sqref="AJ223:AK224">
    <cfRule type="expression" dxfId="2081" priority="2142">
      <formula>$BC223="YES"</formula>
    </cfRule>
  </conditionalFormatting>
  <conditionalFormatting sqref="AJ225:AK226">
    <cfRule type="expression" dxfId="2080" priority="2141">
      <formula>$BC225="YES"</formula>
    </cfRule>
  </conditionalFormatting>
  <conditionalFormatting sqref="AJ227:AK228">
    <cfRule type="expression" dxfId="2079" priority="2140">
      <formula>$BC227="YES"</formula>
    </cfRule>
  </conditionalFormatting>
  <conditionalFormatting sqref="AJ229:AK230">
    <cfRule type="expression" dxfId="2078" priority="2139">
      <formula>$BC229="YES"</formula>
    </cfRule>
  </conditionalFormatting>
  <conditionalFormatting sqref="AJ231:AK232">
    <cfRule type="expression" dxfId="2077" priority="2138">
      <formula>$BC231="YES"</formula>
    </cfRule>
  </conditionalFormatting>
  <conditionalFormatting sqref="AJ233:AK234">
    <cfRule type="expression" dxfId="2076" priority="2137">
      <formula>$BC233="YES"</formula>
    </cfRule>
  </conditionalFormatting>
  <conditionalFormatting sqref="AJ235:AK236">
    <cfRule type="expression" dxfId="2075" priority="2136">
      <formula>$BC235="YES"</formula>
    </cfRule>
  </conditionalFormatting>
  <conditionalFormatting sqref="AJ237:AK238">
    <cfRule type="expression" dxfId="2074" priority="2135">
      <formula>$BC237="YES"</formula>
    </cfRule>
  </conditionalFormatting>
  <conditionalFormatting sqref="AJ239:AK240">
    <cfRule type="expression" dxfId="2073" priority="2134">
      <formula>$BC239="YES"</formula>
    </cfRule>
  </conditionalFormatting>
  <conditionalFormatting sqref="AJ241:AK242">
    <cfRule type="expression" dxfId="2072" priority="2133">
      <formula>$BC241="YES"</formula>
    </cfRule>
  </conditionalFormatting>
  <conditionalFormatting sqref="AJ243:AK244">
    <cfRule type="expression" dxfId="2071" priority="2132">
      <formula>$BC243="YES"</formula>
    </cfRule>
  </conditionalFormatting>
  <conditionalFormatting sqref="AJ245:AK246">
    <cfRule type="expression" dxfId="2070" priority="2131">
      <formula>$BC245="YES"</formula>
    </cfRule>
  </conditionalFormatting>
  <conditionalFormatting sqref="AJ247:AK248">
    <cfRule type="expression" dxfId="2069" priority="2130">
      <formula>$BC247="YES"</formula>
    </cfRule>
  </conditionalFormatting>
  <conditionalFormatting sqref="AJ249:AK250">
    <cfRule type="expression" dxfId="2068" priority="2129">
      <formula>$BC249="YES"</formula>
    </cfRule>
  </conditionalFormatting>
  <conditionalFormatting sqref="AJ251:AK252">
    <cfRule type="expression" dxfId="2067" priority="2128">
      <formula>$BC251="YES"</formula>
    </cfRule>
  </conditionalFormatting>
  <conditionalFormatting sqref="AJ253:AK254">
    <cfRule type="expression" dxfId="2066" priority="2127">
      <formula>$BC253="YES"</formula>
    </cfRule>
  </conditionalFormatting>
  <conditionalFormatting sqref="AJ255:AK256">
    <cfRule type="expression" dxfId="2065" priority="2126">
      <formula>$BC255="YES"</formula>
    </cfRule>
  </conditionalFormatting>
  <conditionalFormatting sqref="AJ257:AK258">
    <cfRule type="expression" dxfId="2064" priority="2125">
      <formula>$BC257="YES"</formula>
    </cfRule>
  </conditionalFormatting>
  <conditionalFormatting sqref="AJ259:AK260">
    <cfRule type="expression" dxfId="2063" priority="2124">
      <formula>$BC259="YES"</formula>
    </cfRule>
  </conditionalFormatting>
  <conditionalFormatting sqref="AJ261:AK262">
    <cfRule type="expression" dxfId="2062" priority="2123">
      <formula>$BC261="YES"</formula>
    </cfRule>
  </conditionalFormatting>
  <conditionalFormatting sqref="AJ263:AK264">
    <cfRule type="expression" dxfId="2061" priority="2122">
      <formula>$BC263="YES"</formula>
    </cfRule>
  </conditionalFormatting>
  <conditionalFormatting sqref="AJ265:AK266">
    <cfRule type="expression" dxfId="2060" priority="2121">
      <formula>$BC265="YES"</formula>
    </cfRule>
  </conditionalFormatting>
  <conditionalFormatting sqref="AJ267:AK268">
    <cfRule type="expression" dxfId="2059" priority="2120">
      <formula>$BC267="YES"</formula>
    </cfRule>
  </conditionalFormatting>
  <conditionalFormatting sqref="AJ269:AK270">
    <cfRule type="expression" dxfId="2058" priority="2119">
      <formula>$BC269="YES"</formula>
    </cfRule>
  </conditionalFormatting>
  <conditionalFormatting sqref="AJ271:AK272">
    <cfRule type="expression" dxfId="2057" priority="2118">
      <formula>$BC271="YES"</formula>
    </cfRule>
  </conditionalFormatting>
  <conditionalFormatting sqref="AJ273:AK274">
    <cfRule type="expression" dxfId="2056" priority="2117">
      <formula>$BC273="YES"</formula>
    </cfRule>
  </conditionalFormatting>
  <conditionalFormatting sqref="AJ275:AK276">
    <cfRule type="expression" dxfId="2055" priority="2116">
      <formula>$BC275="YES"</formula>
    </cfRule>
  </conditionalFormatting>
  <conditionalFormatting sqref="AJ277:AK278">
    <cfRule type="expression" dxfId="2054" priority="2115">
      <formula>$BC277="YES"</formula>
    </cfRule>
  </conditionalFormatting>
  <conditionalFormatting sqref="AJ279:AK280">
    <cfRule type="expression" dxfId="2053" priority="2114">
      <formula>$BC279="YES"</formula>
    </cfRule>
  </conditionalFormatting>
  <conditionalFormatting sqref="AJ281:AK282">
    <cfRule type="expression" dxfId="2052" priority="2113">
      <formula>$BC281="YES"</formula>
    </cfRule>
  </conditionalFormatting>
  <conditionalFormatting sqref="AJ283:AK284">
    <cfRule type="expression" dxfId="2051" priority="2112">
      <formula>$BC283="YES"</formula>
    </cfRule>
  </conditionalFormatting>
  <conditionalFormatting sqref="AJ285:AK286">
    <cfRule type="expression" dxfId="2050" priority="2111">
      <formula>$BC285="YES"</formula>
    </cfRule>
  </conditionalFormatting>
  <conditionalFormatting sqref="AJ287:AK288">
    <cfRule type="expression" dxfId="2049" priority="2110">
      <formula>$BC287="YES"</formula>
    </cfRule>
  </conditionalFormatting>
  <conditionalFormatting sqref="AJ289:AK290">
    <cfRule type="expression" dxfId="2048" priority="2109">
      <formula>$BC289="YES"</formula>
    </cfRule>
  </conditionalFormatting>
  <conditionalFormatting sqref="AJ291:AK292">
    <cfRule type="expression" dxfId="2047" priority="2108">
      <formula>$BC291="YES"</formula>
    </cfRule>
  </conditionalFormatting>
  <conditionalFormatting sqref="AJ293:AK294">
    <cfRule type="expression" dxfId="2046" priority="2107">
      <formula>$BC293="YES"</formula>
    </cfRule>
  </conditionalFormatting>
  <conditionalFormatting sqref="AJ295:AK296">
    <cfRule type="expression" dxfId="2045" priority="2106">
      <formula>$BC295="YES"</formula>
    </cfRule>
  </conditionalFormatting>
  <conditionalFormatting sqref="AJ297:AK298">
    <cfRule type="expression" dxfId="2044" priority="2105">
      <formula>$BC297="YES"</formula>
    </cfRule>
  </conditionalFormatting>
  <conditionalFormatting sqref="AJ299:AK300">
    <cfRule type="expression" dxfId="2043" priority="2104">
      <formula>$BC299="YES"</formula>
    </cfRule>
  </conditionalFormatting>
  <conditionalFormatting sqref="AJ301:AK302">
    <cfRule type="expression" dxfId="2042" priority="2103">
      <formula>$BC301="YES"</formula>
    </cfRule>
  </conditionalFormatting>
  <conditionalFormatting sqref="AJ303:AK304">
    <cfRule type="expression" dxfId="2041" priority="2102">
      <formula>$BC303="YES"</formula>
    </cfRule>
  </conditionalFormatting>
  <conditionalFormatting sqref="AJ305:AK306">
    <cfRule type="expression" dxfId="2040" priority="2101">
      <formula>$BC305="YES"</formula>
    </cfRule>
  </conditionalFormatting>
  <conditionalFormatting sqref="AJ307:AK308">
    <cfRule type="expression" dxfId="2039" priority="2100">
      <formula>$BC307="YES"</formula>
    </cfRule>
  </conditionalFormatting>
  <conditionalFormatting sqref="AJ309:AK310">
    <cfRule type="expression" dxfId="2038" priority="2099">
      <formula>$BC309="YES"</formula>
    </cfRule>
  </conditionalFormatting>
  <conditionalFormatting sqref="AJ311:AK312">
    <cfRule type="expression" dxfId="2037" priority="2098">
      <formula>$BC311="YES"</formula>
    </cfRule>
  </conditionalFormatting>
  <conditionalFormatting sqref="AJ313:AK314">
    <cfRule type="expression" dxfId="2036" priority="2097">
      <formula>$BC313="YES"</formula>
    </cfRule>
  </conditionalFormatting>
  <conditionalFormatting sqref="AJ315:AK316">
    <cfRule type="expression" dxfId="2035" priority="2096">
      <formula>$BC315="YES"</formula>
    </cfRule>
  </conditionalFormatting>
  <conditionalFormatting sqref="AJ317:AK318">
    <cfRule type="expression" dxfId="2034" priority="2095">
      <formula>$BC317="YES"</formula>
    </cfRule>
  </conditionalFormatting>
  <conditionalFormatting sqref="AJ319:AK320">
    <cfRule type="expression" dxfId="2033" priority="2094">
      <formula>$BC319="YES"</formula>
    </cfRule>
  </conditionalFormatting>
  <conditionalFormatting sqref="AJ321:AK322">
    <cfRule type="expression" dxfId="2032" priority="2093">
      <formula>$BC321="YES"</formula>
    </cfRule>
  </conditionalFormatting>
  <conditionalFormatting sqref="AJ323:AK324">
    <cfRule type="expression" dxfId="2031" priority="2092">
      <formula>$BC323="YES"</formula>
    </cfRule>
  </conditionalFormatting>
  <conditionalFormatting sqref="AJ325:AK326">
    <cfRule type="expression" dxfId="2030" priority="2091">
      <formula>$BC325="YES"</formula>
    </cfRule>
  </conditionalFormatting>
  <conditionalFormatting sqref="AJ327:AK328">
    <cfRule type="expression" dxfId="2029" priority="2090">
      <formula>$BC327="YES"</formula>
    </cfRule>
  </conditionalFormatting>
  <conditionalFormatting sqref="AJ329:AK330">
    <cfRule type="expression" dxfId="2028" priority="2089">
      <formula>$BC329="YES"</formula>
    </cfRule>
  </conditionalFormatting>
  <conditionalFormatting sqref="AJ331:AK332">
    <cfRule type="expression" dxfId="2027" priority="2088">
      <formula>$BC331="YES"</formula>
    </cfRule>
  </conditionalFormatting>
  <conditionalFormatting sqref="AJ333:AK334">
    <cfRule type="expression" dxfId="2026" priority="2087">
      <formula>$BC333="YES"</formula>
    </cfRule>
  </conditionalFormatting>
  <conditionalFormatting sqref="AJ335:AK336">
    <cfRule type="expression" dxfId="2025" priority="2086">
      <formula>$BC335="YES"</formula>
    </cfRule>
  </conditionalFormatting>
  <conditionalFormatting sqref="AJ337:AK338">
    <cfRule type="expression" dxfId="2024" priority="2085">
      <formula>$BC337="YES"</formula>
    </cfRule>
  </conditionalFormatting>
  <conditionalFormatting sqref="AJ339:AK340">
    <cfRule type="expression" dxfId="2023" priority="2084">
      <formula>$BC339="YES"</formula>
    </cfRule>
  </conditionalFormatting>
  <conditionalFormatting sqref="AJ341:AK342">
    <cfRule type="expression" dxfId="2022" priority="2083">
      <formula>$BC341="YES"</formula>
    </cfRule>
  </conditionalFormatting>
  <conditionalFormatting sqref="AJ343:AK344">
    <cfRule type="expression" dxfId="2021" priority="2082">
      <formula>$BC343="YES"</formula>
    </cfRule>
  </conditionalFormatting>
  <conditionalFormatting sqref="AJ345:AK346">
    <cfRule type="expression" dxfId="2020" priority="2081">
      <formula>$BC345="YES"</formula>
    </cfRule>
  </conditionalFormatting>
  <conditionalFormatting sqref="AJ347:AK348">
    <cfRule type="expression" dxfId="2019" priority="2080">
      <formula>$BC347="YES"</formula>
    </cfRule>
  </conditionalFormatting>
  <conditionalFormatting sqref="AJ349:AK350">
    <cfRule type="expression" dxfId="2018" priority="2079">
      <formula>$BC349="YES"</formula>
    </cfRule>
  </conditionalFormatting>
  <conditionalFormatting sqref="AJ351:AK352">
    <cfRule type="expression" dxfId="2017" priority="2078">
      <formula>$BC351="YES"</formula>
    </cfRule>
  </conditionalFormatting>
  <conditionalFormatting sqref="AJ353:AK354">
    <cfRule type="expression" dxfId="2016" priority="2077">
      <formula>$BC353="YES"</formula>
    </cfRule>
  </conditionalFormatting>
  <conditionalFormatting sqref="AJ355:AK356">
    <cfRule type="expression" dxfId="2015" priority="2076">
      <formula>$BC355="YES"</formula>
    </cfRule>
  </conditionalFormatting>
  <conditionalFormatting sqref="AJ357:AK358">
    <cfRule type="expression" dxfId="2014" priority="2075">
      <formula>$BC357="YES"</formula>
    </cfRule>
  </conditionalFormatting>
  <conditionalFormatting sqref="AJ359:AK360">
    <cfRule type="expression" dxfId="2013" priority="2074">
      <formula>$BC359="YES"</formula>
    </cfRule>
  </conditionalFormatting>
  <conditionalFormatting sqref="AJ361:AK362">
    <cfRule type="expression" dxfId="2012" priority="2073">
      <formula>$BC361="YES"</formula>
    </cfRule>
  </conditionalFormatting>
  <conditionalFormatting sqref="AJ363:AK364">
    <cfRule type="expression" dxfId="2011" priority="2072">
      <formula>$BC363="YES"</formula>
    </cfRule>
  </conditionalFormatting>
  <conditionalFormatting sqref="AJ365:AK366">
    <cfRule type="expression" dxfId="2010" priority="2071">
      <formula>$BC365="YES"</formula>
    </cfRule>
  </conditionalFormatting>
  <conditionalFormatting sqref="AJ367:AK368">
    <cfRule type="expression" dxfId="2009" priority="2070">
      <formula>$BC367="YES"</formula>
    </cfRule>
  </conditionalFormatting>
  <conditionalFormatting sqref="AJ369:AK370">
    <cfRule type="expression" dxfId="2008" priority="2069">
      <formula>$BC369="YES"</formula>
    </cfRule>
  </conditionalFormatting>
  <conditionalFormatting sqref="AJ371:AK372">
    <cfRule type="expression" dxfId="2007" priority="2068">
      <formula>$BC371="YES"</formula>
    </cfRule>
  </conditionalFormatting>
  <conditionalFormatting sqref="AJ373:AK374">
    <cfRule type="expression" dxfId="2006" priority="2067">
      <formula>$BC373="YES"</formula>
    </cfRule>
  </conditionalFormatting>
  <conditionalFormatting sqref="AJ375:AK376">
    <cfRule type="expression" dxfId="2005" priority="2066">
      <formula>$BC375="YES"</formula>
    </cfRule>
  </conditionalFormatting>
  <conditionalFormatting sqref="AJ377:AK378">
    <cfRule type="expression" dxfId="2004" priority="2065">
      <formula>$BC377="YES"</formula>
    </cfRule>
  </conditionalFormatting>
  <conditionalFormatting sqref="AJ379:AK380">
    <cfRule type="expression" dxfId="2003" priority="2064">
      <formula>$BC379="YES"</formula>
    </cfRule>
  </conditionalFormatting>
  <conditionalFormatting sqref="AJ381:AK382">
    <cfRule type="expression" dxfId="2002" priority="2063">
      <formula>$BC381="YES"</formula>
    </cfRule>
  </conditionalFormatting>
  <conditionalFormatting sqref="AJ383:AK384">
    <cfRule type="expression" dxfId="2001" priority="2062">
      <formula>$BC383="YES"</formula>
    </cfRule>
  </conditionalFormatting>
  <conditionalFormatting sqref="AJ385:AK386">
    <cfRule type="expression" dxfId="2000" priority="2061">
      <formula>$BC385="YES"</formula>
    </cfRule>
  </conditionalFormatting>
  <conditionalFormatting sqref="AJ387:AK388">
    <cfRule type="expression" dxfId="1999" priority="2060">
      <formula>$BC387="YES"</formula>
    </cfRule>
  </conditionalFormatting>
  <conditionalFormatting sqref="AJ389:AK390">
    <cfRule type="expression" dxfId="1998" priority="2059">
      <formula>$BC389="YES"</formula>
    </cfRule>
  </conditionalFormatting>
  <conditionalFormatting sqref="AJ391:AK392">
    <cfRule type="expression" dxfId="1997" priority="2058">
      <formula>$BC391="YES"</formula>
    </cfRule>
  </conditionalFormatting>
  <conditionalFormatting sqref="AJ393:AK394">
    <cfRule type="expression" dxfId="1996" priority="2057">
      <formula>$BC393="YES"</formula>
    </cfRule>
  </conditionalFormatting>
  <conditionalFormatting sqref="AJ395:AK396">
    <cfRule type="expression" dxfId="1995" priority="2056">
      <formula>$BC395="YES"</formula>
    </cfRule>
  </conditionalFormatting>
  <conditionalFormatting sqref="AJ397:AK398">
    <cfRule type="expression" dxfId="1994" priority="2055">
      <formula>$BC397="YES"</formula>
    </cfRule>
  </conditionalFormatting>
  <conditionalFormatting sqref="AJ399:AK400">
    <cfRule type="expression" dxfId="1993" priority="2054">
      <formula>$BC399="YES"</formula>
    </cfRule>
  </conditionalFormatting>
  <conditionalFormatting sqref="AJ401:AK402">
    <cfRule type="expression" dxfId="1992" priority="2053">
      <formula>$BC401="YES"</formula>
    </cfRule>
  </conditionalFormatting>
  <conditionalFormatting sqref="AJ403:AK404">
    <cfRule type="expression" dxfId="1991" priority="2052">
      <formula>$BC403="YES"</formula>
    </cfRule>
  </conditionalFormatting>
  <conditionalFormatting sqref="AJ405:AK406">
    <cfRule type="expression" dxfId="1990" priority="2051">
      <formula>$BC405="YES"</formula>
    </cfRule>
  </conditionalFormatting>
  <conditionalFormatting sqref="AJ407:AK408">
    <cfRule type="expression" dxfId="1989" priority="2050">
      <formula>$BC407="YES"</formula>
    </cfRule>
  </conditionalFormatting>
  <conditionalFormatting sqref="AJ409:AK410">
    <cfRule type="expression" dxfId="1988" priority="2049">
      <formula>$BC409="YES"</formula>
    </cfRule>
  </conditionalFormatting>
  <conditionalFormatting sqref="AJ411:AK412">
    <cfRule type="expression" dxfId="1987" priority="2048">
      <formula>$BC411="YES"</formula>
    </cfRule>
  </conditionalFormatting>
  <conditionalFormatting sqref="AJ413:AK414">
    <cfRule type="expression" dxfId="1986" priority="2047">
      <formula>$BC413="YES"</formula>
    </cfRule>
  </conditionalFormatting>
  <conditionalFormatting sqref="AJ415:AK416">
    <cfRule type="expression" dxfId="1985" priority="2046">
      <formula>$BC415="YES"</formula>
    </cfRule>
  </conditionalFormatting>
  <conditionalFormatting sqref="AJ417:AK418">
    <cfRule type="expression" dxfId="1984" priority="2045">
      <formula>$BC417="YES"</formula>
    </cfRule>
  </conditionalFormatting>
  <conditionalFormatting sqref="AJ419:AK420">
    <cfRule type="expression" dxfId="1983" priority="2044">
      <formula>$BC419="YES"</formula>
    </cfRule>
  </conditionalFormatting>
  <conditionalFormatting sqref="AJ421:AK422">
    <cfRule type="expression" dxfId="1982" priority="2043">
      <formula>$BC421="YES"</formula>
    </cfRule>
  </conditionalFormatting>
  <conditionalFormatting sqref="AJ423:AK424">
    <cfRule type="expression" dxfId="1981" priority="2042">
      <formula>$BC423="YES"</formula>
    </cfRule>
  </conditionalFormatting>
  <conditionalFormatting sqref="AJ425:AK426">
    <cfRule type="expression" dxfId="1980" priority="2041">
      <formula>$BC425="YES"</formula>
    </cfRule>
  </conditionalFormatting>
  <conditionalFormatting sqref="AJ427:AK428">
    <cfRule type="expression" dxfId="1979" priority="2040">
      <formula>$BC427="YES"</formula>
    </cfRule>
  </conditionalFormatting>
  <conditionalFormatting sqref="AJ429:AK430">
    <cfRule type="expression" dxfId="1978" priority="2039">
      <formula>$BC429="YES"</formula>
    </cfRule>
  </conditionalFormatting>
  <conditionalFormatting sqref="AJ431:AK432">
    <cfRule type="expression" dxfId="1977" priority="2038">
      <formula>$BC431="YES"</formula>
    </cfRule>
  </conditionalFormatting>
  <conditionalFormatting sqref="AJ433:AK434">
    <cfRule type="expression" dxfId="1976" priority="2037">
      <formula>$BC433="YES"</formula>
    </cfRule>
  </conditionalFormatting>
  <conditionalFormatting sqref="AJ435:AK436">
    <cfRule type="expression" dxfId="1975" priority="2036">
      <formula>$BC435="YES"</formula>
    </cfRule>
  </conditionalFormatting>
  <conditionalFormatting sqref="AJ437:AK438">
    <cfRule type="expression" dxfId="1974" priority="2035">
      <formula>$BC437="YES"</formula>
    </cfRule>
  </conditionalFormatting>
  <conditionalFormatting sqref="AJ439:AK440">
    <cfRule type="expression" dxfId="1973" priority="2034">
      <formula>$BC439="YES"</formula>
    </cfRule>
  </conditionalFormatting>
  <conditionalFormatting sqref="AJ441:AK442">
    <cfRule type="expression" dxfId="1972" priority="2033">
      <formula>$BC441="YES"</formula>
    </cfRule>
  </conditionalFormatting>
  <conditionalFormatting sqref="AJ443:AK444">
    <cfRule type="expression" dxfId="1971" priority="2032">
      <formula>$BC443="YES"</formula>
    </cfRule>
  </conditionalFormatting>
  <conditionalFormatting sqref="AJ445:AK446">
    <cfRule type="expression" dxfId="1970" priority="2031">
      <formula>$BC445="YES"</formula>
    </cfRule>
  </conditionalFormatting>
  <conditionalFormatting sqref="AJ447:AK448">
    <cfRule type="expression" dxfId="1969" priority="2030">
      <formula>$BC447="YES"</formula>
    </cfRule>
  </conditionalFormatting>
  <conditionalFormatting sqref="AJ449:AK450">
    <cfRule type="expression" dxfId="1968" priority="2029">
      <formula>$BC449="YES"</formula>
    </cfRule>
  </conditionalFormatting>
  <conditionalFormatting sqref="AJ451:AK452">
    <cfRule type="expression" dxfId="1967" priority="2028">
      <formula>$BC451="YES"</formula>
    </cfRule>
  </conditionalFormatting>
  <conditionalFormatting sqref="AJ453:AK454">
    <cfRule type="expression" dxfId="1966" priority="2027">
      <formula>$BC453="YES"</formula>
    </cfRule>
  </conditionalFormatting>
  <conditionalFormatting sqref="AJ455:AK456">
    <cfRule type="expression" dxfId="1965" priority="2026">
      <formula>$BC455="YES"</formula>
    </cfRule>
  </conditionalFormatting>
  <conditionalFormatting sqref="AJ457:AK458">
    <cfRule type="expression" dxfId="1964" priority="2025">
      <formula>$BC457="YES"</formula>
    </cfRule>
  </conditionalFormatting>
  <conditionalFormatting sqref="AJ459:AK460">
    <cfRule type="expression" dxfId="1963" priority="2024">
      <formula>$BC459="YES"</formula>
    </cfRule>
  </conditionalFormatting>
  <conditionalFormatting sqref="AJ461:AK462">
    <cfRule type="expression" dxfId="1962" priority="2023">
      <formula>$BC461="YES"</formula>
    </cfRule>
  </conditionalFormatting>
  <conditionalFormatting sqref="AJ463:AK464">
    <cfRule type="expression" dxfId="1961" priority="2022">
      <formula>$BC463="YES"</formula>
    </cfRule>
  </conditionalFormatting>
  <conditionalFormatting sqref="AJ465:AK466">
    <cfRule type="expression" dxfId="1960" priority="2021">
      <formula>$BC465="YES"</formula>
    </cfRule>
  </conditionalFormatting>
  <conditionalFormatting sqref="AJ467:AK468">
    <cfRule type="expression" dxfId="1959" priority="2020">
      <formula>$BC467="YES"</formula>
    </cfRule>
  </conditionalFormatting>
  <conditionalFormatting sqref="AJ469:AK470">
    <cfRule type="expression" dxfId="1958" priority="2019">
      <formula>$BC469="YES"</formula>
    </cfRule>
  </conditionalFormatting>
  <conditionalFormatting sqref="AJ471:AK472">
    <cfRule type="expression" dxfId="1957" priority="2018">
      <formula>$BC471="YES"</formula>
    </cfRule>
  </conditionalFormatting>
  <conditionalFormatting sqref="AJ473:AK474">
    <cfRule type="expression" dxfId="1956" priority="2017">
      <formula>$BC473="YES"</formula>
    </cfRule>
  </conditionalFormatting>
  <conditionalFormatting sqref="AJ475:AK476">
    <cfRule type="expression" dxfId="1955" priority="2016">
      <formula>$BC475="YES"</formula>
    </cfRule>
  </conditionalFormatting>
  <conditionalFormatting sqref="AJ477:AK478">
    <cfRule type="expression" dxfId="1954" priority="2015">
      <formula>$BC477="YES"</formula>
    </cfRule>
  </conditionalFormatting>
  <conditionalFormatting sqref="AJ479:AK480">
    <cfRule type="expression" dxfId="1953" priority="2014">
      <formula>$BC479="YES"</formula>
    </cfRule>
  </conditionalFormatting>
  <conditionalFormatting sqref="AJ481:AK482">
    <cfRule type="expression" dxfId="1952" priority="2013">
      <formula>$BC481="YES"</formula>
    </cfRule>
  </conditionalFormatting>
  <conditionalFormatting sqref="AJ483:AK484">
    <cfRule type="expression" dxfId="1951" priority="2012">
      <formula>$BC483="YES"</formula>
    </cfRule>
  </conditionalFormatting>
  <conditionalFormatting sqref="AJ485:AK486">
    <cfRule type="expression" dxfId="1950" priority="2011">
      <formula>$BC485="YES"</formula>
    </cfRule>
  </conditionalFormatting>
  <conditionalFormatting sqref="AJ487:AK488">
    <cfRule type="expression" dxfId="1949" priority="2010">
      <formula>$BC487="YES"</formula>
    </cfRule>
  </conditionalFormatting>
  <conditionalFormatting sqref="AJ489:AK490">
    <cfRule type="expression" dxfId="1948" priority="2009">
      <formula>$BC489="YES"</formula>
    </cfRule>
  </conditionalFormatting>
  <conditionalFormatting sqref="AJ491:AK492">
    <cfRule type="expression" dxfId="1947" priority="2008">
      <formula>$BC491="YES"</formula>
    </cfRule>
  </conditionalFormatting>
  <conditionalFormatting sqref="AJ493:AK494">
    <cfRule type="expression" dxfId="1946" priority="2007">
      <formula>$BC493="YES"</formula>
    </cfRule>
  </conditionalFormatting>
  <conditionalFormatting sqref="AJ495:AK496">
    <cfRule type="expression" dxfId="1945" priority="2006">
      <formula>$BC495="YES"</formula>
    </cfRule>
  </conditionalFormatting>
  <conditionalFormatting sqref="AJ497:AK498">
    <cfRule type="expression" dxfId="1944" priority="2005">
      <formula>$BC497="YES"</formula>
    </cfRule>
  </conditionalFormatting>
  <conditionalFormatting sqref="AJ499:AK500">
    <cfRule type="expression" dxfId="1943" priority="2004">
      <formula>$BC499="YES"</formula>
    </cfRule>
  </conditionalFormatting>
  <conditionalFormatting sqref="AJ501:AK502">
    <cfRule type="expression" dxfId="1942" priority="2003">
      <formula>$BC501="YES"</formula>
    </cfRule>
  </conditionalFormatting>
  <conditionalFormatting sqref="AJ503:AK504">
    <cfRule type="expression" dxfId="1941" priority="2002">
      <formula>$BC503="YES"</formula>
    </cfRule>
  </conditionalFormatting>
  <conditionalFormatting sqref="AJ505:AK506">
    <cfRule type="expression" dxfId="1940" priority="2001">
      <formula>$BC505="YES"</formula>
    </cfRule>
  </conditionalFormatting>
  <conditionalFormatting sqref="AJ507:AK508">
    <cfRule type="expression" dxfId="1939" priority="2000">
      <formula>$BC507="YES"</formula>
    </cfRule>
  </conditionalFormatting>
  <conditionalFormatting sqref="AJ509:AK510">
    <cfRule type="expression" dxfId="1938" priority="1999">
      <formula>$BC509="YES"</formula>
    </cfRule>
  </conditionalFormatting>
  <conditionalFormatting sqref="AJ511:AK512">
    <cfRule type="expression" dxfId="1937" priority="1998">
      <formula>$BC511="YES"</formula>
    </cfRule>
  </conditionalFormatting>
  <conditionalFormatting sqref="AJ513:AK514">
    <cfRule type="expression" dxfId="1936" priority="1997">
      <formula>$BC513="YES"</formula>
    </cfRule>
  </conditionalFormatting>
  <conditionalFormatting sqref="AJ515:AK516">
    <cfRule type="expression" dxfId="1935" priority="1996">
      <formula>$BC515="YES"</formula>
    </cfRule>
  </conditionalFormatting>
  <conditionalFormatting sqref="AJ517:AK518">
    <cfRule type="expression" dxfId="1934" priority="1995">
      <formula>$BC517="YES"</formula>
    </cfRule>
  </conditionalFormatting>
  <conditionalFormatting sqref="AJ519:AK520">
    <cfRule type="expression" dxfId="1933" priority="1994">
      <formula>$BC519="YES"</formula>
    </cfRule>
  </conditionalFormatting>
  <conditionalFormatting sqref="AJ521:AK522">
    <cfRule type="expression" dxfId="1932" priority="1993">
      <formula>$BC521="YES"</formula>
    </cfRule>
  </conditionalFormatting>
  <conditionalFormatting sqref="AJ523:AK524">
    <cfRule type="expression" dxfId="1931" priority="1992">
      <formula>$BC523="YES"</formula>
    </cfRule>
  </conditionalFormatting>
  <conditionalFormatting sqref="AJ525:AK526">
    <cfRule type="expression" dxfId="1930" priority="1991">
      <formula>$BC525="YES"</formula>
    </cfRule>
  </conditionalFormatting>
  <conditionalFormatting sqref="AJ527:AK528">
    <cfRule type="expression" dxfId="1929" priority="1990">
      <formula>$BC527="YES"</formula>
    </cfRule>
  </conditionalFormatting>
  <conditionalFormatting sqref="AJ529:AK530">
    <cfRule type="expression" dxfId="1928" priority="1989">
      <formula>$BC529="YES"</formula>
    </cfRule>
  </conditionalFormatting>
  <conditionalFormatting sqref="AJ531:AK532">
    <cfRule type="expression" dxfId="1927" priority="1988">
      <formula>$BC531="YES"</formula>
    </cfRule>
  </conditionalFormatting>
  <conditionalFormatting sqref="AJ533:AK534">
    <cfRule type="expression" dxfId="1926" priority="1987">
      <formula>$BC533="YES"</formula>
    </cfRule>
  </conditionalFormatting>
  <conditionalFormatting sqref="AJ535:AK536">
    <cfRule type="expression" dxfId="1925" priority="1986">
      <formula>$BC535="YES"</formula>
    </cfRule>
  </conditionalFormatting>
  <conditionalFormatting sqref="AJ537:AK538">
    <cfRule type="expression" dxfId="1924" priority="1985">
      <formula>$BC537="YES"</formula>
    </cfRule>
  </conditionalFormatting>
  <conditionalFormatting sqref="AJ539:AK540">
    <cfRule type="expression" dxfId="1923" priority="1984">
      <formula>$BC539="YES"</formula>
    </cfRule>
  </conditionalFormatting>
  <conditionalFormatting sqref="AJ541:AK542">
    <cfRule type="expression" dxfId="1922" priority="1983">
      <formula>$BC541="YES"</formula>
    </cfRule>
  </conditionalFormatting>
  <conditionalFormatting sqref="AJ543:AK544">
    <cfRule type="expression" dxfId="1921" priority="1982">
      <formula>$BC543="YES"</formula>
    </cfRule>
  </conditionalFormatting>
  <conditionalFormatting sqref="AJ545:AK546">
    <cfRule type="expression" dxfId="1920" priority="1981">
      <formula>$BC545="YES"</formula>
    </cfRule>
  </conditionalFormatting>
  <conditionalFormatting sqref="AJ547:AK548">
    <cfRule type="expression" dxfId="1919" priority="1980">
      <formula>$BC547="YES"</formula>
    </cfRule>
  </conditionalFormatting>
  <conditionalFormatting sqref="AJ549:AK550">
    <cfRule type="expression" dxfId="1918" priority="1979">
      <formula>$BC549="YES"</formula>
    </cfRule>
  </conditionalFormatting>
  <conditionalFormatting sqref="AJ551:AK552">
    <cfRule type="expression" dxfId="1917" priority="1978">
      <formula>$BC551="YES"</formula>
    </cfRule>
  </conditionalFormatting>
  <conditionalFormatting sqref="AJ553:AK554">
    <cfRule type="expression" dxfId="1916" priority="1977">
      <formula>$BC553="YES"</formula>
    </cfRule>
  </conditionalFormatting>
  <conditionalFormatting sqref="AJ555:AK556">
    <cfRule type="expression" dxfId="1915" priority="1976">
      <formula>$BC555="YES"</formula>
    </cfRule>
  </conditionalFormatting>
  <conditionalFormatting sqref="AJ557:AK558">
    <cfRule type="expression" dxfId="1914" priority="1975">
      <formula>$BC557="YES"</formula>
    </cfRule>
  </conditionalFormatting>
  <conditionalFormatting sqref="AJ559:AK560">
    <cfRule type="expression" dxfId="1913" priority="1974">
      <formula>$BC559="YES"</formula>
    </cfRule>
  </conditionalFormatting>
  <conditionalFormatting sqref="AJ561:AK562">
    <cfRule type="expression" dxfId="1912" priority="1973">
      <formula>$BC561="YES"</formula>
    </cfRule>
  </conditionalFormatting>
  <conditionalFormatting sqref="AJ563:AK564">
    <cfRule type="expression" dxfId="1911" priority="1972">
      <formula>$BC563="YES"</formula>
    </cfRule>
  </conditionalFormatting>
  <conditionalFormatting sqref="AJ565:AK566">
    <cfRule type="expression" dxfId="1910" priority="1971">
      <formula>$BC565="YES"</formula>
    </cfRule>
  </conditionalFormatting>
  <conditionalFormatting sqref="AJ567:AK568">
    <cfRule type="expression" dxfId="1909" priority="1970">
      <formula>$BC567="YES"</formula>
    </cfRule>
  </conditionalFormatting>
  <conditionalFormatting sqref="AJ569:AK570">
    <cfRule type="expression" dxfId="1908" priority="1969">
      <formula>$BC569="YES"</formula>
    </cfRule>
  </conditionalFormatting>
  <conditionalFormatting sqref="AJ571:AK572">
    <cfRule type="expression" dxfId="1907" priority="1968">
      <formula>$BC571="YES"</formula>
    </cfRule>
  </conditionalFormatting>
  <conditionalFormatting sqref="AJ573:AK574">
    <cfRule type="expression" dxfId="1906" priority="1967">
      <formula>$BC573="YES"</formula>
    </cfRule>
  </conditionalFormatting>
  <conditionalFormatting sqref="AJ575:AK576">
    <cfRule type="expression" dxfId="1905" priority="1966">
      <formula>$BC575="YES"</formula>
    </cfRule>
  </conditionalFormatting>
  <conditionalFormatting sqref="AJ577:AK578">
    <cfRule type="expression" dxfId="1904" priority="1965">
      <formula>$BC577="YES"</formula>
    </cfRule>
  </conditionalFormatting>
  <conditionalFormatting sqref="AJ579:AK580">
    <cfRule type="expression" dxfId="1903" priority="1964">
      <formula>$BC579="YES"</formula>
    </cfRule>
  </conditionalFormatting>
  <conditionalFormatting sqref="AJ581:AK582">
    <cfRule type="expression" dxfId="1902" priority="1963">
      <formula>$BC581="YES"</formula>
    </cfRule>
  </conditionalFormatting>
  <conditionalFormatting sqref="AJ583:AK584">
    <cfRule type="expression" dxfId="1901" priority="1962">
      <formula>$BC583="YES"</formula>
    </cfRule>
  </conditionalFormatting>
  <conditionalFormatting sqref="AJ585:AK586">
    <cfRule type="expression" dxfId="1900" priority="1961">
      <formula>$BC585="YES"</formula>
    </cfRule>
  </conditionalFormatting>
  <conditionalFormatting sqref="AJ587:AK588">
    <cfRule type="expression" dxfId="1899" priority="1960">
      <formula>$BC587="YES"</formula>
    </cfRule>
  </conditionalFormatting>
  <conditionalFormatting sqref="AJ589:AK590">
    <cfRule type="expression" dxfId="1898" priority="1959">
      <formula>$BC589="YES"</formula>
    </cfRule>
  </conditionalFormatting>
  <conditionalFormatting sqref="AJ591:AK592">
    <cfRule type="expression" dxfId="1897" priority="1958">
      <formula>$BC591="YES"</formula>
    </cfRule>
  </conditionalFormatting>
  <conditionalFormatting sqref="AJ593:AK594">
    <cfRule type="expression" dxfId="1896" priority="1957">
      <formula>$BC593="YES"</formula>
    </cfRule>
  </conditionalFormatting>
  <conditionalFormatting sqref="AJ595:AK596">
    <cfRule type="expression" dxfId="1895" priority="1956">
      <formula>$BC595="YES"</formula>
    </cfRule>
  </conditionalFormatting>
  <conditionalFormatting sqref="AJ597:AK598">
    <cfRule type="expression" dxfId="1894" priority="1955">
      <formula>$BC597="YES"</formula>
    </cfRule>
  </conditionalFormatting>
  <conditionalFormatting sqref="AJ599:AK600">
    <cfRule type="expression" dxfId="1893" priority="1954">
      <formula>$BC599="YES"</formula>
    </cfRule>
  </conditionalFormatting>
  <conditionalFormatting sqref="AJ601:AK602">
    <cfRule type="expression" dxfId="1892" priority="1953">
      <formula>$BC601="YES"</formula>
    </cfRule>
  </conditionalFormatting>
  <conditionalFormatting sqref="AJ603:AK604">
    <cfRule type="expression" dxfId="1891" priority="1952">
      <formula>$BC603="YES"</formula>
    </cfRule>
  </conditionalFormatting>
  <conditionalFormatting sqref="AJ605:AK606">
    <cfRule type="expression" dxfId="1890" priority="1951">
      <formula>$BC605="YES"</formula>
    </cfRule>
  </conditionalFormatting>
  <conditionalFormatting sqref="AJ607:AK608">
    <cfRule type="expression" dxfId="1889" priority="1950">
      <formula>$BC607="YES"</formula>
    </cfRule>
  </conditionalFormatting>
  <conditionalFormatting sqref="AJ609:AK610">
    <cfRule type="expression" dxfId="1888" priority="1949">
      <formula>$BC609="YES"</formula>
    </cfRule>
  </conditionalFormatting>
  <conditionalFormatting sqref="AJ611:AK612">
    <cfRule type="expression" dxfId="1887" priority="1948">
      <formula>$BC611="YES"</formula>
    </cfRule>
  </conditionalFormatting>
  <conditionalFormatting sqref="AJ613:AK614">
    <cfRule type="expression" dxfId="1886" priority="1947">
      <formula>$BC613="YES"</formula>
    </cfRule>
  </conditionalFormatting>
  <conditionalFormatting sqref="N25:N34">
    <cfRule type="expression" dxfId="1885" priority="1946">
      <formula>$BC25="YES"</formula>
    </cfRule>
  </conditionalFormatting>
  <conditionalFormatting sqref="N35:N44">
    <cfRule type="expression" dxfId="1884" priority="1945">
      <formula>$BC35="YES"</formula>
    </cfRule>
  </conditionalFormatting>
  <conditionalFormatting sqref="N45:N54">
    <cfRule type="expression" dxfId="1883" priority="1944">
      <formula>$BC45="YES"</formula>
    </cfRule>
  </conditionalFormatting>
  <conditionalFormatting sqref="N55:N64">
    <cfRule type="expression" dxfId="1882" priority="1943">
      <formula>$BC55="YES"</formula>
    </cfRule>
  </conditionalFormatting>
  <conditionalFormatting sqref="N65:N74">
    <cfRule type="expression" dxfId="1881" priority="1942">
      <formula>$BC65="YES"</formula>
    </cfRule>
  </conditionalFormatting>
  <conditionalFormatting sqref="N75:N84">
    <cfRule type="expression" dxfId="1880" priority="1941">
      <formula>$BC75="YES"</formula>
    </cfRule>
  </conditionalFormatting>
  <conditionalFormatting sqref="N85:N94">
    <cfRule type="expression" dxfId="1879" priority="1940">
      <formula>$BC85="YES"</formula>
    </cfRule>
  </conditionalFormatting>
  <conditionalFormatting sqref="N95:N104">
    <cfRule type="expression" dxfId="1878" priority="1939">
      <formula>$BC95="YES"</formula>
    </cfRule>
  </conditionalFormatting>
  <conditionalFormatting sqref="N105:N114">
    <cfRule type="expression" dxfId="1877" priority="1938">
      <formula>$BC105="YES"</formula>
    </cfRule>
  </conditionalFormatting>
  <conditionalFormatting sqref="N115:N124">
    <cfRule type="expression" dxfId="1876" priority="1937">
      <formula>$BC115="YES"</formula>
    </cfRule>
  </conditionalFormatting>
  <conditionalFormatting sqref="N125:N134">
    <cfRule type="expression" dxfId="1875" priority="1936">
      <formula>$BC125="YES"</formula>
    </cfRule>
  </conditionalFormatting>
  <conditionalFormatting sqref="N135:N144">
    <cfRule type="expression" dxfId="1874" priority="1935">
      <formula>$BC135="YES"</formula>
    </cfRule>
  </conditionalFormatting>
  <conditionalFormatting sqref="N145:N154">
    <cfRule type="expression" dxfId="1873" priority="1934">
      <formula>$BC145="YES"</formula>
    </cfRule>
  </conditionalFormatting>
  <conditionalFormatting sqref="N155:N164">
    <cfRule type="expression" dxfId="1872" priority="1933">
      <formula>$BC155="YES"</formula>
    </cfRule>
  </conditionalFormatting>
  <conditionalFormatting sqref="N165:N174">
    <cfRule type="expression" dxfId="1871" priority="1932">
      <formula>$BC165="YES"</formula>
    </cfRule>
  </conditionalFormatting>
  <conditionalFormatting sqref="N175:N184">
    <cfRule type="expression" dxfId="1870" priority="1931">
      <formula>$BC175="YES"</formula>
    </cfRule>
  </conditionalFormatting>
  <conditionalFormatting sqref="N185:N194">
    <cfRule type="expression" dxfId="1869" priority="1930">
      <formula>$BC185="YES"</formula>
    </cfRule>
  </conditionalFormatting>
  <conditionalFormatting sqref="N195:N204">
    <cfRule type="expression" dxfId="1868" priority="1929">
      <formula>$BC195="YES"</formula>
    </cfRule>
  </conditionalFormatting>
  <conditionalFormatting sqref="N205:N214">
    <cfRule type="expression" dxfId="1867" priority="1928">
      <formula>$BC205="YES"</formula>
    </cfRule>
  </conditionalFormatting>
  <conditionalFormatting sqref="N215:N224">
    <cfRule type="expression" dxfId="1866" priority="1927">
      <formula>$BC215="YES"</formula>
    </cfRule>
  </conditionalFormatting>
  <conditionalFormatting sqref="N225:N234">
    <cfRule type="expression" dxfId="1865" priority="1926">
      <formula>$BC225="YES"</formula>
    </cfRule>
  </conditionalFormatting>
  <conditionalFormatting sqref="N235:N244">
    <cfRule type="expression" dxfId="1864" priority="1925">
      <formula>$BC235="YES"</formula>
    </cfRule>
  </conditionalFormatting>
  <conditionalFormatting sqref="N245:N254">
    <cfRule type="expression" dxfId="1863" priority="1924">
      <formula>$BC245="YES"</formula>
    </cfRule>
  </conditionalFormatting>
  <conditionalFormatting sqref="N255:N264">
    <cfRule type="expression" dxfId="1862" priority="1923">
      <formula>$BC255="YES"</formula>
    </cfRule>
  </conditionalFormatting>
  <conditionalFormatting sqref="N265:N274">
    <cfRule type="expression" dxfId="1861" priority="1922">
      <formula>$BC265="YES"</formula>
    </cfRule>
  </conditionalFormatting>
  <conditionalFormatting sqref="N275:N284">
    <cfRule type="expression" dxfId="1860" priority="1921">
      <formula>$BC275="YES"</formula>
    </cfRule>
  </conditionalFormatting>
  <conditionalFormatting sqref="N285:N294">
    <cfRule type="expression" dxfId="1859" priority="1920">
      <formula>$BC285="YES"</formula>
    </cfRule>
  </conditionalFormatting>
  <conditionalFormatting sqref="N295:N304">
    <cfRule type="expression" dxfId="1858" priority="1919">
      <formula>$BC295="YES"</formula>
    </cfRule>
  </conditionalFormatting>
  <conditionalFormatting sqref="N305:N314">
    <cfRule type="expression" dxfId="1857" priority="1918">
      <formula>$BC305="YES"</formula>
    </cfRule>
  </conditionalFormatting>
  <conditionalFormatting sqref="N315:N324">
    <cfRule type="expression" dxfId="1856" priority="1917">
      <formula>$BC315="YES"</formula>
    </cfRule>
  </conditionalFormatting>
  <conditionalFormatting sqref="N325:N334">
    <cfRule type="expression" dxfId="1855" priority="1916">
      <formula>$BC325="YES"</formula>
    </cfRule>
  </conditionalFormatting>
  <conditionalFormatting sqref="N335:N344">
    <cfRule type="expression" dxfId="1854" priority="1915">
      <formula>$BC335="YES"</formula>
    </cfRule>
  </conditionalFormatting>
  <conditionalFormatting sqref="N345:N354">
    <cfRule type="expression" dxfId="1853" priority="1914">
      <formula>$BC345="YES"</formula>
    </cfRule>
  </conditionalFormatting>
  <conditionalFormatting sqref="N355:N364">
    <cfRule type="expression" dxfId="1852" priority="1913">
      <formula>$BC355="YES"</formula>
    </cfRule>
  </conditionalFormatting>
  <conditionalFormatting sqref="N365:N374">
    <cfRule type="expression" dxfId="1851" priority="1912">
      <formula>$BC365="YES"</formula>
    </cfRule>
  </conditionalFormatting>
  <conditionalFormatting sqref="N375:N384">
    <cfRule type="expression" dxfId="1850" priority="1911">
      <formula>$BC375="YES"</formula>
    </cfRule>
  </conditionalFormatting>
  <conditionalFormatting sqref="N385:N394">
    <cfRule type="expression" dxfId="1849" priority="1910">
      <formula>$BC385="YES"</formula>
    </cfRule>
  </conditionalFormatting>
  <conditionalFormatting sqref="N395:N404">
    <cfRule type="expression" dxfId="1848" priority="1909">
      <formula>$BC395="YES"</formula>
    </cfRule>
  </conditionalFormatting>
  <conditionalFormatting sqref="N405:N414">
    <cfRule type="expression" dxfId="1847" priority="1908">
      <formula>$BC405="YES"</formula>
    </cfRule>
  </conditionalFormatting>
  <conditionalFormatting sqref="N415:N424">
    <cfRule type="expression" dxfId="1846" priority="1907">
      <formula>$BC415="YES"</formula>
    </cfRule>
  </conditionalFormatting>
  <conditionalFormatting sqref="N425:N434">
    <cfRule type="expression" dxfId="1845" priority="1906">
      <formula>$BC425="YES"</formula>
    </cfRule>
  </conditionalFormatting>
  <conditionalFormatting sqref="N435:N444">
    <cfRule type="expression" dxfId="1844" priority="1905">
      <formula>$BC435="YES"</formula>
    </cfRule>
  </conditionalFormatting>
  <conditionalFormatting sqref="N445:N454">
    <cfRule type="expression" dxfId="1843" priority="1904">
      <formula>$BC445="YES"</formula>
    </cfRule>
  </conditionalFormatting>
  <conditionalFormatting sqref="N455:N464">
    <cfRule type="expression" dxfId="1842" priority="1903">
      <formula>$BC455="YES"</formula>
    </cfRule>
  </conditionalFormatting>
  <conditionalFormatting sqref="N465:N474">
    <cfRule type="expression" dxfId="1841" priority="1902">
      <formula>$BC465="YES"</formula>
    </cfRule>
  </conditionalFormatting>
  <conditionalFormatting sqref="N475:N484">
    <cfRule type="expression" dxfId="1840" priority="1901">
      <formula>$BC475="YES"</formula>
    </cfRule>
  </conditionalFormatting>
  <conditionalFormatting sqref="N485:N494">
    <cfRule type="expression" dxfId="1839" priority="1900">
      <formula>$BC485="YES"</formula>
    </cfRule>
  </conditionalFormatting>
  <conditionalFormatting sqref="N495:N504">
    <cfRule type="expression" dxfId="1838" priority="1899">
      <formula>$BC495="YES"</formula>
    </cfRule>
  </conditionalFormatting>
  <conditionalFormatting sqref="N505:N514">
    <cfRule type="expression" dxfId="1837" priority="1898">
      <formula>$BC505="YES"</formula>
    </cfRule>
  </conditionalFormatting>
  <conditionalFormatting sqref="N515:N524">
    <cfRule type="expression" dxfId="1836" priority="1897">
      <formula>$BC515="YES"</formula>
    </cfRule>
  </conditionalFormatting>
  <conditionalFormatting sqref="N525:N534">
    <cfRule type="expression" dxfId="1835" priority="1896">
      <formula>$BC525="YES"</formula>
    </cfRule>
  </conditionalFormatting>
  <conditionalFormatting sqref="N535:N544">
    <cfRule type="expression" dxfId="1834" priority="1895">
      <formula>$BC535="YES"</formula>
    </cfRule>
  </conditionalFormatting>
  <conditionalFormatting sqref="N545:N554">
    <cfRule type="expression" dxfId="1833" priority="1894">
      <formula>$BC545="YES"</formula>
    </cfRule>
  </conditionalFormatting>
  <conditionalFormatting sqref="N555:N564">
    <cfRule type="expression" dxfId="1832" priority="1893">
      <formula>$BC555="YES"</formula>
    </cfRule>
  </conditionalFormatting>
  <conditionalFormatting sqref="N565:N574">
    <cfRule type="expression" dxfId="1831" priority="1892">
      <formula>$BC565="YES"</formula>
    </cfRule>
  </conditionalFormatting>
  <conditionalFormatting sqref="N575:N584">
    <cfRule type="expression" dxfId="1830" priority="1891">
      <formula>$BC575="YES"</formula>
    </cfRule>
  </conditionalFormatting>
  <conditionalFormatting sqref="N585:N594">
    <cfRule type="expression" dxfId="1829" priority="1890">
      <formula>$BC585="YES"</formula>
    </cfRule>
  </conditionalFormatting>
  <conditionalFormatting sqref="N595:N604">
    <cfRule type="expression" dxfId="1828" priority="1889">
      <formula>$BC595="YES"</formula>
    </cfRule>
  </conditionalFormatting>
  <conditionalFormatting sqref="N605:N614">
    <cfRule type="expression" dxfId="1827" priority="1888">
      <formula>$BC605="YES"</formula>
    </cfRule>
  </conditionalFormatting>
  <conditionalFormatting sqref="AP25:AQ26">
    <cfRule type="expression" dxfId="1826" priority="1887">
      <formula>$BC25="YES"</formula>
    </cfRule>
  </conditionalFormatting>
  <conditionalFormatting sqref="AP27:AQ28">
    <cfRule type="expression" dxfId="1825" priority="1886">
      <formula>$BC27="YES"</formula>
    </cfRule>
  </conditionalFormatting>
  <conditionalFormatting sqref="AP29:AQ30">
    <cfRule type="expression" dxfId="1824" priority="1885">
      <formula>$BC29="YES"</formula>
    </cfRule>
  </conditionalFormatting>
  <conditionalFormatting sqref="AP31:AQ32">
    <cfRule type="expression" dxfId="1823" priority="1884">
      <formula>$BC31="YES"</formula>
    </cfRule>
  </conditionalFormatting>
  <conditionalFormatting sqref="AP33:AQ34">
    <cfRule type="expression" dxfId="1822" priority="1883">
      <formula>$BC33="YES"</formula>
    </cfRule>
  </conditionalFormatting>
  <conditionalFormatting sqref="AP35:AQ36">
    <cfRule type="expression" dxfId="1821" priority="1882">
      <formula>$BC35="YES"</formula>
    </cfRule>
  </conditionalFormatting>
  <conditionalFormatting sqref="AP37:AQ38">
    <cfRule type="expression" dxfId="1820" priority="1881">
      <formula>$BC37="YES"</formula>
    </cfRule>
  </conditionalFormatting>
  <conditionalFormatting sqref="AP39:AQ40">
    <cfRule type="expression" dxfId="1819" priority="1880">
      <formula>$BC39="YES"</formula>
    </cfRule>
  </conditionalFormatting>
  <conditionalFormatting sqref="AP41:AQ42">
    <cfRule type="expression" dxfId="1818" priority="1879">
      <formula>$BC41="YES"</formula>
    </cfRule>
  </conditionalFormatting>
  <conditionalFormatting sqref="AP43:AQ44">
    <cfRule type="expression" dxfId="1817" priority="1878">
      <formula>$BC43="YES"</formula>
    </cfRule>
  </conditionalFormatting>
  <conditionalFormatting sqref="AP45:AQ46">
    <cfRule type="expression" dxfId="1816" priority="1877">
      <formula>$BC45="YES"</formula>
    </cfRule>
  </conditionalFormatting>
  <conditionalFormatting sqref="AP47:AQ48">
    <cfRule type="expression" dxfId="1815" priority="1876">
      <formula>$BC47="YES"</formula>
    </cfRule>
  </conditionalFormatting>
  <conditionalFormatting sqref="AP49:AQ50">
    <cfRule type="expression" dxfId="1814" priority="1875">
      <formula>$BC49="YES"</formula>
    </cfRule>
  </conditionalFormatting>
  <conditionalFormatting sqref="AP51:AQ52">
    <cfRule type="expression" dxfId="1813" priority="1874">
      <formula>$BC51="YES"</formula>
    </cfRule>
  </conditionalFormatting>
  <conditionalFormatting sqref="AP53:AQ54">
    <cfRule type="expression" dxfId="1812" priority="1873">
      <formula>$BC53="YES"</formula>
    </cfRule>
  </conditionalFormatting>
  <conditionalFormatting sqref="AP55:AQ56">
    <cfRule type="expression" dxfId="1811" priority="1872">
      <formula>$BC55="YES"</formula>
    </cfRule>
  </conditionalFormatting>
  <conditionalFormatting sqref="AP57:AQ58">
    <cfRule type="expression" dxfId="1810" priority="1871">
      <formula>$BC57="YES"</formula>
    </cfRule>
  </conditionalFormatting>
  <conditionalFormatting sqref="AP59:AQ60">
    <cfRule type="expression" dxfId="1809" priority="1870">
      <formula>$BC59="YES"</formula>
    </cfRule>
  </conditionalFormatting>
  <conditionalFormatting sqref="AP61:AQ62">
    <cfRule type="expression" dxfId="1808" priority="1869">
      <formula>$BC61="YES"</formula>
    </cfRule>
  </conditionalFormatting>
  <conditionalFormatting sqref="AP63:AQ64">
    <cfRule type="expression" dxfId="1807" priority="1868">
      <formula>$BC63="YES"</formula>
    </cfRule>
  </conditionalFormatting>
  <conditionalFormatting sqref="AP65:AQ66">
    <cfRule type="expression" dxfId="1806" priority="1867">
      <formula>$BC65="YES"</formula>
    </cfRule>
  </conditionalFormatting>
  <conditionalFormatting sqref="AP67:AQ68">
    <cfRule type="expression" dxfId="1805" priority="1866">
      <formula>$BC67="YES"</formula>
    </cfRule>
  </conditionalFormatting>
  <conditionalFormatting sqref="AP69:AQ70">
    <cfRule type="expression" dxfId="1804" priority="1865">
      <formula>$BC69="YES"</formula>
    </cfRule>
  </conditionalFormatting>
  <conditionalFormatting sqref="AP71:AQ72">
    <cfRule type="expression" dxfId="1803" priority="1864">
      <formula>$BC71="YES"</formula>
    </cfRule>
  </conditionalFormatting>
  <conditionalFormatting sqref="AP73:AQ74">
    <cfRule type="expression" dxfId="1802" priority="1863">
      <formula>$BC73="YES"</formula>
    </cfRule>
  </conditionalFormatting>
  <conditionalFormatting sqref="AP75:AQ76">
    <cfRule type="expression" dxfId="1801" priority="1862">
      <formula>$BC75="YES"</formula>
    </cfRule>
  </conditionalFormatting>
  <conditionalFormatting sqref="AP77:AQ78">
    <cfRule type="expression" dxfId="1800" priority="1861">
      <formula>$BC77="YES"</formula>
    </cfRule>
  </conditionalFormatting>
  <conditionalFormatting sqref="AP79:AQ80">
    <cfRule type="expression" dxfId="1799" priority="1860">
      <formula>$BC79="YES"</formula>
    </cfRule>
  </conditionalFormatting>
  <conditionalFormatting sqref="AP81:AQ82">
    <cfRule type="expression" dxfId="1798" priority="1859">
      <formula>$BC81="YES"</formula>
    </cfRule>
  </conditionalFormatting>
  <conditionalFormatting sqref="AP83:AQ84">
    <cfRule type="expression" dxfId="1797" priority="1858">
      <formula>$BC83="YES"</formula>
    </cfRule>
  </conditionalFormatting>
  <conditionalFormatting sqref="AP85:AQ86">
    <cfRule type="expression" dxfId="1796" priority="1857">
      <formula>$BC85="YES"</formula>
    </cfRule>
  </conditionalFormatting>
  <conditionalFormatting sqref="AP87:AQ88">
    <cfRule type="expression" dxfId="1795" priority="1856">
      <formula>$BC87="YES"</formula>
    </cfRule>
  </conditionalFormatting>
  <conditionalFormatting sqref="AP89:AQ90">
    <cfRule type="expression" dxfId="1794" priority="1855">
      <formula>$BC89="YES"</formula>
    </cfRule>
  </conditionalFormatting>
  <conditionalFormatting sqref="AP91:AQ92">
    <cfRule type="expression" dxfId="1793" priority="1854">
      <formula>$BC91="YES"</formula>
    </cfRule>
  </conditionalFormatting>
  <conditionalFormatting sqref="AP93:AQ94">
    <cfRule type="expression" dxfId="1792" priority="1853">
      <formula>$BC93="YES"</formula>
    </cfRule>
  </conditionalFormatting>
  <conditionalFormatting sqref="AP95:AQ96">
    <cfRule type="expression" dxfId="1791" priority="1852">
      <formula>$BC95="YES"</formula>
    </cfRule>
  </conditionalFormatting>
  <conditionalFormatting sqref="AP97:AQ98">
    <cfRule type="expression" dxfId="1790" priority="1851">
      <formula>$BC97="YES"</formula>
    </cfRule>
  </conditionalFormatting>
  <conditionalFormatting sqref="AP99:AQ100">
    <cfRule type="expression" dxfId="1789" priority="1850">
      <formula>$BC99="YES"</formula>
    </cfRule>
  </conditionalFormatting>
  <conditionalFormatting sqref="AP101:AQ102">
    <cfRule type="expression" dxfId="1788" priority="1849">
      <formula>$BC101="YES"</formula>
    </cfRule>
  </conditionalFormatting>
  <conditionalFormatting sqref="AP103:AQ104">
    <cfRule type="expression" dxfId="1787" priority="1848">
      <formula>$BC103="YES"</formula>
    </cfRule>
  </conditionalFormatting>
  <conditionalFormatting sqref="AP105:AQ106">
    <cfRule type="expression" dxfId="1786" priority="1847">
      <formula>$BC105="YES"</formula>
    </cfRule>
  </conditionalFormatting>
  <conditionalFormatting sqref="AP107:AQ108">
    <cfRule type="expression" dxfId="1785" priority="1846">
      <formula>$BC107="YES"</formula>
    </cfRule>
  </conditionalFormatting>
  <conditionalFormatting sqref="AP109:AQ110">
    <cfRule type="expression" dxfId="1784" priority="1845">
      <formula>$BC109="YES"</formula>
    </cfRule>
  </conditionalFormatting>
  <conditionalFormatting sqref="AP111:AQ112">
    <cfRule type="expression" dxfId="1783" priority="1844">
      <formula>$BC111="YES"</formula>
    </cfRule>
  </conditionalFormatting>
  <conditionalFormatting sqref="AR25:AS28">
    <cfRule type="expression" dxfId="1782" priority="1843">
      <formula>$BC25="YES"</formula>
    </cfRule>
  </conditionalFormatting>
  <conditionalFormatting sqref="AR29:AS32">
    <cfRule type="expression" dxfId="1781" priority="1842">
      <formula>$BC29="YES"</formula>
    </cfRule>
  </conditionalFormatting>
  <conditionalFormatting sqref="AR33:AS34">
    <cfRule type="expression" dxfId="1780" priority="1841">
      <formula>$BC33="YES"</formula>
    </cfRule>
  </conditionalFormatting>
  <conditionalFormatting sqref="AR35:AS38">
    <cfRule type="expression" dxfId="1779" priority="1840">
      <formula>$BC35="YES"</formula>
    </cfRule>
  </conditionalFormatting>
  <conditionalFormatting sqref="AR39:AS42">
    <cfRule type="expression" dxfId="1778" priority="1839">
      <formula>$BC39="YES"</formula>
    </cfRule>
  </conditionalFormatting>
  <conditionalFormatting sqref="AR43:AS44">
    <cfRule type="expression" dxfId="1777" priority="1838">
      <formula>$BC43="YES"</formula>
    </cfRule>
  </conditionalFormatting>
  <conditionalFormatting sqref="AR45:AS48">
    <cfRule type="expression" dxfId="1776" priority="1837">
      <formula>$BC45="YES"</formula>
    </cfRule>
  </conditionalFormatting>
  <conditionalFormatting sqref="AR49:AS52">
    <cfRule type="expression" dxfId="1775" priority="1836">
      <formula>$BC49="YES"</formula>
    </cfRule>
  </conditionalFormatting>
  <conditionalFormatting sqref="AR53:AS54">
    <cfRule type="expression" dxfId="1774" priority="1835">
      <formula>$BC53="YES"</formula>
    </cfRule>
  </conditionalFormatting>
  <conditionalFormatting sqref="AR55:AS58">
    <cfRule type="expression" dxfId="1773" priority="1834">
      <formula>$BC55="YES"</formula>
    </cfRule>
  </conditionalFormatting>
  <conditionalFormatting sqref="AR59:AS62">
    <cfRule type="expression" dxfId="1772" priority="1833">
      <formula>$BC59="YES"</formula>
    </cfRule>
  </conditionalFormatting>
  <conditionalFormatting sqref="AR63:AS64">
    <cfRule type="expression" dxfId="1771" priority="1832">
      <formula>$BC63="YES"</formula>
    </cfRule>
  </conditionalFormatting>
  <conditionalFormatting sqref="AR65:AS68">
    <cfRule type="expression" dxfId="1770" priority="1831">
      <formula>$BC65="YES"</formula>
    </cfRule>
  </conditionalFormatting>
  <conditionalFormatting sqref="AR69:AS72">
    <cfRule type="expression" dxfId="1769" priority="1830">
      <formula>$BC69="YES"</formula>
    </cfRule>
  </conditionalFormatting>
  <conditionalFormatting sqref="AR73:AS74">
    <cfRule type="expression" dxfId="1768" priority="1829">
      <formula>$BC73="YES"</formula>
    </cfRule>
  </conditionalFormatting>
  <conditionalFormatting sqref="AR75:AS78">
    <cfRule type="expression" dxfId="1767" priority="1828">
      <formula>$BC75="YES"</formula>
    </cfRule>
  </conditionalFormatting>
  <conditionalFormatting sqref="AR79:AS82">
    <cfRule type="expression" dxfId="1766" priority="1827">
      <formula>$BC79="YES"</formula>
    </cfRule>
  </conditionalFormatting>
  <conditionalFormatting sqref="AR83:AS84">
    <cfRule type="expression" dxfId="1765" priority="1826">
      <formula>$BC83="YES"</formula>
    </cfRule>
  </conditionalFormatting>
  <conditionalFormatting sqref="AR85:AS88">
    <cfRule type="expression" dxfId="1764" priority="1825">
      <formula>$BC85="YES"</formula>
    </cfRule>
  </conditionalFormatting>
  <conditionalFormatting sqref="AR89:AS92">
    <cfRule type="expression" dxfId="1763" priority="1824">
      <formula>$BC89="YES"</formula>
    </cfRule>
  </conditionalFormatting>
  <conditionalFormatting sqref="AR93:AS94">
    <cfRule type="expression" dxfId="1762" priority="1823">
      <formula>$BC93="YES"</formula>
    </cfRule>
  </conditionalFormatting>
  <conditionalFormatting sqref="AR95:AS98">
    <cfRule type="expression" dxfId="1761" priority="1822">
      <formula>$BC95="YES"</formula>
    </cfRule>
  </conditionalFormatting>
  <conditionalFormatting sqref="AR99:AS102">
    <cfRule type="expression" dxfId="1760" priority="1821">
      <formula>$BC99="YES"</formula>
    </cfRule>
  </conditionalFormatting>
  <conditionalFormatting sqref="AR103:AS104">
    <cfRule type="expression" dxfId="1759" priority="1820">
      <formula>$BC103="YES"</formula>
    </cfRule>
  </conditionalFormatting>
  <conditionalFormatting sqref="AR105:AS108">
    <cfRule type="expression" dxfId="1758" priority="1819">
      <formula>$BC105="YES"</formula>
    </cfRule>
  </conditionalFormatting>
  <conditionalFormatting sqref="AR109:AS112">
    <cfRule type="expression" dxfId="1757" priority="1818">
      <formula>$BC109="YES"</formula>
    </cfRule>
  </conditionalFormatting>
  <conditionalFormatting sqref="AR113:AS114">
    <cfRule type="expression" dxfId="1756" priority="1817">
      <formula>$BC113="YES"</formula>
    </cfRule>
  </conditionalFormatting>
  <conditionalFormatting sqref="AP115:AQ116">
    <cfRule type="expression" dxfId="1755" priority="1816">
      <formula>$BC115="YES"</formula>
    </cfRule>
  </conditionalFormatting>
  <conditionalFormatting sqref="AP117:AQ118">
    <cfRule type="expression" dxfId="1754" priority="1815">
      <formula>$BC117="YES"</formula>
    </cfRule>
  </conditionalFormatting>
  <conditionalFormatting sqref="AP119:AQ120">
    <cfRule type="expression" dxfId="1753" priority="1814">
      <formula>$BC119="YES"</formula>
    </cfRule>
  </conditionalFormatting>
  <conditionalFormatting sqref="AP121:AQ122">
    <cfRule type="expression" dxfId="1752" priority="1813">
      <formula>$BC121="YES"</formula>
    </cfRule>
  </conditionalFormatting>
  <conditionalFormatting sqref="AP123:AQ124">
    <cfRule type="expression" dxfId="1751" priority="1812">
      <formula>$BC123="YES"</formula>
    </cfRule>
  </conditionalFormatting>
  <conditionalFormatting sqref="AP125:AQ126">
    <cfRule type="expression" dxfId="1750" priority="1811">
      <formula>$BC125="YES"</formula>
    </cfRule>
  </conditionalFormatting>
  <conditionalFormatting sqref="AP127:AQ128">
    <cfRule type="expression" dxfId="1749" priority="1810">
      <formula>$BC127="YES"</formula>
    </cfRule>
  </conditionalFormatting>
  <conditionalFormatting sqref="AP129:AQ130">
    <cfRule type="expression" dxfId="1748" priority="1809">
      <formula>$BC129="YES"</formula>
    </cfRule>
  </conditionalFormatting>
  <conditionalFormatting sqref="AP131:AQ132">
    <cfRule type="expression" dxfId="1747" priority="1808">
      <formula>$BC131="YES"</formula>
    </cfRule>
  </conditionalFormatting>
  <conditionalFormatting sqref="AP133:AQ134">
    <cfRule type="expression" dxfId="1746" priority="1807">
      <formula>$BC133="YES"</formula>
    </cfRule>
  </conditionalFormatting>
  <conditionalFormatting sqref="AP135:AQ136">
    <cfRule type="expression" dxfId="1745" priority="1806">
      <formula>$BC135="YES"</formula>
    </cfRule>
  </conditionalFormatting>
  <conditionalFormatting sqref="AP137:AQ138">
    <cfRule type="expression" dxfId="1744" priority="1805">
      <formula>$BC137="YES"</formula>
    </cfRule>
  </conditionalFormatting>
  <conditionalFormatting sqref="AP139:AQ140">
    <cfRule type="expression" dxfId="1743" priority="1804">
      <formula>$BC139="YES"</formula>
    </cfRule>
  </conditionalFormatting>
  <conditionalFormatting sqref="AP141:AQ142">
    <cfRule type="expression" dxfId="1742" priority="1803">
      <formula>$BC141="YES"</formula>
    </cfRule>
  </conditionalFormatting>
  <conditionalFormatting sqref="AP143:AQ144">
    <cfRule type="expression" dxfId="1741" priority="1802">
      <formula>$BC143="YES"</formula>
    </cfRule>
  </conditionalFormatting>
  <conditionalFormatting sqref="AP145:AQ146">
    <cfRule type="expression" dxfId="1740" priority="1801">
      <formula>$BC145="YES"</formula>
    </cfRule>
  </conditionalFormatting>
  <conditionalFormatting sqref="AP147:AQ148">
    <cfRule type="expression" dxfId="1739" priority="1800">
      <formula>$BC147="YES"</formula>
    </cfRule>
  </conditionalFormatting>
  <conditionalFormatting sqref="AP149:AQ150">
    <cfRule type="expression" dxfId="1738" priority="1799">
      <formula>$BC149="YES"</formula>
    </cfRule>
  </conditionalFormatting>
  <conditionalFormatting sqref="AP151:AQ152">
    <cfRule type="expression" dxfId="1737" priority="1798">
      <formula>$BC151="YES"</formula>
    </cfRule>
  </conditionalFormatting>
  <conditionalFormatting sqref="AP153:AQ154">
    <cfRule type="expression" dxfId="1736" priority="1797">
      <formula>$BC153="YES"</formula>
    </cfRule>
  </conditionalFormatting>
  <conditionalFormatting sqref="AP155:AQ156">
    <cfRule type="expression" dxfId="1735" priority="1796">
      <formula>$BC155="YES"</formula>
    </cfRule>
  </conditionalFormatting>
  <conditionalFormatting sqref="AP157:AQ158">
    <cfRule type="expression" dxfId="1734" priority="1795">
      <formula>$BC157="YES"</formula>
    </cfRule>
  </conditionalFormatting>
  <conditionalFormatting sqref="AP159:AQ160">
    <cfRule type="expression" dxfId="1733" priority="1794">
      <formula>$BC159="YES"</formula>
    </cfRule>
  </conditionalFormatting>
  <conditionalFormatting sqref="AP161:AQ162">
    <cfRule type="expression" dxfId="1732" priority="1793">
      <formula>$BC161="YES"</formula>
    </cfRule>
  </conditionalFormatting>
  <conditionalFormatting sqref="AP163:AQ164">
    <cfRule type="expression" dxfId="1731" priority="1792">
      <formula>$BC163="YES"</formula>
    </cfRule>
  </conditionalFormatting>
  <conditionalFormatting sqref="AP165:AQ166">
    <cfRule type="expression" dxfId="1730" priority="1791">
      <formula>$BC165="YES"</formula>
    </cfRule>
  </conditionalFormatting>
  <conditionalFormatting sqref="AP167:AQ168">
    <cfRule type="expression" dxfId="1729" priority="1790">
      <formula>$BC167="YES"</formula>
    </cfRule>
  </conditionalFormatting>
  <conditionalFormatting sqref="AP169:AQ170">
    <cfRule type="expression" dxfId="1728" priority="1789">
      <formula>$BC169="YES"</formula>
    </cfRule>
  </conditionalFormatting>
  <conditionalFormatting sqref="AP171:AQ172">
    <cfRule type="expression" dxfId="1727" priority="1788">
      <formula>$BC171="YES"</formula>
    </cfRule>
  </conditionalFormatting>
  <conditionalFormatting sqref="AP173:AQ174">
    <cfRule type="expression" dxfId="1726" priority="1787">
      <formula>$BC173="YES"</formula>
    </cfRule>
  </conditionalFormatting>
  <conditionalFormatting sqref="AP175:AQ176">
    <cfRule type="expression" dxfId="1725" priority="1786">
      <formula>$BC175="YES"</formula>
    </cfRule>
  </conditionalFormatting>
  <conditionalFormatting sqref="AP177:AQ178">
    <cfRule type="expression" dxfId="1724" priority="1785">
      <formula>$BC177="YES"</formula>
    </cfRule>
  </conditionalFormatting>
  <conditionalFormatting sqref="AP179:AQ180">
    <cfRule type="expression" dxfId="1723" priority="1784">
      <formula>$BC179="YES"</formula>
    </cfRule>
  </conditionalFormatting>
  <conditionalFormatting sqref="AP181:AQ182">
    <cfRule type="expression" dxfId="1722" priority="1783">
      <formula>$BC181="YES"</formula>
    </cfRule>
  </conditionalFormatting>
  <conditionalFormatting sqref="AP183:AQ184">
    <cfRule type="expression" dxfId="1721" priority="1782">
      <formula>$BC183="YES"</formula>
    </cfRule>
  </conditionalFormatting>
  <conditionalFormatting sqref="AP185:AQ186">
    <cfRule type="expression" dxfId="1720" priority="1781">
      <formula>$BC185="YES"</formula>
    </cfRule>
  </conditionalFormatting>
  <conditionalFormatting sqref="AP187:AQ188">
    <cfRule type="expression" dxfId="1719" priority="1780">
      <formula>$BC187="YES"</formula>
    </cfRule>
  </conditionalFormatting>
  <conditionalFormatting sqref="AP189:AQ190">
    <cfRule type="expression" dxfId="1718" priority="1779">
      <formula>$BC189="YES"</formula>
    </cfRule>
  </conditionalFormatting>
  <conditionalFormatting sqref="AP191:AQ192">
    <cfRule type="expression" dxfId="1717" priority="1778">
      <formula>$BC191="YES"</formula>
    </cfRule>
  </conditionalFormatting>
  <conditionalFormatting sqref="AP193:AQ194">
    <cfRule type="expression" dxfId="1716" priority="1777">
      <formula>$BC193="YES"</formula>
    </cfRule>
  </conditionalFormatting>
  <conditionalFormatting sqref="AP195:AQ196">
    <cfRule type="expression" dxfId="1715" priority="1776">
      <formula>$BC195="YES"</formula>
    </cfRule>
  </conditionalFormatting>
  <conditionalFormatting sqref="AP197:AQ198">
    <cfRule type="expression" dxfId="1714" priority="1775">
      <formula>$BC197="YES"</formula>
    </cfRule>
  </conditionalFormatting>
  <conditionalFormatting sqref="AP199:AQ200">
    <cfRule type="expression" dxfId="1713" priority="1774">
      <formula>$BC199="YES"</formula>
    </cfRule>
  </conditionalFormatting>
  <conditionalFormatting sqref="AP201:AQ202">
    <cfRule type="expression" dxfId="1712" priority="1773">
      <formula>$BC201="YES"</formula>
    </cfRule>
  </conditionalFormatting>
  <conditionalFormatting sqref="AP203:AQ204">
    <cfRule type="expression" dxfId="1711" priority="1772">
      <formula>$BC203="YES"</formula>
    </cfRule>
  </conditionalFormatting>
  <conditionalFormatting sqref="AP205:AQ206">
    <cfRule type="expression" dxfId="1710" priority="1771">
      <formula>$BC205="YES"</formula>
    </cfRule>
  </conditionalFormatting>
  <conditionalFormatting sqref="AP207:AQ208">
    <cfRule type="expression" dxfId="1709" priority="1770">
      <formula>$BC207="YES"</formula>
    </cfRule>
  </conditionalFormatting>
  <conditionalFormatting sqref="AP209:AQ210">
    <cfRule type="expression" dxfId="1708" priority="1769">
      <formula>$BC209="YES"</formula>
    </cfRule>
  </conditionalFormatting>
  <conditionalFormatting sqref="AP211:AQ212">
    <cfRule type="expression" dxfId="1707" priority="1768">
      <formula>$BC211="YES"</formula>
    </cfRule>
  </conditionalFormatting>
  <conditionalFormatting sqref="AP215:AQ216">
    <cfRule type="expression" dxfId="1706" priority="1767">
      <formula>$BC215="YES"</formula>
    </cfRule>
  </conditionalFormatting>
  <conditionalFormatting sqref="AP217:AQ218">
    <cfRule type="expression" dxfId="1705" priority="1766">
      <formula>$BC217="YES"</formula>
    </cfRule>
  </conditionalFormatting>
  <conditionalFormatting sqref="AP219:AQ220">
    <cfRule type="expression" dxfId="1704" priority="1765">
      <formula>$BC219="YES"</formula>
    </cfRule>
  </conditionalFormatting>
  <conditionalFormatting sqref="AP221:AQ222">
    <cfRule type="expression" dxfId="1703" priority="1764">
      <formula>$BC221="YES"</formula>
    </cfRule>
  </conditionalFormatting>
  <conditionalFormatting sqref="AP223:AQ224">
    <cfRule type="expression" dxfId="1702" priority="1763">
      <formula>$BC223="YES"</formula>
    </cfRule>
  </conditionalFormatting>
  <conditionalFormatting sqref="AP225:AQ226">
    <cfRule type="expression" dxfId="1701" priority="1762">
      <formula>$BC225="YES"</formula>
    </cfRule>
  </conditionalFormatting>
  <conditionalFormatting sqref="AP227:AQ228">
    <cfRule type="expression" dxfId="1700" priority="1761">
      <formula>$BC227="YES"</formula>
    </cfRule>
  </conditionalFormatting>
  <conditionalFormatting sqref="AP229:AQ230">
    <cfRule type="expression" dxfId="1699" priority="1760">
      <formula>$BC229="YES"</formula>
    </cfRule>
  </conditionalFormatting>
  <conditionalFormatting sqref="AP231:AQ232">
    <cfRule type="expression" dxfId="1698" priority="1759">
      <formula>$BC231="YES"</formula>
    </cfRule>
  </conditionalFormatting>
  <conditionalFormatting sqref="AP233:AQ234">
    <cfRule type="expression" dxfId="1697" priority="1758">
      <formula>$BC233="YES"</formula>
    </cfRule>
  </conditionalFormatting>
  <conditionalFormatting sqref="AP235:AQ236">
    <cfRule type="expression" dxfId="1696" priority="1757">
      <formula>$BC235="YES"</formula>
    </cfRule>
  </conditionalFormatting>
  <conditionalFormatting sqref="AP237:AQ238">
    <cfRule type="expression" dxfId="1695" priority="1756">
      <formula>$BC237="YES"</formula>
    </cfRule>
  </conditionalFormatting>
  <conditionalFormatting sqref="AP239:AQ240">
    <cfRule type="expression" dxfId="1694" priority="1755">
      <formula>$BC239="YES"</formula>
    </cfRule>
  </conditionalFormatting>
  <conditionalFormatting sqref="AP241:AQ242">
    <cfRule type="expression" dxfId="1693" priority="1754">
      <formula>$BC241="YES"</formula>
    </cfRule>
  </conditionalFormatting>
  <conditionalFormatting sqref="AP243:AQ244">
    <cfRule type="expression" dxfId="1692" priority="1753">
      <formula>$BC243="YES"</formula>
    </cfRule>
  </conditionalFormatting>
  <conditionalFormatting sqref="AP245:AQ246">
    <cfRule type="expression" dxfId="1691" priority="1752">
      <formula>$BC245="YES"</formula>
    </cfRule>
  </conditionalFormatting>
  <conditionalFormatting sqref="AP247:AQ248">
    <cfRule type="expression" dxfId="1690" priority="1751">
      <formula>$BC247="YES"</formula>
    </cfRule>
  </conditionalFormatting>
  <conditionalFormatting sqref="AP249:AQ250">
    <cfRule type="expression" dxfId="1689" priority="1750">
      <formula>$BC249="YES"</formula>
    </cfRule>
  </conditionalFormatting>
  <conditionalFormatting sqref="AP251:AQ252">
    <cfRule type="expression" dxfId="1688" priority="1749">
      <formula>$BC251="YES"</formula>
    </cfRule>
  </conditionalFormatting>
  <conditionalFormatting sqref="AP253:AQ254">
    <cfRule type="expression" dxfId="1687" priority="1748">
      <formula>$BC253="YES"</formula>
    </cfRule>
  </conditionalFormatting>
  <conditionalFormatting sqref="AP255:AQ256">
    <cfRule type="expression" dxfId="1686" priority="1747">
      <formula>$BC255="YES"</formula>
    </cfRule>
  </conditionalFormatting>
  <conditionalFormatting sqref="AP257:AQ258">
    <cfRule type="expression" dxfId="1685" priority="1746">
      <formula>$BC257="YES"</formula>
    </cfRule>
  </conditionalFormatting>
  <conditionalFormatting sqref="AP259:AQ260">
    <cfRule type="expression" dxfId="1684" priority="1745">
      <formula>$BC259="YES"</formula>
    </cfRule>
  </conditionalFormatting>
  <conditionalFormatting sqref="AP261:AQ262">
    <cfRule type="expression" dxfId="1683" priority="1744">
      <formula>$BC261="YES"</formula>
    </cfRule>
  </conditionalFormatting>
  <conditionalFormatting sqref="AP263:AQ264">
    <cfRule type="expression" dxfId="1682" priority="1743">
      <formula>$BC263="YES"</formula>
    </cfRule>
  </conditionalFormatting>
  <conditionalFormatting sqref="AP265:AQ266">
    <cfRule type="expression" dxfId="1681" priority="1742">
      <formula>$BC265="YES"</formula>
    </cfRule>
  </conditionalFormatting>
  <conditionalFormatting sqref="AP267:AQ268">
    <cfRule type="expression" dxfId="1680" priority="1741">
      <formula>$BC267="YES"</formula>
    </cfRule>
  </conditionalFormatting>
  <conditionalFormatting sqref="AP269:AQ270">
    <cfRule type="expression" dxfId="1679" priority="1740">
      <formula>$BC269="YES"</formula>
    </cfRule>
  </conditionalFormatting>
  <conditionalFormatting sqref="AP271:AQ272">
    <cfRule type="expression" dxfId="1678" priority="1739">
      <formula>$BC271="YES"</formula>
    </cfRule>
  </conditionalFormatting>
  <conditionalFormatting sqref="AP273:AQ274">
    <cfRule type="expression" dxfId="1677" priority="1738">
      <formula>$BC273="YES"</formula>
    </cfRule>
  </conditionalFormatting>
  <conditionalFormatting sqref="AP275:AQ276">
    <cfRule type="expression" dxfId="1676" priority="1737">
      <formula>$BC275="YES"</formula>
    </cfRule>
  </conditionalFormatting>
  <conditionalFormatting sqref="AP277:AQ278">
    <cfRule type="expression" dxfId="1675" priority="1736">
      <formula>$BC277="YES"</formula>
    </cfRule>
  </conditionalFormatting>
  <conditionalFormatting sqref="AP279:AQ280">
    <cfRule type="expression" dxfId="1674" priority="1735">
      <formula>$BC279="YES"</formula>
    </cfRule>
  </conditionalFormatting>
  <conditionalFormatting sqref="AP281:AQ282">
    <cfRule type="expression" dxfId="1673" priority="1734">
      <formula>$BC281="YES"</formula>
    </cfRule>
  </conditionalFormatting>
  <conditionalFormatting sqref="AP283:AQ284">
    <cfRule type="expression" dxfId="1672" priority="1733">
      <formula>$BC283="YES"</formula>
    </cfRule>
  </conditionalFormatting>
  <conditionalFormatting sqref="AP285:AQ286">
    <cfRule type="expression" dxfId="1671" priority="1732">
      <formula>$BC285="YES"</formula>
    </cfRule>
  </conditionalFormatting>
  <conditionalFormatting sqref="AP287:AQ288">
    <cfRule type="expression" dxfId="1670" priority="1731">
      <formula>$BC287="YES"</formula>
    </cfRule>
  </conditionalFormatting>
  <conditionalFormatting sqref="AP289:AQ290">
    <cfRule type="expression" dxfId="1669" priority="1730">
      <formula>$BC289="YES"</formula>
    </cfRule>
  </conditionalFormatting>
  <conditionalFormatting sqref="AP291:AQ292">
    <cfRule type="expression" dxfId="1668" priority="1729">
      <formula>$BC291="YES"</formula>
    </cfRule>
  </conditionalFormatting>
  <conditionalFormatting sqref="AP293:AQ294">
    <cfRule type="expression" dxfId="1667" priority="1728">
      <formula>$BC293="YES"</formula>
    </cfRule>
  </conditionalFormatting>
  <conditionalFormatting sqref="AP295:AQ296">
    <cfRule type="expression" dxfId="1666" priority="1727">
      <formula>$BC295="YES"</formula>
    </cfRule>
  </conditionalFormatting>
  <conditionalFormatting sqref="AP297:AQ298">
    <cfRule type="expression" dxfId="1665" priority="1726">
      <formula>$BC297="YES"</formula>
    </cfRule>
  </conditionalFormatting>
  <conditionalFormatting sqref="AP299:AQ300">
    <cfRule type="expression" dxfId="1664" priority="1725">
      <formula>$BC299="YES"</formula>
    </cfRule>
  </conditionalFormatting>
  <conditionalFormatting sqref="AP301:AQ302">
    <cfRule type="expression" dxfId="1663" priority="1724">
      <formula>$BC301="YES"</formula>
    </cfRule>
  </conditionalFormatting>
  <conditionalFormatting sqref="AP303:AQ304">
    <cfRule type="expression" dxfId="1662" priority="1723">
      <formula>$BC303="YES"</formula>
    </cfRule>
  </conditionalFormatting>
  <conditionalFormatting sqref="AP305:AQ306">
    <cfRule type="expression" dxfId="1661" priority="1722">
      <formula>$BC305="YES"</formula>
    </cfRule>
  </conditionalFormatting>
  <conditionalFormatting sqref="AP307:AQ308">
    <cfRule type="expression" dxfId="1660" priority="1721">
      <formula>$BC307="YES"</formula>
    </cfRule>
  </conditionalFormatting>
  <conditionalFormatting sqref="AP309:AQ310">
    <cfRule type="expression" dxfId="1659" priority="1720">
      <formula>$BC309="YES"</formula>
    </cfRule>
  </conditionalFormatting>
  <conditionalFormatting sqref="AP311:AQ312">
    <cfRule type="expression" dxfId="1658" priority="1719">
      <formula>$BC311="YES"</formula>
    </cfRule>
  </conditionalFormatting>
  <conditionalFormatting sqref="AP315:AQ316">
    <cfRule type="expression" dxfId="1657" priority="1718">
      <formula>$BC315="YES"</formula>
    </cfRule>
  </conditionalFormatting>
  <conditionalFormatting sqref="AP317:AQ318">
    <cfRule type="expression" dxfId="1656" priority="1717">
      <formula>$BC317="YES"</formula>
    </cfRule>
  </conditionalFormatting>
  <conditionalFormatting sqref="AP319:AQ320">
    <cfRule type="expression" dxfId="1655" priority="1716">
      <formula>$BC319="YES"</formula>
    </cfRule>
  </conditionalFormatting>
  <conditionalFormatting sqref="AP321:AQ322">
    <cfRule type="expression" dxfId="1654" priority="1715">
      <formula>$BC321="YES"</formula>
    </cfRule>
  </conditionalFormatting>
  <conditionalFormatting sqref="AP323:AQ324">
    <cfRule type="expression" dxfId="1653" priority="1714">
      <formula>$BC323="YES"</formula>
    </cfRule>
  </conditionalFormatting>
  <conditionalFormatting sqref="AP325:AQ326">
    <cfRule type="expression" dxfId="1652" priority="1713">
      <formula>$BC325="YES"</formula>
    </cfRule>
  </conditionalFormatting>
  <conditionalFormatting sqref="AP327:AQ328">
    <cfRule type="expression" dxfId="1651" priority="1712">
      <formula>$BC327="YES"</formula>
    </cfRule>
  </conditionalFormatting>
  <conditionalFormatting sqref="AP329:AQ330">
    <cfRule type="expression" dxfId="1650" priority="1711">
      <formula>$BC329="YES"</formula>
    </cfRule>
  </conditionalFormatting>
  <conditionalFormatting sqref="AP331:AQ332">
    <cfRule type="expression" dxfId="1649" priority="1710">
      <formula>$BC331="YES"</formula>
    </cfRule>
  </conditionalFormatting>
  <conditionalFormatting sqref="AP333:AQ334">
    <cfRule type="expression" dxfId="1648" priority="1709">
      <formula>$BC333="YES"</formula>
    </cfRule>
  </conditionalFormatting>
  <conditionalFormatting sqref="AP335:AQ336">
    <cfRule type="expression" dxfId="1647" priority="1708">
      <formula>$BC335="YES"</formula>
    </cfRule>
  </conditionalFormatting>
  <conditionalFormatting sqref="AP337:AQ338">
    <cfRule type="expression" dxfId="1646" priority="1707">
      <formula>$BC337="YES"</formula>
    </cfRule>
  </conditionalFormatting>
  <conditionalFormatting sqref="AP339:AQ340">
    <cfRule type="expression" dxfId="1645" priority="1706">
      <formula>$BC339="YES"</formula>
    </cfRule>
  </conditionalFormatting>
  <conditionalFormatting sqref="AP341:AQ342">
    <cfRule type="expression" dxfId="1644" priority="1705">
      <formula>$BC341="YES"</formula>
    </cfRule>
  </conditionalFormatting>
  <conditionalFormatting sqref="AP343:AQ344">
    <cfRule type="expression" dxfId="1643" priority="1704">
      <formula>$BC343="YES"</formula>
    </cfRule>
  </conditionalFormatting>
  <conditionalFormatting sqref="AP345:AQ346">
    <cfRule type="expression" dxfId="1642" priority="1703">
      <formula>$BC345="YES"</formula>
    </cfRule>
  </conditionalFormatting>
  <conditionalFormatting sqref="AP347:AQ348">
    <cfRule type="expression" dxfId="1641" priority="1702">
      <formula>$BC347="YES"</formula>
    </cfRule>
  </conditionalFormatting>
  <conditionalFormatting sqref="AP349:AQ350">
    <cfRule type="expression" dxfId="1640" priority="1701">
      <formula>$BC349="YES"</formula>
    </cfRule>
  </conditionalFormatting>
  <conditionalFormatting sqref="AP351:AQ352">
    <cfRule type="expression" dxfId="1639" priority="1700">
      <formula>$BC351="YES"</formula>
    </cfRule>
  </conditionalFormatting>
  <conditionalFormatting sqref="AP353:AQ354">
    <cfRule type="expression" dxfId="1638" priority="1699">
      <formula>$BC353="YES"</formula>
    </cfRule>
  </conditionalFormatting>
  <conditionalFormatting sqref="AP355:AQ356">
    <cfRule type="expression" dxfId="1637" priority="1698">
      <formula>$BC355="YES"</formula>
    </cfRule>
  </conditionalFormatting>
  <conditionalFormatting sqref="AP357:AQ358">
    <cfRule type="expression" dxfId="1636" priority="1697">
      <formula>$BC357="YES"</formula>
    </cfRule>
  </conditionalFormatting>
  <conditionalFormatting sqref="AP359:AQ360">
    <cfRule type="expression" dxfId="1635" priority="1696">
      <formula>$BC359="YES"</formula>
    </cfRule>
  </conditionalFormatting>
  <conditionalFormatting sqref="AP361:AQ362">
    <cfRule type="expression" dxfId="1634" priority="1695">
      <formula>$BC361="YES"</formula>
    </cfRule>
  </conditionalFormatting>
  <conditionalFormatting sqref="AP363:AQ364">
    <cfRule type="expression" dxfId="1633" priority="1694">
      <formula>$BC363="YES"</formula>
    </cfRule>
  </conditionalFormatting>
  <conditionalFormatting sqref="AP365:AQ366">
    <cfRule type="expression" dxfId="1632" priority="1693">
      <formula>$BC365="YES"</formula>
    </cfRule>
  </conditionalFormatting>
  <conditionalFormatting sqref="AP367:AQ368">
    <cfRule type="expression" dxfId="1631" priority="1692">
      <formula>$BC367="YES"</formula>
    </cfRule>
  </conditionalFormatting>
  <conditionalFormatting sqref="AP369:AQ370">
    <cfRule type="expression" dxfId="1630" priority="1691">
      <formula>$BC369="YES"</formula>
    </cfRule>
  </conditionalFormatting>
  <conditionalFormatting sqref="AP371:AQ372">
    <cfRule type="expression" dxfId="1629" priority="1690">
      <formula>$BC371="YES"</formula>
    </cfRule>
  </conditionalFormatting>
  <conditionalFormatting sqref="AP373:AQ374">
    <cfRule type="expression" dxfId="1628" priority="1689">
      <formula>$BC373="YES"</formula>
    </cfRule>
  </conditionalFormatting>
  <conditionalFormatting sqref="AP375:AQ376">
    <cfRule type="expression" dxfId="1627" priority="1688">
      <formula>$BC375="YES"</formula>
    </cfRule>
  </conditionalFormatting>
  <conditionalFormatting sqref="AP377:AQ378">
    <cfRule type="expression" dxfId="1626" priority="1687">
      <formula>$BC377="YES"</formula>
    </cfRule>
  </conditionalFormatting>
  <conditionalFormatting sqref="AP379:AQ380">
    <cfRule type="expression" dxfId="1625" priority="1686">
      <formula>$BC379="YES"</formula>
    </cfRule>
  </conditionalFormatting>
  <conditionalFormatting sqref="AP381:AQ382">
    <cfRule type="expression" dxfId="1624" priority="1685">
      <formula>$BC381="YES"</formula>
    </cfRule>
  </conditionalFormatting>
  <conditionalFormatting sqref="AP383:AQ384">
    <cfRule type="expression" dxfId="1623" priority="1684">
      <formula>$BC383="YES"</formula>
    </cfRule>
  </conditionalFormatting>
  <conditionalFormatting sqref="AP385:AQ386">
    <cfRule type="expression" dxfId="1622" priority="1683">
      <formula>$BC385="YES"</formula>
    </cfRule>
  </conditionalFormatting>
  <conditionalFormatting sqref="AP387:AQ388">
    <cfRule type="expression" dxfId="1621" priority="1682">
      <formula>$BC387="YES"</formula>
    </cfRule>
  </conditionalFormatting>
  <conditionalFormatting sqref="AP389:AQ390">
    <cfRule type="expression" dxfId="1620" priority="1681">
      <formula>$BC389="YES"</formula>
    </cfRule>
  </conditionalFormatting>
  <conditionalFormatting sqref="AP391:AQ392">
    <cfRule type="expression" dxfId="1619" priority="1680">
      <formula>$BC391="YES"</formula>
    </cfRule>
  </conditionalFormatting>
  <conditionalFormatting sqref="AP393:AQ394">
    <cfRule type="expression" dxfId="1618" priority="1679">
      <formula>$BC393="YES"</formula>
    </cfRule>
  </conditionalFormatting>
  <conditionalFormatting sqref="AP395:AQ396">
    <cfRule type="expression" dxfId="1617" priority="1678">
      <formula>$BC395="YES"</formula>
    </cfRule>
  </conditionalFormatting>
  <conditionalFormatting sqref="AP397:AQ398">
    <cfRule type="expression" dxfId="1616" priority="1677">
      <formula>$BC397="YES"</formula>
    </cfRule>
  </conditionalFormatting>
  <conditionalFormatting sqref="AP399:AQ400">
    <cfRule type="expression" dxfId="1615" priority="1676">
      <formula>$BC399="YES"</formula>
    </cfRule>
  </conditionalFormatting>
  <conditionalFormatting sqref="AP401:AQ402">
    <cfRule type="expression" dxfId="1614" priority="1675">
      <formula>$BC401="YES"</formula>
    </cfRule>
  </conditionalFormatting>
  <conditionalFormatting sqref="AP403:AQ404">
    <cfRule type="expression" dxfId="1613" priority="1674">
      <formula>$BC403="YES"</formula>
    </cfRule>
  </conditionalFormatting>
  <conditionalFormatting sqref="AP405:AQ406">
    <cfRule type="expression" dxfId="1612" priority="1673">
      <formula>$BC405="YES"</formula>
    </cfRule>
  </conditionalFormatting>
  <conditionalFormatting sqref="AP407:AQ408">
    <cfRule type="expression" dxfId="1611" priority="1672">
      <formula>$BC407="YES"</formula>
    </cfRule>
  </conditionalFormatting>
  <conditionalFormatting sqref="AP409:AQ410">
    <cfRule type="expression" dxfId="1610" priority="1671">
      <formula>$BC409="YES"</formula>
    </cfRule>
  </conditionalFormatting>
  <conditionalFormatting sqref="AP411:AQ412">
    <cfRule type="expression" dxfId="1609" priority="1670">
      <formula>$BC411="YES"</formula>
    </cfRule>
  </conditionalFormatting>
  <conditionalFormatting sqref="AP415:AQ416">
    <cfRule type="expression" dxfId="1608" priority="1669">
      <formula>$BC415="YES"</formula>
    </cfRule>
  </conditionalFormatting>
  <conditionalFormatting sqref="AP417:AQ418">
    <cfRule type="expression" dxfId="1607" priority="1668">
      <formula>$BC417="YES"</formula>
    </cfRule>
  </conditionalFormatting>
  <conditionalFormatting sqref="AP419:AQ420">
    <cfRule type="expression" dxfId="1606" priority="1667">
      <formula>$BC419="YES"</formula>
    </cfRule>
  </conditionalFormatting>
  <conditionalFormatting sqref="AP421:AQ422">
    <cfRule type="expression" dxfId="1605" priority="1666">
      <formula>$BC421="YES"</formula>
    </cfRule>
  </conditionalFormatting>
  <conditionalFormatting sqref="AP423:AQ424">
    <cfRule type="expression" dxfId="1604" priority="1665">
      <formula>$BC423="YES"</formula>
    </cfRule>
  </conditionalFormatting>
  <conditionalFormatting sqref="AP425:AQ426">
    <cfRule type="expression" dxfId="1603" priority="1664">
      <formula>$BC425="YES"</formula>
    </cfRule>
  </conditionalFormatting>
  <conditionalFormatting sqref="AP427:AQ428">
    <cfRule type="expression" dxfId="1602" priority="1663">
      <formula>$BC427="YES"</formula>
    </cfRule>
  </conditionalFormatting>
  <conditionalFormatting sqref="AP429:AQ430">
    <cfRule type="expression" dxfId="1601" priority="1662">
      <formula>$BC429="YES"</formula>
    </cfRule>
  </conditionalFormatting>
  <conditionalFormatting sqref="AP431:AQ432">
    <cfRule type="expression" dxfId="1600" priority="1661">
      <formula>$BC431="YES"</formula>
    </cfRule>
  </conditionalFormatting>
  <conditionalFormatting sqref="AP433:AQ434">
    <cfRule type="expression" dxfId="1599" priority="1660">
      <formula>$BC433="YES"</formula>
    </cfRule>
  </conditionalFormatting>
  <conditionalFormatting sqref="AP435:AQ436">
    <cfRule type="expression" dxfId="1598" priority="1659">
      <formula>$BC435="YES"</formula>
    </cfRule>
  </conditionalFormatting>
  <conditionalFormatting sqref="AP437:AQ438">
    <cfRule type="expression" dxfId="1597" priority="1658">
      <formula>$BC437="YES"</formula>
    </cfRule>
  </conditionalFormatting>
  <conditionalFormatting sqref="AP439:AQ440">
    <cfRule type="expression" dxfId="1596" priority="1657">
      <formula>$BC439="YES"</formula>
    </cfRule>
  </conditionalFormatting>
  <conditionalFormatting sqref="AP441:AQ442">
    <cfRule type="expression" dxfId="1595" priority="1656">
      <formula>$BC441="YES"</formula>
    </cfRule>
  </conditionalFormatting>
  <conditionalFormatting sqref="AP443:AQ444">
    <cfRule type="expression" dxfId="1594" priority="1655">
      <formula>$BC443="YES"</formula>
    </cfRule>
  </conditionalFormatting>
  <conditionalFormatting sqref="AP445:AQ446">
    <cfRule type="expression" dxfId="1593" priority="1654">
      <formula>$BC445="YES"</formula>
    </cfRule>
  </conditionalFormatting>
  <conditionalFormatting sqref="AP447:AQ448">
    <cfRule type="expression" dxfId="1592" priority="1653">
      <formula>$BC447="YES"</formula>
    </cfRule>
  </conditionalFormatting>
  <conditionalFormatting sqref="AP449:AQ450">
    <cfRule type="expression" dxfId="1591" priority="1652">
      <formula>$BC449="YES"</formula>
    </cfRule>
  </conditionalFormatting>
  <conditionalFormatting sqref="AP451:AQ452">
    <cfRule type="expression" dxfId="1590" priority="1651">
      <formula>$BC451="YES"</formula>
    </cfRule>
  </conditionalFormatting>
  <conditionalFormatting sqref="AP453:AQ454">
    <cfRule type="expression" dxfId="1589" priority="1650">
      <formula>$BC453="YES"</formula>
    </cfRule>
  </conditionalFormatting>
  <conditionalFormatting sqref="AP455:AQ456">
    <cfRule type="expression" dxfId="1588" priority="1649">
      <formula>$BC455="YES"</formula>
    </cfRule>
  </conditionalFormatting>
  <conditionalFormatting sqref="AP457:AQ458">
    <cfRule type="expression" dxfId="1587" priority="1648">
      <formula>$BC457="YES"</formula>
    </cfRule>
  </conditionalFormatting>
  <conditionalFormatting sqref="AP459:AQ460">
    <cfRule type="expression" dxfId="1586" priority="1647">
      <formula>$BC459="YES"</formula>
    </cfRule>
  </conditionalFormatting>
  <conditionalFormatting sqref="AP461:AQ462">
    <cfRule type="expression" dxfId="1585" priority="1646">
      <formula>$BC461="YES"</formula>
    </cfRule>
  </conditionalFormatting>
  <conditionalFormatting sqref="AP463:AQ464">
    <cfRule type="expression" dxfId="1584" priority="1645">
      <formula>$BC463="YES"</formula>
    </cfRule>
  </conditionalFormatting>
  <conditionalFormatting sqref="AP465:AQ466">
    <cfRule type="expression" dxfId="1583" priority="1644">
      <formula>$BC465="YES"</formula>
    </cfRule>
  </conditionalFormatting>
  <conditionalFormatting sqref="AP467:AQ468">
    <cfRule type="expression" dxfId="1582" priority="1643">
      <formula>$BC467="YES"</formula>
    </cfRule>
  </conditionalFormatting>
  <conditionalFormatting sqref="AP469:AQ470">
    <cfRule type="expression" dxfId="1581" priority="1642">
      <formula>$BC469="YES"</formula>
    </cfRule>
  </conditionalFormatting>
  <conditionalFormatting sqref="AP471:AQ472">
    <cfRule type="expression" dxfId="1580" priority="1641">
      <formula>$BC471="YES"</formula>
    </cfRule>
  </conditionalFormatting>
  <conditionalFormatting sqref="AP473:AQ474">
    <cfRule type="expression" dxfId="1579" priority="1640">
      <formula>$BC473="YES"</formula>
    </cfRule>
  </conditionalFormatting>
  <conditionalFormatting sqref="AP475:AQ476">
    <cfRule type="expression" dxfId="1578" priority="1639">
      <formula>$BC475="YES"</formula>
    </cfRule>
  </conditionalFormatting>
  <conditionalFormatting sqref="AP477:AQ478">
    <cfRule type="expression" dxfId="1577" priority="1638">
      <formula>$BC477="YES"</formula>
    </cfRule>
  </conditionalFormatting>
  <conditionalFormatting sqref="AP479:AQ480">
    <cfRule type="expression" dxfId="1576" priority="1637">
      <formula>$BC479="YES"</formula>
    </cfRule>
  </conditionalFormatting>
  <conditionalFormatting sqref="AP481:AQ482">
    <cfRule type="expression" dxfId="1575" priority="1636">
      <formula>$BC481="YES"</formula>
    </cfRule>
  </conditionalFormatting>
  <conditionalFormatting sqref="AP483:AQ484">
    <cfRule type="expression" dxfId="1574" priority="1635">
      <formula>$BC483="YES"</formula>
    </cfRule>
  </conditionalFormatting>
  <conditionalFormatting sqref="AP485:AQ486">
    <cfRule type="expression" dxfId="1573" priority="1634">
      <formula>$BC485="YES"</formula>
    </cfRule>
  </conditionalFormatting>
  <conditionalFormatting sqref="AP487:AQ488">
    <cfRule type="expression" dxfId="1572" priority="1633">
      <formula>$BC487="YES"</formula>
    </cfRule>
  </conditionalFormatting>
  <conditionalFormatting sqref="AP489:AQ490">
    <cfRule type="expression" dxfId="1571" priority="1632">
      <formula>$BC489="YES"</formula>
    </cfRule>
  </conditionalFormatting>
  <conditionalFormatting sqref="AP491:AQ492">
    <cfRule type="expression" dxfId="1570" priority="1631">
      <formula>$BC491="YES"</formula>
    </cfRule>
  </conditionalFormatting>
  <conditionalFormatting sqref="AP493:AQ494">
    <cfRule type="expression" dxfId="1569" priority="1630">
      <formula>$BC493="YES"</formula>
    </cfRule>
  </conditionalFormatting>
  <conditionalFormatting sqref="AP495:AQ496">
    <cfRule type="expression" dxfId="1568" priority="1629">
      <formula>$BC495="YES"</formula>
    </cfRule>
  </conditionalFormatting>
  <conditionalFormatting sqref="AP497:AQ498">
    <cfRule type="expression" dxfId="1567" priority="1628">
      <formula>$BC497="YES"</formula>
    </cfRule>
  </conditionalFormatting>
  <conditionalFormatting sqref="AP499:AQ500">
    <cfRule type="expression" dxfId="1566" priority="1627">
      <formula>$BC499="YES"</formula>
    </cfRule>
  </conditionalFormatting>
  <conditionalFormatting sqref="AP501:AQ502">
    <cfRule type="expression" dxfId="1565" priority="1626">
      <formula>$BC501="YES"</formula>
    </cfRule>
  </conditionalFormatting>
  <conditionalFormatting sqref="AP503:AQ504">
    <cfRule type="expression" dxfId="1564" priority="1625">
      <formula>$BC503="YES"</formula>
    </cfRule>
  </conditionalFormatting>
  <conditionalFormatting sqref="AP505:AQ506">
    <cfRule type="expression" dxfId="1563" priority="1624">
      <formula>$BC505="YES"</formula>
    </cfRule>
  </conditionalFormatting>
  <conditionalFormatting sqref="AP507:AQ508">
    <cfRule type="expression" dxfId="1562" priority="1623">
      <formula>$BC507="YES"</formula>
    </cfRule>
  </conditionalFormatting>
  <conditionalFormatting sqref="AP509:AQ510">
    <cfRule type="expression" dxfId="1561" priority="1622">
      <formula>$BC509="YES"</formula>
    </cfRule>
  </conditionalFormatting>
  <conditionalFormatting sqref="AP511:AQ512">
    <cfRule type="expression" dxfId="1560" priority="1621">
      <formula>$BC511="YES"</formula>
    </cfRule>
  </conditionalFormatting>
  <conditionalFormatting sqref="AP515:AQ516">
    <cfRule type="expression" dxfId="1559" priority="1620">
      <formula>$BC515="YES"</formula>
    </cfRule>
  </conditionalFormatting>
  <conditionalFormatting sqref="AP517:AQ518">
    <cfRule type="expression" dxfId="1558" priority="1619">
      <formula>$BC517="YES"</formula>
    </cfRule>
  </conditionalFormatting>
  <conditionalFormatting sqref="AP519:AQ520">
    <cfRule type="expression" dxfId="1557" priority="1618">
      <formula>$BC519="YES"</formula>
    </cfRule>
  </conditionalFormatting>
  <conditionalFormatting sqref="AP521:AQ522">
    <cfRule type="expression" dxfId="1556" priority="1617">
      <formula>$BC521="YES"</formula>
    </cfRule>
  </conditionalFormatting>
  <conditionalFormatting sqref="AP523:AQ524">
    <cfRule type="expression" dxfId="1555" priority="1616">
      <formula>$BC523="YES"</formula>
    </cfRule>
  </conditionalFormatting>
  <conditionalFormatting sqref="AP525:AQ526">
    <cfRule type="expression" dxfId="1554" priority="1615">
      <formula>$BC525="YES"</formula>
    </cfRule>
  </conditionalFormatting>
  <conditionalFormatting sqref="AP527:AQ528">
    <cfRule type="expression" dxfId="1553" priority="1614">
      <formula>$BC527="YES"</formula>
    </cfRule>
  </conditionalFormatting>
  <conditionalFormatting sqref="AP529:AQ530">
    <cfRule type="expression" dxfId="1552" priority="1613">
      <formula>$BC529="YES"</formula>
    </cfRule>
  </conditionalFormatting>
  <conditionalFormatting sqref="AP531:AQ532">
    <cfRule type="expression" dxfId="1551" priority="1612">
      <formula>$BC531="YES"</formula>
    </cfRule>
  </conditionalFormatting>
  <conditionalFormatting sqref="AP533:AQ534">
    <cfRule type="expression" dxfId="1550" priority="1611">
      <formula>$BC533="YES"</formula>
    </cfRule>
  </conditionalFormatting>
  <conditionalFormatting sqref="AP535:AQ536">
    <cfRule type="expression" dxfId="1549" priority="1610">
      <formula>$BC535="YES"</formula>
    </cfRule>
  </conditionalFormatting>
  <conditionalFormatting sqref="AP537:AQ538">
    <cfRule type="expression" dxfId="1548" priority="1609">
      <formula>$BC537="YES"</formula>
    </cfRule>
  </conditionalFormatting>
  <conditionalFormatting sqref="AP539:AQ540">
    <cfRule type="expression" dxfId="1547" priority="1608">
      <formula>$BC539="YES"</formula>
    </cfRule>
  </conditionalFormatting>
  <conditionalFormatting sqref="AP541:AQ542">
    <cfRule type="expression" dxfId="1546" priority="1607">
      <formula>$BC541="YES"</formula>
    </cfRule>
  </conditionalFormatting>
  <conditionalFormatting sqref="AP543:AQ544">
    <cfRule type="expression" dxfId="1545" priority="1606">
      <formula>$BC543="YES"</formula>
    </cfRule>
  </conditionalFormatting>
  <conditionalFormatting sqref="AP545:AQ546">
    <cfRule type="expression" dxfId="1544" priority="1605">
      <formula>$BC545="YES"</formula>
    </cfRule>
  </conditionalFormatting>
  <conditionalFormatting sqref="AP547:AQ548">
    <cfRule type="expression" dxfId="1543" priority="1604">
      <formula>$BC547="YES"</formula>
    </cfRule>
  </conditionalFormatting>
  <conditionalFormatting sqref="AP549:AQ550">
    <cfRule type="expression" dxfId="1542" priority="1603">
      <formula>$BC549="YES"</formula>
    </cfRule>
  </conditionalFormatting>
  <conditionalFormatting sqref="AP551:AQ552">
    <cfRule type="expression" dxfId="1541" priority="1602">
      <formula>$BC551="YES"</formula>
    </cfRule>
  </conditionalFormatting>
  <conditionalFormatting sqref="AP553:AQ554">
    <cfRule type="expression" dxfId="1540" priority="1601">
      <formula>$BC553="YES"</formula>
    </cfRule>
  </conditionalFormatting>
  <conditionalFormatting sqref="AP555:AQ556">
    <cfRule type="expression" dxfId="1539" priority="1600">
      <formula>$BC555="YES"</formula>
    </cfRule>
  </conditionalFormatting>
  <conditionalFormatting sqref="AP557:AQ558">
    <cfRule type="expression" dxfId="1538" priority="1599">
      <formula>$BC557="YES"</formula>
    </cfRule>
  </conditionalFormatting>
  <conditionalFormatting sqref="AP559:AQ560">
    <cfRule type="expression" dxfId="1537" priority="1598">
      <formula>$BC559="YES"</formula>
    </cfRule>
  </conditionalFormatting>
  <conditionalFormatting sqref="AP561:AQ562">
    <cfRule type="expression" dxfId="1536" priority="1597">
      <formula>$BC561="YES"</formula>
    </cfRule>
  </conditionalFormatting>
  <conditionalFormatting sqref="AP563:AQ564">
    <cfRule type="expression" dxfId="1535" priority="1596">
      <formula>$BC563="YES"</formula>
    </cfRule>
  </conditionalFormatting>
  <conditionalFormatting sqref="AP565:AQ566">
    <cfRule type="expression" dxfId="1534" priority="1595">
      <formula>$BC565="YES"</formula>
    </cfRule>
  </conditionalFormatting>
  <conditionalFormatting sqref="AP567:AQ568">
    <cfRule type="expression" dxfId="1533" priority="1594">
      <formula>$BC567="YES"</formula>
    </cfRule>
  </conditionalFormatting>
  <conditionalFormatting sqref="AP569:AQ570">
    <cfRule type="expression" dxfId="1532" priority="1593">
      <formula>$BC569="YES"</formula>
    </cfRule>
  </conditionalFormatting>
  <conditionalFormatting sqref="AP571:AQ572">
    <cfRule type="expression" dxfId="1531" priority="1592">
      <formula>$BC571="YES"</formula>
    </cfRule>
  </conditionalFormatting>
  <conditionalFormatting sqref="AP573:AQ574">
    <cfRule type="expression" dxfId="1530" priority="1591">
      <formula>$BC573="YES"</formula>
    </cfRule>
  </conditionalFormatting>
  <conditionalFormatting sqref="AP575:AQ576">
    <cfRule type="expression" dxfId="1529" priority="1590">
      <formula>$BC575="YES"</formula>
    </cfRule>
  </conditionalFormatting>
  <conditionalFormatting sqref="AP577:AQ578">
    <cfRule type="expression" dxfId="1528" priority="1589">
      <formula>$BC577="YES"</formula>
    </cfRule>
  </conditionalFormatting>
  <conditionalFormatting sqref="AP579:AQ580">
    <cfRule type="expression" dxfId="1527" priority="1588">
      <formula>$BC579="YES"</formula>
    </cfRule>
  </conditionalFormatting>
  <conditionalFormatting sqref="AP581:AQ582">
    <cfRule type="expression" dxfId="1526" priority="1587">
      <formula>$BC581="YES"</formula>
    </cfRule>
  </conditionalFormatting>
  <conditionalFormatting sqref="AP583:AQ584">
    <cfRule type="expression" dxfId="1525" priority="1586">
      <formula>$BC583="YES"</formula>
    </cfRule>
  </conditionalFormatting>
  <conditionalFormatting sqref="AP585:AQ586">
    <cfRule type="expression" dxfId="1524" priority="1585">
      <formula>$BC585="YES"</formula>
    </cfRule>
  </conditionalFormatting>
  <conditionalFormatting sqref="AP587:AQ588">
    <cfRule type="expression" dxfId="1523" priority="1584">
      <formula>$BC587="YES"</formula>
    </cfRule>
  </conditionalFormatting>
  <conditionalFormatting sqref="AP589:AQ590">
    <cfRule type="expression" dxfId="1522" priority="1583">
      <formula>$BC589="YES"</formula>
    </cfRule>
  </conditionalFormatting>
  <conditionalFormatting sqref="AP591:AQ592">
    <cfRule type="expression" dxfId="1521" priority="1582">
      <formula>$BC591="YES"</formula>
    </cfRule>
  </conditionalFormatting>
  <conditionalFormatting sqref="AP593:AQ594">
    <cfRule type="expression" dxfId="1520" priority="1581">
      <formula>$BC593="YES"</formula>
    </cfRule>
  </conditionalFormatting>
  <conditionalFormatting sqref="AP595:AQ596">
    <cfRule type="expression" dxfId="1519" priority="1580">
      <formula>$BC595="YES"</formula>
    </cfRule>
  </conditionalFormatting>
  <conditionalFormatting sqref="AP597:AQ598">
    <cfRule type="expression" dxfId="1518" priority="1579">
      <formula>$BC597="YES"</formula>
    </cfRule>
  </conditionalFormatting>
  <conditionalFormatting sqref="AP599:AQ600">
    <cfRule type="expression" dxfId="1517" priority="1578">
      <formula>$BC599="YES"</formula>
    </cfRule>
  </conditionalFormatting>
  <conditionalFormatting sqref="AP601:AQ602">
    <cfRule type="expression" dxfId="1516" priority="1577">
      <formula>$BC601="YES"</formula>
    </cfRule>
  </conditionalFormatting>
  <conditionalFormatting sqref="AP603:AQ604">
    <cfRule type="expression" dxfId="1515" priority="1576">
      <formula>$BC603="YES"</formula>
    </cfRule>
  </conditionalFormatting>
  <conditionalFormatting sqref="AP605:AQ606">
    <cfRule type="expression" dxfId="1514" priority="1575">
      <formula>$BC605="YES"</formula>
    </cfRule>
  </conditionalFormatting>
  <conditionalFormatting sqref="AP607:AQ608">
    <cfRule type="expression" dxfId="1513" priority="1574">
      <formula>$BC607="YES"</formula>
    </cfRule>
  </conditionalFormatting>
  <conditionalFormatting sqref="AP609:AQ610">
    <cfRule type="expression" dxfId="1512" priority="1573">
      <formula>$BC609="YES"</formula>
    </cfRule>
  </conditionalFormatting>
  <conditionalFormatting sqref="AP611:AQ612">
    <cfRule type="expression" dxfId="1511" priority="1572">
      <formula>$BC611="YES"</formula>
    </cfRule>
  </conditionalFormatting>
  <conditionalFormatting sqref="AR115:AS118">
    <cfRule type="expression" dxfId="1510" priority="1571">
      <formula>$BC115="YES"</formula>
    </cfRule>
  </conditionalFormatting>
  <conditionalFormatting sqref="AR119:AS122">
    <cfRule type="expression" dxfId="1509" priority="1570">
      <formula>$BC119="YES"</formula>
    </cfRule>
  </conditionalFormatting>
  <conditionalFormatting sqref="AR123:AS124">
    <cfRule type="expression" dxfId="1508" priority="1569">
      <formula>$BC123="YES"</formula>
    </cfRule>
  </conditionalFormatting>
  <conditionalFormatting sqref="AR125:AS128">
    <cfRule type="expression" dxfId="1507" priority="1568">
      <formula>$BC125="YES"</formula>
    </cfRule>
  </conditionalFormatting>
  <conditionalFormatting sqref="AR129:AS132">
    <cfRule type="expression" dxfId="1506" priority="1567">
      <formula>$BC129="YES"</formula>
    </cfRule>
  </conditionalFormatting>
  <conditionalFormatting sqref="AR133:AS134">
    <cfRule type="expression" dxfId="1505" priority="1566">
      <formula>$BC133="YES"</formula>
    </cfRule>
  </conditionalFormatting>
  <conditionalFormatting sqref="AR135:AS138">
    <cfRule type="expression" dxfId="1504" priority="1565">
      <formula>$BC135="YES"</formula>
    </cfRule>
  </conditionalFormatting>
  <conditionalFormatting sqref="AR139:AS142">
    <cfRule type="expression" dxfId="1503" priority="1564">
      <formula>$BC139="YES"</formula>
    </cfRule>
  </conditionalFormatting>
  <conditionalFormatting sqref="AR143:AS144">
    <cfRule type="expression" dxfId="1502" priority="1563">
      <formula>$BC143="YES"</formula>
    </cfRule>
  </conditionalFormatting>
  <conditionalFormatting sqref="AR145:AS148">
    <cfRule type="expression" dxfId="1501" priority="1562">
      <formula>$BC145="YES"</formula>
    </cfRule>
  </conditionalFormatting>
  <conditionalFormatting sqref="AR149:AS152">
    <cfRule type="expression" dxfId="1500" priority="1561">
      <formula>$BC149="YES"</formula>
    </cfRule>
  </conditionalFormatting>
  <conditionalFormatting sqref="AR153:AS154">
    <cfRule type="expression" dxfId="1499" priority="1560">
      <formula>$BC153="YES"</formula>
    </cfRule>
  </conditionalFormatting>
  <conditionalFormatting sqref="AR155:AS158">
    <cfRule type="expression" dxfId="1498" priority="1559">
      <formula>$BC155="YES"</formula>
    </cfRule>
  </conditionalFormatting>
  <conditionalFormatting sqref="AR159:AS162">
    <cfRule type="expression" dxfId="1497" priority="1558">
      <formula>$BC159="YES"</formula>
    </cfRule>
  </conditionalFormatting>
  <conditionalFormatting sqref="AR163:AS164">
    <cfRule type="expression" dxfId="1496" priority="1557">
      <formula>$BC163="YES"</formula>
    </cfRule>
  </conditionalFormatting>
  <conditionalFormatting sqref="AR165:AS168">
    <cfRule type="expression" dxfId="1495" priority="1556">
      <formula>$BC165="YES"</formula>
    </cfRule>
  </conditionalFormatting>
  <conditionalFormatting sqref="AR169:AS172">
    <cfRule type="expression" dxfId="1494" priority="1555">
      <formula>$BC169="YES"</formula>
    </cfRule>
  </conditionalFormatting>
  <conditionalFormatting sqref="AR173:AS174">
    <cfRule type="expression" dxfId="1493" priority="1554">
      <formula>$BC173="YES"</formula>
    </cfRule>
  </conditionalFormatting>
  <conditionalFormatting sqref="AR175:AS178">
    <cfRule type="expression" dxfId="1492" priority="1553">
      <formula>$BC175="YES"</formula>
    </cfRule>
  </conditionalFormatting>
  <conditionalFormatting sqref="AR179:AS182">
    <cfRule type="expression" dxfId="1491" priority="1552">
      <formula>$BC179="YES"</formula>
    </cfRule>
  </conditionalFormatting>
  <conditionalFormatting sqref="AR183:AS184">
    <cfRule type="expression" dxfId="1490" priority="1551">
      <formula>$BC183="YES"</formula>
    </cfRule>
  </conditionalFormatting>
  <conditionalFormatting sqref="AR185:AS188">
    <cfRule type="expression" dxfId="1489" priority="1550">
      <formula>$BC185="YES"</formula>
    </cfRule>
  </conditionalFormatting>
  <conditionalFormatting sqref="AR189:AS192">
    <cfRule type="expression" dxfId="1488" priority="1549">
      <formula>$BC189="YES"</formula>
    </cfRule>
  </conditionalFormatting>
  <conditionalFormatting sqref="AR193:AS194">
    <cfRule type="expression" dxfId="1487" priority="1548">
      <formula>$BC193="YES"</formula>
    </cfRule>
  </conditionalFormatting>
  <conditionalFormatting sqref="AR195:AS198">
    <cfRule type="expression" dxfId="1486" priority="1547">
      <formula>$BC195="YES"</formula>
    </cfRule>
  </conditionalFormatting>
  <conditionalFormatting sqref="AR199:AS202">
    <cfRule type="expression" dxfId="1485" priority="1546">
      <formula>$BC199="YES"</formula>
    </cfRule>
  </conditionalFormatting>
  <conditionalFormatting sqref="AR203:AS204">
    <cfRule type="expression" dxfId="1484" priority="1545">
      <formula>$BC203="YES"</formula>
    </cfRule>
  </conditionalFormatting>
  <conditionalFormatting sqref="AR205:AS208">
    <cfRule type="expression" dxfId="1483" priority="1544">
      <formula>$BC205="YES"</formula>
    </cfRule>
  </conditionalFormatting>
  <conditionalFormatting sqref="AR209:AS212">
    <cfRule type="expression" dxfId="1482" priority="1543">
      <formula>$BC209="YES"</formula>
    </cfRule>
  </conditionalFormatting>
  <conditionalFormatting sqref="AR213:AS214">
    <cfRule type="expression" dxfId="1481" priority="1542">
      <formula>$BC213="YES"</formula>
    </cfRule>
  </conditionalFormatting>
  <conditionalFormatting sqref="AR215:AS218">
    <cfRule type="expression" dxfId="1480" priority="1541">
      <formula>$BC215="YES"</formula>
    </cfRule>
  </conditionalFormatting>
  <conditionalFormatting sqref="AR219:AS222">
    <cfRule type="expression" dxfId="1479" priority="1540">
      <formula>$BC219="YES"</formula>
    </cfRule>
  </conditionalFormatting>
  <conditionalFormatting sqref="AR223:AS224">
    <cfRule type="expression" dxfId="1478" priority="1539">
      <formula>$BC223="YES"</formula>
    </cfRule>
  </conditionalFormatting>
  <conditionalFormatting sqref="AR225:AS228">
    <cfRule type="expression" dxfId="1477" priority="1538">
      <formula>$BC225="YES"</formula>
    </cfRule>
  </conditionalFormatting>
  <conditionalFormatting sqref="AR229:AS232">
    <cfRule type="expression" dxfId="1476" priority="1537">
      <formula>$BC229="YES"</formula>
    </cfRule>
  </conditionalFormatting>
  <conditionalFormatting sqref="AR233:AS234">
    <cfRule type="expression" dxfId="1475" priority="1536">
      <formula>$BC233="YES"</formula>
    </cfRule>
  </conditionalFormatting>
  <conditionalFormatting sqref="AR235:AS238">
    <cfRule type="expression" dxfId="1474" priority="1535">
      <formula>$BC235="YES"</formula>
    </cfRule>
  </conditionalFormatting>
  <conditionalFormatting sqref="AR239:AS242">
    <cfRule type="expression" dxfId="1473" priority="1534">
      <formula>$BC239="YES"</formula>
    </cfRule>
  </conditionalFormatting>
  <conditionalFormatting sqref="AR243:AS244">
    <cfRule type="expression" dxfId="1472" priority="1533">
      <formula>$BC243="YES"</formula>
    </cfRule>
  </conditionalFormatting>
  <conditionalFormatting sqref="AR245:AS248">
    <cfRule type="expression" dxfId="1471" priority="1532">
      <formula>$BC245="YES"</formula>
    </cfRule>
  </conditionalFormatting>
  <conditionalFormatting sqref="AR249:AS252">
    <cfRule type="expression" dxfId="1470" priority="1531">
      <formula>$BC249="YES"</formula>
    </cfRule>
  </conditionalFormatting>
  <conditionalFormatting sqref="AR253:AS254">
    <cfRule type="expression" dxfId="1469" priority="1530">
      <formula>$BC253="YES"</formula>
    </cfRule>
  </conditionalFormatting>
  <conditionalFormatting sqref="AR255:AS258">
    <cfRule type="expression" dxfId="1468" priority="1529">
      <formula>$BC255="YES"</formula>
    </cfRule>
  </conditionalFormatting>
  <conditionalFormatting sqref="AR259:AS262">
    <cfRule type="expression" dxfId="1467" priority="1528">
      <formula>$BC259="YES"</formula>
    </cfRule>
  </conditionalFormatting>
  <conditionalFormatting sqref="AR263:AS264">
    <cfRule type="expression" dxfId="1466" priority="1527">
      <formula>$BC263="YES"</formula>
    </cfRule>
  </conditionalFormatting>
  <conditionalFormatting sqref="AR265:AS268">
    <cfRule type="expression" dxfId="1465" priority="1526">
      <formula>$BC265="YES"</formula>
    </cfRule>
  </conditionalFormatting>
  <conditionalFormatting sqref="AR269:AS272">
    <cfRule type="expression" dxfId="1464" priority="1525">
      <formula>$BC269="YES"</formula>
    </cfRule>
  </conditionalFormatting>
  <conditionalFormatting sqref="AR273:AS274">
    <cfRule type="expression" dxfId="1463" priority="1524">
      <formula>$BC273="YES"</formula>
    </cfRule>
  </conditionalFormatting>
  <conditionalFormatting sqref="AR275:AS278">
    <cfRule type="expression" dxfId="1462" priority="1523">
      <formula>$BC275="YES"</formula>
    </cfRule>
  </conditionalFormatting>
  <conditionalFormatting sqref="AR279:AS282">
    <cfRule type="expression" dxfId="1461" priority="1522">
      <formula>$BC279="YES"</formula>
    </cfRule>
  </conditionalFormatting>
  <conditionalFormatting sqref="AR283:AS284">
    <cfRule type="expression" dxfId="1460" priority="1521">
      <formula>$BC283="YES"</formula>
    </cfRule>
  </conditionalFormatting>
  <conditionalFormatting sqref="AR285:AS288">
    <cfRule type="expression" dxfId="1459" priority="1520">
      <formula>$BC285="YES"</formula>
    </cfRule>
  </conditionalFormatting>
  <conditionalFormatting sqref="AR289:AS292">
    <cfRule type="expression" dxfId="1458" priority="1519">
      <formula>$BC289="YES"</formula>
    </cfRule>
  </conditionalFormatting>
  <conditionalFormatting sqref="AR293:AS294">
    <cfRule type="expression" dxfId="1457" priority="1518">
      <formula>$BC293="YES"</formula>
    </cfRule>
  </conditionalFormatting>
  <conditionalFormatting sqref="AR295:AS298">
    <cfRule type="expression" dxfId="1456" priority="1517">
      <formula>$BC295="YES"</formula>
    </cfRule>
  </conditionalFormatting>
  <conditionalFormatting sqref="AR299:AS302">
    <cfRule type="expression" dxfId="1455" priority="1516">
      <formula>$BC299="YES"</formula>
    </cfRule>
  </conditionalFormatting>
  <conditionalFormatting sqref="AR303:AS304">
    <cfRule type="expression" dxfId="1454" priority="1515">
      <formula>$BC303="YES"</formula>
    </cfRule>
  </conditionalFormatting>
  <conditionalFormatting sqref="AR305:AS308">
    <cfRule type="expression" dxfId="1453" priority="1514">
      <formula>$BC305="YES"</formula>
    </cfRule>
  </conditionalFormatting>
  <conditionalFormatting sqref="AR309:AS312">
    <cfRule type="expression" dxfId="1452" priority="1513">
      <formula>$BC309="YES"</formula>
    </cfRule>
  </conditionalFormatting>
  <conditionalFormatting sqref="AR313:AS314">
    <cfRule type="expression" dxfId="1451" priority="1512">
      <formula>$BC313="YES"</formula>
    </cfRule>
  </conditionalFormatting>
  <conditionalFormatting sqref="AR315:AS318">
    <cfRule type="expression" dxfId="1450" priority="1511">
      <formula>$BC315="YES"</formula>
    </cfRule>
  </conditionalFormatting>
  <conditionalFormatting sqref="AR319:AS322">
    <cfRule type="expression" dxfId="1449" priority="1510">
      <formula>$BC319="YES"</formula>
    </cfRule>
  </conditionalFormatting>
  <conditionalFormatting sqref="AR323:AS324">
    <cfRule type="expression" dxfId="1448" priority="1509">
      <formula>$BC323="YES"</formula>
    </cfRule>
  </conditionalFormatting>
  <conditionalFormatting sqref="AR325:AS328">
    <cfRule type="expression" dxfId="1447" priority="1508">
      <formula>$BC325="YES"</formula>
    </cfRule>
  </conditionalFormatting>
  <conditionalFormatting sqref="AR329:AS332">
    <cfRule type="expression" dxfId="1446" priority="1507">
      <formula>$BC329="YES"</formula>
    </cfRule>
  </conditionalFormatting>
  <conditionalFormatting sqref="AR333:AS334">
    <cfRule type="expression" dxfId="1445" priority="1506">
      <formula>$BC333="YES"</formula>
    </cfRule>
  </conditionalFormatting>
  <conditionalFormatting sqref="AR335:AS338">
    <cfRule type="expression" dxfId="1444" priority="1505">
      <formula>$BC335="YES"</formula>
    </cfRule>
  </conditionalFormatting>
  <conditionalFormatting sqref="AR339:AS342">
    <cfRule type="expression" dxfId="1443" priority="1504">
      <formula>$BC339="YES"</formula>
    </cfRule>
  </conditionalFormatting>
  <conditionalFormatting sqref="AR343:AS344">
    <cfRule type="expression" dxfId="1442" priority="1503">
      <formula>$BC343="YES"</formula>
    </cfRule>
  </conditionalFormatting>
  <conditionalFormatting sqref="AR345:AS348">
    <cfRule type="expression" dxfId="1441" priority="1502">
      <formula>$BC345="YES"</formula>
    </cfRule>
  </conditionalFormatting>
  <conditionalFormatting sqref="AR349:AS352">
    <cfRule type="expression" dxfId="1440" priority="1501">
      <formula>$BC349="YES"</formula>
    </cfRule>
  </conditionalFormatting>
  <conditionalFormatting sqref="AR353:AS354">
    <cfRule type="expression" dxfId="1439" priority="1500">
      <formula>$BC353="YES"</formula>
    </cfRule>
  </conditionalFormatting>
  <conditionalFormatting sqref="AR355:AS358">
    <cfRule type="expression" dxfId="1438" priority="1499">
      <formula>$BC355="YES"</formula>
    </cfRule>
  </conditionalFormatting>
  <conditionalFormatting sqref="AR359:AS362">
    <cfRule type="expression" dxfId="1437" priority="1498">
      <formula>$BC359="YES"</formula>
    </cfRule>
  </conditionalFormatting>
  <conditionalFormatting sqref="AR363:AS364">
    <cfRule type="expression" dxfId="1436" priority="1497">
      <formula>$BC363="YES"</formula>
    </cfRule>
  </conditionalFormatting>
  <conditionalFormatting sqref="AR365:AS368">
    <cfRule type="expression" dxfId="1435" priority="1496">
      <formula>$BC365="YES"</formula>
    </cfRule>
  </conditionalFormatting>
  <conditionalFormatting sqref="AR369:AS372">
    <cfRule type="expression" dxfId="1434" priority="1495">
      <formula>$BC369="YES"</formula>
    </cfRule>
  </conditionalFormatting>
  <conditionalFormatting sqref="AR373:AS374">
    <cfRule type="expression" dxfId="1433" priority="1494">
      <formula>$BC373="YES"</formula>
    </cfRule>
  </conditionalFormatting>
  <conditionalFormatting sqref="AR375:AS378">
    <cfRule type="expression" dxfId="1432" priority="1493">
      <formula>$BC375="YES"</formula>
    </cfRule>
  </conditionalFormatting>
  <conditionalFormatting sqref="AR379:AS382">
    <cfRule type="expression" dxfId="1431" priority="1492">
      <formula>$BC379="YES"</formula>
    </cfRule>
  </conditionalFormatting>
  <conditionalFormatting sqref="AR383:AS384">
    <cfRule type="expression" dxfId="1430" priority="1491">
      <formula>$BC383="YES"</formula>
    </cfRule>
  </conditionalFormatting>
  <conditionalFormatting sqref="AR385:AS388">
    <cfRule type="expression" dxfId="1429" priority="1490">
      <formula>$BC385="YES"</formula>
    </cfRule>
  </conditionalFormatting>
  <conditionalFormatting sqref="AR389:AS392">
    <cfRule type="expression" dxfId="1428" priority="1489">
      <formula>$BC389="YES"</formula>
    </cfRule>
  </conditionalFormatting>
  <conditionalFormatting sqref="AR393:AS394">
    <cfRule type="expression" dxfId="1427" priority="1488">
      <formula>$BC393="YES"</formula>
    </cfRule>
  </conditionalFormatting>
  <conditionalFormatting sqref="AR395:AS398">
    <cfRule type="expression" dxfId="1426" priority="1487">
      <formula>$BC395="YES"</formula>
    </cfRule>
  </conditionalFormatting>
  <conditionalFormatting sqref="AR399:AS402">
    <cfRule type="expression" dxfId="1425" priority="1486">
      <formula>$BC399="YES"</formula>
    </cfRule>
  </conditionalFormatting>
  <conditionalFormatting sqref="AR403:AS404">
    <cfRule type="expression" dxfId="1424" priority="1485">
      <formula>$BC403="YES"</formula>
    </cfRule>
  </conditionalFormatting>
  <conditionalFormatting sqref="AR405:AS408">
    <cfRule type="expression" dxfId="1423" priority="1484">
      <formula>$BC405="YES"</formula>
    </cfRule>
  </conditionalFormatting>
  <conditionalFormatting sqref="AR409:AS412">
    <cfRule type="expression" dxfId="1422" priority="1483">
      <formula>$BC409="YES"</formula>
    </cfRule>
  </conditionalFormatting>
  <conditionalFormatting sqref="AR413:AS414">
    <cfRule type="expression" dxfId="1421" priority="1482">
      <formula>$BC413="YES"</formula>
    </cfRule>
  </conditionalFormatting>
  <conditionalFormatting sqref="AR415:AS418">
    <cfRule type="expression" dxfId="1420" priority="1481">
      <formula>$BC415="YES"</formula>
    </cfRule>
  </conditionalFormatting>
  <conditionalFormatting sqref="AR419:AS422">
    <cfRule type="expression" dxfId="1419" priority="1480">
      <formula>$BC419="YES"</formula>
    </cfRule>
  </conditionalFormatting>
  <conditionalFormatting sqref="AR423:AS424">
    <cfRule type="expression" dxfId="1418" priority="1479">
      <formula>$BC423="YES"</formula>
    </cfRule>
  </conditionalFormatting>
  <conditionalFormatting sqref="AR425:AS428">
    <cfRule type="expression" dxfId="1417" priority="1478">
      <formula>$BC425="YES"</formula>
    </cfRule>
  </conditionalFormatting>
  <conditionalFormatting sqref="AR429:AS432">
    <cfRule type="expression" dxfId="1416" priority="1477">
      <formula>$BC429="YES"</formula>
    </cfRule>
  </conditionalFormatting>
  <conditionalFormatting sqref="AR433:AS434">
    <cfRule type="expression" dxfId="1415" priority="1476">
      <formula>$BC433="YES"</formula>
    </cfRule>
  </conditionalFormatting>
  <conditionalFormatting sqref="AR435:AS438">
    <cfRule type="expression" dxfId="1414" priority="1475">
      <formula>$BC435="YES"</formula>
    </cfRule>
  </conditionalFormatting>
  <conditionalFormatting sqref="AR439:AS442">
    <cfRule type="expression" dxfId="1413" priority="1474">
      <formula>$BC439="YES"</formula>
    </cfRule>
  </conditionalFormatting>
  <conditionalFormatting sqref="AR443:AS444">
    <cfRule type="expression" dxfId="1412" priority="1473">
      <formula>$BC443="YES"</formula>
    </cfRule>
  </conditionalFormatting>
  <conditionalFormatting sqref="AR445:AS448">
    <cfRule type="expression" dxfId="1411" priority="1472">
      <formula>$BC445="YES"</formula>
    </cfRule>
  </conditionalFormatting>
  <conditionalFormatting sqref="AR449:AS452">
    <cfRule type="expression" dxfId="1410" priority="1471">
      <formula>$BC449="YES"</formula>
    </cfRule>
  </conditionalFormatting>
  <conditionalFormatting sqref="AR453:AS454">
    <cfRule type="expression" dxfId="1409" priority="1470">
      <formula>$BC453="YES"</formula>
    </cfRule>
  </conditionalFormatting>
  <conditionalFormatting sqref="AR455:AS458">
    <cfRule type="expression" dxfId="1408" priority="1469">
      <formula>$BC455="YES"</formula>
    </cfRule>
  </conditionalFormatting>
  <conditionalFormatting sqref="AR459:AS462">
    <cfRule type="expression" dxfId="1407" priority="1468">
      <formula>$BC459="YES"</formula>
    </cfRule>
  </conditionalFormatting>
  <conditionalFormatting sqref="AR463:AS464">
    <cfRule type="expression" dxfId="1406" priority="1467">
      <formula>$BC463="YES"</formula>
    </cfRule>
  </conditionalFormatting>
  <conditionalFormatting sqref="AR465:AS468">
    <cfRule type="expression" dxfId="1405" priority="1466">
      <formula>$BC465="YES"</formula>
    </cfRule>
  </conditionalFormatting>
  <conditionalFormatting sqref="AR469:AS472">
    <cfRule type="expression" dxfId="1404" priority="1465">
      <formula>$BC469="YES"</formula>
    </cfRule>
  </conditionalFormatting>
  <conditionalFormatting sqref="AR473:AS474">
    <cfRule type="expression" dxfId="1403" priority="1464">
      <formula>$BC473="YES"</formula>
    </cfRule>
  </conditionalFormatting>
  <conditionalFormatting sqref="AR475:AS478">
    <cfRule type="expression" dxfId="1402" priority="1463">
      <formula>$BC475="YES"</formula>
    </cfRule>
  </conditionalFormatting>
  <conditionalFormatting sqref="AR479:AS482">
    <cfRule type="expression" dxfId="1401" priority="1462">
      <formula>$BC479="YES"</formula>
    </cfRule>
  </conditionalFormatting>
  <conditionalFormatting sqref="AR483:AS484">
    <cfRule type="expression" dxfId="1400" priority="1461">
      <formula>$BC483="YES"</formula>
    </cfRule>
  </conditionalFormatting>
  <conditionalFormatting sqref="AR485:AS488">
    <cfRule type="expression" dxfId="1399" priority="1460">
      <formula>$BC485="YES"</formula>
    </cfRule>
  </conditionalFormatting>
  <conditionalFormatting sqref="AR489:AS492">
    <cfRule type="expression" dxfId="1398" priority="1459">
      <formula>$BC489="YES"</formula>
    </cfRule>
  </conditionalFormatting>
  <conditionalFormatting sqref="AR493:AS494">
    <cfRule type="expression" dxfId="1397" priority="1458">
      <formula>$BC493="YES"</formula>
    </cfRule>
  </conditionalFormatting>
  <conditionalFormatting sqref="AR495:AS498">
    <cfRule type="expression" dxfId="1396" priority="1457">
      <formula>$BC495="YES"</formula>
    </cfRule>
  </conditionalFormatting>
  <conditionalFormatting sqref="AR499:AS502">
    <cfRule type="expression" dxfId="1395" priority="1456">
      <formula>$BC499="YES"</formula>
    </cfRule>
  </conditionalFormatting>
  <conditionalFormatting sqref="AR503:AS504">
    <cfRule type="expression" dxfId="1394" priority="1455">
      <formula>$BC503="YES"</formula>
    </cfRule>
  </conditionalFormatting>
  <conditionalFormatting sqref="AR505:AS508">
    <cfRule type="expression" dxfId="1393" priority="1454">
      <formula>$BC505="YES"</formula>
    </cfRule>
  </conditionalFormatting>
  <conditionalFormatting sqref="AR509:AS512">
    <cfRule type="expression" dxfId="1392" priority="1453">
      <formula>$BC509="YES"</formula>
    </cfRule>
  </conditionalFormatting>
  <conditionalFormatting sqref="AR513:AS514">
    <cfRule type="expression" dxfId="1391" priority="1452">
      <formula>$BC513="YES"</formula>
    </cfRule>
  </conditionalFormatting>
  <conditionalFormatting sqref="AR515:AS518">
    <cfRule type="expression" dxfId="1390" priority="1451">
      <formula>$BC515="YES"</formula>
    </cfRule>
  </conditionalFormatting>
  <conditionalFormatting sqref="AR519:AS522">
    <cfRule type="expression" dxfId="1389" priority="1450">
      <formula>$BC519="YES"</formula>
    </cfRule>
  </conditionalFormatting>
  <conditionalFormatting sqref="AR523:AS524">
    <cfRule type="expression" dxfId="1388" priority="1449">
      <formula>$BC523="YES"</formula>
    </cfRule>
  </conditionalFormatting>
  <conditionalFormatting sqref="AR525:AS528">
    <cfRule type="expression" dxfId="1387" priority="1448">
      <formula>$BC525="YES"</formula>
    </cfRule>
  </conditionalFormatting>
  <conditionalFormatting sqref="AR529:AS532">
    <cfRule type="expression" dxfId="1386" priority="1447">
      <formula>$BC529="YES"</formula>
    </cfRule>
  </conditionalFormatting>
  <conditionalFormatting sqref="AR533:AS534">
    <cfRule type="expression" dxfId="1385" priority="1446">
      <formula>$BC533="YES"</formula>
    </cfRule>
  </conditionalFormatting>
  <conditionalFormatting sqref="AR535:AS538">
    <cfRule type="expression" dxfId="1384" priority="1445">
      <formula>$BC535="YES"</formula>
    </cfRule>
  </conditionalFormatting>
  <conditionalFormatting sqref="AR539:AS542">
    <cfRule type="expression" dxfId="1383" priority="1444">
      <formula>$BC539="YES"</formula>
    </cfRule>
  </conditionalFormatting>
  <conditionalFormatting sqref="AR543:AS544">
    <cfRule type="expression" dxfId="1382" priority="1443">
      <formula>$BC543="YES"</formula>
    </cfRule>
  </conditionalFormatting>
  <conditionalFormatting sqref="AR545:AS548">
    <cfRule type="expression" dxfId="1381" priority="1442">
      <formula>$BC545="YES"</formula>
    </cfRule>
  </conditionalFormatting>
  <conditionalFormatting sqref="AR549:AS552">
    <cfRule type="expression" dxfId="1380" priority="1441">
      <formula>$BC549="YES"</formula>
    </cfRule>
  </conditionalFormatting>
  <conditionalFormatting sqref="AR553:AS554">
    <cfRule type="expression" dxfId="1379" priority="1440">
      <formula>$BC553="YES"</formula>
    </cfRule>
  </conditionalFormatting>
  <conditionalFormatting sqref="AR555:AS558">
    <cfRule type="expression" dxfId="1378" priority="1439">
      <formula>$BC555="YES"</formula>
    </cfRule>
  </conditionalFormatting>
  <conditionalFormatting sqref="AR559:AS562">
    <cfRule type="expression" dxfId="1377" priority="1438">
      <formula>$BC559="YES"</formula>
    </cfRule>
  </conditionalFormatting>
  <conditionalFormatting sqref="AR563:AS564">
    <cfRule type="expression" dxfId="1376" priority="1437">
      <formula>$BC563="YES"</formula>
    </cfRule>
  </conditionalFormatting>
  <conditionalFormatting sqref="AR565:AS568">
    <cfRule type="expression" dxfId="1375" priority="1436">
      <formula>$BC565="YES"</formula>
    </cfRule>
  </conditionalFormatting>
  <conditionalFormatting sqref="AR569:AS572">
    <cfRule type="expression" dxfId="1374" priority="1435">
      <formula>$BC569="YES"</formula>
    </cfRule>
  </conditionalFormatting>
  <conditionalFormatting sqref="AR573:AS574">
    <cfRule type="expression" dxfId="1373" priority="1434">
      <formula>$BC573="YES"</formula>
    </cfRule>
  </conditionalFormatting>
  <conditionalFormatting sqref="AR575:AS578">
    <cfRule type="expression" dxfId="1372" priority="1433">
      <formula>$BC575="YES"</formula>
    </cfRule>
  </conditionalFormatting>
  <conditionalFormatting sqref="AR579:AS582">
    <cfRule type="expression" dxfId="1371" priority="1432">
      <formula>$BC579="YES"</formula>
    </cfRule>
  </conditionalFormatting>
  <conditionalFormatting sqref="AR583:AS584">
    <cfRule type="expression" dxfId="1370" priority="1431">
      <formula>$BC583="YES"</formula>
    </cfRule>
  </conditionalFormatting>
  <conditionalFormatting sqref="AR585:AS588">
    <cfRule type="expression" dxfId="1369" priority="1430">
      <formula>$BC585="YES"</formula>
    </cfRule>
  </conditionalFormatting>
  <conditionalFormatting sqref="AR589:AS592">
    <cfRule type="expression" dxfId="1368" priority="1429">
      <formula>$BC589="YES"</formula>
    </cfRule>
  </conditionalFormatting>
  <conditionalFormatting sqref="AR593:AS594">
    <cfRule type="expression" dxfId="1367" priority="1428">
      <formula>$BC593="YES"</formula>
    </cfRule>
  </conditionalFormatting>
  <conditionalFormatting sqref="AR595:AS598">
    <cfRule type="expression" dxfId="1366" priority="1427">
      <formula>$BC595="YES"</formula>
    </cfRule>
  </conditionalFormatting>
  <conditionalFormatting sqref="AR599:AS602">
    <cfRule type="expression" dxfId="1365" priority="1426">
      <formula>$BC599="YES"</formula>
    </cfRule>
  </conditionalFormatting>
  <conditionalFormatting sqref="AR603:AS604">
    <cfRule type="expression" dxfId="1364" priority="1425">
      <formula>$BC603="YES"</formula>
    </cfRule>
  </conditionalFormatting>
  <conditionalFormatting sqref="AR605:AS608">
    <cfRule type="expression" dxfId="1363" priority="1424">
      <formula>$BC605="YES"</formula>
    </cfRule>
  </conditionalFormatting>
  <conditionalFormatting sqref="AR609:AS612">
    <cfRule type="expression" dxfId="1362" priority="1423">
      <formula>$BC609="YES"</formula>
    </cfRule>
  </conditionalFormatting>
  <conditionalFormatting sqref="AR613:AS614">
    <cfRule type="expression" dxfId="1361" priority="1422">
      <formula>$BC613="YES"</formula>
    </cfRule>
  </conditionalFormatting>
  <conditionalFormatting sqref="AT25:AU26">
    <cfRule type="expression" dxfId="1360" priority="1421">
      <formula>$BC25="YES"</formula>
    </cfRule>
  </conditionalFormatting>
  <conditionalFormatting sqref="AT27:AU28">
    <cfRule type="expression" dxfId="1359" priority="1420">
      <formula>$BC27="YES"</formula>
    </cfRule>
  </conditionalFormatting>
  <conditionalFormatting sqref="AT29:AU30">
    <cfRule type="expression" dxfId="1358" priority="1419">
      <formula>$BC29="YES"</formula>
    </cfRule>
  </conditionalFormatting>
  <conditionalFormatting sqref="AT31:AU32">
    <cfRule type="expression" dxfId="1357" priority="1418">
      <formula>$BC31="YES"</formula>
    </cfRule>
  </conditionalFormatting>
  <conditionalFormatting sqref="AT33:AU34">
    <cfRule type="expression" dxfId="1356" priority="1417">
      <formula>$BC33="YES"</formula>
    </cfRule>
  </conditionalFormatting>
  <conditionalFormatting sqref="AT35:AU36">
    <cfRule type="expression" dxfId="1355" priority="1416">
      <formula>$BC35="YES"</formula>
    </cfRule>
  </conditionalFormatting>
  <conditionalFormatting sqref="AT37:AU38">
    <cfRule type="expression" dxfId="1354" priority="1415">
      <formula>$BC37="YES"</formula>
    </cfRule>
  </conditionalFormatting>
  <conditionalFormatting sqref="AT39:AU40">
    <cfRule type="expression" dxfId="1353" priority="1414">
      <formula>$BC39="YES"</formula>
    </cfRule>
  </conditionalFormatting>
  <conditionalFormatting sqref="AT41:AU42">
    <cfRule type="expression" dxfId="1352" priority="1413">
      <formula>$BC41="YES"</formula>
    </cfRule>
  </conditionalFormatting>
  <conditionalFormatting sqref="AT43:AU44">
    <cfRule type="expression" dxfId="1351" priority="1412">
      <formula>$BC43="YES"</formula>
    </cfRule>
  </conditionalFormatting>
  <conditionalFormatting sqref="AT45:AU46">
    <cfRule type="expression" dxfId="1350" priority="1411">
      <formula>$BC45="YES"</formula>
    </cfRule>
  </conditionalFormatting>
  <conditionalFormatting sqref="AT47:AU48">
    <cfRule type="expression" dxfId="1349" priority="1410">
      <formula>$BC47="YES"</formula>
    </cfRule>
  </conditionalFormatting>
  <conditionalFormatting sqref="AT49:AU50">
    <cfRule type="expression" dxfId="1348" priority="1409">
      <formula>$BC49="YES"</formula>
    </cfRule>
  </conditionalFormatting>
  <conditionalFormatting sqref="AT51:AU52">
    <cfRule type="expression" dxfId="1347" priority="1408">
      <formula>$BC51="YES"</formula>
    </cfRule>
  </conditionalFormatting>
  <conditionalFormatting sqref="AT53:AU54">
    <cfRule type="expression" dxfId="1346" priority="1407">
      <formula>$BC53="YES"</formula>
    </cfRule>
  </conditionalFormatting>
  <conditionalFormatting sqref="AT55:AU56">
    <cfRule type="expression" dxfId="1345" priority="1406">
      <formula>$BC55="YES"</formula>
    </cfRule>
  </conditionalFormatting>
  <conditionalFormatting sqref="AT57:AU58">
    <cfRule type="expression" dxfId="1344" priority="1405">
      <formula>$BC57="YES"</formula>
    </cfRule>
  </conditionalFormatting>
  <conditionalFormatting sqref="AT59:AU60">
    <cfRule type="expression" dxfId="1343" priority="1404">
      <formula>$BC59="YES"</formula>
    </cfRule>
  </conditionalFormatting>
  <conditionalFormatting sqref="AT61:AU62">
    <cfRule type="expression" dxfId="1342" priority="1403">
      <formula>$BC61="YES"</formula>
    </cfRule>
  </conditionalFormatting>
  <conditionalFormatting sqref="AT63:AU64">
    <cfRule type="expression" dxfId="1341" priority="1402">
      <formula>$BC63="YES"</formula>
    </cfRule>
  </conditionalFormatting>
  <conditionalFormatting sqref="AT65:AU66">
    <cfRule type="expression" dxfId="1340" priority="1401">
      <formula>$BC65="YES"</formula>
    </cfRule>
  </conditionalFormatting>
  <conditionalFormatting sqref="AT67:AU68">
    <cfRule type="expression" dxfId="1339" priority="1400">
      <formula>$BC67="YES"</formula>
    </cfRule>
  </conditionalFormatting>
  <conditionalFormatting sqref="AT69:AU70">
    <cfRule type="expression" dxfId="1338" priority="1399">
      <formula>$BC69="YES"</formula>
    </cfRule>
  </conditionalFormatting>
  <conditionalFormatting sqref="AT71:AU72">
    <cfRule type="expression" dxfId="1337" priority="1398">
      <formula>$BC71="YES"</formula>
    </cfRule>
  </conditionalFormatting>
  <conditionalFormatting sqref="AT73:AU74">
    <cfRule type="expression" dxfId="1336" priority="1397">
      <formula>$BC73="YES"</formula>
    </cfRule>
  </conditionalFormatting>
  <conditionalFormatting sqref="AT75:AU76">
    <cfRule type="expression" dxfId="1335" priority="1396">
      <formula>$BC75="YES"</formula>
    </cfRule>
  </conditionalFormatting>
  <conditionalFormatting sqref="AT77:AU78">
    <cfRule type="expression" dxfId="1334" priority="1395">
      <formula>$BC77="YES"</formula>
    </cfRule>
  </conditionalFormatting>
  <conditionalFormatting sqref="AT79:AU80">
    <cfRule type="expression" dxfId="1333" priority="1394">
      <formula>$BC79="YES"</formula>
    </cfRule>
  </conditionalFormatting>
  <conditionalFormatting sqref="AT81:AU82">
    <cfRule type="expression" dxfId="1332" priority="1393">
      <formula>$BC81="YES"</formula>
    </cfRule>
  </conditionalFormatting>
  <conditionalFormatting sqref="AT83:AU84">
    <cfRule type="expression" dxfId="1331" priority="1392">
      <formula>$BC83="YES"</formula>
    </cfRule>
  </conditionalFormatting>
  <conditionalFormatting sqref="AT85:AU86">
    <cfRule type="expression" dxfId="1330" priority="1391">
      <formula>$BC85="YES"</formula>
    </cfRule>
  </conditionalFormatting>
  <conditionalFormatting sqref="AT87:AU88">
    <cfRule type="expression" dxfId="1329" priority="1390">
      <formula>$BC87="YES"</formula>
    </cfRule>
  </conditionalFormatting>
  <conditionalFormatting sqref="AT89:AU90">
    <cfRule type="expression" dxfId="1328" priority="1389">
      <formula>$BC89="YES"</formula>
    </cfRule>
  </conditionalFormatting>
  <conditionalFormatting sqref="AT91:AU92">
    <cfRule type="expression" dxfId="1327" priority="1388">
      <formula>$BC91="YES"</formula>
    </cfRule>
  </conditionalFormatting>
  <conditionalFormatting sqref="AT93:AU94">
    <cfRule type="expression" dxfId="1326" priority="1387">
      <formula>$BC93="YES"</formula>
    </cfRule>
  </conditionalFormatting>
  <conditionalFormatting sqref="AT95:AU96">
    <cfRule type="expression" dxfId="1325" priority="1386">
      <formula>$BC95="YES"</formula>
    </cfRule>
  </conditionalFormatting>
  <conditionalFormatting sqref="AT97:AU98">
    <cfRule type="expression" dxfId="1324" priority="1385">
      <formula>$BC97="YES"</formula>
    </cfRule>
  </conditionalFormatting>
  <conditionalFormatting sqref="AT99:AU100">
    <cfRule type="expression" dxfId="1323" priority="1384">
      <formula>$BC99="YES"</formula>
    </cfRule>
  </conditionalFormatting>
  <conditionalFormatting sqref="AT101:AU102">
    <cfRule type="expression" dxfId="1322" priority="1383">
      <formula>$BC101="YES"</formula>
    </cfRule>
  </conditionalFormatting>
  <conditionalFormatting sqref="AT103:AU104">
    <cfRule type="expression" dxfId="1321" priority="1382">
      <formula>$BC103="YES"</formula>
    </cfRule>
  </conditionalFormatting>
  <conditionalFormatting sqref="AT105:AU106">
    <cfRule type="expression" dxfId="1320" priority="1381">
      <formula>$BC105="YES"</formula>
    </cfRule>
  </conditionalFormatting>
  <conditionalFormatting sqref="AT107:AU108">
    <cfRule type="expression" dxfId="1319" priority="1380">
      <formula>$BC107="YES"</formula>
    </cfRule>
  </conditionalFormatting>
  <conditionalFormatting sqref="AT109:AU110">
    <cfRule type="expression" dxfId="1318" priority="1379">
      <formula>$BC109="YES"</formula>
    </cfRule>
  </conditionalFormatting>
  <conditionalFormatting sqref="AT111:AU112">
    <cfRule type="expression" dxfId="1317" priority="1378">
      <formula>$BC111="YES"</formula>
    </cfRule>
  </conditionalFormatting>
  <conditionalFormatting sqref="AT113:AU114">
    <cfRule type="expression" dxfId="1316" priority="1377">
      <formula>$BC113="YES"</formula>
    </cfRule>
  </conditionalFormatting>
  <conditionalFormatting sqref="AT115:AU116">
    <cfRule type="expression" dxfId="1315" priority="1376">
      <formula>$BC115="YES"</formula>
    </cfRule>
  </conditionalFormatting>
  <conditionalFormatting sqref="AT117:AU118">
    <cfRule type="expression" dxfId="1314" priority="1375">
      <formula>$BC117="YES"</formula>
    </cfRule>
  </conditionalFormatting>
  <conditionalFormatting sqref="AT119:AU120">
    <cfRule type="expression" dxfId="1313" priority="1374">
      <formula>$BC119="YES"</formula>
    </cfRule>
  </conditionalFormatting>
  <conditionalFormatting sqref="AT121:AU122">
    <cfRule type="expression" dxfId="1312" priority="1373">
      <formula>$BC121="YES"</formula>
    </cfRule>
  </conditionalFormatting>
  <conditionalFormatting sqref="AT123:AU124">
    <cfRule type="expression" dxfId="1311" priority="1372">
      <formula>$BC123="YES"</formula>
    </cfRule>
  </conditionalFormatting>
  <conditionalFormatting sqref="AT125:AU126">
    <cfRule type="expression" dxfId="1310" priority="1371">
      <formula>$BC125="YES"</formula>
    </cfRule>
  </conditionalFormatting>
  <conditionalFormatting sqref="AT127:AU128">
    <cfRule type="expression" dxfId="1309" priority="1370">
      <formula>$BC127="YES"</formula>
    </cfRule>
  </conditionalFormatting>
  <conditionalFormatting sqref="AT129:AU130">
    <cfRule type="expression" dxfId="1308" priority="1369">
      <formula>$BC129="YES"</formula>
    </cfRule>
  </conditionalFormatting>
  <conditionalFormatting sqref="AT131:AU132">
    <cfRule type="expression" dxfId="1307" priority="1368">
      <formula>$BC131="YES"</formula>
    </cfRule>
  </conditionalFormatting>
  <conditionalFormatting sqref="AT133:AU134">
    <cfRule type="expression" dxfId="1306" priority="1367">
      <formula>$BC133="YES"</formula>
    </cfRule>
  </conditionalFormatting>
  <conditionalFormatting sqref="AT135:AU136">
    <cfRule type="expression" dxfId="1305" priority="1366">
      <formula>$BC135="YES"</formula>
    </cfRule>
  </conditionalFormatting>
  <conditionalFormatting sqref="AT137:AU138">
    <cfRule type="expression" dxfId="1304" priority="1365">
      <formula>$BC137="YES"</formula>
    </cfRule>
  </conditionalFormatting>
  <conditionalFormatting sqref="AT139:AU140">
    <cfRule type="expression" dxfId="1303" priority="1364">
      <formula>$BC139="YES"</formula>
    </cfRule>
  </conditionalFormatting>
  <conditionalFormatting sqref="AT141:AU142">
    <cfRule type="expression" dxfId="1302" priority="1363">
      <formula>$BC141="YES"</formula>
    </cfRule>
  </conditionalFormatting>
  <conditionalFormatting sqref="AT143:AU144">
    <cfRule type="expression" dxfId="1301" priority="1362">
      <formula>$BC143="YES"</formula>
    </cfRule>
  </conditionalFormatting>
  <conditionalFormatting sqref="AT145:AU146">
    <cfRule type="expression" dxfId="1300" priority="1361">
      <formula>$BC145="YES"</formula>
    </cfRule>
  </conditionalFormatting>
  <conditionalFormatting sqref="AT147:AU148">
    <cfRule type="expression" dxfId="1299" priority="1360">
      <formula>$BC147="YES"</formula>
    </cfRule>
  </conditionalFormatting>
  <conditionalFormatting sqref="AT149:AU150">
    <cfRule type="expression" dxfId="1298" priority="1359">
      <formula>$BC149="YES"</formula>
    </cfRule>
  </conditionalFormatting>
  <conditionalFormatting sqref="AT151:AU152">
    <cfRule type="expression" dxfId="1297" priority="1358">
      <formula>$BC151="YES"</formula>
    </cfRule>
  </conditionalFormatting>
  <conditionalFormatting sqref="AT153:AU154">
    <cfRule type="expression" dxfId="1296" priority="1357">
      <formula>$BC153="YES"</formula>
    </cfRule>
  </conditionalFormatting>
  <conditionalFormatting sqref="AT155:AU156">
    <cfRule type="expression" dxfId="1295" priority="1356">
      <formula>$BC155="YES"</formula>
    </cfRule>
  </conditionalFormatting>
  <conditionalFormatting sqref="AT157:AU158">
    <cfRule type="expression" dxfId="1294" priority="1355">
      <formula>$BC157="YES"</formula>
    </cfRule>
  </conditionalFormatting>
  <conditionalFormatting sqref="AT159:AU160">
    <cfRule type="expression" dxfId="1293" priority="1354">
      <formula>$BC159="YES"</formula>
    </cfRule>
  </conditionalFormatting>
  <conditionalFormatting sqref="AT161:AU162">
    <cfRule type="expression" dxfId="1292" priority="1353">
      <formula>$BC161="YES"</formula>
    </cfRule>
  </conditionalFormatting>
  <conditionalFormatting sqref="AT163:AU164">
    <cfRule type="expression" dxfId="1291" priority="1352">
      <formula>$BC163="YES"</formula>
    </cfRule>
  </conditionalFormatting>
  <conditionalFormatting sqref="AT165:AU166">
    <cfRule type="expression" dxfId="1290" priority="1351">
      <formula>$BC165="YES"</formula>
    </cfRule>
  </conditionalFormatting>
  <conditionalFormatting sqref="AT167:AU168">
    <cfRule type="expression" dxfId="1289" priority="1350">
      <formula>$BC167="YES"</formula>
    </cfRule>
  </conditionalFormatting>
  <conditionalFormatting sqref="AT169:AU170">
    <cfRule type="expression" dxfId="1288" priority="1349">
      <formula>$BC169="YES"</formula>
    </cfRule>
  </conditionalFormatting>
  <conditionalFormatting sqref="AT171:AU172">
    <cfRule type="expression" dxfId="1287" priority="1348">
      <formula>$BC171="YES"</formula>
    </cfRule>
  </conditionalFormatting>
  <conditionalFormatting sqref="AT173:AU174">
    <cfRule type="expression" dxfId="1286" priority="1347">
      <formula>$BC173="YES"</formula>
    </cfRule>
  </conditionalFormatting>
  <conditionalFormatting sqref="AT175:AU176">
    <cfRule type="expression" dxfId="1285" priority="1346">
      <formula>$BC175="YES"</formula>
    </cfRule>
  </conditionalFormatting>
  <conditionalFormatting sqref="AT177:AU178">
    <cfRule type="expression" dxfId="1284" priority="1345">
      <formula>$BC177="YES"</formula>
    </cfRule>
  </conditionalFormatting>
  <conditionalFormatting sqref="AT179:AU180">
    <cfRule type="expression" dxfId="1283" priority="1344">
      <formula>$BC179="YES"</formula>
    </cfRule>
  </conditionalFormatting>
  <conditionalFormatting sqref="AT181:AU182">
    <cfRule type="expression" dxfId="1282" priority="1343">
      <formula>$BC181="YES"</formula>
    </cfRule>
  </conditionalFormatting>
  <conditionalFormatting sqref="AT183:AU184">
    <cfRule type="expression" dxfId="1281" priority="1342">
      <formula>$BC183="YES"</formula>
    </cfRule>
  </conditionalFormatting>
  <conditionalFormatting sqref="AT185:AU186">
    <cfRule type="expression" dxfId="1280" priority="1341">
      <formula>$BC185="YES"</formula>
    </cfRule>
  </conditionalFormatting>
  <conditionalFormatting sqref="AT187:AU188">
    <cfRule type="expression" dxfId="1279" priority="1340">
      <formula>$BC187="YES"</formula>
    </cfRule>
  </conditionalFormatting>
  <conditionalFormatting sqref="AT189:AU190">
    <cfRule type="expression" dxfId="1278" priority="1339">
      <formula>$BC189="YES"</formula>
    </cfRule>
  </conditionalFormatting>
  <conditionalFormatting sqref="AT191:AU192">
    <cfRule type="expression" dxfId="1277" priority="1338">
      <formula>$BC191="YES"</formula>
    </cfRule>
  </conditionalFormatting>
  <conditionalFormatting sqref="AT193:AU194">
    <cfRule type="expression" dxfId="1276" priority="1337">
      <formula>$BC193="YES"</formula>
    </cfRule>
  </conditionalFormatting>
  <conditionalFormatting sqref="AT195:AU196">
    <cfRule type="expression" dxfId="1275" priority="1336">
      <formula>$BC195="YES"</formula>
    </cfRule>
  </conditionalFormatting>
  <conditionalFormatting sqref="AT197:AU198">
    <cfRule type="expression" dxfId="1274" priority="1335">
      <formula>$BC197="YES"</formula>
    </cfRule>
  </conditionalFormatting>
  <conditionalFormatting sqref="AT199:AU200">
    <cfRule type="expression" dxfId="1273" priority="1334">
      <formula>$BC199="YES"</formula>
    </cfRule>
  </conditionalFormatting>
  <conditionalFormatting sqref="AT201:AU202">
    <cfRule type="expression" dxfId="1272" priority="1333">
      <formula>$BC201="YES"</formula>
    </cfRule>
  </conditionalFormatting>
  <conditionalFormatting sqref="AT203:AU204">
    <cfRule type="expression" dxfId="1271" priority="1332">
      <formula>$BC203="YES"</formula>
    </cfRule>
  </conditionalFormatting>
  <conditionalFormatting sqref="AT205:AU206">
    <cfRule type="expression" dxfId="1270" priority="1331">
      <formula>$BC205="YES"</formula>
    </cfRule>
  </conditionalFormatting>
  <conditionalFormatting sqref="AT207:AU208">
    <cfRule type="expression" dxfId="1269" priority="1330">
      <formula>$BC207="YES"</formula>
    </cfRule>
  </conditionalFormatting>
  <conditionalFormatting sqref="AT209:AU210">
    <cfRule type="expression" dxfId="1268" priority="1329">
      <formula>$BC209="YES"</formula>
    </cfRule>
  </conditionalFormatting>
  <conditionalFormatting sqref="AT211:AU212">
    <cfRule type="expression" dxfId="1267" priority="1328">
      <formula>$BC211="YES"</formula>
    </cfRule>
  </conditionalFormatting>
  <conditionalFormatting sqref="AT213:AU214">
    <cfRule type="expression" dxfId="1266" priority="1327">
      <formula>$BC213="YES"</formula>
    </cfRule>
  </conditionalFormatting>
  <conditionalFormatting sqref="AT215:AU216">
    <cfRule type="expression" dxfId="1265" priority="1326">
      <formula>$BC215="YES"</formula>
    </cfRule>
  </conditionalFormatting>
  <conditionalFormatting sqref="AT217:AU218">
    <cfRule type="expression" dxfId="1264" priority="1325">
      <formula>$BC217="YES"</formula>
    </cfRule>
  </conditionalFormatting>
  <conditionalFormatting sqref="AT219:AU220">
    <cfRule type="expression" dxfId="1263" priority="1324">
      <formula>$BC219="YES"</formula>
    </cfRule>
  </conditionalFormatting>
  <conditionalFormatting sqref="AT221:AU222">
    <cfRule type="expression" dxfId="1262" priority="1323">
      <formula>$BC221="YES"</formula>
    </cfRule>
  </conditionalFormatting>
  <conditionalFormatting sqref="AT223:AU224">
    <cfRule type="expression" dxfId="1261" priority="1322">
      <formula>$BC223="YES"</formula>
    </cfRule>
  </conditionalFormatting>
  <conditionalFormatting sqref="AT225:AU226">
    <cfRule type="expression" dxfId="1260" priority="1321">
      <formula>$BC225="YES"</formula>
    </cfRule>
  </conditionalFormatting>
  <conditionalFormatting sqref="AT227:AU228">
    <cfRule type="expression" dxfId="1259" priority="1320">
      <formula>$BC227="YES"</formula>
    </cfRule>
  </conditionalFormatting>
  <conditionalFormatting sqref="AT229:AU230">
    <cfRule type="expression" dxfId="1258" priority="1319">
      <formula>$BC229="YES"</formula>
    </cfRule>
  </conditionalFormatting>
  <conditionalFormatting sqref="AT231:AU232">
    <cfRule type="expression" dxfId="1257" priority="1318">
      <formula>$BC231="YES"</formula>
    </cfRule>
  </conditionalFormatting>
  <conditionalFormatting sqref="AT233:AU234">
    <cfRule type="expression" dxfId="1256" priority="1317">
      <formula>$BC233="YES"</formula>
    </cfRule>
  </conditionalFormatting>
  <conditionalFormatting sqref="AT235:AU236">
    <cfRule type="expression" dxfId="1255" priority="1316">
      <formula>$BC235="YES"</formula>
    </cfRule>
  </conditionalFormatting>
  <conditionalFormatting sqref="AT237:AU238">
    <cfRule type="expression" dxfId="1254" priority="1315">
      <formula>$BC237="YES"</formula>
    </cfRule>
  </conditionalFormatting>
  <conditionalFormatting sqref="AT239:AU240">
    <cfRule type="expression" dxfId="1253" priority="1314">
      <formula>$BC239="YES"</formula>
    </cfRule>
  </conditionalFormatting>
  <conditionalFormatting sqref="AT241:AU242">
    <cfRule type="expression" dxfId="1252" priority="1313">
      <formula>$BC241="YES"</formula>
    </cfRule>
  </conditionalFormatting>
  <conditionalFormatting sqref="AT243:AU244">
    <cfRule type="expression" dxfId="1251" priority="1312">
      <formula>$BC243="YES"</formula>
    </cfRule>
  </conditionalFormatting>
  <conditionalFormatting sqref="AT245:AU246">
    <cfRule type="expression" dxfId="1250" priority="1311">
      <formula>$BC245="YES"</formula>
    </cfRule>
  </conditionalFormatting>
  <conditionalFormatting sqref="AT247:AU248">
    <cfRule type="expression" dxfId="1249" priority="1310">
      <formula>$BC247="YES"</formula>
    </cfRule>
  </conditionalFormatting>
  <conditionalFormatting sqref="AT249:AU250">
    <cfRule type="expression" dxfId="1248" priority="1309">
      <formula>$BC249="YES"</formula>
    </cfRule>
  </conditionalFormatting>
  <conditionalFormatting sqref="AT251:AU252">
    <cfRule type="expression" dxfId="1247" priority="1308">
      <formula>$BC251="YES"</formula>
    </cfRule>
  </conditionalFormatting>
  <conditionalFormatting sqref="AT253:AU254">
    <cfRule type="expression" dxfId="1246" priority="1307">
      <formula>$BC253="YES"</formula>
    </cfRule>
  </conditionalFormatting>
  <conditionalFormatting sqref="AT255:AU256">
    <cfRule type="expression" dxfId="1245" priority="1306">
      <formula>$BC255="YES"</formula>
    </cfRule>
  </conditionalFormatting>
  <conditionalFormatting sqref="AT257:AU258">
    <cfRule type="expression" dxfId="1244" priority="1305">
      <formula>$BC257="YES"</formula>
    </cfRule>
  </conditionalFormatting>
  <conditionalFormatting sqref="AT259:AU260">
    <cfRule type="expression" dxfId="1243" priority="1304">
      <formula>$BC259="YES"</formula>
    </cfRule>
  </conditionalFormatting>
  <conditionalFormatting sqref="AT261:AU262">
    <cfRule type="expression" dxfId="1242" priority="1303">
      <formula>$BC261="YES"</formula>
    </cfRule>
  </conditionalFormatting>
  <conditionalFormatting sqref="AT263:AU264">
    <cfRule type="expression" dxfId="1241" priority="1302">
      <formula>$BC263="YES"</formula>
    </cfRule>
  </conditionalFormatting>
  <conditionalFormatting sqref="AT265:AU266">
    <cfRule type="expression" dxfId="1240" priority="1301">
      <formula>$BC265="YES"</formula>
    </cfRule>
  </conditionalFormatting>
  <conditionalFormatting sqref="AT267:AU268">
    <cfRule type="expression" dxfId="1239" priority="1300">
      <formula>$BC267="YES"</formula>
    </cfRule>
  </conditionalFormatting>
  <conditionalFormatting sqref="AT269:AU270">
    <cfRule type="expression" dxfId="1238" priority="1299">
      <formula>$BC269="YES"</formula>
    </cfRule>
  </conditionalFormatting>
  <conditionalFormatting sqref="AT271:AU272">
    <cfRule type="expression" dxfId="1237" priority="1298">
      <formula>$BC271="YES"</formula>
    </cfRule>
  </conditionalFormatting>
  <conditionalFormatting sqref="AT273:AU274">
    <cfRule type="expression" dxfId="1236" priority="1297">
      <formula>$BC273="YES"</formula>
    </cfRule>
  </conditionalFormatting>
  <conditionalFormatting sqref="AT275:AU276">
    <cfRule type="expression" dxfId="1235" priority="1296">
      <formula>$BC275="YES"</formula>
    </cfRule>
  </conditionalFormatting>
  <conditionalFormatting sqref="AT277:AU278">
    <cfRule type="expression" dxfId="1234" priority="1295">
      <formula>$BC277="YES"</formula>
    </cfRule>
  </conditionalFormatting>
  <conditionalFormatting sqref="AT279:AU280">
    <cfRule type="expression" dxfId="1233" priority="1294">
      <formula>$BC279="YES"</formula>
    </cfRule>
  </conditionalFormatting>
  <conditionalFormatting sqref="AT281:AU282">
    <cfRule type="expression" dxfId="1232" priority="1293">
      <formula>$BC281="YES"</formula>
    </cfRule>
  </conditionalFormatting>
  <conditionalFormatting sqref="AT283:AU284">
    <cfRule type="expression" dxfId="1231" priority="1292">
      <formula>$BC283="YES"</formula>
    </cfRule>
  </conditionalFormatting>
  <conditionalFormatting sqref="AT285:AU286">
    <cfRule type="expression" dxfId="1230" priority="1291">
      <formula>$BC285="YES"</formula>
    </cfRule>
  </conditionalFormatting>
  <conditionalFormatting sqref="AT287:AU288">
    <cfRule type="expression" dxfId="1229" priority="1290">
      <formula>$BC287="YES"</formula>
    </cfRule>
  </conditionalFormatting>
  <conditionalFormatting sqref="AT289:AU290">
    <cfRule type="expression" dxfId="1228" priority="1289">
      <formula>$BC289="YES"</formula>
    </cfRule>
  </conditionalFormatting>
  <conditionalFormatting sqref="AT291:AU292">
    <cfRule type="expression" dxfId="1227" priority="1288">
      <formula>$BC291="YES"</formula>
    </cfRule>
  </conditionalFormatting>
  <conditionalFormatting sqref="AT293:AU294">
    <cfRule type="expression" dxfId="1226" priority="1287">
      <formula>$BC293="YES"</formula>
    </cfRule>
  </conditionalFormatting>
  <conditionalFormatting sqref="AT295:AU296">
    <cfRule type="expression" dxfId="1225" priority="1286">
      <formula>$BC295="YES"</formula>
    </cfRule>
  </conditionalFormatting>
  <conditionalFormatting sqref="AT297:AU298">
    <cfRule type="expression" dxfId="1224" priority="1285">
      <formula>$BC297="YES"</formula>
    </cfRule>
  </conditionalFormatting>
  <conditionalFormatting sqref="AT299:AU300">
    <cfRule type="expression" dxfId="1223" priority="1284">
      <formula>$BC299="YES"</formula>
    </cfRule>
  </conditionalFormatting>
  <conditionalFormatting sqref="AT301:AU302">
    <cfRule type="expression" dxfId="1222" priority="1283">
      <formula>$BC301="YES"</formula>
    </cfRule>
  </conditionalFormatting>
  <conditionalFormatting sqref="AT303:AU304">
    <cfRule type="expression" dxfId="1221" priority="1282">
      <formula>$BC303="YES"</formula>
    </cfRule>
  </conditionalFormatting>
  <conditionalFormatting sqref="AT305:AU306">
    <cfRule type="expression" dxfId="1220" priority="1281">
      <formula>$BC305="YES"</formula>
    </cfRule>
  </conditionalFormatting>
  <conditionalFormatting sqref="AT307:AU308">
    <cfRule type="expression" dxfId="1219" priority="1280">
      <formula>$BC307="YES"</formula>
    </cfRule>
  </conditionalFormatting>
  <conditionalFormatting sqref="AT309:AU310">
    <cfRule type="expression" dxfId="1218" priority="1279">
      <formula>$BC309="YES"</formula>
    </cfRule>
  </conditionalFormatting>
  <conditionalFormatting sqref="AT311:AU312">
    <cfRule type="expression" dxfId="1217" priority="1278">
      <formula>$BC311="YES"</formula>
    </cfRule>
  </conditionalFormatting>
  <conditionalFormatting sqref="AT313:AU314">
    <cfRule type="expression" dxfId="1216" priority="1277">
      <formula>$BC313="YES"</formula>
    </cfRule>
  </conditionalFormatting>
  <conditionalFormatting sqref="AT315:AU316">
    <cfRule type="expression" dxfId="1215" priority="1276">
      <formula>$BC315="YES"</formula>
    </cfRule>
  </conditionalFormatting>
  <conditionalFormatting sqref="AT317:AU318">
    <cfRule type="expression" dxfId="1214" priority="1275">
      <formula>$BC317="YES"</formula>
    </cfRule>
  </conditionalFormatting>
  <conditionalFormatting sqref="AT319:AU320">
    <cfRule type="expression" dxfId="1213" priority="1274">
      <formula>$BC319="YES"</formula>
    </cfRule>
  </conditionalFormatting>
  <conditionalFormatting sqref="AT321:AU322">
    <cfRule type="expression" dxfId="1212" priority="1273">
      <formula>$BC321="YES"</formula>
    </cfRule>
  </conditionalFormatting>
  <conditionalFormatting sqref="AT323:AU324">
    <cfRule type="expression" dxfId="1211" priority="1272">
      <formula>$BC323="YES"</formula>
    </cfRule>
  </conditionalFormatting>
  <conditionalFormatting sqref="AT325:AU326">
    <cfRule type="expression" dxfId="1210" priority="1271">
      <formula>$BC325="YES"</formula>
    </cfRule>
  </conditionalFormatting>
  <conditionalFormatting sqref="AT327:AU328">
    <cfRule type="expression" dxfId="1209" priority="1270">
      <formula>$BC327="YES"</formula>
    </cfRule>
  </conditionalFormatting>
  <conditionalFormatting sqref="AT329:AU330">
    <cfRule type="expression" dxfId="1208" priority="1269">
      <formula>$BC329="YES"</formula>
    </cfRule>
  </conditionalFormatting>
  <conditionalFormatting sqref="AT331:AU332">
    <cfRule type="expression" dxfId="1207" priority="1268">
      <formula>$BC331="YES"</formula>
    </cfRule>
  </conditionalFormatting>
  <conditionalFormatting sqref="AT333:AU334">
    <cfRule type="expression" dxfId="1206" priority="1267">
      <formula>$BC333="YES"</formula>
    </cfRule>
  </conditionalFormatting>
  <conditionalFormatting sqref="AT335:AU336">
    <cfRule type="expression" dxfId="1205" priority="1266">
      <formula>$BC335="YES"</formula>
    </cfRule>
  </conditionalFormatting>
  <conditionalFormatting sqref="AT337:AU338">
    <cfRule type="expression" dxfId="1204" priority="1265">
      <formula>$BC337="YES"</formula>
    </cfRule>
  </conditionalFormatting>
  <conditionalFormatting sqref="AT339:AU340">
    <cfRule type="expression" dxfId="1203" priority="1264">
      <formula>$BC339="YES"</formula>
    </cfRule>
  </conditionalFormatting>
  <conditionalFormatting sqref="AT341:AU342">
    <cfRule type="expression" dxfId="1202" priority="1263">
      <formula>$BC341="YES"</formula>
    </cfRule>
  </conditionalFormatting>
  <conditionalFormatting sqref="AT343:AU344">
    <cfRule type="expression" dxfId="1201" priority="1262">
      <formula>$BC343="YES"</formula>
    </cfRule>
  </conditionalFormatting>
  <conditionalFormatting sqref="AT345:AU346">
    <cfRule type="expression" dxfId="1200" priority="1261">
      <formula>$BC345="YES"</formula>
    </cfRule>
  </conditionalFormatting>
  <conditionalFormatting sqref="AT347:AU348">
    <cfRule type="expression" dxfId="1199" priority="1260">
      <formula>$BC347="YES"</formula>
    </cfRule>
  </conditionalFormatting>
  <conditionalFormatting sqref="AT349:AU350">
    <cfRule type="expression" dxfId="1198" priority="1259">
      <formula>$BC349="YES"</formula>
    </cfRule>
  </conditionalFormatting>
  <conditionalFormatting sqref="AT351:AU352">
    <cfRule type="expression" dxfId="1197" priority="1258">
      <formula>$BC351="YES"</formula>
    </cfRule>
  </conditionalFormatting>
  <conditionalFormatting sqref="AT353:AU354">
    <cfRule type="expression" dxfId="1196" priority="1257">
      <formula>$BC353="YES"</formula>
    </cfRule>
  </conditionalFormatting>
  <conditionalFormatting sqref="AT355:AU356">
    <cfRule type="expression" dxfId="1195" priority="1256">
      <formula>$BC355="YES"</formula>
    </cfRule>
  </conditionalFormatting>
  <conditionalFormatting sqref="AT357:AU358">
    <cfRule type="expression" dxfId="1194" priority="1255">
      <formula>$BC357="YES"</formula>
    </cfRule>
  </conditionalFormatting>
  <conditionalFormatting sqref="AT359:AU360">
    <cfRule type="expression" dxfId="1193" priority="1254">
      <formula>$BC359="YES"</formula>
    </cfRule>
  </conditionalFormatting>
  <conditionalFormatting sqref="AT361:AU362">
    <cfRule type="expression" dxfId="1192" priority="1253">
      <formula>$BC361="YES"</formula>
    </cfRule>
  </conditionalFormatting>
  <conditionalFormatting sqref="AT363:AU364">
    <cfRule type="expression" dxfId="1191" priority="1252">
      <formula>$BC363="YES"</formula>
    </cfRule>
  </conditionalFormatting>
  <conditionalFormatting sqref="AT365:AU366">
    <cfRule type="expression" dxfId="1190" priority="1251">
      <formula>$BC365="YES"</formula>
    </cfRule>
  </conditionalFormatting>
  <conditionalFormatting sqref="AT367:AU368">
    <cfRule type="expression" dxfId="1189" priority="1250">
      <formula>$BC367="YES"</formula>
    </cfRule>
  </conditionalFormatting>
  <conditionalFormatting sqref="AT369:AU370">
    <cfRule type="expression" dxfId="1188" priority="1249">
      <formula>$BC369="YES"</formula>
    </cfRule>
  </conditionalFormatting>
  <conditionalFormatting sqref="AT371:AU372">
    <cfRule type="expression" dxfId="1187" priority="1248">
      <formula>$BC371="YES"</formula>
    </cfRule>
  </conditionalFormatting>
  <conditionalFormatting sqref="AT373:AU374">
    <cfRule type="expression" dxfId="1186" priority="1247">
      <formula>$BC373="YES"</formula>
    </cfRule>
  </conditionalFormatting>
  <conditionalFormatting sqref="AT375:AU376">
    <cfRule type="expression" dxfId="1185" priority="1246">
      <formula>$BC375="YES"</formula>
    </cfRule>
  </conditionalFormatting>
  <conditionalFormatting sqref="AT377:AU378">
    <cfRule type="expression" dxfId="1184" priority="1245">
      <formula>$BC377="YES"</formula>
    </cfRule>
  </conditionalFormatting>
  <conditionalFormatting sqref="AT379:AU380">
    <cfRule type="expression" dxfId="1183" priority="1244">
      <formula>$BC379="YES"</formula>
    </cfRule>
  </conditionalFormatting>
  <conditionalFormatting sqref="AT381:AU382">
    <cfRule type="expression" dxfId="1182" priority="1243">
      <formula>$BC381="YES"</formula>
    </cfRule>
  </conditionalFormatting>
  <conditionalFormatting sqref="AT383:AU384">
    <cfRule type="expression" dxfId="1181" priority="1242">
      <formula>$BC383="YES"</formula>
    </cfRule>
  </conditionalFormatting>
  <conditionalFormatting sqref="AT385:AU386">
    <cfRule type="expression" dxfId="1180" priority="1241">
      <formula>$BC385="YES"</formula>
    </cfRule>
  </conditionalFormatting>
  <conditionalFormatting sqref="AT387:AU388">
    <cfRule type="expression" dxfId="1179" priority="1240">
      <formula>$BC387="YES"</formula>
    </cfRule>
  </conditionalFormatting>
  <conditionalFormatting sqref="AT389:AU390">
    <cfRule type="expression" dxfId="1178" priority="1239">
      <formula>$BC389="YES"</formula>
    </cfRule>
  </conditionalFormatting>
  <conditionalFormatting sqref="AT391:AU392">
    <cfRule type="expression" dxfId="1177" priority="1238">
      <formula>$BC391="YES"</formula>
    </cfRule>
  </conditionalFormatting>
  <conditionalFormatting sqref="AT393:AU394">
    <cfRule type="expression" dxfId="1176" priority="1237">
      <formula>$BC393="YES"</formula>
    </cfRule>
  </conditionalFormatting>
  <conditionalFormatting sqref="AT395:AU396">
    <cfRule type="expression" dxfId="1175" priority="1236">
      <formula>$BC395="YES"</formula>
    </cfRule>
  </conditionalFormatting>
  <conditionalFormatting sqref="AT397:AU398">
    <cfRule type="expression" dxfId="1174" priority="1235">
      <formula>$BC397="YES"</formula>
    </cfRule>
  </conditionalFormatting>
  <conditionalFormatting sqref="AT399:AU400">
    <cfRule type="expression" dxfId="1173" priority="1234">
      <formula>$BC399="YES"</formula>
    </cfRule>
  </conditionalFormatting>
  <conditionalFormatting sqref="AT401:AU402">
    <cfRule type="expression" dxfId="1172" priority="1233">
      <formula>$BC401="YES"</formula>
    </cfRule>
  </conditionalFormatting>
  <conditionalFormatting sqref="AT403:AU404">
    <cfRule type="expression" dxfId="1171" priority="1232">
      <formula>$BC403="YES"</formula>
    </cfRule>
  </conditionalFormatting>
  <conditionalFormatting sqref="AT405:AU406">
    <cfRule type="expression" dxfId="1170" priority="1231">
      <formula>$BC405="YES"</formula>
    </cfRule>
  </conditionalFormatting>
  <conditionalFormatting sqref="AT407:AU408">
    <cfRule type="expression" dxfId="1169" priority="1230">
      <formula>$BC407="YES"</formula>
    </cfRule>
  </conditionalFormatting>
  <conditionalFormatting sqref="AT409:AU410">
    <cfRule type="expression" dxfId="1168" priority="1229">
      <formula>$BC409="YES"</formula>
    </cfRule>
  </conditionalFormatting>
  <conditionalFormatting sqref="AT411:AU412">
    <cfRule type="expression" dxfId="1167" priority="1228">
      <formula>$BC411="YES"</formula>
    </cfRule>
  </conditionalFormatting>
  <conditionalFormatting sqref="AT413:AU414">
    <cfRule type="expression" dxfId="1166" priority="1227">
      <formula>$BC413="YES"</formula>
    </cfRule>
  </conditionalFormatting>
  <conditionalFormatting sqref="AT415:AU416">
    <cfRule type="expression" dxfId="1165" priority="1226">
      <formula>$BC415="YES"</formula>
    </cfRule>
  </conditionalFormatting>
  <conditionalFormatting sqref="AT417:AU418">
    <cfRule type="expression" dxfId="1164" priority="1225">
      <formula>$BC417="YES"</formula>
    </cfRule>
  </conditionalFormatting>
  <conditionalFormatting sqref="AT419:AU420">
    <cfRule type="expression" dxfId="1163" priority="1224">
      <formula>$BC419="YES"</formula>
    </cfRule>
  </conditionalFormatting>
  <conditionalFormatting sqref="AT421:AU422">
    <cfRule type="expression" dxfId="1162" priority="1223">
      <formula>$BC421="YES"</formula>
    </cfRule>
  </conditionalFormatting>
  <conditionalFormatting sqref="AT423:AU424">
    <cfRule type="expression" dxfId="1161" priority="1222">
      <formula>$BC423="YES"</formula>
    </cfRule>
  </conditionalFormatting>
  <conditionalFormatting sqref="AT425:AU426">
    <cfRule type="expression" dxfId="1160" priority="1221">
      <formula>$BC425="YES"</formula>
    </cfRule>
  </conditionalFormatting>
  <conditionalFormatting sqref="AT427:AU428">
    <cfRule type="expression" dxfId="1159" priority="1220">
      <formula>$BC427="YES"</formula>
    </cfRule>
  </conditionalFormatting>
  <conditionalFormatting sqref="AT429:AU430">
    <cfRule type="expression" dxfId="1158" priority="1219">
      <formula>$BC429="YES"</formula>
    </cfRule>
  </conditionalFormatting>
  <conditionalFormatting sqref="AT431:AU432">
    <cfRule type="expression" dxfId="1157" priority="1218">
      <formula>$BC431="YES"</formula>
    </cfRule>
  </conditionalFormatting>
  <conditionalFormatting sqref="AT433:AU434">
    <cfRule type="expression" dxfId="1156" priority="1217">
      <formula>$BC433="YES"</formula>
    </cfRule>
  </conditionalFormatting>
  <conditionalFormatting sqref="AT435:AU436">
    <cfRule type="expression" dxfId="1155" priority="1216">
      <formula>$BC435="YES"</formula>
    </cfRule>
  </conditionalFormatting>
  <conditionalFormatting sqref="AT437:AU438">
    <cfRule type="expression" dxfId="1154" priority="1215">
      <formula>$BC437="YES"</formula>
    </cfRule>
  </conditionalFormatting>
  <conditionalFormatting sqref="AT439:AU440">
    <cfRule type="expression" dxfId="1153" priority="1214">
      <formula>$BC439="YES"</formula>
    </cfRule>
  </conditionalFormatting>
  <conditionalFormatting sqref="AT441:AU442">
    <cfRule type="expression" dxfId="1152" priority="1213">
      <formula>$BC441="YES"</formula>
    </cfRule>
  </conditionalFormatting>
  <conditionalFormatting sqref="AT443:AU444">
    <cfRule type="expression" dxfId="1151" priority="1212">
      <formula>$BC443="YES"</formula>
    </cfRule>
  </conditionalFormatting>
  <conditionalFormatting sqref="AT445:AU446">
    <cfRule type="expression" dxfId="1150" priority="1211">
      <formula>$BC445="YES"</formula>
    </cfRule>
  </conditionalFormatting>
  <conditionalFormatting sqref="AT447:AU448">
    <cfRule type="expression" dxfId="1149" priority="1210">
      <formula>$BC447="YES"</formula>
    </cfRule>
  </conditionalFormatting>
  <conditionalFormatting sqref="AT449:AU450">
    <cfRule type="expression" dxfId="1148" priority="1209">
      <formula>$BC449="YES"</formula>
    </cfRule>
  </conditionalFormatting>
  <conditionalFormatting sqref="AT451:AU452">
    <cfRule type="expression" dxfId="1147" priority="1208">
      <formula>$BC451="YES"</formula>
    </cfRule>
  </conditionalFormatting>
  <conditionalFormatting sqref="AT453:AU454">
    <cfRule type="expression" dxfId="1146" priority="1207">
      <formula>$BC453="YES"</formula>
    </cfRule>
  </conditionalFormatting>
  <conditionalFormatting sqref="AT455:AU456">
    <cfRule type="expression" dxfId="1145" priority="1206">
      <formula>$BC455="YES"</formula>
    </cfRule>
  </conditionalFormatting>
  <conditionalFormatting sqref="AT457:AU458">
    <cfRule type="expression" dxfId="1144" priority="1205">
      <formula>$BC457="YES"</formula>
    </cfRule>
  </conditionalFormatting>
  <conditionalFormatting sqref="AT459:AU460">
    <cfRule type="expression" dxfId="1143" priority="1204">
      <formula>$BC459="YES"</formula>
    </cfRule>
  </conditionalFormatting>
  <conditionalFormatting sqref="AT461:AU462">
    <cfRule type="expression" dxfId="1142" priority="1203">
      <formula>$BC461="YES"</formula>
    </cfRule>
  </conditionalFormatting>
  <conditionalFormatting sqref="AT463:AU464">
    <cfRule type="expression" dxfId="1141" priority="1202">
      <formula>$BC463="YES"</formula>
    </cfRule>
  </conditionalFormatting>
  <conditionalFormatting sqref="AT465:AU466">
    <cfRule type="expression" dxfId="1140" priority="1201">
      <formula>$BC465="YES"</formula>
    </cfRule>
  </conditionalFormatting>
  <conditionalFormatting sqref="AT467:AU468">
    <cfRule type="expression" dxfId="1139" priority="1200">
      <formula>$BC467="YES"</formula>
    </cfRule>
  </conditionalFormatting>
  <conditionalFormatting sqref="AT469:AU470">
    <cfRule type="expression" dxfId="1138" priority="1199">
      <formula>$BC469="YES"</formula>
    </cfRule>
  </conditionalFormatting>
  <conditionalFormatting sqref="AT471:AU472">
    <cfRule type="expression" dxfId="1137" priority="1198">
      <formula>$BC471="YES"</formula>
    </cfRule>
  </conditionalFormatting>
  <conditionalFormatting sqref="AT473:AU474">
    <cfRule type="expression" dxfId="1136" priority="1197">
      <formula>$BC473="YES"</formula>
    </cfRule>
  </conditionalFormatting>
  <conditionalFormatting sqref="AT475:AU476">
    <cfRule type="expression" dxfId="1135" priority="1196">
      <formula>$BC475="YES"</formula>
    </cfRule>
  </conditionalFormatting>
  <conditionalFormatting sqref="AT477:AU478">
    <cfRule type="expression" dxfId="1134" priority="1195">
      <formula>$BC477="YES"</formula>
    </cfRule>
  </conditionalFormatting>
  <conditionalFormatting sqref="AT479:AU480">
    <cfRule type="expression" dxfId="1133" priority="1194">
      <formula>$BC479="YES"</formula>
    </cfRule>
  </conditionalFormatting>
  <conditionalFormatting sqref="AT481:AU482">
    <cfRule type="expression" dxfId="1132" priority="1193">
      <formula>$BC481="YES"</formula>
    </cfRule>
  </conditionalFormatting>
  <conditionalFormatting sqref="AT483:AU484">
    <cfRule type="expression" dxfId="1131" priority="1192">
      <formula>$BC483="YES"</formula>
    </cfRule>
  </conditionalFormatting>
  <conditionalFormatting sqref="AT485:AU486">
    <cfRule type="expression" dxfId="1130" priority="1191">
      <formula>$BC485="YES"</formula>
    </cfRule>
  </conditionalFormatting>
  <conditionalFormatting sqref="AT487:AU488">
    <cfRule type="expression" dxfId="1129" priority="1190">
      <formula>$BC487="YES"</formula>
    </cfRule>
  </conditionalFormatting>
  <conditionalFormatting sqref="AT489:AU490">
    <cfRule type="expression" dxfId="1128" priority="1189">
      <formula>$BC489="YES"</formula>
    </cfRule>
  </conditionalFormatting>
  <conditionalFormatting sqref="AT491:AU492">
    <cfRule type="expression" dxfId="1127" priority="1188">
      <formula>$BC491="YES"</formula>
    </cfRule>
  </conditionalFormatting>
  <conditionalFormatting sqref="AT493:AU494">
    <cfRule type="expression" dxfId="1126" priority="1187">
      <formula>$BC493="YES"</formula>
    </cfRule>
  </conditionalFormatting>
  <conditionalFormatting sqref="AT495:AU496">
    <cfRule type="expression" dxfId="1125" priority="1186">
      <formula>$BC495="YES"</formula>
    </cfRule>
  </conditionalFormatting>
  <conditionalFormatting sqref="AT497:AU498">
    <cfRule type="expression" dxfId="1124" priority="1185">
      <formula>$BC497="YES"</formula>
    </cfRule>
  </conditionalFormatting>
  <conditionalFormatting sqref="AT499:AU500">
    <cfRule type="expression" dxfId="1123" priority="1184">
      <formula>$BC499="YES"</formula>
    </cfRule>
  </conditionalFormatting>
  <conditionalFormatting sqref="AT501:AU502">
    <cfRule type="expression" dxfId="1122" priority="1183">
      <formula>$BC501="YES"</formula>
    </cfRule>
  </conditionalFormatting>
  <conditionalFormatting sqref="AT503:AU504">
    <cfRule type="expression" dxfId="1121" priority="1182">
      <formula>$BC503="YES"</formula>
    </cfRule>
  </conditionalFormatting>
  <conditionalFormatting sqref="AT505:AU506">
    <cfRule type="expression" dxfId="1120" priority="1181">
      <formula>$BC505="YES"</formula>
    </cfRule>
  </conditionalFormatting>
  <conditionalFormatting sqref="AT507:AU508">
    <cfRule type="expression" dxfId="1119" priority="1180">
      <formula>$BC507="YES"</formula>
    </cfRule>
  </conditionalFormatting>
  <conditionalFormatting sqref="AT509:AU510">
    <cfRule type="expression" dxfId="1118" priority="1179">
      <formula>$BC509="YES"</formula>
    </cfRule>
  </conditionalFormatting>
  <conditionalFormatting sqref="AT511:AU512">
    <cfRule type="expression" dxfId="1117" priority="1178">
      <formula>$BC511="YES"</formula>
    </cfRule>
  </conditionalFormatting>
  <conditionalFormatting sqref="AT513:AU514">
    <cfRule type="expression" dxfId="1116" priority="1177">
      <formula>$BC513="YES"</formula>
    </cfRule>
  </conditionalFormatting>
  <conditionalFormatting sqref="AT515:AU516">
    <cfRule type="expression" dxfId="1115" priority="1176">
      <formula>$BC515="YES"</formula>
    </cfRule>
  </conditionalFormatting>
  <conditionalFormatting sqref="AT517:AU518">
    <cfRule type="expression" dxfId="1114" priority="1175">
      <formula>$BC517="YES"</formula>
    </cfRule>
  </conditionalFormatting>
  <conditionalFormatting sqref="AT519:AU520">
    <cfRule type="expression" dxfId="1113" priority="1174">
      <formula>$BC519="YES"</formula>
    </cfRule>
  </conditionalFormatting>
  <conditionalFormatting sqref="AT521:AU522">
    <cfRule type="expression" dxfId="1112" priority="1173">
      <formula>$BC521="YES"</formula>
    </cfRule>
  </conditionalFormatting>
  <conditionalFormatting sqref="AT523:AU524">
    <cfRule type="expression" dxfId="1111" priority="1172">
      <formula>$BC523="YES"</formula>
    </cfRule>
  </conditionalFormatting>
  <conditionalFormatting sqref="AT525:AU526">
    <cfRule type="expression" dxfId="1110" priority="1171">
      <formula>$BC525="YES"</formula>
    </cfRule>
  </conditionalFormatting>
  <conditionalFormatting sqref="AT527:AU528">
    <cfRule type="expression" dxfId="1109" priority="1170">
      <formula>$BC527="YES"</formula>
    </cfRule>
  </conditionalFormatting>
  <conditionalFormatting sqref="AT529:AU530">
    <cfRule type="expression" dxfId="1108" priority="1169">
      <formula>$BC529="YES"</formula>
    </cfRule>
  </conditionalFormatting>
  <conditionalFormatting sqref="AT531:AU532">
    <cfRule type="expression" dxfId="1107" priority="1168">
      <formula>$BC531="YES"</formula>
    </cfRule>
  </conditionalFormatting>
  <conditionalFormatting sqref="AT533:AU534">
    <cfRule type="expression" dxfId="1106" priority="1167">
      <formula>$BC533="YES"</formula>
    </cfRule>
  </conditionalFormatting>
  <conditionalFormatting sqref="AT535:AU536">
    <cfRule type="expression" dxfId="1105" priority="1166">
      <formula>$BC535="YES"</formula>
    </cfRule>
  </conditionalFormatting>
  <conditionalFormatting sqref="AT537:AU538">
    <cfRule type="expression" dxfId="1104" priority="1165">
      <formula>$BC537="YES"</formula>
    </cfRule>
  </conditionalFormatting>
  <conditionalFormatting sqref="AT539:AU540">
    <cfRule type="expression" dxfId="1103" priority="1164">
      <formula>$BC539="YES"</formula>
    </cfRule>
  </conditionalFormatting>
  <conditionalFormatting sqref="AT541:AU542">
    <cfRule type="expression" dxfId="1102" priority="1163">
      <formula>$BC541="YES"</formula>
    </cfRule>
  </conditionalFormatting>
  <conditionalFormatting sqref="AT543:AU544">
    <cfRule type="expression" dxfId="1101" priority="1162">
      <formula>$BC543="YES"</formula>
    </cfRule>
  </conditionalFormatting>
  <conditionalFormatting sqref="AT545:AU546">
    <cfRule type="expression" dxfId="1100" priority="1161">
      <formula>$BC545="YES"</formula>
    </cfRule>
  </conditionalFormatting>
  <conditionalFormatting sqref="AT547:AU548">
    <cfRule type="expression" dxfId="1099" priority="1160">
      <formula>$BC547="YES"</formula>
    </cfRule>
  </conditionalFormatting>
  <conditionalFormatting sqref="AT549:AU550">
    <cfRule type="expression" dxfId="1098" priority="1159">
      <formula>$BC549="YES"</formula>
    </cfRule>
  </conditionalFormatting>
  <conditionalFormatting sqref="AT551:AU552">
    <cfRule type="expression" dxfId="1097" priority="1158">
      <formula>$BC551="YES"</formula>
    </cfRule>
  </conditionalFormatting>
  <conditionalFormatting sqref="AT553:AU554">
    <cfRule type="expression" dxfId="1096" priority="1157">
      <formula>$BC553="YES"</formula>
    </cfRule>
  </conditionalFormatting>
  <conditionalFormatting sqref="AT555:AU556">
    <cfRule type="expression" dxfId="1095" priority="1156">
      <formula>$BC555="YES"</formula>
    </cfRule>
  </conditionalFormatting>
  <conditionalFormatting sqref="AT557:AU558">
    <cfRule type="expression" dxfId="1094" priority="1155">
      <formula>$BC557="YES"</formula>
    </cfRule>
  </conditionalFormatting>
  <conditionalFormatting sqref="AT559:AU560">
    <cfRule type="expression" dxfId="1093" priority="1154">
      <formula>$BC559="YES"</formula>
    </cfRule>
  </conditionalFormatting>
  <conditionalFormatting sqref="AT561:AU562">
    <cfRule type="expression" dxfId="1092" priority="1153">
      <formula>$BC561="YES"</formula>
    </cfRule>
  </conditionalFormatting>
  <conditionalFormatting sqref="AT563:AU564">
    <cfRule type="expression" dxfId="1091" priority="1152">
      <formula>$BC563="YES"</formula>
    </cfRule>
  </conditionalFormatting>
  <conditionalFormatting sqref="AT565:AU566">
    <cfRule type="expression" dxfId="1090" priority="1151">
      <formula>$BC565="YES"</formula>
    </cfRule>
  </conditionalFormatting>
  <conditionalFormatting sqref="AT567:AU568">
    <cfRule type="expression" dxfId="1089" priority="1150">
      <formula>$BC567="YES"</formula>
    </cfRule>
  </conditionalFormatting>
  <conditionalFormatting sqref="AT569:AU570">
    <cfRule type="expression" dxfId="1088" priority="1149">
      <formula>$BC569="YES"</formula>
    </cfRule>
  </conditionalFormatting>
  <conditionalFormatting sqref="AT571:AU572">
    <cfRule type="expression" dxfId="1087" priority="1148">
      <formula>$BC571="YES"</formula>
    </cfRule>
  </conditionalFormatting>
  <conditionalFormatting sqref="AT573:AU574">
    <cfRule type="expression" dxfId="1086" priority="1147">
      <formula>$BC573="YES"</formula>
    </cfRule>
  </conditionalFormatting>
  <conditionalFormatting sqref="AT575:AU576">
    <cfRule type="expression" dxfId="1085" priority="1146">
      <formula>$BC575="YES"</formula>
    </cfRule>
  </conditionalFormatting>
  <conditionalFormatting sqref="AT577:AU578">
    <cfRule type="expression" dxfId="1084" priority="1145">
      <formula>$BC577="YES"</formula>
    </cfRule>
  </conditionalFormatting>
  <conditionalFormatting sqref="AT579:AU580">
    <cfRule type="expression" dxfId="1083" priority="1144">
      <formula>$BC579="YES"</formula>
    </cfRule>
  </conditionalFormatting>
  <conditionalFormatting sqref="AT581:AU582">
    <cfRule type="expression" dxfId="1082" priority="1143">
      <formula>$BC581="YES"</formula>
    </cfRule>
  </conditionalFormatting>
  <conditionalFormatting sqref="AT583:AU584">
    <cfRule type="expression" dxfId="1081" priority="1142">
      <formula>$BC583="YES"</formula>
    </cfRule>
  </conditionalFormatting>
  <conditionalFormatting sqref="AT585:AU586">
    <cfRule type="expression" dxfId="1080" priority="1141">
      <formula>$BC585="YES"</formula>
    </cfRule>
  </conditionalFormatting>
  <conditionalFormatting sqref="AT587:AU588">
    <cfRule type="expression" dxfId="1079" priority="1140">
      <formula>$BC587="YES"</formula>
    </cfRule>
  </conditionalFormatting>
  <conditionalFormatting sqref="AT589:AU590">
    <cfRule type="expression" dxfId="1078" priority="1139">
      <formula>$BC589="YES"</formula>
    </cfRule>
  </conditionalFormatting>
  <conditionalFormatting sqref="AT591:AU592">
    <cfRule type="expression" dxfId="1077" priority="1138">
      <formula>$BC591="YES"</formula>
    </cfRule>
  </conditionalFormatting>
  <conditionalFormatting sqref="AT593:AU594">
    <cfRule type="expression" dxfId="1076" priority="1137">
      <formula>$BC593="YES"</formula>
    </cfRule>
  </conditionalFormatting>
  <conditionalFormatting sqref="AT595:AU596">
    <cfRule type="expression" dxfId="1075" priority="1136">
      <formula>$BC595="YES"</formula>
    </cfRule>
  </conditionalFormatting>
  <conditionalFormatting sqref="AT597:AU598">
    <cfRule type="expression" dxfId="1074" priority="1135">
      <formula>$BC597="YES"</formula>
    </cfRule>
  </conditionalFormatting>
  <conditionalFormatting sqref="AT599:AU600">
    <cfRule type="expression" dxfId="1073" priority="1134">
      <formula>$BC599="YES"</formula>
    </cfRule>
  </conditionalFormatting>
  <conditionalFormatting sqref="AT601:AU602">
    <cfRule type="expression" dxfId="1072" priority="1133">
      <formula>$BC601="YES"</formula>
    </cfRule>
  </conditionalFormatting>
  <conditionalFormatting sqref="AT603:AU604">
    <cfRule type="expression" dxfId="1071" priority="1132">
      <formula>$BC603="YES"</formula>
    </cfRule>
  </conditionalFormatting>
  <conditionalFormatting sqref="AT605:AU606">
    <cfRule type="expression" dxfId="1070" priority="1131">
      <formula>$BC605="YES"</formula>
    </cfRule>
  </conditionalFormatting>
  <conditionalFormatting sqref="AT607:AU608">
    <cfRule type="expression" dxfId="1069" priority="1130">
      <formula>$BC607="YES"</formula>
    </cfRule>
  </conditionalFormatting>
  <conditionalFormatting sqref="AT609:AU610">
    <cfRule type="expression" dxfId="1068" priority="1129">
      <formula>$BC609="YES"</formula>
    </cfRule>
  </conditionalFormatting>
  <conditionalFormatting sqref="AT611:AU612">
    <cfRule type="expression" dxfId="1067" priority="1128">
      <formula>$BC611="YES"</formula>
    </cfRule>
  </conditionalFormatting>
  <conditionalFormatting sqref="AT613:AU614">
    <cfRule type="expression" dxfId="1066" priority="1127">
      <formula>$BC613="YES"</formula>
    </cfRule>
  </conditionalFormatting>
  <conditionalFormatting sqref="J1472:K1473">
    <cfRule type="expression" dxfId="1065" priority="63">
      <formula>$BC1472="YES"</formula>
    </cfRule>
  </conditionalFormatting>
  <conditionalFormatting sqref="L1474:M1475">
    <cfRule type="expression" dxfId="1064" priority="62">
      <formula>$BC1474="YES"</formula>
    </cfRule>
  </conditionalFormatting>
  <conditionalFormatting sqref="J1474:K1475">
    <cfRule type="expression" dxfId="1063" priority="61">
      <formula>$BC1474="YES"</formula>
    </cfRule>
  </conditionalFormatting>
  <conditionalFormatting sqref="H1472:I1472">
    <cfRule type="expression" dxfId="1062" priority="60">
      <formula>$BC1472="YES"</formula>
    </cfRule>
  </conditionalFormatting>
  <conditionalFormatting sqref="H1473:I1474">
    <cfRule type="expression" dxfId="1061" priority="59">
      <formula>$BC1473="YES"</formula>
    </cfRule>
  </conditionalFormatting>
  <conditionalFormatting sqref="H1475:I1475">
    <cfRule type="expression" dxfId="1060" priority="58">
      <formula>$BC1475="YES"</formula>
    </cfRule>
  </conditionalFormatting>
  <conditionalFormatting sqref="L1476:M1477">
    <cfRule type="expression" dxfId="1059" priority="57">
      <formula>$BC1476="YES"</formula>
    </cfRule>
  </conditionalFormatting>
  <conditionalFormatting sqref="J1476:K1477">
    <cfRule type="expression" dxfId="1058" priority="56">
      <formula>$BC1476="YES"</formula>
    </cfRule>
  </conditionalFormatting>
  <conditionalFormatting sqref="L1478:M1479">
    <cfRule type="expression" dxfId="1057" priority="55">
      <formula>$BC1478="YES"</formula>
    </cfRule>
  </conditionalFormatting>
  <conditionalFormatting sqref="J1478:K1479">
    <cfRule type="expression" dxfId="1056" priority="54">
      <formula>$BC1478="YES"</formula>
    </cfRule>
  </conditionalFormatting>
  <conditionalFormatting sqref="H1476:I1476">
    <cfRule type="expression" dxfId="1055" priority="53">
      <formula>$BC1476="YES"</formula>
    </cfRule>
  </conditionalFormatting>
  <conditionalFormatting sqref="H1477:I1478">
    <cfRule type="expression" dxfId="1054" priority="52">
      <formula>$BC1477="YES"</formula>
    </cfRule>
  </conditionalFormatting>
  <conditionalFormatting sqref="H1479:I1479">
    <cfRule type="expression" dxfId="1053" priority="51">
      <formula>$BC1479="YES"</formula>
    </cfRule>
  </conditionalFormatting>
  <conditionalFormatting sqref="L1480:M1481">
    <cfRule type="expression" dxfId="1052" priority="50">
      <formula>$BC1480="YES"</formula>
    </cfRule>
  </conditionalFormatting>
  <conditionalFormatting sqref="J1480:K1481">
    <cfRule type="expression" dxfId="1051" priority="49">
      <formula>$BC1480="YES"</formula>
    </cfRule>
  </conditionalFormatting>
  <conditionalFormatting sqref="L1482:M1483">
    <cfRule type="expression" dxfId="1050" priority="48">
      <formula>$BC1482="YES"</formula>
    </cfRule>
  </conditionalFormatting>
  <conditionalFormatting sqref="J1482:K1483">
    <cfRule type="expression" dxfId="1049" priority="47">
      <formula>$BC1482="YES"</formula>
    </cfRule>
  </conditionalFormatting>
  <conditionalFormatting sqref="H1480:I1480">
    <cfRule type="expression" dxfId="1048" priority="46">
      <formula>$BC1480="YES"</formula>
    </cfRule>
  </conditionalFormatting>
  <conditionalFormatting sqref="H1481:I1482">
    <cfRule type="expression" dxfId="1047" priority="45">
      <formula>$BC1481="YES"</formula>
    </cfRule>
  </conditionalFormatting>
  <conditionalFormatting sqref="H1483:I1483">
    <cfRule type="expression" dxfId="1046" priority="44">
      <formula>$BC1483="YES"</formula>
    </cfRule>
  </conditionalFormatting>
  <conditionalFormatting sqref="L1484:M1485">
    <cfRule type="expression" dxfId="1045" priority="43">
      <formula>$BC1484="YES"</formula>
    </cfRule>
  </conditionalFormatting>
  <conditionalFormatting sqref="J1484:K1485">
    <cfRule type="expression" dxfId="1044" priority="42">
      <formula>$BC1484="YES"</formula>
    </cfRule>
  </conditionalFormatting>
  <conditionalFormatting sqref="L1486:M1487">
    <cfRule type="expression" dxfId="1043" priority="41">
      <formula>$BC1486="YES"</formula>
    </cfRule>
  </conditionalFormatting>
  <conditionalFormatting sqref="J1486:K1487">
    <cfRule type="expression" dxfId="1042" priority="40">
      <formula>$BC1486="YES"</formula>
    </cfRule>
  </conditionalFormatting>
  <conditionalFormatting sqref="H1484:I1484">
    <cfRule type="expression" dxfId="1041" priority="39">
      <formula>$BC1484="YES"</formula>
    </cfRule>
  </conditionalFormatting>
  <conditionalFormatting sqref="H1485:I1486">
    <cfRule type="expression" dxfId="1040" priority="38">
      <formula>$BC1485="YES"</formula>
    </cfRule>
  </conditionalFormatting>
  <conditionalFormatting sqref="H1487:I1487">
    <cfRule type="expression" dxfId="1039" priority="37">
      <formula>$BC1487="YES"</formula>
    </cfRule>
  </conditionalFormatting>
  <conditionalFormatting sqref="L1488:M1489">
    <cfRule type="expression" dxfId="1038" priority="36">
      <formula>$BC1488="YES"</formula>
    </cfRule>
  </conditionalFormatting>
  <conditionalFormatting sqref="J1488:K1489">
    <cfRule type="expression" dxfId="1037" priority="35">
      <formula>$BC1488="YES"</formula>
    </cfRule>
  </conditionalFormatting>
  <conditionalFormatting sqref="L1490:M1491">
    <cfRule type="expression" dxfId="1036" priority="34">
      <formula>$BC1490="YES"</formula>
    </cfRule>
  </conditionalFormatting>
  <conditionalFormatting sqref="J1490:K1491">
    <cfRule type="expression" dxfId="1035" priority="33">
      <formula>$BC1490="YES"</formula>
    </cfRule>
  </conditionalFormatting>
  <conditionalFormatting sqref="H1488:I1488">
    <cfRule type="expression" dxfId="1034" priority="32">
      <formula>$BC1488="YES"</formula>
    </cfRule>
  </conditionalFormatting>
  <conditionalFormatting sqref="H1460:I1460">
    <cfRule type="expression" dxfId="1033" priority="81">
      <formula>$BC1460="YES"</formula>
    </cfRule>
  </conditionalFormatting>
  <conditionalFormatting sqref="H1441:I1442">
    <cfRule type="expression" dxfId="1032" priority="115">
      <formula>$BC1441="YES"</formula>
    </cfRule>
  </conditionalFormatting>
  <conditionalFormatting sqref="H1423:I1423">
    <cfRule type="expression" dxfId="1031" priority="149">
      <formula>$BC1423="YES"</formula>
    </cfRule>
  </conditionalFormatting>
  <conditionalFormatting sqref="J1400:K1400">
    <cfRule type="expression" dxfId="1030" priority="183">
      <formula>$BC1400="YES"</formula>
    </cfRule>
  </conditionalFormatting>
  <conditionalFormatting sqref="L1206:M1206">
    <cfRule type="expression" dxfId="1029" priority="221">
      <formula>$BC1206="YES"</formula>
    </cfRule>
  </conditionalFormatting>
  <conditionalFormatting sqref="H1203:I1204">
    <cfRule type="expression" dxfId="1028" priority="223">
      <formula>$BC1203="YES"</formula>
    </cfRule>
  </conditionalFormatting>
  <conditionalFormatting sqref="H1205:I1205">
    <cfRule type="expression" dxfId="1027" priority="222">
      <formula>$BC1205="YES"</formula>
    </cfRule>
  </conditionalFormatting>
  <conditionalFormatting sqref="J1206:K1206">
    <cfRule type="expression" dxfId="1026" priority="220">
      <formula>$BC1206="YES"</formula>
    </cfRule>
  </conditionalFormatting>
  <conditionalFormatting sqref="H1206:I1206">
    <cfRule type="expression" dxfId="1025" priority="219">
      <formula>$BC1206="YES"</formula>
    </cfRule>
  </conditionalFormatting>
  <conditionalFormatting sqref="F1307:F1504 L1207:M1208 L1221:M1399 H1207:I1226 L1402:M1403">
    <cfRule type="expression" dxfId="1024" priority="218">
      <formula>$BC1207="YES"</formula>
    </cfRule>
  </conditionalFormatting>
  <conditionalFormatting sqref="F1400:F1402">
    <cfRule type="expression" dxfId="1023" priority="217">
      <formula>$BC1400="YES"</formula>
    </cfRule>
  </conditionalFormatting>
  <conditionalFormatting sqref="L1209:M1210">
    <cfRule type="expression" dxfId="1022" priority="216">
      <formula>$BC1209="YES"</formula>
    </cfRule>
  </conditionalFormatting>
  <conditionalFormatting sqref="L1211:M1212">
    <cfRule type="expression" dxfId="1021" priority="215">
      <formula>$BC1211="YES"</formula>
    </cfRule>
  </conditionalFormatting>
  <conditionalFormatting sqref="L1213:M1214">
    <cfRule type="expression" dxfId="1020" priority="214">
      <formula>$BC1213="YES"</formula>
    </cfRule>
  </conditionalFormatting>
  <conditionalFormatting sqref="J15:K16 J29:K207 J210:K211 J1505:K1609">
    <cfRule type="expression" dxfId="1019" priority="1070">
      <formula>$BC15="YES"</formula>
    </cfRule>
  </conditionalFormatting>
  <conditionalFormatting sqref="J17:K18">
    <cfRule type="expression" dxfId="1018" priority="1069">
      <formula>$BC17="YES"</formula>
    </cfRule>
  </conditionalFormatting>
  <conditionalFormatting sqref="J19:K20">
    <cfRule type="expression" dxfId="1017" priority="1068">
      <formula>$BC19="YES"</formula>
    </cfRule>
  </conditionalFormatting>
  <conditionalFormatting sqref="J21:K22">
    <cfRule type="expression" dxfId="1016" priority="1067">
      <formula>$BC21="YES"</formula>
    </cfRule>
  </conditionalFormatting>
  <conditionalFormatting sqref="J23:K24">
    <cfRule type="expression" dxfId="1015" priority="1066">
      <formula>$BC23="YES"</formula>
    </cfRule>
  </conditionalFormatting>
  <conditionalFormatting sqref="J25:K26">
    <cfRule type="expression" dxfId="1014" priority="1065">
      <formula>$BC25="YES"</formula>
    </cfRule>
  </conditionalFormatting>
  <conditionalFormatting sqref="J27:K28">
    <cfRule type="expression" dxfId="1013" priority="1064">
      <formula>$BC27="YES"</formula>
    </cfRule>
  </conditionalFormatting>
  <conditionalFormatting sqref="F15:F114">
    <cfRule type="expression" dxfId="1012" priority="1063">
      <formula>$BC15="YES"</formula>
    </cfRule>
  </conditionalFormatting>
  <conditionalFormatting sqref="H35:I44">
    <cfRule type="expression" dxfId="1011" priority="1062">
      <formula>$BC35="YES"</formula>
    </cfRule>
  </conditionalFormatting>
  <conditionalFormatting sqref="H45:I54">
    <cfRule type="expression" dxfId="1010" priority="1061">
      <formula>$BC45="YES"</formula>
    </cfRule>
  </conditionalFormatting>
  <conditionalFormatting sqref="H55:I64">
    <cfRule type="expression" dxfId="1009" priority="1060">
      <formula>$BC55="YES"</formula>
    </cfRule>
  </conditionalFormatting>
  <conditionalFormatting sqref="H65:I74">
    <cfRule type="expression" dxfId="1008" priority="1059">
      <formula>$BC65="YES"</formula>
    </cfRule>
  </conditionalFormatting>
  <conditionalFormatting sqref="H75:I84">
    <cfRule type="expression" dxfId="1007" priority="1058">
      <formula>$BC75="YES"</formula>
    </cfRule>
  </conditionalFormatting>
  <conditionalFormatting sqref="H85:I94">
    <cfRule type="expression" dxfId="1006" priority="1057">
      <formula>$BC85="YES"</formula>
    </cfRule>
  </conditionalFormatting>
  <conditionalFormatting sqref="H95:I104">
    <cfRule type="expression" dxfId="1005" priority="1056">
      <formula>$BC95="YES"</formula>
    </cfRule>
  </conditionalFormatting>
  <conditionalFormatting sqref="H105:I114">
    <cfRule type="expression" dxfId="1004" priority="1055">
      <formula>$BC105="YES"</formula>
    </cfRule>
  </conditionalFormatting>
  <conditionalFormatting sqref="H115:I124">
    <cfRule type="expression" dxfId="1003" priority="1054">
      <formula>$BC115="YES"</formula>
    </cfRule>
  </conditionalFormatting>
  <conditionalFormatting sqref="H125:I134">
    <cfRule type="expression" dxfId="1002" priority="1053">
      <formula>$BC125="YES"</formula>
    </cfRule>
  </conditionalFormatting>
  <conditionalFormatting sqref="H135:I144">
    <cfRule type="expression" dxfId="1001" priority="1052">
      <formula>$BC135="YES"</formula>
    </cfRule>
  </conditionalFormatting>
  <conditionalFormatting sqref="H145:I154">
    <cfRule type="expression" dxfId="1000" priority="1051">
      <formula>$BC145="YES"</formula>
    </cfRule>
  </conditionalFormatting>
  <conditionalFormatting sqref="H155:I164">
    <cfRule type="expression" dxfId="999" priority="1050">
      <formula>$BC155="YES"</formula>
    </cfRule>
  </conditionalFormatting>
  <conditionalFormatting sqref="H165:I174">
    <cfRule type="expression" dxfId="998" priority="1049">
      <formula>$BC165="YES"</formula>
    </cfRule>
  </conditionalFormatting>
  <conditionalFormatting sqref="H175:I184">
    <cfRule type="expression" dxfId="997" priority="1048">
      <formula>$BC175="YES"</formula>
    </cfRule>
  </conditionalFormatting>
  <conditionalFormatting sqref="H185:I194">
    <cfRule type="expression" dxfId="996" priority="1047">
      <formula>$BC185="YES"</formula>
    </cfRule>
  </conditionalFormatting>
  <conditionalFormatting sqref="H195:I204">
    <cfRule type="expression" dxfId="995" priority="1046">
      <formula>$BC195="YES"</formula>
    </cfRule>
  </conditionalFormatting>
  <conditionalFormatting sqref="H205:I214">
    <cfRule type="expression" dxfId="994" priority="1045">
      <formula>$BC205="YES"</formula>
    </cfRule>
  </conditionalFormatting>
  <conditionalFormatting sqref="L208:M208">
    <cfRule type="expression" dxfId="993" priority="1044">
      <formula>$BC208="YES"</formula>
    </cfRule>
  </conditionalFormatting>
  <conditionalFormatting sqref="J208:K208">
    <cfRule type="expression" dxfId="992" priority="1043">
      <formula>$BC208="YES"</formula>
    </cfRule>
  </conditionalFormatting>
  <conditionalFormatting sqref="L209:M209">
    <cfRule type="expression" dxfId="991" priority="1042">
      <formula>$BC209="YES"</formula>
    </cfRule>
  </conditionalFormatting>
  <conditionalFormatting sqref="J209:K209">
    <cfRule type="expression" dxfId="990" priority="1041">
      <formula>$BC209="YES"</formula>
    </cfRule>
  </conditionalFormatting>
  <conditionalFormatting sqref="L212:M213">
    <cfRule type="expression" dxfId="989" priority="1040">
      <formula>$BC212="YES"</formula>
    </cfRule>
  </conditionalFormatting>
  <conditionalFormatting sqref="J212:K213">
    <cfRule type="expression" dxfId="988" priority="1039">
      <formula>$BC212="YES"</formula>
    </cfRule>
  </conditionalFormatting>
  <conditionalFormatting sqref="L214:M215">
    <cfRule type="expression" dxfId="987" priority="1038">
      <formula>$BC214="YES"</formula>
    </cfRule>
  </conditionalFormatting>
  <conditionalFormatting sqref="J214:K215">
    <cfRule type="expression" dxfId="986" priority="1037">
      <formula>$BC214="YES"</formula>
    </cfRule>
  </conditionalFormatting>
  <conditionalFormatting sqref="L216:M217">
    <cfRule type="expression" dxfId="985" priority="1036">
      <formula>$BC216="YES"</formula>
    </cfRule>
  </conditionalFormatting>
  <conditionalFormatting sqref="J216:K217">
    <cfRule type="expression" dxfId="984" priority="1035">
      <formula>$BC216="YES"</formula>
    </cfRule>
  </conditionalFormatting>
  <conditionalFormatting sqref="L218:M219">
    <cfRule type="expression" dxfId="983" priority="1034">
      <formula>$BC218="YES"</formula>
    </cfRule>
  </conditionalFormatting>
  <conditionalFormatting sqref="J218:K219">
    <cfRule type="expression" dxfId="982" priority="1033">
      <formula>$BC218="YES"</formula>
    </cfRule>
  </conditionalFormatting>
  <conditionalFormatting sqref="H215:I216">
    <cfRule type="expression" dxfId="981" priority="1032">
      <formula>$BC215="YES"</formula>
    </cfRule>
  </conditionalFormatting>
  <conditionalFormatting sqref="H217:I218">
    <cfRule type="expression" dxfId="980" priority="1031">
      <formula>$BC217="YES"</formula>
    </cfRule>
  </conditionalFormatting>
  <conditionalFormatting sqref="H219:I219">
    <cfRule type="expression" dxfId="979" priority="1030">
      <formula>$BC219="YES"</formula>
    </cfRule>
  </conditionalFormatting>
  <conditionalFormatting sqref="B1612:F1614">
    <cfRule type="expression" dxfId="978" priority="4">
      <formula>$BC1612="YES"</formula>
    </cfRule>
  </conditionalFormatting>
  <conditionalFormatting sqref="AJ1610:AK1614">
    <cfRule type="expression" dxfId="977" priority="3">
      <formula>$BC1610="YES"</formula>
    </cfRule>
  </conditionalFormatting>
  <conditionalFormatting sqref="A1610:A1614">
    <cfRule type="expression" dxfId="976" priority="2">
      <formula>$BC1610="YES"</formula>
    </cfRule>
  </conditionalFormatting>
  <conditionalFormatting sqref="J1610:K1614">
    <cfRule type="expression" dxfId="975" priority="1">
      <formula>$BC1610="YES"</formula>
    </cfRule>
  </conditionalFormatting>
  <conditionalFormatting sqref="L220:M221">
    <cfRule type="expression" dxfId="974" priority="1025">
      <formula>$BC220="YES"</formula>
    </cfRule>
  </conditionalFormatting>
  <conditionalFormatting sqref="J220:K221">
    <cfRule type="expression" dxfId="973" priority="1024">
      <formula>$BC220="YES"</formula>
    </cfRule>
  </conditionalFormatting>
  <conditionalFormatting sqref="L222:M223">
    <cfRule type="expression" dxfId="972" priority="1023">
      <formula>$BC222="YES"</formula>
    </cfRule>
  </conditionalFormatting>
  <conditionalFormatting sqref="J222:K223">
    <cfRule type="expression" dxfId="971" priority="1022">
      <formula>$BC222="YES"</formula>
    </cfRule>
  </conditionalFormatting>
  <conditionalFormatting sqref="H220:I220">
    <cfRule type="expression" dxfId="970" priority="1021">
      <formula>$BC220="YES"</formula>
    </cfRule>
  </conditionalFormatting>
  <conditionalFormatting sqref="H221:I222">
    <cfRule type="expression" dxfId="969" priority="1020">
      <formula>$BC221="YES"</formula>
    </cfRule>
  </conditionalFormatting>
  <conditionalFormatting sqref="H223:I223">
    <cfRule type="expression" dxfId="968" priority="1019">
      <formula>$BC223="YES"</formula>
    </cfRule>
  </conditionalFormatting>
  <conditionalFormatting sqref="L224:M225">
    <cfRule type="expression" dxfId="967" priority="1018">
      <formula>$BC224="YES"</formula>
    </cfRule>
  </conditionalFormatting>
  <conditionalFormatting sqref="J224:K225">
    <cfRule type="expression" dxfId="966" priority="1017">
      <formula>$BC224="YES"</formula>
    </cfRule>
  </conditionalFormatting>
  <conditionalFormatting sqref="L226:M227">
    <cfRule type="expression" dxfId="965" priority="1016">
      <formula>$BC226="YES"</formula>
    </cfRule>
  </conditionalFormatting>
  <conditionalFormatting sqref="J226:K227">
    <cfRule type="expression" dxfId="964" priority="1015">
      <formula>$BC226="YES"</formula>
    </cfRule>
  </conditionalFormatting>
  <conditionalFormatting sqref="H224:I224">
    <cfRule type="expression" dxfId="963" priority="1014">
      <formula>$BC224="YES"</formula>
    </cfRule>
  </conditionalFormatting>
  <conditionalFormatting sqref="H225:I226">
    <cfRule type="expression" dxfId="962" priority="1013">
      <formula>$BC225="YES"</formula>
    </cfRule>
  </conditionalFormatting>
  <conditionalFormatting sqref="H227:I227">
    <cfRule type="expression" dxfId="961" priority="1012">
      <formula>$BC227="YES"</formula>
    </cfRule>
  </conditionalFormatting>
  <conditionalFormatting sqref="L228:M229">
    <cfRule type="expression" dxfId="960" priority="1011">
      <formula>$BC228="YES"</formula>
    </cfRule>
  </conditionalFormatting>
  <conditionalFormatting sqref="J228:K229">
    <cfRule type="expression" dxfId="959" priority="1010">
      <formula>$BC228="YES"</formula>
    </cfRule>
  </conditionalFormatting>
  <conditionalFormatting sqref="L230:M231">
    <cfRule type="expression" dxfId="958" priority="1009">
      <formula>$BC230="YES"</formula>
    </cfRule>
  </conditionalFormatting>
  <conditionalFormatting sqref="J230:K231">
    <cfRule type="expression" dxfId="957" priority="1008">
      <formula>$BC230="YES"</formula>
    </cfRule>
  </conditionalFormatting>
  <conditionalFormatting sqref="H228:I228">
    <cfRule type="expression" dxfId="956" priority="1007">
      <formula>$BC228="YES"</formula>
    </cfRule>
  </conditionalFormatting>
  <conditionalFormatting sqref="H229:I230">
    <cfRule type="expression" dxfId="955" priority="1006">
      <formula>$BC229="YES"</formula>
    </cfRule>
  </conditionalFormatting>
  <conditionalFormatting sqref="H231:I231">
    <cfRule type="expression" dxfId="954" priority="1005">
      <formula>$BC231="YES"</formula>
    </cfRule>
  </conditionalFormatting>
  <conditionalFormatting sqref="L232:M233">
    <cfRule type="expression" dxfId="953" priority="1004">
      <formula>$BC232="YES"</formula>
    </cfRule>
  </conditionalFormatting>
  <conditionalFormatting sqref="J232:K233">
    <cfRule type="expression" dxfId="952" priority="1003">
      <formula>$BC232="YES"</formula>
    </cfRule>
  </conditionalFormatting>
  <conditionalFormatting sqref="L234:M235">
    <cfRule type="expression" dxfId="951" priority="1002">
      <formula>$BC234="YES"</formula>
    </cfRule>
  </conditionalFormatting>
  <conditionalFormatting sqref="J234:K235">
    <cfRule type="expression" dxfId="950" priority="1001">
      <formula>$BC234="YES"</formula>
    </cfRule>
  </conditionalFormatting>
  <conditionalFormatting sqref="H232:I232">
    <cfRule type="expression" dxfId="949" priority="1000">
      <formula>$BC232="YES"</formula>
    </cfRule>
  </conditionalFormatting>
  <conditionalFormatting sqref="H233:I234">
    <cfRule type="expression" dxfId="948" priority="999">
      <formula>$BC233="YES"</formula>
    </cfRule>
  </conditionalFormatting>
  <conditionalFormatting sqref="H235:I235">
    <cfRule type="expression" dxfId="947" priority="998">
      <formula>$BC235="YES"</formula>
    </cfRule>
  </conditionalFormatting>
  <conditionalFormatting sqref="L236:M237">
    <cfRule type="expression" dxfId="946" priority="997">
      <formula>$BC236="YES"</formula>
    </cfRule>
  </conditionalFormatting>
  <conditionalFormatting sqref="J236:K237">
    <cfRule type="expression" dxfId="945" priority="996">
      <formula>$BC236="YES"</formula>
    </cfRule>
  </conditionalFormatting>
  <conditionalFormatting sqref="L238:M239">
    <cfRule type="expression" dxfId="944" priority="995">
      <formula>$BC238="YES"</formula>
    </cfRule>
  </conditionalFormatting>
  <conditionalFormatting sqref="J238:K239">
    <cfRule type="expression" dxfId="943" priority="994">
      <formula>$BC238="YES"</formula>
    </cfRule>
  </conditionalFormatting>
  <conditionalFormatting sqref="H236:I236">
    <cfRule type="expression" dxfId="942" priority="993">
      <formula>$BC236="YES"</formula>
    </cfRule>
  </conditionalFormatting>
  <conditionalFormatting sqref="H237:I238">
    <cfRule type="expression" dxfId="941" priority="992">
      <formula>$BC237="YES"</formula>
    </cfRule>
  </conditionalFormatting>
  <conditionalFormatting sqref="H239:I239">
    <cfRule type="expression" dxfId="940" priority="991">
      <formula>$BC239="YES"</formula>
    </cfRule>
  </conditionalFormatting>
  <conditionalFormatting sqref="L240:M241">
    <cfRule type="expression" dxfId="939" priority="990">
      <formula>$BC240="YES"</formula>
    </cfRule>
  </conditionalFormatting>
  <conditionalFormatting sqref="J240:K241">
    <cfRule type="expression" dxfId="938" priority="989">
      <formula>$BC240="YES"</formula>
    </cfRule>
  </conditionalFormatting>
  <conditionalFormatting sqref="L242:M243">
    <cfRule type="expression" dxfId="937" priority="988">
      <formula>$BC242="YES"</formula>
    </cfRule>
  </conditionalFormatting>
  <conditionalFormatting sqref="J242:K243">
    <cfRule type="expression" dxfId="936" priority="987">
      <formula>$BC242="YES"</formula>
    </cfRule>
  </conditionalFormatting>
  <conditionalFormatting sqref="H240:I240">
    <cfRule type="expression" dxfId="935" priority="986">
      <formula>$BC240="YES"</formula>
    </cfRule>
  </conditionalFormatting>
  <conditionalFormatting sqref="H241:I242">
    <cfRule type="expression" dxfId="934" priority="985">
      <formula>$BC241="YES"</formula>
    </cfRule>
  </conditionalFormatting>
  <conditionalFormatting sqref="H243:I243">
    <cfRule type="expression" dxfId="933" priority="984">
      <formula>$BC243="YES"</formula>
    </cfRule>
  </conditionalFormatting>
  <conditionalFormatting sqref="L244:M245">
    <cfRule type="expression" dxfId="932" priority="983">
      <formula>$BC244="YES"</formula>
    </cfRule>
  </conditionalFormatting>
  <conditionalFormatting sqref="J244:K245">
    <cfRule type="expression" dxfId="931" priority="982">
      <formula>$BC244="YES"</formula>
    </cfRule>
  </conditionalFormatting>
  <conditionalFormatting sqref="L246:M247">
    <cfRule type="expression" dxfId="930" priority="981">
      <formula>$BC246="YES"</formula>
    </cfRule>
  </conditionalFormatting>
  <conditionalFormatting sqref="J246:K247">
    <cfRule type="expression" dxfId="929" priority="980">
      <formula>$BC246="YES"</formula>
    </cfRule>
  </conditionalFormatting>
  <conditionalFormatting sqref="H244:I244">
    <cfRule type="expression" dxfId="928" priority="979">
      <formula>$BC244="YES"</formula>
    </cfRule>
  </conditionalFormatting>
  <conditionalFormatting sqref="H245:I246">
    <cfRule type="expression" dxfId="927" priority="978">
      <formula>$BC245="YES"</formula>
    </cfRule>
  </conditionalFormatting>
  <conditionalFormatting sqref="H247:I247">
    <cfRule type="expression" dxfId="926" priority="977">
      <formula>$BC247="YES"</formula>
    </cfRule>
  </conditionalFormatting>
  <conditionalFormatting sqref="L248:M249">
    <cfRule type="expression" dxfId="925" priority="976">
      <formula>$BC248="YES"</formula>
    </cfRule>
  </conditionalFormatting>
  <conditionalFormatting sqref="J248:K249">
    <cfRule type="expression" dxfId="924" priority="975">
      <formula>$BC248="YES"</formula>
    </cfRule>
  </conditionalFormatting>
  <conditionalFormatting sqref="L250:M251">
    <cfRule type="expression" dxfId="923" priority="974">
      <formula>$BC250="YES"</formula>
    </cfRule>
  </conditionalFormatting>
  <conditionalFormatting sqref="J250:K251">
    <cfRule type="expression" dxfId="922" priority="973">
      <formula>$BC250="YES"</formula>
    </cfRule>
  </conditionalFormatting>
  <conditionalFormatting sqref="H248:I248">
    <cfRule type="expression" dxfId="921" priority="972">
      <formula>$BC248="YES"</formula>
    </cfRule>
  </conditionalFormatting>
  <conditionalFormatting sqref="H249:I250">
    <cfRule type="expression" dxfId="920" priority="971">
      <formula>$BC249="YES"</formula>
    </cfRule>
  </conditionalFormatting>
  <conditionalFormatting sqref="H251:I251">
    <cfRule type="expression" dxfId="919" priority="970">
      <formula>$BC251="YES"</formula>
    </cfRule>
  </conditionalFormatting>
  <conditionalFormatting sqref="L252:M253">
    <cfRule type="expression" dxfId="918" priority="969">
      <formula>$BC252="YES"</formula>
    </cfRule>
  </conditionalFormatting>
  <conditionalFormatting sqref="J252:K253">
    <cfRule type="expression" dxfId="917" priority="968">
      <formula>$BC252="YES"</formula>
    </cfRule>
  </conditionalFormatting>
  <conditionalFormatting sqref="L254:M255">
    <cfRule type="expression" dxfId="916" priority="967">
      <formula>$BC254="YES"</formula>
    </cfRule>
  </conditionalFormatting>
  <conditionalFormatting sqref="J254:K255">
    <cfRule type="expression" dxfId="915" priority="966">
      <formula>$BC254="YES"</formula>
    </cfRule>
  </conditionalFormatting>
  <conditionalFormatting sqref="H252:I252">
    <cfRule type="expression" dxfId="914" priority="965">
      <formula>$BC252="YES"</formula>
    </cfRule>
  </conditionalFormatting>
  <conditionalFormatting sqref="H253:I254">
    <cfRule type="expression" dxfId="913" priority="964">
      <formula>$BC253="YES"</formula>
    </cfRule>
  </conditionalFormatting>
  <conditionalFormatting sqref="H255:I255">
    <cfRule type="expression" dxfId="912" priority="963">
      <formula>$BC255="YES"</formula>
    </cfRule>
  </conditionalFormatting>
  <conditionalFormatting sqref="L256:M257">
    <cfRule type="expression" dxfId="911" priority="962">
      <formula>$BC256="YES"</formula>
    </cfRule>
  </conditionalFormatting>
  <conditionalFormatting sqref="J256:K257">
    <cfRule type="expression" dxfId="910" priority="961">
      <formula>$BC256="YES"</formula>
    </cfRule>
  </conditionalFormatting>
  <conditionalFormatting sqref="L258:M259">
    <cfRule type="expression" dxfId="909" priority="960">
      <formula>$BC258="YES"</formula>
    </cfRule>
  </conditionalFormatting>
  <conditionalFormatting sqref="J258:K259">
    <cfRule type="expression" dxfId="908" priority="959">
      <formula>$BC258="YES"</formula>
    </cfRule>
  </conditionalFormatting>
  <conditionalFormatting sqref="H256:I256">
    <cfRule type="expression" dxfId="907" priority="958">
      <formula>$BC256="YES"</formula>
    </cfRule>
  </conditionalFormatting>
  <conditionalFormatting sqref="H257:I258">
    <cfRule type="expression" dxfId="906" priority="957">
      <formula>$BC257="YES"</formula>
    </cfRule>
  </conditionalFormatting>
  <conditionalFormatting sqref="H259:I259">
    <cfRule type="expression" dxfId="905" priority="956">
      <formula>$BC259="YES"</formula>
    </cfRule>
  </conditionalFormatting>
  <conditionalFormatting sqref="L260:M261">
    <cfRule type="expression" dxfId="904" priority="955">
      <formula>$BC260="YES"</formula>
    </cfRule>
  </conditionalFormatting>
  <conditionalFormatting sqref="J260:K261">
    <cfRule type="expression" dxfId="903" priority="954">
      <formula>$BC260="YES"</formula>
    </cfRule>
  </conditionalFormatting>
  <conditionalFormatting sqref="L262:M263">
    <cfRule type="expression" dxfId="902" priority="953">
      <formula>$BC262="YES"</formula>
    </cfRule>
  </conditionalFormatting>
  <conditionalFormatting sqref="J262:K263">
    <cfRule type="expression" dxfId="901" priority="952">
      <formula>$BC262="YES"</formula>
    </cfRule>
  </conditionalFormatting>
  <conditionalFormatting sqref="H260:I260">
    <cfRule type="expression" dxfId="900" priority="951">
      <formula>$BC260="YES"</formula>
    </cfRule>
  </conditionalFormatting>
  <conditionalFormatting sqref="H261:I262">
    <cfRule type="expression" dxfId="899" priority="950">
      <formula>$BC261="YES"</formula>
    </cfRule>
  </conditionalFormatting>
  <conditionalFormatting sqref="H263:I263">
    <cfRule type="expression" dxfId="898" priority="949">
      <formula>$BC263="YES"</formula>
    </cfRule>
  </conditionalFormatting>
  <conditionalFormatting sqref="L264:M265">
    <cfRule type="expression" dxfId="897" priority="948">
      <formula>$BC264="YES"</formula>
    </cfRule>
  </conditionalFormatting>
  <conditionalFormatting sqref="J264:K265">
    <cfRule type="expression" dxfId="896" priority="947">
      <formula>$BC264="YES"</formula>
    </cfRule>
  </conditionalFormatting>
  <conditionalFormatting sqref="L266:M267">
    <cfRule type="expression" dxfId="895" priority="946">
      <formula>$BC266="YES"</formula>
    </cfRule>
  </conditionalFormatting>
  <conditionalFormatting sqref="J266:K267">
    <cfRule type="expression" dxfId="894" priority="945">
      <formula>$BC266="YES"</formula>
    </cfRule>
  </conditionalFormatting>
  <conditionalFormatting sqref="H264:I264">
    <cfRule type="expression" dxfId="893" priority="944">
      <formula>$BC264="YES"</formula>
    </cfRule>
  </conditionalFormatting>
  <conditionalFormatting sqref="H265:I266">
    <cfRule type="expression" dxfId="892" priority="943">
      <formula>$BC265="YES"</formula>
    </cfRule>
  </conditionalFormatting>
  <conditionalFormatting sqref="H267:I267">
    <cfRule type="expression" dxfId="891" priority="942">
      <formula>$BC267="YES"</formula>
    </cfRule>
  </conditionalFormatting>
  <conditionalFormatting sqref="L268:M269">
    <cfRule type="expression" dxfId="890" priority="941">
      <formula>$BC268="YES"</formula>
    </cfRule>
  </conditionalFormatting>
  <conditionalFormatting sqref="J268:K269">
    <cfRule type="expression" dxfId="889" priority="940">
      <formula>$BC268="YES"</formula>
    </cfRule>
  </conditionalFormatting>
  <conditionalFormatting sqref="L270:M271">
    <cfRule type="expression" dxfId="888" priority="939">
      <formula>$BC270="YES"</formula>
    </cfRule>
  </conditionalFormatting>
  <conditionalFormatting sqref="J270:K271">
    <cfRule type="expression" dxfId="887" priority="938">
      <formula>$BC270="YES"</formula>
    </cfRule>
  </conditionalFormatting>
  <conditionalFormatting sqref="H268:I268">
    <cfRule type="expression" dxfId="886" priority="937">
      <formula>$BC268="YES"</formula>
    </cfRule>
  </conditionalFormatting>
  <conditionalFormatting sqref="H269:I270">
    <cfRule type="expression" dxfId="885" priority="936">
      <formula>$BC269="YES"</formula>
    </cfRule>
  </conditionalFormatting>
  <conditionalFormatting sqref="H271:I271">
    <cfRule type="expression" dxfId="884" priority="935">
      <formula>$BC271="YES"</formula>
    </cfRule>
  </conditionalFormatting>
  <conditionalFormatting sqref="L272:M273">
    <cfRule type="expression" dxfId="883" priority="934">
      <formula>$BC272="YES"</formula>
    </cfRule>
  </conditionalFormatting>
  <conditionalFormatting sqref="J272:K273">
    <cfRule type="expression" dxfId="882" priority="933">
      <formula>$BC272="YES"</formula>
    </cfRule>
  </conditionalFormatting>
  <conditionalFormatting sqref="L274:M275">
    <cfRule type="expression" dxfId="881" priority="932">
      <formula>$BC274="YES"</formula>
    </cfRule>
  </conditionalFormatting>
  <conditionalFormatting sqref="J274:K275">
    <cfRule type="expression" dxfId="880" priority="931">
      <formula>$BC274="YES"</formula>
    </cfRule>
  </conditionalFormatting>
  <conditionalFormatting sqref="H272:I272">
    <cfRule type="expression" dxfId="879" priority="930">
      <formula>$BC272="YES"</formula>
    </cfRule>
  </conditionalFormatting>
  <conditionalFormatting sqref="H273:I274">
    <cfRule type="expression" dxfId="878" priority="929">
      <formula>$BC273="YES"</formula>
    </cfRule>
  </conditionalFormatting>
  <conditionalFormatting sqref="H275:I275">
    <cfRule type="expression" dxfId="877" priority="928">
      <formula>$BC275="YES"</formula>
    </cfRule>
  </conditionalFormatting>
  <conditionalFormatting sqref="L276:M277">
    <cfRule type="expression" dxfId="876" priority="927">
      <formula>$BC276="YES"</formula>
    </cfRule>
  </conditionalFormatting>
  <conditionalFormatting sqref="J276:K277">
    <cfRule type="expression" dxfId="875" priority="926">
      <formula>$BC276="YES"</formula>
    </cfRule>
  </conditionalFormatting>
  <conditionalFormatting sqref="L278:M279">
    <cfRule type="expression" dxfId="874" priority="925">
      <formula>$BC278="YES"</formula>
    </cfRule>
  </conditionalFormatting>
  <conditionalFormatting sqref="J278:K279">
    <cfRule type="expression" dxfId="873" priority="924">
      <formula>$BC278="YES"</formula>
    </cfRule>
  </conditionalFormatting>
  <conditionalFormatting sqref="H276:I276">
    <cfRule type="expression" dxfId="872" priority="923">
      <formula>$BC276="YES"</formula>
    </cfRule>
  </conditionalFormatting>
  <conditionalFormatting sqref="H277:I278">
    <cfRule type="expression" dxfId="871" priority="922">
      <formula>$BC277="YES"</formula>
    </cfRule>
  </conditionalFormatting>
  <conditionalFormatting sqref="H279:I279">
    <cfRule type="expression" dxfId="870" priority="921">
      <formula>$BC279="YES"</formula>
    </cfRule>
  </conditionalFormatting>
  <conditionalFormatting sqref="L280:M281">
    <cfRule type="expression" dxfId="869" priority="920">
      <formula>$BC280="YES"</formula>
    </cfRule>
  </conditionalFormatting>
  <conditionalFormatting sqref="J280:K281">
    <cfRule type="expression" dxfId="868" priority="919">
      <formula>$BC280="YES"</formula>
    </cfRule>
  </conditionalFormatting>
  <conditionalFormatting sqref="L282:M283">
    <cfRule type="expression" dxfId="867" priority="918">
      <formula>$BC282="YES"</formula>
    </cfRule>
  </conditionalFormatting>
  <conditionalFormatting sqref="J282:K283">
    <cfRule type="expression" dxfId="866" priority="917">
      <formula>$BC282="YES"</formula>
    </cfRule>
  </conditionalFormatting>
  <conditionalFormatting sqref="H280:I280">
    <cfRule type="expression" dxfId="865" priority="916">
      <formula>$BC280="YES"</formula>
    </cfRule>
  </conditionalFormatting>
  <conditionalFormatting sqref="H281:I282">
    <cfRule type="expression" dxfId="864" priority="915">
      <formula>$BC281="YES"</formula>
    </cfRule>
  </conditionalFormatting>
  <conditionalFormatting sqref="H283:I283">
    <cfRule type="expression" dxfId="863" priority="914">
      <formula>$BC283="YES"</formula>
    </cfRule>
  </conditionalFormatting>
  <conditionalFormatting sqref="L284:M285">
    <cfRule type="expression" dxfId="862" priority="913">
      <formula>$BC284="YES"</formula>
    </cfRule>
  </conditionalFormatting>
  <conditionalFormatting sqref="J284:K285">
    <cfRule type="expression" dxfId="861" priority="912">
      <formula>$BC284="YES"</formula>
    </cfRule>
  </conditionalFormatting>
  <conditionalFormatting sqref="L286:M287">
    <cfRule type="expression" dxfId="860" priority="911">
      <formula>$BC286="YES"</formula>
    </cfRule>
  </conditionalFormatting>
  <conditionalFormatting sqref="J286:K287">
    <cfRule type="expression" dxfId="859" priority="910">
      <formula>$BC286="YES"</formula>
    </cfRule>
  </conditionalFormatting>
  <conditionalFormatting sqref="H284:I284">
    <cfRule type="expression" dxfId="858" priority="909">
      <formula>$BC284="YES"</formula>
    </cfRule>
  </conditionalFormatting>
  <conditionalFormatting sqref="H285:I286">
    <cfRule type="expression" dxfId="857" priority="908">
      <formula>$BC285="YES"</formula>
    </cfRule>
  </conditionalFormatting>
  <conditionalFormatting sqref="H287:I287">
    <cfRule type="expression" dxfId="856" priority="907">
      <formula>$BC287="YES"</formula>
    </cfRule>
  </conditionalFormatting>
  <conditionalFormatting sqref="L288:M289">
    <cfRule type="expression" dxfId="855" priority="906">
      <formula>$BC288="YES"</formula>
    </cfRule>
  </conditionalFormatting>
  <conditionalFormatting sqref="J288:K289">
    <cfRule type="expression" dxfId="854" priority="905">
      <formula>$BC288="YES"</formula>
    </cfRule>
  </conditionalFormatting>
  <conditionalFormatting sqref="L290:M291">
    <cfRule type="expression" dxfId="853" priority="904">
      <formula>$BC290="YES"</formula>
    </cfRule>
  </conditionalFormatting>
  <conditionalFormatting sqref="J290:K291">
    <cfRule type="expression" dxfId="852" priority="903">
      <formula>$BC290="YES"</formula>
    </cfRule>
  </conditionalFormatting>
  <conditionalFormatting sqref="H288:I288">
    <cfRule type="expression" dxfId="851" priority="902">
      <formula>$BC288="YES"</formula>
    </cfRule>
  </conditionalFormatting>
  <conditionalFormatting sqref="H289:I290">
    <cfRule type="expression" dxfId="850" priority="901">
      <formula>$BC289="YES"</formula>
    </cfRule>
  </conditionalFormatting>
  <conditionalFormatting sqref="H291:I291">
    <cfRule type="expression" dxfId="849" priority="900">
      <formula>$BC291="YES"</formula>
    </cfRule>
  </conditionalFormatting>
  <conditionalFormatting sqref="L292:M293">
    <cfRule type="expression" dxfId="848" priority="899">
      <formula>$BC292="YES"</formula>
    </cfRule>
  </conditionalFormatting>
  <conditionalFormatting sqref="J292:K293">
    <cfRule type="expression" dxfId="847" priority="898">
      <formula>$BC292="YES"</formula>
    </cfRule>
  </conditionalFormatting>
  <conditionalFormatting sqref="L294:M295">
    <cfRule type="expression" dxfId="846" priority="897">
      <formula>$BC294="YES"</formula>
    </cfRule>
  </conditionalFormatting>
  <conditionalFormatting sqref="J294:K295">
    <cfRule type="expression" dxfId="845" priority="896">
      <formula>$BC294="YES"</formula>
    </cfRule>
  </conditionalFormatting>
  <conditionalFormatting sqref="H292:I292">
    <cfRule type="expression" dxfId="844" priority="895">
      <formula>$BC292="YES"</formula>
    </cfRule>
  </conditionalFormatting>
  <conditionalFormatting sqref="H293:I294">
    <cfRule type="expression" dxfId="843" priority="894">
      <formula>$BC293="YES"</formula>
    </cfRule>
  </conditionalFormatting>
  <conditionalFormatting sqref="H295:I295">
    <cfRule type="expression" dxfId="842" priority="893">
      <formula>$BC295="YES"</formula>
    </cfRule>
  </conditionalFormatting>
  <conditionalFormatting sqref="L296:M297">
    <cfRule type="expression" dxfId="841" priority="892">
      <formula>$BC296="YES"</formula>
    </cfRule>
  </conditionalFormatting>
  <conditionalFormatting sqref="J296:K297">
    <cfRule type="expression" dxfId="840" priority="891">
      <formula>$BC296="YES"</formula>
    </cfRule>
  </conditionalFormatting>
  <conditionalFormatting sqref="L298:M299">
    <cfRule type="expression" dxfId="839" priority="890">
      <formula>$BC298="YES"</formula>
    </cfRule>
  </conditionalFormatting>
  <conditionalFormatting sqref="J298:K299">
    <cfRule type="expression" dxfId="838" priority="889">
      <formula>$BC298="YES"</formula>
    </cfRule>
  </conditionalFormatting>
  <conditionalFormatting sqref="H296:I296">
    <cfRule type="expression" dxfId="837" priority="888">
      <formula>$BC296="YES"</formula>
    </cfRule>
  </conditionalFormatting>
  <conditionalFormatting sqref="H297:I298">
    <cfRule type="expression" dxfId="836" priority="887">
      <formula>$BC297="YES"</formula>
    </cfRule>
  </conditionalFormatting>
  <conditionalFormatting sqref="H299:I299">
    <cfRule type="expression" dxfId="835" priority="886">
      <formula>$BC299="YES"</formula>
    </cfRule>
  </conditionalFormatting>
  <conditionalFormatting sqref="L300:M301">
    <cfRule type="expression" dxfId="834" priority="885">
      <formula>$BC300="YES"</formula>
    </cfRule>
  </conditionalFormatting>
  <conditionalFormatting sqref="J300:K301">
    <cfRule type="expression" dxfId="833" priority="884">
      <formula>$BC300="YES"</formula>
    </cfRule>
  </conditionalFormatting>
  <conditionalFormatting sqref="L302:M303">
    <cfRule type="expression" dxfId="832" priority="883">
      <formula>$BC302="YES"</formula>
    </cfRule>
  </conditionalFormatting>
  <conditionalFormatting sqref="J302:K303">
    <cfRule type="expression" dxfId="831" priority="882">
      <formula>$BC302="YES"</formula>
    </cfRule>
  </conditionalFormatting>
  <conditionalFormatting sqref="H300:I300">
    <cfRule type="expression" dxfId="830" priority="881">
      <formula>$BC300="YES"</formula>
    </cfRule>
  </conditionalFormatting>
  <conditionalFormatting sqref="H301:I302">
    <cfRule type="expression" dxfId="829" priority="880">
      <formula>$BC301="YES"</formula>
    </cfRule>
  </conditionalFormatting>
  <conditionalFormatting sqref="H303:I303">
    <cfRule type="expression" dxfId="828" priority="879">
      <formula>$BC303="YES"</formula>
    </cfRule>
  </conditionalFormatting>
  <conditionalFormatting sqref="L304:M305">
    <cfRule type="expression" dxfId="827" priority="878">
      <formula>$BC304="YES"</formula>
    </cfRule>
  </conditionalFormatting>
  <conditionalFormatting sqref="J304:K305">
    <cfRule type="expression" dxfId="826" priority="877">
      <formula>$BC304="YES"</formula>
    </cfRule>
  </conditionalFormatting>
  <conditionalFormatting sqref="L306:M307">
    <cfRule type="expression" dxfId="825" priority="876">
      <formula>$BC306="YES"</formula>
    </cfRule>
  </conditionalFormatting>
  <conditionalFormatting sqref="J306:K307">
    <cfRule type="expression" dxfId="824" priority="875">
      <formula>$BC306="YES"</formula>
    </cfRule>
  </conditionalFormatting>
  <conditionalFormatting sqref="H304:I304">
    <cfRule type="expression" dxfId="823" priority="874">
      <formula>$BC304="YES"</formula>
    </cfRule>
  </conditionalFormatting>
  <conditionalFormatting sqref="H305:I306">
    <cfRule type="expression" dxfId="822" priority="873">
      <formula>$BC305="YES"</formula>
    </cfRule>
  </conditionalFormatting>
  <conditionalFormatting sqref="H307:I307">
    <cfRule type="expression" dxfId="821" priority="872">
      <formula>$BC307="YES"</formula>
    </cfRule>
  </conditionalFormatting>
  <conditionalFormatting sqref="L308:M309">
    <cfRule type="expression" dxfId="820" priority="871">
      <formula>$BC308="YES"</formula>
    </cfRule>
  </conditionalFormatting>
  <conditionalFormatting sqref="J308:K309">
    <cfRule type="expression" dxfId="819" priority="870">
      <formula>$BC308="YES"</formula>
    </cfRule>
  </conditionalFormatting>
  <conditionalFormatting sqref="L310:M311">
    <cfRule type="expression" dxfId="818" priority="869">
      <formula>$BC310="YES"</formula>
    </cfRule>
  </conditionalFormatting>
  <conditionalFormatting sqref="J310:K311">
    <cfRule type="expression" dxfId="817" priority="868">
      <formula>$BC310="YES"</formula>
    </cfRule>
  </conditionalFormatting>
  <conditionalFormatting sqref="H308:I308">
    <cfRule type="expression" dxfId="816" priority="867">
      <formula>$BC308="YES"</formula>
    </cfRule>
  </conditionalFormatting>
  <conditionalFormatting sqref="H309:I310">
    <cfRule type="expression" dxfId="815" priority="866">
      <formula>$BC309="YES"</formula>
    </cfRule>
  </conditionalFormatting>
  <conditionalFormatting sqref="H311:I311">
    <cfRule type="expression" dxfId="814" priority="865">
      <formula>$BC311="YES"</formula>
    </cfRule>
  </conditionalFormatting>
  <conditionalFormatting sqref="L312:M312">
    <cfRule type="expression" dxfId="813" priority="864">
      <formula>$BC312="YES"</formula>
    </cfRule>
  </conditionalFormatting>
  <conditionalFormatting sqref="J312:K312">
    <cfRule type="expression" dxfId="812" priority="863">
      <formula>$BC312="YES"</formula>
    </cfRule>
  </conditionalFormatting>
  <conditionalFormatting sqref="H312:I312">
    <cfRule type="expression" dxfId="811" priority="862">
      <formula>$BC312="YES"</formula>
    </cfRule>
  </conditionalFormatting>
  <conditionalFormatting sqref="F413:F610 L313:M314 L327:M505 H313:I332 L508:M509">
    <cfRule type="expression" dxfId="810" priority="857">
      <formula>$BC313="YES"</formula>
    </cfRule>
  </conditionalFormatting>
  <conditionalFormatting sqref="F506:F508">
    <cfRule type="expression" dxfId="809" priority="856">
      <formula>$BC506="YES"</formula>
    </cfRule>
  </conditionalFormatting>
  <conditionalFormatting sqref="L315:M316">
    <cfRule type="expression" dxfId="808" priority="855">
      <formula>$BC315="YES"</formula>
    </cfRule>
  </conditionalFormatting>
  <conditionalFormatting sqref="L317:M318">
    <cfRule type="expression" dxfId="807" priority="854">
      <formula>$BC317="YES"</formula>
    </cfRule>
  </conditionalFormatting>
  <conditionalFormatting sqref="L319:M320">
    <cfRule type="expression" dxfId="806" priority="853">
      <formula>$BC319="YES"</formula>
    </cfRule>
  </conditionalFormatting>
  <conditionalFormatting sqref="L321:M322">
    <cfRule type="expression" dxfId="805" priority="852">
      <formula>$BC321="YES"</formula>
    </cfRule>
  </conditionalFormatting>
  <conditionalFormatting sqref="L323:M324">
    <cfRule type="expression" dxfId="804" priority="851">
      <formula>$BC323="YES"</formula>
    </cfRule>
  </conditionalFormatting>
  <conditionalFormatting sqref="L325:M326">
    <cfRule type="expression" dxfId="803" priority="850">
      <formula>$BC325="YES"</formula>
    </cfRule>
  </conditionalFormatting>
  <conditionalFormatting sqref="J313:K314 J327:K505 J508:K509">
    <cfRule type="expression" dxfId="802" priority="849">
      <formula>$BC313="YES"</formula>
    </cfRule>
  </conditionalFormatting>
  <conditionalFormatting sqref="J315:K316">
    <cfRule type="expression" dxfId="801" priority="848">
      <formula>$BC315="YES"</formula>
    </cfRule>
  </conditionalFormatting>
  <conditionalFormatting sqref="J317:K318">
    <cfRule type="expression" dxfId="800" priority="847">
      <formula>$BC317="YES"</formula>
    </cfRule>
  </conditionalFormatting>
  <conditionalFormatting sqref="J319:K320">
    <cfRule type="expression" dxfId="799" priority="846">
      <formula>$BC319="YES"</formula>
    </cfRule>
  </conditionalFormatting>
  <conditionalFormatting sqref="J321:K322">
    <cfRule type="expression" dxfId="798" priority="845">
      <formula>$BC321="YES"</formula>
    </cfRule>
  </conditionalFormatting>
  <conditionalFormatting sqref="J323:K324">
    <cfRule type="expression" dxfId="797" priority="844">
      <formula>$BC323="YES"</formula>
    </cfRule>
  </conditionalFormatting>
  <conditionalFormatting sqref="J325:K326">
    <cfRule type="expression" dxfId="796" priority="843">
      <formula>$BC325="YES"</formula>
    </cfRule>
  </conditionalFormatting>
  <conditionalFormatting sqref="F313:F412">
    <cfRule type="expression" dxfId="795" priority="842">
      <formula>$BC313="YES"</formula>
    </cfRule>
  </conditionalFormatting>
  <conditionalFormatting sqref="H333:I342">
    <cfRule type="expression" dxfId="794" priority="841">
      <formula>$BC333="YES"</formula>
    </cfRule>
  </conditionalFormatting>
  <conditionalFormatting sqref="H343:I352">
    <cfRule type="expression" dxfId="793" priority="840">
      <formula>$BC343="YES"</formula>
    </cfRule>
  </conditionalFormatting>
  <conditionalFormatting sqref="H353:I362">
    <cfRule type="expression" dxfId="792" priority="839">
      <formula>$BC353="YES"</formula>
    </cfRule>
  </conditionalFormatting>
  <conditionalFormatting sqref="H363:I372">
    <cfRule type="expression" dxfId="791" priority="838">
      <formula>$BC363="YES"</formula>
    </cfRule>
  </conditionalFormatting>
  <conditionalFormatting sqref="H373:I382">
    <cfRule type="expression" dxfId="790" priority="837">
      <formula>$BC373="YES"</formula>
    </cfRule>
  </conditionalFormatting>
  <conditionalFormatting sqref="H383:I392">
    <cfRule type="expression" dxfId="789" priority="836">
      <formula>$BC383="YES"</formula>
    </cfRule>
  </conditionalFormatting>
  <conditionalFormatting sqref="H393:I402">
    <cfRule type="expression" dxfId="788" priority="835">
      <formula>$BC393="YES"</formula>
    </cfRule>
  </conditionalFormatting>
  <conditionalFormatting sqref="H403:I412">
    <cfRule type="expression" dxfId="787" priority="834">
      <formula>$BC403="YES"</formula>
    </cfRule>
  </conditionalFormatting>
  <conditionalFormatting sqref="H413:I422">
    <cfRule type="expression" dxfId="786" priority="833">
      <formula>$BC413="YES"</formula>
    </cfRule>
  </conditionalFormatting>
  <conditionalFormatting sqref="H423:I432">
    <cfRule type="expression" dxfId="785" priority="832">
      <formula>$BC423="YES"</formula>
    </cfRule>
  </conditionalFormatting>
  <conditionalFormatting sqref="H433:I442">
    <cfRule type="expression" dxfId="784" priority="831">
      <formula>$BC433="YES"</formula>
    </cfRule>
  </conditionalFormatting>
  <conditionalFormatting sqref="H443:I452">
    <cfRule type="expression" dxfId="783" priority="830">
      <formula>$BC443="YES"</formula>
    </cfRule>
  </conditionalFormatting>
  <conditionalFormatting sqref="H453:I462">
    <cfRule type="expression" dxfId="782" priority="829">
      <formula>$BC453="YES"</formula>
    </cfRule>
  </conditionalFormatting>
  <conditionalFormatting sqref="H463:I472">
    <cfRule type="expression" dxfId="781" priority="828">
      <formula>$BC463="YES"</formula>
    </cfRule>
  </conditionalFormatting>
  <conditionalFormatting sqref="H473:I482">
    <cfRule type="expression" dxfId="780" priority="827">
      <formula>$BC473="YES"</formula>
    </cfRule>
  </conditionalFormatting>
  <conditionalFormatting sqref="H483:I492">
    <cfRule type="expression" dxfId="779" priority="826">
      <formula>$BC483="YES"</formula>
    </cfRule>
  </conditionalFormatting>
  <conditionalFormatting sqref="H493:I502">
    <cfRule type="expression" dxfId="778" priority="825">
      <formula>$BC493="YES"</formula>
    </cfRule>
  </conditionalFormatting>
  <conditionalFormatting sqref="H503:I512">
    <cfRule type="expression" dxfId="777" priority="824">
      <formula>$BC503="YES"</formula>
    </cfRule>
  </conditionalFormatting>
  <conditionalFormatting sqref="L506:M506">
    <cfRule type="expression" dxfId="776" priority="823">
      <formula>$BC506="YES"</formula>
    </cfRule>
  </conditionalFormatting>
  <conditionalFormatting sqref="J506:K506">
    <cfRule type="expression" dxfId="775" priority="822">
      <formula>$BC506="YES"</formula>
    </cfRule>
  </conditionalFormatting>
  <conditionalFormatting sqref="L507:M507">
    <cfRule type="expression" dxfId="774" priority="821">
      <formula>$BC507="YES"</formula>
    </cfRule>
  </conditionalFormatting>
  <conditionalFormatting sqref="J507:K507">
    <cfRule type="expression" dxfId="773" priority="820">
      <formula>$BC507="YES"</formula>
    </cfRule>
  </conditionalFormatting>
  <conditionalFormatting sqref="L510:M511">
    <cfRule type="expression" dxfId="772" priority="819">
      <formula>$BC510="YES"</formula>
    </cfRule>
  </conditionalFormatting>
  <conditionalFormatting sqref="J510:K511">
    <cfRule type="expression" dxfId="771" priority="818">
      <formula>$BC510="YES"</formula>
    </cfRule>
  </conditionalFormatting>
  <conditionalFormatting sqref="L512:M513">
    <cfRule type="expression" dxfId="770" priority="817">
      <formula>$BC512="YES"</formula>
    </cfRule>
  </conditionalFormatting>
  <conditionalFormatting sqref="J512:K513">
    <cfRule type="expression" dxfId="769" priority="816">
      <formula>$BC512="YES"</formula>
    </cfRule>
  </conditionalFormatting>
  <conditionalFormatting sqref="L514:M515">
    <cfRule type="expression" dxfId="768" priority="815">
      <formula>$BC514="YES"</formula>
    </cfRule>
  </conditionalFormatting>
  <conditionalFormatting sqref="J514:K515">
    <cfRule type="expression" dxfId="767" priority="814">
      <formula>$BC514="YES"</formula>
    </cfRule>
  </conditionalFormatting>
  <conditionalFormatting sqref="L516:M517">
    <cfRule type="expression" dxfId="766" priority="813">
      <formula>$BC516="YES"</formula>
    </cfRule>
  </conditionalFormatting>
  <conditionalFormatting sqref="J516:K517">
    <cfRule type="expression" dxfId="765" priority="812">
      <formula>$BC516="YES"</formula>
    </cfRule>
  </conditionalFormatting>
  <conditionalFormatting sqref="H513:I514">
    <cfRule type="expression" dxfId="764" priority="811">
      <formula>$BC513="YES"</formula>
    </cfRule>
  </conditionalFormatting>
  <conditionalFormatting sqref="H515:I516">
    <cfRule type="expression" dxfId="763" priority="810">
      <formula>$BC515="YES"</formula>
    </cfRule>
  </conditionalFormatting>
  <conditionalFormatting sqref="H517:I517">
    <cfRule type="expression" dxfId="762" priority="809">
      <formula>$BC517="YES"</formula>
    </cfRule>
  </conditionalFormatting>
  <conditionalFormatting sqref="L518:M519">
    <cfRule type="expression" dxfId="761" priority="808">
      <formula>$BC518="YES"</formula>
    </cfRule>
  </conditionalFormatting>
  <conditionalFormatting sqref="J518:K519">
    <cfRule type="expression" dxfId="760" priority="807">
      <formula>$BC518="YES"</formula>
    </cfRule>
  </conditionalFormatting>
  <conditionalFormatting sqref="L520:M521">
    <cfRule type="expression" dxfId="759" priority="806">
      <formula>$BC520="YES"</formula>
    </cfRule>
  </conditionalFormatting>
  <conditionalFormatting sqref="J520:K521">
    <cfRule type="expression" dxfId="758" priority="805">
      <formula>$BC520="YES"</formula>
    </cfRule>
  </conditionalFormatting>
  <conditionalFormatting sqref="H518:I518">
    <cfRule type="expression" dxfId="757" priority="804">
      <formula>$BC518="YES"</formula>
    </cfRule>
  </conditionalFormatting>
  <conditionalFormatting sqref="H519:I520">
    <cfRule type="expression" dxfId="756" priority="803">
      <formula>$BC519="YES"</formula>
    </cfRule>
  </conditionalFormatting>
  <conditionalFormatting sqref="H521:I521">
    <cfRule type="expression" dxfId="755" priority="802">
      <formula>$BC521="YES"</formula>
    </cfRule>
  </conditionalFormatting>
  <conditionalFormatting sqref="L522:M523">
    <cfRule type="expression" dxfId="754" priority="801">
      <formula>$BC522="YES"</formula>
    </cfRule>
  </conditionalFormatting>
  <conditionalFormatting sqref="J522:K523">
    <cfRule type="expression" dxfId="753" priority="800">
      <formula>$BC522="YES"</formula>
    </cfRule>
  </conditionalFormatting>
  <conditionalFormatting sqref="L524:M525">
    <cfRule type="expression" dxfId="752" priority="799">
      <formula>$BC524="YES"</formula>
    </cfRule>
  </conditionalFormatting>
  <conditionalFormatting sqref="J524:K525">
    <cfRule type="expression" dxfId="751" priority="798">
      <formula>$BC524="YES"</formula>
    </cfRule>
  </conditionalFormatting>
  <conditionalFormatting sqref="H522:I522">
    <cfRule type="expression" dxfId="750" priority="797">
      <formula>$BC522="YES"</formula>
    </cfRule>
  </conditionalFormatting>
  <conditionalFormatting sqref="H523:I524">
    <cfRule type="expression" dxfId="749" priority="796">
      <formula>$BC523="YES"</formula>
    </cfRule>
  </conditionalFormatting>
  <conditionalFormatting sqref="H525:I525">
    <cfRule type="expression" dxfId="748" priority="795">
      <formula>$BC525="YES"</formula>
    </cfRule>
  </conditionalFormatting>
  <conditionalFormatting sqref="L526:M527">
    <cfRule type="expression" dxfId="747" priority="794">
      <formula>$BC526="YES"</formula>
    </cfRule>
  </conditionalFormatting>
  <conditionalFormatting sqref="J526:K527">
    <cfRule type="expression" dxfId="746" priority="793">
      <formula>$BC526="YES"</formula>
    </cfRule>
  </conditionalFormatting>
  <conditionalFormatting sqref="L528:M529">
    <cfRule type="expression" dxfId="745" priority="792">
      <formula>$BC528="YES"</formula>
    </cfRule>
  </conditionalFormatting>
  <conditionalFormatting sqref="J528:K529">
    <cfRule type="expression" dxfId="744" priority="791">
      <formula>$BC528="YES"</formula>
    </cfRule>
  </conditionalFormatting>
  <conditionalFormatting sqref="H526:I526">
    <cfRule type="expression" dxfId="743" priority="790">
      <formula>$BC526="YES"</formula>
    </cfRule>
  </conditionalFormatting>
  <conditionalFormatting sqref="H527:I528">
    <cfRule type="expression" dxfId="742" priority="789">
      <formula>$BC527="YES"</formula>
    </cfRule>
  </conditionalFormatting>
  <conditionalFormatting sqref="H529:I529">
    <cfRule type="expression" dxfId="741" priority="788">
      <formula>$BC529="YES"</formula>
    </cfRule>
  </conditionalFormatting>
  <conditionalFormatting sqref="L530:M531">
    <cfRule type="expression" dxfId="740" priority="787">
      <formula>$BC530="YES"</formula>
    </cfRule>
  </conditionalFormatting>
  <conditionalFormatting sqref="J530:K531">
    <cfRule type="expression" dxfId="739" priority="786">
      <formula>$BC530="YES"</formula>
    </cfRule>
  </conditionalFormatting>
  <conditionalFormatting sqref="L532:M533">
    <cfRule type="expression" dxfId="738" priority="785">
      <formula>$BC532="YES"</formula>
    </cfRule>
  </conditionalFormatting>
  <conditionalFormatting sqref="J532:K533">
    <cfRule type="expression" dxfId="737" priority="784">
      <formula>$BC532="YES"</formula>
    </cfRule>
  </conditionalFormatting>
  <conditionalFormatting sqref="H530:I530">
    <cfRule type="expression" dxfId="736" priority="783">
      <formula>$BC530="YES"</formula>
    </cfRule>
  </conditionalFormatting>
  <conditionalFormatting sqref="H531:I532">
    <cfRule type="expression" dxfId="735" priority="782">
      <formula>$BC531="YES"</formula>
    </cfRule>
  </conditionalFormatting>
  <conditionalFormatting sqref="H533:I533">
    <cfRule type="expression" dxfId="734" priority="781">
      <formula>$BC533="YES"</formula>
    </cfRule>
  </conditionalFormatting>
  <conditionalFormatting sqref="L534:M535">
    <cfRule type="expression" dxfId="733" priority="780">
      <formula>$BC534="YES"</formula>
    </cfRule>
  </conditionalFormatting>
  <conditionalFormatting sqref="J534:K535">
    <cfRule type="expression" dxfId="732" priority="779">
      <formula>$BC534="YES"</formula>
    </cfRule>
  </conditionalFormatting>
  <conditionalFormatting sqref="L536:M537">
    <cfRule type="expression" dxfId="731" priority="778">
      <formula>$BC536="YES"</formula>
    </cfRule>
  </conditionalFormatting>
  <conditionalFormatting sqref="J536:K537">
    <cfRule type="expression" dxfId="730" priority="777">
      <formula>$BC536="YES"</formula>
    </cfRule>
  </conditionalFormatting>
  <conditionalFormatting sqref="H534:I534">
    <cfRule type="expression" dxfId="729" priority="776">
      <formula>$BC534="YES"</formula>
    </cfRule>
  </conditionalFormatting>
  <conditionalFormatting sqref="H535:I536">
    <cfRule type="expression" dxfId="728" priority="775">
      <formula>$BC535="YES"</formula>
    </cfRule>
  </conditionalFormatting>
  <conditionalFormatting sqref="H537:I537">
    <cfRule type="expression" dxfId="727" priority="774">
      <formula>$BC537="YES"</formula>
    </cfRule>
  </conditionalFormatting>
  <conditionalFormatting sqref="L538:M539">
    <cfRule type="expression" dxfId="726" priority="773">
      <formula>$BC538="YES"</formula>
    </cfRule>
  </conditionalFormatting>
  <conditionalFormatting sqref="J538:K539">
    <cfRule type="expression" dxfId="725" priority="772">
      <formula>$BC538="YES"</formula>
    </cfRule>
  </conditionalFormatting>
  <conditionalFormatting sqref="L540:M541">
    <cfRule type="expression" dxfId="724" priority="771">
      <formula>$BC540="YES"</formula>
    </cfRule>
  </conditionalFormatting>
  <conditionalFormatting sqref="J540:K541">
    <cfRule type="expression" dxfId="723" priority="770">
      <formula>$BC540="YES"</formula>
    </cfRule>
  </conditionalFormatting>
  <conditionalFormatting sqref="H538:I538">
    <cfRule type="expression" dxfId="722" priority="769">
      <formula>$BC538="YES"</formula>
    </cfRule>
  </conditionalFormatting>
  <conditionalFormatting sqref="H539:I540">
    <cfRule type="expression" dxfId="721" priority="768">
      <formula>$BC539="YES"</formula>
    </cfRule>
  </conditionalFormatting>
  <conditionalFormatting sqref="H541:I541">
    <cfRule type="expression" dxfId="720" priority="767">
      <formula>$BC541="YES"</formula>
    </cfRule>
  </conditionalFormatting>
  <conditionalFormatting sqref="L542:M543">
    <cfRule type="expression" dxfId="719" priority="766">
      <formula>$BC542="YES"</formula>
    </cfRule>
  </conditionalFormatting>
  <conditionalFormatting sqref="J542:K543">
    <cfRule type="expression" dxfId="718" priority="765">
      <formula>$BC542="YES"</formula>
    </cfRule>
  </conditionalFormatting>
  <conditionalFormatting sqref="L544:M545">
    <cfRule type="expression" dxfId="717" priority="764">
      <formula>$BC544="YES"</formula>
    </cfRule>
  </conditionalFormatting>
  <conditionalFormatting sqref="J544:K545">
    <cfRule type="expression" dxfId="716" priority="763">
      <formula>$BC544="YES"</formula>
    </cfRule>
  </conditionalFormatting>
  <conditionalFormatting sqref="H542:I542">
    <cfRule type="expression" dxfId="715" priority="762">
      <formula>$BC542="YES"</formula>
    </cfRule>
  </conditionalFormatting>
  <conditionalFormatting sqref="H543:I544">
    <cfRule type="expression" dxfId="714" priority="761">
      <formula>$BC543="YES"</formula>
    </cfRule>
  </conditionalFormatting>
  <conditionalFormatting sqref="H545:I545">
    <cfRule type="expression" dxfId="713" priority="760">
      <formula>$BC545="YES"</formula>
    </cfRule>
  </conditionalFormatting>
  <conditionalFormatting sqref="L546:M547">
    <cfRule type="expression" dxfId="712" priority="759">
      <formula>$BC546="YES"</formula>
    </cfRule>
  </conditionalFormatting>
  <conditionalFormatting sqref="J546:K547">
    <cfRule type="expression" dxfId="711" priority="758">
      <formula>$BC546="YES"</formula>
    </cfRule>
  </conditionalFormatting>
  <conditionalFormatting sqref="L548:M549">
    <cfRule type="expression" dxfId="710" priority="757">
      <formula>$BC548="YES"</formula>
    </cfRule>
  </conditionalFormatting>
  <conditionalFormatting sqref="J548:K549">
    <cfRule type="expression" dxfId="709" priority="756">
      <formula>$BC548="YES"</formula>
    </cfRule>
  </conditionalFormatting>
  <conditionalFormatting sqref="H546:I546">
    <cfRule type="expression" dxfId="708" priority="755">
      <formula>$BC546="YES"</formula>
    </cfRule>
  </conditionalFormatting>
  <conditionalFormatting sqref="H547:I548">
    <cfRule type="expression" dxfId="707" priority="754">
      <formula>$BC547="YES"</formula>
    </cfRule>
  </conditionalFormatting>
  <conditionalFormatting sqref="H549:I549">
    <cfRule type="expression" dxfId="706" priority="753">
      <formula>$BC549="YES"</formula>
    </cfRule>
  </conditionalFormatting>
  <conditionalFormatting sqref="L550:M551">
    <cfRule type="expression" dxfId="705" priority="752">
      <formula>$BC550="YES"</formula>
    </cfRule>
  </conditionalFormatting>
  <conditionalFormatting sqref="J550:K551">
    <cfRule type="expression" dxfId="704" priority="751">
      <formula>$BC550="YES"</formula>
    </cfRule>
  </conditionalFormatting>
  <conditionalFormatting sqref="L552:M553">
    <cfRule type="expression" dxfId="703" priority="750">
      <formula>$BC552="YES"</formula>
    </cfRule>
  </conditionalFormatting>
  <conditionalFormatting sqref="J552:K553">
    <cfRule type="expression" dxfId="702" priority="749">
      <formula>$BC552="YES"</formula>
    </cfRule>
  </conditionalFormatting>
  <conditionalFormatting sqref="H550:I550">
    <cfRule type="expression" dxfId="701" priority="748">
      <formula>$BC550="YES"</formula>
    </cfRule>
  </conditionalFormatting>
  <conditionalFormatting sqref="H551:I552">
    <cfRule type="expression" dxfId="700" priority="747">
      <formula>$BC551="YES"</formula>
    </cfRule>
  </conditionalFormatting>
  <conditionalFormatting sqref="H553:I553">
    <cfRule type="expression" dxfId="699" priority="746">
      <formula>$BC553="YES"</formula>
    </cfRule>
  </conditionalFormatting>
  <conditionalFormatting sqref="L554:M555">
    <cfRule type="expression" dxfId="698" priority="745">
      <formula>$BC554="YES"</formula>
    </cfRule>
  </conditionalFormatting>
  <conditionalFormatting sqref="J554:K555">
    <cfRule type="expression" dxfId="697" priority="744">
      <formula>$BC554="YES"</formula>
    </cfRule>
  </conditionalFormatting>
  <conditionalFormatting sqref="L556:M557">
    <cfRule type="expression" dxfId="696" priority="743">
      <formula>$BC556="YES"</formula>
    </cfRule>
  </conditionalFormatting>
  <conditionalFormatting sqref="J556:K557">
    <cfRule type="expression" dxfId="695" priority="742">
      <formula>$BC556="YES"</formula>
    </cfRule>
  </conditionalFormatting>
  <conditionalFormatting sqref="H554:I554">
    <cfRule type="expression" dxfId="694" priority="741">
      <formula>$BC554="YES"</formula>
    </cfRule>
  </conditionalFormatting>
  <conditionalFormatting sqref="H555:I556">
    <cfRule type="expression" dxfId="693" priority="740">
      <formula>$BC555="YES"</formula>
    </cfRule>
  </conditionalFormatting>
  <conditionalFormatting sqref="H557:I557">
    <cfRule type="expression" dxfId="692" priority="739">
      <formula>$BC557="YES"</formula>
    </cfRule>
  </conditionalFormatting>
  <conditionalFormatting sqref="L558:M559">
    <cfRule type="expression" dxfId="691" priority="738">
      <formula>$BC558="YES"</formula>
    </cfRule>
  </conditionalFormatting>
  <conditionalFormatting sqref="J558:K559">
    <cfRule type="expression" dxfId="690" priority="737">
      <formula>$BC558="YES"</formula>
    </cfRule>
  </conditionalFormatting>
  <conditionalFormatting sqref="L560:M561">
    <cfRule type="expression" dxfId="689" priority="736">
      <formula>$BC560="YES"</formula>
    </cfRule>
  </conditionalFormatting>
  <conditionalFormatting sqref="J560:K561">
    <cfRule type="expression" dxfId="688" priority="735">
      <formula>$BC560="YES"</formula>
    </cfRule>
  </conditionalFormatting>
  <conditionalFormatting sqref="H558:I558">
    <cfRule type="expression" dxfId="687" priority="734">
      <formula>$BC558="YES"</formula>
    </cfRule>
  </conditionalFormatting>
  <conditionalFormatting sqref="H559:I560">
    <cfRule type="expression" dxfId="686" priority="733">
      <formula>$BC559="YES"</formula>
    </cfRule>
  </conditionalFormatting>
  <conditionalFormatting sqref="H561:I561">
    <cfRule type="expression" dxfId="685" priority="732">
      <formula>$BC561="YES"</formula>
    </cfRule>
  </conditionalFormatting>
  <conditionalFormatting sqref="L562:M563">
    <cfRule type="expression" dxfId="684" priority="731">
      <formula>$BC562="YES"</formula>
    </cfRule>
  </conditionalFormatting>
  <conditionalFormatting sqref="J562:K563">
    <cfRule type="expression" dxfId="683" priority="730">
      <formula>$BC562="YES"</formula>
    </cfRule>
  </conditionalFormatting>
  <conditionalFormatting sqref="L564:M565">
    <cfRule type="expression" dxfId="682" priority="729">
      <formula>$BC564="YES"</formula>
    </cfRule>
  </conditionalFormatting>
  <conditionalFormatting sqref="J564:K565">
    <cfRule type="expression" dxfId="681" priority="728">
      <formula>$BC564="YES"</formula>
    </cfRule>
  </conditionalFormatting>
  <conditionalFormatting sqref="H562:I562">
    <cfRule type="expression" dxfId="680" priority="727">
      <formula>$BC562="YES"</formula>
    </cfRule>
  </conditionalFormatting>
  <conditionalFormatting sqref="H563:I564">
    <cfRule type="expression" dxfId="679" priority="726">
      <formula>$BC563="YES"</formula>
    </cfRule>
  </conditionalFormatting>
  <conditionalFormatting sqref="H565:I565">
    <cfRule type="expression" dxfId="678" priority="725">
      <formula>$BC565="YES"</formula>
    </cfRule>
  </conditionalFormatting>
  <conditionalFormatting sqref="L566:M567">
    <cfRule type="expression" dxfId="677" priority="724">
      <formula>$BC566="YES"</formula>
    </cfRule>
  </conditionalFormatting>
  <conditionalFormatting sqref="J566:K567">
    <cfRule type="expression" dxfId="676" priority="723">
      <formula>$BC566="YES"</formula>
    </cfRule>
  </conditionalFormatting>
  <conditionalFormatting sqref="L568:M569">
    <cfRule type="expression" dxfId="675" priority="722">
      <formula>$BC568="YES"</formula>
    </cfRule>
  </conditionalFormatting>
  <conditionalFormatting sqref="J568:K569">
    <cfRule type="expression" dxfId="674" priority="721">
      <formula>$BC568="YES"</formula>
    </cfRule>
  </conditionalFormatting>
  <conditionalFormatting sqref="H566:I566">
    <cfRule type="expression" dxfId="673" priority="720">
      <formula>$BC566="YES"</formula>
    </cfRule>
  </conditionalFormatting>
  <conditionalFormatting sqref="H567:I568">
    <cfRule type="expression" dxfId="672" priority="719">
      <formula>$BC567="YES"</formula>
    </cfRule>
  </conditionalFormatting>
  <conditionalFormatting sqref="H569:I569">
    <cfRule type="expression" dxfId="671" priority="718">
      <formula>$BC569="YES"</formula>
    </cfRule>
  </conditionalFormatting>
  <conditionalFormatting sqref="L570:M571">
    <cfRule type="expression" dxfId="670" priority="717">
      <formula>$BC570="YES"</formula>
    </cfRule>
  </conditionalFormatting>
  <conditionalFormatting sqref="J570:K571">
    <cfRule type="expression" dxfId="669" priority="716">
      <formula>$BC570="YES"</formula>
    </cfRule>
  </conditionalFormatting>
  <conditionalFormatting sqref="L572:M573">
    <cfRule type="expression" dxfId="668" priority="715">
      <formula>$BC572="YES"</formula>
    </cfRule>
  </conditionalFormatting>
  <conditionalFormatting sqref="J572:K573">
    <cfRule type="expression" dxfId="667" priority="714">
      <formula>$BC572="YES"</formula>
    </cfRule>
  </conditionalFormatting>
  <conditionalFormatting sqref="H570:I570">
    <cfRule type="expression" dxfId="666" priority="713">
      <formula>$BC570="YES"</formula>
    </cfRule>
  </conditionalFormatting>
  <conditionalFormatting sqref="H571:I572">
    <cfRule type="expression" dxfId="665" priority="712">
      <formula>$BC571="YES"</formula>
    </cfRule>
  </conditionalFormatting>
  <conditionalFormatting sqref="H573:I573">
    <cfRule type="expression" dxfId="664" priority="711">
      <formula>$BC573="YES"</formula>
    </cfRule>
  </conditionalFormatting>
  <conditionalFormatting sqref="L574:M575">
    <cfRule type="expression" dxfId="663" priority="710">
      <formula>$BC574="YES"</formula>
    </cfRule>
  </conditionalFormatting>
  <conditionalFormatting sqref="J574:K575">
    <cfRule type="expression" dxfId="662" priority="709">
      <formula>$BC574="YES"</formula>
    </cfRule>
  </conditionalFormatting>
  <conditionalFormatting sqref="L576:M577">
    <cfRule type="expression" dxfId="661" priority="708">
      <formula>$BC576="YES"</formula>
    </cfRule>
  </conditionalFormatting>
  <conditionalFormatting sqref="J576:K577">
    <cfRule type="expression" dxfId="660" priority="707">
      <formula>$BC576="YES"</formula>
    </cfRule>
  </conditionalFormatting>
  <conditionalFormatting sqref="H574:I574">
    <cfRule type="expression" dxfId="659" priority="706">
      <formula>$BC574="YES"</formula>
    </cfRule>
  </conditionalFormatting>
  <conditionalFormatting sqref="H575:I576">
    <cfRule type="expression" dxfId="658" priority="705">
      <formula>$BC575="YES"</formula>
    </cfRule>
  </conditionalFormatting>
  <conditionalFormatting sqref="H577:I577">
    <cfRule type="expression" dxfId="657" priority="704">
      <formula>$BC577="YES"</formula>
    </cfRule>
  </conditionalFormatting>
  <conditionalFormatting sqref="L578:M579">
    <cfRule type="expression" dxfId="656" priority="703">
      <formula>$BC578="YES"</formula>
    </cfRule>
  </conditionalFormatting>
  <conditionalFormatting sqref="J578:K579">
    <cfRule type="expression" dxfId="655" priority="702">
      <formula>$BC578="YES"</formula>
    </cfRule>
  </conditionalFormatting>
  <conditionalFormatting sqref="L580:M581">
    <cfRule type="expression" dxfId="654" priority="701">
      <formula>$BC580="YES"</formula>
    </cfRule>
  </conditionalFormatting>
  <conditionalFormatting sqref="J580:K581">
    <cfRule type="expression" dxfId="653" priority="700">
      <formula>$BC580="YES"</formula>
    </cfRule>
  </conditionalFormatting>
  <conditionalFormatting sqref="H578:I578">
    <cfRule type="expression" dxfId="652" priority="699">
      <formula>$BC578="YES"</formula>
    </cfRule>
  </conditionalFormatting>
  <conditionalFormatting sqref="H579:I580">
    <cfRule type="expression" dxfId="651" priority="698">
      <formula>$BC579="YES"</formula>
    </cfRule>
  </conditionalFormatting>
  <conditionalFormatting sqref="H581:I581">
    <cfRule type="expression" dxfId="650" priority="697">
      <formula>$BC581="YES"</formula>
    </cfRule>
  </conditionalFormatting>
  <conditionalFormatting sqref="L582:M583">
    <cfRule type="expression" dxfId="649" priority="696">
      <formula>$BC582="YES"</formula>
    </cfRule>
  </conditionalFormatting>
  <conditionalFormatting sqref="J582:K583">
    <cfRule type="expression" dxfId="648" priority="695">
      <formula>$BC582="YES"</formula>
    </cfRule>
  </conditionalFormatting>
  <conditionalFormatting sqref="L584:M585">
    <cfRule type="expression" dxfId="647" priority="694">
      <formula>$BC584="YES"</formula>
    </cfRule>
  </conditionalFormatting>
  <conditionalFormatting sqref="J584:K585">
    <cfRule type="expression" dxfId="646" priority="693">
      <formula>$BC584="YES"</formula>
    </cfRule>
  </conditionalFormatting>
  <conditionalFormatting sqref="H582:I582">
    <cfRule type="expression" dxfId="645" priority="692">
      <formula>$BC582="YES"</formula>
    </cfRule>
  </conditionalFormatting>
  <conditionalFormatting sqref="H583:I584">
    <cfRule type="expression" dxfId="644" priority="691">
      <formula>$BC583="YES"</formula>
    </cfRule>
  </conditionalFormatting>
  <conditionalFormatting sqref="H585:I585">
    <cfRule type="expression" dxfId="643" priority="690">
      <formula>$BC585="YES"</formula>
    </cfRule>
  </conditionalFormatting>
  <conditionalFormatting sqref="L586:M587">
    <cfRule type="expression" dxfId="642" priority="689">
      <formula>$BC586="YES"</formula>
    </cfRule>
  </conditionalFormatting>
  <conditionalFormatting sqref="J586:K587">
    <cfRule type="expression" dxfId="641" priority="688">
      <formula>$BC586="YES"</formula>
    </cfRule>
  </conditionalFormatting>
  <conditionalFormatting sqref="L588:M589">
    <cfRule type="expression" dxfId="640" priority="687">
      <formula>$BC588="YES"</formula>
    </cfRule>
  </conditionalFormatting>
  <conditionalFormatting sqref="J588:K589">
    <cfRule type="expression" dxfId="639" priority="686">
      <formula>$BC588="YES"</formula>
    </cfRule>
  </conditionalFormatting>
  <conditionalFormatting sqref="H586:I586">
    <cfRule type="expression" dxfId="638" priority="685">
      <formula>$BC586="YES"</formula>
    </cfRule>
  </conditionalFormatting>
  <conditionalFormatting sqref="H587:I588">
    <cfRule type="expression" dxfId="637" priority="684">
      <formula>$BC587="YES"</formula>
    </cfRule>
  </conditionalFormatting>
  <conditionalFormatting sqref="H589:I589">
    <cfRule type="expression" dxfId="636" priority="683">
      <formula>$BC589="YES"</formula>
    </cfRule>
  </conditionalFormatting>
  <conditionalFormatting sqref="L590:M591">
    <cfRule type="expression" dxfId="635" priority="682">
      <formula>$BC590="YES"</formula>
    </cfRule>
  </conditionalFormatting>
  <conditionalFormatting sqref="J590:K591">
    <cfRule type="expression" dxfId="634" priority="681">
      <formula>$BC590="YES"</formula>
    </cfRule>
  </conditionalFormatting>
  <conditionalFormatting sqref="L592:M593">
    <cfRule type="expression" dxfId="633" priority="680">
      <formula>$BC592="YES"</formula>
    </cfRule>
  </conditionalFormatting>
  <conditionalFormatting sqref="J592:K593">
    <cfRule type="expression" dxfId="632" priority="679">
      <formula>$BC592="YES"</formula>
    </cfRule>
  </conditionalFormatting>
  <conditionalFormatting sqref="H590:I590">
    <cfRule type="expression" dxfId="631" priority="678">
      <formula>$BC590="YES"</formula>
    </cfRule>
  </conditionalFormatting>
  <conditionalFormatting sqref="H591:I592">
    <cfRule type="expression" dxfId="630" priority="677">
      <formula>$BC591="YES"</formula>
    </cfRule>
  </conditionalFormatting>
  <conditionalFormatting sqref="H593:I593">
    <cfRule type="expression" dxfId="629" priority="676">
      <formula>$BC593="YES"</formula>
    </cfRule>
  </conditionalFormatting>
  <conditionalFormatting sqref="L594:M595">
    <cfRule type="expression" dxfId="628" priority="675">
      <formula>$BC594="YES"</formula>
    </cfRule>
  </conditionalFormatting>
  <conditionalFormatting sqref="J594:K595">
    <cfRule type="expression" dxfId="627" priority="674">
      <formula>$BC594="YES"</formula>
    </cfRule>
  </conditionalFormatting>
  <conditionalFormatting sqref="L596:M597">
    <cfRule type="expression" dxfId="626" priority="673">
      <formula>$BC596="YES"</formula>
    </cfRule>
  </conditionalFormatting>
  <conditionalFormatting sqref="J596:K597">
    <cfRule type="expression" dxfId="625" priority="672">
      <formula>$BC596="YES"</formula>
    </cfRule>
  </conditionalFormatting>
  <conditionalFormatting sqref="H594:I594">
    <cfRule type="expression" dxfId="624" priority="671">
      <formula>$BC594="YES"</formula>
    </cfRule>
  </conditionalFormatting>
  <conditionalFormatting sqref="H595:I596">
    <cfRule type="expression" dxfId="623" priority="670">
      <formula>$BC595="YES"</formula>
    </cfRule>
  </conditionalFormatting>
  <conditionalFormatting sqref="H597:I597">
    <cfRule type="expression" dxfId="622" priority="669">
      <formula>$BC597="YES"</formula>
    </cfRule>
  </conditionalFormatting>
  <conditionalFormatting sqref="L598:M599">
    <cfRule type="expression" dxfId="621" priority="668">
      <formula>$BC598="YES"</formula>
    </cfRule>
  </conditionalFormatting>
  <conditionalFormatting sqref="J598:K599">
    <cfRule type="expression" dxfId="620" priority="667">
      <formula>$BC598="YES"</formula>
    </cfRule>
  </conditionalFormatting>
  <conditionalFormatting sqref="L600:M601">
    <cfRule type="expression" dxfId="619" priority="666">
      <formula>$BC600="YES"</formula>
    </cfRule>
  </conditionalFormatting>
  <conditionalFormatting sqref="J600:K601">
    <cfRule type="expression" dxfId="618" priority="665">
      <formula>$BC600="YES"</formula>
    </cfRule>
  </conditionalFormatting>
  <conditionalFormatting sqref="H598:I598">
    <cfRule type="expression" dxfId="617" priority="664">
      <formula>$BC598="YES"</formula>
    </cfRule>
  </conditionalFormatting>
  <conditionalFormatting sqref="H599:I600">
    <cfRule type="expression" dxfId="616" priority="663">
      <formula>$BC599="YES"</formula>
    </cfRule>
  </conditionalFormatting>
  <conditionalFormatting sqref="H601:I601">
    <cfRule type="expression" dxfId="615" priority="662">
      <formula>$BC601="YES"</formula>
    </cfRule>
  </conditionalFormatting>
  <conditionalFormatting sqref="L602:M603">
    <cfRule type="expression" dxfId="614" priority="661">
      <formula>$BC602="YES"</formula>
    </cfRule>
  </conditionalFormatting>
  <conditionalFormatting sqref="J602:K603">
    <cfRule type="expression" dxfId="613" priority="660">
      <formula>$BC602="YES"</formula>
    </cfRule>
  </conditionalFormatting>
  <conditionalFormatting sqref="L604:M605">
    <cfRule type="expression" dxfId="612" priority="659">
      <formula>$BC604="YES"</formula>
    </cfRule>
  </conditionalFormatting>
  <conditionalFormatting sqref="J604:K605">
    <cfRule type="expression" dxfId="611" priority="658">
      <formula>$BC604="YES"</formula>
    </cfRule>
  </conditionalFormatting>
  <conditionalFormatting sqref="H602:I602">
    <cfRule type="expression" dxfId="610" priority="657">
      <formula>$BC602="YES"</formula>
    </cfRule>
  </conditionalFormatting>
  <conditionalFormatting sqref="H603:I604">
    <cfRule type="expression" dxfId="609" priority="656">
      <formula>$BC603="YES"</formula>
    </cfRule>
  </conditionalFormatting>
  <conditionalFormatting sqref="H605:I605">
    <cfRule type="expression" dxfId="608" priority="655">
      <formula>$BC605="YES"</formula>
    </cfRule>
  </conditionalFormatting>
  <conditionalFormatting sqref="L606:M607">
    <cfRule type="expression" dxfId="607" priority="654">
      <formula>$BC606="YES"</formula>
    </cfRule>
  </conditionalFormatting>
  <conditionalFormatting sqref="J606:K607">
    <cfRule type="expression" dxfId="606" priority="653">
      <formula>$BC606="YES"</formula>
    </cfRule>
  </conditionalFormatting>
  <conditionalFormatting sqref="L608:M609">
    <cfRule type="expression" dxfId="605" priority="652">
      <formula>$BC608="YES"</formula>
    </cfRule>
  </conditionalFormatting>
  <conditionalFormatting sqref="J608:K609">
    <cfRule type="expression" dxfId="604" priority="651">
      <formula>$BC608="YES"</formula>
    </cfRule>
  </conditionalFormatting>
  <conditionalFormatting sqref="H606:I606">
    <cfRule type="expression" dxfId="603" priority="650">
      <formula>$BC606="YES"</formula>
    </cfRule>
  </conditionalFormatting>
  <conditionalFormatting sqref="H607:I608">
    <cfRule type="expression" dxfId="602" priority="649">
      <formula>$BC607="YES"</formula>
    </cfRule>
  </conditionalFormatting>
  <conditionalFormatting sqref="H609:I609">
    <cfRule type="expression" dxfId="601" priority="648">
      <formula>$BC609="YES"</formula>
    </cfRule>
  </conditionalFormatting>
  <conditionalFormatting sqref="L610:M610">
    <cfRule type="expression" dxfId="600" priority="647">
      <formula>$BC610="YES"</formula>
    </cfRule>
  </conditionalFormatting>
  <conditionalFormatting sqref="J610:K610">
    <cfRule type="expression" dxfId="599" priority="646">
      <formula>$BC610="YES"</formula>
    </cfRule>
  </conditionalFormatting>
  <conditionalFormatting sqref="H610:I610">
    <cfRule type="expression" dxfId="598" priority="645">
      <formula>$BC610="YES"</formula>
    </cfRule>
  </conditionalFormatting>
  <conditionalFormatting sqref="F711:F908 L611:M612 L625:M803 H611:I630 L806:M807">
    <cfRule type="expression" dxfId="597" priority="644">
      <formula>$BC611="YES"</formula>
    </cfRule>
  </conditionalFormatting>
  <conditionalFormatting sqref="F804:F806">
    <cfRule type="expression" dxfId="596" priority="643">
      <formula>$BC804="YES"</formula>
    </cfRule>
  </conditionalFormatting>
  <conditionalFormatting sqref="L613:M614">
    <cfRule type="expression" dxfId="595" priority="642">
      <formula>$BC613="YES"</formula>
    </cfRule>
  </conditionalFormatting>
  <conditionalFormatting sqref="L615:M616">
    <cfRule type="expression" dxfId="594" priority="641">
      <formula>$BC615="YES"</formula>
    </cfRule>
  </conditionalFormatting>
  <conditionalFormatting sqref="L617:M618">
    <cfRule type="expression" dxfId="593" priority="640">
      <formula>$BC617="YES"</formula>
    </cfRule>
  </conditionalFormatting>
  <conditionalFormatting sqref="L619:M620">
    <cfRule type="expression" dxfId="592" priority="639">
      <formula>$BC619="YES"</formula>
    </cfRule>
  </conditionalFormatting>
  <conditionalFormatting sqref="L621:M622">
    <cfRule type="expression" dxfId="591" priority="638">
      <formula>$BC621="YES"</formula>
    </cfRule>
  </conditionalFormatting>
  <conditionalFormatting sqref="L623:M624">
    <cfRule type="expression" dxfId="590" priority="637">
      <formula>$BC623="YES"</formula>
    </cfRule>
  </conditionalFormatting>
  <conditionalFormatting sqref="J611:K612 J625:K803 J806:K807">
    <cfRule type="expression" dxfId="589" priority="636">
      <formula>$BC611="YES"</formula>
    </cfRule>
  </conditionalFormatting>
  <conditionalFormatting sqref="J613:K614">
    <cfRule type="expression" dxfId="588" priority="635">
      <formula>$BC613="YES"</formula>
    </cfRule>
  </conditionalFormatting>
  <conditionalFormatting sqref="J615:K616">
    <cfRule type="expression" dxfId="587" priority="634">
      <formula>$BC615="YES"</formula>
    </cfRule>
  </conditionalFormatting>
  <conditionalFormatting sqref="J617:K618">
    <cfRule type="expression" dxfId="586" priority="633">
      <formula>$BC617="YES"</formula>
    </cfRule>
  </conditionalFormatting>
  <conditionalFormatting sqref="J619:K620">
    <cfRule type="expression" dxfId="585" priority="632">
      <formula>$BC619="YES"</formula>
    </cfRule>
  </conditionalFormatting>
  <conditionalFormatting sqref="J621:K622">
    <cfRule type="expression" dxfId="584" priority="631">
      <formula>$BC621="YES"</formula>
    </cfRule>
  </conditionalFormatting>
  <conditionalFormatting sqref="J623:K624">
    <cfRule type="expression" dxfId="583" priority="630">
      <formula>$BC623="YES"</formula>
    </cfRule>
  </conditionalFormatting>
  <conditionalFormatting sqref="F611:F710">
    <cfRule type="expression" dxfId="582" priority="629">
      <formula>$BC611="YES"</formula>
    </cfRule>
  </conditionalFormatting>
  <conditionalFormatting sqref="H631:I640">
    <cfRule type="expression" dxfId="581" priority="628">
      <formula>$BC631="YES"</formula>
    </cfRule>
  </conditionalFormatting>
  <conditionalFormatting sqref="H641:I650">
    <cfRule type="expression" dxfId="580" priority="627">
      <formula>$BC641="YES"</formula>
    </cfRule>
  </conditionalFormatting>
  <conditionalFormatting sqref="H651:I660">
    <cfRule type="expression" dxfId="579" priority="626">
      <formula>$BC651="YES"</formula>
    </cfRule>
  </conditionalFormatting>
  <conditionalFormatting sqref="H661:I670">
    <cfRule type="expression" dxfId="578" priority="625">
      <formula>$BC661="YES"</formula>
    </cfRule>
  </conditionalFormatting>
  <conditionalFormatting sqref="H671:I680">
    <cfRule type="expression" dxfId="577" priority="624">
      <formula>$BC671="YES"</formula>
    </cfRule>
  </conditionalFormatting>
  <conditionalFormatting sqref="H681:I690">
    <cfRule type="expression" dxfId="576" priority="623">
      <formula>$BC681="YES"</formula>
    </cfRule>
  </conditionalFormatting>
  <conditionalFormatting sqref="H691:I700">
    <cfRule type="expression" dxfId="575" priority="622">
      <formula>$BC691="YES"</formula>
    </cfRule>
  </conditionalFormatting>
  <conditionalFormatting sqref="H701:I710">
    <cfRule type="expression" dxfId="574" priority="621">
      <formula>$BC701="YES"</formula>
    </cfRule>
  </conditionalFormatting>
  <conditionalFormatting sqref="H711:I720">
    <cfRule type="expression" dxfId="573" priority="620">
      <formula>$BC711="YES"</formula>
    </cfRule>
  </conditionalFormatting>
  <conditionalFormatting sqref="H721:I730">
    <cfRule type="expression" dxfId="572" priority="619">
      <formula>$BC721="YES"</formula>
    </cfRule>
  </conditionalFormatting>
  <conditionalFormatting sqref="H731:I740">
    <cfRule type="expression" dxfId="571" priority="618">
      <formula>$BC731="YES"</formula>
    </cfRule>
  </conditionalFormatting>
  <conditionalFormatting sqref="H741:I750">
    <cfRule type="expression" dxfId="570" priority="617">
      <formula>$BC741="YES"</formula>
    </cfRule>
  </conditionalFormatting>
  <conditionalFormatting sqref="H751:I760">
    <cfRule type="expression" dxfId="569" priority="616">
      <formula>$BC751="YES"</formula>
    </cfRule>
  </conditionalFormatting>
  <conditionalFormatting sqref="H761:I770">
    <cfRule type="expression" dxfId="568" priority="615">
      <formula>$BC761="YES"</formula>
    </cfRule>
  </conditionalFormatting>
  <conditionalFormatting sqref="H771:I780">
    <cfRule type="expression" dxfId="567" priority="614">
      <formula>$BC771="YES"</formula>
    </cfRule>
  </conditionalFormatting>
  <conditionalFormatting sqref="H781:I790">
    <cfRule type="expression" dxfId="566" priority="613">
      <formula>$BC781="YES"</formula>
    </cfRule>
  </conditionalFormatting>
  <conditionalFormatting sqref="H791:I800">
    <cfRule type="expression" dxfId="565" priority="612">
      <formula>$BC791="YES"</formula>
    </cfRule>
  </conditionalFormatting>
  <conditionalFormatting sqref="H801:I810">
    <cfRule type="expression" dxfId="564" priority="611">
      <formula>$BC801="YES"</formula>
    </cfRule>
  </conditionalFormatting>
  <conditionalFormatting sqref="L804:M804">
    <cfRule type="expression" dxfId="563" priority="610">
      <formula>$BC804="YES"</formula>
    </cfRule>
  </conditionalFormatting>
  <conditionalFormatting sqref="J804:K804">
    <cfRule type="expression" dxfId="562" priority="609">
      <formula>$BC804="YES"</formula>
    </cfRule>
  </conditionalFormatting>
  <conditionalFormatting sqref="L805:M805">
    <cfRule type="expression" dxfId="561" priority="608">
      <formula>$BC805="YES"</formula>
    </cfRule>
  </conditionalFormatting>
  <conditionalFormatting sqref="J805:K805">
    <cfRule type="expression" dxfId="560" priority="607">
      <formula>$BC805="YES"</formula>
    </cfRule>
  </conditionalFormatting>
  <conditionalFormatting sqref="L808:M809">
    <cfRule type="expression" dxfId="559" priority="606">
      <formula>$BC808="YES"</formula>
    </cfRule>
  </conditionalFormatting>
  <conditionalFormatting sqref="J808:K809">
    <cfRule type="expression" dxfId="558" priority="605">
      <formula>$BC808="YES"</formula>
    </cfRule>
  </conditionalFormatting>
  <conditionalFormatting sqref="L810:M811">
    <cfRule type="expression" dxfId="557" priority="604">
      <formula>$BC810="YES"</formula>
    </cfRule>
  </conditionalFormatting>
  <conditionalFormatting sqref="J810:K811">
    <cfRule type="expression" dxfId="556" priority="603">
      <formula>$BC810="YES"</formula>
    </cfRule>
  </conditionalFormatting>
  <conditionalFormatting sqref="L812:M813">
    <cfRule type="expression" dxfId="555" priority="602">
      <formula>$BC812="YES"</formula>
    </cfRule>
  </conditionalFormatting>
  <conditionalFormatting sqref="J812:K813">
    <cfRule type="expression" dxfId="554" priority="601">
      <formula>$BC812="YES"</formula>
    </cfRule>
  </conditionalFormatting>
  <conditionalFormatting sqref="L814:M815">
    <cfRule type="expression" dxfId="553" priority="600">
      <formula>$BC814="YES"</formula>
    </cfRule>
  </conditionalFormatting>
  <conditionalFormatting sqref="J814:K815">
    <cfRule type="expression" dxfId="552" priority="599">
      <formula>$BC814="YES"</formula>
    </cfRule>
  </conditionalFormatting>
  <conditionalFormatting sqref="H811:I812">
    <cfRule type="expression" dxfId="551" priority="598">
      <formula>$BC811="YES"</formula>
    </cfRule>
  </conditionalFormatting>
  <conditionalFormatting sqref="H813:I814">
    <cfRule type="expression" dxfId="550" priority="597">
      <formula>$BC813="YES"</formula>
    </cfRule>
  </conditionalFormatting>
  <conditionalFormatting sqref="H815:I815">
    <cfRule type="expression" dxfId="549" priority="596">
      <formula>$BC815="YES"</formula>
    </cfRule>
  </conditionalFormatting>
  <conditionalFormatting sqref="L816:M817">
    <cfRule type="expression" dxfId="548" priority="595">
      <formula>$BC816="YES"</formula>
    </cfRule>
  </conditionalFormatting>
  <conditionalFormatting sqref="J816:K817">
    <cfRule type="expression" dxfId="547" priority="594">
      <formula>$BC816="YES"</formula>
    </cfRule>
  </conditionalFormatting>
  <conditionalFormatting sqref="L818:M819">
    <cfRule type="expression" dxfId="546" priority="593">
      <formula>$BC818="YES"</formula>
    </cfRule>
  </conditionalFormatting>
  <conditionalFormatting sqref="J818:K819">
    <cfRule type="expression" dxfId="545" priority="592">
      <formula>$BC818="YES"</formula>
    </cfRule>
  </conditionalFormatting>
  <conditionalFormatting sqref="H816:I816">
    <cfRule type="expression" dxfId="544" priority="591">
      <formula>$BC816="YES"</formula>
    </cfRule>
  </conditionalFormatting>
  <conditionalFormatting sqref="H817:I818">
    <cfRule type="expression" dxfId="543" priority="590">
      <formula>$BC817="YES"</formula>
    </cfRule>
  </conditionalFormatting>
  <conditionalFormatting sqref="H819:I819">
    <cfRule type="expression" dxfId="542" priority="589">
      <formula>$BC819="YES"</formula>
    </cfRule>
  </conditionalFormatting>
  <conditionalFormatting sqref="L820:M821">
    <cfRule type="expression" dxfId="541" priority="588">
      <formula>$BC820="YES"</formula>
    </cfRule>
  </conditionalFormatting>
  <conditionalFormatting sqref="J820:K821">
    <cfRule type="expression" dxfId="540" priority="587">
      <formula>$BC820="YES"</formula>
    </cfRule>
  </conditionalFormatting>
  <conditionalFormatting sqref="L822:M823">
    <cfRule type="expression" dxfId="539" priority="586">
      <formula>$BC822="YES"</formula>
    </cfRule>
  </conditionalFormatting>
  <conditionalFormatting sqref="J822:K823">
    <cfRule type="expression" dxfId="538" priority="585">
      <formula>$BC822="YES"</formula>
    </cfRule>
  </conditionalFormatting>
  <conditionalFormatting sqref="H820:I820">
    <cfRule type="expression" dxfId="537" priority="584">
      <formula>$BC820="YES"</formula>
    </cfRule>
  </conditionalFormatting>
  <conditionalFormatting sqref="H821:I822">
    <cfRule type="expression" dxfId="536" priority="583">
      <formula>$BC821="YES"</formula>
    </cfRule>
  </conditionalFormatting>
  <conditionalFormatting sqref="H823:I823">
    <cfRule type="expression" dxfId="535" priority="582">
      <formula>$BC823="YES"</formula>
    </cfRule>
  </conditionalFormatting>
  <conditionalFormatting sqref="L824:M825">
    <cfRule type="expression" dxfId="534" priority="581">
      <formula>$BC824="YES"</formula>
    </cfRule>
  </conditionalFormatting>
  <conditionalFormatting sqref="J824:K825">
    <cfRule type="expression" dxfId="533" priority="580">
      <formula>$BC824="YES"</formula>
    </cfRule>
  </conditionalFormatting>
  <conditionalFormatting sqref="L826:M827">
    <cfRule type="expression" dxfId="532" priority="579">
      <formula>$BC826="YES"</formula>
    </cfRule>
  </conditionalFormatting>
  <conditionalFormatting sqref="J826:K827">
    <cfRule type="expression" dxfId="531" priority="578">
      <formula>$BC826="YES"</formula>
    </cfRule>
  </conditionalFormatting>
  <conditionalFormatting sqref="H824:I824">
    <cfRule type="expression" dxfId="530" priority="577">
      <formula>$BC824="YES"</formula>
    </cfRule>
  </conditionalFormatting>
  <conditionalFormatting sqref="H825:I826">
    <cfRule type="expression" dxfId="529" priority="576">
      <formula>$BC825="YES"</formula>
    </cfRule>
  </conditionalFormatting>
  <conditionalFormatting sqref="H827:I827">
    <cfRule type="expression" dxfId="528" priority="575">
      <formula>$BC827="YES"</formula>
    </cfRule>
  </conditionalFormatting>
  <conditionalFormatting sqref="L828:M829">
    <cfRule type="expression" dxfId="527" priority="574">
      <formula>$BC828="YES"</formula>
    </cfRule>
  </conditionalFormatting>
  <conditionalFormatting sqref="J828:K829">
    <cfRule type="expression" dxfId="526" priority="573">
      <formula>$BC828="YES"</formula>
    </cfRule>
  </conditionalFormatting>
  <conditionalFormatting sqref="L830:M831">
    <cfRule type="expression" dxfId="525" priority="572">
      <formula>$BC830="YES"</formula>
    </cfRule>
  </conditionalFormatting>
  <conditionalFormatting sqref="J830:K831">
    <cfRule type="expression" dxfId="524" priority="571">
      <formula>$BC830="YES"</formula>
    </cfRule>
  </conditionalFormatting>
  <conditionalFormatting sqref="H828:I828">
    <cfRule type="expression" dxfId="523" priority="570">
      <formula>$BC828="YES"</formula>
    </cfRule>
  </conditionalFormatting>
  <conditionalFormatting sqref="H829:I830">
    <cfRule type="expression" dxfId="522" priority="569">
      <formula>$BC829="YES"</formula>
    </cfRule>
  </conditionalFormatting>
  <conditionalFormatting sqref="H831:I831">
    <cfRule type="expression" dxfId="521" priority="568">
      <formula>$BC831="YES"</formula>
    </cfRule>
  </conditionalFormatting>
  <conditionalFormatting sqref="L832:M833">
    <cfRule type="expression" dxfId="520" priority="567">
      <formula>$BC832="YES"</formula>
    </cfRule>
  </conditionalFormatting>
  <conditionalFormatting sqref="J832:K833">
    <cfRule type="expression" dxfId="519" priority="566">
      <formula>$BC832="YES"</formula>
    </cfRule>
  </conditionalFormatting>
  <conditionalFormatting sqref="L834:M835">
    <cfRule type="expression" dxfId="518" priority="565">
      <formula>$BC834="YES"</formula>
    </cfRule>
  </conditionalFormatting>
  <conditionalFormatting sqref="J834:K835">
    <cfRule type="expression" dxfId="517" priority="564">
      <formula>$BC834="YES"</formula>
    </cfRule>
  </conditionalFormatting>
  <conditionalFormatting sqref="H832:I832">
    <cfRule type="expression" dxfId="516" priority="563">
      <formula>$BC832="YES"</formula>
    </cfRule>
  </conditionalFormatting>
  <conditionalFormatting sqref="H833:I834">
    <cfRule type="expression" dxfId="515" priority="562">
      <formula>$BC833="YES"</formula>
    </cfRule>
  </conditionalFormatting>
  <conditionalFormatting sqref="H835:I835">
    <cfRule type="expression" dxfId="514" priority="561">
      <formula>$BC835="YES"</formula>
    </cfRule>
  </conditionalFormatting>
  <conditionalFormatting sqref="L836:M837">
    <cfRule type="expression" dxfId="513" priority="560">
      <formula>$BC836="YES"</formula>
    </cfRule>
  </conditionalFormatting>
  <conditionalFormatting sqref="J836:K837">
    <cfRule type="expression" dxfId="512" priority="559">
      <formula>$BC836="YES"</formula>
    </cfRule>
  </conditionalFormatting>
  <conditionalFormatting sqref="L838:M839">
    <cfRule type="expression" dxfId="511" priority="558">
      <formula>$BC838="YES"</formula>
    </cfRule>
  </conditionalFormatting>
  <conditionalFormatting sqref="J838:K839">
    <cfRule type="expression" dxfId="510" priority="557">
      <formula>$BC838="YES"</formula>
    </cfRule>
  </conditionalFormatting>
  <conditionalFormatting sqref="H836:I836">
    <cfRule type="expression" dxfId="509" priority="556">
      <formula>$BC836="YES"</formula>
    </cfRule>
  </conditionalFormatting>
  <conditionalFormatting sqref="H837:I838">
    <cfRule type="expression" dxfId="508" priority="555">
      <formula>$BC837="YES"</formula>
    </cfRule>
  </conditionalFormatting>
  <conditionalFormatting sqref="H839:I839">
    <cfRule type="expression" dxfId="507" priority="554">
      <formula>$BC839="YES"</formula>
    </cfRule>
  </conditionalFormatting>
  <conditionalFormatting sqref="L840:M841">
    <cfRule type="expression" dxfId="506" priority="553">
      <formula>$BC840="YES"</formula>
    </cfRule>
  </conditionalFormatting>
  <conditionalFormatting sqref="J840:K841">
    <cfRule type="expression" dxfId="505" priority="552">
      <formula>$BC840="YES"</formula>
    </cfRule>
  </conditionalFormatting>
  <conditionalFormatting sqref="L842:M843">
    <cfRule type="expression" dxfId="504" priority="551">
      <formula>$BC842="YES"</formula>
    </cfRule>
  </conditionalFormatting>
  <conditionalFormatting sqref="J842:K843">
    <cfRule type="expression" dxfId="503" priority="550">
      <formula>$BC842="YES"</formula>
    </cfRule>
  </conditionalFormatting>
  <conditionalFormatting sqref="H840:I840">
    <cfRule type="expression" dxfId="502" priority="549">
      <formula>$BC840="YES"</formula>
    </cfRule>
  </conditionalFormatting>
  <conditionalFormatting sqref="H841:I842">
    <cfRule type="expression" dxfId="501" priority="548">
      <formula>$BC841="YES"</formula>
    </cfRule>
  </conditionalFormatting>
  <conditionalFormatting sqref="H843:I843">
    <cfRule type="expression" dxfId="500" priority="547">
      <formula>$BC843="YES"</formula>
    </cfRule>
  </conditionalFormatting>
  <conditionalFormatting sqref="L844:M845">
    <cfRule type="expression" dxfId="499" priority="546">
      <formula>$BC844="YES"</formula>
    </cfRule>
  </conditionalFormatting>
  <conditionalFormatting sqref="J844:K845">
    <cfRule type="expression" dxfId="498" priority="545">
      <formula>$BC844="YES"</formula>
    </cfRule>
  </conditionalFormatting>
  <conditionalFormatting sqref="L846:M847">
    <cfRule type="expression" dxfId="497" priority="544">
      <formula>$BC846="YES"</formula>
    </cfRule>
  </conditionalFormatting>
  <conditionalFormatting sqref="J846:K847">
    <cfRule type="expression" dxfId="496" priority="543">
      <formula>$BC846="YES"</formula>
    </cfRule>
  </conditionalFormatting>
  <conditionalFormatting sqref="H844:I844">
    <cfRule type="expression" dxfId="495" priority="542">
      <formula>$BC844="YES"</formula>
    </cfRule>
  </conditionalFormatting>
  <conditionalFormatting sqref="H845:I846">
    <cfRule type="expression" dxfId="494" priority="541">
      <formula>$BC845="YES"</formula>
    </cfRule>
  </conditionalFormatting>
  <conditionalFormatting sqref="H847:I847">
    <cfRule type="expression" dxfId="493" priority="540">
      <formula>$BC847="YES"</formula>
    </cfRule>
  </conditionalFormatting>
  <conditionalFormatting sqref="L848:M849">
    <cfRule type="expression" dxfId="492" priority="539">
      <formula>$BC848="YES"</formula>
    </cfRule>
  </conditionalFormatting>
  <conditionalFormatting sqref="J848:K849">
    <cfRule type="expression" dxfId="491" priority="538">
      <formula>$BC848="YES"</formula>
    </cfRule>
  </conditionalFormatting>
  <conditionalFormatting sqref="L850:M851">
    <cfRule type="expression" dxfId="490" priority="537">
      <formula>$BC850="YES"</formula>
    </cfRule>
  </conditionalFormatting>
  <conditionalFormatting sqref="J850:K851">
    <cfRule type="expression" dxfId="489" priority="536">
      <formula>$BC850="YES"</formula>
    </cfRule>
  </conditionalFormatting>
  <conditionalFormatting sqref="H848:I848">
    <cfRule type="expression" dxfId="488" priority="535">
      <formula>$BC848="YES"</formula>
    </cfRule>
  </conditionalFormatting>
  <conditionalFormatting sqref="H849:I850">
    <cfRule type="expression" dxfId="487" priority="534">
      <formula>$BC849="YES"</formula>
    </cfRule>
  </conditionalFormatting>
  <conditionalFormatting sqref="H851:I851">
    <cfRule type="expression" dxfId="486" priority="533">
      <formula>$BC851="YES"</formula>
    </cfRule>
  </conditionalFormatting>
  <conditionalFormatting sqref="L852:M853">
    <cfRule type="expression" dxfId="485" priority="532">
      <formula>$BC852="YES"</formula>
    </cfRule>
  </conditionalFormatting>
  <conditionalFormatting sqref="J852:K853">
    <cfRule type="expression" dxfId="484" priority="531">
      <formula>$BC852="YES"</formula>
    </cfRule>
  </conditionalFormatting>
  <conditionalFormatting sqref="L854:M855">
    <cfRule type="expression" dxfId="483" priority="530">
      <formula>$BC854="YES"</formula>
    </cfRule>
  </conditionalFormatting>
  <conditionalFormatting sqref="J854:K855">
    <cfRule type="expression" dxfId="482" priority="529">
      <formula>$BC854="YES"</formula>
    </cfRule>
  </conditionalFormatting>
  <conditionalFormatting sqref="H852:I852">
    <cfRule type="expression" dxfId="481" priority="528">
      <formula>$BC852="YES"</formula>
    </cfRule>
  </conditionalFormatting>
  <conditionalFormatting sqref="H853:I854">
    <cfRule type="expression" dxfId="480" priority="527">
      <formula>$BC853="YES"</formula>
    </cfRule>
  </conditionalFormatting>
  <conditionalFormatting sqref="H855:I855">
    <cfRule type="expression" dxfId="479" priority="526">
      <formula>$BC855="YES"</formula>
    </cfRule>
  </conditionalFormatting>
  <conditionalFormatting sqref="L856:M857">
    <cfRule type="expression" dxfId="478" priority="525">
      <formula>$BC856="YES"</formula>
    </cfRule>
  </conditionalFormatting>
  <conditionalFormatting sqref="J856:K857">
    <cfRule type="expression" dxfId="477" priority="524">
      <formula>$BC856="YES"</formula>
    </cfRule>
  </conditionalFormatting>
  <conditionalFormatting sqref="L858:M859">
    <cfRule type="expression" dxfId="476" priority="523">
      <formula>$BC858="YES"</formula>
    </cfRule>
  </conditionalFormatting>
  <conditionalFormatting sqref="J858:K859">
    <cfRule type="expression" dxfId="475" priority="522">
      <formula>$BC858="YES"</formula>
    </cfRule>
  </conditionalFormatting>
  <conditionalFormatting sqref="H856:I856">
    <cfRule type="expression" dxfId="474" priority="521">
      <formula>$BC856="YES"</formula>
    </cfRule>
  </conditionalFormatting>
  <conditionalFormatting sqref="H857:I858">
    <cfRule type="expression" dxfId="473" priority="520">
      <formula>$BC857="YES"</formula>
    </cfRule>
  </conditionalFormatting>
  <conditionalFormatting sqref="H859:I859">
    <cfRule type="expression" dxfId="472" priority="519">
      <formula>$BC859="YES"</formula>
    </cfRule>
  </conditionalFormatting>
  <conditionalFormatting sqref="L860:M861">
    <cfRule type="expression" dxfId="471" priority="518">
      <formula>$BC860="YES"</formula>
    </cfRule>
  </conditionalFormatting>
  <conditionalFormatting sqref="J860:K861">
    <cfRule type="expression" dxfId="470" priority="517">
      <formula>$BC860="YES"</formula>
    </cfRule>
  </conditionalFormatting>
  <conditionalFormatting sqref="L862:M863">
    <cfRule type="expression" dxfId="469" priority="516">
      <formula>$BC862="YES"</formula>
    </cfRule>
  </conditionalFormatting>
  <conditionalFormatting sqref="J862:K863">
    <cfRule type="expression" dxfId="468" priority="515">
      <formula>$BC862="YES"</formula>
    </cfRule>
  </conditionalFormatting>
  <conditionalFormatting sqref="H860:I860">
    <cfRule type="expression" dxfId="467" priority="514">
      <formula>$BC860="YES"</formula>
    </cfRule>
  </conditionalFormatting>
  <conditionalFormatting sqref="H861:I862">
    <cfRule type="expression" dxfId="466" priority="513">
      <formula>$BC861="YES"</formula>
    </cfRule>
  </conditionalFormatting>
  <conditionalFormatting sqref="H863:I863">
    <cfRule type="expression" dxfId="465" priority="512">
      <formula>$BC863="YES"</formula>
    </cfRule>
  </conditionalFormatting>
  <conditionalFormatting sqref="L864:M865">
    <cfRule type="expression" dxfId="464" priority="511">
      <formula>$BC864="YES"</formula>
    </cfRule>
  </conditionalFormatting>
  <conditionalFormatting sqref="J864:K865">
    <cfRule type="expression" dxfId="463" priority="510">
      <formula>$BC864="YES"</formula>
    </cfRule>
  </conditionalFormatting>
  <conditionalFormatting sqref="L866:M867">
    <cfRule type="expression" dxfId="462" priority="509">
      <formula>$BC866="YES"</formula>
    </cfRule>
  </conditionalFormatting>
  <conditionalFormatting sqref="J866:K867">
    <cfRule type="expression" dxfId="461" priority="508">
      <formula>$BC866="YES"</formula>
    </cfRule>
  </conditionalFormatting>
  <conditionalFormatting sqref="H864:I864">
    <cfRule type="expression" dxfId="460" priority="507">
      <formula>$BC864="YES"</formula>
    </cfRule>
  </conditionalFormatting>
  <conditionalFormatting sqref="H865:I866">
    <cfRule type="expression" dxfId="459" priority="506">
      <formula>$BC865="YES"</formula>
    </cfRule>
  </conditionalFormatting>
  <conditionalFormatting sqref="H867:I867">
    <cfRule type="expression" dxfId="458" priority="505">
      <formula>$BC867="YES"</formula>
    </cfRule>
  </conditionalFormatting>
  <conditionalFormatting sqref="L868:M869">
    <cfRule type="expression" dxfId="457" priority="504">
      <formula>$BC868="YES"</formula>
    </cfRule>
  </conditionalFormatting>
  <conditionalFormatting sqref="J868:K869">
    <cfRule type="expression" dxfId="456" priority="503">
      <formula>$BC868="YES"</formula>
    </cfRule>
  </conditionalFormatting>
  <conditionalFormatting sqref="L870:M871">
    <cfRule type="expression" dxfId="455" priority="502">
      <formula>$BC870="YES"</formula>
    </cfRule>
  </conditionalFormatting>
  <conditionalFormatting sqref="J870:K871">
    <cfRule type="expression" dxfId="454" priority="501">
      <formula>$BC870="YES"</formula>
    </cfRule>
  </conditionalFormatting>
  <conditionalFormatting sqref="H868:I868">
    <cfRule type="expression" dxfId="453" priority="500">
      <formula>$BC868="YES"</formula>
    </cfRule>
  </conditionalFormatting>
  <conditionalFormatting sqref="H869:I870">
    <cfRule type="expression" dxfId="452" priority="499">
      <formula>$BC869="YES"</formula>
    </cfRule>
  </conditionalFormatting>
  <conditionalFormatting sqref="H871:I871">
    <cfRule type="expression" dxfId="451" priority="498">
      <formula>$BC871="YES"</formula>
    </cfRule>
  </conditionalFormatting>
  <conditionalFormatting sqref="L872:M873">
    <cfRule type="expression" dxfId="450" priority="497">
      <formula>$BC872="YES"</formula>
    </cfRule>
  </conditionalFormatting>
  <conditionalFormatting sqref="J872:K873">
    <cfRule type="expression" dxfId="449" priority="496">
      <formula>$BC872="YES"</formula>
    </cfRule>
  </conditionalFormatting>
  <conditionalFormatting sqref="L874:M875">
    <cfRule type="expression" dxfId="448" priority="495">
      <formula>$BC874="YES"</formula>
    </cfRule>
  </conditionalFormatting>
  <conditionalFormatting sqref="J874:K875">
    <cfRule type="expression" dxfId="447" priority="494">
      <formula>$BC874="YES"</formula>
    </cfRule>
  </conditionalFormatting>
  <conditionalFormatting sqref="H872:I872">
    <cfRule type="expression" dxfId="446" priority="493">
      <formula>$BC872="YES"</formula>
    </cfRule>
  </conditionalFormatting>
  <conditionalFormatting sqref="H873:I874">
    <cfRule type="expression" dxfId="445" priority="492">
      <formula>$BC873="YES"</formula>
    </cfRule>
  </conditionalFormatting>
  <conditionalFormatting sqref="H875:I875">
    <cfRule type="expression" dxfId="444" priority="491">
      <formula>$BC875="YES"</formula>
    </cfRule>
  </conditionalFormatting>
  <conditionalFormatting sqref="L876:M877">
    <cfRule type="expression" dxfId="443" priority="490">
      <formula>$BC876="YES"</formula>
    </cfRule>
  </conditionalFormatting>
  <conditionalFormatting sqref="J876:K877">
    <cfRule type="expression" dxfId="442" priority="489">
      <formula>$BC876="YES"</formula>
    </cfRule>
  </conditionalFormatting>
  <conditionalFormatting sqref="L878:M879">
    <cfRule type="expression" dxfId="441" priority="488">
      <formula>$BC878="YES"</formula>
    </cfRule>
  </conditionalFormatting>
  <conditionalFormatting sqref="J878:K879">
    <cfRule type="expression" dxfId="440" priority="487">
      <formula>$BC878="YES"</formula>
    </cfRule>
  </conditionalFormatting>
  <conditionalFormatting sqref="H876:I876">
    <cfRule type="expression" dxfId="439" priority="486">
      <formula>$BC876="YES"</formula>
    </cfRule>
  </conditionalFormatting>
  <conditionalFormatting sqref="H877:I878">
    <cfRule type="expression" dxfId="438" priority="485">
      <formula>$BC877="YES"</formula>
    </cfRule>
  </conditionalFormatting>
  <conditionalFormatting sqref="H879:I879">
    <cfRule type="expression" dxfId="437" priority="484">
      <formula>$BC879="YES"</formula>
    </cfRule>
  </conditionalFormatting>
  <conditionalFormatting sqref="L880:M881">
    <cfRule type="expression" dxfId="436" priority="483">
      <formula>$BC880="YES"</formula>
    </cfRule>
  </conditionalFormatting>
  <conditionalFormatting sqref="J880:K881">
    <cfRule type="expression" dxfId="435" priority="482">
      <formula>$BC880="YES"</formula>
    </cfRule>
  </conditionalFormatting>
  <conditionalFormatting sqref="L882:M883">
    <cfRule type="expression" dxfId="434" priority="481">
      <formula>$BC882="YES"</formula>
    </cfRule>
  </conditionalFormatting>
  <conditionalFormatting sqref="J882:K883">
    <cfRule type="expression" dxfId="433" priority="480">
      <formula>$BC882="YES"</formula>
    </cfRule>
  </conditionalFormatting>
  <conditionalFormatting sqref="H880:I880">
    <cfRule type="expression" dxfId="432" priority="479">
      <formula>$BC880="YES"</formula>
    </cfRule>
  </conditionalFormatting>
  <conditionalFormatting sqref="H881:I882">
    <cfRule type="expression" dxfId="431" priority="478">
      <formula>$BC881="YES"</formula>
    </cfRule>
  </conditionalFormatting>
  <conditionalFormatting sqref="H883:I883">
    <cfRule type="expression" dxfId="430" priority="477">
      <formula>$BC883="YES"</formula>
    </cfRule>
  </conditionalFormatting>
  <conditionalFormatting sqref="L884:M885">
    <cfRule type="expression" dxfId="429" priority="476">
      <formula>$BC884="YES"</formula>
    </cfRule>
  </conditionalFormatting>
  <conditionalFormatting sqref="J884:K885">
    <cfRule type="expression" dxfId="428" priority="475">
      <formula>$BC884="YES"</formula>
    </cfRule>
  </conditionalFormatting>
  <conditionalFormatting sqref="L886:M887">
    <cfRule type="expression" dxfId="427" priority="474">
      <formula>$BC886="YES"</formula>
    </cfRule>
  </conditionalFormatting>
  <conditionalFormatting sqref="J886:K887">
    <cfRule type="expression" dxfId="426" priority="473">
      <formula>$BC886="YES"</formula>
    </cfRule>
  </conditionalFormatting>
  <conditionalFormatting sqref="H884:I884">
    <cfRule type="expression" dxfId="425" priority="472">
      <formula>$BC884="YES"</formula>
    </cfRule>
  </conditionalFormatting>
  <conditionalFormatting sqref="H885:I886">
    <cfRule type="expression" dxfId="424" priority="471">
      <formula>$BC885="YES"</formula>
    </cfRule>
  </conditionalFormatting>
  <conditionalFormatting sqref="H887:I887">
    <cfRule type="expression" dxfId="423" priority="470">
      <formula>$BC887="YES"</formula>
    </cfRule>
  </conditionalFormatting>
  <conditionalFormatting sqref="L888:M889">
    <cfRule type="expression" dxfId="422" priority="469">
      <formula>$BC888="YES"</formula>
    </cfRule>
  </conditionalFormatting>
  <conditionalFormatting sqref="J888:K889">
    <cfRule type="expression" dxfId="421" priority="468">
      <formula>$BC888="YES"</formula>
    </cfRule>
  </conditionalFormatting>
  <conditionalFormatting sqref="L890:M891">
    <cfRule type="expression" dxfId="420" priority="467">
      <formula>$BC890="YES"</formula>
    </cfRule>
  </conditionalFormatting>
  <conditionalFormatting sqref="J890:K891">
    <cfRule type="expression" dxfId="419" priority="466">
      <formula>$BC890="YES"</formula>
    </cfRule>
  </conditionalFormatting>
  <conditionalFormatting sqref="H888:I888">
    <cfRule type="expression" dxfId="418" priority="465">
      <formula>$BC888="YES"</formula>
    </cfRule>
  </conditionalFormatting>
  <conditionalFormatting sqref="H889:I890">
    <cfRule type="expression" dxfId="417" priority="464">
      <formula>$BC889="YES"</formula>
    </cfRule>
  </conditionalFormatting>
  <conditionalFormatting sqref="H891:I891">
    <cfRule type="expression" dxfId="416" priority="463">
      <formula>$BC891="YES"</formula>
    </cfRule>
  </conditionalFormatting>
  <conditionalFormatting sqref="L892:M893">
    <cfRule type="expression" dxfId="415" priority="462">
      <formula>$BC892="YES"</formula>
    </cfRule>
  </conditionalFormatting>
  <conditionalFormatting sqref="J892:K893">
    <cfRule type="expression" dxfId="414" priority="461">
      <formula>$BC892="YES"</formula>
    </cfRule>
  </conditionalFormatting>
  <conditionalFormatting sqref="L894:M895">
    <cfRule type="expression" dxfId="413" priority="460">
      <formula>$BC894="YES"</formula>
    </cfRule>
  </conditionalFormatting>
  <conditionalFormatting sqref="J894:K895">
    <cfRule type="expression" dxfId="412" priority="459">
      <formula>$BC894="YES"</formula>
    </cfRule>
  </conditionalFormatting>
  <conditionalFormatting sqref="H892:I892">
    <cfRule type="expression" dxfId="411" priority="458">
      <formula>$BC892="YES"</formula>
    </cfRule>
  </conditionalFormatting>
  <conditionalFormatting sqref="H893:I894">
    <cfRule type="expression" dxfId="410" priority="457">
      <formula>$BC893="YES"</formula>
    </cfRule>
  </conditionalFormatting>
  <conditionalFormatting sqref="H895:I895">
    <cfRule type="expression" dxfId="409" priority="456">
      <formula>$BC895="YES"</formula>
    </cfRule>
  </conditionalFormatting>
  <conditionalFormatting sqref="L896:M897">
    <cfRule type="expression" dxfId="408" priority="455">
      <formula>$BC896="YES"</formula>
    </cfRule>
  </conditionalFormatting>
  <conditionalFormatting sqref="J896:K897">
    <cfRule type="expression" dxfId="407" priority="454">
      <formula>$BC896="YES"</formula>
    </cfRule>
  </conditionalFormatting>
  <conditionalFormatting sqref="L898:M899">
    <cfRule type="expression" dxfId="406" priority="453">
      <formula>$BC898="YES"</formula>
    </cfRule>
  </conditionalFormatting>
  <conditionalFormatting sqref="J898:K899">
    <cfRule type="expression" dxfId="405" priority="452">
      <formula>$BC898="YES"</formula>
    </cfRule>
  </conditionalFormatting>
  <conditionalFormatting sqref="H896:I896">
    <cfRule type="expression" dxfId="404" priority="451">
      <formula>$BC896="YES"</formula>
    </cfRule>
  </conditionalFormatting>
  <conditionalFormatting sqref="H897:I898">
    <cfRule type="expression" dxfId="403" priority="450">
      <formula>$BC897="YES"</formula>
    </cfRule>
  </conditionalFormatting>
  <conditionalFormatting sqref="H899:I899">
    <cfRule type="expression" dxfId="402" priority="449">
      <formula>$BC899="YES"</formula>
    </cfRule>
  </conditionalFormatting>
  <conditionalFormatting sqref="L900:M901">
    <cfRule type="expression" dxfId="401" priority="448">
      <formula>$BC900="YES"</formula>
    </cfRule>
  </conditionalFormatting>
  <conditionalFormatting sqref="J900:K901">
    <cfRule type="expression" dxfId="400" priority="447">
      <formula>$BC900="YES"</formula>
    </cfRule>
  </conditionalFormatting>
  <conditionalFormatting sqref="L902:M903">
    <cfRule type="expression" dxfId="399" priority="446">
      <formula>$BC902="YES"</formula>
    </cfRule>
  </conditionalFormatting>
  <conditionalFormatting sqref="J902:K903">
    <cfRule type="expression" dxfId="398" priority="445">
      <formula>$BC902="YES"</formula>
    </cfRule>
  </conditionalFormatting>
  <conditionalFormatting sqref="H900:I900">
    <cfRule type="expression" dxfId="397" priority="444">
      <formula>$BC900="YES"</formula>
    </cfRule>
  </conditionalFormatting>
  <conditionalFormatting sqref="H901:I902">
    <cfRule type="expression" dxfId="396" priority="443">
      <formula>$BC901="YES"</formula>
    </cfRule>
  </conditionalFormatting>
  <conditionalFormatting sqref="H903:I903">
    <cfRule type="expression" dxfId="395" priority="442">
      <formula>$BC903="YES"</formula>
    </cfRule>
  </conditionalFormatting>
  <conditionalFormatting sqref="L904:M905">
    <cfRule type="expression" dxfId="394" priority="441">
      <formula>$BC904="YES"</formula>
    </cfRule>
  </conditionalFormatting>
  <conditionalFormatting sqref="J904:K905">
    <cfRule type="expression" dxfId="393" priority="440">
      <formula>$BC904="YES"</formula>
    </cfRule>
  </conditionalFormatting>
  <conditionalFormatting sqref="L906:M907">
    <cfRule type="expression" dxfId="392" priority="439">
      <formula>$BC906="YES"</formula>
    </cfRule>
  </conditionalFormatting>
  <conditionalFormatting sqref="J906:K907">
    <cfRule type="expression" dxfId="391" priority="438">
      <formula>$BC906="YES"</formula>
    </cfRule>
  </conditionalFormatting>
  <conditionalFormatting sqref="H904:I904">
    <cfRule type="expression" dxfId="390" priority="437">
      <formula>$BC904="YES"</formula>
    </cfRule>
  </conditionalFormatting>
  <conditionalFormatting sqref="H905:I906">
    <cfRule type="expression" dxfId="389" priority="436">
      <formula>$BC905="YES"</formula>
    </cfRule>
  </conditionalFormatting>
  <conditionalFormatting sqref="H907:I907">
    <cfRule type="expression" dxfId="388" priority="435">
      <formula>$BC907="YES"</formula>
    </cfRule>
  </conditionalFormatting>
  <conditionalFormatting sqref="L908:M908">
    <cfRule type="expression" dxfId="387" priority="434">
      <formula>$BC908="YES"</formula>
    </cfRule>
  </conditionalFormatting>
  <conditionalFormatting sqref="J908:K908">
    <cfRule type="expression" dxfId="386" priority="433">
      <formula>$BC908="YES"</formula>
    </cfRule>
  </conditionalFormatting>
  <conditionalFormatting sqref="H908:I908">
    <cfRule type="expression" dxfId="385" priority="432">
      <formula>$BC908="YES"</formula>
    </cfRule>
  </conditionalFormatting>
  <conditionalFormatting sqref="F1009:F1206 L909:M910 L923:M1101 H909:I928 L1104:M1105">
    <cfRule type="expression" dxfId="384" priority="431">
      <formula>$BC909="YES"</formula>
    </cfRule>
  </conditionalFormatting>
  <conditionalFormatting sqref="F1102:F1104">
    <cfRule type="expression" dxfId="383" priority="430">
      <formula>$BC1102="YES"</formula>
    </cfRule>
  </conditionalFormatting>
  <conditionalFormatting sqref="L911:M912">
    <cfRule type="expression" dxfId="382" priority="429">
      <formula>$BC911="YES"</formula>
    </cfRule>
  </conditionalFormatting>
  <conditionalFormatting sqref="L913:M914">
    <cfRule type="expression" dxfId="381" priority="428">
      <formula>$BC913="YES"</formula>
    </cfRule>
  </conditionalFormatting>
  <conditionalFormatting sqref="L915:M916">
    <cfRule type="expression" dxfId="380" priority="427">
      <formula>$BC915="YES"</formula>
    </cfRule>
  </conditionalFormatting>
  <conditionalFormatting sqref="L917:M918">
    <cfRule type="expression" dxfId="379" priority="426">
      <formula>$BC917="YES"</formula>
    </cfRule>
  </conditionalFormatting>
  <conditionalFormatting sqref="L919:M920">
    <cfRule type="expression" dxfId="378" priority="425">
      <formula>$BC919="YES"</formula>
    </cfRule>
  </conditionalFormatting>
  <conditionalFormatting sqref="L921:M922">
    <cfRule type="expression" dxfId="377" priority="424">
      <formula>$BC921="YES"</formula>
    </cfRule>
  </conditionalFormatting>
  <conditionalFormatting sqref="J909:K910 J923:K1101 J1104:K1105">
    <cfRule type="expression" dxfId="376" priority="423">
      <formula>$BC909="YES"</formula>
    </cfRule>
  </conditionalFormatting>
  <conditionalFormatting sqref="J911:K912">
    <cfRule type="expression" dxfId="375" priority="422">
      <formula>$BC911="YES"</formula>
    </cfRule>
  </conditionalFormatting>
  <conditionalFormatting sqref="J913:K914">
    <cfRule type="expression" dxfId="374" priority="421">
      <formula>$BC913="YES"</formula>
    </cfRule>
  </conditionalFormatting>
  <conditionalFormatting sqref="J915:K916">
    <cfRule type="expression" dxfId="373" priority="420">
      <formula>$BC915="YES"</formula>
    </cfRule>
  </conditionalFormatting>
  <conditionalFormatting sqref="J917:K918">
    <cfRule type="expression" dxfId="372" priority="419">
      <formula>$BC917="YES"</formula>
    </cfRule>
  </conditionalFormatting>
  <conditionalFormatting sqref="J919:K920">
    <cfRule type="expression" dxfId="371" priority="418">
      <formula>$BC919="YES"</formula>
    </cfRule>
  </conditionalFormatting>
  <conditionalFormatting sqref="J921:K922">
    <cfRule type="expression" dxfId="370" priority="417">
      <formula>$BC921="YES"</formula>
    </cfRule>
  </conditionalFormatting>
  <conditionalFormatting sqref="F909:F1008">
    <cfRule type="expression" dxfId="369" priority="416">
      <formula>$BC909="YES"</formula>
    </cfRule>
  </conditionalFormatting>
  <conditionalFormatting sqref="H929:I938">
    <cfRule type="expression" dxfId="368" priority="415">
      <formula>$BC929="YES"</formula>
    </cfRule>
  </conditionalFormatting>
  <conditionalFormatting sqref="H939:I948">
    <cfRule type="expression" dxfId="367" priority="414">
      <formula>$BC939="YES"</formula>
    </cfRule>
  </conditionalFormatting>
  <conditionalFormatting sqref="H949:I958">
    <cfRule type="expression" dxfId="366" priority="413">
      <formula>$BC949="YES"</formula>
    </cfRule>
  </conditionalFormatting>
  <conditionalFormatting sqref="H959:I968">
    <cfRule type="expression" dxfId="365" priority="412">
      <formula>$BC959="YES"</formula>
    </cfRule>
  </conditionalFormatting>
  <conditionalFormatting sqref="H969:I978">
    <cfRule type="expression" dxfId="364" priority="411">
      <formula>$BC969="YES"</formula>
    </cfRule>
  </conditionalFormatting>
  <conditionalFormatting sqref="H979:I988">
    <cfRule type="expression" dxfId="363" priority="410">
      <formula>$BC979="YES"</formula>
    </cfRule>
  </conditionalFormatting>
  <conditionalFormatting sqref="H989:I998">
    <cfRule type="expression" dxfId="362" priority="409">
      <formula>$BC989="YES"</formula>
    </cfRule>
  </conditionalFormatting>
  <conditionalFormatting sqref="H999:I1008">
    <cfRule type="expression" dxfId="361" priority="408">
      <formula>$BC999="YES"</formula>
    </cfRule>
  </conditionalFormatting>
  <conditionalFormatting sqref="H1009:I1018">
    <cfRule type="expression" dxfId="360" priority="407">
      <formula>$BC1009="YES"</formula>
    </cfRule>
  </conditionalFormatting>
  <conditionalFormatting sqref="H1019:I1028">
    <cfRule type="expression" dxfId="359" priority="406">
      <formula>$BC1019="YES"</formula>
    </cfRule>
  </conditionalFormatting>
  <conditionalFormatting sqref="H1029:I1038">
    <cfRule type="expression" dxfId="358" priority="405">
      <formula>$BC1029="YES"</formula>
    </cfRule>
  </conditionalFormatting>
  <conditionalFormatting sqref="H1039:I1048">
    <cfRule type="expression" dxfId="357" priority="404">
      <formula>$BC1039="YES"</formula>
    </cfRule>
  </conditionalFormatting>
  <conditionalFormatting sqref="H1049:I1058">
    <cfRule type="expression" dxfId="356" priority="403">
      <formula>$BC1049="YES"</formula>
    </cfRule>
  </conditionalFormatting>
  <conditionalFormatting sqref="H1059:I1068">
    <cfRule type="expression" dxfId="355" priority="402">
      <formula>$BC1059="YES"</formula>
    </cfRule>
  </conditionalFormatting>
  <conditionalFormatting sqref="H1069:I1078">
    <cfRule type="expression" dxfId="354" priority="401">
      <formula>$BC1069="YES"</formula>
    </cfRule>
  </conditionalFormatting>
  <conditionalFormatting sqref="H1079:I1088">
    <cfRule type="expression" dxfId="353" priority="400">
      <formula>$BC1079="YES"</formula>
    </cfRule>
  </conditionalFormatting>
  <conditionalFormatting sqref="H1089:I1098">
    <cfRule type="expression" dxfId="352" priority="399">
      <formula>$BC1089="YES"</formula>
    </cfRule>
  </conditionalFormatting>
  <conditionalFormatting sqref="H1099:I1108">
    <cfRule type="expression" dxfId="351" priority="398">
      <formula>$BC1099="YES"</formula>
    </cfRule>
  </conditionalFormatting>
  <conditionalFormatting sqref="L1102:M1102">
    <cfRule type="expression" dxfId="350" priority="397">
      <formula>$BC1102="YES"</formula>
    </cfRule>
  </conditionalFormatting>
  <conditionalFormatting sqref="J1102:K1102">
    <cfRule type="expression" dxfId="349" priority="396">
      <formula>$BC1102="YES"</formula>
    </cfRule>
  </conditionalFormatting>
  <conditionalFormatting sqref="L1103:M1103">
    <cfRule type="expression" dxfId="348" priority="395">
      <formula>$BC1103="YES"</formula>
    </cfRule>
  </conditionalFormatting>
  <conditionalFormatting sqref="J1103:K1103">
    <cfRule type="expression" dxfId="347" priority="394">
      <formula>$BC1103="YES"</formula>
    </cfRule>
  </conditionalFormatting>
  <conditionalFormatting sqref="L1106:M1107">
    <cfRule type="expression" dxfId="346" priority="393">
      <formula>$BC1106="YES"</formula>
    </cfRule>
  </conditionalFormatting>
  <conditionalFormatting sqref="J1106:K1107">
    <cfRule type="expression" dxfId="345" priority="392">
      <formula>$BC1106="YES"</formula>
    </cfRule>
  </conditionalFormatting>
  <conditionalFormatting sqref="L1108:M1109">
    <cfRule type="expression" dxfId="344" priority="391">
      <formula>$BC1108="YES"</formula>
    </cfRule>
  </conditionalFormatting>
  <conditionalFormatting sqref="J1108:K1109">
    <cfRule type="expression" dxfId="343" priority="390">
      <formula>$BC1108="YES"</formula>
    </cfRule>
  </conditionalFormatting>
  <conditionalFormatting sqref="L1110:M1111">
    <cfRule type="expression" dxfId="342" priority="389">
      <formula>$BC1110="YES"</formula>
    </cfRule>
  </conditionalFormatting>
  <conditionalFormatting sqref="J1110:K1111">
    <cfRule type="expression" dxfId="341" priority="388">
      <formula>$BC1110="YES"</formula>
    </cfRule>
  </conditionalFormatting>
  <conditionalFormatting sqref="L1112:M1113">
    <cfRule type="expression" dxfId="340" priority="387">
      <formula>$BC1112="YES"</formula>
    </cfRule>
  </conditionalFormatting>
  <conditionalFormatting sqref="J1112:K1113">
    <cfRule type="expression" dxfId="339" priority="386">
      <formula>$BC1112="YES"</formula>
    </cfRule>
  </conditionalFormatting>
  <conditionalFormatting sqref="H1109:I1110">
    <cfRule type="expression" dxfId="338" priority="385">
      <formula>$BC1109="YES"</formula>
    </cfRule>
  </conditionalFormatting>
  <conditionalFormatting sqref="H1111:I1112">
    <cfRule type="expression" dxfId="337" priority="384">
      <formula>$BC1111="YES"</formula>
    </cfRule>
  </conditionalFormatting>
  <conditionalFormatting sqref="H1113:I1113">
    <cfRule type="expression" dxfId="336" priority="383">
      <formula>$BC1113="YES"</formula>
    </cfRule>
  </conditionalFormatting>
  <conditionalFormatting sqref="L1114:M1115">
    <cfRule type="expression" dxfId="335" priority="382">
      <formula>$BC1114="YES"</formula>
    </cfRule>
  </conditionalFormatting>
  <conditionalFormatting sqref="J1114:K1115">
    <cfRule type="expression" dxfId="334" priority="381">
      <formula>$BC1114="YES"</formula>
    </cfRule>
  </conditionalFormatting>
  <conditionalFormatting sqref="L1116:M1117">
    <cfRule type="expression" dxfId="333" priority="380">
      <formula>$BC1116="YES"</formula>
    </cfRule>
  </conditionalFormatting>
  <conditionalFormatting sqref="J1116:K1117">
    <cfRule type="expression" dxfId="332" priority="379">
      <formula>$BC1116="YES"</formula>
    </cfRule>
  </conditionalFormatting>
  <conditionalFormatting sqref="H1114:I1114">
    <cfRule type="expression" dxfId="331" priority="378">
      <formula>$BC1114="YES"</formula>
    </cfRule>
  </conditionalFormatting>
  <conditionalFormatting sqref="H1115:I1116">
    <cfRule type="expression" dxfId="330" priority="377">
      <formula>$BC1115="YES"</formula>
    </cfRule>
  </conditionalFormatting>
  <conditionalFormatting sqref="H1117:I1117">
    <cfRule type="expression" dxfId="329" priority="376">
      <formula>$BC1117="YES"</formula>
    </cfRule>
  </conditionalFormatting>
  <conditionalFormatting sqref="L1118:M1119">
    <cfRule type="expression" dxfId="328" priority="375">
      <formula>$BC1118="YES"</formula>
    </cfRule>
  </conditionalFormatting>
  <conditionalFormatting sqref="J1118:K1119">
    <cfRule type="expression" dxfId="327" priority="374">
      <formula>$BC1118="YES"</formula>
    </cfRule>
  </conditionalFormatting>
  <conditionalFormatting sqref="L1120:M1121">
    <cfRule type="expression" dxfId="326" priority="373">
      <formula>$BC1120="YES"</formula>
    </cfRule>
  </conditionalFormatting>
  <conditionalFormatting sqref="J1120:K1121">
    <cfRule type="expression" dxfId="325" priority="372">
      <formula>$BC1120="YES"</formula>
    </cfRule>
  </conditionalFormatting>
  <conditionalFormatting sqref="H1118:I1118">
    <cfRule type="expression" dxfId="324" priority="371">
      <formula>$BC1118="YES"</formula>
    </cfRule>
  </conditionalFormatting>
  <conditionalFormatting sqref="H1119:I1120">
    <cfRule type="expression" dxfId="323" priority="370">
      <formula>$BC1119="YES"</formula>
    </cfRule>
  </conditionalFormatting>
  <conditionalFormatting sqref="H1121:I1121">
    <cfRule type="expression" dxfId="322" priority="369">
      <formula>$BC1121="YES"</formula>
    </cfRule>
  </conditionalFormatting>
  <conditionalFormatting sqref="L1122:M1123">
    <cfRule type="expression" dxfId="321" priority="368">
      <formula>$BC1122="YES"</formula>
    </cfRule>
  </conditionalFormatting>
  <conditionalFormatting sqref="J1122:K1123">
    <cfRule type="expression" dxfId="320" priority="367">
      <formula>$BC1122="YES"</formula>
    </cfRule>
  </conditionalFormatting>
  <conditionalFormatting sqref="L1124:M1125">
    <cfRule type="expression" dxfId="319" priority="366">
      <formula>$BC1124="YES"</formula>
    </cfRule>
  </conditionalFormatting>
  <conditionalFormatting sqref="J1124:K1125">
    <cfRule type="expression" dxfId="318" priority="365">
      <formula>$BC1124="YES"</formula>
    </cfRule>
  </conditionalFormatting>
  <conditionalFormatting sqref="H1122:I1122">
    <cfRule type="expression" dxfId="317" priority="364">
      <formula>$BC1122="YES"</formula>
    </cfRule>
  </conditionalFormatting>
  <conditionalFormatting sqref="H1123:I1124">
    <cfRule type="expression" dxfId="316" priority="363">
      <formula>$BC1123="YES"</formula>
    </cfRule>
  </conditionalFormatting>
  <conditionalFormatting sqref="H1125:I1125">
    <cfRule type="expression" dxfId="315" priority="362">
      <formula>$BC1125="YES"</formula>
    </cfRule>
  </conditionalFormatting>
  <conditionalFormatting sqref="L1126:M1127">
    <cfRule type="expression" dxfId="314" priority="361">
      <formula>$BC1126="YES"</formula>
    </cfRule>
  </conditionalFormatting>
  <conditionalFormatting sqref="J1126:K1127">
    <cfRule type="expression" dxfId="313" priority="360">
      <formula>$BC1126="YES"</formula>
    </cfRule>
  </conditionalFormatting>
  <conditionalFormatting sqref="L1128:M1129">
    <cfRule type="expression" dxfId="312" priority="359">
      <formula>$BC1128="YES"</formula>
    </cfRule>
  </conditionalFormatting>
  <conditionalFormatting sqref="J1128:K1129">
    <cfRule type="expression" dxfId="311" priority="358">
      <formula>$BC1128="YES"</formula>
    </cfRule>
  </conditionalFormatting>
  <conditionalFormatting sqref="H1126:I1126">
    <cfRule type="expression" dxfId="310" priority="357">
      <formula>$BC1126="YES"</formula>
    </cfRule>
  </conditionalFormatting>
  <conditionalFormatting sqref="H1127:I1128">
    <cfRule type="expression" dxfId="309" priority="356">
      <formula>$BC1127="YES"</formula>
    </cfRule>
  </conditionalFormatting>
  <conditionalFormatting sqref="H1129:I1129">
    <cfRule type="expression" dxfId="308" priority="355">
      <formula>$BC1129="YES"</formula>
    </cfRule>
  </conditionalFormatting>
  <conditionalFormatting sqref="L1130:M1131">
    <cfRule type="expression" dxfId="307" priority="354">
      <formula>$BC1130="YES"</formula>
    </cfRule>
  </conditionalFormatting>
  <conditionalFormatting sqref="J1130:K1131">
    <cfRule type="expression" dxfId="306" priority="353">
      <formula>$BC1130="YES"</formula>
    </cfRule>
  </conditionalFormatting>
  <conditionalFormatting sqref="L1132:M1133">
    <cfRule type="expression" dxfId="305" priority="352">
      <formula>$BC1132="YES"</formula>
    </cfRule>
  </conditionalFormatting>
  <conditionalFormatting sqref="J1132:K1133">
    <cfRule type="expression" dxfId="304" priority="351">
      <formula>$BC1132="YES"</formula>
    </cfRule>
  </conditionalFormatting>
  <conditionalFormatting sqref="H1130:I1130">
    <cfRule type="expression" dxfId="303" priority="350">
      <formula>$BC1130="YES"</formula>
    </cfRule>
  </conditionalFormatting>
  <conditionalFormatting sqref="H1131:I1132">
    <cfRule type="expression" dxfId="302" priority="349">
      <formula>$BC1131="YES"</formula>
    </cfRule>
  </conditionalFormatting>
  <conditionalFormatting sqref="H1133:I1133">
    <cfRule type="expression" dxfId="301" priority="348">
      <formula>$BC1133="YES"</formula>
    </cfRule>
  </conditionalFormatting>
  <conditionalFormatting sqref="L1134:M1135">
    <cfRule type="expression" dxfId="300" priority="347">
      <formula>$BC1134="YES"</formula>
    </cfRule>
  </conditionalFormatting>
  <conditionalFormatting sqref="J1134:K1135">
    <cfRule type="expression" dxfId="299" priority="346">
      <formula>$BC1134="YES"</formula>
    </cfRule>
  </conditionalFormatting>
  <conditionalFormatting sqref="L1136:M1137">
    <cfRule type="expression" dxfId="298" priority="345">
      <formula>$BC1136="YES"</formula>
    </cfRule>
  </conditionalFormatting>
  <conditionalFormatting sqref="J1136:K1137">
    <cfRule type="expression" dxfId="297" priority="344">
      <formula>$BC1136="YES"</formula>
    </cfRule>
  </conditionalFormatting>
  <conditionalFormatting sqref="H1134:I1134">
    <cfRule type="expression" dxfId="296" priority="343">
      <formula>$BC1134="YES"</formula>
    </cfRule>
  </conditionalFormatting>
  <conditionalFormatting sqref="H1135:I1136">
    <cfRule type="expression" dxfId="295" priority="342">
      <formula>$BC1135="YES"</formula>
    </cfRule>
  </conditionalFormatting>
  <conditionalFormatting sqref="H1137:I1137">
    <cfRule type="expression" dxfId="294" priority="341">
      <formula>$BC1137="YES"</formula>
    </cfRule>
  </conditionalFormatting>
  <conditionalFormatting sqref="L1138:M1139">
    <cfRule type="expression" dxfId="293" priority="340">
      <formula>$BC1138="YES"</formula>
    </cfRule>
  </conditionalFormatting>
  <conditionalFormatting sqref="J1138:K1139">
    <cfRule type="expression" dxfId="292" priority="339">
      <formula>$BC1138="YES"</formula>
    </cfRule>
  </conditionalFormatting>
  <conditionalFormatting sqref="L1140:M1141">
    <cfRule type="expression" dxfId="291" priority="338">
      <formula>$BC1140="YES"</formula>
    </cfRule>
  </conditionalFormatting>
  <conditionalFormatting sqref="J1140:K1141">
    <cfRule type="expression" dxfId="290" priority="337">
      <formula>$BC1140="YES"</formula>
    </cfRule>
  </conditionalFormatting>
  <conditionalFormatting sqref="H1138:I1138">
    <cfRule type="expression" dxfId="289" priority="336">
      <formula>$BC1138="YES"</formula>
    </cfRule>
  </conditionalFormatting>
  <conditionalFormatting sqref="H1139:I1140">
    <cfRule type="expression" dxfId="288" priority="335">
      <formula>$BC1139="YES"</formula>
    </cfRule>
  </conditionalFormatting>
  <conditionalFormatting sqref="H1141:I1141">
    <cfRule type="expression" dxfId="287" priority="334">
      <formula>$BC1141="YES"</formula>
    </cfRule>
  </conditionalFormatting>
  <conditionalFormatting sqref="L1142:M1143">
    <cfRule type="expression" dxfId="286" priority="333">
      <formula>$BC1142="YES"</formula>
    </cfRule>
  </conditionalFormatting>
  <conditionalFormatting sqref="J1142:K1143">
    <cfRule type="expression" dxfId="285" priority="332">
      <formula>$BC1142="YES"</formula>
    </cfRule>
  </conditionalFormatting>
  <conditionalFormatting sqref="L1144:M1145">
    <cfRule type="expression" dxfId="284" priority="331">
      <formula>$BC1144="YES"</formula>
    </cfRule>
  </conditionalFormatting>
  <conditionalFormatting sqref="J1144:K1145">
    <cfRule type="expression" dxfId="283" priority="330">
      <formula>$BC1144="YES"</formula>
    </cfRule>
  </conditionalFormatting>
  <conditionalFormatting sqref="H1142:I1142">
    <cfRule type="expression" dxfId="282" priority="329">
      <formula>$BC1142="YES"</formula>
    </cfRule>
  </conditionalFormatting>
  <conditionalFormatting sqref="H1143:I1144">
    <cfRule type="expression" dxfId="281" priority="328">
      <formula>$BC1143="YES"</formula>
    </cfRule>
  </conditionalFormatting>
  <conditionalFormatting sqref="H1145:I1145">
    <cfRule type="expression" dxfId="280" priority="327">
      <formula>$BC1145="YES"</formula>
    </cfRule>
  </conditionalFormatting>
  <conditionalFormatting sqref="L1146:M1147">
    <cfRule type="expression" dxfId="279" priority="326">
      <formula>$BC1146="YES"</formula>
    </cfRule>
  </conditionalFormatting>
  <conditionalFormatting sqref="J1146:K1147">
    <cfRule type="expression" dxfId="278" priority="325">
      <formula>$BC1146="YES"</formula>
    </cfRule>
  </conditionalFormatting>
  <conditionalFormatting sqref="L1148:M1149">
    <cfRule type="expression" dxfId="277" priority="324">
      <formula>$BC1148="YES"</formula>
    </cfRule>
  </conditionalFormatting>
  <conditionalFormatting sqref="J1148:K1149">
    <cfRule type="expression" dxfId="276" priority="323">
      <formula>$BC1148="YES"</formula>
    </cfRule>
  </conditionalFormatting>
  <conditionalFormatting sqref="H1146:I1146">
    <cfRule type="expression" dxfId="275" priority="322">
      <formula>$BC1146="YES"</formula>
    </cfRule>
  </conditionalFormatting>
  <conditionalFormatting sqref="H1147:I1148">
    <cfRule type="expression" dxfId="274" priority="321">
      <formula>$BC1147="YES"</formula>
    </cfRule>
  </conditionalFormatting>
  <conditionalFormatting sqref="H1149:I1149">
    <cfRule type="expression" dxfId="273" priority="320">
      <formula>$BC1149="YES"</formula>
    </cfRule>
  </conditionalFormatting>
  <conditionalFormatting sqref="L1150:M1151">
    <cfRule type="expression" dxfId="272" priority="319">
      <formula>$BC1150="YES"</formula>
    </cfRule>
  </conditionalFormatting>
  <conditionalFormatting sqref="J1150:K1151">
    <cfRule type="expression" dxfId="271" priority="318">
      <formula>$BC1150="YES"</formula>
    </cfRule>
  </conditionalFormatting>
  <conditionalFormatting sqref="L1152:M1153">
    <cfRule type="expression" dxfId="270" priority="317">
      <formula>$BC1152="YES"</formula>
    </cfRule>
  </conditionalFormatting>
  <conditionalFormatting sqref="J1152:K1153">
    <cfRule type="expression" dxfId="269" priority="316">
      <formula>$BC1152="YES"</formula>
    </cfRule>
  </conditionalFormatting>
  <conditionalFormatting sqref="H1150:I1150">
    <cfRule type="expression" dxfId="268" priority="315">
      <formula>$BC1150="YES"</formula>
    </cfRule>
  </conditionalFormatting>
  <conditionalFormatting sqref="H1151:I1152">
    <cfRule type="expression" dxfId="267" priority="314">
      <formula>$BC1151="YES"</formula>
    </cfRule>
  </conditionalFormatting>
  <conditionalFormatting sqref="H1153:I1153">
    <cfRule type="expression" dxfId="266" priority="313">
      <formula>$BC1153="YES"</formula>
    </cfRule>
  </conditionalFormatting>
  <conditionalFormatting sqref="L1154:M1155">
    <cfRule type="expression" dxfId="265" priority="312">
      <formula>$BC1154="YES"</formula>
    </cfRule>
  </conditionalFormatting>
  <conditionalFormatting sqref="J1154:K1155">
    <cfRule type="expression" dxfId="264" priority="311">
      <formula>$BC1154="YES"</formula>
    </cfRule>
  </conditionalFormatting>
  <conditionalFormatting sqref="L1156:M1157">
    <cfRule type="expression" dxfId="263" priority="310">
      <formula>$BC1156="YES"</formula>
    </cfRule>
  </conditionalFormatting>
  <conditionalFormatting sqref="J1156:K1157">
    <cfRule type="expression" dxfId="262" priority="309">
      <formula>$BC1156="YES"</formula>
    </cfRule>
  </conditionalFormatting>
  <conditionalFormatting sqref="H1154:I1154">
    <cfRule type="expression" dxfId="261" priority="308">
      <formula>$BC1154="YES"</formula>
    </cfRule>
  </conditionalFormatting>
  <conditionalFormatting sqref="H1155:I1156">
    <cfRule type="expression" dxfId="260" priority="307">
      <formula>$BC1155="YES"</formula>
    </cfRule>
  </conditionalFormatting>
  <conditionalFormatting sqref="H1157:I1157">
    <cfRule type="expression" dxfId="259" priority="306">
      <formula>$BC1157="YES"</formula>
    </cfRule>
  </conditionalFormatting>
  <conditionalFormatting sqref="L1158:M1159">
    <cfRule type="expression" dxfId="258" priority="305">
      <formula>$BC1158="YES"</formula>
    </cfRule>
  </conditionalFormatting>
  <conditionalFormatting sqref="J1158:K1159">
    <cfRule type="expression" dxfId="257" priority="304">
      <formula>$BC1158="YES"</formula>
    </cfRule>
  </conditionalFormatting>
  <conditionalFormatting sqref="L1160:M1161">
    <cfRule type="expression" dxfId="256" priority="303">
      <formula>$BC1160="YES"</formula>
    </cfRule>
  </conditionalFormatting>
  <conditionalFormatting sqref="J1160:K1161">
    <cfRule type="expression" dxfId="255" priority="302">
      <formula>$BC1160="YES"</formula>
    </cfRule>
  </conditionalFormatting>
  <conditionalFormatting sqref="H1158:I1158">
    <cfRule type="expression" dxfId="254" priority="301">
      <formula>$BC1158="YES"</formula>
    </cfRule>
  </conditionalFormatting>
  <conditionalFormatting sqref="H1159:I1160">
    <cfRule type="expression" dxfId="253" priority="300">
      <formula>$BC1159="YES"</formula>
    </cfRule>
  </conditionalFormatting>
  <conditionalFormatting sqref="H1161:I1161">
    <cfRule type="expression" dxfId="252" priority="299">
      <formula>$BC1161="YES"</formula>
    </cfRule>
  </conditionalFormatting>
  <conditionalFormatting sqref="L1162:M1163">
    <cfRule type="expression" dxfId="251" priority="298">
      <formula>$BC1162="YES"</formula>
    </cfRule>
  </conditionalFormatting>
  <conditionalFormatting sqref="J1162:K1163">
    <cfRule type="expression" dxfId="250" priority="297">
      <formula>$BC1162="YES"</formula>
    </cfRule>
  </conditionalFormatting>
  <conditionalFormatting sqref="L1164:M1165">
    <cfRule type="expression" dxfId="249" priority="296">
      <formula>$BC1164="YES"</formula>
    </cfRule>
  </conditionalFormatting>
  <conditionalFormatting sqref="J1164:K1165">
    <cfRule type="expression" dxfId="248" priority="295">
      <formula>$BC1164="YES"</formula>
    </cfRule>
  </conditionalFormatting>
  <conditionalFormatting sqref="H1162:I1162">
    <cfRule type="expression" dxfId="247" priority="294">
      <formula>$BC1162="YES"</formula>
    </cfRule>
  </conditionalFormatting>
  <conditionalFormatting sqref="H1163:I1164">
    <cfRule type="expression" dxfId="246" priority="293">
      <formula>$BC1163="YES"</formula>
    </cfRule>
  </conditionalFormatting>
  <conditionalFormatting sqref="H1165:I1165">
    <cfRule type="expression" dxfId="245" priority="292">
      <formula>$BC1165="YES"</formula>
    </cfRule>
  </conditionalFormatting>
  <conditionalFormatting sqref="L1166:M1167">
    <cfRule type="expression" dxfId="244" priority="291">
      <formula>$BC1166="YES"</formula>
    </cfRule>
  </conditionalFormatting>
  <conditionalFormatting sqref="J1166:K1167">
    <cfRule type="expression" dxfId="243" priority="290">
      <formula>$BC1166="YES"</formula>
    </cfRule>
  </conditionalFormatting>
  <conditionalFormatting sqref="L1168:M1169">
    <cfRule type="expression" dxfId="242" priority="289">
      <formula>$BC1168="YES"</formula>
    </cfRule>
  </conditionalFormatting>
  <conditionalFormatting sqref="J1168:K1169">
    <cfRule type="expression" dxfId="241" priority="288">
      <formula>$BC1168="YES"</formula>
    </cfRule>
  </conditionalFormatting>
  <conditionalFormatting sqref="H1166:I1166">
    <cfRule type="expression" dxfId="240" priority="287">
      <formula>$BC1166="YES"</formula>
    </cfRule>
  </conditionalFormatting>
  <conditionalFormatting sqref="H1167:I1168">
    <cfRule type="expression" dxfId="239" priority="286">
      <formula>$BC1167="YES"</formula>
    </cfRule>
  </conditionalFormatting>
  <conditionalFormatting sqref="H1169:I1169">
    <cfRule type="expression" dxfId="238" priority="285">
      <formula>$BC1169="YES"</formula>
    </cfRule>
  </conditionalFormatting>
  <conditionalFormatting sqref="L1170:M1171">
    <cfRule type="expression" dxfId="237" priority="284">
      <formula>$BC1170="YES"</formula>
    </cfRule>
  </conditionalFormatting>
  <conditionalFormatting sqref="J1170:K1171">
    <cfRule type="expression" dxfId="236" priority="283">
      <formula>$BC1170="YES"</formula>
    </cfRule>
  </conditionalFormatting>
  <conditionalFormatting sqref="L1172:M1173">
    <cfRule type="expression" dxfId="235" priority="282">
      <formula>$BC1172="YES"</formula>
    </cfRule>
  </conditionalFormatting>
  <conditionalFormatting sqref="J1172:K1173">
    <cfRule type="expression" dxfId="234" priority="281">
      <formula>$BC1172="YES"</formula>
    </cfRule>
  </conditionalFormatting>
  <conditionalFormatting sqref="H1170:I1170">
    <cfRule type="expression" dxfId="233" priority="280">
      <formula>$BC1170="YES"</formula>
    </cfRule>
  </conditionalFormatting>
  <conditionalFormatting sqref="H1171:I1172">
    <cfRule type="expression" dxfId="232" priority="279">
      <formula>$BC1171="YES"</formula>
    </cfRule>
  </conditionalFormatting>
  <conditionalFormatting sqref="H1173:I1173">
    <cfRule type="expression" dxfId="231" priority="278">
      <formula>$BC1173="YES"</formula>
    </cfRule>
  </conditionalFormatting>
  <conditionalFormatting sqref="L1174:M1175">
    <cfRule type="expression" dxfId="230" priority="277">
      <formula>$BC1174="YES"</formula>
    </cfRule>
  </conditionalFormatting>
  <conditionalFormatting sqref="J1174:K1175">
    <cfRule type="expression" dxfId="229" priority="276">
      <formula>$BC1174="YES"</formula>
    </cfRule>
  </conditionalFormatting>
  <conditionalFormatting sqref="L1176:M1177">
    <cfRule type="expression" dxfId="228" priority="275">
      <formula>$BC1176="YES"</formula>
    </cfRule>
  </conditionalFormatting>
  <conditionalFormatting sqref="J1176:K1177">
    <cfRule type="expression" dxfId="227" priority="274">
      <formula>$BC1176="YES"</formula>
    </cfRule>
  </conditionalFormatting>
  <conditionalFormatting sqref="H1174:I1174">
    <cfRule type="expression" dxfId="226" priority="273">
      <formula>$BC1174="YES"</formula>
    </cfRule>
  </conditionalFormatting>
  <conditionalFormatting sqref="H1175:I1176">
    <cfRule type="expression" dxfId="225" priority="272">
      <formula>$BC1175="YES"</formula>
    </cfRule>
  </conditionalFormatting>
  <conditionalFormatting sqref="H1177:I1177">
    <cfRule type="expression" dxfId="224" priority="271">
      <formula>$BC1177="YES"</formula>
    </cfRule>
  </conditionalFormatting>
  <conditionalFormatting sqref="L1178:M1179">
    <cfRule type="expression" dxfId="223" priority="270">
      <formula>$BC1178="YES"</formula>
    </cfRule>
  </conditionalFormatting>
  <conditionalFormatting sqref="J1178:K1179">
    <cfRule type="expression" dxfId="222" priority="269">
      <formula>$BC1178="YES"</formula>
    </cfRule>
  </conditionalFormatting>
  <conditionalFormatting sqref="L1180:M1181">
    <cfRule type="expression" dxfId="221" priority="268">
      <formula>$BC1180="YES"</formula>
    </cfRule>
  </conditionalFormatting>
  <conditionalFormatting sqref="J1180:K1181">
    <cfRule type="expression" dxfId="220" priority="267">
      <formula>$BC1180="YES"</formula>
    </cfRule>
  </conditionalFormatting>
  <conditionalFormatting sqref="H1178:I1178">
    <cfRule type="expression" dxfId="219" priority="266">
      <formula>$BC1178="YES"</formula>
    </cfRule>
  </conditionalFormatting>
  <conditionalFormatting sqref="H1179:I1180">
    <cfRule type="expression" dxfId="218" priority="265">
      <formula>$BC1179="YES"</formula>
    </cfRule>
  </conditionalFormatting>
  <conditionalFormatting sqref="H1181:I1181">
    <cfRule type="expression" dxfId="217" priority="264">
      <formula>$BC1181="YES"</formula>
    </cfRule>
  </conditionalFormatting>
  <conditionalFormatting sqref="L1182:M1183">
    <cfRule type="expression" dxfId="216" priority="263">
      <formula>$BC1182="YES"</formula>
    </cfRule>
  </conditionalFormatting>
  <conditionalFormatting sqref="J1182:K1183">
    <cfRule type="expression" dxfId="215" priority="262">
      <formula>$BC1182="YES"</formula>
    </cfRule>
  </conditionalFormatting>
  <conditionalFormatting sqref="L1184:M1185">
    <cfRule type="expression" dxfId="214" priority="261">
      <formula>$BC1184="YES"</formula>
    </cfRule>
  </conditionalFormatting>
  <conditionalFormatting sqref="J1184:K1185">
    <cfRule type="expression" dxfId="213" priority="260">
      <formula>$BC1184="YES"</formula>
    </cfRule>
  </conditionalFormatting>
  <conditionalFormatting sqref="H1182:I1182">
    <cfRule type="expression" dxfId="212" priority="259">
      <formula>$BC1182="YES"</formula>
    </cfRule>
  </conditionalFormatting>
  <conditionalFormatting sqref="H1183:I1184">
    <cfRule type="expression" dxfId="211" priority="258">
      <formula>$BC1183="YES"</formula>
    </cfRule>
  </conditionalFormatting>
  <conditionalFormatting sqref="H1185:I1185">
    <cfRule type="expression" dxfId="210" priority="257">
      <formula>$BC1185="YES"</formula>
    </cfRule>
  </conditionalFormatting>
  <conditionalFormatting sqref="L1186:M1187">
    <cfRule type="expression" dxfId="209" priority="256">
      <formula>$BC1186="YES"</formula>
    </cfRule>
  </conditionalFormatting>
  <conditionalFormatting sqref="J1186:K1187">
    <cfRule type="expression" dxfId="208" priority="255">
      <formula>$BC1186="YES"</formula>
    </cfRule>
  </conditionalFormatting>
  <conditionalFormatting sqref="L1188:M1189">
    <cfRule type="expression" dxfId="207" priority="254">
      <formula>$BC1188="YES"</formula>
    </cfRule>
  </conditionalFormatting>
  <conditionalFormatting sqref="J1188:K1189">
    <cfRule type="expression" dxfId="206" priority="253">
      <formula>$BC1188="YES"</formula>
    </cfRule>
  </conditionalFormatting>
  <conditionalFormatting sqref="H1186:I1186">
    <cfRule type="expression" dxfId="205" priority="252">
      <formula>$BC1186="YES"</formula>
    </cfRule>
  </conditionalFormatting>
  <conditionalFormatting sqref="H1187:I1188">
    <cfRule type="expression" dxfId="204" priority="251">
      <formula>$BC1187="YES"</formula>
    </cfRule>
  </conditionalFormatting>
  <conditionalFormatting sqref="H1189:I1189">
    <cfRule type="expression" dxfId="203" priority="250">
      <formula>$BC1189="YES"</formula>
    </cfRule>
  </conditionalFormatting>
  <conditionalFormatting sqref="L1190:M1191">
    <cfRule type="expression" dxfId="202" priority="249">
      <formula>$BC1190="YES"</formula>
    </cfRule>
  </conditionalFormatting>
  <conditionalFormatting sqref="J1190:K1191">
    <cfRule type="expression" dxfId="201" priority="248">
      <formula>$BC1190="YES"</formula>
    </cfRule>
  </conditionalFormatting>
  <conditionalFormatting sqref="L1192:M1193">
    <cfRule type="expression" dxfId="200" priority="247">
      <formula>$BC1192="YES"</formula>
    </cfRule>
  </conditionalFormatting>
  <conditionalFormatting sqref="J1192:K1193">
    <cfRule type="expression" dxfId="199" priority="246">
      <formula>$BC1192="YES"</formula>
    </cfRule>
  </conditionalFormatting>
  <conditionalFormatting sqref="H1190:I1190">
    <cfRule type="expression" dxfId="198" priority="245">
      <formula>$BC1190="YES"</formula>
    </cfRule>
  </conditionalFormatting>
  <conditionalFormatting sqref="H1191:I1192">
    <cfRule type="expression" dxfId="197" priority="244">
      <formula>$BC1191="YES"</formula>
    </cfRule>
  </conditionalFormatting>
  <conditionalFormatting sqref="H1193:I1193">
    <cfRule type="expression" dxfId="196" priority="243">
      <formula>$BC1193="YES"</formula>
    </cfRule>
  </conditionalFormatting>
  <conditionalFormatting sqref="L1194:M1195">
    <cfRule type="expression" dxfId="195" priority="242">
      <formula>$BC1194="YES"</formula>
    </cfRule>
  </conditionalFormatting>
  <conditionalFormatting sqref="J1194:K1195">
    <cfRule type="expression" dxfId="194" priority="241">
      <formula>$BC1194="YES"</formula>
    </cfRule>
  </conditionalFormatting>
  <conditionalFormatting sqref="L1196:M1197">
    <cfRule type="expression" dxfId="193" priority="240">
      <formula>$BC1196="YES"</formula>
    </cfRule>
  </conditionalFormatting>
  <conditionalFormatting sqref="J1196:K1197">
    <cfRule type="expression" dxfId="192" priority="239">
      <formula>$BC1196="YES"</formula>
    </cfRule>
  </conditionalFormatting>
  <conditionalFormatting sqref="H1194:I1194">
    <cfRule type="expression" dxfId="191" priority="238">
      <formula>$BC1194="YES"</formula>
    </cfRule>
  </conditionalFormatting>
  <conditionalFormatting sqref="H1195:I1196">
    <cfRule type="expression" dxfId="190" priority="237">
      <formula>$BC1195="YES"</formula>
    </cfRule>
  </conditionalFormatting>
  <conditionalFormatting sqref="H1197:I1197">
    <cfRule type="expression" dxfId="189" priority="236">
      <formula>$BC1197="YES"</formula>
    </cfRule>
  </conditionalFormatting>
  <conditionalFormatting sqref="L1198:M1199">
    <cfRule type="expression" dxfId="188" priority="235">
      <formula>$BC1198="YES"</formula>
    </cfRule>
  </conditionalFormatting>
  <conditionalFormatting sqref="J1198:K1199">
    <cfRule type="expression" dxfId="187" priority="234">
      <formula>$BC1198="YES"</formula>
    </cfRule>
  </conditionalFormatting>
  <conditionalFormatting sqref="L1200:M1201">
    <cfRule type="expression" dxfId="186" priority="233">
      <formula>$BC1200="YES"</formula>
    </cfRule>
  </conditionalFormatting>
  <conditionalFormatting sqref="J1200:K1201">
    <cfRule type="expression" dxfId="185" priority="232">
      <formula>$BC1200="YES"</formula>
    </cfRule>
  </conditionalFormatting>
  <conditionalFormatting sqref="H1198:I1198">
    <cfRule type="expression" dxfId="184" priority="231">
      <formula>$BC1198="YES"</formula>
    </cfRule>
  </conditionalFormatting>
  <conditionalFormatting sqref="H1199:I1200">
    <cfRule type="expression" dxfId="183" priority="230">
      <formula>$BC1199="YES"</formula>
    </cfRule>
  </conditionalFormatting>
  <conditionalFormatting sqref="H1201:I1201">
    <cfRule type="expression" dxfId="182" priority="229">
      <formula>$BC1201="YES"</formula>
    </cfRule>
  </conditionalFormatting>
  <conditionalFormatting sqref="L1202:M1203">
    <cfRule type="expression" dxfId="181" priority="228">
      <formula>$BC1202="YES"</formula>
    </cfRule>
  </conditionalFormatting>
  <conditionalFormatting sqref="J1202:K1203">
    <cfRule type="expression" dxfId="180" priority="227">
      <formula>$BC1202="YES"</formula>
    </cfRule>
  </conditionalFormatting>
  <conditionalFormatting sqref="L1204:M1205">
    <cfRule type="expression" dxfId="179" priority="226">
      <formula>$BC1204="YES"</formula>
    </cfRule>
  </conditionalFormatting>
  <conditionalFormatting sqref="J1204:K1205">
    <cfRule type="expression" dxfId="178" priority="225">
      <formula>$BC1204="YES"</formula>
    </cfRule>
  </conditionalFormatting>
  <conditionalFormatting sqref="H1202:I1202">
    <cfRule type="expression" dxfId="177" priority="224">
      <formula>$BC1202="YES"</formula>
    </cfRule>
  </conditionalFormatting>
  <conditionalFormatting sqref="L1215:M1216">
    <cfRule type="expression" dxfId="176" priority="213">
      <formula>$BC1215="YES"</formula>
    </cfRule>
  </conditionalFormatting>
  <conditionalFormatting sqref="L1217:M1218">
    <cfRule type="expression" dxfId="175" priority="212">
      <formula>$BC1217="YES"</formula>
    </cfRule>
  </conditionalFormatting>
  <conditionalFormatting sqref="L1219:M1220">
    <cfRule type="expression" dxfId="174" priority="211">
      <formula>$BC1219="YES"</formula>
    </cfRule>
  </conditionalFormatting>
  <conditionalFormatting sqref="J1207:K1208 J1221:K1399 J1402:K1403">
    <cfRule type="expression" dxfId="173" priority="210">
      <formula>$BC1207="YES"</formula>
    </cfRule>
  </conditionalFormatting>
  <conditionalFormatting sqref="J1209:K1210">
    <cfRule type="expression" dxfId="172" priority="209">
      <formula>$BC1209="YES"</formula>
    </cfRule>
  </conditionalFormatting>
  <conditionalFormatting sqref="J1211:K1212">
    <cfRule type="expression" dxfId="171" priority="208">
      <formula>$BC1211="YES"</formula>
    </cfRule>
  </conditionalFormatting>
  <conditionalFormatting sqref="J1213:K1214">
    <cfRule type="expression" dxfId="170" priority="207">
      <formula>$BC1213="YES"</formula>
    </cfRule>
  </conditionalFormatting>
  <conditionalFormatting sqref="J1215:K1216">
    <cfRule type="expression" dxfId="169" priority="206">
      <formula>$BC1215="YES"</formula>
    </cfRule>
  </conditionalFormatting>
  <conditionalFormatting sqref="J1217:K1218">
    <cfRule type="expression" dxfId="168" priority="205">
      <formula>$BC1217="YES"</formula>
    </cfRule>
  </conditionalFormatting>
  <conditionalFormatting sqref="J1219:K1220">
    <cfRule type="expression" dxfId="167" priority="204">
      <formula>$BC1219="YES"</formula>
    </cfRule>
  </conditionalFormatting>
  <conditionalFormatting sqref="F1207:F1306">
    <cfRule type="expression" dxfId="166" priority="203">
      <formula>$BC1207="YES"</formula>
    </cfRule>
  </conditionalFormatting>
  <conditionalFormatting sqref="H1227:I1236">
    <cfRule type="expression" dxfId="165" priority="202">
      <formula>$BC1227="YES"</formula>
    </cfRule>
  </conditionalFormatting>
  <conditionalFormatting sqref="H1237:I1246">
    <cfRule type="expression" dxfId="164" priority="201">
      <formula>$BC1237="YES"</formula>
    </cfRule>
  </conditionalFormatting>
  <conditionalFormatting sqref="H1247:I1256">
    <cfRule type="expression" dxfId="163" priority="200">
      <formula>$BC1247="YES"</formula>
    </cfRule>
  </conditionalFormatting>
  <conditionalFormatting sqref="H1257:I1266">
    <cfRule type="expression" dxfId="162" priority="199">
      <formula>$BC1257="YES"</formula>
    </cfRule>
  </conditionalFormatting>
  <conditionalFormatting sqref="H1267:I1276">
    <cfRule type="expression" dxfId="161" priority="198">
      <formula>$BC1267="YES"</formula>
    </cfRule>
  </conditionalFormatting>
  <conditionalFormatting sqref="H1277:I1286">
    <cfRule type="expression" dxfId="160" priority="197">
      <formula>$BC1277="YES"</formula>
    </cfRule>
  </conditionalFormatting>
  <conditionalFormatting sqref="H1287:I1296">
    <cfRule type="expression" dxfId="159" priority="196">
      <formula>$BC1287="YES"</formula>
    </cfRule>
  </conditionalFormatting>
  <conditionalFormatting sqref="H1297:I1306">
    <cfRule type="expression" dxfId="158" priority="195">
      <formula>$BC1297="YES"</formula>
    </cfRule>
  </conditionalFormatting>
  <conditionalFormatting sqref="H1307:I1316">
    <cfRule type="expression" dxfId="157" priority="194">
      <formula>$BC1307="YES"</formula>
    </cfRule>
  </conditionalFormatting>
  <conditionalFormatting sqref="H1317:I1326">
    <cfRule type="expression" dxfId="156" priority="193">
      <formula>$BC1317="YES"</formula>
    </cfRule>
  </conditionalFormatting>
  <conditionalFormatting sqref="H1327:I1336">
    <cfRule type="expression" dxfId="155" priority="192">
      <formula>$BC1327="YES"</formula>
    </cfRule>
  </conditionalFormatting>
  <conditionalFormatting sqref="H1337:I1346">
    <cfRule type="expression" dxfId="154" priority="191">
      <formula>$BC1337="YES"</formula>
    </cfRule>
  </conditionalFormatting>
  <conditionalFormatting sqref="H1347:I1356">
    <cfRule type="expression" dxfId="153" priority="190">
      <formula>$BC1347="YES"</formula>
    </cfRule>
  </conditionalFormatting>
  <conditionalFormatting sqref="H1357:I1366">
    <cfRule type="expression" dxfId="152" priority="189">
      <formula>$BC1357="YES"</formula>
    </cfRule>
  </conditionalFormatting>
  <conditionalFormatting sqref="H1367:I1376">
    <cfRule type="expression" dxfId="151" priority="188">
      <formula>$BC1367="YES"</formula>
    </cfRule>
  </conditionalFormatting>
  <conditionalFormatting sqref="H1377:I1386">
    <cfRule type="expression" dxfId="150" priority="187">
      <formula>$BC1377="YES"</formula>
    </cfRule>
  </conditionalFormatting>
  <conditionalFormatting sqref="H1387:I1396">
    <cfRule type="expression" dxfId="149" priority="186">
      <formula>$BC1387="YES"</formula>
    </cfRule>
  </conditionalFormatting>
  <conditionalFormatting sqref="H1397:I1406">
    <cfRule type="expression" dxfId="148" priority="185">
      <formula>$BC1397="YES"</formula>
    </cfRule>
  </conditionalFormatting>
  <conditionalFormatting sqref="L1400:M1400">
    <cfRule type="expression" dxfId="147" priority="184">
      <formula>$BC1400="YES"</formula>
    </cfRule>
  </conditionalFormatting>
  <conditionalFormatting sqref="L1401:M1401">
    <cfRule type="expression" dxfId="146" priority="182">
      <formula>$BC1401="YES"</formula>
    </cfRule>
  </conditionalFormatting>
  <conditionalFormatting sqref="J1401:K1401">
    <cfRule type="expression" dxfId="145" priority="181">
      <formula>$BC1401="YES"</formula>
    </cfRule>
  </conditionalFormatting>
  <conditionalFormatting sqref="L1404:M1405">
    <cfRule type="expression" dxfId="144" priority="180">
      <formula>$BC1404="YES"</formula>
    </cfRule>
  </conditionalFormatting>
  <conditionalFormatting sqref="J1404:K1405">
    <cfRule type="expression" dxfId="143" priority="179">
      <formula>$BC1404="YES"</formula>
    </cfRule>
  </conditionalFormatting>
  <conditionalFormatting sqref="L1406:M1407">
    <cfRule type="expression" dxfId="142" priority="178">
      <formula>$BC1406="YES"</formula>
    </cfRule>
  </conditionalFormatting>
  <conditionalFormatting sqref="J1406:K1407">
    <cfRule type="expression" dxfId="141" priority="177">
      <formula>$BC1406="YES"</formula>
    </cfRule>
  </conditionalFormatting>
  <conditionalFormatting sqref="L1408:M1409">
    <cfRule type="expression" dxfId="140" priority="176">
      <formula>$BC1408="YES"</formula>
    </cfRule>
  </conditionalFormatting>
  <conditionalFormatting sqref="J1408:K1409">
    <cfRule type="expression" dxfId="139" priority="175">
      <formula>$BC1408="YES"</formula>
    </cfRule>
  </conditionalFormatting>
  <conditionalFormatting sqref="L1410:M1411">
    <cfRule type="expression" dxfId="138" priority="174">
      <formula>$BC1410="YES"</formula>
    </cfRule>
  </conditionalFormatting>
  <conditionalFormatting sqref="J1410:K1411">
    <cfRule type="expression" dxfId="137" priority="173">
      <formula>$BC1410="YES"</formula>
    </cfRule>
  </conditionalFormatting>
  <conditionalFormatting sqref="H1407:I1408">
    <cfRule type="expression" dxfId="136" priority="172">
      <formula>$BC1407="YES"</formula>
    </cfRule>
  </conditionalFormatting>
  <conditionalFormatting sqref="H1409:I1410">
    <cfRule type="expression" dxfId="135" priority="171">
      <formula>$BC1409="YES"</formula>
    </cfRule>
  </conditionalFormatting>
  <conditionalFormatting sqref="H1411:I1411">
    <cfRule type="expression" dxfId="134" priority="170">
      <formula>$BC1411="YES"</formula>
    </cfRule>
  </conditionalFormatting>
  <conditionalFormatting sqref="L1412:M1413">
    <cfRule type="expression" dxfId="133" priority="169">
      <formula>$BC1412="YES"</formula>
    </cfRule>
  </conditionalFormatting>
  <conditionalFormatting sqref="J1412:K1413">
    <cfRule type="expression" dxfId="132" priority="168">
      <formula>$BC1412="YES"</formula>
    </cfRule>
  </conditionalFormatting>
  <conditionalFormatting sqref="L1414:M1415">
    <cfRule type="expression" dxfId="131" priority="167">
      <formula>$BC1414="YES"</formula>
    </cfRule>
  </conditionalFormatting>
  <conditionalFormatting sqref="J1414:K1415">
    <cfRule type="expression" dxfId="130" priority="166">
      <formula>$BC1414="YES"</formula>
    </cfRule>
  </conditionalFormatting>
  <conditionalFormatting sqref="H1412:I1412">
    <cfRule type="expression" dxfId="129" priority="165">
      <formula>$BC1412="YES"</formula>
    </cfRule>
  </conditionalFormatting>
  <conditionalFormatting sqref="H1413:I1414">
    <cfRule type="expression" dxfId="128" priority="164">
      <formula>$BC1413="YES"</formula>
    </cfRule>
  </conditionalFormatting>
  <conditionalFormatting sqref="H1415:I1415">
    <cfRule type="expression" dxfId="127" priority="163">
      <formula>$BC1415="YES"</formula>
    </cfRule>
  </conditionalFormatting>
  <conditionalFormatting sqref="L1416:M1417">
    <cfRule type="expression" dxfId="126" priority="162">
      <formula>$BC1416="YES"</formula>
    </cfRule>
  </conditionalFormatting>
  <conditionalFormatting sqref="J1416:K1417">
    <cfRule type="expression" dxfId="125" priority="161">
      <formula>$BC1416="YES"</formula>
    </cfRule>
  </conditionalFormatting>
  <conditionalFormatting sqref="L1418:M1419">
    <cfRule type="expression" dxfId="124" priority="160">
      <formula>$BC1418="YES"</formula>
    </cfRule>
  </conditionalFormatting>
  <conditionalFormatting sqref="J1418:K1419">
    <cfRule type="expression" dxfId="123" priority="159">
      <formula>$BC1418="YES"</formula>
    </cfRule>
  </conditionalFormatting>
  <conditionalFormatting sqref="H1416:I1416">
    <cfRule type="expression" dxfId="122" priority="158">
      <formula>$BC1416="YES"</formula>
    </cfRule>
  </conditionalFormatting>
  <conditionalFormatting sqref="H1417:I1418">
    <cfRule type="expression" dxfId="121" priority="157">
      <formula>$BC1417="YES"</formula>
    </cfRule>
  </conditionalFormatting>
  <conditionalFormatting sqref="H1419:I1419">
    <cfRule type="expression" dxfId="120" priority="156">
      <formula>$BC1419="YES"</formula>
    </cfRule>
  </conditionalFormatting>
  <conditionalFormatting sqref="L1420:M1421">
    <cfRule type="expression" dxfId="119" priority="155">
      <formula>$BC1420="YES"</formula>
    </cfRule>
  </conditionalFormatting>
  <conditionalFormatting sqref="J1420:K1421">
    <cfRule type="expression" dxfId="118" priority="154">
      <formula>$BC1420="YES"</formula>
    </cfRule>
  </conditionalFormatting>
  <conditionalFormatting sqref="L1422:M1423">
    <cfRule type="expression" dxfId="117" priority="153">
      <formula>$BC1422="YES"</formula>
    </cfRule>
  </conditionalFormatting>
  <conditionalFormatting sqref="J1422:K1423">
    <cfRule type="expression" dxfId="116" priority="152">
      <formula>$BC1422="YES"</formula>
    </cfRule>
  </conditionalFormatting>
  <conditionalFormatting sqref="H1420:I1420">
    <cfRule type="expression" dxfId="115" priority="151">
      <formula>$BC1420="YES"</formula>
    </cfRule>
  </conditionalFormatting>
  <conditionalFormatting sqref="H1421:I1422">
    <cfRule type="expression" dxfId="114" priority="150">
      <formula>$BC1421="YES"</formula>
    </cfRule>
  </conditionalFormatting>
  <conditionalFormatting sqref="L1424:M1425">
    <cfRule type="expression" dxfId="113" priority="148">
      <formula>$BC1424="YES"</formula>
    </cfRule>
  </conditionalFormatting>
  <conditionalFormatting sqref="J1424:K1425">
    <cfRule type="expression" dxfId="112" priority="147">
      <formula>$BC1424="YES"</formula>
    </cfRule>
  </conditionalFormatting>
  <conditionalFormatting sqref="L1426:M1427">
    <cfRule type="expression" dxfId="111" priority="146">
      <formula>$BC1426="YES"</formula>
    </cfRule>
  </conditionalFormatting>
  <conditionalFormatting sqref="J1426:K1427">
    <cfRule type="expression" dxfId="110" priority="145">
      <formula>$BC1426="YES"</formula>
    </cfRule>
  </conditionalFormatting>
  <conditionalFormatting sqref="H1424:I1424">
    <cfRule type="expression" dxfId="109" priority="144">
      <formula>$BC1424="YES"</formula>
    </cfRule>
  </conditionalFormatting>
  <conditionalFormatting sqref="H1425:I1426">
    <cfRule type="expression" dxfId="108" priority="143">
      <formula>$BC1425="YES"</formula>
    </cfRule>
  </conditionalFormatting>
  <conditionalFormatting sqref="H1427:I1427">
    <cfRule type="expression" dxfId="107" priority="142">
      <formula>$BC1427="YES"</formula>
    </cfRule>
  </conditionalFormatting>
  <conditionalFormatting sqref="L1428:M1429">
    <cfRule type="expression" dxfId="106" priority="141">
      <formula>$BC1428="YES"</formula>
    </cfRule>
  </conditionalFormatting>
  <conditionalFormatting sqref="J1428:K1429">
    <cfRule type="expression" dxfId="105" priority="140">
      <formula>$BC1428="YES"</formula>
    </cfRule>
  </conditionalFormatting>
  <conditionalFormatting sqref="L1430:M1431">
    <cfRule type="expression" dxfId="104" priority="139">
      <formula>$BC1430="YES"</formula>
    </cfRule>
  </conditionalFormatting>
  <conditionalFormatting sqref="J1430:K1431">
    <cfRule type="expression" dxfId="103" priority="138">
      <formula>$BC1430="YES"</formula>
    </cfRule>
  </conditionalFormatting>
  <conditionalFormatting sqref="H1428:I1428">
    <cfRule type="expression" dxfId="102" priority="137">
      <formula>$BC1428="YES"</formula>
    </cfRule>
  </conditionalFormatting>
  <conditionalFormatting sqref="H1429:I1430">
    <cfRule type="expression" dxfId="101" priority="136">
      <formula>$BC1429="YES"</formula>
    </cfRule>
  </conditionalFormatting>
  <conditionalFormatting sqref="H1431:I1431">
    <cfRule type="expression" dxfId="100" priority="135">
      <formula>$BC1431="YES"</formula>
    </cfRule>
  </conditionalFormatting>
  <conditionalFormatting sqref="L1432:M1433">
    <cfRule type="expression" dxfId="99" priority="134">
      <formula>$BC1432="YES"</formula>
    </cfRule>
  </conditionalFormatting>
  <conditionalFormatting sqref="J1432:K1433">
    <cfRule type="expression" dxfId="98" priority="133">
      <formula>$BC1432="YES"</formula>
    </cfRule>
  </conditionalFormatting>
  <conditionalFormatting sqref="L1434:M1435">
    <cfRule type="expression" dxfId="97" priority="132">
      <formula>$BC1434="YES"</formula>
    </cfRule>
  </conditionalFormatting>
  <conditionalFormatting sqref="J1434:K1435">
    <cfRule type="expression" dxfId="96" priority="131">
      <formula>$BC1434="YES"</formula>
    </cfRule>
  </conditionalFormatting>
  <conditionalFormatting sqref="H1432:I1432">
    <cfRule type="expression" dxfId="95" priority="130">
      <formula>$BC1432="YES"</formula>
    </cfRule>
  </conditionalFormatting>
  <conditionalFormatting sqref="H1433:I1434">
    <cfRule type="expression" dxfId="94" priority="129">
      <formula>$BC1433="YES"</formula>
    </cfRule>
  </conditionalFormatting>
  <conditionalFormatting sqref="H1435:I1435">
    <cfRule type="expression" dxfId="93" priority="128">
      <formula>$BC1435="YES"</formula>
    </cfRule>
  </conditionalFormatting>
  <conditionalFormatting sqref="L1436:M1437">
    <cfRule type="expression" dxfId="92" priority="127">
      <formula>$BC1436="YES"</formula>
    </cfRule>
  </conditionalFormatting>
  <conditionalFormatting sqref="J1436:K1437">
    <cfRule type="expression" dxfId="91" priority="126">
      <formula>$BC1436="YES"</formula>
    </cfRule>
  </conditionalFormatting>
  <conditionalFormatting sqref="L1438:M1439">
    <cfRule type="expression" dxfId="90" priority="125">
      <formula>$BC1438="YES"</formula>
    </cfRule>
  </conditionalFormatting>
  <conditionalFormatting sqref="J1438:K1439">
    <cfRule type="expression" dxfId="89" priority="124">
      <formula>$BC1438="YES"</formula>
    </cfRule>
  </conditionalFormatting>
  <conditionalFormatting sqref="H1436:I1436">
    <cfRule type="expression" dxfId="88" priority="123">
      <formula>$BC1436="YES"</formula>
    </cfRule>
  </conditionalFormatting>
  <conditionalFormatting sqref="H1437:I1438">
    <cfRule type="expression" dxfId="87" priority="122">
      <formula>$BC1437="YES"</formula>
    </cfRule>
  </conditionalFormatting>
  <conditionalFormatting sqref="H1439:I1439">
    <cfRule type="expression" dxfId="86" priority="121">
      <formula>$BC1439="YES"</formula>
    </cfRule>
  </conditionalFormatting>
  <conditionalFormatting sqref="L1440:M1441">
    <cfRule type="expression" dxfId="85" priority="120">
      <formula>$BC1440="YES"</formula>
    </cfRule>
  </conditionalFormatting>
  <conditionalFormatting sqref="J1440:K1441">
    <cfRule type="expression" dxfId="84" priority="119">
      <formula>$BC1440="YES"</formula>
    </cfRule>
  </conditionalFormatting>
  <conditionalFormatting sqref="L1442:M1443">
    <cfRule type="expression" dxfId="83" priority="118">
      <formula>$BC1442="YES"</formula>
    </cfRule>
  </conditionalFormatting>
  <conditionalFormatting sqref="J1442:K1443">
    <cfRule type="expression" dxfId="82" priority="117">
      <formula>$BC1442="YES"</formula>
    </cfRule>
  </conditionalFormatting>
  <conditionalFormatting sqref="H1440:I1440">
    <cfRule type="expression" dxfId="81" priority="116">
      <formula>$BC1440="YES"</formula>
    </cfRule>
  </conditionalFormatting>
  <conditionalFormatting sqref="H1443:I1443">
    <cfRule type="expression" dxfId="80" priority="114">
      <formula>$BC1443="YES"</formula>
    </cfRule>
  </conditionalFormatting>
  <conditionalFormatting sqref="L1444:M1445">
    <cfRule type="expression" dxfId="79" priority="113">
      <formula>$BC1444="YES"</formula>
    </cfRule>
  </conditionalFormatting>
  <conditionalFormatting sqref="J1444:K1445">
    <cfRule type="expression" dxfId="78" priority="112">
      <formula>$BC1444="YES"</formula>
    </cfRule>
  </conditionalFormatting>
  <conditionalFormatting sqref="L1446:M1447">
    <cfRule type="expression" dxfId="77" priority="111">
      <formula>$BC1446="YES"</formula>
    </cfRule>
  </conditionalFormatting>
  <conditionalFormatting sqref="J1446:K1447">
    <cfRule type="expression" dxfId="76" priority="110">
      <formula>$BC1446="YES"</formula>
    </cfRule>
  </conditionalFormatting>
  <conditionalFormatting sqref="H1444:I1444">
    <cfRule type="expression" dxfId="75" priority="109">
      <formula>$BC1444="YES"</formula>
    </cfRule>
  </conditionalFormatting>
  <conditionalFormatting sqref="H1445:I1446">
    <cfRule type="expression" dxfId="74" priority="108">
      <formula>$BC1445="YES"</formula>
    </cfRule>
  </conditionalFormatting>
  <conditionalFormatting sqref="H1447:I1447">
    <cfRule type="expression" dxfId="73" priority="107">
      <formula>$BC1447="YES"</formula>
    </cfRule>
  </conditionalFormatting>
  <conditionalFormatting sqref="L1448:M1449">
    <cfRule type="expression" dxfId="72" priority="106">
      <formula>$BC1448="YES"</formula>
    </cfRule>
  </conditionalFormatting>
  <conditionalFormatting sqref="J1448:K1449">
    <cfRule type="expression" dxfId="71" priority="105">
      <formula>$BC1448="YES"</formula>
    </cfRule>
  </conditionalFormatting>
  <conditionalFormatting sqref="L1450:M1451">
    <cfRule type="expression" dxfId="70" priority="104">
      <formula>$BC1450="YES"</formula>
    </cfRule>
  </conditionalFormatting>
  <conditionalFormatting sqref="J1450:K1451">
    <cfRule type="expression" dxfId="69" priority="103">
      <formula>$BC1450="YES"</formula>
    </cfRule>
  </conditionalFormatting>
  <conditionalFormatting sqref="H1448:I1448">
    <cfRule type="expression" dxfId="68" priority="102">
      <formula>$BC1448="YES"</formula>
    </cfRule>
  </conditionalFormatting>
  <conditionalFormatting sqref="H1449:I1450">
    <cfRule type="expression" dxfId="67" priority="101">
      <formula>$BC1449="YES"</formula>
    </cfRule>
  </conditionalFormatting>
  <conditionalFormatting sqref="H1451:I1451">
    <cfRule type="expression" dxfId="66" priority="100">
      <formula>$BC1451="YES"</formula>
    </cfRule>
  </conditionalFormatting>
  <conditionalFormatting sqref="L1452:M1453">
    <cfRule type="expression" dxfId="65" priority="99">
      <formula>$BC1452="YES"</formula>
    </cfRule>
  </conditionalFormatting>
  <conditionalFormatting sqref="J1452:K1453">
    <cfRule type="expression" dxfId="64" priority="98">
      <formula>$BC1452="YES"</formula>
    </cfRule>
  </conditionalFormatting>
  <conditionalFormatting sqref="L1454:M1455">
    <cfRule type="expression" dxfId="63" priority="97">
      <formula>$BC1454="YES"</formula>
    </cfRule>
  </conditionalFormatting>
  <conditionalFormatting sqref="J1454:K1455">
    <cfRule type="expression" dxfId="62" priority="96">
      <formula>$BC1454="YES"</formula>
    </cfRule>
  </conditionalFormatting>
  <conditionalFormatting sqref="H1452:I1452">
    <cfRule type="expression" dxfId="61" priority="95">
      <formula>$BC1452="YES"</formula>
    </cfRule>
  </conditionalFormatting>
  <conditionalFormatting sqref="H1453:I1454">
    <cfRule type="expression" dxfId="60" priority="94">
      <formula>$BC1453="YES"</formula>
    </cfRule>
  </conditionalFormatting>
  <conditionalFormatting sqref="H1455:I1455">
    <cfRule type="expression" dxfId="59" priority="93">
      <formula>$BC1455="YES"</formula>
    </cfRule>
  </conditionalFormatting>
  <conditionalFormatting sqref="L1456:M1457">
    <cfRule type="expression" dxfId="58" priority="92">
      <formula>$BC1456="YES"</formula>
    </cfRule>
  </conditionalFormatting>
  <conditionalFormatting sqref="J1456:K1457">
    <cfRule type="expression" dxfId="57" priority="91">
      <formula>$BC1456="YES"</formula>
    </cfRule>
  </conditionalFormatting>
  <conditionalFormatting sqref="L1458:M1459">
    <cfRule type="expression" dxfId="56" priority="90">
      <formula>$BC1458="YES"</formula>
    </cfRule>
  </conditionalFormatting>
  <conditionalFormatting sqref="J1458:K1459">
    <cfRule type="expression" dxfId="55" priority="89">
      <formula>$BC1458="YES"</formula>
    </cfRule>
  </conditionalFormatting>
  <conditionalFormatting sqref="H1456:I1456">
    <cfRule type="expression" dxfId="54" priority="88">
      <formula>$BC1456="YES"</formula>
    </cfRule>
  </conditionalFormatting>
  <conditionalFormatting sqref="H1457:I1458">
    <cfRule type="expression" dxfId="53" priority="87">
      <formula>$BC1457="YES"</formula>
    </cfRule>
  </conditionalFormatting>
  <conditionalFormatting sqref="H1459:I1459">
    <cfRule type="expression" dxfId="52" priority="86">
      <formula>$BC1459="YES"</formula>
    </cfRule>
  </conditionalFormatting>
  <conditionalFormatting sqref="L1460:M1461">
    <cfRule type="expression" dxfId="51" priority="85">
      <formula>$BC1460="YES"</formula>
    </cfRule>
  </conditionalFormatting>
  <conditionalFormatting sqref="J1460:K1461">
    <cfRule type="expression" dxfId="50" priority="84">
      <formula>$BC1460="YES"</formula>
    </cfRule>
  </conditionalFormatting>
  <conditionalFormatting sqref="L1462:M1463">
    <cfRule type="expression" dxfId="49" priority="83">
      <formula>$BC1462="YES"</formula>
    </cfRule>
  </conditionalFormatting>
  <conditionalFormatting sqref="J1462:K1463">
    <cfRule type="expression" dxfId="48" priority="82">
      <formula>$BC1462="YES"</formula>
    </cfRule>
  </conditionalFormatting>
  <conditionalFormatting sqref="H1461:I1462">
    <cfRule type="expression" dxfId="47" priority="80">
      <formula>$BC1461="YES"</formula>
    </cfRule>
  </conditionalFormatting>
  <conditionalFormatting sqref="H1463:I1463">
    <cfRule type="expression" dxfId="46" priority="79">
      <formula>$BC1463="YES"</formula>
    </cfRule>
  </conditionalFormatting>
  <conditionalFormatting sqref="L1464:M1465">
    <cfRule type="expression" dxfId="45" priority="78">
      <formula>$BC1464="YES"</formula>
    </cfRule>
  </conditionalFormatting>
  <conditionalFormatting sqref="J1464:K1465">
    <cfRule type="expression" dxfId="44" priority="77">
      <formula>$BC1464="YES"</formula>
    </cfRule>
  </conditionalFormatting>
  <conditionalFormatting sqref="L1466:M1467">
    <cfRule type="expression" dxfId="43" priority="76">
      <formula>$BC1466="YES"</formula>
    </cfRule>
  </conditionalFormatting>
  <conditionalFormatting sqref="J1466:K1467">
    <cfRule type="expression" dxfId="42" priority="75">
      <formula>$BC1466="YES"</formula>
    </cfRule>
  </conditionalFormatting>
  <conditionalFormatting sqref="H1464:I1464">
    <cfRule type="expression" dxfId="41" priority="74">
      <formula>$BC1464="YES"</formula>
    </cfRule>
  </conditionalFormatting>
  <conditionalFormatting sqref="H1465:I1466">
    <cfRule type="expression" dxfId="40" priority="73">
      <formula>$BC1465="YES"</formula>
    </cfRule>
  </conditionalFormatting>
  <conditionalFormatting sqref="H1467:I1467">
    <cfRule type="expression" dxfId="39" priority="72">
      <formula>$BC1467="YES"</formula>
    </cfRule>
  </conditionalFormatting>
  <conditionalFormatting sqref="L1468:M1469">
    <cfRule type="expression" dxfId="38" priority="71">
      <formula>$BC1468="YES"</formula>
    </cfRule>
  </conditionalFormatting>
  <conditionalFormatting sqref="J1468:K1469">
    <cfRule type="expression" dxfId="37" priority="70">
      <formula>$BC1468="YES"</formula>
    </cfRule>
  </conditionalFormatting>
  <conditionalFormatting sqref="L1470:M1471">
    <cfRule type="expression" dxfId="36" priority="69">
      <formula>$BC1470="YES"</formula>
    </cfRule>
  </conditionalFormatting>
  <conditionalFormatting sqref="J1470:K1471">
    <cfRule type="expression" dxfId="35" priority="68">
      <formula>$BC1470="YES"</formula>
    </cfRule>
  </conditionalFormatting>
  <conditionalFormatting sqref="H1468:I1468">
    <cfRule type="expression" dxfId="34" priority="67">
      <formula>$BC1468="YES"</formula>
    </cfRule>
  </conditionalFormatting>
  <conditionalFormatting sqref="H1469:I1470">
    <cfRule type="expression" dxfId="33" priority="66">
      <formula>$BC1469="YES"</formula>
    </cfRule>
  </conditionalFormatting>
  <conditionalFormatting sqref="H1471:I1471">
    <cfRule type="expression" dxfId="32" priority="65">
      <formula>$BC1471="YES"</formula>
    </cfRule>
  </conditionalFormatting>
  <conditionalFormatting sqref="L1472:M1473">
    <cfRule type="expression" dxfId="31" priority="64">
      <formula>$BC1472="YES"</formula>
    </cfRule>
  </conditionalFormatting>
  <conditionalFormatting sqref="H1489:I1490">
    <cfRule type="expression" dxfId="30" priority="31">
      <formula>$BC1489="YES"</formula>
    </cfRule>
  </conditionalFormatting>
  <conditionalFormatting sqref="H1491:I1491">
    <cfRule type="expression" dxfId="29" priority="30">
      <formula>$BC1491="YES"</formula>
    </cfRule>
  </conditionalFormatting>
  <conditionalFormatting sqref="L1492:M1493">
    <cfRule type="expression" dxfId="28" priority="29">
      <formula>$BC1492="YES"</formula>
    </cfRule>
  </conditionalFormatting>
  <conditionalFormatting sqref="J1492:K1493">
    <cfRule type="expression" dxfId="27" priority="28">
      <formula>$BC1492="YES"</formula>
    </cfRule>
  </conditionalFormatting>
  <conditionalFormatting sqref="L1494:M1495">
    <cfRule type="expression" dxfId="26" priority="27">
      <formula>$BC1494="YES"</formula>
    </cfRule>
  </conditionalFormatting>
  <conditionalFormatting sqref="J1494:K1495">
    <cfRule type="expression" dxfId="25" priority="26">
      <formula>$BC1494="YES"</formula>
    </cfRule>
  </conditionalFormatting>
  <conditionalFormatting sqref="H1492:I1492">
    <cfRule type="expression" dxfId="24" priority="25">
      <formula>$BC1492="YES"</formula>
    </cfRule>
  </conditionalFormatting>
  <conditionalFormatting sqref="H1493:I1494">
    <cfRule type="expression" dxfId="23" priority="24">
      <formula>$BC1493="YES"</formula>
    </cfRule>
  </conditionalFormatting>
  <conditionalFormatting sqref="H1495:I1495">
    <cfRule type="expression" dxfId="22" priority="23">
      <formula>$BC1495="YES"</formula>
    </cfRule>
  </conditionalFormatting>
  <conditionalFormatting sqref="L1496:M1497">
    <cfRule type="expression" dxfId="21" priority="22">
      <formula>$BC1496="YES"</formula>
    </cfRule>
  </conditionalFormatting>
  <conditionalFormatting sqref="J1496:K1497">
    <cfRule type="expression" dxfId="20" priority="21">
      <formula>$BC1496="YES"</formula>
    </cfRule>
  </conditionalFormatting>
  <conditionalFormatting sqref="L1498:M1499">
    <cfRule type="expression" dxfId="19" priority="20">
      <formula>$BC1498="YES"</formula>
    </cfRule>
  </conditionalFormatting>
  <conditionalFormatting sqref="J1498:K1499">
    <cfRule type="expression" dxfId="18" priority="19">
      <formula>$BC1498="YES"</formula>
    </cfRule>
  </conditionalFormatting>
  <conditionalFormatting sqref="H1496:I1496">
    <cfRule type="expression" dxfId="17" priority="18">
      <formula>$BC1496="YES"</formula>
    </cfRule>
  </conditionalFormatting>
  <conditionalFormatting sqref="H1497:I1498">
    <cfRule type="expression" dxfId="16" priority="17">
      <formula>$BC1497="YES"</formula>
    </cfRule>
  </conditionalFormatting>
  <conditionalFormatting sqref="H1499:I1499">
    <cfRule type="expression" dxfId="15" priority="16">
      <formula>$BC1499="YES"</formula>
    </cfRule>
  </conditionalFormatting>
  <conditionalFormatting sqref="L1500:M1501">
    <cfRule type="expression" dxfId="14" priority="15">
      <formula>$BC1500="YES"</formula>
    </cfRule>
  </conditionalFormatting>
  <conditionalFormatting sqref="J1500:K1501">
    <cfRule type="expression" dxfId="13" priority="14">
      <formula>$BC1500="YES"</formula>
    </cfRule>
  </conditionalFormatting>
  <conditionalFormatting sqref="L1502:M1503">
    <cfRule type="expression" dxfId="12" priority="13">
      <formula>$BC1502="YES"</formula>
    </cfRule>
  </conditionalFormatting>
  <conditionalFormatting sqref="J1502:K1503">
    <cfRule type="expression" dxfId="11" priority="12">
      <formula>$BC1502="YES"</formula>
    </cfRule>
  </conditionalFormatting>
  <conditionalFormatting sqref="H1500:I1500">
    <cfRule type="expression" dxfId="10" priority="11">
      <formula>$BC1500="YES"</formula>
    </cfRule>
  </conditionalFormatting>
  <conditionalFormatting sqref="H1501:I1502">
    <cfRule type="expression" dxfId="9" priority="10">
      <formula>$BC1501="YES"</formula>
    </cfRule>
  </conditionalFormatting>
  <conditionalFormatting sqref="H1503:I1503">
    <cfRule type="expression" dxfId="8" priority="9">
      <formula>$BC1503="YES"</formula>
    </cfRule>
  </conditionalFormatting>
  <conditionalFormatting sqref="L1504:M1504">
    <cfRule type="expression" dxfId="7" priority="8">
      <formula>$BC1504="YES"</formula>
    </cfRule>
  </conditionalFormatting>
  <conditionalFormatting sqref="J1504:K1504">
    <cfRule type="expression" dxfId="6" priority="7">
      <formula>$BC1504="YES"</formula>
    </cfRule>
  </conditionalFormatting>
  <conditionalFormatting sqref="H1504:I1504">
    <cfRule type="expression" dxfId="5" priority="6">
      <formula>$BC1504="YES"</formula>
    </cfRule>
  </conditionalFormatting>
  <conditionalFormatting sqref="B1610:F1611 AL1610:BV1614 H1610:I1614 L1610:AF1614 F1612:F1614">
    <cfRule type="expression" dxfId="4" priority="5">
      <formula>$BC1610="YES"</formula>
    </cfRule>
  </conditionalFormatting>
  <pageMargins left="0" right="0" top="0.75" bottom="0.75" header="0.3" footer="0.3"/>
  <pageSetup paperSize="3" orientation="landscape" r:id="rId1"/>
  <extLst>
    <ext xmlns:x14="http://schemas.microsoft.com/office/spreadsheetml/2009/9/main" uri="{CCE6A557-97BC-4b89-ADB6-D9C93CAAB3DF}">
      <x14:dataValidations xmlns:xm="http://schemas.microsoft.com/office/excel/2006/main" count="12">
        <x14:dataValidation type="list" allowBlank="1" showInputMessage="1" showErrorMessage="1" xr:uid="{03FCF4A5-CEF3-4E3F-9267-BF38A4161937}">
          <x14:formula1>
            <xm:f>'Drop-Down Boxes '!$H$3:$H$11</xm:f>
          </x14:formula1>
          <xm:sqref>R10:U10</xm:sqref>
        </x14:dataValidation>
        <x14:dataValidation type="list" allowBlank="1" showInputMessage="1" showErrorMessage="1" xr:uid="{73B85F59-3C0F-4133-B94D-C1DFC5DB42FB}">
          <x14:formula1>
            <xm:f>'Drop-Down Boxes '!$D$3:$D$14</xm:f>
          </x14:formula1>
          <xm:sqref>H10:Q10</xm:sqref>
        </x14:dataValidation>
        <x14:dataValidation type="list" allowBlank="1" showInputMessage="1" showErrorMessage="1" xr:uid="{A25139F4-06A9-4494-9404-870DC1223C1B}">
          <x14:formula1>
            <xm:f>'Drop-Down Boxes '!$A$79:$A$80</xm:f>
          </x14:formula1>
          <xm:sqref>BA15:BC1614 T15:U1614 AP15:AQ1614 J15:J1614</xm:sqref>
        </x14:dataValidation>
        <x14:dataValidation type="list" allowBlank="1" showInputMessage="1" showErrorMessage="1" xr:uid="{88D2AF18-1990-4F09-A001-555C5E688D53}">
          <x14:formula1>
            <xm:f>'Drop-Down Boxes '!$A$17:$A$18</xm:f>
          </x14:formula1>
          <xm:sqref>O15:O1614</xm:sqref>
        </x14:dataValidation>
        <x14:dataValidation type="list" allowBlank="1" showInputMessage="1" showErrorMessage="1" xr:uid="{0D5618CD-4667-42EC-818F-1C46E97A5FB2}">
          <x14:formula1>
            <xm:f>'Drop-Down Boxes '!$A$3:$A$9</xm:f>
          </x14:formula1>
          <xm:sqref>P15:Q1614</xm:sqref>
        </x14:dataValidation>
        <x14:dataValidation type="list" allowBlank="1" showInputMessage="1" showErrorMessage="1" xr:uid="{E34EE9D8-FD54-4235-B097-32BD5C1B8A8C}">
          <x14:formula1>
            <xm:f>'Drop-Down Boxes '!$A$12:$A$14</xm:f>
          </x14:formula1>
          <xm:sqref>R15:S1614</xm:sqref>
        </x14:dataValidation>
        <x14:dataValidation type="list" allowBlank="1" showInputMessage="1" showErrorMessage="1" xr:uid="{EFA7A1F2-E553-4363-B65E-2A1064A9B94D}">
          <x14:formula1>
            <xm:f>'Drop-Down Boxes '!$D$86:$D$88</xm:f>
          </x14:formula1>
          <xm:sqref>V15:W1614 AJ15:AK1614</xm:sqref>
        </x14:dataValidation>
        <x14:dataValidation type="list" allowBlank="1" showInputMessage="1" showErrorMessage="1" xr:uid="{DA97FC92-7790-40BD-B65C-A491FEED1089}">
          <x14:formula1>
            <xm:f>'Drop-Down Boxes '!$K$91:$K$93</xm:f>
          </x14:formula1>
          <xm:sqref>AR15:AS1614</xm:sqref>
        </x14:dataValidation>
        <x14:dataValidation type="list" allowBlank="1" showInputMessage="1" showErrorMessage="1" xr:uid="{BED6ACD2-22AE-49F5-A765-ABD224765AF4}">
          <x14:formula1>
            <xm:f>'Drop-Down Boxes '!$O$91:$O$93</xm:f>
          </x14:formula1>
          <xm:sqref>AT15:AU1614</xm:sqref>
        </x14:dataValidation>
        <x14:dataValidation type="list" allowBlank="1" showInputMessage="1" showErrorMessage="1" xr:uid="{95AEC817-56BC-4F83-B830-09B4234ED66B}">
          <x14:formula1>
            <xm:f>'Drop-Down Boxes '!$O$43:$O$50</xm:f>
          </x14:formula1>
          <xm:sqref>AX15:BB1614</xm:sqref>
        </x14:dataValidation>
        <x14:dataValidation type="list" allowBlank="1" showInputMessage="1" showErrorMessage="1" xr:uid="{E877CD6D-CCF2-4BC7-AAC2-C2FF99EC00A0}">
          <x14:formula1>
            <xm:f>'Drop-Down Boxes '!$J$80:$J$84</xm:f>
          </x14:formula1>
          <xm:sqref>BF15:BI1614</xm:sqref>
        </x14:dataValidation>
        <x14:dataValidation type="list" allowBlank="1" showInputMessage="1" showErrorMessage="1" xr:uid="{07464CEF-AA1A-4D36-95EE-3A2A6860078D}">
          <x14:formula1>
            <xm:f>'Drop-Down Boxes '!$H$89:$H$90</xm:f>
          </x14:formula1>
          <xm:sqref>AF15:AI1614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F42A6-368D-4174-B6EA-CB1325D202D5}">
  <sheetPr>
    <tabColor rgb="FFFF0000"/>
  </sheetPr>
  <dimension ref="A1:BB1613"/>
  <sheetViews>
    <sheetView workbookViewId="0">
      <pane ySplit="1" topLeftCell="A2" activePane="bottomLeft" state="frozen"/>
      <selection pane="bottomLeft" activeCell="A2" sqref="A2:AT2"/>
    </sheetView>
  </sheetViews>
  <sheetFormatPr defaultRowHeight="15" x14ac:dyDescent="0.25"/>
  <cols>
    <col min="1" max="5" width="4.7109375" customWidth="1"/>
    <col min="6" max="6" width="5" customWidth="1"/>
    <col min="7" max="26" width="4.7109375" customWidth="1"/>
    <col min="27" max="27" width="6" customWidth="1"/>
    <col min="28" max="28" width="5.42578125" customWidth="1"/>
    <col min="29" max="44" width="4.7109375" customWidth="1"/>
    <col min="45" max="45" width="5.42578125" customWidth="1"/>
    <col min="46" max="50" width="4.7109375" customWidth="1"/>
    <col min="51" max="51" width="4" customWidth="1"/>
    <col min="52" max="52" width="5.85546875" customWidth="1"/>
    <col min="53" max="53" width="5.5703125" customWidth="1"/>
    <col min="54" max="131" width="4.7109375" customWidth="1"/>
  </cols>
  <sheetData>
    <row r="1" spans="1:54" ht="50.1" customHeight="1" x14ac:dyDescent="0.25">
      <c r="A1" s="13" t="s">
        <v>15</v>
      </c>
      <c r="B1" s="888" t="s">
        <v>157</v>
      </c>
      <c r="C1" s="888"/>
      <c r="D1" s="889" t="s">
        <v>905</v>
      </c>
      <c r="E1" s="889"/>
      <c r="F1" s="890" t="s">
        <v>908</v>
      </c>
      <c r="G1" s="890"/>
      <c r="H1" s="908" t="s">
        <v>937</v>
      </c>
      <c r="I1" s="894"/>
      <c r="J1" s="909" t="s">
        <v>938</v>
      </c>
      <c r="K1" s="909"/>
      <c r="L1" s="894" t="s">
        <v>989</v>
      </c>
      <c r="M1" s="894"/>
      <c r="N1" s="893" t="s">
        <v>939</v>
      </c>
      <c r="O1" s="893"/>
      <c r="P1" s="894" t="s">
        <v>940</v>
      </c>
      <c r="Q1" s="894"/>
      <c r="R1" s="893" t="s">
        <v>941</v>
      </c>
      <c r="S1" s="893"/>
      <c r="T1" s="894" t="s">
        <v>942</v>
      </c>
      <c r="U1" s="894"/>
      <c r="V1" s="910" t="s">
        <v>908</v>
      </c>
      <c r="W1" s="910"/>
      <c r="X1" s="911" t="s">
        <v>937</v>
      </c>
      <c r="Y1" s="912"/>
      <c r="Z1" s="898" t="s">
        <v>938</v>
      </c>
      <c r="AA1" s="898"/>
      <c r="AB1" s="912" t="s">
        <v>989</v>
      </c>
      <c r="AC1" s="912"/>
      <c r="AD1" s="913" t="s">
        <v>939</v>
      </c>
      <c r="AE1" s="913"/>
      <c r="AF1" s="912" t="s">
        <v>940</v>
      </c>
      <c r="AG1" s="912"/>
      <c r="AH1" s="913" t="s">
        <v>941</v>
      </c>
      <c r="AI1" s="913"/>
      <c r="AJ1" s="912" t="s">
        <v>942</v>
      </c>
      <c r="AK1" s="912"/>
      <c r="AL1" s="902" t="s">
        <v>30</v>
      </c>
      <c r="AM1" s="903"/>
      <c r="AN1" s="903"/>
      <c r="AO1" s="903"/>
      <c r="AP1" s="903"/>
      <c r="AQ1" s="903"/>
      <c r="AR1" s="903"/>
      <c r="AS1" s="903"/>
      <c r="AT1" s="903"/>
      <c r="AU1" s="903"/>
      <c r="AV1" s="903"/>
      <c r="AW1" s="903"/>
      <c r="AX1" s="903"/>
      <c r="AY1" s="903"/>
      <c r="AZ1" s="903"/>
      <c r="BA1" s="903"/>
      <c r="BB1" s="904"/>
    </row>
    <row r="2" spans="1:54" ht="18.75" x14ac:dyDescent="0.25">
      <c r="A2" s="556" t="e" cm="1" vm="1">
        <f t="array" aca="1" ref="A2" ca="1">'INSTRUCTIONS '!A33:AN37='GRANTEE SET UP INFO &amp; DATE '!A1</f>
        <v>#VALUE!</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316"/>
      <c r="AV2" s="316"/>
      <c r="AW2" s="1"/>
      <c r="AX2" s="1"/>
      <c r="AY2" s="1"/>
      <c r="AZ2" s="1"/>
      <c r="BA2" s="1"/>
      <c r="BB2" s="1"/>
    </row>
    <row r="3" spans="1:54" ht="16.5" thickBot="1" x14ac:dyDescent="0.3">
      <c r="A3" s="887" t="str">
        <f>'GRANTEE SET UP INFO &amp; DATE '!A2</f>
        <v xml:space="preserve">Program reports need to be submitted electronically, via e-mail to DHHRBBHReporting@wv.gov  within 25 calendar days of the end of each month </v>
      </c>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264"/>
      <c r="AV3" s="264"/>
      <c r="AW3" s="1"/>
      <c r="AX3" s="1"/>
      <c r="AY3" s="1"/>
      <c r="AZ3" s="1"/>
      <c r="BA3" s="1"/>
      <c r="BB3" s="1"/>
    </row>
    <row r="4" spans="1:54" ht="19.5" customHeight="1" thickTop="1" x14ac:dyDescent="0.25">
      <c r="A4" s="638" t="s">
        <v>985</v>
      </c>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row>
    <row r="5" spans="1:54" ht="15" customHeight="1" x14ac:dyDescent="0.25">
      <c r="A5" s="880" t="s">
        <v>160</v>
      </c>
      <c r="B5" s="881"/>
      <c r="C5" s="881"/>
      <c r="D5" s="881"/>
      <c r="E5" s="881"/>
      <c r="F5" s="881"/>
      <c r="G5" s="881"/>
      <c r="H5" s="881"/>
      <c r="I5" s="881"/>
      <c r="J5" s="882"/>
      <c r="K5" s="2"/>
      <c r="L5" s="644" t="str">
        <f>'GRANTEE SET UP INFO &amp; DATE '!H4</f>
        <v>Jobs and Hope</v>
      </c>
      <c r="M5" s="644"/>
      <c r="N5" s="644"/>
      <c r="O5" s="644"/>
      <c r="P5" s="644"/>
      <c r="Q5" s="644"/>
      <c r="R5" s="644"/>
      <c r="S5" s="644"/>
      <c r="T5" s="644"/>
      <c r="U5" s="644"/>
      <c r="V5" s="644"/>
      <c r="W5" s="644"/>
      <c r="X5" s="644"/>
      <c r="Y5" s="644"/>
      <c r="Z5" s="644"/>
      <c r="AA5" s="644"/>
      <c r="AB5" s="644"/>
      <c r="AC5" s="644"/>
      <c r="AD5" s="645"/>
      <c r="AE5" s="11"/>
      <c r="AF5" s="388" t="s">
        <v>158</v>
      </c>
      <c r="AG5" s="389"/>
      <c r="AH5" s="389"/>
      <c r="AI5" s="389"/>
      <c r="AJ5" s="389"/>
      <c r="AK5" s="389"/>
      <c r="AL5" s="389"/>
      <c r="AM5" s="389"/>
      <c r="AN5" s="883"/>
      <c r="AO5" s="649" t="str">
        <f>'GRANTEE SET UP INFO &amp; DATE '!Z4</f>
        <v xml:space="preserve">Grantee formal Name (name on grant agreement) </v>
      </c>
      <c r="AP5" s="650"/>
      <c r="AQ5" s="650"/>
      <c r="AR5" s="650"/>
      <c r="AS5" s="650"/>
      <c r="AT5" s="650"/>
      <c r="AU5" s="650"/>
      <c r="AV5" s="650"/>
      <c r="AW5" s="650"/>
      <c r="AX5" s="650"/>
      <c r="AY5" s="650"/>
      <c r="AZ5" s="650"/>
      <c r="BA5" s="650"/>
      <c r="BB5" s="651"/>
    </row>
    <row r="6" spans="1:54" x14ac:dyDescent="0.25">
      <c r="A6" s="377" t="s">
        <v>984</v>
      </c>
      <c r="B6" s="378"/>
      <c r="C6" s="378"/>
      <c r="D6" s="378"/>
      <c r="E6" s="378"/>
      <c r="F6" s="378"/>
      <c r="G6" s="378"/>
      <c r="H6" s="378"/>
      <c r="I6" s="378"/>
      <c r="J6" s="379"/>
      <c r="K6" s="2"/>
      <c r="L6" s="509" t="str">
        <f>'GRANTEE SET UP INFO &amp; DATE '!H5</f>
        <v>Jobs and Hope</v>
      </c>
      <c r="M6" s="509"/>
      <c r="N6" s="509"/>
      <c r="O6" s="509"/>
      <c r="P6" s="509"/>
      <c r="Q6" s="509"/>
      <c r="R6" s="509"/>
      <c r="S6" s="509"/>
      <c r="T6" s="509"/>
      <c r="U6" s="509"/>
      <c r="V6" s="509"/>
      <c r="W6" s="509"/>
      <c r="X6" s="509"/>
      <c r="Y6" s="509"/>
      <c r="Z6" s="509"/>
      <c r="AA6" s="509"/>
      <c r="AB6" s="509"/>
      <c r="AC6" s="509"/>
      <c r="AD6" s="510"/>
      <c r="AE6" s="11"/>
      <c r="AF6" s="884" t="s">
        <v>4</v>
      </c>
      <c r="AG6" s="885"/>
      <c r="AH6" s="885"/>
      <c r="AI6" s="885"/>
      <c r="AJ6" s="885"/>
      <c r="AK6" s="885"/>
      <c r="AL6" s="885"/>
      <c r="AM6" s="885"/>
      <c r="AN6" s="886"/>
      <c r="AO6" s="616" t="str">
        <f>'GRANTEE SET UP INFO &amp; DATE '!Z5</f>
        <v>Names of Contact(s):</v>
      </c>
      <c r="AP6" s="617"/>
      <c r="AQ6" s="617"/>
      <c r="AR6" s="617"/>
      <c r="AS6" s="617"/>
      <c r="AT6" s="617"/>
      <c r="AU6" s="617"/>
      <c r="AV6" s="617"/>
      <c r="AW6" s="617"/>
      <c r="AX6" s="617"/>
      <c r="AY6" s="617"/>
      <c r="AZ6" s="617"/>
      <c r="BA6" s="617"/>
      <c r="BB6" s="618"/>
    </row>
    <row r="7" spans="1:54" ht="15" customHeight="1" x14ac:dyDescent="0.25">
      <c r="A7" s="874" t="s">
        <v>1</v>
      </c>
      <c r="B7" s="875"/>
      <c r="C7" s="875"/>
      <c r="D7" s="875"/>
      <c r="E7" s="875"/>
      <c r="F7" s="875"/>
      <c r="G7" s="875"/>
      <c r="H7" s="875"/>
      <c r="I7" s="875"/>
      <c r="J7" s="876"/>
      <c r="K7" s="2"/>
      <c r="L7" s="623" t="str">
        <f>'GRANTEE SET UP INFO &amp; DATE '!H6</f>
        <v>123 Any Street, Any City, WV 12345</v>
      </c>
      <c r="M7" s="623"/>
      <c r="N7" s="623"/>
      <c r="O7" s="623"/>
      <c r="P7" s="623"/>
      <c r="Q7" s="623"/>
      <c r="R7" s="623"/>
      <c r="S7" s="623"/>
      <c r="T7" s="623"/>
      <c r="U7" s="623"/>
      <c r="V7" s="623"/>
      <c r="W7" s="623"/>
      <c r="X7" s="623"/>
      <c r="Y7" s="623"/>
      <c r="Z7" s="623"/>
      <c r="AA7" s="623"/>
      <c r="AB7" s="623"/>
      <c r="AC7" s="623"/>
      <c r="AD7" s="624"/>
      <c r="AE7" s="11"/>
      <c r="AF7" s="377" t="s">
        <v>612</v>
      </c>
      <c r="AG7" s="378"/>
      <c r="AH7" s="378"/>
      <c r="AI7" s="378"/>
      <c r="AJ7" s="378"/>
      <c r="AK7" s="378"/>
      <c r="AL7" s="378"/>
      <c r="AM7" s="378"/>
      <c r="AN7" s="379"/>
      <c r="AO7" s="634" t="str">
        <f>'GRANTEE SET UP INFO &amp; DATE '!Z6</f>
        <v>Phone numbers for contacts</v>
      </c>
      <c r="AP7" s="509"/>
      <c r="AQ7" s="509"/>
      <c r="AR7" s="509"/>
      <c r="AS7" s="509"/>
      <c r="AT7" s="509"/>
      <c r="AU7" s="509"/>
      <c r="AV7" s="509"/>
      <c r="AW7" s="509"/>
      <c r="AX7" s="509"/>
      <c r="AY7" s="509"/>
      <c r="AZ7" s="509"/>
      <c r="BA7" s="509"/>
      <c r="BB7" s="510"/>
    </row>
    <row r="8" spans="1:54" x14ac:dyDescent="0.25">
      <c r="A8" s="877"/>
      <c r="B8" s="878"/>
      <c r="C8" s="878"/>
      <c r="D8" s="878"/>
      <c r="E8" s="878"/>
      <c r="F8" s="878"/>
      <c r="G8" s="878"/>
      <c r="H8" s="878"/>
      <c r="I8" s="878"/>
      <c r="J8" s="879"/>
      <c r="K8" s="2"/>
      <c r="L8" s="626"/>
      <c r="M8" s="626"/>
      <c r="N8" s="626"/>
      <c r="O8" s="626"/>
      <c r="P8" s="626"/>
      <c r="Q8" s="626"/>
      <c r="R8" s="626"/>
      <c r="S8" s="626"/>
      <c r="T8" s="626"/>
      <c r="U8" s="626"/>
      <c r="V8" s="626"/>
      <c r="W8" s="626"/>
      <c r="X8" s="626"/>
      <c r="Y8" s="626"/>
      <c r="Z8" s="626"/>
      <c r="AA8" s="626"/>
      <c r="AB8" s="626"/>
      <c r="AC8" s="626"/>
      <c r="AD8" s="627"/>
      <c r="AE8" s="11"/>
      <c r="AF8" s="377" t="s">
        <v>31</v>
      </c>
      <c r="AG8" s="378"/>
      <c r="AH8" s="378"/>
      <c r="AI8" s="378"/>
      <c r="AJ8" s="378"/>
      <c r="AK8" s="378"/>
      <c r="AL8" s="378"/>
      <c r="AM8" s="378"/>
      <c r="AN8" s="379"/>
      <c r="AO8" s="634" t="str">
        <f>'GRANTEE SET UP INFO &amp; DATE '!Z7</f>
        <v xml:space="preserve">number on grant agreement or TFB </v>
      </c>
      <c r="AP8" s="509"/>
      <c r="AQ8" s="509"/>
      <c r="AR8" s="509"/>
      <c r="AS8" s="509"/>
      <c r="AT8" s="509"/>
      <c r="AU8" s="509"/>
      <c r="AV8" s="509"/>
      <c r="AW8" s="509"/>
      <c r="AX8" s="509"/>
      <c r="AY8" s="509"/>
      <c r="AZ8" s="509"/>
      <c r="BA8" s="509"/>
      <c r="BB8" s="510"/>
    </row>
    <row r="9" spans="1:54" ht="15.75" customHeight="1" x14ac:dyDescent="0.25">
      <c r="A9" s="628" t="s">
        <v>44</v>
      </c>
      <c r="B9" s="629"/>
      <c r="C9" s="629"/>
      <c r="D9" s="629"/>
      <c r="E9" s="629"/>
      <c r="F9" s="629"/>
      <c r="G9" s="629"/>
      <c r="H9" s="629"/>
      <c r="I9" s="629"/>
      <c r="J9" s="630"/>
      <c r="K9" s="2"/>
      <c r="L9" s="869" t="str">
        <f>'GRANTEE SET UP INFO &amp; DATE '!H8</f>
        <v>October 1 - 31</v>
      </c>
      <c r="M9" s="869"/>
      <c r="N9" s="869"/>
      <c r="O9" s="869"/>
      <c r="P9" s="869"/>
      <c r="Q9" s="869"/>
      <c r="R9" s="869"/>
      <c r="S9" s="869"/>
      <c r="T9" s="870"/>
      <c r="U9" s="655">
        <f>'GRANTEE SET UP INFO &amp; DATE '!P8</f>
        <v>2024</v>
      </c>
      <c r="V9" s="656"/>
      <c r="W9" s="656"/>
      <c r="X9" s="656"/>
      <c r="Y9" s="656"/>
      <c r="Z9" s="656"/>
      <c r="AA9" s="656"/>
      <c r="AB9" s="656"/>
      <c r="AC9" s="656"/>
      <c r="AD9" s="657"/>
      <c r="AE9" s="11"/>
      <c r="AF9" s="871" t="s">
        <v>155</v>
      </c>
      <c r="AG9" s="872"/>
      <c r="AH9" s="872"/>
      <c r="AI9" s="872"/>
      <c r="AJ9" s="872"/>
      <c r="AK9" s="872"/>
      <c r="AL9" s="872"/>
      <c r="AM9" s="872"/>
      <c r="AN9" s="873"/>
      <c r="AO9" s="634" t="str">
        <f>'GRANTEE SET UP INFO &amp; DATE '!Z8</f>
        <v>program code can locate on SOW or  TFB</v>
      </c>
      <c r="AP9" s="509"/>
      <c r="AQ9" s="509"/>
      <c r="AR9" s="509"/>
      <c r="AS9" s="509"/>
      <c r="AT9" s="509"/>
      <c r="AU9" s="509"/>
      <c r="AV9" s="509"/>
      <c r="AW9" s="509"/>
      <c r="AX9" s="509"/>
      <c r="AY9" s="509"/>
      <c r="AZ9" s="509"/>
      <c r="BA9" s="509"/>
      <c r="BB9" s="510"/>
    </row>
    <row r="10" spans="1:54" ht="15" customHeight="1" x14ac:dyDescent="0.25">
      <c r="A10" s="661" t="s">
        <v>986</v>
      </c>
      <c r="B10" s="661"/>
      <c r="C10" s="661"/>
      <c r="D10" s="661"/>
      <c r="E10" s="661"/>
      <c r="F10" s="661"/>
      <c r="G10" s="661"/>
      <c r="H10" s="661"/>
      <c r="I10" s="661"/>
      <c r="J10" s="661"/>
      <c r="K10" s="661"/>
      <c r="L10" s="661"/>
      <c r="M10" s="661"/>
      <c r="N10" s="661"/>
      <c r="O10" s="661"/>
      <c r="P10" s="661"/>
      <c r="Q10" s="661"/>
      <c r="R10" s="661"/>
      <c r="S10" s="661"/>
      <c r="T10" s="661"/>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c r="AV10" s="661"/>
      <c r="AW10" s="661"/>
      <c r="AX10" s="661"/>
      <c r="AY10" s="661"/>
      <c r="AZ10" s="661"/>
      <c r="BA10" s="661"/>
      <c r="BB10" s="661"/>
    </row>
    <row r="11" spans="1:54" x14ac:dyDescent="0.25">
      <c r="A11" s="897"/>
      <c r="B11" s="897"/>
      <c r="C11" s="897"/>
      <c r="D11" s="897"/>
      <c r="E11" s="897"/>
      <c r="F11" s="897"/>
      <c r="G11" s="897"/>
      <c r="H11" s="897"/>
      <c r="I11" s="897"/>
      <c r="J11" s="897"/>
      <c r="K11" s="897"/>
      <c r="L11" s="897"/>
      <c r="M11" s="897"/>
      <c r="N11" s="897"/>
      <c r="O11" s="897"/>
      <c r="P11" s="897"/>
      <c r="Q11" s="897"/>
      <c r="R11" s="897"/>
      <c r="S11" s="897"/>
      <c r="T11" s="897"/>
      <c r="U11" s="897"/>
      <c r="V11" s="897"/>
      <c r="W11" s="897"/>
      <c r="X11" s="897"/>
      <c r="Y11" s="897"/>
      <c r="Z11" s="317"/>
      <c r="AA11" s="317"/>
      <c r="AB11" s="317"/>
      <c r="AC11" s="317"/>
      <c r="AD11" s="317"/>
      <c r="AE11" s="317"/>
      <c r="AF11" s="1"/>
      <c r="AG11" s="1"/>
      <c r="AH11" s="1"/>
      <c r="AI11" s="1"/>
      <c r="AJ11" s="1"/>
      <c r="AK11" s="1"/>
      <c r="AL11" s="1"/>
      <c r="AM11" s="1"/>
      <c r="AN11" s="1"/>
      <c r="AO11" s="1"/>
      <c r="AP11" s="1"/>
      <c r="AQ11" s="1"/>
      <c r="AR11" s="1"/>
      <c r="AS11" s="1"/>
      <c r="AT11" s="1"/>
      <c r="AU11" s="1"/>
      <c r="AV11" s="1"/>
      <c r="AW11" s="1"/>
      <c r="AX11" s="1"/>
      <c r="AY11" s="1"/>
      <c r="AZ11" s="1"/>
      <c r="BA11" s="1"/>
      <c r="BB11" s="1"/>
    </row>
    <row r="12" spans="1:54" ht="60" customHeight="1" x14ac:dyDescent="0.25">
      <c r="A12" s="895" t="s">
        <v>907</v>
      </c>
      <c r="B12" s="895"/>
      <c r="C12" s="895"/>
      <c r="D12" s="895"/>
      <c r="E12" s="896"/>
      <c r="F12" s="929" t="s">
        <v>935</v>
      </c>
      <c r="G12" s="930"/>
      <c r="H12" s="930"/>
      <c r="I12" s="930"/>
      <c r="J12" s="930"/>
      <c r="K12" s="930"/>
      <c r="L12" s="930"/>
      <c r="M12" s="930"/>
      <c r="N12" s="930"/>
      <c r="O12" s="930"/>
      <c r="P12" s="930"/>
      <c r="Q12" s="930"/>
      <c r="R12" s="930"/>
      <c r="S12" s="930"/>
      <c r="T12" s="930"/>
      <c r="U12" s="930"/>
      <c r="V12" s="928" t="s">
        <v>936</v>
      </c>
      <c r="W12" s="928"/>
      <c r="X12" s="928"/>
      <c r="Y12" s="928"/>
      <c r="Z12" s="928"/>
      <c r="AA12" s="928"/>
      <c r="AB12" s="928"/>
      <c r="AC12" s="928"/>
      <c r="AD12" s="928"/>
      <c r="AE12" s="928"/>
      <c r="AF12" s="928"/>
      <c r="AG12" s="928"/>
      <c r="AH12" s="928"/>
      <c r="AI12" s="928"/>
      <c r="AJ12" s="928"/>
      <c r="AK12" s="928"/>
      <c r="AL12" s="899" t="s">
        <v>30</v>
      </c>
      <c r="AM12" s="900"/>
      <c r="AN12" s="900"/>
      <c r="AO12" s="900"/>
      <c r="AP12" s="900"/>
      <c r="AQ12" s="900"/>
      <c r="AR12" s="900"/>
      <c r="AS12" s="900"/>
      <c r="AT12" s="900"/>
      <c r="AU12" s="900"/>
      <c r="AV12" s="900"/>
      <c r="AW12" s="900"/>
      <c r="AX12" s="900"/>
      <c r="AY12" s="900"/>
      <c r="AZ12" s="900"/>
      <c r="BA12" s="900"/>
      <c r="BB12" s="901"/>
    </row>
    <row r="13" spans="1:54" ht="78.75" customHeight="1" x14ac:dyDescent="0.25">
      <c r="A13" s="13" t="s">
        <v>15</v>
      </c>
      <c r="B13" s="888" t="s">
        <v>157</v>
      </c>
      <c r="C13" s="888"/>
      <c r="D13" s="889" t="s">
        <v>905</v>
      </c>
      <c r="E13" s="889"/>
      <c r="F13" s="890" t="s">
        <v>908</v>
      </c>
      <c r="G13" s="890"/>
      <c r="H13" s="908" t="s">
        <v>937</v>
      </c>
      <c r="I13" s="894"/>
      <c r="J13" s="909" t="s">
        <v>938</v>
      </c>
      <c r="K13" s="909"/>
      <c r="L13" s="894" t="s">
        <v>989</v>
      </c>
      <c r="M13" s="894"/>
      <c r="N13" s="893" t="s">
        <v>939</v>
      </c>
      <c r="O13" s="893"/>
      <c r="P13" s="894" t="s">
        <v>940</v>
      </c>
      <c r="Q13" s="894"/>
      <c r="R13" s="893" t="s">
        <v>941</v>
      </c>
      <c r="S13" s="893"/>
      <c r="T13" s="894" t="s">
        <v>942</v>
      </c>
      <c r="U13" s="894"/>
      <c r="V13" s="910" t="s">
        <v>908</v>
      </c>
      <c r="W13" s="910"/>
      <c r="X13" s="911" t="s">
        <v>937</v>
      </c>
      <c r="Y13" s="912"/>
      <c r="Z13" s="898" t="s">
        <v>938</v>
      </c>
      <c r="AA13" s="898"/>
      <c r="AB13" s="912" t="s">
        <v>989</v>
      </c>
      <c r="AC13" s="912"/>
      <c r="AD13" s="913" t="s">
        <v>939</v>
      </c>
      <c r="AE13" s="913"/>
      <c r="AF13" s="912" t="s">
        <v>940</v>
      </c>
      <c r="AG13" s="912"/>
      <c r="AH13" s="913" t="s">
        <v>941</v>
      </c>
      <c r="AI13" s="913"/>
      <c r="AJ13" s="912" t="s">
        <v>942</v>
      </c>
      <c r="AK13" s="912"/>
      <c r="AL13" s="902" t="s">
        <v>30</v>
      </c>
      <c r="AM13" s="903"/>
      <c r="AN13" s="903"/>
      <c r="AO13" s="903"/>
      <c r="AP13" s="903"/>
      <c r="AQ13" s="903"/>
      <c r="AR13" s="903"/>
      <c r="AS13" s="903"/>
      <c r="AT13" s="903"/>
      <c r="AU13" s="903"/>
      <c r="AV13" s="903"/>
      <c r="AW13" s="903"/>
      <c r="AX13" s="903"/>
      <c r="AY13" s="903"/>
      <c r="AZ13" s="903"/>
      <c r="BA13" s="903"/>
      <c r="BB13" s="904"/>
    </row>
    <row r="14" spans="1:54" ht="15" customHeight="1" x14ac:dyDescent="0.25">
      <c r="A14" s="13">
        <f t="shared" ref="A14:A77" si="0">ROW(A1)</f>
        <v>1</v>
      </c>
      <c r="B14" s="888" t="str">
        <f>'refer admin discharge'!B15</f>
        <v>x</v>
      </c>
      <c r="C14" s="888"/>
      <c r="D14" s="868" t="str">
        <f>'refer admin discharge'!D15</f>
        <v>xx</v>
      </c>
      <c r="E14" s="868"/>
      <c r="F14" s="891" t="str">
        <f>'refer admin discharge'!H15</f>
        <v>00/00/0000</v>
      </c>
      <c r="G14" s="892"/>
      <c r="H14" s="894"/>
      <c r="I14" s="894"/>
      <c r="J14" s="918"/>
      <c r="K14" s="918"/>
      <c r="L14" s="894"/>
      <c r="M14" s="894"/>
      <c r="N14" s="916"/>
      <c r="O14" s="916"/>
      <c r="P14" s="894"/>
      <c r="Q14" s="894"/>
      <c r="R14" s="916"/>
      <c r="S14" s="916"/>
      <c r="T14" s="894"/>
      <c r="U14" s="894"/>
      <c r="V14" s="921" t="str">
        <f>'refer admin discharge'!H15</f>
        <v>00/00/0000</v>
      </c>
      <c r="W14" s="922"/>
      <c r="X14" s="920"/>
      <c r="Y14" s="920"/>
      <c r="Z14" s="919"/>
      <c r="AA14" s="919"/>
      <c r="AB14" s="920"/>
      <c r="AC14" s="920"/>
      <c r="AD14" s="912"/>
      <c r="AE14" s="912"/>
      <c r="AF14" s="920"/>
      <c r="AG14" s="920"/>
      <c r="AH14" s="912"/>
      <c r="AI14" s="912"/>
      <c r="AJ14" s="920"/>
      <c r="AK14" s="920"/>
      <c r="AL14" s="905"/>
      <c r="AM14" s="906"/>
      <c r="AN14" s="906"/>
      <c r="AO14" s="906"/>
      <c r="AP14" s="906"/>
      <c r="AQ14" s="906"/>
      <c r="AR14" s="906"/>
      <c r="AS14" s="906"/>
      <c r="AT14" s="906"/>
      <c r="AU14" s="906"/>
      <c r="AV14" s="906"/>
      <c r="AW14" s="906"/>
      <c r="AX14" s="906"/>
      <c r="AY14" s="906"/>
      <c r="AZ14" s="906"/>
      <c r="BA14" s="906"/>
      <c r="BB14" s="907"/>
    </row>
    <row r="15" spans="1:54" x14ac:dyDescent="0.25">
      <c r="A15" s="13">
        <f t="shared" si="0"/>
        <v>2</v>
      </c>
      <c r="B15" s="914" t="str">
        <f>'refer admin discharge'!B16</f>
        <v>x</v>
      </c>
      <c r="C15" s="914"/>
      <c r="D15" s="889" t="str">
        <f>'refer admin discharge'!D16</f>
        <v>xx</v>
      </c>
      <c r="E15" s="889"/>
      <c r="F15" s="891" t="str">
        <f>'refer admin discharge'!H16</f>
        <v>00/00/0000</v>
      </c>
      <c r="G15" s="892"/>
      <c r="H15" s="916"/>
      <c r="I15" s="916"/>
      <c r="J15" s="917"/>
      <c r="K15" s="917"/>
      <c r="L15" s="916"/>
      <c r="M15" s="916"/>
      <c r="N15" s="893"/>
      <c r="O15" s="893"/>
      <c r="P15" s="916"/>
      <c r="Q15" s="916"/>
      <c r="R15" s="893"/>
      <c r="S15" s="893"/>
      <c r="T15" s="916"/>
      <c r="U15" s="916"/>
      <c r="V15" s="923" t="str">
        <f>'refer admin discharge'!H16</f>
        <v>00/00/0000</v>
      </c>
      <c r="W15" s="910"/>
      <c r="X15" s="912"/>
      <c r="Y15" s="912"/>
      <c r="Z15" s="924"/>
      <c r="AA15" s="924"/>
      <c r="AB15" s="912"/>
      <c r="AC15" s="912"/>
      <c r="AD15" s="913"/>
      <c r="AE15" s="913"/>
      <c r="AF15" s="912"/>
      <c r="AG15" s="912"/>
      <c r="AH15" s="913"/>
      <c r="AI15" s="913"/>
      <c r="AJ15" s="912"/>
      <c r="AK15" s="912"/>
      <c r="AL15" s="925"/>
      <c r="AM15" s="926"/>
      <c r="AN15" s="926"/>
      <c r="AO15" s="926"/>
      <c r="AP15" s="926"/>
      <c r="AQ15" s="926"/>
      <c r="AR15" s="926"/>
      <c r="AS15" s="926"/>
      <c r="AT15" s="926"/>
      <c r="AU15" s="926"/>
      <c r="AV15" s="926"/>
      <c r="AW15" s="926"/>
      <c r="AX15" s="926"/>
      <c r="AY15" s="926"/>
      <c r="AZ15" s="926"/>
      <c r="BA15" s="926"/>
      <c r="BB15" s="927"/>
    </row>
    <row r="16" spans="1:54" x14ac:dyDescent="0.25">
      <c r="A16" s="13">
        <f t="shared" si="0"/>
        <v>3</v>
      </c>
      <c r="B16" s="888" t="str">
        <f>'refer admin discharge'!B17</f>
        <v>x</v>
      </c>
      <c r="C16" s="888"/>
      <c r="D16" s="868" t="str">
        <f>'refer admin discharge'!D17</f>
        <v>xx</v>
      </c>
      <c r="E16" s="868"/>
      <c r="F16" s="891" t="str">
        <f>'refer admin discharge'!H17</f>
        <v>00/00/0000</v>
      </c>
      <c r="G16" s="892"/>
      <c r="H16" s="894"/>
      <c r="I16" s="894"/>
      <c r="J16" s="918"/>
      <c r="K16" s="918"/>
      <c r="L16" s="894"/>
      <c r="M16" s="894"/>
      <c r="N16" s="916"/>
      <c r="O16" s="916"/>
      <c r="P16" s="894"/>
      <c r="Q16" s="894"/>
      <c r="R16" s="916"/>
      <c r="S16" s="916"/>
      <c r="T16" s="894"/>
      <c r="U16" s="894"/>
      <c r="V16" s="921" t="str">
        <f>'refer admin discharge'!H17</f>
        <v>00/00/0000</v>
      </c>
      <c r="W16" s="922"/>
      <c r="X16" s="920"/>
      <c r="Y16" s="920"/>
      <c r="Z16" s="919"/>
      <c r="AA16" s="919"/>
      <c r="AB16" s="920"/>
      <c r="AC16" s="920"/>
      <c r="AD16" s="912"/>
      <c r="AE16" s="912"/>
      <c r="AF16" s="920"/>
      <c r="AG16" s="920"/>
      <c r="AH16" s="912"/>
      <c r="AI16" s="912"/>
      <c r="AJ16" s="920"/>
      <c r="AK16" s="920"/>
      <c r="AL16" s="905"/>
      <c r="AM16" s="906"/>
      <c r="AN16" s="906"/>
      <c r="AO16" s="906"/>
      <c r="AP16" s="906"/>
      <c r="AQ16" s="906"/>
      <c r="AR16" s="906"/>
      <c r="AS16" s="906"/>
      <c r="AT16" s="906"/>
      <c r="AU16" s="906"/>
      <c r="AV16" s="906"/>
      <c r="AW16" s="906"/>
      <c r="AX16" s="906"/>
      <c r="AY16" s="906"/>
      <c r="AZ16" s="906"/>
      <c r="BA16" s="906"/>
      <c r="BB16" s="907"/>
    </row>
    <row r="17" spans="1:54" x14ac:dyDescent="0.25">
      <c r="A17" s="13">
        <f t="shared" si="0"/>
        <v>4</v>
      </c>
      <c r="B17" s="914" t="str">
        <f>'refer admin discharge'!B18</f>
        <v>x</v>
      </c>
      <c r="C17" s="914"/>
      <c r="D17" s="889" t="str">
        <f>'refer admin discharge'!D18</f>
        <v>xx</v>
      </c>
      <c r="E17" s="889"/>
      <c r="F17" s="915" t="str">
        <f>'refer admin discharge'!H18</f>
        <v>00/00/0000</v>
      </c>
      <c r="G17" s="890"/>
      <c r="H17" s="916"/>
      <c r="I17" s="916"/>
      <c r="J17" s="917"/>
      <c r="K17" s="917"/>
      <c r="L17" s="916"/>
      <c r="M17" s="916"/>
      <c r="N17" s="893"/>
      <c r="O17" s="893"/>
      <c r="P17" s="916"/>
      <c r="Q17" s="916"/>
      <c r="R17" s="893"/>
      <c r="S17" s="893"/>
      <c r="T17" s="916"/>
      <c r="U17" s="916"/>
      <c r="V17" s="923" t="str">
        <f>'refer admin discharge'!H18</f>
        <v>00/00/0000</v>
      </c>
      <c r="W17" s="910"/>
      <c r="X17" s="912"/>
      <c r="Y17" s="912"/>
      <c r="Z17" s="924"/>
      <c r="AA17" s="924"/>
      <c r="AB17" s="912"/>
      <c r="AC17" s="912"/>
      <c r="AD17" s="913"/>
      <c r="AE17" s="913"/>
      <c r="AF17" s="912"/>
      <c r="AG17" s="912"/>
      <c r="AH17" s="913"/>
      <c r="AI17" s="913"/>
      <c r="AJ17" s="912"/>
      <c r="AK17" s="912"/>
      <c r="AL17" s="925"/>
      <c r="AM17" s="926"/>
      <c r="AN17" s="926"/>
      <c r="AO17" s="926"/>
      <c r="AP17" s="926"/>
      <c r="AQ17" s="926"/>
      <c r="AR17" s="926"/>
      <c r="AS17" s="926"/>
      <c r="AT17" s="926"/>
      <c r="AU17" s="926"/>
      <c r="AV17" s="926"/>
      <c r="AW17" s="926"/>
      <c r="AX17" s="926"/>
      <c r="AY17" s="926"/>
      <c r="AZ17" s="926"/>
      <c r="BA17" s="926"/>
      <c r="BB17" s="927"/>
    </row>
    <row r="18" spans="1:54" x14ac:dyDescent="0.25">
      <c r="A18" s="13">
        <f t="shared" si="0"/>
        <v>5</v>
      </c>
      <c r="B18" s="888" t="str">
        <f>'refer admin discharge'!B19</f>
        <v>x</v>
      </c>
      <c r="C18" s="888"/>
      <c r="D18" s="868" t="str">
        <f>'refer admin discharge'!D19</f>
        <v>xx</v>
      </c>
      <c r="E18" s="868"/>
      <c r="F18" s="891" t="str">
        <f>'refer admin discharge'!H19</f>
        <v>00/00/0000</v>
      </c>
      <c r="G18" s="892"/>
      <c r="H18" s="894"/>
      <c r="I18" s="894"/>
      <c r="J18" s="918"/>
      <c r="K18" s="918"/>
      <c r="L18" s="894"/>
      <c r="M18" s="894"/>
      <c r="N18" s="916"/>
      <c r="O18" s="916"/>
      <c r="P18" s="894"/>
      <c r="Q18" s="894"/>
      <c r="R18" s="916"/>
      <c r="S18" s="916"/>
      <c r="T18" s="894"/>
      <c r="U18" s="894"/>
      <c r="V18" s="921" t="str">
        <f>'refer admin discharge'!H19</f>
        <v>00/00/0000</v>
      </c>
      <c r="W18" s="922"/>
      <c r="X18" s="920"/>
      <c r="Y18" s="920"/>
      <c r="Z18" s="919"/>
      <c r="AA18" s="919"/>
      <c r="AB18" s="920"/>
      <c r="AC18" s="920"/>
      <c r="AD18" s="912"/>
      <c r="AE18" s="912"/>
      <c r="AF18" s="920"/>
      <c r="AG18" s="920"/>
      <c r="AH18" s="912"/>
      <c r="AI18" s="912"/>
      <c r="AJ18" s="920"/>
      <c r="AK18" s="920"/>
      <c r="AL18" s="905"/>
      <c r="AM18" s="906"/>
      <c r="AN18" s="906"/>
      <c r="AO18" s="906"/>
      <c r="AP18" s="906"/>
      <c r="AQ18" s="906"/>
      <c r="AR18" s="906"/>
      <c r="AS18" s="906"/>
      <c r="AT18" s="906"/>
      <c r="AU18" s="906"/>
      <c r="AV18" s="906"/>
      <c r="AW18" s="906"/>
      <c r="AX18" s="906"/>
      <c r="AY18" s="906"/>
      <c r="AZ18" s="906"/>
      <c r="BA18" s="906"/>
      <c r="BB18" s="907"/>
    </row>
    <row r="19" spans="1:54" x14ac:dyDescent="0.25">
      <c r="A19" s="13">
        <f t="shared" si="0"/>
        <v>6</v>
      </c>
      <c r="B19" s="914" t="str">
        <f>'refer admin discharge'!B20</f>
        <v>x</v>
      </c>
      <c r="C19" s="914"/>
      <c r="D19" s="889" t="str">
        <f>'refer admin discharge'!D20</f>
        <v>xx</v>
      </c>
      <c r="E19" s="889"/>
      <c r="F19" s="915" t="str">
        <f>'refer admin discharge'!H20</f>
        <v>00/00/0000</v>
      </c>
      <c r="G19" s="890"/>
      <c r="H19" s="916"/>
      <c r="I19" s="916"/>
      <c r="J19" s="917"/>
      <c r="K19" s="917"/>
      <c r="L19" s="916"/>
      <c r="M19" s="916"/>
      <c r="N19" s="893"/>
      <c r="O19" s="893"/>
      <c r="P19" s="916"/>
      <c r="Q19" s="916"/>
      <c r="R19" s="893"/>
      <c r="S19" s="893"/>
      <c r="T19" s="916"/>
      <c r="U19" s="916"/>
      <c r="V19" s="923" t="str">
        <f>'refer admin discharge'!H20</f>
        <v>00/00/0000</v>
      </c>
      <c r="W19" s="910"/>
      <c r="X19" s="912"/>
      <c r="Y19" s="912"/>
      <c r="Z19" s="924"/>
      <c r="AA19" s="924"/>
      <c r="AB19" s="912"/>
      <c r="AC19" s="912"/>
      <c r="AD19" s="913"/>
      <c r="AE19" s="913"/>
      <c r="AF19" s="912"/>
      <c r="AG19" s="912"/>
      <c r="AH19" s="913"/>
      <c r="AI19" s="913"/>
      <c r="AJ19" s="912"/>
      <c r="AK19" s="912"/>
      <c r="AL19" s="925"/>
      <c r="AM19" s="926"/>
      <c r="AN19" s="926"/>
      <c r="AO19" s="926"/>
      <c r="AP19" s="926"/>
      <c r="AQ19" s="926"/>
      <c r="AR19" s="926"/>
      <c r="AS19" s="926"/>
      <c r="AT19" s="926"/>
      <c r="AU19" s="926"/>
      <c r="AV19" s="926"/>
      <c r="AW19" s="926"/>
      <c r="AX19" s="926"/>
      <c r="AY19" s="926"/>
      <c r="AZ19" s="926"/>
      <c r="BA19" s="926"/>
      <c r="BB19" s="927"/>
    </row>
    <row r="20" spans="1:54" x14ac:dyDescent="0.25">
      <c r="A20" s="13">
        <f t="shared" si="0"/>
        <v>7</v>
      </c>
      <c r="B20" s="888" t="str">
        <f>'refer admin discharge'!B21</f>
        <v>x</v>
      </c>
      <c r="C20" s="888"/>
      <c r="D20" s="868" t="str">
        <f>'refer admin discharge'!D21</f>
        <v>xx</v>
      </c>
      <c r="E20" s="868"/>
      <c r="F20" s="891" t="str">
        <f>'refer admin discharge'!H21</f>
        <v>00/00/0000</v>
      </c>
      <c r="G20" s="892"/>
      <c r="H20" s="894"/>
      <c r="I20" s="894"/>
      <c r="J20" s="918"/>
      <c r="K20" s="918"/>
      <c r="L20" s="894"/>
      <c r="M20" s="894"/>
      <c r="N20" s="916"/>
      <c r="O20" s="916"/>
      <c r="P20" s="894"/>
      <c r="Q20" s="894"/>
      <c r="R20" s="916"/>
      <c r="S20" s="916"/>
      <c r="T20" s="894"/>
      <c r="U20" s="894"/>
      <c r="V20" s="921" t="str">
        <f>'refer admin discharge'!H21</f>
        <v>00/00/0000</v>
      </c>
      <c r="W20" s="922"/>
      <c r="X20" s="920"/>
      <c r="Y20" s="920"/>
      <c r="Z20" s="919"/>
      <c r="AA20" s="919"/>
      <c r="AB20" s="920"/>
      <c r="AC20" s="920"/>
      <c r="AD20" s="912"/>
      <c r="AE20" s="912"/>
      <c r="AF20" s="920"/>
      <c r="AG20" s="920"/>
      <c r="AH20" s="912"/>
      <c r="AI20" s="912"/>
      <c r="AJ20" s="920"/>
      <c r="AK20" s="920"/>
      <c r="AL20" s="905"/>
      <c r="AM20" s="906"/>
      <c r="AN20" s="906"/>
      <c r="AO20" s="906"/>
      <c r="AP20" s="906"/>
      <c r="AQ20" s="906"/>
      <c r="AR20" s="906"/>
      <c r="AS20" s="906"/>
      <c r="AT20" s="906"/>
      <c r="AU20" s="906"/>
      <c r="AV20" s="906"/>
      <c r="AW20" s="906"/>
      <c r="AX20" s="906"/>
      <c r="AY20" s="906"/>
      <c r="AZ20" s="906"/>
      <c r="BA20" s="906"/>
      <c r="BB20" s="907"/>
    </row>
    <row r="21" spans="1:54" x14ac:dyDescent="0.25">
      <c r="A21" s="13">
        <f t="shared" si="0"/>
        <v>8</v>
      </c>
      <c r="B21" s="914" t="str">
        <f>'refer admin discharge'!B22</f>
        <v>x</v>
      </c>
      <c r="C21" s="914"/>
      <c r="D21" s="889" t="str">
        <f>'refer admin discharge'!D22</f>
        <v>xx</v>
      </c>
      <c r="E21" s="889"/>
      <c r="F21" s="915" t="str">
        <f>'refer admin discharge'!H22</f>
        <v>00/00/0000</v>
      </c>
      <c r="G21" s="890"/>
      <c r="H21" s="916"/>
      <c r="I21" s="916"/>
      <c r="J21" s="917"/>
      <c r="K21" s="917"/>
      <c r="L21" s="916"/>
      <c r="M21" s="916"/>
      <c r="N21" s="893"/>
      <c r="O21" s="893"/>
      <c r="P21" s="916"/>
      <c r="Q21" s="916"/>
      <c r="R21" s="893"/>
      <c r="S21" s="893"/>
      <c r="T21" s="916"/>
      <c r="U21" s="916"/>
      <c r="V21" s="923" t="str">
        <f>'refer admin discharge'!H22</f>
        <v>00/00/0000</v>
      </c>
      <c r="W21" s="910"/>
      <c r="X21" s="912"/>
      <c r="Y21" s="912"/>
      <c r="Z21" s="924"/>
      <c r="AA21" s="924"/>
      <c r="AB21" s="912"/>
      <c r="AC21" s="912"/>
      <c r="AD21" s="913"/>
      <c r="AE21" s="913"/>
      <c r="AF21" s="912"/>
      <c r="AG21" s="912"/>
      <c r="AH21" s="913"/>
      <c r="AI21" s="913"/>
      <c r="AJ21" s="912"/>
      <c r="AK21" s="912"/>
      <c r="AL21" s="925"/>
      <c r="AM21" s="926"/>
      <c r="AN21" s="926"/>
      <c r="AO21" s="926"/>
      <c r="AP21" s="926"/>
      <c r="AQ21" s="926"/>
      <c r="AR21" s="926"/>
      <c r="AS21" s="926"/>
      <c r="AT21" s="926"/>
      <c r="AU21" s="926"/>
      <c r="AV21" s="926"/>
      <c r="AW21" s="926"/>
      <c r="AX21" s="926"/>
      <c r="AY21" s="926"/>
      <c r="AZ21" s="926"/>
      <c r="BA21" s="926"/>
      <c r="BB21" s="927"/>
    </row>
    <row r="22" spans="1:54" x14ac:dyDescent="0.25">
      <c r="A22" s="13">
        <f t="shared" si="0"/>
        <v>9</v>
      </c>
      <c r="B22" s="888" t="str">
        <f>'refer admin discharge'!B23</f>
        <v>x</v>
      </c>
      <c r="C22" s="888"/>
      <c r="D22" s="868" t="str">
        <f>'refer admin discharge'!D23</f>
        <v>xx</v>
      </c>
      <c r="E22" s="868"/>
      <c r="F22" s="891" t="str">
        <f>'refer admin discharge'!H23</f>
        <v>00/00/0000</v>
      </c>
      <c r="G22" s="892"/>
      <c r="H22" s="894"/>
      <c r="I22" s="894"/>
      <c r="J22" s="918"/>
      <c r="K22" s="918"/>
      <c r="L22" s="894"/>
      <c r="M22" s="894"/>
      <c r="N22" s="916"/>
      <c r="O22" s="916"/>
      <c r="P22" s="894"/>
      <c r="Q22" s="894"/>
      <c r="R22" s="916"/>
      <c r="S22" s="916"/>
      <c r="T22" s="894"/>
      <c r="U22" s="894"/>
      <c r="V22" s="921" t="str">
        <f>'refer admin discharge'!H23</f>
        <v>00/00/0000</v>
      </c>
      <c r="W22" s="922"/>
      <c r="X22" s="920"/>
      <c r="Y22" s="920"/>
      <c r="Z22" s="919"/>
      <c r="AA22" s="919"/>
      <c r="AB22" s="920"/>
      <c r="AC22" s="920"/>
      <c r="AD22" s="912"/>
      <c r="AE22" s="912"/>
      <c r="AF22" s="920"/>
      <c r="AG22" s="920"/>
      <c r="AH22" s="912"/>
      <c r="AI22" s="912"/>
      <c r="AJ22" s="920"/>
      <c r="AK22" s="920"/>
      <c r="AL22" s="905"/>
      <c r="AM22" s="906"/>
      <c r="AN22" s="906"/>
      <c r="AO22" s="906"/>
      <c r="AP22" s="906"/>
      <c r="AQ22" s="906"/>
      <c r="AR22" s="906"/>
      <c r="AS22" s="906"/>
      <c r="AT22" s="906"/>
      <c r="AU22" s="906"/>
      <c r="AV22" s="906"/>
      <c r="AW22" s="906"/>
      <c r="AX22" s="906"/>
      <c r="AY22" s="906"/>
      <c r="AZ22" s="906"/>
      <c r="BA22" s="906"/>
      <c r="BB22" s="907"/>
    </row>
    <row r="23" spans="1:54" x14ac:dyDescent="0.25">
      <c r="A23" s="13">
        <f t="shared" si="0"/>
        <v>10</v>
      </c>
      <c r="B23" s="914" t="str">
        <f>'refer admin discharge'!B24</f>
        <v>x</v>
      </c>
      <c r="C23" s="914"/>
      <c r="D23" s="889" t="str">
        <f>'refer admin discharge'!D24</f>
        <v>xx</v>
      </c>
      <c r="E23" s="889"/>
      <c r="F23" s="915" t="str">
        <f>'refer admin discharge'!H24</f>
        <v>00/00/0000</v>
      </c>
      <c r="G23" s="890"/>
      <c r="H23" s="916"/>
      <c r="I23" s="916"/>
      <c r="J23" s="917"/>
      <c r="K23" s="917"/>
      <c r="L23" s="916"/>
      <c r="M23" s="916"/>
      <c r="N23" s="893"/>
      <c r="O23" s="893"/>
      <c r="P23" s="916"/>
      <c r="Q23" s="916"/>
      <c r="R23" s="893"/>
      <c r="S23" s="893"/>
      <c r="T23" s="916"/>
      <c r="U23" s="916"/>
      <c r="V23" s="923" t="str">
        <f>'refer admin discharge'!H24</f>
        <v>00/00/0000</v>
      </c>
      <c r="W23" s="910"/>
      <c r="X23" s="912"/>
      <c r="Y23" s="912"/>
      <c r="Z23" s="924"/>
      <c r="AA23" s="924"/>
      <c r="AB23" s="912"/>
      <c r="AC23" s="912"/>
      <c r="AD23" s="913"/>
      <c r="AE23" s="913"/>
      <c r="AF23" s="912"/>
      <c r="AG23" s="912"/>
      <c r="AH23" s="913"/>
      <c r="AI23" s="913"/>
      <c r="AJ23" s="912"/>
      <c r="AK23" s="912"/>
      <c r="AL23" s="925"/>
      <c r="AM23" s="926"/>
      <c r="AN23" s="926"/>
      <c r="AO23" s="926"/>
      <c r="AP23" s="926"/>
      <c r="AQ23" s="926"/>
      <c r="AR23" s="926"/>
      <c r="AS23" s="926"/>
      <c r="AT23" s="926"/>
      <c r="AU23" s="926"/>
      <c r="AV23" s="926"/>
      <c r="AW23" s="926"/>
      <c r="AX23" s="926"/>
      <c r="AY23" s="926"/>
      <c r="AZ23" s="926"/>
      <c r="BA23" s="926"/>
      <c r="BB23" s="927"/>
    </row>
    <row r="24" spans="1:54" x14ac:dyDescent="0.25">
      <c r="A24" s="13">
        <f t="shared" si="0"/>
        <v>11</v>
      </c>
      <c r="B24" s="888" t="str">
        <f>'refer admin discharge'!B25</f>
        <v>x</v>
      </c>
      <c r="C24" s="888"/>
      <c r="D24" s="868" t="str">
        <f>'refer admin discharge'!D25</f>
        <v>xx</v>
      </c>
      <c r="E24" s="868"/>
      <c r="F24" s="891" t="str">
        <f>'refer admin discharge'!H25</f>
        <v>00/00/0000</v>
      </c>
      <c r="G24" s="892"/>
      <c r="H24" s="894"/>
      <c r="I24" s="894"/>
      <c r="J24" s="918"/>
      <c r="K24" s="918"/>
      <c r="L24" s="894"/>
      <c r="M24" s="894"/>
      <c r="N24" s="916"/>
      <c r="O24" s="916"/>
      <c r="P24" s="894"/>
      <c r="Q24" s="894"/>
      <c r="R24" s="916"/>
      <c r="S24" s="916"/>
      <c r="T24" s="894"/>
      <c r="U24" s="894"/>
      <c r="V24" s="921" t="str">
        <f>'refer admin discharge'!H25</f>
        <v>00/00/0000</v>
      </c>
      <c r="W24" s="922"/>
      <c r="X24" s="920"/>
      <c r="Y24" s="920"/>
      <c r="Z24" s="919"/>
      <c r="AA24" s="919"/>
      <c r="AB24" s="920"/>
      <c r="AC24" s="920"/>
      <c r="AD24" s="912"/>
      <c r="AE24" s="912"/>
      <c r="AF24" s="920"/>
      <c r="AG24" s="920"/>
      <c r="AH24" s="912"/>
      <c r="AI24" s="912"/>
      <c r="AJ24" s="920"/>
      <c r="AK24" s="920"/>
      <c r="AL24" s="905"/>
      <c r="AM24" s="906"/>
      <c r="AN24" s="906"/>
      <c r="AO24" s="906"/>
      <c r="AP24" s="906"/>
      <c r="AQ24" s="906"/>
      <c r="AR24" s="906"/>
      <c r="AS24" s="906"/>
      <c r="AT24" s="906"/>
      <c r="AU24" s="906"/>
      <c r="AV24" s="906"/>
      <c r="AW24" s="906"/>
      <c r="AX24" s="906"/>
      <c r="AY24" s="906"/>
      <c r="AZ24" s="906"/>
      <c r="BA24" s="906"/>
      <c r="BB24" s="907"/>
    </row>
    <row r="25" spans="1:54" x14ac:dyDescent="0.25">
      <c r="A25" s="13">
        <f t="shared" si="0"/>
        <v>12</v>
      </c>
      <c r="B25" s="914" t="str">
        <f>'refer admin discharge'!B26</f>
        <v>x</v>
      </c>
      <c r="C25" s="914"/>
      <c r="D25" s="889" t="str">
        <f>'refer admin discharge'!D26</f>
        <v>xx</v>
      </c>
      <c r="E25" s="889"/>
      <c r="F25" s="915" t="str">
        <f>'refer admin discharge'!H26</f>
        <v>00/00/0000</v>
      </c>
      <c r="G25" s="890"/>
      <c r="H25" s="916"/>
      <c r="I25" s="916"/>
      <c r="J25" s="917"/>
      <c r="K25" s="917"/>
      <c r="L25" s="916"/>
      <c r="M25" s="916"/>
      <c r="N25" s="893"/>
      <c r="O25" s="893"/>
      <c r="P25" s="916"/>
      <c r="Q25" s="916"/>
      <c r="R25" s="893"/>
      <c r="S25" s="893"/>
      <c r="T25" s="916"/>
      <c r="U25" s="916"/>
      <c r="V25" s="923" t="str">
        <f>'refer admin discharge'!H26</f>
        <v>00/00/0000</v>
      </c>
      <c r="W25" s="910"/>
      <c r="X25" s="912"/>
      <c r="Y25" s="912"/>
      <c r="Z25" s="924"/>
      <c r="AA25" s="924"/>
      <c r="AB25" s="912"/>
      <c r="AC25" s="912"/>
      <c r="AD25" s="913"/>
      <c r="AE25" s="913"/>
      <c r="AF25" s="912"/>
      <c r="AG25" s="912"/>
      <c r="AH25" s="913"/>
      <c r="AI25" s="913"/>
      <c r="AJ25" s="912"/>
      <c r="AK25" s="912"/>
      <c r="AL25" s="925"/>
      <c r="AM25" s="926"/>
      <c r="AN25" s="926"/>
      <c r="AO25" s="926"/>
      <c r="AP25" s="926"/>
      <c r="AQ25" s="926"/>
      <c r="AR25" s="926"/>
      <c r="AS25" s="926"/>
      <c r="AT25" s="926"/>
      <c r="AU25" s="926"/>
      <c r="AV25" s="926"/>
      <c r="AW25" s="926"/>
      <c r="AX25" s="926"/>
      <c r="AY25" s="926"/>
      <c r="AZ25" s="926"/>
      <c r="BA25" s="926"/>
      <c r="BB25" s="927"/>
    </row>
    <row r="26" spans="1:54" x14ac:dyDescent="0.25">
      <c r="A26" s="13">
        <f t="shared" si="0"/>
        <v>13</v>
      </c>
      <c r="B26" s="888" t="str">
        <f>'refer admin discharge'!B27</f>
        <v>x</v>
      </c>
      <c r="C26" s="888"/>
      <c r="D26" s="868" t="str">
        <f>'refer admin discharge'!D27</f>
        <v>xx</v>
      </c>
      <c r="E26" s="868"/>
      <c r="F26" s="891" t="str">
        <f>'refer admin discharge'!H27</f>
        <v>00/00/0000</v>
      </c>
      <c r="G26" s="892"/>
      <c r="H26" s="894"/>
      <c r="I26" s="894"/>
      <c r="J26" s="918"/>
      <c r="K26" s="918"/>
      <c r="L26" s="894"/>
      <c r="M26" s="894"/>
      <c r="N26" s="916"/>
      <c r="O26" s="916"/>
      <c r="P26" s="894"/>
      <c r="Q26" s="894"/>
      <c r="R26" s="916"/>
      <c r="S26" s="916"/>
      <c r="T26" s="894"/>
      <c r="U26" s="894"/>
      <c r="V26" s="921" t="str">
        <f>'refer admin discharge'!H27</f>
        <v>00/00/0000</v>
      </c>
      <c r="W26" s="922"/>
      <c r="X26" s="920"/>
      <c r="Y26" s="920"/>
      <c r="Z26" s="919"/>
      <c r="AA26" s="919"/>
      <c r="AB26" s="920"/>
      <c r="AC26" s="920"/>
      <c r="AD26" s="912"/>
      <c r="AE26" s="912"/>
      <c r="AF26" s="920"/>
      <c r="AG26" s="920"/>
      <c r="AH26" s="912"/>
      <c r="AI26" s="912"/>
      <c r="AJ26" s="920"/>
      <c r="AK26" s="920"/>
      <c r="AL26" s="905"/>
      <c r="AM26" s="906"/>
      <c r="AN26" s="906"/>
      <c r="AO26" s="906"/>
      <c r="AP26" s="906"/>
      <c r="AQ26" s="906"/>
      <c r="AR26" s="906"/>
      <c r="AS26" s="906"/>
      <c r="AT26" s="906"/>
      <c r="AU26" s="906"/>
      <c r="AV26" s="906"/>
      <c r="AW26" s="906"/>
      <c r="AX26" s="906"/>
      <c r="AY26" s="906"/>
      <c r="AZ26" s="906"/>
      <c r="BA26" s="906"/>
      <c r="BB26" s="907"/>
    </row>
    <row r="27" spans="1:54" x14ac:dyDescent="0.25">
      <c r="A27" s="13">
        <f t="shared" si="0"/>
        <v>14</v>
      </c>
      <c r="B27" s="914" t="str">
        <f>'refer admin discharge'!B28</f>
        <v>x</v>
      </c>
      <c r="C27" s="914"/>
      <c r="D27" s="889" t="str">
        <f>'refer admin discharge'!D28</f>
        <v>xx</v>
      </c>
      <c r="E27" s="889"/>
      <c r="F27" s="915" t="str">
        <f>'refer admin discharge'!H28</f>
        <v>00/00/0000</v>
      </c>
      <c r="G27" s="890"/>
      <c r="H27" s="916"/>
      <c r="I27" s="916"/>
      <c r="J27" s="917"/>
      <c r="K27" s="917"/>
      <c r="L27" s="916"/>
      <c r="M27" s="916"/>
      <c r="N27" s="893"/>
      <c r="O27" s="893"/>
      <c r="P27" s="916"/>
      <c r="Q27" s="916"/>
      <c r="R27" s="893"/>
      <c r="S27" s="893"/>
      <c r="T27" s="916"/>
      <c r="U27" s="916"/>
      <c r="V27" s="923" t="str">
        <f>'refer admin discharge'!H28</f>
        <v>00/00/0000</v>
      </c>
      <c r="W27" s="910"/>
      <c r="X27" s="912"/>
      <c r="Y27" s="912"/>
      <c r="Z27" s="924"/>
      <c r="AA27" s="924"/>
      <c r="AB27" s="912"/>
      <c r="AC27" s="912"/>
      <c r="AD27" s="913"/>
      <c r="AE27" s="913"/>
      <c r="AF27" s="912"/>
      <c r="AG27" s="912"/>
      <c r="AH27" s="913"/>
      <c r="AI27" s="913"/>
      <c r="AJ27" s="912"/>
      <c r="AK27" s="912"/>
      <c r="AL27" s="925"/>
      <c r="AM27" s="926"/>
      <c r="AN27" s="926"/>
      <c r="AO27" s="926"/>
      <c r="AP27" s="926"/>
      <c r="AQ27" s="926"/>
      <c r="AR27" s="926"/>
      <c r="AS27" s="926"/>
      <c r="AT27" s="926"/>
      <c r="AU27" s="926"/>
      <c r="AV27" s="926"/>
      <c r="AW27" s="926"/>
      <c r="AX27" s="926"/>
      <c r="AY27" s="926"/>
      <c r="AZ27" s="926"/>
      <c r="BA27" s="926"/>
      <c r="BB27" s="927"/>
    </row>
    <row r="28" spans="1:54" x14ac:dyDescent="0.25">
      <c r="A28" s="13">
        <f t="shared" si="0"/>
        <v>15</v>
      </c>
      <c r="B28" s="888" t="str">
        <f>'refer admin discharge'!B29</f>
        <v>x</v>
      </c>
      <c r="C28" s="888"/>
      <c r="D28" s="868" t="str">
        <f>'refer admin discharge'!D29</f>
        <v>xx</v>
      </c>
      <c r="E28" s="868"/>
      <c r="F28" s="891" t="str">
        <f>'refer admin discharge'!H29</f>
        <v>00/00/0000</v>
      </c>
      <c r="G28" s="892"/>
      <c r="H28" s="894"/>
      <c r="I28" s="894"/>
      <c r="J28" s="918"/>
      <c r="K28" s="918"/>
      <c r="L28" s="894"/>
      <c r="M28" s="894"/>
      <c r="N28" s="916"/>
      <c r="O28" s="916"/>
      <c r="P28" s="894"/>
      <c r="Q28" s="894"/>
      <c r="R28" s="916"/>
      <c r="S28" s="916"/>
      <c r="T28" s="894"/>
      <c r="U28" s="894"/>
      <c r="V28" s="921" t="str">
        <f>'refer admin discharge'!H29</f>
        <v>00/00/0000</v>
      </c>
      <c r="W28" s="922"/>
      <c r="X28" s="920"/>
      <c r="Y28" s="920"/>
      <c r="Z28" s="919"/>
      <c r="AA28" s="919"/>
      <c r="AB28" s="920"/>
      <c r="AC28" s="920"/>
      <c r="AD28" s="912"/>
      <c r="AE28" s="912"/>
      <c r="AF28" s="920"/>
      <c r="AG28" s="920"/>
      <c r="AH28" s="912"/>
      <c r="AI28" s="912"/>
      <c r="AJ28" s="920"/>
      <c r="AK28" s="920"/>
      <c r="AL28" s="905"/>
      <c r="AM28" s="906"/>
      <c r="AN28" s="906"/>
      <c r="AO28" s="906"/>
      <c r="AP28" s="906"/>
      <c r="AQ28" s="906"/>
      <c r="AR28" s="906"/>
      <c r="AS28" s="906"/>
      <c r="AT28" s="906"/>
      <c r="AU28" s="906"/>
      <c r="AV28" s="906"/>
      <c r="AW28" s="906"/>
      <c r="AX28" s="906"/>
      <c r="AY28" s="906"/>
      <c r="AZ28" s="906"/>
      <c r="BA28" s="906"/>
      <c r="BB28" s="907"/>
    </row>
    <row r="29" spans="1:54" x14ac:dyDescent="0.25">
      <c r="A29" s="13">
        <f t="shared" si="0"/>
        <v>16</v>
      </c>
      <c r="B29" s="914" t="str">
        <f>'refer admin discharge'!B30</f>
        <v>x</v>
      </c>
      <c r="C29" s="914"/>
      <c r="D29" s="889" t="str">
        <f>'refer admin discharge'!D30</f>
        <v>xx</v>
      </c>
      <c r="E29" s="889"/>
      <c r="F29" s="915" t="str">
        <f>'refer admin discharge'!H30</f>
        <v>00/00/0000</v>
      </c>
      <c r="G29" s="890"/>
      <c r="H29" s="916"/>
      <c r="I29" s="916"/>
      <c r="J29" s="917"/>
      <c r="K29" s="917"/>
      <c r="L29" s="916"/>
      <c r="M29" s="916"/>
      <c r="N29" s="893"/>
      <c r="O29" s="893"/>
      <c r="P29" s="916"/>
      <c r="Q29" s="916"/>
      <c r="R29" s="893"/>
      <c r="S29" s="893"/>
      <c r="T29" s="916"/>
      <c r="U29" s="916"/>
      <c r="V29" s="923" t="str">
        <f>'refer admin discharge'!H30</f>
        <v>00/00/0000</v>
      </c>
      <c r="W29" s="910"/>
      <c r="X29" s="912"/>
      <c r="Y29" s="912"/>
      <c r="Z29" s="924"/>
      <c r="AA29" s="924"/>
      <c r="AB29" s="912"/>
      <c r="AC29" s="912"/>
      <c r="AD29" s="913"/>
      <c r="AE29" s="913"/>
      <c r="AF29" s="912"/>
      <c r="AG29" s="912"/>
      <c r="AH29" s="913"/>
      <c r="AI29" s="913"/>
      <c r="AJ29" s="912"/>
      <c r="AK29" s="912"/>
      <c r="AL29" s="925"/>
      <c r="AM29" s="926"/>
      <c r="AN29" s="926"/>
      <c r="AO29" s="926"/>
      <c r="AP29" s="926"/>
      <c r="AQ29" s="926"/>
      <c r="AR29" s="926"/>
      <c r="AS29" s="926"/>
      <c r="AT29" s="926"/>
      <c r="AU29" s="926"/>
      <c r="AV29" s="926"/>
      <c r="AW29" s="926"/>
      <c r="AX29" s="926"/>
      <c r="AY29" s="926"/>
      <c r="AZ29" s="926"/>
      <c r="BA29" s="926"/>
      <c r="BB29" s="927"/>
    </row>
    <row r="30" spans="1:54" x14ac:dyDescent="0.25">
      <c r="A30" s="13">
        <f t="shared" si="0"/>
        <v>17</v>
      </c>
      <c r="B30" s="888" t="str">
        <f>'refer admin discharge'!B31</f>
        <v>x</v>
      </c>
      <c r="C30" s="888"/>
      <c r="D30" s="868" t="str">
        <f>'refer admin discharge'!D31</f>
        <v>xx</v>
      </c>
      <c r="E30" s="868"/>
      <c r="F30" s="891" t="str">
        <f>'refer admin discharge'!H31</f>
        <v>00/00/0000</v>
      </c>
      <c r="G30" s="892"/>
      <c r="H30" s="894"/>
      <c r="I30" s="894"/>
      <c r="J30" s="918"/>
      <c r="K30" s="918"/>
      <c r="L30" s="894"/>
      <c r="M30" s="894"/>
      <c r="N30" s="916"/>
      <c r="O30" s="916"/>
      <c r="P30" s="894"/>
      <c r="Q30" s="894"/>
      <c r="R30" s="916"/>
      <c r="S30" s="916"/>
      <c r="T30" s="894"/>
      <c r="U30" s="894"/>
      <c r="V30" s="921" t="str">
        <f>'refer admin discharge'!H31</f>
        <v>00/00/0000</v>
      </c>
      <c r="W30" s="922"/>
      <c r="X30" s="920"/>
      <c r="Y30" s="920"/>
      <c r="Z30" s="919"/>
      <c r="AA30" s="919"/>
      <c r="AB30" s="920"/>
      <c r="AC30" s="920"/>
      <c r="AD30" s="912"/>
      <c r="AE30" s="912"/>
      <c r="AF30" s="920"/>
      <c r="AG30" s="920"/>
      <c r="AH30" s="912"/>
      <c r="AI30" s="912"/>
      <c r="AJ30" s="920"/>
      <c r="AK30" s="920"/>
      <c r="AL30" s="905"/>
      <c r="AM30" s="906"/>
      <c r="AN30" s="906"/>
      <c r="AO30" s="906"/>
      <c r="AP30" s="906"/>
      <c r="AQ30" s="906"/>
      <c r="AR30" s="906"/>
      <c r="AS30" s="906"/>
      <c r="AT30" s="906"/>
      <c r="AU30" s="906"/>
      <c r="AV30" s="906"/>
      <c r="AW30" s="906"/>
      <c r="AX30" s="906"/>
      <c r="AY30" s="906"/>
      <c r="AZ30" s="906"/>
      <c r="BA30" s="906"/>
      <c r="BB30" s="907"/>
    </row>
    <row r="31" spans="1:54" x14ac:dyDescent="0.25">
      <c r="A31" s="13">
        <f t="shared" si="0"/>
        <v>18</v>
      </c>
      <c r="B31" s="914" t="str">
        <f>'refer admin discharge'!B32</f>
        <v>x</v>
      </c>
      <c r="C31" s="914"/>
      <c r="D31" s="889" t="str">
        <f>'refer admin discharge'!D32</f>
        <v>xx</v>
      </c>
      <c r="E31" s="889"/>
      <c r="F31" s="915" t="str">
        <f>'refer admin discharge'!H32</f>
        <v>00/00/0000</v>
      </c>
      <c r="G31" s="890"/>
      <c r="H31" s="916"/>
      <c r="I31" s="916"/>
      <c r="J31" s="917"/>
      <c r="K31" s="917"/>
      <c r="L31" s="916"/>
      <c r="M31" s="916"/>
      <c r="N31" s="893"/>
      <c r="O31" s="893"/>
      <c r="P31" s="916"/>
      <c r="Q31" s="916"/>
      <c r="R31" s="893"/>
      <c r="S31" s="893"/>
      <c r="T31" s="916"/>
      <c r="U31" s="916"/>
      <c r="V31" s="923" t="str">
        <f>'refer admin discharge'!H32</f>
        <v>00/00/0000</v>
      </c>
      <c r="W31" s="910"/>
      <c r="X31" s="912"/>
      <c r="Y31" s="912"/>
      <c r="Z31" s="924"/>
      <c r="AA31" s="924"/>
      <c r="AB31" s="912"/>
      <c r="AC31" s="912"/>
      <c r="AD31" s="913"/>
      <c r="AE31" s="913"/>
      <c r="AF31" s="912"/>
      <c r="AG31" s="912"/>
      <c r="AH31" s="913"/>
      <c r="AI31" s="913"/>
      <c r="AJ31" s="912"/>
      <c r="AK31" s="912"/>
      <c r="AL31" s="925"/>
      <c r="AM31" s="926"/>
      <c r="AN31" s="926"/>
      <c r="AO31" s="926"/>
      <c r="AP31" s="926"/>
      <c r="AQ31" s="926"/>
      <c r="AR31" s="926"/>
      <c r="AS31" s="926"/>
      <c r="AT31" s="926"/>
      <c r="AU31" s="926"/>
      <c r="AV31" s="926"/>
      <c r="AW31" s="926"/>
      <c r="AX31" s="926"/>
      <c r="AY31" s="926"/>
      <c r="AZ31" s="926"/>
      <c r="BA31" s="926"/>
      <c r="BB31" s="927"/>
    </row>
    <row r="32" spans="1:54" x14ac:dyDescent="0.25">
      <c r="A32" s="13">
        <f t="shared" si="0"/>
        <v>19</v>
      </c>
      <c r="B32" s="888" t="str">
        <f>'refer admin discharge'!B33</f>
        <v>x</v>
      </c>
      <c r="C32" s="888"/>
      <c r="D32" s="868" t="str">
        <f>'refer admin discharge'!D33</f>
        <v>xx</v>
      </c>
      <c r="E32" s="868"/>
      <c r="F32" s="891" t="str">
        <f>'refer admin discharge'!H33</f>
        <v>00/00/0000</v>
      </c>
      <c r="G32" s="892"/>
      <c r="H32" s="894"/>
      <c r="I32" s="894"/>
      <c r="J32" s="918"/>
      <c r="K32" s="918"/>
      <c r="L32" s="894"/>
      <c r="M32" s="894"/>
      <c r="N32" s="916"/>
      <c r="O32" s="916"/>
      <c r="P32" s="894"/>
      <c r="Q32" s="894"/>
      <c r="R32" s="916"/>
      <c r="S32" s="916"/>
      <c r="T32" s="894"/>
      <c r="U32" s="894"/>
      <c r="V32" s="921" t="str">
        <f>'refer admin discharge'!H33</f>
        <v>00/00/0000</v>
      </c>
      <c r="W32" s="922"/>
      <c r="X32" s="920"/>
      <c r="Y32" s="920"/>
      <c r="Z32" s="919"/>
      <c r="AA32" s="919"/>
      <c r="AB32" s="920"/>
      <c r="AC32" s="920"/>
      <c r="AD32" s="912"/>
      <c r="AE32" s="912"/>
      <c r="AF32" s="920"/>
      <c r="AG32" s="920"/>
      <c r="AH32" s="912"/>
      <c r="AI32" s="912"/>
      <c r="AJ32" s="920"/>
      <c r="AK32" s="920"/>
      <c r="AL32" s="905"/>
      <c r="AM32" s="906"/>
      <c r="AN32" s="906"/>
      <c r="AO32" s="906"/>
      <c r="AP32" s="906"/>
      <c r="AQ32" s="906"/>
      <c r="AR32" s="906"/>
      <c r="AS32" s="906"/>
      <c r="AT32" s="906"/>
      <c r="AU32" s="906"/>
      <c r="AV32" s="906"/>
      <c r="AW32" s="906"/>
      <c r="AX32" s="906"/>
      <c r="AY32" s="906"/>
      <c r="AZ32" s="906"/>
      <c r="BA32" s="906"/>
      <c r="BB32" s="907"/>
    </row>
    <row r="33" spans="1:54" x14ac:dyDescent="0.25">
      <c r="A33" s="13">
        <f t="shared" si="0"/>
        <v>20</v>
      </c>
      <c r="B33" s="914" t="str">
        <f>'refer admin discharge'!B34</f>
        <v>x</v>
      </c>
      <c r="C33" s="914"/>
      <c r="D33" s="889" t="str">
        <f>'refer admin discharge'!D34</f>
        <v>xx</v>
      </c>
      <c r="E33" s="889"/>
      <c r="F33" s="915" t="str">
        <f>'refer admin discharge'!H34</f>
        <v>00/00/0000</v>
      </c>
      <c r="G33" s="890"/>
      <c r="H33" s="916"/>
      <c r="I33" s="916"/>
      <c r="J33" s="917"/>
      <c r="K33" s="917"/>
      <c r="L33" s="916"/>
      <c r="M33" s="916"/>
      <c r="N33" s="893"/>
      <c r="O33" s="893"/>
      <c r="P33" s="916"/>
      <c r="Q33" s="916"/>
      <c r="R33" s="893"/>
      <c r="S33" s="893"/>
      <c r="T33" s="916"/>
      <c r="U33" s="916"/>
      <c r="V33" s="923" t="str">
        <f>'refer admin discharge'!H34</f>
        <v>00/00/0000</v>
      </c>
      <c r="W33" s="910"/>
      <c r="X33" s="912"/>
      <c r="Y33" s="912"/>
      <c r="Z33" s="924"/>
      <c r="AA33" s="924"/>
      <c r="AB33" s="912"/>
      <c r="AC33" s="912"/>
      <c r="AD33" s="913"/>
      <c r="AE33" s="913"/>
      <c r="AF33" s="912"/>
      <c r="AG33" s="912"/>
      <c r="AH33" s="913"/>
      <c r="AI33" s="913"/>
      <c r="AJ33" s="912"/>
      <c r="AK33" s="912"/>
      <c r="AL33" s="925"/>
      <c r="AM33" s="926"/>
      <c r="AN33" s="926"/>
      <c r="AO33" s="926"/>
      <c r="AP33" s="926"/>
      <c r="AQ33" s="926"/>
      <c r="AR33" s="926"/>
      <c r="AS33" s="926"/>
      <c r="AT33" s="926"/>
      <c r="AU33" s="926"/>
      <c r="AV33" s="926"/>
      <c r="AW33" s="926"/>
      <c r="AX33" s="926"/>
      <c r="AY33" s="926"/>
      <c r="AZ33" s="926"/>
      <c r="BA33" s="926"/>
      <c r="BB33" s="927"/>
    </row>
    <row r="34" spans="1:54" x14ac:dyDescent="0.25">
      <c r="A34" s="13">
        <f t="shared" si="0"/>
        <v>21</v>
      </c>
      <c r="B34" s="888" t="str">
        <f>'refer admin discharge'!B35</f>
        <v>x</v>
      </c>
      <c r="C34" s="888"/>
      <c r="D34" s="868" t="str">
        <f>'refer admin discharge'!D35</f>
        <v>xx</v>
      </c>
      <c r="E34" s="868"/>
      <c r="F34" s="891" t="str">
        <f>'refer admin discharge'!H35</f>
        <v>00/00/0000</v>
      </c>
      <c r="G34" s="892"/>
      <c r="H34" s="894"/>
      <c r="I34" s="894"/>
      <c r="J34" s="918"/>
      <c r="K34" s="918"/>
      <c r="L34" s="894"/>
      <c r="M34" s="894"/>
      <c r="N34" s="916"/>
      <c r="O34" s="916"/>
      <c r="P34" s="894"/>
      <c r="Q34" s="894"/>
      <c r="R34" s="916"/>
      <c r="S34" s="916"/>
      <c r="T34" s="894"/>
      <c r="U34" s="894"/>
      <c r="V34" s="921" t="str">
        <f>'refer admin discharge'!H35</f>
        <v>00/00/0000</v>
      </c>
      <c r="W34" s="922"/>
      <c r="X34" s="920"/>
      <c r="Y34" s="920"/>
      <c r="Z34" s="919"/>
      <c r="AA34" s="919"/>
      <c r="AB34" s="920"/>
      <c r="AC34" s="920"/>
      <c r="AD34" s="912"/>
      <c r="AE34" s="912"/>
      <c r="AF34" s="920"/>
      <c r="AG34" s="920"/>
      <c r="AH34" s="912"/>
      <c r="AI34" s="912"/>
      <c r="AJ34" s="920"/>
      <c r="AK34" s="920"/>
      <c r="AL34" s="905"/>
      <c r="AM34" s="906"/>
      <c r="AN34" s="906"/>
      <c r="AO34" s="906"/>
      <c r="AP34" s="906"/>
      <c r="AQ34" s="906"/>
      <c r="AR34" s="906"/>
      <c r="AS34" s="906"/>
      <c r="AT34" s="906"/>
      <c r="AU34" s="906"/>
      <c r="AV34" s="906"/>
      <c r="AW34" s="906"/>
      <c r="AX34" s="906"/>
      <c r="AY34" s="906"/>
      <c r="AZ34" s="906"/>
      <c r="BA34" s="906"/>
      <c r="BB34" s="907"/>
    </row>
    <row r="35" spans="1:54" x14ac:dyDescent="0.25">
      <c r="A35" s="13">
        <f t="shared" si="0"/>
        <v>22</v>
      </c>
      <c r="B35" s="914" t="str">
        <f>'refer admin discharge'!B36</f>
        <v>x</v>
      </c>
      <c r="C35" s="914"/>
      <c r="D35" s="889" t="str">
        <f>'refer admin discharge'!D36</f>
        <v>xx</v>
      </c>
      <c r="E35" s="889"/>
      <c r="F35" s="915" t="str">
        <f>'refer admin discharge'!H36</f>
        <v>00/00/0000</v>
      </c>
      <c r="G35" s="890"/>
      <c r="H35" s="916"/>
      <c r="I35" s="916"/>
      <c r="J35" s="917"/>
      <c r="K35" s="917"/>
      <c r="L35" s="916"/>
      <c r="M35" s="916"/>
      <c r="N35" s="893"/>
      <c r="O35" s="893"/>
      <c r="P35" s="916"/>
      <c r="Q35" s="916"/>
      <c r="R35" s="893"/>
      <c r="S35" s="893"/>
      <c r="T35" s="916"/>
      <c r="U35" s="916"/>
      <c r="V35" s="923" t="str">
        <f>'refer admin discharge'!H36</f>
        <v>00/00/0000</v>
      </c>
      <c r="W35" s="910"/>
      <c r="X35" s="912"/>
      <c r="Y35" s="912"/>
      <c r="Z35" s="924"/>
      <c r="AA35" s="924"/>
      <c r="AB35" s="912"/>
      <c r="AC35" s="912"/>
      <c r="AD35" s="913"/>
      <c r="AE35" s="913"/>
      <c r="AF35" s="912"/>
      <c r="AG35" s="912"/>
      <c r="AH35" s="913"/>
      <c r="AI35" s="913"/>
      <c r="AJ35" s="912"/>
      <c r="AK35" s="912"/>
      <c r="AL35" s="925"/>
      <c r="AM35" s="926"/>
      <c r="AN35" s="926"/>
      <c r="AO35" s="926"/>
      <c r="AP35" s="926"/>
      <c r="AQ35" s="926"/>
      <c r="AR35" s="926"/>
      <c r="AS35" s="926"/>
      <c r="AT35" s="926"/>
      <c r="AU35" s="926"/>
      <c r="AV35" s="926"/>
      <c r="AW35" s="926"/>
      <c r="AX35" s="926"/>
      <c r="AY35" s="926"/>
      <c r="AZ35" s="926"/>
      <c r="BA35" s="926"/>
      <c r="BB35" s="927"/>
    </row>
    <row r="36" spans="1:54" x14ac:dyDescent="0.25">
      <c r="A36" s="13">
        <f t="shared" si="0"/>
        <v>23</v>
      </c>
      <c r="B36" s="888" t="str">
        <f>'refer admin discharge'!B37</f>
        <v>x</v>
      </c>
      <c r="C36" s="888"/>
      <c r="D36" s="868" t="str">
        <f>'refer admin discharge'!D37</f>
        <v>xx</v>
      </c>
      <c r="E36" s="868"/>
      <c r="F36" s="891" t="str">
        <f>'refer admin discharge'!H37</f>
        <v>00/00/0000</v>
      </c>
      <c r="G36" s="892"/>
      <c r="H36" s="894"/>
      <c r="I36" s="894"/>
      <c r="J36" s="918"/>
      <c r="K36" s="918"/>
      <c r="L36" s="894"/>
      <c r="M36" s="894"/>
      <c r="N36" s="916"/>
      <c r="O36" s="916"/>
      <c r="P36" s="894"/>
      <c r="Q36" s="894"/>
      <c r="R36" s="916"/>
      <c r="S36" s="916"/>
      <c r="T36" s="894"/>
      <c r="U36" s="894"/>
      <c r="V36" s="921" t="str">
        <f>'refer admin discharge'!H37</f>
        <v>00/00/0000</v>
      </c>
      <c r="W36" s="922"/>
      <c r="X36" s="920"/>
      <c r="Y36" s="920"/>
      <c r="Z36" s="919"/>
      <c r="AA36" s="919"/>
      <c r="AB36" s="920"/>
      <c r="AC36" s="920"/>
      <c r="AD36" s="912"/>
      <c r="AE36" s="912"/>
      <c r="AF36" s="920"/>
      <c r="AG36" s="920"/>
      <c r="AH36" s="912"/>
      <c r="AI36" s="912"/>
      <c r="AJ36" s="920"/>
      <c r="AK36" s="920"/>
      <c r="AL36" s="905"/>
      <c r="AM36" s="906"/>
      <c r="AN36" s="906"/>
      <c r="AO36" s="906"/>
      <c r="AP36" s="906"/>
      <c r="AQ36" s="906"/>
      <c r="AR36" s="906"/>
      <c r="AS36" s="906"/>
      <c r="AT36" s="906"/>
      <c r="AU36" s="906"/>
      <c r="AV36" s="906"/>
      <c r="AW36" s="906"/>
      <c r="AX36" s="906"/>
      <c r="AY36" s="906"/>
      <c r="AZ36" s="906"/>
      <c r="BA36" s="906"/>
      <c r="BB36" s="907"/>
    </row>
    <row r="37" spans="1:54" x14ac:dyDescent="0.25">
      <c r="A37" s="13">
        <f t="shared" si="0"/>
        <v>24</v>
      </c>
      <c r="B37" s="914" t="str">
        <f>'refer admin discharge'!B38</f>
        <v>x</v>
      </c>
      <c r="C37" s="914"/>
      <c r="D37" s="889" t="str">
        <f>'refer admin discharge'!D38</f>
        <v>xx</v>
      </c>
      <c r="E37" s="889"/>
      <c r="F37" s="915" t="str">
        <f>'refer admin discharge'!H38</f>
        <v>00/00/0000</v>
      </c>
      <c r="G37" s="890"/>
      <c r="H37" s="916"/>
      <c r="I37" s="916"/>
      <c r="J37" s="917"/>
      <c r="K37" s="917"/>
      <c r="L37" s="916"/>
      <c r="M37" s="916"/>
      <c r="N37" s="893"/>
      <c r="O37" s="893"/>
      <c r="P37" s="916"/>
      <c r="Q37" s="916"/>
      <c r="R37" s="893"/>
      <c r="S37" s="893"/>
      <c r="T37" s="916"/>
      <c r="U37" s="916"/>
      <c r="V37" s="923" t="str">
        <f>'refer admin discharge'!H38</f>
        <v>00/00/0000</v>
      </c>
      <c r="W37" s="910"/>
      <c r="X37" s="912"/>
      <c r="Y37" s="912"/>
      <c r="Z37" s="924"/>
      <c r="AA37" s="924"/>
      <c r="AB37" s="912"/>
      <c r="AC37" s="912"/>
      <c r="AD37" s="913"/>
      <c r="AE37" s="913"/>
      <c r="AF37" s="912"/>
      <c r="AG37" s="912"/>
      <c r="AH37" s="913"/>
      <c r="AI37" s="913"/>
      <c r="AJ37" s="912"/>
      <c r="AK37" s="912"/>
      <c r="AL37" s="925"/>
      <c r="AM37" s="926"/>
      <c r="AN37" s="926"/>
      <c r="AO37" s="926"/>
      <c r="AP37" s="926"/>
      <c r="AQ37" s="926"/>
      <c r="AR37" s="926"/>
      <c r="AS37" s="926"/>
      <c r="AT37" s="926"/>
      <c r="AU37" s="926"/>
      <c r="AV37" s="926"/>
      <c r="AW37" s="926"/>
      <c r="AX37" s="926"/>
      <c r="AY37" s="926"/>
      <c r="AZ37" s="926"/>
      <c r="BA37" s="926"/>
      <c r="BB37" s="927"/>
    </row>
    <row r="38" spans="1:54" x14ac:dyDescent="0.25">
      <c r="A38" s="13">
        <f t="shared" si="0"/>
        <v>25</v>
      </c>
      <c r="B38" s="888" t="str">
        <f>'refer admin discharge'!B39</f>
        <v>x</v>
      </c>
      <c r="C38" s="888"/>
      <c r="D38" s="868" t="str">
        <f>'refer admin discharge'!D39</f>
        <v>xx</v>
      </c>
      <c r="E38" s="868"/>
      <c r="F38" s="891" t="str">
        <f>'refer admin discharge'!H39</f>
        <v>00/00/0000</v>
      </c>
      <c r="G38" s="892"/>
      <c r="H38" s="894"/>
      <c r="I38" s="894"/>
      <c r="J38" s="918"/>
      <c r="K38" s="918"/>
      <c r="L38" s="894"/>
      <c r="M38" s="894"/>
      <c r="N38" s="916"/>
      <c r="O38" s="916"/>
      <c r="P38" s="894"/>
      <c r="Q38" s="894"/>
      <c r="R38" s="916"/>
      <c r="S38" s="916"/>
      <c r="T38" s="894"/>
      <c r="U38" s="894"/>
      <c r="V38" s="921" t="str">
        <f>'refer admin discharge'!H39</f>
        <v>00/00/0000</v>
      </c>
      <c r="W38" s="922"/>
      <c r="X38" s="920"/>
      <c r="Y38" s="920"/>
      <c r="Z38" s="919"/>
      <c r="AA38" s="919"/>
      <c r="AB38" s="920"/>
      <c r="AC38" s="920"/>
      <c r="AD38" s="912"/>
      <c r="AE38" s="912"/>
      <c r="AF38" s="920"/>
      <c r="AG38" s="920"/>
      <c r="AH38" s="912"/>
      <c r="AI38" s="912"/>
      <c r="AJ38" s="920"/>
      <c r="AK38" s="920"/>
      <c r="AL38" s="905"/>
      <c r="AM38" s="906"/>
      <c r="AN38" s="906"/>
      <c r="AO38" s="906"/>
      <c r="AP38" s="906"/>
      <c r="AQ38" s="906"/>
      <c r="AR38" s="906"/>
      <c r="AS38" s="906"/>
      <c r="AT38" s="906"/>
      <c r="AU38" s="906"/>
      <c r="AV38" s="906"/>
      <c r="AW38" s="906"/>
      <c r="AX38" s="906"/>
      <c r="AY38" s="906"/>
      <c r="AZ38" s="906"/>
      <c r="BA38" s="906"/>
      <c r="BB38" s="907"/>
    </row>
    <row r="39" spans="1:54" x14ac:dyDescent="0.25">
      <c r="A39" s="13">
        <f t="shared" si="0"/>
        <v>26</v>
      </c>
      <c r="B39" s="914" t="str">
        <f>'refer admin discharge'!B40</f>
        <v>x</v>
      </c>
      <c r="C39" s="914"/>
      <c r="D39" s="889" t="str">
        <f>'refer admin discharge'!D40</f>
        <v>xx</v>
      </c>
      <c r="E39" s="889"/>
      <c r="F39" s="915" t="str">
        <f>'refer admin discharge'!H40</f>
        <v>00/00/0000</v>
      </c>
      <c r="G39" s="890"/>
      <c r="H39" s="916"/>
      <c r="I39" s="916"/>
      <c r="J39" s="917"/>
      <c r="K39" s="917"/>
      <c r="L39" s="916"/>
      <c r="M39" s="916"/>
      <c r="N39" s="893"/>
      <c r="O39" s="893"/>
      <c r="P39" s="916"/>
      <c r="Q39" s="916"/>
      <c r="R39" s="893"/>
      <c r="S39" s="893"/>
      <c r="T39" s="916"/>
      <c r="U39" s="916"/>
      <c r="V39" s="923" t="str">
        <f>'refer admin discharge'!H40</f>
        <v>00/00/0000</v>
      </c>
      <c r="W39" s="910"/>
      <c r="X39" s="912"/>
      <c r="Y39" s="912"/>
      <c r="Z39" s="924"/>
      <c r="AA39" s="924"/>
      <c r="AB39" s="912"/>
      <c r="AC39" s="912"/>
      <c r="AD39" s="913"/>
      <c r="AE39" s="913"/>
      <c r="AF39" s="912"/>
      <c r="AG39" s="912"/>
      <c r="AH39" s="913"/>
      <c r="AI39" s="913"/>
      <c r="AJ39" s="912"/>
      <c r="AK39" s="912"/>
      <c r="AL39" s="925"/>
      <c r="AM39" s="926"/>
      <c r="AN39" s="926"/>
      <c r="AO39" s="926"/>
      <c r="AP39" s="926"/>
      <c r="AQ39" s="926"/>
      <c r="AR39" s="926"/>
      <c r="AS39" s="926"/>
      <c r="AT39" s="926"/>
      <c r="AU39" s="926"/>
      <c r="AV39" s="926"/>
      <c r="AW39" s="926"/>
      <c r="AX39" s="926"/>
      <c r="AY39" s="926"/>
      <c r="AZ39" s="926"/>
      <c r="BA39" s="926"/>
      <c r="BB39" s="927"/>
    </row>
    <row r="40" spans="1:54" x14ac:dyDescent="0.25">
      <c r="A40" s="13">
        <f t="shared" si="0"/>
        <v>27</v>
      </c>
      <c r="B40" s="888" t="str">
        <f>'refer admin discharge'!B41</f>
        <v>x</v>
      </c>
      <c r="C40" s="888"/>
      <c r="D40" s="868" t="str">
        <f>'refer admin discharge'!D41</f>
        <v>xx</v>
      </c>
      <c r="E40" s="868"/>
      <c r="F40" s="891" t="str">
        <f>'refer admin discharge'!H41</f>
        <v>00/00/0000</v>
      </c>
      <c r="G40" s="892"/>
      <c r="H40" s="894"/>
      <c r="I40" s="894"/>
      <c r="J40" s="918"/>
      <c r="K40" s="918"/>
      <c r="L40" s="894"/>
      <c r="M40" s="894"/>
      <c r="N40" s="916"/>
      <c r="O40" s="916"/>
      <c r="P40" s="894"/>
      <c r="Q40" s="894"/>
      <c r="R40" s="916"/>
      <c r="S40" s="916"/>
      <c r="T40" s="894"/>
      <c r="U40" s="894"/>
      <c r="V40" s="921" t="str">
        <f>'refer admin discharge'!H41</f>
        <v>00/00/0000</v>
      </c>
      <c r="W40" s="922"/>
      <c r="X40" s="920"/>
      <c r="Y40" s="920"/>
      <c r="Z40" s="919"/>
      <c r="AA40" s="919"/>
      <c r="AB40" s="920"/>
      <c r="AC40" s="920"/>
      <c r="AD40" s="912"/>
      <c r="AE40" s="912"/>
      <c r="AF40" s="920"/>
      <c r="AG40" s="920"/>
      <c r="AH40" s="912"/>
      <c r="AI40" s="912"/>
      <c r="AJ40" s="920"/>
      <c r="AK40" s="920"/>
      <c r="AL40" s="905"/>
      <c r="AM40" s="906"/>
      <c r="AN40" s="906"/>
      <c r="AO40" s="906"/>
      <c r="AP40" s="906"/>
      <c r="AQ40" s="906"/>
      <c r="AR40" s="906"/>
      <c r="AS40" s="906"/>
      <c r="AT40" s="906"/>
      <c r="AU40" s="906"/>
      <c r="AV40" s="906"/>
      <c r="AW40" s="906"/>
      <c r="AX40" s="906"/>
      <c r="AY40" s="906"/>
      <c r="AZ40" s="906"/>
      <c r="BA40" s="906"/>
      <c r="BB40" s="907"/>
    </row>
    <row r="41" spans="1:54" x14ac:dyDescent="0.25">
      <c r="A41" s="13">
        <f t="shared" si="0"/>
        <v>28</v>
      </c>
      <c r="B41" s="914" t="str">
        <f>'refer admin discharge'!B42</f>
        <v>x</v>
      </c>
      <c r="C41" s="914"/>
      <c r="D41" s="889" t="str">
        <f>'refer admin discharge'!D42</f>
        <v>xx</v>
      </c>
      <c r="E41" s="889"/>
      <c r="F41" s="915" t="str">
        <f>'refer admin discharge'!H42</f>
        <v>00/00/0000</v>
      </c>
      <c r="G41" s="890"/>
      <c r="H41" s="916"/>
      <c r="I41" s="916"/>
      <c r="J41" s="917"/>
      <c r="K41" s="917"/>
      <c r="L41" s="916"/>
      <c r="M41" s="916"/>
      <c r="N41" s="893"/>
      <c r="O41" s="893"/>
      <c r="P41" s="916"/>
      <c r="Q41" s="916"/>
      <c r="R41" s="893"/>
      <c r="S41" s="893"/>
      <c r="T41" s="916"/>
      <c r="U41" s="916"/>
      <c r="V41" s="923" t="str">
        <f>'refer admin discharge'!H42</f>
        <v>00/00/0000</v>
      </c>
      <c r="W41" s="910"/>
      <c r="X41" s="912"/>
      <c r="Y41" s="912"/>
      <c r="Z41" s="924"/>
      <c r="AA41" s="924"/>
      <c r="AB41" s="912"/>
      <c r="AC41" s="912"/>
      <c r="AD41" s="913"/>
      <c r="AE41" s="913"/>
      <c r="AF41" s="912"/>
      <c r="AG41" s="912"/>
      <c r="AH41" s="913"/>
      <c r="AI41" s="913"/>
      <c r="AJ41" s="912"/>
      <c r="AK41" s="912"/>
      <c r="AL41" s="925"/>
      <c r="AM41" s="926"/>
      <c r="AN41" s="926"/>
      <c r="AO41" s="926"/>
      <c r="AP41" s="926"/>
      <c r="AQ41" s="926"/>
      <c r="AR41" s="926"/>
      <c r="AS41" s="926"/>
      <c r="AT41" s="926"/>
      <c r="AU41" s="926"/>
      <c r="AV41" s="926"/>
      <c r="AW41" s="926"/>
      <c r="AX41" s="926"/>
      <c r="AY41" s="926"/>
      <c r="AZ41" s="926"/>
      <c r="BA41" s="926"/>
      <c r="BB41" s="927"/>
    </row>
    <row r="42" spans="1:54" x14ac:dyDescent="0.25">
      <c r="A42" s="13">
        <f t="shared" si="0"/>
        <v>29</v>
      </c>
      <c r="B42" s="888" t="str">
        <f>'refer admin discharge'!B43</f>
        <v>x</v>
      </c>
      <c r="C42" s="888"/>
      <c r="D42" s="868" t="str">
        <f>'refer admin discharge'!D43</f>
        <v>xx</v>
      </c>
      <c r="E42" s="868"/>
      <c r="F42" s="891" t="str">
        <f>'refer admin discharge'!H43</f>
        <v>00/00/0000</v>
      </c>
      <c r="G42" s="892"/>
      <c r="H42" s="894"/>
      <c r="I42" s="894"/>
      <c r="J42" s="918"/>
      <c r="K42" s="918"/>
      <c r="L42" s="894"/>
      <c r="M42" s="894"/>
      <c r="N42" s="916"/>
      <c r="O42" s="916"/>
      <c r="P42" s="894"/>
      <c r="Q42" s="894"/>
      <c r="R42" s="916"/>
      <c r="S42" s="916"/>
      <c r="T42" s="894"/>
      <c r="U42" s="894"/>
      <c r="V42" s="921" t="str">
        <f>'refer admin discharge'!H43</f>
        <v>00/00/0000</v>
      </c>
      <c r="W42" s="922"/>
      <c r="X42" s="920"/>
      <c r="Y42" s="920"/>
      <c r="Z42" s="919"/>
      <c r="AA42" s="919"/>
      <c r="AB42" s="920"/>
      <c r="AC42" s="920"/>
      <c r="AD42" s="912"/>
      <c r="AE42" s="912"/>
      <c r="AF42" s="920"/>
      <c r="AG42" s="920"/>
      <c r="AH42" s="912"/>
      <c r="AI42" s="912"/>
      <c r="AJ42" s="920"/>
      <c r="AK42" s="920"/>
      <c r="AL42" s="905"/>
      <c r="AM42" s="906"/>
      <c r="AN42" s="906"/>
      <c r="AO42" s="906"/>
      <c r="AP42" s="906"/>
      <c r="AQ42" s="906"/>
      <c r="AR42" s="906"/>
      <c r="AS42" s="906"/>
      <c r="AT42" s="906"/>
      <c r="AU42" s="906"/>
      <c r="AV42" s="906"/>
      <c r="AW42" s="906"/>
      <c r="AX42" s="906"/>
      <c r="AY42" s="906"/>
      <c r="AZ42" s="906"/>
      <c r="BA42" s="906"/>
      <c r="BB42" s="907"/>
    </row>
    <row r="43" spans="1:54" x14ac:dyDescent="0.25">
      <c r="A43" s="13">
        <f t="shared" si="0"/>
        <v>30</v>
      </c>
      <c r="B43" s="914" t="str">
        <f>'refer admin discharge'!B44</f>
        <v>x</v>
      </c>
      <c r="C43" s="914"/>
      <c r="D43" s="889" t="str">
        <f>'refer admin discharge'!D44</f>
        <v>xx</v>
      </c>
      <c r="E43" s="889"/>
      <c r="F43" s="915" t="str">
        <f>'refer admin discharge'!H44</f>
        <v>00/00/0000</v>
      </c>
      <c r="G43" s="890"/>
      <c r="H43" s="916"/>
      <c r="I43" s="916"/>
      <c r="J43" s="917"/>
      <c r="K43" s="917"/>
      <c r="L43" s="916"/>
      <c r="M43" s="916"/>
      <c r="N43" s="893"/>
      <c r="O43" s="893"/>
      <c r="P43" s="916"/>
      <c r="Q43" s="916"/>
      <c r="R43" s="893"/>
      <c r="S43" s="893"/>
      <c r="T43" s="916"/>
      <c r="U43" s="916"/>
      <c r="V43" s="923" t="str">
        <f>'refer admin discharge'!H44</f>
        <v>00/00/0000</v>
      </c>
      <c r="W43" s="910"/>
      <c r="X43" s="912"/>
      <c r="Y43" s="912"/>
      <c r="Z43" s="924"/>
      <c r="AA43" s="924"/>
      <c r="AB43" s="912"/>
      <c r="AC43" s="912"/>
      <c r="AD43" s="913"/>
      <c r="AE43" s="913"/>
      <c r="AF43" s="912"/>
      <c r="AG43" s="912"/>
      <c r="AH43" s="913"/>
      <c r="AI43" s="913"/>
      <c r="AJ43" s="912"/>
      <c r="AK43" s="912"/>
      <c r="AL43" s="925"/>
      <c r="AM43" s="926"/>
      <c r="AN43" s="926"/>
      <c r="AO43" s="926"/>
      <c r="AP43" s="926"/>
      <c r="AQ43" s="926"/>
      <c r="AR43" s="926"/>
      <c r="AS43" s="926"/>
      <c r="AT43" s="926"/>
      <c r="AU43" s="926"/>
      <c r="AV43" s="926"/>
      <c r="AW43" s="926"/>
      <c r="AX43" s="926"/>
      <c r="AY43" s="926"/>
      <c r="AZ43" s="926"/>
      <c r="BA43" s="926"/>
      <c r="BB43" s="927"/>
    </row>
    <row r="44" spans="1:54" x14ac:dyDescent="0.25">
      <c r="A44" s="13">
        <f t="shared" si="0"/>
        <v>31</v>
      </c>
      <c r="B44" s="888" t="str">
        <f>'refer admin discharge'!B45</f>
        <v>x</v>
      </c>
      <c r="C44" s="888"/>
      <c r="D44" s="868" t="str">
        <f>'refer admin discharge'!D45</f>
        <v>xx</v>
      </c>
      <c r="E44" s="868"/>
      <c r="F44" s="891" t="str">
        <f>'refer admin discharge'!H45</f>
        <v>00/00/0000</v>
      </c>
      <c r="G44" s="892"/>
      <c r="H44" s="894"/>
      <c r="I44" s="894"/>
      <c r="J44" s="918"/>
      <c r="K44" s="918"/>
      <c r="L44" s="894"/>
      <c r="M44" s="894"/>
      <c r="N44" s="916"/>
      <c r="O44" s="916"/>
      <c r="P44" s="894"/>
      <c r="Q44" s="894"/>
      <c r="R44" s="916"/>
      <c r="S44" s="916"/>
      <c r="T44" s="894"/>
      <c r="U44" s="894"/>
      <c r="V44" s="921" t="str">
        <f>'refer admin discharge'!H45</f>
        <v>00/00/0000</v>
      </c>
      <c r="W44" s="922"/>
      <c r="X44" s="920"/>
      <c r="Y44" s="920"/>
      <c r="Z44" s="919"/>
      <c r="AA44" s="919"/>
      <c r="AB44" s="920"/>
      <c r="AC44" s="920"/>
      <c r="AD44" s="912"/>
      <c r="AE44" s="912"/>
      <c r="AF44" s="920"/>
      <c r="AG44" s="920"/>
      <c r="AH44" s="912"/>
      <c r="AI44" s="912"/>
      <c r="AJ44" s="920"/>
      <c r="AK44" s="920"/>
      <c r="AL44" s="905"/>
      <c r="AM44" s="906"/>
      <c r="AN44" s="906"/>
      <c r="AO44" s="906"/>
      <c r="AP44" s="906"/>
      <c r="AQ44" s="906"/>
      <c r="AR44" s="906"/>
      <c r="AS44" s="906"/>
      <c r="AT44" s="906"/>
      <c r="AU44" s="906"/>
      <c r="AV44" s="906"/>
      <c r="AW44" s="906"/>
      <c r="AX44" s="906"/>
      <c r="AY44" s="906"/>
      <c r="AZ44" s="906"/>
      <c r="BA44" s="906"/>
      <c r="BB44" s="907"/>
    </row>
    <row r="45" spans="1:54" x14ac:dyDescent="0.25">
      <c r="A45" s="13">
        <f t="shared" si="0"/>
        <v>32</v>
      </c>
      <c r="B45" s="914" t="str">
        <f>'refer admin discharge'!B46</f>
        <v>x</v>
      </c>
      <c r="C45" s="914"/>
      <c r="D45" s="889" t="str">
        <f>'refer admin discharge'!D46</f>
        <v>xx</v>
      </c>
      <c r="E45" s="889"/>
      <c r="F45" s="915" t="str">
        <f>'refer admin discharge'!H46</f>
        <v>00/00/0000</v>
      </c>
      <c r="G45" s="890"/>
      <c r="H45" s="916"/>
      <c r="I45" s="916"/>
      <c r="J45" s="917"/>
      <c r="K45" s="917"/>
      <c r="L45" s="916"/>
      <c r="M45" s="916"/>
      <c r="N45" s="893"/>
      <c r="O45" s="893"/>
      <c r="P45" s="916"/>
      <c r="Q45" s="916"/>
      <c r="R45" s="893"/>
      <c r="S45" s="893"/>
      <c r="T45" s="916"/>
      <c r="U45" s="916"/>
      <c r="V45" s="923" t="str">
        <f>'refer admin discharge'!H46</f>
        <v>00/00/0000</v>
      </c>
      <c r="W45" s="910"/>
      <c r="X45" s="912"/>
      <c r="Y45" s="912"/>
      <c r="Z45" s="924"/>
      <c r="AA45" s="924"/>
      <c r="AB45" s="912"/>
      <c r="AC45" s="912"/>
      <c r="AD45" s="913"/>
      <c r="AE45" s="913"/>
      <c r="AF45" s="912"/>
      <c r="AG45" s="912"/>
      <c r="AH45" s="913"/>
      <c r="AI45" s="913"/>
      <c r="AJ45" s="912"/>
      <c r="AK45" s="912"/>
      <c r="AL45" s="925"/>
      <c r="AM45" s="926"/>
      <c r="AN45" s="926"/>
      <c r="AO45" s="926"/>
      <c r="AP45" s="926"/>
      <c r="AQ45" s="926"/>
      <c r="AR45" s="926"/>
      <c r="AS45" s="926"/>
      <c r="AT45" s="926"/>
      <c r="AU45" s="926"/>
      <c r="AV45" s="926"/>
      <c r="AW45" s="926"/>
      <c r="AX45" s="926"/>
      <c r="AY45" s="926"/>
      <c r="AZ45" s="926"/>
      <c r="BA45" s="926"/>
      <c r="BB45" s="927"/>
    </row>
    <row r="46" spans="1:54" x14ac:dyDescent="0.25">
      <c r="A46" s="13">
        <f t="shared" si="0"/>
        <v>33</v>
      </c>
      <c r="B46" s="888" t="str">
        <f>'refer admin discharge'!B47</f>
        <v>x</v>
      </c>
      <c r="C46" s="888"/>
      <c r="D46" s="868" t="str">
        <f>'refer admin discharge'!D47</f>
        <v>xx</v>
      </c>
      <c r="E46" s="868"/>
      <c r="F46" s="891" t="str">
        <f>'refer admin discharge'!H47</f>
        <v>00/00/0000</v>
      </c>
      <c r="G46" s="892"/>
      <c r="H46" s="894"/>
      <c r="I46" s="894"/>
      <c r="J46" s="918"/>
      <c r="K46" s="918"/>
      <c r="L46" s="894"/>
      <c r="M46" s="894"/>
      <c r="N46" s="916"/>
      <c r="O46" s="916"/>
      <c r="P46" s="894"/>
      <c r="Q46" s="894"/>
      <c r="R46" s="916"/>
      <c r="S46" s="916"/>
      <c r="T46" s="894"/>
      <c r="U46" s="894"/>
      <c r="V46" s="921" t="str">
        <f>'refer admin discharge'!H47</f>
        <v>00/00/0000</v>
      </c>
      <c r="W46" s="922"/>
      <c r="X46" s="920"/>
      <c r="Y46" s="920"/>
      <c r="Z46" s="919"/>
      <c r="AA46" s="919"/>
      <c r="AB46" s="920"/>
      <c r="AC46" s="920"/>
      <c r="AD46" s="912"/>
      <c r="AE46" s="912"/>
      <c r="AF46" s="920"/>
      <c r="AG46" s="920"/>
      <c r="AH46" s="912"/>
      <c r="AI46" s="912"/>
      <c r="AJ46" s="920"/>
      <c r="AK46" s="920"/>
      <c r="AL46" s="905"/>
      <c r="AM46" s="906"/>
      <c r="AN46" s="906"/>
      <c r="AO46" s="906"/>
      <c r="AP46" s="906"/>
      <c r="AQ46" s="906"/>
      <c r="AR46" s="906"/>
      <c r="AS46" s="906"/>
      <c r="AT46" s="906"/>
      <c r="AU46" s="906"/>
      <c r="AV46" s="906"/>
      <c r="AW46" s="906"/>
      <c r="AX46" s="906"/>
      <c r="AY46" s="906"/>
      <c r="AZ46" s="906"/>
      <c r="BA46" s="906"/>
      <c r="BB46" s="907"/>
    </row>
    <row r="47" spans="1:54" x14ac:dyDescent="0.25">
      <c r="A47" s="13">
        <f t="shared" si="0"/>
        <v>34</v>
      </c>
      <c r="B47" s="914" t="str">
        <f>'refer admin discharge'!B48</f>
        <v>x</v>
      </c>
      <c r="C47" s="914"/>
      <c r="D47" s="889" t="str">
        <f>'refer admin discharge'!D48</f>
        <v>xx</v>
      </c>
      <c r="E47" s="889"/>
      <c r="F47" s="915" t="str">
        <f>'refer admin discharge'!H48</f>
        <v>00/00/0000</v>
      </c>
      <c r="G47" s="890"/>
      <c r="H47" s="916"/>
      <c r="I47" s="916"/>
      <c r="J47" s="917"/>
      <c r="K47" s="917"/>
      <c r="L47" s="916"/>
      <c r="M47" s="916"/>
      <c r="N47" s="893"/>
      <c r="O47" s="893"/>
      <c r="P47" s="916"/>
      <c r="Q47" s="916"/>
      <c r="R47" s="893"/>
      <c r="S47" s="893"/>
      <c r="T47" s="916"/>
      <c r="U47" s="916"/>
      <c r="V47" s="923" t="str">
        <f>'refer admin discharge'!H48</f>
        <v>00/00/0000</v>
      </c>
      <c r="W47" s="910"/>
      <c r="X47" s="912"/>
      <c r="Y47" s="912"/>
      <c r="Z47" s="924"/>
      <c r="AA47" s="924"/>
      <c r="AB47" s="912"/>
      <c r="AC47" s="912"/>
      <c r="AD47" s="913"/>
      <c r="AE47" s="913"/>
      <c r="AF47" s="912"/>
      <c r="AG47" s="912"/>
      <c r="AH47" s="913"/>
      <c r="AI47" s="913"/>
      <c r="AJ47" s="912"/>
      <c r="AK47" s="912"/>
      <c r="AL47" s="925"/>
      <c r="AM47" s="926"/>
      <c r="AN47" s="926"/>
      <c r="AO47" s="926"/>
      <c r="AP47" s="926"/>
      <c r="AQ47" s="926"/>
      <c r="AR47" s="926"/>
      <c r="AS47" s="926"/>
      <c r="AT47" s="926"/>
      <c r="AU47" s="926"/>
      <c r="AV47" s="926"/>
      <c r="AW47" s="926"/>
      <c r="AX47" s="926"/>
      <c r="AY47" s="926"/>
      <c r="AZ47" s="926"/>
      <c r="BA47" s="926"/>
      <c r="BB47" s="927"/>
    </row>
    <row r="48" spans="1:54" x14ac:dyDescent="0.25">
      <c r="A48" s="13">
        <f t="shared" si="0"/>
        <v>35</v>
      </c>
      <c r="B48" s="888" t="str">
        <f>'refer admin discharge'!B49</f>
        <v>x</v>
      </c>
      <c r="C48" s="888"/>
      <c r="D48" s="868" t="str">
        <f>'refer admin discharge'!D49</f>
        <v>xx</v>
      </c>
      <c r="E48" s="868"/>
      <c r="F48" s="891" t="str">
        <f>'refer admin discharge'!H49</f>
        <v>00/00/0000</v>
      </c>
      <c r="G48" s="892"/>
      <c r="H48" s="894"/>
      <c r="I48" s="894"/>
      <c r="J48" s="918"/>
      <c r="K48" s="918"/>
      <c r="L48" s="894"/>
      <c r="M48" s="894"/>
      <c r="N48" s="916"/>
      <c r="O48" s="916"/>
      <c r="P48" s="894"/>
      <c r="Q48" s="894"/>
      <c r="R48" s="916"/>
      <c r="S48" s="916"/>
      <c r="T48" s="894"/>
      <c r="U48" s="894"/>
      <c r="V48" s="921" t="str">
        <f>'refer admin discharge'!H49</f>
        <v>00/00/0000</v>
      </c>
      <c r="W48" s="922"/>
      <c r="X48" s="920"/>
      <c r="Y48" s="920"/>
      <c r="Z48" s="919"/>
      <c r="AA48" s="919"/>
      <c r="AB48" s="920"/>
      <c r="AC48" s="920"/>
      <c r="AD48" s="912"/>
      <c r="AE48" s="912"/>
      <c r="AF48" s="920"/>
      <c r="AG48" s="920"/>
      <c r="AH48" s="912"/>
      <c r="AI48" s="912"/>
      <c r="AJ48" s="920"/>
      <c r="AK48" s="920"/>
      <c r="AL48" s="905"/>
      <c r="AM48" s="906"/>
      <c r="AN48" s="906"/>
      <c r="AO48" s="906"/>
      <c r="AP48" s="906"/>
      <c r="AQ48" s="906"/>
      <c r="AR48" s="906"/>
      <c r="AS48" s="906"/>
      <c r="AT48" s="906"/>
      <c r="AU48" s="906"/>
      <c r="AV48" s="906"/>
      <c r="AW48" s="906"/>
      <c r="AX48" s="906"/>
      <c r="AY48" s="906"/>
      <c r="AZ48" s="906"/>
      <c r="BA48" s="906"/>
      <c r="BB48" s="907"/>
    </row>
    <row r="49" spans="1:54" x14ac:dyDescent="0.25">
      <c r="A49" s="13">
        <f t="shared" si="0"/>
        <v>36</v>
      </c>
      <c r="B49" s="914" t="str">
        <f>'refer admin discharge'!B50</f>
        <v>x</v>
      </c>
      <c r="C49" s="914"/>
      <c r="D49" s="889" t="str">
        <f>'refer admin discharge'!D50</f>
        <v>xx</v>
      </c>
      <c r="E49" s="889"/>
      <c r="F49" s="915" t="str">
        <f>'refer admin discharge'!H50</f>
        <v>00/00/0000</v>
      </c>
      <c r="G49" s="890"/>
      <c r="H49" s="916"/>
      <c r="I49" s="916"/>
      <c r="J49" s="917"/>
      <c r="K49" s="917"/>
      <c r="L49" s="916"/>
      <c r="M49" s="916"/>
      <c r="N49" s="893"/>
      <c r="O49" s="893"/>
      <c r="P49" s="916"/>
      <c r="Q49" s="916"/>
      <c r="R49" s="893"/>
      <c r="S49" s="893"/>
      <c r="T49" s="916"/>
      <c r="U49" s="916"/>
      <c r="V49" s="923" t="str">
        <f>'refer admin discharge'!H50</f>
        <v>00/00/0000</v>
      </c>
      <c r="W49" s="910"/>
      <c r="X49" s="912"/>
      <c r="Y49" s="912"/>
      <c r="Z49" s="924"/>
      <c r="AA49" s="924"/>
      <c r="AB49" s="912"/>
      <c r="AC49" s="912"/>
      <c r="AD49" s="913"/>
      <c r="AE49" s="913"/>
      <c r="AF49" s="912"/>
      <c r="AG49" s="912"/>
      <c r="AH49" s="913"/>
      <c r="AI49" s="913"/>
      <c r="AJ49" s="912"/>
      <c r="AK49" s="912"/>
      <c r="AL49" s="925"/>
      <c r="AM49" s="926"/>
      <c r="AN49" s="926"/>
      <c r="AO49" s="926"/>
      <c r="AP49" s="926"/>
      <c r="AQ49" s="926"/>
      <c r="AR49" s="926"/>
      <c r="AS49" s="926"/>
      <c r="AT49" s="926"/>
      <c r="AU49" s="926"/>
      <c r="AV49" s="926"/>
      <c r="AW49" s="926"/>
      <c r="AX49" s="926"/>
      <c r="AY49" s="926"/>
      <c r="AZ49" s="926"/>
      <c r="BA49" s="926"/>
      <c r="BB49" s="927"/>
    </row>
    <row r="50" spans="1:54" x14ac:dyDescent="0.25">
      <c r="A50" s="13">
        <f t="shared" si="0"/>
        <v>37</v>
      </c>
      <c r="B50" s="888" t="str">
        <f>'refer admin discharge'!B51</f>
        <v>x</v>
      </c>
      <c r="C50" s="888"/>
      <c r="D50" s="868" t="str">
        <f>'refer admin discharge'!D51</f>
        <v>xx</v>
      </c>
      <c r="E50" s="868"/>
      <c r="F50" s="891" t="str">
        <f>'refer admin discharge'!H51</f>
        <v>00/00/0000</v>
      </c>
      <c r="G50" s="892"/>
      <c r="H50" s="894"/>
      <c r="I50" s="894"/>
      <c r="J50" s="918"/>
      <c r="K50" s="918"/>
      <c r="L50" s="894"/>
      <c r="M50" s="894"/>
      <c r="N50" s="916"/>
      <c r="O50" s="916"/>
      <c r="P50" s="894"/>
      <c r="Q50" s="894"/>
      <c r="R50" s="916"/>
      <c r="S50" s="916"/>
      <c r="T50" s="894"/>
      <c r="U50" s="894"/>
      <c r="V50" s="921" t="str">
        <f>'refer admin discharge'!H51</f>
        <v>00/00/0000</v>
      </c>
      <c r="W50" s="922"/>
      <c r="X50" s="920"/>
      <c r="Y50" s="920"/>
      <c r="Z50" s="919"/>
      <c r="AA50" s="919"/>
      <c r="AB50" s="920"/>
      <c r="AC50" s="920"/>
      <c r="AD50" s="912"/>
      <c r="AE50" s="912"/>
      <c r="AF50" s="920"/>
      <c r="AG50" s="920"/>
      <c r="AH50" s="912"/>
      <c r="AI50" s="912"/>
      <c r="AJ50" s="920"/>
      <c r="AK50" s="920"/>
      <c r="AL50" s="905"/>
      <c r="AM50" s="906"/>
      <c r="AN50" s="906"/>
      <c r="AO50" s="906"/>
      <c r="AP50" s="906"/>
      <c r="AQ50" s="906"/>
      <c r="AR50" s="906"/>
      <c r="AS50" s="906"/>
      <c r="AT50" s="906"/>
      <c r="AU50" s="906"/>
      <c r="AV50" s="906"/>
      <c r="AW50" s="906"/>
      <c r="AX50" s="906"/>
      <c r="AY50" s="906"/>
      <c r="AZ50" s="906"/>
      <c r="BA50" s="906"/>
      <c r="BB50" s="907"/>
    </row>
    <row r="51" spans="1:54" x14ac:dyDescent="0.25">
      <c r="A51" s="13">
        <f t="shared" si="0"/>
        <v>38</v>
      </c>
      <c r="B51" s="914" t="str">
        <f>'refer admin discharge'!B52</f>
        <v>x</v>
      </c>
      <c r="C51" s="914"/>
      <c r="D51" s="889" t="str">
        <f>'refer admin discharge'!D52</f>
        <v>xx</v>
      </c>
      <c r="E51" s="889"/>
      <c r="F51" s="915" t="str">
        <f>'refer admin discharge'!H52</f>
        <v>00/00/0000</v>
      </c>
      <c r="G51" s="890"/>
      <c r="H51" s="916"/>
      <c r="I51" s="916"/>
      <c r="J51" s="917"/>
      <c r="K51" s="917"/>
      <c r="L51" s="916"/>
      <c r="M51" s="916"/>
      <c r="N51" s="893"/>
      <c r="O51" s="893"/>
      <c r="P51" s="916"/>
      <c r="Q51" s="916"/>
      <c r="R51" s="893"/>
      <c r="S51" s="893"/>
      <c r="T51" s="916"/>
      <c r="U51" s="916"/>
      <c r="V51" s="923" t="str">
        <f>'refer admin discharge'!H52</f>
        <v>00/00/0000</v>
      </c>
      <c r="W51" s="910"/>
      <c r="X51" s="912"/>
      <c r="Y51" s="912"/>
      <c r="Z51" s="924"/>
      <c r="AA51" s="924"/>
      <c r="AB51" s="912"/>
      <c r="AC51" s="912"/>
      <c r="AD51" s="913"/>
      <c r="AE51" s="913"/>
      <c r="AF51" s="912"/>
      <c r="AG51" s="912"/>
      <c r="AH51" s="913"/>
      <c r="AI51" s="913"/>
      <c r="AJ51" s="912"/>
      <c r="AK51" s="912"/>
      <c r="AL51" s="925"/>
      <c r="AM51" s="926"/>
      <c r="AN51" s="926"/>
      <c r="AO51" s="926"/>
      <c r="AP51" s="926"/>
      <c r="AQ51" s="926"/>
      <c r="AR51" s="926"/>
      <c r="AS51" s="926"/>
      <c r="AT51" s="926"/>
      <c r="AU51" s="926"/>
      <c r="AV51" s="926"/>
      <c r="AW51" s="926"/>
      <c r="AX51" s="926"/>
      <c r="AY51" s="926"/>
      <c r="AZ51" s="926"/>
      <c r="BA51" s="926"/>
      <c r="BB51" s="927"/>
    </row>
    <row r="52" spans="1:54" x14ac:dyDescent="0.25">
      <c r="A52" s="13">
        <f t="shared" si="0"/>
        <v>39</v>
      </c>
      <c r="B52" s="888" t="str">
        <f>'refer admin discharge'!B53</f>
        <v>x</v>
      </c>
      <c r="C52" s="888"/>
      <c r="D52" s="868" t="str">
        <f>'refer admin discharge'!D53</f>
        <v>xx</v>
      </c>
      <c r="E52" s="868"/>
      <c r="F52" s="891" t="str">
        <f>'refer admin discharge'!H53</f>
        <v>00/00/0000</v>
      </c>
      <c r="G52" s="892"/>
      <c r="H52" s="894"/>
      <c r="I52" s="894"/>
      <c r="J52" s="918"/>
      <c r="K52" s="918"/>
      <c r="L52" s="894"/>
      <c r="M52" s="894"/>
      <c r="N52" s="916"/>
      <c r="O52" s="916"/>
      <c r="P52" s="894"/>
      <c r="Q52" s="894"/>
      <c r="R52" s="916"/>
      <c r="S52" s="916"/>
      <c r="T52" s="894"/>
      <c r="U52" s="894"/>
      <c r="V52" s="921" t="str">
        <f>'refer admin discharge'!H53</f>
        <v>00/00/0000</v>
      </c>
      <c r="W52" s="922"/>
      <c r="X52" s="920"/>
      <c r="Y52" s="920"/>
      <c r="Z52" s="919"/>
      <c r="AA52" s="919"/>
      <c r="AB52" s="920"/>
      <c r="AC52" s="920"/>
      <c r="AD52" s="912"/>
      <c r="AE52" s="912"/>
      <c r="AF52" s="920"/>
      <c r="AG52" s="920"/>
      <c r="AH52" s="912"/>
      <c r="AI52" s="912"/>
      <c r="AJ52" s="920"/>
      <c r="AK52" s="920"/>
      <c r="AL52" s="905"/>
      <c r="AM52" s="906"/>
      <c r="AN52" s="906"/>
      <c r="AO52" s="906"/>
      <c r="AP52" s="906"/>
      <c r="AQ52" s="906"/>
      <c r="AR52" s="906"/>
      <c r="AS52" s="906"/>
      <c r="AT52" s="906"/>
      <c r="AU52" s="906"/>
      <c r="AV52" s="906"/>
      <c r="AW52" s="906"/>
      <c r="AX52" s="906"/>
      <c r="AY52" s="906"/>
      <c r="AZ52" s="906"/>
      <c r="BA52" s="906"/>
      <c r="BB52" s="907"/>
    </row>
    <row r="53" spans="1:54" x14ac:dyDescent="0.25">
      <c r="A53" s="13">
        <f t="shared" si="0"/>
        <v>40</v>
      </c>
      <c r="B53" s="914" t="str">
        <f>'refer admin discharge'!B54</f>
        <v>x</v>
      </c>
      <c r="C53" s="914"/>
      <c r="D53" s="889" t="str">
        <f>'refer admin discharge'!D54</f>
        <v>xx</v>
      </c>
      <c r="E53" s="889"/>
      <c r="F53" s="915" t="str">
        <f>'refer admin discharge'!H54</f>
        <v>00/00/0000</v>
      </c>
      <c r="G53" s="890"/>
      <c r="H53" s="916"/>
      <c r="I53" s="916"/>
      <c r="J53" s="917"/>
      <c r="K53" s="917"/>
      <c r="L53" s="916"/>
      <c r="M53" s="916"/>
      <c r="N53" s="893"/>
      <c r="O53" s="893"/>
      <c r="P53" s="916"/>
      <c r="Q53" s="916"/>
      <c r="R53" s="893"/>
      <c r="S53" s="893"/>
      <c r="T53" s="916"/>
      <c r="U53" s="916"/>
      <c r="V53" s="923" t="str">
        <f>'refer admin discharge'!H54</f>
        <v>00/00/0000</v>
      </c>
      <c r="W53" s="910"/>
      <c r="X53" s="912"/>
      <c r="Y53" s="912"/>
      <c r="Z53" s="924"/>
      <c r="AA53" s="924"/>
      <c r="AB53" s="912"/>
      <c r="AC53" s="912"/>
      <c r="AD53" s="913"/>
      <c r="AE53" s="913"/>
      <c r="AF53" s="912"/>
      <c r="AG53" s="912"/>
      <c r="AH53" s="913"/>
      <c r="AI53" s="913"/>
      <c r="AJ53" s="912"/>
      <c r="AK53" s="912"/>
      <c r="AL53" s="925"/>
      <c r="AM53" s="926"/>
      <c r="AN53" s="926"/>
      <c r="AO53" s="926"/>
      <c r="AP53" s="926"/>
      <c r="AQ53" s="926"/>
      <c r="AR53" s="926"/>
      <c r="AS53" s="926"/>
      <c r="AT53" s="926"/>
      <c r="AU53" s="926"/>
      <c r="AV53" s="926"/>
      <c r="AW53" s="926"/>
      <c r="AX53" s="926"/>
      <c r="AY53" s="926"/>
      <c r="AZ53" s="926"/>
      <c r="BA53" s="926"/>
      <c r="BB53" s="927"/>
    </row>
    <row r="54" spans="1:54" x14ac:dyDescent="0.25">
      <c r="A54" s="13">
        <f t="shared" si="0"/>
        <v>41</v>
      </c>
      <c r="B54" s="888" t="str">
        <f>'refer admin discharge'!B55</f>
        <v>x</v>
      </c>
      <c r="C54" s="888"/>
      <c r="D54" s="868" t="str">
        <f>'refer admin discharge'!D55</f>
        <v>xx</v>
      </c>
      <c r="E54" s="868"/>
      <c r="F54" s="891" t="str">
        <f>'refer admin discharge'!H55</f>
        <v>00/00/0000</v>
      </c>
      <c r="G54" s="892"/>
      <c r="H54" s="894"/>
      <c r="I54" s="894"/>
      <c r="J54" s="918"/>
      <c r="K54" s="918"/>
      <c r="L54" s="894"/>
      <c r="M54" s="894"/>
      <c r="N54" s="916"/>
      <c r="O54" s="916"/>
      <c r="P54" s="894"/>
      <c r="Q54" s="894"/>
      <c r="R54" s="916"/>
      <c r="S54" s="916"/>
      <c r="T54" s="894"/>
      <c r="U54" s="894"/>
      <c r="V54" s="921" t="str">
        <f>'refer admin discharge'!H55</f>
        <v>00/00/0000</v>
      </c>
      <c r="W54" s="922"/>
      <c r="X54" s="920"/>
      <c r="Y54" s="920"/>
      <c r="Z54" s="919"/>
      <c r="AA54" s="919"/>
      <c r="AB54" s="920"/>
      <c r="AC54" s="920"/>
      <c r="AD54" s="912"/>
      <c r="AE54" s="912"/>
      <c r="AF54" s="920"/>
      <c r="AG54" s="920"/>
      <c r="AH54" s="912"/>
      <c r="AI54" s="912"/>
      <c r="AJ54" s="920"/>
      <c r="AK54" s="920"/>
      <c r="AL54" s="905"/>
      <c r="AM54" s="906"/>
      <c r="AN54" s="906"/>
      <c r="AO54" s="906"/>
      <c r="AP54" s="906"/>
      <c r="AQ54" s="906"/>
      <c r="AR54" s="906"/>
      <c r="AS54" s="906"/>
      <c r="AT54" s="906"/>
      <c r="AU54" s="906"/>
      <c r="AV54" s="906"/>
      <c r="AW54" s="906"/>
      <c r="AX54" s="906"/>
      <c r="AY54" s="906"/>
      <c r="AZ54" s="906"/>
      <c r="BA54" s="906"/>
      <c r="BB54" s="907"/>
    </row>
    <row r="55" spans="1:54" x14ac:dyDescent="0.25">
      <c r="A55" s="13">
        <f t="shared" si="0"/>
        <v>42</v>
      </c>
      <c r="B55" s="914" t="str">
        <f>'refer admin discharge'!B56</f>
        <v>x</v>
      </c>
      <c r="C55" s="914"/>
      <c r="D55" s="889" t="str">
        <f>'refer admin discharge'!D56</f>
        <v>xx</v>
      </c>
      <c r="E55" s="889"/>
      <c r="F55" s="915" t="str">
        <f>'refer admin discharge'!H56</f>
        <v>00/00/0000</v>
      </c>
      <c r="G55" s="890"/>
      <c r="H55" s="916"/>
      <c r="I55" s="916"/>
      <c r="J55" s="917"/>
      <c r="K55" s="917"/>
      <c r="L55" s="916"/>
      <c r="M55" s="916"/>
      <c r="N55" s="893"/>
      <c r="O55" s="893"/>
      <c r="P55" s="916"/>
      <c r="Q55" s="916"/>
      <c r="R55" s="893"/>
      <c r="S55" s="893"/>
      <c r="T55" s="916"/>
      <c r="U55" s="916"/>
      <c r="V55" s="923" t="str">
        <f>'refer admin discharge'!H56</f>
        <v>00/00/0000</v>
      </c>
      <c r="W55" s="910"/>
      <c r="X55" s="912"/>
      <c r="Y55" s="912"/>
      <c r="Z55" s="924"/>
      <c r="AA55" s="924"/>
      <c r="AB55" s="912"/>
      <c r="AC55" s="912"/>
      <c r="AD55" s="913"/>
      <c r="AE55" s="913"/>
      <c r="AF55" s="912"/>
      <c r="AG55" s="912"/>
      <c r="AH55" s="913"/>
      <c r="AI55" s="913"/>
      <c r="AJ55" s="912"/>
      <c r="AK55" s="912"/>
      <c r="AL55" s="925"/>
      <c r="AM55" s="926"/>
      <c r="AN55" s="926"/>
      <c r="AO55" s="926"/>
      <c r="AP55" s="926"/>
      <c r="AQ55" s="926"/>
      <c r="AR55" s="926"/>
      <c r="AS55" s="926"/>
      <c r="AT55" s="926"/>
      <c r="AU55" s="926"/>
      <c r="AV55" s="926"/>
      <c r="AW55" s="926"/>
      <c r="AX55" s="926"/>
      <c r="AY55" s="926"/>
      <c r="AZ55" s="926"/>
      <c r="BA55" s="926"/>
      <c r="BB55" s="927"/>
    </row>
    <row r="56" spans="1:54" x14ac:dyDescent="0.25">
      <c r="A56" s="13">
        <f t="shared" si="0"/>
        <v>43</v>
      </c>
      <c r="B56" s="888" t="str">
        <f>'refer admin discharge'!B57</f>
        <v>x</v>
      </c>
      <c r="C56" s="888"/>
      <c r="D56" s="868" t="str">
        <f>'refer admin discharge'!D57</f>
        <v>xx</v>
      </c>
      <c r="E56" s="868"/>
      <c r="F56" s="891" t="str">
        <f>'refer admin discharge'!H57</f>
        <v>00/00/0000</v>
      </c>
      <c r="G56" s="892"/>
      <c r="H56" s="894"/>
      <c r="I56" s="894"/>
      <c r="J56" s="918"/>
      <c r="K56" s="918"/>
      <c r="L56" s="894"/>
      <c r="M56" s="894"/>
      <c r="N56" s="916"/>
      <c r="O56" s="916"/>
      <c r="P56" s="894"/>
      <c r="Q56" s="894"/>
      <c r="R56" s="916"/>
      <c r="S56" s="916"/>
      <c r="T56" s="894"/>
      <c r="U56" s="894"/>
      <c r="V56" s="921" t="str">
        <f>'refer admin discharge'!H57</f>
        <v>00/00/0000</v>
      </c>
      <c r="W56" s="922"/>
      <c r="X56" s="920"/>
      <c r="Y56" s="920"/>
      <c r="Z56" s="919"/>
      <c r="AA56" s="919"/>
      <c r="AB56" s="920"/>
      <c r="AC56" s="920"/>
      <c r="AD56" s="912"/>
      <c r="AE56" s="912"/>
      <c r="AF56" s="920"/>
      <c r="AG56" s="920"/>
      <c r="AH56" s="912"/>
      <c r="AI56" s="912"/>
      <c r="AJ56" s="920"/>
      <c r="AK56" s="920"/>
      <c r="AL56" s="905"/>
      <c r="AM56" s="906"/>
      <c r="AN56" s="906"/>
      <c r="AO56" s="906"/>
      <c r="AP56" s="906"/>
      <c r="AQ56" s="906"/>
      <c r="AR56" s="906"/>
      <c r="AS56" s="906"/>
      <c r="AT56" s="906"/>
      <c r="AU56" s="906"/>
      <c r="AV56" s="906"/>
      <c r="AW56" s="906"/>
      <c r="AX56" s="906"/>
      <c r="AY56" s="906"/>
      <c r="AZ56" s="906"/>
      <c r="BA56" s="906"/>
      <c r="BB56" s="907"/>
    </row>
    <row r="57" spans="1:54" x14ac:dyDescent="0.25">
      <c r="A57" s="13">
        <f t="shared" si="0"/>
        <v>44</v>
      </c>
      <c r="B57" s="914" t="str">
        <f>'refer admin discharge'!B58</f>
        <v>x</v>
      </c>
      <c r="C57" s="914"/>
      <c r="D57" s="889" t="str">
        <f>'refer admin discharge'!D58</f>
        <v>xx</v>
      </c>
      <c r="E57" s="889"/>
      <c r="F57" s="915" t="str">
        <f>'refer admin discharge'!H58</f>
        <v>00/00/0000</v>
      </c>
      <c r="G57" s="890"/>
      <c r="H57" s="916"/>
      <c r="I57" s="916"/>
      <c r="J57" s="917"/>
      <c r="K57" s="917"/>
      <c r="L57" s="916"/>
      <c r="M57" s="916"/>
      <c r="N57" s="893"/>
      <c r="O57" s="893"/>
      <c r="P57" s="916"/>
      <c r="Q57" s="916"/>
      <c r="R57" s="893"/>
      <c r="S57" s="893"/>
      <c r="T57" s="916"/>
      <c r="U57" s="916"/>
      <c r="V57" s="923" t="str">
        <f>'refer admin discharge'!H58</f>
        <v>00/00/0000</v>
      </c>
      <c r="W57" s="910"/>
      <c r="X57" s="912"/>
      <c r="Y57" s="912"/>
      <c r="Z57" s="924"/>
      <c r="AA57" s="924"/>
      <c r="AB57" s="912"/>
      <c r="AC57" s="912"/>
      <c r="AD57" s="913"/>
      <c r="AE57" s="913"/>
      <c r="AF57" s="912"/>
      <c r="AG57" s="912"/>
      <c r="AH57" s="913"/>
      <c r="AI57" s="913"/>
      <c r="AJ57" s="912"/>
      <c r="AK57" s="912"/>
      <c r="AL57" s="925"/>
      <c r="AM57" s="926"/>
      <c r="AN57" s="926"/>
      <c r="AO57" s="926"/>
      <c r="AP57" s="926"/>
      <c r="AQ57" s="926"/>
      <c r="AR57" s="926"/>
      <c r="AS57" s="926"/>
      <c r="AT57" s="926"/>
      <c r="AU57" s="926"/>
      <c r="AV57" s="926"/>
      <c r="AW57" s="926"/>
      <c r="AX57" s="926"/>
      <c r="AY57" s="926"/>
      <c r="AZ57" s="926"/>
      <c r="BA57" s="926"/>
      <c r="BB57" s="927"/>
    </row>
    <row r="58" spans="1:54" x14ac:dyDescent="0.25">
      <c r="A58" s="13">
        <f t="shared" si="0"/>
        <v>45</v>
      </c>
      <c r="B58" s="888" t="str">
        <f>'refer admin discharge'!B59</f>
        <v>x</v>
      </c>
      <c r="C58" s="888"/>
      <c r="D58" s="868" t="str">
        <f>'refer admin discharge'!D59</f>
        <v>xx</v>
      </c>
      <c r="E58" s="868"/>
      <c r="F58" s="891" t="str">
        <f>'refer admin discharge'!H59</f>
        <v>00/00/0000</v>
      </c>
      <c r="G58" s="892"/>
      <c r="H58" s="894"/>
      <c r="I58" s="894"/>
      <c r="J58" s="918"/>
      <c r="K58" s="918"/>
      <c r="L58" s="894"/>
      <c r="M58" s="894"/>
      <c r="N58" s="916"/>
      <c r="O58" s="916"/>
      <c r="P58" s="894"/>
      <c r="Q58" s="894"/>
      <c r="R58" s="916"/>
      <c r="S58" s="916"/>
      <c r="T58" s="894"/>
      <c r="U58" s="894"/>
      <c r="V58" s="921" t="str">
        <f>'refer admin discharge'!H59</f>
        <v>00/00/0000</v>
      </c>
      <c r="W58" s="922"/>
      <c r="X58" s="920"/>
      <c r="Y58" s="920"/>
      <c r="Z58" s="919"/>
      <c r="AA58" s="919"/>
      <c r="AB58" s="920"/>
      <c r="AC58" s="920"/>
      <c r="AD58" s="912"/>
      <c r="AE58" s="912"/>
      <c r="AF58" s="920"/>
      <c r="AG58" s="920"/>
      <c r="AH58" s="912"/>
      <c r="AI58" s="912"/>
      <c r="AJ58" s="920"/>
      <c r="AK58" s="920"/>
      <c r="AL58" s="905"/>
      <c r="AM58" s="906"/>
      <c r="AN58" s="906"/>
      <c r="AO58" s="906"/>
      <c r="AP58" s="906"/>
      <c r="AQ58" s="906"/>
      <c r="AR58" s="906"/>
      <c r="AS58" s="906"/>
      <c r="AT58" s="906"/>
      <c r="AU58" s="906"/>
      <c r="AV58" s="906"/>
      <c r="AW58" s="906"/>
      <c r="AX58" s="906"/>
      <c r="AY58" s="906"/>
      <c r="AZ58" s="906"/>
      <c r="BA58" s="906"/>
      <c r="BB58" s="907"/>
    </row>
    <row r="59" spans="1:54" x14ac:dyDescent="0.25">
      <c r="A59" s="13">
        <f t="shared" si="0"/>
        <v>46</v>
      </c>
      <c r="B59" s="914" t="str">
        <f>'refer admin discharge'!B60</f>
        <v>x</v>
      </c>
      <c r="C59" s="914"/>
      <c r="D59" s="889" t="str">
        <f>'refer admin discharge'!D60</f>
        <v>xx</v>
      </c>
      <c r="E59" s="889"/>
      <c r="F59" s="915" t="str">
        <f>'refer admin discharge'!H60</f>
        <v>00/00/0000</v>
      </c>
      <c r="G59" s="890"/>
      <c r="H59" s="916"/>
      <c r="I59" s="916"/>
      <c r="J59" s="917"/>
      <c r="K59" s="917"/>
      <c r="L59" s="916"/>
      <c r="M59" s="916"/>
      <c r="N59" s="893"/>
      <c r="O59" s="893"/>
      <c r="P59" s="916"/>
      <c r="Q59" s="916"/>
      <c r="R59" s="893"/>
      <c r="S59" s="893"/>
      <c r="T59" s="916"/>
      <c r="U59" s="916"/>
      <c r="V59" s="923" t="str">
        <f>'refer admin discharge'!H60</f>
        <v>00/00/0000</v>
      </c>
      <c r="W59" s="910"/>
      <c r="X59" s="912"/>
      <c r="Y59" s="912"/>
      <c r="Z59" s="924"/>
      <c r="AA59" s="924"/>
      <c r="AB59" s="912"/>
      <c r="AC59" s="912"/>
      <c r="AD59" s="913"/>
      <c r="AE59" s="913"/>
      <c r="AF59" s="912"/>
      <c r="AG59" s="912"/>
      <c r="AH59" s="913"/>
      <c r="AI59" s="913"/>
      <c r="AJ59" s="912"/>
      <c r="AK59" s="912"/>
      <c r="AL59" s="925"/>
      <c r="AM59" s="926"/>
      <c r="AN59" s="926"/>
      <c r="AO59" s="926"/>
      <c r="AP59" s="926"/>
      <c r="AQ59" s="926"/>
      <c r="AR59" s="926"/>
      <c r="AS59" s="926"/>
      <c r="AT59" s="926"/>
      <c r="AU59" s="926"/>
      <c r="AV59" s="926"/>
      <c r="AW59" s="926"/>
      <c r="AX59" s="926"/>
      <c r="AY59" s="926"/>
      <c r="AZ59" s="926"/>
      <c r="BA59" s="926"/>
      <c r="BB59" s="927"/>
    </row>
    <row r="60" spans="1:54" x14ac:dyDescent="0.25">
      <c r="A60" s="13">
        <f t="shared" si="0"/>
        <v>47</v>
      </c>
      <c r="B60" s="888" t="str">
        <f>'refer admin discharge'!B61</f>
        <v>x</v>
      </c>
      <c r="C60" s="888"/>
      <c r="D60" s="868" t="str">
        <f>'refer admin discharge'!D61</f>
        <v>xx</v>
      </c>
      <c r="E60" s="868"/>
      <c r="F60" s="891" t="str">
        <f>'refer admin discharge'!H61</f>
        <v>00/00/0000</v>
      </c>
      <c r="G60" s="892"/>
      <c r="H60" s="894"/>
      <c r="I60" s="894"/>
      <c r="J60" s="918"/>
      <c r="K60" s="918"/>
      <c r="L60" s="894"/>
      <c r="M60" s="894"/>
      <c r="N60" s="916"/>
      <c r="O60" s="916"/>
      <c r="P60" s="894"/>
      <c r="Q60" s="894"/>
      <c r="R60" s="916"/>
      <c r="S60" s="916"/>
      <c r="T60" s="894"/>
      <c r="U60" s="894"/>
      <c r="V60" s="921" t="str">
        <f>'refer admin discharge'!H61</f>
        <v>00/00/0000</v>
      </c>
      <c r="W60" s="922"/>
      <c r="X60" s="920"/>
      <c r="Y60" s="920"/>
      <c r="Z60" s="919"/>
      <c r="AA60" s="919"/>
      <c r="AB60" s="920"/>
      <c r="AC60" s="920"/>
      <c r="AD60" s="912"/>
      <c r="AE60" s="912"/>
      <c r="AF60" s="920"/>
      <c r="AG60" s="920"/>
      <c r="AH60" s="912"/>
      <c r="AI60" s="912"/>
      <c r="AJ60" s="920"/>
      <c r="AK60" s="920"/>
      <c r="AL60" s="905"/>
      <c r="AM60" s="906"/>
      <c r="AN60" s="906"/>
      <c r="AO60" s="906"/>
      <c r="AP60" s="906"/>
      <c r="AQ60" s="906"/>
      <c r="AR60" s="906"/>
      <c r="AS60" s="906"/>
      <c r="AT60" s="906"/>
      <c r="AU60" s="906"/>
      <c r="AV60" s="906"/>
      <c r="AW60" s="906"/>
      <c r="AX60" s="906"/>
      <c r="AY60" s="906"/>
      <c r="AZ60" s="906"/>
      <c r="BA60" s="906"/>
      <c r="BB60" s="907"/>
    </row>
    <row r="61" spans="1:54" x14ac:dyDescent="0.25">
      <c r="A61" s="13">
        <f t="shared" si="0"/>
        <v>48</v>
      </c>
      <c r="B61" s="914" t="str">
        <f>'refer admin discharge'!B62</f>
        <v>x</v>
      </c>
      <c r="C61" s="914"/>
      <c r="D61" s="889" t="str">
        <f>'refer admin discharge'!D62</f>
        <v>xx</v>
      </c>
      <c r="E61" s="889"/>
      <c r="F61" s="915" t="str">
        <f>'refer admin discharge'!H62</f>
        <v>00/00/0000</v>
      </c>
      <c r="G61" s="890"/>
      <c r="H61" s="916"/>
      <c r="I61" s="916"/>
      <c r="J61" s="917"/>
      <c r="K61" s="917"/>
      <c r="L61" s="916"/>
      <c r="M61" s="916"/>
      <c r="N61" s="893"/>
      <c r="O61" s="893"/>
      <c r="P61" s="916"/>
      <c r="Q61" s="916"/>
      <c r="R61" s="893"/>
      <c r="S61" s="893"/>
      <c r="T61" s="916"/>
      <c r="U61" s="916"/>
      <c r="V61" s="923" t="str">
        <f>'refer admin discharge'!H62</f>
        <v>00/00/0000</v>
      </c>
      <c r="W61" s="910"/>
      <c r="X61" s="912"/>
      <c r="Y61" s="912"/>
      <c r="Z61" s="924"/>
      <c r="AA61" s="924"/>
      <c r="AB61" s="912"/>
      <c r="AC61" s="912"/>
      <c r="AD61" s="913"/>
      <c r="AE61" s="913"/>
      <c r="AF61" s="912"/>
      <c r="AG61" s="912"/>
      <c r="AH61" s="913"/>
      <c r="AI61" s="913"/>
      <c r="AJ61" s="912"/>
      <c r="AK61" s="912"/>
      <c r="AL61" s="925"/>
      <c r="AM61" s="926"/>
      <c r="AN61" s="926"/>
      <c r="AO61" s="926"/>
      <c r="AP61" s="926"/>
      <c r="AQ61" s="926"/>
      <c r="AR61" s="926"/>
      <c r="AS61" s="926"/>
      <c r="AT61" s="926"/>
      <c r="AU61" s="926"/>
      <c r="AV61" s="926"/>
      <c r="AW61" s="926"/>
      <c r="AX61" s="926"/>
      <c r="AY61" s="926"/>
      <c r="AZ61" s="926"/>
      <c r="BA61" s="926"/>
      <c r="BB61" s="927"/>
    </row>
    <row r="62" spans="1:54" x14ac:dyDescent="0.25">
      <c r="A62" s="13">
        <f t="shared" si="0"/>
        <v>49</v>
      </c>
      <c r="B62" s="888" t="str">
        <f>'refer admin discharge'!B63</f>
        <v>x</v>
      </c>
      <c r="C62" s="888"/>
      <c r="D62" s="868" t="str">
        <f>'refer admin discharge'!D63</f>
        <v>xx</v>
      </c>
      <c r="E62" s="868"/>
      <c r="F62" s="891" t="str">
        <f>'refer admin discharge'!H63</f>
        <v>00/00/0000</v>
      </c>
      <c r="G62" s="892"/>
      <c r="H62" s="894"/>
      <c r="I62" s="894"/>
      <c r="J62" s="918"/>
      <c r="K62" s="918"/>
      <c r="L62" s="894"/>
      <c r="M62" s="894"/>
      <c r="N62" s="916"/>
      <c r="O62" s="916"/>
      <c r="P62" s="894"/>
      <c r="Q62" s="894"/>
      <c r="R62" s="916"/>
      <c r="S62" s="916"/>
      <c r="T62" s="894"/>
      <c r="U62" s="894"/>
      <c r="V62" s="921" t="str">
        <f>'refer admin discharge'!H63</f>
        <v>00/00/0000</v>
      </c>
      <c r="W62" s="922"/>
      <c r="X62" s="920"/>
      <c r="Y62" s="920"/>
      <c r="Z62" s="919"/>
      <c r="AA62" s="919"/>
      <c r="AB62" s="920"/>
      <c r="AC62" s="920"/>
      <c r="AD62" s="912"/>
      <c r="AE62" s="912"/>
      <c r="AF62" s="920"/>
      <c r="AG62" s="920"/>
      <c r="AH62" s="912"/>
      <c r="AI62" s="912"/>
      <c r="AJ62" s="920"/>
      <c r="AK62" s="920"/>
      <c r="AL62" s="905"/>
      <c r="AM62" s="906"/>
      <c r="AN62" s="906"/>
      <c r="AO62" s="906"/>
      <c r="AP62" s="906"/>
      <c r="AQ62" s="906"/>
      <c r="AR62" s="906"/>
      <c r="AS62" s="906"/>
      <c r="AT62" s="906"/>
      <c r="AU62" s="906"/>
      <c r="AV62" s="906"/>
      <c r="AW62" s="906"/>
      <c r="AX62" s="906"/>
      <c r="AY62" s="906"/>
      <c r="AZ62" s="906"/>
      <c r="BA62" s="906"/>
      <c r="BB62" s="907"/>
    </row>
    <row r="63" spans="1:54" x14ac:dyDescent="0.25">
      <c r="A63" s="13">
        <f t="shared" si="0"/>
        <v>50</v>
      </c>
      <c r="B63" s="914" t="str">
        <f>'refer admin discharge'!B64</f>
        <v>x</v>
      </c>
      <c r="C63" s="914"/>
      <c r="D63" s="889" t="str">
        <f>'refer admin discharge'!D64</f>
        <v>xx</v>
      </c>
      <c r="E63" s="889"/>
      <c r="F63" s="915" t="str">
        <f>'refer admin discharge'!H64</f>
        <v>00/00/0000</v>
      </c>
      <c r="G63" s="890"/>
      <c r="H63" s="916"/>
      <c r="I63" s="916"/>
      <c r="J63" s="917"/>
      <c r="K63" s="917"/>
      <c r="L63" s="916"/>
      <c r="M63" s="916"/>
      <c r="N63" s="893"/>
      <c r="O63" s="893"/>
      <c r="P63" s="916"/>
      <c r="Q63" s="916"/>
      <c r="R63" s="893"/>
      <c r="S63" s="893"/>
      <c r="T63" s="916"/>
      <c r="U63" s="916"/>
      <c r="V63" s="923" t="str">
        <f>'refer admin discharge'!H64</f>
        <v>00/00/0000</v>
      </c>
      <c r="W63" s="910"/>
      <c r="X63" s="912"/>
      <c r="Y63" s="912"/>
      <c r="Z63" s="924"/>
      <c r="AA63" s="924"/>
      <c r="AB63" s="912"/>
      <c r="AC63" s="912"/>
      <c r="AD63" s="913"/>
      <c r="AE63" s="913"/>
      <c r="AF63" s="912"/>
      <c r="AG63" s="912"/>
      <c r="AH63" s="913"/>
      <c r="AI63" s="913"/>
      <c r="AJ63" s="912"/>
      <c r="AK63" s="912"/>
      <c r="AL63" s="925"/>
      <c r="AM63" s="926"/>
      <c r="AN63" s="926"/>
      <c r="AO63" s="926"/>
      <c r="AP63" s="926"/>
      <c r="AQ63" s="926"/>
      <c r="AR63" s="926"/>
      <c r="AS63" s="926"/>
      <c r="AT63" s="926"/>
      <c r="AU63" s="926"/>
      <c r="AV63" s="926"/>
      <c r="AW63" s="926"/>
      <c r="AX63" s="926"/>
      <c r="AY63" s="926"/>
      <c r="AZ63" s="926"/>
      <c r="BA63" s="926"/>
      <c r="BB63" s="927"/>
    </row>
    <row r="64" spans="1:54" x14ac:dyDescent="0.25">
      <c r="A64" s="13">
        <f t="shared" si="0"/>
        <v>51</v>
      </c>
      <c r="B64" s="888" t="str">
        <f>'refer admin discharge'!B65</f>
        <v>x</v>
      </c>
      <c r="C64" s="888"/>
      <c r="D64" s="868" t="str">
        <f>'refer admin discharge'!D65</f>
        <v>xx</v>
      </c>
      <c r="E64" s="868"/>
      <c r="F64" s="891" t="str">
        <f>'refer admin discharge'!H65</f>
        <v>00/00/0000</v>
      </c>
      <c r="G64" s="892"/>
      <c r="H64" s="894"/>
      <c r="I64" s="894"/>
      <c r="J64" s="918"/>
      <c r="K64" s="918"/>
      <c r="L64" s="894"/>
      <c r="M64" s="894"/>
      <c r="N64" s="916"/>
      <c r="O64" s="916"/>
      <c r="P64" s="894"/>
      <c r="Q64" s="894"/>
      <c r="R64" s="916"/>
      <c r="S64" s="916"/>
      <c r="T64" s="894"/>
      <c r="U64" s="894"/>
      <c r="V64" s="921" t="str">
        <f>'refer admin discharge'!H65</f>
        <v>00/00/0000</v>
      </c>
      <c r="W64" s="922"/>
      <c r="X64" s="920"/>
      <c r="Y64" s="920"/>
      <c r="Z64" s="919"/>
      <c r="AA64" s="919"/>
      <c r="AB64" s="920"/>
      <c r="AC64" s="920"/>
      <c r="AD64" s="912"/>
      <c r="AE64" s="912"/>
      <c r="AF64" s="920"/>
      <c r="AG64" s="920"/>
      <c r="AH64" s="912"/>
      <c r="AI64" s="912"/>
      <c r="AJ64" s="920"/>
      <c r="AK64" s="920"/>
      <c r="AL64" s="905"/>
      <c r="AM64" s="906"/>
      <c r="AN64" s="906"/>
      <c r="AO64" s="906"/>
      <c r="AP64" s="906"/>
      <c r="AQ64" s="906"/>
      <c r="AR64" s="906"/>
      <c r="AS64" s="906"/>
      <c r="AT64" s="906"/>
      <c r="AU64" s="906"/>
      <c r="AV64" s="906"/>
      <c r="AW64" s="906"/>
      <c r="AX64" s="906"/>
      <c r="AY64" s="906"/>
      <c r="AZ64" s="906"/>
      <c r="BA64" s="906"/>
      <c r="BB64" s="907"/>
    </row>
    <row r="65" spans="1:54" x14ac:dyDescent="0.25">
      <c r="A65" s="13">
        <f t="shared" si="0"/>
        <v>52</v>
      </c>
      <c r="B65" s="914" t="str">
        <f>'refer admin discharge'!B66</f>
        <v>x</v>
      </c>
      <c r="C65" s="914"/>
      <c r="D65" s="889" t="str">
        <f>'refer admin discharge'!D66</f>
        <v>xx</v>
      </c>
      <c r="E65" s="889"/>
      <c r="F65" s="915" t="str">
        <f>'refer admin discharge'!H66</f>
        <v>00/00/0000</v>
      </c>
      <c r="G65" s="890"/>
      <c r="H65" s="916"/>
      <c r="I65" s="916"/>
      <c r="J65" s="917"/>
      <c r="K65" s="917"/>
      <c r="L65" s="916"/>
      <c r="M65" s="916"/>
      <c r="N65" s="893"/>
      <c r="O65" s="893"/>
      <c r="P65" s="916"/>
      <c r="Q65" s="916"/>
      <c r="R65" s="893"/>
      <c r="S65" s="893"/>
      <c r="T65" s="916"/>
      <c r="U65" s="916"/>
      <c r="V65" s="923" t="str">
        <f>'refer admin discharge'!H66</f>
        <v>00/00/0000</v>
      </c>
      <c r="W65" s="910"/>
      <c r="X65" s="912"/>
      <c r="Y65" s="912"/>
      <c r="Z65" s="924"/>
      <c r="AA65" s="924"/>
      <c r="AB65" s="912"/>
      <c r="AC65" s="912"/>
      <c r="AD65" s="913"/>
      <c r="AE65" s="913"/>
      <c r="AF65" s="912"/>
      <c r="AG65" s="912"/>
      <c r="AH65" s="913"/>
      <c r="AI65" s="913"/>
      <c r="AJ65" s="912"/>
      <c r="AK65" s="912"/>
      <c r="AL65" s="925"/>
      <c r="AM65" s="926"/>
      <c r="AN65" s="926"/>
      <c r="AO65" s="926"/>
      <c r="AP65" s="926"/>
      <c r="AQ65" s="926"/>
      <c r="AR65" s="926"/>
      <c r="AS65" s="926"/>
      <c r="AT65" s="926"/>
      <c r="AU65" s="926"/>
      <c r="AV65" s="926"/>
      <c r="AW65" s="926"/>
      <c r="AX65" s="926"/>
      <c r="AY65" s="926"/>
      <c r="AZ65" s="926"/>
      <c r="BA65" s="926"/>
      <c r="BB65" s="927"/>
    </row>
    <row r="66" spans="1:54" x14ac:dyDescent="0.25">
      <c r="A66" s="13">
        <f t="shared" si="0"/>
        <v>53</v>
      </c>
      <c r="B66" s="914" t="str">
        <f>'refer admin discharge'!B67</f>
        <v>x</v>
      </c>
      <c r="C66" s="914"/>
      <c r="D66" s="889" t="str">
        <f>'refer admin discharge'!D67</f>
        <v>xx</v>
      </c>
      <c r="E66" s="889"/>
      <c r="F66" s="915" t="str">
        <f>'refer admin discharge'!H67</f>
        <v>00/00/0000</v>
      </c>
      <c r="G66" s="890"/>
      <c r="H66" s="894"/>
      <c r="I66" s="894"/>
      <c r="J66" s="918"/>
      <c r="K66" s="918"/>
      <c r="L66" s="894"/>
      <c r="M66" s="894"/>
      <c r="N66" s="916"/>
      <c r="O66" s="916"/>
      <c r="P66" s="894"/>
      <c r="Q66" s="894"/>
      <c r="R66" s="916"/>
      <c r="S66" s="916"/>
      <c r="T66" s="894"/>
      <c r="U66" s="894"/>
      <c r="V66" s="921" t="str">
        <f>'refer admin discharge'!H67</f>
        <v>00/00/0000</v>
      </c>
      <c r="W66" s="922"/>
      <c r="X66" s="920"/>
      <c r="Y66" s="920"/>
      <c r="Z66" s="919"/>
      <c r="AA66" s="919"/>
      <c r="AB66" s="920"/>
      <c r="AC66" s="920"/>
      <c r="AD66" s="912"/>
      <c r="AE66" s="912"/>
      <c r="AF66" s="920"/>
      <c r="AG66" s="920"/>
      <c r="AH66" s="912"/>
      <c r="AI66" s="912"/>
      <c r="AJ66" s="920"/>
      <c r="AK66" s="920"/>
      <c r="AL66" s="905"/>
      <c r="AM66" s="906"/>
      <c r="AN66" s="906"/>
      <c r="AO66" s="906"/>
      <c r="AP66" s="906"/>
      <c r="AQ66" s="906"/>
      <c r="AR66" s="906"/>
      <c r="AS66" s="906"/>
      <c r="AT66" s="906"/>
      <c r="AU66" s="906"/>
      <c r="AV66" s="906"/>
      <c r="AW66" s="906"/>
      <c r="AX66" s="906"/>
      <c r="AY66" s="906"/>
      <c r="AZ66" s="906"/>
      <c r="BA66" s="906"/>
      <c r="BB66" s="907"/>
    </row>
    <row r="67" spans="1:54" x14ac:dyDescent="0.25">
      <c r="A67" s="13">
        <f t="shared" si="0"/>
        <v>54</v>
      </c>
      <c r="B67" s="914" t="str">
        <f>'refer admin discharge'!B68</f>
        <v>x</v>
      </c>
      <c r="C67" s="914"/>
      <c r="D67" s="889" t="str">
        <f>'refer admin discharge'!D68</f>
        <v>xx</v>
      </c>
      <c r="E67" s="889"/>
      <c r="F67" s="915" t="str">
        <f>'refer admin discharge'!H68</f>
        <v>00/00/0000</v>
      </c>
      <c r="G67" s="890"/>
      <c r="H67" s="916"/>
      <c r="I67" s="916"/>
      <c r="J67" s="917"/>
      <c r="K67" s="917"/>
      <c r="L67" s="916"/>
      <c r="M67" s="916"/>
      <c r="N67" s="893"/>
      <c r="O67" s="893"/>
      <c r="P67" s="916"/>
      <c r="Q67" s="916"/>
      <c r="R67" s="893"/>
      <c r="S67" s="893"/>
      <c r="T67" s="916"/>
      <c r="U67" s="916"/>
      <c r="V67" s="923" t="str">
        <f>'refer admin discharge'!H68</f>
        <v>00/00/0000</v>
      </c>
      <c r="W67" s="910"/>
      <c r="X67" s="912"/>
      <c r="Y67" s="912"/>
      <c r="Z67" s="924"/>
      <c r="AA67" s="924"/>
      <c r="AB67" s="912"/>
      <c r="AC67" s="912"/>
      <c r="AD67" s="913"/>
      <c r="AE67" s="913"/>
      <c r="AF67" s="912"/>
      <c r="AG67" s="912"/>
      <c r="AH67" s="913"/>
      <c r="AI67" s="913"/>
      <c r="AJ67" s="912"/>
      <c r="AK67" s="912"/>
      <c r="AL67" s="925"/>
      <c r="AM67" s="926"/>
      <c r="AN67" s="926"/>
      <c r="AO67" s="926"/>
      <c r="AP67" s="926"/>
      <c r="AQ67" s="926"/>
      <c r="AR67" s="926"/>
      <c r="AS67" s="926"/>
      <c r="AT67" s="926"/>
      <c r="AU67" s="926"/>
      <c r="AV67" s="926"/>
      <c r="AW67" s="926"/>
      <c r="AX67" s="926"/>
      <c r="AY67" s="926"/>
      <c r="AZ67" s="926"/>
      <c r="BA67" s="926"/>
      <c r="BB67" s="927"/>
    </row>
    <row r="68" spans="1:54" x14ac:dyDescent="0.25">
      <c r="A68" s="13">
        <f t="shared" si="0"/>
        <v>55</v>
      </c>
      <c r="B68" s="888" t="str">
        <f>'refer admin discharge'!B67</f>
        <v>x</v>
      </c>
      <c r="C68" s="888"/>
      <c r="D68" s="868" t="str">
        <f>'refer admin discharge'!D67</f>
        <v>xx</v>
      </c>
      <c r="E68" s="868"/>
      <c r="F68" s="891" t="str">
        <f>'refer admin discharge'!H67</f>
        <v>00/00/0000</v>
      </c>
      <c r="G68" s="892"/>
      <c r="H68" s="894"/>
      <c r="I68" s="894"/>
      <c r="J68" s="918"/>
      <c r="K68" s="918"/>
      <c r="L68" s="894"/>
      <c r="M68" s="894"/>
      <c r="N68" s="916"/>
      <c r="O68" s="916"/>
      <c r="P68" s="894"/>
      <c r="Q68" s="894"/>
      <c r="R68" s="916"/>
      <c r="S68" s="916"/>
      <c r="T68" s="894"/>
      <c r="U68" s="894"/>
      <c r="V68" s="921" t="str">
        <f>'refer admin discharge'!H69</f>
        <v>00/00/0000</v>
      </c>
      <c r="W68" s="922"/>
      <c r="X68" s="920"/>
      <c r="Y68" s="920"/>
      <c r="Z68" s="919"/>
      <c r="AA68" s="919"/>
      <c r="AB68" s="920"/>
      <c r="AC68" s="920"/>
      <c r="AD68" s="912"/>
      <c r="AE68" s="912"/>
      <c r="AF68" s="920"/>
      <c r="AG68" s="920"/>
      <c r="AH68" s="912"/>
      <c r="AI68" s="912"/>
      <c r="AJ68" s="920"/>
      <c r="AK68" s="920"/>
      <c r="AL68" s="905"/>
      <c r="AM68" s="906"/>
      <c r="AN68" s="906"/>
      <c r="AO68" s="906"/>
      <c r="AP68" s="906"/>
      <c r="AQ68" s="906"/>
      <c r="AR68" s="906"/>
      <c r="AS68" s="906"/>
      <c r="AT68" s="906"/>
      <c r="AU68" s="906"/>
      <c r="AV68" s="906"/>
      <c r="AW68" s="906"/>
      <c r="AX68" s="906"/>
      <c r="AY68" s="906"/>
      <c r="AZ68" s="906"/>
      <c r="BA68" s="906"/>
      <c r="BB68" s="907"/>
    </row>
    <row r="69" spans="1:54" x14ac:dyDescent="0.25">
      <c r="A69" s="13">
        <f t="shared" si="0"/>
        <v>56</v>
      </c>
      <c r="B69" s="914" t="str">
        <f>'refer admin discharge'!B68</f>
        <v>x</v>
      </c>
      <c r="C69" s="914"/>
      <c r="D69" s="889" t="str">
        <f>'refer admin discharge'!D68</f>
        <v>xx</v>
      </c>
      <c r="E69" s="889"/>
      <c r="F69" s="915" t="str">
        <f>'refer admin discharge'!H68</f>
        <v>00/00/0000</v>
      </c>
      <c r="G69" s="890"/>
      <c r="H69" s="916"/>
      <c r="I69" s="916"/>
      <c r="J69" s="917"/>
      <c r="K69" s="917"/>
      <c r="L69" s="916"/>
      <c r="M69" s="916"/>
      <c r="N69" s="893"/>
      <c r="O69" s="893"/>
      <c r="P69" s="916"/>
      <c r="Q69" s="916"/>
      <c r="R69" s="893"/>
      <c r="S69" s="893"/>
      <c r="T69" s="916"/>
      <c r="U69" s="916"/>
      <c r="V69" s="923" t="str">
        <f>'refer admin discharge'!H70</f>
        <v>00/00/0000</v>
      </c>
      <c r="W69" s="910"/>
      <c r="X69" s="912"/>
      <c r="Y69" s="912"/>
      <c r="Z69" s="924"/>
      <c r="AA69" s="924"/>
      <c r="AB69" s="912"/>
      <c r="AC69" s="912"/>
      <c r="AD69" s="913"/>
      <c r="AE69" s="913"/>
      <c r="AF69" s="912"/>
      <c r="AG69" s="912"/>
      <c r="AH69" s="913"/>
      <c r="AI69" s="913"/>
      <c r="AJ69" s="912"/>
      <c r="AK69" s="912"/>
      <c r="AL69" s="925"/>
      <c r="AM69" s="926"/>
      <c r="AN69" s="926"/>
      <c r="AO69" s="926"/>
      <c r="AP69" s="926"/>
      <c r="AQ69" s="926"/>
      <c r="AR69" s="926"/>
      <c r="AS69" s="926"/>
      <c r="AT69" s="926"/>
      <c r="AU69" s="926"/>
      <c r="AV69" s="926"/>
      <c r="AW69" s="926"/>
      <c r="AX69" s="926"/>
      <c r="AY69" s="926"/>
      <c r="AZ69" s="926"/>
      <c r="BA69" s="926"/>
      <c r="BB69" s="927"/>
    </row>
    <row r="70" spans="1:54" x14ac:dyDescent="0.25">
      <c r="A70" s="13">
        <f t="shared" si="0"/>
        <v>57</v>
      </c>
      <c r="B70" s="888" t="str">
        <f>'refer admin discharge'!B69</f>
        <v>x</v>
      </c>
      <c r="C70" s="888"/>
      <c r="D70" s="868" t="str">
        <f>'refer admin discharge'!D69</f>
        <v>xx</v>
      </c>
      <c r="E70" s="868"/>
      <c r="F70" s="891" t="str">
        <f>'refer admin discharge'!H69</f>
        <v>00/00/0000</v>
      </c>
      <c r="G70" s="892"/>
      <c r="H70" s="894"/>
      <c r="I70" s="894"/>
      <c r="J70" s="918"/>
      <c r="K70" s="918"/>
      <c r="L70" s="894"/>
      <c r="M70" s="894"/>
      <c r="N70" s="916"/>
      <c r="O70" s="916"/>
      <c r="P70" s="894"/>
      <c r="Q70" s="894"/>
      <c r="R70" s="916"/>
      <c r="S70" s="916"/>
      <c r="T70" s="894"/>
      <c r="U70" s="894"/>
      <c r="V70" s="921" t="str">
        <f>'refer admin discharge'!H71</f>
        <v>00/00/0000</v>
      </c>
      <c r="W70" s="922"/>
      <c r="X70" s="920"/>
      <c r="Y70" s="920"/>
      <c r="Z70" s="919"/>
      <c r="AA70" s="919"/>
      <c r="AB70" s="920"/>
      <c r="AC70" s="920"/>
      <c r="AD70" s="912"/>
      <c r="AE70" s="912"/>
      <c r="AF70" s="920"/>
      <c r="AG70" s="920"/>
      <c r="AH70" s="912"/>
      <c r="AI70" s="912"/>
      <c r="AJ70" s="920"/>
      <c r="AK70" s="920"/>
      <c r="AL70" s="905"/>
      <c r="AM70" s="906"/>
      <c r="AN70" s="906"/>
      <c r="AO70" s="906"/>
      <c r="AP70" s="906"/>
      <c r="AQ70" s="906"/>
      <c r="AR70" s="906"/>
      <c r="AS70" s="906"/>
      <c r="AT70" s="906"/>
      <c r="AU70" s="906"/>
      <c r="AV70" s="906"/>
      <c r="AW70" s="906"/>
      <c r="AX70" s="906"/>
      <c r="AY70" s="906"/>
      <c r="AZ70" s="906"/>
      <c r="BA70" s="906"/>
      <c r="BB70" s="907"/>
    </row>
    <row r="71" spans="1:54" x14ac:dyDescent="0.25">
      <c r="A71" s="13">
        <f t="shared" si="0"/>
        <v>58</v>
      </c>
      <c r="B71" s="914" t="str">
        <f>'refer admin discharge'!B70</f>
        <v>x</v>
      </c>
      <c r="C71" s="914"/>
      <c r="D71" s="889" t="str">
        <f>'refer admin discharge'!D70</f>
        <v>xx</v>
      </c>
      <c r="E71" s="889"/>
      <c r="F71" s="915" t="str">
        <f>'refer admin discharge'!H70</f>
        <v>00/00/0000</v>
      </c>
      <c r="G71" s="890"/>
      <c r="H71" s="916"/>
      <c r="I71" s="916"/>
      <c r="J71" s="917"/>
      <c r="K71" s="917"/>
      <c r="L71" s="916"/>
      <c r="M71" s="916"/>
      <c r="N71" s="893"/>
      <c r="O71" s="893"/>
      <c r="P71" s="916"/>
      <c r="Q71" s="916"/>
      <c r="R71" s="893"/>
      <c r="S71" s="893"/>
      <c r="T71" s="916"/>
      <c r="U71" s="916"/>
      <c r="V71" s="923" t="str">
        <f>'refer admin discharge'!H72</f>
        <v>00/00/0000</v>
      </c>
      <c r="W71" s="910"/>
      <c r="X71" s="912"/>
      <c r="Y71" s="912"/>
      <c r="Z71" s="924"/>
      <c r="AA71" s="924"/>
      <c r="AB71" s="912"/>
      <c r="AC71" s="912"/>
      <c r="AD71" s="913"/>
      <c r="AE71" s="913"/>
      <c r="AF71" s="912"/>
      <c r="AG71" s="912"/>
      <c r="AH71" s="913"/>
      <c r="AI71" s="913"/>
      <c r="AJ71" s="912"/>
      <c r="AK71" s="912"/>
      <c r="AL71" s="925"/>
      <c r="AM71" s="926"/>
      <c r="AN71" s="926"/>
      <c r="AO71" s="926"/>
      <c r="AP71" s="926"/>
      <c r="AQ71" s="926"/>
      <c r="AR71" s="926"/>
      <c r="AS71" s="926"/>
      <c r="AT71" s="926"/>
      <c r="AU71" s="926"/>
      <c r="AV71" s="926"/>
      <c r="AW71" s="926"/>
      <c r="AX71" s="926"/>
      <c r="AY71" s="926"/>
      <c r="AZ71" s="926"/>
      <c r="BA71" s="926"/>
      <c r="BB71" s="927"/>
    </row>
    <row r="72" spans="1:54" x14ac:dyDescent="0.25">
      <c r="A72" s="13">
        <f t="shared" si="0"/>
        <v>59</v>
      </c>
      <c r="B72" s="888" t="str">
        <f>'refer admin discharge'!B71</f>
        <v>x</v>
      </c>
      <c r="C72" s="888"/>
      <c r="D72" s="868" t="str">
        <f>'refer admin discharge'!D71</f>
        <v>xx</v>
      </c>
      <c r="E72" s="868"/>
      <c r="F72" s="891" t="str">
        <f>'refer admin discharge'!H71</f>
        <v>00/00/0000</v>
      </c>
      <c r="G72" s="892"/>
      <c r="H72" s="894"/>
      <c r="I72" s="894"/>
      <c r="J72" s="918"/>
      <c r="K72" s="918"/>
      <c r="L72" s="894"/>
      <c r="M72" s="894"/>
      <c r="N72" s="916"/>
      <c r="O72" s="916"/>
      <c r="P72" s="894"/>
      <c r="Q72" s="894"/>
      <c r="R72" s="916"/>
      <c r="S72" s="916"/>
      <c r="T72" s="894"/>
      <c r="U72" s="894"/>
      <c r="V72" s="921" t="str">
        <f>'refer admin discharge'!H73</f>
        <v>00/00/0000</v>
      </c>
      <c r="W72" s="922"/>
      <c r="X72" s="920"/>
      <c r="Y72" s="920"/>
      <c r="Z72" s="919"/>
      <c r="AA72" s="919"/>
      <c r="AB72" s="920"/>
      <c r="AC72" s="920"/>
      <c r="AD72" s="912"/>
      <c r="AE72" s="912"/>
      <c r="AF72" s="920"/>
      <c r="AG72" s="920"/>
      <c r="AH72" s="912"/>
      <c r="AI72" s="912"/>
      <c r="AJ72" s="920"/>
      <c r="AK72" s="920"/>
      <c r="AL72" s="905"/>
      <c r="AM72" s="906"/>
      <c r="AN72" s="906"/>
      <c r="AO72" s="906"/>
      <c r="AP72" s="906"/>
      <c r="AQ72" s="906"/>
      <c r="AR72" s="906"/>
      <c r="AS72" s="906"/>
      <c r="AT72" s="906"/>
      <c r="AU72" s="906"/>
      <c r="AV72" s="906"/>
      <c r="AW72" s="906"/>
      <c r="AX72" s="906"/>
      <c r="AY72" s="906"/>
      <c r="AZ72" s="906"/>
      <c r="BA72" s="906"/>
      <c r="BB72" s="907"/>
    </row>
    <row r="73" spans="1:54" x14ac:dyDescent="0.25">
      <c r="A73" s="13">
        <f t="shared" si="0"/>
        <v>60</v>
      </c>
      <c r="B73" s="914" t="str">
        <f>'refer admin discharge'!B72</f>
        <v>x</v>
      </c>
      <c r="C73" s="914"/>
      <c r="D73" s="889" t="str">
        <f>'refer admin discharge'!D72</f>
        <v>xx</v>
      </c>
      <c r="E73" s="889"/>
      <c r="F73" s="915" t="str">
        <f>'refer admin discharge'!H72</f>
        <v>00/00/0000</v>
      </c>
      <c r="G73" s="890"/>
      <c r="H73" s="916"/>
      <c r="I73" s="916"/>
      <c r="J73" s="917"/>
      <c r="K73" s="917"/>
      <c r="L73" s="916"/>
      <c r="M73" s="916"/>
      <c r="N73" s="893"/>
      <c r="O73" s="893"/>
      <c r="P73" s="916"/>
      <c r="Q73" s="916"/>
      <c r="R73" s="893"/>
      <c r="S73" s="893"/>
      <c r="T73" s="916"/>
      <c r="U73" s="916"/>
      <c r="V73" s="923" t="str">
        <f>'refer admin discharge'!H74</f>
        <v>00/00/0000</v>
      </c>
      <c r="W73" s="910"/>
      <c r="X73" s="912"/>
      <c r="Y73" s="912"/>
      <c r="Z73" s="924"/>
      <c r="AA73" s="924"/>
      <c r="AB73" s="912"/>
      <c r="AC73" s="912"/>
      <c r="AD73" s="913"/>
      <c r="AE73" s="913"/>
      <c r="AF73" s="912"/>
      <c r="AG73" s="912"/>
      <c r="AH73" s="913"/>
      <c r="AI73" s="913"/>
      <c r="AJ73" s="912"/>
      <c r="AK73" s="912"/>
      <c r="AL73" s="925"/>
      <c r="AM73" s="926"/>
      <c r="AN73" s="926"/>
      <c r="AO73" s="926"/>
      <c r="AP73" s="926"/>
      <c r="AQ73" s="926"/>
      <c r="AR73" s="926"/>
      <c r="AS73" s="926"/>
      <c r="AT73" s="926"/>
      <c r="AU73" s="926"/>
      <c r="AV73" s="926"/>
      <c r="AW73" s="926"/>
      <c r="AX73" s="926"/>
      <c r="AY73" s="926"/>
      <c r="AZ73" s="926"/>
      <c r="BA73" s="926"/>
      <c r="BB73" s="927"/>
    </row>
    <row r="74" spans="1:54" x14ac:dyDescent="0.25">
      <c r="A74" s="13">
        <f t="shared" si="0"/>
        <v>61</v>
      </c>
      <c r="B74" s="888" t="str">
        <f>'refer admin discharge'!B73</f>
        <v>x</v>
      </c>
      <c r="C74" s="888"/>
      <c r="D74" s="868" t="str">
        <f>'refer admin discharge'!D73</f>
        <v>xx</v>
      </c>
      <c r="E74" s="868"/>
      <c r="F74" s="891" t="str">
        <f>'refer admin discharge'!H73</f>
        <v>00/00/0000</v>
      </c>
      <c r="G74" s="892"/>
      <c r="H74" s="894"/>
      <c r="I74" s="894"/>
      <c r="J74" s="918"/>
      <c r="K74" s="918"/>
      <c r="L74" s="894"/>
      <c r="M74" s="894"/>
      <c r="N74" s="916"/>
      <c r="O74" s="916"/>
      <c r="P74" s="894"/>
      <c r="Q74" s="894"/>
      <c r="R74" s="916"/>
      <c r="S74" s="916"/>
      <c r="T74" s="894"/>
      <c r="U74" s="894"/>
      <c r="V74" s="921" t="str">
        <f>'refer admin discharge'!H75</f>
        <v>00/00/0000</v>
      </c>
      <c r="W74" s="922"/>
      <c r="X74" s="920"/>
      <c r="Y74" s="920"/>
      <c r="Z74" s="919"/>
      <c r="AA74" s="919"/>
      <c r="AB74" s="920"/>
      <c r="AC74" s="920"/>
      <c r="AD74" s="912"/>
      <c r="AE74" s="912"/>
      <c r="AF74" s="920"/>
      <c r="AG74" s="920"/>
      <c r="AH74" s="912"/>
      <c r="AI74" s="912"/>
      <c r="AJ74" s="920"/>
      <c r="AK74" s="920"/>
      <c r="AL74" s="905"/>
      <c r="AM74" s="906"/>
      <c r="AN74" s="906"/>
      <c r="AO74" s="906"/>
      <c r="AP74" s="906"/>
      <c r="AQ74" s="906"/>
      <c r="AR74" s="906"/>
      <c r="AS74" s="906"/>
      <c r="AT74" s="906"/>
      <c r="AU74" s="906"/>
      <c r="AV74" s="906"/>
      <c r="AW74" s="906"/>
      <c r="AX74" s="906"/>
      <c r="AY74" s="906"/>
      <c r="AZ74" s="906"/>
      <c r="BA74" s="906"/>
      <c r="BB74" s="907"/>
    </row>
    <row r="75" spans="1:54" x14ac:dyDescent="0.25">
      <c r="A75" s="13">
        <f t="shared" si="0"/>
        <v>62</v>
      </c>
      <c r="B75" s="914" t="str">
        <f>'refer admin discharge'!B74</f>
        <v>x</v>
      </c>
      <c r="C75" s="914"/>
      <c r="D75" s="889" t="str">
        <f>'refer admin discharge'!D74</f>
        <v>xx</v>
      </c>
      <c r="E75" s="889"/>
      <c r="F75" s="915" t="str">
        <f>'refer admin discharge'!H74</f>
        <v>00/00/0000</v>
      </c>
      <c r="G75" s="890"/>
      <c r="H75" s="916"/>
      <c r="I75" s="916"/>
      <c r="J75" s="917"/>
      <c r="K75" s="917"/>
      <c r="L75" s="916"/>
      <c r="M75" s="916"/>
      <c r="N75" s="893"/>
      <c r="O75" s="893"/>
      <c r="P75" s="916"/>
      <c r="Q75" s="916"/>
      <c r="R75" s="893"/>
      <c r="S75" s="893"/>
      <c r="T75" s="916"/>
      <c r="U75" s="916"/>
      <c r="V75" s="923" t="str">
        <f>'refer admin discharge'!H76</f>
        <v>00/00/0000</v>
      </c>
      <c r="W75" s="910"/>
      <c r="X75" s="912"/>
      <c r="Y75" s="912"/>
      <c r="Z75" s="924"/>
      <c r="AA75" s="924"/>
      <c r="AB75" s="912"/>
      <c r="AC75" s="912"/>
      <c r="AD75" s="913"/>
      <c r="AE75" s="913"/>
      <c r="AF75" s="912"/>
      <c r="AG75" s="912"/>
      <c r="AH75" s="913"/>
      <c r="AI75" s="913"/>
      <c r="AJ75" s="912"/>
      <c r="AK75" s="912"/>
      <c r="AL75" s="925"/>
      <c r="AM75" s="926"/>
      <c r="AN75" s="926"/>
      <c r="AO75" s="926"/>
      <c r="AP75" s="926"/>
      <c r="AQ75" s="926"/>
      <c r="AR75" s="926"/>
      <c r="AS75" s="926"/>
      <c r="AT75" s="926"/>
      <c r="AU75" s="926"/>
      <c r="AV75" s="926"/>
      <c r="AW75" s="926"/>
      <c r="AX75" s="926"/>
      <c r="AY75" s="926"/>
      <c r="AZ75" s="926"/>
      <c r="BA75" s="926"/>
      <c r="BB75" s="927"/>
    </row>
    <row r="76" spans="1:54" x14ac:dyDescent="0.25">
      <c r="A76" s="13">
        <f t="shared" si="0"/>
        <v>63</v>
      </c>
      <c r="B76" s="888" t="str">
        <f>'refer admin discharge'!B75</f>
        <v>x</v>
      </c>
      <c r="C76" s="888"/>
      <c r="D76" s="868" t="str">
        <f>'refer admin discharge'!D75</f>
        <v>xx</v>
      </c>
      <c r="E76" s="868"/>
      <c r="F76" s="891" t="str">
        <f>'refer admin discharge'!H75</f>
        <v>00/00/0000</v>
      </c>
      <c r="G76" s="892"/>
      <c r="H76" s="894"/>
      <c r="I76" s="894"/>
      <c r="J76" s="918"/>
      <c r="K76" s="918"/>
      <c r="L76" s="894"/>
      <c r="M76" s="894"/>
      <c r="N76" s="916"/>
      <c r="O76" s="916"/>
      <c r="P76" s="894"/>
      <c r="Q76" s="894"/>
      <c r="R76" s="916"/>
      <c r="S76" s="916"/>
      <c r="T76" s="894"/>
      <c r="U76" s="894"/>
      <c r="V76" s="921" t="str">
        <f>'refer admin discharge'!H77</f>
        <v>00/00/0000</v>
      </c>
      <c r="W76" s="922"/>
      <c r="X76" s="920"/>
      <c r="Y76" s="920"/>
      <c r="Z76" s="919"/>
      <c r="AA76" s="919"/>
      <c r="AB76" s="920"/>
      <c r="AC76" s="920"/>
      <c r="AD76" s="912"/>
      <c r="AE76" s="912"/>
      <c r="AF76" s="920"/>
      <c r="AG76" s="920"/>
      <c r="AH76" s="912"/>
      <c r="AI76" s="912"/>
      <c r="AJ76" s="920"/>
      <c r="AK76" s="920"/>
      <c r="AL76" s="905"/>
      <c r="AM76" s="906"/>
      <c r="AN76" s="906"/>
      <c r="AO76" s="906"/>
      <c r="AP76" s="906"/>
      <c r="AQ76" s="906"/>
      <c r="AR76" s="906"/>
      <c r="AS76" s="906"/>
      <c r="AT76" s="906"/>
      <c r="AU76" s="906"/>
      <c r="AV76" s="906"/>
      <c r="AW76" s="906"/>
      <c r="AX76" s="906"/>
      <c r="AY76" s="906"/>
      <c r="AZ76" s="906"/>
      <c r="BA76" s="906"/>
      <c r="BB76" s="907"/>
    </row>
    <row r="77" spans="1:54" x14ac:dyDescent="0.25">
      <c r="A77" s="13">
        <f t="shared" si="0"/>
        <v>64</v>
      </c>
      <c r="B77" s="914" t="str">
        <f>'refer admin discharge'!B76</f>
        <v>x</v>
      </c>
      <c r="C77" s="914"/>
      <c r="D77" s="889" t="str">
        <f>'refer admin discharge'!D76</f>
        <v>xx</v>
      </c>
      <c r="E77" s="889"/>
      <c r="F77" s="915" t="str">
        <f>'refer admin discharge'!H76</f>
        <v>00/00/0000</v>
      </c>
      <c r="G77" s="890"/>
      <c r="H77" s="916"/>
      <c r="I77" s="916"/>
      <c r="J77" s="917"/>
      <c r="K77" s="917"/>
      <c r="L77" s="916"/>
      <c r="M77" s="916"/>
      <c r="N77" s="893"/>
      <c r="O77" s="893"/>
      <c r="P77" s="916"/>
      <c r="Q77" s="916"/>
      <c r="R77" s="893"/>
      <c r="S77" s="893"/>
      <c r="T77" s="916"/>
      <c r="U77" s="916"/>
      <c r="V77" s="923" t="str">
        <f>'refer admin discharge'!H78</f>
        <v>00/00/0000</v>
      </c>
      <c r="W77" s="910"/>
      <c r="X77" s="912"/>
      <c r="Y77" s="912"/>
      <c r="Z77" s="924"/>
      <c r="AA77" s="924"/>
      <c r="AB77" s="912"/>
      <c r="AC77" s="912"/>
      <c r="AD77" s="913"/>
      <c r="AE77" s="913"/>
      <c r="AF77" s="912"/>
      <c r="AG77" s="912"/>
      <c r="AH77" s="913"/>
      <c r="AI77" s="913"/>
      <c r="AJ77" s="912"/>
      <c r="AK77" s="912"/>
      <c r="AL77" s="925"/>
      <c r="AM77" s="926"/>
      <c r="AN77" s="926"/>
      <c r="AO77" s="926"/>
      <c r="AP77" s="926"/>
      <c r="AQ77" s="926"/>
      <c r="AR77" s="926"/>
      <c r="AS77" s="926"/>
      <c r="AT77" s="926"/>
      <c r="AU77" s="926"/>
      <c r="AV77" s="926"/>
      <c r="AW77" s="926"/>
      <c r="AX77" s="926"/>
      <c r="AY77" s="926"/>
      <c r="AZ77" s="926"/>
      <c r="BA77" s="926"/>
      <c r="BB77" s="927"/>
    </row>
    <row r="78" spans="1:54" x14ac:dyDescent="0.25">
      <c r="A78" s="13">
        <f t="shared" ref="A78:A141" si="1">ROW(A65)</f>
        <v>65</v>
      </c>
      <c r="B78" s="888" t="str">
        <f>'refer admin discharge'!B77</f>
        <v>x</v>
      </c>
      <c r="C78" s="888"/>
      <c r="D78" s="868" t="str">
        <f>'refer admin discharge'!D77</f>
        <v>xx</v>
      </c>
      <c r="E78" s="868"/>
      <c r="F78" s="891" t="str">
        <f>'refer admin discharge'!H77</f>
        <v>00/00/0000</v>
      </c>
      <c r="G78" s="892"/>
      <c r="H78" s="894"/>
      <c r="I78" s="894"/>
      <c r="J78" s="918"/>
      <c r="K78" s="918"/>
      <c r="L78" s="894"/>
      <c r="M78" s="894"/>
      <c r="N78" s="916"/>
      <c r="O78" s="916"/>
      <c r="P78" s="894"/>
      <c r="Q78" s="894"/>
      <c r="R78" s="916"/>
      <c r="S78" s="916"/>
      <c r="T78" s="894"/>
      <c r="U78" s="894"/>
      <c r="V78" s="921" t="str">
        <f>'refer admin discharge'!H79</f>
        <v>00/00/0000</v>
      </c>
      <c r="W78" s="922"/>
      <c r="X78" s="920"/>
      <c r="Y78" s="920"/>
      <c r="Z78" s="919"/>
      <c r="AA78" s="919"/>
      <c r="AB78" s="920"/>
      <c r="AC78" s="920"/>
      <c r="AD78" s="912"/>
      <c r="AE78" s="912"/>
      <c r="AF78" s="920"/>
      <c r="AG78" s="920"/>
      <c r="AH78" s="912"/>
      <c r="AI78" s="912"/>
      <c r="AJ78" s="920"/>
      <c r="AK78" s="920"/>
      <c r="AL78" s="905"/>
      <c r="AM78" s="906"/>
      <c r="AN78" s="906"/>
      <c r="AO78" s="906"/>
      <c r="AP78" s="906"/>
      <c r="AQ78" s="906"/>
      <c r="AR78" s="906"/>
      <c r="AS78" s="906"/>
      <c r="AT78" s="906"/>
      <c r="AU78" s="906"/>
      <c r="AV78" s="906"/>
      <c r="AW78" s="906"/>
      <c r="AX78" s="906"/>
      <c r="AY78" s="906"/>
      <c r="AZ78" s="906"/>
      <c r="BA78" s="906"/>
      <c r="BB78" s="907"/>
    </row>
    <row r="79" spans="1:54" x14ac:dyDescent="0.25">
      <c r="A79" s="13">
        <f t="shared" si="1"/>
        <v>66</v>
      </c>
      <c r="B79" s="914" t="str">
        <f>'refer admin discharge'!B78</f>
        <v>x</v>
      </c>
      <c r="C79" s="914"/>
      <c r="D79" s="889" t="str">
        <f>'refer admin discharge'!D78</f>
        <v>xx</v>
      </c>
      <c r="E79" s="889"/>
      <c r="F79" s="915" t="str">
        <f>'refer admin discharge'!H78</f>
        <v>00/00/0000</v>
      </c>
      <c r="G79" s="890"/>
      <c r="H79" s="916"/>
      <c r="I79" s="916"/>
      <c r="J79" s="917"/>
      <c r="K79" s="917"/>
      <c r="L79" s="916"/>
      <c r="M79" s="916"/>
      <c r="N79" s="893"/>
      <c r="O79" s="893"/>
      <c r="P79" s="916"/>
      <c r="Q79" s="916"/>
      <c r="R79" s="893"/>
      <c r="S79" s="893"/>
      <c r="T79" s="916"/>
      <c r="U79" s="916"/>
      <c r="V79" s="923" t="str">
        <f>'refer admin discharge'!H80</f>
        <v>00/00/0000</v>
      </c>
      <c r="W79" s="910"/>
      <c r="X79" s="912"/>
      <c r="Y79" s="912"/>
      <c r="Z79" s="924"/>
      <c r="AA79" s="924"/>
      <c r="AB79" s="912"/>
      <c r="AC79" s="912"/>
      <c r="AD79" s="913"/>
      <c r="AE79" s="913"/>
      <c r="AF79" s="912"/>
      <c r="AG79" s="912"/>
      <c r="AH79" s="913"/>
      <c r="AI79" s="913"/>
      <c r="AJ79" s="912"/>
      <c r="AK79" s="912"/>
      <c r="AL79" s="925"/>
      <c r="AM79" s="926"/>
      <c r="AN79" s="926"/>
      <c r="AO79" s="926"/>
      <c r="AP79" s="926"/>
      <c r="AQ79" s="926"/>
      <c r="AR79" s="926"/>
      <c r="AS79" s="926"/>
      <c r="AT79" s="926"/>
      <c r="AU79" s="926"/>
      <c r="AV79" s="926"/>
      <c r="AW79" s="926"/>
      <c r="AX79" s="926"/>
      <c r="AY79" s="926"/>
      <c r="AZ79" s="926"/>
      <c r="BA79" s="926"/>
      <c r="BB79" s="927"/>
    </row>
    <row r="80" spans="1:54" x14ac:dyDescent="0.25">
      <c r="A80" s="13">
        <f t="shared" si="1"/>
        <v>67</v>
      </c>
      <c r="B80" s="914" t="str">
        <f>'refer admin discharge'!B79</f>
        <v>x</v>
      </c>
      <c r="C80" s="914"/>
      <c r="D80" s="889" t="str">
        <f>'refer admin discharge'!D79</f>
        <v>xx</v>
      </c>
      <c r="E80" s="889"/>
      <c r="F80" s="915" t="str">
        <f>'refer admin discharge'!H79</f>
        <v>00/00/0000</v>
      </c>
      <c r="G80" s="890"/>
      <c r="H80" s="894"/>
      <c r="I80" s="894"/>
      <c r="J80" s="918"/>
      <c r="K80" s="918"/>
      <c r="L80" s="894"/>
      <c r="M80" s="894"/>
      <c r="N80" s="916"/>
      <c r="O80" s="916"/>
      <c r="P80" s="894"/>
      <c r="Q80" s="894"/>
      <c r="R80" s="916"/>
      <c r="S80" s="916"/>
      <c r="T80" s="894"/>
      <c r="U80" s="894"/>
      <c r="V80" s="921" t="str">
        <f>'refer admin discharge'!H81</f>
        <v>00/00/0000</v>
      </c>
      <c r="W80" s="922"/>
      <c r="X80" s="920"/>
      <c r="Y80" s="920"/>
      <c r="Z80" s="919"/>
      <c r="AA80" s="919"/>
      <c r="AB80" s="920"/>
      <c r="AC80" s="920"/>
      <c r="AD80" s="912"/>
      <c r="AE80" s="912"/>
      <c r="AF80" s="920"/>
      <c r="AG80" s="920"/>
      <c r="AH80" s="912"/>
      <c r="AI80" s="912"/>
      <c r="AJ80" s="920"/>
      <c r="AK80" s="920"/>
      <c r="AL80" s="905"/>
      <c r="AM80" s="906"/>
      <c r="AN80" s="906"/>
      <c r="AO80" s="906"/>
      <c r="AP80" s="906"/>
      <c r="AQ80" s="906"/>
      <c r="AR80" s="906"/>
      <c r="AS80" s="906"/>
      <c r="AT80" s="906"/>
      <c r="AU80" s="906"/>
      <c r="AV80" s="906"/>
      <c r="AW80" s="906"/>
      <c r="AX80" s="906"/>
      <c r="AY80" s="906"/>
      <c r="AZ80" s="906"/>
      <c r="BA80" s="906"/>
      <c r="BB80" s="907"/>
    </row>
    <row r="81" spans="1:54" x14ac:dyDescent="0.25">
      <c r="A81" s="13">
        <f t="shared" si="1"/>
        <v>68</v>
      </c>
      <c r="B81" s="914" t="str">
        <f>'refer admin discharge'!B80</f>
        <v>x</v>
      </c>
      <c r="C81" s="914"/>
      <c r="D81" s="889" t="str">
        <f>'refer admin discharge'!D80</f>
        <v>xx</v>
      </c>
      <c r="E81" s="889"/>
      <c r="F81" s="915" t="str">
        <f>'refer admin discharge'!H80</f>
        <v>00/00/0000</v>
      </c>
      <c r="G81" s="890"/>
      <c r="H81" s="916"/>
      <c r="I81" s="916"/>
      <c r="J81" s="917"/>
      <c r="K81" s="917"/>
      <c r="L81" s="916"/>
      <c r="M81" s="916"/>
      <c r="N81" s="893"/>
      <c r="O81" s="893"/>
      <c r="P81" s="916"/>
      <c r="Q81" s="916"/>
      <c r="R81" s="893"/>
      <c r="S81" s="893"/>
      <c r="T81" s="916"/>
      <c r="U81" s="916"/>
      <c r="V81" s="923" t="str">
        <f>'refer admin discharge'!H82</f>
        <v>00/00/0000</v>
      </c>
      <c r="W81" s="910"/>
      <c r="X81" s="912"/>
      <c r="Y81" s="912"/>
      <c r="Z81" s="924"/>
      <c r="AA81" s="924"/>
      <c r="AB81" s="912"/>
      <c r="AC81" s="912"/>
      <c r="AD81" s="913"/>
      <c r="AE81" s="913"/>
      <c r="AF81" s="912"/>
      <c r="AG81" s="912"/>
      <c r="AH81" s="913"/>
      <c r="AI81" s="913"/>
      <c r="AJ81" s="912"/>
      <c r="AK81" s="912"/>
      <c r="AL81" s="925"/>
      <c r="AM81" s="926"/>
      <c r="AN81" s="926"/>
      <c r="AO81" s="926"/>
      <c r="AP81" s="926"/>
      <c r="AQ81" s="926"/>
      <c r="AR81" s="926"/>
      <c r="AS81" s="926"/>
      <c r="AT81" s="926"/>
      <c r="AU81" s="926"/>
      <c r="AV81" s="926"/>
      <c r="AW81" s="926"/>
      <c r="AX81" s="926"/>
      <c r="AY81" s="926"/>
      <c r="AZ81" s="926"/>
      <c r="BA81" s="926"/>
      <c r="BB81" s="927"/>
    </row>
    <row r="82" spans="1:54" x14ac:dyDescent="0.25">
      <c r="A82" s="13">
        <f t="shared" si="1"/>
        <v>69</v>
      </c>
      <c r="B82" s="888" t="str">
        <f>'refer admin discharge'!B79</f>
        <v>x</v>
      </c>
      <c r="C82" s="888"/>
      <c r="D82" s="868" t="str">
        <f>'refer admin discharge'!D79</f>
        <v>xx</v>
      </c>
      <c r="E82" s="868"/>
      <c r="F82" s="891" t="str">
        <f>'refer admin discharge'!H79</f>
        <v>00/00/0000</v>
      </c>
      <c r="G82" s="892"/>
      <c r="H82" s="894"/>
      <c r="I82" s="894"/>
      <c r="J82" s="918"/>
      <c r="K82" s="918"/>
      <c r="L82" s="894"/>
      <c r="M82" s="894"/>
      <c r="N82" s="916"/>
      <c r="O82" s="916"/>
      <c r="P82" s="894"/>
      <c r="Q82" s="894"/>
      <c r="R82" s="916"/>
      <c r="S82" s="916"/>
      <c r="T82" s="894"/>
      <c r="U82" s="894"/>
      <c r="V82" s="921" t="str">
        <f>'refer admin discharge'!H83</f>
        <v>00/00/0000</v>
      </c>
      <c r="W82" s="922"/>
      <c r="X82" s="920"/>
      <c r="Y82" s="920"/>
      <c r="Z82" s="919"/>
      <c r="AA82" s="919"/>
      <c r="AB82" s="920"/>
      <c r="AC82" s="920"/>
      <c r="AD82" s="912"/>
      <c r="AE82" s="912"/>
      <c r="AF82" s="920"/>
      <c r="AG82" s="920"/>
      <c r="AH82" s="912"/>
      <c r="AI82" s="912"/>
      <c r="AJ82" s="920"/>
      <c r="AK82" s="920"/>
      <c r="AL82" s="905"/>
      <c r="AM82" s="906"/>
      <c r="AN82" s="906"/>
      <c r="AO82" s="906"/>
      <c r="AP82" s="906"/>
      <c r="AQ82" s="906"/>
      <c r="AR82" s="906"/>
      <c r="AS82" s="906"/>
      <c r="AT82" s="906"/>
      <c r="AU82" s="906"/>
      <c r="AV82" s="906"/>
      <c r="AW82" s="906"/>
      <c r="AX82" s="906"/>
      <c r="AY82" s="906"/>
      <c r="AZ82" s="906"/>
      <c r="BA82" s="906"/>
      <c r="BB82" s="907"/>
    </row>
    <row r="83" spans="1:54" x14ac:dyDescent="0.25">
      <c r="A83" s="13">
        <f t="shared" si="1"/>
        <v>70</v>
      </c>
      <c r="B83" s="914" t="str">
        <f>'refer admin discharge'!B80</f>
        <v>x</v>
      </c>
      <c r="C83" s="914"/>
      <c r="D83" s="889" t="str">
        <f>'refer admin discharge'!D80</f>
        <v>xx</v>
      </c>
      <c r="E83" s="889"/>
      <c r="F83" s="915" t="str">
        <f>'refer admin discharge'!H80</f>
        <v>00/00/0000</v>
      </c>
      <c r="G83" s="890"/>
      <c r="H83" s="916"/>
      <c r="I83" s="916"/>
      <c r="J83" s="917"/>
      <c r="K83" s="917"/>
      <c r="L83" s="916"/>
      <c r="M83" s="916"/>
      <c r="N83" s="893"/>
      <c r="O83" s="893"/>
      <c r="P83" s="916"/>
      <c r="Q83" s="916"/>
      <c r="R83" s="893"/>
      <c r="S83" s="893"/>
      <c r="T83" s="916"/>
      <c r="U83" s="916"/>
      <c r="V83" s="923" t="str">
        <f>'refer admin discharge'!H84</f>
        <v>00/00/0000</v>
      </c>
      <c r="W83" s="910"/>
      <c r="X83" s="912"/>
      <c r="Y83" s="912"/>
      <c r="Z83" s="924"/>
      <c r="AA83" s="924"/>
      <c r="AB83" s="912"/>
      <c r="AC83" s="912"/>
      <c r="AD83" s="913"/>
      <c r="AE83" s="913"/>
      <c r="AF83" s="912"/>
      <c r="AG83" s="912"/>
      <c r="AH83" s="913"/>
      <c r="AI83" s="913"/>
      <c r="AJ83" s="912"/>
      <c r="AK83" s="912"/>
      <c r="AL83" s="925"/>
      <c r="AM83" s="926"/>
      <c r="AN83" s="926"/>
      <c r="AO83" s="926"/>
      <c r="AP83" s="926"/>
      <c r="AQ83" s="926"/>
      <c r="AR83" s="926"/>
      <c r="AS83" s="926"/>
      <c r="AT83" s="926"/>
      <c r="AU83" s="926"/>
      <c r="AV83" s="926"/>
      <c r="AW83" s="926"/>
      <c r="AX83" s="926"/>
      <c r="AY83" s="926"/>
      <c r="AZ83" s="926"/>
      <c r="BA83" s="926"/>
      <c r="BB83" s="927"/>
    </row>
    <row r="84" spans="1:54" x14ac:dyDescent="0.25">
      <c r="A84" s="13">
        <f t="shared" si="1"/>
        <v>71</v>
      </c>
      <c r="B84" s="888" t="str">
        <f>'refer admin discharge'!B81</f>
        <v>x</v>
      </c>
      <c r="C84" s="888"/>
      <c r="D84" s="868" t="str">
        <f>'refer admin discharge'!D81</f>
        <v>xx</v>
      </c>
      <c r="E84" s="868"/>
      <c r="F84" s="891" t="str">
        <f>'refer admin discharge'!H81</f>
        <v>00/00/0000</v>
      </c>
      <c r="G84" s="892"/>
      <c r="H84" s="894"/>
      <c r="I84" s="894"/>
      <c r="J84" s="918"/>
      <c r="K84" s="918"/>
      <c r="L84" s="894"/>
      <c r="M84" s="894"/>
      <c r="N84" s="916"/>
      <c r="O84" s="916"/>
      <c r="P84" s="894"/>
      <c r="Q84" s="894"/>
      <c r="R84" s="916"/>
      <c r="S84" s="916"/>
      <c r="T84" s="894"/>
      <c r="U84" s="894"/>
      <c r="V84" s="921" t="str">
        <f>'refer admin discharge'!H85</f>
        <v>00/00/0000</v>
      </c>
      <c r="W84" s="922"/>
      <c r="X84" s="920"/>
      <c r="Y84" s="920"/>
      <c r="Z84" s="919"/>
      <c r="AA84" s="919"/>
      <c r="AB84" s="920"/>
      <c r="AC84" s="920"/>
      <c r="AD84" s="912"/>
      <c r="AE84" s="912"/>
      <c r="AF84" s="920"/>
      <c r="AG84" s="920"/>
      <c r="AH84" s="912"/>
      <c r="AI84" s="912"/>
      <c r="AJ84" s="920"/>
      <c r="AK84" s="920"/>
      <c r="AL84" s="905"/>
      <c r="AM84" s="906"/>
      <c r="AN84" s="906"/>
      <c r="AO84" s="906"/>
      <c r="AP84" s="906"/>
      <c r="AQ84" s="906"/>
      <c r="AR84" s="906"/>
      <c r="AS84" s="906"/>
      <c r="AT84" s="906"/>
      <c r="AU84" s="906"/>
      <c r="AV84" s="906"/>
      <c r="AW84" s="906"/>
      <c r="AX84" s="906"/>
      <c r="AY84" s="906"/>
      <c r="AZ84" s="906"/>
      <c r="BA84" s="906"/>
      <c r="BB84" s="907"/>
    </row>
    <row r="85" spans="1:54" x14ac:dyDescent="0.25">
      <c r="A85" s="13">
        <f t="shared" si="1"/>
        <v>72</v>
      </c>
      <c r="B85" s="914" t="str">
        <f>'refer admin discharge'!B82</f>
        <v>x</v>
      </c>
      <c r="C85" s="914"/>
      <c r="D85" s="889" t="str">
        <f>'refer admin discharge'!D82</f>
        <v>xx</v>
      </c>
      <c r="E85" s="889"/>
      <c r="F85" s="915" t="str">
        <f>'refer admin discharge'!H82</f>
        <v>00/00/0000</v>
      </c>
      <c r="G85" s="890"/>
      <c r="H85" s="916"/>
      <c r="I85" s="916"/>
      <c r="J85" s="917"/>
      <c r="K85" s="917"/>
      <c r="L85" s="916"/>
      <c r="M85" s="916"/>
      <c r="N85" s="893"/>
      <c r="O85" s="893"/>
      <c r="P85" s="916"/>
      <c r="Q85" s="916"/>
      <c r="R85" s="893"/>
      <c r="S85" s="893"/>
      <c r="T85" s="916"/>
      <c r="U85" s="916"/>
      <c r="V85" s="923" t="str">
        <f>'refer admin discharge'!H86</f>
        <v>00/00/0000</v>
      </c>
      <c r="W85" s="910"/>
      <c r="X85" s="912"/>
      <c r="Y85" s="912"/>
      <c r="Z85" s="924"/>
      <c r="AA85" s="924"/>
      <c r="AB85" s="912"/>
      <c r="AC85" s="912"/>
      <c r="AD85" s="913"/>
      <c r="AE85" s="913"/>
      <c r="AF85" s="912"/>
      <c r="AG85" s="912"/>
      <c r="AH85" s="913"/>
      <c r="AI85" s="913"/>
      <c r="AJ85" s="912"/>
      <c r="AK85" s="912"/>
      <c r="AL85" s="925"/>
      <c r="AM85" s="926"/>
      <c r="AN85" s="926"/>
      <c r="AO85" s="926"/>
      <c r="AP85" s="926"/>
      <c r="AQ85" s="926"/>
      <c r="AR85" s="926"/>
      <c r="AS85" s="926"/>
      <c r="AT85" s="926"/>
      <c r="AU85" s="926"/>
      <c r="AV85" s="926"/>
      <c r="AW85" s="926"/>
      <c r="AX85" s="926"/>
      <c r="AY85" s="926"/>
      <c r="AZ85" s="926"/>
      <c r="BA85" s="926"/>
      <c r="BB85" s="927"/>
    </row>
    <row r="86" spans="1:54" x14ac:dyDescent="0.25">
      <c r="A86" s="13">
        <f t="shared" si="1"/>
        <v>73</v>
      </c>
      <c r="B86" s="888" t="str">
        <f>'refer admin discharge'!B83</f>
        <v>x</v>
      </c>
      <c r="C86" s="888"/>
      <c r="D86" s="868" t="str">
        <f>'refer admin discharge'!D83</f>
        <v>xx</v>
      </c>
      <c r="E86" s="868"/>
      <c r="F86" s="891" t="str">
        <f>'refer admin discharge'!H83</f>
        <v>00/00/0000</v>
      </c>
      <c r="G86" s="892"/>
      <c r="H86" s="894"/>
      <c r="I86" s="894"/>
      <c r="J86" s="918"/>
      <c r="K86" s="918"/>
      <c r="L86" s="894"/>
      <c r="M86" s="894"/>
      <c r="N86" s="916"/>
      <c r="O86" s="916"/>
      <c r="P86" s="894"/>
      <c r="Q86" s="894"/>
      <c r="R86" s="916"/>
      <c r="S86" s="916"/>
      <c r="T86" s="894"/>
      <c r="U86" s="894"/>
      <c r="V86" s="921" t="str">
        <f>'refer admin discharge'!H87</f>
        <v>00/00/0000</v>
      </c>
      <c r="W86" s="922"/>
      <c r="X86" s="920"/>
      <c r="Y86" s="920"/>
      <c r="Z86" s="919"/>
      <c r="AA86" s="919"/>
      <c r="AB86" s="920"/>
      <c r="AC86" s="920"/>
      <c r="AD86" s="912"/>
      <c r="AE86" s="912"/>
      <c r="AF86" s="920"/>
      <c r="AG86" s="920"/>
      <c r="AH86" s="912"/>
      <c r="AI86" s="912"/>
      <c r="AJ86" s="920"/>
      <c r="AK86" s="920"/>
      <c r="AL86" s="905"/>
      <c r="AM86" s="906"/>
      <c r="AN86" s="906"/>
      <c r="AO86" s="906"/>
      <c r="AP86" s="906"/>
      <c r="AQ86" s="906"/>
      <c r="AR86" s="906"/>
      <c r="AS86" s="906"/>
      <c r="AT86" s="906"/>
      <c r="AU86" s="906"/>
      <c r="AV86" s="906"/>
      <c r="AW86" s="906"/>
      <c r="AX86" s="906"/>
      <c r="AY86" s="906"/>
      <c r="AZ86" s="906"/>
      <c r="BA86" s="906"/>
      <c r="BB86" s="907"/>
    </row>
    <row r="87" spans="1:54" x14ac:dyDescent="0.25">
      <c r="A87" s="13">
        <f t="shared" si="1"/>
        <v>74</v>
      </c>
      <c r="B87" s="914" t="str">
        <f>'refer admin discharge'!B84</f>
        <v>x</v>
      </c>
      <c r="C87" s="914"/>
      <c r="D87" s="889" t="str">
        <f>'refer admin discharge'!D84</f>
        <v>xx</v>
      </c>
      <c r="E87" s="889"/>
      <c r="F87" s="915" t="str">
        <f>'refer admin discharge'!H84</f>
        <v>00/00/0000</v>
      </c>
      <c r="G87" s="890"/>
      <c r="H87" s="916"/>
      <c r="I87" s="916"/>
      <c r="J87" s="917"/>
      <c r="K87" s="917"/>
      <c r="L87" s="916"/>
      <c r="M87" s="916"/>
      <c r="N87" s="893"/>
      <c r="O87" s="893"/>
      <c r="P87" s="916"/>
      <c r="Q87" s="916"/>
      <c r="R87" s="893"/>
      <c r="S87" s="893"/>
      <c r="T87" s="916"/>
      <c r="U87" s="916"/>
      <c r="V87" s="923" t="str">
        <f>'refer admin discharge'!H88</f>
        <v>00/00/0000</v>
      </c>
      <c r="W87" s="910"/>
      <c r="X87" s="912"/>
      <c r="Y87" s="912"/>
      <c r="Z87" s="924"/>
      <c r="AA87" s="924"/>
      <c r="AB87" s="912"/>
      <c r="AC87" s="912"/>
      <c r="AD87" s="913"/>
      <c r="AE87" s="913"/>
      <c r="AF87" s="912"/>
      <c r="AG87" s="912"/>
      <c r="AH87" s="913"/>
      <c r="AI87" s="913"/>
      <c r="AJ87" s="912"/>
      <c r="AK87" s="912"/>
      <c r="AL87" s="925"/>
      <c r="AM87" s="926"/>
      <c r="AN87" s="926"/>
      <c r="AO87" s="926"/>
      <c r="AP87" s="926"/>
      <c r="AQ87" s="926"/>
      <c r="AR87" s="926"/>
      <c r="AS87" s="926"/>
      <c r="AT87" s="926"/>
      <c r="AU87" s="926"/>
      <c r="AV87" s="926"/>
      <c r="AW87" s="926"/>
      <c r="AX87" s="926"/>
      <c r="AY87" s="926"/>
      <c r="AZ87" s="926"/>
      <c r="BA87" s="926"/>
      <c r="BB87" s="927"/>
    </row>
    <row r="88" spans="1:54" x14ac:dyDescent="0.25">
      <c r="A88" s="13">
        <f t="shared" si="1"/>
        <v>75</v>
      </c>
      <c r="B88" s="888" t="str">
        <f>'refer admin discharge'!B85</f>
        <v>x</v>
      </c>
      <c r="C88" s="888"/>
      <c r="D88" s="868" t="str">
        <f>'refer admin discharge'!D85</f>
        <v>xx</v>
      </c>
      <c r="E88" s="868"/>
      <c r="F88" s="891" t="str">
        <f>'refer admin discharge'!H85</f>
        <v>00/00/0000</v>
      </c>
      <c r="G88" s="892"/>
      <c r="H88" s="894"/>
      <c r="I88" s="894"/>
      <c r="J88" s="918"/>
      <c r="K88" s="918"/>
      <c r="L88" s="894"/>
      <c r="M88" s="894"/>
      <c r="N88" s="916"/>
      <c r="O88" s="916"/>
      <c r="P88" s="894"/>
      <c r="Q88" s="894"/>
      <c r="R88" s="916"/>
      <c r="S88" s="916"/>
      <c r="T88" s="894"/>
      <c r="U88" s="894"/>
      <c r="V88" s="921" t="str">
        <f>'refer admin discharge'!H89</f>
        <v>00/00/0000</v>
      </c>
      <c r="W88" s="922"/>
      <c r="X88" s="920"/>
      <c r="Y88" s="920"/>
      <c r="Z88" s="919"/>
      <c r="AA88" s="919"/>
      <c r="AB88" s="920"/>
      <c r="AC88" s="920"/>
      <c r="AD88" s="912"/>
      <c r="AE88" s="912"/>
      <c r="AF88" s="920"/>
      <c r="AG88" s="920"/>
      <c r="AH88" s="912"/>
      <c r="AI88" s="912"/>
      <c r="AJ88" s="920"/>
      <c r="AK88" s="920"/>
      <c r="AL88" s="905"/>
      <c r="AM88" s="906"/>
      <c r="AN88" s="906"/>
      <c r="AO88" s="906"/>
      <c r="AP88" s="906"/>
      <c r="AQ88" s="906"/>
      <c r="AR88" s="906"/>
      <c r="AS88" s="906"/>
      <c r="AT88" s="906"/>
      <c r="AU88" s="906"/>
      <c r="AV88" s="906"/>
      <c r="AW88" s="906"/>
      <c r="AX88" s="906"/>
      <c r="AY88" s="906"/>
      <c r="AZ88" s="906"/>
      <c r="BA88" s="906"/>
      <c r="BB88" s="907"/>
    </row>
    <row r="89" spans="1:54" x14ac:dyDescent="0.25">
      <c r="A89" s="13">
        <f t="shared" si="1"/>
        <v>76</v>
      </c>
      <c r="B89" s="914" t="str">
        <f>'refer admin discharge'!B86</f>
        <v>x</v>
      </c>
      <c r="C89" s="914"/>
      <c r="D89" s="889" t="str">
        <f>'refer admin discharge'!D86</f>
        <v>xx</v>
      </c>
      <c r="E89" s="889"/>
      <c r="F89" s="915" t="str">
        <f>'refer admin discharge'!H86</f>
        <v>00/00/0000</v>
      </c>
      <c r="G89" s="890"/>
      <c r="H89" s="916"/>
      <c r="I89" s="916"/>
      <c r="J89" s="917"/>
      <c r="K89" s="917"/>
      <c r="L89" s="916"/>
      <c r="M89" s="916"/>
      <c r="N89" s="893"/>
      <c r="O89" s="893"/>
      <c r="P89" s="916"/>
      <c r="Q89" s="916"/>
      <c r="R89" s="893"/>
      <c r="S89" s="893"/>
      <c r="T89" s="916"/>
      <c r="U89" s="916"/>
      <c r="V89" s="923" t="str">
        <f>'refer admin discharge'!H90</f>
        <v>00/00/0000</v>
      </c>
      <c r="W89" s="910"/>
      <c r="X89" s="912"/>
      <c r="Y89" s="912"/>
      <c r="Z89" s="924"/>
      <c r="AA89" s="924"/>
      <c r="AB89" s="912"/>
      <c r="AC89" s="912"/>
      <c r="AD89" s="913"/>
      <c r="AE89" s="913"/>
      <c r="AF89" s="912"/>
      <c r="AG89" s="912"/>
      <c r="AH89" s="913"/>
      <c r="AI89" s="913"/>
      <c r="AJ89" s="912"/>
      <c r="AK89" s="912"/>
      <c r="AL89" s="925"/>
      <c r="AM89" s="926"/>
      <c r="AN89" s="926"/>
      <c r="AO89" s="926"/>
      <c r="AP89" s="926"/>
      <c r="AQ89" s="926"/>
      <c r="AR89" s="926"/>
      <c r="AS89" s="926"/>
      <c r="AT89" s="926"/>
      <c r="AU89" s="926"/>
      <c r="AV89" s="926"/>
      <c r="AW89" s="926"/>
      <c r="AX89" s="926"/>
      <c r="AY89" s="926"/>
      <c r="AZ89" s="926"/>
      <c r="BA89" s="926"/>
      <c r="BB89" s="927"/>
    </row>
    <row r="90" spans="1:54" x14ac:dyDescent="0.25">
      <c r="A90" s="13">
        <f t="shared" si="1"/>
        <v>77</v>
      </c>
      <c r="B90" s="888" t="str">
        <f>'refer admin discharge'!B87</f>
        <v>x</v>
      </c>
      <c r="C90" s="888"/>
      <c r="D90" s="868" t="str">
        <f>'refer admin discharge'!D87</f>
        <v>xx</v>
      </c>
      <c r="E90" s="868"/>
      <c r="F90" s="891" t="str">
        <f>'refer admin discharge'!H87</f>
        <v>00/00/0000</v>
      </c>
      <c r="G90" s="892"/>
      <c r="H90" s="894"/>
      <c r="I90" s="894"/>
      <c r="J90" s="918"/>
      <c r="K90" s="918"/>
      <c r="L90" s="894"/>
      <c r="M90" s="894"/>
      <c r="N90" s="916"/>
      <c r="O90" s="916"/>
      <c r="P90" s="894"/>
      <c r="Q90" s="894"/>
      <c r="R90" s="916"/>
      <c r="S90" s="916"/>
      <c r="T90" s="894"/>
      <c r="U90" s="894"/>
      <c r="V90" s="921" t="str">
        <f>'refer admin discharge'!H91</f>
        <v>00/00/0000</v>
      </c>
      <c r="W90" s="922"/>
      <c r="X90" s="920"/>
      <c r="Y90" s="920"/>
      <c r="Z90" s="919"/>
      <c r="AA90" s="919"/>
      <c r="AB90" s="920"/>
      <c r="AC90" s="920"/>
      <c r="AD90" s="912"/>
      <c r="AE90" s="912"/>
      <c r="AF90" s="920"/>
      <c r="AG90" s="920"/>
      <c r="AH90" s="912"/>
      <c r="AI90" s="912"/>
      <c r="AJ90" s="920"/>
      <c r="AK90" s="920"/>
      <c r="AL90" s="905"/>
      <c r="AM90" s="906"/>
      <c r="AN90" s="906"/>
      <c r="AO90" s="906"/>
      <c r="AP90" s="906"/>
      <c r="AQ90" s="906"/>
      <c r="AR90" s="906"/>
      <c r="AS90" s="906"/>
      <c r="AT90" s="906"/>
      <c r="AU90" s="906"/>
      <c r="AV90" s="906"/>
      <c r="AW90" s="906"/>
      <c r="AX90" s="906"/>
      <c r="AY90" s="906"/>
      <c r="AZ90" s="906"/>
      <c r="BA90" s="906"/>
      <c r="BB90" s="907"/>
    </row>
    <row r="91" spans="1:54" x14ac:dyDescent="0.25">
      <c r="A91" s="13">
        <f t="shared" si="1"/>
        <v>78</v>
      </c>
      <c r="B91" s="914" t="str">
        <f>'refer admin discharge'!B88</f>
        <v>x</v>
      </c>
      <c r="C91" s="914"/>
      <c r="D91" s="889" t="str">
        <f>'refer admin discharge'!D88</f>
        <v>xx</v>
      </c>
      <c r="E91" s="889"/>
      <c r="F91" s="915" t="str">
        <f>'refer admin discharge'!H88</f>
        <v>00/00/0000</v>
      </c>
      <c r="G91" s="890"/>
      <c r="H91" s="916"/>
      <c r="I91" s="916"/>
      <c r="J91" s="917"/>
      <c r="K91" s="917"/>
      <c r="L91" s="916"/>
      <c r="M91" s="916"/>
      <c r="N91" s="893"/>
      <c r="O91" s="893"/>
      <c r="P91" s="916"/>
      <c r="Q91" s="916"/>
      <c r="R91" s="893"/>
      <c r="S91" s="893"/>
      <c r="T91" s="916"/>
      <c r="U91" s="916"/>
      <c r="V91" s="923" t="str">
        <f>'refer admin discharge'!H92</f>
        <v>00/00/0000</v>
      </c>
      <c r="W91" s="910"/>
      <c r="X91" s="912"/>
      <c r="Y91" s="912"/>
      <c r="Z91" s="924"/>
      <c r="AA91" s="924"/>
      <c r="AB91" s="912"/>
      <c r="AC91" s="912"/>
      <c r="AD91" s="913"/>
      <c r="AE91" s="913"/>
      <c r="AF91" s="912"/>
      <c r="AG91" s="912"/>
      <c r="AH91" s="913"/>
      <c r="AI91" s="913"/>
      <c r="AJ91" s="912"/>
      <c r="AK91" s="912"/>
      <c r="AL91" s="925"/>
      <c r="AM91" s="926"/>
      <c r="AN91" s="926"/>
      <c r="AO91" s="926"/>
      <c r="AP91" s="926"/>
      <c r="AQ91" s="926"/>
      <c r="AR91" s="926"/>
      <c r="AS91" s="926"/>
      <c r="AT91" s="926"/>
      <c r="AU91" s="926"/>
      <c r="AV91" s="926"/>
      <c r="AW91" s="926"/>
      <c r="AX91" s="926"/>
      <c r="AY91" s="926"/>
      <c r="AZ91" s="926"/>
      <c r="BA91" s="926"/>
      <c r="BB91" s="927"/>
    </row>
    <row r="92" spans="1:54" x14ac:dyDescent="0.25">
      <c r="A92" s="13">
        <f t="shared" si="1"/>
        <v>79</v>
      </c>
      <c r="B92" s="888" t="str">
        <f>'refer admin discharge'!B89</f>
        <v>x</v>
      </c>
      <c r="C92" s="888"/>
      <c r="D92" s="868" t="str">
        <f>'refer admin discharge'!D89</f>
        <v>xx</v>
      </c>
      <c r="E92" s="868"/>
      <c r="F92" s="891" t="str">
        <f>'refer admin discharge'!H89</f>
        <v>00/00/0000</v>
      </c>
      <c r="G92" s="892"/>
      <c r="H92" s="894"/>
      <c r="I92" s="894"/>
      <c r="J92" s="918"/>
      <c r="K92" s="918"/>
      <c r="L92" s="894"/>
      <c r="M92" s="894"/>
      <c r="N92" s="916"/>
      <c r="O92" s="916"/>
      <c r="P92" s="894"/>
      <c r="Q92" s="894"/>
      <c r="R92" s="916"/>
      <c r="S92" s="916"/>
      <c r="T92" s="894"/>
      <c r="U92" s="894"/>
      <c r="V92" s="921" t="str">
        <f>'refer admin discharge'!H93</f>
        <v>00/00/0000</v>
      </c>
      <c r="W92" s="922"/>
      <c r="X92" s="920"/>
      <c r="Y92" s="920"/>
      <c r="Z92" s="919"/>
      <c r="AA92" s="919"/>
      <c r="AB92" s="920"/>
      <c r="AC92" s="920"/>
      <c r="AD92" s="912"/>
      <c r="AE92" s="912"/>
      <c r="AF92" s="920"/>
      <c r="AG92" s="920"/>
      <c r="AH92" s="912"/>
      <c r="AI92" s="912"/>
      <c r="AJ92" s="920"/>
      <c r="AK92" s="920"/>
      <c r="AL92" s="905"/>
      <c r="AM92" s="906"/>
      <c r="AN92" s="906"/>
      <c r="AO92" s="906"/>
      <c r="AP92" s="906"/>
      <c r="AQ92" s="906"/>
      <c r="AR92" s="906"/>
      <c r="AS92" s="906"/>
      <c r="AT92" s="906"/>
      <c r="AU92" s="906"/>
      <c r="AV92" s="906"/>
      <c r="AW92" s="906"/>
      <c r="AX92" s="906"/>
      <c r="AY92" s="906"/>
      <c r="AZ92" s="906"/>
      <c r="BA92" s="906"/>
      <c r="BB92" s="907"/>
    </row>
    <row r="93" spans="1:54" x14ac:dyDescent="0.25">
      <c r="A93" s="13">
        <f t="shared" si="1"/>
        <v>80</v>
      </c>
      <c r="B93" s="914" t="str">
        <f>'refer admin discharge'!B90</f>
        <v>x</v>
      </c>
      <c r="C93" s="914"/>
      <c r="D93" s="889" t="str">
        <f>'refer admin discharge'!D90</f>
        <v>xx</v>
      </c>
      <c r="E93" s="889"/>
      <c r="F93" s="915" t="str">
        <f>'refer admin discharge'!H90</f>
        <v>00/00/0000</v>
      </c>
      <c r="G93" s="890"/>
      <c r="H93" s="916"/>
      <c r="I93" s="916"/>
      <c r="J93" s="917"/>
      <c r="K93" s="917"/>
      <c r="L93" s="916"/>
      <c r="M93" s="916"/>
      <c r="N93" s="893"/>
      <c r="O93" s="893"/>
      <c r="P93" s="916"/>
      <c r="Q93" s="916"/>
      <c r="R93" s="893"/>
      <c r="S93" s="893"/>
      <c r="T93" s="916"/>
      <c r="U93" s="916"/>
      <c r="V93" s="923" t="str">
        <f>'refer admin discharge'!H94</f>
        <v>00/00/0000</v>
      </c>
      <c r="W93" s="910"/>
      <c r="X93" s="912"/>
      <c r="Y93" s="912"/>
      <c r="Z93" s="924"/>
      <c r="AA93" s="924"/>
      <c r="AB93" s="912"/>
      <c r="AC93" s="912"/>
      <c r="AD93" s="913"/>
      <c r="AE93" s="913"/>
      <c r="AF93" s="912"/>
      <c r="AG93" s="912"/>
      <c r="AH93" s="913"/>
      <c r="AI93" s="913"/>
      <c r="AJ93" s="912"/>
      <c r="AK93" s="912"/>
      <c r="AL93" s="925"/>
      <c r="AM93" s="926"/>
      <c r="AN93" s="926"/>
      <c r="AO93" s="926"/>
      <c r="AP93" s="926"/>
      <c r="AQ93" s="926"/>
      <c r="AR93" s="926"/>
      <c r="AS93" s="926"/>
      <c r="AT93" s="926"/>
      <c r="AU93" s="926"/>
      <c r="AV93" s="926"/>
      <c r="AW93" s="926"/>
      <c r="AX93" s="926"/>
      <c r="AY93" s="926"/>
      <c r="AZ93" s="926"/>
      <c r="BA93" s="926"/>
      <c r="BB93" s="927"/>
    </row>
    <row r="94" spans="1:54" x14ac:dyDescent="0.25">
      <c r="A94" s="13">
        <f t="shared" si="1"/>
        <v>81</v>
      </c>
      <c r="B94" s="888" t="str">
        <f>'refer admin discharge'!B91</f>
        <v>x</v>
      </c>
      <c r="C94" s="888"/>
      <c r="D94" s="868" t="str">
        <f>'refer admin discharge'!D91</f>
        <v>xx</v>
      </c>
      <c r="E94" s="868"/>
      <c r="F94" s="891" t="str">
        <f>'refer admin discharge'!H91</f>
        <v>00/00/0000</v>
      </c>
      <c r="G94" s="892"/>
      <c r="H94" s="894"/>
      <c r="I94" s="894"/>
      <c r="J94" s="918"/>
      <c r="K94" s="918"/>
      <c r="L94" s="894"/>
      <c r="M94" s="894"/>
      <c r="N94" s="916"/>
      <c r="O94" s="916"/>
      <c r="P94" s="894"/>
      <c r="Q94" s="894"/>
      <c r="R94" s="916"/>
      <c r="S94" s="916"/>
      <c r="T94" s="894"/>
      <c r="U94" s="894"/>
      <c r="V94" s="921" t="str">
        <f>'refer admin discharge'!H95</f>
        <v>00/00/0000</v>
      </c>
      <c r="W94" s="922"/>
      <c r="X94" s="920"/>
      <c r="Y94" s="920"/>
      <c r="Z94" s="919"/>
      <c r="AA94" s="919"/>
      <c r="AB94" s="920"/>
      <c r="AC94" s="920"/>
      <c r="AD94" s="912"/>
      <c r="AE94" s="912"/>
      <c r="AF94" s="920"/>
      <c r="AG94" s="920"/>
      <c r="AH94" s="912"/>
      <c r="AI94" s="912"/>
      <c r="AJ94" s="920"/>
      <c r="AK94" s="920"/>
      <c r="AL94" s="905"/>
      <c r="AM94" s="906"/>
      <c r="AN94" s="906"/>
      <c r="AO94" s="906"/>
      <c r="AP94" s="906"/>
      <c r="AQ94" s="906"/>
      <c r="AR94" s="906"/>
      <c r="AS94" s="906"/>
      <c r="AT94" s="906"/>
      <c r="AU94" s="906"/>
      <c r="AV94" s="906"/>
      <c r="AW94" s="906"/>
      <c r="AX94" s="906"/>
      <c r="AY94" s="906"/>
      <c r="AZ94" s="906"/>
      <c r="BA94" s="906"/>
      <c r="BB94" s="907"/>
    </row>
    <row r="95" spans="1:54" x14ac:dyDescent="0.25">
      <c r="A95" s="13">
        <f t="shared" si="1"/>
        <v>82</v>
      </c>
      <c r="B95" s="914" t="str">
        <f>'refer admin discharge'!B92</f>
        <v>x</v>
      </c>
      <c r="C95" s="914"/>
      <c r="D95" s="889" t="str">
        <f>'refer admin discharge'!D92</f>
        <v>xx</v>
      </c>
      <c r="E95" s="889"/>
      <c r="F95" s="915" t="str">
        <f>'refer admin discharge'!H92</f>
        <v>00/00/0000</v>
      </c>
      <c r="G95" s="890"/>
      <c r="H95" s="916"/>
      <c r="I95" s="916"/>
      <c r="J95" s="917"/>
      <c r="K95" s="917"/>
      <c r="L95" s="916"/>
      <c r="M95" s="916"/>
      <c r="N95" s="893"/>
      <c r="O95" s="893"/>
      <c r="P95" s="916"/>
      <c r="Q95" s="916"/>
      <c r="R95" s="893"/>
      <c r="S95" s="893"/>
      <c r="T95" s="916"/>
      <c r="U95" s="916"/>
      <c r="V95" s="923" t="str">
        <f>'refer admin discharge'!H96</f>
        <v>00/00/0000</v>
      </c>
      <c r="W95" s="910"/>
      <c r="X95" s="912"/>
      <c r="Y95" s="912"/>
      <c r="Z95" s="924"/>
      <c r="AA95" s="924"/>
      <c r="AB95" s="912"/>
      <c r="AC95" s="912"/>
      <c r="AD95" s="913"/>
      <c r="AE95" s="913"/>
      <c r="AF95" s="912"/>
      <c r="AG95" s="912"/>
      <c r="AH95" s="913"/>
      <c r="AI95" s="913"/>
      <c r="AJ95" s="912"/>
      <c r="AK95" s="912"/>
      <c r="AL95" s="925"/>
      <c r="AM95" s="926"/>
      <c r="AN95" s="926"/>
      <c r="AO95" s="926"/>
      <c r="AP95" s="926"/>
      <c r="AQ95" s="926"/>
      <c r="AR95" s="926"/>
      <c r="AS95" s="926"/>
      <c r="AT95" s="926"/>
      <c r="AU95" s="926"/>
      <c r="AV95" s="926"/>
      <c r="AW95" s="926"/>
      <c r="AX95" s="926"/>
      <c r="AY95" s="926"/>
      <c r="AZ95" s="926"/>
      <c r="BA95" s="926"/>
      <c r="BB95" s="927"/>
    </row>
    <row r="96" spans="1:54" x14ac:dyDescent="0.25">
      <c r="A96" s="13">
        <f t="shared" si="1"/>
        <v>83</v>
      </c>
      <c r="B96" s="888" t="str">
        <f>'refer admin discharge'!B93</f>
        <v>x</v>
      </c>
      <c r="C96" s="888"/>
      <c r="D96" s="868" t="str">
        <f>'refer admin discharge'!D93</f>
        <v>xx</v>
      </c>
      <c r="E96" s="868"/>
      <c r="F96" s="891" t="str">
        <f>'refer admin discharge'!H93</f>
        <v>00/00/0000</v>
      </c>
      <c r="G96" s="892"/>
      <c r="H96" s="894"/>
      <c r="I96" s="894"/>
      <c r="J96" s="918"/>
      <c r="K96" s="918"/>
      <c r="L96" s="894"/>
      <c r="M96" s="894"/>
      <c r="N96" s="916"/>
      <c r="O96" s="916"/>
      <c r="P96" s="894"/>
      <c r="Q96" s="894"/>
      <c r="R96" s="916"/>
      <c r="S96" s="916"/>
      <c r="T96" s="894"/>
      <c r="U96" s="894"/>
      <c r="V96" s="921" t="str">
        <f>'refer admin discharge'!H97</f>
        <v>00/00/0000</v>
      </c>
      <c r="W96" s="922"/>
      <c r="X96" s="920"/>
      <c r="Y96" s="920"/>
      <c r="Z96" s="919"/>
      <c r="AA96" s="919"/>
      <c r="AB96" s="920"/>
      <c r="AC96" s="920"/>
      <c r="AD96" s="912"/>
      <c r="AE96" s="912"/>
      <c r="AF96" s="920"/>
      <c r="AG96" s="920"/>
      <c r="AH96" s="912"/>
      <c r="AI96" s="912"/>
      <c r="AJ96" s="920"/>
      <c r="AK96" s="920"/>
      <c r="AL96" s="905"/>
      <c r="AM96" s="906"/>
      <c r="AN96" s="906"/>
      <c r="AO96" s="906"/>
      <c r="AP96" s="906"/>
      <c r="AQ96" s="906"/>
      <c r="AR96" s="906"/>
      <c r="AS96" s="906"/>
      <c r="AT96" s="906"/>
      <c r="AU96" s="906"/>
      <c r="AV96" s="906"/>
      <c r="AW96" s="906"/>
      <c r="AX96" s="906"/>
      <c r="AY96" s="906"/>
      <c r="AZ96" s="906"/>
      <c r="BA96" s="906"/>
      <c r="BB96" s="907"/>
    </row>
    <row r="97" spans="1:54" x14ac:dyDescent="0.25">
      <c r="A97" s="13">
        <f t="shared" si="1"/>
        <v>84</v>
      </c>
      <c r="B97" s="914" t="str">
        <f>'refer admin discharge'!B94</f>
        <v>x</v>
      </c>
      <c r="C97" s="914"/>
      <c r="D97" s="889" t="str">
        <f>'refer admin discharge'!D94</f>
        <v>xx</v>
      </c>
      <c r="E97" s="889"/>
      <c r="F97" s="915" t="str">
        <f>'refer admin discharge'!H94</f>
        <v>00/00/0000</v>
      </c>
      <c r="G97" s="890"/>
      <c r="H97" s="916"/>
      <c r="I97" s="916"/>
      <c r="J97" s="917"/>
      <c r="K97" s="917"/>
      <c r="L97" s="916"/>
      <c r="M97" s="916"/>
      <c r="N97" s="893"/>
      <c r="O97" s="893"/>
      <c r="P97" s="916"/>
      <c r="Q97" s="916"/>
      <c r="R97" s="893"/>
      <c r="S97" s="893"/>
      <c r="T97" s="916"/>
      <c r="U97" s="916"/>
      <c r="V97" s="923" t="str">
        <f>'refer admin discharge'!H98</f>
        <v>00/00/0000</v>
      </c>
      <c r="W97" s="910"/>
      <c r="X97" s="912"/>
      <c r="Y97" s="912"/>
      <c r="Z97" s="924"/>
      <c r="AA97" s="924"/>
      <c r="AB97" s="912"/>
      <c r="AC97" s="912"/>
      <c r="AD97" s="913"/>
      <c r="AE97" s="913"/>
      <c r="AF97" s="912"/>
      <c r="AG97" s="912"/>
      <c r="AH97" s="913"/>
      <c r="AI97" s="913"/>
      <c r="AJ97" s="912"/>
      <c r="AK97" s="912"/>
      <c r="AL97" s="925"/>
      <c r="AM97" s="926"/>
      <c r="AN97" s="926"/>
      <c r="AO97" s="926"/>
      <c r="AP97" s="926"/>
      <c r="AQ97" s="926"/>
      <c r="AR97" s="926"/>
      <c r="AS97" s="926"/>
      <c r="AT97" s="926"/>
      <c r="AU97" s="926"/>
      <c r="AV97" s="926"/>
      <c r="AW97" s="926"/>
      <c r="AX97" s="926"/>
      <c r="AY97" s="926"/>
      <c r="AZ97" s="926"/>
      <c r="BA97" s="926"/>
      <c r="BB97" s="927"/>
    </row>
    <row r="98" spans="1:54" x14ac:dyDescent="0.25">
      <c r="A98" s="13">
        <f t="shared" si="1"/>
        <v>85</v>
      </c>
      <c r="B98" s="888" t="str">
        <f>'refer admin discharge'!B95</f>
        <v>x</v>
      </c>
      <c r="C98" s="888"/>
      <c r="D98" s="868" t="str">
        <f>'refer admin discharge'!D95</f>
        <v>xx</v>
      </c>
      <c r="E98" s="868"/>
      <c r="F98" s="891" t="str">
        <f>'refer admin discharge'!H95</f>
        <v>00/00/0000</v>
      </c>
      <c r="G98" s="892"/>
      <c r="H98" s="894"/>
      <c r="I98" s="894"/>
      <c r="J98" s="918"/>
      <c r="K98" s="918"/>
      <c r="L98" s="894"/>
      <c r="M98" s="894"/>
      <c r="N98" s="916"/>
      <c r="O98" s="916"/>
      <c r="P98" s="894"/>
      <c r="Q98" s="894"/>
      <c r="R98" s="916"/>
      <c r="S98" s="916"/>
      <c r="T98" s="894"/>
      <c r="U98" s="894"/>
      <c r="V98" s="921" t="str">
        <f>'refer admin discharge'!H99</f>
        <v>00/00/0000</v>
      </c>
      <c r="W98" s="922"/>
      <c r="X98" s="920"/>
      <c r="Y98" s="920"/>
      <c r="Z98" s="919"/>
      <c r="AA98" s="919"/>
      <c r="AB98" s="920"/>
      <c r="AC98" s="920"/>
      <c r="AD98" s="912"/>
      <c r="AE98" s="912"/>
      <c r="AF98" s="920"/>
      <c r="AG98" s="920"/>
      <c r="AH98" s="912"/>
      <c r="AI98" s="912"/>
      <c r="AJ98" s="920"/>
      <c r="AK98" s="920"/>
      <c r="AL98" s="905"/>
      <c r="AM98" s="906"/>
      <c r="AN98" s="906"/>
      <c r="AO98" s="906"/>
      <c r="AP98" s="906"/>
      <c r="AQ98" s="906"/>
      <c r="AR98" s="906"/>
      <c r="AS98" s="906"/>
      <c r="AT98" s="906"/>
      <c r="AU98" s="906"/>
      <c r="AV98" s="906"/>
      <c r="AW98" s="906"/>
      <c r="AX98" s="906"/>
      <c r="AY98" s="906"/>
      <c r="AZ98" s="906"/>
      <c r="BA98" s="906"/>
      <c r="BB98" s="907"/>
    </row>
    <row r="99" spans="1:54" x14ac:dyDescent="0.25">
      <c r="A99" s="13">
        <f t="shared" si="1"/>
        <v>86</v>
      </c>
      <c r="B99" s="914" t="str">
        <f>'refer admin discharge'!B96</f>
        <v>x</v>
      </c>
      <c r="C99" s="914"/>
      <c r="D99" s="889" t="str">
        <f>'refer admin discharge'!D96</f>
        <v>xx</v>
      </c>
      <c r="E99" s="889"/>
      <c r="F99" s="915" t="str">
        <f>'refer admin discharge'!H96</f>
        <v>00/00/0000</v>
      </c>
      <c r="G99" s="890"/>
      <c r="H99" s="916"/>
      <c r="I99" s="916"/>
      <c r="J99" s="917"/>
      <c r="K99" s="917"/>
      <c r="L99" s="916"/>
      <c r="M99" s="916"/>
      <c r="N99" s="893"/>
      <c r="O99" s="893"/>
      <c r="P99" s="916"/>
      <c r="Q99" s="916"/>
      <c r="R99" s="893"/>
      <c r="S99" s="893"/>
      <c r="T99" s="916"/>
      <c r="U99" s="916"/>
      <c r="V99" s="923" t="str">
        <f>'refer admin discharge'!H100</f>
        <v>00/00/0000</v>
      </c>
      <c r="W99" s="910"/>
      <c r="X99" s="912"/>
      <c r="Y99" s="912"/>
      <c r="Z99" s="924"/>
      <c r="AA99" s="924"/>
      <c r="AB99" s="912"/>
      <c r="AC99" s="912"/>
      <c r="AD99" s="913"/>
      <c r="AE99" s="913"/>
      <c r="AF99" s="912"/>
      <c r="AG99" s="912"/>
      <c r="AH99" s="913"/>
      <c r="AI99" s="913"/>
      <c r="AJ99" s="912"/>
      <c r="AK99" s="912"/>
      <c r="AL99" s="925"/>
      <c r="AM99" s="926"/>
      <c r="AN99" s="926"/>
      <c r="AO99" s="926"/>
      <c r="AP99" s="926"/>
      <c r="AQ99" s="926"/>
      <c r="AR99" s="926"/>
      <c r="AS99" s="926"/>
      <c r="AT99" s="926"/>
      <c r="AU99" s="926"/>
      <c r="AV99" s="926"/>
      <c r="AW99" s="926"/>
      <c r="AX99" s="926"/>
      <c r="AY99" s="926"/>
      <c r="AZ99" s="926"/>
      <c r="BA99" s="926"/>
      <c r="BB99" s="927"/>
    </row>
    <row r="100" spans="1:54" x14ac:dyDescent="0.25">
      <c r="A100" s="13">
        <f t="shared" si="1"/>
        <v>87</v>
      </c>
      <c r="B100" s="888" t="str">
        <f>'refer admin discharge'!B97</f>
        <v>x</v>
      </c>
      <c r="C100" s="888"/>
      <c r="D100" s="868" t="str">
        <f>'refer admin discharge'!D97</f>
        <v>xx</v>
      </c>
      <c r="E100" s="868"/>
      <c r="F100" s="891" t="str">
        <f>'refer admin discharge'!H97</f>
        <v>00/00/0000</v>
      </c>
      <c r="G100" s="892"/>
      <c r="H100" s="894"/>
      <c r="I100" s="894"/>
      <c r="J100" s="918"/>
      <c r="K100" s="918"/>
      <c r="L100" s="894"/>
      <c r="M100" s="894"/>
      <c r="N100" s="916"/>
      <c r="O100" s="916"/>
      <c r="P100" s="894"/>
      <c r="Q100" s="894"/>
      <c r="R100" s="916"/>
      <c r="S100" s="916"/>
      <c r="T100" s="894"/>
      <c r="U100" s="894"/>
      <c r="V100" s="921" t="str">
        <f>'refer admin discharge'!H101</f>
        <v>00/00/0000</v>
      </c>
      <c r="W100" s="922"/>
      <c r="X100" s="920"/>
      <c r="Y100" s="920"/>
      <c r="Z100" s="919"/>
      <c r="AA100" s="919"/>
      <c r="AB100" s="920"/>
      <c r="AC100" s="920"/>
      <c r="AD100" s="912"/>
      <c r="AE100" s="912"/>
      <c r="AF100" s="920"/>
      <c r="AG100" s="920"/>
      <c r="AH100" s="912"/>
      <c r="AI100" s="912"/>
      <c r="AJ100" s="920"/>
      <c r="AK100" s="920"/>
      <c r="AL100" s="905"/>
      <c r="AM100" s="906"/>
      <c r="AN100" s="906"/>
      <c r="AO100" s="906"/>
      <c r="AP100" s="906"/>
      <c r="AQ100" s="906"/>
      <c r="AR100" s="906"/>
      <c r="AS100" s="906"/>
      <c r="AT100" s="906"/>
      <c r="AU100" s="906"/>
      <c r="AV100" s="906"/>
      <c r="AW100" s="906"/>
      <c r="AX100" s="906"/>
      <c r="AY100" s="906"/>
      <c r="AZ100" s="906"/>
      <c r="BA100" s="906"/>
      <c r="BB100" s="907"/>
    </row>
    <row r="101" spans="1:54" x14ac:dyDescent="0.25">
      <c r="A101" s="13">
        <f t="shared" si="1"/>
        <v>88</v>
      </c>
      <c r="B101" s="914" t="str">
        <f>'refer admin discharge'!B98</f>
        <v>x</v>
      </c>
      <c r="C101" s="914"/>
      <c r="D101" s="889" t="str">
        <f>'refer admin discharge'!D98</f>
        <v>xx</v>
      </c>
      <c r="E101" s="889"/>
      <c r="F101" s="915" t="str">
        <f>'refer admin discharge'!H98</f>
        <v>00/00/0000</v>
      </c>
      <c r="G101" s="890"/>
      <c r="H101" s="916"/>
      <c r="I101" s="916"/>
      <c r="J101" s="917"/>
      <c r="K101" s="917"/>
      <c r="L101" s="916"/>
      <c r="M101" s="916"/>
      <c r="N101" s="893"/>
      <c r="O101" s="893"/>
      <c r="P101" s="916"/>
      <c r="Q101" s="916"/>
      <c r="R101" s="893"/>
      <c r="S101" s="893"/>
      <c r="T101" s="916"/>
      <c r="U101" s="916"/>
      <c r="V101" s="923" t="str">
        <f>'refer admin discharge'!H102</f>
        <v>00/00/0000</v>
      </c>
      <c r="W101" s="910"/>
      <c r="X101" s="912"/>
      <c r="Y101" s="912"/>
      <c r="Z101" s="924"/>
      <c r="AA101" s="924"/>
      <c r="AB101" s="912"/>
      <c r="AC101" s="912"/>
      <c r="AD101" s="913"/>
      <c r="AE101" s="913"/>
      <c r="AF101" s="912"/>
      <c r="AG101" s="912"/>
      <c r="AH101" s="913"/>
      <c r="AI101" s="913"/>
      <c r="AJ101" s="912"/>
      <c r="AK101" s="912"/>
      <c r="AL101" s="925"/>
      <c r="AM101" s="926"/>
      <c r="AN101" s="926"/>
      <c r="AO101" s="926"/>
      <c r="AP101" s="926"/>
      <c r="AQ101" s="926"/>
      <c r="AR101" s="926"/>
      <c r="AS101" s="926"/>
      <c r="AT101" s="926"/>
      <c r="AU101" s="926"/>
      <c r="AV101" s="926"/>
      <c r="AW101" s="926"/>
      <c r="AX101" s="926"/>
      <c r="AY101" s="926"/>
      <c r="AZ101" s="926"/>
      <c r="BA101" s="926"/>
      <c r="BB101" s="927"/>
    </row>
    <row r="102" spans="1:54" x14ac:dyDescent="0.25">
      <c r="A102" s="13">
        <f t="shared" si="1"/>
        <v>89</v>
      </c>
      <c r="B102" s="888" t="str">
        <f>'refer admin discharge'!B99</f>
        <v>x</v>
      </c>
      <c r="C102" s="888"/>
      <c r="D102" s="868" t="str">
        <f>'refer admin discharge'!D99</f>
        <v>xx</v>
      </c>
      <c r="E102" s="868"/>
      <c r="F102" s="891" t="str">
        <f>'refer admin discharge'!H99</f>
        <v>00/00/0000</v>
      </c>
      <c r="G102" s="892"/>
      <c r="H102" s="894"/>
      <c r="I102" s="894"/>
      <c r="J102" s="918"/>
      <c r="K102" s="918"/>
      <c r="L102" s="894"/>
      <c r="M102" s="894"/>
      <c r="N102" s="916"/>
      <c r="O102" s="916"/>
      <c r="P102" s="894"/>
      <c r="Q102" s="894"/>
      <c r="R102" s="916"/>
      <c r="S102" s="916"/>
      <c r="T102" s="894"/>
      <c r="U102" s="894"/>
      <c r="V102" s="921" t="str">
        <f>'refer admin discharge'!H103</f>
        <v>00/00/0000</v>
      </c>
      <c r="W102" s="922"/>
      <c r="X102" s="920"/>
      <c r="Y102" s="920"/>
      <c r="Z102" s="919"/>
      <c r="AA102" s="919"/>
      <c r="AB102" s="920"/>
      <c r="AC102" s="920"/>
      <c r="AD102" s="912"/>
      <c r="AE102" s="912"/>
      <c r="AF102" s="920"/>
      <c r="AG102" s="920"/>
      <c r="AH102" s="912"/>
      <c r="AI102" s="912"/>
      <c r="AJ102" s="920"/>
      <c r="AK102" s="920"/>
      <c r="AL102" s="905"/>
      <c r="AM102" s="906"/>
      <c r="AN102" s="906"/>
      <c r="AO102" s="906"/>
      <c r="AP102" s="906"/>
      <c r="AQ102" s="906"/>
      <c r="AR102" s="906"/>
      <c r="AS102" s="906"/>
      <c r="AT102" s="906"/>
      <c r="AU102" s="906"/>
      <c r="AV102" s="906"/>
      <c r="AW102" s="906"/>
      <c r="AX102" s="906"/>
      <c r="AY102" s="906"/>
      <c r="AZ102" s="906"/>
      <c r="BA102" s="906"/>
      <c r="BB102" s="907"/>
    </row>
    <row r="103" spans="1:54" x14ac:dyDescent="0.25">
      <c r="A103" s="13">
        <f t="shared" si="1"/>
        <v>90</v>
      </c>
      <c r="B103" s="914" t="str">
        <f>'refer admin discharge'!B100</f>
        <v>x</v>
      </c>
      <c r="C103" s="914"/>
      <c r="D103" s="889" t="str">
        <f>'refer admin discharge'!D100</f>
        <v>xx</v>
      </c>
      <c r="E103" s="889"/>
      <c r="F103" s="915" t="str">
        <f>'refer admin discharge'!H100</f>
        <v>00/00/0000</v>
      </c>
      <c r="G103" s="890"/>
      <c r="H103" s="916"/>
      <c r="I103" s="916"/>
      <c r="J103" s="917"/>
      <c r="K103" s="917"/>
      <c r="L103" s="916"/>
      <c r="M103" s="916"/>
      <c r="N103" s="893"/>
      <c r="O103" s="893"/>
      <c r="P103" s="916"/>
      <c r="Q103" s="916"/>
      <c r="R103" s="893"/>
      <c r="S103" s="893"/>
      <c r="T103" s="916"/>
      <c r="U103" s="916"/>
      <c r="V103" s="923" t="str">
        <f>'refer admin discharge'!H104</f>
        <v>00/00/0000</v>
      </c>
      <c r="W103" s="910"/>
      <c r="X103" s="912"/>
      <c r="Y103" s="912"/>
      <c r="Z103" s="924"/>
      <c r="AA103" s="924"/>
      <c r="AB103" s="912"/>
      <c r="AC103" s="912"/>
      <c r="AD103" s="913"/>
      <c r="AE103" s="913"/>
      <c r="AF103" s="912"/>
      <c r="AG103" s="912"/>
      <c r="AH103" s="913"/>
      <c r="AI103" s="913"/>
      <c r="AJ103" s="912"/>
      <c r="AK103" s="912"/>
      <c r="AL103" s="925"/>
      <c r="AM103" s="926"/>
      <c r="AN103" s="926"/>
      <c r="AO103" s="926"/>
      <c r="AP103" s="926"/>
      <c r="AQ103" s="926"/>
      <c r="AR103" s="926"/>
      <c r="AS103" s="926"/>
      <c r="AT103" s="926"/>
      <c r="AU103" s="926"/>
      <c r="AV103" s="926"/>
      <c r="AW103" s="926"/>
      <c r="AX103" s="926"/>
      <c r="AY103" s="926"/>
      <c r="AZ103" s="926"/>
      <c r="BA103" s="926"/>
      <c r="BB103" s="927"/>
    </row>
    <row r="104" spans="1:54" x14ac:dyDescent="0.25">
      <c r="A104" s="13">
        <f t="shared" si="1"/>
        <v>91</v>
      </c>
      <c r="B104" s="888" t="str">
        <f>'refer admin discharge'!B101</f>
        <v>x</v>
      </c>
      <c r="C104" s="888"/>
      <c r="D104" s="868" t="str">
        <f>'refer admin discharge'!D101</f>
        <v>xx</v>
      </c>
      <c r="E104" s="868"/>
      <c r="F104" s="891" t="str">
        <f>'refer admin discharge'!H101</f>
        <v>00/00/0000</v>
      </c>
      <c r="G104" s="892"/>
      <c r="H104" s="894"/>
      <c r="I104" s="894"/>
      <c r="J104" s="918"/>
      <c r="K104" s="918"/>
      <c r="L104" s="894"/>
      <c r="M104" s="894"/>
      <c r="N104" s="916"/>
      <c r="O104" s="916"/>
      <c r="P104" s="894"/>
      <c r="Q104" s="894"/>
      <c r="R104" s="916"/>
      <c r="S104" s="916"/>
      <c r="T104" s="894"/>
      <c r="U104" s="894"/>
      <c r="V104" s="921" t="str">
        <f>'refer admin discharge'!H105</f>
        <v>00/00/0000</v>
      </c>
      <c r="W104" s="922"/>
      <c r="X104" s="920"/>
      <c r="Y104" s="920"/>
      <c r="Z104" s="919"/>
      <c r="AA104" s="919"/>
      <c r="AB104" s="920"/>
      <c r="AC104" s="920"/>
      <c r="AD104" s="912"/>
      <c r="AE104" s="912"/>
      <c r="AF104" s="920"/>
      <c r="AG104" s="920"/>
      <c r="AH104" s="912"/>
      <c r="AI104" s="912"/>
      <c r="AJ104" s="920"/>
      <c r="AK104" s="920"/>
      <c r="AL104" s="905"/>
      <c r="AM104" s="906"/>
      <c r="AN104" s="906"/>
      <c r="AO104" s="906"/>
      <c r="AP104" s="906"/>
      <c r="AQ104" s="906"/>
      <c r="AR104" s="906"/>
      <c r="AS104" s="906"/>
      <c r="AT104" s="906"/>
      <c r="AU104" s="906"/>
      <c r="AV104" s="906"/>
      <c r="AW104" s="906"/>
      <c r="AX104" s="906"/>
      <c r="AY104" s="906"/>
      <c r="AZ104" s="906"/>
      <c r="BA104" s="906"/>
      <c r="BB104" s="907"/>
    </row>
    <row r="105" spans="1:54" x14ac:dyDescent="0.25">
      <c r="A105" s="13">
        <f t="shared" si="1"/>
        <v>92</v>
      </c>
      <c r="B105" s="914" t="str">
        <f>'refer admin discharge'!B102</f>
        <v>x</v>
      </c>
      <c r="C105" s="914"/>
      <c r="D105" s="889" t="str">
        <f>'refer admin discharge'!D102</f>
        <v>xx</v>
      </c>
      <c r="E105" s="889"/>
      <c r="F105" s="915" t="str">
        <f>'refer admin discharge'!H102</f>
        <v>00/00/0000</v>
      </c>
      <c r="G105" s="890"/>
      <c r="H105" s="916"/>
      <c r="I105" s="916"/>
      <c r="J105" s="917"/>
      <c r="K105" s="917"/>
      <c r="L105" s="916"/>
      <c r="M105" s="916"/>
      <c r="N105" s="893"/>
      <c r="O105" s="893"/>
      <c r="P105" s="916"/>
      <c r="Q105" s="916"/>
      <c r="R105" s="893"/>
      <c r="S105" s="893"/>
      <c r="T105" s="916"/>
      <c r="U105" s="916"/>
      <c r="V105" s="923" t="str">
        <f>'refer admin discharge'!H106</f>
        <v>00/00/0000</v>
      </c>
      <c r="W105" s="910"/>
      <c r="X105" s="912"/>
      <c r="Y105" s="912"/>
      <c r="Z105" s="924"/>
      <c r="AA105" s="924"/>
      <c r="AB105" s="912"/>
      <c r="AC105" s="912"/>
      <c r="AD105" s="913"/>
      <c r="AE105" s="913"/>
      <c r="AF105" s="912"/>
      <c r="AG105" s="912"/>
      <c r="AH105" s="913"/>
      <c r="AI105" s="913"/>
      <c r="AJ105" s="912"/>
      <c r="AK105" s="912"/>
      <c r="AL105" s="925"/>
      <c r="AM105" s="926"/>
      <c r="AN105" s="926"/>
      <c r="AO105" s="926"/>
      <c r="AP105" s="926"/>
      <c r="AQ105" s="926"/>
      <c r="AR105" s="926"/>
      <c r="AS105" s="926"/>
      <c r="AT105" s="926"/>
      <c r="AU105" s="926"/>
      <c r="AV105" s="926"/>
      <c r="AW105" s="926"/>
      <c r="AX105" s="926"/>
      <c r="AY105" s="926"/>
      <c r="AZ105" s="926"/>
      <c r="BA105" s="926"/>
      <c r="BB105" s="927"/>
    </row>
    <row r="106" spans="1:54" x14ac:dyDescent="0.25">
      <c r="A106" s="13">
        <f t="shared" si="1"/>
        <v>93</v>
      </c>
      <c r="B106" s="888" t="str">
        <f>'refer admin discharge'!B103</f>
        <v>x</v>
      </c>
      <c r="C106" s="888"/>
      <c r="D106" s="868" t="str">
        <f>'refer admin discharge'!D103</f>
        <v>xx</v>
      </c>
      <c r="E106" s="868"/>
      <c r="F106" s="891" t="str">
        <f>'refer admin discharge'!H103</f>
        <v>00/00/0000</v>
      </c>
      <c r="G106" s="892"/>
      <c r="H106" s="894"/>
      <c r="I106" s="894"/>
      <c r="J106" s="918"/>
      <c r="K106" s="918"/>
      <c r="L106" s="894"/>
      <c r="M106" s="894"/>
      <c r="N106" s="916"/>
      <c r="O106" s="916"/>
      <c r="P106" s="894"/>
      <c r="Q106" s="894"/>
      <c r="R106" s="916"/>
      <c r="S106" s="916"/>
      <c r="T106" s="894"/>
      <c r="U106" s="894"/>
      <c r="V106" s="921" t="str">
        <f>'refer admin discharge'!H107</f>
        <v>00/00/0000</v>
      </c>
      <c r="W106" s="922"/>
      <c r="X106" s="920"/>
      <c r="Y106" s="920"/>
      <c r="Z106" s="919"/>
      <c r="AA106" s="919"/>
      <c r="AB106" s="920"/>
      <c r="AC106" s="920"/>
      <c r="AD106" s="912"/>
      <c r="AE106" s="912"/>
      <c r="AF106" s="920"/>
      <c r="AG106" s="920"/>
      <c r="AH106" s="912"/>
      <c r="AI106" s="912"/>
      <c r="AJ106" s="920"/>
      <c r="AK106" s="920"/>
      <c r="AL106" s="905"/>
      <c r="AM106" s="906"/>
      <c r="AN106" s="906"/>
      <c r="AO106" s="906"/>
      <c r="AP106" s="906"/>
      <c r="AQ106" s="906"/>
      <c r="AR106" s="906"/>
      <c r="AS106" s="906"/>
      <c r="AT106" s="906"/>
      <c r="AU106" s="906"/>
      <c r="AV106" s="906"/>
      <c r="AW106" s="906"/>
      <c r="AX106" s="906"/>
      <c r="AY106" s="906"/>
      <c r="AZ106" s="906"/>
      <c r="BA106" s="906"/>
      <c r="BB106" s="907"/>
    </row>
    <row r="107" spans="1:54" x14ac:dyDescent="0.25">
      <c r="A107" s="13">
        <f t="shared" si="1"/>
        <v>94</v>
      </c>
      <c r="B107" s="914" t="str">
        <f>'refer admin discharge'!B104</f>
        <v>x</v>
      </c>
      <c r="C107" s="914"/>
      <c r="D107" s="889" t="str">
        <f>'refer admin discharge'!D104</f>
        <v>xx</v>
      </c>
      <c r="E107" s="889"/>
      <c r="F107" s="915" t="str">
        <f>'refer admin discharge'!H104</f>
        <v>00/00/0000</v>
      </c>
      <c r="G107" s="890"/>
      <c r="H107" s="916"/>
      <c r="I107" s="916"/>
      <c r="J107" s="917"/>
      <c r="K107" s="917"/>
      <c r="L107" s="916"/>
      <c r="M107" s="916"/>
      <c r="N107" s="893"/>
      <c r="O107" s="893"/>
      <c r="P107" s="916"/>
      <c r="Q107" s="916"/>
      <c r="R107" s="893"/>
      <c r="S107" s="893"/>
      <c r="T107" s="916"/>
      <c r="U107" s="916"/>
      <c r="V107" s="923" t="str">
        <f>'refer admin discharge'!H108</f>
        <v>00/00/0000</v>
      </c>
      <c r="W107" s="910"/>
      <c r="X107" s="912"/>
      <c r="Y107" s="912"/>
      <c r="Z107" s="924"/>
      <c r="AA107" s="924"/>
      <c r="AB107" s="912"/>
      <c r="AC107" s="912"/>
      <c r="AD107" s="913"/>
      <c r="AE107" s="913"/>
      <c r="AF107" s="912"/>
      <c r="AG107" s="912"/>
      <c r="AH107" s="913"/>
      <c r="AI107" s="913"/>
      <c r="AJ107" s="912"/>
      <c r="AK107" s="912"/>
      <c r="AL107" s="925"/>
      <c r="AM107" s="926"/>
      <c r="AN107" s="926"/>
      <c r="AO107" s="926"/>
      <c r="AP107" s="926"/>
      <c r="AQ107" s="926"/>
      <c r="AR107" s="926"/>
      <c r="AS107" s="926"/>
      <c r="AT107" s="926"/>
      <c r="AU107" s="926"/>
      <c r="AV107" s="926"/>
      <c r="AW107" s="926"/>
      <c r="AX107" s="926"/>
      <c r="AY107" s="926"/>
      <c r="AZ107" s="926"/>
      <c r="BA107" s="926"/>
      <c r="BB107" s="927"/>
    </row>
    <row r="108" spans="1:54" x14ac:dyDescent="0.25">
      <c r="A108" s="13">
        <f t="shared" si="1"/>
        <v>95</v>
      </c>
      <c r="B108" s="888" t="str">
        <f>'refer admin discharge'!B105</f>
        <v>x</v>
      </c>
      <c r="C108" s="888"/>
      <c r="D108" s="868" t="str">
        <f>'refer admin discharge'!D105</f>
        <v>xx</v>
      </c>
      <c r="E108" s="868"/>
      <c r="F108" s="891" t="str">
        <f>'refer admin discharge'!H105</f>
        <v>00/00/0000</v>
      </c>
      <c r="G108" s="892"/>
      <c r="H108" s="894"/>
      <c r="I108" s="894"/>
      <c r="J108" s="918"/>
      <c r="K108" s="918"/>
      <c r="L108" s="894"/>
      <c r="M108" s="894"/>
      <c r="N108" s="916"/>
      <c r="O108" s="916"/>
      <c r="P108" s="894"/>
      <c r="Q108" s="894"/>
      <c r="R108" s="916"/>
      <c r="S108" s="916"/>
      <c r="T108" s="894"/>
      <c r="U108" s="894"/>
      <c r="V108" s="921" t="str">
        <f>'refer admin discharge'!H109</f>
        <v>00/00/0000</v>
      </c>
      <c r="W108" s="922"/>
      <c r="X108" s="920"/>
      <c r="Y108" s="920"/>
      <c r="Z108" s="919"/>
      <c r="AA108" s="919"/>
      <c r="AB108" s="920"/>
      <c r="AC108" s="920"/>
      <c r="AD108" s="912"/>
      <c r="AE108" s="912"/>
      <c r="AF108" s="920"/>
      <c r="AG108" s="920"/>
      <c r="AH108" s="912"/>
      <c r="AI108" s="912"/>
      <c r="AJ108" s="920"/>
      <c r="AK108" s="920"/>
      <c r="AL108" s="905"/>
      <c r="AM108" s="906"/>
      <c r="AN108" s="906"/>
      <c r="AO108" s="906"/>
      <c r="AP108" s="906"/>
      <c r="AQ108" s="906"/>
      <c r="AR108" s="906"/>
      <c r="AS108" s="906"/>
      <c r="AT108" s="906"/>
      <c r="AU108" s="906"/>
      <c r="AV108" s="906"/>
      <c r="AW108" s="906"/>
      <c r="AX108" s="906"/>
      <c r="AY108" s="906"/>
      <c r="AZ108" s="906"/>
      <c r="BA108" s="906"/>
      <c r="BB108" s="907"/>
    </row>
    <row r="109" spans="1:54" x14ac:dyDescent="0.25">
      <c r="A109" s="13">
        <f t="shared" si="1"/>
        <v>96</v>
      </c>
      <c r="B109" s="914" t="str">
        <f>'refer admin discharge'!B106</f>
        <v>x</v>
      </c>
      <c r="C109" s="914"/>
      <c r="D109" s="889" t="str">
        <f>'refer admin discharge'!D106</f>
        <v>xx</v>
      </c>
      <c r="E109" s="889"/>
      <c r="F109" s="915" t="str">
        <f>'refer admin discharge'!H106</f>
        <v>00/00/0000</v>
      </c>
      <c r="G109" s="890"/>
      <c r="H109" s="916"/>
      <c r="I109" s="916"/>
      <c r="J109" s="917"/>
      <c r="K109" s="917"/>
      <c r="L109" s="916"/>
      <c r="M109" s="916"/>
      <c r="N109" s="893"/>
      <c r="O109" s="893"/>
      <c r="P109" s="916"/>
      <c r="Q109" s="916"/>
      <c r="R109" s="893"/>
      <c r="S109" s="893"/>
      <c r="T109" s="916"/>
      <c r="U109" s="916"/>
      <c r="V109" s="923" t="str">
        <f>'refer admin discharge'!H110</f>
        <v>00/00/0000</v>
      </c>
      <c r="W109" s="910"/>
      <c r="X109" s="912"/>
      <c r="Y109" s="912"/>
      <c r="Z109" s="924"/>
      <c r="AA109" s="924"/>
      <c r="AB109" s="912"/>
      <c r="AC109" s="912"/>
      <c r="AD109" s="913"/>
      <c r="AE109" s="913"/>
      <c r="AF109" s="912"/>
      <c r="AG109" s="912"/>
      <c r="AH109" s="913"/>
      <c r="AI109" s="913"/>
      <c r="AJ109" s="912"/>
      <c r="AK109" s="912"/>
      <c r="AL109" s="925"/>
      <c r="AM109" s="926"/>
      <c r="AN109" s="926"/>
      <c r="AO109" s="926"/>
      <c r="AP109" s="926"/>
      <c r="AQ109" s="926"/>
      <c r="AR109" s="926"/>
      <c r="AS109" s="926"/>
      <c r="AT109" s="926"/>
      <c r="AU109" s="926"/>
      <c r="AV109" s="926"/>
      <c r="AW109" s="926"/>
      <c r="AX109" s="926"/>
      <c r="AY109" s="926"/>
      <c r="AZ109" s="926"/>
      <c r="BA109" s="926"/>
      <c r="BB109" s="927"/>
    </row>
    <row r="110" spans="1:54" x14ac:dyDescent="0.25">
      <c r="A110" s="13">
        <f t="shared" si="1"/>
        <v>97</v>
      </c>
      <c r="B110" s="888" t="str">
        <f>'refer admin discharge'!B107</f>
        <v>x</v>
      </c>
      <c r="C110" s="888"/>
      <c r="D110" s="868" t="str">
        <f>'refer admin discharge'!D107</f>
        <v>xx</v>
      </c>
      <c r="E110" s="868"/>
      <c r="F110" s="891" t="str">
        <f>'refer admin discharge'!H107</f>
        <v>00/00/0000</v>
      </c>
      <c r="G110" s="892"/>
      <c r="H110" s="894"/>
      <c r="I110" s="894"/>
      <c r="J110" s="918"/>
      <c r="K110" s="918"/>
      <c r="L110" s="894"/>
      <c r="M110" s="894"/>
      <c r="N110" s="916"/>
      <c r="O110" s="916"/>
      <c r="P110" s="894"/>
      <c r="Q110" s="894"/>
      <c r="R110" s="916"/>
      <c r="S110" s="916"/>
      <c r="T110" s="894"/>
      <c r="U110" s="894"/>
      <c r="V110" s="921" t="str">
        <f>'refer admin discharge'!H111</f>
        <v>00/00/0000</v>
      </c>
      <c r="W110" s="922"/>
      <c r="X110" s="920"/>
      <c r="Y110" s="920"/>
      <c r="Z110" s="919"/>
      <c r="AA110" s="919"/>
      <c r="AB110" s="920"/>
      <c r="AC110" s="920"/>
      <c r="AD110" s="912"/>
      <c r="AE110" s="912"/>
      <c r="AF110" s="920"/>
      <c r="AG110" s="920"/>
      <c r="AH110" s="912"/>
      <c r="AI110" s="912"/>
      <c r="AJ110" s="920"/>
      <c r="AK110" s="920"/>
      <c r="AL110" s="905"/>
      <c r="AM110" s="906"/>
      <c r="AN110" s="906"/>
      <c r="AO110" s="906"/>
      <c r="AP110" s="906"/>
      <c r="AQ110" s="906"/>
      <c r="AR110" s="906"/>
      <c r="AS110" s="906"/>
      <c r="AT110" s="906"/>
      <c r="AU110" s="906"/>
      <c r="AV110" s="906"/>
      <c r="AW110" s="906"/>
      <c r="AX110" s="906"/>
      <c r="AY110" s="906"/>
      <c r="AZ110" s="906"/>
      <c r="BA110" s="906"/>
      <c r="BB110" s="907"/>
    </row>
    <row r="111" spans="1:54" x14ac:dyDescent="0.25">
      <c r="A111" s="13">
        <f t="shared" si="1"/>
        <v>98</v>
      </c>
      <c r="B111" s="914" t="str">
        <f>'refer admin discharge'!B108</f>
        <v>x</v>
      </c>
      <c r="C111" s="914"/>
      <c r="D111" s="889" t="str">
        <f>'refer admin discharge'!D108</f>
        <v>xx</v>
      </c>
      <c r="E111" s="889"/>
      <c r="F111" s="915" t="str">
        <f>'refer admin discharge'!H108</f>
        <v>00/00/0000</v>
      </c>
      <c r="G111" s="890"/>
      <c r="H111" s="916"/>
      <c r="I111" s="916"/>
      <c r="J111" s="917"/>
      <c r="K111" s="917"/>
      <c r="L111" s="916"/>
      <c r="M111" s="916"/>
      <c r="N111" s="893"/>
      <c r="O111" s="893"/>
      <c r="P111" s="916"/>
      <c r="Q111" s="916"/>
      <c r="R111" s="893"/>
      <c r="S111" s="893"/>
      <c r="T111" s="916"/>
      <c r="U111" s="916"/>
      <c r="V111" s="923" t="str">
        <f>'refer admin discharge'!H112</f>
        <v>00/00/0000</v>
      </c>
      <c r="W111" s="910"/>
      <c r="X111" s="912"/>
      <c r="Y111" s="912"/>
      <c r="Z111" s="924"/>
      <c r="AA111" s="924"/>
      <c r="AB111" s="912"/>
      <c r="AC111" s="912"/>
      <c r="AD111" s="913"/>
      <c r="AE111" s="913"/>
      <c r="AF111" s="912"/>
      <c r="AG111" s="912"/>
      <c r="AH111" s="913"/>
      <c r="AI111" s="913"/>
      <c r="AJ111" s="912"/>
      <c r="AK111" s="912"/>
      <c r="AL111" s="925"/>
      <c r="AM111" s="926"/>
      <c r="AN111" s="926"/>
      <c r="AO111" s="926"/>
      <c r="AP111" s="926"/>
      <c r="AQ111" s="926"/>
      <c r="AR111" s="926"/>
      <c r="AS111" s="926"/>
      <c r="AT111" s="926"/>
      <c r="AU111" s="926"/>
      <c r="AV111" s="926"/>
      <c r="AW111" s="926"/>
      <c r="AX111" s="926"/>
      <c r="AY111" s="926"/>
      <c r="AZ111" s="926"/>
      <c r="BA111" s="926"/>
      <c r="BB111" s="927"/>
    </row>
    <row r="112" spans="1:54" x14ac:dyDescent="0.25">
      <c r="A112" s="13">
        <f t="shared" si="1"/>
        <v>99</v>
      </c>
      <c r="B112" s="888" t="str">
        <f>'refer admin discharge'!B109</f>
        <v>x</v>
      </c>
      <c r="C112" s="888"/>
      <c r="D112" s="868" t="str">
        <f>'refer admin discharge'!D109</f>
        <v>xx</v>
      </c>
      <c r="E112" s="868"/>
      <c r="F112" s="891" t="str">
        <f>'refer admin discharge'!H109</f>
        <v>00/00/0000</v>
      </c>
      <c r="G112" s="892"/>
      <c r="H112" s="894"/>
      <c r="I112" s="894"/>
      <c r="J112" s="918"/>
      <c r="K112" s="918"/>
      <c r="L112" s="894"/>
      <c r="M112" s="894"/>
      <c r="N112" s="916"/>
      <c r="O112" s="916"/>
      <c r="P112" s="894"/>
      <c r="Q112" s="894"/>
      <c r="R112" s="916"/>
      <c r="S112" s="916"/>
      <c r="T112" s="894"/>
      <c r="U112" s="894"/>
      <c r="V112" s="921" t="str">
        <f>'refer admin discharge'!H113</f>
        <v>00/00/0000</v>
      </c>
      <c r="W112" s="922"/>
      <c r="X112" s="920"/>
      <c r="Y112" s="920"/>
      <c r="Z112" s="919"/>
      <c r="AA112" s="919"/>
      <c r="AB112" s="920"/>
      <c r="AC112" s="920"/>
      <c r="AD112" s="912"/>
      <c r="AE112" s="912"/>
      <c r="AF112" s="920"/>
      <c r="AG112" s="920"/>
      <c r="AH112" s="912"/>
      <c r="AI112" s="912"/>
      <c r="AJ112" s="920"/>
      <c r="AK112" s="920"/>
      <c r="AL112" s="905"/>
      <c r="AM112" s="906"/>
      <c r="AN112" s="906"/>
      <c r="AO112" s="906"/>
      <c r="AP112" s="906"/>
      <c r="AQ112" s="906"/>
      <c r="AR112" s="906"/>
      <c r="AS112" s="906"/>
      <c r="AT112" s="906"/>
      <c r="AU112" s="906"/>
      <c r="AV112" s="906"/>
      <c r="AW112" s="906"/>
      <c r="AX112" s="906"/>
      <c r="AY112" s="906"/>
      <c r="AZ112" s="906"/>
      <c r="BA112" s="906"/>
      <c r="BB112" s="907"/>
    </row>
    <row r="113" spans="1:54" x14ac:dyDescent="0.25">
      <c r="A113" s="13">
        <f t="shared" si="1"/>
        <v>100</v>
      </c>
      <c r="B113" s="914" t="str">
        <f>'refer admin discharge'!B110</f>
        <v>x</v>
      </c>
      <c r="C113" s="914"/>
      <c r="D113" s="889" t="str">
        <f>'refer admin discharge'!D110</f>
        <v>xx</v>
      </c>
      <c r="E113" s="889"/>
      <c r="F113" s="915" t="str">
        <f>'refer admin discharge'!H110</f>
        <v>00/00/0000</v>
      </c>
      <c r="G113" s="890"/>
      <c r="H113" s="916"/>
      <c r="I113" s="916"/>
      <c r="J113" s="917"/>
      <c r="K113" s="917"/>
      <c r="L113" s="916"/>
      <c r="M113" s="916"/>
      <c r="N113" s="893"/>
      <c r="O113" s="893"/>
      <c r="P113" s="916"/>
      <c r="Q113" s="916"/>
      <c r="R113" s="893"/>
      <c r="S113" s="893"/>
      <c r="T113" s="916"/>
      <c r="U113" s="916"/>
      <c r="V113" s="923" t="str">
        <f>'refer admin discharge'!H114</f>
        <v>00/00/0000</v>
      </c>
      <c r="W113" s="910"/>
      <c r="X113" s="912"/>
      <c r="Y113" s="912"/>
      <c r="Z113" s="924"/>
      <c r="AA113" s="924"/>
      <c r="AB113" s="912"/>
      <c r="AC113" s="912"/>
      <c r="AD113" s="913"/>
      <c r="AE113" s="913"/>
      <c r="AF113" s="912"/>
      <c r="AG113" s="912"/>
      <c r="AH113" s="913"/>
      <c r="AI113" s="913"/>
      <c r="AJ113" s="912"/>
      <c r="AK113" s="912"/>
      <c r="AL113" s="925"/>
      <c r="AM113" s="926"/>
      <c r="AN113" s="926"/>
      <c r="AO113" s="926"/>
      <c r="AP113" s="926"/>
      <c r="AQ113" s="926"/>
      <c r="AR113" s="926"/>
      <c r="AS113" s="926"/>
      <c r="AT113" s="926"/>
      <c r="AU113" s="926"/>
      <c r="AV113" s="926"/>
      <c r="AW113" s="926"/>
      <c r="AX113" s="926"/>
      <c r="AY113" s="926"/>
      <c r="AZ113" s="926"/>
      <c r="BA113" s="926"/>
      <c r="BB113" s="927"/>
    </row>
    <row r="114" spans="1:54" x14ac:dyDescent="0.25">
      <c r="A114" s="13">
        <f t="shared" si="1"/>
        <v>101</v>
      </c>
      <c r="B114" s="888" t="str">
        <f>'refer admin discharge'!B111</f>
        <v>x</v>
      </c>
      <c r="C114" s="888"/>
      <c r="D114" s="868" t="str">
        <f>'refer admin discharge'!D111</f>
        <v>xx</v>
      </c>
      <c r="E114" s="868"/>
      <c r="F114" s="891" t="str">
        <f>'refer admin discharge'!H111</f>
        <v>00/00/0000</v>
      </c>
      <c r="G114" s="892"/>
      <c r="H114" s="894"/>
      <c r="I114" s="894"/>
      <c r="J114" s="918"/>
      <c r="K114" s="918"/>
      <c r="L114" s="894"/>
      <c r="M114" s="894"/>
      <c r="N114" s="916"/>
      <c r="O114" s="916"/>
      <c r="P114" s="894"/>
      <c r="Q114" s="894"/>
      <c r="R114" s="916"/>
      <c r="S114" s="916"/>
      <c r="T114" s="894"/>
      <c r="U114" s="894"/>
      <c r="V114" s="921" t="str">
        <f>'refer admin discharge'!H115</f>
        <v>00/00/0000</v>
      </c>
      <c r="W114" s="922"/>
      <c r="X114" s="920"/>
      <c r="Y114" s="920"/>
      <c r="Z114" s="919"/>
      <c r="AA114" s="919"/>
      <c r="AB114" s="920"/>
      <c r="AC114" s="920"/>
      <c r="AD114" s="912"/>
      <c r="AE114" s="912"/>
      <c r="AF114" s="920"/>
      <c r="AG114" s="920"/>
      <c r="AH114" s="912"/>
      <c r="AI114" s="912"/>
      <c r="AJ114" s="920"/>
      <c r="AK114" s="920"/>
      <c r="AL114" s="905"/>
      <c r="AM114" s="906"/>
      <c r="AN114" s="906"/>
      <c r="AO114" s="906"/>
      <c r="AP114" s="906"/>
      <c r="AQ114" s="906"/>
      <c r="AR114" s="906"/>
      <c r="AS114" s="906"/>
      <c r="AT114" s="906"/>
      <c r="AU114" s="906"/>
      <c r="AV114" s="906"/>
      <c r="AW114" s="906"/>
      <c r="AX114" s="906"/>
      <c r="AY114" s="906"/>
      <c r="AZ114" s="906"/>
      <c r="BA114" s="906"/>
      <c r="BB114" s="907"/>
    </row>
    <row r="115" spans="1:54" x14ac:dyDescent="0.25">
      <c r="A115" s="13">
        <f t="shared" si="1"/>
        <v>102</v>
      </c>
      <c r="B115" s="914" t="str">
        <f>'refer admin discharge'!B112</f>
        <v>x</v>
      </c>
      <c r="C115" s="914"/>
      <c r="D115" s="889" t="str">
        <f>'refer admin discharge'!D112</f>
        <v>xx</v>
      </c>
      <c r="E115" s="889"/>
      <c r="F115" s="915" t="str">
        <f>'refer admin discharge'!H112</f>
        <v>00/00/0000</v>
      </c>
      <c r="G115" s="890"/>
      <c r="H115" s="916"/>
      <c r="I115" s="916"/>
      <c r="J115" s="917"/>
      <c r="K115" s="917"/>
      <c r="L115" s="916"/>
      <c r="M115" s="916"/>
      <c r="N115" s="893"/>
      <c r="O115" s="893"/>
      <c r="P115" s="916"/>
      <c r="Q115" s="916"/>
      <c r="R115" s="893"/>
      <c r="S115" s="893"/>
      <c r="T115" s="916"/>
      <c r="U115" s="916"/>
      <c r="V115" s="923" t="str">
        <f>'refer admin discharge'!H116</f>
        <v>00/00/0000</v>
      </c>
      <c r="W115" s="910"/>
      <c r="X115" s="912"/>
      <c r="Y115" s="912"/>
      <c r="Z115" s="924"/>
      <c r="AA115" s="924"/>
      <c r="AB115" s="912"/>
      <c r="AC115" s="912"/>
      <c r="AD115" s="913"/>
      <c r="AE115" s="913"/>
      <c r="AF115" s="912"/>
      <c r="AG115" s="912"/>
      <c r="AH115" s="913"/>
      <c r="AI115" s="913"/>
      <c r="AJ115" s="912"/>
      <c r="AK115" s="912"/>
      <c r="AL115" s="925"/>
      <c r="AM115" s="926"/>
      <c r="AN115" s="926"/>
      <c r="AO115" s="926"/>
      <c r="AP115" s="926"/>
      <c r="AQ115" s="926"/>
      <c r="AR115" s="926"/>
      <c r="AS115" s="926"/>
      <c r="AT115" s="926"/>
      <c r="AU115" s="926"/>
      <c r="AV115" s="926"/>
      <c r="AW115" s="926"/>
      <c r="AX115" s="926"/>
      <c r="AY115" s="926"/>
      <c r="AZ115" s="926"/>
      <c r="BA115" s="926"/>
      <c r="BB115" s="927"/>
    </row>
    <row r="116" spans="1:54" x14ac:dyDescent="0.25">
      <c r="A116" s="13">
        <f t="shared" si="1"/>
        <v>103</v>
      </c>
      <c r="B116" s="888" t="str">
        <f>'refer admin discharge'!B113</f>
        <v>x</v>
      </c>
      <c r="C116" s="888"/>
      <c r="D116" s="868" t="str">
        <f>'refer admin discharge'!D113</f>
        <v>xx</v>
      </c>
      <c r="E116" s="868"/>
      <c r="F116" s="891" t="str">
        <f>'refer admin discharge'!H113</f>
        <v>00/00/0000</v>
      </c>
      <c r="G116" s="892"/>
      <c r="H116" s="894"/>
      <c r="I116" s="894"/>
      <c r="J116" s="918"/>
      <c r="K116" s="918"/>
      <c r="L116" s="894"/>
      <c r="M116" s="894"/>
      <c r="N116" s="916"/>
      <c r="O116" s="916"/>
      <c r="P116" s="894"/>
      <c r="Q116" s="894"/>
      <c r="R116" s="916"/>
      <c r="S116" s="916"/>
      <c r="T116" s="894"/>
      <c r="U116" s="894"/>
      <c r="V116" s="921" t="str">
        <f>'refer admin discharge'!H117</f>
        <v>00/00/0000</v>
      </c>
      <c r="W116" s="922"/>
      <c r="X116" s="920"/>
      <c r="Y116" s="920"/>
      <c r="Z116" s="919"/>
      <c r="AA116" s="919"/>
      <c r="AB116" s="920"/>
      <c r="AC116" s="920"/>
      <c r="AD116" s="912"/>
      <c r="AE116" s="912"/>
      <c r="AF116" s="920"/>
      <c r="AG116" s="920"/>
      <c r="AH116" s="912"/>
      <c r="AI116" s="912"/>
      <c r="AJ116" s="920"/>
      <c r="AK116" s="920"/>
      <c r="AL116" s="905"/>
      <c r="AM116" s="906"/>
      <c r="AN116" s="906"/>
      <c r="AO116" s="906"/>
      <c r="AP116" s="906"/>
      <c r="AQ116" s="906"/>
      <c r="AR116" s="906"/>
      <c r="AS116" s="906"/>
      <c r="AT116" s="906"/>
      <c r="AU116" s="906"/>
      <c r="AV116" s="906"/>
      <c r="AW116" s="906"/>
      <c r="AX116" s="906"/>
      <c r="AY116" s="906"/>
      <c r="AZ116" s="906"/>
      <c r="BA116" s="906"/>
      <c r="BB116" s="907"/>
    </row>
    <row r="117" spans="1:54" x14ac:dyDescent="0.25">
      <c r="A117" s="13">
        <f t="shared" si="1"/>
        <v>104</v>
      </c>
      <c r="B117" s="914" t="str">
        <f>'refer admin discharge'!B114</f>
        <v>x</v>
      </c>
      <c r="C117" s="914"/>
      <c r="D117" s="889" t="str">
        <f>'refer admin discharge'!D114</f>
        <v>xx</v>
      </c>
      <c r="E117" s="889"/>
      <c r="F117" s="915" t="str">
        <f>'refer admin discharge'!H114</f>
        <v>00/00/0000</v>
      </c>
      <c r="G117" s="890"/>
      <c r="H117" s="916"/>
      <c r="I117" s="916"/>
      <c r="J117" s="917"/>
      <c r="K117" s="917"/>
      <c r="L117" s="916"/>
      <c r="M117" s="916"/>
      <c r="N117" s="893"/>
      <c r="O117" s="893"/>
      <c r="P117" s="916"/>
      <c r="Q117" s="916"/>
      <c r="R117" s="893"/>
      <c r="S117" s="893"/>
      <c r="T117" s="916"/>
      <c r="U117" s="916"/>
      <c r="V117" s="923" t="str">
        <f>'refer admin discharge'!H118</f>
        <v>00/00/0000</v>
      </c>
      <c r="W117" s="910"/>
      <c r="X117" s="912"/>
      <c r="Y117" s="912"/>
      <c r="Z117" s="924"/>
      <c r="AA117" s="924"/>
      <c r="AB117" s="912"/>
      <c r="AC117" s="912"/>
      <c r="AD117" s="913"/>
      <c r="AE117" s="913"/>
      <c r="AF117" s="912"/>
      <c r="AG117" s="912"/>
      <c r="AH117" s="913"/>
      <c r="AI117" s="913"/>
      <c r="AJ117" s="912"/>
      <c r="AK117" s="912"/>
      <c r="AL117" s="925"/>
      <c r="AM117" s="926"/>
      <c r="AN117" s="926"/>
      <c r="AO117" s="926"/>
      <c r="AP117" s="926"/>
      <c r="AQ117" s="926"/>
      <c r="AR117" s="926"/>
      <c r="AS117" s="926"/>
      <c r="AT117" s="926"/>
      <c r="AU117" s="926"/>
      <c r="AV117" s="926"/>
      <c r="AW117" s="926"/>
      <c r="AX117" s="926"/>
      <c r="AY117" s="926"/>
      <c r="AZ117" s="926"/>
      <c r="BA117" s="926"/>
      <c r="BB117" s="927"/>
    </row>
    <row r="118" spans="1:54" x14ac:dyDescent="0.25">
      <c r="A118" s="13">
        <f t="shared" si="1"/>
        <v>105</v>
      </c>
      <c r="B118" s="888" t="str">
        <f>'refer admin discharge'!B115</f>
        <v>x</v>
      </c>
      <c r="C118" s="888"/>
      <c r="D118" s="868" t="str">
        <f>'refer admin discharge'!D115</f>
        <v>xx</v>
      </c>
      <c r="E118" s="868"/>
      <c r="F118" s="891" t="str">
        <f>'refer admin discharge'!H115</f>
        <v>00/00/0000</v>
      </c>
      <c r="G118" s="892"/>
      <c r="H118" s="894"/>
      <c r="I118" s="894"/>
      <c r="J118" s="918"/>
      <c r="K118" s="918"/>
      <c r="L118" s="894"/>
      <c r="M118" s="894"/>
      <c r="N118" s="916"/>
      <c r="O118" s="916"/>
      <c r="P118" s="894"/>
      <c r="Q118" s="894"/>
      <c r="R118" s="916"/>
      <c r="S118" s="916"/>
      <c r="T118" s="894"/>
      <c r="U118" s="894"/>
      <c r="V118" s="921" t="str">
        <f>'refer admin discharge'!H119</f>
        <v>00/00/0000</v>
      </c>
      <c r="W118" s="922"/>
      <c r="X118" s="920"/>
      <c r="Y118" s="920"/>
      <c r="Z118" s="919"/>
      <c r="AA118" s="919"/>
      <c r="AB118" s="920"/>
      <c r="AC118" s="920"/>
      <c r="AD118" s="912"/>
      <c r="AE118" s="912"/>
      <c r="AF118" s="920"/>
      <c r="AG118" s="920"/>
      <c r="AH118" s="912"/>
      <c r="AI118" s="912"/>
      <c r="AJ118" s="920"/>
      <c r="AK118" s="920"/>
      <c r="AL118" s="905"/>
      <c r="AM118" s="906"/>
      <c r="AN118" s="906"/>
      <c r="AO118" s="906"/>
      <c r="AP118" s="906"/>
      <c r="AQ118" s="906"/>
      <c r="AR118" s="906"/>
      <c r="AS118" s="906"/>
      <c r="AT118" s="906"/>
      <c r="AU118" s="906"/>
      <c r="AV118" s="906"/>
      <c r="AW118" s="906"/>
      <c r="AX118" s="906"/>
      <c r="AY118" s="906"/>
      <c r="AZ118" s="906"/>
      <c r="BA118" s="906"/>
      <c r="BB118" s="907"/>
    </row>
    <row r="119" spans="1:54" x14ac:dyDescent="0.25">
      <c r="A119" s="13">
        <f t="shared" si="1"/>
        <v>106</v>
      </c>
      <c r="B119" s="914" t="str">
        <f>'refer admin discharge'!B116</f>
        <v>x</v>
      </c>
      <c r="C119" s="914"/>
      <c r="D119" s="889" t="str">
        <f>'refer admin discharge'!D116</f>
        <v>xx</v>
      </c>
      <c r="E119" s="889"/>
      <c r="F119" s="915" t="str">
        <f>'refer admin discharge'!H116</f>
        <v>00/00/0000</v>
      </c>
      <c r="G119" s="890"/>
      <c r="H119" s="916"/>
      <c r="I119" s="916"/>
      <c r="J119" s="917"/>
      <c r="K119" s="917"/>
      <c r="L119" s="916"/>
      <c r="M119" s="916"/>
      <c r="N119" s="893"/>
      <c r="O119" s="893"/>
      <c r="P119" s="916"/>
      <c r="Q119" s="916"/>
      <c r="R119" s="893"/>
      <c r="S119" s="893"/>
      <c r="T119" s="916"/>
      <c r="U119" s="916"/>
      <c r="V119" s="923" t="str">
        <f>'refer admin discharge'!H120</f>
        <v>00/00/0000</v>
      </c>
      <c r="W119" s="910"/>
      <c r="X119" s="912"/>
      <c r="Y119" s="912"/>
      <c r="Z119" s="924"/>
      <c r="AA119" s="924"/>
      <c r="AB119" s="912"/>
      <c r="AC119" s="912"/>
      <c r="AD119" s="913"/>
      <c r="AE119" s="913"/>
      <c r="AF119" s="912"/>
      <c r="AG119" s="912"/>
      <c r="AH119" s="913"/>
      <c r="AI119" s="913"/>
      <c r="AJ119" s="912"/>
      <c r="AK119" s="912"/>
      <c r="AL119" s="925"/>
      <c r="AM119" s="926"/>
      <c r="AN119" s="926"/>
      <c r="AO119" s="926"/>
      <c r="AP119" s="926"/>
      <c r="AQ119" s="926"/>
      <c r="AR119" s="926"/>
      <c r="AS119" s="926"/>
      <c r="AT119" s="926"/>
      <c r="AU119" s="926"/>
      <c r="AV119" s="926"/>
      <c r="AW119" s="926"/>
      <c r="AX119" s="926"/>
      <c r="AY119" s="926"/>
      <c r="AZ119" s="926"/>
      <c r="BA119" s="926"/>
      <c r="BB119" s="927"/>
    </row>
    <row r="120" spans="1:54" x14ac:dyDescent="0.25">
      <c r="A120" s="13">
        <f t="shared" si="1"/>
        <v>107</v>
      </c>
      <c r="B120" s="888" t="str">
        <f>'refer admin discharge'!B117</f>
        <v>x</v>
      </c>
      <c r="C120" s="888"/>
      <c r="D120" s="868" t="str">
        <f>'refer admin discharge'!D117</f>
        <v>xx</v>
      </c>
      <c r="E120" s="868"/>
      <c r="F120" s="891" t="str">
        <f>'refer admin discharge'!H117</f>
        <v>00/00/0000</v>
      </c>
      <c r="G120" s="892"/>
      <c r="H120" s="894"/>
      <c r="I120" s="894"/>
      <c r="J120" s="918"/>
      <c r="K120" s="918"/>
      <c r="L120" s="894"/>
      <c r="M120" s="894"/>
      <c r="N120" s="916"/>
      <c r="O120" s="916"/>
      <c r="P120" s="894"/>
      <c r="Q120" s="894"/>
      <c r="R120" s="916"/>
      <c r="S120" s="916"/>
      <c r="T120" s="894"/>
      <c r="U120" s="894"/>
      <c r="V120" s="921" t="str">
        <f>'refer admin discharge'!H121</f>
        <v>00/00/0000</v>
      </c>
      <c r="W120" s="922"/>
      <c r="X120" s="920"/>
      <c r="Y120" s="920"/>
      <c r="Z120" s="919"/>
      <c r="AA120" s="919"/>
      <c r="AB120" s="920"/>
      <c r="AC120" s="920"/>
      <c r="AD120" s="912"/>
      <c r="AE120" s="912"/>
      <c r="AF120" s="920"/>
      <c r="AG120" s="920"/>
      <c r="AH120" s="912"/>
      <c r="AI120" s="912"/>
      <c r="AJ120" s="920"/>
      <c r="AK120" s="920"/>
      <c r="AL120" s="905"/>
      <c r="AM120" s="906"/>
      <c r="AN120" s="906"/>
      <c r="AO120" s="906"/>
      <c r="AP120" s="906"/>
      <c r="AQ120" s="906"/>
      <c r="AR120" s="906"/>
      <c r="AS120" s="906"/>
      <c r="AT120" s="906"/>
      <c r="AU120" s="906"/>
      <c r="AV120" s="906"/>
      <c r="AW120" s="906"/>
      <c r="AX120" s="906"/>
      <c r="AY120" s="906"/>
      <c r="AZ120" s="906"/>
      <c r="BA120" s="906"/>
      <c r="BB120" s="907"/>
    </row>
    <row r="121" spans="1:54" x14ac:dyDescent="0.25">
      <c r="A121" s="13">
        <f t="shared" si="1"/>
        <v>108</v>
      </c>
      <c r="B121" s="914" t="str">
        <f>'refer admin discharge'!B118</f>
        <v>x</v>
      </c>
      <c r="C121" s="914"/>
      <c r="D121" s="889" t="str">
        <f>'refer admin discharge'!D118</f>
        <v>xx</v>
      </c>
      <c r="E121" s="889"/>
      <c r="F121" s="915" t="str">
        <f>'refer admin discharge'!H118</f>
        <v>00/00/0000</v>
      </c>
      <c r="G121" s="890"/>
      <c r="H121" s="916"/>
      <c r="I121" s="916"/>
      <c r="J121" s="917"/>
      <c r="K121" s="917"/>
      <c r="L121" s="916"/>
      <c r="M121" s="916"/>
      <c r="N121" s="893"/>
      <c r="O121" s="893"/>
      <c r="P121" s="916"/>
      <c r="Q121" s="916"/>
      <c r="R121" s="893"/>
      <c r="S121" s="893"/>
      <c r="T121" s="916"/>
      <c r="U121" s="916"/>
      <c r="V121" s="923" t="str">
        <f>'refer admin discharge'!H122</f>
        <v>00/00/0000</v>
      </c>
      <c r="W121" s="910"/>
      <c r="X121" s="912"/>
      <c r="Y121" s="912"/>
      <c r="Z121" s="924"/>
      <c r="AA121" s="924"/>
      <c r="AB121" s="912"/>
      <c r="AC121" s="912"/>
      <c r="AD121" s="913"/>
      <c r="AE121" s="913"/>
      <c r="AF121" s="912"/>
      <c r="AG121" s="912"/>
      <c r="AH121" s="913"/>
      <c r="AI121" s="913"/>
      <c r="AJ121" s="912"/>
      <c r="AK121" s="912"/>
      <c r="AL121" s="925"/>
      <c r="AM121" s="926"/>
      <c r="AN121" s="926"/>
      <c r="AO121" s="926"/>
      <c r="AP121" s="926"/>
      <c r="AQ121" s="926"/>
      <c r="AR121" s="926"/>
      <c r="AS121" s="926"/>
      <c r="AT121" s="926"/>
      <c r="AU121" s="926"/>
      <c r="AV121" s="926"/>
      <c r="AW121" s="926"/>
      <c r="AX121" s="926"/>
      <c r="AY121" s="926"/>
      <c r="AZ121" s="926"/>
      <c r="BA121" s="926"/>
      <c r="BB121" s="927"/>
    </row>
    <row r="122" spans="1:54" x14ac:dyDescent="0.25">
      <c r="A122" s="13">
        <f t="shared" si="1"/>
        <v>109</v>
      </c>
      <c r="B122" s="888" t="str">
        <f>'refer admin discharge'!B119</f>
        <v>x</v>
      </c>
      <c r="C122" s="888"/>
      <c r="D122" s="868" t="str">
        <f>'refer admin discharge'!D119</f>
        <v>xx</v>
      </c>
      <c r="E122" s="868"/>
      <c r="F122" s="891" t="str">
        <f>'refer admin discharge'!H119</f>
        <v>00/00/0000</v>
      </c>
      <c r="G122" s="892"/>
      <c r="H122" s="894"/>
      <c r="I122" s="894"/>
      <c r="J122" s="918"/>
      <c r="K122" s="918"/>
      <c r="L122" s="894"/>
      <c r="M122" s="894"/>
      <c r="N122" s="916"/>
      <c r="O122" s="916"/>
      <c r="P122" s="894"/>
      <c r="Q122" s="894"/>
      <c r="R122" s="916"/>
      <c r="S122" s="916"/>
      <c r="T122" s="894"/>
      <c r="U122" s="894"/>
      <c r="V122" s="921" t="str">
        <f>'refer admin discharge'!H123</f>
        <v>00/00/0000</v>
      </c>
      <c r="W122" s="922"/>
      <c r="X122" s="920"/>
      <c r="Y122" s="920"/>
      <c r="Z122" s="919"/>
      <c r="AA122" s="919"/>
      <c r="AB122" s="920"/>
      <c r="AC122" s="920"/>
      <c r="AD122" s="912"/>
      <c r="AE122" s="912"/>
      <c r="AF122" s="920"/>
      <c r="AG122" s="920"/>
      <c r="AH122" s="912"/>
      <c r="AI122" s="912"/>
      <c r="AJ122" s="920"/>
      <c r="AK122" s="920"/>
      <c r="AL122" s="905"/>
      <c r="AM122" s="906"/>
      <c r="AN122" s="906"/>
      <c r="AO122" s="906"/>
      <c r="AP122" s="906"/>
      <c r="AQ122" s="906"/>
      <c r="AR122" s="906"/>
      <c r="AS122" s="906"/>
      <c r="AT122" s="906"/>
      <c r="AU122" s="906"/>
      <c r="AV122" s="906"/>
      <c r="AW122" s="906"/>
      <c r="AX122" s="906"/>
      <c r="AY122" s="906"/>
      <c r="AZ122" s="906"/>
      <c r="BA122" s="906"/>
      <c r="BB122" s="907"/>
    </row>
    <row r="123" spans="1:54" x14ac:dyDescent="0.25">
      <c r="A123" s="13">
        <f t="shared" si="1"/>
        <v>110</v>
      </c>
      <c r="B123" s="914" t="str">
        <f>'refer admin discharge'!B120</f>
        <v>x</v>
      </c>
      <c r="C123" s="914"/>
      <c r="D123" s="889" t="str">
        <f>'refer admin discharge'!D120</f>
        <v>xx</v>
      </c>
      <c r="E123" s="889"/>
      <c r="F123" s="915" t="str">
        <f>'refer admin discharge'!H120</f>
        <v>00/00/0000</v>
      </c>
      <c r="G123" s="890"/>
      <c r="H123" s="916"/>
      <c r="I123" s="916"/>
      <c r="J123" s="917"/>
      <c r="K123" s="917"/>
      <c r="L123" s="916"/>
      <c r="M123" s="916"/>
      <c r="N123" s="893"/>
      <c r="O123" s="893"/>
      <c r="P123" s="916"/>
      <c r="Q123" s="916"/>
      <c r="R123" s="893"/>
      <c r="S123" s="893"/>
      <c r="T123" s="916"/>
      <c r="U123" s="916"/>
      <c r="V123" s="923" t="str">
        <f>'refer admin discharge'!H124</f>
        <v>00/00/0000</v>
      </c>
      <c r="W123" s="910"/>
      <c r="X123" s="912"/>
      <c r="Y123" s="912"/>
      <c r="Z123" s="924"/>
      <c r="AA123" s="924"/>
      <c r="AB123" s="912"/>
      <c r="AC123" s="912"/>
      <c r="AD123" s="913"/>
      <c r="AE123" s="913"/>
      <c r="AF123" s="912"/>
      <c r="AG123" s="912"/>
      <c r="AH123" s="913"/>
      <c r="AI123" s="913"/>
      <c r="AJ123" s="912"/>
      <c r="AK123" s="912"/>
      <c r="AL123" s="925"/>
      <c r="AM123" s="926"/>
      <c r="AN123" s="926"/>
      <c r="AO123" s="926"/>
      <c r="AP123" s="926"/>
      <c r="AQ123" s="926"/>
      <c r="AR123" s="926"/>
      <c r="AS123" s="926"/>
      <c r="AT123" s="926"/>
      <c r="AU123" s="926"/>
      <c r="AV123" s="926"/>
      <c r="AW123" s="926"/>
      <c r="AX123" s="926"/>
      <c r="AY123" s="926"/>
      <c r="AZ123" s="926"/>
      <c r="BA123" s="926"/>
      <c r="BB123" s="927"/>
    </row>
    <row r="124" spans="1:54" x14ac:dyDescent="0.25">
      <c r="A124" s="13">
        <f t="shared" si="1"/>
        <v>111</v>
      </c>
      <c r="B124" s="888" t="str">
        <f>'refer admin discharge'!B121</f>
        <v>x</v>
      </c>
      <c r="C124" s="888"/>
      <c r="D124" s="868" t="str">
        <f>'refer admin discharge'!D121</f>
        <v>xx</v>
      </c>
      <c r="E124" s="868"/>
      <c r="F124" s="891" t="str">
        <f>'refer admin discharge'!H121</f>
        <v>00/00/0000</v>
      </c>
      <c r="G124" s="892"/>
      <c r="H124" s="894"/>
      <c r="I124" s="894"/>
      <c r="J124" s="918"/>
      <c r="K124" s="918"/>
      <c r="L124" s="894"/>
      <c r="M124" s="894"/>
      <c r="N124" s="916"/>
      <c r="O124" s="916"/>
      <c r="P124" s="894"/>
      <c r="Q124" s="894"/>
      <c r="R124" s="916"/>
      <c r="S124" s="916"/>
      <c r="T124" s="894"/>
      <c r="U124" s="894"/>
      <c r="V124" s="921" t="str">
        <f>'refer admin discharge'!H125</f>
        <v>00/00/0000</v>
      </c>
      <c r="W124" s="922"/>
      <c r="X124" s="920"/>
      <c r="Y124" s="920"/>
      <c r="Z124" s="919"/>
      <c r="AA124" s="919"/>
      <c r="AB124" s="920"/>
      <c r="AC124" s="920"/>
      <c r="AD124" s="912"/>
      <c r="AE124" s="912"/>
      <c r="AF124" s="920"/>
      <c r="AG124" s="920"/>
      <c r="AH124" s="912"/>
      <c r="AI124" s="912"/>
      <c r="AJ124" s="920"/>
      <c r="AK124" s="920"/>
      <c r="AL124" s="905"/>
      <c r="AM124" s="906"/>
      <c r="AN124" s="906"/>
      <c r="AO124" s="906"/>
      <c r="AP124" s="906"/>
      <c r="AQ124" s="906"/>
      <c r="AR124" s="906"/>
      <c r="AS124" s="906"/>
      <c r="AT124" s="906"/>
      <c r="AU124" s="906"/>
      <c r="AV124" s="906"/>
      <c r="AW124" s="906"/>
      <c r="AX124" s="906"/>
      <c r="AY124" s="906"/>
      <c r="AZ124" s="906"/>
      <c r="BA124" s="906"/>
      <c r="BB124" s="907"/>
    </row>
    <row r="125" spans="1:54" x14ac:dyDescent="0.25">
      <c r="A125" s="13">
        <f t="shared" si="1"/>
        <v>112</v>
      </c>
      <c r="B125" s="914" t="str">
        <f>'refer admin discharge'!B122</f>
        <v>x</v>
      </c>
      <c r="C125" s="914"/>
      <c r="D125" s="889" t="str">
        <f>'refer admin discharge'!D122</f>
        <v>xx</v>
      </c>
      <c r="E125" s="889"/>
      <c r="F125" s="915" t="str">
        <f>'refer admin discharge'!H122</f>
        <v>00/00/0000</v>
      </c>
      <c r="G125" s="890"/>
      <c r="H125" s="916"/>
      <c r="I125" s="916"/>
      <c r="J125" s="917"/>
      <c r="K125" s="917"/>
      <c r="L125" s="916"/>
      <c r="M125" s="916"/>
      <c r="N125" s="893"/>
      <c r="O125" s="893"/>
      <c r="P125" s="916"/>
      <c r="Q125" s="916"/>
      <c r="R125" s="893"/>
      <c r="S125" s="893"/>
      <c r="T125" s="916"/>
      <c r="U125" s="916"/>
      <c r="V125" s="923" t="str">
        <f>'refer admin discharge'!H126</f>
        <v>00/00/0000</v>
      </c>
      <c r="W125" s="910"/>
      <c r="X125" s="912"/>
      <c r="Y125" s="912"/>
      <c r="Z125" s="924"/>
      <c r="AA125" s="924"/>
      <c r="AB125" s="912"/>
      <c r="AC125" s="912"/>
      <c r="AD125" s="913"/>
      <c r="AE125" s="913"/>
      <c r="AF125" s="912"/>
      <c r="AG125" s="912"/>
      <c r="AH125" s="913"/>
      <c r="AI125" s="913"/>
      <c r="AJ125" s="912"/>
      <c r="AK125" s="912"/>
      <c r="AL125" s="925"/>
      <c r="AM125" s="926"/>
      <c r="AN125" s="926"/>
      <c r="AO125" s="926"/>
      <c r="AP125" s="926"/>
      <c r="AQ125" s="926"/>
      <c r="AR125" s="926"/>
      <c r="AS125" s="926"/>
      <c r="AT125" s="926"/>
      <c r="AU125" s="926"/>
      <c r="AV125" s="926"/>
      <c r="AW125" s="926"/>
      <c r="AX125" s="926"/>
      <c r="AY125" s="926"/>
      <c r="AZ125" s="926"/>
      <c r="BA125" s="926"/>
      <c r="BB125" s="927"/>
    </row>
    <row r="126" spans="1:54" x14ac:dyDescent="0.25">
      <c r="A126" s="13">
        <f t="shared" si="1"/>
        <v>113</v>
      </c>
      <c r="B126" s="888" t="str">
        <f>'refer admin discharge'!B123</f>
        <v>x</v>
      </c>
      <c r="C126" s="888"/>
      <c r="D126" s="868" t="str">
        <f>'refer admin discharge'!D123</f>
        <v>xx</v>
      </c>
      <c r="E126" s="868"/>
      <c r="F126" s="891" t="str">
        <f>'refer admin discharge'!H123</f>
        <v>00/00/0000</v>
      </c>
      <c r="G126" s="892"/>
      <c r="H126" s="894"/>
      <c r="I126" s="894"/>
      <c r="J126" s="918"/>
      <c r="K126" s="918"/>
      <c r="L126" s="894"/>
      <c r="M126" s="894"/>
      <c r="N126" s="916"/>
      <c r="O126" s="916"/>
      <c r="P126" s="894"/>
      <c r="Q126" s="894"/>
      <c r="R126" s="916"/>
      <c r="S126" s="916"/>
      <c r="T126" s="894"/>
      <c r="U126" s="894"/>
      <c r="V126" s="921" t="str">
        <f>'refer admin discharge'!H127</f>
        <v>00/00/0000</v>
      </c>
      <c r="W126" s="922"/>
      <c r="X126" s="920"/>
      <c r="Y126" s="920"/>
      <c r="Z126" s="919"/>
      <c r="AA126" s="919"/>
      <c r="AB126" s="920"/>
      <c r="AC126" s="920"/>
      <c r="AD126" s="912"/>
      <c r="AE126" s="912"/>
      <c r="AF126" s="920"/>
      <c r="AG126" s="920"/>
      <c r="AH126" s="912"/>
      <c r="AI126" s="912"/>
      <c r="AJ126" s="920"/>
      <c r="AK126" s="920"/>
      <c r="AL126" s="905"/>
      <c r="AM126" s="906"/>
      <c r="AN126" s="906"/>
      <c r="AO126" s="906"/>
      <c r="AP126" s="906"/>
      <c r="AQ126" s="906"/>
      <c r="AR126" s="906"/>
      <c r="AS126" s="906"/>
      <c r="AT126" s="906"/>
      <c r="AU126" s="906"/>
      <c r="AV126" s="906"/>
      <c r="AW126" s="906"/>
      <c r="AX126" s="906"/>
      <c r="AY126" s="906"/>
      <c r="AZ126" s="906"/>
      <c r="BA126" s="906"/>
      <c r="BB126" s="907"/>
    </row>
    <row r="127" spans="1:54" x14ac:dyDescent="0.25">
      <c r="A127" s="13">
        <f t="shared" si="1"/>
        <v>114</v>
      </c>
      <c r="B127" s="914" t="str">
        <f>'refer admin discharge'!B124</f>
        <v>x</v>
      </c>
      <c r="C127" s="914"/>
      <c r="D127" s="889" t="str">
        <f>'refer admin discharge'!D124</f>
        <v>xx</v>
      </c>
      <c r="E127" s="889"/>
      <c r="F127" s="915" t="str">
        <f>'refer admin discharge'!H124</f>
        <v>00/00/0000</v>
      </c>
      <c r="G127" s="890"/>
      <c r="H127" s="916"/>
      <c r="I127" s="916"/>
      <c r="J127" s="917"/>
      <c r="K127" s="917"/>
      <c r="L127" s="916"/>
      <c r="M127" s="916"/>
      <c r="N127" s="893"/>
      <c r="O127" s="893"/>
      <c r="P127" s="916"/>
      <c r="Q127" s="916"/>
      <c r="R127" s="893"/>
      <c r="S127" s="893"/>
      <c r="T127" s="916"/>
      <c r="U127" s="916"/>
      <c r="V127" s="923" t="str">
        <f>'refer admin discharge'!H128</f>
        <v>00/00/0000</v>
      </c>
      <c r="W127" s="910"/>
      <c r="X127" s="912"/>
      <c r="Y127" s="912"/>
      <c r="Z127" s="924"/>
      <c r="AA127" s="924"/>
      <c r="AB127" s="912"/>
      <c r="AC127" s="912"/>
      <c r="AD127" s="913"/>
      <c r="AE127" s="913"/>
      <c r="AF127" s="912"/>
      <c r="AG127" s="912"/>
      <c r="AH127" s="913"/>
      <c r="AI127" s="913"/>
      <c r="AJ127" s="912"/>
      <c r="AK127" s="912"/>
      <c r="AL127" s="925"/>
      <c r="AM127" s="926"/>
      <c r="AN127" s="926"/>
      <c r="AO127" s="926"/>
      <c r="AP127" s="926"/>
      <c r="AQ127" s="926"/>
      <c r="AR127" s="926"/>
      <c r="AS127" s="926"/>
      <c r="AT127" s="926"/>
      <c r="AU127" s="926"/>
      <c r="AV127" s="926"/>
      <c r="AW127" s="926"/>
      <c r="AX127" s="926"/>
      <c r="AY127" s="926"/>
      <c r="AZ127" s="926"/>
      <c r="BA127" s="926"/>
      <c r="BB127" s="927"/>
    </row>
    <row r="128" spans="1:54" x14ac:dyDescent="0.25">
      <c r="A128" s="13">
        <f t="shared" si="1"/>
        <v>115</v>
      </c>
      <c r="B128" s="888" t="str">
        <f>'refer admin discharge'!B125</f>
        <v>x</v>
      </c>
      <c r="C128" s="888"/>
      <c r="D128" s="868" t="str">
        <f>'refer admin discharge'!D125</f>
        <v>xx</v>
      </c>
      <c r="E128" s="868"/>
      <c r="F128" s="891" t="str">
        <f>'refer admin discharge'!H125</f>
        <v>00/00/0000</v>
      </c>
      <c r="G128" s="892"/>
      <c r="H128" s="894"/>
      <c r="I128" s="894"/>
      <c r="J128" s="918"/>
      <c r="K128" s="918"/>
      <c r="L128" s="894"/>
      <c r="M128" s="894"/>
      <c r="N128" s="916"/>
      <c r="O128" s="916"/>
      <c r="P128" s="894"/>
      <c r="Q128" s="894"/>
      <c r="R128" s="916"/>
      <c r="S128" s="916"/>
      <c r="T128" s="894"/>
      <c r="U128" s="894"/>
      <c r="V128" s="921" t="str">
        <f>'refer admin discharge'!H129</f>
        <v>00/00/0000</v>
      </c>
      <c r="W128" s="922"/>
      <c r="X128" s="920"/>
      <c r="Y128" s="920"/>
      <c r="Z128" s="919"/>
      <c r="AA128" s="919"/>
      <c r="AB128" s="920"/>
      <c r="AC128" s="920"/>
      <c r="AD128" s="912"/>
      <c r="AE128" s="912"/>
      <c r="AF128" s="920"/>
      <c r="AG128" s="920"/>
      <c r="AH128" s="912"/>
      <c r="AI128" s="912"/>
      <c r="AJ128" s="920"/>
      <c r="AK128" s="920"/>
      <c r="AL128" s="905"/>
      <c r="AM128" s="906"/>
      <c r="AN128" s="906"/>
      <c r="AO128" s="906"/>
      <c r="AP128" s="906"/>
      <c r="AQ128" s="906"/>
      <c r="AR128" s="906"/>
      <c r="AS128" s="906"/>
      <c r="AT128" s="906"/>
      <c r="AU128" s="906"/>
      <c r="AV128" s="906"/>
      <c r="AW128" s="906"/>
      <c r="AX128" s="906"/>
      <c r="AY128" s="906"/>
      <c r="AZ128" s="906"/>
      <c r="BA128" s="906"/>
      <c r="BB128" s="907"/>
    </row>
    <row r="129" spans="1:54" x14ac:dyDescent="0.25">
      <c r="A129" s="13">
        <f t="shared" si="1"/>
        <v>116</v>
      </c>
      <c r="B129" s="914" t="str">
        <f>'refer admin discharge'!B126</f>
        <v>x</v>
      </c>
      <c r="C129" s="914"/>
      <c r="D129" s="889" t="str">
        <f>'refer admin discharge'!D126</f>
        <v>xx</v>
      </c>
      <c r="E129" s="889"/>
      <c r="F129" s="915" t="str">
        <f>'refer admin discharge'!H126</f>
        <v>00/00/0000</v>
      </c>
      <c r="G129" s="890"/>
      <c r="H129" s="916"/>
      <c r="I129" s="916"/>
      <c r="J129" s="917"/>
      <c r="K129" s="917"/>
      <c r="L129" s="916"/>
      <c r="M129" s="916"/>
      <c r="N129" s="893"/>
      <c r="O129" s="893"/>
      <c r="P129" s="916"/>
      <c r="Q129" s="916"/>
      <c r="R129" s="893"/>
      <c r="S129" s="893"/>
      <c r="T129" s="916"/>
      <c r="U129" s="916"/>
      <c r="V129" s="923" t="str">
        <f>'refer admin discharge'!H130</f>
        <v>00/00/0000</v>
      </c>
      <c r="W129" s="910"/>
      <c r="X129" s="912"/>
      <c r="Y129" s="912"/>
      <c r="Z129" s="924"/>
      <c r="AA129" s="924"/>
      <c r="AB129" s="912"/>
      <c r="AC129" s="912"/>
      <c r="AD129" s="913"/>
      <c r="AE129" s="913"/>
      <c r="AF129" s="912"/>
      <c r="AG129" s="912"/>
      <c r="AH129" s="913"/>
      <c r="AI129" s="913"/>
      <c r="AJ129" s="912"/>
      <c r="AK129" s="912"/>
      <c r="AL129" s="925"/>
      <c r="AM129" s="926"/>
      <c r="AN129" s="926"/>
      <c r="AO129" s="926"/>
      <c r="AP129" s="926"/>
      <c r="AQ129" s="926"/>
      <c r="AR129" s="926"/>
      <c r="AS129" s="926"/>
      <c r="AT129" s="926"/>
      <c r="AU129" s="926"/>
      <c r="AV129" s="926"/>
      <c r="AW129" s="926"/>
      <c r="AX129" s="926"/>
      <c r="AY129" s="926"/>
      <c r="AZ129" s="926"/>
      <c r="BA129" s="926"/>
      <c r="BB129" s="927"/>
    </row>
    <row r="130" spans="1:54" x14ac:dyDescent="0.25">
      <c r="A130" s="13">
        <f t="shared" si="1"/>
        <v>117</v>
      </c>
      <c r="B130" s="888" t="str">
        <f>'refer admin discharge'!B127</f>
        <v>x</v>
      </c>
      <c r="C130" s="888"/>
      <c r="D130" s="868" t="str">
        <f>'refer admin discharge'!D127</f>
        <v>xx</v>
      </c>
      <c r="E130" s="868"/>
      <c r="F130" s="891" t="str">
        <f>'refer admin discharge'!H127</f>
        <v>00/00/0000</v>
      </c>
      <c r="G130" s="892"/>
      <c r="H130" s="894"/>
      <c r="I130" s="894"/>
      <c r="J130" s="918"/>
      <c r="K130" s="918"/>
      <c r="L130" s="894"/>
      <c r="M130" s="894"/>
      <c r="N130" s="916"/>
      <c r="O130" s="916"/>
      <c r="P130" s="894"/>
      <c r="Q130" s="894"/>
      <c r="R130" s="916"/>
      <c r="S130" s="916"/>
      <c r="T130" s="894"/>
      <c r="U130" s="894"/>
      <c r="V130" s="921" t="str">
        <f>'refer admin discharge'!H131</f>
        <v>00/00/0000</v>
      </c>
      <c r="W130" s="922"/>
      <c r="X130" s="920"/>
      <c r="Y130" s="920"/>
      <c r="Z130" s="919"/>
      <c r="AA130" s="919"/>
      <c r="AB130" s="920"/>
      <c r="AC130" s="920"/>
      <c r="AD130" s="912"/>
      <c r="AE130" s="912"/>
      <c r="AF130" s="920"/>
      <c r="AG130" s="920"/>
      <c r="AH130" s="912"/>
      <c r="AI130" s="912"/>
      <c r="AJ130" s="920"/>
      <c r="AK130" s="920"/>
      <c r="AL130" s="905"/>
      <c r="AM130" s="906"/>
      <c r="AN130" s="906"/>
      <c r="AO130" s="906"/>
      <c r="AP130" s="906"/>
      <c r="AQ130" s="906"/>
      <c r="AR130" s="906"/>
      <c r="AS130" s="906"/>
      <c r="AT130" s="906"/>
      <c r="AU130" s="906"/>
      <c r="AV130" s="906"/>
      <c r="AW130" s="906"/>
      <c r="AX130" s="906"/>
      <c r="AY130" s="906"/>
      <c r="AZ130" s="906"/>
      <c r="BA130" s="906"/>
      <c r="BB130" s="907"/>
    </row>
    <row r="131" spans="1:54" x14ac:dyDescent="0.25">
      <c r="A131" s="13">
        <f t="shared" si="1"/>
        <v>118</v>
      </c>
      <c r="B131" s="914" t="str">
        <f>'refer admin discharge'!B128</f>
        <v>x</v>
      </c>
      <c r="C131" s="914"/>
      <c r="D131" s="889" t="str">
        <f>'refer admin discharge'!D128</f>
        <v>xx</v>
      </c>
      <c r="E131" s="889"/>
      <c r="F131" s="915" t="str">
        <f>'refer admin discharge'!H128</f>
        <v>00/00/0000</v>
      </c>
      <c r="G131" s="890"/>
      <c r="H131" s="916"/>
      <c r="I131" s="916"/>
      <c r="J131" s="917"/>
      <c r="K131" s="917"/>
      <c r="L131" s="916"/>
      <c r="M131" s="916"/>
      <c r="N131" s="893"/>
      <c r="O131" s="893"/>
      <c r="P131" s="916"/>
      <c r="Q131" s="916"/>
      <c r="R131" s="893"/>
      <c r="S131" s="893"/>
      <c r="T131" s="916"/>
      <c r="U131" s="916"/>
      <c r="V131" s="923" t="str">
        <f>'refer admin discharge'!H132</f>
        <v>00/00/0000</v>
      </c>
      <c r="W131" s="910"/>
      <c r="X131" s="912"/>
      <c r="Y131" s="912"/>
      <c r="Z131" s="924"/>
      <c r="AA131" s="924"/>
      <c r="AB131" s="912"/>
      <c r="AC131" s="912"/>
      <c r="AD131" s="913"/>
      <c r="AE131" s="913"/>
      <c r="AF131" s="912"/>
      <c r="AG131" s="912"/>
      <c r="AH131" s="913"/>
      <c r="AI131" s="913"/>
      <c r="AJ131" s="912"/>
      <c r="AK131" s="912"/>
      <c r="AL131" s="925"/>
      <c r="AM131" s="926"/>
      <c r="AN131" s="926"/>
      <c r="AO131" s="926"/>
      <c r="AP131" s="926"/>
      <c r="AQ131" s="926"/>
      <c r="AR131" s="926"/>
      <c r="AS131" s="926"/>
      <c r="AT131" s="926"/>
      <c r="AU131" s="926"/>
      <c r="AV131" s="926"/>
      <c r="AW131" s="926"/>
      <c r="AX131" s="926"/>
      <c r="AY131" s="926"/>
      <c r="AZ131" s="926"/>
      <c r="BA131" s="926"/>
      <c r="BB131" s="927"/>
    </row>
    <row r="132" spans="1:54" x14ac:dyDescent="0.25">
      <c r="A132" s="13">
        <f t="shared" si="1"/>
        <v>119</v>
      </c>
      <c r="B132" s="888" t="str">
        <f>'refer admin discharge'!B129</f>
        <v>x</v>
      </c>
      <c r="C132" s="888"/>
      <c r="D132" s="868" t="str">
        <f>'refer admin discharge'!D129</f>
        <v>xx</v>
      </c>
      <c r="E132" s="868"/>
      <c r="F132" s="891" t="str">
        <f>'refer admin discharge'!H129</f>
        <v>00/00/0000</v>
      </c>
      <c r="G132" s="892"/>
      <c r="H132" s="894"/>
      <c r="I132" s="894"/>
      <c r="J132" s="918"/>
      <c r="K132" s="918"/>
      <c r="L132" s="894"/>
      <c r="M132" s="894"/>
      <c r="N132" s="916"/>
      <c r="O132" s="916"/>
      <c r="P132" s="894"/>
      <c r="Q132" s="894"/>
      <c r="R132" s="916"/>
      <c r="S132" s="916"/>
      <c r="T132" s="894"/>
      <c r="U132" s="894"/>
      <c r="V132" s="923" t="str">
        <f>'refer admin discharge'!H133</f>
        <v>00/00/0000</v>
      </c>
      <c r="W132" s="910"/>
      <c r="X132" s="920"/>
      <c r="Y132" s="920"/>
      <c r="Z132" s="919"/>
      <c r="AA132" s="919"/>
      <c r="AB132" s="920"/>
      <c r="AC132" s="920"/>
      <c r="AD132" s="912"/>
      <c r="AE132" s="912"/>
      <c r="AF132" s="920"/>
      <c r="AG132" s="920"/>
      <c r="AH132" s="912"/>
      <c r="AI132" s="912"/>
      <c r="AJ132" s="920"/>
      <c r="AK132" s="920"/>
      <c r="AL132" s="905"/>
      <c r="AM132" s="906"/>
      <c r="AN132" s="906"/>
      <c r="AO132" s="906"/>
      <c r="AP132" s="906"/>
      <c r="AQ132" s="906"/>
      <c r="AR132" s="906"/>
      <c r="AS132" s="906"/>
      <c r="AT132" s="906"/>
      <c r="AU132" s="906"/>
      <c r="AV132" s="906"/>
      <c r="AW132" s="906"/>
      <c r="AX132" s="906"/>
      <c r="AY132" s="906"/>
      <c r="AZ132" s="906"/>
      <c r="BA132" s="906"/>
      <c r="BB132" s="907"/>
    </row>
    <row r="133" spans="1:54" x14ac:dyDescent="0.25">
      <c r="A133" s="13">
        <f t="shared" si="1"/>
        <v>120</v>
      </c>
      <c r="B133" s="914" t="str">
        <f>'refer admin discharge'!B130</f>
        <v>x</v>
      </c>
      <c r="C133" s="914"/>
      <c r="D133" s="889" t="str">
        <f>'refer admin discharge'!D130</f>
        <v>xx</v>
      </c>
      <c r="E133" s="889"/>
      <c r="F133" s="915" t="str">
        <f>'refer admin discharge'!H130</f>
        <v>00/00/0000</v>
      </c>
      <c r="G133" s="890"/>
      <c r="H133" s="916"/>
      <c r="I133" s="916"/>
      <c r="J133" s="917"/>
      <c r="K133" s="917"/>
      <c r="L133" s="916"/>
      <c r="M133" s="916"/>
      <c r="N133" s="893"/>
      <c r="O133" s="893"/>
      <c r="P133" s="916"/>
      <c r="Q133" s="916"/>
      <c r="R133" s="893"/>
      <c r="S133" s="893"/>
      <c r="T133" s="916"/>
      <c r="U133" s="916"/>
      <c r="V133" s="921" t="str">
        <f>'refer admin discharge'!H134</f>
        <v>00/00/0000</v>
      </c>
      <c r="W133" s="922"/>
      <c r="X133" s="912"/>
      <c r="Y133" s="912"/>
      <c r="Z133" s="924"/>
      <c r="AA133" s="924"/>
      <c r="AB133" s="912"/>
      <c r="AC133" s="912"/>
      <c r="AD133" s="913"/>
      <c r="AE133" s="913"/>
      <c r="AF133" s="912"/>
      <c r="AG133" s="912"/>
      <c r="AH133" s="913"/>
      <c r="AI133" s="913"/>
      <c r="AJ133" s="912"/>
      <c r="AK133" s="912"/>
      <c r="AL133" s="925"/>
      <c r="AM133" s="926"/>
      <c r="AN133" s="926"/>
      <c r="AO133" s="926"/>
      <c r="AP133" s="926"/>
      <c r="AQ133" s="926"/>
      <c r="AR133" s="926"/>
      <c r="AS133" s="926"/>
      <c r="AT133" s="926"/>
      <c r="AU133" s="926"/>
      <c r="AV133" s="926"/>
      <c r="AW133" s="926"/>
      <c r="AX133" s="926"/>
      <c r="AY133" s="926"/>
      <c r="AZ133" s="926"/>
      <c r="BA133" s="926"/>
      <c r="BB133" s="927"/>
    </row>
    <row r="134" spans="1:54" x14ac:dyDescent="0.25">
      <c r="A134" s="13">
        <f t="shared" si="1"/>
        <v>121</v>
      </c>
      <c r="B134" s="888" t="str">
        <f>'refer admin discharge'!B131</f>
        <v>x</v>
      </c>
      <c r="C134" s="888"/>
      <c r="D134" s="868" t="str">
        <f>'refer admin discharge'!D131</f>
        <v>xx</v>
      </c>
      <c r="E134" s="868"/>
      <c r="F134" s="891" t="str">
        <f>'refer admin discharge'!H131</f>
        <v>00/00/0000</v>
      </c>
      <c r="G134" s="892"/>
      <c r="H134" s="894"/>
      <c r="I134" s="894"/>
      <c r="J134" s="918"/>
      <c r="K134" s="918"/>
      <c r="L134" s="894"/>
      <c r="M134" s="894"/>
      <c r="N134" s="916"/>
      <c r="O134" s="916"/>
      <c r="P134" s="894"/>
      <c r="Q134" s="894"/>
      <c r="R134" s="916"/>
      <c r="S134" s="916"/>
      <c r="T134" s="894"/>
      <c r="U134" s="894"/>
      <c r="V134" s="921" t="str">
        <f>'refer admin discharge'!H135</f>
        <v>00/00/0000</v>
      </c>
      <c r="W134" s="922"/>
      <c r="X134" s="920"/>
      <c r="Y134" s="920"/>
      <c r="Z134" s="919"/>
      <c r="AA134" s="919"/>
      <c r="AB134" s="920"/>
      <c r="AC134" s="920"/>
      <c r="AD134" s="912"/>
      <c r="AE134" s="912"/>
      <c r="AF134" s="920"/>
      <c r="AG134" s="920"/>
      <c r="AH134" s="912"/>
      <c r="AI134" s="912"/>
      <c r="AJ134" s="920"/>
      <c r="AK134" s="920"/>
      <c r="AL134" s="905"/>
      <c r="AM134" s="906"/>
      <c r="AN134" s="906"/>
      <c r="AO134" s="906"/>
      <c r="AP134" s="906"/>
      <c r="AQ134" s="906"/>
      <c r="AR134" s="906"/>
      <c r="AS134" s="906"/>
      <c r="AT134" s="906"/>
      <c r="AU134" s="906"/>
      <c r="AV134" s="906"/>
      <c r="AW134" s="906"/>
      <c r="AX134" s="906"/>
      <c r="AY134" s="906"/>
      <c r="AZ134" s="906"/>
      <c r="BA134" s="906"/>
      <c r="BB134" s="907"/>
    </row>
    <row r="135" spans="1:54" x14ac:dyDescent="0.25">
      <c r="A135" s="13">
        <f t="shared" si="1"/>
        <v>122</v>
      </c>
      <c r="B135" s="914" t="str">
        <f>'refer admin discharge'!B132</f>
        <v>x</v>
      </c>
      <c r="C135" s="914"/>
      <c r="D135" s="889" t="str">
        <f>'refer admin discharge'!D132</f>
        <v>xx</v>
      </c>
      <c r="E135" s="889"/>
      <c r="F135" s="915" t="str">
        <f>'refer admin discharge'!H132</f>
        <v>00/00/0000</v>
      </c>
      <c r="G135" s="890"/>
      <c r="H135" s="916"/>
      <c r="I135" s="916"/>
      <c r="J135" s="917"/>
      <c r="K135" s="917"/>
      <c r="L135" s="916"/>
      <c r="M135" s="916"/>
      <c r="N135" s="893"/>
      <c r="O135" s="893"/>
      <c r="P135" s="916"/>
      <c r="Q135" s="916"/>
      <c r="R135" s="893"/>
      <c r="S135" s="893"/>
      <c r="T135" s="916"/>
      <c r="U135" s="916"/>
      <c r="V135" s="921" t="str">
        <f>'refer admin discharge'!H136</f>
        <v>00/00/0000</v>
      </c>
      <c r="W135" s="922"/>
      <c r="X135" s="912"/>
      <c r="Y135" s="912"/>
      <c r="Z135" s="924"/>
      <c r="AA135" s="924"/>
      <c r="AB135" s="912"/>
      <c r="AC135" s="912"/>
      <c r="AD135" s="913"/>
      <c r="AE135" s="913"/>
      <c r="AF135" s="912"/>
      <c r="AG135" s="912"/>
      <c r="AH135" s="913"/>
      <c r="AI135" s="913"/>
      <c r="AJ135" s="912"/>
      <c r="AK135" s="912"/>
      <c r="AL135" s="925"/>
      <c r="AM135" s="926"/>
      <c r="AN135" s="926"/>
      <c r="AO135" s="926"/>
      <c r="AP135" s="926"/>
      <c r="AQ135" s="926"/>
      <c r="AR135" s="926"/>
      <c r="AS135" s="926"/>
      <c r="AT135" s="926"/>
      <c r="AU135" s="926"/>
      <c r="AV135" s="926"/>
      <c r="AW135" s="926"/>
      <c r="AX135" s="926"/>
      <c r="AY135" s="926"/>
      <c r="AZ135" s="926"/>
      <c r="BA135" s="926"/>
      <c r="BB135" s="927"/>
    </row>
    <row r="136" spans="1:54" x14ac:dyDescent="0.25">
      <c r="A136" s="13">
        <f t="shared" si="1"/>
        <v>123</v>
      </c>
      <c r="B136" s="888" t="str">
        <f>'refer admin discharge'!B133</f>
        <v>x</v>
      </c>
      <c r="C136" s="888"/>
      <c r="D136" s="868" t="str">
        <f>'refer admin discharge'!D133</f>
        <v>xx</v>
      </c>
      <c r="E136" s="868"/>
      <c r="F136" s="891" t="str">
        <f>'refer admin discharge'!H133</f>
        <v>00/00/0000</v>
      </c>
      <c r="G136" s="892"/>
      <c r="H136" s="894"/>
      <c r="I136" s="894"/>
      <c r="J136" s="918"/>
      <c r="K136" s="918"/>
      <c r="L136" s="894"/>
      <c r="M136" s="894"/>
      <c r="N136" s="916"/>
      <c r="O136" s="916"/>
      <c r="P136" s="894"/>
      <c r="Q136" s="894"/>
      <c r="R136" s="916"/>
      <c r="S136" s="916"/>
      <c r="T136" s="894"/>
      <c r="U136" s="894"/>
      <c r="V136" s="921" t="str">
        <f>'refer admin discharge'!H137</f>
        <v>00/00/0000</v>
      </c>
      <c r="W136" s="922"/>
      <c r="X136" s="920"/>
      <c r="Y136" s="920"/>
      <c r="Z136" s="919"/>
      <c r="AA136" s="919"/>
      <c r="AB136" s="920"/>
      <c r="AC136" s="920"/>
      <c r="AD136" s="912"/>
      <c r="AE136" s="912"/>
      <c r="AF136" s="920"/>
      <c r="AG136" s="920"/>
      <c r="AH136" s="912"/>
      <c r="AI136" s="912"/>
      <c r="AJ136" s="920"/>
      <c r="AK136" s="920"/>
      <c r="AL136" s="905"/>
      <c r="AM136" s="906"/>
      <c r="AN136" s="906"/>
      <c r="AO136" s="906"/>
      <c r="AP136" s="906"/>
      <c r="AQ136" s="906"/>
      <c r="AR136" s="906"/>
      <c r="AS136" s="906"/>
      <c r="AT136" s="906"/>
      <c r="AU136" s="906"/>
      <c r="AV136" s="906"/>
      <c r="AW136" s="906"/>
      <c r="AX136" s="906"/>
      <c r="AY136" s="906"/>
      <c r="AZ136" s="906"/>
      <c r="BA136" s="906"/>
      <c r="BB136" s="907"/>
    </row>
    <row r="137" spans="1:54" x14ac:dyDescent="0.25">
      <c r="A137" s="13">
        <f t="shared" si="1"/>
        <v>124</v>
      </c>
      <c r="B137" s="914" t="str">
        <f>'refer admin discharge'!B134</f>
        <v>x</v>
      </c>
      <c r="C137" s="914"/>
      <c r="D137" s="889" t="str">
        <f>'refer admin discharge'!D134</f>
        <v>xx</v>
      </c>
      <c r="E137" s="889"/>
      <c r="F137" s="915" t="str">
        <f>'refer admin discharge'!H134</f>
        <v>00/00/0000</v>
      </c>
      <c r="G137" s="890"/>
      <c r="H137" s="916"/>
      <c r="I137" s="916"/>
      <c r="J137" s="917"/>
      <c r="K137" s="917"/>
      <c r="L137" s="916"/>
      <c r="M137" s="916"/>
      <c r="N137" s="893"/>
      <c r="O137" s="893"/>
      <c r="P137" s="916"/>
      <c r="Q137" s="916"/>
      <c r="R137" s="893"/>
      <c r="S137" s="893"/>
      <c r="T137" s="916"/>
      <c r="U137" s="916"/>
      <c r="V137" s="921" t="str">
        <f>'refer admin discharge'!H138</f>
        <v>00/00/0000</v>
      </c>
      <c r="W137" s="922"/>
      <c r="X137" s="912"/>
      <c r="Y137" s="912"/>
      <c r="Z137" s="924"/>
      <c r="AA137" s="924"/>
      <c r="AB137" s="912"/>
      <c r="AC137" s="912"/>
      <c r="AD137" s="913"/>
      <c r="AE137" s="913"/>
      <c r="AF137" s="912"/>
      <c r="AG137" s="912"/>
      <c r="AH137" s="913"/>
      <c r="AI137" s="913"/>
      <c r="AJ137" s="912"/>
      <c r="AK137" s="912"/>
      <c r="AL137" s="925"/>
      <c r="AM137" s="926"/>
      <c r="AN137" s="926"/>
      <c r="AO137" s="926"/>
      <c r="AP137" s="926"/>
      <c r="AQ137" s="926"/>
      <c r="AR137" s="926"/>
      <c r="AS137" s="926"/>
      <c r="AT137" s="926"/>
      <c r="AU137" s="926"/>
      <c r="AV137" s="926"/>
      <c r="AW137" s="926"/>
      <c r="AX137" s="926"/>
      <c r="AY137" s="926"/>
      <c r="AZ137" s="926"/>
      <c r="BA137" s="926"/>
      <c r="BB137" s="927"/>
    </row>
    <row r="138" spans="1:54" x14ac:dyDescent="0.25">
      <c r="A138" s="13">
        <f t="shared" si="1"/>
        <v>125</v>
      </c>
      <c r="B138" s="888" t="str">
        <f>'refer admin discharge'!B135</f>
        <v>x</v>
      </c>
      <c r="C138" s="888"/>
      <c r="D138" s="868" t="str">
        <f>'refer admin discharge'!D135</f>
        <v>xx</v>
      </c>
      <c r="E138" s="868"/>
      <c r="F138" s="891" t="str">
        <f>'refer admin discharge'!H135</f>
        <v>00/00/0000</v>
      </c>
      <c r="G138" s="892"/>
      <c r="H138" s="894"/>
      <c r="I138" s="894"/>
      <c r="J138" s="918"/>
      <c r="K138" s="918"/>
      <c r="L138" s="894"/>
      <c r="M138" s="894"/>
      <c r="N138" s="916"/>
      <c r="O138" s="916"/>
      <c r="P138" s="894"/>
      <c r="Q138" s="894"/>
      <c r="R138" s="916"/>
      <c r="S138" s="916"/>
      <c r="T138" s="894"/>
      <c r="U138" s="894"/>
      <c r="V138" s="921" t="str">
        <f>'refer admin discharge'!H139</f>
        <v>00/00/0000</v>
      </c>
      <c r="W138" s="922"/>
      <c r="X138" s="920"/>
      <c r="Y138" s="920"/>
      <c r="Z138" s="919"/>
      <c r="AA138" s="919"/>
      <c r="AB138" s="920"/>
      <c r="AC138" s="920"/>
      <c r="AD138" s="912"/>
      <c r="AE138" s="912"/>
      <c r="AF138" s="920"/>
      <c r="AG138" s="920"/>
      <c r="AH138" s="912"/>
      <c r="AI138" s="912"/>
      <c r="AJ138" s="920"/>
      <c r="AK138" s="920"/>
      <c r="AL138" s="905"/>
      <c r="AM138" s="906"/>
      <c r="AN138" s="906"/>
      <c r="AO138" s="906"/>
      <c r="AP138" s="906"/>
      <c r="AQ138" s="906"/>
      <c r="AR138" s="906"/>
      <c r="AS138" s="906"/>
      <c r="AT138" s="906"/>
      <c r="AU138" s="906"/>
      <c r="AV138" s="906"/>
      <c r="AW138" s="906"/>
      <c r="AX138" s="906"/>
      <c r="AY138" s="906"/>
      <c r="AZ138" s="906"/>
      <c r="BA138" s="906"/>
      <c r="BB138" s="907"/>
    </row>
    <row r="139" spans="1:54" x14ac:dyDescent="0.25">
      <c r="A139" s="13">
        <f t="shared" si="1"/>
        <v>126</v>
      </c>
      <c r="B139" s="914" t="str">
        <f>'refer admin discharge'!B136</f>
        <v>x</v>
      </c>
      <c r="C139" s="914"/>
      <c r="D139" s="889" t="str">
        <f>'refer admin discharge'!D136</f>
        <v>xx</v>
      </c>
      <c r="E139" s="889"/>
      <c r="F139" s="915" t="str">
        <f>'refer admin discharge'!H136</f>
        <v>00/00/0000</v>
      </c>
      <c r="G139" s="890"/>
      <c r="H139" s="916"/>
      <c r="I139" s="916"/>
      <c r="J139" s="917"/>
      <c r="K139" s="917"/>
      <c r="L139" s="916"/>
      <c r="M139" s="916"/>
      <c r="N139" s="893"/>
      <c r="O139" s="893"/>
      <c r="P139" s="916"/>
      <c r="Q139" s="916"/>
      <c r="R139" s="893"/>
      <c r="S139" s="893"/>
      <c r="T139" s="916"/>
      <c r="U139" s="916"/>
      <c r="V139" s="921" t="str">
        <f>'refer admin discharge'!H140</f>
        <v>00/00/0000</v>
      </c>
      <c r="W139" s="922"/>
      <c r="X139" s="912"/>
      <c r="Y139" s="912"/>
      <c r="Z139" s="924"/>
      <c r="AA139" s="924"/>
      <c r="AB139" s="912"/>
      <c r="AC139" s="912"/>
      <c r="AD139" s="913"/>
      <c r="AE139" s="913"/>
      <c r="AF139" s="912"/>
      <c r="AG139" s="912"/>
      <c r="AH139" s="913"/>
      <c r="AI139" s="913"/>
      <c r="AJ139" s="912"/>
      <c r="AK139" s="912"/>
      <c r="AL139" s="925"/>
      <c r="AM139" s="926"/>
      <c r="AN139" s="926"/>
      <c r="AO139" s="926"/>
      <c r="AP139" s="926"/>
      <c r="AQ139" s="926"/>
      <c r="AR139" s="926"/>
      <c r="AS139" s="926"/>
      <c r="AT139" s="926"/>
      <c r="AU139" s="926"/>
      <c r="AV139" s="926"/>
      <c r="AW139" s="926"/>
      <c r="AX139" s="926"/>
      <c r="AY139" s="926"/>
      <c r="AZ139" s="926"/>
      <c r="BA139" s="926"/>
      <c r="BB139" s="927"/>
    </row>
    <row r="140" spans="1:54" x14ac:dyDescent="0.25">
      <c r="A140" s="13">
        <f t="shared" si="1"/>
        <v>127</v>
      </c>
      <c r="B140" s="888" t="str">
        <f>'refer admin discharge'!B137</f>
        <v>x</v>
      </c>
      <c r="C140" s="888"/>
      <c r="D140" s="868" t="str">
        <f>'refer admin discharge'!D137</f>
        <v>xx</v>
      </c>
      <c r="E140" s="868"/>
      <c r="F140" s="891" t="str">
        <f>'refer admin discharge'!H137</f>
        <v>00/00/0000</v>
      </c>
      <c r="G140" s="892"/>
      <c r="H140" s="894"/>
      <c r="I140" s="894"/>
      <c r="J140" s="918"/>
      <c r="K140" s="918"/>
      <c r="L140" s="894"/>
      <c r="M140" s="894"/>
      <c r="N140" s="916"/>
      <c r="O140" s="916"/>
      <c r="P140" s="894"/>
      <c r="Q140" s="894"/>
      <c r="R140" s="916"/>
      <c r="S140" s="916"/>
      <c r="T140" s="894"/>
      <c r="U140" s="894"/>
      <c r="V140" s="921" t="str">
        <f>'refer admin discharge'!H141</f>
        <v>00/00/0000</v>
      </c>
      <c r="W140" s="922"/>
      <c r="X140" s="920"/>
      <c r="Y140" s="920"/>
      <c r="Z140" s="919"/>
      <c r="AA140" s="919"/>
      <c r="AB140" s="920"/>
      <c r="AC140" s="920"/>
      <c r="AD140" s="912"/>
      <c r="AE140" s="912"/>
      <c r="AF140" s="920"/>
      <c r="AG140" s="920"/>
      <c r="AH140" s="912"/>
      <c r="AI140" s="912"/>
      <c r="AJ140" s="920"/>
      <c r="AK140" s="920"/>
      <c r="AL140" s="905"/>
      <c r="AM140" s="906"/>
      <c r="AN140" s="906"/>
      <c r="AO140" s="906"/>
      <c r="AP140" s="906"/>
      <c r="AQ140" s="906"/>
      <c r="AR140" s="906"/>
      <c r="AS140" s="906"/>
      <c r="AT140" s="906"/>
      <c r="AU140" s="906"/>
      <c r="AV140" s="906"/>
      <c r="AW140" s="906"/>
      <c r="AX140" s="906"/>
      <c r="AY140" s="906"/>
      <c r="AZ140" s="906"/>
      <c r="BA140" s="906"/>
      <c r="BB140" s="907"/>
    </row>
    <row r="141" spans="1:54" x14ac:dyDescent="0.25">
      <c r="A141" s="13">
        <f t="shared" si="1"/>
        <v>128</v>
      </c>
      <c r="B141" s="914" t="str">
        <f>'refer admin discharge'!B138</f>
        <v>x</v>
      </c>
      <c r="C141" s="914"/>
      <c r="D141" s="889" t="str">
        <f>'refer admin discharge'!D138</f>
        <v>xx</v>
      </c>
      <c r="E141" s="889"/>
      <c r="F141" s="915" t="str">
        <f>'refer admin discharge'!H138</f>
        <v>00/00/0000</v>
      </c>
      <c r="G141" s="890"/>
      <c r="H141" s="916"/>
      <c r="I141" s="916"/>
      <c r="J141" s="917"/>
      <c r="K141" s="917"/>
      <c r="L141" s="916"/>
      <c r="M141" s="916"/>
      <c r="N141" s="893"/>
      <c r="O141" s="893"/>
      <c r="P141" s="916"/>
      <c r="Q141" s="916"/>
      <c r="R141" s="893"/>
      <c r="S141" s="893"/>
      <c r="T141" s="916"/>
      <c r="U141" s="916"/>
      <c r="V141" s="921" t="str">
        <f>'refer admin discharge'!H142</f>
        <v>00/00/0000</v>
      </c>
      <c r="W141" s="922"/>
      <c r="X141" s="912"/>
      <c r="Y141" s="912"/>
      <c r="Z141" s="924"/>
      <c r="AA141" s="924"/>
      <c r="AB141" s="912"/>
      <c r="AC141" s="912"/>
      <c r="AD141" s="913"/>
      <c r="AE141" s="913"/>
      <c r="AF141" s="912"/>
      <c r="AG141" s="912"/>
      <c r="AH141" s="913"/>
      <c r="AI141" s="913"/>
      <c r="AJ141" s="912"/>
      <c r="AK141" s="912"/>
      <c r="AL141" s="925"/>
      <c r="AM141" s="926"/>
      <c r="AN141" s="926"/>
      <c r="AO141" s="926"/>
      <c r="AP141" s="926"/>
      <c r="AQ141" s="926"/>
      <c r="AR141" s="926"/>
      <c r="AS141" s="926"/>
      <c r="AT141" s="926"/>
      <c r="AU141" s="926"/>
      <c r="AV141" s="926"/>
      <c r="AW141" s="926"/>
      <c r="AX141" s="926"/>
      <c r="AY141" s="926"/>
      <c r="AZ141" s="926"/>
      <c r="BA141" s="926"/>
      <c r="BB141" s="927"/>
    </row>
    <row r="142" spans="1:54" x14ac:dyDescent="0.25">
      <c r="A142" s="13">
        <f t="shared" ref="A142:A205" si="2">ROW(A129)</f>
        <v>129</v>
      </c>
      <c r="B142" s="888" t="str">
        <f>'refer admin discharge'!B139</f>
        <v>x</v>
      </c>
      <c r="C142" s="888"/>
      <c r="D142" s="868" t="str">
        <f>'refer admin discharge'!D139</f>
        <v>xx</v>
      </c>
      <c r="E142" s="868"/>
      <c r="F142" s="891" t="str">
        <f>'refer admin discharge'!H139</f>
        <v>00/00/0000</v>
      </c>
      <c r="G142" s="892"/>
      <c r="H142" s="894"/>
      <c r="I142" s="894"/>
      <c r="J142" s="918"/>
      <c r="K142" s="918"/>
      <c r="L142" s="894"/>
      <c r="M142" s="894"/>
      <c r="N142" s="916"/>
      <c r="O142" s="916"/>
      <c r="P142" s="894"/>
      <c r="Q142" s="894"/>
      <c r="R142" s="916"/>
      <c r="S142" s="916"/>
      <c r="T142" s="894"/>
      <c r="U142" s="894"/>
      <c r="V142" s="921" t="str">
        <f>'refer admin discharge'!H143</f>
        <v>00/00/0000</v>
      </c>
      <c r="W142" s="922"/>
      <c r="X142" s="920"/>
      <c r="Y142" s="920"/>
      <c r="Z142" s="919"/>
      <c r="AA142" s="919"/>
      <c r="AB142" s="920"/>
      <c r="AC142" s="920"/>
      <c r="AD142" s="912"/>
      <c r="AE142" s="912"/>
      <c r="AF142" s="920"/>
      <c r="AG142" s="920"/>
      <c r="AH142" s="912"/>
      <c r="AI142" s="912"/>
      <c r="AJ142" s="920"/>
      <c r="AK142" s="920"/>
      <c r="AL142" s="905"/>
      <c r="AM142" s="906"/>
      <c r="AN142" s="906"/>
      <c r="AO142" s="906"/>
      <c r="AP142" s="906"/>
      <c r="AQ142" s="906"/>
      <c r="AR142" s="906"/>
      <c r="AS142" s="906"/>
      <c r="AT142" s="906"/>
      <c r="AU142" s="906"/>
      <c r="AV142" s="906"/>
      <c r="AW142" s="906"/>
      <c r="AX142" s="906"/>
      <c r="AY142" s="906"/>
      <c r="AZ142" s="906"/>
      <c r="BA142" s="906"/>
      <c r="BB142" s="907"/>
    </row>
    <row r="143" spans="1:54" x14ac:dyDescent="0.25">
      <c r="A143" s="13">
        <f t="shared" si="2"/>
        <v>130</v>
      </c>
      <c r="B143" s="914" t="str">
        <f>'refer admin discharge'!B140</f>
        <v>x</v>
      </c>
      <c r="C143" s="914"/>
      <c r="D143" s="889" t="str">
        <f>'refer admin discharge'!D140</f>
        <v>xx</v>
      </c>
      <c r="E143" s="889"/>
      <c r="F143" s="915" t="str">
        <f>'refer admin discharge'!H140</f>
        <v>00/00/0000</v>
      </c>
      <c r="G143" s="890"/>
      <c r="H143" s="916"/>
      <c r="I143" s="916"/>
      <c r="J143" s="917"/>
      <c r="K143" s="917"/>
      <c r="L143" s="916"/>
      <c r="M143" s="916"/>
      <c r="N143" s="893"/>
      <c r="O143" s="893"/>
      <c r="P143" s="916"/>
      <c r="Q143" s="916"/>
      <c r="R143" s="893"/>
      <c r="S143" s="893"/>
      <c r="T143" s="916"/>
      <c r="U143" s="916"/>
      <c r="V143" s="921" t="str">
        <f>'refer admin discharge'!H144</f>
        <v>00/00/0000</v>
      </c>
      <c r="W143" s="922"/>
      <c r="X143" s="912"/>
      <c r="Y143" s="912"/>
      <c r="Z143" s="924"/>
      <c r="AA143" s="924"/>
      <c r="AB143" s="912"/>
      <c r="AC143" s="912"/>
      <c r="AD143" s="913"/>
      <c r="AE143" s="913"/>
      <c r="AF143" s="912"/>
      <c r="AG143" s="912"/>
      <c r="AH143" s="913"/>
      <c r="AI143" s="913"/>
      <c r="AJ143" s="912"/>
      <c r="AK143" s="912"/>
      <c r="AL143" s="925"/>
      <c r="AM143" s="926"/>
      <c r="AN143" s="926"/>
      <c r="AO143" s="926"/>
      <c r="AP143" s="926"/>
      <c r="AQ143" s="926"/>
      <c r="AR143" s="926"/>
      <c r="AS143" s="926"/>
      <c r="AT143" s="926"/>
      <c r="AU143" s="926"/>
      <c r="AV143" s="926"/>
      <c r="AW143" s="926"/>
      <c r="AX143" s="926"/>
      <c r="AY143" s="926"/>
      <c r="AZ143" s="926"/>
      <c r="BA143" s="926"/>
      <c r="BB143" s="927"/>
    </row>
    <row r="144" spans="1:54" x14ac:dyDescent="0.25">
      <c r="A144" s="13">
        <f t="shared" si="2"/>
        <v>131</v>
      </c>
      <c r="B144" s="888" t="str">
        <f>'refer admin discharge'!B141</f>
        <v>x</v>
      </c>
      <c r="C144" s="888"/>
      <c r="D144" s="868" t="str">
        <f>'refer admin discharge'!D141</f>
        <v>xx</v>
      </c>
      <c r="E144" s="868"/>
      <c r="F144" s="891" t="str">
        <f>'refer admin discharge'!H141</f>
        <v>00/00/0000</v>
      </c>
      <c r="G144" s="892"/>
      <c r="H144" s="894"/>
      <c r="I144" s="894"/>
      <c r="J144" s="918"/>
      <c r="K144" s="918"/>
      <c r="L144" s="894"/>
      <c r="M144" s="894"/>
      <c r="N144" s="916"/>
      <c r="O144" s="916"/>
      <c r="P144" s="894"/>
      <c r="Q144" s="894"/>
      <c r="R144" s="916"/>
      <c r="S144" s="916"/>
      <c r="T144" s="894"/>
      <c r="U144" s="894"/>
      <c r="V144" s="921" t="str">
        <f>'refer admin discharge'!H145</f>
        <v>00/00/0000</v>
      </c>
      <c r="W144" s="922"/>
      <c r="X144" s="920"/>
      <c r="Y144" s="920"/>
      <c r="Z144" s="919"/>
      <c r="AA144" s="919"/>
      <c r="AB144" s="920"/>
      <c r="AC144" s="920"/>
      <c r="AD144" s="912"/>
      <c r="AE144" s="912"/>
      <c r="AF144" s="920"/>
      <c r="AG144" s="920"/>
      <c r="AH144" s="912"/>
      <c r="AI144" s="912"/>
      <c r="AJ144" s="920"/>
      <c r="AK144" s="920"/>
      <c r="AL144" s="905"/>
      <c r="AM144" s="906"/>
      <c r="AN144" s="906"/>
      <c r="AO144" s="906"/>
      <c r="AP144" s="906"/>
      <c r="AQ144" s="906"/>
      <c r="AR144" s="906"/>
      <c r="AS144" s="906"/>
      <c r="AT144" s="906"/>
      <c r="AU144" s="906"/>
      <c r="AV144" s="906"/>
      <c r="AW144" s="906"/>
      <c r="AX144" s="906"/>
      <c r="AY144" s="906"/>
      <c r="AZ144" s="906"/>
      <c r="BA144" s="906"/>
      <c r="BB144" s="907"/>
    </row>
    <row r="145" spans="1:54" x14ac:dyDescent="0.25">
      <c r="A145" s="13">
        <f t="shared" si="2"/>
        <v>132</v>
      </c>
      <c r="B145" s="914" t="str">
        <f>'refer admin discharge'!B142</f>
        <v>x</v>
      </c>
      <c r="C145" s="914"/>
      <c r="D145" s="889" t="str">
        <f>'refer admin discharge'!D142</f>
        <v>xx</v>
      </c>
      <c r="E145" s="889"/>
      <c r="F145" s="915" t="str">
        <f>'refer admin discharge'!H142</f>
        <v>00/00/0000</v>
      </c>
      <c r="G145" s="890"/>
      <c r="H145" s="916"/>
      <c r="I145" s="916"/>
      <c r="J145" s="917"/>
      <c r="K145" s="917"/>
      <c r="L145" s="916"/>
      <c r="M145" s="916"/>
      <c r="N145" s="893"/>
      <c r="O145" s="893"/>
      <c r="P145" s="916"/>
      <c r="Q145" s="916"/>
      <c r="R145" s="893"/>
      <c r="S145" s="893"/>
      <c r="T145" s="916"/>
      <c r="U145" s="916"/>
      <c r="V145" s="921" t="str">
        <f>'refer admin discharge'!H146</f>
        <v>00/00/0000</v>
      </c>
      <c r="W145" s="922"/>
      <c r="X145" s="912"/>
      <c r="Y145" s="912"/>
      <c r="Z145" s="924"/>
      <c r="AA145" s="924"/>
      <c r="AB145" s="912"/>
      <c r="AC145" s="912"/>
      <c r="AD145" s="913"/>
      <c r="AE145" s="913"/>
      <c r="AF145" s="912"/>
      <c r="AG145" s="912"/>
      <c r="AH145" s="913"/>
      <c r="AI145" s="913"/>
      <c r="AJ145" s="912"/>
      <c r="AK145" s="912"/>
      <c r="AL145" s="925"/>
      <c r="AM145" s="926"/>
      <c r="AN145" s="926"/>
      <c r="AO145" s="926"/>
      <c r="AP145" s="926"/>
      <c r="AQ145" s="926"/>
      <c r="AR145" s="926"/>
      <c r="AS145" s="926"/>
      <c r="AT145" s="926"/>
      <c r="AU145" s="926"/>
      <c r="AV145" s="926"/>
      <c r="AW145" s="926"/>
      <c r="AX145" s="926"/>
      <c r="AY145" s="926"/>
      <c r="AZ145" s="926"/>
      <c r="BA145" s="926"/>
      <c r="BB145" s="927"/>
    </row>
    <row r="146" spans="1:54" x14ac:dyDescent="0.25">
      <c r="A146" s="13">
        <f t="shared" si="2"/>
        <v>133</v>
      </c>
      <c r="B146" s="888" t="str">
        <f>'refer admin discharge'!B143</f>
        <v>x</v>
      </c>
      <c r="C146" s="888"/>
      <c r="D146" s="868" t="str">
        <f>'refer admin discharge'!D143</f>
        <v>xx</v>
      </c>
      <c r="E146" s="868"/>
      <c r="F146" s="891" t="str">
        <f>'refer admin discharge'!H143</f>
        <v>00/00/0000</v>
      </c>
      <c r="G146" s="892"/>
      <c r="H146" s="894"/>
      <c r="I146" s="894"/>
      <c r="J146" s="918"/>
      <c r="K146" s="918"/>
      <c r="L146" s="894"/>
      <c r="M146" s="894"/>
      <c r="N146" s="916"/>
      <c r="O146" s="916"/>
      <c r="P146" s="894"/>
      <c r="Q146" s="894"/>
      <c r="R146" s="916"/>
      <c r="S146" s="916"/>
      <c r="T146" s="894"/>
      <c r="U146" s="894"/>
      <c r="V146" s="921" t="str">
        <f>'refer admin discharge'!H147</f>
        <v>00/00/0000</v>
      </c>
      <c r="W146" s="922"/>
      <c r="X146" s="920"/>
      <c r="Y146" s="920"/>
      <c r="Z146" s="919"/>
      <c r="AA146" s="919"/>
      <c r="AB146" s="920"/>
      <c r="AC146" s="920"/>
      <c r="AD146" s="912"/>
      <c r="AE146" s="912"/>
      <c r="AF146" s="920"/>
      <c r="AG146" s="920"/>
      <c r="AH146" s="912"/>
      <c r="AI146" s="912"/>
      <c r="AJ146" s="920"/>
      <c r="AK146" s="920"/>
      <c r="AL146" s="905"/>
      <c r="AM146" s="906"/>
      <c r="AN146" s="906"/>
      <c r="AO146" s="906"/>
      <c r="AP146" s="906"/>
      <c r="AQ146" s="906"/>
      <c r="AR146" s="906"/>
      <c r="AS146" s="906"/>
      <c r="AT146" s="906"/>
      <c r="AU146" s="906"/>
      <c r="AV146" s="906"/>
      <c r="AW146" s="906"/>
      <c r="AX146" s="906"/>
      <c r="AY146" s="906"/>
      <c r="AZ146" s="906"/>
      <c r="BA146" s="906"/>
      <c r="BB146" s="907"/>
    </row>
    <row r="147" spans="1:54" x14ac:dyDescent="0.25">
      <c r="A147" s="13">
        <f t="shared" si="2"/>
        <v>134</v>
      </c>
      <c r="B147" s="914" t="str">
        <f>'refer admin discharge'!B144</f>
        <v>x</v>
      </c>
      <c r="C147" s="914"/>
      <c r="D147" s="889" t="str">
        <f>'refer admin discharge'!D144</f>
        <v>xx</v>
      </c>
      <c r="E147" s="889"/>
      <c r="F147" s="915" t="str">
        <f>'refer admin discharge'!H144</f>
        <v>00/00/0000</v>
      </c>
      <c r="G147" s="890"/>
      <c r="H147" s="916"/>
      <c r="I147" s="916"/>
      <c r="J147" s="917"/>
      <c r="K147" s="917"/>
      <c r="L147" s="916"/>
      <c r="M147" s="916"/>
      <c r="N147" s="893"/>
      <c r="O147" s="893"/>
      <c r="P147" s="916"/>
      <c r="Q147" s="916"/>
      <c r="R147" s="893"/>
      <c r="S147" s="893"/>
      <c r="T147" s="916"/>
      <c r="U147" s="916"/>
      <c r="V147" s="921" t="str">
        <f>'refer admin discharge'!H148</f>
        <v>00/00/0000</v>
      </c>
      <c r="W147" s="922"/>
      <c r="X147" s="912"/>
      <c r="Y147" s="912"/>
      <c r="Z147" s="924"/>
      <c r="AA147" s="924"/>
      <c r="AB147" s="912"/>
      <c r="AC147" s="912"/>
      <c r="AD147" s="913"/>
      <c r="AE147" s="913"/>
      <c r="AF147" s="912"/>
      <c r="AG147" s="912"/>
      <c r="AH147" s="913"/>
      <c r="AI147" s="913"/>
      <c r="AJ147" s="912"/>
      <c r="AK147" s="912"/>
      <c r="AL147" s="925"/>
      <c r="AM147" s="926"/>
      <c r="AN147" s="926"/>
      <c r="AO147" s="926"/>
      <c r="AP147" s="926"/>
      <c r="AQ147" s="926"/>
      <c r="AR147" s="926"/>
      <c r="AS147" s="926"/>
      <c r="AT147" s="926"/>
      <c r="AU147" s="926"/>
      <c r="AV147" s="926"/>
      <c r="AW147" s="926"/>
      <c r="AX147" s="926"/>
      <c r="AY147" s="926"/>
      <c r="AZ147" s="926"/>
      <c r="BA147" s="926"/>
      <c r="BB147" s="927"/>
    </row>
    <row r="148" spans="1:54" x14ac:dyDescent="0.25">
      <c r="A148" s="13">
        <f t="shared" si="2"/>
        <v>135</v>
      </c>
      <c r="B148" s="888" t="str">
        <f>'refer admin discharge'!B145</f>
        <v>x</v>
      </c>
      <c r="C148" s="888"/>
      <c r="D148" s="868" t="str">
        <f>'refer admin discharge'!D145</f>
        <v>xx</v>
      </c>
      <c r="E148" s="868"/>
      <c r="F148" s="891" t="str">
        <f>'refer admin discharge'!H145</f>
        <v>00/00/0000</v>
      </c>
      <c r="G148" s="892"/>
      <c r="H148" s="894"/>
      <c r="I148" s="894"/>
      <c r="J148" s="918"/>
      <c r="K148" s="918"/>
      <c r="L148" s="894"/>
      <c r="M148" s="894"/>
      <c r="N148" s="916"/>
      <c r="O148" s="916"/>
      <c r="P148" s="894"/>
      <c r="Q148" s="894"/>
      <c r="R148" s="916"/>
      <c r="S148" s="916"/>
      <c r="T148" s="894"/>
      <c r="U148" s="894"/>
      <c r="V148" s="921" t="str">
        <f>'refer admin discharge'!H149</f>
        <v>00/00/0000</v>
      </c>
      <c r="W148" s="922"/>
      <c r="X148" s="920"/>
      <c r="Y148" s="920"/>
      <c r="Z148" s="919"/>
      <c r="AA148" s="919"/>
      <c r="AB148" s="920"/>
      <c r="AC148" s="920"/>
      <c r="AD148" s="912"/>
      <c r="AE148" s="912"/>
      <c r="AF148" s="920"/>
      <c r="AG148" s="920"/>
      <c r="AH148" s="912"/>
      <c r="AI148" s="912"/>
      <c r="AJ148" s="920"/>
      <c r="AK148" s="920"/>
      <c r="AL148" s="905"/>
      <c r="AM148" s="906"/>
      <c r="AN148" s="906"/>
      <c r="AO148" s="906"/>
      <c r="AP148" s="906"/>
      <c r="AQ148" s="906"/>
      <c r="AR148" s="906"/>
      <c r="AS148" s="906"/>
      <c r="AT148" s="906"/>
      <c r="AU148" s="906"/>
      <c r="AV148" s="906"/>
      <c r="AW148" s="906"/>
      <c r="AX148" s="906"/>
      <c r="AY148" s="906"/>
      <c r="AZ148" s="906"/>
      <c r="BA148" s="906"/>
      <c r="BB148" s="907"/>
    </row>
    <row r="149" spans="1:54" x14ac:dyDescent="0.25">
      <c r="A149" s="13">
        <f t="shared" si="2"/>
        <v>136</v>
      </c>
      <c r="B149" s="914" t="str">
        <f>'refer admin discharge'!B146</f>
        <v>x</v>
      </c>
      <c r="C149" s="914"/>
      <c r="D149" s="889" t="str">
        <f>'refer admin discharge'!D146</f>
        <v>xx</v>
      </c>
      <c r="E149" s="889"/>
      <c r="F149" s="915" t="str">
        <f>'refer admin discharge'!H146</f>
        <v>00/00/0000</v>
      </c>
      <c r="G149" s="890"/>
      <c r="H149" s="916"/>
      <c r="I149" s="916"/>
      <c r="J149" s="917"/>
      <c r="K149" s="917"/>
      <c r="L149" s="916"/>
      <c r="M149" s="916"/>
      <c r="N149" s="893"/>
      <c r="O149" s="893"/>
      <c r="P149" s="916"/>
      <c r="Q149" s="916"/>
      <c r="R149" s="893"/>
      <c r="S149" s="893"/>
      <c r="T149" s="916"/>
      <c r="U149" s="916"/>
      <c r="V149" s="921" t="str">
        <f>'refer admin discharge'!H150</f>
        <v>00/00/0000</v>
      </c>
      <c r="W149" s="922"/>
      <c r="X149" s="912"/>
      <c r="Y149" s="912"/>
      <c r="Z149" s="924"/>
      <c r="AA149" s="924"/>
      <c r="AB149" s="912"/>
      <c r="AC149" s="912"/>
      <c r="AD149" s="913"/>
      <c r="AE149" s="913"/>
      <c r="AF149" s="912"/>
      <c r="AG149" s="912"/>
      <c r="AH149" s="913"/>
      <c r="AI149" s="913"/>
      <c r="AJ149" s="912"/>
      <c r="AK149" s="912"/>
      <c r="AL149" s="925"/>
      <c r="AM149" s="926"/>
      <c r="AN149" s="926"/>
      <c r="AO149" s="926"/>
      <c r="AP149" s="926"/>
      <c r="AQ149" s="926"/>
      <c r="AR149" s="926"/>
      <c r="AS149" s="926"/>
      <c r="AT149" s="926"/>
      <c r="AU149" s="926"/>
      <c r="AV149" s="926"/>
      <c r="AW149" s="926"/>
      <c r="AX149" s="926"/>
      <c r="AY149" s="926"/>
      <c r="AZ149" s="926"/>
      <c r="BA149" s="926"/>
      <c r="BB149" s="927"/>
    </row>
    <row r="150" spans="1:54" x14ac:dyDescent="0.25">
      <c r="A150" s="13">
        <f t="shared" si="2"/>
        <v>137</v>
      </c>
      <c r="B150" s="888" t="str">
        <f>'refer admin discharge'!B147</f>
        <v>x</v>
      </c>
      <c r="C150" s="888"/>
      <c r="D150" s="868" t="str">
        <f>'refer admin discharge'!D147</f>
        <v>xx</v>
      </c>
      <c r="E150" s="868"/>
      <c r="F150" s="891" t="str">
        <f>'refer admin discharge'!H147</f>
        <v>00/00/0000</v>
      </c>
      <c r="G150" s="892"/>
      <c r="H150" s="894"/>
      <c r="I150" s="894"/>
      <c r="J150" s="918"/>
      <c r="K150" s="918"/>
      <c r="L150" s="894"/>
      <c r="M150" s="894"/>
      <c r="N150" s="916"/>
      <c r="O150" s="916"/>
      <c r="P150" s="894"/>
      <c r="Q150" s="894"/>
      <c r="R150" s="916"/>
      <c r="S150" s="916"/>
      <c r="T150" s="894"/>
      <c r="U150" s="894"/>
      <c r="V150" s="921" t="str">
        <f>'refer admin discharge'!H151</f>
        <v>00/00/0000</v>
      </c>
      <c r="W150" s="922"/>
      <c r="X150" s="920"/>
      <c r="Y150" s="920"/>
      <c r="Z150" s="919"/>
      <c r="AA150" s="919"/>
      <c r="AB150" s="920"/>
      <c r="AC150" s="920"/>
      <c r="AD150" s="912"/>
      <c r="AE150" s="912"/>
      <c r="AF150" s="920"/>
      <c r="AG150" s="920"/>
      <c r="AH150" s="912"/>
      <c r="AI150" s="912"/>
      <c r="AJ150" s="920"/>
      <c r="AK150" s="920"/>
      <c r="AL150" s="905"/>
      <c r="AM150" s="906"/>
      <c r="AN150" s="906"/>
      <c r="AO150" s="906"/>
      <c r="AP150" s="906"/>
      <c r="AQ150" s="906"/>
      <c r="AR150" s="906"/>
      <c r="AS150" s="906"/>
      <c r="AT150" s="906"/>
      <c r="AU150" s="906"/>
      <c r="AV150" s="906"/>
      <c r="AW150" s="906"/>
      <c r="AX150" s="906"/>
      <c r="AY150" s="906"/>
      <c r="AZ150" s="906"/>
      <c r="BA150" s="906"/>
      <c r="BB150" s="907"/>
    </row>
    <row r="151" spans="1:54" x14ac:dyDescent="0.25">
      <c r="A151" s="13">
        <f t="shared" si="2"/>
        <v>138</v>
      </c>
      <c r="B151" s="914" t="str">
        <f>'refer admin discharge'!B148</f>
        <v>x</v>
      </c>
      <c r="C151" s="914"/>
      <c r="D151" s="889" t="str">
        <f>'refer admin discharge'!D148</f>
        <v>xx</v>
      </c>
      <c r="E151" s="889"/>
      <c r="F151" s="915" t="str">
        <f>'refer admin discharge'!H148</f>
        <v>00/00/0000</v>
      </c>
      <c r="G151" s="890"/>
      <c r="H151" s="916"/>
      <c r="I151" s="916"/>
      <c r="J151" s="917"/>
      <c r="K151" s="917"/>
      <c r="L151" s="916"/>
      <c r="M151" s="916"/>
      <c r="N151" s="893"/>
      <c r="O151" s="893"/>
      <c r="P151" s="916"/>
      <c r="Q151" s="916"/>
      <c r="R151" s="893"/>
      <c r="S151" s="893"/>
      <c r="T151" s="916"/>
      <c r="U151" s="916"/>
      <c r="V151" s="921" t="str">
        <f>'refer admin discharge'!H152</f>
        <v>00/00/0000</v>
      </c>
      <c r="W151" s="922"/>
      <c r="X151" s="912"/>
      <c r="Y151" s="912"/>
      <c r="Z151" s="924"/>
      <c r="AA151" s="924"/>
      <c r="AB151" s="912"/>
      <c r="AC151" s="912"/>
      <c r="AD151" s="913"/>
      <c r="AE151" s="913"/>
      <c r="AF151" s="912"/>
      <c r="AG151" s="912"/>
      <c r="AH151" s="913"/>
      <c r="AI151" s="913"/>
      <c r="AJ151" s="912"/>
      <c r="AK151" s="912"/>
      <c r="AL151" s="925"/>
      <c r="AM151" s="926"/>
      <c r="AN151" s="926"/>
      <c r="AO151" s="926"/>
      <c r="AP151" s="926"/>
      <c r="AQ151" s="926"/>
      <c r="AR151" s="926"/>
      <c r="AS151" s="926"/>
      <c r="AT151" s="926"/>
      <c r="AU151" s="926"/>
      <c r="AV151" s="926"/>
      <c r="AW151" s="926"/>
      <c r="AX151" s="926"/>
      <c r="AY151" s="926"/>
      <c r="AZ151" s="926"/>
      <c r="BA151" s="926"/>
      <c r="BB151" s="927"/>
    </row>
    <row r="152" spans="1:54" x14ac:dyDescent="0.25">
      <c r="A152" s="13">
        <f t="shared" si="2"/>
        <v>139</v>
      </c>
      <c r="B152" s="888" t="str">
        <f>'refer admin discharge'!B149</f>
        <v>x</v>
      </c>
      <c r="C152" s="888"/>
      <c r="D152" s="868" t="str">
        <f>'refer admin discharge'!D149</f>
        <v>xx</v>
      </c>
      <c r="E152" s="868"/>
      <c r="F152" s="891" t="str">
        <f>'refer admin discharge'!H149</f>
        <v>00/00/0000</v>
      </c>
      <c r="G152" s="892"/>
      <c r="H152" s="894"/>
      <c r="I152" s="894"/>
      <c r="J152" s="918"/>
      <c r="K152" s="918"/>
      <c r="L152" s="894"/>
      <c r="M152" s="894"/>
      <c r="N152" s="916"/>
      <c r="O152" s="916"/>
      <c r="P152" s="894"/>
      <c r="Q152" s="894"/>
      <c r="R152" s="916"/>
      <c r="S152" s="916"/>
      <c r="T152" s="894"/>
      <c r="U152" s="894"/>
      <c r="V152" s="921" t="str">
        <f>'refer admin discharge'!H153</f>
        <v>00/00/0000</v>
      </c>
      <c r="W152" s="922"/>
      <c r="X152" s="920"/>
      <c r="Y152" s="920"/>
      <c r="Z152" s="919"/>
      <c r="AA152" s="919"/>
      <c r="AB152" s="920"/>
      <c r="AC152" s="920"/>
      <c r="AD152" s="912"/>
      <c r="AE152" s="912"/>
      <c r="AF152" s="920"/>
      <c r="AG152" s="920"/>
      <c r="AH152" s="912"/>
      <c r="AI152" s="912"/>
      <c r="AJ152" s="920"/>
      <c r="AK152" s="920"/>
      <c r="AL152" s="905"/>
      <c r="AM152" s="906"/>
      <c r="AN152" s="906"/>
      <c r="AO152" s="906"/>
      <c r="AP152" s="906"/>
      <c r="AQ152" s="906"/>
      <c r="AR152" s="906"/>
      <c r="AS152" s="906"/>
      <c r="AT152" s="906"/>
      <c r="AU152" s="906"/>
      <c r="AV152" s="906"/>
      <c r="AW152" s="906"/>
      <c r="AX152" s="906"/>
      <c r="AY152" s="906"/>
      <c r="AZ152" s="906"/>
      <c r="BA152" s="906"/>
      <c r="BB152" s="907"/>
    </row>
    <row r="153" spans="1:54" x14ac:dyDescent="0.25">
      <c r="A153" s="13">
        <f t="shared" si="2"/>
        <v>140</v>
      </c>
      <c r="B153" s="914" t="str">
        <f>'refer admin discharge'!B150</f>
        <v>x</v>
      </c>
      <c r="C153" s="914"/>
      <c r="D153" s="889" t="str">
        <f>'refer admin discharge'!D150</f>
        <v>xx</v>
      </c>
      <c r="E153" s="889"/>
      <c r="F153" s="915" t="str">
        <f>'refer admin discharge'!H150</f>
        <v>00/00/0000</v>
      </c>
      <c r="G153" s="890"/>
      <c r="H153" s="916"/>
      <c r="I153" s="916"/>
      <c r="J153" s="917"/>
      <c r="K153" s="917"/>
      <c r="L153" s="916"/>
      <c r="M153" s="916"/>
      <c r="N153" s="893"/>
      <c r="O153" s="893"/>
      <c r="P153" s="916"/>
      <c r="Q153" s="916"/>
      <c r="R153" s="893"/>
      <c r="S153" s="893"/>
      <c r="T153" s="916"/>
      <c r="U153" s="916"/>
      <c r="V153" s="921" t="str">
        <f>'refer admin discharge'!H154</f>
        <v>00/00/0000</v>
      </c>
      <c r="W153" s="922"/>
      <c r="X153" s="912"/>
      <c r="Y153" s="912"/>
      <c r="Z153" s="924"/>
      <c r="AA153" s="924"/>
      <c r="AB153" s="912"/>
      <c r="AC153" s="912"/>
      <c r="AD153" s="913"/>
      <c r="AE153" s="913"/>
      <c r="AF153" s="912"/>
      <c r="AG153" s="912"/>
      <c r="AH153" s="913"/>
      <c r="AI153" s="913"/>
      <c r="AJ153" s="912"/>
      <c r="AK153" s="912"/>
      <c r="AL153" s="925"/>
      <c r="AM153" s="926"/>
      <c r="AN153" s="926"/>
      <c r="AO153" s="926"/>
      <c r="AP153" s="926"/>
      <c r="AQ153" s="926"/>
      <c r="AR153" s="926"/>
      <c r="AS153" s="926"/>
      <c r="AT153" s="926"/>
      <c r="AU153" s="926"/>
      <c r="AV153" s="926"/>
      <c r="AW153" s="926"/>
      <c r="AX153" s="926"/>
      <c r="AY153" s="926"/>
      <c r="AZ153" s="926"/>
      <c r="BA153" s="926"/>
      <c r="BB153" s="927"/>
    </row>
    <row r="154" spans="1:54" x14ac:dyDescent="0.25">
      <c r="A154" s="13">
        <f t="shared" si="2"/>
        <v>141</v>
      </c>
      <c r="B154" s="888" t="str">
        <f>'refer admin discharge'!B151</f>
        <v>x</v>
      </c>
      <c r="C154" s="888"/>
      <c r="D154" s="868" t="str">
        <f>'refer admin discharge'!D151</f>
        <v>xx</v>
      </c>
      <c r="E154" s="868"/>
      <c r="F154" s="891" t="str">
        <f>'refer admin discharge'!H151</f>
        <v>00/00/0000</v>
      </c>
      <c r="G154" s="892"/>
      <c r="H154" s="894"/>
      <c r="I154" s="894"/>
      <c r="J154" s="918"/>
      <c r="K154" s="918"/>
      <c r="L154" s="894"/>
      <c r="M154" s="894"/>
      <c r="N154" s="916"/>
      <c r="O154" s="916"/>
      <c r="P154" s="894"/>
      <c r="Q154" s="894"/>
      <c r="R154" s="916"/>
      <c r="S154" s="916"/>
      <c r="T154" s="894"/>
      <c r="U154" s="894"/>
      <c r="V154" s="921" t="str">
        <f>'refer admin discharge'!H155</f>
        <v>00/00/0000</v>
      </c>
      <c r="W154" s="922"/>
      <c r="X154" s="920"/>
      <c r="Y154" s="920"/>
      <c r="Z154" s="919"/>
      <c r="AA154" s="919"/>
      <c r="AB154" s="920"/>
      <c r="AC154" s="920"/>
      <c r="AD154" s="912"/>
      <c r="AE154" s="912"/>
      <c r="AF154" s="920"/>
      <c r="AG154" s="920"/>
      <c r="AH154" s="912"/>
      <c r="AI154" s="912"/>
      <c r="AJ154" s="920"/>
      <c r="AK154" s="920"/>
      <c r="AL154" s="905"/>
      <c r="AM154" s="906"/>
      <c r="AN154" s="906"/>
      <c r="AO154" s="906"/>
      <c r="AP154" s="906"/>
      <c r="AQ154" s="906"/>
      <c r="AR154" s="906"/>
      <c r="AS154" s="906"/>
      <c r="AT154" s="906"/>
      <c r="AU154" s="906"/>
      <c r="AV154" s="906"/>
      <c r="AW154" s="906"/>
      <c r="AX154" s="906"/>
      <c r="AY154" s="906"/>
      <c r="AZ154" s="906"/>
      <c r="BA154" s="906"/>
      <c r="BB154" s="907"/>
    </row>
    <row r="155" spans="1:54" x14ac:dyDescent="0.25">
      <c r="A155" s="13">
        <f t="shared" si="2"/>
        <v>142</v>
      </c>
      <c r="B155" s="914" t="str">
        <f>'refer admin discharge'!B152</f>
        <v>x</v>
      </c>
      <c r="C155" s="914"/>
      <c r="D155" s="889" t="str">
        <f>'refer admin discharge'!D152</f>
        <v>xx</v>
      </c>
      <c r="E155" s="889"/>
      <c r="F155" s="915" t="str">
        <f>'refer admin discharge'!H152</f>
        <v>00/00/0000</v>
      </c>
      <c r="G155" s="890"/>
      <c r="H155" s="916"/>
      <c r="I155" s="916"/>
      <c r="J155" s="917"/>
      <c r="K155" s="917"/>
      <c r="L155" s="916"/>
      <c r="M155" s="916"/>
      <c r="N155" s="893"/>
      <c r="O155" s="893"/>
      <c r="P155" s="916"/>
      <c r="Q155" s="916"/>
      <c r="R155" s="893"/>
      <c r="S155" s="893"/>
      <c r="T155" s="916"/>
      <c r="U155" s="916"/>
      <c r="V155" s="921" t="str">
        <f>'refer admin discharge'!H156</f>
        <v>00/00/0000</v>
      </c>
      <c r="W155" s="922"/>
      <c r="X155" s="912"/>
      <c r="Y155" s="912"/>
      <c r="Z155" s="924"/>
      <c r="AA155" s="924"/>
      <c r="AB155" s="912"/>
      <c r="AC155" s="912"/>
      <c r="AD155" s="913"/>
      <c r="AE155" s="913"/>
      <c r="AF155" s="912"/>
      <c r="AG155" s="912"/>
      <c r="AH155" s="913"/>
      <c r="AI155" s="913"/>
      <c r="AJ155" s="912"/>
      <c r="AK155" s="912"/>
      <c r="AL155" s="925"/>
      <c r="AM155" s="926"/>
      <c r="AN155" s="926"/>
      <c r="AO155" s="926"/>
      <c r="AP155" s="926"/>
      <c r="AQ155" s="926"/>
      <c r="AR155" s="926"/>
      <c r="AS155" s="926"/>
      <c r="AT155" s="926"/>
      <c r="AU155" s="926"/>
      <c r="AV155" s="926"/>
      <c r="AW155" s="926"/>
      <c r="AX155" s="926"/>
      <c r="AY155" s="926"/>
      <c r="AZ155" s="926"/>
      <c r="BA155" s="926"/>
      <c r="BB155" s="927"/>
    </row>
    <row r="156" spans="1:54" x14ac:dyDescent="0.25">
      <c r="A156" s="13">
        <f t="shared" si="2"/>
        <v>143</v>
      </c>
      <c r="B156" s="888" t="str">
        <f>'refer admin discharge'!B153</f>
        <v>x</v>
      </c>
      <c r="C156" s="888"/>
      <c r="D156" s="868" t="str">
        <f>'refer admin discharge'!D153</f>
        <v>xx</v>
      </c>
      <c r="E156" s="868"/>
      <c r="F156" s="891" t="str">
        <f>'refer admin discharge'!H153</f>
        <v>00/00/0000</v>
      </c>
      <c r="G156" s="892"/>
      <c r="H156" s="894"/>
      <c r="I156" s="894"/>
      <c r="J156" s="918"/>
      <c r="K156" s="918"/>
      <c r="L156" s="894"/>
      <c r="M156" s="894"/>
      <c r="N156" s="916"/>
      <c r="O156" s="916"/>
      <c r="P156" s="894"/>
      <c r="Q156" s="894"/>
      <c r="R156" s="916"/>
      <c r="S156" s="916"/>
      <c r="T156" s="894"/>
      <c r="U156" s="894"/>
      <c r="V156" s="921" t="str">
        <f>'refer admin discharge'!H157</f>
        <v>00/00/0000</v>
      </c>
      <c r="W156" s="922"/>
      <c r="X156" s="920"/>
      <c r="Y156" s="920"/>
      <c r="Z156" s="919"/>
      <c r="AA156" s="919"/>
      <c r="AB156" s="920"/>
      <c r="AC156" s="920"/>
      <c r="AD156" s="912"/>
      <c r="AE156" s="912"/>
      <c r="AF156" s="920"/>
      <c r="AG156" s="920"/>
      <c r="AH156" s="912"/>
      <c r="AI156" s="912"/>
      <c r="AJ156" s="920"/>
      <c r="AK156" s="920"/>
      <c r="AL156" s="905"/>
      <c r="AM156" s="906"/>
      <c r="AN156" s="906"/>
      <c r="AO156" s="906"/>
      <c r="AP156" s="906"/>
      <c r="AQ156" s="906"/>
      <c r="AR156" s="906"/>
      <c r="AS156" s="906"/>
      <c r="AT156" s="906"/>
      <c r="AU156" s="906"/>
      <c r="AV156" s="906"/>
      <c r="AW156" s="906"/>
      <c r="AX156" s="906"/>
      <c r="AY156" s="906"/>
      <c r="AZ156" s="906"/>
      <c r="BA156" s="906"/>
      <c r="BB156" s="907"/>
    </row>
    <row r="157" spans="1:54" x14ac:dyDescent="0.25">
      <c r="A157" s="13">
        <f t="shared" si="2"/>
        <v>144</v>
      </c>
      <c r="B157" s="914" t="str">
        <f>'refer admin discharge'!B154</f>
        <v>x</v>
      </c>
      <c r="C157" s="914"/>
      <c r="D157" s="889" t="str">
        <f>'refer admin discharge'!D154</f>
        <v>xx</v>
      </c>
      <c r="E157" s="889"/>
      <c r="F157" s="915" t="str">
        <f>'refer admin discharge'!H154</f>
        <v>00/00/0000</v>
      </c>
      <c r="G157" s="890"/>
      <c r="H157" s="916"/>
      <c r="I157" s="916"/>
      <c r="J157" s="917"/>
      <c r="K157" s="917"/>
      <c r="L157" s="916"/>
      <c r="M157" s="916"/>
      <c r="N157" s="893"/>
      <c r="O157" s="893"/>
      <c r="P157" s="916"/>
      <c r="Q157" s="916"/>
      <c r="R157" s="893"/>
      <c r="S157" s="893"/>
      <c r="T157" s="916"/>
      <c r="U157" s="916"/>
      <c r="V157" s="921" t="str">
        <f>'refer admin discharge'!H158</f>
        <v>00/00/0000</v>
      </c>
      <c r="W157" s="922"/>
      <c r="X157" s="912"/>
      <c r="Y157" s="912"/>
      <c r="Z157" s="924"/>
      <c r="AA157" s="924"/>
      <c r="AB157" s="912"/>
      <c r="AC157" s="912"/>
      <c r="AD157" s="913"/>
      <c r="AE157" s="913"/>
      <c r="AF157" s="912"/>
      <c r="AG157" s="912"/>
      <c r="AH157" s="913"/>
      <c r="AI157" s="913"/>
      <c r="AJ157" s="912"/>
      <c r="AK157" s="912"/>
      <c r="AL157" s="925"/>
      <c r="AM157" s="926"/>
      <c r="AN157" s="926"/>
      <c r="AO157" s="926"/>
      <c r="AP157" s="926"/>
      <c r="AQ157" s="926"/>
      <c r="AR157" s="926"/>
      <c r="AS157" s="926"/>
      <c r="AT157" s="926"/>
      <c r="AU157" s="926"/>
      <c r="AV157" s="926"/>
      <c r="AW157" s="926"/>
      <c r="AX157" s="926"/>
      <c r="AY157" s="926"/>
      <c r="AZ157" s="926"/>
      <c r="BA157" s="926"/>
      <c r="BB157" s="927"/>
    </row>
    <row r="158" spans="1:54" x14ac:dyDescent="0.25">
      <c r="A158" s="13">
        <f t="shared" si="2"/>
        <v>145</v>
      </c>
      <c r="B158" s="888" t="str">
        <f>'refer admin discharge'!B155</f>
        <v>x</v>
      </c>
      <c r="C158" s="888"/>
      <c r="D158" s="868" t="str">
        <f>'refer admin discharge'!D155</f>
        <v>xx</v>
      </c>
      <c r="E158" s="868"/>
      <c r="F158" s="891" t="str">
        <f>'refer admin discharge'!H155</f>
        <v>00/00/0000</v>
      </c>
      <c r="G158" s="892"/>
      <c r="H158" s="894"/>
      <c r="I158" s="894"/>
      <c r="J158" s="918"/>
      <c r="K158" s="918"/>
      <c r="L158" s="894"/>
      <c r="M158" s="894"/>
      <c r="N158" s="916"/>
      <c r="O158" s="916"/>
      <c r="P158" s="894"/>
      <c r="Q158" s="894"/>
      <c r="R158" s="916"/>
      <c r="S158" s="916"/>
      <c r="T158" s="894"/>
      <c r="U158" s="894"/>
      <c r="V158" s="921" t="str">
        <f>'refer admin discharge'!H159</f>
        <v>00/00/0000</v>
      </c>
      <c r="W158" s="922"/>
      <c r="X158" s="920"/>
      <c r="Y158" s="920"/>
      <c r="Z158" s="919"/>
      <c r="AA158" s="919"/>
      <c r="AB158" s="920"/>
      <c r="AC158" s="920"/>
      <c r="AD158" s="912"/>
      <c r="AE158" s="912"/>
      <c r="AF158" s="920"/>
      <c r="AG158" s="920"/>
      <c r="AH158" s="912"/>
      <c r="AI158" s="912"/>
      <c r="AJ158" s="920"/>
      <c r="AK158" s="920"/>
      <c r="AL158" s="905"/>
      <c r="AM158" s="906"/>
      <c r="AN158" s="906"/>
      <c r="AO158" s="906"/>
      <c r="AP158" s="906"/>
      <c r="AQ158" s="906"/>
      <c r="AR158" s="906"/>
      <c r="AS158" s="906"/>
      <c r="AT158" s="906"/>
      <c r="AU158" s="906"/>
      <c r="AV158" s="906"/>
      <c r="AW158" s="906"/>
      <c r="AX158" s="906"/>
      <c r="AY158" s="906"/>
      <c r="AZ158" s="906"/>
      <c r="BA158" s="906"/>
      <c r="BB158" s="907"/>
    </row>
    <row r="159" spans="1:54" x14ac:dyDescent="0.25">
      <c r="A159" s="13">
        <f t="shared" si="2"/>
        <v>146</v>
      </c>
      <c r="B159" s="914" t="str">
        <f>'refer admin discharge'!B156</f>
        <v>x</v>
      </c>
      <c r="C159" s="914"/>
      <c r="D159" s="889" t="str">
        <f>'refer admin discharge'!D156</f>
        <v>xx</v>
      </c>
      <c r="E159" s="889"/>
      <c r="F159" s="915" t="str">
        <f>'refer admin discharge'!H156</f>
        <v>00/00/0000</v>
      </c>
      <c r="G159" s="890"/>
      <c r="H159" s="916"/>
      <c r="I159" s="916"/>
      <c r="J159" s="917"/>
      <c r="K159" s="917"/>
      <c r="L159" s="916"/>
      <c r="M159" s="916"/>
      <c r="N159" s="893"/>
      <c r="O159" s="893"/>
      <c r="P159" s="916"/>
      <c r="Q159" s="916"/>
      <c r="R159" s="893"/>
      <c r="S159" s="893"/>
      <c r="T159" s="916"/>
      <c r="U159" s="916"/>
      <c r="V159" s="921" t="str">
        <f>'refer admin discharge'!H160</f>
        <v>00/00/0000</v>
      </c>
      <c r="W159" s="922"/>
      <c r="X159" s="912"/>
      <c r="Y159" s="912"/>
      <c r="Z159" s="924"/>
      <c r="AA159" s="924"/>
      <c r="AB159" s="912"/>
      <c r="AC159" s="912"/>
      <c r="AD159" s="913"/>
      <c r="AE159" s="913"/>
      <c r="AF159" s="912"/>
      <c r="AG159" s="912"/>
      <c r="AH159" s="913"/>
      <c r="AI159" s="913"/>
      <c r="AJ159" s="912"/>
      <c r="AK159" s="912"/>
      <c r="AL159" s="925"/>
      <c r="AM159" s="926"/>
      <c r="AN159" s="926"/>
      <c r="AO159" s="926"/>
      <c r="AP159" s="926"/>
      <c r="AQ159" s="926"/>
      <c r="AR159" s="926"/>
      <c r="AS159" s="926"/>
      <c r="AT159" s="926"/>
      <c r="AU159" s="926"/>
      <c r="AV159" s="926"/>
      <c r="AW159" s="926"/>
      <c r="AX159" s="926"/>
      <c r="AY159" s="926"/>
      <c r="AZ159" s="926"/>
      <c r="BA159" s="926"/>
      <c r="BB159" s="927"/>
    </row>
    <row r="160" spans="1:54" x14ac:dyDescent="0.25">
      <c r="A160" s="13">
        <f t="shared" si="2"/>
        <v>147</v>
      </c>
      <c r="B160" s="888" t="str">
        <f>'refer admin discharge'!B157</f>
        <v>x</v>
      </c>
      <c r="C160" s="888"/>
      <c r="D160" s="868" t="str">
        <f>'refer admin discharge'!D157</f>
        <v>xx</v>
      </c>
      <c r="E160" s="868"/>
      <c r="F160" s="891" t="str">
        <f>'refer admin discharge'!H157</f>
        <v>00/00/0000</v>
      </c>
      <c r="G160" s="892"/>
      <c r="H160" s="894"/>
      <c r="I160" s="894"/>
      <c r="J160" s="918"/>
      <c r="K160" s="918"/>
      <c r="L160" s="894"/>
      <c r="M160" s="894"/>
      <c r="N160" s="916"/>
      <c r="O160" s="916"/>
      <c r="P160" s="894"/>
      <c r="Q160" s="894"/>
      <c r="R160" s="916"/>
      <c r="S160" s="916"/>
      <c r="T160" s="894"/>
      <c r="U160" s="894"/>
      <c r="V160" s="921" t="str">
        <f>'refer admin discharge'!H161</f>
        <v>00/00/0000</v>
      </c>
      <c r="W160" s="922"/>
      <c r="X160" s="920"/>
      <c r="Y160" s="920"/>
      <c r="Z160" s="919"/>
      <c r="AA160" s="919"/>
      <c r="AB160" s="920"/>
      <c r="AC160" s="920"/>
      <c r="AD160" s="912"/>
      <c r="AE160" s="912"/>
      <c r="AF160" s="920"/>
      <c r="AG160" s="920"/>
      <c r="AH160" s="912"/>
      <c r="AI160" s="912"/>
      <c r="AJ160" s="920"/>
      <c r="AK160" s="920"/>
      <c r="AL160" s="905"/>
      <c r="AM160" s="906"/>
      <c r="AN160" s="906"/>
      <c r="AO160" s="906"/>
      <c r="AP160" s="906"/>
      <c r="AQ160" s="906"/>
      <c r="AR160" s="906"/>
      <c r="AS160" s="906"/>
      <c r="AT160" s="906"/>
      <c r="AU160" s="906"/>
      <c r="AV160" s="906"/>
      <c r="AW160" s="906"/>
      <c r="AX160" s="906"/>
      <c r="AY160" s="906"/>
      <c r="AZ160" s="906"/>
      <c r="BA160" s="906"/>
      <c r="BB160" s="907"/>
    </row>
    <row r="161" spans="1:54" x14ac:dyDescent="0.25">
      <c r="A161" s="13">
        <f t="shared" si="2"/>
        <v>148</v>
      </c>
      <c r="B161" s="914" t="str">
        <f>'refer admin discharge'!B158</f>
        <v>x</v>
      </c>
      <c r="C161" s="914"/>
      <c r="D161" s="889" t="str">
        <f>'refer admin discharge'!D158</f>
        <v>xx</v>
      </c>
      <c r="E161" s="889"/>
      <c r="F161" s="915" t="str">
        <f>'refer admin discharge'!H158</f>
        <v>00/00/0000</v>
      </c>
      <c r="G161" s="890"/>
      <c r="H161" s="916"/>
      <c r="I161" s="916"/>
      <c r="J161" s="917"/>
      <c r="K161" s="917"/>
      <c r="L161" s="916"/>
      <c r="M161" s="916"/>
      <c r="N161" s="893"/>
      <c r="O161" s="893"/>
      <c r="P161" s="916"/>
      <c r="Q161" s="916"/>
      <c r="R161" s="893"/>
      <c r="S161" s="893"/>
      <c r="T161" s="916"/>
      <c r="U161" s="916"/>
      <c r="V161" s="921" t="str">
        <f>'refer admin discharge'!H162</f>
        <v>00/00/0000</v>
      </c>
      <c r="W161" s="922"/>
      <c r="X161" s="912"/>
      <c r="Y161" s="912"/>
      <c r="Z161" s="924"/>
      <c r="AA161" s="924"/>
      <c r="AB161" s="912"/>
      <c r="AC161" s="912"/>
      <c r="AD161" s="913"/>
      <c r="AE161" s="913"/>
      <c r="AF161" s="912"/>
      <c r="AG161" s="912"/>
      <c r="AH161" s="913"/>
      <c r="AI161" s="913"/>
      <c r="AJ161" s="912"/>
      <c r="AK161" s="912"/>
      <c r="AL161" s="925"/>
      <c r="AM161" s="926"/>
      <c r="AN161" s="926"/>
      <c r="AO161" s="926"/>
      <c r="AP161" s="926"/>
      <c r="AQ161" s="926"/>
      <c r="AR161" s="926"/>
      <c r="AS161" s="926"/>
      <c r="AT161" s="926"/>
      <c r="AU161" s="926"/>
      <c r="AV161" s="926"/>
      <c r="AW161" s="926"/>
      <c r="AX161" s="926"/>
      <c r="AY161" s="926"/>
      <c r="AZ161" s="926"/>
      <c r="BA161" s="926"/>
      <c r="BB161" s="927"/>
    </row>
    <row r="162" spans="1:54" x14ac:dyDescent="0.25">
      <c r="A162" s="13">
        <f t="shared" si="2"/>
        <v>149</v>
      </c>
      <c r="B162" s="888" t="str">
        <f>'refer admin discharge'!B159</f>
        <v>x</v>
      </c>
      <c r="C162" s="888"/>
      <c r="D162" s="868" t="str">
        <f>'refer admin discharge'!D159</f>
        <v>xx</v>
      </c>
      <c r="E162" s="868"/>
      <c r="F162" s="891" t="str">
        <f>'refer admin discharge'!H159</f>
        <v>00/00/0000</v>
      </c>
      <c r="G162" s="892"/>
      <c r="H162" s="894"/>
      <c r="I162" s="894"/>
      <c r="J162" s="918"/>
      <c r="K162" s="918"/>
      <c r="L162" s="894"/>
      <c r="M162" s="894"/>
      <c r="N162" s="916"/>
      <c r="O162" s="916"/>
      <c r="P162" s="894"/>
      <c r="Q162" s="894"/>
      <c r="R162" s="916"/>
      <c r="S162" s="916"/>
      <c r="T162" s="894"/>
      <c r="U162" s="894"/>
      <c r="V162" s="921" t="str">
        <f>'refer admin discharge'!H163</f>
        <v>00/00/0000</v>
      </c>
      <c r="W162" s="922"/>
      <c r="X162" s="920"/>
      <c r="Y162" s="920"/>
      <c r="Z162" s="919"/>
      <c r="AA162" s="919"/>
      <c r="AB162" s="920"/>
      <c r="AC162" s="920"/>
      <c r="AD162" s="912"/>
      <c r="AE162" s="912"/>
      <c r="AF162" s="920"/>
      <c r="AG162" s="920"/>
      <c r="AH162" s="912"/>
      <c r="AI162" s="912"/>
      <c r="AJ162" s="920"/>
      <c r="AK162" s="920"/>
      <c r="AL162" s="905"/>
      <c r="AM162" s="906"/>
      <c r="AN162" s="906"/>
      <c r="AO162" s="906"/>
      <c r="AP162" s="906"/>
      <c r="AQ162" s="906"/>
      <c r="AR162" s="906"/>
      <c r="AS162" s="906"/>
      <c r="AT162" s="906"/>
      <c r="AU162" s="906"/>
      <c r="AV162" s="906"/>
      <c r="AW162" s="906"/>
      <c r="AX162" s="906"/>
      <c r="AY162" s="906"/>
      <c r="AZ162" s="906"/>
      <c r="BA162" s="906"/>
      <c r="BB162" s="907"/>
    </row>
    <row r="163" spans="1:54" x14ac:dyDescent="0.25">
      <c r="A163" s="13">
        <f t="shared" si="2"/>
        <v>150</v>
      </c>
      <c r="B163" s="914" t="str">
        <f>'refer admin discharge'!B160</f>
        <v>x</v>
      </c>
      <c r="C163" s="914"/>
      <c r="D163" s="889" t="str">
        <f>'refer admin discharge'!D160</f>
        <v>xx</v>
      </c>
      <c r="E163" s="889"/>
      <c r="F163" s="915" t="str">
        <f>'refer admin discharge'!H160</f>
        <v>00/00/0000</v>
      </c>
      <c r="G163" s="890"/>
      <c r="H163" s="916"/>
      <c r="I163" s="916"/>
      <c r="J163" s="917"/>
      <c r="K163" s="917"/>
      <c r="L163" s="916"/>
      <c r="M163" s="916"/>
      <c r="N163" s="893"/>
      <c r="O163" s="893"/>
      <c r="P163" s="916"/>
      <c r="Q163" s="916"/>
      <c r="R163" s="893"/>
      <c r="S163" s="893"/>
      <c r="T163" s="916"/>
      <c r="U163" s="916"/>
      <c r="V163" s="921" t="str">
        <f>'refer admin discharge'!H164</f>
        <v>00/00/0000</v>
      </c>
      <c r="W163" s="922"/>
      <c r="X163" s="912"/>
      <c r="Y163" s="912"/>
      <c r="Z163" s="924"/>
      <c r="AA163" s="924"/>
      <c r="AB163" s="912"/>
      <c r="AC163" s="912"/>
      <c r="AD163" s="913"/>
      <c r="AE163" s="913"/>
      <c r="AF163" s="912"/>
      <c r="AG163" s="912"/>
      <c r="AH163" s="913"/>
      <c r="AI163" s="913"/>
      <c r="AJ163" s="912"/>
      <c r="AK163" s="912"/>
      <c r="AL163" s="925"/>
      <c r="AM163" s="926"/>
      <c r="AN163" s="926"/>
      <c r="AO163" s="926"/>
      <c r="AP163" s="926"/>
      <c r="AQ163" s="926"/>
      <c r="AR163" s="926"/>
      <c r="AS163" s="926"/>
      <c r="AT163" s="926"/>
      <c r="AU163" s="926"/>
      <c r="AV163" s="926"/>
      <c r="AW163" s="926"/>
      <c r="AX163" s="926"/>
      <c r="AY163" s="926"/>
      <c r="AZ163" s="926"/>
      <c r="BA163" s="926"/>
      <c r="BB163" s="927"/>
    </row>
    <row r="164" spans="1:54" x14ac:dyDescent="0.25">
      <c r="A164" s="13">
        <f t="shared" si="2"/>
        <v>151</v>
      </c>
      <c r="B164" s="888" t="str">
        <f>'refer admin discharge'!B161</f>
        <v>x</v>
      </c>
      <c r="C164" s="888"/>
      <c r="D164" s="868" t="str">
        <f>'refer admin discharge'!D161</f>
        <v>xx</v>
      </c>
      <c r="E164" s="868"/>
      <c r="F164" s="891" t="str">
        <f>'refer admin discharge'!H161</f>
        <v>00/00/0000</v>
      </c>
      <c r="G164" s="892"/>
      <c r="H164" s="894"/>
      <c r="I164" s="894"/>
      <c r="J164" s="918"/>
      <c r="K164" s="918"/>
      <c r="L164" s="894"/>
      <c r="M164" s="894"/>
      <c r="N164" s="916"/>
      <c r="O164" s="916"/>
      <c r="P164" s="894"/>
      <c r="Q164" s="894"/>
      <c r="R164" s="916"/>
      <c r="S164" s="916"/>
      <c r="T164" s="894"/>
      <c r="U164" s="894"/>
      <c r="V164" s="921" t="str">
        <f>'refer admin discharge'!H165</f>
        <v>00/00/0000</v>
      </c>
      <c r="W164" s="922"/>
      <c r="X164" s="920"/>
      <c r="Y164" s="920"/>
      <c r="Z164" s="919"/>
      <c r="AA164" s="919"/>
      <c r="AB164" s="920"/>
      <c r="AC164" s="920"/>
      <c r="AD164" s="912"/>
      <c r="AE164" s="912"/>
      <c r="AF164" s="920"/>
      <c r="AG164" s="920"/>
      <c r="AH164" s="912"/>
      <c r="AI164" s="912"/>
      <c r="AJ164" s="920"/>
      <c r="AK164" s="920"/>
      <c r="AL164" s="905"/>
      <c r="AM164" s="906"/>
      <c r="AN164" s="906"/>
      <c r="AO164" s="906"/>
      <c r="AP164" s="906"/>
      <c r="AQ164" s="906"/>
      <c r="AR164" s="906"/>
      <c r="AS164" s="906"/>
      <c r="AT164" s="906"/>
      <c r="AU164" s="906"/>
      <c r="AV164" s="906"/>
      <c r="AW164" s="906"/>
      <c r="AX164" s="906"/>
      <c r="AY164" s="906"/>
      <c r="AZ164" s="906"/>
      <c r="BA164" s="906"/>
      <c r="BB164" s="907"/>
    </row>
    <row r="165" spans="1:54" x14ac:dyDescent="0.25">
      <c r="A165" s="13">
        <f t="shared" si="2"/>
        <v>152</v>
      </c>
      <c r="B165" s="914" t="str">
        <f>'refer admin discharge'!B162</f>
        <v>x</v>
      </c>
      <c r="C165" s="914"/>
      <c r="D165" s="889" t="str">
        <f>'refer admin discharge'!D162</f>
        <v>xx</v>
      </c>
      <c r="E165" s="889"/>
      <c r="F165" s="915" t="str">
        <f>'refer admin discharge'!H162</f>
        <v>00/00/0000</v>
      </c>
      <c r="G165" s="890"/>
      <c r="H165" s="916"/>
      <c r="I165" s="916"/>
      <c r="J165" s="917"/>
      <c r="K165" s="917"/>
      <c r="L165" s="916"/>
      <c r="M165" s="916"/>
      <c r="N165" s="893"/>
      <c r="O165" s="893"/>
      <c r="P165" s="916"/>
      <c r="Q165" s="916"/>
      <c r="R165" s="893"/>
      <c r="S165" s="893"/>
      <c r="T165" s="916"/>
      <c r="U165" s="916"/>
      <c r="V165" s="921" t="str">
        <f>'refer admin discharge'!H166</f>
        <v>00/00/0000</v>
      </c>
      <c r="W165" s="922"/>
      <c r="X165" s="912"/>
      <c r="Y165" s="912"/>
      <c r="Z165" s="924"/>
      <c r="AA165" s="924"/>
      <c r="AB165" s="912"/>
      <c r="AC165" s="912"/>
      <c r="AD165" s="913"/>
      <c r="AE165" s="913"/>
      <c r="AF165" s="912"/>
      <c r="AG165" s="912"/>
      <c r="AH165" s="913"/>
      <c r="AI165" s="913"/>
      <c r="AJ165" s="912"/>
      <c r="AK165" s="912"/>
      <c r="AL165" s="925"/>
      <c r="AM165" s="926"/>
      <c r="AN165" s="926"/>
      <c r="AO165" s="926"/>
      <c r="AP165" s="926"/>
      <c r="AQ165" s="926"/>
      <c r="AR165" s="926"/>
      <c r="AS165" s="926"/>
      <c r="AT165" s="926"/>
      <c r="AU165" s="926"/>
      <c r="AV165" s="926"/>
      <c r="AW165" s="926"/>
      <c r="AX165" s="926"/>
      <c r="AY165" s="926"/>
      <c r="AZ165" s="926"/>
      <c r="BA165" s="926"/>
      <c r="BB165" s="927"/>
    </row>
    <row r="166" spans="1:54" x14ac:dyDescent="0.25">
      <c r="A166" s="13">
        <f t="shared" si="2"/>
        <v>153</v>
      </c>
      <c r="B166" s="888" t="str">
        <f>'refer admin discharge'!B163</f>
        <v>x</v>
      </c>
      <c r="C166" s="888"/>
      <c r="D166" s="868" t="str">
        <f>'refer admin discharge'!D163</f>
        <v>xx</v>
      </c>
      <c r="E166" s="868"/>
      <c r="F166" s="891" t="str">
        <f>'refer admin discharge'!H163</f>
        <v>00/00/0000</v>
      </c>
      <c r="G166" s="892"/>
      <c r="H166" s="894"/>
      <c r="I166" s="894"/>
      <c r="J166" s="918"/>
      <c r="K166" s="918"/>
      <c r="L166" s="894"/>
      <c r="M166" s="894"/>
      <c r="N166" s="916"/>
      <c r="O166" s="916"/>
      <c r="P166" s="894"/>
      <c r="Q166" s="894"/>
      <c r="R166" s="916"/>
      <c r="S166" s="916"/>
      <c r="T166" s="894"/>
      <c r="U166" s="894"/>
      <c r="V166" s="921" t="str">
        <f>'refer admin discharge'!H167</f>
        <v>00/00/0000</v>
      </c>
      <c r="W166" s="922"/>
      <c r="X166" s="920"/>
      <c r="Y166" s="920"/>
      <c r="Z166" s="919"/>
      <c r="AA166" s="919"/>
      <c r="AB166" s="920"/>
      <c r="AC166" s="920"/>
      <c r="AD166" s="912"/>
      <c r="AE166" s="912"/>
      <c r="AF166" s="920"/>
      <c r="AG166" s="920"/>
      <c r="AH166" s="912"/>
      <c r="AI166" s="912"/>
      <c r="AJ166" s="920"/>
      <c r="AK166" s="920"/>
      <c r="AL166" s="905"/>
      <c r="AM166" s="906"/>
      <c r="AN166" s="906"/>
      <c r="AO166" s="906"/>
      <c r="AP166" s="906"/>
      <c r="AQ166" s="906"/>
      <c r="AR166" s="906"/>
      <c r="AS166" s="906"/>
      <c r="AT166" s="906"/>
      <c r="AU166" s="906"/>
      <c r="AV166" s="906"/>
      <c r="AW166" s="906"/>
      <c r="AX166" s="906"/>
      <c r="AY166" s="906"/>
      <c r="AZ166" s="906"/>
      <c r="BA166" s="906"/>
      <c r="BB166" s="907"/>
    </row>
    <row r="167" spans="1:54" x14ac:dyDescent="0.25">
      <c r="A167" s="13">
        <f t="shared" si="2"/>
        <v>154</v>
      </c>
      <c r="B167" s="914" t="str">
        <f>'refer admin discharge'!B164</f>
        <v>x</v>
      </c>
      <c r="C167" s="914"/>
      <c r="D167" s="889" t="str">
        <f>'refer admin discharge'!D164</f>
        <v>xx</v>
      </c>
      <c r="E167" s="889"/>
      <c r="F167" s="915" t="str">
        <f>'refer admin discharge'!H164</f>
        <v>00/00/0000</v>
      </c>
      <c r="G167" s="890"/>
      <c r="H167" s="916"/>
      <c r="I167" s="916"/>
      <c r="J167" s="917"/>
      <c r="K167" s="917"/>
      <c r="L167" s="916"/>
      <c r="M167" s="916"/>
      <c r="N167" s="893"/>
      <c r="O167" s="893"/>
      <c r="P167" s="916"/>
      <c r="Q167" s="916"/>
      <c r="R167" s="893"/>
      <c r="S167" s="893"/>
      <c r="T167" s="916"/>
      <c r="U167" s="916"/>
      <c r="V167" s="921" t="str">
        <f>'refer admin discharge'!H168</f>
        <v>00/00/0000</v>
      </c>
      <c r="W167" s="922"/>
      <c r="X167" s="912"/>
      <c r="Y167" s="912"/>
      <c r="Z167" s="924"/>
      <c r="AA167" s="924"/>
      <c r="AB167" s="912"/>
      <c r="AC167" s="912"/>
      <c r="AD167" s="913"/>
      <c r="AE167" s="913"/>
      <c r="AF167" s="912"/>
      <c r="AG167" s="912"/>
      <c r="AH167" s="913"/>
      <c r="AI167" s="913"/>
      <c r="AJ167" s="912"/>
      <c r="AK167" s="912"/>
      <c r="AL167" s="925"/>
      <c r="AM167" s="926"/>
      <c r="AN167" s="926"/>
      <c r="AO167" s="926"/>
      <c r="AP167" s="926"/>
      <c r="AQ167" s="926"/>
      <c r="AR167" s="926"/>
      <c r="AS167" s="926"/>
      <c r="AT167" s="926"/>
      <c r="AU167" s="926"/>
      <c r="AV167" s="926"/>
      <c r="AW167" s="926"/>
      <c r="AX167" s="926"/>
      <c r="AY167" s="926"/>
      <c r="AZ167" s="926"/>
      <c r="BA167" s="926"/>
      <c r="BB167" s="927"/>
    </row>
    <row r="168" spans="1:54" x14ac:dyDescent="0.25">
      <c r="A168" s="13">
        <f t="shared" si="2"/>
        <v>155</v>
      </c>
      <c r="B168" s="888" t="str">
        <f>'refer admin discharge'!B165</f>
        <v>x</v>
      </c>
      <c r="C168" s="888"/>
      <c r="D168" s="868" t="str">
        <f>'refer admin discharge'!D165</f>
        <v>xx</v>
      </c>
      <c r="E168" s="868"/>
      <c r="F168" s="891" t="str">
        <f>'refer admin discharge'!H165</f>
        <v>00/00/0000</v>
      </c>
      <c r="G168" s="892"/>
      <c r="H168" s="894"/>
      <c r="I168" s="894"/>
      <c r="J168" s="918"/>
      <c r="K168" s="918"/>
      <c r="L168" s="894"/>
      <c r="M168" s="894"/>
      <c r="N168" s="916"/>
      <c r="O168" s="916"/>
      <c r="P168" s="894"/>
      <c r="Q168" s="894"/>
      <c r="R168" s="916"/>
      <c r="S168" s="916"/>
      <c r="T168" s="894"/>
      <c r="U168" s="894"/>
      <c r="V168" s="921" t="str">
        <f>'refer admin discharge'!H169</f>
        <v>00/00/0000</v>
      </c>
      <c r="W168" s="922"/>
      <c r="X168" s="920"/>
      <c r="Y168" s="920"/>
      <c r="Z168" s="919"/>
      <c r="AA168" s="919"/>
      <c r="AB168" s="920"/>
      <c r="AC168" s="920"/>
      <c r="AD168" s="912"/>
      <c r="AE168" s="912"/>
      <c r="AF168" s="920"/>
      <c r="AG168" s="920"/>
      <c r="AH168" s="912"/>
      <c r="AI168" s="912"/>
      <c r="AJ168" s="920"/>
      <c r="AK168" s="920"/>
      <c r="AL168" s="905"/>
      <c r="AM168" s="906"/>
      <c r="AN168" s="906"/>
      <c r="AO168" s="906"/>
      <c r="AP168" s="906"/>
      <c r="AQ168" s="906"/>
      <c r="AR168" s="906"/>
      <c r="AS168" s="906"/>
      <c r="AT168" s="906"/>
      <c r="AU168" s="906"/>
      <c r="AV168" s="906"/>
      <c r="AW168" s="906"/>
      <c r="AX168" s="906"/>
      <c r="AY168" s="906"/>
      <c r="AZ168" s="906"/>
      <c r="BA168" s="906"/>
      <c r="BB168" s="907"/>
    </row>
    <row r="169" spans="1:54" x14ac:dyDescent="0.25">
      <c r="A169" s="13">
        <f t="shared" si="2"/>
        <v>156</v>
      </c>
      <c r="B169" s="914" t="str">
        <f>'refer admin discharge'!B166</f>
        <v>x</v>
      </c>
      <c r="C169" s="914"/>
      <c r="D169" s="889" t="str">
        <f>'refer admin discharge'!D166</f>
        <v>xx</v>
      </c>
      <c r="E169" s="889"/>
      <c r="F169" s="915" t="str">
        <f>'refer admin discharge'!H166</f>
        <v>00/00/0000</v>
      </c>
      <c r="G169" s="890"/>
      <c r="H169" s="916"/>
      <c r="I169" s="916"/>
      <c r="J169" s="917"/>
      <c r="K169" s="917"/>
      <c r="L169" s="916"/>
      <c r="M169" s="916"/>
      <c r="N169" s="893"/>
      <c r="O169" s="893"/>
      <c r="P169" s="916"/>
      <c r="Q169" s="916"/>
      <c r="R169" s="893"/>
      <c r="S169" s="893"/>
      <c r="T169" s="916"/>
      <c r="U169" s="916"/>
      <c r="V169" s="921" t="str">
        <f>'refer admin discharge'!H170</f>
        <v>00/00/0000</v>
      </c>
      <c r="W169" s="922"/>
      <c r="X169" s="912"/>
      <c r="Y169" s="912"/>
      <c r="Z169" s="924"/>
      <c r="AA169" s="924"/>
      <c r="AB169" s="912"/>
      <c r="AC169" s="912"/>
      <c r="AD169" s="913"/>
      <c r="AE169" s="913"/>
      <c r="AF169" s="912"/>
      <c r="AG169" s="912"/>
      <c r="AH169" s="913"/>
      <c r="AI169" s="913"/>
      <c r="AJ169" s="912"/>
      <c r="AK169" s="912"/>
      <c r="AL169" s="925"/>
      <c r="AM169" s="926"/>
      <c r="AN169" s="926"/>
      <c r="AO169" s="926"/>
      <c r="AP169" s="926"/>
      <c r="AQ169" s="926"/>
      <c r="AR169" s="926"/>
      <c r="AS169" s="926"/>
      <c r="AT169" s="926"/>
      <c r="AU169" s="926"/>
      <c r="AV169" s="926"/>
      <c r="AW169" s="926"/>
      <c r="AX169" s="926"/>
      <c r="AY169" s="926"/>
      <c r="AZ169" s="926"/>
      <c r="BA169" s="926"/>
      <c r="BB169" s="927"/>
    </row>
    <row r="170" spans="1:54" x14ac:dyDescent="0.25">
      <c r="A170" s="13">
        <f t="shared" si="2"/>
        <v>157</v>
      </c>
      <c r="B170" s="888" t="str">
        <f>'refer admin discharge'!B167</f>
        <v>x</v>
      </c>
      <c r="C170" s="888"/>
      <c r="D170" s="868" t="str">
        <f>'refer admin discharge'!D167</f>
        <v>xx</v>
      </c>
      <c r="E170" s="868"/>
      <c r="F170" s="891" t="str">
        <f>'refer admin discharge'!H167</f>
        <v>00/00/0000</v>
      </c>
      <c r="G170" s="892"/>
      <c r="H170" s="894"/>
      <c r="I170" s="894"/>
      <c r="J170" s="918"/>
      <c r="K170" s="918"/>
      <c r="L170" s="894"/>
      <c r="M170" s="894"/>
      <c r="N170" s="916"/>
      <c r="O170" s="916"/>
      <c r="P170" s="894"/>
      <c r="Q170" s="894"/>
      <c r="R170" s="916"/>
      <c r="S170" s="916"/>
      <c r="T170" s="894"/>
      <c r="U170" s="894"/>
      <c r="V170" s="921" t="str">
        <f>'refer admin discharge'!H171</f>
        <v>00/00/0000</v>
      </c>
      <c r="W170" s="922"/>
      <c r="X170" s="920"/>
      <c r="Y170" s="920"/>
      <c r="Z170" s="919"/>
      <c r="AA170" s="919"/>
      <c r="AB170" s="920"/>
      <c r="AC170" s="920"/>
      <c r="AD170" s="912"/>
      <c r="AE170" s="912"/>
      <c r="AF170" s="920"/>
      <c r="AG170" s="920"/>
      <c r="AH170" s="912"/>
      <c r="AI170" s="912"/>
      <c r="AJ170" s="920"/>
      <c r="AK170" s="920"/>
      <c r="AL170" s="905"/>
      <c r="AM170" s="906"/>
      <c r="AN170" s="906"/>
      <c r="AO170" s="906"/>
      <c r="AP170" s="906"/>
      <c r="AQ170" s="906"/>
      <c r="AR170" s="906"/>
      <c r="AS170" s="906"/>
      <c r="AT170" s="906"/>
      <c r="AU170" s="906"/>
      <c r="AV170" s="906"/>
      <c r="AW170" s="906"/>
      <c r="AX170" s="906"/>
      <c r="AY170" s="906"/>
      <c r="AZ170" s="906"/>
      <c r="BA170" s="906"/>
      <c r="BB170" s="907"/>
    </row>
    <row r="171" spans="1:54" x14ac:dyDescent="0.25">
      <c r="A171" s="13">
        <f t="shared" si="2"/>
        <v>158</v>
      </c>
      <c r="B171" s="914" t="str">
        <f>'refer admin discharge'!B168</f>
        <v>x</v>
      </c>
      <c r="C171" s="914"/>
      <c r="D171" s="889" t="str">
        <f>'refer admin discharge'!D168</f>
        <v>xx</v>
      </c>
      <c r="E171" s="889"/>
      <c r="F171" s="915" t="str">
        <f>'refer admin discharge'!H168</f>
        <v>00/00/0000</v>
      </c>
      <c r="G171" s="890"/>
      <c r="H171" s="916"/>
      <c r="I171" s="916"/>
      <c r="J171" s="917"/>
      <c r="K171" s="917"/>
      <c r="L171" s="916"/>
      <c r="M171" s="916"/>
      <c r="N171" s="893"/>
      <c r="O171" s="893"/>
      <c r="P171" s="916"/>
      <c r="Q171" s="916"/>
      <c r="R171" s="893"/>
      <c r="S171" s="893"/>
      <c r="T171" s="916"/>
      <c r="U171" s="916"/>
      <c r="V171" s="921" t="str">
        <f>'refer admin discharge'!H172</f>
        <v>00/00/0000</v>
      </c>
      <c r="W171" s="922"/>
      <c r="X171" s="912"/>
      <c r="Y171" s="912"/>
      <c r="Z171" s="924"/>
      <c r="AA171" s="924"/>
      <c r="AB171" s="912"/>
      <c r="AC171" s="912"/>
      <c r="AD171" s="913"/>
      <c r="AE171" s="913"/>
      <c r="AF171" s="912"/>
      <c r="AG171" s="912"/>
      <c r="AH171" s="913"/>
      <c r="AI171" s="913"/>
      <c r="AJ171" s="912"/>
      <c r="AK171" s="912"/>
      <c r="AL171" s="925"/>
      <c r="AM171" s="926"/>
      <c r="AN171" s="926"/>
      <c r="AO171" s="926"/>
      <c r="AP171" s="926"/>
      <c r="AQ171" s="926"/>
      <c r="AR171" s="926"/>
      <c r="AS171" s="926"/>
      <c r="AT171" s="926"/>
      <c r="AU171" s="926"/>
      <c r="AV171" s="926"/>
      <c r="AW171" s="926"/>
      <c r="AX171" s="926"/>
      <c r="AY171" s="926"/>
      <c r="AZ171" s="926"/>
      <c r="BA171" s="926"/>
      <c r="BB171" s="927"/>
    </row>
    <row r="172" spans="1:54" x14ac:dyDescent="0.25">
      <c r="A172" s="13">
        <f t="shared" si="2"/>
        <v>159</v>
      </c>
      <c r="B172" s="888" t="str">
        <f>'refer admin discharge'!B169</f>
        <v>x</v>
      </c>
      <c r="C172" s="888"/>
      <c r="D172" s="868" t="str">
        <f>'refer admin discharge'!D169</f>
        <v>xx</v>
      </c>
      <c r="E172" s="868"/>
      <c r="F172" s="891" t="str">
        <f>'refer admin discharge'!H169</f>
        <v>00/00/0000</v>
      </c>
      <c r="G172" s="892"/>
      <c r="H172" s="894"/>
      <c r="I172" s="894"/>
      <c r="J172" s="918"/>
      <c r="K172" s="918"/>
      <c r="L172" s="894"/>
      <c r="M172" s="894"/>
      <c r="N172" s="916"/>
      <c r="O172" s="916"/>
      <c r="P172" s="894"/>
      <c r="Q172" s="894"/>
      <c r="R172" s="916"/>
      <c r="S172" s="916"/>
      <c r="T172" s="894"/>
      <c r="U172" s="894"/>
      <c r="V172" s="921" t="str">
        <f>'refer admin discharge'!H173</f>
        <v>00/00/0000</v>
      </c>
      <c r="W172" s="922"/>
      <c r="X172" s="920"/>
      <c r="Y172" s="920"/>
      <c r="Z172" s="919"/>
      <c r="AA172" s="919"/>
      <c r="AB172" s="920"/>
      <c r="AC172" s="920"/>
      <c r="AD172" s="912"/>
      <c r="AE172" s="912"/>
      <c r="AF172" s="920"/>
      <c r="AG172" s="920"/>
      <c r="AH172" s="912"/>
      <c r="AI172" s="912"/>
      <c r="AJ172" s="920"/>
      <c r="AK172" s="920"/>
      <c r="AL172" s="905"/>
      <c r="AM172" s="906"/>
      <c r="AN172" s="906"/>
      <c r="AO172" s="906"/>
      <c r="AP172" s="906"/>
      <c r="AQ172" s="906"/>
      <c r="AR172" s="906"/>
      <c r="AS172" s="906"/>
      <c r="AT172" s="906"/>
      <c r="AU172" s="906"/>
      <c r="AV172" s="906"/>
      <c r="AW172" s="906"/>
      <c r="AX172" s="906"/>
      <c r="AY172" s="906"/>
      <c r="AZ172" s="906"/>
      <c r="BA172" s="906"/>
      <c r="BB172" s="907"/>
    </row>
    <row r="173" spans="1:54" x14ac:dyDescent="0.25">
      <c r="A173" s="13">
        <f t="shared" si="2"/>
        <v>160</v>
      </c>
      <c r="B173" s="914" t="str">
        <f>'refer admin discharge'!B170</f>
        <v>x</v>
      </c>
      <c r="C173" s="914"/>
      <c r="D173" s="889" t="str">
        <f>'refer admin discharge'!D170</f>
        <v>xx</v>
      </c>
      <c r="E173" s="889"/>
      <c r="F173" s="915" t="str">
        <f>'refer admin discharge'!H170</f>
        <v>00/00/0000</v>
      </c>
      <c r="G173" s="890"/>
      <c r="H173" s="916"/>
      <c r="I173" s="916"/>
      <c r="J173" s="917"/>
      <c r="K173" s="917"/>
      <c r="L173" s="916"/>
      <c r="M173" s="916"/>
      <c r="N173" s="893"/>
      <c r="O173" s="893"/>
      <c r="P173" s="916"/>
      <c r="Q173" s="916"/>
      <c r="R173" s="893"/>
      <c r="S173" s="893"/>
      <c r="T173" s="916"/>
      <c r="U173" s="916"/>
      <c r="V173" s="921" t="str">
        <f>'refer admin discharge'!H174</f>
        <v>00/00/0000</v>
      </c>
      <c r="W173" s="922"/>
      <c r="X173" s="912"/>
      <c r="Y173" s="912"/>
      <c r="Z173" s="924"/>
      <c r="AA173" s="924"/>
      <c r="AB173" s="912"/>
      <c r="AC173" s="912"/>
      <c r="AD173" s="913"/>
      <c r="AE173" s="913"/>
      <c r="AF173" s="912"/>
      <c r="AG173" s="912"/>
      <c r="AH173" s="913"/>
      <c r="AI173" s="913"/>
      <c r="AJ173" s="912"/>
      <c r="AK173" s="912"/>
      <c r="AL173" s="925"/>
      <c r="AM173" s="926"/>
      <c r="AN173" s="926"/>
      <c r="AO173" s="926"/>
      <c r="AP173" s="926"/>
      <c r="AQ173" s="926"/>
      <c r="AR173" s="926"/>
      <c r="AS173" s="926"/>
      <c r="AT173" s="926"/>
      <c r="AU173" s="926"/>
      <c r="AV173" s="926"/>
      <c r="AW173" s="926"/>
      <c r="AX173" s="926"/>
      <c r="AY173" s="926"/>
      <c r="AZ173" s="926"/>
      <c r="BA173" s="926"/>
      <c r="BB173" s="927"/>
    </row>
    <row r="174" spans="1:54" x14ac:dyDescent="0.25">
      <c r="A174" s="13">
        <f t="shared" si="2"/>
        <v>161</v>
      </c>
      <c r="B174" s="888" t="str">
        <f>'refer admin discharge'!B171</f>
        <v>x</v>
      </c>
      <c r="C174" s="888"/>
      <c r="D174" s="868" t="str">
        <f>'refer admin discharge'!D171</f>
        <v>xx</v>
      </c>
      <c r="E174" s="868"/>
      <c r="F174" s="891" t="str">
        <f>'refer admin discharge'!H171</f>
        <v>00/00/0000</v>
      </c>
      <c r="G174" s="892"/>
      <c r="H174" s="894"/>
      <c r="I174" s="894"/>
      <c r="J174" s="918"/>
      <c r="K174" s="918"/>
      <c r="L174" s="894"/>
      <c r="M174" s="894"/>
      <c r="N174" s="916"/>
      <c r="O174" s="916"/>
      <c r="P174" s="894"/>
      <c r="Q174" s="894"/>
      <c r="R174" s="916"/>
      <c r="S174" s="916"/>
      <c r="T174" s="894"/>
      <c r="U174" s="894"/>
      <c r="V174" s="921" t="str">
        <f>'refer admin discharge'!H175</f>
        <v>00/00/0000</v>
      </c>
      <c r="W174" s="922"/>
      <c r="X174" s="920"/>
      <c r="Y174" s="920"/>
      <c r="Z174" s="919"/>
      <c r="AA174" s="919"/>
      <c r="AB174" s="920"/>
      <c r="AC174" s="920"/>
      <c r="AD174" s="912"/>
      <c r="AE174" s="912"/>
      <c r="AF174" s="920"/>
      <c r="AG174" s="920"/>
      <c r="AH174" s="912"/>
      <c r="AI174" s="912"/>
      <c r="AJ174" s="920"/>
      <c r="AK174" s="920"/>
      <c r="AL174" s="905"/>
      <c r="AM174" s="906"/>
      <c r="AN174" s="906"/>
      <c r="AO174" s="906"/>
      <c r="AP174" s="906"/>
      <c r="AQ174" s="906"/>
      <c r="AR174" s="906"/>
      <c r="AS174" s="906"/>
      <c r="AT174" s="906"/>
      <c r="AU174" s="906"/>
      <c r="AV174" s="906"/>
      <c r="AW174" s="906"/>
      <c r="AX174" s="906"/>
      <c r="AY174" s="906"/>
      <c r="AZ174" s="906"/>
      <c r="BA174" s="906"/>
      <c r="BB174" s="907"/>
    </row>
    <row r="175" spans="1:54" x14ac:dyDescent="0.25">
      <c r="A175" s="13">
        <f t="shared" si="2"/>
        <v>162</v>
      </c>
      <c r="B175" s="914" t="str">
        <f>'refer admin discharge'!B172</f>
        <v>x</v>
      </c>
      <c r="C175" s="914"/>
      <c r="D175" s="889" t="str">
        <f>'refer admin discharge'!D172</f>
        <v>xx</v>
      </c>
      <c r="E175" s="889"/>
      <c r="F175" s="915" t="str">
        <f>'refer admin discharge'!H172</f>
        <v>00/00/0000</v>
      </c>
      <c r="G175" s="890"/>
      <c r="H175" s="916"/>
      <c r="I175" s="916"/>
      <c r="J175" s="917"/>
      <c r="K175" s="917"/>
      <c r="L175" s="916"/>
      <c r="M175" s="916"/>
      <c r="N175" s="893"/>
      <c r="O175" s="893"/>
      <c r="P175" s="916"/>
      <c r="Q175" s="916"/>
      <c r="R175" s="893"/>
      <c r="S175" s="893"/>
      <c r="T175" s="916"/>
      <c r="U175" s="916"/>
      <c r="V175" s="921" t="str">
        <f>'refer admin discharge'!H176</f>
        <v>00/00/0000</v>
      </c>
      <c r="W175" s="922"/>
      <c r="X175" s="912"/>
      <c r="Y175" s="912"/>
      <c r="Z175" s="924"/>
      <c r="AA175" s="924"/>
      <c r="AB175" s="912"/>
      <c r="AC175" s="912"/>
      <c r="AD175" s="913"/>
      <c r="AE175" s="913"/>
      <c r="AF175" s="912"/>
      <c r="AG175" s="912"/>
      <c r="AH175" s="913"/>
      <c r="AI175" s="913"/>
      <c r="AJ175" s="912"/>
      <c r="AK175" s="912"/>
      <c r="AL175" s="925"/>
      <c r="AM175" s="926"/>
      <c r="AN175" s="926"/>
      <c r="AO175" s="926"/>
      <c r="AP175" s="926"/>
      <c r="AQ175" s="926"/>
      <c r="AR175" s="926"/>
      <c r="AS175" s="926"/>
      <c r="AT175" s="926"/>
      <c r="AU175" s="926"/>
      <c r="AV175" s="926"/>
      <c r="AW175" s="926"/>
      <c r="AX175" s="926"/>
      <c r="AY175" s="926"/>
      <c r="AZ175" s="926"/>
      <c r="BA175" s="926"/>
      <c r="BB175" s="927"/>
    </row>
    <row r="176" spans="1:54" x14ac:dyDescent="0.25">
      <c r="A176" s="13">
        <f t="shared" si="2"/>
        <v>163</v>
      </c>
      <c r="B176" s="888" t="str">
        <f>'refer admin discharge'!B173</f>
        <v>x</v>
      </c>
      <c r="C176" s="888"/>
      <c r="D176" s="868" t="str">
        <f>'refer admin discharge'!D173</f>
        <v>xx</v>
      </c>
      <c r="E176" s="868"/>
      <c r="F176" s="891" t="str">
        <f>'refer admin discharge'!H173</f>
        <v>00/00/0000</v>
      </c>
      <c r="G176" s="892"/>
      <c r="H176" s="894"/>
      <c r="I176" s="894"/>
      <c r="J176" s="918"/>
      <c r="K176" s="918"/>
      <c r="L176" s="894"/>
      <c r="M176" s="894"/>
      <c r="N176" s="916"/>
      <c r="O176" s="916"/>
      <c r="P176" s="894"/>
      <c r="Q176" s="894"/>
      <c r="R176" s="916"/>
      <c r="S176" s="916"/>
      <c r="T176" s="894"/>
      <c r="U176" s="894"/>
      <c r="V176" s="921" t="str">
        <f>'refer admin discharge'!H177</f>
        <v>00/00/0000</v>
      </c>
      <c r="W176" s="922"/>
      <c r="X176" s="920"/>
      <c r="Y176" s="920"/>
      <c r="Z176" s="919"/>
      <c r="AA176" s="919"/>
      <c r="AB176" s="920"/>
      <c r="AC176" s="920"/>
      <c r="AD176" s="912"/>
      <c r="AE176" s="912"/>
      <c r="AF176" s="920"/>
      <c r="AG176" s="920"/>
      <c r="AH176" s="912"/>
      <c r="AI176" s="912"/>
      <c r="AJ176" s="920"/>
      <c r="AK176" s="920"/>
      <c r="AL176" s="905"/>
      <c r="AM176" s="906"/>
      <c r="AN176" s="906"/>
      <c r="AO176" s="906"/>
      <c r="AP176" s="906"/>
      <c r="AQ176" s="906"/>
      <c r="AR176" s="906"/>
      <c r="AS176" s="906"/>
      <c r="AT176" s="906"/>
      <c r="AU176" s="906"/>
      <c r="AV176" s="906"/>
      <c r="AW176" s="906"/>
      <c r="AX176" s="906"/>
      <c r="AY176" s="906"/>
      <c r="AZ176" s="906"/>
      <c r="BA176" s="906"/>
      <c r="BB176" s="907"/>
    </row>
    <row r="177" spans="1:54" x14ac:dyDescent="0.25">
      <c r="A177" s="13">
        <f t="shared" si="2"/>
        <v>164</v>
      </c>
      <c r="B177" s="914" t="str">
        <f>'refer admin discharge'!B174</f>
        <v>x</v>
      </c>
      <c r="C177" s="914"/>
      <c r="D177" s="889" t="str">
        <f>'refer admin discharge'!D174</f>
        <v>xx</v>
      </c>
      <c r="E177" s="889"/>
      <c r="F177" s="915" t="str">
        <f>'refer admin discharge'!H174</f>
        <v>00/00/0000</v>
      </c>
      <c r="G177" s="890"/>
      <c r="H177" s="916"/>
      <c r="I177" s="916"/>
      <c r="J177" s="917"/>
      <c r="K177" s="917"/>
      <c r="L177" s="916"/>
      <c r="M177" s="916"/>
      <c r="N177" s="893"/>
      <c r="O177" s="893"/>
      <c r="P177" s="916"/>
      <c r="Q177" s="916"/>
      <c r="R177" s="893"/>
      <c r="S177" s="893"/>
      <c r="T177" s="916"/>
      <c r="U177" s="916"/>
      <c r="V177" s="921" t="str">
        <f>'refer admin discharge'!H178</f>
        <v>00/00/0000</v>
      </c>
      <c r="W177" s="922"/>
      <c r="X177" s="912"/>
      <c r="Y177" s="912"/>
      <c r="Z177" s="924"/>
      <c r="AA177" s="924"/>
      <c r="AB177" s="912"/>
      <c r="AC177" s="912"/>
      <c r="AD177" s="913"/>
      <c r="AE177" s="913"/>
      <c r="AF177" s="912"/>
      <c r="AG177" s="912"/>
      <c r="AH177" s="913"/>
      <c r="AI177" s="913"/>
      <c r="AJ177" s="912"/>
      <c r="AK177" s="912"/>
      <c r="AL177" s="925"/>
      <c r="AM177" s="926"/>
      <c r="AN177" s="926"/>
      <c r="AO177" s="926"/>
      <c r="AP177" s="926"/>
      <c r="AQ177" s="926"/>
      <c r="AR177" s="926"/>
      <c r="AS177" s="926"/>
      <c r="AT177" s="926"/>
      <c r="AU177" s="926"/>
      <c r="AV177" s="926"/>
      <c r="AW177" s="926"/>
      <c r="AX177" s="926"/>
      <c r="AY177" s="926"/>
      <c r="AZ177" s="926"/>
      <c r="BA177" s="926"/>
      <c r="BB177" s="927"/>
    </row>
    <row r="178" spans="1:54" x14ac:dyDescent="0.25">
      <c r="A178" s="13">
        <f t="shared" si="2"/>
        <v>165</v>
      </c>
      <c r="B178" s="888" t="str">
        <f>'refer admin discharge'!B175</f>
        <v>x</v>
      </c>
      <c r="C178" s="888"/>
      <c r="D178" s="868" t="str">
        <f>'refer admin discharge'!D175</f>
        <v>xx</v>
      </c>
      <c r="E178" s="868"/>
      <c r="F178" s="891" t="str">
        <f>'refer admin discharge'!H175</f>
        <v>00/00/0000</v>
      </c>
      <c r="G178" s="892"/>
      <c r="H178" s="894"/>
      <c r="I178" s="894"/>
      <c r="J178" s="918"/>
      <c r="K178" s="918"/>
      <c r="L178" s="894"/>
      <c r="M178" s="894"/>
      <c r="N178" s="916"/>
      <c r="O178" s="916"/>
      <c r="P178" s="894"/>
      <c r="Q178" s="894"/>
      <c r="R178" s="916"/>
      <c r="S178" s="916"/>
      <c r="T178" s="894"/>
      <c r="U178" s="894"/>
      <c r="V178" s="921" t="str">
        <f>'refer admin discharge'!H179</f>
        <v>00/00/0000</v>
      </c>
      <c r="W178" s="922"/>
      <c r="X178" s="920"/>
      <c r="Y178" s="920"/>
      <c r="Z178" s="919"/>
      <c r="AA178" s="919"/>
      <c r="AB178" s="920"/>
      <c r="AC178" s="920"/>
      <c r="AD178" s="912"/>
      <c r="AE178" s="912"/>
      <c r="AF178" s="920"/>
      <c r="AG178" s="920"/>
      <c r="AH178" s="912"/>
      <c r="AI178" s="912"/>
      <c r="AJ178" s="920"/>
      <c r="AK178" s="920"/>
      <c r="AL178" s="905"/>
      <c r="AM178" s="906"/>
      <c r="AN178" s="906"/>
      <c r="AO178" s="906"/>
      <c r="AP178" s="906"/>
      <c r="AQ178" s="906"/>
      <c r="AR178" s="906"/>
      <c r="AS178" s="906"/>
      <c r="AT178" s="906"/>
      <c r="AU178" s="906"/>
      <c r="AV178" s="906"/>
      <c r="AW178" s="906"/>
      <c r="AX178" s="906"/>
      <c r="AY178" s="906"/>
      <c r="AZ178" s="906"/>
      <c r="BA178" s="906"/>
      <c r="BB178" s="907"/>
    </row>
    <row r="179" spans="1:54" x14ac:dyDescent="0.25">
      <c r="A179" s="13">
        <f t="shared" si="2"/>
        <v>166</v>
      </c>
      <c r="B179" s="914" t="str">
        <f>'refer admin discharge'!B176</f>
        <v>x</v>
      </c>
      <c r="C179" s="914"/>
      <c r="D179" s="889" t="str">
        <f>'refer admin discharge'!D176</f>
        <v>xx</v>
      </c>
      <c r="E179" s="889"/>
      <c r="F179" s="915" t="str">
        <f>'refer admin discharge'!H176</f>
        <v>00/00/0000</v>
      </c>
      <c r="G179" s="890"/>
      <c r="H179" s="916"/>
      <c r="I179" s="916"/>
      <c r="J179" s="917"/>
      <c r="K179" s="917"/>
      <c r="L179" s="916"/>
      <c r="M179" s="916"/>
      <c r="N179" s="893"/>
      <c r="O179" s="893"/>
      <c r="P179" s="916"/>
      <c r="Q179" s="916"/>
      <c r="R179" s="893"/>
      <c r="S179" s="893"/>
      <c r="T179" s="916"/>
      <c r="U179" s="916"/>
      <c r="V179" s="921" t="str">
        <f>'refer admin discharge'!H180</f>
        <v>00/00/0000</v>
      </c>
      <c r="W179" s="922"/>
      <c r="X179" s="912"/>
      <c r="Y179" s="912"/>
      <c r="Z179" s="924"/>
      <c r="AA179" s="924"/>
      <c r="AB179" s="912"/>
      <c r="AC179" s="912"/>
      <c r="AD179" s="913"/>
      <c r="AE179" s="913"/>
      <c r="AF179" s="912"/>
      <c r="AG179" s="912"/>
      <c r="AH179" s="913"/>
      <c r="AI179" s="913"/>
      <c r="AJ179" s="912"/>
      <c r="AK179" s="912"/>
      <c r="AL179" s="925"/>
      <c r="AM179" s="926"/>
      <c r="AN179" s="926"/>
      <c r="AO179" s="926"/>
      <c r="AP179" s="926"/>
      <c r="AQ179" s="926"/>
      <c r="AR179" s="926"/>
      <c r="AS179" s="926"/>
      <c r="AT179" s="926"/>
      <c r="AU179" s="926"/>
      <c r="AV179" s="926"/>
      <c r="AW179" s="926"/>
      <c r="AX179" s="926"/>
      <c r="AY179" s="926"/>
      <c r="AZ179" s="926"/>
      <c r="BA179" s="926"/>
      <c r="BB179" s="927"/>
    </row>
    <row r="180" spans="1:54" x14ac:dyDescent="0.25">
      <c r="A180" s="13">
        <f t="shared" si="2"/>
        <v>167</v>
      </c>
      <c r="B180" s="888" t="str">
        <f>'refer admin discharge'!B177</f>
        <v>x</v>
      </c>
      <c r="C180" s="888"/>
      <c r="D180" s="868" t="str">
        <f>'refer admin discharge'!D177</f>
        <v>xx</v>
      </c>
      <c r="E180" s="868"/>
      <c r="F180" s="891" t="str">
        <f>'refer admin discharge'!H177</f>
        <v>00/00/0000</v>
      </c>
      <c r="G180" s="892"/>
      <c r="H180" s="894"/>
      <c r="I180" s="894"/>
      <c r="J180" s="918"/>
      <c r="K180" s="918"/>
      <c r="L180" s="894"/>
      <c r="M180" s="894"/>
      <c r="N180" s="916"/>
      <c r="O180" s="916"/>
      <c r="P180" s="894"/>
      <c r="Q180" s="894"/>
      <c r="R180" s="916"/>
      <c r="S180" s="916"/>
      <c r="T180" s="894"/>
      <c r="U180" s="894"/>
      <c r="V180" s="921" t="str">
        <f>'refer admin discharge'!H181</f>
        <v>00/00/0000</v>
      </c>
      <c r="W180" s="922"/>
      <c r="X180" s="920"/>
      <c r="Y180" s="920"/>
      <c r="Z180" s="919"/>
      <c r="AA180" s="919"/>
      <c r="AB180" s="920"/>
      <c r="AC180" s="920"/>
      <c r="AD180" s="912"/>
      <c r="AE180" s="912"/>
      <c r="AF180" s="920"/>
      <c r="AG180" s="920"/>
      <c r="AH180" s="912"/>
      <c r="AI180" s="912"/>
      <c r="AJ180" s="920"/>
      <c r="AK180" s="920"/>
      <c r="AL180" s="905"/>
      <c r="AM180" s="906"/>
      <c r="AN180" s="906"/>
      <c r="AO180" s="906"/>
      <c r="AP180" s="906"/>
      <c r="AQ180" s="906"/>
      <c r="AR180" s="906"/>
      <c r="AS180" s="906"/>
      <c r="AT180" s="906"/>
      <c r="AU180" s="906"/>
      <c r="AV180" s="906"/>
      <c r="AW180" s="906"/>
      <c r="AX180" s="906"/>
      <c r="AY180" s="906"/>
      <c r="AZ180" s="906"/>
      <c r="BA180" s="906"/>
      <c r="BB180" s="907"/>
    </row>
    <row r="181" spans="1:54" x14ac:dyDescent="0.25">
      <c r="A181" s="13">
        <f t="shared" si="2"/>
        <v>168</v>
      </c>
      <c r="B181" s="914" t="str">
        <f>'refer admin discharge'!B178</f>
        <v>x</v>
      </c>
      <c r="C181" s="914"/>
      <c r="D181" s="889" t="str">
        <f>'refer admin discharge'!D178</f>
        <v>xx</v>
      </c>
      <c r="E181" s="889"/>
      <c r="F181" s="915" t="str">
        <f>'refer admin discharge'!H178</f>
        <v>00/00/0000</v>
      </c>
      <c r="G181" s="890"/>
      <c r="H181" s="916"/>
      <c r="I181" s="916"/>
      <c r="J181" s="917"/>
      <c r="K181" s="917"/>
      <c r="L181" s="916"/>
      <c r="M181" s="916"/>
      <c r="N181" s="893"/>
      <c r="O181" s="893"/>
      <c r="P181" s="916"/>
      <c r="Q181" s="916"/>
      <c r="R181" s="893"/>
      <c r="S181" s="893"/>
      <c r="T181" s="916"/>
      <c r="U181" s="916"/>
      <c r="V181" s="921" t="str">
        <f>'refer admin discharge'!H182</f>
        <v>00/00/0000</v>
      </c>
      <c r="W181" s="922"/>
      <c r="X181" s="912"/>
      <c r="Y181" s="912"/>
      <c r="Z181" s="924"/>
      <c r="AA181" s="924"/>
      <c r="AB181" s="912"/>
      <c r="AC181" s="912"/>
      <c r="AD181" s="913"/>
      <c r="AE181" s="913"/>
      <c r="AF181" s="912"/>
      <c r="AG181" s="912"/>
      <c r="AH181" s="913"/>
      <c r="AI181" s="913"/>
      <c r="AJ181" s="912"/>
      <c r="AK181" s="912"/>
      <c r="AL181" s="925"/>
      <c r="AM181" s="926"/>
      <c r="AN181" s="926"/>
      <c r="AO181" s="926"/>
      <c r="AP181" s="926"/>
      <c r="AQ181" s="926"/>
      <c r="AR181" s="926"/>
      <c r="AS181" s="926"/>
      <c r="AT181" s="926"/>
      <c r="AU181" s="926"/>
      <c r="AV181" s="926"/>
      <c r="AW181" s="926"/>
      <c r="AX181" s="926"/>
      <c r="AY181" s="926"/>
      <c r="AZ181" s="926"/>
      <c r="BA181" s="926"/>
      <c r="BB181" s="927"/>
    </row>
    <row r="182" spans="1:54" x14ac:dyDescent="0.25">
      <c r="A182" s="13">
        <f t="shared" si="2"/>
        <v>169</v>
      </c>
      <c r="B182" s="888" t="str">
        <f>'refer admin discharge'!B179</f>
        <v>x</v>
      </c>
      <c r="C182" s="888"/>
      <c r="D182" s="868" t="str">
        <f>'refer admin discharge'!D179</f>
        <v>xx</v>
      </c>
      <c r="E182" s="868"/>
      <c r="F182" s="891" t="str">
        <f>'refer admin discharge'!H179</f>
        <v>00/00/0000</v>
      </c>
      <c r="G182" s="892"/>
      <c r="H182" s="894"/>
      <c r="I182" s="894"/>
      <c r="J182" s="918"/>
      <c r="K182" s="918"/>
      <c r="L182" s="894"/>
      <c r="M182" s="894"/>
      <c r="N182" s="916"/>
      <c r="O182" s="916"/>
      <c r="P182" s="894"/>
      <c r="Q182" s="894"/>
      <c r="R182" s="916"/>
      <c r="S182" s="916"/>
      <c r="T182" s="894"/>
      <c r="U182" s="894"/>
      <c r="V182" s="921" t="str">
        <f>'refer admin discharge'!H183</f>
        <v>00/00/0000</v>
      </c>
      <c r="W182" s="922"/>
      <c r="X182" s="920"/>
      <c r="Y182" s="920"/>
      <c r="Z182" s="919"/>
      <c r="AA182" s="919"/>
      <c r="AB182" s="920"/>
      <c r="AC182" s="920"/>
      <c r="AD182" s="912"/>
      <c r="AE182" s="912"/>
      <c r="AF182" s="920"/>
      <c r="AG182" s="920"/>
      <c r="AH182" s="912"/>
      <c r="AI182" s="912"/>
      <c r="AJ182" s="920"/>
      <c r="AK182" s="920"/>
      <c r="AL182" s="905"/>
      <c r="AM182" s="906"/>
      <c r="AN182" s="906"/>
      <c r="AO182" s="906"/>
      <c r="AP182" s="906"/>
      <c r="AQ182" s="906"/>
      <c r="AR182" s="906"/>
      <c r="AS182" s="906"/>
      <c r="AT182" s="906"/>
      <c r="AU182" s="906"/>
      <c r="AV182" s="906"/>
      <c r="AW182" s="906"/>
      <c r="AX182" s="906"/>
      <c r="AY182" s="906"/>
      <c r="AZ182" s="906"/>
      <c r="BA182" s="906"/>
      <c r="BB182" s="907"/>
    </row>
    <row r="183" spans="1:54" x14ac:dyDescent="0.25">
      <c r="A183" s="13">
        <f t="shared" si="2"/>
        <v>170</v>
      </c>
      <c r="B183" s="914" t="str">
        <f>'refer admin discharge'!B180</f>
        <v>x</v>
      </c>
      <c r="C183" s="914"/>
      <c r="D183" s="889" t="str">
        <f>'refer admin discharge'!D180</f>
        <v>xx</v>
      </c>
      <c r="E183" s="889"/>
      <c r="F183" s="915" t="str">
        <f>'refer admin discharge'!H180</f>
        <v>00/00/0000</v>
      </c>
      <c r="G183" s="890"/>
      <c r="H183" s="916"/>
      <c r="I183" s="916"/>
      <c r="J183" s="917"/>
      <c r="K183" s="917"/>
      <c r="L183" s="916"/>
      <c r="M183" s="916"/>
      <c r="N183" s="893"/>
      <c r="O183" s="893"/>
      <c r="P183" s="916"/>
      <c r="Q183" s="916"/>
      <c r="R183" s="893"/>
      <c r="S183" s="893"/>
      <c r="T183" s="916"/>
      <c r="U183" s="916"/>
      <c r="V183" s="921" t="str">
        <f>'refer admin discharge'!H184</f>
        <v>00/00/0000</v>
      </c>
      <c r="W183" s="922"/>
      <c r="X183" s="912"/>
      <c r="Y183" s="912"/>
      <c r="Z183" s="924"/>
      <c r="AA183" s="924"/>
      <c r="AB183" s="912"/>
      <c r="AC183" s="912"/>
      <c r="AD183" s="913"/>
      <c r="AE183" s="913"/>
      <c r="AF183" s="912"/>
      <c r="AG183" s="912"/>
      <c r="AH183" s="913"/>
      <c r="AI183" s="913"/>
      <c r="AJ183" s="912"/>
      <c r="AK183" s="912"/>
      <c r="AL183" s="925"/>
      <c r="AM183" s="926"/>
      <c r="AN183" s="926"/>
      <c r="AO183" s="926"/>
      <c r="AP183" s="926"/>
      <c r="AQ183" s="926"/>
      <c r="AR183" s="926"/>
      <c r="AS183" s="926"/>
      <c r="AT183" s="926"/>
      <c r="AU183" s="926"/>
      <c r="AV183" s="926"/>
      <c r="AW183" s="926"/>
      <c r="AX183" s="926"/>
      <c r="AY183" s="926"/>
      <c r="AZ183" s="926"/>
      <c r="BA183" s="926"/>
      <c r="BB183" s="927"/>
    </row>
    <row r="184" spans="1:54" x14ac:dyDescent="0.25">
      <c r="A184" s="13">
        <f t="shared" si="2"/>
        <v>171</v>
      </c>
      <c r="B184" s="888" t="str">
        <f>'refer admin discharge'!B181</f>
        <v>x</v>
      </c>
      <c r="C184" s="888"/>
      <c r="D184" s="868" t="str">
        <f>'refer admin discharge'!D181</f>
        <v>xx</v>
      </c>
      <c r="E184" s="868"/>
      <c r="F184" s="891" t="str">
        <f>'refer admin discharge'!H181</f>
        <v>00/00/0000</v>
      </c>
      <c r="G184" s="892"/>
      <c r="H184" s="894"/>
      <c r="I184" s="894"/>
      <c r="J184" s="918"/>
      <c r="K184" s="918"/>
      <c r="L184" s="894"/>
      <c r="M184" s="894"/>
      <c r="N184" s="916"/>
      <c r="O184" s="916"/>
      <c r="P184" s="894"/>
      <c r="Q184" s="894"/>
      <c r="R184" s="916"/>
      <c r="S184" s="916"/>
      <c r="T184" s="894"/>
      <c r="U184" s="894"/>
      <c r="V184" s="921" t="str">
        <f>'refer admin discharge'!H185</f>
        <v>00/00/0000</v>
      </c>
      <c r="W184" s="922"/>
      <c r="X184" s="920"/>
      <c r="Y184" s="920"/>
      <c r="Z184" s="919"/>
      <c r="AA184" s="919"/>
      <c r="AB184" s="920"/>
      <c r="AC184" s="920"/>
      <c r="AD184" s="912"/>
      <c r="AE184" s="912"/>
      <c r="AF184" s="920"/>
      <c r="AG184" s="920"/>
      <c r="AH184" s="912"/>
      <c r="AI184" s="912"/>
      <c r="AJ184" s="920"/>
      <c r="AK184" s="920"/>
      <c r="AL184" s="905"/>
      <c r="AM184" s="906"/>
      <c r="AN184" s="906"/>
      <c r="AO184" s="906"/>
      <c r="AP184" s="906"/>
      <c r="AQ184" s="906"/>
      <c r="AR184" s="906"/>
      <c r="AS184" s="906"/>
      <c r="AT184" s="906"/>
      <c r="AU184" s="906"/>
      <c r="AV184" s="906"/>
      <c r="AW184" s="906"/>
      <c r="AX184" s="906"/>
      <c r="AY184" s="906"/>
      <c r="AZ184" s="906"/>
      <c r="BA184" s="906"/>
      <c r="BB184" s="907"/>
    </row>
    <row r="185" spans="1:54" x14ac:dyDescent="0.25">
      <c r="A185" s="13">
        <f t="shared" si="2"/>
        <v>172</v>
      </c>
      <c r="B185" s="914" t="str">
        <f>'refer admin discharge'!B182</f>
        <v>x</v>
      </c>
      <c r="C185" s="914"/>
      <c r="D185" s="889" t="str">
        <f>'refer admin discharge'!D182</f>
        <v>xx</v>
      </c>
      <c r="E185" s="889"/>
      <c r="F185" s="915" t="str">
        <f>'refer admin discharge'!H182</f>
        <v>00/00/0000</v>
      </c>
      <c r="G185" s="890"/>
      <c r="H185" s="916"/>
      <c r="I185" s="916"/>
      <c r="J185" s="917"/>
      <c r="K185" s="917"/>
      <c r="L185" s="916"/>
      <c r="M185" s="916"/>
      <c r="N185" s="893"/>
      <c r="O185" s="893"/>
      <c r="P185" s="916"/>
      <c r="Q185" s="916"/>
      <c r="R185" s="893"/>
      <c r="S185" s="893"/>
      <c r="T185" s="916"/>
      <c r="U185" s="916"/>
      <c r="V185" s="921" t="str">
        <f>'refer admin discharge'!H186</f>
        <v>00/00/0000</v>
      </c>
      <c r="W185" s="922"/>
      <c r="X185" s="912"/>
      <c r="Y185" s="912"/>
      <c r="Z185" s="924"/>
      <c r="AA185" s="924"/>
      <c r="AB185" s="912"/>
      <c r="AC185" s="912"/>
      <c r="AD185" s="913"/>
      <c r="AE185" s="913"/>
      <c r="AF185" s="912"/>
      <c r="AG185" s="912"/>
      <c r="AH185" s="913"/>
      <c r="AI185" s="913"/>
      <c r="AJ185" s="912"/>
      <c r="AK185" s="912"/>
      <c r="AL185" s="925"/>
      <c r="AM185" s="926"/>
      <c r="AN185" s="926"/>
      <c r="AO185" s="926"/>
      <c r="AP185" s="926"/>
      <c r="AQ185" s="926"/>
      <c r="AR185" s="926"/>
      <c r="AS185" s="926"/>
      <c r="AT185" s="926"/>
      <c r="AU185" s="926"/>
      <c r="AV185" s="926"/>
      <c r="AW185" s="926"/>
      <c r="AX185" s="926"/>
      <c r="AY185" s="926"/>
      <c r="AZ185" s="926"/>
      <c r="BA185" s="926"/>
      <c r="BB185" s="927"/>
    </row>
    <row r="186" spans="1:54" x14ac:dyDescent="0.25">
      <c r="A186" s="13">
        <f t="shared" si="2"/>
        <v>173</v>
      </c>
      <c r="B186" s="888" t="str">
        <f>'refer admin discharge'!B183</f>
        <v>x</v>
      </c>
      <c r="C186" s="888"/>
      <c r="D186" s="868" t="str">
        <f>'refer admin discharge'!D183</f>
        <v>xx</v>
      </c>
      <c r="E186" s="868"/>
      <c r="F186" s="891" t="str">
        <f>'refer admin discharge'!H183</f>
        <v>00/00/0000</v>
      </c>
      <c r="G186" s="892"/>
      <c r="H186" s="894"/>
      <c r="I186" s="894"/>
      <c r="J186" s="918"/>
      <c r="K186" s="918"/>
      <c r="L186" s="894"/>
      <c r="M186" s="894"/>
      <c r="N186" s="916"/>
      <c r="O186" s="916"/>
      <c r="P186" s="894"/>
      <c r="Q186" s="894"/>
      <c r="R186" s="916"/>
      <c r="S186" s="916"/>
      <c r="T186" s="894"/>
      <c r="U186" s="894"/>
      <c r="V186" s="921" t="str">
        <f>'refer admin discharge'!H187</f>
        <v>00/00/0000</v>
      </c>
      <c r="W186" s="922"/>
      <c r="X186" s="920"/>
      <c r="Y186" s="920"/>
      <c r="Z186" s="919"/>
      <c r="AA186" s="919"/>
      <c r="AB186" s="920"/>
      <c r="AC186" s="920"/>
      <c r="AD186" s="912"/>
      <c r="AE186" s="912"/>
      <c r="AF186" s="920"/>
      <c r="AG186" s="920"/>
      <c r="AH186" s="912"/>
      <c r="AI186" s="912"/>
      <c r="AJ186" s="920"/>
      <c r="AK186" s="920"/>
      <c r="AL186" s="905"/>
      <c r="AM186" s="906"/>
      <c r="AN186" s="906"/>
      <c r="AO186" s="906"/>
      <c r="AP186" s="906"/>
      <c r="AQ186" s="906"/>
      <c r="AR186" s="906"/>
      <c r="AS186" s="906"/>
      <c r="AT186" s="906"/>
      <c r="AU186" s="906"/>
      <c r="AV186" s="906"/>
      <c r="AW186" s="906"/>
      <c r="AX186" s="906"/>
      <c r="AY186" s="906"/>
      <c r="AZ186" s="906"/>
      <c r="BA186" s="906"/>
      <c r="BB186" s="907"/>
    </row>
    <row r="187" spans="1:54" x14ac:dyDescent="0.25">
      <c r="A187" s="13">
        <f t="shared" si="2"/>
        <v>174</v>
      </c>
      <c r="B187" s="914" t="str">
        <f>'refer admin discharge'!B184</f>
        <v>x</v>
      </c>
      <c r="C187" s="914"/>
      <c r="D187" s="889" t="str">
        <f>'refer admin discharge'!D184</f>
        <v>xx</v>
      </c>
      <c r="E187" s="889"/>
      <c r="F187" s="915" t="str">
        <f>'refer admin discharge'!H184</f>
        <v>00/00/0000</v>
      </c>
      <c r="G187" s="890"/>
      <c r="H187" s="916"/>
      <c r="I187" s="916"/>
      <c r="J187" s="917"/>
      <c r="K187" s="917"/>
      <c r="L187" s="916"/>
      <c r="M187" s="916"/>
      <c r="N187" s="893"/>
      <c r="O187" s="893"/>
      <c r="P187" s="916"/>
      <c r="Q187" s="916"/>
      <c r="R187" s="893"/>
      <c r="S187" s="893"/>
      <c r="T187" s="916"/>
      <c r="U187" s="916"/>
      <c r="V187" s="921" t="str">
        <f>'refer admin discharge'!H188</f>
        <v>00/00/0000</v>
      </c>
      <c r="W187" s="922"/>
      <c r="X187" s="912"/>
      <c r="Y187" s="912"/>
      <c r="Z187" s="924"/>
      <c r="AA187" s="924"/>
      <c r="AB187" s="912"/>
      <c r="AC187" s="912"/>
      <c r="AD187" s="913"/>
      <c r="AE187" s="913"/>
      <c r="AF187" s="912"/>
      <c r="AG187" s="912"/>
      <c r="AH187" s="913"/>
      <c r="AI187" s="913"/>
      <c r="AJ187" s="912"/>
      <c r="AK187" s="912"/>
      <c r="AL187" s="925"/>
      <c r="AM187" s="926"/>
      <c r="AN187" s="926"/>
      <c r="AO187" s="926"/>
      <c r="AP187" s="926"/>
      <c r="AQ187" s="926"/>
      <c r="AR187" s="926"/>
      <c r="AS187" s="926"/>
      <c r="AT187" s="926"/>
      <c r="AU187" s="926"/>
      <c r="AV187" s="926"/>
      <c r="AW187" s="926"/>
      <c r="AX187" s="926"/>
      <c r="AY187" s="926"/>
      <c r="AZ187" s="926"/>
      <c r="BA187" s="926"/>
      <c r="BB187" s="927"/>
    </row>
    <row r="188" spans="1:54" x14ac:dyDescent="0.25">
      <c r="A188" s="13">
        <f t="shared" si="2"/>
        <v>175</v>
      </c>
      <c r="B188" s="888" t="str">
        <f>'refer admin discharge'!B185</f>
        <v>x</v>
      </c>
      <c r="C188" s="888"/>
      <c r="D188" s="868" t="str">
        <f>'refer admin discharge'!D185</f>
        <v>xx</v>
      </c>
      <c r="E188" s="868"/>
      <c r="F188" s="891" t="str">
        <f>'refer admin discharge'!H185</f>
        <v>00/00/0000</v>
      </c>
      <c r="G188" s="892"/>
      <c r="H188" s="894"/>
      <c r="I188" s="894"/>
      <c r="J188" s="918"/>
      <c r="K188" s="918"/>
      <c r="L188" s="894"/>
      <c r="M188" s="894"/>
      <c r="N188" s="916"/>
      <c r="O188" s="916"/>
      <c r="P188" s="894"/>
      <c r="Q188" s="894"/>
      <c r="R188" s="916"/>
      <c r="S188" s="916"/>
      <c r="T188" s="894"/>
      <c r="U188" s="894"/>
      <c r="V188" s="921" t="str">
        <f>'refer admin discharge'!H189</f>
        <v>00/00/0000</v>
      </c>
      <c r="W188" s="922"/>
      <c r="X188" s="920"/>
      <c r="Y188" s="920"/>
      <c r="Z188" s="919"/>
      <c r="AA188" s="919"/>
      <c r="AB188" s="920"/>
      <c r="AC188" s="920"/>
      <c r="AD188" s="912"/>
      <c r="AE188" s="912"/>
      <c r="AF188" s="920"/>
      <c r="AG188" s="920"/>
      <c r="AH188" s="912"/>
      <c r="AI188" s="912"/>
      <c r="AJ188" s="920"/>
      <c r="AK188" s="920"/>
      <c r="AL188" s="905"/>
      <c r="AM188" s="906"/>
      <c r="AN188" s="906"/>
      <c r="AO188" s="906"/>
      <c r="AP188" s="906"/>
      <c r="AQ188" s="906"/>
      <c r="AR188" s="906"/>
      <c r="AS188" s="906"/>
      <c r="AT188" s="906"/>
      <c r="AU188" s="906"/>
      <c r="AV188" s="906"/>
      <c r="AW188" s="906"/>
      <c r="AX188" s="906"/>
      <c r="AY188" s="906"/>
      <c r="AZ188" s="906"/>
      <c r="BA188" s="906"/>
      <c r="BB188" s="907"/>
    </row>
    <row r="189" spans="1:54" x14ac:dyDescent="0.25">
      <c r="A189" s="13">
        <f t="shared" si="2"/>
        <v>176</v>
      </c>
      <c r="B189" s="914" t="str">
        <f>'refer admin discharge'!B186</f>
        <v>x</v>
      </c>
      <c r="C189" s="914"/>
      <c r="D189" s="889" t="str">
        <f>'refer admin discharge'!D186</f>
        <v>xx</v>
      </c>
      <c r="E189" s="889"/>
      <c r="F189" s="915" t="str">
        <f>'refer admin discharge'!H186</f>
        <v>00/00/0000</v>
      </c>
      <c r="G189" s="890"/>
      <c r="H189" s="916"/>
      <c r="I189" s="916"/>
      <c r="J189" s="917"/>
      <c r="K189" s="917"/>
      <c r="L189" s="916"/>
      <c r="M189" s="916"/>
      <c r="N189" s="893"/>
      <c r="O189" s="893"/>
      <c r="P189" s="916"/>
      <c r="Q189" s="916"/>
      <c r="R189" s="893"/>
      <c r="S189" s="893"/>
      <c r="T189" s="916"/>
      <c r="U189" s="916"/>
      <c r="V189" s="921" t="str">
        <f>'refer admin discharge'!H190</f>
        <v>00/00/0000</v>
      </c>
      <c r="W189" s="922"/>
      <c r="X189" s="912"/>
      <c r="Y189" s="912"/>
      <c r="Z189" s="924"/>
      <c r="AA189" s="924"/>
      <c r="AB189" s="912"/>
      <c r="AC189" s="912"/>
      <c r="AD189" s="913"/>
      <c r="AE189" s="913"/>
      <c r="AF189" s="912"/>
      <c r="AG189" s="912"/>
      <c r="AH189" s="913"/>
      <c r="AI189" s="913"/>
      <c r="AJ189" s="912"/>
      <c r="AK189" s="912"/>
      <c r="AL189" s="925"/>
      <c r="AM189" s="926"/>
      <c r="AN189" s="926"/>
      <c r="AO189" s="926"/>
      <c r="AP189" s="926"/>
      <c r="AQ189" s="926"/>
      <c r="AR189" s="926"/>
      <c r="AS189" s="926"/>
      <c r="AT189" s="926"/>
      <c r="AU189" s="926"/>
      <c r="AV189" s="926"/>
      <c r="AW189" s="926"/>
      <c r="AX189" s="926"/>
      <c r="AY189" s="926"/>
      <c r="AZ189" s="926"/>
      <c r="BA189" s="926"/>
      <c r="BB189" s="927"/>
    </row>
    <row r="190" spans="1:54" x14ac:dyDescent="0.25">
      <c r="A190" s="13">
        <f t="shared" si="2"/>
        <v>177</v>
      </c>
      <c r="B190" s="888" t="str">
        <f>'refer admin discharge'!B187</f>
        <v>x</v>
      </c>
      <c r="C190" s="888"/>
      <c r="D190" s="868" t="str">
        <f>'refer admin discharge'!D187</f>
        <v>xx</v>
      </c>
      <c r="E190" s="868"/>
      <c r="F190" s="891" t="str">
        <f>'refer admin discharge'!H187</f>
        <v>00/00/0000</v>
      </c>
      <c r="G190" s="892"/>
      <c r="H190" s="894"/>
      <c r="I190" s="894"/>
      <c r="J190" s="918"/>
      <c r="K190" s="918"/>
      <c r="L190" s="894"/>
      <c r="M190" s="894"/>
      <c r="N190" s="916"/>
      <c r="O190" s="916"/>
      <c r="P190" s="894"/>
      <c r="Q190" s="894"/>
      <c r="R190" s="916"/>
      <c r="S190" s="916"/>
      <c r="T190" s="894"/>
      <c r="U190" s="894"/>
      <c r="V190" s="921" t="str">
        <f>'refer admin discharge'!H191</f>
        <v>00/00/0000</v>
      </c>
      <c r="W190" s="922"/>
      <c r="X190" s="920"/>
      <c r="Y190" s="920"/>
      <c r="Z190" s="919"/>
      <c r="AA190" s="919"/>
      <c r="AB190" s="920"/>
      <c r="AC190" s="920"/>
      <c r="AD190" s="912"/>
      <c r="AE190" s="912"/>
      <c r="AF190" s="920"/>
      <c r="AG190" s="920"/>
      <c r="AH190" s="912"/>
      <c r="AI190" s="912"/>
      <c r="AJ190" s="920"/>
      <c r="AK190" s="920"/>
      <c r="AL190" s="905"/>
      <c r="AM190" s="906"/>
      <c r="AN190" s="906"/>
      <c r="AO190" s="906"/>
      <c r="AP190" s="906"/>
      <c r="AQ190" s="906"/>
      <c r="AR190" s="906"/>
      <c r="AS190" s="906"/>
      <c r="AT190" s="906"/>
      <c r="AU190" s="906"/>
      <c r="AV190" s="906"/>
      <c r="AW190" s="906"/>
      <c r="AX190" s="906"/>
      <c r="AY190" s="906"/>
      <c r="AZ190" s="906"/>
      <c r="BA190" s="906"/>
      <c r="BB190" s="907"/>
    </row>
    <row r="191" spans="1:54" x14ac:dyDescent="0.25">
      <c r="A191" s="13">
        <f t="shared" si="2"/>
        <v>178</v>
      </c>
      <c r="B191" s="914" t="str">
        <f>'refer admin discharge'!B188</f>
        <v>x</v>
      </c>
      <c r="C191" s="914"/>
      <c r="D191" s="889" t="str">
        <f>'refer admin discharge'!D188</f>
        <v>xx</v>
      </c>
      <c r="E191" s="889"/>
      <c r="F191" s="915" t="str">
        <f>'refer admin discharge'!H188</f>
        <v>00/00/0000</v>
      </c>
      <c r="G191" s="890"/>
      <c r="H191" s="916"/>
      <c r="I191" s="916"/>
      <c r="J191" s="917"/>
      <c r="K191" s="917"/>
      <c r="L191" s="916"/>
      <c r="M191" s="916"/>
      <c r="N191" s="893"/>
      <c r="O191" s="893"/>
      <c r="P191" s="916"/>
      <c r="Q191" s="916"/>
      <c r="R191" s="893"/>
      <c r="S191" s="893"/>
      <c r="T191" s="916"/>
      <c r="U191" s="916"/>
      <c r="V191" s="921" t="str">
        <f>'refer admin discharge'!H192</f>
        <v>00/00/0000</v>
      </c>
      <c r="W191" s="922"/>
      <c r="X191" s="912"/>
      <c r="Y191" s="912"/>
      <c r="Z191" s="924"/>
      <c r="AA191" s="924"/>
      <c r="AB191" s="912"/>
      <c r="AC191" s="912"/>
      <c r="AD191" s="913"/>
      <c r="AE191" s="913"/>
      <c r="AF191" s="912"/>
      <c r="AG191" s="912"/>
      <c r="AH191" s="913"/>
      <c r="AI191" s="913"/>
      <c r="AJ191" s="912"/>
      <c r="AK191" s="912"/>
      <c r="AL191" s="925"/>
      <c r="AM191" s="926"/>
      <c r="AN191" s="926"/>
      <c r="AO191" s="926"/>
      <c r="AP191" s="926"/>
      <c r="AQ191" s="926"/>
      <c r="AR191" s="926"/>
      <c r="AS191" s="926"/>
      <c r="AT191" s="926"/>
      <c r="AU191" s="926"/>
      <c r="AV191" s="926"/>
      <c r="AW191" s="926"/>
      <c r="AX191" s="926"/>
      <c r="AY191" s="926"/>
      <c r="AZ191" s="926"/>
      <c r="BA191" s="926"/>
      <c r="BB191" s="927"/>
    </row>
    <row r="192" spans="1:54" x14ac:dyDescent="0.25">
      <c r="A192" s="13">
        <f t="shared" si="2"/>
        <v>179</v>
      </c>
      <c r="B192" s="888" t="str">
        <f>'refer admin discharge'!B189</f>
        <v>x</v>
      </c>
      <c r="C192" s="888"/>
      <c r="D192" s="868" t="str">
        <f>'refer admin discharge'!D189</f>
        <v>xx</v>
      </c>
      <c r="E192" s="868"/>
      <c r="F192" s="891" t="str">
        <f>'refer admin discharge'!H189</f>
        <v>00/00/0000</v>
      </c>
      <c r="G192" s="892"/>
      <c r="H192" s="894"/>
      <c r="I192" s="894"/>
      <c r="J192" s="918"/>
      <c r="K192" s="918"/>
      <c r="L192" s="894"/>
      <c r="M192" s="894"/>
      <c r="N192" s="916"/>
      <c r="O192" s="916"/>
      <c r="P192" s="894"/>
      <c r="Q192" s="894"/>
      <c r="R192" s="916"/>
      <c r="S192" s="916"/>
      <c r="T192" s="894"/>
      <c r="U192" s="894"/>
      <c r="V192" s="921" t="str">
        <f>'refer admin discharge'!H193</f>
        <v>00/00/0000</v>
      </c>
      <c r="W192" s="922"/>
      <c r="X192" s="920"/>
      <c r="Y192" s="920"/>
      <c r="Z192" s="919"/>
      <c r="AA192" s="919"/>
      <c r="AB192" s="920"/>
      <c r="AC192" s="920"/>
      <c r="AD192" s="912"/>
      <c r="AE192" s="912"/>
      <c r="AF192" s="920"/>
      <c r="AG192" s="920"/>
      <c r="AH192" s="912"/>
      <c r="AI192" s="912"/>
      <c r="AJ192" s="920"/>
      <c r="AK192" s="920"/>
      <c r="AL192" s="905"/>
      <c r="AM192" s="906"/>
      <c r="AN192" s="906"/>
      <c r="AO192" s="906"/>
      <c r="AP192" s="906"/>
      <c r="AQ192" s="906"/>
      <c r="AR192" s="906"/>
      <c r="AS192" s="906"/>
      <c r="AT192" s="906"/>
      <c r="AU192" s="906"/>
      <c r="AV192" s="906"/>
      <c r="AW192" s="906"/>
      <c r="AX192" s="906"/>
      <c r="AY192" s="906"/>
      <c r="AZ192" s="906"/>
      <c r="BA192" s="906"/>
      <c r="BB192" s="907"/>
    </row>
    <row r="193" spans="1:54" x14ac:dyDescent="0.25">
      <c r="A193" s="13">
        <f t="shared" si="2"/>
        <v>180</v>
      </c>
      <c r="B193" s="914" t="str">
        <f>'refer admin discharge'!B190</f>
        <v>x</v>
      </c>
      <c r="C193" s="914"/>
      <c r="D193" s="889" t="str">
        <f>'refer admin discharge'!D190</f>
        <v>xx</v>
      </c>
      <c r="E193" s="889"/>
      <c r="F193" s="915" t="str">
        <f>'refer admin discharge'!H190</f>
        <v>00/00/0000</v>
      </c>
      <c r="G193" s="890"/>
      <c r="H193" s="916"/>
      <c r="I193" s="916"/>
      <c r="J193" s="917"/>
      <c r="K193" s="917"/>
      <c r="L193" s="916"/>
      <c r="M193" s="916"/>
      <c r="N193" s="893"/>
      <c r="O193" s="893"/>
      <c r="P193" s="916"/>
      <c r="Q193" s="916"/>
      <c r="R193" s="893"/>
      <c r="S193" s="893"/>
      <c r="T193" s="916"/>
      <c r="U193" s="916"/>
      <c r="V193" s="921" t="str">
        <f>'refer admin discharge'!H194</f>
        <v>00/00/0000</v>
      </c>
      <c r="W193" s="922"/>
      <c r="X193" s="912"/>
      <c r="Y193" s="912"/>
      <c r="Z193" s="924"/>
      <c r="AA193" s="924"/>
      <c r="AB193" s="912"/>
      <c r="AC193" s="912"/>
      <c r="AD193" s="913"/>
      <c r="AE193" s="913"/>
      <c r="AF193" s="912"/>
      <c r="AG193" s="912"/>
      <c r="AH193" s="913"/>
      <c r="AI193" s="913"/>
      <c r="AJ193" s="912"/>
      <c r="AK193" s="912"/>
      <c r="AL193" s="925"/>
      <c r="AM193" s="926"/>
      <c r="AN193" s="926"/>
      <c r="AO193" s="926"/>
      <c r="AP193" s="926"/>
      <c r="AQ193" s="926"/>
      <c r="AR193" s="926"/>
      <c r="AS193" s="926"/>
      <c r="AT193" s="926"/>
      <c r="AU193" s="926"/>
      <c r="AV193" s="926"/>
      <c r="AW193" s="926"/>
      <c r="AX193" s="926"/>
      <c r="AY193" s="926"/>
      <c r="AZ193" s="926"/>
      <c r="BA193" s="926"/>
      <c r="BB193" s="927"/>
    </row>
    <row r="194" spans="1:54" x14ac:dyDescent="0.25">
      <c r="A194" s="13">
        <f t="shared" si="2"/>
        <v>181</v>
      </c>
      <c r="B194" s="888" t="str">
        <f>'refer admin discharge'!B191</f>
        <v>x</v>
      </c>
      <c r="C194" s="888"/>
      <c r="D194" s="868" t="str">
        <f>'refer admin discharge'!D191</f>
        <v>xx</v>
      </c>
      <c r="E194" s="868"/>
      <c r="F194" s="891" t="str">
        <f>'refer admin discharge'!H191</f>
        <v>00/00/0000</v>
      </c>
      <c r="G194" s="892"/>
      <c r="H194" s="894"/>
      <c r="I194" s="894"/>
      <c r="J194" s="918"/>
      <c r="K194" s="918"/>
      <c r="L194" s="894"/>
      <c r="M194" s="894"/>
      <c r="N194" s="916"/>
      <c r="O194" s="916"/>
      <c r="P194" s="894"/>
      <c r="Q194" s="894"/>
      <c r="R194" s="916"/>
      <c r="S194" s="916"/>
      <c r="T194" s="894"/>
      <c r="U194" s="894"/>
      <c r="V194" s="921" t="str">
        <f>'refer admin discharge'!H195</f>
        <v>00/00/0000</v>
      </c>
      <c r="W194" s="922"/>
      <c r="X194" s="920"/>
      <c r="Y194" s="920"/>
      <c r="Z194" s="919"/>
      <c r="AA194" s="919"/>
      <c r="AB194" s="920"/>
      <c r="AC194" s="920"/>
      <c r="AD194" s="912"/>
      <c r="AE194" s="912"/>
      <c r="AF194" s="920"/>
      <c r="AG194" s="920"/>
      <c r="AH194" s="912"/>
      <c r="AI194" s="912"/>
      <c r="AJ194" s="920"/>
      <c r="AK194" s="920"/>
      <c r="AL194" s="905"/>
      <c r="AM194" s="906"/>
      <c r="AN194" s="906"/>
      <c r="AO194" s="906"/>
      <c r="AP194" s="906"/>
      <c r="AQ194" s="906"/>
      <c r="AR194" s="906"/>
      <c r="AS194" s="906"/>
      <c r="AT194" s="906"/>
      <c r="AU194" s="906"/>
      <c r="AV194" s="906"/>
      <c r="AW194" s="906"/>
      <c r="AX194" s="906"/>
      <c r="AY194" s="906"/>
      <c r="AZ194" s="906"/>
      <c r="BA194" s="906"/>
      <c r="BB194" s="907"/>
    </row>
    <row r="195" spans="1:54" x14ac:dyDescent="0.25">
      <c r="A195" s="13">
        <f t="shared" si="2"/>
        <v>182</v>
      </c>
      <c r="B195" s="914" t="str">
        <f>'refer admin discharge'!B192</f>
        <v>x</v>
      </c>
      <c r="C195" s="914"/>
      <c r="D195" s="889" t="str">
        <f>'refer admin discharge'!D192</f>
        <v>xx</v>
      </c>
      <c r="E195" s="889"/>
      <c r="F195" s="915" t="str">
        <f>'refer admin discharge'!H192</f>
        <v>00/00/0000</v>
      </c>
      <c r="G195" s="890"/>
      <c r="H195" s="916"/>
      <c r="I195" s="916"/>
      <c r="J195" s="917"/>
      <c r="K195" s="917"/>
      <c r="L195" s="916"/>
      <c r="M195" s="916"/>
      <c r="N195" s="893"/>
      <c r="O195" s="893"/>
      <c r="P195" s="916"/>
      <c r="Q195" s="916"/>
      <c r="R195" s="893"/>
      <c r="S195" s="893"/>
      <c r="T195" s="916"/>
      <c r="U195" s="916"/>
      <c r="V195" s="921" t="str">
        <f>'refer admin discharge'!H196</f>
        <v>00/00/0000</v>
      </c>
      <c r="W195" s="922"/>
      <c r="X195" s="912"/>
      <c r="Y195" s="912"/>
      <c r="Z195" s="924"/>
      <c r="AA195" s="924"/>
      <c r="AB195" s="912"/>
      <c r="AC195" s="912"/>
      <c r="AD195" s="913"/>
      <c r="AE195" s="913"/>
      <c r="AF195" s="912"/>
      <c r="AG195" s="912"/>
      <c r="AH195" s="913"/>
      <c r="AI195" s="913"/>
      <c r="AJ195" s="912"/>
      <c r="AK195" s="912"/>
      <c r="AL195" s="925"/>
      <c r="AM195" s="926"/>
      <c r="AN195" s="926"/>
      <c r="AO195" s="926"/>
      <c r="AP195" s="926"/>
      <c r="AQ195" s="926"/>
      <c r="AR195" s="926"/>
      <c r="AS195" s="926"/>
      <c r="AT195" s="926"/>
      <c r="AU195" s="926"/>
      <c r="AV195" s="926"/>
      <c r="AW195" s="926"/>
      <c r="AX195" s="926"/>
      <c r="AY195" s="926"/>
      <c r="AZ195" s="926"/>
      <c r="BA195" s="926"/>
      <c r="BB195" s="927"/>
    </row>
    <row r="196" spans="1:54" x14ac:dyDescent="0.25">
      <c r="A196" s="13">
        <f t="shared" si="2"/>
        <v>183</v>
      </c>
      <c r="B196" s="888" t="str">
        <f>'refer admin discharge'!B193</f>
        <v>x</v>
      </c>
      <c r="C196" s="888"/>
      <c r="D196" s="868" t="str">
        <f>'refer admin discharge'!D193</f>
        <v>xx</v>
      </c>
      <c r="E196" s="868"/>
      <c r="F196" s="891" t="str">
        <f>'refer admin discharge'!H193</f>
        <v>00/00/0000</v>
      </c>
      <c r="G196" s="892"/>
      <c r="H196" s="894"/>
      <c r="I196" s="894"/>
      <c r="J196" s="918"/>
      <c r="K196" s="918"/>
      <c r="L196" s="894"/>
      <c r="M196" s="894"/>
      <c r="N196" s="916"/>
      <c r="O196" s="916"/>
      <c r="P196" s="894"/>
      <c r="Q196" s="894"/>
      <c r="R196" s="916"/>
      <c r="S196" s="916"/>
      <c r="T196" s="894"/>
      <c r="U196" s="894"/>
      <c r="V196" s="921" t="str">
        <f>'refer admin discharge'!H197</f>
        <v>00/00/0000</v>
      </c>
      <c r="W196" s="922"/>
      <c r="X196" s="920"/>
      <c r="Y196" s="920"/>
      <c r="Z196" s="919"/>
      <c r="AA196" s="919"/>
      <c r="AB196" s="920"/>
      <c r="AC196" s="920"/>
      <c r="AD196" s="912"/>
      <c r="AE196" s="912"/>
      <c r="AF196" s="920"/>
      <c r="AG196" s="920"/>
      <c r="AH196" s="912"/>
      <c r="AI196" s="912"/>
      <c r="AJ196" s="920"/>
      <c r="AK196" s="920"/>
      <c r="AL196" s="905"/>
      <c r="AM196" s="906"/>
      <c r="AN196" s="906"/>
      <c r="AO196" s="906"/>
      <c r="AP196" s="906"/>
      <c r="AQ196" s="906"/>
      <c r="AR196" s="906"/>
      <c r="AS196" s="906"/>
      <c r="AT196" s="906"/>
      <c r="AU196" s="906"/>
      <c r="AV196" s="906"/>
      <c r="AW196" s="906"/>
      <c r="AX196" s="906"/>
      <c r="AY196" s="906"/>
      <c r="AZ196" s="906"/>
      <c r="BA196" s="906"/>
      <c r="BB196" s="907"/>
    </row>
    <row r="197" spans="1:54" x14ac:dyDescent="0.25">
      <c r="A197" s="13">
        <f t="shared" si="2"/>
        <v>184</v>
      </c>
      <c r="B197" s="914" t="str">
        <f>'refer admin discharge'!B194</f>
        <v>x</v>
      </c>
      <c r="C197" s="914"/>
      <c r="D197" s="889" t="str">
        <f>'refer admin discharge'!D194</f>
        <v>xx</v>
      </c>
      <c r="E197" s="889"/>
      <c r="F197" s="915" t="str">
        <f>'refer admin discharge'!H194</f>
        <v>00/00/0000</v>
      </c>
      <c r="G197" s="890"/>
      <c r="H197" s="916"/>
      <c r="I197" s="916"/>
      <c r="J197" s="917"/>
      <c r="K197" s="917"/>
      <c r="L197" s="916"/>
      <c r="M197" s="916"/>
      <c r="N197" s="893"/>
      <c r="O197" s="893"/>
      <c r="P197" s="916"/>
      <c r="Q197" s="916"/>
      <c r="R197" s="893"/>
      <c r="S197" s="893"/>
      <c r="T197" s="916"/>
      <c r="U197" s="916"/>
      <c r="V197" s="921" t="str">
        <f>'refer admin discharge'!H198</f>
        <v>00/00/0000</v>
      </c>
      <c r="W197" s="922"/>
      <c r="X197" s="912"/>
      <c r="Y197" s="912"/>
      <c r="Z197" s="924"/>
      <c r="AA197" s="924"/>
      <c r="AB197" s="912"/>
      <c r="AC197" s="912"/>
      <c r="AD197" s="913"/>
      <c r="AE197" s="913"/>
      <c r="AF197" s="912"/>
      <c r="AG197" s="912"/>
      <c r="AH197" s="913"/>
      <c r="AI197" s="913"/>
      <c r="AJ197" s="912"/>
      <c r="AK197" s="912"/>
      <c r="AL197" s="925"/>
      <c r="AM197" s="926"/>
      <c r="AN197" s="926"/>
      <c r="AO197" s="926"/>
      <c r="AP197" s="926"/>
      <c r="AQ197" s="926"/>
      <c r="AR197" s="926"/>
      <c r="AS197" s="926"/>
      <c r="AT197" s="926"/>
      <c r="AU197" s="926"/>
      <c r="AV197" s="926"/>
      <c r="AW197" s="926"/>
      <c r="AX197" s="926"/>
      <c r="AY197" s="926"/>
      <c r="AZ197" s="926"/>
      <c r="BA197" s="926"/>
      <c r="BB197" s="927"/>
    </row>
    <row r="198" spans="1:54" x14ac:dyDescent="0.25">
      <c r="A198" s="13">
        <f t="shared" si="2"/>
        <v>185</v>
      </c>
      <c r="B198" s="888" t="str">
        <f>'refer admin discharge'!B195</f>
        <v>x</v>
      </c>
      <c r="C198" s="888"/>
      <c r="D198" s="868" t="str">
        <f>'refer admin discharge'!D195</f>
        <v>xx</v>
      </c>
      <c r="E198" s="868"/>
      <c r="F198" s="891" t="str">
        <f>'refer admin discharge'!H195</f>
        <v>00/00/0000</v>
      </c>
      <c r="G198" s="892"/>
      <c r="H198" s="894"/>
      <c r="I198" s="894"/>
      <c r="J198" s="918"/>
      <c r="K198" s="918"/>
      <c r="L198" s="894"/>
      <c r="M198" s="894"/>
      <c r="N198" s="916"/>
      <c r="O198" s="916"/>
      <c r="P198" s="894"/>
      <c r="Q198" s="894"/>
      <c r="R198" s="916"/>
      <c r="S198" s="916"/>
      <c r="T198" s="894"/>
      <c r="U198" s="894"/>
      <c r="V198" s="921" t="str">
        <f>'refer admin discharge'!H199</f>
        <v>00/00/0000</v>
      </c>
      <c r="W198" s="922"/>
      <c r="X198" s="920"/>
      <c r="Y198" s="920"/>
      <c r="Z198" s="919"/>
      <c r="AA198" s="919"/>
      <c r="AB198" s="920"/>
      <c r="AC198" s="920"/>
      <c r="AD198" s="912"/>
      <c r="AE198" s="912"/>
      <c r="AF198" s="920"/>
      <c r="AG198" s="920"/>
      <c r="AH198" s="912"/>
      <c r="AI198" s="912"/>
      <c r="AJ198" s="920"/>
      <c r="AK198" s="920"/>
      <c r="AL198" s="905"/>
      <c r="AM198" s="906"/>
      <c r="AN198" s="906"/>
      <c r="AO198" s="906"/>
      <c r="AP198" s="906"/>
      <c r="AQ198" s="906"/>
      <c r="AR198" s="906"/>
      <c r="AS198" s="906"/>
      <c r="AT198" s="906"/>
      <c r="AU198" s="906"/>
      <c r="AV198" s="906"/>
      <c r="AW198" s="906"/>
      <c r="AX198" s="906"/>
      <c r="AY198" s="906"/>
      <c r="AZ198" s="906"/>
      <c r="BA198" s="906"/>
      <c r="BB198" s="907"/>
    </row>
    <row r="199" spans="1:54" x14ac:dyDescent="0.25">
      <c r="A199" s="13">
        <f t="shared" si="2"/>
        <v>186</v>
      </c>
      <c r="B199" s="914" t="str">
        <f>'refer admin discharge'!B196</f>
        <v>x</v>
      </c>
      <c r="C199" s="914"/>
      <c r="D199" s="889" t="str">
        <f>'refer admin discharge'!D196</f>
        <v>xx</v>
      </c>
      <c r="E199" s="889"/>
      <c r="F199" s="915" t="str">
        <f>'refer admin discharge'!H196</f>
        <v>00/00/0000</v>
      </c>
      <c r="G199" s="890"/>
      <c r="H199" s="916"/>
      <c r="I199" s="916"/>
      <c r="J199" s="917"/>
      <c r="K199" s="917"/>
      <c r="L199" s="916"/>
      <c r="M199" s="916"/>
      <c r="N199" s="893"/>
      <c r="O199" s="893"/>
      <c r="P199" s="916"/>
      <c r="Q199" s="916"/>
      <c r="R199" s="893"/>
      <c r="S199" s="893"/>
      <c r="T199" s="916"/>
      <c r="U199" s="916"/>
      <c r="V199" s="921" t="str">
        <f>'refer admin discharge'!H200</f>
        <v>00/00/0000</v>
      </c>
      <c r="W199" s="922"/>
      <c r="X199" s="912"/>
      <c r="Y199" s="912"/>
      <c r="Z199" s="924"/>
      <c r="AA199" s="924"/>
      <c r="AB199" s="912"/>
      <c r="AC199" s="912"/>
      <c r="AD199" s="913"/>
      <c r="AE199" s="913"/>
      <c r="AF199" s="912"/>
      <c r="AG199" s="912"/>
      <c r="AH199" s="913"/>
      <c r="AI199" s="913"/>
      <c r="AJ199" s="912"/>
      <c r="AK199" s="912"/>
      <c r="AL199" s="925"/>
      <c r="AM199" s="926"/>
      <c r="AN199" s="926"/>
      <c r="AO199" s="926"/>
      <c r="AP199" s="926"/>
      <c r="AQ199" s="926"/>
      <c r="AR199" s="926"/>
      <c r="AS199" s="926"/>
      <c r="AT199" s="926"/>
      <c r="AU199" s="926"/>
      <c r="AV199" s="926"/>
      <c r="AW199" s="926"/>
      <c r="AX199" s="926"/>
      <c r="AY199" s="926"/>
      <c r="AZ199" s="926"/>
      <c r="BA199" s="926"/>
      <c r="BB199" s="927"/>
    </row>
    <row r="200" spans="1:54" x14ac:dyDescent="0.25">
      <c r="A200" s="13">
        <f t="shared" si="2"/>
        <v>187</v>
      </c>
      <c r="B200" s="888" t="str">
        <f>'refer admin discharge'!B197</f>
        <v>x</v>
      </c>
      <c r="C200" s="888"/>
      <c r="D200" s="868" t="str">
        <f>'refer admin discharge'!D197</f>
        <v>xx</v>
      </c>
      <c r="E200" s="868"/>
      <c r="F200" s="891" t="str">
        <f>'refer admin discharge'!H197</f>
        <v>00/00/0000</v>
      </c>
      <c r="G200" s="892"/>
      <c r="H200" s="894"/>
      <c r="I200" s="894"/>
      <c r="J200" s="918"/>
      <c r="K200" s="918"/>
      <c r="L200" s="894"/>
      <c r="M200" s="894"/>
      <c r="N200" s="916"/>
      <c r="O200" s="916"/>
      <c r="P200" s="894"/>
      <c r="Q200" s="894"/>
      <c r="R200" s="916"/>
      <c r="S200" s="916"/>
      <c r="T200" s="894"/>
      <c r="U200" s="894"/>
      <c r="V200" s="921" t="str">
        <f>'refer admin discharge'!H201</f>
        <v>00/00/0000</v>
      </c>
      <c r="W200" s="922"/>
      <c r="X200" s="920"/>
      <c r="Y200" s="920"/>
      <c r="Z200" s="919"/>
      <c r="AA200" s="919"/>
      <c r="AB200" s="920"/>
      <c r="AC200" s="920"/>
      <c r="AD200" s="912"/>
      <c r="AE200" s="912"/>
      <c r="AF200" s="920"/>
      <c r="AG200" s="920"/>
      <c r="AH200" s="912"/>
      <c r="AI200" s="912"/>
      <c r="AJ200" s="920"/>
      <c r="AK200" s="920"/>
      <c r="AL200" s="905"/>
      <c r="AM200" s="906"/>
      <c r="AN200" s="906"/>
      <c r="AO200" s="906"/>
      <c r="AP200" s="906"/>
      <c r="AQ200" s="906"/>
      <c r="AR200" s="906"/>
      <c r="AS200" s="906"/>
      <c r="AT200" s="906"/>
      <c r="AU200" s="906"/>
      <c r="AV200" s="906"/>
      <c r="AW200" s="906"/>
      <c r="AX200" s="906"/>
      <c r="AY200" s="906"/>
      <c r="AZ200" s="906"/>
      <c r="BA200" s="906"/>
      <c r="BB200" s="907"/>
    </row>
    <row r="201" spans="1:54" x14ac:dyDescent="0.25">
      <c r="A201" s="13">
        <f t="shared" si="2"/>
        <v>188</v>
      </c>
      <c r="B201" s="914" t="str">
        <f>'refer admin discharge'!B198</f>
        <v>x</v>
      </c>
      <c r="C201" s="914"/>
      <c r="D201" s="889" t="str">
        <f>'refer admin discharge'!D198</f>
        <v>xx</v>
      </c>
      <c r="E201" s="889"/>
      <c r="F201" s="915" t="str">
        <f>'refer admin discharge'!H198</f>
        <v>00/00/0000</v>
      </c>
      <c r="G201" s="890"/>
      <c r="H201" s="916"/>
      <c r="I201" s="916"/>
      <c r="J201" s="917"/>
      <c r="K201" s="917"/>
      <c r="L201" s="916"/>
      <c r="M201" s="916"/>
      <c r="N201" s="893"/>
      <c r="O201" s="893"/>
      <c r="P201" s="916"/>
      <c r="Q201" s="916"/>
      <c r="R201" s="893"/>
      <c r="S201" s="893"/>
      <c r="T201" s="916"/>
      <c r="U201" s="916"/>
      <c r="V201" s="921" t="str">
        <f>'refer admin discharge'!H202</f>
        <v>00/00/0000</v>
      </c>
      <c r="W201" s="922"/>
      <c r="X201" s="912"/>
      <c r="Y201" s="912"/>
      <c r="Z201" s="924"/>
      <c r="AA201" s="924"/>
      <c r="AB201" s="912"/>
      <c r="AC201" s="912"/>
      <c r="AD201" s="913"/>
      <c r="AE201" s="913"/>
      <c r="AF201" s="912"/>
      <c r="AG201" s="912"/>
      <c r="AH201" s="913"/>
      <c r="AI201" s="913"/>
      <c r="AJ201" s="912"/>
      <c r="AK201" s="912"/>
      <c r="AL201" s="925"/>
      <c r="AM201" s="926"/>
      <c r="AN201" s="926"/>
      <c r="AO201" s="926"/>
      <c r="AP201" s="926"/>
      <c r="AQ201" s="926"/>
      <c r="AR201" s="926"/>
      <c r="AS201" s="926"/>
      <c r="AT201" s="926"/>
      <c r="AU201" s="926"/>
      <c r="AV201" s="926"/>
      <c r="AW201" s="926"/>
      <c r="AX201" s="926"/>
      <c r="AY201" s="926"/>
      <c r="AZ201" s="926"/>
      <c r="BA201" s="926"/>
      <c r="BB201" s="927"/>
    </row>
    <row r="202" spans="1:54" x14ac:dyDescent="0.25">
      <c r="A202" s="13">
        <f t="shared" si="2"/>
        <v>189</v>
      </c>
      <c r="B202" s="888" t="str">
        <f>'refer admin discharge'!B199</f>
        <v>x</v>
      </c>
      <c r="C202" s="888"/>
      <c r="D202" s="868" t="str">
        <f>'refer admin discharge'!D199</f>
        <v>xx</v>
      </c>
      <c r="E202" s="868"/>
      <c r="F202" s="891" t="str">
        <f>'refer admin discharge'!H199</f>
        <v>00/00/0000</v>
      </c>
      <c r="G202" s="892"/>
      <c r="H202" s="894"/>
      <c r="I202" s="894"/>
      <c r="J202" s="918"/>
      <c r="K202" s="918"/>
      <c r="L202" s="894"/>
      <c r="M202" s="894"/>
      <c r="N202" s="916"/>
      <c r="O202" s="916"/>
      <c r="P202" s="894"/>
      <c r="Q202" s="894"/>
      <c r="R202" s="916"/>
      <c r="S202" s="916"/>
      <c r="T202" s="894"/>
      <c r="U202" s="894"/>
      <c r="V202" s="921" t="str">
        <f>'refer admin discharge'!H203</f>
        <v>00/00/0000</v>
      </c>
      <c r="W202" s="922"/>
      <c r="X202" s="920"/>
      <c r="Y202" s="920"/>
      <c r="Z202" s="919"/>
      <c r="AA202" s="919"/>
      <c r="AB202" s="920"/>
      <c r="AC202" s="920"/>
      <c r="AD202" s="912"/>
      <c r="AE202" s="912"/>
      <c r="AF202" s="920"/>
      <c r="AG202" s="920"/>
      <c r="AH202" s="912"/>
      <c r="AI202" s="912"/>
      <c r="AJ202" s="920"/>
      <c r="AK202" s="920"/>
      <c r="AL202" s="905"/>
      <c r="AM202" s="906"/>
      <c r="AN202" s="906"/>
      <c r="AO202" s="906"/>
      <c r="AP202" s="906"/>
      <c r="AQ202" s="906"/>
      <c r="AR202" s="906"/>
      <c r="AS202" s="906"/>
      <c r="AT202" s="906"/>
      <c r="AU202" s="906"/>
      <c r="AV202" s="906"/>
      <c r="AW202" s="906"/>
      <c r="AX202" s="906"/>
      <c r="AY202" s="906"/>
      <c r="AZ202" s="906"/>
      <c r="BA202" s="906"/>
      <c r="BB202" s="907"/>
    </row>
    <row r="203" spans="1:54" x14ac:dyDescent="0.25">
      <c r="A203" s="13">
        <f t="shared" si="2"/>
        <v>190</v>
      </c>
      <c r="B203" s="914" t="str">
        <f>'refer admin discharge'!B200</f>
        <v>x</v>
      </c>
      <c r="C203" s="914"/>
      <c r="D203" s="889" t="str">
        <f>'refer admin discharge'!D200</f>
        <v>xx</v>
      </c>
      <c r="E203" s="889"/>
      <c r="F203" s="915" t="str">
        <f>'refer admin discharge'!H200</f>
        <v>00/00/0000</v>
      </c>
      <c r="G203" s="890"/>
      <c r="H203" s="916"/>
      <c r="I203" s="916"/>
      <c r="J203" s="917"/>
      <c r="K203" s="917"/>
      <c r="L203" s="916"/>
      <c r="M203" s="916"/>
      <c r="N203" s="893"/>
      <c r="O203" s="893"/>
      <c r="P203" s="916"/>
      <c r="Q203" s="916"/>
      <c r="R203" s="893"/>
      <c r="S203" s="893"/>
      <c r="T203" s="916"/>
      <c r="U203" s="916"/>
      <c r="V203" s="921" t="str">
        <f>'refer admin discharge'!H204</f>
        <v>00/00/0000</v>
      </c>
      <c r="W203" s="922"/>
      <c r="X203" s="912"/>
      <c r="Y203" s="912"/>
      <c r="Z203" s="924"/>
      <c r="AA203" s="924"/>
      <c r="AB203" s="912"/>
      <c r="AC203" s="912"/>
      <c r="AD203" s="913"/>
      <c r="AE203" s="913"/>
      <c r="AF203" s="912"/>
      <c r="AG203" s="912"/>
      <c r="AH203" s="913"/>
      <c r="AI203" s="913"/>
      <c r="AJ203" s="912"/>
      <c r="AK203" s="912"/>
      <c r="AL203" s="925"/>
      <c r="AM203" s="926"/>
      <c r="AN203" s="926"/>
      <c r="AO203" s="926"/>
      <c r="AP203" s="926"/>
      <c r="AQ203" s="926"/>
      <c r="AR203" s="926"/>
      <c r="AS203" s="926"/>
      <c r="AT203" s="926"/>
      <c r="AU203" s="926"/>
      <c r="AV203" s="926"/>
      <c r="AW203" s="926"/>
      <c r="AX203" s="926"/>
      <c r="AY203" s="926"/>
      <c r="AZ203" s="926"/>
      <c r="BA203" s="926"/>
      <c r="BB203" s="927"/>
    </row>
    <row r="204" spans="1:54" x14ac:dyDescent="0.25">
      <c r="A204" s="13">
        <f t="shared" si="2"/>
        <v>191</v>
      </c>
      <c r="B204" s="888" t="str">
        <f>'refer admin discharge'!B201</f>
        <v>x</v>
      </c>
      <c r="C204" s="888"/>
      <c r="D204" s="868" t="str">
        <f>'refer admin discharge'!D201</f>
        <v>xx</v>
      </c>
      <c r="E204" s="868"/>
      <c r="F204" s="891" t="str">
        <f>'refer admin discharge'!H201</f>
        <v>00/00/0000</v>
      </c>
      <c r="G204" s="892"/>
      <c r="H204" s="894"/>
      <c r="I204" s="894"/>
      <c r="J204" s="918"/>
      <c r="K204" s="918"/>
      <c r="L204" s="894"/>
      <c r="M204" s="894"/>
      <c r="N204" s="916"/>
      <c r="O204" s="916"/>
      <c r="P204" s="894"/>
      <c r="Q204" s="894"/>
      <c r="R204" s="916"/>
      <c r="S204" s="916"/>
      <c r="T204" s="894"/>
      <c r="U204" s="894"/>
      <c r="V204" s="921" t="str">
        <f>'refer admin discharge'!H205</f>
        <v>00/00/0000</v>
      </c>
      <c r="W204" s="922"/>
      <c r="X204" s="920"/>
      <c r="Y204" s="920"/>
      <c r="Z204" s="919"/>
      <c r="AA204" s="919"/>
      <c r="AB204" s="920"/>
      <c r="AC204" s="920"/>
      <c r="AD204" s="912"/>
      <c r="AE204" s="912"/>
      <c r="AF204" s="920"/>
      <c r="AG204" s="920"/>
      <c r="AH204" s="912"/>
      <c r="AI204" s="912"/>
      <c r="AJ204" s="920"/>
      <c r="AK204" s="920"/>
      <c r="AL204" s="905"/>
      <c r="AM204" s="906"/>
      <c r="AN204" s="906"/>
      <c r="AO204" s="906"/>
      <c r="AP204" s="906"/>
      <c r="AQ204" s="906"/>
      <c r="AR204" s="906"/>
      <c r="AS204" s="906"/>
      <c r="AT204" s="906"/>
      <c r="AU204" s="906"/>
      <c r="AV204" s="906"/>
      <c r="AW204" s="906"/>
      <c r="AX204" s="906"/>
      <c r="AY204" s="906"/>
      <c r="AZ204" s="906"/>
      <c r="BA204" s="906"/>
      <c r="BB204" s="907"/>
    </row>
    <row r="205" spans="1:54" x14ac:dyDescent="0.25">
      <c r="A205" s="13">
        <f t="shared" si="2"/>
        <v>192</v>
      </c>
      <c r="B205" s="914" t="str">
        <f>'refer admin discharge'!B202</f>
        <v>x</v>
      </c>
      <c r="C205" s="914"/>
      <c r="D205" s="889" t="str">
        <f>'refer admin discharge'!D202</f>
        <v>xx</v>
      </c>
      <c r="E205" s="889"/>
      <c r="F205" s="915" t="str">
        <f>'refer admin discharge'!H202</f>
        <v>00/00/0000</v>
      </c>
      <c r="G205" s="890"/>
      <c r="H205" s="916"/>
      <c r="I205" s="916"/>
      <c r="J205" s="917"/>
      <c r="K205" s="917"/>
      <c r="L205" s="916"/>
      <c r="M205" s="916"/>
      <c r="N205" s="893"/>
      <c r="O205" s="893"/>
      <c r="P205" s="916"/>
      <c r="Q205" s="916"/>
      <c r="R205" s="893"/>
      <c r="S205" s="893"/>
      <c r="T205" s="916"/>
      <c r="U205" s="916"/>
      <c r="V205" s="921" t="str">
        <f>'refer admin discharge'!H206</f>
        <v>00/00/0000</v>
      </c>
      <c r="W205" s="922"/>
      <c r="X205" s="912"/>
      <c r="Y205" s="912"/>
      <c r="Z205" s="924"/>
      <c r="AA205" s="924"/>
      <c r="AB205" s="912"/>
      <c r="AC205" s="912"/>
      <c r="AD205" s="913"/>
      <c r="AE205" s="913"/>
      <c r="AF205" s="912"/>
      <c r="AG205" s="912"/>
      <c r="AH205" s="913"/>
      <c r="AI205" s="913"/>
      <c r="AJ205" s="912"/>
      <c r="AK205" s="912"/>
      <c r="AL205" s="925"/>
      <c r="AM205" s="926"/>
      <c r="AN205" s="926"/>
      <c r="AO205" s="926"/>
      <c r="AP205" s="926"/>
      <c r="AQ205" s="926"/>
      <c r="AR205" s="926"/>
      <c r="AS205" s="926"/>
      <c r="AT205" s="926"/>
      <c r="AU205" s="926"/>
      <c r="AV205" s="926"/>
      <c r="AW205" s="926"/>
      <c r="AX205" s="926"/>
      <c r="AY205" s="926"/>
      <c r="AZ205" s="926"/>
      <c r="BA205" s="926"/>
      <c r="BB205" s="927"/>
    </row>
    <row r="206" spans="1:54" x14ac:dyDescent="0.25">
      <c r="A206" s="13">
        <f t="shared" ref="A206:A269" si="3">ROW(A193)</f>
        <v>193</v>
      </c>
      <c r="B206" s="888" t="str">
        <f>'refer admin discharge'!B203</f>
        <v>x</v>
      </c>
      <c r="C206" s="888"/>
      <c r="D206" s="868" t="str">
        <f>'refer admin discharge'!D203</f>
        <v>xx</v>
      </c>
      <c r="E206" s="868"/>
      <c r="F206" s="891" t="str">
        <f>'refer admin discharge'!H203</f>
        <v>00/00/0000</v>
      </c>
      <c r="G206" s="892"/>
      <c r="H206" s="894"/>
      <c r="I206" s="894"/>
      <c r="J206" s="918"/>
      <c r="K206" s="918"/>
      <c r="L206" s="894"/>
      <c r="M206" s="894"/>
      <c r="N206" s="916"/>
      <c r="O206" s="916"/>
      <c r="P206" s="894"/>
      <c r="Q206" s="894"/>
      <c r="R206" s="916"/>
      <c r="S206" s="916"/>
      <c r="T206" s="894"/>
      <c r="U206" s="894"/>
      <c r="V206" s="921" t="str">
        <f>'refer admin discharge'!H207</f>
        <v>00/00/0000</v>
      </c>
      <c r="W206" s="922"/>
      <c r="X206" s="920"/>
      <c r="Y206" s="920"/>
      <c r="Z206" s="919"/>
      <c r="AA206" s="919"/>
      <c r="AB206" s="920"/>
      <c r="AC206" s="920"/>
      <c r="AD206" s="912"/>
      <c r="AE206" s="912"/>
      <c r="AF206" s="920"/>
      <c r="AG206" s="920"/>
      <c r="AH206" s="912"/>
      <c r="AI206" s="912"/>
      <c r="AJ206" s="920"/>
      <c r="AK206" s="920"/>
      <c r="AL206" s="905"/>
      <c r="AM206" s="906"/>
      <c r="AN206" s="906"/>
      <c r="AO206" s="906"/>
      <c r="AP206" s="906"/>
      <c r="AQ206" s="906"/>
      <c r="AR206" s="906"/>
      <c r="AS206" s="906"/>
      <c r="AT206" s="906"/>
      <c r="AU206" s="906"/>
      <c r="AV206" s="906"/>
      <c r="AW206" s="906"/>
      <c r="AX206" s="906"/>
      <c r="AY206" s="906"/>
      <c r="AZ206" s="906"/>
      <c r="BA206" s="906"/>
      <c r="BB206" s="907"/>
    </row>
    <row r="207" spans="1:54" x14ac:dyDescent="0.25">
      <c r="A207" s="13">
        <f t="shared" si="3"/>
        <v>194</v>
      </c>
      <c r="B207" s="914" t="str">
        <f>'refer admin discharge'!B204</f>
        <v>x</v>
      </c>
      <c r="C207" s="914"/>
      <c r="D207" s="889" t="str">
        <f>'refer admin discharge'!D204</f>
        <v>xx</v>
      </c>
      <c r="E207" s="889"/>
      <c r="F207" s="915" t="str">
        <f>'refer admin discharge'!H204</f>
        <v>00/00/0000</v>
      </c>
      <c r="G207" s="890"/>
      <c r="H207" s="916"/>
      <c r="I207" s="916"/>
      <c r="J207" s="917"/>
      <c r="K207" s="917"/>
      <c r="L207" s="916"/>
      <c r="M207" s="916"/>
      <c r="N207" s="893"/>
      <c r="O207" s="893"/>
      <c r="P207" s="916"/>
      <c r="Q207" s="916"/>
      <c r="R207" s="893"/>
      <c r="S207" s="893"/>
      <c r="T207" s="916"/>
      <c r="U207" s="916"/>
      <c r="V207" s="921" t="str">
        <f>'refer admin discharge'!H208</f>
        <v>00/00/0000</v>
      </c>
      <c r="W207" s="922"/>
      <c r="X207" s="912"/>
      <c r="Y207" s="912"/>
      <c r="Z207" s="924"/>
      <c r="AA207" s="924"/>
      <c r="AB207" s="912"/>
      <c r="AC207" s="912"/>
      <c r="AD207" s="913"/>
      <c r="AE207" s="913"/>
      <c r="AF207" s="912"/>
      <c r="AG207" s="912"/>
      <c r="AH207" s="913"/>
      <c r="AI207" s="913"/>
      <c r="AJ207" s="912"/>
      <c r="AK207" s="912"/>
      <c r="AL207" s="925"/>
      <c r="AM207" s="926"/>
      <c r="AN207" s="926"/>
      <c r="AO207" s="926"/>
      <c r="AP207" s="926"/>
      <c r="AQ207" s="926"/>
      <c r="AR207" s="926"/>
      <c r="AS207" s="926"/>
      <c r="AT207" s="926"/>
      <c r="AU207" s="926"/>
      <c r="AV207" s="926"/>
      <c r="AW207" s="926"/>
      <c r="AX207" s="926"/>
      <c r="AY207" s="926"/>
      <c r="AZ207" s="926"/>
      <c r="BA207" s="926"/>
      <c r="BB207" s="927"/>
    </row>
    <row r="208" spans="1:54" x14ac:dyDescent="0.25">
      <c r="A208" s="13">
        <f t="shared" si="3"/>
        <v>195</v>
      </c>
      <c r="B208" s="888" t="str">
        <f>'refer admin discharge'!B205</f>
        <v>x</v>
      </c>
      <c r="C208" s="888"/>
      <c r="D208" s="868" t="str">
        <f>'refer admin discharge'!D205</f>
        <v>xx</v>
      </c>
      <c r="E208" s="868"/>
      <c r="F208" s="891" t="str">
        <f>'refer admin discharge'!H205</f>
        <v>00/00/0000</v>
      </c>
      <c r="G208" s="892"/>
      <c r="H208" s="894"/>
      <c r="I208" s="894"/>
      <c r="J208" s="918"/>
      <c r="K208" s="918"/>
      <c r="L208" s="894"/>
      <c r="M208" s="894"/>
      <c r="N208" s="916"/>
      <c r="O208" s="916"/>
      <c r="P208" s="894"/>
      <c r="Q208" s="894"/>
      <c r="R208" s="916"/>
      <c r="S208" s="916"/>
      <c r="T208" s="894"/>
      <c r="U208" s="894"/>
      <c r="V208" s="921" t="str">
        <f>'refer admin discharge'!H209</f>
        <v>00/00/0000</v>
      </c>
      <c r="W208" s="922"/>
      <c r="X208" s="920"/>
      <c r="Y208" s="920"/>
      <c r="Z208" s="919"/>
      <c r="AA208" s="919"/>
      <c r="AB208" s="920"/>
      <c r="AC208" s="920"/>
      <c r="AD208" s="912"/>
      <c r="AE208" s="912"/>
      <c r="AF208" s="920"/>
      <c r="AG208" s="920"/>
      <c r="AH208" s="912"/>
      <c r="AI208" s="912"/>
      <c r="AJ208" s="920"/>
      <c r="AK208" s="920"/>
      <c r="AL208" s="905"/>
      <c r="AM208" s="906"/>
      <c r="AN208" s="906"/>
      <c r="AO208" s="906"/>
      <c r="AP208" s="906"/>
      <c r="AQ208" s="906"/>
      <c r="AR208" s="906"/>
      <c r="AS208" s="906"/>
      <c r="AT208" s="906"/>
      <c r="AU208" s="906"/>
      <c r="AV208" s="906"/>
      <c r="AW208" s="906"/>
      <c r="AX208" s="906"/>
      <c r="AY208" s="906"/>
      <c r="AZ208" s="906"/>
      <c r="BA208" s="906"/>
      <c r="BB208" s="907"/>
    </row>
    <row r="209" spans="1:54" x14ac:dyDescent="0.25">
      <c r="A209" s="13">
        <f t="shared" si="3"/>
        <v>196</v>
      </c>
      <c r="B209" s="914" t="str">
        <f>'refer admin discharge'!B206</f>
        <v>x</v>
      </c>
      <c r="C209" s="914"/>
      <c r="D209" s="889" t="str">
        <f>'refer admin discharge'!D206</f>
        <v>xx</v>
      </c>
      <c r="E209" s="889"/>
      <c r="F209" s="915" t="str">
        <f>'refer admin discharge'!H206</f>
        <v>00/00/0000</v>
      </c>
      <c r="G209" s="890"/>
      <c r="H209" s="916"/>
      <c r="I209" s="916"/>
      <c r="J209" s="917"/>
      <c r="K209" s="917"/>
      <c r="L209" s="916"/>
      <c r="M209" s="916"/>
      <c r="N209" s="893"/>
      <c r="O209" s="893"/>
      <c r="P209" s="916"/>
      <c r="Q209" s="916"/>
      <c r="R209" s="893"/>
      <c r="S209" s="893"/>
      <c r="T209" s="916"/>
      <c r="U209" s="916"/>
      <c r="V209" s="921" t="str">
        <f>'refer admin discharge'!H210</f>
        <v>00/00/0000</v>
      </c>
      <c r="W209" s="922"/>
      <c r="X209" s="912"/>
      <c r="Y209" s="912"/>
      <c r="Z209" s="924"/>
      <c r="AA209" s="924"/>
      <c r="AB209" s="912"/>
      <c r="AC209" s="912"/>
      <c r="AD209" s="913"/>
      <c r="AE209" s="913"/>
      <c r="AF209" s="912"/>
      <c r="AG209" s="912"/>
      <c r="AH209" s="913"/>
      <c r="AI209" s="913"/>
      <c r="AJ209" s="912"/>
      <c r="AK209" s="912"/>
      <c r="AL209" s="925"/>
      <c r="AM209" s="926"/>
      <c r="AN209" s="926"/>
      <c r="AO209" s="926"/>
      <c r="AP209" s="926"/>
      <c r="AQ209" s="926"/>
      <c r="AR209" s="926"/>
      <c r="AS209" s="926"/>
      <c r="AT209" s="926"/>
      <c r="AU209" s="926"/>
      <c r="AV209" s="926"/>
      <c r="AW209" s="926"/>
      <c r="AX209" s="926"/>
      <c r="AY209" s="926"/>
      <c r="AZ209" s="926"/>
      <c r="BA209" s="926"/>
      <c r="BB209" s="927"/>
    </row>
    <row r="210" spans="1:54" x14ac:dyDescent="0.25">
      <c r="A210" s="13">
        <f t="shared" si="3"/>
        <v>197</v>
      </c>
      <c r="B210" s="888" t="str">
        <f>'refer admin discharge'!B207</f>
        <v>x</v>
      </c>
      <c r="C210" s="888"/>
      <c r="D210" s="868" t="str">
        <f>'refer admin discharge'!D207</f>
        <v>xx</v>
      </c>
      <c r="E210" s="868"/>
      <c r="F210" s="891" t="str">
        <f>'refer admin discharge'!H207</f>
        <v>00/00/0000</v>
      </c>
      <c r="G210" s="892"/>
      <c r="H210" s="894"/>
      <c r="I210" s="894"/>
      <c r="J210" s="918"/>
      <c r="K210" s="918"/>
      <c r="L210" s="894"/>
      <c r="M210" s="894"/>
      <c r="N210" s="916"/>
      <c r="O210" s="916"/>
      <c r="P210" s="894"/>
      <c r="Q210" s="894"/>
      <c r="R210" s="916"/>
      <c r="S210" s="916"/>
      <c r="T210" s="894"/>
      <c r="U210" s="894"/>
      <c r="V210" s="921" t="str">
        <f>'refer admin discharge'!H211</f>
        <v>00/00/0000</v>
      </c>
      <c r="W210" s="922"/>
      <c r="X210" s="920"/>
      <c r="Y210" s="920"/>
      <c r="Z210" s="919"/>
      <c r="AA210" s="919"/>
      <c r="AB210" s="920"/>
      <c r="AC210" s="920"/>
      <c r="AD210" s="912"/>
      <c r="AE210" s="912"/>
      <c r="AF210" s="920"/>
      <c r="AG210" s="920"/>
      <c r="AH210" s="912"/>
      <c r="AI210" s="912"/>
      <c r="AJ210" s="920"/>
      <c r="AK210" s="920"/>
      <c r="AL210" s="905"/>
      <c r="AM210" s="906"/>
      <c r="AN210" s="906"/>
      <c r="AO210" s="906"/>
      <c r="AP210" s="906"/>
      <c r="AQ210" s="906"/>
      <c r="AR210" s="906"/>
      <c r="AS210" s="906"/>
      <c r="AT210" s="906"/>
      <c r="AU210" s="906"/>
      <c r="AV210" s="906"/>
      <c r="AW210" s="906"/>
      <c r="AX210" s="906"/>
      <c r="AY210" s="906"/>
      <c r="AZ210" s="906"/>
      <c r="BA210" s="906"/>
      <c r="BB210" s="907"/>
    </row>
    <row r="211" spans="1:54" x14ac:dyDescent="0.25">
      <c r="A211" s="13">
        <f t="shared" si="3"/>
        <v>198</v>
      </c>
      <c r="B211" s="914" t="str">
        <f>'refer admin discharge'!B208</f>
        <v>x</v>
      </c>
      <c r="C211" s="914"/>
      <c r="D211" s="889" t="str">
        <f>'refer admin discharge'!D208</f>
        <v>xx</v>
      </c>
      <c r="E211" s="889"/>
      <c r="F211" s="915" t="str">
        <f>'refer admin discharge'!H208</f>
        <v>00/00/0000</v>
      </c>
      <c r="G211" s="890"/>
      <c r="H211" s="916"/>
      <c r="I211" s="916"/>
      <c r="J211" s="917"/>
      <c r="K211" s="917"/>
      <c r="L211" s="916"/>
      <c r="M211" s="916"/>
      <c r="N211" s="893"/>
      <c r="O211" s="893"/>
      <c r="P211" s="916"/>
      <c r="Q211" s="916"/>
      <c r="R211" s="893"/>
      <c r="S211" s="893"/>
      <c r="T211" s="916"/>
      <c r="U211" s="916"/>
      <c r="V211" s="921" t="str">
        <f>'refer admin discharge'!H212</f>
        <v>00/00/0000</v>
      </c>
      <c r="W211" s="922"/>
      <c r="X211" s="912"/>
      <c r="Y211" s="912"/>
      <c r="Z211" s="924"/>
      <c r="AA211" s="924"/>
      <c r="AB211" s="912"/>
      <c r="AC211" s="912"/>
      <c r="AD211" s="913"/>
      <c r="AE211" s="913"/>
      <c r="AF211" s="912"/>
      <c r="AG211" s="912"/>
      <c r="AH211" s="913"/>
      <c r="AI211" s="913"/>
      <c r="AJ211" s="912"/>
      <c r="AK211" s="912"/>
      <c r="AL211" s="925"/>
      <c r="AM211" s="926"/>
      <c r="AN211" s="926"/>
      <c r="AO211" s="926"/>
      <c r="AP211" s="926"/>
      <c r="AQ211" s="926"/>
      <c r="AR211" s="926"/>
      <c r="AS211" s="926"/>
      <c r="AT211" s="926"/>
      <c r="AU211" s="926"/>
      <c r="AV211" s="926"/>
      <c r="AW211" s="926"/>
      <c r="AX211" s="926"/>
      <c r="AY211" s="926"/>
      <c r="AZ211" s="926"/>
      <c r="BA211" s="926"/>
      <c r="BB211" s="927"/>
    </row>
    <row r="212" spans="1:54" x14ac:dyDescent="0.25">
      <c r="A212" s="13">
        <f t="shared" si="3"/>
        <v>199</v>
      </c>
      <c r="B212" s="888" t="str">
        <f>'refer admin discharge'!B209</f>
        <v>x</v>
      </c>
      <c r="C212" s="888"/>
      <c r="D212" s="868" t="str">
        <f>'refer admin discharge'!D209</f>
        <v>xx</v>
      </c>
      <c r="E212" s="868"/>
      <c r="F212" s="891" t="str">
        <f>'refer admin discharge'!H209</f>
        <v>00/00/0000</v>
      </c>
      <c r="G212" s="892"/>
      <c r="H212" s="894"/>
      <c r="I212" s="894"/>
      <c r="J212" s="918"/>
      <c r="K212" s="918"/>
      <c r="L212" s="894"/>
      <c r="M212" s="894"/>
      <c r="N212" s="916"/>
      <c r="O212" s="916"/>
      <c r="P212" s="894"/>
      <c r="Q212" s="894"/>
      <c r="R212" s="916"/>
      <c r="S212" s="916"/>
      <c r="T212" s="894"/>
      <c r="U212" s="894"/>
      <c r="V212" s="921" t="str">
        <f>'refer admin discharge'!H213</f>
        <v>00/00/0000</v>
      </c>
      <c r="W212" s="922"/>
      <c r="X212" s="920"/>
      <c r="Y212" s="920"/>
      <c r="Z212" s="919"/>
      <c r="AA212" s="919"/>
      <c r="AB212" s="920"/>
      <c r="AC212" s="920"/>
      <c r="AD212" s="912"/>
      <c r="AE212" s="912"/>
      <c r="AF212" s="920"/>
      <c r="AG212" s="920"/>
      <c r="AH212" s="912"/>
      <c r="AI212" s="912"/>
      <c r="AJ212" s="920"/>
      <c r="AK212" s="920"/>
      <c r="AL212" s="905"/>
      <c r="AM212" s="906"/>
      <c r="AN212" s="906"/>
      <c r="AO212" s="906"/>
      <c r="AP212" s="906"/>
      <c r="AQ212" s="906"/>
      <c r="AR212" s="906"/>
      <c r="AS212" s="906"/>
      <c r="AT212" s="906"/>
      <c r="AU212" s="906"/>
      <c r="AV212" s="906"/>
      <c r="AW212" s="906"/>
      <c r="AX212" s="906"/>
      <c r="AY212" s="906"/>
      <c r="AZ212" s="906"/>
      <c r="BA212" s="906"/>
      <c r="BB212" s="907"/>
    </row>
    <row r="213" spans="1:54" x14ac:dyDescent="0.25">
      <c r="A213" s="13">
        <f t="shared" si="3"/>
        <v>200</v>
      </c>
      <c r="B213" s="914" t="str">
        <f>'refer admin discharge'!B210</f>
        <v>x</v>
      </c>
      <c r="C213" s="914"/>
      <c r="D213" s="889" t="str">
        <f>'refer admin discharge'!D210</f>
        <v>xx</v>
      </c>
      <c r="E213" s="889"/>
      <c r="F213" s="915" t="str">
        <f>'refer admin discharge'!H210</f>
        <v>00/00/0000</v>
      </c>
      <c r="G213" s="890"/>
      <c r="H213" s="916"/>
      <c r="I213" s="916"/>
      <c r="J213" s="917"/>
      <c r="K213" s="917"/>
      <c r="L213" s="916"/>
      <c r="M213" s="916"/>
      <c r="N213" s="893"/>
      <c r="O213" s="893"/>
      <c r="P213" s="916"/>
      <c r="Q213" s="916"/>
      <c r="R213" s="893"/>
      <c r="S213" s="893"/>
      <c r="T213" s="916"/>
      <c r="U213" s="916"/>
      <c r="V213" s="921" t="str">
        <f>'refer admin discharge'!H214</f>
        <v>00/00/0000</v>
      </c>
      <c r="W213" s="922"/>
      <c r="X213" s="912"/>
      <c r="Y213" s="912"/>
      <c r="Z213" s="924"/>
      <c r="AA213" s="924"/>
      <c r="AB213" s="912"/>
      <c r="AC213" s="912"/>
      <c r="AD213" s="913"/>
      <c r="AE213" s="913"/>
      <c r="AF213" s="912"/>
      <c r="AG213" s="912"/>
      <c r="AH213" s="913"/>
      <c r="AI213" s="913"/>
      <c r="AJ213" s="912"/>
      <c r="AK213" s="912"/>
      <c r="AL213" s="925"/>
      <c r="AM213" s="926"/>
      <c r="AN213" s="926"/>
      <c r="AO213" s="926"/>
      <c r="AP213" s="926"/>
      <c r="AQ213" s="926"/>
      <c r="AR213" s="926"/>
      <c r="AS213" s="926"/>
      <c r="AT213" s="926"/>
      <c r="AU213" s="926"/>
      <c r="AV213" s="926"/>
      <c r="AW213" s="926"/>
      <c r="AX213" s="926"/>
      <c r="AY213" s="926"/>
      <c r="AZ213" s="926"/>
      <c r="BA213" s="926"/>
      <c r="BB213" s="927"/>
    </row>
    <row r="214" spans="1:54" x14ac:dyDescent="0.25">
      <c r="A214" s="13">
        <f t="shared" si="3"/>
        <v>201</v>
      </c>
      <c r="B214" s="914" t="str">
        <f>'refer admin discharge'!B211</f>
        <v>x</v>
      </c>
      <c r="C214" s="914"/>
      <c r="D214" s="889" t="str">
        <f>'refer admin discharge'!D211</f>
        <v>xx</v>
      </c>
      <c r="E214" s="889"/>
      <c r="F214" s="915" t="str">
        <f>'refer admin discharge'!H211</f>
        <v>00/00/0000</v>
      </c>
      <c r="G214" s="890"/>
      <c r="H214" s="894"/>
      <c r="I214" s="894"/>
      <c r="J214" s="918"/>
      <c r="K214" s="918"/>
      <c r="L214" s="894"/>
      <c r="M214" s="894"/>
      <c r="N214" s="916"/>
      <c r="O214" s="916"/>
      <c r="P214" s="894"/>
      <c r="Q214" s="894"/>
      <c r="R214" s="916"/>
      <c r="S214" s="916"/>
      <c r="T214" s="894"/>
      <c r="U214" s="894"/>
      <c r="V214" s="921" t="str">
        <f>'refer admin discharge'!H215</f>
        <v>00/00/0000</v>
      </c>
      <c r="W214" s="922"/>
      <c r="X214" s="920"/>
      <c r="Y214" s="920"/>
      <c r="Z214" s="919"/>
      <c r="AA214" s="919"/>
      <c r="AB214" s="920"/>
      <c r="AC214" s="920"/>
      <c r="AD214" s="912"/>
      <c r="AE214" s="912"/>
      <c r="AF214" s="920"/>
      <c r="AG214" s="920"/>
      <c r="AH214" s="912"/>
      <c r="AI214" s="912"/>
      <c r="AJ214" s="920"/>
      <c r="AK214" s="920"/>
      <c r="AL214" s="905"/>
      <c r="AM214" s="906"/>
      <c r="AN214" s="906"/>
      <c r="AO214" s="906"/>
      <c r="AP214" s="906"/>
      <c r="AQ214" s="906"/>
      <c r="AR214" s="906"/>
      <c r="AS214" s="906"/>
      <c r="AT214" s="906"/>
      <c r="AU214" s="906"/>
      <c r="AV214" s="906"/>
      <c r="AW214" s="906"/>
      <c r="AX214" s="906"/>
      <c r="AY214" s="906"/>
      <c r="AZ214" s="906"/>
      <c r="BA214" s="906"/>
      <c r="BB214" s="907"/>
    </row>
    <row r="215" spans="1:54" x14ac:dyDescent="0.25">
      <c r="A215" s="13">
        <f t="shared" si="3"/>
        <v>202</v>
      </c>
      <c r="B215" s="914" t="str">
        <f>'refer admin discharge'!B211</f>
        <v>x</v>
      </c>
      <c r="C215" s="914"/>
      <c r="D215" s="889" t="str">
        <f>'refer admin discharge'!D211</f>
        <v>xx</v>
      </c>
      <c r="E215" s="889"/>
      <c r="F215" s="915" t="str">
        <f>'refer admin discharge'!H211</f>
        <v>00/00/0000</v>
      </c>
      <c r="G215" s="890"/>
      <c r="H215" s="916"/>
      <c r="I215" s="916"/>
      <c r="J215" s="917"/>
      <c r="K215" s="917"/>
      <c r="L215" s="916"/>
      <c r="M215" s="916"/>
      <c r="N215" s="893"/>
      <c r="O215" s="893"/>
      <c r="P215" s="916"/>
      <c r="Q215" s="916"/>
      <c r="R215" s="893"/>
      <c r="S215" s="893"/>
      <c r="T215" s="916"/>
      <c r="U215" s="916"/>
      <c r="V215" s="921" t="str">
        <f>'refer admin discharge'!H216</f>
        <v>00/00/0000</v>
      </c>
      <c r="W215" s="922"/>
      <c r="X215" s="912"/>
      <c r="Y215" s="912"/>
      <c r="Z215" s="924"/>
      <c r="AA215" s="924"/>
      <c r="AB215" s="912"/>
      <c r="AC215" s="912"/>
      <c r="AD215" s="913"/>
      <c r="AE215" s="913"/>
      <c r="AF215" s="912"/>
      <c r="AG215" s="912"/>
      <c r="AH215" s="913"/>
      <c r="AI215" s="913"/>
      <c r="AJ215" s="912"/>
      <c r="AK215" s="912"/>
      <c r="AL215" s="925"/>
      <c r="AM215" s="926"/>
      <c r="AN215" s="926"/>
      <c r="AO215" s="926"/>
      <c r="AP215" s="926"/>
      <c r="AQ215" s="926"/>
      <c r="AR215" s="926"/>
      <c r="AS215" s="926"/>
      <c r="AT215" s="926"/>
      <c r="AU215" s="926"/>
      <c r="AV215" s="926"/>
      <c r="AW215" s="926"/>
      <c r="AX215" s="926"/>
      <c r="AY215" s="926"/>
      <c r="AZ215" s="926"/>
      <c r="BA215" s="926"/>
      <c r="BB215" s="927"/>
    </row>
    <row r="216" spans="1:54" x14ac:dyDescent="0.25">
      <c r="A216" s="13">
        <f t="shared" si="3"/>
        <v>203</v>
      </c>
      <c r="B216" s="888" t="str">
        <f>'refer admin discharge'!B212</f>
        <v>x</v>
      </c>
      <c r="C216" s="888"/>
      <c r="D216" s="868" t="str">
        <f>'refer admin discharge'!D212</f>
        <v>xx</v>
      </c>
      <c r="E216" s="868"/>
      <c r="F216" s="891" t="str">
        <f>'refer admin discharge'!H212</f>
        <v>00/00/0000</v>
      </c>
      <c r="G216" s="892"/>
      <c r="H216" s="894"/>
      <c r="I216" s="894"/>
      <c r="J216" s="918"/>
      <c r="K216" s="918"/>
      <c r="L216" s="894"/>
      <c r="M216" s="894"/>
      <c r="N216" s="916"/>
      <c r="O216" s="916"/>
      <c r="P216" s="894"/>
      <c r="Q216" s="894"/>
      <c r="R216" s="916"/>
      <c r="S216" s="916"/>
      <c r="T216" s="894"/>
      <c r="U216" s="894"/>
      <c r="V216" s="921" t="str">
        <f>'refer admin discharge'!H217</f>
        <v>00/00/0000</v>
      </c>
      <c r="W216" s="922"/>
      <c r="X216" s="920"/>
      <c r="Y216" s="920"/>
      <c r="Z216" s="919"/>
      <c r="AA216" s="919"/>
      <c r="AB216" s="920"/>
      <c r="AC216" s="920"/>
      <c r="AD216" s="912"/>
      <c r="AE216" s="912"/>
      <c r="AF216" s="920"/>
      <c r="AG216" s="920"/>
      <c r="AH216" s="912"/>
      <c r="AI216" s="912"/>
      <c r="AJ216" s="920"/>
      <c r="AK216" s="920"/>
      <c r="AL216" s="905"/>
      <c r="AM216" s="906"/>
      <c r="AN216" s="906"/>
      <c r="AO216" s="906"/>
      <c r="AP216" s="906"/>
      <c r="AQ216" s="906"/>
      <c r="AR216" s="906"/>
      <c r="AS216" s="906"/>
      <c r="AT216" s="906"/>
      <c r="AU216" s="906"/>
      <c r="AV216" s="906"/>
      <c r="AW216" s="906"/>
      <c r="AX216" s="906"/>
      <c r="AY216" s="906"/>
      <c r="AZ216" s="906"/>
      <c r="BA216" s="906"/>
      <c r="BB216" s="907"/>
    </row>
    <row r="217" spans="1:54" x14ac:dyDescent="0.25">
      <c r="A217" s="13">
        <f t="shared" si="3"/>
        <v>204</v>
      </c>
      <c r="B217" s="914" t="str">
        <f>'refer admin discharge'!B213</f>
        <v>x</v>
      </c>
      <c r="C217" s="914"/>
      <c r="D217" s="889" t="str">
        <f>'refer admin discharge'!D213</f>
        <v>xx</v>
      </c>
      <c r="E217" s="889"/>
      <c r="F217" s="915" t="str">
        <f>'refer admin discharge'!H213</f>
        <v>00/00/0000</v>
      </c>
      <c r="G217" s="890"/>
      <c r="H217" s="916"/>
      <c r="I217" s="916"/>
      <c r="J217" s="917"/>
      <c r="K217" s="917"/>
      <c r="L217" s="916"/>
      <c r="M217" s="916"/>
      <c r="N217" s="893"/>
      <c r="O217" s="893"/>
      <c r="P217" s="916"/>
      <c r="Q217" s="916"/>
      <c r="R217" s="893"/>
      <c r="S217" s="893"/>
      <c r="T217" s="916"/>
      <c r="U217" s="916"/>
      <c r="V217" s="921" t="str">
        <f>'refer admin discharge'!H218</f>
        <v>00/00/0000</v>
      </c>
      <c r="W217" s="922"/>
      <c r="X217" s="912"/>
      <c r="Y217" s="912"/>
      <c r="Z217" s="924"/>
      <c r="AA217" s="924"/>
      <c r="AB217" s="912"/>
      <c r="AC217" s="912"/>
      <c r="AD217" s="913"/>
      <c r="AE217" s="913"/>
      <c r="AF217" s="912"/>
      <c r="AG217" s="912"/>
      <c r="AH217" s="913"/>
      <c r="AI217" s="913"/>
      <c r="AJ217" s="912"/>
      <c r="AK217" s="912"/>
      <c r="AL217" s="925"/>
      <c r="AM217" s="926"/>
      <c r="AN217" s="926"/>
      <c r="AO217" s="926"/>
      <c r="AP217" s="926"/>
      <c r="AQ217" s="926"/>
      <c r="AR217" s="926"/>
      <c r="AS217" s="926"/>
      <c r="AT217" s="926"/>
      <c r="AU217" s="926"/>
      <c r="AV217" s="926"/>
      <c r="AW217" s="926"/>
      <c r="AX217" s="926"/>
      <c r="AY217" s="926"/>
      <c r="AZ217" s="926"/>
      <c r="BA217" s="926"/>
      <c r="BB217" s="927"/>
    </row>
    <row r="218" spans="1:54" x14ac:dyDescent="0.25">
      <c r="A218" s="13">
        <f t="shared" si="3"/>
        <v>205</v>
      </c>
      <c r="B218" s="888" t="str">
        <f>'refer admin discharge'!B214</f>
        <v>x</v>
      </c>
      <c r="C218" s="888"/>
      <c r="D218" s="868" t="str">
        <f>'refer admin discharge'!D214</f>
        <v>xx</v>
      </c>
      <c r="E218" s="868"/>
      <c r="F218" s="891" t="str">
        <f>'refer admin discharge'!H214</f>
        <v>00/00/0000</v>
      </c>
      <c r="G218" s="892"/>
      <c r="H218" s="894"/>
      <c r="I218" s="894"/>
      <c r="J218" s="918"/>
      <c r="K218" s="918"/>
      <c r="L218" s="894"/>
      <c r="M218" s="894"/>
      <c r="N218" s="916"/>
      <c r="O218" s="916"/>
      <c r="P218" s="894"/>
      <c r="Q218" s="894"/>
      <c r="R218" s="916"/>
      <c r="S218" s="916"/>
      <c r="T218" s="894"/>
      <c r="U218" s="894"/>
      <c r="V218" s="921" t="str">
        <f>'refer admin discharge'!H219</f>
        <v>00/00/0000</v>
      </c>
      <c r="W218" s="922"/>
      <c r="X218" s="920"/>
      <c r="Y218" s="920"/>
      <c r="Z218" s="919"/>
      <c r="AA218" s="919"/>
      <c r="AB218" s="920"/>
      <c r="AC218" s="920"/>
      <c r="AD218" s="912"/>
      <c r="AE218" s="912"/>
      <c r="AF218" s="920"/>
      <c r="AG218" s="920"/>
      <c r="AH218" s="912"/>
      <c r="AI218" s="912"/>
      <c r="AJ218" s="920"/>
      <c r="AK218" s="920"/>
      <c r="AL218" s="905"/>
      <c r="AM218" s="906"/>
      <c r="AN218" s="906"/>
      <c r="AO218" s="906"/>
      <c r="AP218" s="906"/>
      <c r="AQ218" s="906"/>
      <c r="AR218" s="906"/>
      <c r="AS218" s="906"/>
      <c r="AT218" s="906"/>
      <c r="AU218" s="906"/>
      <c r="AV218" s="906"/>
      <c r="AW218" s="906"/>
      <c r="AX218" s="906"/>
      <c r="AY218" s="906"/>
      <c r="AZ218" s="906"/>
      <c r="BA218" s="906"/>
      <c r="BB218" s="907"/>
    </row>
    <row r="219" spans="1:54" x14ac:dyDescent="0.25">
      <c r="A219" s="13">
        <f t="shared" si="3"/>
        <v>206</v>
      </c>
      <c r="B219" s="914" t="str">
        <f>'refer admin discharge'!B215</f>
        <v>x</v>
      </c>
      <c r="C219" s="914"/>
      <c r="D219" s="889" t="str">
        <f>'refer admin discharge'!D215</f>
        <v>xx</v>
      </c>
      <c r="E219" s="889"/>
      <c r="F219" s="915" t="str">
        <f>'refer admin discharge'!H215</f>
        <v>00/00/0000</v>
      </c>
      <c r="G219" s="890"/>
      <c r="H219" s="916"/>
      <c r="I219" s="916"/>
      <c r="J219" s="917"/>
      <c r="K219" s="917"/>
      <c r="L219" s="916"/>
      <c r="M219" s="916"/>
      <c r="N219" s="893"/>
      <c r="O219" s="893"/>
      <c r="P219" s="916"/>
      <c r="Q219" s="916"/>
      <c r="R219" s="893"/>
      <c r="S219" s="893"/>
      <c r="T219" s="916"/>
      <c r="U219" s="916"/>
      <c r="V219" s="921" t="str">
        <f>'refer admin discharge'!H220</f>
        <v>00/00/0000</v>
      </c>
      <c r="W219" s="922"/>
      <c r="X219" s="912"/>
      <c r="Y219" s="912"/>
      <c r="Z219" s="924"/>
      <c r="AA219" s="924"/>
      <c r="AB219" s="912"/>
      <c r="AC219" s="912"/>
      <c r="AD219" s="913"/>
      <c r="AE219" s="913"/>
      <c r="AF219" s="912"/>
      <c r="AG219" s="912"/>
      <c r="AH219" s="913"/>
      <c r="AI219" s="913"/>
      <c r="AJ219" s="912"/>
      <c r="AK219" s="912"/>
      <c r="AL219" s="925"/>
      <c r="AM219" s="926"/>
      <c r="AN219" s="926"/>
      <c r="AO219" s="926"/>
      <c r="AP219" s="926"/>
      <c r="AQ219" s="926"/>
      <c r="AR219" s="926"/>
      <c r="AS219" s="926"/>
      <c r="AT219" s="926"/>
      <c r="AU219" s="926"/>
      <c r="AV219" s="926"/>
      <c r="AW219" s="926"/>
      <c r="AX219" s="926"/>
      <c r="AY219" s="926"/>
      <c r="AZ219" s="926"/>
      <c r="BA219" s="926"/>
      <c r="BB219" s="927"/>
    </row>
    <row r="220" spans="1:54" x14ac:dyDescent="0.25">
      <c r="A220" s="13">
        <f t="shared" si="3"/>
        <v>207</v>
      </c>
      <c r="B220" s="888" t="str">
        <f>'refer admin discharge'!B216</f>
        <v>x</v>
      </c>
      <c r="C220" s="888"/>
      <c r="D220" s="868" t="str">
        <f>'refer admin discharge'!D216</f>
        <v>xx</v>
      </c>
      <c r="E220" s="868"/>
      <c r="F220" s="891" t="str">
        <f>'refer admin discharge'!H216</f>
        <v>00/00/0000</v>
      </c>
      <c r="G220" s="892"/>
      <c r="H220" s="894"/>
      <c r="I220" s="894"/>
      <c r="J220" s="918"/>
      <c r="K220" s="918"/>
      <c r="L220" s="894"/>
      <c r="M220" s="894"/>
      <c r="N220" s="916"/>
      <c r="O220" s="916"/>
      <c r="P220" s="894"/>
      <c r="Q220" s="894"/>
      <c r="R220" s="916"/>
      <c r="S220" s="916"/>
      <c r="T220" s="894"/>
      <c r="U220" s="894"/>
      <c r="V220" s="921" t="str">
        <f>'refer admin discharge'!H221</f>
        <v>00/00/0000</v>
      </c>
      <c r="W220" s="922"/>
      <c r="X220" s="920"/>
      <c r="Y220" s="920"/>
      <c r="Z220" s="919"/>
      <c r="AA220" s="919"/>
      <c r="AB220" s="920"/>
      <c r="AC220" s="920"/>
      <c r="AD220" s="912"/>
      <c r="AE220" s="912"/>
      <c r="AF220" s="920"/>
      <c r="AG220" s="920"/>
      <c r="AH220" s="912"/>
      <c r="AI220" s="912"/>
      <c r="AJ220" s="920"/>
      <c r="AK220" s="920"/>
      <c r="AL220" s="905"/>
      <c r="AM220" s="906"/>
      <c r="AN220" s="906"/>
      <c r="AO220" s="906"/>
      <c r="AP220" s="906"/>
      <c r="AQ220" s="906"/>
      <c r="AR220" s="906"/>
      <c r="AS220" s="906"/>
      <c r="AT220" s="906"/>
      <c r="AU220" s="906"/>
      <c r="AV220" s="906"/>
      <c r="AW220" s="906"/>
      <c r="AX220" s="906"/>
      <c r="AY220" s="906"/>
      <c r="AZ220" s="906"/>
      <c r="BA220" s="906"/>
      <c r="BB220" s="907"/>
    </row>
    <row r="221" spans="1:54" x14ac:dyDescent="0.25">
      <c r="A221" s="13">
        <f t="shared" si="3"/>
        <v>208</v>
      </c>
      <c r="B221" s="914" t="str">
        <f>'refer admin discharge'!B217</f>
        <v>x</v>
      </c>
      <c r="C221" s="914"/>
      <c r="D221" s="889" t="str">
        <f>'refer admin discharge'!D217</f>
        <v>xx</v>
      </c>
      <c r="E221" s="889"/>
      <c r="F221" s="915" t="str">
        <f>'refer admin discharge'!H217</f>
        <v>00/00/0000</v>
      </c>
      <c r="G221" s="890"/>
      <c r="H221" s="916"/>
      <c r="I221" s="916"/>
      <c r="J221" s="917"/>
      <c r="K221" s="917"/>
      <c r="L221" s="916"/>
      <c r="M221" s="916"/>
      <c r="N221" s="893"/>
      <c r="O221" s="893"/>
      <c r="P221" s="916"/>
      <c r="Q221" s="916"/>
      <c r="R221" s="893"/>
      <c r="S221" s="893"/>
      <c r="T221" s="916"/>
      <c r="U221" s="916"/>
      <c r="V221" s="921" t="str">
        <f>'refer admin discharge'!H222</f>
        <v>00/00/0000</v>
      </c>
      <c r="W221" s="922"/>
      <c r="X221" s="912"/>
      <c r="Y221" s="912"/>
      <c r="Z221" s="924"/>
      <c r="AA221" s="924"/>
      <c r="AB221" s="912"/>
      <c r="AC221" s="912"/>
      <c r="AD221" s="913"/>
      <c r="AE221" s="913"/>
      <c r="AF221" s="912"/>
      <c r="AG221" s="912"/>
      <c r="AH221" s="913"/>
      <c r="AI221" s="913"/>
      <c r="AJ221" s="912"/>
      <c r="AK221" s="912"/>
      <c r="AL221" s="925"/>
      <c r="AM221" s="926"/>
      <c r="AN221" s="926"/>
      <c r="AO221" s="926"/>
      <c r="AP221" s="926"/>
      <c r="AQ221" s="926"/>
      <c r="AR221" s="926"/>
      <c r="AS221" s="926"/>
      <c r="AT221" s="926"/>
      <c r="AU221" s="926"/>
      <c r="AV221" s="926"/>
      <c r="AW221" s="926"/>
      <c r="AX221" s="926"/>
      <c r="AY221" s="926"/>
      <c r="AZ221" s="926"/>
      <c r="BA221" s="926"/>
      <c r="BB221" s="927"/>
    </row>
    <row r="222" spans="1:54" x14ac:dyDescent="0.25">
      <c r="A222" s="13">
        <f t="shared" si="3"/>
        <v>209</v>
      </c>
      <c r="B222" s="888" t="str">
        <f>'refer admin discharge'!B218</f>
        <v>x</v>
      </c>
      <c r="C222" s="888"/>
      <c r="D222" s="868" t="str">
        <f>'refer admin discharge'!D218</f>
        <v>xx</v>
      </c>
      <c r="E222" s="868"/>
      <c r="F222" s="891" t="str">
        <f>'refer admin discharge'!H218</f>
        <v>00/00/0000</v>
      </c>
      <c r="G222" s="892"/>
      <c r="H222" s="894"/>
      <c r="I222" s="894"/>
      <c r="J222" s="918"/>
      <c r="K222" s="918"/>
      <c r="L222" s="894"/>
      <c r="M222" s="894"/>
      <c r="N222" s="916"/>
      <c r="O222" s="916"/>
      <c r="P222" s="894"/>
      <c r="Q222" s="894"/>
      <c r="R222" s="916"/>
      <c r="S222" s="916"/>
      <c r="T222" s="894"/>
      <c r="U222" s="894"/>
      <c r="V222" s="921" t="str">
        <f>'refer admin discharge'!H223</f>
        <v>00/00/0000</v>
      </c>
      <c r="W222" s="922"/>
      <c r="X222" s="920"/>
      <c r="Y222" s="920"/>
      <c r="Z222" s="919"/>
      <c r="AA222" s="919"/>
      <c r="AB222" s="920"/>
      <c r="AC222" s="920"/>
      <c r="AD222" s="912"/>
      <c r="AE222" s="912"/>
      <c r="AF222" s="920"/>
      <c r="AG222" s="920"/>
      <c r="AH222" s="912"/>
      <c r="AI222" s="912"/>
      <c r="AJ222" s="920"/>
      <c r="AK222" s="920"/>
      <c r="AL222" s="905"/>
      <c r="AM222" s="906"/>
      <c r="AN222" s="906"/>
      <c r="AO222" s="906"/>
      <c r="AP222" s="906"/>
      <c r="AQ222" s="906"/>
      <c r="AR222" s="906"/>
      <c r="AS222" s="906"/>
      <c r="AT222" s="906"/>
      <c r="AU222" s="906"/>
      <c r="AV222" s="906"/>
      <c r="AW222" s="906"/>
      <c r="AX222" s="906"/>
      <c r="AY222" s="906"/>
      <c r="AZ222" s="906"/>
      <c r="BA222" s="906"/>
      <c r="BB222" s="907"/>
    </row>
    <row r="223" spans="1:54" x14ac:dyDescent="0.25">
      <c r="A223" s="13">
        <f t="shared" si="3"/>
        <v>210</v>
      </c>
      <c r="B223" s="914" t="str">
        <f>'refer admin discharge'!B219</f>
        <v>x</v>
      </c>
      <c r="C223" s="914"/>
      <c r="D223" s="889" t="str">
        <f>'refer admin discharge'!D219</f>
        <v>xx</v>
      </c>
      <c r="E223" s="889"/>
      <c r="F223" s="915" t="str">
        <f>'refer admin discharge'!H219</f>
        <v>00/00/0000</v>
      </c>
      <c r="G223" s="890"/>
      <c r="H223" s="916"/>
      <c r="I223" s="916"/>
      <c r="J223" s="917"/>
      <c r="K223" s="917"/>
      <c r="L223" s="916"/>
      <c r="M223" s="916"/>
      <c r="N223" s="893"/>
      <c r="O223" s="893"/>
      <c r="P223" s="916"/>
      <c r="Q223" s="916"/>
      <c r="R223" s="893"/>
      <c r="S223" s="893"/>
      <c r="T223" s="916"/>
      <c r="U223" s="916"/>
      <c r="V223" s="921" t="str">
        <f>'refer admin discharge'!H224</f>
        <v>00/00/0000</v>
      </c>
      <c r="W223" s="922"/>
      <c r="X223" s="912"/>
      <c r="Y223" s="912"/>
      <c r="Z223" s="924"/>
      <c r="AA223" s="924"/>
      <c r="AB223" s="912"/>
      <c r="AC223" s="912"/>
      <c r="AD223" s="913"/>
      <c r="AE223" s="913"/>
      <c r="AF223" s="912"/>
      <c r="AG223" s="912"/>
      <c r="AH223" s="913"/>
      <c r="AI223" s="913"/>
      <c r="AJ223" s="912"/>
      <c r="AK223" s="912"/>
      <c r="AL223" s="925"/>
      <c r="AM223" s="926"/>
      <c r="AN223" s="926"/>
      <c r="AO223" s="926"/>
      <c r="AP223" s="926"/>
      <c r="AQ223" s="926"/>
      <c r="AR223" s="926"/>
      <c r="AS223" s="926"/>
      <c r="AT223" s="926"/>
      <c r="AU223" s="926"/>
      <c r="AV223" s="926"/>
      <c r="AW223" s="926"/>
      <c r="AX223" s="926"/>
      <c r="AY223" s="926"/>
      <c r="AZ223" s="926"/>
      <c r="BA223" s="926"/>
      <c r="BB223" s="927"/>
    </row>
    <row r="224" spans="1:54" x14ac:dyDescent="0.25">
      <c r="A224" s="13">
        <f t="shared" si="3"/>
        <v>211</v>
      </c>
      <c r="B224" s="888" t="str">
        <f>'refer admin discharge'!B220</f>
        <v>x</v>
      </c>
      <c r="C224" s="888"/>
      <c r="D224" s="868" t="str">
        <f>'refer admin discharge'!D220</f>
        <v>xx</v>
      </c>
      <c r="E224" s="868"/>
      <c r="F224" s="891" t="str">
        <f>'refer admin discharge'!H220</f>
        <v>00/00/0000</v>
      </c>
      <c r="G224" s="892"/>
      <c r="H224" s="894"/>
      <c r="I224" s="894"/>
      <c r="J224" s="918"/>
      <c r="K224" s="918"/>
      <c r="L224" s="894"/>
      <c r="M224" s="894"/>
      <c r="N224" s="916"/>
      <c r="O224" s="916"/>
      <c r="P224" s="894"/>
      <c r="Q224" s="894"/>
      <c r="R224" s="916"/>
      <c r="S224" s="916"/>
      <c r="T224" s="894"/>
      <c r="U224" s="894"/>
      <c r="V224" s="921" t="str">
        <f>'refer admin discharge'!H225</f>
        <v>00/00/0000</v>
      </c>
      <c r="W224" s="922"/>
      <c r="X224" s="920"/>
      <c r="Y224" s="920"/>
      <c r="Z224" s="919"/>
      <c r="AA224" s="919"/>
      <c r="AB224" s="920"/>
      <c r="AC224" s="920"/>
      <c r="AD224" s="912"/>
      <c r="AE224" s="912"/>
      <c r="AF224" s="920"/>
      <c r="AG224" s="920"/>
      <c r="AH224" s="912"/>
      <c r="AI224" s="912"/>
      <c r="AJ224" s="920"/>
      <c r="AK224" s="920"/>
      <c r="AL224" s="905"/>
      <c r="AM224" s="906"/>
      <c r="AN224" s="906"/>
      <c r="AO224" s="906"/>
      <c r="AP224" s="906"/>
      <c r="AQ224" s="906"/>
      <c r="AR224" s="906"/>
      <c r="AS224" s="906"/>
      <c r="AT224" s="906"/>
      <c r="AU224" s="906"/>
      <c r="AV224" s="906"/>
      <c r="AW224" s="906"/>
      <c r="AX224" s="906"/>
      <c r="AY224" s="906"/>
      <c r="AZ224" s="906"/>
      <c r="BA224" s="906"/>
      <c r="BB224" s="907"/>
    </row>
    <row r="225" spans="1:54" x14ac:dyDescent="0.25">
      <c r="A225" s="13">
        <f t="shared" si="3"/>
        <v>212</v>
      </c>
      <c r="B225" s="914" t="str">
        <f>'refer admin discharge'!B221</f>
        <v>x</v>
      </c>
      <c r="C225" s="914"/>
      <c r="D225" s="889" t="str">
        <f>'refer admin discharge'!D221</f>
        <v>xx</v>
      </c>
      <c r="E225" s="889"/>
      <c r="F225" s="915" t="str">
        <f>'refer admin discharge'!H221</f>
        <v>00/00/0000</v>
      </c>
      <c r="G225" s="890"/>
      <c r="H225" s="916"/>
      <c r="I225" s="916"/>
      <c r="J225" s="917"/>
      <c r="K225" s="917"/>
      <c r="L225" s="916"/>
      <c r="M225" s="916"/>
      <c r="N225" s="893"/>
      <c r="O225" s="893"/>
      <c r="P225" s="916"/>
      <c r="Q225" s="916"/>
      <c r="R225" s="893"/>
      <c r="S225" s="893"/>
      <c r="T225" s="916"/>
      <c r="U225" s="916"/>
      <c r="V225" s="921" t="str">
        <f>'refer admin discharge'!H226</f>
        <v>00/00/0000</v>
      </c>
      <c r="W225" s="922"/>
      <c r="X225" s="912"/>
      <c r="Y225" s="912"/>
      <c r="Z225" s="924"/>
      <c r="AA225" s="924"/>
      <c r="AB225" s="912"/>
      <c r="AC225" s="912"/>
      <c r="AD225" s="913"/>
      <c r="AE225" s="913"/>
      <c r="AF225" s="912"/>
      <c r="AG225" s="912"/>
      <c r="AH225" s="913"/>
      <c r="AI225" s="913"/>
      <c r="AJ225" s="912"/>
      <c r="AK225" s="912"/>
      <c r="AL225" s="925"/>
      <c r="AM225" s="926"/>
      <c r="AN225" s="926"/>
      <c r="AO225" s="926"/>
      <c r="AP225" s="926"/>
      <c r="AQ225" s="926"/>
      <c r="AR225" s="926"/>
      <c r="AS225" s="926"/>
      <c r="AT225" s="926"/>
      <c r="AU225" s="926"/>
      <c r="AV225" s="926"/>
      <c r="AW225" s="926"/>
      <c r="AX225" s="926"/>
      <c r="AY225" s="926"/>
      <c r="AZ225" s="926"/>
      <c r="BA225" s="926"/>
      <c r="BB225" s="927"/>
    </row>
    <row r="226" spans="1:54" x14ac:dyDescent="0.25">
      <c r="A226" s="13">
        <f t="shared" si="3"/>
        <v>213</v>
      </c>
      <c r="B226" s="888" t="str">
        <f>'refer admin discharge'!B222</f>
        <v>x</v>
      </c>
      <c r="C226" s="888"/>
      <c r="D226" s="868" t="str">
        <f>'refer admin discharge'!D222</f>
        <v>xx</v>
      </c>
      <c r="E226" s="868"/>
      <c r="F226" s="891" t="str">
        <f>'refer admin discharge'!H222</f>
        <v>00/00/0000</v>
      </c>
      <c r="G226" s="892"/>
      <c r="H226" s="894"/>
      <c r="I226" s="894"/>
      <c r="J226" s="918"/>
      <c r="K226" s="918"/>
      <c r="L226" s="894"/>
      <c r="M226" s="894"/>
      <c r="N226" s="916"/>
      <c r="O226" s="916"/>
      <c r="P226" s="894"/>
      <c r="Q226" s="894"/>
      <c r="R226" s="916"/>
      <c r="S226" s="916"/>
      <c r="T226" s="894"/>
      <c r="U226" s="894"/>
      <c r="V226" s="921" t="str">
        <f>'refer admin discharge'!H227</f>
        <v>00/00/0000</v>
      </c>
      <c r="W226" s="922"/>
      <c r="X226" s="920"/>
      <c r="Y226" s="920"/>
      <c r="Z226" s="919"/>
      <c r="AA226" s="919"/>
      <c r="AB226" s="920"/>
      <c r="AC226" s="920"/>
      <c r="AD226" s="912"/>
      <c r="AE226" s="912"/>
      <c r="AF226" s="920"/>
      <c r="AG226" s="920"/>
      <c r="AH226" s="912"/>
      <c r="AI226" s="912"/>
      <c r="AJ226" s="920"/>
      <c r="AK226" s="920"/>
      <c r="AL226" s="905"/>
      <c r="AM226" s="906"/>
      <c r="AN226" s="906"/>
      <c r="AO226" s="906"/>
      <c r="AP226" s="906"/>
      <c r="AQ226" s="906"/>
      <c r="AR226" s="906"/>
      <c r="AS226" s="906"/>
      <c r="AT226" s="906"/>
      <c r="AU226" s="906"/>
      <c r="AV226" s="906"/>
      <c r="AW226" s="906"/>
      <c r="AX226" s="906"/>
      <c r="AY226" s="906"/>
      <c r="AZ226" s="906"/>
      <c r="BA226" s="906"/>
      <c r="BB226" s="907"/>
    </row>
    <row r="227" spans="1:54" x14ac:dyDescent="0.25">
      <c r="A227" s="13">
        <f t="shared" si="3"/>
        <v>214</v>
      </c>
      <c r="B227" s="914" t="str">
        <f>'refer admin discharge'!B223</f>
        <v>x</v>
      </c>
      <c r="C227" s="914"/>
      <c r="D227" s="889" t="str">
        <f>'refer admin discharge'!D223</f>
        <v>xx</v>
      </c>
      <c r="E227" s="889"/>
      <c r="F227" s="915" t="str">
        <f>'refer admin discharge'!H223</f>
        <v>00/00/0000</v>
      </c>
      <c r="G227" s="890"/>
      <c r="H227" s="916"/>
      <c r="I227" s="916"/>
      <c r="J227" s="917"/>
      <c r="K227" s="917"/>
      <c r="L227" s="916"/>
      <c r="M227" s="916"/>
      <c r="N227" s="893"/>
      <c r="O227" s="893"/>
      <c r="P227" s="916"/>
      <c r="Q227" s="916"/>
      <c r="R227" s="893"/>
      <c r="S227" s="893"/>
      <c r="T227" s="916"/>
      <c r="U227" s="916"/>
      <c r="V227" s="921" t="str">
        <f>'refer admin discharge'!H228</f>
        <v>00/00/0000</v>
      </c>
      <c r="W227" s="922"/>
      <c r="X227" s="912"/>
      <c r="Y227" s="912"/>
      <c r="Z227" s="924"/>
      <c r="AA227" s="924"/>
      <c r="AB227" s="912"/>
      <c r="AC227" s="912"/>
      <c r="AD227" s="913"/>
      <c r="AE227" s="913"/>
      <c r="AF227" s="912"/>
      <c r="AG227" s="912"/>
      <c r="AH227" s="913"/>
      <c r="AI227" s="913"/>
      <c r="AJ227" s="912"/>
      <c r="AK227" s="912"/>
      <c r="AL227" s="925"/>
      <c r="AM227" s="926"/>
      <c r="AN227" s="926"/>
      <c r="AO227" s="926"/>
      <c r="AP227" s="926"/>
      <c r="AQ227" s="926"/>
      <c r="AR227" s="926"/>
      <c r="AS227" s="926"/>
      <c r="AT227" s="926"/>
      <c r="AU227" s="926"/>
      <c r="AV227" s="926"/>
      <c r="AW227" s="926"/>
      <c r="AX227" s="926"/>
      <c r="AY227" s="926"/>
      <c r="AZ227" s="926"/>
      <c r="BA227" s="926"/>
      <c r="BB227" s="927"/>
    </row>
    <row r="228" spans="1:54" x14ac:dyDescent="0.25">
      <c r="A228" s="13">
        <f t="shared" si="3"/>
        <v>215</v>
      </c>
      <c r="B228" s="888" t="str">
        <f>'refer admin discharge'!B224</f>
        <v>x</v>
      </c>
      <c r="C228" s="888"/>
      <c r="D228" s="868" t="str">
        <f>'refer admin discharge'!D224</f>
        <v>xx</v>
      </c>
      <c r="E228" s="868"/>
      <c r="F228" s="891" t="str">
        <f>'refer admin discharge'!H224</f>
        <v>00/00/0000</v>
      </c>
      <c r="G228" s="892"/>
      <c r="H228" s="894"/>
      <c r="I228" s="894"/>
      <c r="J228" s="918"/>
      <c r="K228" s="918"/>
      <c r="L228" s="894"/>
      <c r="M228" s="894"/>
      <c r="N228" s="916"/>
      <c r="O228" s="916"/>
      <c r="P228" s="894"/>
      <c r="Q228" s="894"/>
      <c r="R228" s="916"/>
      <c r="S228" s="916"/>
      <c r="T228" s="894"/>
      <c r="U228" s="894"/>
      <c r="V228" s="921" t="str">
        <f>'refer admin discharge'!H229</f>
        <v>00/00/0000</v>
      </c>
      <c r="W228" s="922"/>
      <c r="X228" s="920"/>
      <c r="Y228" s="920"/>
      <c r="Z228" s="919"/>
      <c r="AA228" s="919"/>
      <c r="AB228" s="920"/>
      <c r="AC228" s="920"/>
      <c r="AD228" s="912"/>
      <c r="AE228" s="912"/>
      <c r="AF228" s="920"/>
      <c r="AG228" s="920"/>
      <c r="AH228" s="912"/>
      <c r="AI228" s="912"/>
      <c r="AJ228" s="920"/>
      <c r="AK228" s="920"/>
      <c r="AL228" s="905"/>
      <c r="AM228" s="906"/>
      <c r="AN228" s="906"/>
      <c r="AO228" s="906"/>
      <c r="AP228" s="906"/>
      <c r="AQ228" s="906"/>
      <c r="AR228" s="906"/>
      <c r="AS228" s="906"/>
      <c r="AT228" s="906"/>
      <c r="AU228" s="906"/>
      <c r="AV228" s="906"/>
      <c r="AW228" s="906"/>
      <c r="AX228" s="906"/>
      <c r="AY228" s="906"/>
      <c r="AZ228" s="906"/>
      <c r="BA228" s="906"/>
      <c r="BB228" s="907"/>
    </row>
    <row r="229" spans="1:54" x14ac:dyDescent="0.25">
      <c r="A229" s="13">
        <f t="shared" si="3"/>
        <v>216</v>
      </c>
      <c r="B229" s="914" t="str">
        <f>'refer admin discharge'!B225</f>
        <v>x</v>
      </c>
      <c r="C229" s="914"/>
      <c r="D229" s="889" t="str">
        <f>'refer admin discharge'!D225</f>
        <v>xx</v>
      </c>
      <c r="E229" s="889"/>
      <c r="F229" s="915" t="str">
        <f>'refer admin discharge'!H225</f>
        <v>00/00/0000</v>
      </c>
      <c r="G229" s="890"/>
      <c r="H229" s="916"/>
      <c r="I229" s="916"/>
      <c r="J229" s="917"/>
      <c r="K229" s="917"/>
      <c r="L229" s="916"/>
      <c r="M229" s="916"/>
      <c r="N229" s="893"/>
      <c r="O229" s="893"/>
      <c r="P229" s="916"/>
      <c r="Q229" s="916"/>
      <c r="R229" s="893"/>
      <c r="S229" s="893"/>
      <c r="T229" s="916"/>
      <c r="U229" s="916"/>
      <c r="V229" s="921" t="str">
        <f>'refer admin discharge'!H230</f>
        <v>00/00/0000</v>
      </c>
      <c r="W229" s="922"/>
      <c r="X229" s="912"/>
      <c r="Y229" s="912"/>
      <c r="Z229" s="924"/>
      <c r="AA229" s="924"/>
      <c r="AB229" s="912"/>
      <c r="AC229" s="912"/>
      <c r="AD229" s="913"/>
      <c r="AE229" s="913"/>
      <c r="AF229" s="912"/>
      <c r="AG229" s="912"/>
      <c r="AH229" s="913"/>
      <c r="AI229" s="913"/>
      <c r="AJ229" s="912"/>
      <c r="AK229" s="912"/>
      <c r="AL229" s="925"/>
      <c r="AM229" s="926"/>
      <c r="AN229" s="926"/>
      <c r="AO229" s="926"/>
      <c r="AP229" s="926"/>
      <c r="AQ229" s="926"/>
      <c r="AR229" s="926"/>
      <c r="AS229" s="926"/>
      <c r="AT229" s="926"/>
      <c r="AU229" s="926"/>
      <c r="AV229" s="926"/>
      <c r="AW229" s="926"/>
      <c r="AX229" s="926"/>
      <c r="AY229" s="926"/>
      <c r="AZ229" s="926"/>
      <c r="BA229" s="926"/>
      <c r="BB229" s="927"/>
    </row>
    <row r="230" spans="1:54" x14ac:dyDescent="0.25">
      <c r="A230" s="13">
        <f t="shared" si="3"/>
        <v>217</v>
      </c>
      <c r="B230" s="888" t="str">
        <f>'refer admin discharge'!B226</f>
        <v>x</v>
      </c>
      <c r="C230" s="888"/>
      <c r="D230" s="868" t="str">
        <f>'refer admin discharge'!D226</f>
        <v>xx</v>
      </c>
      <c r="E230" s="868"/>
      <c r="F230" s="891" t="str">
        <f>'refer admin discharge'!H226</f>
        <v>00/00/0000</v>
      </c>
      <c r="G230" s="892"/>
      <c r="H230" s="894"/>
      <c r="I230" s="894"/>
      <c r="J230" s="918"/>
      <c r="K230" s="918"/>
      <c r="L230" s="894"/>
      <c r="M230" s="894"/>
      <c r="N230" s="916"/>
      <c r="O230" s="916"/>
      <c r="P230" s="894"/>
      <c r="Q230" s="894"/>
      <c r="R230" s="916"/>
      <c r="S230" s="916"/>
      <c r="T230" s="894"/>
      <c r="U230" s="894"/>
      <c r="V230" s="921" t="str">
        <f>'refer admin discharge'!H231</f>
        <v>00/00/0000</v>
      </c>
      <c r="W230" s="922"/>
      <c r="X230" s="920"/>
      <c r="Y230" s="920"/>
      <c r="Z230" s="919"/>
      <c r="AA230" s="919"/>
      <c r="AB230" s="920"/>
      <c r="AC230" s="920"/>
      <c r="AD230" s="912"/>
      <c r="AE230" s="912"/>
      <c r="AF230" s="920"/>
      <c r="AG230" s="920"/>
      <c r="AH230" s="912"/>
      <c r="AI230" s="912"/>
      <c r="AJ230" s="920"/>
      <c r="AK230" s="920"/>
      <c r="AL230" s="905"/>
      <c r="AM230" s="906"/>
      <c r="AN230" s="906"/>
      <c r="AO230" s="906"/>
      <c r="AP230" s="906"/>
      <c r="AQ230" s="906"/>
      <c r="AR230" s="906"/>
      <c r="AS230" s="906"/>
      <c r="AT230" s="906"/>
      <c r="AU230" s="906"/>
      <c r="AV230" s="906"/>
      <c r="AW230" s="906"/>
      <c r="AX230" s="906"/>
      <c r="AY230" s="906"/>
      <c r="AZ230" s="906"/>
      <c r="BA230" s="906"/>
      <c r="BB230" s="907"/>
    </row>
    <row r="231" spans="1:54" x14ac:dyDescent="0.25">
      <c r="A231" s="13">
        <f t="shared" si="3"/>
        <v>218</v>
      </c>
      <c r="B231" s="914" t="str">
        <f>'refer admin discharge'!B227</f>
        <v>x</v>
      </c>
      <c r="C231" s="914"/>
      <c r="D231" s="889" t="str">
        <f>'refer admin discharge'!D227</f>
        <v>xx</v>
      </c>
      <c r="E231" s="889"/>
      <c r="F231" s="915" t="str">
        <f>'refer admin discharge'!H227</f>
        <v>00/00/0000</v>
      </c>
      <c r="G231" s="890"/>
      <c r="H231" s="916"/>
      <c r="I231" s="916"/>
      <c r="J231" s="917"/>
      <c r="K231" s="917"/>
      <c r="L231" s="916"/>
      <c r="M231" s="916"/>
      <c r="N231" s="893"/>
      <c r="O231" s="893"/>
      <c r="P231" s="916"/>
      <c r="Q231" s="916"/>
      <c r="R231" s="893"/>
      <c r="S231" s="893"/>
      <c r="T231" s="916"/>
      <c r="U231" s="916"/>
      <c r="V231" s="921" t="str">
        <f>'refer admin discharge'!H232</f>
        <v>00/00/0000</v>
      </c>
      <c r="W231" s="922"/>
      <c r="X231" s="912"/>
      <c r="Y231" s="912"/>
      <c r="Z231" s="924"/>
      <c r="AA231" s="924"/>
      <c r="AB231" s="912"/>
      <c r="AC231" s="912"/>
      <c r="AD231" s="913"/>
      <c r="AE231" s="913"/>
      <c r="AF231" s="912"/>
      <c r="AG231" s="912"/>
      <c r="AH231" s="913"/>
      <c r="AI231" s="913"/>
      <c r="AJ231" s="912"/>
      <c r="AK231" s="912"/>
      <c r="AL231" s="925"/>
      <c r="AM231" s="926"/>
      <c r="AN231" s="926"/>
      <c r="AO231" s="926"/>
      <c r="AP231" s="926"/>
      <c r="AQ231" s="926"/>
      <c r="AR231" s="926"/>
      <c r="AS231" s="926"/>
      <c r="AT231" s="926"/>
      <c r="AU231" s="926"/>
      <c r="AV231" s="926"/>
      <c r="AW231" s="926"/>
      <c r="AX231" s="926"/>
      <c r="AY231" s="926"/>
      <c r="AZ231" s="926"/>
      <c r="BA231" s="926"/>
      <c r="BB231" s="927"/>
    </row>
    <row r="232" spans="1:54" x14ac:dyDescent="0.25">
      <c r="A232" s="13">
        <f t="shared" si="3"/>
        <v>219</v>
      </c>
      <c r="B232" s="888" t="str">
        <f>'refer admin discharge'!B228</f>
        <v>x</v>
      </c>
      <c r="C232" s="888"/>
      <c r="D232" s="868" t="str">
        <f>'refer admin discharge'!D228</f>
        <v>xx</v>
      </c>
      <c r="E232" s="868"/>
      <c r="F232" s="891" t="str">
        <f>'refer admin discharge'!H228</f>
        <v>00/00/0000</v>
      </c>
      <c r="G232" s="892"/>
      <c r="H232" s="894"/>
      <c r="I232" s="894"/>
      <c r="J232" s="918"/>
      <c r="K232" s="918"/>
      <c r="L232" s="894"/>
      <c r="M232" s="894"/>
      <c r="N232" s="916"/>
      <c r="O232" s="916"/>
      <c r="P232" s="894"/>
      <c r="Q232" s="894"/>
      <c r="R232" s="916"/>
      <c r="S232" s="916"/>
      <c r="T232" s="894"/>
      <c r="U232" s="894"/>
      <c r="V232" s="921" t="str">
        <f>'refer admin discharge'!H233</f>
        <v>00/00/0000</v>
      </c>
      <c r="W232" s="922"/>
      <c r="X232" s="920"/>
      <c r="Y232" s="920"/>
      <c r="Z232" s="919"/>
      <c r="AA232" s="919"/>
      <c r="AB232" s="920"/>
      <c r="AC232" s="920"/>
      <c r="AD232" s="912"/>
      <c r="AE232" s="912"/>
      <c r="AF232" s="920"/>
      <c r="AG232" s="920"/>
      <c r="AH232" s="912"/>
      <c r="AI232" s="912"/>
      <c r="AJ232" s="920"/>
      <c r="AK232" s="920"/>
      <c r="AL232" s="905"/>
      <c r="AM232" s="906"/>
      <c r="AN232" s="906"/>
      <c r="AO232" s="906"/>
      <c r="AP232" s="906"/>
      <c r="AQ232" s="906"/>
      <c r="AR232" s="906"/>
      <c r="AS232" s="906"/>
      <c r="AT232" s="906"/>
      <c r="AU232" s="906"/>
      <c r="AV232" s="906"/>
      <c r="AW232" s="906"/>
      <c r="AX232" s="906"/>
      <c r="AY232" s="906"/>
      <c r="AZ232" s="906"/>
      <c r="BA232" s="906"/>
      <c r="BB232" s="907"/>
    </row>
    <row r="233" spans="1:54" x14ac:dyDescent="0.25">
      <c r="A233" s="13">
        <f t="shared" si="3"/>
        <v>220</v>
      </c>
      <c r="B233" s="914" t="str">
        <f>'refer admin discharge'!B229</f>
        <v>x</v>
      </c>
      <c r="C233" s="914"/>
      <c r="D233" s="889" t="str">
        <f>'refer admin discharge'!D229</f>
        <v>xx</v>
      </c>
      <c r="E233" s="889"/>
      <c r="F233" s="915" t="str">
        <f>'refer admin discharge'!H229</f>
        <v>00/00/0000</v>
      </c>
      <c r="G233" s="890"/>
      <c r="H233" s="916"/>
      <c r="I233" s="916"/>
      <c r="J233" s="917"/>
      <c r="K233" s="917"/>
      <c r="L233" s="916"/>
      <c r="M233" s="916"/>
      <c r="N233" s="893"/>
      <c r="O233" s="893"/>
      <c r="P233" s="916"/>
      <c r="Q233" s="916"/>
      <c r="R233" s="893"/>
      <c r="S233" s="893"/>
      <c r="T233" s="916"/>
      <c r="U233" s="916"/>
      <c r="V233" s="921" t="str">
        <f>'refer admin discharge'!H234</f>
        <v>00/00/0000</v>
      </c>
      <c r="W233" s="922"/>
      <c r="X233" s="912"/>
      <c r="Y233" s="912"/>
      <c r="Z233" s="924"/>
      <c r="AA233" s="924"/>
      <c r="AB233" s="912"/>
      <c r="AC233" s="912"/>
      <c r="AD233" s="913"/>
      <c r="AE233" s="913"/>
      <c r="AF233" s="912"/>
      <c r="AG233" s="912"/>
      <c r="AH233" s="913"/>
      <c r="AI233" s="913"/>
      <c r="AJ233" s="912"/>
      <c r="AK233" s="912"/>
      <c r="AL233" s="925"/>
      <c r="AM233" s="926"/>
      <c r="AN233" s="926"/>
      <c r="AO233" s="926"/>
      <c r="AP233" s="926"/>
      <c r="AQ233" s="926"/>
      <c r="AR233" s="926"/>
      <c r="AS233" s="926"/>
      <c r="AT233" s="926"/>
      <c r="AU233" s="926"/>
      <c r="AV233" s="926"/>
      <c r="AW233" s="926"/>
      <c r="AX233" s="926"/>
      <c r="AY233" s="926"/>
      <c r="AZ233" s="926"/>
      <c r="BA233" s="926"/>
      <c r="BB233" s="927"/>
    </row>
    <row r="234" spans="1:54" x14ac:dyDescent="0.25">
      <c r="A234" s="13">
        <f t="shared" si="3"/>
        <v>221</v>
      </c>
      <c r="B234" s="888" t="str">
        <f>'refer admin discharge'!B230</f>
        <v>x</v>
      </c>
      <c r="C234" s="888"/>
      <c r="D234" s="868" t="str">
        <f>'refer admin discharge'!D230</f>
        <v>xx</v>
      </c>
      <c r="E234" s="868"/>
      <c r="F234" s="891" t="str">
        <f>'refer admin discharge'!H230</f>
        <v>00/00/0000</v>
      </c>
      <c r="G234" s="892"/>
      <c r="H234" s="894"/>
      <c r="I234" s="894"/>
      <c r="J234" s="918"/>
      <c r="K234" s="918"/>
      <c r="L234" s="894"/>
      <c r="M234" s="894"/>
      <c r="N234" s="916"/>
      <c r="O234" s="916"/>
      <c r="P234" s="894"/>
      <c r="Q234" s="894"/>
      <c r="R234" s="916"/>
      <c r="S234" s="916"/>
      <c r="T234" s="894"/>
      <c r="U234" s="894"/>
      <c r="V234" s="921" t="str">
        <f>'refer admin discharge'!H235</f>
        <v>00/00/0000</v>
      </c>
      <c r="W234" s="922"/>
      <c r="X234" s="920"/>
      <c r="Y234" s="920"/>
      <c r="Z234" s="919"/>
      <c r="AA234" s="919"/>
      <c r="AB234" s="920"/>
      <c r="AC234" s="920"/>
      <c r="AD234" s="912"/>
      <c r="AE234" s="912"/>
      <c r="AF234" s="920"/>
      <c r="AG234" s="920"/>
      <c r="AH234" s="912"/>
      <c r="AI234" s="912"/>
      <c r="AJ234" s="920"/>
      <c r="AK234" s="920"/>
      <c r="AL234" s="905"/>
      <c r="AM234" s="906"/>
      <c r="AN234" s="906"/>
      <c r="AO234" s="906"/>
      <c r="AP234" s="906"/>
      <c r="AQ234" s="906"/>
      <c r="AR234" s="906"/>
      <c r="AS234" s="906"/>
      <c r="AT234" s="906"/>
      <c r="AU234" s="906"/>
      <c r="AV234" s="906"/>
      <c r="AW234" s="906"/>
      <c r="AX234" s="906"/>
      <c r="AY234" s="906"/>
      <c r="AZ234" s="906"/>
      <c r="BA234" s="906"/>
      <c r="BB234" s="907"/>
    </row>
    <row r="235" spans="1:54" x14ac:dyDescent="0.25">
      <c r="A235" s="13">
        <f t="shared" si="3"/>
        <v>222</v>
      </c>
      <c r="B235" s="914" t="str">
        <f>'refer admin discharge'!B231</f>
        <v>x</v>
      </c>
      <c r="C235" s="914"/>
      <c r="D235" s="889" t="str">
        <f>'refer admin discharge'!D231</f>
        <v>xx</v>
      </c>
      <c r="E235" s="889"/>
      <c r="F235" s="915" t="str">
        <f>'refer admin discharge'!H231</f>
        <v>00/00/0000</v>
      </c>
      <c r="G235" s="890"/>
      <c r="H235" s="916"/>
      <c r="I235" s="916"/>
      <c r="J235" s="917"/>
      <c r="K235" s="917"/>
      <c r="L235" s="916"/>
      <c r="M235" s="916"/>
      <c r="N235" s="893"/>
      <c r="O235" s="893"/>
      <c r="P235" s="916"/>
      <c r="Q235" s="916"/>
      <c r="R235" s="893"/>
      <c r="S235" s="893"/>
      <c r="T235" s="916"/>
      <c r="U235" s="916"/>
      <c r="V235" s="921" t="str">
        <f>'refer admin discharge'!H236</f>
        <v>00/00/0000</v>
      </c>
      <c r="W235" s="922"/>
      <c r="X235" s="912"/>
      <c r="Y235" s="912"/>
      <c r="Z235" s="924"/>
      <c r="AA235" s="924"/>
      <c r="AB235" s="912"/>
      <c r="AC235" s="912"/>
      <c r="AD235" s="913"/>
      <c r="AE235" s="913"/>
      <c r="AF235" s="912"/>
      <c r="AG235" s="912"/>
      <c r="AH235" s="913"/>
      <c r="AI235" s="913"/>
      <c r="AJ235" s="912"/>
      <c r="AK235" s="912"/>
      <c r="AL235" s="925"/>
      <c r="AM235" s="926"/>
      <c r="AN235" s="926"/>
      <c r="AO235" s="926"/>
      <c r="AP235" s="926"/>
      <c r="AQ235" s="926"/>
      <c r="AR235" s="926"/>
      <c r="AS235" s="926"/>
      <c r="AT235" s="926"/>
      <c r="AU235" s="926"/>
      <c r="AV235" s="926"/>
      <c r="AW235" s="926"/>
      <c r="AX235" s="926"/>
      <c r="AY235" s="926"/>
      <c r="AZ235" s="926"/>
      <c r="BA235" s="926"/>
      <c r="BB235" s="927"/>
    </row>
    <row r="236" spans="1:54" x14ac:dyDescent="0.25">
      <c r="A236" s="13">
        <f t="shared" si="3"/>
        <v>223</v>
      </c>
      <c r="B236" s="888" t="str">
        <f>'refer admin discharge'!B232</f>
        <v>x</v>
      </c>
      <c r="C236" s="888"/>
      <c r="D236" s="868" t="str">
        <f>'refer admin discharge'!D232</f>
        <v>xx</v>
      </c>
      <c r="E236" s="868"/>
      <c r="F236" s="891" t="str">
        <f>'refer admin discharge'!H232</f>
        <v>00/00/0000</v>
      </c>
      <c r="G236" s="892"/>
      <c r="H236" s="894"/>
      <c r="I236" s="894"/>
      <c r="J236" s="918"/>
      <c r="K236" s="918"/>
      <c r="L236" s="894"/>
      <c r="M236" s="894"/>
      <c r="N236" s="916"/>
      <c r="O236" s="916"/>
      <c r="P236" s="894"/>
      <c r="Q236" s="894"/>
      <c r="R236" s="916"/>
      <c r="S236" s="916"/>
      <c r="T236" s="894"/>
      <c r="U236" s="894"/>
      <c r="V236" s="921" t="str">
        <f>'refer admin discharge'!H237</f>
        <v>00/00/0000</v>
      </c>
      <c r="W236" s="922"/>
      <c r="X236" s="920"/>
      <c r="Y236" s="920"/>
      <c r="Z236" s="919"/>
      <c r="AA236" s="919"/>
      <c r="AB236" s="920"/>
      <c r="AC236" s="920"/>
      <c r="AD236" s="912"/>
      <c r="AE236" s="912"/>
      <c r="AF236" s="920"/>
      <c r="AG236" s="920"/>
      <c r="AH236" s="912"/>
      <c r="AI236" s="912"/>
      <c r="AJ236" s="920"/>
      <c r="AK236" s="920"/>
      <c r="AL236" s="905"/>
      <c r="AM236" s="906"/>
      <c r="AN236" s="906"/>
      <c r="AO236" s="906"/>
      <c r="AP236" s="906"/>
      <c r="AQ236" s="906"/>
      <c r="AR236" s="906"/>
      <c r="AS236" s="906"/>
      <c r="AT236" s="906"/>
      <c r="AU236" s="906"/>
      <c r="AV236" s="906"/>
      <c r="AW236" s="906"/>
      <c r="AX236" s="906"/>
      <c r="AY236" s="906"/>
      <c r="AZ236" s="906"/>
      <c r="BA236" s="906"/>
      <c r="BB236" s="907"/>
    </row>
    <row r="237" spans="1:54" x14ac:dyDescent="0.25">
      <c r="A237" s="13">
        <f t="shared" si="3"/>
        <v>224</v>
      </c>
      <c r="B237" s="914" t="str">
        <f>'refer admin discharge'!B233</f>
        <v>x</v>
      </c>
      <c r="C237" s="914"/>
      <c r="D237" s="889" t="str">
        <f>'refer admin discharge'!D233</f>
        <v>xx</v>
      </c>
      <c r="E237" s="889"/>
      <c r="F237" s="915" t="str">
        <f>'refer admin discharge'!H233</f>
        <v>00/00/0000</v>
      </c>
      <c r="G237" s="890"/>
      <c r="H237" s="916"/>
      <c r="I237" s="916"/>
      <c r="J237" s="917"/>
      <c r="K237" s="917"/>
      <c r="L237" s="916"/>
      <c r="M237" s="916"/>
      <c r="N237" s="893"/>
      <c r="O237" s="893"/>
      <c r="P237" s="916"/>
      <c r="Q237" s="916"/>
      <c r="R237" s="893"/>
      <c r="S237" s="893"/>
      <c r="T237" s="916"/>
      <c r="U237" s="916"/>
      <c r="V237" s="921" t="str">
        <f>'refer admin discharge'!H238</f>
        <v>00/00/0000</v>
      </c>
      <c r="W237" s="922"/>
      <c r="X237" s="912"/>
      <c r="Y237" s="912"/>
      <c r="Z237" s="924"/>
      <c r="AA237" s="924"/>
      <c r="AB237" s="912"/>
      <c r="AC237" s="912"/>
      <c r="AD237" s="913"/>
      <c r="AE237" s="913"/>
      <c r="AF237" s="912"/>
      <c r="AG237" s="912"/>
      <c r="AH237" s="913"/>
      <c r="AI237" s="913"/>
      <c r="AJ237" s="912"/>
      <c r="AK237" s="912"/>
      <c r="AL237" s="925"/>
      <c r="AM237" s="926"/>
      <c r="AN237" s="926"/>
      <c r="AO237" s="926"/>
      <c r="AP237" s="926"/>
      <c r="AQ237" s="926"/>
      <c r="AR237" s="926"/>
      <c r="AS237" s="926"/>
      <c r="AT237" s="926"/>
      <c r="AU237" s="926"/>
      <c r="AV237" s="926"/>
      <c r="AW237" s="926"/>
      <c r="AX237" s="926"/>
      <c r="AY237" s="926"/>
      <c r="AZ237" s="926"/>
      <c r="BA237" s="926"/>
      <c r="BB237" s="927"/>
    </row>
    <row r="238" spans="1:54" x14ac:dyDescent="0.25">
      <c r="A238" s="13">
        <f t="shared" si="3"/>
        <v>225</v>
      </c>
      <c r="B238" s="888" t="str">
        <f>'refer admin discharge'!B234</f>
        <v>x</v>
      </c>
      <c r="C238" s="888"/>
      <c r="D238" s="868" t="str">
        <f>'refer admin discharge'!D234</f>
        <v>xx</v>
      </c>
      <c r="E238" s="868"/>
      <c r="F238" s="891" t="str">
        <f>'refer admin discharge'!H234</f>
        <v>00/00/0000</v>
      </c>
      <c r="G238" s="892"/>
      <c r="H238" s="894"/>
      <c r="I238" s="894"/>
      <c r="J238" s="918"/>
      <c r="K238" s="918"/>
      <c r="L238" s="894"/>
      <c r="M238" s="894"/>
      <c r="N238" s="916"/>
      <c r="O238" s="916"/>
      <c r="P238" s="894"/>
      <c r="Q238" s="894"/>
      <c r="R238" s="916"/>
      <c r="S238" s="916"/>
      <c r="T238" s="894"/>
      <c r="U238" s="894"/>
      <c r="V238" s="921" t="str">
        <f>'refer admin discharge'!H239</f>
        <v>00/00/0000</v>
      </c>
      <c r="W238" s="922"/>
      <c r="X238" s="920"/>
      <c r="Y238" s="920"/>
      <c r="Z238" s="919"/>
      <c r="AA238" s="919"/>
      <c r="AB238" s="920"/>
      <c r="AC238" s="920"/>
      <c r="AD238" s="912"/>
      <c r="AE238" s="912"/>
      <c r="AF238" s="920"/>
      <c r="AG238" s="920"/>
      <c r="AH238" s="912"/>
      <c r="AI238" s="912"/>
      <c r="AJ238" s="920"/>
      <c r="AK238" s="920"/>
      <c r="AL238" s="905"/>
      <c r="AM238" s="906"/>
      <c r="AN238" s="906"/>
      <c r="AO238" s="906"/>
      <c r="AP238" s="906"/>
      <c r="AQ238" s="906"/>
      <c r="AR238" s="906"/>
      <c r="AS238" s="906"/>
      <c r="AT238" s="906"/>
      <c r="AU238" s="906"/>
      <c r="AV238" s="906"/>
      <c r="AW238" s="906"/>
      <c r="AX238" s="906"/>
      <c r="AY238" s="906"/>
      <c r="AZ238" s="906"/>
      <c r="BA238" s="906"/>
      <c r="BB238" s="907"/>
    </row>
    <row r="239" spans="1:54" x14ac:dyDescent="0.25">
      <c r="A239" s="13">
        <f t="shared" si="3"/>
        <v>226</v>
      </c>
      <c r="B239" s="914" t="str">
        <f>'refer admin discharge'!B235</f>
        <v>x</v>
      </c>
      <c r="C239" s="914"/>
      <c r="D239" s="889" t="str">
        <f>'refer admin discharge'!D235</f>
        <v>xx</v>
      </c>
      <c r="E239" s="889"/>
      <c r="F239" s="915" t="str">
        <f>'refer admin discharge'!H235</f>
        <v>00/00/0000</v>
      </c>
      <c r="G239" s="890"/>
      <c r="H239" s="916"/>
      <c r="I239" s="916"/>
      <c r="J239" s="917"/>
      <c r="K239" s="917"/>
      <c r="L239" s="916"/>
      <c r="M239" s="916"/>
      <c r="N239" s="893"/>
      <c r="O239" s="893"/>
      <c r="P239" s="916"/>
      <c r="Q239" s="916"/>
      <c r="R239" s="893"/>
      <c r="S239" s="893"/>
      <c r="T239" s="916"/>
      <c r="U239" s="916"/>
      <c r="V239" s="921" t="str">
        <f>'refer admin discharge'!H240</f>
        <v>00/00/0000</v>
      </c>
      <c r="W239" s="922"/>
      <c r="X239" s="912"/>
      <c r="Y239" s="912"/>
      <c r="Z239" s="924"/>
      <c r="AA239" s="924"/>
      <c r="AB239" s="912"/>
      <c r="AC239" s="912"/>
      <c r="AD239" s="913"/>
      <c r="AE239" s="913"/>
      <c r="AF239" s="912"/>
      <c r="AG239" s="912"/>
      <c r="AH239" s="913"/>
      <c r="AI239" s="913"/>
      <c r="AJ239" s="912"/>
      <c r="AK239" s="912"/>
      <c r="AL239" s="925"/>
      <c r="AM239" s="926"/>
      <c r="AN239" s="926"/>
      <c r="AO239" s="926"/>
      <c r="AP239" s="926"/>
      <c r="AQ239" s="926"/>
      <c r="AR239" s="926"/>
      <c r="AS239" s="926"/>
      <c r="AT239" s="926"/>
      <c r="AU239" s="926"/>
      <c r="AV239" s="926"/>
      <c r="AW239" s="926"/>
      <c r="AX239" s="926"/>
      <c r="AY239" s="926"/>
      <c r="AZ239" s="926"/>
      <c r="BA239" s="926"/>
      <c r="BB239" s="927"/>
    </row>
    <row r="240" spans="1:54" x14ac:dyDescent="0.25">
      <c r="A240" s="13">
        <f t="shared" si="3"/>
        <v>227</v>
      </c>
      <c r="B240" s="888" t="str">
        <f>'refer admin discharge'!B236</f>
        <v>x</v>
      </c>
      <c r="C240" s="888"/>
      <c r="D240" s="868" t="str">
        <f>'refer admin discharge'!D236</f>
        <v>xx</v>
      </c>
      <c r="E240" s="868"/>
      <c r="F240" s="891" t="str">
        <f>'refer admin discharge'!H236</f>
        <v>00/00/0000</v>
      </c>
      <c r="G240" s="892"/>
      <c r="H240" s="894"/>
      <c r="I240" s="894"/>
      <c r="J240" s="918"/>
      <c r="K240" s="918"/>
      <c r="L240" s="894"/>
      <c r="M240" s="894"/>
      <c r="N240" s="916"/>
      <c r="O240" s="916"/>
      <c r="P240" s="894"/>
      <c r="Q240" s="894"/>
      <c r="R240" s="916"/>
      <c r="S240" s="916"/>
      <c r="T240" s="894"/>
      <c r="U240" s="894"/>
      <c r="V240" s="921" t="str">
        <f>'refer admin discharge'!H241</f>
        <v>00/00/0000</v>
      </c>
      <c r="W240" s="922"/>
      <c r="X240" s="920"/>
      <c r="Y240" s="920"/>
      <c r="Z240" s="919"/>
      <c r="AA240" s="919"/>
      <c r="AB240" s="920"/>
      <c r="AC240" s="920"/>
      <c r="AD240" s="912"/>
      <c r="AE240" s="912"/>
      <c r="AF240" s="920"/>
      <c r="AG240" s="920"/>
      <c r="AH240" s="912"/>
      <c r="AI240" s="912"/>
      <c r="AJ240" s="920"/>
      <c r="AK240" s="920"/>
      <c r="AL240" s="905"/>
      <c r="AM240" s="906"/>
      <c r="AN240" s="906"/>
      <c r="AO240" s="906"/>
      <c r="AP240" s="906"/>
      <c r="AQ240" s="906"/>
      <c r="AR240" s="906"/>
      <c r="AS240" s="906"/>
      <c r="AT240" s="906"/>
      <c r="AU240" s="906"/>
      <c r="AV240" s="906"/>
      <c r="AW240" s="906"/>
      <c r="AX240" s="906"/>
      <c r="AY240" s="906"/>
      <c r="AZ240" s="906"/>
      <c r="BA240" s="906"/>
      <c r="BB240" s="907"/>
    </row>
    <row r="241" spans="1:54" x14ac:dyDescent="0.25">
      <c r="A241" s="13">
        <f t="shared" si="3"/>
        <v>228</v>
      </c>
      <c r="B241" s="914" t="str">
        <f>'refer admin discharge'!B237</f>
        <v>x</v>
      </c>
      <c r="C241" s="914"/>
      <c r="D241" s="889" t="str">
        <f>'refer admin discharge'!D237</f>
        <v>xx</v>
      </c>
      <c r="E241" s="889"/>
      <c r="F241" s="915" t="str">
        <f>'refer admin discharge'!H237</f>
        <v>00/00/0000</v>
      </c>
      <c r="G241" s="890"/>
      <c r="H241" s="916"/>
      <c r="I241" s="916"/>
      <c r="J241" s="917"/>
      <c r="K241" s="917"/>
      <c r="L241" s="916"/>
      <c r="M241" s="916"/>
      <c r="N241" s="893"/>
      <c r="O241" s="893"/>
      <c r="P241" s="916"/>
      <c r="Q241" s="916"/>
      <c r="R241" s="893"/>
      <c r="S241" s="893"/>
      <c r="T241" s="916"/>
      <c r="U241" s="916"/>
      <c r="V241" s="921" t="str">
        <f>'refer admin discharge'!H242</f>
        <v>00/00/0000</v>
      </c>
      <c r="W241" s="922"/>
      <c r="X241" s="912"/>
      <c r="Y241" s="912"/>
      <c r="Z241" s="924"/>
      <c r="AA241" s="924"/>
      <c r="AB241" s="912"/>
      <c r="AC241" s="912"/>
      <c r="AD241" s="913"/>
      <c r="AE241" s="913"/>
      <c r="AF241" s="912"/>
      <c r="AG241" s="912"/>
      <c r="AH241" s="913"/>
      <c r="AI241" s="913"/>
      <c r="AJ241" s="912"/>
      <c r="AK241" s="912"/>
      <c r="AL241" s="925"/>
      <c r="AM241" s="926"/>
      <c r="AN241" s="926"/>
      <c r="AO241" s="926"/>
      <c r="AP241" s="926"/>
      <c r="AQ241" s="926"/>
      <c r="AR241" s="926"/>
      <c r="AS241" s="926"/>
      <c r="AT241" s="926"/>
      <c r="AU241" s="926"/>
      <c r="AV241" s="926"/>
      <c r="AW241" s="926"/>
      <c r="AX241" s="926"/>
      <c r="AY241" s="926"/>
      <c r="AZ241" s="926"/>
      <c r="BA241" s="926"/>
      <c r="BB241" s="927"/>
    </row>
    <row r="242" spans="1:54" x14ac:dyDescent="0.25">
      <c r="A242" s="13">
        <f t="shared" si="3"/>
        <v>229</v>
      </c>
      <c r="B242" s="888" t="str">
        <f>'refer admin discharge'!B238</f>
        <v>x</v>
      </c>
      <c r="C242" s="888"/>
      <c r="D242" s="868" t="str">
        <f>'refer admin discharge'!D238</f>
        <v>xx</v>
      </c>
      <c r="E242" s="868"/>
      <c r="F242" s="891" t="str">
        <f>'refer admin discharge'!H238</f>
        <v>00/00/0000</v>
      </c>
      <c r="G242" s="892"/>
      <c r="H242" s="894"/>
      <c r="I242" s="894"/>
      <c r="J242" s="918"/>
      <c r="K242" s="918"/>
      <c r="L242" s="894"/>
      <c r="M242" s="894"/>
      <c r="N242" s="916"/>
      <c r="O242" s="916"/>
      <c r="P242" s="894"/>
      <c r="Q242" s="894"/>
      <c r="R242" s="916"/>
      <c r="S242" s="916"/>
      <c r="T242" s="894"/>
      <c r="U242" s="894"/>
      <c r="V242" s="921" t="str">
        <f>'refer admin discharge'!H243</f>
        <v>00/00/0000</v>
      </c>
      <c r="W242" s="922"/>
      <c r="X242" s="920"/>
      <c r="Y242" s="920"/>
      <c r="Z242" s="919"/>
      <c r="AA242" s="919"/>
      <c r="AB242" s="920"/>
      <c r="AC242" s="920"/>
      <c r="AD242" s="912"/>
      <c r="AE242" s="912"/>
      <c r="AF242" s="920"/>
      <c r="AG242" s="920"/>
      <c r="AH242" s="912"/>
      <c r="AI242" s="912"/>
      <c r="AJ242" s="920"/>
      <c r="AK242" s="920"/>
      <c r="AL242" s="905"/>
      <c r="AM242" s="906"/>
      <c r="AN242" s="906"/>
      <c r="AO242" s="906"/>
      <c r="AP242" s="906"/>
      <c r="AQ242" s="906"/>
      <c r="AR242" s="906"/>
      <c r="AS242" s="906"/>
      <c r="AT242" s="906"/>
      <c r="AU242" s="906"/>
      <c r="AV242" s="906"/>
      <c r="AW242" s="906"/>
      <c r="AX242" s="906"/>
      <c r="AY242" s="906"/>
      <c r="AZ242" s="906"/>
      <c r="BA242" s="906"/>
      <c r="BB242" s="907"/>
    </row>
    <row r="243" spans="1:54" x14ac:dyDescent="0.25">
      <c r="A243" s="13">
        <f t="shared" si="3"/>
        <v>230</v>
      </c>
      <c r="B243" s="914" t="str">
        <f>'refer admin discharge'!B239</f>
        <v>x</v>
      </c>
      <c r="C243" s="914"/>
      <c r="D243" s="889" t="str">
        <f>'refer admin discharge'!D239</f>
        <v>xx</v>
      </c>
      <c r="E243" s="889"/>
      <c r="F243" s="915" t="str">
        <f>'refer admin discharge'!H239</f>
        <v>00/00/0000</v>
      </c>
      <c r="G243" s="890"/>
      <c r="H243" s="916"/>
      <c r="I243" s="916"/>
      <c r="J243" s="917"/>
      <c r="K243" s="917"/>
      <c r="L243" s="916"/>
      <c r="M243" s="916"/>
      <c r="N243" s="893"/>
      <c r="O243" s="893"/>
      <c r="P243" s="916"/>
      <c r="Q243" s="916"/>
      <c r="R243" s="893"/>
      <c r="S243" s="893"/>
      <c r="T243" s="916"/>
      <c r="U243" s="916"/>
      <c r="V243" s="921" t="str">
        <f>'refer admin discharge'!H244</f>
        <v>00/00/0000</v>
      </c>
      <c r="W243" s="922"/>
      <c r="X243" s="912"/>
      <c r="Y243" s="912"/>
      <c r="Z243" s="924"/>
      <c r="AA243" s="924"/>
      <c r="AB243" s="912"/>
      <c r="AC243" s="912"/>
      <c r="AD243" s="913"/>
      <c r="AE243" s="913"/>
      <c r="AF243" s="912"/>
      <c r="AG243" s="912"/>
      <c r="AH243" s="913"/>
      <c r="AI243" s="913"/>
      <c r="AJ243" s="912"/>
      <c r="AK243" s="912"/>
      <c r="AL243" s="925"/>
      <c r="AM243" s="926"/>
      <c r="AN243" s="926"/>
      <c r="AO243" s="926"/>
      <c r="AP243" s="926"/>
      <c r="AQ243" s="926"/>
      <c r="AR243" s="926"/>
      <c r="AS243" s="926"/>
      <c r="AT243" s="926"/>
      <c r="AU243" s="926"/>
      <c r="AV243" s="926"/>
      <c r="AW243" s="926"/>
      <c r="AX243" s="926"/>
      <c r="AY243" s="926"/>
      <c r="AZ243" s="926"/>
      <c r="BA243" s="926"/>
      <c r="BB243" s="927"/>
    </row>
    <row r="244" spans="1:54" x14ac:dyDescent="0.25">
      <c r="A244" s="13">
        <f t="shared" si="3"/>
        <v>231</v>
      </c>
      <c r="B244" s="888" t="str">
        <f>'refer admin discharge'!B240</f>
        <v>x</v>
      </c>
      <c r="C244" s="888"/>
      <c r="D244" s="868" t="str">
        <f>'refer admin discharge'!D240</f>
        <v>xx</v>
      </c>
      <c r="E244" s="868"/>
      <c r="F244" s="891" t="str">
        <f>'refer admin discharge'!H240</f>
        <v>00/00/0000</v>
      </c>
      <c r="G244" s="892"/>
      <c r="H244" s="894"/>
      <c r="I244" s="894"/>
      <c r="J244" s="918"/>
      <c r="K244" s="918"/>
      <c r="L244" s="894"/>
      <c r="M244" s="894"/>
      <c r="N244" s="916"/>
      <c r="O244" s="916"/>
      <c r="P244" s="894"/>
      <c r="Q244" s="894"/>
      <c r="R244" s="916"/>
      <c r="S244" s="916"/>
      <c r="T244" s="894"/>
      <c r="U244" s="894"/>
      <c r="V244" s="921" t="str">
        <f>'refer admin discharge'!H245</f>
        <v>00/00/0000</v>
      </c>
      <c r="W244" s="922"/>
      <c r="X244" s="920"/>
      <c r="Y244" s="920"/>
      <c r="Z244" s="919"/>
      <c r="AA244" s="919"/>
      <c r="AB244" s="920"/>
      <c r="AC244" s="920"/>
      <c r="AD244" s="912"/>
      <c r="AE244" s="912"/>
      <c r="AF244" s="920"/>
      <c r="AG244" s="920"/>
      <c r="AH244" s="912"/>
      <c r="AI244" s="912"/>
      <c r="AJ244" s="920"/>
      <c r="AK244" s="920"/>
      <c r="AL244" s="905"/>
      <c r="AM244" s="906"/>
      <c r="AN244" s="906"/>
      <c r="AO244" s="906"/>
      <c r="AP244" s="906"/>
      <c r="AQ244" s="906"/>
      <c r="AR244" s="906"/>
      <c r="AS244" s="906"/>
      <c r="AT244" s="906"/>
      <c r="AU244" s="906"/>
      <c r="AV244" s="906"/>
      <c r="AW244" s="906"/>
      <c r="AX244" s="906"/>
      <c r="AY244" s="906"/>
      <c r="AZ244" s="906"/>
      <c r="BA244" s="906"/>
      <c r="BB244" s="907"/>
    </row>
    <row r="245" spans="1:54" x14ac:dyDescent="0.25">
      <c r="A245" s="13">
        <f t="shared" si="3"/>
        <v>232</v>
      </c>
      <c r="B245" s="914" t="str">
        <f>'refer admin discharge'!B241</f>
        <v>x</v>
      </c>
      <c r="C245" s="914"/>
      <c r="D245" s="889" t="str">
        <f>'refer admin discharge'!D241</f>
        <v>xx</v>
      </c>
      <c r="E245" s="889"/>
      <c r="F245" s="915" t="str">
        <f>'refer admin discharge'!H241</f>
        <v>00/00/0000</v>
      </c>
      <c r="G245" s="890"/>
      <c r="H245" s="916"/>
      <c r="I245" s="916"/>
      <c r="J245" s="917"/>
      <c r="K245" s="917"/>
      <c r="L245" s="916"/>
      <c r="M245" s="916"/>
      <c r="N245" s="893"/>
      <c r="O245" s="893"/>
      <c r="P245" s="916"/>
      <c r="Q245" s="916"/>
      <c r="R245" s="893"/>
      <c r="S245" s="893"/>
      <c r="T245" s="916"/>
      <c r="U245" s="916"/>
      <c r="V245" s="921" t="str">
        <f>'refer admin discharge'!H246</f>
        <v>00/00/0000</v>
      </c>
      <c r="W245" s="922"/>
      <c r="X245" s="912"/>
      <c r="Y245" s="912"/>
      <c r="Z245" s="924"/>
      <c r="AA245" s="924"/>
      <c r="AB245" s="912"/>
      <c r="AC245" s="912"/>
      <c r="AD245" s="913"/>
      <c r="AE245" s="913"/>
      <c r="AF245" s="912"/>
      <c r="AG245" s="912"/>
      <c r="AH245" s="913"/>
      <c r="AI245" s="913"/>
      <c r="AJ245" s="912"/>
      <c r="AK245" s="912"/>
      <c r="AL245" s="925"/>
      <c r="AM245" s="926"/>
      <c r="AN245" s="926"/>
      <c r="AO245" s="926"/>
      <c r="AP245" s="926"/>
      <c r="AQ245" s="926"/>
      <c r="AR245" s="926"/>
      <c r="AS245" s="926"/>
      <c r="AT245" s="926"/>
      <c r="AU245" s="926"/>
      <c r="AV245" s="926"/>
      <c r="AW245" s="926"/>
      <c r="AX245" s="926"/>
      <c r="AY245" s="926"/>
      <c r="AZ245" s="926"/>
      <c r="BA245" s="926"/>
      <c r="BB245" s="927"/>
    </row>
    <row r="246" spans="1:54" x14ac:dyDescent="0.25">
      <c r="A246" s="13">
        <f t="shared" si="3"/>
        <v>233</v>
      </c>
      <c r="B246" s="888" t="str">
        <f>'refer admin discharge'!B242</f>
        <v>x</v>
      </c>
      <c r="C246" s="888"/>
      <c r="D246" s="868" t="str">
        <f>'refer admin discharge'!D242</f>
        <v>xx</v>
      </c>
      <c r="E246" s="868"/>
      <c r="F246" s="891" t="str">
        <f>'refer admin discharge'!H242</f>
        <v>00/00/0000</v>
      </c>
      <c r="G246" s="892"/>
      <c r="H246" s="894"/>
      <c r="I246" s="894"/>
      <c r="J246" s="918"/>
      <c r="K246" s="918"/>
      <c r="L246" s="894"/>
      <c r="M246" s="894"/>
      <c r="N246" s="916"/>
      <c r="O246" s="916"/>
      <c r="P246" s="894"/>
      <c r="Q246" s="894"/>
      <c r="R246" s="916"/>
      <c r="S246" s="916"/>
      <c r="T246" s="894"/>
      <c r="U246" s="894"/>
      <c r="V246" s="921" t="str">
        <f>'refer admin discharge'!H247</f>
        <v>00/00/0000</v>
      </c>
      <c r="W246" s="922"/>
      <c r="X246" s="920"/>
      <c r="Y246" s="920"/>
      <c r="Z246" s="919"/>
      <c r="AA246" s="919"/>
      <c r="AB246" s="920"/>
      <c r="AC246" s="920"/>
      <c r="AD246" s="912"/>
      <c r="AE246" s="912"/>
      <c r="AF246" s="920"/>
      <c r="AG246" s="920"/>
      <c r="AH246" s="912"/>
      <c r="AI246" s="912"/>
      <c r="AJ246" s="920"/>
      <c r="AK246" s="920"/>
      <c r="AL246" s="905"/>
      <c r="AM246" s="906"/>
      <c r="AN246" s="906"/>
      <c r="AO246" s="906"/>
      <c r="AP246" s="906"/>
      <c r="AQ246" s="906"/>
      <c r="AR246" s="906"/>
      <c r="AS246" s="906"/>
      <c r="AT246" s="906"/>
      <c r="AU246" s="906"/>
      <c r="AV246" s="906"/>
      <c r="AW246" s="906"/>
      <c r="AX246" s="906"/>
      <c r="AY246" s="906"/>
      <c r="AZ246" s="906"/>
      <c r="BA246" s="906"/>
      <c r="BB246" s="907"/>
    </row>
    <row r="247" spans="1:54" x14ac:dyDescent="0.25">
      <c r="A247" s="13">
        <f t="shared" si="3"/>
        <v>234</v>
      </c>
      <c r="B247" s="914" t="str">
        <f>'refer admin discharge'!B243</f>
        <v>x</v>
      </c>
      <c r="C247" s="914"/>
      <c r="D247" s="889" t="str">
        <f>'refer admin discharge'!D243</f>
        <v>xx</v>
      </c>
      <c r="E247" s="889"/>
      <c r="F247" s="915" t="str">
        <f>'refer admin discharge'!H243</f>
        <v>00/00/0000</v>
      </c>
      <c r="G247" s="890"/>
      <c r="H247" s="916"/>
      <c r="I247" s="916"/>
      <c r="J247" s="917"/>
      <c r="K247" s="917"/>
      <c r="L247" s="916"/>
      <c r="M247" s="916"/>
      <c r="N247" s="893"/>
      <c r="O247" s="893"/>
      <c r="P247" s="916"/>
      <c r="Q247" s="916"/>
      <c r="R247" s="893"/>
      <c r="S247" s="893"/>
      <c r="T247" s="916"/>
      <c r="U247" s="916"/>
      <c r="V247" s="921" t="str">
        <f>'refer admin discharge'!H248</f>
        <v>00/00/0000</v>
      </c>
      <c r="W247" s="922"/>
      <c r="X247" s="912"/>
      <c r="Y247" s="912"/>
      <c r="Z247" s="924"/>
      <c r="AA247" s="924"/>
      <c r="AB247" s="912"/>
      <c r="AC247" s="912"/>
      <c r="AD247" s="913"/>
      <c r="AE247" s="913"/>
      <c r="AF247" s="912"/>
      <c r="AG247" s="912"/>
      <c r="AH247" s="913"/>
      <c r="AI247" s="913"/>
      <c r="AJ247" s="912"/>
      <c r="AK247" s="912"/>
      <c r="AL247" s="925"/>
      <c r="AM247" s="926"/>
      <c r="AN247" s="926"/>
      <c r="AO247" s="926"/>
      <c r="AP247" s="926"/>
      <c r="AQ247" s="926"/>
      <c r="AR247" s="926"/>
      <c r="AS247" s="926"/>
      <c r="AT247" s="926"/>
      <c r="AU247" s="926"/>
      <c r="AV247" s="926"/>
      <c r="AW247" s="926"/>
      <c r="AX247" s="926"/>
      <c r="AY247" s="926"/>
      <c r="AZ247" s="926"/>
      <c r="BA247" s="926"/>
      <c r="BB247" s="927"/>
    </row>
    <row r="248" spans="1:54" x14ac:dyDescent="0.25">
      <c r="A248" s="13">
        <f t="shared" si="3"/>
        <v>235</v>
      </c>
      <c r="B248" s="888" t="str">
        <f>'refer admin discharge'!B244</f>
        <v>x</v>
      </c>
      <c r="C248" s="888"/>
      <c r="D248" s="868" t="str">
        <f>'refer admin discharge'!D244</f>
        <v>xx</v>
      </c>
      <c r="E248" s="868"/>
      <c r="F248" s="891" t="str">
        <f>'refer admin discharge'!H244</f>
        <v>00/00/0000</v>
      </c>
      <c r="G248" s="892"/>
      <c r="H248" s="894"/>
      <c r="I248" s="894"/>
      <c r="J248" s="918"/>
      <c r="K248" s="918"/>
      <c r="L248" s="894"/>
      <c r="M248" s="894"/>
      <c r="N248" s="916"/>
      <c r="O248" s="916"/>
      <c r="P248" s="894"/>
      <c r="Q248" s="894"/>
      <c r="R248" s="916"/>
      <c r="S248" s="916"/>
      <c r="T248" s="894"/>
      <c r="U248" s="894"/>
      <c r="V248" s="921" t="str">
        <f>'refer admin discharge'!H249</f>
        <v>00/00/0000</v>
      </c>
      <c r="W248" s="922"/>
      <c r="X248" s="920"/>
      <c r="Y248" s="920"/>
      <c r="Z248" s="919"/>
      <c r="AA248" s="919"/>
      <c r="AB248" s="920"/>
      <c r="AC248" s="920"/>
      <c r="AD248" s="912"/>
      <c r="AE248" s="912"/>
      <c r="AF248" s="920"/>
      <c r="AG248" s="920"/>
      <c r="AH248" s="912"/>
      <c r="AI248" s="912"/>
      <c r="AJ248" s="920"/>
      <c r="AK248" s="920"/>
      <c r="AL248" s="905"/>
      <c r="AM248" s="906"/>
      <c r="AN248" s="906"/>
      <c r="AO248" s="906"/>
      <c r="AP248" s="906"/>
      <c r="AQ248" s="906"/>
      <c r="AR248" s="906"/>
      <c r="AS248" s="906"/>
      <c r="AT248" s="906"/>
      <c r="AU248" s="906"/>
      <c r="AV248" s="906"/>
      <c r="AW248" s="906"/>
      <c r="AX248" s="906"/>
      <c r="AY248" s="906"/>
      <c r="AZ248" s="906"/>
      <c r="BA248" s="906"/>
      <c r="BB248" s="907"/>
    </row>
    <row r="249" spans="1:54" x14ac:dyDescent="0.25">
      <c r="A249" s="13">
        <f t="shared" si="3"/>
        <v>236</v>
      </c>
      <c r="B249" s="914" t="str">
        <f>'refer admin discharge'!B245</f>
        <v>x</v>
      </c>
      <c r="C249" s="914"/>
      <c r="D249" s="889" t="str">
        <f>'refer admin discharge'!D245</f>
        <v>xx</v>
      </c>
      <c r="E249" s="889"/>
      <c r="F249" s="915" t="str">
        <f>'refer admin discharge'!H245</f>
        <v>00/00/0000</v>
      </c>
      <c r="G249" s="890"/>
      <c r="H249" s="916"/>
      <c r="I249" s="916"/>
      <c r="J249" s="917"/>
      <c r="K249" s="917"/>
      <c r="L249" s="916"/>
      <c r="M249" s="916"/>
      <c r="N249" s="893"/>
      <c r="O249" s="893"/>
      <c r="P249" s="916"/>
      <c r="Q249" s="916"/>
      <c r="R249" s="893"/>
      <c r="S249" s="893"/>
      <c r="T249" s="916"/>
      <c r="U249" s="916"/>
      <c r="V249" s="921" t="str">
        <f>'refer admin discharge'!H250</f>
        <v>00/00/0000</v>
      </c>
      <c r="W249" s="922"/>
      <c r="X249" s="912"/>
      <c r="Y249" s="912"/>
      <c r="Z249" s="924"/>
      <c r="AA249" s="924"/>
      <c r="AB249" s="912"/>
      <c r="AC249" s="912"/>
      <c r="AD249" s="913"/>
      <c r="AE249" s="913"/>
      <c r="AF249" s="912"/>
      <c r="AG249" s="912"/>
      <c r="AH249" s="913"/>
      <c r="AI249" s="913"/>
      <c r="AJ249" s="912"/>
      <c r="AK249" s="912"/>
      <c r="AL249" s="925"/>
      <c r="AM249" s="926"/>
      <c r="AN249" s="926"/>
      <c r="AO249" s="926"/>
      <c r="AP249" s="926"/>
      <c r="AQ249" s="926"/>
      <c r="AR249" s="926"/>
      <c r="AS249" s="926"/>
      <c r="AT249" s="926"/>
      <c r="AU249" s="926"/>
      <c r="AV249" s="926"/>
      <c r="AW249" s="926"/>
      <c r="AX249" s="926"/>
      <c r="AY249" s="926"/>
      <c r="AZ249" s="926"/>
      <c r="BA249" s="926"/>
      <c r="BB249" s="927"/>
    </row>
    <row r="250" spans="1:54" x14ac:dyDescent="0.25">
      <c r="A250" s="13">
        <f t="shared" si="3"/>
        <v>237</v>
      </c>
      <c r="B250" s="888" t="str">
        <f>'refer admin discharge'!B246</f>
        <v>x</v>
      </c>
      <c r="C250" s="888"/>
      <c r="D250" s="868" t="str">
        <f>'refer admin discharge'!D246</f>
        <v>xx</v>
      </c>
      <c r="E250" s="868"/>
      <c r="F250" s="891" t="str">
        <f>'refer admin discharge'!H246</f>
        <v>00/00/0000</v>
      </c>
      <c r="G250" s="892"/>
      <c r="H250" s="894"/>
      <c r="I250" s="894"/>
      <c r="J250" s="918"/>
      <c r="K250" s="918"/>
      <c r="L250" s="894"/>
      <c r="M250" s="894"/>
      <c r="N250" s="916"/>
      <c r="O250" s="916"/>
      <c r="P250" s="894"/>
      <c r="Q250" s="894"/>
      <c r="R250" s="916"/>
      <c r="S250" s="916"/>
      <c r="T250" s="894"/>
      <c r="U250" s="894"/>
      <c r="V250" s="921" t="str">
        <f>'refer admin discharge'!H251</f>
        <v>00/00/0000</v>
      </c>
      <c r="W250" s="922"/>
      <c r="X250" s="920"/>
      <c r="Y250" s="920"/>
      <c r="Z250" s="919"/>
      <c r="AA250" s="919"/>
      <c r="AB250" s="920"/>
      <c r="AC250" s="920"/>
      <c r="AD250" s="912"/>
      <c r="AE250" s="912"/>
      <c r="AF250" s="920"/>
      <c r="AG250" s="920"/>
      <c r="AH250" s="912"/>
      <c r="AI250" s="912"/>
      <c r="AJ250" s="920"/>
      <c r="AK250" s="920"/>
      <c r="AL250" s="905"/>
      <c r="AM250" s="906"/>
      <c r="AN250" s="906"/>
      <c r="AO250" s="906"/>
      <c r="AP250" s="906"/>
      <c r="AQ250" s="906"/>
      <c r="AR250" s="906"/>
      <c r="AS250" s="906"/>
      <c r="AT250" s="906"/>
      <c r="AU250" s="906"/>
      <c r="AV250" s="906"/>
      <c r="AW250" s="906"/>
      <c r="AX250" s="906"/>
      <c r="AY250" s="906"/>
      <c r="AZ250" s="906"/>
      <c r="BA250" s="906"/>
      <c r="BB250" s="907"/>
    </row>
    <row r="251" spans="1:54" x14ac:dyDescent="0.25">
      <c r="A251" s="13">
        <f t="shared" si="3"/>
        <v>238</v>
      </c>
      <c r="B251" s="914" t="str">
        <f>'refer admin discharge'!B247</f>
        <v>x</v>
      </c>
      <c r="C251" s="914"/>
      <c r="D251" s="889" t="str">
        <f>'refer admin discharge'!D247</f>
        <v>xx</v>
      </c>
      <c r="E251" s="889"/>
      <c r="F251" s="915" t="str">
        <f>'refer admin discharge'!H247</f>
        <v>00/00/0000</v>
      </c>
      <c r="G251" s="890"/>
      <c r="H251" s="916"/>
      <c r="I251" s="916"/>
      <c r="J251" s="917"/>
      <c r="K251" s="917"/>
      <c r="L251" s="916"/>
      <c r="M251" s="916"/>
      <c r="N251" s="893"/>
      <c r="O251" s="893"/>
      <c r="P251" s="916"/>
      <c r="Q251" s="916"/>
      <c r="R251" s="893"/>
      <c r="S251" s="893"/>
      <c r="T251" s="916"/>
      <c r="U251" s="916"/>
      <c r="V251" s="921" t="str">
        <f>'refer admin discharge'!H252</f>
        <v>00/00/0000</v>
      </c>
      <c r="W251" s="922"/>
      <c r="X251" s="912"/>
      <c r="Y251" s="912"/>
      <c r="Z251" s="924"/>
      <c r="AA251" s="924"/>
      <c r="AB251" s="912"/>
      <c r="AC251" s="912"/>
      <c r="AD251" s="913"/>
      <c r="AE251" s="913"/>
      <c r="AF251" s="912"/>
      <c r="AG251" s="912"/>
      <c r="AH251" s="913"/>
      <c r="AI251" s="913"/>
      <c r="AJ251" s="912"/>
      <c r="AK251" s="912"/>
      <c r="AL251" s="925"/>
      <c r="AM251" s="926"/>
      <c r="AN251" s="926"/>
      <c r="AO251" s="926"/>
      <c r="AP251" s="926"/>
      <c r="AQ251" s="926"/>
      <c r="AR251" s="926"/>
      <c r="AS251" s="926"/>
      <c r="AT251" s="926"/>
      <c r="AU251" s="926"/>
      <c r="AV251" s="926"/>
      <c r="AW251" s="926"/>
      <c r="AX251" s="926"/>
      <c r="AY251" s="926"/>
      <c r="AZ251" s="926"/>
      <c r="BA251" s="926"/>
      <c r="BB251" s="927"/>
    </row>
    <row r="252" spans="1:54" x14ac:dyDescent="0.25">
      <c r="A252" s="13">
        <f t="shared" si="3"/>
        <v>239</v>
      </c>
      <c r="B252" s="888" t="str">
        <f>'refer admin discharge'!B248</f>
        <v>x</v>
      </c>
      <c r="C252" s="888"/>
      <c r="D252" s="868" t="str">
        <f>'refer admin discharge'!D248</f>
        <v>xx</v>
      </c>
      <c r="E252" s="868"/>
      <c r="F252" s="891" t="str">
        <f>'refer admin discharge'!H248</f>
        <v>00/00/0000</v>
      </c>
      <c r="G252" s="892"/>
      <c r="H252" s="894"/>
      <c r="I252" s="894"/>
      <c r="J252" s="918"/>
      <c r="K252" s="918"/>
      <c r="L252" s="894"/>
      <c r="M252" s="894"/>
      <c r="N252" s="916"/>
      <c r="O252" s="916"/>
      <c r="P252" s="894"/>
      <c r="Q252" s="894"/>
      <c r="R252" s="916"/>
      <c r="S252" s="916"/>
      <c r="T252" s="894"/>
      <c r="U252" s="894"/>
      <c r="V252" s="921" t="str">
        <f>'refer admin discharge'!H253</f>
        <v>00/00/0000</v>
      </c>
      <c r="W252" s="922"/>
      <c r="X252" s="920"/>
      <c r="Y252" s="920"/>
      <c r="Z252" s="919"/>
      <c r="AA252" s="919"/>
      <c r="AB252" s="920"/>
      <c r="AC252" s="920"/>
      <c r="AD252" s="912"/>
      <c r="AE252" s="912"/>
      <c r="AF252" s="920"/>
      <c r="AG252" s="920"/>
      <c r="AH252" s="912"/>
      <c r="AI252" s="912"/>
      <c r="AJ252" s="920"/>
      <c r="AK252" s="920"/>
      <c r="AL252" s="905"/>
      <c r="AM252" s="906"/>
      <c r="AN252" s="906"/>
      <c r="AO252" s="906"/>
      <c r="AP252" s="906"/>
      <c r="AQ252" s="906"/>
      <c r="AR252" s="906"/>
      <c r="AS252" s="906"/>
      <c r="AT252" s="906"/>
      <c r="AU252" s="906"/>
      <c r="AV252" s="906"/>
      <c r="AW252" s="906"/>
      <c r="AX252" s="906"/>
      <c r="AY252" s="906"/>
      <c r="AZ252" s="906"/>
      <c r="BA252" s="906"/>
      <c r="BB252" s="907"/>
    </row>
    <row r="253" spans="1:54" x14ac:dyDescent="0.25">
      <c r="A253" s="13">
        <f t="shared" si="3"/>
        <v>240</v>
      </c>
      <c r="B253" s="914" t="str">
        <f>'refer admin discharge'!B249</f>
        <v>x</v>
      </c>
      <c r="C253" s="914"/>
      <c r="D253" s="889" t="str">
        <f>'refer admin discharge'!D249</f>
        <v>xx</v>
      </c>
      <c r="E253" s="889"/>
      <c r="F253" s="915" t="str">
        <f>'refer admin discharge'!H249</f>
        <v>00/00/0000</v>
      </c>
      <c r="G253" s="890"/>
      <c r="H253" s="916"/>
      <c r="I253" s="916"/>
      <c r="J253" s="917"/>
      <c r="K253" s="917"/>
      <c r="L253" s="916"/>
      <c r="M253" s="916"/>
      <c r="N253" s="893"/>
      <c r="O253" s="893"/>
      <c r="P253" s="916"/>
      <c r="Q253" s="916"/>
      <c r="R253" s="893"/>
      <c r="S253" s="893"/>
      <c r="T253" s="916"/>
      <c r="U253" s="916"/>
      <c r="V253" s="921" t="str">
        <f>'refer admin discharge'!H254</f>
        <v>00/00/0000</v>
      </c>
      <c r="W253" s="922"/>
      <c r="X253" s="912"/>
      <c r="Y253" s="912"/>
      <c r="Z253" s="924"/>
      <c r="AA253" s="924"/>
      <c r="AB253" s="912"/>
      <c r="AC253" s="912"/>
      <c r="AD253" s="913"/>
      <c r="AE253" s="913"/>
      <c r="AF253" s="912"/>
      <c r="AG253" s="912"/>
      <c r="AH253" s="913"/>
      <c r="AI253" s="913"/>
      <c r="AJ253" s="912"/>
      <c r="AK253" s="912"/>
      <c r="AL253" s="925"/>
      <c r="AM253" s="926"/>
      <c r="AN253" s="926"/>
      <c r="AO253" s="926"/>
      <c r="AP253" s="926"/>
      <c r="AQ253" s="926"/>
      <c r="AR253" s="926"/>
      <c r="AS253" s="926"/>
      <c r="AT253" s="926"/>
      <c r="AU253" s="926"/>
      <c r="AV253" s="926"/>
      <c r="AW253" s="926"/>
      <c r="AX253" s="926"/>
      <c r="AY253" s="926"/>
      <c r="AZ253" s="926"/>
      <c r="BA253" s="926"/>
      <c r="BB253" s="927"/>
    </row>
    <row r="254" spans="1:54" x14ac:dyDescent="0.25">
      <c r="A254" s="13">
        <f t="shared" si="3"/>
        <v>241</v>
      </c>
      <c r="B254" s="888" t="str">
        <f>'refer admin discharge'!B250</f>
        <v>x</v>
      </c>
      <c r="C254" s="888"/>
      <c r="D254" s="868" t="str">
        <f>'refer admin discharge'!D250</f>
        <v>xx</v>
      </c>
      <c r="E254" s="868"/>
      <c r="F254" s="891" t="str">
        <f>'refer admin discharge'!H250</f>
        <v>00/00/0000</v>
      </c>
      <c r="G254" s="892"/>
      <c r="H254" s="894"/>
      <c r="I254" s="894"/>
      <c r="J254" s="918"/>
      <c r="K254" s="918"/>
      <c r="L254" s="894"/>
      <c r="M254" s="894"/>
      <c r="N254" s="916"/>
      <c r="O254" s="916"/>
      <c r="P254" s="894"/>
      <c r="Q254" s="894"/>
      <c r="R254" s="916"/>
      <c r="S254" s="916"/>
      <c r="T254" s="894"/>
      <c r="U254" s="894"/>
      <c r="V254" s="921" t="str">
        <f>'refer admin discharge'!H255</f>
        <v>00/00/0000</v>
      </c>
      <c r="W254" s="922"/>
      <c r="X254" s="920"/>
      <c r="Y254" s="920"/>
      <c r="Z254" s="919"/>
      <c r="AA254" s="919"/>
      <c r="AB254" s="920"/>
      <c r="AC254" s="920"/>
      <c r="AD254" s="912"/>
      <c r="AE254" s="912"/>
      <c r="AF254" s="920"/>
      <c r="AG254" s="920"/>
      <c r="AH254" s="912"/>
      <c r="AI254" s="912"/>
      <c r="AJ254" s="920"/>
      <c r="AK254" s="920"/>
      <c r="AL254" s="905"/>
      <c r="AM254" s="906"/>
      <c r="AN254" s="906"/>
      <c r="AO254" s="906"/>
      <c r="AP254" s="906"/>
      <c r="AQ254" s="906"/>
      <c r="AR254" s="906"/>
      <c r="AS254" s="906"/>
      <c r="AT254" s="906"/>
      <c r="AU254" s="906"/>
      <c r="AV254" s="906"/>
      <c r="AW254" s="906"/>
      <c r="AX254" s="906"/>
      <c r="AY254" s="906"/>
      <c r="AZ254" s="906"/>
      <c r="BA254" s="906"/>
      <c r="BB254" s="907"/>
    </row>
    <row r="255" spans="1:54" x14ac:dyDescent="0.25">
      <c r="A255" s="13">
        <f t="shared" si="3"/>
        <v>242</v>
      </c>
      <c r="B255" s="914" t="str">
        <f>'refer admin discharge'!B251</f>
        <v>x</v>
      </c>
      <c r="C255" s="914"/>
      <c r="D255" s="889" t="str">
        <f>'refer admin discharge'!D251</f>
        <v>xx</v>
      </c>
      <c r="E255" s="889"/>
      <c r="F255" s="915" t="str">
        <f>'refer admin discharge'!H251</f>
        <v>00/00/0000</v>
      </c>
      <c r="G255" s="890"/>
      <c r="H255" s="916"/>
      <c r="I255" s="916"/>
      <c r="J255" s="917"/>
      <c r="K255" s="917"/>
      <c r="L255" s="916"/>
      <c r="M255" s="916"/>
      <c r="N255" s="893"/>
      <c r="O255" s="893"/>
      <c r="P255" s="916"/>
      <c r="Q255" s="916"/>
      <c r="R255" s="893"/>
      <c r="S255" s="893"/>
      <c r="T255" s="916"/>
      <c r="U255" s="916"/>
      <c r="V255" s="921" t="str">
        <f>'refer admin discharge'!H256</f>
        <v>00/00/0000</v>
      </c>
      <c r="W255" s="922"/>
      <c r="X255" s="912"/>
      <c r="Y255" s="912"/>
      <c r="Z255" s="924"/>
      <c r="AA255" s="924"/>
      <c r="AB255" s="912"/>
      <c r="AC255" s="912"/>
      <c r="AD255" s="913"/>
      <c r="AE255" s="913"/>
      <c r="AF255" s="912"/>
      <c r="AG255" s="912"/>
      <c r="AH255" s="913"/>
      <c r="AI255" s="913"/>
      <c r="AJ255" s="912"/>
      <c r="AK255" s="912"/>
      <c r="AL255" s="925"/>
      <c r="AM255" s="926"/>
      <c r="AN255" s="926"/>
      <c r="AO255" s="926"/>
      <c r="AP255" s="926"/>
      <c r="AQ255" s="926"/>
      <c r="AR255" s="926"/>
      <c r="AS255" s="926"/>
      <c r="AT255" s="926"/>
      <c r="AU255" s="926"/>
      <c r="AV255" s="926"/>
      <c r="AW255" s="926"/>
      <c r="AX255" s="926"/>
      <c r="AY255" s="926"/>
      <c r="AZ255" s="926"/>
      <c r="BA255" s="926"/>
      <c r="BB255" s="927"/>
    </row>
    <row r="256" spans="1:54" x14ac:dyDescent="0.25">
      <c r="A256" s="13">
        <f t="shared" si="3"/>
        <v>243</v>
      </c>
      <c r="B256" s="888" t="str">
        <f>'refer admin discharge'!B252</f>
        <v>x</v>
      </c>
      <c r="C256" s="888"/>
      <c r="D256" s="868" t="str">
        <f>'refer admin discharge'!D252</f>
        <v>xx</v>
      </c>
      <c r="E256" s="868"/>
      <c r="F256" s="891" t="str">
        <f>'refer admin discharge'!H252</f>
        <v>00/00/0000</v>
      </c>
      <c r="G256" s="892"/>
      <c r="H256" s="894"/>
      <c r="I256" s="894"/>
      <c r="J256" s="918"/>
      <c r="K256" s="918"/>
      <c r="L256" s="894"/>
      <c r="M256" s="894"/>
      <c r="N256" s="916"/>
      <c r="O256" s="916"/>
      <c r="P256" s="894"/>
      <c r="Q256" s="894"/>
      <c r="R256" s="916"/>
      <c r="S256" s="916"/>
      <c r="T256" s="894"/>
      <c r="U256" s="894"/>
      <c r="V256" s="921" t="str">
        <f>'refer admin discharge'!H257</f>
        <v>00/00/0000</v>
      </c>
      <c r="W256" s="922"/>
      <c r="X256" s="920"/>
      <c r="Y256" s="920"/>
      <c r="Z256" s="919"/>
      <c r="AA256" s="919"/>
      <c r="AB256" s="920"/>
      <c r="AC256" s="920"/>
      <c r="AD256" s="912"/>
      <c r="AE256" s="912"/>
      <c r="AF256" s="920"/>
      <c r="AG256" s="920"/>
      <c r="AH256" s="912"/>
      <c r="AI256" s="912"/>
      <c r="AJ256" s="920"/>
      <c r="AK256" s="920"/>
      <c r="AL256" s="905"/>
      <c r="AM256" s="906"/>
      <c r="AN256" s="906"/>
      <c r="AO256" s="906"/>
      <c r="AP256" s="906"/>
      <c r="AQ256" s="906"/>
      <c r="AR256" s="906"/>
      <c r="AS256" s="906"/>
      <c r="AT256" s="906"/>
      <c r="AU256" s="906"/>
      <c r="AV256" s="906"/>
      <c r="AW256" s="906"/>
      <c r="AX256" s="906"/>
      <c r="AY256" s="906"/>
      <c r="AZ256" s="906"/>
      <c r="BA256" s="906"/>
      <c r="BB256" s="907"/>
    </row>
    <row r="257" spans="1:54" x14ac:dyDescent="0.25">
      <c r="A257" s="13">
        <f t="shared" si="3"/>
        <v>244</v>
      </c>
      <c r="B257" s="914" t="str">
        <f>'refer admin discharge'!B253</f>
        <v>x</v>
      </c>
      <c r="C257" s="914"/>
      <c r="D257" s="889" t="str">
        <f>'refer admin discharge'!D253</f>
        <v>xx</v>
      </c>
      <c r="E257" s="889"/>
      <c r="F257" s="915" t="str">
        <f>'refer admin discharge'!H253</f>
        <v>00/00/0000</v>
      </c>
      <c r="G257" s="890"/>
      <c r="H257" s="916"/>
      <c r="I257" s="916"/>
      <c r="J257" s="917"/>
      <c r="K257" s="917"/>
      <c r="L257" s="916"/>
      <c r="M257" s="916"/>
      <c r="N257" s="893"/>
      <c r="O257" s="893"/>
      <c r="P257" s="916"/>
      <c r="Q257" s="916"/>
      <c r="R257" s="893"/>
      <c r="S257" s="893"/>
      <c r="T257" s="916"/>
      <c r="U257" s="916"/>
      <c r="V257" s="921" t="str">
        <f>'refer admin discharge'!H258</f>
        <v>00/00/0000</v>
      </c>
      <c r="W257" s="922"/>
      <c r="X257" s="912"/>
      <c r="Y257" s="912"/>
      <c r="Z257" s="924"/>
      <c r="AA257" s="924"/>
      <c r="AB257" s="912"/>
      <c r="AC257" s="912"/>
      <c r="AD257" s="913"/>
      <c r="AE257" s="913"/>
      <c r="AF257" s="912"/>
      <c r="AG257" s="912"/>
      <c r="AH257" s="913"/>
      <c r="AI257" s="913"/>
      <c r="AJ257" s="912"/>
      <c r="AK257" s="912"/>
      <c r="AL257" s="925"/>
      <c r="AM257" s="926"/>
      <c r="AN257" s="926"/>
      <c r="AO257" s="926"/>
      <c r="AP257" s="926"/>
      <c r="AQ257" s="926"/>
      <c r="AR257" s="926"/>
      <c r="AS257" s="926"/>
      <c r="AT257" s="926"/>
      <c r="AU257" s="926"/>
      <c r="AV257" s="926"/>
      <c r="AW257" s="926"/>
      <c r="AX257" s="926"/>
      <c r="AY257" s="926"/>
      <c r="AZ257" s="926"/>
      <c r="BA257" s="926"/>
      <c r="BB257" s="927"/>
    </row>
    <row r="258" spans="1:54" x14ac:dyDescent="0.25">
      <c r="A258" s="13">
        <f t="shared" si="3"/>
        <v>245</v>
      </c>
      <c r="B258" s="888" t="str">
        <f>'refer admin discharge'!B254</f>
        <v>x</v>
      </c>
      <c r="C258" s="888"/>
      <c r="D258" s="868" t="str">
        <f>'refer admin discharge'!D254</f>
        <v>xx</v>
      </c>
      <c r="E258" s="868"/>
      <c r="F258" s="891" t="str">
        <f>'refer admin discharge'!H254</f>
        <v>00/00/0000</v>
      </c>
      <c r="G258" s="892"/>
      <c r="H258" s="894"/>
      <c r="I258" s="894"/>
      <c r="J258" s="918"/>
      <c r="K258" s="918"/>
      <c r="L258" s="894"/>
      <c r="M258" s="894"/>
      <c r="N258" s="916"/>
      <c r="O258" s="916"/>
      <c r="P258" s="894"/>
      <c r="Q258" s="894"/>
      <c r="R258" s="916"/>
      <c r="S258" s="916"/>
      <c r="T258" s="894"/>
      <c r="U258" s="894"/>
      <c r="V258" s="921" t="str">
        <f>'refer admin discharge'!H259</f>
        <v>00/00/0000</v>
      </c>
      <c r="W258" s="922"/>
      <c r="X258" s="920"/>
      <c r="Y258" s="920"/>
      <c r="Z258" s="919"/>
      <c r="AA258" s="919"/>
      <c r="AB258" s="920"/>
      <c r="AC258" s="920"/>
      <c r="AD258" s="912"/>
      <c r="AE258" s="912"/>
      <c r="AF258" s="920"/>
      <c r="AG258" s="920"/>
      <c r="AH258" s="912"/>
      <c r="AI258" s="912"/>
      <c r="AJ258" s="920"/>
      <c r="AK258" s="920"/>
      <c r="AL258" s="905"/>
      <c r="AM258" s="906"/>
      <c r="AN258" s="906"/>
      <c r="AO258" s="906"/>
      <c r="AP258" s="906"/>
      <c r="AQ258" s="906"/>
      <c r="AR258" s="906"/>
      <c r="AS258" s="906"/>
      <c r="AT258" s="906"/>
      <c r="AU258" s="906"/>
      <c r="AV258" s="906"/>
      <c r="AW258" s="906"/>
      <c r="AX258" s="906"/>
      <c r="AY258" s="906"/>
      <c r="AZ258" s="906"/>
      <c r="BA258" s="906"/>
      <c r="BB258" s="907"/>
    </row>
    <row r="259" spans="1:54" x14ac:dyDescent="0.25">
      <c r="A259" s="13">
        <f t="shared" si="3"/>
        <v>246</v>
      </c>
      <c r="B259" s="914" t="str">
        <f>'refer admin discharge'!B255</f>
        <v>x</v>
      </c>
      <c r="C259" s="914"/>
      <c r="D259" s="889" t="str">
        <f>'refer admin discharge'!D255</f>
        <v>xx</v>
      </c>
      <c r="E259" s="889"/>
      <c r="F259" s="915" t="str">
        <f>'refer admin discharge'!H255</f>
        <v>00/00/0000</v>
      </c>
      <c r="G259" s="890"/>
      <c r="H259" s="916"/>
      <c r="I259" s="916"/>
      <c r="J259" s="917"/>
      <c r="K259" s="917"/>
      <c r="L259" s="916"/>
      <c r="M259" s="916"/>
      <c r="N259" s="893"/>
      <c r="O259" s="893"/>
      <c r="P259" s="916"/>
      <c r="Q259" s="916"/>
      <c r="R259" s="893"/>
      <c r="S259" s="893"/>
      <c r="T259" s="916"/>
      <c r="U259" s="916"/>
      <c r="V259" s="921" t="str">
        <f>'refer admin discharge'!H260</f>
        <v>00/00/0000</v>
      </c>
      <c r="W259" s="922"/>
      <c r="X259" s="912"/>
      <c r="Y259" s="912"/>
      <c r="Z259" s="924"/>
      <c r="AA259" s="924"/>
      <c r="AB259" s="912"/>
      <c r="AC259" s="912"/>
      <c r="AD259" s="913"/>
      <c r="AE259" s="913"/>
      <c r="AF259" s="912"/>
      <c r="AG259" s="912"/>
      <c r="AH259" s="913"/>
      <c r="AI259" s="913"/>
      <c r="AJ259" s="912"/>
      <c r="AK259" s="912"/>
      <c r="AL259" s="925"/>
      <c r="AM259" s="926"/>
      <c r="AN259" s="926"/>
      <c r="AO259" s="926"/>
      <c r="AP259" s="926"/>
      <c r="AQ259" s="926"/>
      <c r="AR259" s="926"/>
      <c r="AS259" s="926"/>
      <c r="AT259" s="926"/>
      <c r="AU259" s="926"/>
      <c r="AV259" s="926"/>
      <c r="AW259" s="926"/>
      <c r="AX259" s="926"/>
      <c r="AY259" s="926"/>
      <c r="AZ259" s="926"/>
      <c r="BA259" s="926"/>
      <c r="BB259" s="927"/>
    </row>
    <row r="260" spans="1:54" x14ac:dyDescent="0.25">
      <c r="A260" s="13">
        <f t="shared" si="3"/>
        <v>247</v>
      </c>
      <c r="B260" s="888" t="str">
        <f>'refer admin discharge'!B256</f>
        <v>x</v>
      </c>
      <c r="C260" s="888"/>
      <c r="D260" s="868" t="str">
        <f>'refer admin discharge'!D256</f>
        <v>xx</v>
      </c>
      <c r="E260" s="868"/>
      <c r="F260" s="891" t="str">
        <f>'refer admin discharge'!H256</f>
        <v>00/00/0000</v>
      </c>
      <c r="G260" s="892"/>
      <c r="H260" s="894"/>
      <c r="I260" s="894"/>
      <c r="J260" s="918"/>
      <c r="K260" s="918"/>
      <c r="L260" s="894"/>
      <c r="M260" s="894"/>
      <c r="N260" s="916"/>
      <c r="O260" s="916"/>
      <c r="P260" s="894"/>
      <c r="Q260" s="894"/>
      <c r="R260" s="916"/>
      <c r="S260" s="916"/>
      <c r="T260" s="894"/>
      <c r="U260" s="894"/>
      <c r="V260" s="921" t="str">
        <f>'refer admin discharge'!H261</f>
        <v>00/00/0000</v>
      </c>
      <c r="W260" s="922"/>
      <c r="X260" s="920"/>
      <c r="Y260" s="920"/>
      <c r="Z260" s="919"/>
      <c r="AA260" s="919"/>
      <c r="AB260" s="920"/>
      <c r="AC260" s="920"/>
      <c r="AD260" s="912"/>
      <c r="AE260" s="912"/>
      <c r="AF260" s="920"/>
      <c r="AG260" s="920"/>
      <c r="AH260" s="912"/>
      <c r="AI260" s="912"/>
      <c r="AJ260" s="920"/>
      <c r="AK260" s="920"/>
      <c r="AL260" s="905"/>
      <c r="AM260" s="906"/>
      <c r="AN260" s="906"/>
      <c r="AO260" s="906"/>
      <c r="AP260" s="906"/>
      <c r="AQ260" s="906"/>
      <c r="AR260" s="906"/>
      <c r="AS260" s="906"/>
      <c r="AT260" s="906"/>
      <c r="AU260" s="906"/>
      <c r="AV260" s="906"/>
      <c r="AW260" s="906"/>
      <c r="AX260" s="906"/>
      <c r="AY260" s="906"/>
      <c r="AZ260" s="906"/>
      <c r="BA260" s="906"/>
      <c r="BB260" s="907"/>
    </row>
    <row r="261" spans="1:54" x14ac:dyDescent="0.25">
      <c r="A261" s="13">
        <f t="shared" si="3"/>
        <v>248</v>
      </c>
      <c r="B261" s="914" t="str">
        <f>'refer admin discharge'!B257</f>
        <v>x</v>
      </c>
      <c r="C261" s="914"/>
      <c r="D261" s="889" t="str">
        <f>'refer admin discharge'!D257</f>
        <v>xx</v>
      </c>
      <c r="E261" s="889"/>
      <c r="F261" s="915" t="str">
        <f>'refer admin discharge'!H257</f>
        <v>00/00/0000</v>
      </c>
      <c r="G261" s="890"/>
      <c r="H261" s="916"/>
      <c r="I261" s="916"/>
      <c r="J261" s="917"/>
      <c r="K261" s="917"/>
      <c r="L261" s="916"/>
      <c r="M261" s="916"/>
      <c r="N261" s="893"/>
      <c r="O261" s="893"/>
      <c r="P261" s="916"/>
      <c r="Q261" s="916"/>
      <c r="R261" s="893"/>
      <c r="S261" s="893"/>
      <c r="T261" s="916"/>
      <c r="U261" s="916"/>
      <c r="V261" s="921" t="str">
        <f>'refer admin discharge'!H262</f>
        <v>00/00/0000</v>
      </c>
      <c r="W261" s="922"/>
      <c r="X261" s="912"/>
      <c r="Y261" s="912"/>
      <c r="Z261" s="924"/>
      <c r="AA261" s="924"/>
      <c r="AB261" s="912"/>
      <c r="AC261" s="912"/>
      <c r="AD261" s="913"/>
      <c r="AE261" s="913"/>
      <c r="AF261" s="912"/>
      <c r="AG261" s="912"/>
      <c r="AH261" s="913"/>
      <c r="AI261" s="913"/>
      <c r="AJ261" s="912"/>
      <c r="AK261" s="912"/>
      <c r="AL261" s="925"/>
      <c r="AM261" s="926"/>
      <c r="AN261" s="926"/>
      <c r="AO261" s="926"/>
      <c r="AP261" s="926"/>
      <c r="AQ261" s="926"/>
      <c r="AR261" s="926"/>
      <c r="AS261" s="926"/>
      <c r="AT261" s="926"/>
      <c r="AU261" s="926"/>
      <c r="AV261" s="926"/>
      <c r="AW261" s="926"/>
      <c r="AX261" s="926"/>
      <c r="AY261" s="926"/>
      <c r="AZ261" s="926"/>
      <c r="BA261" s="926"/>
      <c r="BB261" s="927"/>
    </row>
    <row r="262" spans="1:54" x14ac:dyDescent="0.25">
      <c r="A262" s="13">
        <f t="shared" si="3"/>
        <v>249</v>
      </c>
      <c r="B262" s="888" t="str">
        <f>'refer admin discharge'!B258</f>
        <v>x</v>
      </c>
      <c r="C262" s="888"/>
      <c r="D262" s="868" t="str">
        <f>'refer admin discharge'!D258</f>
        <v>xx</v>
      </c>
      <c r="E262" s="868"/>
      <c r="F262" s="891" t="str">
        <f>'refer admin discharge'!H258</f>
        <v>00/00/0000</v>
      </c>
      <c r="G262" s="892"/>
      <c r="H262" s="894"/>
      <c r="I262" s="894"/>
      <c r="J262" s="918"/>
      <c r="K262" s="918"/>
      <c r="L262" s="894"/>
      <c r="M262" s="894"/>
      <c r="N262" s="916"/>
      <c r="O262" s="916"/>
      <c r="P262" s="894"/>
      <c r="Q262" s="894"/>
      <c r="R262" s="916"/>
      <c r="S262" s="916"/>
      <c r="T262" s="894"/>
      <c r="U262" s="894"/>
      <c r="V262" s="921" t="str">
        <f>'refer admin discharge'!H263</f>
        <v>00/00/0000</v>
      </c>
      <c r="W262" s="922"/>
      <c r="X262" s="920"/>
      <c r="Y262" s="920"/>
      <c r="Z262" s="919"/>
      <c r="AA262" s="919"/>
      <c r="AB262" s="920"/>
      <c r="AC262" s="920"/>
      <c r="AD262" s="912"/>
      <c r="AE262" s="912"/>
      <c r="AF262" s="920"/>
      <c r="AG262" s="920"/>
      <c r="AH262" s="912"/>
      <c r="AI262" s="912"/>
      <c r="AJ262" s="920"/>
      <c r="AK262" s="920"/>
      <c r="AL262" s="905"/>
      <c r="AM262" s="906"/>
      <c r="AN262" s="906"/>
      <c r="AO262" s="906"/>
      <c r="AP262" s="906"/>
      <c r="AQ262" s="906"/>
      <c r="AR262" s="906"/>
      <c r="AS262" s="906"/>
      <c r="AT262" s="906"/>
      <c r="AU262" s="906"/>
      <c r="AV262" s="906"/>
      <c r="AW262" s="906"/>
      <c r="AX262" s="906"/>
      <c r="AY262" s="906"/>
      <c r="AZ262" s="906"/>
      <c r="BA262" s="906"/>
      <c r="BB262" s="907"/>
    </row>
    <row r="263" spans="1:54" x14ac:dyDescent="0.25">
      <c r="A263" s="13">
        <f t="shared" si="3"/>
        <v>250</v>
      </c>
      <c r="B263" s="914" t="str">
        <f>'refer admin discharge'!B259</f>
        <v>x</v>
      </c>
      <c r="C263" s="914"/>
      <c r="D263" s="889" t="str">
        <f>'refer admin discharge'!D259</f>
        <v>xx</v>
      </c>
      <c r="E263" s="889"/>
      <c r="F263" s="915" t="str">
        <f>'refer admin discharge'!H259</f>
        <v>00/00/0000</v>
      </c>
      <c r="G263" s="890"/>
      <c r="H263" s="916"/>
      <c r="I263" s="916"/>
      <c r="J263" s="917"/>
      <c r="K263" s="917"/>
      <c r="L263" s="916"/>
      <c r="M263" s="916"/>
      <c r="N263" s="893"/>
      <c r="O263" s="893"/>
      <c r="P263" s="916"/>
      <c r="Q263" s="916"/>
      <c r="R263" s="893"/>
      <c r="S263" s="893"/>
      <c r="T263" s="916"/>
      <c r="U263" s="916"/>
      <c r="V263" s="921" t="str">
        <f>'refer admin discharge'!H264</f>
        <v>00/00/0000</v>
      </c>
      <c r="W263" s="922"/>
      <c r="X263" s="912"/>
      <c r="Y263" s="912"/>
      <c r="Z263" s="924"/>
      <c r="AA263" s="924"/>
      <c r="AB263" s="912"/>
      <c r="AC263" s="912"/>
      <c r="AD263" s="913"/>
      <c r="AE263" s="913"/>
      <c r="AF263" s="912"/>
      <c r="AG263" s="912"/>
      <c r="AH263" s="913"/>
      <c r="AI263" s="913"/>
      <c r="AJ263" s="912"/>
      <c r="AK263" s="912"/>
      <c r="AL263" s="925"/>
      <c r="AM263" s="926"/>
      <c r="AN263" s="926"/>
      <c r="AO263" s="926"/>
      <c r="AP263" s="926"/>
      <c r="AQ263" s="926"/>
      <c r="AR263" s="926"/>
      <c r="AS263" s="926"/>
      <c r="AT263" s="926"/>
      <c r="AU263" s="926"/>
      <c r="AV263" s="926"/>
      <c r="AW263" s="926"/>
      <c r="AX263" s="926"/>
      <c r="AY263" s="926"/>
      <c r="AZ263" s="926"/>
      <c r="BA263" s="926"/>
      <c r="BB263" s="927"/>
    </row>
    <row r="264" spans="1:54" x14ac:dyDescent="0.25">
      <c r="A264" s="13">
        <f t="shared" si="3"/>
        <v>251</v>
      </c>
      <c r="B264" s="888" t="str">
        <f>'refer admin discharge'!B260</f>
        <v>x</v>
      </c>
      <c r="C264" s="888"/>
      <c r="D264" s="868" t="str">
        <f>'refer admin discharge'!D260</f>
        <v>xx</v>
      </c>
      <c r="E264" s="868"/>
      <c r="F264" s="891" t="str">
        <f>'refer admin discharge'!H260</f>
        <v>00/00/0000</v>
      </c>
      <c r="G264" s="892"/>
      <c r="H264" s="894"/>
      <c r="I264" s="894"/>
      <c r="J264" s="918"/>
      <c r="K264" s="918"/>
      <c r="L264" s="894"/>
      <c r="M264" s="894"/>
      <c r="N264" s="916"/>
      <c r="O264" s="916"/>
      <c r="P264" s="894"/>
      <c r="Q264" s="894"/>
      <c r="R264" s="916"/>
      <c r="S264" s="916"/>
      <c r="T264" s="894"/>
      <c r="U264" s="894"/>
      <c r="V264" s="921" t="str">
        <f>'refer admin discharge'!H265</f>
        <v>00/00/0000</v>
      </c>
      <c r="W264" s="922"/>
      <c r="X264" s="920"/>
      <c r="Y264" s="920"/>
      <c r="Z264" s="919"/>
      <c r="AA264" s="919"/>
      <c r="AB264" s="920"/>
      <c r="AC264" s="920"/>
      <c r="AD264" s="912"/>
      <c r="AE264" s="912"/>
      <c r="AF264" s="920"/>
      <c r="AG264" s="920"/>
      <c r="AH264" s="912"/>
      <c r="AI264" s="912"/>
      <c r="AJ264" s="920"/>
      <c r="AK264" s="920"/>
      <c r="AL264" s="905"/>
      <c r="AM264" s="906"/>
      <c r="AN264" s="906"/>
      <c r="AO264" s="906"/>
      <c r="AP264" s="906"/>
      <c r="AQ264" s="906"/>
      <c r="AR264" s="906"/>
      <c r="AS264" s="906"/>
      <c r="AT264" s="906"/>
      <c r="AU264" s="906"/>
      <c r="AV264" s="906"/>
      <c r="AW264" s="906"/>
      <c r="AX264" s="906"/>
      <c r="AY264" s="906"/>
      <c r="AZ264" s="906"/>
      <c r="BA264" s="906"/>
      <c r="BB264" s="907"/>
    </row>
    <row r="265" spans="1:54" x14ac:dyDescent="0.25">
      <c r="A265" s="13">
        <f t="shared" si="3"/>
        <v>252</v>
      </c>
      <c r="B265" s="914" t="str">
        <f>'refer admin discharge'!B261</f>
        <v>x</v>
      </c>
      <c r="C265" s="914"/>
      <c r="D265" s="889" t="str">
        <f>'refer admin discharge'!D261</f>
        <v>xx</v>
      </c>
      <c r="E265" s="889"/>
      <c r="F265" s="915" t="str">
        <f>'refer admin discharge'!H261</f>
        <v>00/00/0000</v>
      </c>
      <c r="G265" s="890"/>
      <c r="H265" s="916"/>
      <c r="I265" s="916"/>
      <c r="J265" s="917"/>
      <c r="K265" s="917"/>
      <c r="L265" s="916"/>
      <c r="M265" s="916"/>
      <c r="N265" s="893"/>
      <c r="O265" s="893"/>
      <c r="P265" s="916"/>
      <c r="Q265" s="916"/>
      <c r="R265" s="893"/>
      <c r="S265" s="893"/>
      <c r="T265" s="916"/>
      <c r="U265" s="916"/>
      <c r="V265" s="921" t="str">
        <f>'refer admin discharge'!H266</f>
        <v>00/00/0000</v>
      </c>
      <c r="W265" s="922"/>
      <c r="X265" s="912"/>
      <c r="Y265" s="912"/>
      <c r="Z265" s="924"/>
      <c r="AA265" s="924"/>
      <c r="AB265" s="912"/>
      <c r="AC265" s="912"/>
      <c r="AD265" s="913"/>
      <c r="AE265" s="913"/>
      <c r="AF265" s="912"/>
      <c r="AG265" s="912"/>
      <c r="AH265" s="913"/>
      <c r="AI265" s="913"/>
      <c r="AJ265" s="912"/>
      <c r="AK265" s="912"/>
      <c r="AL265" s="925"/>
      <c r="AM265" s="926"/>
      <c r="AN265" s="926"/>
      <c r="AO265" s="926"/>
      <c r="AP265" s="926"/>
      <c r="AQ265" s="926"/>
      <c r="AR265" s="926"/>
      <c r="AS265" s="926"/>
      <c r="AT265" s="926"/>
      <c r="AU265" s="926"/>
      <c r="AV265" s="926"/>
      <c r="AW265" s="926"/>
      <c r="AX265" s="926"/>
      <c r="AY265" s="926"/>
      <c r="AZ265" s="926"/>
      <c r="BA265" s="926"/>
      <c r="BB265" s="927"/>
    </row>
    <row r="266" spans="1:54" x14ac:dyDescent="0.25">
      <c r="A266" s="13">
        <f t="shared" si="3"/>
        <v>253</v>
      </c>
      <c r="B266" s="888" t="str">
        <f>'refer admin discharge'!B262</f>
        <v>x</v>
      </c>
      <c r="C266" s="888"/>
      <c r="D266" s="868" t="str">
        <f>'refer admin discharge'!D262</f>
        <v>xx</v>
      </c>
      <c r="E266" s="868"/>
      <c r="F266" s="891" t="str">
        <f>'refer admin discharge'!H262</f>
        <v>00/00/0000</v>
      </c>
      <c r="G266" s="892"/>
      <c r="H266" s="894"/>
      <c r="I266" s="894"/>
      <c r="J266" s="918"/>
      <c r="K266" s="918"/>
      <c r="L266" s="894"/>
      <c r="M266" s="894"/>
      <c r="N266" s="916"/>
      <c r="O266" s="916"/>
      <c r="P266" s="894"/>
      <c r="Q266" s="894"/>
      <c r="R266" s="916"/>
      <c r="S266" s="916"/>
      <c r="T266" s="894"/>
      <c r="U266" s="894"/>
      <c r="V266" s="921" t="str">
        <f>'refer admin discharge'!H267</f>
        <v>00/00/0000</v>
      </c>
      <c r="W266" s="922"/>
      <c r="X266" s="920"/>
      <c r="Y266" s="920"/>
      <c r="Z266" s="919"/>
      <c r="AA266" s="919"/>
      <c r="AB266" s="920"/>
      <c r="AC266" s="920"/>
      <c r="AD266" s="912"/>
      <c r="AE266" s="912"/>
      <c r="AF266" s="920"/>
      <c r="AG266" s="920"/>
      <c r="AH266" s="912"/>
      <c r="AI266" s="912"/>
      <c r="AJ266" s="920"/>
      <c r="AK266" s="920"/>
      <c r="AL266" s="905"/>
      <c r="AM266" s="906"/>
      <c r="AN266" s="906"/>
      <c r="AO266" s="906"/>
      <c r="AP266" s="906"/>
      <c r="AQ266" s="906"/>
      <c r="AR266" s="906"/>
      <c r="AS266" s="906"/>
      <c r="AT266" s="906"/>
      <c r="AU266" s="906"/>
      <c r="AV266" s="906"/>
      <c r="AW266" s="906"/>
      <c r="AX266" s="906"/>
      <c r="AY266" s="906"/>
      <c r="AZ266" s="906"/>
      <c r="BA266" s="906"/>
      <c r="BB266" s="907"/>
    </row>
    <row r="267" spans="1:54" x14ac:dyDescent="0.25">
      <c r="A267" s="13">
        <f t="shared" si="3"/>
        <v>254</v>
      </c>
      <c r="B267" s="914" t="str">
        <f>'refer admin discharge'!B263</f>
        <v>x</v>
      </c>
      <c r="C267" s="914"/>
      <c r="D267" s="889" t="str">
        <f>'refer admin discharge'!D263</f>
        <v>xx</v>
      </c>
      <c r="E267" s="889"/>
      <c r="F267" s="915" t="str">
        <f>'refer admin discharge'!H263</f>
        <v>00/00/0000</v>
      </c>
      <c r="G267" s="890"/>
      <c r="H267" s="916"/>
      <c r="I267" s="916"/>
      <c r="J267" s="917"/>
      <c r="K267" s="917"/>
      <c r="L267" s="916"/>
      <c r="M267" s="916"/>
      <c r="N267" s="893"/>
      <c r="O267" s="893"/>
      <c r="P267" s="916"/>
      <c r="Q267" s="916"/>
      <c r="R267" s="893"/>
      <c r="S267" s="893"/>
      <c r="T267" s="916"/>
      <c r="U267" s="916"/>
      <c r="V267" s="921" t="str">
        <f>'refer admin discharge'!H268</f>
        <v>00/00/0000</v>
      </c>
      <c r="W267" s="922"/>
      <c r="X267" s="912"/>
      <c r="Y267" s="912"/>
      <c r="Z267" s="924"/>
      <c r="AA267" s="924"/>
      <c r="AB267" s="912"/>
      <c r="AC267" s="912"/>
      <c r="AD267" s="913"/>
      <c r="AE267" s="913"/>
      <c r="AF267" s="912"/>
      <c r="AG267" s="912"/>
      <c r="AH267" s="913"/>
      <c r="AI267" s="913"/>
      <c r="AJ267" s="912"/>
      <c r="AK267" s="912"/>
      <c r="AL267" s="925"/>
      <c r="AM267" s="926"/>
      <c r="AN267" s="926"/>
      <c r="AO267" s="926"/>
      <c r="AP267" s="926"/>
      <c r="AQ267" s="926"/>
      <c r="AR267" s="926"/>
      <c r="AS267" s="926"/>
      <c r="AT267" s="926"/>
      <c r="AU267" s="926"/>
      <c r="AV267" s="926"/>
      <c r="AW267" s="926"/>
      <c r="AX267" s="926"/>
      <c r="AY267" s="926"/>
      <c r="AZ267" s="926"/>
      <c r="BA267" s="926"/>
      <c r="BB267" s="927"/>
    </row>
    <row r="268" spans="1:54" x14ac:dyDescent="0.25">
      <c r="A268" s="13">
        <f t="shared" si="3"/>
        <v>255</v>
      </c>
      <c r="B268" s="888" t="str">
        <f>'refer admin discharge'!B264</f>
        <v>x</v>
      </c>
      <c r="C268" s="888"/>
      <c r="D268" s="868" t="str">
        <f>'refer admin discharge'!D264</f>
        <v>xx</v>
      </c>
      <c r="E268" s="868"/>
      <c r="F268" s="891" t="str">
        <f>'refer admin discharge'!H264</f>
        <v>00/00/0000</v>
      </c>
      <c r="G268" s="892"/>
      <c r="H268" s="894"/>
      <c r="I268" s="894"/>
      <c r="J268" s="918"/>
      <c r="K268" s="918"/>
      <c r="L268" s="894"/>
      <c r="M268" s="894"/>
      <c r="N268" s="916"/>
      <c r="O268" s="916"/>
      <c r="P268" s="894"/>
      <c r="Q268" s="894"/>
      <c r="R268" s="916"/>
      <c r="S268" s="916"/>
      <c r="T268" s="894"/>
      <c r="U268" s="894"/>
      <c r="V268" s="921" t="str">
        <f>'refer admin discharge'!H269</f>
        <v>00/00/0000</v>
      </c>
      <c r="W268" s="922"/>
      <c r="X268" s="920"/>
      <c r="Y268" s="920"/>
      <c r="Z268" s="919"/>
      <c r="AA268" s="919"/>
      <c r="AB268" s="920"/>
      <c r="AC268" s="920"/>
      <c r="AD268" s="912"/>
      <c r="AE268" s="912"/>
      <c r="AF268" s="920"/>
      <c r="AG268" s="920"/>
      <c r="AH268" s="912"/>
      <c r="AI268" s="912"/>
      <c r="AJ268" s="920"/>
      <c r="AK268" s="920"/>
      <c r="AL268" s="905"/>
      <c r="AM268" s="906"/>
      <c r="AN268" s="906"/>
      <c r="AO268" s="906"/>
      <c r="AP268" s="906"/>
      <c r="AQ268" s="906"/>
      <c r="AR268" s="906"/>
      <c r="AS268" s="906"/>
      <c r="AT268" s="906"/>
      <c r="AU268" s="906"/>
      <c r="AV268" s="906"/>
      <c r="AW268" s="906"/>
      <c r="AX268" s="906"/>
      <c r="AY268" s="906"/>
      <c r="AZ268" s="906"/>
      <c r="BA268" s="906"/>
      <c r="BB268" s="907"/>
    </row>
    <row r="269" spans="1:54" x14ac:dyDescent="0.25">
      <c r="A269" s="13">
        <f t="shared" si="3"/>
        <v>256</v>
      </c>
      <c r="B269" s="914" t="str">
        <f>'refer admin discharge'!B265</f>
        <v>x</v>
      </c>
      <c r="C269" s="914"/>
      <c r="D269" s="889" t="str">
        <f>'refer admin discharge'!D265</f>
        <v>xx</v>
      </c>
      <c r="E269" s="889"/>
      <c r="F269" s="915" t="str">
        <f>'refer admin discharge'!H265</f>
        <v>00/00/0000</v>
      </c>
      <c r="G269" s="890"/>
      <c r="H269" s="916"/>
      <c r="I269" s="916"/>
      <c r="J269" s="917"/>
      <c r="K269" s="917"/>
      <c r="L269" s="916"/>
      <c r="M269" s="916"/>
      <c r="N269" s="893"/>
      <c r="O269" s="893"/>
      <c r="P269" s="916"/>
      <c r="Q269" s="916"/>
      <c r="R269" s="893"/>
      <c r="S269" s="893"/>
      <c r="T269" s="916"/>
      <c r="U269" s="916"/>
      <c r="V269" s="921" t="str">
        <f>'refer admin discharge'!H270</f>
        <v>00/00/0000</v>
      </c>
      <c r="W269" s="922"/>
      <c r="X269" s="912"/>
      <c r="Y269" s="912"/>
      <c r="Z269" s="924"/>
      <c r="AA269" s="924"/>
      <c r="AB269" s="912"/>
      <c r="AC269" s="912"/>
      <c r="AD269" s="913"/>
      <c r="AE269" s="913"/>
      <c r="AF269" s="912"/>
      <c r="AG269" s="912"/>
      <c r="AH269" s="913"/>
      <c r="AI269" s="913"/>
      <c r="AJ269" s="912"/>
      <c r="AK269" s="912"/>
      <c r="AL269" s="925"/>
      <c r="AM269" s="926"/>
      <c r="AN269" s="926"/>
      <c r="AO269" s="926"/>
      <c r="AP269" s="926"/>
      <c r="AQ269" s="926"/>
      <c r="AR269" s="926"/>
      <c r="AS269" s="926"/>
      <c r="AT269" s="926"/>
      <c r="AU269" s="926"/>
      <c r="AV269" s="926"/>
      <c r="AW269" s="926"/>
      <c r="AX269" s="926"/>
      <c r="AY269" s="926"/>
      <c r="AZ269" s="926"/>
      <c r="BA269" s="926"/>
      <c r="BB269" s="927"/>
    </row>
    <row r="270" spans="1:54" x14ac:dyDescent="0.25">
      <c r="A270" s="13">
        <f t="shared" ref="A270:A333" si="4">ROW(A257)</f>
        <v>257</v>
      </c>
      <c r="B270" s="888" t="str">
        <f>'refer admin discharge'!B266</f>
        <v>x</v>
      </c>
      <c r="C270" s="888"/>
      <c r="D270" s="868" t="str">
        <f>'refer admin discharge'!D266</f>
        <v>xx</v>
      </c>
      <c r="E270" s="868"/>
      <c r="F270" s="891" t="str">
        <f>'refer admin discharge'!H266</f>
        <v>00/00/0000</v>
      </c>
      <c r="G270" s="892"/>
      <c r="H270" s="894"/>
      <c r="I270" s="894"/>
      <c r="J270" s="918"/>
      <c r="K270" s="918"/>
      <c r="L270" s="894"/>
      <c r="M270" s="894"/>
      <c r="N270" s="916"/>
      <c r="O270" s="916"/>
      <c r="P270" s="894"/>
      <c r="Q270" s="894"/>
      <c r="R270" s="916"/>
      <c r="S270" s="916"/>
      <c r="T270" s="894"/>
      <c r="U270" s="894"/>
      <c r="V270" s="921" t="str">
        <f>'refer admin discharge'!H271</f>
        <v>00/00/0000</v>
      </c>
      <c r="W270" s="922"/>
      <c r="X270" s="920"/>
      <c r="Y270" s="920"/>
      <c r="Z270" s="919"/>
      <c r="AA270" s="919"/>
      <c r="AB270" s="920"/>
      <c r="AC270" s="920"/>
      <c r="AD270" s="912"/>
      <c r="AE270" s="912"/>
      <c r="AF270" s="920"/>
      <c r="AG270" s="920"/>
      <c r="AH270" s="912"/>
      <c r="AI270" s="912"/>
      <c r="AJ270" s="920"/>
      <c r="AK270" s="920"/>
      <c r="AL270" s="905"/>
      <c r="AM270" s="906"/>
      <c r="AN270" s="906"/>
      <c r="AO270" s="906"/>
      <c r="AP270" s="906"/>
      <c r="AQ270" s="906"/>
      <c r="AR270" s="906"/>
      <c r="AS270" s="906"/>
      <c r="AT270" s="906"/>
      <c r="AU270" s="906"/>
      <c r="AV270" s="906"/>
      <c r="AW270" s="906"/>
      <c r="AX270" s="906"/>
      <c r="AY270" s="906"/>
      <c r="AZ270" s="906"/>
      <c r="BA270" s="906"/>
      <c r="BB270" s="907"/>
    </row>
    <row r="271" spans="1:54" x14ac:dyDescent="0.25">
      <c r="A271" s="13">
        <f t="shared" si="4"/>
        <v>258</v>
      </c>
      <c r="B271" s="914" t="str">
        <f>'refer admin discharge'!B267</f>
        <v>x</v>
      </c>
      <c r="C271" s="914"/>
      <c r="D271" s="889" t="str">
        <f>'refer admin discharge'!D267</f>
        <v>xx</v>
      </c>
      <c r="E271" s="889"/>
      <c r="F271" s="915" t="str">
        <f>'refer admin discharge'!H267</f>
        <v>00/00/0000</v>
      </c>
      <c r="G271" s="890"/>
      <c r="H271" s="916"/>
      <c r="I271" s="916"/>
      <c r="J271" s="917"/>
      <c r="K271" s="917"/>
      <c r="L271" s="916"/>
      <c r="M271" s="916"/>
      <c r="N271" s="893"/>
      <c r="O271" s="893"/>
      <c r="P271" s="916"/>
      <c r="Q271" s="916"/>
      <c r="R271" s="893"/>
      <c r="S271" s="893"/>
      <c r="T271" s="916"/>
      <c r="U271" s="916"/>
      <c r="V271" s="921" t="str">
        <f>'refer admin discharge'!H272</f>
        <v>00/00/0000</v>
      </c>
      <c r="W271" s="922"/>
      <c r="X271" s="912"/>
      <c r="Y271" s="912"/>
      <c r="Z271" s="924"/>
      <c r="AA271" s="924"/>
      <c r="AB271" s="912"/>
      <c r="AC271" s="912"/>
      <c r="AD271" s="913"/>
      <c r="AE271" s="913"/>
      <c r="AF271" s="912"/>
      <c r="AG271" s="912"/>
      <c r="AH271" s="913"/>
      <c r="AI271" s="913"/>
      <c r="AJ271" s="912"/>
      <c r="AK271" s="912"/>
      <c r="AL271" s="925"/>
      <c r="AM271" s="926"/>
      <c r="AN271" s="926"/>
      <c r="AO271" s="926"/>
      <c r="AP271" s="926"/>
      <c r="AQ271" s="926"/>
      <c r="AR271" s="926"/>
      <c r="AS271" s="926"/>
      <c r="AT271" s="926"/>
      <c r="AU271" s="926"/>
      <c r="AV271" s="926"/>
      <c r="AW271" s="926"/>
      <c r="AX271" s="926"/>
      <c r="AY271" s="926"/>
      <c r="AZ271" s="926"/>
      <c r="BA271" s="926"/>
      <c r="BB271" s="927"/>
    </row>
    <row r="272" spans="1:54" x14ac:dyDescent="0.25">
      <c r="A272" s="13">
        <f t="shared" si="4"/>
        <v>259</v>
      </c>
      <c r="B272" s="888" t="str">
        <f>'refer admin discharge'!B268</f>
        <v>x</v>
      </c>
      <c r="C272" s="888"/>
      <c r="D272" s="868" t="str">
        <f>'refer admin discharge'!D268</f>
        <v>xx</v>
      </c>
      <c r="E272" s="868"/>
      <c r="F272" s="891" t="str">
        <f>'refer admin discharge'!H268</f>
        <v>00/00/0000</v>
      </c>
      <c r="G272" s="892"/>
      <c r="H272" s="894"/>
      <c r="I272" s="894"/>
      <c r="J272" s="918"/>
      <c r="K272" s="918"/>
      <c r="L272" s="894"/>
      <c r="M272" s="894"/>
      <c r="N272" s="916"/>
      <c r="O272" s="916"/>
      <c r="P272" s="894"/>
      <c r="Q272" s="894"/>
      <c r="R272" s="916"/>
      <c r="S272" s="916"/>
      <c r="T272" s="894"/>
      <c r="U272" s="894"/>
      <c r="V272" s="921" t="str">
        <f>'refer admin discharge'!H273</f>
        <v>00/00/0000</v>
      </c>
      <c r="W272" s="922"/>
      <c r="X272" s="920"/>
      <c r="Y272" s="920"/>
      <c r="Z272" s="919"/>
      <c r="AA272" s="919"/>
      <c r="AB272" s="920"/>
      <c r="AC272" s="920"/>
      <c r="AD272" s="912"/>
      <c r="AE272" s="912"/>
      <c r="AF272" s="920"/>
      <c r="AG272" s="920"/>
      <c r="AH272" s="912"/>
      <c r="AI272" s="912"/>
      <c r="AJ272" s="920"/>
      <c r="AK272" s="920"/>
      <c r="AL272" s="905"/>
      <c r="AM272" s="906"/>
      <c r="AN272" s="906"/>
      <c r="AO272" s="906"/>
      <c r="AP272" s="906"/>
      <c r="AQ272" s="906"/>
      <c r="AR272" s="906"/>
      <c r="AS272" s="906"/>
      <c r="AT272" s="906"/>
      <c r="AU272" s="906"/>
      <c r="AV272" s="906"/>
      <c r="AW272" s="906"/>
      <c r="AX272" s="906"/>
      <c r="AY272" s="906"/>
      <c r="AZ272" s="906"/>
      <c r="BA272" s="906"/>
      <c r="BB272" s="907"/>
    </row>
    <row r="273" spans="1:54" x14ac:dyDescent="0.25">
      <c r="A273" s="13">
        <f t="shared" si="4"/>
        <v>260</v>
      </c>
      <c r="B273" s="914" t="str">
        <f>'refer admin discharge'!B269</f>
        <v>x</v>
      </c>
      <c r="C273" s="914"/>
      <c r="D273" s="889" t="str">
        <f>'refer admin discharge'!D269</f>
        <v>xx</v>
      </c>
      <c r="E273" s="889"/>
      <c r="F273" s="915" t="str">
        <f>'refer admin discharge'!H269</f>
        <v>00/00/0000</v>
      </c>
      <c r="G273" s="890"/>
      <c r="H273" s="916"/>
      <c r="I273" s="916"/>
      <c r="J273" s="917"/>
      <c r="K273" s="917"/>
      <c r="L273" s="916"/>
      <c r="M273" s="916"/>
      <c r="N273" s="893"/>
      <c r="O273" s="893"/>
      <c r="P273" s="916"/>
      <c r="Q273" s="916"/>
      <c r="R273" s="893"/>
      <c r="S273" s="893"/>
      <c r="T273" s="916"/>
      <c r="U273" s="916"/>
      <c r="V273" s="921" t="str">
        <f>'refer admin discharge'!H274</f>
        <v>00/00/0000</v>
      </c>
      <c r="W273" s="922"/>
      <c r="X273" s="912"/>
      <c r="Y273" s="912"/>
      <c r="Z273" s="924"/>
      <c r="AA273" s="924"/>
      <c r="AB273" s="912"/>
      <c r="AC273" s="912"/>
      <c r="AD273" s="913"/>
      <c r="AE273" s="913"/>
      <c r="AF273" s="912"/>
      <c r="AG273" s="912"/>
      <c r="AH273" s="913"/>
      <c r="AI273" s="913"/>
      <c r="AJ273" s="912"/>
      <c r="AK273" s="912"/>
      <c r="AL273" s="925"/>
      <c r="AM273" s="926"/>
      <c r="AN273" s="926"/>
      <c r="AO273" s="926"/>
      <c r="AP273" s="926"/>
      <c r="AQ273" s="926"/>
      <c r="AR273" s="926"/>
      <c r="AS273" s="926"/>
      <c r="AT273" s="926"/>
      <c r="AU273" s="926"/>
      <c r="AV273" s="926"/>
      <c r="AW273" s="926"/>
      <c r="AX273" s="926"/>
      <c r="AY273" s="926"/>
      <c r="AZ273" s="926"/>
      <c r="BA273" s="926"/>
      <c r="BB273" s="927"/>
    </row>
    <row r="274" spans="1:54" x14ac:dyDescent="0.25">
      <c r="A274" s="13">
        <f t="shared" si="4"/>
        <v>261</v>
      </c>
      <c r="B274" s="888" t="str">
        <f>'refer admin discharge'!B270</f>
        <v>x</v>
      </c>
      <c r="C274" s="888"/>
      <c r="D274" s="868" t="str">
        <f>'refer admin discharge'!D270</f>
        <v>xx</v>
      </c>
      <c r="E274" s="868"/>
      <c r="F274" s="891" t="str">
        <f>'refer admin discharge'!H270</f>
        <v>00/00/0000</v>
      </c>
      <c r="G274" s="892"/>
      <c r="H274" s="894"/>
      <c r="I274" s="894"/>
      <c r="J274" s="918"/>
      <c r="K274" s="918"/>
      <c r="L274" s="894"/>
      <c r="M274" s="894"/>
      <c r="N274" s="916"/>
      <c r="O274" s="916"/>
      <c r="P274" s="894"/>
      <c r="Q274" s="894"/>
      <c r="R274" s="916"/>
      <c r="S274" s="916"/>
      <c r="T274" s="894"/>
      <c r="U274" s="894"/>
      <c r="V274" s="921" t="str">
        <f>'refer admin discharge'!H275</f>
        <v>00/00/0000</v>
      </c>
      <c r="W274" s="922"/>
      <c r="X274" s="920"/>
      <c r="Y274" s="920"/>
      <c r="Z274" s="919"/>
      <c r="AA274" s="919"/>
      <c r="AB274" s="920"/>
      <c r="AC274" s="920"/>
      <c r="AD274" s="912"/>
      <c r="AE274" s="912"/>
      <c r="AF274" s="920"/>
      <c r="AG274" s="920"/>
      <c r="AH274" s="912"/>
      <c r="AI274" s="912"/>
      <c r="AJ274" s="920"/>
      <c r="AK274" s="920"/>
      <c r="AL274" s="905"/>
      <c r="AM274" s="906"/>
      <c r="AN274" s="906"/>
      <c r="AO274" s="906"/>
      <c r="AP274" s="906"/>
      <c r="AQ274" s="906"/>
      <c r="AR274" s="906"/>
      <c r="AS274" s="906"/>
      <c r="AT274" s="906"/>
      <c r="AU274" s="906"/>
      <c r="AV274" s="906"/>
      <c r="AW274" s="906"/>
      <c r="AX274" s="906"/>
      <c r="AY274" s="906"/>
      <c r="AZ274" s="906"/>
      <c r="BA274" s="906"/>
      <c r="BB274" s="907"/>
    </row>
    <row r="275" spans="1:54" x14ac:dyDescent="0.25">
      <c r="A275" s="13">
        <f t="shared" si="4"/>
        <v>262</v>
      </c>
      <c r="B275" s="914" t="str">
        <f>'refer admin discharge'!B271</f>
        <v>x</v>
      </c>
      <c r="C275" s="914"/>
      <c r="D275" s="889" t="str">
        <f>'refer admin discharge'!D271</f>
        <v>xx</v>
      </c>
      <c r="E275" s="889"/>
      <c r="F275" s="915" t="str">
        <f>'refer admin discharge'!H271</f>
        <v>00/00/0000</v>
      </c>
      <c r="G275" s="890"/>
      <c r="H275" s="916"/>
      <c r="I275" s="916"/>
      <c r="J275" s="917"/>
      <c r="K275" s="917"/>
      <c r="L275" s="916"/>
      <c r="M275" s="916"/>
      <c r="N275" s="893"/>
      <c r="O275" s="893"/>
      <c r="P275" s="916"/>
      <c r="Q275" s="916"/>
      <c r="R275" s="893"/>
      <c r="S275" s="893"/>
      <c r="T275" s="916"/>
      <c r="U275" s="916"/>
      <c r="V275" s="921" t="str">
        <f>'refer admin discharge'!H276</f>
        <v>00/00/0000</v>
      </c>
      <c r="W275" s="922"/>
      <c r="X275" s="912"/>
      <c r="Y275" s="912"/>
      <c r="Z275" s="924"/>
      <c r="AA275" s="924"/>
      <c r="AB275" s="912"/>
      <c r="AC275" s="912"/>
      <c r="AD275" s="913"/>
      <c r="AE275" s="913"/>
      <c r="AF275" s="912"/>
      <c r="AG275" s="912"/>
      <c r="AH275" s="913"/>
      <c r="AI275" s="913"/>
      <c r="AJ275" s="912"/>
      <c r="AK275" s="912"/>
      <c r="AL275" s="925"/>
      <c r="AM275" s="926"/>
      <c r="AN275" s="926"/>
      <c r="AO275" s="926"/>
      <c r="AP275" s="926"/>
      <c r="AQ275" s="926"/>
      <c r="AR275" s="926"/>
      <c r="AS275" s="926"/>
      <c r="AT275" s="926"/>
      <c r="AU275" s="926"/>
      <c r="AV275" s="926"/>
      <c r="AW275" s="926"/>
      <c r="AX275" s="926"/>
      <c r="AY275" s="926"/>
      <c r="AZ275" s="926"/>
      <c r="BA275" s="926"/>
      <c r="BB275" s="927"/>
    </row>
    <row r="276" spans="1:54" x14ac:dyDescent="0.25">
      <c r="A276" s="13">
        <f t="shared" si="4"/>
        <v>263</v>
      </c>
      <c r="B276" s="888" t="str">
        <f>'refer admin discharge'!B272</f>
        <v>x</v>
      </c>
      <c r="C276" s="888"/>
      <c r="D276" s="868" t="str">
        <f>'refer admin discharge'!D272</f>
        <v>xx</v>
      </c>
      <c r="E276" s="868"/>
      <c r="F276" s="891" t="str">
        <f>'refer admin discharge'!H272</f>
        <v>00/00/0000</v>
      </c>
      <c r="G276" s="892"/>
      <c r="H276" s="894"/>
      <c r="I276" s="894"/>
      <c r="J276" s="918"/>
      <c r="K276" s="918"/>
      <c r="L276" s="894"/>
      <c r="M276" s="894"/>
      <c r="N276" s="916"/>
      <c r="O276" s="916"/>
      <c r="P276" s="894"/>
      <c r="Q276" s="894"/>
      <c r="R276" s="916"/>
      <c r="S276" s="916"/>
      <c r="T276" s="894"/>
      <c r="U276" s="894"/>
      <c r="V276" s="921" t="str">
        <f>'refer admin discharge'!H277</f>
        <v>00/00/0000</v>
      </c>
      <c r="W276" s="922"/>
      <c r="X276" s="920"/>
      <c r="Y276" s="920"/>
      <c r="Z276" s="919"/>
      <c r="AA276" s="919"/>
      <c r="AB276" s="920"/>
      <c r="AC276" s="920"/>
      <c r="AD276" s="912"/>
      <c r="AE276" s="912"/>
      <c r="AF276" s="920"/>
      <c r="AG276" s="920"/>
      <c r="AH276" s="912"/>
      <c r="AI276" s="912"/>
      <c r="AJ276" s="920"/>
      <c r="AK276" s="920"/>
      <c r="AL276" s="905"/>
      <c r="AM276" s="906"/>
      <c r="AN276" s="906"/>
      <c r="AO276" s="906"/>
      <c r="AP276" s="906"/>
      <c r="AQ276" s="906"/>
      <c r="AR276" s="906"/>
      <c r="AS276" s="906"/>
      <c r="AT276" s="906"/>
      <c r="AU276" s="906"/>
      <c r="AV276" s="906"/>
      <c r="AW276" s="906"/>
      <c r="AX276" s="906"/>
      <c r="AY276" s="906"/>
      <c r="AZ276" s="906"/>
      <c r="BA276" s="906"/>
      <c r="BB276" s="907"/>
    </row>
    <row r="277" spans="1:54" x14ac:dyDescent="0.25">
      <c r="A277" s="13">
        <f t="shared" si="4"/>
        <v>264</v>
      </c>
      <c r="B277" s="914" t="str">
        <f>'refer admin discharge'!B273</f>
        <v>x</v>
      </c>
      <c r="C277" s="914"/>
      <c r="D277" s="889" t="str">
        <f>'refer admin discharge'!D273</f>
        <v>xx</v>
      </c>
      <c r="E277" s="889"/>
      <c r="F277" s="915" t="str">
        <f>'refer admin discharge'!H273</f>
        <v>00/00/0000</v>
      </c>
      <c r="G277" s="890"/>
      <c r="H277" s="916"/>
      <c r="I277" s="916"/>
      <c r="J277" s="917"/>
      <c r="K277" s="917"/>
      <c r="L277" s="916"/>
      <c r="M277" s="916"/>
      <c r="N277" s="893"/>
      <c r="O277" s="893"/>
      <c r="P277" s="916"/>
      <c r="Q277" s="916"/>
      <c r="R277" s="893"/>
      <c r="S277" s="893"/>
      <c r="T277" s="916"/>
      <c r="U277" s="916"/>
      <c r="V277" s="921" t="str">
        <f>'refer admin discharge'!H278</f>
        <v>00/00/0000</v>
      </c>
      <c r="W277" s="922"/>
      <c r="X277" s="912"/>
      <c r="Y277" s="912"/>
      <c r="Z277" s="924"/>
      <c r="AA277" s="924"/>
      <c r="AB277" s="912"/>
      <c r="AC277" s="912"/>
      <c r="AD277" s="913"/>
      <c r="AE277" s="913"/>
      <c r="AF277" s="912"/>
      <c r="AG277" s="912"/>
      <c r="AH277" s="913"/>
      <c r="AI277" s="913"/>
      <c r="AJ277" s="912"/>
      <c r="AK277" s="912"/>
      <c r="AL277" s="925"/>
      <c r="AM277" s="926"/>
      <c r="AN277" s="926"/>
      <c r="AO277" s="926"/>
      <c r="AP277" s="926"/>
      <c r="AQ277" s="926"/>
      <c r="AR277" s="926"/>
      <c r="AS277" s="926"/>
      <c r="AT277" s="926"/>
      <c r="AU277" s="926"/>
      <c r="AV277" s="926"/>
      <c r="AW277" s="926"/>
      <c r="AX277" s="926"/>
      <c r="AY277" s="926"/>
      <c r="AZ277" s="926"/>
      <c r="BA277" s="926"/>
      <c r="BB277" s="927"/>
    </row>
    <row r="278" spans="1:54" x14ac:dyDescent="0.25">
      <c r="A278" s="13">
        <f t="shared" si="4"/>
        <v>265</v>
      </c>
      <c r="B278" s="888" t="str">
        <f>'refer admin discharge'!B274</f>
        <v>x</v>
      </c>
      <c r="C278" s="888"/>
      <c r="D278" s="868" t="str">
        <f>'refer admin discharge'!D274</f>
        <v>xx</v>
      </c>
      <c r="E278" s="868"/>
      <c r="F278" s="891" t="str">
        <f>'refer admin discharge'!H274</f>
        <v>00/00/0000</v>
      </c>
      <c r="G278" s="892"/>
      <c r="H278" s="894"/>
      <c r="I278" s="894"/>
      <c r="J278" s="918"/>
      <c r="K278" s="918"/>
      <c r="L278" s="894"/>
      <c r="M278" s="894"/>
      <c r="N278" s="916"/>
      <c r="O278" s="916"/>
      <c r="P278" s="894"/>
      <c r="Q278" s="894"/>
      <c r="R278" s="916"/>
      <c r="S278" s="916"/>
      <c r="T278" s="894"/>
      <c r="U278" s="894"/>
      <c r="V278" s="921" t="str">
        <f>'refer admin discharge'!H279</f>
        <v>00/00/0000</v>
      </c>
      <c r="W278" s="922"/>
      <c r="X278" s="920"/>
      <c r="Y278" s="920"/>
      <c r="Z278" s="919"/>
      <c r="AA278" s="919"/>
      <c r="AB278" s="920"/>
      <c r="AC278" s="920"/>
      <c r="AD278" s="912"/>
      <c r="AE278" s="912"/>
      <c r="AF278" s="920"/>
      <c r="AG278" s="920"/>
      <c r="AH278" s="912"/>
      <c r="AI278" s="912"/>
      <c r="AJ278" s="920"/>
      <c r="AK278" s="920"/>
      <c r="AL278" s="905"/>
      <c r="AM278" s="906"/>
      <c r="AN278" s="906"/>
      <c r="AO278" s="906"/>
      <c r="AP278" s="906"/>
      <c r="AQ278" s="906"/>
      <c r="AR278" s="906"/>
      <c r="AS278" s="906"/>
      <c r="AT278" s="906"/>
      <c r="AU278" s="906"/>
      <c r="AV278" s="906"/>
      <c r="AW278" s="906"/>
      <c r="AX278" s="906"/>
      <c r="AY278" s="906"/>
      <c r="AZ278" s="906"/>
      <c r="BA278" s="906"/>
      <c r="BB278" s="907"/>
    </row>
    <row r="279" spans="1:54" x14ac:dyDescent="0.25">
      <c r="A279" s="13">
        <f t="shared" si="4"/>
        <v>266</v>
      </c>
      <c r="B279" s="914" t="str">
        <f>'refer admin discharge'!B275</f>
        <v>x</v>
      </c>
      <c r="C279" s="914"/>
      <c r="D279" s="889" t="str">
        <f>'refer admin discharge'!D275</f>
        <v>xx</v>
      </c>
      <c r="E279" s="889"/>
      <c r="F279" s="915" t="str">
        <f>'refer admin discharge'!H275</f>
        <v>00/00/0000</v>
      </c>
      <c r="G279" s="890"/>
      <c r="H279" s="916"/>
      <c r="I279" s="916"/>
      <c r="J279" s="917"/>
      <c r="K279" s="917"/>
      <c r="L279" s="916"/>
      <c r="M279" s="916"/>
      <c r="N279" s="893"/>
      <c r="O279" s="893"/>
      <c r="P279" s="916"/>
      <c r="Q279" s="916"/>
      <c r="R279" s="893"/>
      <c r="S279" s="893"/>
      <c r="T279" s="916"/>
      <c r="U279" s="916"/>
      <c r="V279" s="921" t="str">
        <f>'refer admin discharge'!H280</f>
        <v>00/00/0000</v>
      </c>
      <c r="W279" s="922"/>
      <c r="X279" s="912"/>
      <c r="Y279" s="912"/>
      <c r="Z279" s="924"/>
      <c r="AA279" s="924"/>
      <c r="AB279" s="912"/>
      <c r="AC279" s="912"/>
      <c r="AD279" s="913"/>
      <c r="AE279" s="913"/>
      <c r="AF279" s="912"/>
      <c r="AG279" s="912"/>
      <c r="AH279" s="913"/>
      <c r="AI279" s="913"/>
      <c r="AJ279" s="912"/>
      <c r="AK279" s="912"/>
      <c r="AL279" s="925"/>
      <c r="AM279" s="926"/>
      <c r="AN279" s="926"/>
      <c r="AO279" s="926"/>
      <c r="AP279" s="926"/>
      <c r="AQ279" s="926"/>
      <c r="AR279" s="926"/>
      <c r="AS279" s="926"/>
      <c r="AT279" s="926"/>
      <c r="AU279" s="926"/>
      <c r="AV279" s="926"/>
      <c r="AW279" s="926"/>
      <c r="AX279" s="926"/>
      <c r="AY279" s="926"/>
      <c r="AZ279" s="926"/>
      <c r="BA279" s="926"/>
      <c r="BB279" s="927"/>
    </row>
    <row r="280" spans="1:54" x14ac:dyDescent="0.25">
      <c r="A280" s="13">
        <f t="shared" si="4"/>
        <v>267</v>
      </c>
      <c r="B280" s="888" t="str">
        <f>'refer admin discharge'!B276</f>
        <v>x</v>
      </c>
      <c r="C280" s="888"/>
      <c r="D280" s="868" t="str">
        <f>'refer admin discharge'!D276</f>
        <v>xx</v>
      </c>
      <c r="E280" s="868"/>
      <c r="F280" s="891" t="str">
        <f>'refer admin discharge'!H276</f>
        <v>00/00/0000</v>
      </c>
      <c r="G280" s="892"/>
      <c r="H280" s="894"/>
      <c r="I280" s="894"/>
      <c r="J280" s="918"/>
      <c r="K280" s="918"/>
      <c r="L280" s="894"/>
      <c r="M280" s="894"/>
      <c r="N280" s="916"/>
      <c r="O280" s="916"/>
      <c r="P280" s="894"/>
      <c r="Q280" s="894"/>
      <c r="R280" s="916"/>
      <c r="S280" s="916"/>
      <c r="T280" s="894"/>
      <c r="U280" s="894"/>
      <c r="V280" s="921" t="str">
        <f>'refer admin discharge'!H281</f>
        <v>00/00/0000</v>
      </c>
      <c r="W280" s="922"/>
      <c r="X280" s="920"/>
      <c r="Y280" s="920"/>
      <c r="Z280" s="919"/>
      <c r="AA280" s="919"/>
      <c r="AB280" s="920"/>
      <c r="AC280" s="920"/>
      <c r="AD280" s="912"/>
      <c r="AE280" s="912"/>
      <c r="AF280" s="920"/>
      <c r="AG280" s="920"/>
      <c r="AH280" s="912"/>
      <c r="AI280" s="912"/>
      <c r="AJ280" s="920"/>
      <c r="AK280" s="920"/>
      <c r="AL280" s="905"/>
      <c r="AM280" s="906"/>
      <c r="AN280" s="906"/>
      <c r="AO280" s="906"/>
      <c r="AP280" s="906"/>
      <c r="AQ280" s="906"/>
      <c r="AR280" s="906"/>
      <c r="AS280" s="906"/>
      <c r="AT280" s="906"/>
      <c r="AU280" s="906"/>
      <c r="AV280" s="906"/>
      <c r="AW280" s="906"/>
      <c r="AX280" s="906"/>
      <c r="AY280" s="906"/>
      <c r="AZ280" s="906"/>
      <c r="BA280" s="906"/>
      <c r="BB280" s="907"/>
    </row>
    <row r="281" spans="1:54" x14ac:dyDescent="0.25">
      <c r="A281" s="13">
        <f t="shared" si="4"/>
        <v>268</v>
      </c>
      <c r="B281" s="914" t="str">
        <f>'refer admin discharge'!B277</f>
        <v>x</v>
      </c>
      <c r="C281" s="914"/>
      <c r="D281" s="889" t="str">
        <f>'refer admin discharge'!D277</f>
        <v>xx</v>
      </c>
      <c r="E281" s="889"/>
      <c r="F281" s="915" t="str">
        <f>'refer admin discharge'!H277</f>
        <v>00/00/0000</v>
      </c>
      <c r="G281" s="890"/>
      <c r="H281" s="916"/>
      <c r="I281" s="916"/>
      <c r="J281" s="917"/>
      <c r="K281" s="917"/>
      <c r="L281" s="916"/>
      <c r="M281" s="916"/>
      <c r="N281" s="893"/>
      <c r="O281" s="893"/>
      <c r="P281" s="916"/>
      <c r="Q281" s="916"/>
      <c r="R281" s="893"/>
      <c r="S281" s="893"/>
      <c r="T281" s="916"/>
      <c r="U281" s="916"/>
      <c r="V281" s="921" t="str">
        <f>'refer admin discharge'!H282</f>
        <v>00/00/0000</v>
      </c>
      <c r="W281" s="922"/>
      <c r="X281" s="912"/>
      <c r="Y281" s="912"/>
      <c r="Z281" s="924"/>
      <c r="AA281" s="924"/>
      <c r="AB281" s="912"/>
      <c r="AC281" s="912"/>
      <c r="AD281" s="913"/>
      <c r="AE281" s="913"/>
      <c r="AF281" s="912"/>
      <c r="AG281" s="912"/>
      <c r="AH281" s="913"/>
      <c r="AI281" s="913"/>
      <c r="AJ281" s="912"/>
      <c r="AK281" s="912"/>
      <c r="AL281" s="925"/>
      <c r="AM281" s="926"/>
      <c r="AN281" s="926"/>
      <c r="AO281" s="926"/>
      <c r="AP281" s="926"/>
      <c r="AQ281" s="926"/>
      <c r="AR281" s="926"/>
      <c r="AS281" s="926"/>
      <c r="AT281" s="926"/>
      <c r="AU281" s="926"/>
      <c r="AV281" s="926"/>
      <c r="AW281" s="926"/>
      <c r="AX281" s="926"/>
      <c r="AY281" s="926"/>
      <c r="AZ281" s="926"/>
      <c r="BA281" s="926"/>
      <c r="BB281" s="927"/>
    </row>
    <row r="282" spans="1:54" x14ac:dyDescent="0.25">
      <c r="A282" s="13">
        <f t="shared" si="4"/>
        <v>269</v>
      </c>
      <c r="B282" s="888" t="str">
        <f>'refer admin discharge'!B278</f>
        <v>x</v>
      </c>
      <c r="C282" s="888"/>
      <c r="D282" s="868" t="str">
        <f>'refer admin discharge'!D278</f>
        <v>xx</v>
      </c>
      <c r="E282" s="868"/>
      <c r="F282" s="891" t="str">
        <f>'refer admin discharge'!H278</f>
        <v>00/00/0000</v>
      </c>
      <c r="G282" s="892"/>
      <c r="H282" s="894"/>
      <c r="I282" s="894"/>
      <c r="J282" s="918"/>
      <c r="K282" s="918"/>
      <c r="L282" s="894"/>
      <c r="M282" s="894"/>
      <c r="N282" s="916"/>
      <c r="O282" s="916"/>
      <c r="P282" s="894"/>
      <c r="Q282" s="894"/>
      <c r="R282" s="916"/>
      <c r="S282" s="916"/>
      <c r="T282" s="894"/>
      <c r="U282" s="894"/>
      <c r="V282" s="921" t="str">
        <f>'refer admin discharge'!H283</f>
        <v>00/00/0000</v>
      </c>
      <c r="W282" s="922"/>
      <c r="X282" s="920"/>
      <c r="Y282" s="920"/>
      <c r="Z282" s="919"/>
      <c r="AA282" s="919"/>
      <c r="AB282" s="920"/>
      <c r="AC282" s="920"/>
      <c r="AD282" s="912"/>
      <c r="AE282" s="912"/>
      <c r="AF282" s="920"/>
      <c r="AG282" s="920"/>
      <c r="AH282" s="912"/>
      <c r="AI282" s="912"/>
      <c r="AJ282" s="920"/>
      <c r="AK282" s="920"/>
      <c r="AL282" s="905"/>
      <c r="AM282" s="906"/>
      <c r="AN282" s="906"/>
      <c r="AO282" s="906"/>
      <c r="AP282" s="906"/>
      <c r="AQ282" s="906"/>
      <c r="AR282" s="906"/>
      <c r="AS282" s="906"/>
      <c r="AT282" s="906"/>
      <c r="AU282" s="906"/>
      <c r="AV282" s="906"/>
      <c r="AW282" s="906"/>
      <c r="AX282" s="906"/>
      <c r="AY282" s="906"/>
      <c r="AZ282" s="906"/>
      <c r="BA282" s="906"/>
      <c r="BB282" s="907"/>
    </row>
    <row r="283" spans="1:54" x14ac:dyDescent="0.25">
      <c r="A283" s="13">
        <f t="shared" si="4"/>
        <v>270</v>
      </c>
      <c r="B283" s="914" t="str">
        <f>'refer admin discharge'!B279</f>
        <v>x</v>
      </c>
      <c r="C283" s="914"/>
      <c r="D283" s="889" t="str">
        <f>'refer admin discharge'!D279</f>
        <v>xx</v>
      </c>
      <c r="E283" s="889"/>
      <c r="F283" s="915" t="str">
        <f>'refer admin discharge'!H279</f>
        <v>00/00/0000</v>
      </c>
      <c r="G283" s="890"/>
      <c r="H283" s="916"/>
      <c r="I283" s="916"/>
      <c r="J283" s="917"/>
      <c r="K283" s="917"/>
      <c r="L283" s="916"/>
      <c r="M283" s="916"/>
      <c r="N283" s="893"/>
      <c r="O283" s="893"/>
      <c r="P283" s="916"/>
      <c r="Q283" s="916"/>
      <c r="R283" s="893"/>
      <c r="S283" s="893"/>
      <c r="T283" s="916"/>
      <c r="U283" s="916"/>
      <c r="V283" s="921" t="str">
        <f>'refer admin discharge'!H284</f>
        <v>00/00/0000</v>
      </c>
      <c r="W283" s="922"/>
      <c r="X283" s="912"/>
      <c r="Y283" s="912"/>
      <c r="Z283" s="924"/>
      <c r="AA283" s="924"/>
      <c r="AB283" s="912"/>
      <c r="AC283" s="912"/>
      <c r="AD283" s="913"/>
      <c r="AE283" s="913"/>
      <c r="AF283" s="912"/>
      <c r="AG283" s="912"/>
      <c r="AH283" s="913"/>
      <c r="AI283" s="913"/>
      <c r="AJ283" s="912"/>
      <c r="AK283" s="912"/>
      <c r="AL283" s="925"/>
      <c r="AM283" s="926"/>
      <c r="AN283" s="926"/>
      <c r="AO283" s="926"/>
      <c r="AP283" s="926"/>
      <c r="AQ283" s="926"/>
      <c r="AR283" s="926"/>
      <c r="AS283" s="926"/>
      <c r="AT283" s="926"/>
      <c r="AU283" s="926"/>
      <c r="AV283" s="926"/>
      <c r="AW283" s="926"/>
      <c r="AX283" s="926"/>
      <c r="AY283" s="926"/>
      <c r="AZ283" s="926"/>
      <c r="BA283" s="926"/>
      <c r="BB283" s="927"/>
    </row>
    <row r="284" spans="1:54" x14ac:dyDescent="0.25">
      <c r="A284" s="13">
        <f t="shared" si="4"/>
        <v>271</v>
      </c>
      <c r="B284" s="888" t="str">
        <f>'refer admin discharge'!B280</f>
        <v>x</v>
      </c>
      <c r="C284" s="888"/>
      <c r="D284" s="868" t="str">
        <f>'refer admin discharge'!D280</f>
        <v>xx</v>
      </c>
      <c r="E284" s="868"/>
      <c r="F284" s="891" t="str">
        <f>'refer admin discharge'!H280</f>
        <v>00/00/0000</v>
      </c>
      <c r="G284" s="892"/>
      <c r="H284" s="894"/>
      <c r="I284" s="894"/>
      <c r="J284" s="918"/>
      <c r="K284" s="918"/>
      <c r="L284" s="894"/>
      <c r="M284" s="894"/>
      <c r="N284" s="916"/>
      <c r="O284" s="916"/>
      <c r="P284" s="894"/>
      <c r="Q284" s="894"/>
      <c r="R284" s="916"/>
      <c r="S284" s="916"/>
      <c r="T284" s="894"/>
      <c r="U284" s="894"/>
      <c r="V284" s="921" t="str">
        <f>'refer admin discharge'!H285</f>
        <v>00/00/0000</v>
      </c>
      <c r="W284" s="922"/>
      <c r="X284" s="920"/>
      <c r="Y284" s="920"/>
      <c r="Z284" s="919"/>
      <c r="AA284" s="919"/>
      <c r="AB284" s="920"/>
      <c r="AC284" s="920"/>
      <c r="AD284" s="912"/>
      <c r="AE284" s="912"/>
      <c r="AF284" s="920"/>
      <c r="AG284" s="920"/>
      <c r="AH284" s="912"/>
      <c r="AI284" s="912"/>
      <c r="AJ284" s="920"/>
      <c r="AK284" s="920"/>
      <c r="AL284" s="905"/>
      <c r="AM284" s="906"/>
      <c r="AN284" s="906"/>
      <c r="AO284" s="906"/>
      <c r="AP284" s="906"/>
      <c r="AQ284" s="906"/>
      <c r="AR284" s="906"/>
      <c r="AS284" s="906"/>
      <c r="AT284" s="906"/>
      <c r="AU284" s="906"/>
      <c r="AV284" s="906"/>
      <c r="AW284" s="906"/>
      <c r="AX284" s="906"/>
      <c r="AY284" s="906"/>
      <c r="AZ284" s="906"/>
      <c r="BA284" s="906"/>
      <c r="BB284" s="907"/>
    </row>
    <row r="285" spans="1:54" x14ac:dyDescent="0.25">
      <c r="A285" s="13">
        <f t="shared" si="4"/>
        <v>272</v>
      </c>
      <c r="B285" s="914" t="str">
        <f>'refer admin discharge'!B281</f>
        <v>x</v>
      </c>
      <c r="C285" s="914"/>
      <c r="D285" s="889" t="str">
        <f>'refer admin discharge'!D281</f>
        <v>xx</v>
      </c>
      <c r="E285" s="889"/>
      <c r="F285" s="915" t="str">
        <f>'refer admin discharge'!H281</f>
        <v>00/00/0000</v>
      </c>
      <c r="G285" s="890"/>
      <c r="H285" s="916"/>
      <c r="I285" s="916"/>
      <c r="J285" s="917"/>
      <c r="K285" s="917"/>
      <c r="L285" s="916"/>
      <c r="M285" s="916"/>
      <c r="N285" s="893"/>
      <c r="O285" s="893"/>
      <c r="P285" s="916"/>
      <c r="Q285" s="916"/>
      <c r="R285" s="893"/>
      <c r="S285" s="893"/>
      <c r="T285" s="916"/>
      <c r="U285" s="916"/>
      <c r="V285" s="921" t="str">
        <f>'refer admin discharge'!H286</f>
        <v>00/00/0000</v>
      </c>
      <c r="W285" s="922"/>
      <c r="X285" s="912"/>
      <c r="Y285" s="912"/>
      <c r="Z285" s="924"/>
      <c r="AA285" s="924"/>
      <c r="AB285" s="912"/>
      <c r="AC285" s="912"/>
      <c r="AD285" s="913"/>
      <c r="AE285" s="913"/>
      <c r="AF285" s="912"/>
      <c r="AG285" s="912"/>
      <c r="AH285" s="913"/>
      <c r="AI285" s="913"/>
      <c r="AJ285" s="912"/>
      <c r="AK285" s="912"/>
      <c r="AL285" s="925"/>
      <c r="AM285" s="926"/>
      <c r="AN285" s="926"/>
      <c r="AO285" s="926"/>
      <c r="AP285" s="926"/>
      <c r="AQ285" s="926"/>
      <c r="AR285" s="926"/>
      <c r="AS285" s="926"/>
      <c r="AT285" s="926"/>
      <c r="AU285" s="926"/>
      <c r="AV285" s="926"/>
      <c r="AW285" s="926"/>
      <c r="AX285" s="926"/>
      <c r="AY285" s="926"/>
      <c r="AZ285" s="926"/>
      <c r="BA285" s="926"/>
      <c r="BB285" s="927"/>
    </row>
    <row r="286" spans="1:54" x14ac:dyDescent="0.25">
      <c r="A286" s="13">
        <f t="shared" si="4"/>
        <v>273</v>
      </c>
      <c r="B286" s="888" t="str">
        <f>'refer admin discharge'!B282</f>
        <v>x</v>
      </c>
      <c r="C286" s="888"/>
      <c r="D286" s="868" t="str">
        <f>'refer admin discharge'!D282</f>
        <v>xx</v>
      </c>
      <c r="E286" s="868"/>
      <c r="F286" s="891" t="str">
        <f>'refer admin discharge'!H282</f>
        <v>00/00/0000</v>
      </c>
      <c r="G286" s="892"/>
      <c r="H286" s="894"/>
      <c r="I286" s="894"/>
      <c r="J286" s="918"/>
      <c r="K286" s="918"/>
      <c r="L286" s="894"/>
      <c r="M286" s="894"/>
      <c r="N286" s="916"/>
      <c r="O286" s="916"/>
      <c r="P286" s="894"/>
      <c r="Q286" s="894"/>
      <c r="R286" s="916"/>
      <c r="S286" s="916"/>
      <c r="T286" s="894"/>
      <c r="U286" s="894"/>
      <c r="V286" s="921" t="str">
        <f>'refer admin discharge'!H287</f>
        <v>00/00/0000</v>
      </c>
      <c r="W286" s="922"/>
      <c r="X286" s="920"/>
      <c r="Y286" s="920"/>
      <c r="Z286" s="919"/>
      <c r="AA286" s="919"/>
      <c r="AB286" s="920"/>
      <c r="AC286" s="920"/>
      <c r="AD286" s="912"/>
      <c r="AE286" s="912"/>
      <c r="AF286" s="920"/>
      <c r="AG286" s="920"/>
      <c r="AH286" s="912"/>
      <c r="AI286" s="912"/>
      <c r="AJ286" s="920"/>
      <c r="AK286" s="920"/>
      <c r="AL286" s="905"/>
      <c r="AM286" s="906"/>
      <c r="AN286" s="906"/>
      <c r="AO286" s="906"/>
      <c r="AP286" s="906"/>
      <c r="AQ286" s="906"/>
      <c r="AR286" s="906"/>
      <c r="AS286" s="906"/>
      <c r="AT286" s="906"/>
      <c r="AU286" s="906"/>
      <c r="AV286" s="906"/>
      <c r="AW286" s="906"/>
      <c r="AX286" s="906"/>
      <c r="AY286" s="906"/>
      <c r="AZ286" s="906"/>
      <c r="BA286" s="906"/>
      <c r="BB286" s="907"/>
    </row>
    <row r="287" spans="1:54" x14ac:dyDescent="0.25">
      <c r="A287" s="13">
        <f t="shared" si="4"/>
        <v>274</v>
      </c>
      <c r="B287" s="914" t="str">
        <f>'refer admin discharge'!B283</f>
        <v>x</v>
      </c>
      <c r="C287" s="914"/>
      <c r="D287" s="889" t="str">
        <f>'refer admin discharge'!D283</f>
        <v>xx</v>
      </c>
      <c r="E287" s="889"/>
      <c r="F287" s="915" t="str">
        <f>'refer admin discharge'!H283</f>
        <v>00/00/0000</v>
      </c>
      <c r="G287" s="890"/>
      <c r="H287" s="916"/>
      <c r="I287" s="916"/>
      <c r="J287" s="917"/>
      <c r="K287" s="917"/>
      <c r="L287" s="916"/>
      <c r="M287" s="916"/>
      <c r="N287" s="893"/>
      <c r="O287" s="893"/>
      <c r="P287" s="916"/>
      <c r="Q287" s="916"/>
      <c r="R287" s="893"/>
      <c r="S287" s="893"/>
      <c r="T287" s="916"/>
      <c r="U287" s="916"/>
      <c r="V287" s="921" t="str">
        <f>'refer admin discharge'!H288</f>
        <v>00/00/0000</v>
      </c>
      <c r="W287" s="922"/>
      <c r="X287" s="912"/>
      <c r="Y287" s="912"/>
      <c r="Z287" s="924"/>
      <c r="AA287" s="924"/>
      <c r="AB287" s="912"/>
      <c r="AC287" s="912"/>
      <c r="AD287" s="913"/>
      <c r="AE287" s="913"/>
      <c r="AF287" s="912"/>
      <c r="AG287" s="912"/>
      <c r="AH287" s="913"/>
      <c r="AI287" s="913"/>
      <c r="AJ287" s="912"/>
      <c r="AK287" s="912"/>
      <c r="AL287" s="925"/>
      <c r="AM287" s="926"/>
      <c r="AN287" s="926"/>
      <c r="AO287" s="926"/>
      <c r="AP287" s="926"/>
      <c r="AQ287" s="926"/>
      <c r="AR287" s="926"/>
      <c r="AS287" s="926"/>
      <c r="AT287" s="926"/>
      <c r="AU287" s="926"/>
      <c r="AV287" s="926"/>
      <c r="AW287" s="926"/>
      <c r="AX287" s="926"/>
      <c r="AY287" s="926"/>
      <c r="AZ287" s="926"/>
      <c r="BA287" s="926"/>
      <c r="BB287" s="927"/>
    </row>
    <row r="288" spans="1:54" x14ac:dyDescent="0.25">
      <c r="A288" s="13">
        <f t="shared" si="4"/>
        <v>275</v>
      </c>
      <c r="B288" s="888" t="str">
        <f>'refer admin discharge'!B284</f>
        <v>x</v>
      </c>
      <c r="C288" s="888"/>
      <c r="D288" s="868" t="str">
        <f>'refer admin discharge'!D284</f>
        <v>xx</v>
      </c>
      <c r="E288" s="868"/>
      <c r="F288" s="891" t="str">
        <f>'refer admin discharge'!H284</f>
        <v>00/00/0000</v>
      </c>
      <c r="G288" s="892"/>
      <c r="H288" s="894"/>
      <c r="I288" s="894"/>
      <c r="J288" s="918"/>
      <c r="K288" s="918"/>
      <c r="L288" s="894"/>
      <c r="M288" s="894"/>
      <c r="N288" s="916"/>
      <c r="O288" s="916"/>
      <c r="P288" s="894"/>
      <c r="Q288" s="894"/>
      <c r="R288" s="916"/>
      <c r="S288" s="916"/>
      <c r="T288" s="894"/>
      <c r="U288" s="894"/>
      <c r="V288" s="921" t="str">
        <f>'refer admin discharge'!H289</f>
        <v>00/00/0000</v>
      </c>
      <c r="W288" s="922"/>
      <c r="X288" s="920"/>
      <c r="Y288" s="920"/>
      <c r="Z288" s="919"/>
      <c r="AA288" s="919"/>
      <c r="AB288" s="920"/>
      <c r="AC288" s="920"/>
      <c r="AD288" s="912"/>
      <c r="AE288" s="912"/>
      <c r="AF288" s="920"/>
      <c r="AG288" s="920"/>
      <c r="AH288" s="912"/>
      <c r="AI288" s="912"/>
      <c r="AJ288" s="920"/>
      <c r="AK288" s="920"/>
      <c r="AL288" s="905"/>
      <c r="AM288" s="906"/>
      <c r="AN288" s="906"/>
      <c r="AO288" s="906"/>
      <c r="AP288" s="906"/>
      <c r="AQ288" s="906"/>
      <c r="AR288" s="906"/>
      <c r="AS288" s="906"/>
      <c r="AT288" s="906"/>
      <c r="AU288" s="906"/>
      <c r="AV288" s="906"/>
      <c r="AW288" s="906"/>
      <c r="AX288" s="906"/>
      <c r="AY288" s="906"/>
      <c r="AZ288" s="906"/>
      <c r="BA288" s="906"/>
      <c r="BB288" s="907"/>
    </row>
    <row r="289" spans="1:54" x14ac:dyDescent="0.25">
      <c r="A289" s="13">
        <f t="shared" si="4"/>
        <v>276</v>
      </c>
      <c r="B289" s="914" t="str">
        <f>'refer admin discharge'!B285</f>
        <v>x</v>
      </c>
      <c r="C289" s="914"/>
      <c r="D289" s="889" t="str">
        <f>'refer admin discharge'!D285</f>
        <v>xx</v>
      </c>
      <c r="E289" s="889"/>
      <c r="F289" s="915" t="str">
        <f>'refer admin discharge'!H285</f>
        <v>00/00/0000</v>
      </c>
      <c r="G289" s="890"/>
      <c r="H289" s="916"/>
      <c r="I289" s="916"/>
      <c r="J289" s="917"/>
      <c r="K289" s="917"/>
      <c r="L289" s="916"/>
      <c r="M289" s="916"/>
      <c r="N289" s="893"/>
      <c r="O289" s="893"/>
      <c r="P289" s="916"/>
      <c r="Q289" s="916"/>
      <c r="R289" s="893"/>
      <c r="S289" s="893"/>
      <c r="T289" s="916"/>
      <c r="U289" s="916"/>
      <c r="V289" s="921" t="str">
        <f>'refer admin discharge'!H290</f>
        <v>00/00/0000</v>
      </c>
      <c r="W289" s="922"/>
      <c r="X289" s="912"/>
      <c r="Y289" s="912"/>
      <c r="Z289" s="924"/>
      <c r="AA289" s="924"/>
      <c r="AB289" s="912"/>
      <c r="AC289" s="912"/>
      <c r="AD289" s="913"/>
      <c r="AE289" s="913"/>
      <c r="AF289" s="912"/>
      <c r="AG289" s="912"/>
      <c r="AH289" s="913"/>
      <c r="AI289" s="913"/>
      <c r="AJ289" s="912"/>
      <c r="AK289" s="912"/>
      <c r="AL289" s="925"/>
      <c r="AM289" s="926"/>
      <c r="AN289" s="926"/>
      <c r="AO289" s="926"/>
      <c r="AP289" s="926"/>
      <c r="AQ289" s="926"/>
      <c r="AR289" s="926"/>
      <c r="AS289" s="926"/>
      <c r="AT289" s="926"/>
      <c r="AU289" s="926"/>
      <c r="AV289" s="926"/>
      <c r="AW289" s="926"/>
      <c r="AX289" s="926"/>
      <c r="AY289" s="926"/>
      <c r="AZ289" s="926"/>
      <c r="BA289" s="926"/>
      <c r="BB289" s="927"/>
    </row>
    <row r="290" spans="1:54" x14ac:dyDescent="0.25">
      <c r="A290" s="13">
        <f t="shared" si="4"/>
        <v>277</v>
      </c>
      <c r="B290" s="888" t="str">
        <f>'refer admin discharge'!B286</f>
        <v>x</v>
      </c>
      <c r="C290" s="888"/>
      <c r="D290" s="868" t="str">
        <f>'refer admin discharge'!D286</f>
        <v>xx</v>
      </c>
      <c r="E290" s="868"/>
      <c r="F290" s="891" t="str">
        <f>'refer admin discharge'!H286</f>
        <v>00/00/0000</v>
      </c>
      <c r="G290" s="892"/>
      <c r="H290" s="894"/>
      <c r="I290" s="894"/>
      <c r="J290" s="918"/>
      <c r="K290" s="918"/>
      <c r="L290" s="894"/>
      <c r="M290" s="894"/>
      <c r="N290" s="916"/>
      <c r="O290" s="916"/>
      <c r="P290" s="894"/>
      <c r="Q290" s="894"/>
      <c r="R290" s="916"/>
      <c r="S290" s="916"/>
      <c r="T290" s="894"/>
      <c r="U290" s="894"/>
      <c r="V290" s="921" t="str">
        <f>'refer admin discharge'!H291</f>
        <v>00/00/0000</v>
      </c>
      <c r="W290" s="922"/>
      <c r="X290" s="920"/>
      <c r="Y290" s="920"/>
      <c r="Z290" s="919"/>
      <c r="AA290" s="919"/>
      <c r="AB290" s="920"/>
      <c r="AC290" s="920"/>
      <c r="AD290" s="912"/>
      <c r="AE290" s="912"/>
      <c r="AF290" s="920"/>
      <c r="AG290" s="920"/>
      <c r="AH290" s="912"/>
      <c r="AI290" s="912"/>
      <c r="AJ290" s="920"/>
      <c r="AK290" s="920"/>
      <c r="AL290" s="905"/>
      <c r="AM290" s="906"/>
      <c r="AN290" s="906"/>
      <c r="AO290" s="906"/>
      <c r="AP290" s="906"/>
      <c r="AQ290" s="906"/>
      <c r="AR290" s="906"/>
      <c r="AS290" s="906"/>
      <c r="AT290" s="906"/>
      <c r="AU290" s="906"/>
      <c r="AV290" s="906"/>
      <c r="AW290" s="906"/>
      <c r="AX290" s="906"/>
      <c r="AY290" s="906"/>
      <c r="AZ290" s="906"/>
      <c r="BA290" s="906"/>
      <c r="BB290" s="907"/>
    </row>
    <row r="291" spans="1:54" x14ac:dyDescent="0.25">
      <c r="A291" s="13">
        <f t="shared" si="4"/>
        <v>278</v>
      </c>
      <c r="B291" s="914" t="str">
        <f>'refer admin discharge'!B287</f>
        <v>x</v>
      </c>
      <c r="C291" s="914"/>
      <c r="D291" s="889" t="str">
        <f>'refer admin discharge'!D287</f>
        <v>xx</v>
      </c>
      <c r="E291" s="889"/>
      <c r="F291" s="915" t="str">
        <f>'refer admin discharge'!H287</f>
        <v>00/00/0000</v>
      </c>
      <c r="G291" s="890"/>
      <c r="H291" s="916"/>
      <c r="I291" s="916"/>
      <c r="J291" s="917"/>
      <c r="K291" s="917"/>
      <c r="L291" s="916"/>
      <c r="M291" s="916"/>
      <c r="N291" s="893"/>
      <c r="O291" s="893"/>
      <c r="P291" s="916"/>
      <c r="Q291" s="916"/>
      <c r="R291" s="893"/>
      <c r="S291" s="893"/>
      <c r="T291" s="916"/>
      <c r="U291" s="916"/>
      <c r="V291" s="921" t="str">
        <f>'refer admin discharge'!H292</f>
        <v>00/00/0000</v>
      </c>
      <c r="W291" s="922"/>
      <c r="X291" s="912"/>
      <c r="Y291" s="912"/>
      <c r="Z291" s="924"/>
      <c r="AA291" s="924"/>
      <c r="AB291" s="912"/>
      <c r="AC291" s="912"/>
      <c r="AD291" s="913"/>
      <c r="AE291" s="913"/>
      <c r="AF291" s="912"/>
      <c r="AG291" s="912"/>
      <c r="AH291" s="913"/>
      <c r="AI291" s="913"/>
      <c r="AJ291" s="912"/>
      <c r="AK291" s="912"/>
      <c r="AL291" s="925"/>
      <c r="AM291" s="926"/>
      <c r="AN291" s="926"/>
      <c r="AO291" s="926"/>
      <c r="AP291" s="926"/>
      <c r="AQ291" s="926"/>
      <c r="AR291" s="926"/>
      <c r="AS291" s="926"/>
      <c r="AT291" s="926"/>
      <c r="AU291" s="926"/>
      <c r="AV291" s="926"/>
      <c r="AW291" s="926"/>
      <c r="AX291" s="926"/>
      <c r="AY291" s="926"/>
      <c r="AZ291" s="926"/>
      <c r="BA291" s="926"/>
      <c r="BB291" s="927"/>
    </row>
    <row r="292" spans="1:54" x14ac:dyDescent="0.25">
      <c r="A292" s="13">
        <f t="shared" si="4"/>
        <v>279</v>
      </c>
      <c r="B292" s="888" t="str">
        <f>'refer admin discharge'!B288</f>
        <v>x</v>
      </c>
      <c r="C292" s="888"/>
      <c r="D292" s="868" t="str">
        <f>'refer admin discharge'!D288</f>
        <v>xx</v>
      </c>
      <c r="E292" s="868"/>
      <c r="F292" s="891" t="str">
        <f>'refer admin discharge'!H288</f>
        <v>00/00/0000</v>
      </c>
      <c r="G292" s="892"/>
      <c r="H292" s="894"/>
      <c r="I292" s="894"/>
      <c r="J292" s="918"/>
      <c r="K292" s="918"/>
      <c r="L292" s="894"/>
      <c r="M292" s="894"/>
      <c r="N292" s="916"/>
      <c r="O292" s="916"/>
      <c r="P292" s="894"/>
      <c r="Q292" s="894"/>
      <c r="R292" s="916"/>
      <c r="S292" s="916"/>
      <c r="T292" s="894"/>
      <c r="U292" s="894"/>
      <c r="V292" s="921" t="str">
        <f>'refer admin discharge'!H293</f>
        <v>00/00/0000</v>
      </c>
      <c r="W292" s="922"/>
      <c r="X292" s="920"/>
      <c r="Y292" s="920"/>
      <c r="Z292" s="919"/>
      <c r="AA292" s="919"/>
      <c r="AB292" s="920"/>
      <c r="AC292" s="920"/>
      <c r="AD292" s="912"/>
      <c r="AE292" s="912"/>
      <c r="AF292" s="920"/>
      <c r="AG292" s="920"/>
      <c r="AH292" s="912"/>
      <c r="AI292" s="912"/>
      <c r="AJ292" s="920"/>
      <c r="AK292" s="920"/>
      <c r="AL292" s="905"/>
      <c r="AM292" s="906"/>
      <c r="AN292" s="906"/>
      <c r="AO292" s="906"/>
      <c r="AP292" s="906"/>
      <c r="AQ292" s="906"/>
      <c r="AR292" s="906"/>
      <c r="AS292" s="906"/>
      <c r="AT292" s="906"/>
      <c r="AU292" s="906"/>
      <c r="AV292" s="906"/>
      <c r="AW292" s="906"/>
      <c r="AX292" s="906"/>
      <c r="AY292" s="906"/>
      <c r="AZ292" s="906"/>
      <c r="BA292" s="906"/>
      <c r="BB292" s="907"/>
    </row>
    <row r="293" spans="1:54" x14ac:dyDescent="0.25">
      <c r="A293" s="13">
        <f t="shared" si="4"/>
        <v>280</v>
      </c>
      <c r="B293" s="914" t="str">
        <f>'refer admin discharge'!B289</f>
        <v>x</v>
      </c>
      <c r="C293" s="914"/>
      <c r="D293" s="889" t="str">
        <f>'refer admin discharge'!D289</f>
        <v>xx</v>
      </c>
      <c r="E293" s="889"/>
      <c r="F293" s="915" t="str">
        <f>'refer admin discharge'!H289</f>
        <v>00/00/0000</v>
      </c>
      <c r="G293" s="890"/>
      <c r="H293" s="916"/>
      <c r="I293" s="916"/>
      <c r="J293" s="917"/>
      <c r="K293" s="917"/>
      <c r="L293" s="916"/>
      <c r="M293" s="916"/>
      <c r="N293" s="893"/>
      <c r="O293" s="893"/>
      <c r="P293" s="916"/>
      <c r="Q293" s="916"/>
      <c r="R293" s="893"/>
      <c r="S293" s="893"/>
      <c r="T293" s="916"/>
      <c r="U293" s="916"/>
      <c r="V293" s="921" t="str">
        <f>'refer admin discharge'!H294</f>
        <v>00/00/0000</v>
      </c>
      <c r="W293" s="922"/>
      <c r="X293" s="912"/>
      <c r="Y293" s="912"/>
      <c r="Z293" s="924"/>
      <c r="AA293" s="924"/>
      <c r="AB293" s="912"/>
      <c r="AC293" s="912"/>
      <c r="AD293" s="913"/>
      <c r="AE293" s="913"/>
      <c r="AF293" s="912"/>
      <c r="AG293" s="912"/>
      <c r="AH293" s="913"/>
      <c r="AI293" s="913"/>
      <c r="AJ293" s="912"/>
      <c r="AK293" s="912"/>
      <c r="AL293" s="925"/>
      <c r="AM293" s="926"/>
      <c r="AN293" s="926"/>
      <c r="AO293" s="926"/>
      <c r="AP293" s="926"/>
      <c r="AQ293" s="926"/>
      <c r="AR293" s="926"/>
      <c r="AS293" s="926"/>
      <c r="AT293" s="926"/>
      <c r="AU293" s="926"/>
      <c r="AV293" s="926"/>
      <c r="AW293" s="926"/>
      <c r="AX293" s="926"/>
      <c r="AY293" s="926"/>
      <c r="AZ293" s="926"/>
      <c r="BA293" s="926"/>
      <c r="BB293" s="927"/>
    </row>
    <row r="294" spans="1:54" x14ac:dyDescent="0.25">
      <c r="A294" s="13">
        <f t="shared" si="4"/>
        <v>281</v>
      </c>
      <c r="B294" s="888" t="str">
        <f>'refer admin discharge'!B290</f>
        <v>x</v>
      </c>
      <c r="C294" s="888"/>
      <c r="D294" s="868" t="str">
        <f>'refer admin discharge'!D290</f>
        <v>xx</v>
      </c>
      <c r="E294" s="868"/>
      <c r="F294" s="891" t="str">
        <f>'refer admin discharge'!H290</f>
        <v>00/00/0000</v>
      </c>
      <c r="G294" s="892"/>
      <c r="H294" s="894"/>
      <c r="I294" s="894"/>
      <c r="J294" s="918"/>
      <c r="K294" s="918"/>
      <c r="L294" s="894"/>
      <c r="M294" s="894"/>
      <c r="N294" s="916"/>
      <c r="O294" s="916"/>
      <c r="P294" s="894"/>
      <c r="Q294" s="894"/>
      <c r="R294" s="916"/>
      <c r="S294" s="916"/>
      <c r="T294" s="894"/>
      <c r="U294" s="894"/>
      <c r="V294" s="921" t="str">
        <f>'refer admin discharge'!H295</f>
        <v>00/00/0000</v>
      </c>
      <c r="W294" s="922"/>
      <c r="X294" s="920"/>
      <c r="Y294" s="920"/>
      <c r="Z294" s="919"/>
      <c r="AA294" s="919"/>
      <c r="AB294" s="920"/>
      <c r="AC294" s="920"/>
      <c r="AD294" s="912"/>
      <c r="AE294" s="912"/>
      <c r="AF294" s="920"/>
      <c r="AG294" s="920"/>
      <c r="AH294" s="912"/>
      <c r="AI294" s="912"/>
      <c r="AJ294" s="920"/>
      <c r="AK294" s="920"/>
      <c r="AL294" s="905"/>
      <c r="AM294" s="906"/>
      <c r="AN294" s="906"/>
      <c r="AO294" s="906"/>
      <c r="AP294" s="906"/>
      <c r="AQ294" s="906"/>
      <c r="AR294" s="906"/>
      <c r="AS294" s="906"/>
      <c r="AT294" s="906"/>
      <c r="AU294" s="906"/>
      <c r="AV294" s="906"/>
      <c r="AW294" s="906"/>
      <c r="AX294" s="906"/>
      <c r="AY294" s="906"/>
      <c r="AZ294" s="906"/>
      <c r="BA294" s="906"/>
      <c r="BB294" s="907"/>
    </row>
    <row r="295" spans="1:54" x14ac:dyDescent="0.25">
      <c r="A295" s="13">
        <f t="shared" si="4"/>
        <v>282</v>
      </c>
      <c r="B295" s="914" t="str">
        <f>'refer admin discharge'!B291</f>
        <v>x</v>
      </c>
      <c r="C295" s="914"/>
      <c r="D295" s="889" t="str">
        <f>'refer admin discharge'!D291</f>
        <v>xx</v>
      </c>
      <c r="E295" s="889"/>
      <c r="F295" s="915" t="str">
        <f>'refer admin discharge'!H291</f>
        <v>00/00/0000</v>
      </c>
      <c r="G295" s="890"/>
      <c r="H295" s="916"/>
      <c r="I295" s="916"/>
      <c r="J295" s="917"/>
      <c r="K295" s="917"/>
      <c r="L295" s="916"/>
      <c r="M295" s="916"/>
      <c r="N295" s="893"/>
      <c r="O295" s="893"/>
      <c r="P295" s="916"/>
      <c r="Q295" s="916"/>
      <c r="R295" s="893"/>
      <c r="S295" s="893"/>
      <c r="T295" s="916"/>
      <c r="U295" s="916"/>
      <c r="V295" s="921" t="str">
        <f>'refer admin discharge'!H296</f>
        <v>00/00/0000</v>
      </c>
      <c r="W295" s="922"/>
      <c r="X295" s="912"/>
      <c r="Y295" s="912"/>
      <c r="Z295" s="924"/>
      <c r="AA295" s="924"/>
      <c r="AB295" s="912"/>
      <c r="AC295" s="912"/>
      <c r="AD295" s="913"/>
      <c r="AE295" s="913"/>
      <c r="AF295" s="912"/>
      <c r="AG295" s="912"/>
      <c r="AH295" s="913"/>
      <c r="AI295" s="913"/>
      <c r="AJ295" s="912"/>
      <c r="AK295" s="912"/>
      <c r="AL295" s="925"/>
      <c r="AM295" s="926"/>
      <c r="AN295" s="926"/>
      <c r="AO295" s="926"/>
      <c r="AP295" s="926"/>
      <c r="AQ295" s="926"/>
      <c r="AR295" s="926"/>
      <c r="AS295" s="926"/>
      <c r="AT295" s="926"/>
      <c r="AU295" s="926"/>
      <c r="AV295" s="926"/>
      <c r="AW295" s="926"/>
      <c r="AX295" s="926"/>
      <c r="AY295" s="926"/>
      <c r="AZ295" s="926"/>
      <c r="BA295" s="926"/>
      <c r="BB295" s="927"/>
    </row>
    <row r="296" spans="1:54" x14ac:dyDescent="0.25">
      <c r="A296" s="13">
        <f t="shared" si="4"/>
        <v>283</v>
      </c>
      <c r="B296" s="888" t="str">
        <f>'refer admin discharge'!B292</f>
        <v>x</v>
      </c>
      <c r="C296" s="888"/>
      <c r="D296" s="868" t="str">
        <f>'refer admin discharge'!D292</f>
        <v>xx</v>
      </c>
      <c r="E296" s="868"/>
      <c r="F296" s="891" t="str">
        <f>'refer admin discharge'!H292</f>
        <v>00/00/0000</v>
      </c>
      <c r="G296" s="892"/>
      <c r="H296" s="894"/>
      <c r="I296" s="894"/>
      <c r="J296" s="918"/>
      <c r="K296" s="918"/>
      <c r="L296" s="894"/>
      <c r="M296" s="894"/>
      <c r="N296" s="916"/>
      <c r="O296" s="916"/>
      <c r="P296" s="894"/>
      <c r="Q296" s="894"/>
      <c r="R296" s="916"/>
      <c r="S296" s="916"/>
      <c r="T296" s="894"/>
      <c r="U296" s="894"/>
      <c r="V296" s="921" t="str">
        <f>'refer admin discharge'!H297</f>
        <v>00/00/0000</v>
      </c>
      <c r="W296" s="922"/>
      <c r="X296" s="920"/>
      <c r="Y296" s="920"/>
      <c r="Z296" s="919"/>
      <c r="AA296" s="919"/>
      <c r="AB296" s="920"/>
      <c r="AC296" s="920"/>
      <c r="AD296" s="912"/>
      <c r="AE296" s="912"/>
      <c r="AF296" s="920"/>
      <c r="AG296" s="920"/>
      <c r="AH296" s="912"/>
      <c r="AI296" s="912"/>
      <c r="AJ296" s="920"/>
      <c r="AK296" s="920"/>
      <c r="AL296" s="905"/>
      <c r="AM296" s="906"/>
      <c r="AN296" s="906"/>
      <c r="AO296" s="906"/>
      <c r="AP296" s="906"/>
      <c r="AQ296" s="906"/>
      <c r="AR296" s="906"/>
      <c r="AS296" s="906"/>
      <c r="AT296" s="906"/>
      <c r="AU296" s="906"/>
      <c r="AV296" s="906"/>
      <c r="AW296" s="906"/>
      <c r="AX296" s="906"/>
      <c r="AY296" s="906"/>
      <c r="AZ296" s="906"/>
      <c r="BA296" s="906"/>
      <c r="BB296" s="907"/>
    </row>
    <row r="297" spans="1:54" x14ac:dyDescent="0.25">
      <c r="A297" s="13">
        <f t="shared" si="4"/>
        <v>284</v>
      </c>
      <c r="B297" s="914" t="str">
        <f>'refer admin discharge'!B293</f>
        <v>x</v>
      </c>
      <c r="C297" s="914"/>
      <c r="D297" s="889" t="str">
        <f>'refer admin discharge'!D293</f>
        <v>xx</v>
      </c>
      <c r="E297" s="889"/>
      <c r="F297" s="915" t="str">
        <f>'refer admin discharge'!H293</f>
        <v>00/00/0000</v>
      </c>
      <c r="G297" s="890"/>
      <c r="H297" s="916"/>
      <c r="I297" s="916"/>
      <c r="J297" s="917"/>
      <c r="K297" s="917"/>
      <c r="L297" s="916"/>
      <c r="M297" s="916"/>
      <c r="N297" s="893"/>
      <c r="O297" s="893"/>
      <c r="P297" s="916"/>
      <c r="Q297" s="916"/>
      <c r="R297" s="893"/>
      <c r="S297" s="893"/>
      <c r="T297" s="916"/>
      <c r="U297" s="916"/>
      <c r="V297" s="921" t="str">
        <f>'refer admin discharge'!H298</f>
        <v>00/00/0000</v>
      </c>
      <c r="W297" s="922"/>
      <c r="X297" s="912"/>
      <c r="Y297" s="912"/>
      <c r="Z297" s="924"/>
      <c r="AA297" s="924"/>
      <c r="AB297" s="912"/>
      <c r="AC297" s="912"/>
      <c r="AD297" s="913"/>
      <c r="AE297" s="913"/>
      <c r="AF297" s="912"/>
      <c r="AG297" s="912"/>
      <c r="AH297" s="913"/>
      <c r="AI297" s="913"/>
      <c r="AJ297" s="912"/>
      <c r="AK297" s="912"/>
      <c r="AL297" s="925"/>
      <c r="AM297" s="926"/>
      <c r="AN297" s="926"/>
      <c r="AO297" s="926"/>
      <c r="AP297" s="926"/>
      <c r="AQ297" s="926"/>
      <c r="AR297" s="926"/>
      <c r="AS297" s="926"/>
      <c r="AT297" s="926"/>
      <c r="AU297" s="926"/>
      <c r="AV297" s="926"/>
      <c r="AW297" s="926"/>
      <c r="AX297" s="926"/>
      <c r="AY297" s="926"/>
      <c r="AZ297" s="926"/>
      <c r="BA297" s="926"/>
      <c r="BB297" s="927"/>
    </row>
    <row r="298" spans="1:54" x14ac:dyDescent="0.25">
      <c r="A298" s="13">
        <f t="shared" si="4"/>
        <v>285</v>
      </c>
      <c r="B298" s="888" t="str">
        <f>'refer admin discharge'!B294</f>
        <v>x</v>
      </c>
      <c r="C298" s="888"/>
      <c r="D298" s="868" t="str">
        <f>'refer admin discharge'!D294</f>
        <v>xx</v>
      </c>
      <c r="E298" s="868"/>
      <c r="F298" s="891" t="str">
        <f>'refer admin discharge'!H294</f>
        <v>00/00/0000</v>
      </c>
      <c r="G298" s="892"/>
      <c r="H298" s="894"/>
      <c r="I298" s="894"/>
      <c r="J298" s="918"/>
      <c r="K298" s="918"/>
      <c r="L298" s="894"/>
      <c r="M298" s="894"/>
      <c r="N298" s="916"/>
      <c r="O298" s="916"/>
      <c r="P298" s="894"/>
      <c r="Q298" s="894"/>
      <c r="R298" s="916"/>
      <c r="S298" s="916"/>
      <c r="T298" s="894"/>
      <c r="U298" s="894"/>
      <c r="V298" s="921" t="str">
        <f>'refer admin discharge'!H299</f>
        <v>00/00/0000</v>
      </c>
      <c r="W298" s="922"/>
      <c r="X298" s="920"/>
      <c r="Y298" s="920"/>
      <c r="Z298" s="919"/>
      <c r="AA298" s="919"/>
      <c r="AB298" s="920"/>
      <c r="AC298" s="920"/>
      <c r="AD298" s="912"/>
      <c r="AE298" s="912"/>
      <c r="AF298" s="920"/>
      <c r="AG298" s="920"/>
      <c r="AH298" s="912"/>
      <c r="AI298" s="912"/>
      <c r="AJ298" s="920"/>
      <c r="AK298" s="920"/>
      <c r="AL298" s="905"/>
      <c r="AM298" s="906"/>
      <c r="AN298" s="906"/>
      <c r="AO298" s="906"/>
      <c r="AP298" s="906"/>
      <c r="AQ298" s="906"/>
      <c r="AR298" s="906"/>
      <c r="AS298" s="906"/>
      <c r="AT298" s="906"/>
      <c r="AU298" s="906"/>
      <c r="AV298" s="906"/>
      <c r="AW298" s="906"/>
      <c r="AX298" s="906"/>
      <c r="AY298" s="906"/>
      <c r="AZ298" s="906"/>
      <c r="BA298" s="906"/>
      <c r="BB298" s="907"/>
    </row>
    <row r="299" spans="1:54" x14ac:dyDescent="0.25">
      <c r="A299" s="13">
        <f t="shared" si="4"/>
        <v>286</v>
      </c>
      <c r="B299" s="914" t="str">
        <f>'refer admin discharge'!B295</f>
        <v>x</v>
      </c>
      <c r="C299" s="914"/>
      <c r="D299" s="889" t="str">
        <f>'refer admin discharge'!D295</f>
        <v>xx</v>
      </c>
      <c r="E299" s="889"/>
      <c r="F299" s="915" t="str">
        <f>'refer admin discharge'!H295</f>
        <v>00/00/0000</v>
      </c>
      <c r="G299" s="890"/>
      <c r="H299" s="916"/>
      <c r="I299" s="916"/>
      <c r="J299" s="917"/>
      <c r="K299" s="917"/>
      <c r="L299" s="916"/>
      <c r="M299" s="916"/>
      <c r="N299" s="893"/>
      <c r="O299" s="893"/>
      <c r="P299" s="916"/>
      <c r="Q299" s="916"/>
      <c r="R299" s="893"/>
      <c r="S299" s="893"/>
      <c r="T299" s="916"/>
      <c r="U299" s="916"/>
      <c r="V299" s="921" t="str">
        <f>'refer admin discharge'!H300</f>
        <v>00/00/0000</v>
      </c>
      <c r="W299" s="922"/>
      <c r="X299" s="912"/>
      <c r="Y299" s="912"/>
      <c r="Z299" s="924"/>
      <c r="AA299" s="924"/>
      <c r="AB299" s="912"/>
      <c r="AC299" s="912"/>
      <c r="AD299" s="913"/>
      <c r="AE299" s="913"/>
      <c r="AF299" s="912"/>
      <c r="AG299" s="912"/>
      <c r="AH299" s="913"/>
      <c r="AI299" s="913"/>
      <c r="AJ299" s="912"/>
      <c r="AK299" s="912"/>
      <c r="AL299" s="925"/>
      <c r="AM299" s="926"/>
      <c r="AN299" s="926"/>
      <c r="AO299" s="926"/>
      <c r="AP299" s="926"/>
      <c r="AQ299" s="926"/>
      <c r="AR299" s="926"/>
      <c r="AS299" s="926"/>
      <c r="AT299" s="926"/>
      <c r="AU299" s="926"/>
      <c r="AV299" s="926"/>
      <c r="AW299" s="926"/>
      <c r="AX299" s="926"/>
      <c r="AY299" s="926"/>
      <c r="AZ299" s="926"/>
      <c r="BA299" s="926"/>
      <c r="BB299" s="927"/>
    </row>
    <row r="300" spans="1:54" x14ac:dyDescent="0.25">
      <c r="A300" s="13">
        <f t="shared" si="4"/>
        <v>287</v>
      </c>
      <c r="B300" s="888" t="str">
        <f>'refer admin discharge'!B296</f>
        <v>x</v>
      </c>
      <c r="C300" s="888"/>
      <c r="D300" s="868" t="str">
        <f>'refer admin discharge'!D296</f>
        <v>xx</v>
      </c>
      <c r="E300" s="868"/>
      <c r="F300" s="891" t="str">
        <f>'refer admin discharge'!H296</f>
        <v>00/00/0000</v>
      </c>
      <c r="G300" s="892"/>
      <c r="H300" s="894"/>
      <c r="I300" s="894"/>
      <c r="J300" s="918"/>
      <c r="K300" s="918"/>
      <c r="L300" s="894"/>
      <c r="M300" s="894"/>
      <c r="N300" s="916"/>
      <c r="O300" s="916"/>
      <c r="P300" s="894"/>
      <c r="Q300" s="894"/>
      <c r="R300" s="916"/>
      <c r="S300" s="916"/>
      <c r="T300" s="894"/>
      <c r="U300" s="894"/>
      <c r="V300" s="921" t="str">
        <f>'refer admin discharge'!H301</f>
        <v>00/00/0000</v>
      </c>
      <c r="W300" s="922"/>
      <c r="X300" s="920"/>
      <c r="Y300" s="920"/>
      <c r="Z300" s="919"/>
      <c r="AA300" s="919"/>
      <c r="AB300" s="920"/>
      <c r="AC300" s="920"/>
      <c r="AD300" s="912"/>
      <c r="AE300" s="912"/>
      <c r="AF300" s="920"/>
      <c r="AG300" s="920"/>
      <c r="AH300" s="912"/>
      <c r="AI300" s="912"/>
      <c r="AJ300" s="920"/>
      <c r="AK300" s="920"/>
      <c r="AL300" s="905"/>
      <c r="AM300" s="906"/>
      <c r="AN300" s="906"/>
      <c r="AO300" s="906"/>
      <c r="AP300" s="906"/>
      <c r="AQ300" s="906"/>
      <c r="AR300" s="906"/>
      <c r="AS300" s="906"/>
      <c r="AT300" s="906"/>
      <c r="AU300" s="906"/>
      <c r="AV300" s="906"/>
      <c r="AW300" s="906"/>
      <c r="AX300" s="906"/>
      <c r="AY300" s="906"/>
      <c r="AZ300" s="906"/>
      <c r="BA300" s="906"/>
      <c r="BB300" s="907"/>
    </row>
    <row r="301" spans="1:54" x14ac:dyDescent="0.25">
      <c r="A301" s="13">
        <f t="shared" si="4"/>
        <v>288</v>
      </c>
      <c r="B301" s="914" t="str">
        <f>'refer admin discharge'!B297</f>
        <v>x</v>
      </c>
      <c r="C301" s="914"/>
      <c r="D301" s="889" t="str">
        <f>'refer admin discharge'!D297</f>
        <v>xx</v>
      </c>
      <c r="E301" s="889"/>
      <c r="F301" s="915" t="str">
        <f>'refer admin discharge'!H297</f>
        <v>00/00/0000</v>
      </c>
      <c r="G301" s="890"/>
      <c r="H301" s="916"/>
      <c r="I301" s="916"/>
      <c r="J301" s="917"/>
      <c r="K301" s="917"/>
      <c r="L301" s="916"/>
      <c r="M301" s="916"/>
      <c r="N301" s="893"/>
      <c r="O301" s="893"/>
      <c r="P301" s="916"/>
      <c r="Q301" s="916"/>
      <c r="R301" s="893"/>
      <c r="S301" s="893"/>
      <c r="T301" s="916"/>
      <c r="U301" s="916"/>
      <c r="V301" s="921" t="str">
        <f>'refer admin discharge'!H302</f>
        <v>00/00/0000</v>
      </c>
      <c r="W301" s="922"/>
      <c r="X301" s="912"/>
      <c r="Y301" s="912"/>
      <c r="Z301" s="924"/>
      <c r="AA301" s="924"/>
      <c r="AB301" s="912"/>
      <c r="AC301" s="912"/>
      <c r="AD301" s="913"/>
      <c r="AE301" s="913"/>
      <c r="AF301" s="912"/>
      <c r="AG301" s="912"/>
      <c r="AH301" s="913"/>
      <c r="AI301" s="913"/>
      <c r="AJ301" s="912"/>
      <c r="AK301" s="912"/>
      <c r="AL301" s="925"/>
      <c r="AM301" s="926"/>
      <c r="AN301" s="926"/>
      <c r="AO301" s="926"/>
      <c r="AP301" s="926"/>
      <c r="AQ301" s="926"/>
      <c r="AR301" s="926"/>
      <c r="AS301" s="926"/>
      <c r="AT301" s="926"/>
      <c r="AU301" s="926"/>
      <c r="AV301" s="926"/>
      <c r="AW301" s="926"/>
      <c r="AX301" s="926"/>
      <c r="AY301" s="926"/>
      <c r="AZ301" s="926"/>
      <c r="BA301" s="926"/>
      <c r="BB301" s="927"/>
    </row>
    <row r="302" spans="1:54" x14ac:dyDescent="0.25">
      <c r="A302" s="13">
        <f t="shared" si="4"/>
        <v>289</v>
      </c>
      <c r="B302" s="888" t="str">
        <f>'refer admin discharge'!B298</f>
        <v>x</v>
      </c>
      <c r="C302" s="888"/>
      <c r="D302" s="868" t="str">
        <f>'refer admin discharge'!D298</f>
        <v>xx</v>
      </c>
      <c r="E302" s="868"/>
      <c r="F302" s="891" t="str">
        <f>'refer admin discharge'!H298</f>
        <v>00/00/0000</v>
      </c>
      <c r="G302" s="892"/>
      <c r="H302" s="894"/>
      <c r="I302" s="894"/>
      <c r="J302" s="918"/>
      <c r="K302" s="918"/>
      <c r="L302" s="894"/>
      <c r="M302" s="894"/>
      <c r="N302" s="916"/>
      <c r="O302" s="916"/>
      <c r="P302" s="894"/>
      <c r="Q302" s="894"/>
      <c r="R302" s="916"/>
      <c r="S302" s="916"/>
      <c r="T302" s="894"/>
      <c r="U302" s="894"/>
      <c r="V302" s="921" t="str">
        <f>'refer admin discharge'!H303</f>
        <v>00/00/0000</v>
      </c>
      <c r="W302" s="922"/>
      <c r="X302" s="920"/>
      <c r="Y302" s="920"/>
      <c r="Z302" s="919"/>
      <c r="AA302" s="919"/>
      <c r="AB302" s="920"/>
      <c r="AC302" s="920"/>
      <c r="AD302" s="912"/>
      <c r="AE302" s="912"/>
      <c r="AF302" s="920"/>
      <c r="AG302" s="920"/>
      <c r="AH302" s="912"/>
      <c r="AI302" s="912"/>
      <c r="AJ302" s="920"/>
      <c r="AK302" s="920"/>
      <c r="AL302" s="905"/>
      <c r="AM302" s="906"/>
      <c r="AN302" s="906"/>
      <c r="AO302" s="906"/>
      <c r="AP302" s="906"/>
      <c r="AQ302" s="906"/>
      <c r="AR302" s="906"/>
      <c r="AS302" s="906"/>
      <c r="AT302" s="906"/>
      <c r="AU302" s="906"/>
      <c r="AV302" s="906"/>
      <c r="AW302" s="906"/>
      <c r="AX302" s="906"/>
      <c r="AY302" s="906"/>
      <c r="AZ302" s="906"/>
      <c r="BA302" s="906"/>
      <c r="BB302" s="907"/>
    </row>
    <row r="303" spans="1:54" x14ac:dyDescent="0.25">
      <c r="A303" s="13">
        <f t="shared" si="4"/>
        <v>290</v>
      </c>
      <c r="B303" s="914" t="str">
        <f>'refer admin discharge'!B299</f>
        <v>x</v>
      </c>
      <c r="C303" s="914"/>
      <c r="D303" s="889" t="str">
        <f>'refer admin discharge'!D299</f>
        <v>xx</v>
      </c>
      <c r="E303" s="889"/>
      <c r="F303" s="915" t="str">
        <f>'refer admin discharge'!H299</f>
        <v>00/00/0000</v>
      </c>
      <c r="G303" s="890"/>
      <c r="H303" s="916"/>
      <c r="I303" s="916"/>
      <c r="J303" s="917"/>
      <c r="K303" s="917"/>
      <c r="L303" s="916"/>
      <c r="M303" s="916"/>
      <c r="N303" s="893"/>
      <c r="O303" s="893"/>
      <c r="P303" s="916"/>
      <c r="Q303" s="916"/>
      <c r="R303" s="893"/>
      <c r="S303" s="893"/>
      <c r="T303" s="916"/>
      <c r="U303" s="916"/>
      <c r="V303" s="921" t="str">
        <f>'refer admin discharge'!H304</f>
        <v>00/00/0000</v>
      </c>
      <c r="W303" s="922"/>
      <c r="X303" s="912"/>
      <c r="Y303" s="912"/>
      <c r="Z303" s="924"/>
      <c r="AA303" s="924"/>
      <c r="AB303" s="912"/>
      <c r="AC303" s="912"/>
      <c r="AD303" s="913"/>
      <c r="AE303" s="913"/>
      <c r="AF303" s="912"/>
      <c r="AG303" s="912"/>
      <c r="AH303" s="913"/>
      <c r="AI303" s="913"/>
      <c r="AJ303" s="912"/>
      <c r="AK303" s="912"/>
      <c r="AL303" s="925"/>
      <c r="AM303" s="926"/>
      <c r="AN303" s="926"/>
      <c r="AO303" s="926"/>
      <c r="AP303" s="926"/>
      <c r="AQ303" s="926"/>
      <c r="AR303" s="926"/>
      <c r="AS303" s="926"/>
      <c r="AT303" s="926"/>
      <c r="AU303" s="926"/>
      <c r="AV303" s="926"/>
      <c r="AW303" s="926"/>
      <c r="AX303" s="926"/>
      <c r="AY303" s="926"/>
      <c r="AZ303" s="926"/>
      <c r="BA303" s="926"/>
      <c r="BB303" s="927"/>
    </row>
    <row r="304" spans="1:54" x14ac:dyDescent="0.25">
      <c r="A304" s="13">
        <f t="shared" si="4"/>
        <v>291</v>
      </c>
      <c r="B304" s="888" t="str">
        <f>'refer admin discharge'!B300</f>
        <v>x</v>
      </c>
      <c r="C304" s="888"/>
      <c r="D304" s="868" t="str">
        <f>'refer admin discharge'!D300</f>
        <v>xx</v>
      </c>
      <c r="E304" s="868"/>
      <c r="F304" s="891" t="str">
        <f>'refer admin discharge'!H300</f>
        <v>00/00/0000</v>
      </c>
      <c r="G304" s="892"/>
      <c r="H304" s="894"/>
      <c r="I304" s="894"/>
      <c r="J304" s="918"/>
      <c r="K304" s="918"/>
      <c r="L304" s="894"/>
      <c r="M304" s="894"/>
      <c r="N304" s="916"/>
      <c r="O304" s="916"/>
      <c r="P304" s="894"/>
      <c r="Q304" s="894"/>
      <c r="R304" s="916"/>
      <c r="S304" s="916"/>
      <c r="T304" s="894"/>
      <c r="U304" s="894"/>
      <c r="V304" s="921" t="str">
        <f>'refer admin discharge'!H305</f>
        <v>00/00/0000</v>
      </c>
      <c r="W304" s="922"/>
      <c r="X304" s="920"/>
      <c r="Y304" s="920"/>
      <c r="Z304" s="919"/>
      <c r="AA304" s="919"/>
      <c r="AB304" s="920"/>
      <c r="AC304" s="920"/>
      <c r="AD304" s="912"/>
      <c r="AE304" s="912"/>
      <c r="AF304" s="920"/>
      <c r="AG304" s="920"/>
      <c r="AH304" s="912"/>
      <c r="AI304" s="912"/>
      <c r="AJ304" s="920"/>
      <c r="AK304" s="920"/>
      <c r="AL304" s="905"/>
      <c r="AM304" s="906"/>
      <c r="AN304" s="906"/>
      <c r="AO304" s="906"/>
      <c r="AP304" s="906"/>
      <c r="AQ304" s="906"/>
      <c r="AR304" s="906"/>
      <c r="AS304" s="906"/>
      <c r="AT304" s="906"/>
      <c r="AU304" s="906"/>
      <c r="AV304" s="906"/>
      <c r="AW304" s="906"/>
      <c r="AX304" s="906"/>
      <c r="AY304" s="906"/>
      <c r="AZ304" s="906"/>
      <c r="BA304" s="906"/>
      <c r="BB304" s="907"/>
    </row>
    <row r="305" spans="1:54" x14ac:dyDescent="0.25">
      <c r="A305" s="13">
        <f t="shared" si="4"/>
        <v>292</v>
      </c>
      <c r="B305" s="914" t="str">
        <f>'refer admin discharge'!B301</f>
        <v>x</v>
      </c>
      <c r="C305" s="914"/>
      <c r="D305" s="889" t="str">
        <f>'refer admin discharge'!D301</f>
        <v>xx</v>
      </c>
      <c r="E305" s="889"/>
      <c r="F305" s="915" t="str">
        <f>'refer admin discharge'!H301</f>
        <v>00/00/0000</v>
      </c>
      <c r="G305" s="890"/>
      <c r="H305" s="916"/>
      <c r="I305" s="916"/>
      <c r="J305" s="917"/>
      <c r="K305" s="917"/>
      <c r="L305" s="916"/>
      <c r="M305" s="916"/>
      <c r="N305" s="893"/>
      <c r="O305" s="893"/>
      <c r="P305" s="916"/>
      <c r="Q305" s="916"/>
      <c r="R305" s="893"/>
      <c r="S305" s="893"/>
      <c r="T305" s="916"/>
      <c r="U305" s="916"/>
      <c r="V305" s="921" t="str">
        <f>'refer admin discharge'!H306</f>
        <v>00/00/0000</v>
      </c>
      <c r="W305" s="922"/>
      <c r="X305" s="912"/>
      <c r="Y305" s="912"/>
      <c r="Z305" s="924"/>
      <c r="AA305" s="924"/>
      <c r="AB305" s="912"/>
      <c r="AC305" s="912"/>
      <c r="AD305" s="913"/>
      <c r="AE305" s="913"/>
      <c r="AF305" s="912"/>
      <c r="AG305" s="912"/>
      <c r="AH305" s="913"/>
      <c r="AI305" s="913"/>
      <c r="AJ305" s="912"/>
      <c r="AK305" s="912"/>
      <c r="AL305" s="925"/>
      <c r="AM305" s="926"/>
      <c r="AN305" s="926"/>
      <c r="AO305" s="926"/>
      <c r="AP305" s="926"/>
      <c r="AQ305" s="926"/>
      <c r="AR305" s="926"/>
      <c r="AS305" s="926"/>
      <c r="AT305" s="926"/>
      <c r="AU305" s="926"/>
      <c r="AV305" s="926"/>
      <c r="AW305" s="926"/>
      <c r="AX305" s="926"/>
      <c r="AY305" s="926"/>
      <c r="AZ305" s="926"/>
      <c r="BA305" s="926"/>
      <c r="BB305" s="927"/>
    </row>
    <row r="306" spans="1:54" x14ac:dyDescent="0.25">
      <c r="A306" s="13">
        <f t="shared" si="4"/>
        <v>293</v>
      </c>
      <c r="B306" s="888" t="str">
        <f>'refer admin discharge'!B302</f>
        <v>x</v>
      </c>
      <c r="C306" s="888"/>
      <c r="D306" s="868" t="str">
        <f>'refer admin discharge'!D302</f>
        <v>xx</v>
      </c>
      <c r="E306" s="868"/>
      <c r="F306" s="891" t="str">
        <f>'refer admin discharge'!H302</f>
        <v>00/00/0000</v>
      </c>
      <c r="G306" s="892"/>
      <c r="H306" s="894"/>
      <c r="I306" s="894"/>
      <c r="J306" s="918"/>
      <c r="K306" s="918"/>
      <c r="L306" s="894"/>
      <c r="M306" s="894"/>
      <c r="N306" s="916"/>
      <c r="O306" s="916"/>
      <c r="P306" s="894"/>
      <c r="Q306" s="894"/>
      <c r="R306" s="916"/>
      <c r="S306" s="916"/>
      <c r="T306" s="894"/>
      <c r="U306" s="894"/>
      <c r="V306" s="921" t="str">
        <f>'refer admin discharge'!H307</f>
        <v>00/00/0000</v>
      </c>
      <c r="W306" s="922"/>
      <c r="X306" s="920"/>
      <c r="Y306" s="920"/>
      <c r="Z306" s="919"/>
      <c r="AA306" s="919"/>
      <c r="AB306" s="920"/>
      <c r="AC306" s="920"/>
      <c r="AD306" s="912"/>
      <c r="AE306" s="912"/>
      <c r="AF306" s="920"/>
      <c r="AG306" s="920"/>
      <c r="AH306" s="912"/>
      <c r="AI306" s="912"/>
      <c r="AJ306" s="920"/>
      <c r="AK306" s="920"/>
      <c r="AL306" s="905"/>
      <c r="AM306" s="906"/>
      <c r="AN306" s="906"/>
      <c r="AO306" s="906"/>
      <c r="AP306" s="906"/>
      <c r="AQ306" s="906"/>
      <c r="AR306" s="906"/>
      <c r="AS306" s="906"/>
      <c r="AT306" s="906"/>
      <c r="AU306" s="906"/>
      <c r="AV306" s="906"/>
      <c r="AW306" s="906"/>
      <c r="AX306" s="906"/>
      <c r="AY306" s="906"/>
      <c r="AZ306" s="906"/>
      <c r="BA306" s="906"/>
      <c r="BB306" s="907"/>
    </row>
    <row r="307" spans="1:54" x14ac:dyDescent="0.25">
      <c r="A307" s="13">
        <f t="shared" si="4"/>
        <v>294</v>
      </c>
      <c r="B307" s="914" t="str">
        <f>'refer admin discharge'!B303</f>
        <v>x</v>
      </c>
      <c r="C307" s="914"/>
      <c r="D307" s="889" t="str">
        <f>'refer admin discharge'!D303</f>
        <v>xx</v>
      </c>
      <c r="E307" s="889"/>
      <c r="F307" s="915" t="str">
        <f>'refer admin discharge'!H303</f>
        <v>00/00/0000</v>
      </c>
      <c r="G307" s="890"/>
      <c r="H307" s="916"/>
      <c r="I307" s="916"/>
      <c r="J307" s="917"/>
      <c r="K307" s="917"/>
      <c r="L307" s="916"/>
      <c r="M307" s="916"/>
      <c r="N307" s="893"/>
      <c r="O307" s="893"/>
      <c r="P307" s="916"/>
      <c r="Q307" s="916"/>
      <c r="R307" s="893"/>
      <c r="S307" s="893"/>
      <c r="T307" s="916"/>
      <c r="U307" s="916"/>
      <c r="V307" s="921" t="str">
        <f>'refer admin discharge'!H308</f>
        <v>00/00/0000</v>
      </c>
      <c r="W307" s="922"/>
      <c r="X307" s="912"/>
      <c r="Y307" s="912"/>
      <c r="Z307" s="924"/>
      <c r="AA307" s="924"/>
      <c r="AB307" s="912"/>
      <c r="AC307" s="912"/>
      <c r="AD307" s="913"/>
      <c r="AE307" s="913"/>
      <c r="AF307" s="912"/>
      <c r="AG307" s="912"/>
      <c r="AH307" s="913"/>
      <c r="AI307" s="913"/>
      <c r="AJ307" s="912"/>
      <c r="AK307" s="912"/>
      <c r="AL307" s="925"/>
      <c r="AM307" s="926"/>
      <c r="AN307" s="926"/>
      <c r="AO307" s="926"/>
      <c r="AP307" s="926"/>
      <c r="AQ307" s="926"/>
      <c r="AR307" s="926"/>
      <c r="AS307" s="926"/>
      <c r="AT307" s="926"/>
      <c r="AU307" s="926"/>
      <c r="AV307" s="926"/>
      <c r="AW307" s="926"/>
      <c r="AX307" s="926"/>
      <c r="AY307" s="926"/>
      <c r="AZ307" s="926"/>
      <c r="BA307" s="926"/>
      <c r="BB307" s="927"/>
    </row>
    <row r="308" spans="1:54" x14ac:dyDescent="0.25">
      <c r="A308" s="13">
        <f t="shared" si="4"/>
        <v>295</v>
      </c>
      <c r="B308" s="888" t="str">
        <f>'refer admin discharge'!B304</f>
        <v>x</v>
      </c>
      <c r="C308" s="888"/>
      <c r="D308" s="868" t="str">
        <f>'refer admin discharge'!D304</f>
        <v>xx</v>
      </c>
      <c r="E308" s="868"/>
      <c r="F308" s="891" t="str">
        <f>'refer admin discharge'!H304</f>
        <v>00/00/0000</v>
      </c>
      <c r="G308" s="892"/>
      <c r="H308" s="894"/>
      <c r="I308" s="894"/>
      <c r="J308" s="918"/>
      <c r="K308" s="918"/>
      <c r="L308" s="894"/>
      <c r="M308" s="894"/>
      <c r="N308" s="916"/>
      <c r="O308" s="916"/>
      <c r="P308" s="894"/>
      <c r="Q308" s="894"/>
      <c r="R308" s="916"/>
      <c r="S308" s="916"/>
      <c r="T308" s="894"/>
      <c r="U308" s="894"/>
      <c r="V308" s="921" t="str">
        <f>'refer admin discharge'!H309</f>
        <v>00/00/0000</v>
      </c>
      <c r="W308" s="922"/>
      <c r="X308" s="920"/>
      <c r="Y308" s="920"/>
      <c r="Z308" s="919"/>
      <c r="AA308" s="919"/>
      <c r="AB308" s="920"/>
      <c r="AC308" s="920"/>
      <c r="AD308" s="912"/>
      <c r="AE308" s="912"/>
      <c r="AF308" s="920"/>
      <c r="AG308" s="920"/>
      <c r="AH308" s="912"/>
      <c r="AI308" s="912"/>
      <c r="AJ308" s="920"/>
      <c r="AK308" s="920"/>
      <c r="AL308" s="905"/>
      <c r="AM308" s="906"/>
      <c r="AN308" s="906"/>
      <c r="AO308" s="906"/>
      <c r="AP308" s="906"/>
      <c r="AQ308" s="906"/>
      <c r="AR308" s="906"/>
      <c r="AS308" s="906"/>
      <c r="AT308" s="906"/>
      <c r="AU308" s="906"/>
      <c r="AV308" s="906"/>
      <c r="AW308" s="906"/>
      <c r="AX308" s="906"/>
      <c r="AY308" s="906"/>
      <c r="AZ308" s="906"/>
      <c r="BA308" s="906"/>
      <c r="BB308" s="907"/>
    </row>
    <row r="309" spans="1:54" x14ac:dyDescent="0.25">
      <c r="A309" s="13">
        <f t="shared" si="4"/>
        <v>296</v>
      </c>
      <c r="B309" s="914" t="str">
        <f>'refer admin discharge'!B305</f>
        <v>x</v>
      </c>
      <c r="C309" s="914"/>
      <c r="D309" s="889" t="str">
        <f>'refer admin discharge'!D305</f>
        <v>xx</v>
      </c>
      <c r="E309" s="889"/>
      <c r="F309" s="915" t="str">
        <f>'refer admin discharge'!H305</f>
        <v>00/00/0000</v>
      </c>
      <c r="G309" s="890"/>
      <c r="H309" s="916"/>
      <c r="I309" s="916"/>
      <c r="J309" s="917"/>
      <c r="K309" s="917"/>
      <c r="L309" s="916"/>
      <c r="M309" s="916"/>
      <c r="N309" s="893"/>
      <c r="O309" s="893"/>
      <c r="P309" s="916"/>
      <c r="Q309" s="916"/>
      <c r="R309" s="893"/>
      <c r="S309" s="893"/>
      <c r="T309" s="916"/>
      <c r="U309" s="916"/>
      <c r="V309" s="921" t="str">
        <f>'refer admin discharge'!H310</f>
        <v>00/00/0000</v>
      </c>
      <c r="W309" s="922"/>
      <c r="X309" s="912"/>
      <c r="Y309" s="912"/>
      <c r="Z309" s="924"/>
      <c r="AA309" s="924"/>
      <c r="AB309" s="912"/>
      <c r="AC309" s="912"/>
      <c r="AD309" s="913"/>
      <c r="AE309" s="913"/>
      <c r="AF309" s="912"/>
      <c r="AG309" s="912"/>
      <c r="AH309" s="913"/>
      <c r="AI309" s="913"/>
      <c r="AJ309" s="912"/>
      <c r="AK309" s="912"/>
      <c r="AL309" s="925"/>
      <c r="AM309" s="926"/>
      <c r="AN309" s="926"/>
      <c r="AO309" s="926"/>
      <c r="AP309" s="926"/>
      <c r="AQ309" s="926"/>
      <c r="AR309" s="926"/>
      <c r="AS309" s="926"/>
      <c r="AT309" s="926"/>
      <c r="AU309" s="926"/>
      <c r="AV309" s="926"/>
      <c r="AW309" s="926"/>
      <c r="AX309" s="926"/>
      <c r="AY309" s="926"/>
      <c r="AZ309" s="926"/>
      <c r="BA309" s="926"/>
      <c r="BB309" s="927"/>
    </row>
    <row r="310" spans="1:54" x14ac:dyDescent="0.25">
      <c r="A310" s="13">
        <f t="shared" si="4"/>
        <v>297</v>
      </c>
      <c r="B310" s="888" t="str">
        <f>'refer admin discharge'!B306</f>
        <v>x</v>
      </c>
      <c r="C310" s="888"/>
      <c r="D310" s="868" t="str">
        <f>'refer admin discharge'!D306</f>
        <v>xx</v>
      </c>
      <c r="E310" s="868"/>
      <c r="F310" s="891" t="str">
        <f>'refer admin discharge'!H306</f>
        <v>00/00/0000</v>
      </c>
      <c r="G310" s="892"/>
      <c r="H310" s="894"/>
      <c r="I310" s="894"/>
      <c r="J310" s="918"/>
      <c r="K310" s="918"/>
      <c r="L310" s="894"/>
      <c r="M310" s="894"/>
      <c r="N310" s="916"/>
      <c r="O310" s="916"/>
      <c r="P310" s="894"/>
      <c r="Q310" s="894"/>
      <c r="R310" s="916"/>
      <c r="S310" s="916"/>
      <c r="T310" s="894"/>
      <c r="U310" s="894"/>
      <c r="V310" s="921" t="str">
        <f>'refer admin discharge'!H311</f>
        <v>00/00/0000</v>
      </c>
      <c r="W310" s="922"/>
      <c r="X310" s="920"/>
      <c r="Y310" s="920"/>
      <c r="Z310" s="919"/>
      <c r="AA310" s="919"/>
      <c r="AB310" s="920"/>
      <c r="AC310" s="920"/>
      <c r="AD310" s="912"/>
      <c r="AE310" s="912"/>
      <c r="AF310" s="920"/>
      <c r="AG310" s="920"/>
      <c r="AH310" s="912"/>
      <c r="AI310" s="912"/>
      <c r="AJ310" s="920"/>
      <c r="AK310" s="920"/>
      <c r="AL310" s="905"/>
      <c r="AM310" s="906"/>
      <c r="AN310" s="906"/>
      <c r="AO310" s="906"/>
      <c r="AP310" s="906"/>
      <c r="AQ310" s="906"/>
      <c r="AR310" s="906"/>
      <c r="AS310" s="906"/>
      <c r="AT310" s="906"/>
      <c r="AU310" s="906"/>
      <c r="AV310" s="906"/>
      <c r="AW310" s="906"/>
      <c r="AX310" s="906"/>
      <c r="AY310" s="906"/>
      <c r="AZ310" s="906"/>
      <c r="BA310" s="906"/>
      <c r="BB310" s="907"/>
    </row>
    <row r="311" spans="1:54" x14ac:dyDescent="0.25">
      <c r="A311" s="13">
        <f t="shared" si="4"/>
        <v>298</v>
      </c>
      <c r="B311" s="914" t="str">
        <f>'refer admin discharge'!B307</f>
        <v>x</v>
      </c>
      <c r="C311" s="914"/>
      <c r="D311" s="889" t="str">
        <f>'refer admin discharge'!D307</f>
        <v>xx</v>
      </c>
      <c r="E311" s="889"/>
      <c r="F311" s="915" t="str">
        <f>'refer admin discharge'!H307</f>
        <v>00/00/0000</v>
      </c>
      <c r="G311" s="890"/>
      <c r="H311" s="916"/>
      <c r="I311" s="916"/>
      <c r="J311" s="917"/>
      <c r="K311" s="917"/>
      <c r="L311" s="916"/>
      <c r="M311" s="916"/>
      <c r="N311" s="893"/>
      <c r="O311" s="893"/>
      <c r="P311" s="916"/>
      <c r="Q311" s="916"/>
      <c r="R311" s="893"/>
      <c r="S311" s="893"/>
      <c r="T311" s="916"/>
      <c r="U311" s="916"/>
      <c r="V311" s="921" t="str">
        <f>'refer admin discharge'!H312</f>
        <v>00/00/0000</v>
      </c>
      <c r="W311" s="922"/>
      <c r="X311" s="912"/>
      <c r="Y311" s="912"/>
      <c r="Z311" s="924"/>
      <c r="AA311" s="924"/>
      <c r="AB311" s="912"/>
      <c r="AC311" s="912"/>
      <c r="AD311" s="913"/>
      <c r="AE311" s="913"/>
      <c r="AF311" s="912"/>
      <c r="AG311" s="912"/>
      <c r="AH311" s="913"/>
      <c r="AI311" s="913"/>
      <c r="AJ311" s="912"/>
      <c r="AK311" s="912"/>
      <c r="AL311" s="925"/>
      <c r="AM311" s="926"/>
      <c r="AN311" s="926"/>
      <c r="AO311" s="926"/>
      <c r="AP311" s="926"/>
      <c r="AQ311" s="926"/>
      <c r="AR311" s="926"/>
      <c r="AS311" s="926"/>
      <c r="AT311" s="926"/>
      <c r="AU311" s="926"/>
      <c r="AV311" s="926"/>
      <c r="AW311" s="926"/>
      <c r="AX311" s="926"/>
      <c r="AY311" s="926"/>
      <c r="AZ311" s="926"/>
      <c r="BA311" s="926"/>
      <c r="BB311" s="927"/>
    </row>
    <row r="312" spans="1:54" x14ac:dyDescent="0.25">
      <c r="A312" s="13">
        <f t="shared" si="4"/>
        <v>299</v>
      </c>
      <c r="B312" s="888" t="str">
        <f>'refer admin discharge'!B308</f>
        <v>x</v>
      </c>
      <c r="C312" s="888"/>
      <c r="D312" s="868" t="str">
        <f>'refer admin discharge'!D308</f>
        <v>xx</v>
      </c>
      <c r="E312" s="868"/>
      <c r="F312" s="891" t="str">
        <f>'refer admin discharge'!H308</f>
        <v>00/00/0000</v>
      </c>
      <c r="G312" s="892"/>
      <c r="H312" s="894"/>
      <c r="I312" s="894"/>
      <c r="J312" s="918"/>
      <c r="K312" s="918"/>
      <c r="L312" s="894"/>
      <c r="M312" s="894"/>
      <c r="N312" s="916"/>
      <c r="O312" s="916"/>
      <c r="P312" s="894"/>
      <c r="Q312" s="894"/>
      <c r="R312" s="916"/>
      <c r="S312" s="916"/>
      <c r="T312" s="894"/>
      <c r="U312" s="894"/>
      <c r="V312" s="921" t="str">
        <f>'refer admin discharge'!H313</f>
        <v>00/00/0000</v>
      </c>
      <c r="W312" s="922"/>
      <c r="X312" s="920"/>
      <c r="Y312" s="920"/>
      <c r="Z312" s="919"/>
      <c r="AA312" s="919"/>
      <c r="AB312" s="920"/>
      <c r="AC312" s="920"/>
      <c r="AD312" s="912"/>
      <c r="AE312" s="912"/>
      <c r="AF312" s="920"/>
      <c r="AG312" s="920"/>
      <c r="AH312" s="912"/>
      <c r="AI312" s="912"/>
      <c r="AJ312" s="920"/>
      <c r="AK312" s="920"/>
      <c r="AL312" s="905"/>
      <c r="AM312" s="906"/>
      <c r="AN312" s="906"/>
      <c r="AO312" s="906"/>
      <c r="AP312" s="906"/>
      <c r="AQ312" s="906"/>
      <c r="AR312" s="906"/>
      <c r="AS312" s="906"/>
      <c r="AT312" s="906"/>
      <c r="AU312" s="906"/>
      <c r="AV312" s="906"/>
      <c r="AW312" s="906"/>
      <c r="AX312" s="906"/>
      <c r="AY312" s="906"/>
      <c r="AZ312" s="906"/>
      <c r="BA312" s="906"/>
      <c r="BB312" s="907"/>
    </row>
    <row r="313" spans="1:54" x14ac:dyDescent="0.25">
      <c r="A313" s="13">
        <f t="shared" si="4"/>
        <v>300</v>
      </c>
      <c r="B313" s="914" t="str">
        <f>'refer admin discharge'!B309</f>
        <v>x</v>
      </c>
      <c r="C313" s="914"/>
      <c r="D313" s="889" t="str">
        <f>'refer admin discharge'!D309</f>
        <v>xx</v>
      </c>
      <c r="E313" s="889"/>
      <c r="F313" s="915" t="str">
        <f>'refer admin discharge'!H309</f>
        <v>00/00/0000</v>
      </c>
      <c r="G313" s="890"/>
      <c r="H313" s="916"/>
      <c r="I313" s="916"/>
      <c r="J313" s="917"/>
      <c r="K313" s="917"/>
      <c r="L313" s="916"/>
      <c r="M313" s="916"/>
      <c r="N313" s="893"/>
      <c r="O313" s="893"/>
      <c r="P313" s="916"/>
      <c r="Q313" s="916"/>
      <c r="R313" s="893"/>
      <c r="S313" s="893"/>
      <c r="T313" s="916"/>
      <c r="U313" s="916"/>
      <c r="V313" s="921" t="str">
        <f>'refer admin discharge'!H314</f>
        <v>00/00/0000</v>
      </c>
      <c r="W313" s="922"/>
      <c r="X313" s="912"/>
      <c r="Y313" s="912"/>
      <c r="Z313" s="924"/>
      <c r="AA313" s="924"/>
      <c r="AB313" s="912"/>
      <c r="AC313" s="912"/>
      <c r="AD313" s="913"/>
      <c r="AE313" s="913"/>
      <c r="AF313" s="912"/>
      <c r="AG313" s="912"/>
      <c r="AH313" s="913"/>
      <c r="AI313" s="913"/>
      <c r="AJ313" s="912"/>
      <c r="AK313" s="912"/>
      <c r="AL313" s="925"/>
      <c r="AM313" s="926"/>
      <c r="AN313" s="926"/>
      <c r="AO313" s="926"/>
      <c r="AP313" s="926"/>
      <c r="AQ313" s="926"/>
      <c r="AR313" s="926"/>
      <c r="AS313" s="926"/>
      <c r="AT313" s="926"/>
      <c r="AU313" s="926"/>
      <c r="AV313" s="926"/>
      <c r="AW313" s="926"/>
      <c r="AX313" s="926"/>
      <c r="AY313" s="926"/>
      <c r="AZ313" s="926"/>
      <c r="BA313" s="926"/>
      <c r="BB313" s="927"/>
    </row>
    <row r="314" spans="1:54" x14ac:dyDescent="0.25">
      <c r="A314" s="13">
        <f t="shared" si="4"/>
        <v>301</v>
      </c>
      <c r="B314" s="888" t="str">
        <f>'refer admin discharge'!B310</f>
        <v>x</v>
      </c>
      <c r="C314" s="888"/>
      <c r="D314" s="868" t="str">
        <f>'refer admin discharge'!D310</f>
        <v>xx</v>
      </c>
      <c r="E314" s="868"/>
      <c r="F314" s="891" t="str">
        <f>'refer admin discharge'!H310</f>
        <v>00/00/0000</v>
      </c>
      <c r="G314" s="892"/>
      <c r="H314" s="894"/>
      <c r="I314" s="894"/>
      <c r="J314" s="918"/>
      <c r="K314" s="918"/>
      <c r="L314" s="894"/>
      <c r="M314" s="894"/>
      <c r="N314" s="916"/>
      <c r="O314" s="916"/>
      <c r="P314" s="894"/>
      <c r="Q314" s="894"/>
      <c r="R314" s="916"/>
      <c r="S314" s="916"/>
      <c r="T314" s="894"/>
      <c r="U314" s="894"/>
      <c r="V314" s="921" t="str">
        <f>'refer admin discharge'!H315</f>
        <v>00/00/0000</v>
      </c>
      <c r="W314" s="922"/>
      <c r="X314" s="920"/>
      <c r="Y314" s="920"/>
      <c r="Z314" s="919"/>
      <c r="AA314" s="919"/>
      <c r="AB314" s="920"/>
      <c r="AC314" s="920"/>
      <c r="AD314" s="912"/>
      <c r="AE314" s="912"/>
      <c r="AF314" s="920"/>
      <c r="AG314" s="920"/>
      <c r="AH314" s="912"/>
      <c r="AI314" s="912"/>
      <c r="AJ314" s="920"/>
      <c r="AK314" s="920"/>
      <c r="AL314" s="905"/>
      <c r="AM314" s="906"/>
      <c r="AN314" s="906"/>
      <c r="AO314" s="906"/>
      <c r="AP314" s="906"/>
      <c r="AQ314" s="906"/>
      <c r="AR314" s="906"/>
      <c r="AS314" s="906"/>
      <c r="AT314" s="906"/>
      <c r="AU314" s="906"/>
      <c r="AV314" s="906"/>
      <c r="AW314" s="906"/>
      <c r="AX314" s="906"/>
      <c r="AY314" s="906"/>
      <c r="AZ314" s="906"/>
      <c r="BA314" s="906"/>
      <c r="BB314" s="907"/>
    </row>
    <row r="315" spans="1:54" x14ac:dyDescent="0.25">
      <c r="A315" s="13">
        <f t="shared" si="4"/>
        <v>302</v>
      </c>
      <c r="B315" s="914" t="str">
        <f>'refer admin discharge'!B311</f>
        <v>x</v>
      </c>
      <c r="C315" s="914"/>
      <c r="D315" s="889" t="str">
        <f>'refer admin discharge'!D311</f>
        <v>xx</v>
      </c>
      <c r="E315" s="889"/>
      <c r="F315" s="915" t="str">
        <f>'refer admin discharge'!H311</f>
        <v>00/00/0000</v>
      </c>
      <c r="G315" s="890"/>
      <c r="H315" s="916"/>
      <c r="I315" s="916"/>
      <c r="J315" s="917"/>
      <c r="K315" s="917"/>
      <c r="L315" s="916"/>
      <c r="M315" s="916"/>
      <c r="N315" s="893"/>
      <c r="O315" s="893"/>
      <c r="P315" s="916"/>
      <c r="Q315" s="916"/>
      <c r="R315" s="893"/>
      <c r="S315" s="893"/>
      <c r="T315" s="916"/>
      <c r="U315" s="916"/>
      <c r="V315" s="921" t="str">
        <f>'refer admin discharge'!H316</f>
        <v>00/00/0000</v>
      </c>
      <c r="W315" s="922"/>
      <c r="X315" s="912"/>
      <c r="Y315" s="912"/>
      <c r="Z315" s="924"/>
      <c r="AA315" s="924"/>
      <c r="AB315" s="912"/>
      <c r="AC315" s="912"/>
      <c r="AD315" s="913"/>
      <c r="AE315" s="913"/>
      <c r="AF315" s="912"/>
      <c r="AG315" s="912"/>
      <c r="AH315" s="913"/>
      <c r="AI315" s="913"/>
      <c r="AJ315" s="912"/>
      <c r="AK315" s="912"/>
      <c r="AL315" s="925"/>
      <c r="AM315" s="926"/>
      <c r="AN315" s="926"/>
      <c r="AO315" s="926"/>
      <c r="AP315" s="926"/>
      <c r="AQ315" s="926"/>
      <c r="AR315" s="926"/>
      <c r="AS315" s="926"/>
      <c r="AT315" s="926"/>
      <c r="AU315" s="926"/>
      <c r="AV315" s="926"/>
      <c r="AW315" s="926"/>
      <c r="AX315" s="926"/>
      <c r="AY315" s="926"/>
      <c r="AZ315" s="926"/>
      <c r="BA315" s="926"/>
      <c r="BB315" s="927"/>
    </row>
    <row r="316" spans="1:54" x14ac:dyDescent="0.25">
      <c r="A316" s="13">
        <f t="shared" si="4"/>
        <v>303</v>
      </c>
      <c r="B316" s="888" t="str">
        <f>'refer admin discharge'!B312</f>
        <v>x</v>
      </c>
      <c r="C316" s="888"/>
      <c r="D316" s="868" t="str">
        <f>'refer admin discharge'!D312</f>
        <v>xx</v>
      </c>
      <c r="E316" s="868"/>
      <c r="F316" s="891" t="str">
        <f>'refer admin discharge'!H312</f>
        <v>00/00/0000</v>
      </c>
      <c r="G316" s="892"/>
      <c r="H316" s="894"/>
      <c r="I316" s="894"/>
      <c r="J316" s="918"/>
      <c r="K316" s="918"/>
      <c r="L316" s="894"/>
      <c r="M316" s="894"/>
      <c r="N316" s="916"/>
      <c r="O316" s="916"/>
      <c r="P316" s="894"/>
      <c r="Q316" s="894"/>
      <c r="R316" s="916"/>
      <c r="S316" s="916"/>
      <c r="T316" s="894"/>
      <c r="U316" s="894"/>
      <c r="V316" s="921" t="str">
        <f>'refer admin discharge'!H317</f>
        <v>00/00/0000</v>
      </c>
      <c r="W316" s="922"/>
      <c r="X316" s="920"/>
      <c r="Y316" s="920"/>
      <c r="Z316" s="919"/>
      <c r="AA316" s="919"/>
      <c r="AB316" s="920"/>
      <c r="AC316" s="920"/>
      <c r="AD316" s="912"/>
      <c r="AE316" s="912"/>
      <c r="AF316" s="920"/>
      <c r="AG316" s="920"/>
      <c r="AH316" s="912"/>
      <c r="AI316" s="912"/>
      <c r="AJ316" s="920"/>
      <c r="AK316" s="920"/>
      <c r="AL316" s="905"/>
      <c r="AM316" s="906"/>
      <c r="AN316" s="906"/>
      <c r="AO316" s="906"/>
      <c r="AP316" s="906"/>
      <c r="AQ316" s="906"/>
      <c r="AR316" s="906"/>
      <c r="AS316" s="906"/>
      <c r="AT316" s="906"/>
      <c r="AU316" s="906"/>
      <c r="AV316" s="906"/>
      <c r="AW316" s="906"/>
      <c r="AX316" s="906"/>
      <c r="AY316" s="906"/>
      <c r="AZ316" s="906"/>
      <c r="BA316" s="906"/>
      <c r="BB316" s="907"/>
    </row>
    <row r="317" spans="1:54" x14ac:dyDescent="0.25">
      <c r="A317" s="13">
        <f t="shared" si="4"/>
        <v>304</v>
      </c>
      <c r="B317" s="914" t="str">
        <f>'refer admin discharge'!B313</f>
        <v>x</v>
      </c>
      <c r="C317" s="914"/>
      <c r="D317" s="889" t="str">
        <f>'refer admin discharge'!D313</f>
        <v>xx</v>
      </c>
      <c r="E317" s="889"/>
      <c r="F317" s="915" t="str">
        <f>'refer admin discharge'!H313</f>
        <v>00/00/0000</v>
      </c>
      <c r="G317" s="890"/>
      <c r="H317" s="916"/>
      <c r="I317" s="916"/>
      <c r="J317" s="917"/>
      <c r="K317" s="917"/>
      <c r="L317" s="916"/>
      <c r="M317" s="916"/>
      <c r="N317" s="893"/>
      <c r="O317" s="893"/>
      <c r="P317" s="916"/>
      <c r="Q317" s="916"/>
      <c r="R317" s="893"/>
      <c r="S317" s="893"/>
      <c r="T317" s="916"/>
      <c r="U317" s="916"/>
      <c r="V317" s="921" t="str">
        <f>'refer admin discharge'!H318</f>
        <v>00/00/0000</v>
      </c>
      <c r="W317" s="922"/>
      <c r="X317" s="912"/>
      <c r="Y317" s="912"/>
      <c r="Z317" s="924"/>
      <c r="AA317" s="924"/>
      <c r="AB317" s="912"/>
      <c r="AC317" s="912"/>
      <c r="AD317" s="913"/>
      <c r="AE317" s="913"/>
      <c r="AF317" s="912"/>
      <c r="AG317" s="912"/>
      <c r="AH317" s="913"/>
      <c r="AI317" s="913"/>
      <c r="AJ317" s="912"/>
      <c r="AK317" s="912"/>
      <c r="AL317" s="925"/>
      <c r="AM317" s="926"/>
      <c r="AN317" s="926"/>
      <c r="AO317" s="926"/>
      <c r="AP317" s="926"/>
      <c r="AQ317" s="926"/>
      <c r="AR317" s="926"/>
      <c r="AS317" s="926"/>
      <c r="AT317" s="926"/>
      <c r="AU317" s="926"/>
      <c r="AV317" s="926"/>
      <c r="AW317" s="926"/>
      <c r="AX317" s="926"/>
      <c r="AY317" s="926"/>
      <c r="AZ317" s="926"/>
      <c r="BA317" s="926"/>
      <c r="BB317" s="927"/>
    </row>
    <row r="318" spans="1:54" x14ac:dyDescent="0.25">
      <c r="A318" s="13">
        <f t="shared" si="4"/>
        <v>305</v>
      </c>
      <c r="B318" s="888" t="str">
        <f>'refer admin discharge'!B314</f>
        <v>x</v>
      </c>
      <c r="C318" s="888"/>
      <c r="D318" s="868" t="str">
        <f>'refer admin discharge'!D314</f>
        <v>xx</v>
      </c>
      <c r="E318" s="868"/>
      <c r="F318" s="891" t="str">
        <f>'refer admin discharge'!H314</f>
        <v>00/00/0000</v>
      </c>
      <c r="G318" s="892"/>
      <c r="H318" s="894"/>
      <c r="I318" s="894"/>
      <c r="J318" s="918"/>
      <c r="K318" s="918"/>
      <c r="L318" s="894"/>
      <c r="M318" s="894"/>
      <c r="N318" s="916"/>
      <c r="O318" s="916"/>
      <c r="P318" s="894"/>
      <c r="Q318" s="894"/>
      <c r="R318" s="916"/>
      <c r="S318" s="916"/>
      <c r="T318" s="894"/>
      <c r="U318" s="894"/>
      <c r="V318" s="921" t="str">
        <f>'refer admin discharge'!H319</f>
        <v>00/00/0000</v>
      </c>
      <c r="W318" s="922"/>
      <c r="X318" s="920"/>
      <c r="Y318" s="920"/>
      <c r="Z318" s="919"/>
      <c r="AA318" s="919"/>
      <c r="AB318" s="920"/>
      <c r="AC318" s="920"/>
      <c r="AD318" s="912"/>
      <c r="AE318" s="912"/>
      <c r="AF318" s="920"/>
      <c r="AG318" s="920"/>
      <c r="AH318" s="912"/>
      <c r="AI318" s="912"/>
      <c r="AJ318" s="920"/>
      <c r="AK318" s="920"/>
      <c r="AL318" s="905"/>
      <c r="AM318" s="906"/>
      <c r="AN318" s="906"/>
      <c r="AO318" s="906"/>
      <c r="AP318" s="906"/>
      <c r="AQ318" s="906"/>
      <c r="AR318" s="906"/>
      <c r="AS318" s="906"/>
      <c r="AT318" s="906"/>
      <c r="AU318" s="906"/>
      <c r="AV318" s="906"/>
      <c r="AW318" s="906"/>
      <c r="AX318" s="906"/>
      <c r="AY318" s="906"/>
      <c r="AZ318" s="906"/>
      <c r="BA318" s="906"/>
      <c r="BB318" s="907"/>
    </row>
    <row r="319" spans="1:54" x14ac:dyDescent="0.25">
      <c r="A319" s="13">
        <f t="shared" si="4"/>
        <v>306</v>
      </c>
      <c r="B319" s="914" t="str">
        <f>'refer admin discharge'!B315</f>
        <v>x</v>
      </c>
      <c r="C319" s="914"/>
      <c r="D319" s="889" t="str">
        <f>'refer admin discharge'!D315</f>
        <v>xx</v>
      </c>
      <c r="E319" s="889"/>
      <c r="F319" s="915" t="str">
        <f>'refer admin discharge'!H315</f>
        <v>00/00/0000</v>
      </c>
      <c r="G319" s="890"/>
      <c r="H319" s="916"/>
      <c r="I319" s="916"/>
      <c r="J319" s="917"/>
      <c r="K319" s="917"/>
      <c r="L319" s="916"/>
      <c r="M319" s="916"/>
      <c r="N319" s="893"/>
      <c r="O319" s="893"/>
      <c r="P319" s="916"/>
      <c r="Q319" s="916"/>
      <c r="R319" s="893"/>
      <c r="S319" s="893"/>
      <c r="T319" s="916"/>
      <c r="U319" s="916"/>
      <c r="V319" s="921" t="str">
        <f>'refer admin discharge'!H320</f>
        <v>00/00/0000</v>
      </c>
      <c r="W319" s="922"/>
      <c r="X319" s="912"/>
      <c r="Y319" s="912"/>
      <c r="Z319" s="924"/>
      <c r="AA319" s="924"/>
      <c r="AB319" s="912"/>
      <c r="AC319" s="912"/>
      <c r="AD319" s="913"/>
      <c r="AE319" s="913"/>
      <c r="AF319" s="912"/>
      <c r="AG319" s="912"/>
      <c r="AH319" s="913"/>
      <c r="AI319" s="913"/>
      <c r="AJ319" s="912"/>
      <c r="AK319" s="912"/>
      <c r="AL319" s="925"/>
      <c r="AM319" s="926"/>
      <c r="AN319" s="926"/>
      <c r="AO319" s="926"/>
      <c r="AP319" s="926"/>
      <c r="AQ319" s="926"/>
      <c r="AR319" s="926"/>
      <c r="AS319" s="926"/>
      <c r="AT319" s="926"/>
      <c r="AU319" s="926"/>
      <c r="AV319" s="926"/>
      <c r="AW319" s="926"/>
      <c r="AX319" s="926"/>
      <c r="AY319" s="926"/>
      <c r="AZ319" s="926"/>
      <c r="BA319" s="926"/>
      <c r="BB319" s="927"/>
    </row>
    <row r="320" spans="1:54" x14ac:dyDescent="0.25">
      <c r="A320" s="13">
        <f t="shared" si="4"/>
        <v>307</v>
      </c>
      <c r="B320" s="888" t="str">
        <f>'refer admin discharge'!B316</f>
        <v>x</v>
      </c>
      <c r="C320" s="888"/>
      <c r="D320" s="868" t="str">
        <f>'refer admin discharge'!D316</f>
        <v>xx</v>
      </c>
      <c r="E320" s="868"/>
      <c r="F320" s="891" t="str">
        <f>'refer admin discharge'!H316</f>
        <v>00/00/0000</v>
      </c>
      <c r="G320" s="892"/>
      <c r="H320" s="894"/>
      <c r="I320" s="894"/>
      <c r="J320" s="918"/>
      <c r="K320" s="918"/>
      <c r="L320" s="894"/>
      <c r="M320" s="894"/>
      <c r="N320" s="916"/>
      <c r="O320" s="916"/>
      <c r="P320" s="894"/>
      <c r="Q320" s="894"/>
      <c r="R320" s="916"/>
      <c r="S320" s="916"/>
      <c r="T320" s="894"/>
      <c r="U320" s="894"/>
      <c r="V320" s="921" t="str">
        <f>'refer admin discharge'!H321</f>
        <v>00/00/0000</v>
      </c>
      <c r="W320" s="922"/>
      <c r="X320" s="920"/>
      <c r="Y320" s="920"/>
      <c r="Z320" s="919"/>
      <c r="AA320" s="919"/>
      <c r="AB320" s="920"/>
      <c r="AC320" s="920"/>
      <c r="AD320" s="912"/>
      <c r="AE320" s="912"/>
      <c r="AF320" s="920"/>
      <c r="AG320" s="920"/>
      <c r="AH320" s="912"/>
      <c r="AI320" s="912"/>
      <c r="AJ320" s="920"/>
      <c r="AK320" s="920"/>
      <c r="AL320" s="905"/>
      <c r="AM320" s="906"/>
      <c r="AN320" s="906"/>
      <c r="AO320" s="906"/>
      <c r="AP320" s="906"/>
      <c r="AQ320" s="906"/>
      <c r="AR320" s="906"/>
      <c r="AS320" s="906"/>
      <c r="AT320" s="906"/>
      <c r="AU320" s="906"/>
      <c r="AV320" s="906"/>
      <c r="AW320" s="906"/>
      <c r="AX320" s="906"/>
      <c r="AY320" s="906"/>
      <c r="AZ320" s="906"/>
      <c r="BA320" s="906"/>
      <c r="BB320" s="907"/>
    </row>
    <row r="321" spans="1:54" x14ac:dyDescent="0.25">
      <c r="A321" s="13">
        <f t="shared" si="4"/>
        <v>308</v>
      </c>
      <c r="B321" s="914" t="str">
        <f>'refer admin discharge'!B317</f>
        <v>x</v>
      </c>
      <c r="C321" s="914"/>
      <c r="D321" s="889" t="str">
        <f>'refer admin discharge'!D317</f>
        <v>xx</v>
      </c>
      <c r="E321" s="889"/>
      <c r="F321" s="915" t="str">
        <f>'refer admin discharge'!H317</f>
        <v>00/00/0000</v>
      </c>
      <c r="G321" s="890"/>
      <c r="H321" s="916"/>
      <c r="I321" s="916"/>
      <c r="J321" s="917"/>
      <c r="K321" s="917"/>
      <c r="L321" s="916"/>
      <c r="M321" s="916"/>
      <c r="N321" s="893"/>
      <c r="O321" s="893"/>
      <c r="P321" s="916"/>
      <c r="Q321" s="916"/>
      <c r="R321" s="893"/>
      <c r="S321" s="893"/>
      <c r="T321" s="916"/>
      <c r="U321" s="916"/>
      <c r="V321" s="921" t="str">
        <f>'refer admin discharge'!H322</f>
        <v>00/00/0000</v>
      </c>
      <c r="W321" s="922"/>
      <c r="X321" s="912"/>
      <c r="Y321" s="912"/>
      <c r="Z321" s="924"/>
      <c r="AA321" s="924"/>
      <c r="AB321" s="912"/>
      <c r="AC321" s="912"/>
      <c r="AD321" s="913"/>
      <c r="AE321" s="913"/>
      <c r="AF321" s="912"/>
      <c r="AG321" s="912"/>
      <c r="AH321" s="913"/>
      <c r="AI321" s="913"/>
      <c r="AJ321" s="912"/>
      <c r="AK321" s="912"/>
      <c r="AL321" s="925"/>
      <c r="AM321" s="926"/>
      <c r="AN321" s="926"/>
      <c r="AO321" s="926"/>
      <c r="AP321" s="926"/>
      <c r="AQ321" s="926"/>
      <c r="AR321" s="926"/>
      <c r="AS321" s="926"/>
      <c r="AT321" s="926"/>
      <c r="AU321" s="926"/>
      <c r="AV321" s="926"/>
      <c r="AW321" s="926"/>
      <c r="AX321" s="926"/>
      <c r="AY321" s="926"/>
      <c r="AZ321" s="926"/>
      <c r="BA321" s="926"/>
      <c r="BB321" s="927"/>
    </row>
    <row r="322" spans="1:54" x14ac:dyDescent="0.25">
      <c r="A322" s="13">
        <f t="shared" si="4"/>
        <v>309</v>
      </c>
      <c r="B322" s="888" t="str">
        <f>'refer admin discharge'!B318</f>
        <v>x</v>
      </c>
      <c r="C322" s="888"/>
      <c r="D322" s="868" t="str">
        <f>'refer admin discharge'!D318</f>
        <v>xx</v>
      </c>
      <c r="E322" s="868"/>
      <c r="F322" s="891" t="str">
        <f>'refer admin discharge'!H318</f>
        <v>00/00/0000</v>
      </c>
      <c r="G322" s="892"/>
      <c r="H322" s="894"/>
      <c r="I322" s="894"/>
      <c r="J322" s="918"/>
      <c r="K322" s="918"/>
      <c r="L322" s="894"/>
      <c r="M322" s="894"/>
      <c r="N322" s="916"/>
      <c r="O322" s="916"/>
      <c r="P322" s="894"/>
      <c r="Q322" s="894"/>
      <c r="R322" s="916"/>
      <c r="S322" s="916"/>
      <c r="T322" s="894"/>
      <c r="U322" s="894"/>
      <c r="V322" s="921" t="str">
        <f>'refer admin discharge'!H323</f>
        <v>00/00/0000</v>
      </c>
      <c r="W322" s="922"/>
      <c r="X322" s="920"/>
      <c r="Y322" s="920"/>
      <c r="Z322" s="919"/>
      <c r="AA322" s="919"/>
      <c r="AB322" s="920"/>
      <c r="AC322" s="920"/>
      <c r="AD322" s="912"/>
      <c r="AE322" s="912"/>
      <c r="AF322" s="920"/>
      <c r="AG322" s="920"/>
      <c r="AH322" s="912"/>
      <c r="AI322" s="912"/>
      <c r="AJ322" s="920"/>
      <c r="AK322" s="920"/>
      <c r="AL322" s="905"/>
      <c r="AM322" s="906"/>
      <c r="AN322" s="906"/>
      <c r="AO322" s="906"/>
      <c r="AP322" s="906"/>
      <c r="AQ322" s="906"/>
      <c r="AR322" s="906"/>
      <c r="AS322" s="906"/>
      <c r="AT322" s="906"/>
      <c r="AU322" s="906"/>
      <c r="AV322" s="906"/>
      <c r="AW322" s="906"/>
      <c r="AX322" s="906"/>
      <c r="AY322" s="906"/>
      <c r="AZ322" s="906"/>
      <c r="BA322" s="906"/>
      <c r="BB322" s="907"/>
    </row>
    <row r="323" spans="1:54" x14ac:dyDescent="0.25">
      <c r="A323" s="13">
        <f t="shared" si="4"/>
        <v>310</v>
      </c>
      <c r="B323" s="914" t="str">
        <f>'refer admin discharge'!B319</f>
        <v>x</v>
      </c>
      <c r="C323" s="914"/>
      <c r="D323" s="889" t="str">
        <f>'refer admin discharge'!D319</f>
        <v>xx</v>
      </c>
      <c r="E323" s="889"/>
      <c r="F323" s="915" t="str">
        <f>'refer admin discharge'!H319</f>
        <v>00/00/0000</v>
      </c>
      <c r="G323" s="890"/>
      <c r="H323" s="916"/>
      <c r="I323" s="916"/>
      <c r="J323" s="917"/>
      <c r="K323" s="917"/>
      <c r="L323" s="916"/>
      <c r="M323" s="916"/>
      <c r="N323" s="893"/>
      <c r="O323" s="893"/>
      <c r="P323" s="916"/>
      <c r="Q323" s="916"/>
      <c r="R323" s="893"/>
      <c r="S323" s="893"/>
      <c r="T323" s="916"/>
      <c r="U323" s="916"/>
      <c r="V323" s="921" t="str">
        <f>'refer admin discharge'!H324</f>
        <v>00/00/0000</v>
      </c>
      <c r="W323" s="922"/>
      <c r="X323" s="912"/>
      <c r="Y323" s="912"/>
      <c r="Z323" s="924"/>
      <c r="AA323" s="924"/>
      <c r="AB323" s="912"/>
      <c r="AC323" s="912"/>
      <c r="AD323" s="913"/>
      <c r="AE323" s="913"/>
      <c r="AF323" s="912"/>
      <c r="AG323" s="912"/>
      <c r="AH323" s="913"/>
      <c r="AI323" s="913"/>
      <c r="AJ323" s="912"/>
      <c r="AK323" s="912"/>
      <c r="AL323" s="925"/>
      <c r="AM323" s="926"/>
      <c r="AN323" s="926"/>
      <c r="AO323" s="926"/>
      <c r="AP323" s="926"/>
      <c r="AQ323" s="926"/>
      <c r="AR323" s="926"/>
      <c r="AS323" s="926"/>
      <c r="AT323" s="926"/>
      <c r="AU323" s="926"/>
      <c r="AV323" s="926"/>
      <c r="AW323" s="926"/>
      <c r="AX323" s="926"/>
      <c r="AY323" s="926"/>
      <c r="AZ323" s="926"/>
      <c r="BA323" s="926"/>
      <c r="BB323" s="927"/>
    </row>
    <row r="324" spans="1:54" x14ac:dyDescent="0.25">
      <c r="A324" s="13">
        <f t="shared" si="4"/>
        <v>311</v>
      </c>
      <c r="B324" s="888" t="str">
        <f>'refer admin discharge'!B320</f>
        <v>x</v>
      </c>
      <c r="C324" s="888"/>
      <c r="D324" s="868" t="str">
        <f>'refer admin discharge'!D320</f>
        <v>xx</v>
      </c>
      <c r="E324" s="868"/>
      <c r="F324" s="891" t="str">
        <f>'refer admin discharge'!H320</f>
        <v>00/00/0000</v>
      </c>
      <c r="G324" s="892"/>
      <c r="H324" s="894"/>
      <c r="I324" s="894"/>
      <c r="J324" s="918"/>
      <c r="K324" s="918"/>
      <c r="L324" s="894"/>
      <c r="M324" s="894"/>
      <c r="N324" s="916"/>
      <c r="O324" s="916"/>
      <c r="P324" s="894"/>
      <c r="Q324" s="894"/>
      <c r="R324" s="916"/>
      <c r="S324" s="916"/>
      <c r="T324" s="894"/>
      <c r="U324" s="894"/>
      <c r="V324" s="921" t="str">
        <f>'refer admin discharge'!H325</f>
        <v>00/00/0000</v>
      </c>
      <c r="W324" s="922"/>
      <c r="X324" s="920"/>
      <c r="Y324" s="920"/>
      <c r="Z324" s="919"/>
      <c r="AA324" s="919"/>
      <c r="AB324" s="920"/>
      <c r="AC324" s="920"/>
      <c r="AD324" s="912"/>
      <c r="AE324" s="912"/>
      <c r="AF324" s="920"/>
      <c r="AG324" s="920"/>
      <c r="AH324" s="912"/>
      <c r="AI324" s="912"/>
      <c r="AJ324" s="920"/>
      <c r="AK324" s="920"/>
      <c r="AL324" s="905"/>
      <c r="AM324" s="906"/>
      <c r="AN324" s="906"/>
      <c r="AO324" s="906"/>
      <c r="AP324" s="906"/>
      <c r="AQ324" s="906"/>
      <c r="AR324" s="906"/>
      <c r="AS324" s="906"/>
      <c r="AT324" s="906"/>
      <c r="AU324" s="906"/>
      <c r="AV324" s="906"/>
      <c r="AW324" s="906"/>
      <c r="AX324" s="906"/>
      <c r="AY324" s="906"/>
      <c r="AZ324" s="906"/>
      <c r="BA324" s="906"/>
      <c r="BB324" s="907"/>
    </row>
    <row r="325" spans="1:54" x14ac:dyDescent="0.25">
      <c r="A325" s="13">
        <f t="shared" si="4"/>
        <v>312</v>
      </c>
      <c r="B325" s="914" t="str">
        <f>'refer admin discharge'!B321</f>
        <v>x</v>
      </c>
      <c r="C325" s="914"/>
      <c r="D325" s="889" t="str">
        <f>'refer admin discharge'!D321</f>
        <v>xx</v>
      </c>
      <c r="E325" s="889"/>
      <c r="F325" s="915" t="str">
        <f>'refer admin discharge'!H321</f>
        <v>00/00/0000</v>
      </c>
      <c r="G325" s="890"/>
      <c r="H325" s="916"/>
      <c r="I325" s="916"/>
      <c r="J325" s="917"/>
      <c r="K325" s="917"/>
      <c r="L325" s="916"/>
      <c r="M325" s="916"/>
      <c r="N325" s="893"/>
      <c r="O325" s="893"/>
      <c r="P325" s="916"/>
      <c r="Q325" s="916"/>
      <c r="R325" s="893"/>
      <c r="S325" s="893"/>
      <c r="T325" s="916"/>
      <c r="U325" s="916"/>
      <c r="V325" s="921" t="str">
        <f>'refer admin discharge'!H326</f>
        <v>00/00/0000</v>
      </c>
      <c r="W325" s="922"/>
      <c r="X325" s="912"/>
      <c r="Y325" s="912"/>
      <c r="Z325" s="924"/>
      <c r="AA325" s="924"/>
      <c r="AB325" s="912"/>
      <c r="AC325" s="912"/>
      <c r="AD325" s="913"/>
      <c r="AE325" s="913"/>
      <c r="AF325" s="912"/>
      <c r="AG325" s="912"/>
      <c r="AH325" s="913"/>
      <c r="AI325" s="913"/>
      <c r="AJ325" s="912"/>
      <c r="AK325" s="912"/>
      <c r="AL325" s="925"/>
      <c r="AM325" s="926"/>
      <c r="AN325" s="926"/>
      <c r="AO325" s="926"/>
      <c r="AP325" s="926"/>
      <c r="AQ325" s="926"/>
      <c r="AR325" s="926"/>
      <c r="AS325" s="926"/>
      <c r="AT325" s="926"/>
      <c r="AU325" s="926"/>
      <c r="AV325" s="926"/>
      <c r="AW325" s="926"/>
      <c r="AX325" s="926"/>
      <c r="AY325" s="926"/>
      <c r="AZ325" s="926"/>
      <c r="BA325" s="926"/>
      <c r="BB325" s="927"/>
    </row>
    <row r="326" spans="1:54" x14ac:dyDescent="0.25">
      <c r="A326" s="13">
        <f t="shared" si="4"/>
        <v>313</v>
      </c>
      <c r="B326" s="888" t="str">
        <f>'refer admin discharge'!B322</f>
        <v>x</v>
      </c>
      <c r="C326" s="888"/>
      <c r="D326" s="868" t="str">
        <f>'refer admin discharge'!D322</f>
        <v>xx</v>
      </c>
      <c r="E326" s="868"/>
      <c r="F326" s="891" t="str">
        <f>'refer admin discharge'!H322</f>
        <v>00/00/0000</v>
      </c>
      <c r="G326" s="892"/>
      <c r="H326" s="894"/>
      <c r="I326" s="894"/>
      <c r="J326" s="918"/>
      <c r="K326" s="918"/>
      <c r="L326" s="894"/>
      <c r="M326" s="894"/>
      <c r="N326" s="916"/>
      <c r="O326" s="916"/>
      <c r="P326" s="894"/>
      <c r="Q326" s="894"/>
      <c r="R326" s="916"/>
      <c r="S326" s="916"/>
      <c r="T326" s="894"/>
      <c r="U326" s="894"/>
      <c r="V326" s="921" t="str">
        <f>'refer admin discharge'!H327</f>
        <v>00/00/0000</v>
      </c>
      <c r="W326" s="922"/>
      <c r="X326" s="920"/>
      <c r="Y326" s="920"/>
      <c r="Z326" s="919"/>
      <c r="AA326" s="919"/>
      <c r="AB326" s="920"/>
      <c r="AC326" s="920"/>
      <c r="AD326" s="912"/>
      <c r="AE326" s="912"/>
      <c r="AF326" s="920"/>
      <c r="AG326" s="920"/>
      <c r="AH326" s="912"/>
      <c r="AI326" s="912"/>
      <c r="AJ326" s="920"/>
      <c r="AK326" s="920"/>
      <c r="AL326" s="905"/>
      <c r="AM326" s="906"/>
      <c r="AN326" s="906"/>
      <c r="AO326" s="906"/>
      <c r="AP326" s="906"/>
      <c r="AQ326" s="906"/>
      <c r="AR326" s="906"/>
      <c r="AS326" s="906"/>
      <c r="AT326" s="906"/>
      <c r="AU326" s="906"/>
      <c r="AV326" s="906"/>
      <c r="AW326" s="906"/>
      <c r="AX326" s="906"/>
      <c r="AY326" s="906"/>
      <c r="AZ326" s="906"/>
      <c r="BA326" s="906"/>
      <c r="BB326" s="907"/>
    </row>
    <row r="327" spans="1:54" x14ac:dyDescent="0.25">
      <c r="A327" s="13">
        <f t="shared" si="4"/>
        <v>314</v>
      </c>
      <c r="B327" s="914" t="str">
        <f>'refer admin discharge'!B323</f>
        <v>x</v>
      </c>
      <c r="C327" s="914"/>
      <c r="D327" s="889" t="str">
        <f>'refer admin discharge'!D323</f>
        <v>xx</v>
      </c>
      <c r="E327" s="889"/>
      <c r="F327" s="915" t="str">
        <f>'refer admin discharge'!H323</f>
        <v>00/00/0000</v>
      </c>
      <c r="G327" s="890"/>
      <c r="H327" s="916"/>
      <c r="I327" s="916"/>
      <c r="J327" s="917"/>
      <c r="K327" s="917"/>
      <c r="L327" s="916"/>
      <c r="M327" s="916"/>
      <c r="N327" s="893"/>
      <c r="O327" s="893"/>
      <c r="P327" s="916"/>
      <c r="Q327" s="916"/>
      <c r="R327" s="893"/>
      <c r="S327" s="893"/>
      <c r="T327" s="916"/>
      <c r="U327" s="916"/>
      <c r="V327" s="921" t="str">
        <f>'refer admin discharge'!H328</f>
        <v>00/00/0000</v>
      </c>
      <c r="W327" s="922"/>
      <c r="X327" s="912"/>
      <c r="Y327" s="912"/>
      <c r="Z327" s="924"/>
      <c r="AA327" s="924"/>
      <c r="AB327" s="912"/>
      <c r="AC327" s="912"/>
      <c r="AD327" s="913"/>
      <c r="AE327" s="913"/>
      <c r="AF327" s="912"/>
      <c r="AG327" s="912"/>
      <c r="AH327" s="913"/>
      <c r="AI327" s="913"/>
      <c r="AJ327" s="912"/>
      <c r="AK327" s="912"/>
      <c r="AL327" s="925"/>
      <c r="AM327" s="926"/>
      <c r="AN327" s="926"/>
      <c r="AO327" s="926"/>
      <c r="AP327" s="926"/>
      <c r="AQ327" s="926"/>
      <c r="AR327" s="926"/>
      <c r="AS327" s="926"/>
      <c r="AT327" s="926"/>
      <c r="AU327" s="926"/>
      <c r="AV327" s="926"/>
      <c r="AW327" s="926"/>
      <c r="AX327" s="926"/>
      <c r="AY327" s="926"/>
      <c r="AZ327" s="926"/>
      <c r="BA327" s="926"/>
      <c r="BB327" s="927"/>
    </row>
    <row r="328" spans="1:54" x14ac:dyDescent="0.25">
      <c r="A328" s="13">
        <f t="shared" si="4"/>
        <v>315</v>
      </c>
      <c r="B328" s="888" t="str">
        <f>'refer admin discharge'!B324</f>
        <v>x</v>
      </c>
      <c r="C328" s="888"/>
      <c r="D328" s="868" t="str">
        <f>'refer admin discharge'!D324</f>
        <v>xx</v>
      </c>
      <c r="E328" s="868"/>
      <c r="F328" s="891" t="str">
        <f>'refer admin discharge'!H324</f>
        <v>00/00/0000</v>
      </c>
      <c r="G328" s="892"/>
      <c r="H328" s="894"/>
      <c r="I328" s="894"/>
      <c r="J328" s="918"/>
      <c r="K328" s="918"/>
      <c r="L328" s="894"/>
      <c r="M328" s="894"/>
      <c r="N328" s="916"/>
      <c r="O328" s="916"/>
      <c r="P328" s="894"/>
      <c r="Q328" s="894"/>
      <c r="R328" s="916"/>
      <c r="S328" s="916"/>
      <c r="T328" s="894"/>
      <c r="U328" s="894"/>
      <c r="V328" s="921" t="str">
        <f>'refer admin discharge'!H329</f>
        <v>00/00/0000</v>
      </c>
      <c r="W328" s="922"/>
      <c r="X328" s="920"/>
      <c r="Y328" s="920"/>
      <c r="Z328" s="919"/>
      <c r="AA328" s="919"/>
      <c r="AB328" s="920"/>
      <c r="AC328" s="920"/>
      <c r="AD328" s="912"/>
      <c r="AE328" s="912"/>
      <c r="AF328" s="920"/>
      <c r="AG328" s="920"/>
      <c r="AH328" s="912"/>
      <c r="AI328" s="912"/>
      <c r="AJ328" s="920"/>
      <c r="AK328" s="920"/>
      <c r="AL328" s="905"/>
      <c r="AM328" s="906"/>
      <c r="AN328" s="906"/>
      <c r="AO328" s="906"/>
      <c r="AP328" s="906"/>
      <c r="AQ328" s="906"/>
      <c r="AR328" s="906"/>
      <c r="AS328" s="906"/>
      <c r="AT328" s="906"/>
      <c r="AU328" s="906"/>
      <c r="AV328" s="906"/>
      <c r="AW328" s="906"/>
      <c r="AX328" s="906"/>
      <c r="AY328" s="906"/>
      <c r="AZ328" s="906"/>
      <c r="BA328" s="906"/>
      <c r="BB328" s="907"/>
    </row>
    <row r="329" spans="1:54" x14ac:dyDescent="0.25">
      <c r="A329" s="13">
        <f t="shared" si="4"/>
        <v>316</v>
      </c>
      <c r="B329" s="914" t="str">
        <f>'refer admin discharge'!B325</f>
        <v>x</v>
      </c>
      <c r="C329" s="914"/>
      <c r="D329" s="889" t="str">
        <f>'refer admin discharge'!D325</f>
        <v>xx</v>
      </c>
      <c r="E329" s="889"/>
      <c r="F329" s="915" t="str">
        <f>'refer admin discharge'!H325</f>
        <v>00/00/0000</v>
      </c>
      <c r="G329" s="890"/>
      <c r="H329" s="916"/>
      <c r="I329" s="916"/>
      <c r="J329" s="917"/>
      <c r="K329" s="917"/>
      <c r="L329" s="916"/>
      <c r="M329" s="916"/>
      <c r="N329" s="893"/>
      <c r="O329" s="893"/>
      <c r="P329" s="916"/>
      <c r="Q329" s="916"/>
      <c r="R329" s="893"/>
      <c r="S329" s="893"/>
      <c r="T329" s="916"/>
      <c r="U329" s="916"/>
      <c r="V329" s="921" t="str">
        <f>'refer admin discharge'!H330</f>
        <v>00/00/0000</v>
      </c>
      <c r="W329" s="922"/>
      <c r="X329" s="912"/>
      <c r="Y329" s="912"/>
      <c r="Z329" s="924"/>
      <c r="AA329" s="924"/>
      <c r="AB329" s="912"/>
      <c r="AC329" s="912"/>
      <c r="AD329" s="913"/>
      <c r="AE329" s="913"/>
      <c r="AF329" s="912"/>
      <c r="AG329" s="912"/>
      <c r="AH329" s="913"/>
      <c r="AI329" s="913"/>
      <c r="AJ329" s="912"/>
      <c r="AK329" s="912"/>
      <c r="AL329" s="925"/>
      <c r="AM329" s="926"/>
      <c r="AN329" s="926"/>
      <c r="AO329" s="926"/>
      <c r="AP329" s="926"/>
      <c r="AQ329" s="926"/>
      <c r="AR329" s="926"/>
      <c r="AS329" s="926"/>
      <c r="AT329" s="926"/>
      <c r="AU329" s="926"/>
      <c r="AV329" s="926"/>
      <c r="AW329" s="926"/>
      <c r="AX329" s="926"/>
      <c r="AY329" s="926"/>
      <c r="AZ329" s="926"/>
      <c r="BA329" s="926"/>
      <c r="BB329" s="927"/>
    </row>
    <row r="330" spans="1:54" x14ac:dyDescent="0.25">
      <c r="A330" s="13">
        <f t="shared" si="4"/>
        <v>317</v>
      </c>
      <c r="B330" s="888" t="str">
        <f>'refer admin discharge'!B326</f>
        <v>x</v>
      </c>
      <c r="C330" s="888"/>
      <c r="D330" s="868" t="str">
        <f>'refer admin discharge'!D326</f>
        <v>xx</v>
      </c>
      <c r="E330" s="868"/>
      <c r="F330" s="891" t="str">
        <f>'refer admin discharge'!H326</f>
        <v>00/00/0000</v>
      </c>
      <c r="G330" s="892"/>
      <c r="H330" s="894"/>
      <c r="I330" s="894"/>
      <c r="J330" s="918"/>
      <c r="K330" s="918"/>
      <c r="L330" s="894"/>
      <c r="M330" s="894"/>
      <c r="N330" s="916"/>
      <c r="O330" s="916"/>
      <c r="P330" s="894"/>
      <c r="Q330" s="894"/>
      <c r="R330" s="916"/>
      <c r="S330" s="916"/>
      <c r="T330" s="894"/>
      <c r="U330" s="894"/>
      <c r="V330" s="921" t="str">
        <f>'refer admin discharge'!H331</f>
        <v>00/00/0000</v>
      </c>
      <c r="W330" s="922"/>
      <c r="X330" s="920"/>
      <c r="Y330" s="920"/>
      <c r="Z330" s="919"/>
      <c r="AA330" s="919"/>
      <c r="AB330" s="920"/>
      <c r="AC330" s="920"/>
      <c r="AD330" s="912"/>
      <c r="AE330" s="912"/>
      <c r="AF330" s="920"/>
      <c r="AG330" s="920"/>
      <c r="AH330" s="912"/>
      <c r="AI330" s="912"/>
      <c r="AJ330" s="920"/>
      <c r="AK330" s="920"/>
      <c r="AL330" s="905"/>
      <c r="AM330" s="906"/>
      <c r="AN330" s="906"/>
      <c r="AO330" s="906"/>
      <c r="AP330" s="906"/>
      <c r="AQ330" s="906"/>
      <c r="AR330" s="906"/>
      <c r="AS330" s="906"/>
      <c r="AT330" s="906"/>
      <c r="AU330" s="906"/>
      <c r="AV330" s="906"/>
      <c r="AW330" s="906"/>
      <c r="AX330" s="906"/>
      <c r="AY330" s="906"/>
      <c r="AZ330" s="906"/>
      <c r="BA330" s="906"/>
      <c r="BB330" s="907"/>
    </row>
    <row r="331" spans="1:54" x14ac:dyDescent="0.25">
      <c r="A331" s="13">
        <f t="shared" si="4"/>
        <v>318</v>
      </c>
      <c r="B331" s="914" t="str">
        <f>'refer admin discharge'!B327</f>
        <v>x</v>
      </c>
      <c r="C331" s="914"/>
      <c r="D331" s="889" t="str">
        <f>'refer admin discharge'!D327</f>
        <v>xx</v>
      </c>
      <c r="E331" s="889"/>
      <c r="F331" s="915" t="str">
        <f>'refer admin discharge'!H327</f>
        <v>00/00/0000</v>
      </c>
      <c r="G331" s="890"/>
      <c r="H331" s="916"/>
      <c r="I331" s="916"/>
      <c r="J331" s="917"/>
      <c r="K331" s="917"/>
      <c r="L331" s="916"/>
      <c r="M331" s="916"/>
      <c r="N331" s="893"/>
      <c r="O331" s="893"/>
      <c r="P331" s="916"/>
      <c r="Q331" s="916"/>
      <c r="R331" s="893"/>
      <c r="S331" s="893"/>
      <c r="T331" s="916"/>
      <c r="U331" s="916"/>
      <c r="V331" s="921" t="str">
        <f>'refer admin discharge'!H332</f>
        <v>00/00/0000</v>
      </c>
      <c r="W331" s="922"/>
      <c r="X331" s="912"/>
      <c r="Y331" s="912"/>
      <c r="Z331" s="924"/>
      <c r="AA331" s="924"/>
      <c r="AB331" s="912"/>
      <c r="AC331" s="912"/>
      <c r="AD331" s="913"/>
      <c r="AE331" s="913"/>
      <c r="AF331" s="912"/>
      <c r="AG331" s="912"/>
      <c r="AH331" s="913"/>
      <c r="AI331" s="913"/>
      <c r="AJ331" s="912"/>
      <c r="AK331" s="912"/>
      <c r="AL331" s="925"/>
      <c r="AM331" s="926"/>
      <c r="AN331" s="926"/>
      <c r="AO331" s="926"/>
      <c r="AP331" s="926"/>
      <c r="AQ331" s="926"/>
      <c r="AR331" s="926"/>
      <c r="AS331" s="926"/>
      <c r="AT331" s="926"/>
      <c r="AU331" s="926"/>
      <c r="AV331" s="926"/>
      <c r="AW331" s="926"/>
      <c r="AX331" s="926"/>
      <c r="AY331" s="926"/>
      <c r="AZ331" s="926"/>
      <c r="BA331" s="926"/>
      <c r="BB331" s="927"/>
    </row>
    <row r="332" spans="1:54" x14ac:dyDescent="0.25">
      <c r="A332" s="13">
        <f t="shared" si="4"/>
        <v>319</v>
      </c>
      <c r="B332" s="888" t="str">
        <f>'refer admin discharge'!B328</f>
        <v>x</v>
      </c>
      <c r="C332" s="888"/>
      <c r="D332" s="868" t="str">
        <f>'refer admin discharge'!D328</f>
        <v>xx</v>
      </c>
      <c r="E332" s="868"/>
      <c r="F332" s="891" t="str">
        <f>'refer admin discharge'!H328</f>
        <v>00/00/0000</v>
      </c>
      <c r="G332" s="892"/>
      <c r="H332" s="894"/>
      <c r="I332" s="894"/>
      <c r="J332" s="918"/>
      <c r="K332" s="918"/>
      <c r="L332" s="894"/>
      <c r="M332" s="894"/>
      <c r="N332" s="916"/>
      <c r="O332" s="916"/>
      <c r="P332" s="894"/>
      <c r="Q332" s="894"/>
      <c r="R332" s="916"/>
      <c r="S332" s="916"/>
      <c r="T332" s="894"/>
      <c r="U332" s="894"/>
      <c r="V332" s="921" t="str">
        <f>'refer admin discharge'!H333</f>
        <v>00/00/0000</v>
      </c>
      <c r="W332" s="922"/>
      <c r="X332" s="920"/>
      <c r="Y332" s="920"/>
      <c r="Z332" s="919"/>
      <c r="AA332" s="919"/>
      <c r="AB332" s="920"/>
      <c r="AC332" s="920"/>
      <c r="AD332" s="912"/>
      <c r="AE332" s="912"/>
      <c r="AF332" s="920"/>
      <c r="AG332" s="920"/>
      <c r="AH332" s="912"/>
      <c r="AI332" s="912"/>
      <c r="AJ332" s="920"/>
      <c r="AK332" s="920"/>
      <c r="AL332" s="905"/>
      <c r="AM332" s="906"/>
      <c r="AN332" s="906"/>
      <c r="AO332" s="906"/>
      <c r="AP332" s="906"/>
      <c r="AQ332" s="906"/>
      <c r="AR332" s="906"/>
      <c r="AS332" s="906"/>
      <c r="AT332" s="906"/>
      <c r="AU332" s="906"/>
      <c r="AV332" s="906"/>
      <c r="AW332" s="906"/>
      <c r="AX332" s="906"/>
      <c r="AY332" s="906"/>
      <c r="AZ332" s="906"/>
      <c r="BA332" s="906"/>
      <c r="BB332" s="907"/>
    </row>
    <row r="333" spans="1:54" x14ac:dyDescent="0.25">
      <c r="A333" s="13">
        <f t="shared" si="4"/>
        <v>320</v>
      </c>
      <c r="B333" s="914" t="str">
        <f>'refer admin discharge'!B329</f>
        <v>x</v>
      </c>
      <c r="C333" s="914"/>
      <c r="D333" s="889" t="str">
        <f>'refer admin discharge'!D329</f>
        <v>xx</v>
      </c>
      <c r="E333" s="889"/>
      <c r="F333" s="915" t="str">
        <f>'refer admin discharge'!H329</f>
        <v>00/00/0000</v>
      </c>
      <c r="G333" s="890"/>
      <c r="H333" s="916"/>
      <c r="I333" s="916"/>
      <c r="J333" s="917"/>
      <c r="K333" s="917"/>
      <c r="L333" s="916"/>
      <c r="M333" s="916"/>
      <c r="N333" s="893"/>
      <c r="O333" s="893"/>
      <c r="P333" s="916"/>
      <c r="Q333" s="916"/>
      <c r="R333" s="893"/>
      <c r="S333" s="893"/>
      <c r="T333" s="916"/>
      <c r="U333" s="916"/>
      <c r="V333" s="921" t="str">
        <f>'refer admin discharge'!H334</f>
        <v>00/00/0000</v>
      </c>
      <c r="W333" s="922"/>
      <c r="X333" s="912"/>
      <c r="Y333" s="912"/>
      <c r="Z333" s="924"/>
      <c r="AA333" s="924"/>
      <c r="AB333" s="912"/>
      <c r="AC333" s="912"/>
      <c r="AD333" s="913"/>
      <c r="AE333" s="913"/>
      <c r="AF333" s="912"/>
      <c r="AG333" s="912"/>
      <c r="AH333" s="913"/>
      <c r="AI333" s="913"/>
      <c r="AJ333" s="912"/>
      <c r="AK333" s="912"/>
      <c r="AL333" s="925"/>
      <c r="AM333" s="926"/>
      <c r="AN333" s="926"/>
      <c r="AO333" s="926"/>
      <c r="AP333" s="926"/>
      <c r="AQ333" s="926"/>
      <c r="AR333" s="926"/>
      <c r="AS333" s="926"/>
      <c r="AT333" s="926"/>
      <c r="AU333" s="926"/>
      <c r="AV333" s="926"/>
      <c r="AW333" s="926"/>
      <c r="AX333" s="926"/>
      <c r="AY333" s="926"/>
      <c r="AZ333" s="926"/>
      <c r="BA333" s="926"/>
      <c r="BB333" s="927"/>
    </row>
    <row r="334" spans="1:54" x14ac:dyDescent="0.25">
      <c r="A334" s="13">
        <f t="shared" ref="A334:A397" si="5">ROW(A321)</f>
        <v>321</v>
      </c>
      <c r="B334" s="888" t="str">
        <f>'refer admin discharge'!B330</f>
        <v>x</v>
      </c>
      <c r="C334" s="888"/>
      <c r="D334" s="868" t="str">
        <f>'refer admin discharge'!D330</f>
        <v>xx</v>
      </c>
      <c r="E334" s="868"/>
      <c r="F334" s="891" t="str">
        <f>'refer admin discharge'!H330</f>
        <v>00/00/0000</v>
      </c>
      <c r="G334" s="892"/>
      <c r="H334" s="894"/>
      <c r="I334" s="894"/>
      <c r="J334" s="918"/>
      <c r="K334" s="918"/>
      <c r="L334" s="894"/>
      <c r="M334" s="894"/>
      <c r="N334" s="916"/>
      <c r="O334" s="916"/>
      <c r="P334" s="894"/>
      <c r="Q334" s="894"/>
      <c r="R334" s="916"/>
      <c r="S334" s="916"/>
      <c r="T334" s="894"/>
      <c r="U334" s="894"/>
      <c r="V334" s="921" t="str">
        <f>'refer admin discharge'!H335</f>
        <v>00/00/0000</v>
      </c>
      <c r="W334" s="922"/>
      <c r="X334" s="920"/>
      <c r="Y334" s="920"/>
      <c r="Z334" s="919"/>
      <c r="AA334" s="919"/>
      <c r="AB334" s="920"/>
      <c r="AC334" s="920"/>
      <c r="AD334" s="912"/>
      <c r="AE334" s="912"/>
      <c r="AF334" s="920"/>
      <c r="AG334" s="920"/>
      <c r="AH334" s="912"/>
      <c r="AI334" s="912"/>
      <c r="AJ334" s="920"/>
      <c r="AK334" s="920"/>
      <c r="AL334" s="905"/>
      <c r="AM334" s="906"/>
      <c r="AN334" s="906"/>
      <c r="AO334" s="906"/>
      <c r="AP334" s="906"/>
      <c r="AQ334" s="906"/>
      <c r="AR334" s="906"/>
      <c r="AS334" s="906"/>
      <c r="AT334" s="906"/>
      <c r="AU334" s="906"/>
      <c r="AV334" s="906"/>
      <c r="AW334" s="906"/>
      <c r="AX334" s="906"/>
      <c r="AY334" s="906"/>
      <c r="AZ334" s="906"/>
      <c r="BA334" s="906"/>
      <c r="BB334" s="907"/>
    </row>
    <row r="335" spans="1:54" x14ac:dyDescent="0.25">
      <c r="A335" s="13">
        <f t="shared" si="5"/>
        <v>322</v>
      </c>
      <c r="B335" s="914" t="str">
        <f>'refer admin discharge'!B331</f>
        <v>x</v>
      </c>
      <c r="C335" s="914"/>
      <c r="D335" s="889" t="str">
        <f>'refer admin discharge'!D331</f>
        <v>xx</v>
      </c>
      <c r="E335" s="889"/>
      <c r="F335" s="915" t="str">
        <f>'refer admin discharge'!H331</f>
        <v>00/00/0000</v>
      </c>
      <c r="G335" s="890"/>
      <c r="H335" s="916"/>
      <c r="I335" s="916"/>
      <c r="J335" s="917"/>
      <c r="K335" s="917"/>
      <c r="L335" s="916"/>
      <c r="M335" s="916"/>
      <c r="N335" s="893"/>
      <c r="O335" s="893"/>
      <c r="P335" s="916"/>
      <c r="Q335" s="916"/>
      <c r="R335" s="893"/>
      <c r="S335" s="893"/>
      <c r="T335" s="916"/>
      <c r="U335" s="916"/>
      <c r="V335" s="921" t="str">
        <f>'refer admin discharge'!H336</f>
        <v>00/00/0000</v>
      </c>
      <c r="W335" s="922"/>
      <c r="X335" s="912"/>
      <c r="Y335" s="912"/>
      <c r="Z335" s="924"/>
      <c r="AA335" s="924"/>
      <c r="AB335" s="912"/>
      <c r="AC335" s="912"/>
      <c r="AD335" s="913"/>
      <c r="AE335" s="913"/>
      <c r="AF335" s="912"/>
      <c r="AG335" s="912"/>
      <c r="AH335" s="913"/>
      <c r="AI335" s="913"/>
      <c r="AJ335" s="912"/>
      <c r="AK335" s="912"/>
      <c r="AL335" s="925"/>
      <c r="AM335" s="926"/>
      <c r="AN335" s="926"/>
      <c r="AO335" s="926"/>
      <c r="AP335" s="926"/>
      <c r="AQ335" s="926"/>
      <c r="AR335" s="926"/>
      <c r="AS335" s="926"/>
      <c r="AT335" s="926"/>
      <c r="AU335" s="926"/>
      <c r="AV335" s="926"/>
      <c r="AW335" s="926"/>
      <c r="AX335" s="926"/>
      <c r="AY335" s="926"/>
      <c r="AZ335" s="926"/>
      <c r="BA335" s="926"/>
      <c r="BB335" s="927"/>
    </row>
    <row r="336" spans="1:54" x14ac:dyDescent="0.25">
      <c r="A336" s="13">
        <f t="shared" si="5"/>
        <v>323</v>
      </c>
      <c r="B336" s="888" t="str">
        <f>'refer admin discharge'!B332</f>
        <v>x</v>
      </c>
      <c r="C336" s="888"/>
      <c r="D336" s="868" t="str">
        <f>'refer admin discharge'!D332</f>
        <v>xx</v>
      </c>
      <c r="E336" s="868"/>
      <c r="F336" s="891" t="str">
        <f>'refer admin discharge'!H332</f>
        <v>00/00/0000</v>
      </c>
      <c r="G336" s="892"/>
      <c r="H336" s="894"/>
      <c r="I336" s="894"/>
      <c r="J336" s="918"/>
      <c r="K336" s="918"/>
      <c r="L336" s="894"/>
      <c r="M336" s="894"/>
      <c r="N336" s="916"/>
      <c r="O336" s="916"/>
      <c r="P336" s="894"/>
      <c r="Q336" s="894"/>
      <c r="R336" s="916"/>
      <c r="S336" s="916"/>
      <c r="T336" s="894"/>
      <c r="U336" s="894"/>
      <c r="V336" s="921" t="str">
        <f>'refer admin discharge'!H337</f>
        <v>00/00/0000</v>
      </c>
      <c r="W336" s="922"/>
      <c r="X336" s="920"/>
      <c r="Y336" s="920"/>
      <c r="Z336" s="919"/>
      <c r="AA336" s="919"/>
      <c r="AB336" s="920"/>
      <c r="AC336" s="920"/>
      <c r="AD336" s="912"/>
      <c r="AE336" s="912"/>
      <c r="AF336" s="920"/>
      <c r="AG336" s="920"/>
      <c r="AH336" s="912"/>
      <c r="AI336" s="912"/>
      <c r="AJ336" s="920"/>
      <c r="AK336" s="920"/>
      <c r="AL336" s="905"/>
      <c r="AM336" s="906"/>
      <c r="AN336" s="906"/>
      <c r="AO336" s="906"/>
      <c r="AP336" s="906"/>
      <c r="AQ336" s="906"/>
      <c r="AR336" s="906"/>
      <c r="AS336" s="906"/>
      <c r="AT336" s="906"/>
      <c r="AU336" s="906"/>
      <c r="AV336" s="906"/>
      <c r="AW336" s="906"/>
      <c r="AX336" s="906"/>
      <c r="AY336" s="906"/>
      <c r="AZ336" s="906"/>
      <c r="BA336" s="906"/>
      <c r="BB336" s="907"/>
    </row>
    <row r="337" spans="1:54" x14ac:dyDescent="0.25">
      <c r="A337" s="13">
        <f t="shared" si="5"/>
        <v>324</v>
      </c>
      <c r="B337" s="914" t="str">
        <f>'refer admin discharge'!B333</f>
        <v>x</v>
      </c>
      <c r="C337" s="914"/>
      <c r="D337" s="889" t="str">
        <f>'refer admin discharge'!D333</f>
        <v>xx</v>
      </c>
      <c r="E337" s="889"/>
      <c r="F337" s="915" t="str">
        <f>'refer admin discharge'!H333</f>
        <v>00/00/0000</v>
      </c>
      <c r="G337" s="890"/>
      <c r="H337" s="916"/>
      <c r="I337" s="916"/>
      <c r="J337" s="917"/>
      <c r="K337" s="917"/>
      <c r="L337" s="916"/>
      <c r="M337" s="916"/>
      <c r="N337" s="893"/>
      <c r="O337" s="893"/>
      <c r="P337" s="916"/>
      <c r="Q337" s="916"/>
      <c r="R337" s="893"/>
      <c r="S337" s="893"/>
      <c r="T337" s="916"/>
      <c r="U337" s="916"/>
      <c r="V337" s="921" t="str">
        <f>'refer admin discharge'!H338</f>
        <v>00/00/0000</v>
      </c>
      <c r="W337" s="922"/>
      <c r="X337" s="912"/>
      <c r="Y337" s="912"/>
      <c r="Z337" s="924"/>
      <c r="AA337" s="924"/>
      <c r="AB337" s="912"/>
      <c r="AC337" s="912"/>
      <c r="AD337" s="913"/>
      <c r="AE337" s="913"/>
      <c r="AF337" s="912"/>
      <c r="AG337" s="912"/>
      <c r="AH337" s="913"/>
      <c r="AI337" s="913"/>
      <c r="AJ337" s="912"/>
      <c r="AK337" s="912"/>
      <c r="AL337" s="925"/>
      <c r="AM337" s="926"/>
      <c r="AN337" s="926"/>
      <c r="AO337" s="926"/>
      <c r="AP337" s="926"/>
      <c r="AQ337" s="926"/>
      <c r="AR337" s="926"/>
      <c r="AS337" s="926"/>
      <c r="AT337" s="926"/>
      <c r="AU337" s="926"/>
      <c r="AV337" s="926"/>
      <c r="AW337" s="926"/>
      <c r="AX337" s="926"/>
      <c r="AY337" s="926"/>
      <c r="AZ337" s="926"/>
      <c r="BA337" s="926"/>
      <c r="BB337" s="927"/>
    </row>
    <row r="338" spans="1:54" x14ac:dyDescent="0.25">
      <c r="A338" s="13">
        <f t="shared" si="5"/>
        <v>325</v>
      </c>
      <c r="B338" s="888" t="str">
        <f>'refer admin discharge'!B334</f>
        <v>x</v>
      </c>
      <c r="C338" s="888"/>
      <c r="D338" s="868" t="str">
        <f>'refer admin discharge'!D334</f>
        <v>xx</v>
      </c>
      <c r="E338" s="868"/>
      <c r="F338" s="891" t="str">
        <f>'refer admin discharge'!H334</f>
        <v>00/00/0000</v>
      </c>
      <c r="G338" s="892"/>
      <c r="H338" s="894"/>
      <c r="I338" s="894"/>
      <c r="J338" s="918"/>
      <c r="K338" s="918"/>
      <c r="L338" s="894"/>
      <c r="M338" s="894"/>
      <c r="N338" s="916"/>
      <c r="O338" s="916"/>
      <c r="P338" s="894"/>
      <c r="Q338" s="894"/>
      <c r="R338" s="916"/>
      <c r="S338" s="916"/>
      <c r="T338" s="894"/>
      <c r="U338" s="894"/>
      <c r="V338" s="921" t="str">
        <f>'refer admin discharge'!H339</f>
        <v>00/00/0000</v>
      </c>
      <c r="W338" s="922"/>
      <c r="X338" s="920"/>
      <c r="Y338" s="920"/>
      <c r="Z338" s="919"/>
      <c r="AA338" s="919"/>
      <c r="AB338" s="920"/>
      <c r="AC338" s="920"/>
      <c r="AD338" s="912"/>
      <c r="AE338" s="912"/>
      <c r="AF338" s="920"/>
      <c r="AG338" s="920"/>
      <c r="AH338" s="912"/>
      <c r="AI338" s="912"/>
      <c r="AJ338" s="920"/>
      <c r="AK338" s="920"/>
      <c r="AL338" s="905"/>
      <c r="AM338" s="906"/>
      <c r="AN338" s="906"/>
      <c r="AO338" s="906"/>
      <c r="AP338" s="906"/>
      <c r="AQ338" s="906"/>
      <c r="AR338" s="906"/>
      <c r="AS338" s="906"/>
      <c r="AT338" s="906"/>
      <c r="AU338" s="906"/>
      <c r="AV338" s="906"/>
      <c r="AW338" s="906"/>
      <c r="AX338" s="906"/>
      <c r="AY338" s="906"/>
      <c r="AZ338" s="906"/>
      <c r="BA338" s="906"/>
      <c r="BB338" s="907"/>
    </row>
    <row r="339" spans="1:54" x14ac:dyDescent="0.25">
      <c r="A339" s="13">
        <f t="shared" si="5"/>
        <v>326</v>
      </c>
      <c r="B339" s="914" t="str">
        <f>'refer admin discharge'!B335</f>
        <v>x</v>
      </c>
      <c r="C339" s="914"/>
      <c r="D339" s="889" t="str">
        <f>'refer admin discharge'!D335</f>
        <v>xx</v>
      </c>
      <c r="E339" s="889"/>
      <c r="F339" s="915" t="str">
        <f>'refer admin discharge'!H335</f>
        <v>00/00/0000</v>
      </c>
      <c r="G339" s="890"/>
      <c r="H339" s="916"/>
      <c r="I339" s="916"/>
      <c r="J339" s="917"/>
      <c r="K339" s="917"/>
      <c r="L339" s="916"/>
      <c r="M339" s="916"/>
      <c r="N339" s="893"/>
      <c r="O339" s="893"/>
      <c r="P339" s="916"/>
      <c r="Q339" s="916"/>
      <c r="R339" s="893"/>
      <c r="S339" s="893"/>
      <c r="T339" s="916"/>
      <c r="U339" s="916"/>
      <c r="V339" s="921" t="str">
        <f>'refer admin discharge'!H340</f>
        <v>00/00/0000</v>
      </c>
      <c r="W339" s="922"/>
      <c r="X339" s="912"/>
      <c r="Y339" s="912"/>
      <c r="Z339" s="924"/>
      <c r="AA339" s="924"/>
      <c r="AB339" s="912"/>
      <c r="AC339" s="912"/>
      <c r="AD339" s="913"/>
      <c r="AE339" s="913"/>
      <c r="AF339" s="912"/>
      <c r="AG339" s="912"/>
      <c r="AH339" s="913"/>
      <c r="AI339" s="913"/>
      <c r="AJ339" s="912"/>
      <c r="AK339" s="912"/>
      <c r="AL339" s="925"/>
      <c r="AM339" s="926"/>
      <c r="AN339" s="926"/>
      <c r="AO339" s="926"/>
      <c r="AP339" s="926"/>
      <c r="AQ339" s="926"/>
      <c r="AR339" s="926"/>
      <c r="AS339" s="926"/>
      <c r="AT339" s="926"/>
      <c r="AU339" s="926"/>
      <c r="AV339" s="926"/>
      <c r="AW339" s="926"/>
      <c r="AX339" s="926"/>
      <c r="AY339" s="926"/>
      <c r="AZ339" s="926"/>
      <c r="BA339" s="926"/>
      <c r="BB339" s="927"/>
    </row>
    <row r="340" spans="1:54" x14ac:dyDescent="0.25">
      <c r="A340" s="13">
        <f t="shared" si="5"/>
        <v>327</v>
      </c>
      <c r="B340" s="888" t="str">
        <f>'refer admin discharge'!B336</f>
        <v>x</v>
      </c>
      <c r="C340" s="888"/>
      <c r="D340" s="868" t="str">
        <f>'refer admin discharge'!D336</f>
        <v>xx</v>
      </c>
      <c r="E340" s="868"/>
      <c r="F340" s="891" t="str">
        <f>'refer admin discharge'!H336</f>
        <v>00/00/0000</v>
      </c>
      <c r="G340" s="892"/>
      <c r="H340" s="894"/>
      <c r="I340" s="894"/>
      <c r="J340" s="918"/>
      <c r="K340" s="918"/>
      <c r="L340" s="894"/>
      <c r="M340" s="894"/>
      <c r="N340" s="916"/>
      <c r="O340" s="916"/>
      <c r="P340" s="894"/>
      <c r="Q340" s="894"/>
      <c r="R340" s="916"/>
      <c r="S340" s="916"/>
      <c r="T340" s="894"/>
      <c r="U340" s="894"/>
      <c r="V340" s="921" t="str">
        <f>'refer admin discharge'!H341</f>
        <v>00/00/0000</v>
      </c>
      <c r="W340" s="922"/>
      <c r="X340" s="920"/>
      <c r="Y340" s="920"/>
      <c r="Z340" s="919"/>
      <c r="AA340" s="919"/>
      <c r="AB340" s="920"/>
      <c r="AC340" s="920"/>
      <c r="AD340" s="912"/>
      <c r="AE340" s="912"/>
      <c r="AF340" s="920"/>
      <c r="AG340" s="920"/>
      <c r="AH340" s="912"/>
      <c r="AI340" s="912"/>
      <c r="AJ340" s="920"/>
      <c r="AK340" s="920"/>
      <c r="AL340" s="905"/>
      <c r="AM340" s="906"/>
      <c r="AN340" s="906"/>
      <c r="AO340" s="906"/>
      <c r="AP340" s="906"/>
      <c r="AQ340" s="906"/>
      <c r="AR340" s="906"/>
      <c r="AS340" s="906"/>
      <c r="AT340" s="906"/>
      <c r="AU340" s="906"/>
      <c r="AV340" s="906"/>
      <c r="AW340" s="906"/>
      <c r="AX340" s="906"/>
      <c r="AY340" s="906"/>
      <c r="AZ340" s="906"/>
      <c r="BA340" s="906"/>
      <c r="BB340" s="907"/>
    </row>
    <row r="341" spans="1:54" x14ac:dyDescent="0.25">
      <c r="A341" s="13">
        <f t="shared" si="5"/>
        <v>328</v>
      </c>
      <c r="B341" s="914" t="str">
        <f>'refer admin discharge'!B337</f>
        <v>x</v>
      </c>
      <c r="C341" s="914"/>
      <c r="D341" s="889" t="str">
        <f>'refer admin discharge'!D337</f>
        <v>xx</v>
      </c>
      <c r="E341" s="889"/>
      <c r="F341" s="915" t="str">
        <f>'refer admin discharge'!H337</f>
        <v>00/00/0000</v>
      </c>
      <c r="G341" s="890"/>
      <c r="H341" s="916"/>
      <c r="I341" s="916"/>
      <c r="J341" s="917"/>
      <c r="K341" s="917"/>
      <c r="L341" s="916"/>
      <c r="M341" s="916"/>
      <c r="N341" s="893"/>
      <c r="O341" s="893"/>
      <c r="P341" s="916"/>
      <c r="Q341" s="916"/>
      <c r="R341" s="893"/>
      <c r="S341" s="893"/>
      <c r="T341" s="916"/>
      <c r="U341" s="916"/>
      <c r="V341" s="921" t="str">
        <f>'refer admin discharge'!H342</f>
        <v>00/00/0000</v>
      </c>
      <c r="W341" s="922"/>
      <c r="X341" s="912"/>
      <c r="Y341" s="912"/>
      <c r="Z341" s="924"/>
      <c r="AA341" s="924"/>
      <c r="AB341" s="912"/>
      <c r="AC341" s="912"/>
      <c r="AD341" s="913"/>
      <c r="AE341" s="913"/>
      <c r="AF341" s="912"/>
      <c r="AG341" s="912"/>
      <c r="AH341" s="913"/>
      <c r="AI341" s="913"/>
      <c r="AJ341" s="912"/>
      <c r="AK341" s="912"/>
      <c r="AL341" s="925"/>
      <c r="AM341" s="926"/>
      <c r="AN341" s="926"/>
      <c r="AO341" s="926"/>
      <c r="AP341" s="926"/>
      <c r="AQ341" s="926"/>
      <c r="AR341" s="926"/>
      <c r="AS341" s="926"/>
      <c r="AT341" s="926"/>
      <c r="AU341" s="926"/>
      <c r="AV341" s="926"/>
      <c r="AW341" s="926"/>
      <c r="AX341" s="926"/>
      <c r="AY341" s="926"/>
      <c r="AZ341" s="926"/>
      <c r="BA341" s="926"/>
      <c r="BB341" s="927"/>
    </row>
    <row r="342" spans="1:54" x14ac:dyDescent="0.25">
      <c r="A342" s="13">
        <f t="shared" si="5"/>
        <v>329</v>
      </c>
      <c r="B342" s="888" t="str">
        <f>'refer admin discharge'!B338</f>
        <v>x</v>
      </c>
      <c r="C342" s="888"/>
      <c r="D342" s="868" t="str">
        <f>'refer admin discharge'!D338</f>
        <v>xx</v>
      </c>
      <c r="E342" s="868"/>
      <c r="F342" s="891" t="str">
        <f>'refer admin discharge'!H338</f>
        <v>00/00/0000</v>
      </c>
      <c r="G342" s="892"/>
      <c r="H342" s="894"/>
      <c r="I342" s="894"/>
      <c r="J342" s="918"/>
      <c r="K342" s="918"/>
      <c r="L342" s="894"/>
      <c r="M342" s="894"/>
      <c r="N342" s="916"/>
      <c r="O342" s="916"/>
      <c r="P342" s="894"/>
      <c r="Q342" s="894"/>
      <c r="R342" s="916"/>
      <c r="S342" s="916"/>
      <c r="T342" s="894"/>
      <c r="U342" s="894"/>
      <c r="V342" s="921" t="str">
        <f>'refer admin discharge'!H343</f>
        <v>00/00/0000</v>
      </c>
      <c r="W342" s="922"/>
      <c r="X342" s="920"/>
      <c r="Y342" s="920"/>
      <c r="Z342" s="919"/>
      <c r="AA342" s="919"/>
      <c r="AB342" s="920"/>
      <c r="AC342" s="920"/>
      <c r="AD342" s="912"/>
      <c r="AE342" s="912"/>
      <c r="AF342" s="920"/>
      <c r="AG342" s="920"/>
      <c r="AH342" s="912"/>
      <c r="AI342" s="912"/>
      <c r="AJ342" s="920"/>
      <c r="AK342" s="920"/>
      <c r="AL342" s="905"/>
      <c r="AM342" s="906"/>
      <c r="AN342" s="906"/>
      <c r="AO342" s="906"/>
      <c r="AP342" s="906"/>
      <c r="AQ342" s="906"/>
      <c r="AR342" s="906"/>
      <c r="AS342" s="906"/>
      <c r="AT342" s="906"/>
      <c r="AU342" s="906"/>
      <c r="AV342" s="906"/>
      <c r="AW342" s="906"/>
      <c r="AX342" s="906"/>
      <c r="AY342" s="906"/>
      <c r="AZ342" s="906"/>
      <c r="BA342" s="906"/>
      <c r="BB342" s="907"/>
    </row>
    <row r="343" spans="1:54" x14ac:dyDescent="0.25">
      <c r="A343" s="13">
        <f t="shared" si="5"/>
        <v>330</v>
      </c>
      <c r="B343" s="914" t="str">
        <f>'refer admin discharge'!B339</f>
        <v>x</v>
      </c>
      <c r="C343" s="914"/>
      <c r="D343" s="889" t="str">
        <f>'refer admin discharge'!D339</f>
        <v>xx</v>
      </c>
      <c r="E343" s="889"/>
      <c r="F343" s="915" t="str">
        <f>'refer admin discharge'!H339</f>
        <v>00/00/0000</v>
      </c>
      <c r="G343" s="890"/>
      <c r="H343" s="916"/>
      <c r="I343" s="916"/>
      <c r="J343" s="917"/>
      <c r="K343" s="917"/>
      <c r="L343" s="916"/>
      <c r="M343" s="916"/>
      <c r="N343" s="893"/>
      <c r="O343" s="893"/>
      <c r="P343" s="916"/>
      <c r="Q343" s="916"/>
      <c r="R343" s="893"/>
      <c r="S343" s="893"/>
      <c r="T343" s="916"/>
      <c r="U343" s="916"/>
      <c r="V343" s="921" t="str">
        <f>'refer admin discharge'!H344</f>
        <v>00/00/0000</v>
      </c>
      <c r="W343" s="922"/>
      <c r="X343" s="912"/>
      <c r="Y343" s="912"/>
      <c r="Z343" s="924"/>
      <c r="AA343" s="924"/>
      <c r="AB343" s="912"/>
      <c r="AC343" s="912"/>
      <c r="AD343" s="913"/>
      <c r="AE343" s="913"/>
      <c r="AF343" s="912"/>
      <c r="AG343" s="912"/>
      <c r="AH343" s="913"/>
      <c r="AI343" s="913"/>
      <c r="AJ343" s="912"/>
      <c r="AK343" s="912"/>
      <c r="AL343" s="925"/>
      <c r="AM343" s="926"/>
      <c r="AN343" s="926"/>
      <c r="AO343" s="926"/>
      <c r="AP343" s="926"/>
      <c r="AQ343" s="926"/>
      <c r="AR343" s="926"/>
      <c r="AS343" s="926"/>
      <c r="AT343" s="926"/>
      <c r="AU343" s="926"/>
      <c r="AV343" s="926"/>
      <c r="AW343" s="926"/>
      <c r="AX343" s="926"/>
      <c r="AY343" s="926"/>
      <c r="AZ343" s="926"/>
      <c r="BA343" s="926"/>
      <c r="BB343" s="927"/>
    </row>
    <row r="344" spans="1:54" x14ac:dyDescent="0.25">
      <c r="A344" s="13">
        <f t="shared" si="5"/>
        <v>331</v>
      </c>
      <c r="B344" s="888" t="str">
        <f>'refer admin discharge'!B340</f>
        <v>x</v>
      </c>
      <c r="C344" s="888"/>
      <c r="D344" s="868" t="str">
        <f>'refer admin discharge'!D340</f>
        <v>xx</v>
      </c>
      <c r="E344" s="868"/>
      <c r="F344" s="891" t="str">
        <f>'refer admin discharge'!H340</f>
        <v>00/00/0000</v>
      </c>
      <c r="G344" s="892"/>
      <c r="H344" s="894"/>
      <c r="I344" s="894"/>
      <c r="J344" s="918"/>
      <c r="K344" s="918"/>
      <c r="L344" s="894"/>
      <c r="M344" s="894"/>
      <c r="N344" s="916"/>
      <c r="O344" s="916"/>
      <c r="P344" s="894"/>
      <c r="Q344" s="894"/>
      <c r="R344" s="916"/>
      <c r="S344" s="916"/>
      <c r="T344" s="894"/>
      <c r="U344" s="894"/>
      <c r="V344" s="921" t="str">
        <f>'refer admin discharge'!H345</f>
        <v>00/00/0000</v>
      </c>
      <c r="W344" s="922"/>
      <c r="X344" s="920"/>
      <c r="Y344" s="920"/>
      <c r="Z344" s="919"/>
      <c r="AA344" s="919"/>
      <c r="AB344" s="920"/>
      <c r="AC344" s="920"/>
      <c r="AD344" s="912"/>
      <c r="AE344" s="912"/>
      <c r="AF344" s="920"/>
      <c r="AG344" s="920"/>
      <c r="AH344" s="912"/>
      <c r="AI344" s="912"/>
      <c r="AJ344" s="920"/>
      <c r="AK344" s="920"/>
      <c r="AL344" s="905"/>
      <c r="AM344" s="906"/>
      <c r="AN344" s="906"/>
      <c r="AO344" s="906"/>
      <c r="AP344" s="906"/>
      <c r="AQ344" s="906"/>
      <c r="AR344" s="906"/>
      <c r="AS344" s="906"/>
      <c r="AT344" s="906"/>
      <c r="AU344" s="906"/>
      <c r="AV344" s="906"/>
      <c r="AW344" s="906"/>
      <c r="AX344" s="906"/>
      <c r="AY344" s="906"/>
      <c r="AZ344" s="906"/>
      <c r="BA344" s="906"/>
      <c r="BB344" s="907"/>
    </row>
    <row r="345" spans="1:54" x14ac:dyDescent="0.25">
      <c r="A345" s="13">
        <f t="shared" si="5"/>
        <v>332</v>
      </c>
      <c r="B345" s="914" t="str">
        <f>'refer admin discharge'!B341</f>
        <v>x</v>
      </c>
      <c r="C345" s="914"/>
      <c r="D345" s="889" t="str">
        <f>'refer admin discharge'!D341</f>
        <v>xx</v>
      </c>
      <c r="E345" s="889"/>
      <c r="F345" s="915" t="str">
        <f>'refer admin discharge'!H341</f>
        <v>00/00/0000</v>
      </c>
      <c r="G345" s="890"/>
      <c r="H345" s="916"/>
      <c r="I345" s="916"/>
      <c r="J345" s="917"/>
      <c r="K345" s="917"/>
      <c r="L345" s="916"/>
      <c r="M345" s="916"/>
      <c r="N345" s="893"/>
      <c r="O345" s="893"/>
      <c r="P345" s="916"/>
      <c r="Q345" s="916"/>
      <c r="R345" s="893"/>
      <c r="S345" s="893"/>
      <c r="T345" s="916"/>
      <c r="U345" s="916"/>
      <c r="V345" s="921" t="str">
        <f>'refer admin discharge'!H346</f>
        <v>00/00/0000</v>
      </c>
      <c r="W345" s="922"/>
      <c r="X345" s="912"/>
      <c r="Y345" s="912"/>
      <c r="Z345" s="924"/>
      <c r="AA345" s="924"/>
      <c r="AB345" s="912"/>
      <c r="AC345" s="912"/>
      <c r="AD345" s="913"/>
      <c r="AE345" s="913"/>
      <c r="AF345" s="912"/>
      <c r="AG345" s="912"/>
      <c r="AH345" s="913"/>
      <c r="AI345" s="913"/>
      <c r="AJ345" s="912"/>
      <c r="AK345" s="912"/>
      <c r="AL345" s="925"/>
      <c r="AM345" s="926"/>
      <c r="AN345" s="926"/>
      <c r="AO345" s="926"/>
      <c r="AP345" s="926"/>
      <c r="AQ345" s="926"/>
      <c r="AR345" s="926"/>
      <c r="AS345" s="926"/>
      <c r="AT345" s="926"/>
      <c r="AU345" s="926"/>
      <c r="AV345" s="926"/>
      <c r="AW345" s="926"/>
      <c r="AX345" s="926"/>
      <c r="AY345" s="926"/>
      <c r="AZ345" s="926"/>
      <c r="BA345" s="926"/>
      <c r="BB345" s="927"/>
    </row>
    <row r="346" spans="1:54" x14ac:dyDescent="0.25">
      <c r="A346" s="13">
        <f t="shared" si="5"/>
        <v>333</v>
      </c>
      <c r="B346" s="888" t="str">
        <f>'refer admin discharge'!B342</f>
        <v>x</v>
      </c>
      <c r="C346" s="888"/>
      <c r="D346" s="868" t="str">
        <f>'refer admin discharge'!D342</f>
        <v>xx</v>
      </c>
      <c r="E346" s="868"/>
      <c r="F346" s="891" t="str">
        <f>'refer admin discharge'!H342</f>
        <v>00/00/0000</v>
      </c>
      <c r="G346" s="892"/>
      <c r="H346" s="894"/>
      <c r="I346" s="894"/>
      <c r="J346" s="918"/>
      <c r="K346" s="918"/>
      <c r="L346" s="894"/>
      <c r="M346" s="894"/>
      <c r="N346" s="916"/>
      <c r="O346" s="916"/>
      <c r="P346" s="894"/>
      <c r="Q346" s="894"/>
      <c r="R346" s="916"/>
      <c r="S346" s="916"/>
      <c r="T346" s="894"/>
      <c r="U346" s="894"/>
      <c r="V346" s="921" t="str">
        <f>'refer admin discharge'!H347</f>
        <v>00/00/0000</v>
      </c>
      <c r="W346" s="922"/>
      <c r="X346" s="920"/>
      <c r="Y346" s="920"/>
      <c r="Z346" s="919"/>
      <c r="AA346" s="919"/>
      <c r="AB346" s="920"/>
      <c r="AC346" s="920"/>
      <c r="AD346" s="912"/>
      <c r="AE346" s="912"/>
      <c r="AF346" s="920"/>
      <c r="AG346" s="920"/>
      <c r="AH346" s="912"/>
      <c r="AI346" s="912"/>
      <c r="AJ346" s="920"/>
      <c r="AK346" s="920"/>
      <c r="AL346" s="905"/>
      <c r="AM346" s="906"/>
      <c r="AN346" s="906"/>
      <c r="AO346" s="906"/>
      <c r="AP346" s="906"/>
      <c r="AQ346" s="906"/>
      <c r="AR346" s="906"/>
      <c r="AS346" s="906"/>
      <c r="AT346" s="906"/>
      <c r="AU346" s="906"/>
      <c r="AV346" s="906"/>
      <c r="AW346" s="906"/>
      <c r="AX346" s="906"/>
      <c r="AY346" s="906"/>
      <c r="AZ346" s="906"/>
      <c r="BA346" s="906"/>
      <c r="BB346" s="907"/>
    </row>
    <row r="347" spans="1:54" x14ac:dyDescent="0.25">
      <c r="A347" s="13">
        <f t="shared" si="5"/>
        <v>334</v>
      </c>
      <c r="B347" s="914" t="str">
        <f>'refer admin discharge'!B343</f>
        <v>x</v>
      </c>
      <c r="C347" s="914"/>
      <c r="D347" s="889" t="str">
        <f>'refer admin discharge'!D343</f>
        <v>xx</v>
      </c>
      <c r="E347" s="889"/>
      <c r="F347" s="915" t="str">
        <f>'refer admin discharge'!H343</f>
        <v>00/00/0000</v>
      </c>
      <c r="G347" s="890"/>
      <c r="H347" s="916"/>
      <c r="I347" s="916"/>
      <c r="J347" s="917"/>
      <c r="K347" s="917"/>
      <c r="L347" s="916"/>
      <c r="M347" s="916"/>
      <c r="N347" s="893"/>
      <c r="O347" s="893"/>
      <c r="P347" s="916"/>
      <c r="Q347" s="916"/>
      <c r="R347" s="893"/>
      <c r="S347" s="893"/>
      <c r="T347" s="916"/>
      <c r="U347" s="916"/>
      <c r="V347" s="921" t="str">
        <f>'refer admin discharge'!H348</f>
        <v>00/00/0000</v>
      </c>
      <c r="W347" s="922"/>
      <c r="X347" s="912"/>
      <c r="Y347" s="912"/>
      <c r="Z347" s="924"/>
      <c r="AA347" s="924"/>
      <c r="AB347" s="912"/>
      <c r="AC347" s="912"/>
      <c r="AD347" s="913"/>
      <c r="AE347" s="913"/>
      <c r="AF347" s="912"/>
      <c r="AG347" s="912"/>
      <c r="AH347" s="913"/>
      <c r="AI347" s="913"/>
      <c r="AJ347" s="912"/>
      <c r="AK347" s="912"/>
      <c r="AL347" s="925"/>
      <c r="AM347" s="926"/>
      <c r="AN347" s="926"/>
      <c r="AO347" s="926"/>
      <c r="AP347" s="926"/>
      <c r="AQ347" s="926"/>
      <c r="AR347" s="926"/>
      <c r="AS347" s="926"/>
      <c r="AT347" s="926"/>
      <c r="AU347" s="926"/>
      <c r="AV347" s="926"/>
      <c r="AW347" s="926"/>
      <c r="AX347" s="926"/>
      <c r="AY347" s="926"/>
      <c r="AZ347" s="926"/>
      <c r="BA347" s="926"/>
      <c r="BB347" s="927"/>
    </row>
    <row r="348" spans="1:54" x14ac:dyDescent="0.25">
      <c r="A348" s="13">
        <f t="shared" si="5"/>
        <v>335</v>
      </c>
      <c r="B348" s="888" t="str">
        <f>'refer admin discharge'!B344</f>
        <v>x</v>
      </c>
      <c r="C348" s="888"/>
      <c r="D348" s="868" t="str">
        <f>'refer admin discharge'!D344</f>
        <v>xx</v>
      </c>
      <c r="E348" s="868"/>
      <c r="F348" s="891" t="str">
        <f>'refer admin discharge'!H344</f>
        <v>00/00/0000</v>
      </c>
      <c r="G348" s="892"/>
      <c r="H348" s="894"/>
      <c r="I348" s="894"/>
      <c r="J348" s="918"/>
      <c r="K348" s="918"/>
      <c r="L348" s="894"/>
      <c r="M348" s="894"/>
      <c r="N348" s="916"/>
      <c r="O348" s="916"/>
      <c r="P348" s="894"/>
      <c r="Q348" s="894"/>
      <c r="R348" s="916"/>
      <c r="S348" s="916"/>
      <c r="T348" s="894"/>
      <c r="U348" s="894"/>
      <c r="V348" s="921" t="str">
        <f>'refer admin discharge'!H349</f>
        <v>00/00/0000</v>
      </c>
      <c r="W348" s="922"/>
      <c r="X348" s="920"/>
      <c r="Y348" s="920"/>
      <c r="Z348" s="919"/>
      <c r="AA348" s="919"/>
      <c r="AB348" s="920"/>
      <c r="AC348" s="920"/>
      <c r="AD348" s="912"/>
      <c r="AE348" s="912"/>
      <c r="AF348" s="920"/>
      <c r="AG348" s="920"/>
      <c r="AH348" s="912"/>
      <c r="AI348" s="912"/>
      <c r="AJ348" s="920"/>
      <c r="AK348" s="920"/>
      <c r="AL348" s="905"/>
      <c r="AM348" s="906"/>
      <c r="AN348" s="906"/>
      <c r="AO348" s="906"/>
      <c r="AP348" s="906"/>
      <c r="AQ348" s="906"/>
      <c r="AR348" s="906"/>
      <c r="AS348" s="906"/>
      <c r="AT348" s="906"/>
      <c r="AU348" s="906"/>
      <c r="AV348" s="906"/>
      <c r="AW348" s="906"/>
      <c r="AX348" s="906"/>
      <c r="AY348" s="906"/>
      <c r="AZ348" s="906"/>
      <c r="BA348" s="906"/>
      <c r="BB348" s="907"/>
    </row>
    <row r="349" spans="1:54" x14ac:dyDescent="0.25">
      <c r="A349" s="13">
        <f t="shared" si="5"/>
        <v>336</v>
      </c>
      <c r="B349" s="914" t="str">
        <f>'refer admin discharge'!B345</f>
        <v>x</v>
      </c>
      <c r="C349" s="914"/>
      <c r="D349" s="889" t="str">
        <f>'refer admin discharge'!D345</f>
        <v>xx</v>
      </c>
      <c r="E349" s="889"/>
      <c r="F349" s="915" t="str">
        <f>'refer admin discharge'!H345</f>
        <v>00/00/0000</v>
      </c>
      <c r="G349" s="890"/>
      <c r="H349" s="916"/>
      <c r="I349" s="916"/>
      <c r="J349" s="917"/>
      <c r="K349" s="917"/>
      <c r="L349" s="916"/>
      <c r="M349" s="916"/>
      <c r="N349" s="893"/>
      <c r="O349" s="893"/>
      <c r="P349" s="916"/>
      <c r="Q349" s="916"/>
      <c r="R349" s="893"/>
      <c r="S349" s="893"/>
      <c r="T349" s="916"/>
      <c r="U349" s="916"/>
      <c r="V349" s="921" t="str">
        <f>'refer admin discharge'!H350</f>
        <v>00/00/0000</v>
      </c>
      <c r="W349" s="922"/>
      <c r="X349" s="912"/>
      <c r="Y349" s="912"/>
      <c r="Z349" s="924"/>
      <c r="AA349" s="924"/>
      <c r="AB349" s="912"/>
      <c r="AC349" s="912"/>
      <c r="AD349" s="913"/>
      <c r="AE349" s="913"/>
      <c r="AF349" s="912"/>
      <c r="AG349" s="912"/>
      <c r="AH349" s="913"/>
      <c r="AI349" s="913"/>
      <c r="AJ349" s="912"/>
      <c r="AK349" s="912"/>
      <c r="AL349" s="925"/>
      <c r="AM349" s="926"/>
      <c r="AN349" s="926"/>
      <c r="AO349" s="926"/>
      <c r="AP349" s="926"/>
      <c r="AQ349" s="926"/>
      <c r="AR349" s="926"/>
      <c r="AS349" s="926"/>
      <c r="AT349" s="926"/>
      <c r="AU349" s="926"/>
      <c r="AV349" s="926"/>
      <c r="AW349" s="926"/>
      <c r="AX349" s="926"/>
      <c r="AY349" s="926"/>
      <c r="AZ349" s="926"/>
      <c r="BA349" s="926"/>
      <c r="BB349" s="927"/>
    </row>
    <row r="350" spans="1:54" x14ac:dyDescent="0.25">
      <c r="A350" s="13">
        <f t="shared" si="5"/>
        <v>337</v>
      </c>
      <c r="B350" s="888" t="str">
        <f>'refer admin discharge'!B346</f>
        <v>x</v>
      </c>
      <c r="C350" s="888"/>
      <c r="D350" s="868" t="str">
        <f>'refer admin discharge'!D346</f>
        <v>xx</v>
      </c>
      <c r="E350" s="868"/>
      <c r="F350" s="891" t="str">
        <f>'refer admin discharge'!H346</f>
        <v>00/00/0000</v>
      </c>
      <c r="G350" s="892"/>
      <c r="H350" s="894"/>
      <c r="I350" s="894"/>
      <c r="J350" s="918"/>
      <c r="K350" s="918"/>
      <c r="L350" s="894"/>
      <c r="M350" s="894"/>
      <c r="N350" s="916"/>
      <c r="O350" s="916"/>
      <c r="P350" s="894"/>
      <c r="Q350" s="894"/>
      <c r="R350" s="916"/>
      <c r="S350" s="916"/>
      <c r="T350" s="894"/>
      <c r="U350" s="894"/>
      <c r="V350" s="921" t="str">
        <f>'refer admin discharge'!H351</f>
        <v>00/00/0000</v>
      </c>
      <c r="W350" s="922"/>
      <c r="X350" s="920"/>
      <c r="Y350" s="920"/>
      <c r="Z350" s="919"/>
      <c r="AA350" s="919"/>
      <c r="AB350" s="920"/>
      <c r="AC350" s="920"/>
      <c r="AD350" s="912"/>
      <c r="AE350" s="912"/>
      <c r="AF350" s="920"/>
      <c r="AG350" s="920"/>
      <c r="AH350" s="912"/>
      <c r="AI350" s="912"/>
      <c r="AJ350" s="920"/>
      <c r="AK350" s="920"/>
      <c r="AL350" s="905"/>
      <c r="AM350" s="906"/>
      <c r="AN350" s="906"/>
      <c r="AO350" s="906"/>
      <c r="AP350" s="906"/>
      <c r="AQ350" s="906"/>
      <c r="AR350" s="906"/>
      <c r="AS350" s="906"/>
      <c r="AT350" s="906"/>
      <c r="AU350" s="906"/>
      <c r="AV350" s="906"/>
      <c r="AW350" s="906"/>
      <c r="AX350" s="906"/>
      <c r="AY350" s="906"/>
      <c r="AZ350" s="906"/>
      <c r="BA350" s="906"/>
      <c r="BB350" s="907"/>
    </row>
    <row r="351" spans="1:54" x14ac:dyDescent="0.25">
      <c r="A351" s="13">
        <f t="shared" si="5"/>
        <v>338</v>
      </c>
      <c r="B351" s="914" t="str">
        <f>'refer admin discharge'!B347</f>
        <v>x</v>
      </c>
      <c r="C351" s="914"/>
      <c r="D351" s="889" t="str">
        <f>'refer admin discharge'!D347</f>
        <v>xx</v>
      </c>
      <c r="E351" s="889"/>
      <c r="F351" s="915" t="str">
        <f>'refer admin discharge'!H347</f>
        <v>00/00/0000</v>
      </c>
      <c r="G351" s="890"/>
      <c r="H351" s="916"/>
      <c r="I351" s="916"/>
      <c r="J351" s="917"/>
      <c r="K351" s="917"/>
      <c r="L351" s="916"/>
      <c r="M351" s="916"/>
      <c r="N351" s="893"/>
      <c r="O351" s="893"/>
      <c r="P351" s="916"/>
      <c r="Q351" s="916"/>
      <c r="R351" s="893"/>
      <c r="S351" s="893"/>
      <c r="T351" s="916"/>
      <c r="U351" s="916"/>
      <c r="V351" s="921" t="str">
        <f>'refer admin discharge'!H352</f>
        <v>00/00/0000</v>
      </c>
      <c r="W351" s="922"/>
      <c r="X351" s="912"/>
      <c r="Y351" s="912"/>
      <c r="Z351" s="924"/>
      <c r="AA351" s="924"/>
      <c r="AB351" s="912"/>
      <c r="AC351" s="912"/>
      <c r="AD351" s="913"/>
      <c r="AE351" s="913"/>
      <c r="AF351" s="912"/>
      <c r="AG351" s="912"/>
      <c r="AH351" s="913"/>
      <c r="AI351" s="913"/>
      <c r="AJ351" s="912"/>
      <c r="AK351" s="912"/>
      <c r="AL351" s="925"/>
      <c r="AM351" s="926"/>
      <c r="AN351" s="926"/>
      <c r="AO351" s="926"/>
      <c r="AP351" s="926"/>
      <c r="AQ351" s="926"/>
      <c r="AR351" s="926"/>
      <c r="AS351" s="926"/>
      <c r="AT351" s="926"/>
      <c r="AU351" s="926"/>
      <c r="AV351" s="926"/>
      <c r="AW351" s="926"/>
      <c r="AX351" s="926"/>
      <c r="AY351" s="926"/>
      <c r="AZ351" s="926"/>
      <c r="BA351" s="926"/>
      <c r="BB351" s="927"/>
    </row>
    <row r="352" spans="1:54" x14ac:dyDescent="0.25">
      <c r="A352" s="13">
        <f t="shared" si="5"/>
        <v>339</v>
      </c>
      <c r="B352" s="888" t="str">
        <f>'refer admin discharge'!B348</f>
        <v>x</v>
      </c>
      <c r="C352" s="888"/>
      <c r="D352" s="868" t="str">
        <f>'refer admin discharge'!D348</f>
        <v>xx</v>
      </c>
      <c r="E352" s="868"/>
      <c r="F352" s="891" t="str">
        <f>'refer admin discharge'!H348</f>
        <v>00/00/0000</v>
      </c>
      <c r="G352" s="892"/>
      <c r="H352" s="894"/>
      <c r="I352" s="894"/>
      <c r="J352" s="918"/>
      <c r="K352" s="918"/>
      <c r="L352" s="894"/>
      <c r="M352" s="894"/>
      <c r="N352" s="916"/>
      <c r="O352" s="916"/>
      <c r="P352" s="894"/>
      <c r="Q352" s="894"/>
      <c r="R352" s="916"/>
      <c r="S352" s="916"/>
      <c r="T352" s="894"/>
      <c r="U352" s="894"/>
      <c r="V352" s="921" t="str">
        <f>'refer admin discharge'!H353</f>
        <v>00/00/0000</v>
      </c>
      <c r="W352" s="922"/>
      <c r="X352" s="920"/>
      <c r="Y352" s="920"/>
      <c r="Z352" s="919"/>
      <c r="AA352" s="919"/>
      <c r="AB352" s="920"/>
      <c r="AC352" s="920"/>
      <c r="AD352" s="912"/>
      <c r="AE352" s="912"/>
      <c r="AF352" s="920"/>
      <c r="AG352" s="920"/>
      <c r="AH352" s="912"/>
      <c r="AI352" s="912"/>
      <c r="AJ352" s="920"/>
      <c r="AK352" s="920"/>
      <c r="AL352" s="905"/>
      <c r="AM352" s="906"/>
      <c r="AN352" s="906"/>
      <c r="AO352" s="906"/>
      <c r="AP352" s="906"/>
      <c r="AQ352" s="906"/>
      <c r="AR352" s="906"/>
      <c r="AS352" s="906"/>
      <c r="AT352" s="906"/>
      <c r="AU352" s="906"/>
      <c r="AV352" s="906"/>
      <c r="AW352" s="906"/>
      <c r="AX352" s="906"/>
      <c r="AY352" s="906"/>
      <c r="AZ352" s="906"/>
      <c r="BA352" s="906"/>
      <c r="BB352" s="907"/>
    </row>
    <row r="353" spans="1:54" x14ac:dyDescent="0.25">
      <c r="A353" s="13">
        <f t="shared" si="5"/>
        <v>340</v>
      </c>
      <c r="B353" s="914" t="str">
        <f>'refer admin discharge'!B349</f>
        <v>x</v>
      </c>
      <c r="C353" s="914"/>
      <c r="D353" s="889" t="str">
        <f>'refer admin discharge'!D349</f>
        <v>xx</v>
      </c>
      <c r="E353" s="889"/>
      <c r="F353" s="915" t="str">
        <f>'refer admin discharge'!H349</f>
        <v>00/00/0000</v>
      </c>
      <c r="G353" s="890"/>
      <c r="H353" s="916"/>
      <c r="I353" s="916"/>
      <c r="J353" s="917"/>
      <c r="K353" s="917"/>
      <c r="L353" s="916"/>
      <c r="M353" s="916"/>
      <c r="N353" s="893"/>
      <c r="O353" s="893"/>
      <c r="P353" s="916"/>
      <c r="Q353" s="916"/>
      <c r="R353" s="893"/>
      <c r="S353" s="893"/>
      <c r="T353" s="916"/>
      <c r="U353" s="916"/>
      <c r="V353" s="921" t="str">
        <f>'refer admin discharge'!H354</f>
        <v>00/00/0000</v>
      </c>
      <c r="W353" s="922"/>
      <c r="X353" s="912"/>
      <c r="Y353" s="912"/>
      <c r="Z353" s="924"/>
      <c r="AA353" s="924"/>
      <c r="AB353" s="912"/>
      <c r="AC353" s="912"/>
      <c r="AD353" s="913"/>
      <c r="AE353" s="913"/>
      <c r="AF353" s="912"/>
      <c r="AG353" s="912"/>
      <c r="AH353" s="913"/>
      <c r="AI353" s="913"/>
      <c r="AJ353" s="912"/>
      <c r="AK353" s="912"/>
      <c r="AL353" s="925"/>
      <c r="AM353" s="926"/>
      <c r="AN353" s="926"/>
      <c r="AO353" s="926"/>
      <c r="AP353" s="926"/>
      <c r="AQ353" s="926"/>
      <c r="AR353" s="926"/>
      <c r="AS353" s="926"/>
      <c r="AT353" s="926"/>
      <c r="AU353" s="926"/>
      <c r="AV353" s="926"/>
      <c r="AW353" s="926"/>
      <c r="AX353" s="926"/>
      <c r="AY353" s="926"/>
      <c r="AZ353" s="926"/>
      <c r="BA353" s="926"/>
      <c r="BB353" s="927"/>
    </row>
    <row r="354" spans="1:54" x14ac:dyDescent="0.25">
      <c r="A354" s="13">
        <f t="shared" si="5"/>
        <v>341</v>
      </c>
      <c r="B354" s="888" t="str">
        <f>'refer admin discharge'!B350</f>
        <v>x</v>
      </c>
      <c r="C354" s="888"/>
      <c r="D354" s="868" t="str">
        <f>'refer admin discharge'!D350</f>
        <v>xx</v>
      </c>
      <c r="E354" s="868"/>
      <c r="F354" s="891" t="str">
        <f>'refer admin discharge'!H350</f>
        <v>00/00/0000</v>
      </c>
      <c r="G354" s="892"/>
      <c r="H354" s="894"/>
      <c r="I354" s="894"/>
      <c r="J354" s="918"/>
      <c r="K354" s="918"/>
      <c r="L354" s="894"/>
      <c r="M354" s="894"/>
      <c r="N354" s="916"/>
      <c r="O354" s="916"/>
      <c r="P354" s="894"/>
      <c r="Q354" s="894"/>
      <c r="R354" s="916"/>
      <c r="S354" s="916"/>
      <c r="T354" s="894"/>
      <c r="U354" s="894"/>
      <c r="V354" s="921" t="str">
        <f>'refer admin discharge'!H355</f>
        <v>00/00/0000</v>
      </c>
      <c r="W354" s="922"/>
      <c r="X354" s="920"/>
      <c r="Y354" s="920"/>
      <c r="Z354" s="919"/>
      <c r="AA354" s="919"/>
      <c r="AB354" s="920"/>
      <c r="AC354" s="920"/>
      <c r="AD354" s="912"/>
      <c r="AE354" s="912"/>
      <c r="AF354" s="920"/>
      <c r="AG354" s="920"/>
      <c r="AH354" s="912"/>
      <c r="AI354" s="912"/>
      <c r="AJ354" s="920"/>
      <c r="AK354" s="920"/>
      <c r="AL354" s="905"/>
      <c r="AM354" s="906"/>
      <c r="AN354" s="906"/>
      <c r="AO354" s="906"/>
      <c r="AP354" s="906"/>
      <c r="AQ354" s="906"/>
      <c r="AR354" s="906"/>
      <c r="AS354" s="906"/>
      <c r="AT354" s="906"/>
      <c r="AU354" s="906"/>
      <c r="AV354" s="906"/>
      <c r="AW354" s="906"/>
      <c r="AX354" s="906"/>
      <c r="AY354" s="906"/>
      <c r="AZ354" s="906"/>
      <c r="BA354" s="906"/>
      <c r="BB354" s="907"/>
    </row>
    <row r="355" spans="1:54" x14ac:dyDescent="0.25">
      <c r="A355" s="13">
        <f t="shared" si="5"/>
        <v>342</v>
      </c>
      <c r="B355" s="914" t="str">
        <f>'refer admin discharge'!B351</f>
        <v>x</v>
      </c>
      <c r="C355" s="914"/>
      <c r="D355" s="889" t="str">
        <f>'refer admin discharge'!D351</f>
        <v>xx</v>
      </c>
      <c r="E355" s="889"/>
      <c r="F355" s="915" t="str">
        <f>'refer admin discharge'!H351</f>
        <v>00/00/0000</v>
      </c>
      <c r="G355" s="890"/>
      <c r="H355" s="916"/>
      <c r="I355" s="916"/>
      <c r="J355" s="917"/>
      <c r="K355" s="917"/>
      <c r="L355" s="916"/>
      <c r="M355" s="916"/>
      <c r="N355" s="893"/>
      <c r="O355" s="893"/>
      <c r="P355" s="916"/>
      <c r="Q355" s="916"/>
      <c r="R355" s="893"/>
      <c r="S355" s="893"/>
      <c r="T355" s="916"/>
      <c r="U355" s="916"/>
      <c r="V355" s="921" t="str">
        <f>'refer admin discharge'!H356</f>
        <v>00/00/0000</v>
      </c>
      <c r="W355" s="922"/>
      <c r="X355" s="912"/>
      <c r="Y355" s="912"/>
      <c r="Z355" s="924"/>
      <c r="AA355" s="924"/>
      <c r="AB355" s="912"/>
      <c r="AC355" s="912"/>
      <c r="AD355" s="913"/>
      <c r="AE355" s="913"/>
      <c r="AF355" s="912"/>
      <c r="AG355" s="912"/>
      <c r="AH355" s="913"/>
      <c r="AI355" s="913"/>
      <c r="AJ355" s="912"/>
      <c r="AK355" s="912"/>
      <c r="AL355" s="925"/>
      <c r="AM355" s="926"/>
      <c r="AN355" s="926"/>
      <c r="AO355" s="926"/>
      <c r="AP355" s="926"/>
      <c r="AQ355" s="926"/>
      <c r="AR355" s="926"/>
      <c r="AS355" s="926"/>
      <c r="AT355" s="926"/>
      <c r="AU355" s="926"/>
      <c r="AV355" s="926"/>
      <c r="AW355" s="926"/>
      <c r="AX355" s="926"/>
      <c r="AY355" s="926"/>
      <c r="AZ355" s="926"/>
      <c r="BA355" s="926"/>
      <c r="BB355" s="927"/>
    </row>
    <row r="356" spans="1:54" x14ac:dyDescent="0.25">
      <c r="A356" s="13">
        <f t="shared" si="5"/>
        <v>343</v>
      </c>
      <c r="B356" s="888" t="str">
        <f>'refer admin discharge'!B352</f>
        <v>x</v>
      </c>
      <c r="C356" s="888"/>
      <c r="D356" s="868" t="str">
        <f>'refer admin discharge'!D352</f>
        <v>xx</v>
      </c>
      <c r="E356" s="868"/>
      <c r="F356" s="891" t="str">
        <f>'refer admin discharge'!H352</f>
        <v>00/00/0000</v>
      </c>
      <c r="G356" s="892"/>
      <c r="H356" s="894"/>
      <c r="I356" s="894"/>
      <c r="J356" s="918"/>
      <c r="K356" s="918"/>
      <c r="L356" s="894"/>
      <c r="M356" s="894"/>
      <c r="N356" s="916"/>
      <c r="O356" s="916"/>
      <c r="P356" s="894"/>
      <c r="Q356" s="894"/>
      <c r="R356" s="916"/>
      <c r="S356" s="916"/>
      <c r="T356" s="894"/>
      <c r="U356" s="894"/>
      <c r="V356" s="921" t="str">
        <f>'refer admin discharge'!H357</f>
        <v>00/00/0000</v>
      </c>
      <c r="W356" s="922"/>
      <c r="X356" s="920"/>
      <c r="Y356" s="920"/>
      <c r="Z356" s="919"/>
      <c r="AA356" s="919"/>
      <c r="AB356" s="920"/>
      <c r="AC356" s="920"/>
      <c r="AD356" s="912"/>
      <c r="AE356" s="912"/>
      <c r="AF356" s="920"/>
      <c r="AG356" s="920"/>
      <c r="AH356" s="912"/>
      <c r="AI356" s="912"/>
      <c r="AJ356" s="920"/>
      <c r="AK356" s="920"/>
      <c r="AL356" s="905"/>
      <c r="AM356" s="906"/>
      <c r="AN356" s="906"/>
      <c r="AO356" s="906"/>
      <c r="AP356" s="906"/>
      <c r="AQ356" s="906"/>
      <c r="AR356" s="906"/>
      <c r="AS356" s="906"/>
      <c r="AT356" s="906"/>
      <c r="AU356" s="906"/>
      <c r="AV356" s="906"/>
      <c r="AW356" s="906"/>
      <c r="AX356" s="906"/>
      <c r="AY356" s="906"/>
      <c r="AZ356" s="906"/>
      <c r="BA356" s="906"/>
      <c r="BB356" s="907"/>
    </row>
    <row r="357" spans="1:54" x14ac:dyDescent="0.25">
      <c r="A357" s="13">
        <f t="shared" si="5"/>
        <v>344</v>
      </c>
      <c r="B357" s="914" t="str">
        <f>'refer admin discharge'!B353</f>
        <v>x</v>
      </c>
      <c r="C357" s="914"/>
      <c r="D357" s="889" t="str">
        <f>'refer admin discharge'!D353</f>
        <v>xx</v>
      </c>
      <c r="E357" s="889"/>
      <c r="F357" s="915" t="str">
        <f>'refer admin discharge'!H353</f>
        <v>00/00/0000</v>
      </c>
      <c r="G357" s="890"/>
      <c r="H357" s="916"/>
      <c r="I357" s="916"/>
      <c r="J357" s="917"/>
      <c r="K357" s="917"/>
      <c r="L357" s="916"/>
      <c r="M357" s="916"/>
      <c r="N357" s="893"/>
      <c r="O357" s="893"/>
      <c r="P357" s="916"/>
      <c r="Q357" s="916"/>
      <c r="R357" s="893"/>
      <c r="S357" s="893"/>
      <c r="T357" s="916"/>
      <c r="U357" s="916"/>
      <c r="V357" s="921" t="str">
        <f>'refer admin discharge'!H358</f>
        <v>00/00/0000</v>
      </c>
      <c r="W357" s="922"/>
      <c r="X357" s="912"/>
      <c r="Y357" s="912"/>
      <c r="Z357" s="924"/>
      <c r="AA357" s="924"/>
      <c r="AB357" s="912"/>
      <c r="AC357" s="912"/>
      <c r="AD357" s="913"/>
      <c r="AE357" s="913"/>
      <c r="AF357" s="912"/>
      <c r="AG357" s="912"/>
      <c r="AH357" s="913"/>
      <c r="AI357" s="913"/>
      <c r="AJ357" s="912"/>
      <c r="AK357" s="912"/>
      <c r="AL357" s="925"/>
      <c r="AM357" s="926"/>
      <c r="AN357" s="926"/>
      <c r="AO357" s="926"/>
      <c r="AP357" s="926"/>
      <c r="AQ357" s="926"/>
      <c r="AR357" s="926"/>
      <c r="AS357" s="926"/>
      <c r="AT357" s="926"/>
      <c r="AU357" s="926"/>
      <c r="AV357" s="926"/>
      <c r="AW357" s="926"/>
      <c r="AX357" s="926"/>
      <c r="AY357" s="926"/>
      <c r="AZ357" s="926"/>
      <c r="BA357" s="926"/>
      <c r="BB357" s="927"/>
    </row>
    <row r="358" spans="1:54" x14ac:dyDescent="0.25">
      <c r="A358" s="13">
        <f t="shared" si="5"/>
        <v>345</v>
      </c>
      <c r="B358" s="888" t="str">
        <f>'refer admin discharge'!B354</f>
        <v>x</v>
      </c>
      <c r="C358" s="888"/>
      <c r="D358" s="868" t="str">
        <f>'refer admin discharge'!D354</f>
        <v>xx</v>
      </c>
      <c r="E358" s="868"/>
      <c r="F358" s="891" t="str">
        <f>'refer admin discharge'!H354</f>
        <v>00/00/0000</v>
      </c>
      <c r="G358" s="892"/>
      <c r="H358" s="894"/>
      <c r="I358" s="894"/>
      <c r="J358" s="918"/>
      <c r="K358" s="918"/>
      <c r="L358" s="894"/>
      <c r="M358" s="894"/>
      <c r="N358" s="916"/>
      <c r="O358" s="916"/>
      <c r="P358" s="894"/>
      <c r="Q358" s="894"/>
      <c r="R358" s="916"/>
      <c r="S358" s="916"/>
      <c r="T358" s="894"/>
      <c r="U358" s="894"/>
      <c r="V358" s="921" t="str">
        <f>'refer admin discharge'!H359</f>
        <v>00/00/0000</v>
      </c>
      <c r="W358" s="922"/>
      <c r="X358" s="920"/>
      <c r="Y358" s="920"/>
      <c r="Z358" s="919"/>
      <c r="AA358" s="919"/>
      <c r="AB358" s="920"/>
      <c r="AC358" s="920"/>
      <c r="AD358" s="912"/>
      <c r="AE358" s="912"/>
      <c r="AF358" s="920"/>
      <c r="AG358" s="920"/>
      <c r="AH358" s="912"/>
      <c r="AI358" s="912"/>
      <c r="AJ358" s="920"/>
      <c r="AK358" s="920"/>
      <c r="AL358" s="905"/>
      <c r="AM358" s="906"/>
      <c r="AN358" s="906"/>
      <c r="AO358" s="906"/>
      <c r="AP358" s="906"/>
      <c r="AQ358" s="906"/>
      <c r="AR358" s="906"/>
      <c r="AS358" s="906"/>
      <c r="AT358" s="906"/>
      <c r="AU358" s="906"/>
      <c r="AV358" s="906"/>
      <c r="AW358" s="906"/>
      <c r="AX358" s="906"/>
      <c r="AY358" s="906"/>
      <c r="AZ358" s="906"/>
      <c r="BA358" s="906"/>
      <c r="BB358" s="907"/>
    </row>
    <row r="359" spans="1:54" x14ac:dyDescent="0.25">
      <c r="A359" s="13">
        <f t="shared" si="5"/>
        <v>346</v>
      </c>
      <c r="B359" s="914" t="str">
        <f>'refer admin discharge'!B355</f>
        <v>x</v>
      </c>
      <c r="C359" s="914"/>
      <c r="D359" s="889" t="str">
        <f>'refer admin discharge'!D355</f>
        <v>xx</v>
      </c>
      <c r="E359" s="889"/>
      <c r="F359" s="915" t="str">
        <f>'refer admin discharge'!H355</f>
        <v>00/00/0000</v>
      </c>
      <c r="G359" s="890"/>
      <c r="H359" s="916"/>
      <c r="I359" s="916"/>
      <c r="J359" s="917"/>
      <c r="K359" s="917"/>
      <c r="L359" s="916"/>
      <c r="M359" s="916"/>
      <c r="N359" s="893"/>
      <c r="O359" s="893"/>
      <c r="P359" s="916"/>
      <c r="Q359" s="916"/>
      <c r="R359" s="893"/>
      <c r="S359" s="893"/>
      <c r="T359" s="916"/>
      <c r="U359" s="916"/>
      <c r="V359" s="921" t="str">
        <f>'refer admin discharge'!H360</f>
        <v>00/00/0000</v>
      </c>
      <c r="W359" s="922"/>
      <c r="X359" s="912"/>
      <c r="Y359" s="912"/>
      <c r="Z359" s="924"/>
      <c r="AA359" s="924"/>
      <c r="AB359" s="912"/>
      <c r="AC359" s="912"/>
      <c r="AD359" s="913"/>
      <c r="AE359" s="913"/>
      <c r="AF359" s="912"/>
      <c r="AG359" s="912"/>
      <c r="AH359" s="913"/>
      <c r="AI359" s="913"/>
      <c r="AJ359" s="912"/>
      <c r="AK359" s="912"/>
      <c r="AL359" s="925"/>
      <c r="AM359" s="926"/>
      <c r="AN359" s="926"/>
      <c r="AO359" s="926"/>
      <c r="AP359" s="926"/>
      <c r="AQ359" s="926"/>
      <c r="AR359" s="926"/>
      <c r="AS359" s="926"/>
      <c r="AT359" s="926"/>
      <c r="AU359" s="926"/>
      <c r="AV359" s="926"/>
      <c r="AW359" s="926"/>
      <c r="AX359" s="926"/>
      <c r="AY359" s="926"/>
      <c r="AZ359" s="926"/>
      <c r="BA359" s="926"/>
      <c r="BB359" s="927"/>
    </row>
    <row r="360" spans="1:54" x14ac:dyDescent="0.25">
      <c r="A360" s="13">
        <f t="shared" si="5"/>
        <v>347</v>
      </c>
      <c r="B360" s="888" t="str">
        <f>'refer admin discharge'!B356</f>
        <v>x</v>
      </c>
      <c r="C360" s="888"/>
      <c r="D360" s="868" t="str">
        <f>'refer admin discharge'!D356</f>
        <v>xx</v>
      </c>
      <c r="E360" s="868"/>
      <c r="F360" s="891" t="str">
        <f>'refer admin discharge'!H356</f>
        <v>00/00/0000</v>
      </c>
      <c r="G360" s="892"/>
      <c r="H360" s="894"/>
      <c r="I360" s="894"/>
      <c r="J360" s="918"/>
      <c r="K360" s="918"/>
      <c r="L360" s="894"/>
      <c r="M360" s="894"/>
      <c r="N360" s="916"/>
      <c r="O360" s="916"/>
      <c r="P360" s="894"/>
      <c r="Q360" s="894"/>
      <c r="R360" s="916"/>
      <c r="S360" s="916"/>
      <c r="T360" s="894"/>
      <c r="U360" s="894"/>
      <c r="V360" s="921" t="str">
        <f>'refer admin discharge'!H361</f>
        <v>00/00/0000</v>
      </c>
      <c r="W360" s="922"/>
      <c r="X360" s="920"/>
      <c r="Y360" s="920"/>
      <c r="Z360" s="919"/>
      <c r="AA360" s="919"/>
      <c r="AB360" s="920"/>
      <c r="AC360" s="920"/>
      <c r="AD360" s="912"/>
      <c r="AE360" s="912"/>
      <c r="AF360" s="920"/>
      <c r="AG360" s="920"/>
      <c r="AH360" s="912"/>
      <c r="AI360" s="912"/>
      <c r="AJ360" s="920"/>
      <c r="AK360" s="920"/>
      <c r="AL360" s="905"/>
      <c r="AM360" s="906"/>
      <c r="AN360" s="906"/>
      <c r="AO360" s="906"/>
      <c r="AP360" s="906"/>
      <c r="AQ360" s="906"/>
      <c r="AR360" s="906"/>
      <c r="AS360" s="906"/>
      <c r="AT360" s="906"/>
      <c r="AU360" s="906"/>
      <c r="AV360" s="906"/>
      <c r="AW360" s="906"/>
      <c r="AX360" s="906"/>
      <c r="AY360" s="906"/>
      <c r="AZ360" s="906"/>
      <c r="BA360" s="906"/>
      <c r="BB360" s="907"/>
    </row>
    <row r="361" spans="1:54" x14ac:dyDescent="0.25">
      <c r="A361" s="13">
        <f t="shared" si="5"/>
        <v>348</v>
      </c>
      <c r="B361" s="914" t="str">
        <f>'refer admin discharge'!B357</f>
        <v>x</v>
      </c>
      <c r="C361" s="914"/>
      <c r="D361" s="889" t="str">
        <f>'refer admin discharge'!D357</f>
        <v>xx</v>
      </c>
      <c r="E361" s="889"/>
      <c r="F361" s="915" t="str">
        <f>'refer admin discharge'!H357</f>
        <v>00/00/0000</v>
      </c>
      <c r="G361" s="890"/>
      <c r="H361" s="916"/>
      <c r="I361" s="916"/>
      <c r="J361" s="917"/>
      <c r="K361" s="917"/>
      <c r="L361" s="916"/>
      <c r="M361" s="916"/>
      <c r="N361" s="893"/>
      <c r="O361" s="893"/>
      <c r="P361" s="916"/>
      <c r="Q361" s="916"/>
      <c r="R361" s="893"/>
      <c r="S361" s="893"/>
      <c r="T361" s="916"/>
      <c r="U361" s="916"/>
      <c r="V361" s="921" t="str">
        <f>'refer admin discharge'!H362</f>
        <v>00/00/0000</v>
      </c>
      <c r="W361" s="922"/>
      <c r="X361" s="912"/>
      <c r="Y361" s="912"/>
      <c r="Z361" s="924"/>
      <c r="AA361" s="924"/>
      <c r="AB361" s="912"/>
      <c r="AC361" s="912"/>
      <c r="AD361" s="913"/>
      <c r="AE361" s="913"/>
      <c r="AF361" s="912"/>
      <c r="AG361" s="912"/>
      <c r="AH361" s="913"/>
      <c r="AI361" s="913"/>
      <c r="AJ361" s="912"/>
      <c r="AK361" s="912"/>
      <c r="AL361" s="925"/>
      <c r="AM361" s="926"/>
      <c r="AN361" s="926"/>
      <c r="AO361" s="926"/>
      <c r="AP361" s="926"/>
      <c r="AQ361" s="926"/>
      <c r="AR361" s="926"/>
      <c r="AS361" s="926"/>
      <c r="AT361" s="926"/>
      <c r="AU361" s="926"/>
      <c r="AV361" s="926"/>
      <c r="AW361" s="926"/>
      <c r="AX361" s="926"/>
      <c r="AY361" s="926"/>
      <c r="AZ361" s="926"/>
      <c r="BA361" s="926"/>
      <c r="BB361" s="927"/>
    </row>
    <row r="362" spans="1:54" x14ac:dyDescent="0.25">
      <c r="A362" s="13">
        <f t="shared" si="5"/>
        <v>349</v>
      </c>
      <c r="B362" s="888" t="str">
        <f>'refer admin discharge'!B358</f>
        <v>x</v>
      </c>
      <c r="C362" s="888"/>
      <c r="D362" s="868" t="str">
        <f>'refer admin discharge'!D358</f>
        <v>xx</v>
      </c>
      <c r="E362" s="868"/>
      <c r="F362" s="891" t="str">
        <f>'refer admin discharge'!H358</f>
        <v>00/00/0000</v>
      </c>
      <c r="G362" s="892"/>
      <c r="H362" s="894"/>
      <c r="I362" s="894"/>
      <c r="J362" s="918"/>
      <c r="K362" s="918"/>
      <c r="L362" s="894"/>
      <c r="M362" s="894"/>
      <c r="N362" s="916"/>
      <c r="O362" s="916"/>
      <c r="P362" s="894"/>
      <c r="Q362" s="894"/>
      <c r="R362" s="916"/>
      <c r="S362" s="916"/>
      <c r="T362" s="894"/>
      <c r="U362" s="894"/>
      <c r="V362" s="921" t="str">
        <f>'refer admin discharge'!H363</f>
        <v>00/00/0000</v>
      </c>
      <c r="W362" s="922"/>
      <c r="X362" s="920"/>
      <c r="Y362" s="920"/>
      <c r="Z362" s="919"/>
      <c r="AA362" s="919"/>
      <c r="AB362" s="920"/>
      <c r="AC362" s="920"/>
      <c r="AD362" s="912"/>
      <c r="AE362" s="912"/>
      <c r="AF362" s="920"/>
      <c r="AG362" s="920"/>
      <c r="AH362" s="912"/>
      <c r="AI362" s="912"/>
      <c r="AJ362" s="920"/>
      <c r="AK362" s="920"/>
      <c r="AL362" s="905"/>
      <c r="AM362" s="906"/>
      <c r="AN362" s="906"/>
      <c r="AO362" s="906"/>
      <c r="AP362" s="906"/>
      <c r="AQ362" s="906"/>
      <c r="AR362" s="906"/>
      <c r="AS362" s="906"/>
      <c r="AT362" s="906"/>
      <c r="AU362" s="906"/>
      <c r="AV362" s="906"/>
      <c r="AW362" s="906"/>
      <c r="AX362" s="906"/>
      <c r="AY362" s="906"/>
      <c r="AZ362" s="906"/>
      <c r="BA362" s="906"/>
      <c r="BB362" s="907"/>
    </row>
    <row r="363" spans="1:54" x14ac:dyDescent="0.25">
      <c r="A363" s="13">
        <f t="shared" si="5"/>
        <v>350</v>
      </c>
      <c r="B363" s="914" t="str">
        <f>'refer admin discharge'!B359</f>
        <v>x</v>
      </c>
      <c r="C363" s="914"/>
      <c r="D363" s="889" t="str">
        <f>'refer admin discharge'!D359</f>
        <v>xx</v>
      </c>
      <c r="E363" s="889"/>
      <c r="F363" s="915" t="str">
        <f>'refer admin discharge'!H359</f>
        <v>00/00/0000</v>
      </c>
      <c r="G363" s="890"/>
      <c r="H363" s="916"/>
      <c r="I363" s="916"/>
      <c r="J363" s="917"/>
      <c r="K363" s="917"/>
      <c r="L363" s="916"/>
      <c r="M363" s="916"/>
      <c r="N363" s="893"/>
      <c r="O363" s="893"/>
      <c r="P363" s="916"/>
      <c r="Q363" s="916"/>
      <c r="R363" s="893"/>
      <c r="S363" s="893"/>
      <c r="T363" s="916"/>
      <c r="U363" s="916"/>
      <c r="V363" s="921" t="str">
        <f>'refer admin discharge'!H364</f>
        <v>00/00/0000</v>
      </c>
      <c r="W363" s="922"/>
      <c r="X363" s="912"/>
      <c r="Y363" s="912"/>
      <c r="Z363" s="924"/>
      <c r="AA363" s="924"/>
      <c r="AB363" s="912"/>
      <c r="AC363" s="912"/>
      <c r="AD363" s="913"/>
      <c r="AE363" s="913"/>
      <c r="AF363" s="912"/>
      <c r="AG363" s="912"/>
      <c r="AH363" s="913"/>
      <c r="AI363" s="913"/>
      <c r="AJ363" s="912"/>
      <c r="AK363" s="912"/>
      <c r="AL363" s="925"/>
      <c r="AM363" s="926"/>
      <c r="AN363" s="926"/>
      <c r="AO363" s="926"/>
      <c r="AP363" s="926"/>
      <c r="AQ363" s="926"/>
      <c r="AR363" s="926"/>
      <c r="AS363" s="926"/>
      <c r="AT363" s="926"/>
      <c r="AU363" s="926"/>
      <c r="AV363" s="926"/>
      <c r="AW363" s="926"/>
      <c r="AX363" s="926"/>
      <c r="AY363" s="926"/>
      <c r="AZ363" s="926"/>
      <c r="BA363" s="926"/>
      <c r="BB363" s="927"/>
    </row>
    <row r="364" spans="1:54" x14ac:dyDescent="0.25">
      <c r="A364" s="13">
        <f t="shared" si="5"/>
        <v>351</v>
      </c>
      <c r="B364" s="888" t="str">
        <f>'refer admin discharge'!B360</f>
        <v>x</v>
      </c>
      <c r="C364" s="888"/>
      <c r="D364" s="868" t="str">
        <f>'refer admin discharge'!D360</f>
        <v>xx</v>
      </c>
      <c r="E364" s="868"/>
      <c r="F364" s="891" t="str">
        <f>'refer admin discharge'!H360</f>
        <v>00/00/0000</v>
      </c>
      <c r="G364" s="892"/>
      <c r="H364" s="894"/>
      <c r="I364" s="894"/>
      <c r="J364" s="918"/>
      <c r="K364" s="918"/>
      <c r="L364" s="894"/>
      <c r="M364" s="894"/>
      <c r="N364" s="916"/>
      <c r="O364" s="916"/>
      <c r="P364" s="894"/>
      <c r="Q364" s="894"/>
      <c r="R364" s="916"/>
      <c r="S364" s="916"/>
      <c r="T364" s="894"/>
      <c r="U364" s="894"/>
      <c r="V364" s="921" t="str">
        <f>'refer admin discharge'!H365</f>
        <v>00/00/0000</v>
      </c>
      <c r="W364" s="922"/>
      <c r="X364" s="920"/>
      <c r="Y364" s="920"/>
      <c r="Z364" s="919"/>
      <c r="AA364" s="919"/>
      <c r="AB364" s="920"/>
      <c r="AC364" s="920"/>
      <c r="AD364" s="912"/>
      <c r="AE364" s="912"/>
      <c r="AF364" s="920"/>
      <c r="AG364" s="920"/>
      <c r="AH364" s="912"/>
      <c r="AI364" s="912"/>
      <c r="AJ364" s="920"/>
      <c r="AK364" s="920"/>
      <c r="AL364" s="905"/>
      <c r="AM364" s="906"/>
      <c r="AN364" s="906"/>
      <c r="AO364" s="906"/>
      <c r="AP364" s="906"/>
      <c r="AQ364" s="906"/>
      <c r="AR364" s="906"/>
      <c r="AS364" s="906"/>
      <c r="AT364" s="906"/>
      <c r="AU364" s="906"/>
      <c r="AV364" s="906"/>
      <c r="AW364" s="906"/>
      <c r="AX364" s="906"/>
      <c r="AY364" s="906"/>
      <c r="AZ364" s="906"/>
      <c r="BA364" s="906"/>
      <c r="BB364" s="907"/>
    </row>
    <row r="365" spans="1:54" x14ac:dyDescent="0.25">
      <c r="A365" s="13">
        <f t="shared" si="5"/>
        <v>352</v>
      </c>
      <c r="B365" s="914" t="str">
        <f>'refer admin discharge'!B361</f>
        <v>x</v>
      </c>
      <c r="C365" s="914"/>
      <c r="D365" s="889" t="str">
        <f>'refer admin discharge'!D361</f>
        <v>xx</v>
      </c>
      <c r="E365" s="889"/>
      <c r="F365" s="915" t="str">
        <f>'refer admin discharge'!H361</f>
        <v>00/00/0000</v>
      </c>
      <c r="G365" s="890"/>
      <c r="H365" s="916"/>
      <c r="I365" s="916"/>
      <c r="J365" s="917"/>
      <c r="K365" s="917"/>
      <c r="L365" s="916"/>
      <c r="M365" s="916"/>
      <c r="N365" s="893"/>
      <c r="O365" s="893"/>
      <c r="P365" s="916"/>
      <c r="Q365" s="916"/>
      <c r="R365" s="893"/>
      <c r="S365" s="893"/>
      <c r="T365" s="916"/>
      <c r="U365" s="916"/>
      <c r="V365" s="921" t="str">
        <f>'refer admin discharge'!H366</f>
        <v>00/00/0000</v>
      </c>
      <c r="W365" s="922"/>
      <c r="X365" s="912"/>
      <c r="Y365" s="912"/>
      <c r="Z365" s="924"/>
      <c r="AA365" s="924"/>
      <c r="AB365" s="912"/>
      <c r="AC365" s="912"/>
      <c r="AD365" s="913"/>
      <c r="AE365" s="913"/>
      <c r="AF365" s="912"/>
      <c r="AG365" s="912"/>
      <c r="AH365" s="913"/>
      <c r="AI365" s="913"/>
      <c r="AJ365" s="912"/>
      <c r="AK365" s="912"/>
      <c r="AL365" s="925"/>
      <c r="AM365" s="926"/>
      <c r="AN365" s="926"/>
      <c r="AO365" s="926"/>
      <c r="AP365" s="926"/>
      <c r="AQ365" s="926"/>
      <c r="AR365" s="926"/>
      <c r="AS365" s="926"/>
      <c r="AT365" s="926"/>
      <c r="AU365" s="926"/>
      <c r="AV365" s="926"/>
      <c r="AW365" s="926"/>
      <c r="AX365" s="926"/>
      <c r="AY365" s="926"/>
      <c r="AZ365" s="926"/>
      <c r="BA365" s="926"/>
      <c r="BB365" s="927"/>
    </row>
    <row r="366" spans="1:54" x14ac:dyDescent="0.25">
      <c r="A366" s="13">
        <f t="shared" si="5"/>
        <v>353</v>
      </c>
      <c r="B366" s="888" t="str">
        <f>'refer admin discharge'!B362</f>
        <v>x</v>
      </c>
      <c r="C366" s="888"/>
      <c r="D366" s="868" t="str">
        <f>'refer admin discharge'!D362</f>
        <v>xx</v>
      </c>
      <c r="E366" s="868"/>
      <c r="F366" s="891" t="str">
        <f>'refer admin discharge'!H362</f>
        <v>00/00/0000</v>
      </c>
      <c r="G366" s="892"/>
      <c r="H366" s="894"/>
      <c r="I366" s="894"/>
      <c r="J366" s="918"/>
      <c r="K366" s="918"/>
      <c r="L366" s="894"/>
      <c r="M366" s="894"/>
      <c r="N366" s="916"/>
      <c r="O366" s="916"/>
      <c r="P366" s="894"/>
      <c r="Q366" s="894"/>
      <c r="R366" s="916"/>
      <c r="S366" s="916"/>
      <c r="T366" s="894"/>
      <c r="U366" s="894"/>
      <c r="V366" s="921" t="str">
        <f>'refer admin discharge'!H367</f>
        <v>00/00/0000</v>
      </c>
      <c r="W366" s="922"/>
      <c r="X366" s="920"/>
      <c r="Y366" s="920"/>
      <c r="Z366" s="919"/>
      <c r="AA366" s="919"/>
      <c r="AB366" s="920"/>
      <c r="AC366" s="920"/>
      <c r="AD366" s="912"/>
      <c r="AE366" s="912"/>
      <c r="AF366" s="920"/>
      <c r="AG366" s="920"/>
      <c r="AH366" s="912"/>
      <c r="AI366" s="912"/>
      <c r="AJ366" s="920"/>
      <c r="AK366" s="920"/>
      <c r="AL366" s="905"/>
      <c r="AM366" s="906"/>
      <c r="AN366" s="906"/>
      <c r="AO366" s="906"/>
      <c r="AP366" s="906"/>
      <c r="AQ366" s="906"/>
      <c r="AR366" s="906"/>
      <c r="AS366" s="906"/>
      <c r="AT366" s="906"/>
      <c r="AU366" s="906"/>
      <c r="AV366" s="906"/>
      <c r="AW366" s="906"/>
      <c r="AX366" s="906"/>
      <c r="AY366" s="906"/>
      <c r="AZ366" s="906"/>
      <c r="BA366" s="906"/>
      <c r="BB366" s="907"/>
    </row>
    <row r="367" spans="1:54" x14ac:dyDescent="0.25">
      <c r="A367" s="13">
        <f t="shared" si="5"/>
        <v>354</v>
      </c>
      <c r="B367" s="914" t="str">
        <f>'refer admin discharge'!B363</f>
        <v>x</v>
      </c>
      <c r="C367" s="914"/>
      <c r="D367" s="889" t="str">
        <f>'refer admin discharge'!D363</f>
        <v>xx</v>
      </c>
      <c r="E367" s="889"/>
      <c r="F367" s="915" t="str">
        <f>'refer admin discharge'!H363</f>
        <v>00/00/0000</v>
      </c>
      <c r="G367" s="890"/>
      <c r="H367" s="916"/>
      <c r="I367" s="916"/>
      <c r="J367" s="917"/>
      <c r="K367" s="917"/>
      <c r="L367" s="916"/>
      <c r="M367" s="916"/>
      <c r="N367" s="893"/>
      <c r="O367" s="893"/>
      <c r="P367" s="916"/>
      <c r="Q367" s="916"/>
      <c r="R367" s="893"/>
      <c r="S367" s="893"/>
      <c r="T367" s="916"/>
      <c r="U367" s="916"/>
      <c r="V367" s="921" t="str">
        <f>'refer admin discharge'!H368</f>
        <v>00/00/0000</v>
      </c>
      <c r="W367" s="922"/>
      <c r="X367" s="912"/>
      <c r="Y367" s="912"/>
      <c r="Z367" s="924"/>
      <c r="AA367" s="924"/>
      <c r="AB367" s="912"/>
      <c r="AC367" s="912"/>
      <c r="AD367" s="913"/>
      <c r="AE367" s="913"/>
      <c r="AF367" s="912"/>
      <c r="AG367" s="912"/>
      <c r="AH367" s="913"/>
      <c r="AI367" s="913"/>
      <c r="AJ367" s="912"/>
      <c r="AK367" s="912"/>
      <c r="AL367" s="925"/>
      <c r="AM367" s="926"/>
      <c r="AN367" s="926"/>
      <c r="AO367" s="926"/>
      <c r="AP367" s="926"/>
      <c r="AQ367" s="926"/>
      <c r="AR367" s="926"/>
      <c r="AS367" s="926"/>
      <c r="AT367" s="926"/>
      <c r="AU367" s="926"/>
      <c r="AV367" s="926"/>
      <c r="AW367" s="926"/>
      <c r="AX367" s="926"/>
      <c r="AY367" s="926"/>
      <c r="AZ367" s="926"/>
      <c r="BA367" s="926"/>
      <c r="BB367" s="927"/>
    </row>
    <row r="368" spans="1:54" x14ac:dyDescent="0.25">
      <c r="A368" s="13">
        <f t="shared" si="5"/>
        <v>355</v>
      </c>
      <c r="B368" s="888" t="str">
        <f>'refer admin discharge'!B364</f>
        <v>x</v>
      </c>
      <c r="C368" s="888"/>
      <c r="D368" s="868" t="str">
        <f>'refer admin discharge'!D364</f>
        <v>xx</v>
      </c>
      <c r="E368" s="868"/>
      <c r="F368" s="891" t="str">
        <f>'refer admin discharge'!H364</f>
        <v>00/00/0000</v>
      </c>
      <c r="G368" s="892"/>
      <c r="H368" s="894"/>
      <c r="I368" s="894"/>
      <c r="J368" s="918"/>
      <c r="K368" s="918"/>
      <c r="L368" s="894"/>
      <c r="M368" s="894"/>
      <c r="N368" s="916"/>
      <c r="O368" s="916"/>
      <c r="P368" s="894"/>
      <c r="Q368" s="894"/>
      <c r="R368" s="916"/>
      <c r="S368" s="916"/>
      <c r="T368" s="894"/>
      <c r="U368" s="894"/>
      <c r="V368" s="921" t="str">
        <f>'refer admin discharge'!H369</f>
        <v>00/00/0000</v>
      </c>
      <c r="W368" s="922"/>
      <c r="X368" s="920"/>
      <c r="Y368" s="920"/>
      <c r="Z368" s="919"/>
      <c r="AA368" s="919"/>
      <c r="AB368" s="920"/>
      <c r="AC368" s="920"/>
      <c r="AD368" s="912"/>
      <c r="AE368" s="912"/>
      <c r="AF368" s="920"/>
      <c r="AG368" s="920"/>
      <c r="AH368" s="912"/>
      <c r="AI368" s="912"/>
      <c r="AJ368" s="920"/>
      <c r="AK368" s="920"/>
      <c r="AL368" s="905"/>
      <c r="AM368" s="906"/>
      <c r="AN368" s="906"/>
      <c r="AO368" s="906"/>
      <c r="AP368" s="906"/>
      <c r="AQ368" s="906"/>
      <c r="AR368" s="906"/>
      <c r="AS368" s="906"/>
      <c r="AT368" s="906"/>
      <c r="AU368" s="906"/>
      <c r="AV368" s="906"/>
      <c r="AW368" s="906"/>
      <c r="AX368" s="906"/>
      <c r="AY368" s="906"/>
      <c r="AZ368" s="906"/>
      <c r="BA368" s="906"/>
      <c r="BB368" s="907"/>
    </row>
    <row r="369" spans="1:54" x14ac:dyDescent="0.25">
      <c r="A369" s="13">
        <f t="shared" si="5"/>
        <v>356</v>
      </c>
      <c r="B369" s="914" t="str">
        <f>'refer admin discharge'!B365</f>
        <v>x</v>
      </c>
      <c r="C369" s="914"/>
      <c r="D369" s="889" t="str">
        <f>'refer admin discharge'!D365</f>
        <v>xx</v>
      </c>
      <c r="E369" s="889"/>
      <c r="F369" s="915" t="str">
        <f>'refer admin discharge'!H365</f>
        <v>00/00/0000</v>
      </c>
      <c r="G369" s="890"/>
      <c r="H369" s="916"/>
      <c r="I369" s="916"/>
      <c r="J369" s="917"/>
      <c r="K369" s="917"/>
      <c r="L369" s="916"/>
      <c r="M369" s="916"/>
      <c r="N369" s="893"/>
      <c r="O369" s="893"/>
      <c r="P369" s="916"/>
      <c r="Q369" s="916"/>
      <c r="R369" s="893"/>
      <c r="S369" s="893"/>
      <c r="T369" s="916"/>
      <c r="U369" s="916"/>
      <c r="V369" s="921" t="str">
        <f>'refer admin discharge'!H370</f>
        <v>00/00/0000</v>
      </c>
      <c r="W369" s="922"/>
      <c r="X369" s="912"/>
      <c r="Y369" s="912"/>
      <c r="Z369" s="924"/>
      <c r="AA369" s="924"/>
      <c r="AB369" s="912"/>
      <c r="AC369" s="912"/>
      <c r="AD369" s="913"/>
      <c r="AE369" s="913"/>
      <c r="AF369" s="912"/>
      <c r="AG369" s="912"/>
      <c r="AH369" s="913"/>
      <c r="AI369" s="913"/>
      <c r="AJ369" s="912"/>
      <c r="AK369" s="912"/>
      <c r="AL369" s="925"/>
      <c r="AM369" s="926"/>
      <c r="AN369" s="926"/>
      <c r="AO369" s="926"/>
      <c r="AP369" s="926"/>
      <c r="AQ369" s="926"/>
      <c r="AR369" s="926"/>
      <c r="AS369" s="926"/>
      <c r="AT369" s="926"/>
      <c r="AU369" s="926"/>
      <c r="AV369" s="926"/>
      <c r="AW369" s="926"/>
      <c r="AX369" s="926"/>
      <c r="AY369" s="926"/>
      <c r="AZ369" s="926"/>
      <c r="BA369" s="926"/>
      <c r="BB369" s="927"/>
    </row>
    <row r="370" spans="1:54" x14ac:dyDescent="0.25">
      <c r="A370" s="13">
        <f t="shared" si="5"/>
        <v>357</v>
      </c>
      <c r="B370" s="888" t="str">
        <f>'refer admin discharge'!B366</f>
        <v>x</v>
      </c>
      <c r="C370" s="888"/>
      <c r="D370" s="868" t="str">
        <f>'refer admin discharge'!D366</f>
        <v>xx</v>
      </c>
      <c r="E370" s="868"/>
      <c r="F370" s="891" t="str">
        <f>'refer admin discharge'!H366</f>
        <v>00/00/0000</v>
      </c>
      <c r="G370" s="892"/>
      <c r="H370" s="894"/>
      <c r="I370" s="894"/>
      <c r="J370" s="918"/>
      <c r="K370" s="918"/>
      <c r="L370" s="894"/>
      <c r="M370" s="894"/>
      <c r="N370" s="916"/>
      <c r="O370" s="916"/>
      <c r="P370" s="894"/>
      <c r="Q370" s="894"/>
      <c r="R370" s="916"/>
      <c r="S370" s="916"/>
      <c r="T370" s="894"/>
      <c r="U370" s="894"/>
      <c r="V370" s="921" t="str">
        <f>'refer admin discharge'!H371</f>
        <v>00/00/0000</v>
      </c>
      <c r="W370" s="922"/>
      <c r="X370" s="920"/>
      <c r="Y370" s="920"/>
      <c r="Z370" s="919"/>
      <c r="AA370" s="919"/>
      <c r="AB370" s="920"/>
      <c r="AC370" s="920"/>
      <c r="AD370" s="912"/>
      <c r="AE370" s="912"/>
      <c r="AF370" s="920"/>
      <c r="AG370" s="920"/>
      <c r="AH370" s="912"/>
      <c r="AI370" s="912"/>
      <c r="AJ370" s="920"/>
      <c r="AK370" s="920"/>
      <c r="AL370" s="905"/>
      <c r="AM370" s="906"/>
      <c r="AN370" s="906"/>
      <c r="AO370" s="906"/>
      <c r="AP370" s="906"/>
      <c r="AQ370" s="906"/>
      <c r="AR370" s="906"/>
      <c r="AS370" s="906"/>
      <c r="AT370" s="906"/>
      <c r="AU370" s="906"/>
      <c r="AV370" s="906"/>
      <c r="AW370" s="906"/>
      <c r="AX370" s="906"/>
      <c r="AY370" s="906"/>
      <c r="AZ370" s="906"/>
      <c r="BA370" s="906"/>
      <c r="BB370" s="907"/>
    </row>
    <row r="371" spans="1:54" x14ac:dyDescent="0.25">
      <c r="A371" s="13">
        <f t="shared" si="5"/>
        <v>358</v>
      </c>
      <c r="B371" s="914" t="str">
        <f>'refer admin discharge'!B367</f>
        <v>x</v>
      </c>
      <c r="C371" s="914"/>
      <c r="D371" s="889" t="str">
        <f>'refer admin discharge'!D367</f>
        <v>xx</v>
      </c>
      <c r="E371" s="889"/>
      <c r="F371" s="915" t="str">
        <f>'refer admin discharge'!H367</f>
        <v>00/00/0000</v>
      </c>
      <c r="G371" s="890"/>
      <c r="H371" s="916"/>
      <c r="I371" s="916"/>
      <c r="J371" s="917"/>
      <c r="K371" s="917"/>
      <c r="L371" s="916"/>
      <c r="M371" s="916"/>
      <c r="N371" s="893"/>
      <c r="O371" s="893"/>
      <c r="P371" s="916"/>
      <c r="Q371" s="916"/>
      <c r="R371" s="893"/>
      <c r="S371" s="893"/>
      <c r="T371" s="916"/>
      <c r="U371" s="916"/>
      <c r="V371" s="921" t="str">
        <f>'refer admin discharge'!H372</f>
        <v>00/00/0000</v>
      </c>
      <c r="W371" s="922"/>
      <c r="X371" s="912"/>
      <c r="Y371" s="912"/>
      <c r="Z371" s="924"/>
      <c r="AA371" s="924"/>
      <c r="AB371" s="912"/>
      <c r="AC371" s="912"/>
      <c r="AD371" s="913"/>
      <c r="AE371" s="913"/>
      <c r="AF371" s="912"/>
      <c r="AG371" s="912"/>
      <c r="AH371" s="913"/>
      <c r="AI371" s="913"/>
      <c r="AJ371" s="912"/>
      <c r="AK371" s="912"/>
      <c r="AL371" s="925"/>
      <c r="AM371" s="926"/>
      <c r="AN371" s="926"/>
      <c r="AO371" s="926"/>
      <c r="AP371" s="926"/>
      <c r="AQ371" s="926"/>
      <c r="AR371" s="926"/>
      <c r="AS371" s="926"/>
      <c r="AT371" s="926"/>
      <c r="AU371" s="926"/>
      <c r="AV371" s="926"/>
      <c r="AW371" s="926"/>
      <c r="AX371" s="926"/>
      <c r="AY371" s="926"/>
      <c r="AZ371" s="926"/>
      <c r="BA371" s="926"/>
      <c r="BB371" s="927"/>
    </row>
    <row r="372" spans="1:54" x14ac:dyDescent="0.25">
      <c r="A372" s="13">
        <f t="shared" si="5"/>
        <v>359</v>
      </c>
      <c r="B372" s="888" t="str">
        <f>'refer admin discharge'!B368</f>
        <v>x</v>
      </c>
      <c r="C372" s="888"/>
      <c r="D372" s="868" t="str">
        <f>'refer admin discharge'!D368</f>
        <v>xx</v>
      </c>
      <c r="E372" s="868"/>
      <c r="F372" s="891" t="str">
        <f>'refer admin discharge'!H368</f>
        <v>00/00/0000</v>
      </c>
      <c r="G372" s="892"/>
      <c r="H372" s="894"/>
      <c r="I372" s="894"/>
      <c r="J372" s="918"/>
      <c r="K372" s="918"/>
      <c r="L372" s="894"/>
      <c r="M372" s="894"/>
      <c r="N372" s="916"/>
      <c r="O372" s="916"/>
      <c r="P372" s="894"/>
      <c r="Q372" s="894"/>
      <c r="R372" s="916"/>
      <c r="S372" s="916"/>
      <c r="T372" s="894"/>
      <c r="U372" s="894"/>
      <c r="V372" s="921" t="str">
        <f>'refer admin discharge'!H373</f>
        <v>00/00/0000</v>
      </c>
      <c r="W372" s="922"/>
      <c r="X372" s="920"/>
      <c r="Y372" s="920"/>
      <c r="Z372" s="919"/>
      <c r="AA372" s="919"/>
      <c r="AB372" s="920"/>
      <c r="AC372" s="920"/>
      <c r="AD372" s="912"/>
      <c r="AE372" s="912"/>
      <c r="AF372" s="920"/>
      <c r="AG372" s="920"/>
      <c r="AH372" s="912"/>
      <c r="AI372" s="912"/>
      <c r="AJ372" s="920"/>
      <c r="AK372" s="920"/>
      <c r="AL372" s="905"/>
      <c r="AM372" s="906"/>
      <c r="AN372" s="906"/>
      <c r="AO372" s="906"/>
      <c r="AP372" s="906"/>
      <c r="AQ372" s="906"/>
      <c r="AR372" s="906"/>
      <c r="AS372" s="906"/>
      <c r="AT372" s="906"/>
      <c r="AU372" s="906"/>
      <c r="AV372" s="906"/>
      <c r="AW372" s="906"/>
      <c r="AX372" s="906"/>
      <c r="AY372" s="906"/>
      <c r="AZ372" s="906"/>
      <c r="BA372" s="906"/>
      <c r="BB372" s="907"/>
    </row>
    <row r="373" spans="1:54" x14ac:dyDescent="0.25">
      <c r="A373" s="13">
        <f t="shared" si="5"/>
        <v>360</v>
      </c>
      <c r="B373" s="914" t="str">
        <f>'refer admin discharge'!B369</f>
        <v>x</v>
      </c>
      <c r="C373" s="914"/>
      <c r="D373" s="889" t="str">
        <f>'refer admin discharge'!D369</f>
        <v>xx</v>
      </c>
      <c r="E373" s="889"/>
      <c r="F373" s="915" t="str">
        <f>'refer admin discharge'!H369</f>
        <v>00/00/0000</v>
      </c>
      <c r="G373" s="890"/>
      <c r="H373" s="916"/>
      <c r="I373" s="916"/>
      <c r="J373" s="917"/>
      <c r="K373" s="917"/>
      <c r="L373" s="916"/>
      <c r="M373" s="916"/>
      <c r="N373" s="893"/>
      <c r="O373" s="893"/>
      <c r="P373" s="916"/>
      <c r="Q373" s="916"/>
      <c r="R373" s="893"/>
      <c r="S373" s="893"/>
      <c r="T373" s="916"/>
      <c r="U373" s="916"/>
      <c r="V373" s="921" t="str">
        <f>'refer admin discharge'!H374</f>
        <v>00/00/0000</v>
      </c>
      <c r="W373" s="922"/>
      <c r="X373" s="912"/>
      <c r="Y373" s="912"/>
      <c r="Z373" s="924"/>
      <c r="AA373" s="924"/>
      <c r="AB373" s="912"/>
      <c r="AC373" s="912"/>
      <c r="AD373" s="913"/>
      <c r="AE373" s="913"/>
      <c r="AF373" s="912"/>
      <c r="AG373" s="912"/>
      <c r="AH373" s="913"/>
      <c r="AI373" s="913"/>
      <c r="AJ373" s="912"/>
      <c r="AK373" s="912"/>
      <c r="AL373" s="925"/>
      <c r="AM373" s="926"/>
      <c r="AN373" s="926"/>
      <c r="AO373" s="926"/>
      <c r="AP373" s="926"/>
      <c r="AQ373" s="926"/>
      <c r="AR373" s="926"/>
      <c r="AS373" s="926"/>
      <c r="AT373" s="926"/>
      <c r="AU373" s="926"/>
      <c r="AV373" s="926"/>
      <c r="AW373" s="926"/>
      <c r="AX373" s="926"/>
      <c r="AY373" s="926"/>
      <c r="AZ373" s="926"/>
      <c r="BA373" s="926"/>
      <c r="BB373" s="927"/>
    </row>
    <row r="374" spans="1:54" x14ac:dyDescent="0.25">
      <c r="A374" s="13">
        <f t="shared" si="5"/>
        <v>361</v>
      </c>
      <c r="B374" s="888" t="str">
        <f>'refer admin discharge'!B370</f>
        <v>x</v>
      </c>
      <c r="C374" s="888"/>
      <c r="D374" s="868" t="str">
        <f>'refer admin discharge'!D370</f>
        <v>xx</v>
      </c>
      <c r="E374" s="868"/>
      <c r="F374" s="891" t="str">
        <f>'refer admin discharge'!H370</f>
        <v>00/00/0000</v>
      </c>
      <c r="G374" s="892"/>
      <c r="H374" s="894"/>
      <c r="I374" s="894"/>
      <c r="J374" s="918"/>
      <c r="K374" s="918"/>
      <c r="L374" s="894"/>
      <c r="M374" s="894"/>
      <c r="N374" s="916"/>
      <c r="O374" s="916"/>
      <c r="P374" s="894"/>
      <c r="Q374" s="894"/>
      <c r="R374" s="916"/>
      <c r="S374" s="916"/>
      <c r="T374" s="894"/>
      <c r="U374" s="894"/>
      <c r="V374" s="921" t="str">
        <f>'refer admin discharge'!H375</f>
        <v>00/00/0000</v>
      </c>
      <c r="W374" s="922"/>
      <c r="X374" s="920"/>
      <c r="Y374" s="920"/>
      <c r="Z374" s="919"/>
      <c r="AA374" s="919"/>
      <c r="AB374" s="920"/>
      <c r="AC374" s="920"/>
      <c r="AD374" s="912"/>
      <c r="AE374" s="912"/>
      <c r="AF374" s="920"/>
      <c r="AG374" s="920"/>
      <c r="AH374" s="912"/>
      <c r="AI374" s="912"/>
      <c r="AJ374" s="920"/>
      <c r="AK374" s="920"/>
      <c r="AL374" s="905"/>
      <c r="AM374" s="906"/>
      <c r="AN374" s="906"/>
      <c r="AO374" s="906"/>
      <c r="AP374" s="906"/>
      <c r="AQ374" s="906"/>
      <c r="AR374" s="906"/>
      <c r="AS374" s="906"/>
      <c r="AT374" s="906"/>
      <c r="AU374" s="906"/>
      <c r="AV374" s="906"/>
      <c r="AW374" s="906"/>
      <c r="AX374" s="906"/>
      <c r="AY374" s="906"/>
      <c r="AZ374" s="906"/>
      <c r="BA374" s="906"/>
      <c r="BB374" s="907"/>
    </row>
    <row r="375" spans="1:54" x14ac:dyDescent="0.25">
      <c r="A375" s="13">
        <f t="shared" si="5"/>
        <v>362</v>
      </c>
      <c r="B375" s="914" t="str">
        <f>'refer admin discharge'!B371</f>
        <v>x</v>
      </c>
      <c r="C375" s="914"/>
      <c r="D375" s="889" t="str">
        <f>'refer admin discharge'!D371</f>
        <v>xx</v>
      </c>
      <c r="E375" s="889"/>
      <c r="F375" s="915" t="str">
        <f>'refer admin discharge'!H371</f>
        <v>00/00/0000</v>
      </c>
      <c r="G375" s="890"/>
      <c r="H375" s="916"/>
      <c r="I375" s="916"/>
      <c r="J375" s="917"/>
      <c r="K375" s="917"/>
      <c r="L375" s="916"/>
      <c r="M375" s="916"/>
      <c r="N375" s="893"/>
      <c r="O375" s="893"/>
      <c r="P375" s="916"/>
      <c r="Q375" s="916"/>
      <c r="R375" s="893"/>
      <c r="S375" s="893"/>
      <c r="T375" s="916"/>
      <c r="U375" s="916"/>
      <c r="V375" s="921" t="str">
        <f>'refer admin discharge'!H376</f>
        <v>00/00/0000</v>
      </c>
      <c r="W375" s="922"/>
      <c r="X375" s="912"/>
      <c r="Y375" s="912"/>
      <c r="Z375" s="924"/>
      <c r="AA375" s="924"/>
      <c r="AB375" s="912"/>
      <c r="AC375" s="912"/>
      <c r="AD375" s="913"/>
      <c r="AE375" s="913"/>
      <c r="AF375" s="912"/>
      <c r="AG375" s="912"/>
      <c r="AH375" s="913"/>
      <c r="AI375" s="913"/>
      <c r="AJ375" s="912"/>
      <c r="AK375" s="912"/>
      <c r="AL375" s="925"/>
      <c r="AM375" s="926"/>
      <c r="AN375" s="926"/>
      <c r="AO375" s="926"/>
      <c r="AP375" s="926"/>
      <c r="AQ375" s="926"/>
      <c r="AR375" s="926"/>
      <c r="AS375" s="926"/>
      <c r="AT375" s="926"/>
      <c r="AU375" s="926"/>
      <c r="AV375" s="926"/>
      <c r="AW375" s="926"/>
      <c r="AX375" s="926"/>
      <c r="AY375" s="926"/>
      <c r="AZ375" s="926"/>
      <c r="BA375" s="926"/>
      <c r="BB375" s="927"/>
    </row>
    <row r="376" spans="1:54" x14ac:dyDescent="0.25">
      <c r="A376" s="13">
        <f t="shared" si="5"/>
        <v>363</v>
      </c>
      <c r="B376" s="888" t="str">
        <f>'refer admin discharge'!B372</f>
        <v>x</v>
      </c>
      <c r="C376" s="888"/>
      <c r="D376" s="868" t="str">
        <f>'refer admin discharge'!D372</f>
        <v>xx</v>
      </c>
      <c r="E376" s="868"/>
      <c r="F376" s="891" t="str">
        <f>'refer admin discharge'!H372</f>
        <v>00/00/0000</v>
      </c>
      <c r="G376" s="892"/>
      <c r="H376" s="894"/>
      <c r="I376" s="894"/>
      <c r="J376" s="918"/>
      <c r="K376" s="918"/>
      <c r="L376" s="894"/>
      <c r="M376" s="894"/>
      <c r="N376" s="916"/>
      <c r="O376" s="916"/>
      <c r="P376" s="894"/>
      <c r="Q376" s="894"/>
      <c r="R376" s="916"/>
      <c r="S376" s="916"/>
      <c r="T376" s="894"/>
      <c r="U376" s="894"/>
      <c r="V376" s="921" t="str">
        <f>'refer admin discharge'!H377</f>
        <v>00/00/0000</v>
      </c>
      <c r="W376" s="922"/>
      <c r="X376" s="920"/>
      <c r="Y376" s="920"/>
      <c r="Z376" s="919"/>
      <c r="AA376" s="919"/>
      <c r="AB376" s="920"/>
      <c r="AC376" s="920"/>
      <c r="AD376" s="912"/>
      <c r="AE376" s="912"/>
      <c r="AF376" s="920"/>
      <c r="AG376" s="920"/>
      <c r="AH376" s="912"/>
      <c r="AI376" s="912"/>
      <c r="AJ376" s="920"/>
      <c r="AK376" s="920"/>
      <c r="AL376" s="905"/>
      <c r="AM376" s="906"/>
      <c r="AN376" s="906"/>
      <c r="AO376" s="906"/>
      <c r="AP376" s="906"/>
      <c r="AQ376" s="906"/>
      <c r="AR376" s="906"/>
      <c r="AS376" s="906"/>
      <c r="AT376" s="906"/>
      <c r="AU376" s="906"/>
      <c r="AV376" s="906"/>
      <c r="AW376" s="906"/>
      <c r="AX376" s="906"/>
      <c r="AY376" s="906"/>
      <c r="AZ376" s="906"/>
      <c r="BA376" s="906"/>
      <c r="BB376" s="907"/>
    </row>
    <row r="377" spans="1:54" x14ac:dyDescent="0.25">
      <c r="A377" s="13">
        <f t="shared" si="5"/>
        <v>364</v>
      </c>
      <c r="B377" s="914" t="str">
        <f>'refer admin discharge'!B373</f>
        <v>x</v>
      </c>
      <c r="C377" s="914"/>
      <c r="D377" s="889" t="str">
        <f>'refer admin discharge'!D373</f>
        <v>xx</v>
      </c>
      <c r="E377" s="889"/>
      <c r="F377" s="915" t="str">
        <f>'refer admin discharge'!H373</f>
        <v>00/00/0000</v>
      </c>
      <c r="G377" s="890"/>
      <c r="H377" s="916"/>
      <c r="I377" s="916"/>
      <c r="J377" s="917"/>
      <c r="K377" s="917"/>
      <c r="L377" s="916"/>
      <c r="M377" s="916"/>
      <c r="N377" s="893"/>
      <c r="O377" s="893"/>
      <c r="P377" s="916"/>
      <c r="Q377" s="916"/>
      <c r="R377" s="893"/>
      <c r="S377" s="893"/>
      <c r="T377" s="916"/>
      <c r="U377" s="916"/>
      <c r="V377" s="921" t="str">
        <f>'refer admin discharge'!H378</f>
        <v>00/00/0000</v>
      </c>
      <c r="W377" s="922"/>
      <c r="X377" s="912"/>
      <c r="Y377" s="912"/>
      <c r="Z377" s="924"/>
      <c r="AA377" s="924"/>
      <c r="AB377" s="912"/>
      <c r="AC377" s="912"/>
      <c r="AD377" s="913"/>
      <c r="AE377" s="913"/>
      <c r="AF377" s="912"/>
      <c r="AG377" s="912"/>
      <c r="AH377" s="913"/>
      <c r="AI377" s="913"/>
      <c r="AJ377" s="912"/>
      <c r="AK377" s="912"/>
      <c r="AL377" s="925"/>
      <c r="AM377" s="926"/>
      <c r="AN377" s="926"/>
      <c r="AO377" s="926"/>
      <c r="AP377" s="926"/>
      <c r="AQ377" s="926"/>
      <c r="AR377" s="926"/>
      <c r="AS377" s="926"/>
      <c r="AT377" s="926"/>
      <c r="AU377" s="926"/>
      <c r="AV377" s="926"/>
      <c r="AW377" s="926"/>
      <c r="AX377" s="926"/>
      <c r="AY377" s="926"/>
      <c r="AZ377" s="926"/>
      <c r="BA377" s="926"/>
      <c r="BB377" s="927"/>
    </row>
    <row r="378" spans="1:54" x14ac:dyDescent="0.25">
      <c r="A378" s="13">
        <f t="shared" si="5"/>
        <v>365</v>
      </c>
      <c r="B378" s="888" t="str">
        <f>'refer admin discharge'!B374</f>
        <v>x</v>
      </c>
      <c r="C378" s="888"/>
      <c r="D378" s="868" t="str">
        <f>'refer admin discharge'!D374</f>
        <v>xx</v>
      </c>
      <c r="E378" s="868"/>
      <c r="F378" s="891" t="str">
        <f>'refer admin discharge'!H374</f>
        <v>00/00/0000</v>
      </c>
      <c r="G378" s="892"/>
      <c r="H378" s="894"/>
      <c r="I378" s="894"/>
      <c r="J378" s="918"/>
      <c r="K378" s="918"/>
      <c r="L378" s="894"/>
      <c r="M378" s="894"/>
      <c r="N378" s="916"/>
      <c r="O378" s="916"/>
      <c r="P378" s="894"/>
      <c r="Q378" s="894"/>
      <c r="R378" s="916"/>
      <c r="S378" s="916"/>
      <c r="T378" s="894"/>
      <c r="U378" s="894"/>
      <c r="V378" s="921" t="str">
        <f>'refer admin discharge'!H379</f>
        <v>00/00/0000</v>
      </c>
      <c r="W378" s="922"/>
      <c r="X378" s="920"/>
      <c r="Y378" s="920"/>
      <c r="Z378" s="919"/>
      <c r="AA378" s="919"/>
      <c r="AB378" s="920"/>
      <c r="AC378" s="920"/>
      <c r="AD378" s="912"/>
      <c r="AE378" s="912"/>
      <c r="AF378" s="920"/>
      <c r="AG378" s="920"/>
      <c r="AH378" s="912"/>
      <c r="AI378" s="912"/>
      <c r="AJ378" s="920"/>
      <c r="AK378" s="920"/>
      <c r="AL378" s="905"/>
      <c r="AM378" s="906"/>
      <c r="AN378" s="906"/>
      <c r="AO378" s="906"/>
      <c r="AP378" s="906"/>
      <c r="AQ378" s="906"/>
      <c r="AR378" s="906"/>
      <c r="AS378" s="906"/>
      <c r="AT378" s="906"/>
      <c r="AU378" s="906"/>
      <c r="AV378" s="906"/>
      <c r="AW378" s="906"/>
      <c r="AX378" s="906"/>
      <c r="AY378" s="906"/>
      <c r="AZ378" s="906"/>
      <c r="BA378" s="906"/>
      <c r="BB378" s="907"/>
    </row>
    <row r="379" spans="1:54" x14ac:dyDescent="0.25">
      <c r="A379" s="13">
        <f t="shared" si="5"/>
        <v>366</v>
      </c>
      <c r="B379" s="914" t="str">
        <f>'refer admin discharge'!B375</f>
        <v>x</v>
      </c>
      <c r="C379" s="914"/>
      <c r="D379" s="889" t="str">
        <f>'refer admin discharge'!D375</f>
        <v>xx</v>
      </c>
      <c r="E379" s="889"/>
      <c r="F379" s="915" t="str">
        <f>'refer admin discharge'!H375</f>
        <v>00/00/0000</v>
      </c>
      <c r="G379" s="890"/>
      <c r="H379" s="916"/>
      <c r="I379" s="916"/>
      <c r="J379" s="917"/>
      <c r="K379" s="917"/>
      <c r="L379" s="916"/>
      <c r="M379" s="916"/>
      <c r="N379" s="893"/>
      <c r="O379" s="893"/>
      <c r="P379" s="916"/>
      <c r="Q379" s="916"/>
      <c r="R379" s="893"/>
      <c r="S379" s="893"/>
      <c r="T379" s="916"/>
      <c r="U379" s="916"/>
      <c r="V379" s="921" t="str">
        <f>'refer admin discharge'!H380</f>
        <v>00/00/0000</v>
      </c>
      <c r="W379" s="922"/>
      <c r="X379" s="912"/>
      <c r="Y379" s="912"/>
      <c r="Z379" s="924"/>
      <c r="AA379" s="924"/>
      <c r="AB379" s="912"/>
      <c r="AC379" s="912"/>
      <c r="AD379" s="913"/>
      <c r="AE379" s="913"/>
      <c r="AF379" s="912"/>
      <c r="AG379" s="912"/>
      <c r="AH379" s="913"/>
      <c r="AI379" s="913"/>
      <c r="AJ379" s="912"/>
      <c r="AK379" s="912"/>
      <c r="AL379" s="925"/>
      <c r="AM379" s="926"/>
      <c r="AN379" s="926"/>
      <c r="AO379" s="926"/>
      <c r="AP379" s="926"/>
      <c r="AQ379" s="926"/>
      <c r="AR379" s="926"/>
      <c r="AS379" s="926"/>
      <c r="AT379" s="926"/>
      <c r="AU379" s="926"/>
      <c r="AV379" s="926"/>
      <c r="AW379" s="926"/>
      <c r="AX379" s="926"/>
      <c r="AY379" s="926"/>
      <c r="AZ379" s="926"/>
      <c r="BA379" s="926"/>
      <c r="BB379" s="927"/>
    </row>
    <row r="380" spans="1:54" x14ac:dyDescent="0.25">
      <c r="A380" s="13">
        <f t="shared" si="5"/>
        <v>367</v>
      </c>
      <c r="B380" s="888" t="str">
        <f>'refer admin discharge'!B376</f>
        <v>x</v>
      </c>
      <c r="C380" s="888"/>
      <c r="D380" s="868" t="str">
        <f>'refer admin discharge'!D376</f>
        <v>xx</v>
      </c>
      <c r="E380" s="868"/>
      <c r="F380" s="891" t="str">
        <f>'refer admin discharge'!H376</f>
        <v>00/00/0000</v>
      </c>
      <c r="G380" s="892"/>
      <c r="H380" s="894"/>
      <c r="I380" s="894"/>
      <c r="J380" s="918"/>
      <c r="K380" s="918"/>
      <c r="L380" s="894"/>
      <c r="M380" s="894"/>
      <c r="N380" s="916"/>
      <c r="O380" s="916"/>
      <c r="P380" s="894"/>
      <c r="Q380" s="894"/>
      <c r="R380" s="916"/>
      <c r="S380" s="916"/>
      <c r="T380" s="894"/>
      <c r="U380" s="894"/>
      <c r="V380" s="921" t="str">
        <f>'refer admin discharge'!H381</f>
        <v>00/00/0000</v>
      </c>
      <c r="W380" s="922"/>
      <c r="X380" s="920"/>
      <c r="Y380" s="920"/>
      <c r="Z380" s="919"/>
      <c r="AA380" s="919"/>
      <c r="AB380" s="920"/>
      <c r="AC380" s="920"/>
      <c r="AD380" s="912"/>
      <c r="AE380" s="912"/>
      <c r="AF380" s="920"/>
      <c r="AG380" s="920"/>
      <c r="AH380" s="912"/>
      <c r="AI380" s="912"/>
      <c r="AJ380" s="920"/>
      <c r="AK380" s="920"/>
      <c r="AL380" s="905"/>
      <c r="AM380" s="906"/>
      <c r="AN380" s="906"/>
      <c r="AO380" s="906"/>
      <c r="AP380" s="906"/>
      <c r="AQ380" s="906"/>
      <c r="AR380" s="906"/>
      <c r="AS380" s="906"/>
      <c r="AT380" s="906"/>
      <c r="AU380" s="906"/>
      <c r="AV380" s="906"/>
      <c r="AW380" s="906"/>
      <c r="AX380" s="906"/>
      <c r="AY380" s="906"/>
      <c r="AZ380" s="906"/>
      <c r="BA380" s="906"/>
      <c r="BB380" s="907"/>
    </row>
    <row r="381" spans="1:54" x14ac:dyDescent="0.25">
      <c r="A381" s="13">
        <f t="shared" si="5"/>
        <v>368</v>
      </c>
      <c r="B381" s="914" t="str">
        <f>'refer admin discharge'!B377</f>
        <v>x</v>
      </c>
      <c r="C381" s="914"/>
      <c r="D381" s="889" t="str">
        <f>'refer admin discharge'!D377</f>
        <v>xx</v>
      </c>
      <c r="E381" s="889"/>
      <c r="F381" s="915" t="str">
        <f>'refer admin discharge'!H377</f>
        <v>00/00/0000</v>
      </c>
      <c r="G381" s="890"/>
      <c r="H381" s="916"/>
      <c r="I381" s="916"/>
      <c r="J381" s="917"/>
      <c r="K381" s="917"/>
      <c r="L381" s="916"/>
      <c r="M381" s="916"/>
      <c r="N381" s="893"/>
      <c r="O381" s="893"/>
      <c r="P381" s="916"/>
      <c r="Q381" s="916"/>
      <c r="R381" s="893"/>
      <c r="S381" s="893"/>
      <c r="T381" s="916"/>
      <c r="U381" s="916"/>
      <c r="V381" s="921" t="str">
        <f>'refer admin discharge'!H382</f>
        <v>00/00/0000</v>
      </c>
      <c r="W381" s="922"/>
      <c r="X381" s="912"/>
      <c r="Y381" s="912"/>
      <c r="Z381" s="924"/>
      <c r="AA381" s="924"/>
      <c r="AB381" s="912"/>
      <c r="AC381" s="912"/>
      <c r="AD381" s="913"/>
      <c r="AE381" s="913"/>
      <c r="AF381" s="912"/>
      <c r="AG381" s="912"/>
      <c r="AH381" s="913"/>
      <c r="AI381" s="913"/>
      <c r="AJ381" s="912"/>
      <c r="AK381" s="912"/>
      <c r="AL381" s="925"/>
      <c r="AM381" s="926"/>
      <c r="AN381" s="926"/>
      <c r="AO381" s="926"/>
      <c r="AP381" s="926"/>
      <c r="AQ381" s="926"/>
      <c r="AR381" s="926"/>
      <c r="AS381" s="926"/>
      <c r="AT381" s="926"/>
      <c r="AU381" s="926"/>
      <c r="AV381" s="926"/>
      <c r="AW381" s="926"/>
      <c r="AX381" s="926"/>
      <c r="AY381" s="926"/>
      <c r="AZ381" s="926"/>
      <c r="BA381" s="926"/>
      <c r="BB381" s="927"/>
    </row>
    <row r="382" spans="1:54" x14ac:dyDescent="0.25">
      <c r="A382" s="13">
        <f t="shared" si="5"/>
        <v>369</v>
      </c>
      <c r="B382" s="888" t="str">
        <f>'refer admin discharge'!B378</f>
        <v>x</v>
      </c>
      <c r="C382" s="888"/>
      <c r="D382" s="868" t="str">
        <f>'refer admin discharge'!D378</f>
        <v>xx</v>
      </c>
      <c r="E382" s="868"/>
      <c r="F382" s="891" t="str">
        <f>'refer admin discharge'!H378</f>
        <v>00/00/0000</v>
      </c>
      <c r="G382" s="892"/>
      <c r="H382" s="894"/>
      <c r="I382" s="894"/>
      <c r="J382" s="918"/>
      <c r="K382" s="918"/>
      <c r="L382" s="894"/>
      <c r="M382" s="894"/>
      <c r="N382" s="916"/>
      <c r="O382" s="916"/>
      <c r="P382" s="894"/>
      <c r="Q382" s="894"/>
      <c r="R382" s="916"/>
      <c r="S382" s="916"/>
      <c r="T382" s="894"/>
      <c r="U382" s="894"/>
      <c r="V382" s="921" t="str">
        <f>'refer admin discharge'!H383</f>
        <v>00/00/0000</v>
      </c>
      <c r="W382" s="922"/>
      <c r="X382" s="920"/>
      <c r="Y382" s="920"/>
      <c r="Z382" s="919"/>
      <c r="AA382" s="919"/>
      <c r="AB382" s="920"/>
      <c r="AC382" s="920"/>
      <c r="AD382" s="912"/>
      <c r="AE382" s="912"/>
      <c r="AF382" s="920"/>
      <c r="AG382" s="920"/>
      <c r="AH382" s="912"/>
      <c r="AI382" s="912"/>
      <c r="AJ382" s="920"/>
      <c r="AK382" s="920"/>
      <c r="AL382" s="905"/>
      <c r="AM382" s="906"/>
      <c r="AN382" s="906"/>
      <c r="AO382" s="906"/>
      <c r="AP382" s="906"/>
      <c r="AQ382" s="906"/>
      <c r="AR382" s="906"/>
      <c r="AS382" s="906"/>
      <c r="AT382" s="906"/>
      <c r="AU382" s="906"/>
      <c r="AV382" s="906"/>
      <c r="AW382" s="906"/>
      <c r="AX382" s="906"/>
      <c r="AY382" s="906"/>
      <c r="AZ382" s="906"/>
      <c r="BA382" s="906"/>
      <c r="BB382" s="907"/>
    </row>
    <row r="383" spans="1:54" x14ac:dyDescent="0.25">
      <c r="A383" s="13">
        <f t="shared" si="5"/>
        <v>370</v>
      </c>
      <c r="B383" s="914" t="str">
        <f>'refer admin discharge'!B379</f>
        <v>x</v>
      </c>
      <c r="C383" s="914"/>
      <c r="D383" s="889" t="str">
        <f>'refer admin discharge'!D379</f>
        <v>xx</v>
      </c>
      <c r="E383" s="889"/>
      <c r="F383" s="915" t="str">
        <f>'refer admin discharge'!H379</f>
        <v>00/00/0000</v>
      </c>
      <c r="G383" s="890"/>
      <c r="H383" s="916"/>
      <c r="I383" s="916"/>
      <c r="J383" s="917"/>
      <c r="K383" s="917"/>
      <c r="L383" s="916"/>
      <c r="M383" s="916"/>
      <c r="N383" s="893"/>
      <c r="O383" s="893"/>
      <c r="P383" s="916"/>
      <c r="Q383" s="916"/>
      <c r="R383" s="893"/>
      <c r="S383" s="893"/>
      <c r="T383" s="916"/>
      <c r="U383" s="916"/>
      <c r="V383" s="921" t="str">
        <f>'refer admin discharge'!H384</f>
        <v>00/00/0000</v>
      </c>
      <c r="W383" s="922"/>
      <c r="X383" s="912"/>
      <c r="Y383" s="912"/>
      <c r="Z383" s="924"/>
      <c r="AA383" s="924"/>
      <c r="AB383" s="912"/>
      <c r="AC383" s="912"/>
      <c r="AD383" s="913"/>
      <c r="AE383" s="913"/>
      <c r="AF383" s="912"/>
      <c r="AG383" s="912"/>
      <c r="AH383" s="913"/>
      <c r="AI383" s="913"/>
      <c r="AJ383" s="912"/>
      <c r="AK383" s="912"/>
      <c r="AL383" s="925"/>
      <c r="AM383" s="926"/>
      <c r="AN383" s="926"/>
      <c r="AO383" s="926"/>
      <c r="AP383" s="926"/>
      <c r="AQ383" s="926"/>
      <c r="AR383" s="926"/>
      <c r="AS383" s="926"/>
      <c r="AT383" s="926"/>
      <c r="AU383" s="926"/>
      <c r="AV383" s="926"/>
      <c r="AW383" s="926"/>
      <c r="AX383" s="926"/>
      <c r="AY383" s="926"/>
      <c r="AZ383" s="926"/>
      <c r="BA383" s="926"/>
      <c r="BB383" s="927"/>
    </row>
    <row r="384" spans="1:54" x14ac:dyDescent="0.25">
      <c r="A384" s="13">
        <f t="shared" si="5"/>
        <v>371</v>
      </c>
      <c r="B384" s="888" t="str">
        <f>'refer admin discharge'!B380</f>
        <v>x</v>
      </c>
      <c r="C384" s="888"/>
      <c r="D384" s="868" t="str">
        <f>'refer admin discharge'!D380</f>
        <v>xx</v>
      </c>
      <c r="E384" s="868"/>
      <c r="F384" s="891" t="str">
        <f>'refer admin discharge'!H380</f>
        <v>00/00/0000</v>
      </c>
      <c r="G384" s="892"/>
      <c r="H384" s="894"/>
      <c r="I384" s="894"/>
      <c r="J384" s="918"/>
      <c r="K384" s="918"/>
      <c r="L384" s="894"/>
      <c r="M384" s="894"/>
      <c r="N384" s="916"/>
      <c r="O384" s="916"/>
      <c r="P384" s="894"/>
      <c r="Q384" s="894"/>
      <c r="R384" s="916"/>
      <c r="S384" s="916"/>
      <c r="T384" s="894"/>
      <c r="U384" s="894"/>
      <c r="V384" s="921" t="str">
        <f>'refer admin discharge'!H385</f>
        <v>00/00/0000</v>
      </c>
      <c r="W384" s="922"/>
      <c r="X384" s="920"/>
      <c r="Y384" s="920"/>
      <c r="Z384" s="919"/>
      <c r="AA384" s="919"/>
      <c r="AB384" s="920"/>
      <c r="AC384" s="920"/>
      <c r="AD384" s="912"/>
      <c r="AE384" s="912"/>
      <c r="AF384" s="920"/>
      <c r="AG384" s="920"/>
      <c r="AH384" s="912"/>
      <c r="AI384" s="912"/>
      <c r="AJ384" s="920"/>
      <c r="AK384" s="920"/>
      <c r="AL384" s="905"/>
      <c r="AM384" s="906"/>
      <c r="AN384" s="906"/>
      <c r="AO384" s="906"/>
      <c r="AP384" s="906"/>
      <c r="AQ384" s="906"/>
      <c r="AR384" s="906"/>
      <c r="AS384" s="906"/>
      <c r="AT384" s="906"/>
      <c r="AU384" s="906"/>
      <c r="AV384" s="906"/>
      <c r="AW384" s="906"/>
      <c r="AX384" s="906"/>
      <c r="AY384" s="906"/>
      <c r="AZ384" s="906"/>
      <c r="BA384" s="906"/>
      <c r="BB384" s="907"/>
    </row>
    <row r="385" spans="1:54" x14ac:dyDescent="0.25">
      <c r="A385" s="13">
        <f t="shared" si="5"/>
        <v>372</v>
      </c>
      <c r="B385" s="914" t="str">
        <f>'refer admin discharge'!B381</f>
        <v>x</v>
      </c>
      <c r="C385" s="914"/>
      <c r="D385" s="889" t="str">
        <f>'refer admin discharge'!D381</f>
        <v>xx</v>
      </c>
      <c r="E385" s="889"/>
      <c r="F385" s="915" t="str">
        <f>'refer admin discharge'!H381</f>
        <v>00/00/0000</v>
      </c>
      <c r="G385" s="890"/>
      <c r="H385" s="916"/>
      <c r="I385" s="916"/>
      <c r="J385" s="917"/>
      <c r="K385" s="917"/>
      <c r="L385" s="916"/>
      <c r="M385" s="916"/>
      <c r="N385" s="893"/>
      <c r="O385" s="893"/>
      <c r="P385" s="916"/>
      <c r="Q385" s="916"/>
      <c r="R385" s="893"/>
      <c r="S385" s="893"/>
      <c r="T385" s="916"/>
      <c r="U385" s="916"/>
      <c r="V385" s="921" t="str">
        <f>'refer admin discharge'!H386</f>
        <v>00/00/0000</v>
      </c>
      <c r="W385" s="922"/>
      <c r="X385" s="912"/>
      <c r="Y385" s="912"/>
      <c r="Z385" s="924"/>
      <c r="AA385" s="924"/>
      <c r="AB385" s="912"/>
      <c r="AC385" s="912"/>
      <c r="AD385" s="913"/>
      <c r="AE385" s="913"/>
      <c r="AF385" s="912"/>
      <c r="AG385" s="912"/>
      <c r="AH385" s="913"/>
      <c r="AI385" s="913"/>
      <c r="AJ385" s="912"/>
      <c r="AK385" s="912"/>
      <c r="AL385" s="925"/>
      <c r="AM385" s="926"/>
      <c r="AN385" s="926"/>
      <c r="AO385" s="926"/>
      <c r="AP385" s="926"/>
      <c r="AQ385" s="926"/>
      <c r="AR385" s="926"/>
      <c r="AS385" s="926"/>
      <c r="AT385" s="926"/>
      <c r="AU385" s="926"/>
      <c r="AV385" s="926"/>
      <c r="AW385" s="926"/>
      <c r="AX385" s="926"/>
      <c r="AY385" s="926"/>
      <c r="AZ385" s="926"/>
      <c r="BA385" s="926"/>
      <c r="BB385" s="927"/>
    </row>
    <row r="386" spans="1:54" x14ac:dyDescent="0.25">
      <c r="A386" s="13">
        <f t="shared" si="5"/>
        <v>373</v>
      </c>
      <c r="B386" s="888" t="str">
        <f>'refer admin discharge'!B382</f>
        <v>x</v>
      </c>
      <c r="C386" s="888"/>
      <c r="D386" s="868" t="str">
        <f>'refer admin discharge'!D382</f>
        <v>xx</v>
      </c>
      <c r="E386" s="868"/>
      <c r="F386" s="891" t="str">
        <f>'refer admin discharge'!H382</f>
        <v>00/00/0000</v>
      </c>
      <c r="G386" s="892"/>
      <c r="H386" s="894"/>
      <c r="I386" s="894"/>
      <c r="J386" s="918"/>
      <c r="K386" s="918"/>
      <c r="L386" s="894"/>
      <c r="M386" s="894"/>
      <c r="N386" s="916"/>
      <c r="O386" s="916"/>
      <c r="P386" s="894"/>
      <c r="Q386" s="894"/>
      <c r="R386" s="916"/>
      <c r="S386" s="916"/>
      <c r="T386" s="894"/>
      <c r="U386" s="894"/>
      <c r="V386" s="921" t="str">
        <f>'refer admin discharge'!H387</f>
        <v>00/00/0000</v>
      </c>
      <c r="W386" s="922"/>
      <c r="X386" s="920"/>
      <c r="Y386" s="920"/>
      <c r="Z386" s="919"/>
      <c r="AA386" s="919"/>
      <c r="AB386" s="920"/>
      <c r="AC386" s="920"/>
      <c r="AD386" s="912"/>
      <c r="AE386" s="912"/>
      <c r="AF386" s="920"/>
      <c r="AG386" s="920"/>
      <c r="AH386" s="912"/>
      <c r="AI386" s="912"/>
      <c r="AJ386" s="920"/>
      <c r="AK386" s="920"/>
      <c r="AL386" s="905"/>
      <c r="AM386" s="906"/>
      <c r="AN386" s="906"/>
      <c r="AO386" s="906"/>
      <c r="AP386" s="906"/>
      <c r="AQ386" s="906"/>
      <c r="AR386" s="906"/>
      <c r="AS386" s="906"/>
      <c r="AT386" s="906"/>
      <c r="AU386" s="906"/>
      <c r="AV386" s="906"/>
      <c r="AW386" s="906"/>
      <c r="AX386" s="906"/>
      <c r="AY386" s="906"/>
      <c r="AZ386" s="906"/>
      <c r="BA386" s="906"/>
      <c r="BB386" s="907"/>
    </row>
    <row r="387" spans="1:54" x14ac:dyDescent="0.25">
      <c r="A387" s="13">
        <f t="shared" si="5"/>
        <v>374</v>
      </c>
      <c r="B387" s="914" t="str">
        <f>'refer admin discharge'!B383</f>
        <v>x</v>
      </c>
      <c r="C387" s="914"/>
      <c r="D387" s="889" t="str">
        <f>'refer admin discharge'!D383</f>
        <v>xx</v>
      </c>
      <c r="E387" s="889"/>
      <c r="F387" s="915" t="str">
        <f>'refer admin discharge'!H383</f>
        <v>00/00/0000</v>
      </c>
      <c r="G387" s="890"/>
      <c r="H387" s="916"/>
      <c r="I387" s="916"/>
      <c r="J387" s="917"/>
      <c r="K387" s="917"/>
      <c r="L387" s="916"/>
      <c r="M387" s="916"/>
      <c r="N387" s="893"/>
      <c r="O387" s="893"/>
      <c r="P387" s="916"/>
      <c r="Q387" s="916"/>
      <c r="R387" s="893"/>
      <c r="S387" s="893"/>
      <c r="T387" s="916"/>
      <c r="U387" s="916"/>
      <c r="V387" s="921" t="str">
        <f>'refer admin discharge'!H388</f>
        <v>00/00/0000</v>
      </c>
      <c r="W387" s="922"/>
      <c r="X387" s="912"/>
      <c r="Y387" s="912"/>
      <c r="Z387" s="924"/>
      <c r="AA387" s="924"/>
      <c r="AB387" s="912"/>
      <c r="AC387" s="912"/>
      <c r="AD387" s="913"/>
      <c r="AE387" s="913"/>
      <c r="AF387" s="912"/>
      <c r="AG387" s="912"/>
      <c r="AH387" s="913"/>
      <c r="AI387" s="913"/>
      <c r="AJ387" s="912"/>
      <c r="AK387" s="912"/>
      <c r="AL387" s="925"/>
      <c r="AM387" s="926"/>
      <c r="AN387" s="926"/>
      <c r="AO387" s="926"/>
      <c r="AP387" s="926"/>
      <c r="AQ387" s="926"/>
      <c r="AR387" s="926"/>
      <c r="AS387" s="926"/>
      <c r="AT387" s="926"/>
      <c r="AU387" s="926"/>
      <c r="AV387" s="926"/>
      <c r="AW387" s="926"/>
      <c r="AX387" s="926"/>
      <c r="AY387" s="926"/>
      <c r="AZ387" s="926"/>
      <c r="BA387" s="926"/>
      <c r="BB387" s="927"/>
    </row>
    <row r="388" spans="1:54" x14ac:dyDescent="0.25">
      <c r="A388" s="13">
        <f t="shared" si="5"/>
        <v>375</v>
      </c>
      <c r="B388" s="888" t="str">
        <f>'refer admin discharge'!B384</f>
        <v>x</v>
      </c>
      <c r="C388" s="888"/>
      <c r="D388" s="868" t="str">
        <f>'refer admin discharge'!D384</f>
        <v>xx</v>
      </c>
      <c r="E388" s="868"/>
      <c r="F388" s="891" t="str">
        <f>'refer admin discharge'!H384</f>
        <v>00/00/0000</v>
      </c>
      <c r="G388" s="892"/>
      <c r="H388" s="894"/>
      <c r="I388" s="894"/>
      <c r="J388" s="918"/>
      <c r="K388" s="918"/>
      <c r="L388" s="894"/>
      <c r="M388" s="894"/>
      <c r="N388" s="916"/>
      <c r="O388" s="916"/>
      <c r="P388" s="894"/>
      <c r="Q388" s="894"/>
      <c r="R388" s="916"/>
      <c r="S388" s="916"/>
      <c r="T388" s="894"/>
      <c r="U388" s="894"/>
      <c r="V388" s="921" t="str">
        <f>'refer admin discharge'!H389</f>
        <v>00/00/0000</v>
      </c>
      <c r="W388" s="922"/>
      <c r="X388" s="920"/>
      <c r="Y388" s="920"/>
      <c r="Z388" s="919"/>
      <c r="AA388" s="919"/>
      <c r="AB388" s="920"/>
      <c r="AC388" s="920"/>
      <c r="AD388" s="912"/>
      <c r="AE388" s="912"/>
      <c r="AF388" s="920"/>
      <c r="AG388" s="920"/>
      <c r="AH388" s="912"/>
      <c r="AI388" s="912"/>
      <c r="AJ388" s="920"/>
      <c r="AK388" s="920"/>
      <c r="AL388" s="905"/>
      <c r="AM388" s="906"/>
      <c r="AN388" s="906"/>
      <c r="AO388" s="906"/>
      <c r="AP388" s="906"/>
      <c r="AQ388" s="906"/>
      <c r="AR388" s="906"/>
      <c r="AS388" s="906"/>
      <c r="AT388" s="906"/>
      <c r="AU388" s="906"/>
      <c r="AV388" s="906"/>
      <c r="AW388" s="906"/>
      <c r="AX388" s="906"/>
      <c r="AY388" s="906"/>
      <c r="AZ388" s="906"/>
      <c r="BA388" s="906"/>
      <c r="BB388" s="907"/>
    </row>
    <row r="389" spans="1:54" x14ac:dyDescent="0.25">
      <c r="A389" s="13">
        <f t="shared" si="5"/>
        <v>376</v>
      </c>
      <c r="B389" s="914" t="str">
        <f>'refer admin discharge'!B385</f>
        <v>x</v>
      </c>
      <c r="C389" s="914"/>
      <c r="D389" s="889" t="str">
        <f>'refer admin discharge'!D385</f>
        <v>xx</v>
      </c>
      <c r="E389" s="889"/>
      <c r="F389" s="915" t="str">
        <f>'refer admin discharge'!H385</f>
        <v>00/00/0000</v>
      </c>
      <c r="G389" s="890"/>
      <c r="H389" s="916"/>
      <c r="I389" s="916"/>
      <c r="J389" s="917"/>
      <c r="K389" s="917"/>
      <c r="L389" s="916"/>
      <c r="M389" s="916"/>
      <c r="N389" s="893"/>
      <c r="O389" s="893"/>
      <c r="P389" s="916"/>
      <c r="Q389" s="916"/>
      <c r="R389" s="893"/>
      <c r="S389" s="893"/>
      <c r="T389" s="916"/>
      <c r="U389" s="916"/>
      <c r="V389" s="921" t="str">
        <f>'refer admin discharge'!H390</f>
        <v>00/00/0000</v>
      </c>
      <c r="W389" s="922"/>
      <c r="X389" s="912"/>
      <c r="Y389" s="912"/>
      <c r="Z389" s="924"/>
      <c r="AA389" s="924"/>
      <c r="AB389" s="912"/>
      <c r="AC389" s="912"/>
      <c r="AD389" s="913"/>
      <c r="AE389" s="913"/>
      <c r="AF389" s="912"/>
      <c r="AG389" s="912"/>
      <c r="AH389" s="913"/>
      <c r="AI389" s="913"/>
      <c r="AJ389" s="912"/>
      <c r="AK389" s="912"/>
      <c r="AL389" s="925"/>
      <c r="AM389" s="926"/>
      <c r="AN389" s="926"/>
      <c r="AO389" s="926"/>
      <c r="AP389" s="926"/>
      <c r="AQ389" s="926"/>
      <c r="AR389" s="926"/>
      <c r="AS389" s="926"/>
      <c r="AT389" s="926"/>
      <c r="AU389" s="926"/>
      <c r="AV389" s="926"/>
      <c r="AW389" s="926"/>
      <c r="AX389" s="926"/>
      <c r="AY389" s="926"/>
      <c r="AZ389" s="926"/>
      <c r="BA389" s="926"/>
      <c r="BB389" s="927"/>
    </row>
    <row r="390" spans="1:54" x14ac:dyDescent="0.25">
      <c r="A390" s="13">
        <f t="shared" si="5"/>
        <v>377</v>
      </c>
      <c r="B390" s="888" t="str">
        <f>'refer admin discharge'!B386</f>
        <v>x</v>
      </c>
      <c r="C390" s="888"/>
      <c r="D390" s="868" t="str">
        <f>'refer admin discharge'!D386</f>
        <v>xx</v>
      </c>
      <c r="E390" s="868"/>
      <c r="F390" s="891" t="str">
        <f>'refer admin discharge'!H386</f>
        <v>00/00/0000</v>
      </c>
      <c r="G390" s="892"/>
      <c r="H390" s="894"/>
      <c r="I390" s="894"/>
      <c r="J390" s="918"/>
      <c r="K390" s="918"/>
      <c r="L390" s="894"/>
      <c r="M390" s="894"/>
      <c r="N390" s="916"/>
      <c r="O390" s="916"/>
      <c r="P390" s="894"/>
      <c r="Q390" s="894"/>
      <c r="R390" s="916"/>
      <c r="S390" s="916"/>
      <c r="T390" s="894"/>
      <c r="U390" s="894"/>
      <c r="V390" s="921" t="str">
        <f>'refer admin discharge'!H391</f>
        <v>00/00/0000</v>
      </c>
      <c r="W390" s="922"/>
      <c r="X390" s="920"/>
      <c r="Y390" s="920"/>
      <c r="Z390" s="919"/>
      <c r="AA390" s="919"/>
      <c r="AB390" s="920"/>
      <c r="AC390" s="920"/>
      <c r="AD390" s="912"/>
      <c r="AE390" s="912"/>
      <c r="AF390" s="920"/>
      <c r="AG390" s="920"/>
      <c r="AH390" s="912"/>
      <c r="AI390" s="912"/>
      <c r="AJ390" s="920"/>
      <c r="AK390" s="920"/>
      <c r="AL390" s="905"/>
      <c r="AM390" s="906"/>
      <c r="AN390" s="906"/>
      <c r="AO390" s="906"/>
      <c r="AP390" s="906"/>
      <c r="AQ390" s="906"/>
      <c r="AR390" s="906"/>
      <c r="AS390" s="906"/>
      <c r="AT390" s="906"/>
      <c r="AU390" s="906"/>
      <c r="AV390" s="906"/>
      <c r="AW390" s="906"/>
      <c r="AX390" s="906"/>
      <c r="AY390" s="906"/>
      <c r="AZ390" s="906"/>
      <c r="BA390" s="906"/>
      <c r="BB390" s="907"/>
    </row>
    <row r="391" spans="1:54" x14ac:dyDescent="0.25">
      <c r="A391" s="13">
        <f t="shared" si="5"/>
        <v>378</v>
      </c>
      <c r="B391" s="914" t="str">
        <f>'refer admin discharge'!B387</f>
        <v>x</v>
      </c>
      <c r="C391" s="914"/>
      <c r="D391" s="889" t="str">
        <f>'refer admin discharge'!D387</f>
        <v>xx</v>
      </c>
      <c r="E391" s="889"/>
      <c r="F391" s="915" t="str">
        <f>'refer admin discharge'!H387</f>
        <v>00/00/0000</v>
      </c>
      <c r="G391" s="890"/>
      <c r="H391" s="916"/>
      <c r="I391" s="916"/>
      <c r="J391" s="917"/>
      <c r="K391" s="917"/>
      <c r="L391" s="916"/>
      <c r="M391" s="916"/>
      <c r="N391" s="893"/>
      <c r="O391" s="893"/>
      <c r="P391" s="916"/>
      <c r="Q391" s="916"/>
      <c r="R391" s="893"/>
      <c r="S391" s="893"/>
      <c r="T391" s="916"/>
      <c r="U391" s="916"/>
      <c r="V391" s="921" t="str">
        <f>'refer admin discharge'!H392</f>
        <v>00/00/0000</v>
      </c>
      <c r="W391" s="922"/>
      <c r="X391" s="912"/>
      <c r="Y391" s="912"/>
      <c r="Z391" s="924"/>
      <c r="AA391" s="924"/>
      <c r="AB391" s="912"/>
      <c r="AC391" s="912"/>
      <c r="AD391" s="913"/>
      <c r="AE391" s="913"/>
      <c r="AF391" s="912"/>
      <c r="AG391" s="912"/>
      <c r="AH391" s="913"/>
      <c r="AI391" s="913"/>
      <c r="AJ391" s="912"/>
      <c r="AK391" s="912"/>
      <c r="AL391" s="925"/>
      <c r="AM391" s="926"/>
      <c r="AN391" s="926"/>
      <c r="AO391" s="926"/>
      <c r="AP391" s="926"/>
      <c r="AQ391" s="926"/>
      <c r="AR391" s="926"/>
      <c r="AS391" s="926"/>
      <c r="AT391" s="926"/>
      <c r="AU391" s="926"/>
      <c r="AV391" s="926"/>
      <c r="AW391" s="926"/>
      <c r="AX391" s="926"/>
      <c r="AY391" s="926"/>
      <c r="AZ391" s="926"/>
      <c r="BA391" s="926"/>
      <c r="BB391" s="927"/>
    </row>
    <row r="392" spans="1:54" x14ac:dyDescent="0.25">
      <c r="A392" s="13">
        <f t="shared" si="5"/>
        <v>379</v>
      </c>
      <c r="B392" s="888" t="str">
        <f>'refer admin discharge'!B388</f>
        <v>x</v>
      </c>
      <c r="C392" s="888"/>
      <c r="D392" s="868" t="str">
        <f>'refer admin discharge'!D388</f>
        <v>xx</v>
      </c>
      <c r="E392" s="868"/>
      <c r="F392" s="891" t="str">
        <f>'refer admin discharge'!H388</f>
        <v>00/00/0000</v>
      </c>
      <c r="G392" s="892"/>
      <c r="H392" s="894"/>
      <c r="I392" s="894"/>
      <c r="J392" s="918"/>
      <c r="K392" s="918"/>
      <c r="L392" s="894"/>
      <c r="M392" s="894"/>
      <c r="N392" s="916"/>
      <c r="O392" s="916"/>
      <c r="P392" s="894"/>
      <c r="Q392" s="894"/>
      <c r="R392" s="916"/>
      <c r="S392" s="916"/>
      <c r="T392" s="894"/>
      <c r="U392" s="894"/>
      <c r="V392" s="921" t="str">
        <f>'refer admin discharge'!H393</f>
        <v>00/00/0000</v>
      </c>
      <c r="W392" s="922"/>
      <c r="X392" s="920"/>
      <c r="Y392" s="920"/>
      <c r="Z392" s="919"/>
      <c r="AA392" s="919"/>
      <c r="AB392" s="920"/>
      <c r="AC392" s="920"/>
      <c r="AD392" s="912"/>
      <c r="AE392" s="912"/>
      <c r="AF392" s="920"/>
      <c r="AG392" s="920"/>
      <c r="AH392" s="912"/>
      <c r="AI392" s="912"/>
      <c r="AJ392" s="920"/>
      <c r="AK392" s="920"/>
      <c r="AL392" s="905"/>
      <c r="AM392" s="906"/>
      <c r="AN392" s="906"/>
      <c r="AO392" s="906"/>
      <c r="AP392" s="906"/>
      <c r="AQ392" s="906"/>
      <c r="AR392" s="906"/>
      <c r="AS392" s="906"/>
      <c r="AT392" s="906"/>
      <c r="AU392" s="906"/>
      <c r="AV392" s="906"/>
      <c r="AW392" s="906"/>
      <c r="AX392" s="906"/>
      <c r="AY392" s="906"/>
      <c r="AZ392" s="906"/>
      <c r="BA392" s="906"/>
      <c r="BB392" s="907"/>
    </row>
    <row r="393" spans="1:54" x14ac:dyDescent="0.25">
      <c r="A393" s="13">
        <f t="shared" si="5"/>
        <v>380</v>
      </c>
      <c r="B393" s="914" t="str">
        <f>'refer admin discharge'!B389</f>
        <v>x</v>
      </c>
      <c r="C393" s="914"/>
      <c r="D393" s="889" t="str">
        <f>'refer admin discharge'!D389</f>
        <v>xx</v>
      </c>
      <c r="E393" s="889"/>
      <c r="F393" s="915" t="str">
        <f>'refer admin discharge'!H389</f>
        <v>00/00/0000</v>
      </c>
      <c r="G393" s="890"/>
      <c r="H393" s="916"/>
      <c r="I393" s="916"/>
      <c r="J393" s="917"/>
      <c r="K393" s="917"/>
      <c r="L393" s="916"/>
      <c r="M393" s="916"/>
      <c r="N393" s="893"/>
      <c r="O393" s="893"/>
      <c r="P393" s="916"/>
      <c r="Q393" s="916"/>
      <c r="R393" s="893"/>
      <c r="S393" s="893"/>
      <c r="T393" s="916"/>
      <c r="U393" s="916"/>
      <c r="V393" s="921" t="str">
        <f>'refer admin discharge'!H394</f>
        <v>00/00/0000</v>
      </c>
      <c r="W393" s="922"/>
      <c r="X393" s="912"/>
      <c r="Y393" s="912"/>
      <c r="Z393" s="924"/>
      <c r="AA393" s="924"/>
      <c r="AB393" s="912"/>
      <c r="AC393" s="912"/>
      <c r="AD393" s="913"/>
      <c r="AE393" s="913"/>
      <c r="AF393" s="912"/>
      <c r="AG393" s="912"/>
      <c r="AH393" s="913"/>
      <c r="AI393" s="913"/>
      <c r="AJ393" s="912"/>
      <c r="AK393" s="912"/>
      <c r="AL393" s="925"/>
      <c r="AM393" s="926"/>
      <c r="AN393" s="926"/>
      <c r="AO393" s="926"/>
      <c r="AP393" s="926"/>
      <c r="AQ393" s="926"/>
      <c r="AR393" s="926"/>
      <c r="AS393" s="926"/>
      <c r="AT393" s="926"/>
      <c r="AU393" s="926"/>
      <c r="AV393" s="926"/>
      <c r="AW393" s="926"/>
      <c r="AX393" s="926"/>
      <c r="AY393" s="926"/>
      <c r="AZ393" s="926"/>
      <c r="BA393" s="926"/>
      <c r="BB393" s="927"/>
    </row>
    <row r="394" spans="1:54" x14ac:dyDescent="0.25">
      <c r="A394" s="13">
        <f t="shared" si="5"/>
        <v>381</v>
      </c>
      <c r="B394" s="888" t="str">
        <f>'refer admin discharge'!B390</f>
        <v>x</v>
      </c>
      <c r="C394" s="888"/>
      <c r="D394" s="868" t="str">
        <f>'refer admin discharge'!D390</f>
        <v>xx</v>
      </c>
      <c r="E394" s="868"/>
      <c r="F394" s="891" t="str">
        <f>'refer admin discharge'!H390</f>
        <v>00/00/0000</v>
      </c>
      <c r="G394" s="892"/>
      <c r="H394" s="894"/>
      <c r="I394" s="894"/>
      <c r="J394" s="918"/>
      <c r="K394" s="918"/>
      <c r="L394" s="894"/>
      <c r="M394" s="894"/>
      <c r="N394" s="916"/>
      <c r="O394" s="916"/>
      <c r="P394" s="894"/>
      <c r="Q394" s="894"/>
      <c r="R394" s="916"/>
      <c r="S394" s="916"/>
      <c r="T394" s="894"/>
      <c r="U394" s="894"/>
      <c r="V394" s="921" t="str">
        <f>'refer admin discharge'!H395</f>
        <v>00/00/0000</v>
      </c>
      <c r="W394" s="922"/>
      <c r="X394" s="920"/>
      <c r="Y394" s="920"/>
      <c r="Z394" s="919"/>
      <c r="AA394" s="919"/>
      <c r="AB394" s="920"/>
      <c r="AC394" s="920"/>
      <c r="AD394" s="912"/>
      <c r="AE394" s="912"/>
      <c r="AF394" s="920"/>
      <c r="AG394" s="920"/>
      <c r="AH394" s="912"/>
      <c r="AI394" s="912"/>
      <c r="AJ394" s="920"/>
      <c r="AK394" s="920"/>
      <c r="AL394" s="905"/>
      <c r="AM394" s="906"/>
      <c r="AN394" s="906"/>
      <c r="AO394" s="906"/>
      <c r="AP394" s="906"/>
      <c r="AQ394" s="906"/>
      <c r="AR394" s="906"/>
      <c r="AS394" s="906"/>
      <c r="AT394" s="906"/>
      <c r="AU394" s="906"/>
      <c r="AV394" s="906"/>
      <c r="AW394" s="906"/>
      <c r="AX394" s="906"/>
      <c r="AY394" s="906"/>
      <c r="AZ394" s="906"/>
      <c r="BA394" s="906"/>
      <c r="BB394" s="907"/>
    </row>
    <row r="395" spans="1:54" x14ac:dyDescent="0.25">
      <c r="A395" s="13">
        <f t="shared" si="5"/>
        <v>382</v>
      </c>
      <c r="B395" s="914" t="str">
        <f>'refer admin discharge'!B391</f>
        <v>x</v>
      </c>
      <c r="C395" s="914"/>
      <c r="D395" s="889" t="str">
        <f>'refer admin discharge'!D391</f>
        <v>xx</v>
      </c>
      <c r="E395" s="889"/>
      <c r="F395" s="915" t="str">
        <f>'refer admin discharge'!H391</f>
        <v>00/00/0000</v>
      </c>
      <c r="G395" s="890"/>
      <c r="H395" s="916"/>
      <c r="I395" s="916"/>
      <c r="J395" s="917"/>
      <c r="K395" s="917"/>
      <c r="L395" s="916"/>
      <c r="M395" s="916"/>
      <c r="N395" s="893"/>
      <c r="O395" s="893"/>
      <c r="P395" s="916"/>
      <c r="Q395" s="916"/>
      <c r="R395" s="893"/>
      <c r="S395" s="893"/>
      <c r="T395" s="916"/>
      <c r="U395" s="916"/>
      <c r="V395" s="921" t="str">
        <f>'refer admin discharge'!H396</f>
        <v>00/00/0000</v>
      </c>
      <c r="W395" s="922"/>
      <c r="X395" s="912"/>
      <c r="Y395" s="912"/>
      <c r="Z395" s="924"/>
      <c r="AA395" s="924"/>
      <c r="AB395" s="912"/>
      <c r="AC395" s="912"/>
      <c r="AD395" s="913"/>
      <c r="AE395" s="913"/>
      <c r="AF395" s="912"/>
      <c r="AG395" s="912"/>
      <c r="AH395" s="913"/>
      <c r="AI395" s="913"/>
      <c r="AJ395" s="912"/>
      <c r="AK395" s="912"/>
      <c r="AL395" s="925"/>
      <c r="AM395" s="926"/>
      <c r="AN395" s="926"/>
      <c r="AO395" s="926"/>
      <c r="AP395" s="926"/>
      <c r="AQ395" s="926"/>
      <c r="AR395" s="926"/>
      <c r="AS395" s="926"/>
      <c r="AT395" s="926"/>
      <c r="AU395" s="926"/>
      <c r="AV395" s="926"/>
      <c r="AW395" s="926"/>
      <c r="AX395" s="926"/>
      <c r="AY395" s="926"/>
      <c r="AZ395" s="926"/>
      <c r="BA395" s="926"/>
      <c r="BB395" s="927"/>
    </row>
    <row r="396" spans="1:54" x14ac:dyDescent="0.25">
      <c r="A396" s="13">
        <f t="shared" si="5"/>
        <v>383</v>
      </c>
      <c r="B396" s="888" t="str">
        <f>'refer admin discharge'!B392</f>
        <v>x</v>
      </c>
      <c r="C396" s="888"/>
      <c r="D396" s="868" t="str">
        <f>'refer admin discharge'!D392</f>
        <v>xx</v>
      </c>
      <c r="E396" s="868"/>
      <c r="F396" s="891" t="str">
        <f>'refer admin discharge'!H392</f>
        <v>00/00/0000</v>
      </c>
      <c r="G396" s="892"/>
      <c r="H396" s="894"/>
      <c r="I396" s="894"/>
      <c r="J396" s="918"/>
      <c r="K396" s="918"/>
      <c r="L396" s="894"/>
      <c r="M396" s="894"/>
      <c r="N396" s="916"/>
      <c r="O396" s="916"/>
      <c r="P396" s="894"/>
      <c r="Q396" s="894"/>
      <c r="R396" s="916"/>
      <c r="S396" s="916"/>
      <c r="T396" s="894"/>
      <c r="U396" s="894"/>
      <c r="V396" s="921" t="str">
        <f>'refer admin discharge'!H397</f>
        <v>00/00/0000</v>
      </c>
      <c r="W396" s="922"/>
      <c r="X396" s="920"/>
      <c r="Y396" s="920"/>
      <c r="Z396" s="919"/>
      <c r="AA396" s="919"/>
      <c r="AB396" s="920"/>
      <c r="AC396" s="920"/>
      <c r="AD396" s="912"/>
      <c r="AE396" s="912"/>
      <c r="AF396" s="920"/>
      <c r="AG396" s="920"/>
      <c r="AH396" s="912"/>
      <c r="AI396" s="912"/>
      <c r="AJ396" s="920"/>
      <c r="AK396" s="920"/>
      <c r="AL396" s="905"/>
      <c r="AM396" s="906"/>
      <c r="AN396" s="906"/>
      <c r="AO396" s="906"/>
      <c r="AP396" s="906"/>
      <c r="AQ396" s="906"/>
      <c r="AR396" s="906"/>
      <c r="AS396" s="906"/>
      <c r="AT396" s="906"/>
      <c r="AU396" s="906"/>
      <c r="AV396" s="906"/>
      <c r="AW396" s="906"/>
      <c r="AX396" s="906"/>
      <c r="AY396" s="906"/>
      <c r="AZ396" s="906"/>
      <c r="BA396" s="906"/>
      <c r="BB396" s="907"/>
    </row>
    <row r="397" spans="1:54" x14ac:dyDescent="0.25">
      <c r="A397" s="13">
        <f t="shared" si="5"/>
        <v>384</v>
      </c>
      <c r="B397" s="914" t="str">
        <f>'refer admin discharge'!B393</f>
        <v>x</v>
      </c>
      <c r="C397" s="914"/>
      <c r="D397" s="889" t="str">
        <f>'refer admin discharge'!D393</f>
        <v>xx</v>
      </c>
      <c r="E397" s="889"/>
      <c r="F397" s="915" t="str">
        <f>'refer admin discharge'!H393</f>
        <v>00/00/0000</v>
      </c>
      <c r="G397" s="890"/>
      <c r="H397" s="916"/>
      <c r="I397" s="916"/>
      <c r="J397" s="917"/>
      <c r="K397" s="917"/>
      <c r="L397" s="916"/>
      <c r="M397" s="916"/>
      <c r="N397" s="893"/>
      <c r="O397" s="893"/>
      <c r="P397" s="916"/>
      <c r="Q397" s="916"/>
      <c r="R397" s="893"/>
      <c r="S397" s="893"/>
      <c r="T397" s="916"/>
      <c r="U397" s="916"/>
      <c r="V397" s="921" t="str">
        <f>'refer admin discharge'!H398</f>
        <v>00/00/0000</v>
      </c>
      <c r="W397" s="922"/>
      <c r="X397" s="912"/>
      <c r="Y397" s="912"/>
      <c r="Z397" s="924"/>
      <c r="AA397" s="924"/>
      <c r="AB397" s="912"/>
      <c r="AC397" s="912"/>
      <c r="AD397" s="913"/>
      <c r="AE397" s="913"/>
      <c r="AF397" s="912"/>
      <c r="AG397" s="912"/>
      <c r="AH397" s="913"/>
      <c r="AI397" s="913"/>
      <c r="AJ397" s="912"/>
      <c r="AK397" s="912"/>
      <c r="AL397" s="925"/>
      <c r="AM397" s="926"/>
      <c r="AN397" s="926"/>
      <c r="AO397" s="926"/>
      <c r="AP397" s="926"/>
      <c r="AQ397" s="926"/>
      <c r="AR397" s="926"/>
      <c r="AS397" s="926"/>
      <c r="AT397" s="926"/>
      <c r="AU397" s="926"/>
      <c r="AV397" s="926"/>
      <c r="AW397" s="926"/>
      <c r="AX397" s="926"/>
      <c r="AY397" s="926"/>
      <c r="AZ397" s="926"/>
      <c r="BA397" s="926"/>
      <c r="BB397" s="927"/>
    </row>
    <row r="398" spans="1:54" x14ac:dyDescent="0.25">
      <c r="A398" s="13">
        <f t="shared" ref="A398:A461" si="6">ROW(A385)</f>
        <v>385</v>
      </c>
      <c r="B398" s="888" t="str">
        <f>'refer admin discharge'!B394</f>
        <v>x</v>
      </c>
      <c r="C398" s="888"/>
      <c r="D398" s="868" t="str">
        <f>'refer admin discharge'!D394</f>
        <v>xx</v>
      </c>
      <c r="E398" s="868"/>
      <c r="F398" s="891" t="str">
        <f>'refer admin discharge'!H394</f>
        <v>00/00/0000</v>
      </c>
      <c r="G398" s="892"/>
      <c r="H398" s="894"/>
      <c r="I398" s="894"/>
      <c r="J398" s="918"/>
      <c r="K398" s="918"/>
      <c r="L398" s="894"/>
      <c r="M398" s="894"/>
      <c r="N398" s="916"/>
      <c r="O398" s="916"/>
      <c r="P398" s="894"/>
      <c r="Q398" s="894"/>
      <c r="R398" s="916"/>
      <c r="S398" s="916"/>
      <c r="T398" s="894"/>
      <c r="U398" s="894"/>
      <c r="V398" s="921" t="str">
        <f>'refer admin discharge'!H399</f>
        <v>00/00/0000</v>
      </c>
      <c r="W398" s="922"/>
      <c r="X398" s="920"/>
      <c r="Y398" s="920"/>
      <c r="Z398" s="919"/>
      <c r="AA398" s="919"/>
      <c r="AB398" s="920"/>
      <c r="AC398" s="920"/>
      <c r="AD398" s="912"/>
      <c r="AE398" s="912"/>
      <c r="AF398" s="920"/>
      <c r="AG398" s="920"/>
      <c r="AH398" s="912"/>
      <c r="AI398" s="912"/>
      <c r="AJ398" s="920"/>
      <c r="AK398" s="920"/>
      <c r="AL398" s="905"/>
      <c r="AM398" s="906"/>
      <c r="AN398" s="906"/>
      <c r="AO398" s="906"/>
      <c r="AP398" s="906"/>
      <c r="AQ398" s="906"/>
      <c r="AR398" s="906"/>
      <c r="AS398" s="906"/>
      <c r="AT398" s="906"/>
      <c r="AU398" s="906"/>
      <c r="AV398" s="906"/>
      <c r="AW398" s="906"/>
      <c r="AX398" s="906"/>
      <c r="AY398" s="906"/>
      <c r="AZ398" s="906"/>
      <c r="BA398" s="906"/>
      <c r="BB398" s="907"/>
    </row>
    <row r="399" spans="1:54" x14ac:dyDescent="0.25">
      <c r="A399" s="13">
        <f t="shared" si="6"/>
        <v>386</v>
      </c>
      <c r="B399" s="914" t="str">
        <f>'refer admin discharge'!B395</f>
        <v>x</v>
      </c>
      <c r="C399" s="914"/>
      <c r="D399" s="889" t="str">
        <f>'refer admin discharge'!D395</f>
        <v>xx</v>
      </c>
      <c r="E399" s="889"/>
      <c r="F399" s="915" t="str">
        <f>'refer admin discharge'!H395</f>
        <v>00/00/0000</v>
      </c>
      <c r="G399" s="890"/>
      <c r="H399" s="916"/>
      <c r="I399" s="916"/>
      <c r="J399" s="917"/>
      <c r="K399" s="917"/>
      <c r="L399" s="916"/>
      <c r="M399" s="916"/>
      <c r="N399" s="893"/>
      <c r="O399" s="893"/>
      <c r="P399" s="916"/>
      <c r="Q399" s="916"/>
      <c r="R399" s="893"/>
      <c r="S399" s="893"/>
      <c r="T399" s="916"/>
      <c r="U399" s="916"/>
      <c r="V399" s="921" t="str">
        <f>'refer admin discharge'!H400</f>
        <v>00/00/0000</v>
      </c>
      <c r="W399" s="922"/>
      <c r="X399" s="912"/>
      <c r="Y399" s="912"/>
      <c r="Z399" s="924"/>
      <c r="AA399" s="924"/>
      <c r="AB399" s="912"/>
      <c r="AC399" s="912"/>
      <c r="AD399" s="913"/>
      <c r="AE399" s="913"/>
      <c r="AF399" s="912"/>
      <c r="AG399" s="912"/>
      <c r="AH399" s="913"/>
      <c r="AI399" s="913"/>
      <c r="AJ399" s="912"/>
      <c r="AK399" s="912"/>
      <c r="AL399" s="925"/>
      <c r="AM399" s="926"/>
      <c r="AN399" s="926"/>
      <c r="AO399" s="926"/>
      <c r="AP399" s="926"/>
      <c r="AQ399" s="926"/>
      <c r="AR399" s="926"/>
      <c r="AS399" s="926"/>
      <c r="AT399" s="926"/>
      <c r="AU399" s="926"/>
      <c r="AV399" s="926"/>
      <c r="AW399" s="926"/>
      <c r="AX399" s="926"/>
      <c r="AY399" s="926"/>
      <c r="AZ399" s="926"/>
      <c r="BA399" s="926"/>
      <c r="BB399" s="927"/>
    </row>
    <row r="400" spans="1:54" x14ac:dyDescent="0.25">
      <c r="A400" s="13">
        <f t="shared" si="6"/>
        <v>387</v>
      </c>
      <c r="B400" s="888" t="str">
        <f>'refer admin discharge'!B396</f>
        <v>x</v>
      </c>
      <c r="C400" s="888"/>
      <c r="D400" s="868" t="str">
        <f>'refer admin discharge'!D396</f>
        <v>xx</v>
      </c>
      <c r="E400" s="868"/>
      <c r="F400" s="891" t="str">
        <f>'refer admin discharge'!H396</f>
        <v>00/00/0000</v>
      </c>
      <c r="G400" s="892"/>
      <c r="H400" s="894"/>
      <c r="I400" s="894"/>
      <c r="J400" s="918"/>
      <c r="K400" s="918"/>
      <c r="L400" s="894"/>
      <c r="M400" s="894"/>
      <c r="N400" s="916"/>
      <c r="O400" s="916"/>
      <c r="P400" s="894"/>
      <c r="Q400" s="894"/>
      <c r="R400" s="916"/>
      <c r="S400" s="916"/>
      <c r="T400" s="894"/>
      <c r="U400" s="894"/>
      <c r="V400" s="921" t="str">
        <f>'refer admin discharge'!H401</f>
        <v>00/00/0000</v>
      </c>
      <c r="W400" s="922"/>
      <c r="X400" s="920"/>
      <c r="Y400" s="920"/>
      <c r="Z400" s="919"/>
      <c r="AA400" s="919"/>
      <c r="AB400" s="920"/>
      <c r="AC400" s="920"/>
      <c r="AD400" s="912"/>
      <c r="AE400" s="912"/>
      <c r="AF400" s="920"/>
      <c r="AG400" s="920"/>
      <c r="AH400" s="912"/>
      <c r="AI400" s="912"/>
      <c r="AJ400" s="920"/>
      <c r="AK400" s="920"/>
      <c r="AL400" s="905"/>
      <c r="AM400" s="906"/>
      <c r="AN400" s="906"/>
      <c r="AO400" s="906"/>
      <c r="AP400" s="906"/>
      <c r="AQ400" s="906"/>
      <c r="AR400" s="906"/>
      <c r="AS400" s="906"/>
      <c r="AT400" s="906"/>
      <c r="AU400" s="906"/>
      <c r="AV400" s="906"/>
      <c r="AW400" s="906"/>
      <c r="AX400" s="906"/>
      <c r="AY400" s="906"/>
      <c r="AZ400" s="906"/>
      <c r="BA400" s="906"/>
      <c r="BB400" s="907"/>
    </row>
    <row r="401" spans="1:54" x14ac:dyDescent="0.25">
      <c r="A401" s="13">
        <f t="shared" si="6"/>
        <v>388</v>
      </c>
      <c r="B401" s="914" t="str">
        <f>'refer admin discharge'!B397</f>
        <v>x</v>
      </c>
      <c r="C401" s="914"/>
      <c r="D401" s="889" t="str">
        <f>'refer admin discharge'!D397</f>
        <v>xx</v>
      </c>
      <c r="E401" s="889"/>
      <c r="F401" s="915" t="str">
        <f>'refer admin discharge'!H397</f>
        <v>00/00/0000</v>
      </c>
      <c r="G401" s="890"/>
      <c r="H401" s="916"/>
      <c r="I401" s="916"/>
      <c r="J401" s="917"/>
      <c r="K401" s="917"/>
      <c r="L401" s="916"/>
      <c r="M401" s="916"/>
      <c r="N401" s="893"/>
      <c r="O401" s="893"/>
      <c r="P401" s="916"/>
      <c r="Q401" s="916"/>
      <c r="R401" s="893"/>
      <c r="S401" s="893"/>
      <c r="T401" s="916"/>
      <c r="U401" s="916"/>
      <c r="V401" s="921" t="str">
        <f>'refer admin discharge'!H402</f>
        <v>00/00/0000</v>
      </c>
      <c r="W401" s="922"/>
      <c r="X401" s="912"/>
      <c r="Y401" s="912"/>
      <c r="Z401" s="924"/>
      <c r="AA401" s="924"/>
      <c r="AB401" s="912"/>
      <c r="AC401" s="912"/>
      <c r="AD401" s="913"/>
      <c r="AE401" s="913"/>
      <c r="AF401" s="912"/>
      <c r="AG401" s="912"/>
      <c r="AH401" s="913"/>
      <c r="AI401" s="913"/>
      <c r="AJ401" s="912"/>
      <c r="AK401" s="912"/>
      <c r="AL401" s="925"/>
      <c r="AM401" s="926"/>
      <c r="AN401" s="926"/>
      <c r="AO401" s="926"/>
      <c r="AP401" s="926"/>
      <c r="AQ401" s="926"/>
      <c r="AR401" s="926"/>
      <c r="AS401" s="926"/>
      <c r="AT401" s="926"/>
      <c r="AU401" s="926"/>
      <c r="AV401" s="926"/>
      <c r="AW401" s="926"/>
      <c r="AX401" s="926"/>
      <c r="AY401" s="926"/>
      <c r="AZ401" s="926"/>
      <c r="BA401" s="926"/>
      <c r="BB401" s="927"/>
    </row>
    <row r="402" spans="1:54" x14ac:dyDescent="0.25">
      <c r="A402" s="13">
        <f t="shared" si="6"/>
        <v>389</v>
      </c>
      <c r="B402" s="888" t="str">
        <f>'refer admin discharge'!B398</f>
        <v>x</v>
      </c>
      <c r="C402" s="888"/>
      <c r="D402" s="868" t="str">
        <f>'refer admin discharge'!D398</f>
        <v>xx</v>
      </c>
      <c r="E402" s="868"/>
      <c r="F402" s="891" t="str">
        <f>'refer admin discharge'!H398</f>
        <v>00/00/0000</v>
      </c>
      <c r="G402" s="892"/>
      <c r="H402" s="894"/>
      <c r="I402" s="894"/>
      <c r="J402" s="918"/>
      <c r="K402" s="918"/>
      <c r="L402" s="894"/>
      <c r="M402" s="894"/>
      <c r="N402" s="916"/>
      <c r="O402" s="916"/>
      <c r="P402" s="894"/>
      <c r="Q402" s="894"/>
      <c r="R402" s="916"/>
      <c r="S402" s="916"/>
      <c r="T402" s="894"/>
      <c r="U402" s="894"/>
      <c r="V402" s="921" t="str">
        <f>'refer admin discharge'!H403</f>
        <v>00/00/0000</v>
      </c>
      <c r="W402" s="922"/>
      <c r="X402" s="920"/>
      <c r="Y402" s="920"/>
      <c r="Z402" s="919"/>
      <c r="AA402" s="919"/>
      <c r="AB402" s="920"/>
      <c r="AC402" s="920"/>
      <c r="AD402" s="912"/>
      <c r="AE402" s="912"/>
      <c r="AF402" s="920"/>
      <c r="AG402" s="920"/>
      <c r="AH402" s="912"/>
      <c r="AI402" s="912"/>
      <c r="AJ402" s="920"/>
      <c r="AK402" s="920"/>
      <c r="AL402" s="905"/>
      <c r="AM402" s="906"/>
      <c r="AN402" s="906"/>
      <c r="AO402" s="906"/>
      <c r="AP402" s="906"/>
      <c r="AQ402" s="906"/>
      <c r="AR402" s="906"/>
      <c r="AS402" s="906"/>
      <c r="AT402" s="906"/>
      <c r="AU402" s="906"/>
      <c r="AV402" s="906"/>
      <c r="AW402" s="906"/>
      <c r="AX402" s="906"/>
      <c r="AY402" s="906"/>
      <c r="AZ402" s="906"/>
      <c r="BA402" s="906"/>
      <c r="BB402" s="907"/>
    </row>
    <row r="403" spans="1:54" x14ac:dyDescent="0.25">
      <c r="A403" s="13">
        <f t="shared" si="6"/>
        <v>390</v>
      </c>
      <c r="B403" s="914" t="str">
        <f>'refer admin discharge'!B399</f>
        <v>x</v>
      </c>
      <c r="C403" s="914"/>
      <c r="D403" s="889" t="str">
        <f>'refer admin discharge'!D399</f>
        <v>xx</v>
      </c>
      <c r="E403" s="889"/>
      <c r="F403" s="915" t="str">
        <f>'refer admin discharge'!H399</f>
        <v>00/00/0000</v>
      </c>
      <c r="G403" s="890"/>
      <c r="H403" s="916"/>
      <c r="I403" s="916"/>
      <c r="J403" s="917"/>
      <c r="K403" s="917"/>
      <c r="L403" s="916"/>
      <c r="M403" s="916"/>
      <c r="N403" s="893"/>
      <c r="O403" s="893"/>
      <c r="P403" s="916"/>
      <c r="Q403" s="916"/>
      <c r="R403" s="893"/>
      <c r="S403" s="893"/>
      <c r="T403" s="916"/>
      <c r="U403" s="916"/>
      <c r="V403" s="921" t="str">
        <f>'refer admin discharge'!H404</f>
        <v>00/00/0000</v>
      </c>
      <c r="W403" s="922"/>
      <c r="X403" s="912"/>
      <c r="Y403" s="912"/>
      <c r="Z403" s="924"/>
      <c r="AA403" s="924"/>
      <c r="AB403" s="912"/>
      <c r="AC403" s="912"/>
      <c r="AD403" s="913"/>
      <c r="AE403" s="913"/>
      <c r="AF403" s="912"/>
      <c r="AG403" s="912"/>
      <c r="AH403" s="913"/>
      <c r="AI403" s="913"/>
      <c r="AJ403" s="912"/>
      <c r="AK403" s="912"/>
      <c r="AL403" s="925"/>
      <c r="AM403" s="926"/>
      <c r="AN403" s="926"/>
      <c r="AO403" s="926"/>
      <c r="AP403" s="926"/>
      <c r="AQ403" s="926"/>
      <c r="AR403" s="926"/>
      <c r="AS403" s="926"/>
      <c r="AT403" s="926"/>
      <c r="AU403" s="926"/>
      <c r="AV403" s="926"/>
      <c r="AW403" s="926"/>
      <c r="AX403" s="926"/>
      <c r="AY403" s="926"/>
      <c r="AZ403" s="926"/>
      <c r="BA403" s="926"/>
      <c r="BB403" s="927"/>
    </row>
    <row r="404" spans="1:54" x14ac:dyDescent="0.25">
      <c r="A404" s="13">
        <f t="shared" si="6"/>
        <v>391</v>
      </c>
      <c r="B404" s="888" t="str">
        <f>'refer admin discharge'!B400</f>
        <v>x</v>
      </c>
      <c r="C404" s="888"/>
      <c r="D404" s="868" t="str">
        <f>'refer admin discharge'!D400</f>
        <v>xx</v>
      </c>
      <c r="E404" s="868"/>
      <c r="F404" s="891" t="str">
        <f>'refer admin discharge'!H400</f>
        <v>00/00/0000</v>
      </c>
      <c r="G404" s="892"/>
      <c r="H404" s="894"/>
      <c r="I404" s="894"/>
      <c r="J404" s="918"/>
      <c r="K404" s="918"/>
      <c r="L404" s="894"/>
      <c r="M404" s="894"/>
      <c r="N404" s="916"/>
      <c r="O404" s="916"/>
      <c r="P404" s="894"/>
      <c r="Q404" s="894"/>
      <c r="R404" s="916"/>
      <c r="S404" s="916"/>
      <c r="T404" s="894"/>
      <c r="U404" s="894"/>
      <c r="V404" s="921" t="str">
        <f>'refer admin discharge'!H405</f>
        <v>00/00/0000</v>
      </c>
      <c r="W404" s="922"/>
      <c r="X404" s="920"/>
      <c r="Y404" s="920"/>
      <c r="Z404" s="919"/>
      <c r="AA404" s="919"/>
      <c r="AB404" s="920"/>
      <c r="AC404" s="920"/>
      <c r="AD404" s="912"/>
      <c r="AE404" s="912"/>
      <c r="AF404" s="920"/>
      <c r="AG404" s="920"/>
      <c r="AH404" s="912"/>
      <c r="AI404" s="912"/>
      <c r="AJ404" s="920"/>
      <c r="AK404" s="920"/>
      <c r="AL404" s="905"/>
      <c r="AM404" s="906"/>
      <c r="AN404" s="906"/>
      <c r="AO404" s="906"/>
      <c r="AP404" s="906"/>
      <c r="AQ404" s="906"/>
      <c r="AR404" s="906"/>
      <c r="AS404" s="906"/>
      <c r="AT404" s="906"/>
      <c r="AU404" s="906"/>
      <c r="AV404" s="906"/>
      <c r="AW404" s="906"/>
      <c r="AX404" s="906"/>
      <c r="AY404" s="906"/>
      <c r="AZ404" s="906"/>
      <c r="BA404" s="906"/>
      <c r="BB404" s="907"/>
    </row>
    <row r="405" spans="1:54" x14ac:dyDescent="0.25">
      <c r="A405" s="13">
        <f t="shared" si="6"/>
        <v>392</v>
      </c>
      <c r="B405" s="914" t="str">
        <f>'refer admin discharge'!B401</f>
        <v>x</v>
      </c>
      <c r="C405" s="914"/>
      <c r="D405" s="889" t="str">
        <f>'refer admin discharge'!D401</f>
        <v>xx</v>
      </c>
      <c r="E405" s="889"/>
      <c r="F405" s="915" t="str">
        <f>'refer admin discharge'!H401</f>
        <v>00/00/0000</v>
      </c>
      <c r="G405" s="890"/>
      <c r="H405" s="916"/>
      <c r="I405" s="916"/>
      <c r="J405" s="917"/>
      <c r="K405" s="917"/>
      <c r="L405" s="916"/>
      <c r="M405" s="916"/>
      <c r="N405" s="893"/>
      <c r="O405" s="893"/>
      <c r="P405" s="916"/>
      <c r="Q405" s="916"/>
      <c r="R405" s="893"/>
      <c r="S405" s="893"/>
      <c r="T405" s="916"/>
      <c r="U405" s="916"/>
      <c r="V405" s="921" t="str">
        <f>'refer admin discharge'!H406</f>
        <v>00/00/0000</v>
      </c>
      <c r="W405" s="922"/>
      <c r="X405" s="912"/>
      <c r="Y405" s="912"/>
      <c r="Z405" s="924"/>
      <c r="AA405" s="924"/>
      <c r="AB405" s="912"/>
      <c r="AC405" s="912"/>
      <c r="AD405" s="913"/>
      <c r="AE405" s="913"/>
      <c r="AF405" s="912"/>
      <c r="AG405" s="912"/>
      <c r="AH405" s="913"/>
      <c r="AI405" s="913"/>
      <c r="AJ405" s="912"/>
      <c r="AK405" s="912"/>
      <c r="AL405" s="925"/>
      <c r="AM405" s="926"/>
      <c r="AN405" s="926"/>
      <c r="AO405" s="926"/>
      <c r="AP405" s="926"/>
      <c r="AQ405" s="926"/>
      <c r="AR405" s="926"/>
      <c r="AS405" s="926"/>
      <c r="AT405" s="926"/>
      <c r="AU405" s="926"/>
      <c r="AV405" s="926"/>
      <c r="AW405" s="926"/>
      <c r="AX405" s="926"/>
      <c r="AY405" s="926"/>
      <c r="AZ405" s="926"/>
      <c r="BA405" s="926"/>
      <c r="BB405" s="927"/>
    </row>
    <row r="406" spans="1:54" x14ac:dyDescent="0.25">
      <c r="A406" s="13">
        <f t="shared" si="6"/>
        <v>393</v>
      </c>
      <c r="B406" s="888" t="str">
        <f>'refer admin discharge'!B402</f>
        <v>x</v>
      </c>
      <c r="C406" s="888"/>
      <c r="D406" s="868" t="str">
        <f>'refer admin discharge'!D402</f>
        <v>xx</v>
      </c>
      <c r="E406" s="868"/>
      <c r="F406" s="891" t="str">
        <f>'refer admin discharge'!H402</f>
        <v>00/00/0000</v>
      </c>
      <c r="G406" s="892"/>
      <c r="H406" s="894"/>
      <c r="I406" s="894"/>
      <c r="J406" s="918"/>
      <c r="K406" s="918"/>
      <c r="L406" s="894"/>
      <c r="M406" s="894"/>
      <c r="N406" s="916"/>
      <c r="O406" s="916"/>
      <c r="P406" s="894"/>
      <c r="Q406" s="894"/>
      <c r="R406" s="916"/>
      <c r="S406" s="916"/>
      <c r="T406" s="894"/>
      <c r="U406" s="894"/>
      <c r="V406" s="921" t="str">
        <f>'refer admin discharge'!H407</f>
        <v>00/00/0000</v>
      </c>
      <c r="W406" s="922"/>
      <c r="X406" s="920"/>
      <c r="Y406" s="920"/>
      <c r="Z406" s="919"/>
      <c r="AA406" s="919"/>
      <c r="AB406" s="920"/>
      <c r="AC406" s="920"/>
      <c r="AD406" s="912"/>
      <c r="AE406" s="912"/>
      <c r="AF406" s="920"/>
      <c r="AG406" s="920"/>
      <c r="AH406" s="912"/>
      <c r="AI406" s="912"/>
      <c r="AJ406" s="920"/>
      <c r="AK406" s="920"/>
      <c r="AL406" s="905"/>
      <c r="AM406" s="906"/>
      <c r="AN406" s="906"/>
      <c r="AO406" s="906"/>
      <c r="AP406" s="906"/>
      <c r="AQ406" s="906"/>
      <c r="AR406" s="906"/>
      <c r="AS406" s="906"/>
      <c r="AT406" s="906"/>
      <c r="AU406" s="906"/>
      <c r="AV406" s="906"/>
      <c r="AW406" s="906"/>
      <c r="AX406" s="906"/>
      <c r="AY406" s="906"/>
      <c r="AZ406" s="906"/>
      <c r="BA406" s="906"/>
      <c r="BB406" s="907"/>
    </row>
    <row r="407" spans="1:54" x14ac:dyDescent="0.25">
      <c r="A407" s="13">
        <f t="shared" si="6"/>
        <v>394</v>
      </c>
      <c r="B407" s="914" t="str">
        <f>'refer admin discharge'!B403</f>
        <v>x</v>
      </c>
      <c r="C407" s="914"/>
      <c r="D407" s="889" t="str">
        <f>'refer admin discharge'!D403</f>
        <v>xx</v>
      </c>
      <c r="E407" s="889"/>
      <c r="F407" s="915" t="str">
        <f>'refer admin discharge'!H403</f>
        <v>00/00/0000</v>
      </c>
      <c r="G407" s="890"/>
      <c r="H407" s="916"/>
      <c r="I407" s="916"/>
      <c r="J407" s="917"/>
      <c r="K407" s="917"/>
      <c r="L407" s="916"/>
      <c r="M407" s="916"/>
      <c r="N407" s="893"/>
      <c r="O407" s="893"/>
      <c r="P407" s="916"/>
      <c r="Q407" s="916"/>
      <c r="R407" s="893"/>
      <c r="S407" s="893"/>
      <c r="T407" s="916"/>
      <c r="U407" s="916"/>
      <c r="V407" s="921" t="str">
        <f>'refer admin discharge'!H408</f>
        <v>00/00/0000</v>
      </c>
      <c r="W407" s="922"/>
      <c r="X407" s="912"/>
      <c r="Y407" s="912"/>
      <c r="Z407" s="924"/>
      <c r="AA407" s="924"/>
      <c r="AB407" s="912"/>
      <c r="AC407" s="912"/>
      <c r="AD407" s="913"/>
      <c r="AE407" s="913"/>
      <c r="AF407" s="912"/>
      <c r="AG407" s="912"/>
      <c r="AH407" s="913"/>
      <c r="AI407" s="913"/>
      <c r="AJ407" s="912"/>
      <c r="AK407" s="912"/>
      <c r="AL407" s="925"/>
      <c r="AM407" s="926"/>
      <c r="AN407" s="926"/>
      <c r="AO407" s="926"/>
      <c r="AP407" s="926"/>
      <c r="AQ407" s="926"/>
      <c r="AR407" s="926"/>
      <c r="AS407" s="926"/>
      <c r="AT407" s="926"/>
      <c r="AU407" s="926"/>
      <c r="AV407" s="926"/>
      <c r="AW407" s="926"/>
      <c r="AX407" s="926"/>
      <c r="AY407" s="926"/>
      <c r="AZ407" s="926"/>
      <c r="BA407" s="926"/>
      <c r="BB407" s="927"/>
    </row>
    <row r="408" spans="1:54" x14ac:dyDescent="0.25">
      <c r="A408" s="13">
        <f t="shared" si="6"/>
        <v>395</v>
      </c>
      <c r="B408" s="888" t="str">
        <f>'refer admin discharge'!B404</f>
        <v>x</v>
      </c>
      <c r="C408" s="888"/>
      <c r="D408" s="868" t="str">
        <f>'refer admin discharge'!D404</f>
        <v>xx</v>
      </c>
      <c r="E408" s="868"/>
      <c r="F408" s="891" t="str">
        <f>'refer admin discharge'!H404</f>
        <v>00/00/0000</v>
      </c>
      <c r="G408" s="892"/>
      <c r="H408" s="894"/>
      <c r="I408" s="894"/>
      <c r="J408" s="918"/>
      <c r="K408" s="918"/>
      <c r="L408" s="894"/>
      <c r="M408" s="894"/>
      <c r="N408" s="916"/>
      <c r="O408" s="916"/>
      <c r="P408" s="894"/>
      <c r="Q408" s="894"/>
      <c r="R408" s="916"/>
      <c r="S408" s="916"/>
      <c r="T408" s="894"/>
      <c r="U408" s="894"/>
      <c r="V408" s="921" t="str">
        <f>'refer admin discharge'!H409</f>
        <v>00/00/0000</v>
      </c>
      <c r="W408" s="922"/>
      <c r="X408" s="920"/>
      <c r="Y408" s="920"/>
      <c r="Z408" s="919"/>
      <c r="AA408" s="919"/>
      <c r="AB408" s="920"/>
      <c r="AC408" s="920"/>
      <c r="AD408" s="912"/>
      <c r="AE408" s="912"/>
      <c r="AF408" s="920"/>
      <c r="AG408" s="920"/>
      <c r="AH408" s="912"/>
      <c r="AI408" s="912"/>
      <c r="AJ408" s="920"/>
      <c r="AK408" s="920"/>
      <c r="AL408" s="905"/>
      <c r="AM408" s="906"/>
      <c r="AN408" s="906"/>
      <c r="AO408" s="906"/>
      <c r="AP408" s="906"/>
      <c r="AQ408" s="906"/>
      <c r="AR408" s="906"/>
      <c r="AS408" s="906"/>
      <c r="AT408" s="906"/>
      <c r="AU408" s="906"/>
      <c r="AV408" s="906"/>
      <c r="AW408" s="906"/>
      <c r="AX408" s="906"/>
      <c r="AY408" s="906"/>
      <c r="AZ408" s="906"/>
      <c r="BA408" s="906"/>
      <c r="BB408" s="907"/>
    </row>
    <row r="409" spans="1:54" x14ac:dyDescent="0.25">
      <c r="A409" s="13">
        <f t="shared" si="6"/>
        <v>396</v>
      </c>
      <c r="B409" s="914" t="str">
        <f>'refer admin discharge'!B405</f>
        <v>x</v>
      </c>
      <c r="C409" s="914"/>
      <c r="D409" s="889" t="str">
        <f>'refer admin discharge'!D405</f>
        <v>xx</v>
      </c>
      <c r="E409" s="889"/>
      <c r="F409" s="915" t="str">
        <f>'refer admin discharge'!H405</f>
        <v>00/00/0000</v>
      </c>
      <c r="G409" s="890"/>
      <c r="H409" s="916"/>
      <c r="I409" s="916"/>
      <c r="J409" s="917"/>
      <c r="K409" s="917"/>
      <c r="L409" s="916"/>
      <c r="M409" s="916"/>
      <c r="N409" s="893"/>
      <c r="O409" s="893"/>
      <c r="P409" s="916"/>
      <c r="Q409" s="916"/>
      <c r="R409" s="893"/>
      <c r="S409" s="893"/>
      <c r="T409" s="916"/>
      <c r="U409" s="916"/>
      <c r="V409" s="921" t="str">
        <f>'refer admin discharge'!H410</f>
        <v>00/00/0000</v>
      </c>
      <c r="W409" s="922"/>
      <c r="X409" s="912"/>
      <c r="Y409" s="912"/>
      <c r="Z409" s="924"/>
      <c r="AA409" s="924"/>
      <c r="AB409" s="912"/>
      <c r="AC409" s="912"/>
      <c r="AD409" s="913"/>
      <c r="AE409" s="913"/>
      <c r="AF409" s="912"/>
      <c r="AG409" s="912"/>
      <c r="AH409" s="913"/>
      <c r="AI409" s="913"/>
      <c r="AJ409" s="912"/>
      <c r="AK409" s="912"/>
      <c r="AL409" s="925"/>
      <c r="AM409" s="926"/>
      <c r="AN409" s="926"/>
      <c r="AO409" s="926"/>
      <c r="AP409" s="926"/>
      <c r="AQ409" s="926"/>
      <c r="AR409" s="926"/>
      <c r="AS409" s="926"/>
      <c r="AT409" s="926"/>
      <c r="AU409" s="926"/>
      <c r="AV409" s="926"/>
      <c r="AW409" s="926"/>
      <c r="AX409" s="926"/>
      <c r="AY409" s="926"/>
      <c r="AZ409" s="926"/>
      <c r="BA409" s="926"/>
      <c r="BB409" s="927"/>
    </row>
    <row r="410" spans="1:54" x14ac:dyDescent="0.25">
      <c r="A410" s="13">
        <f t="shared" si="6"/>
        <v>397</v>
      </c>
      <c r="B410" s="888" t="str">
        <f>'refer admin discharge'!B406</f>
        <v>x</v>
      </c>
      <c r="C410" s="888"/>
      <c r="D410" s="868" t="str">
        <f>'refer admin discharge'!D406</f>
        <v>xx</v>
      </c>
      <c r="E410" s="868"/>
      <c r="F410" s="891" t="str">
        <f>'refer admin discharge'!H406</f>
        <v>00/00/0000</v>
      </c>
      <c r="G410" s="892"/>
      <c r="H410" s="894"/>
      <c r="I410" s="894"/>
      <c r="J410" s="918"/>
      <c r="K410" s="918"/>
      <c r="L410" s="894"/>
      <c r="M410" s="894"/>
      <c r="N410" s="916"/>
      <c r="O410" s="916"/>
      <c r="P410" s="894"/>
      <c r="Q410" s="894"/>
      <c r="R410" s="916"/>
      <c r="S410" s="916"/>
      <c r="T410" s="894"/>
      <c r="U410" s="894"/>
      <c r="V410" s="921" t="str">
        <f>'refer admin discharge'!H411</f>
        <v>00/00/0000</v>
      </c>
      <c r="W410" s="922"/>
      <c r="X410" s="920"/>
      <c r="Y410" s="920"/>
      <c r="Z410" s="919"/>
      <c r="AA410" s="919"/>
      <c r="AB410" s="920"/>
      <c r="AC410" s="920"/>
      <c r="AD410" s="912"/>
      <c r="AE410" s="912"/>
      <c r="AF410" s="920"/>
      <c r="AG410" s="920"/>
      <c r="AH410" s="912"/>
      <c r="AI410" s="912"/>
      <c r="AJ410" s="920"/>
      <c r="AK410" s="920"/>
      <c r="AL410" s="905"/>
      <c r="AM410" s="906"/>
      <c r="AN410" s="906"/>
      <c r="AO410" s="906"/>
      <c r="AP410" s="906"/>
      <c r="AQ410" s="906"/>
      <c r="AR410" s="906"/>
      <c r="AS410" s="906"/>
      <c r="AT410" s="906"/>
      <c r="AU410" s="906"/>
      <c r="AV410" s="906"/>
      <c r="AW410" s="906"/>
      <c r="AX410" s="906"/>
      <c r="AY410" s="906"/>
      <c r="AZ410" s="906"/>
      <c r="BA410" s="906"/>
      <c r="BB410" s="907"/>
    </row>
    <row r="411" spans="1:54" x14ac:dyDescent="0.25">
      <c r="A411" s="13">
        <f t="shared" si="6"/>
        <v>398</v>
      </c>
      <c r="B411" s="914" t="str">
        <f>'refer admin discharge'!B407</f>
        <v>x</v>
      </c>
      <c r="C411" s="914"/>
      <c r="D411" s="889" t="str">
        <f>'refer admin discharge'!D407</f>
        <v>xx</v>
      </c>
      <c r="E411" s="889"/>
      <c r="F411" s="915" t="str">
        <f>'refer admin discharge'!H407</f>
        <v>00/00/0000</v>
      </c>
      <c r="G411" s="890"/>
      <c r="H411" s="916"/>
      <c r="I411" s="916"/>
      <c r="J411" s="917"/>
      <c r="K411" s="917"/>
      <c r="L411" s="916"/>
      <c r="M411" s="916"/>
      <c r="N411" s="893"/>
      <c r="O411" s="893"/>
      <c r="P411" s="916"/>
      <c r="Q411" s="916"/>
      <c r="R411" s="893"/>
      <c r="S411" s="893"/>
      <c r="T411" s="916"/>
      <c r="U411" s="916"/>
      <c r="V411" s="921" t="str">
        <f>'refer admin discharge'!H412</f>
        <v>00/00/0000</v>
      </c>
      <c r="W411" s="922"/>
      <c r="X411" s="912"/>
      <c r="Y411" s="912"/>
      <c r="Z411" s="924"/>
      <c r="AA411" s="924"/>
      <c r="AB411" s="912"/>
      <c r="AC411" s="912"/>
      <c r="AD411" s="913"/>
      <c r="AE411" s="913"/>
      <c r="AF411" s="912"/>
      <c r="AG411" s="912"/>
      <c r="AH411" s="913"/>
      <c r="AI411" s="913"/>
      <c r="AJ411" s="912"/>
      <c r="AK411" s="912"/>
      <c r="AL411" s="925"/>
      <c r="AM411" s="926"/>
      <c r="AN411" s="926"/>
      <c r="AO411" s="926"/>
      <c r="AP411" s="926"/>
      <c r="AQ411" s="926"/>
      <c r="AR411" s="926"/>
      <c r="AS411" s="926"/>
      <c r="AT411" s="926"/>
      <c r="AU411" s="926"/>
      <c r="AV411" s="926"/>
      <c r="AW411" s="926"/>
      <c r="AX411" s="926"/>
      <c r="AY411" s="926"/>
      <c r="AZ411" s="926"/>
      <c r="BA411" s="926"/>
      <c r="BB411" s="927"/>
    </row>
    <row r="412" spans="1:54" x14ac:dyDescent="0.25">
      <c r="A412" s="13">
        <f t="shared" si="6"/>
        <v>399</v>
      </c>
      <c r="B412" s="888" t="str">
        <f>'refer admin discharge'!B408</f>
        <v>x</v>
      </c>
      <c r="C412" s="888"/>
      <c r="D412" s="868" t="str">
        <f>'refer admin discharge'!D408</f>
        <v>xx</v>
      </c>
      <c r="E412" s="868"/>
      <c r="F412" s="891" t="str">
        <f>'refer admin discharge'!H408</f>
        <v>00/00/0000</v>
      </c>
      <c r="G412" s="892"/>
      <c r="H412" s="894"/>
      <c r="I412" s="894"/>
      <c r="J412" s="918"/>
      <c r="K412" s="918"/>
      <c r="L412" s="894"/>
      <c r="M412" s="894"/>
      <c r="N412" s="916"/>
      <c r="O412" s="916"/>
      <c r="P412" s="894"/>
      <c r="Q412" s="894"/>
      <c r="R412" s="916"/>
      <c r="S412" s="916"/>
      <c r="T412" s="894"/>
      <c r="U412" s="894"/>
      <c r="V412" s="921" t="str">
        <f>'refer admin discharge'!H413</f>
        <v>00/00/0000</v>
      </c>
      <c r="W412" s="922"/>
      <c r="X412" s="920"/>
      <c r="Y412" s="920"/>
      <c r="Z412" s="919"/>
      <c r="AA412" s="919"/>
      <c r="AB412" s="920"/>
      <c r="AC412" s="920"/>
      <c r="AD412" s="912"/>
      <c r="AE412" s="912"/>
      <c r="AF412" s="920"/>
      <c r="AG412" s="920"/>
      <c r="AH412" s="912"/>
      <c r="AI412" s="912"/>
      <c r="AJ412" s="920"/>
      <c r="AK412" s="920"/>
      <c r="AL412" s="905"/>
      <c r="AM412" s="906"/>
      <c r="AN412" s="906"/>
      <c r="AO412" s="906"/>
      <c r="AP412" s="906"/>
      <c r="AQ412" s="906"/>
      <c r="AR412" s="906"/>
      <c r="AS412" s="906"/>
      <c r="AT412" s="906"/>
      <c r="AU412" s="906"/>
      <c r="AV412" s="906"/>
      <c r="AW412" s="906"/>
      <c r="AX412" s="906"/>
      <c r="AY412" s="906"/>
      <c r="AZ412" s="906"/>
      <c r="BA412" s="906"/>
      <c r="BB412" s="907"/>
    </row>
    <row r="413" spans="1:54" x14ac:dyDescent="0.25">
      <c r="A413" s="13">
        <f t="shared" si="6"/>
        <v>400</v>
      </c>
      <c r="B413" s="914" t="str">
        <f>'refer admin discharge'!B409</f>
        <v>x</v>
      </c>
      <c r="C413" s="914"/>
      <c r="D413" s="889" t="str">
        <f>'refer admin discharge'!D409</f>
        <v>xx</v>
      </c>
      <c r="E413" s="889"/>
      <c r="F413" s="915" t="str">
        <f>'refer admin discharge'!H409</f>
        <v>00/00/0000</v>
      </c>
      <c r="G413" s="890"/>
      <c r="H413" s="916"/>
      <c r="I413" s="916"/>
      <c r="J413" s="917"/>
      <c r="K413" s="917"/>
      <c r="L413" s="916"/>
      <c r="M413" s="916"/>
      <c r="N413" s="893"/>
      <c r="O413" s="893"/>
      <c r="P413" s="916"/>
      <c r="Q413" s="916"/>
      <c r="R413" s="893"/>
      <c r="S413" s="893"/>
      <c r="T413" s="916"/>
      <c r="U413" s="916"/>
      <c r="V413" s="921" t="str">
        <f>'refer admin discharge'!H414</f>
        <v>00/00/0000</v>
      </c>
      <c r="W413" s="922"/>
      <c r="X413" s="912"/>
      <c r="Y413" s="912"/>
      <c r="Z413" s="924"/>
      <c r="AA413" s="924"/>
      <c r="AB413" s="912"/>
      <c r="AC413" s="912"/>
      <c r="AD413" s="913"/>
      <c r="AE413" s="913"/>
      <c r="AF413" s="912"/>
      <c r="AG413" s="912"/>
      <c r="AH413" s="913"/>
      <c r="AI413" s="913"/>
      <c r="AJ413" s="912"/>
      <c r="AK413" s="912"/>
      <c r="AL413" s="925"/>
      <c r="AM413" s="926"/>
      <c r="AN413" s="926"/>
      <c r="AO413" s="926"/>
      <c r="AP413" s="926"/>
      <c r="AQ413" s="926"/>
      <c r="AR413" s="926"/>
      <c r="AS413" s="926"/>
      <c r="AT413" s="926"/>
      <c r="AU413" s="926"/>
      <c r="AV413" s="926"/>
      <c r="AW413" s="926"/>
      <c r="AX413" s="926"/>
      <c r="AY413" s="926"/>
      <c r="AZ413" s="926"/>
      <c r="BA413" s="926"/>
      <c r="BB413" s="927"/>
    </row>
    <row r="414" spans="1:54" x14ac:dyDescent="0.25">
      <c r="A414" s="13">
        <f t="shared" si="6"/>
        <v>401</v>
      </c>
      <c r="B414" s="888" t="str">
        <f>'refer admin discharge'!B410</f>
        <v>x</v>
      </c>
      <c r="C414" s="888"/>
      <c r="D414" s="868" t="str">
        <f>'refer admin discharge'!D410</f>
        <v>xx</v>
      </c>
      <c r="E414" s="868"/>
      <c r="F414" s="891" t="str">
        <f>'refer admin discharge'!H410</f>
        <v>00/00/0000</v>
      </c>
      <c r="G414" s="892"/>
      <c r="H414" s="894"/>
      <c r="I414" s="894"/>
      <c r="J414" s="918"/>
      <c r="K414" s="918"/>
      <c r="L414" s="894"/>
      <c r="M414" s="894"/>
      <c r="N414" s="916"/>
      <c r="O414" s="916"/>
      <c r="P414" s="894"/>
      <c r="Q414" s="894"/>
      <c r="R414" s="916"/>
      <c r="S414" s="916"/>
      <c r="T414" s="894"/>
      <c r="U414" s="894"/>
      <c r="V414" s="921" t="str">
        <f>'refer admin discharge'!H415</f>
        <v>00/00/0000</v>
      </c>
      <c r="W414" s="922"/>
      <c r="X414" s="920"/>
      <c r="Y414" s="920"/>
      <c r="Z414" s="919"/>
      <c r="AA414" s="919"/>
      <c r="AB414" s="920"/>
      <c r="AC414" s="920"/>
      <c r="AD414" s="912"/>
      <c r="AE414" s="912"/>
      <c r="AF414" s="920"/>
      <c r="AG414" s="920"/>
      <c r="AH414" s="912"/>
      <c r="AI414" s="912"/>
      <c r="AJ414" s="920"/>
      <c r="AK414" s="920"/>
      <c r="AL414" s="905"/>
      <c r="AM414" s="906"/>
      <c r="AN414" s="906"/>
      <c r="AO414" s="906"/>
      <c r="AP414" s="906"/>
      <c r="AQ414" s="906"/>
      <c r="AR414" s="906"/>
      <c r="AS414" s="906"/>
      <c r="AT414" s="906"/>
      <c r="AU414" s="906"/>
      <c r="AV414" s="906"/>
      <c r="AW414" s="906"/>
      <c r="AX414" s="906"/>
      <c r="AY414" s="906"/>
      <c r="AZ414" s="906"/>
      <c r="BA414" s="906"/>
      <c r="BB414" s="907"/>
    </row>
    <row r="415" spans="1:54" x14ac:dyDescent="0.25">
      <c r="A415" s="13">
        <f t="shared" si="6"/>
        <v>402</v>
      </c>
      <c r="B415" s="914" t="str">
        <f>'refer admin discharge'!B411</f>
        <v>x</v>
      </c>
      <c r="C415" s="914"/>
      <c r="D415" s="889" t="str">
        <f>'refer admin discharge'!D411</f>
        <v>xx</v>
      </c>
      <c r="E415" s="889"/>
      <c r="F415" s="915" t="str">
        <f>'refer admin discharge'!H411</f>
        <v>00/00/0000</v>
      </c>
      <c r="G415" s="890"/>
      <c r="H415" s="916"/>
      <c r="I415" s="916"/>
      <c r="J415" s="917"/>
      <c r="K415" s="917"/>
      <c r="L415" s="916"/>
      <c r="M415" s="916"/>
      <c r="N415" s="893"/>
      <c r="O415" s="893"/>
      <c r="P415" s="916"/>
      <c r="Q415" s="916"/>
      <c r="R415" s="893"/>
      <c r="S415" s="893"/>
      <c r="T415" s="916"/>
      <c r="U415" s="916"/>
      <c r="V415" s="921" t="str">
        <f>'refer admin discharge'!H416</f>
        <v>00/00/0000</v>
      </c>
      <c r="W415" s="922"/>
      <c r="X415" s="912"/>
      <c r="Y415" s="912"/>
      <c r="Z415" s="924"/>
      <c r="AA415" s="924"/>
      <c r="AB415" s="912"/>
      <c r="AC415" s="912"/>
      <c r="AD415" s="913"/>
      <c r="AE415" s="913"/>
      <c r="AF415" s="912"/>
      <c r="AG415" s="912"/>
      <c r="AH415" s="913"/>
      <c r="AI415" s="913"/>
      <c r="AJ415" s="912"/>
      <c r="AK415" s="912"/>
      <c r="AL415" s="925"/>
      <c r="AM415" s="926"/>
      <c r="AN415" s="926"/>
      <c r="AO415" s="926"/>
      <c r="AP415" s="926"/>
      <c r="AQ415" s="926"/>
      <c r="AR415" s="926"/>
      <c r="AS415" s="926"/>
      <c r="AT415" s="926"/>
      <c r="AU415" s="926"/>
      <c r="AV415" s="926"/>
      <c r="AW415" s="926"/>
      <c r="AX415" s="926"/>
      <c r="AY415" s="926"/>
      <c r="AZ415" s="926"/>
      <c r="BA415" s="926"/>
      <c r="BB415" s="927"/>
    </row>
    <row r="416" spans="1:54" x14ac:dyDescent="0.25">
      <c r="A416" s="13">
        <f t="shared" si="6"/>
        <v>403</v>
      </c>
      <c r="B416" s="888" t="str">
        <f>'refer admin discharge'!B412</f>
        <v>x</v>
      </c>
      <c r="C416" s="888"/>
      <c r="D416" s="868" t="str">
        <f>'refer admin discharge'!D412</f>
        <v>xx</v>
      </c>
      <c r="E416" s="868"/>
      <c r="F416" s="891" t="str">
        <f>'refer admin discharge'!H412</f>
        <v>00/00/0000</v>
      </c>
      <c r="G416" s="892"/>
      <c r="H416" s="894"/>
      <c r="I416" s="894"/>
      <c r="J416" s="918"/>
      <c r="K416" s="918"/>
      <c r="L416" s="894"/>
      <c r="M416" s="894"/>
      <c r="N416" s="916"/>
      <c r="O416" s="916"/>
      <c r="P416" s="894"/>
      <c r="Q416" s="894"/>
      <c r="R416" s="916"/>
      <c r="S416" s="916"/>
      <c r="T416" s="894"/>
      <c r="U416" s="894"/>
      <c r="V416" s="921" t="str">
        <f>'refer admin discharge'!H417</f>
        <v>00/00/0000</v>
      </c>
      <c r="W416" s="922"/>
      <c r="X416" s="920"/>
      <c r="Y416" s="920"/>
      <c r="Z416" s="919"/>
      <c r="AA416" s="919"/>
      <c r="AB416" s="920"/>
      <c r="AC416" s="920"/>
      <c r="AD416" s="912"/>
      <c r="AE416" s="912"/>
      <c r="AF416" s="920"/>
      <c r="AG416" s="920"/>
      <c r="AH416" s="912"/>
      <c r="AI416" s="912"/>
      <c r="AJ416" s="920"/>
      <c r="AK416" s="920"/>
      <c r="AL416" s="905"/>
      <c r="AM416" s="906"/>
      <c r="AN416" s="906"/>
      <c r="AO416" s="906"/>
      <c r="AP416" s="906"/>
      <c r="AQ416" s="906"/>
      <c r="AR416" s="906"/>
      <c r="AS416" s="906"/>
      <c r="AT416" s="906"/>
      <c r="AU416" s="906"/>
      <c r="AV416" s="906"/>
      <c r="AW416" s="906"/>
      <c r="AX416" s="906"/>
      <c r="AY416" s="906"/>
      <c r="AZ416" s="906"/>
      <c r="BA416" s="906"/>
      <c r="BB416" s="907"/>
    </row>
    <row r="417" spans="1:54" x14ac:dyDescent="0.25">
      <c r="A417" s="13">
        <f t="shared" si="6"/>
        <v>404</v>
      </c>
      <c r="B417" s="914" t="str">
        <f>'refer admin discharge'!B413</f>
        <v>x</v>
      </c>
      <c r="C417" s="914"/>
      <c r="D417" s="889" t="str">
        <f>'refer admin discharge'!D413</f>
        <v>xx</v>
      </c>
      <c r="E417" s="889"/>
      <c r="F417" s="915" t="str">
        <f>'refer admin discharge'!H413</f>
        <v>00/00/0000</v>
      </c>
      <c r="G417" s="890"/>
      <c r="H417" s="916"/>
      <c r="I417" s="916"/>
      <c r="J417" s="917"/>
      <c r="K417" s="917"/>
      <c r="L417" s="916"/>
      <c r="M417" s="916"/>
      <c r="N417" s="893"/>
      <c r="O417" s="893"/>
      <c r="P417" s="916"/>
      <c r="Q417" s="916"/>
      <c r="R417" s="893"/>
      <c r="S417" s="893"/>
      <c r="T417" s="916"/>
      <c r="U417" s="916"/>
      <c r="V417" s="921" t="str">
        <f>'refer admin discharge'!H418</f>
        <v>00/00/0000</v>
      </c>
      <c r="W417" s="922"/>
      <c r="X417" s="912"/>
      <c r="Y417" s="912"/>
      <c r="Z417" s="924"/>
      <c r="AA417" s="924"/>
      <c r="AB417" s="912"/>
      <c r="AC417" s="912"/>
      <c r="AD417" s="913"/>
      <c r="AE417" s="913"/>
      <c r="AF417" s="912"/>
      <c r="AG417" s="912"/>
      <c r="AH417" s="913"/>
      <c r="AI417" s="913"/>
      <c r="AJ417" s="912"/>
      <c r="AK417" s="912"/>
      <c r="AL417" s="925"/>
      <c r="AM417" s="926"/>
      <c r="AN417" s="926"/>
      <c r="AO417" s="926"/>
      <c r="AP417" s="926"/>
      <c r="AQ417" s="926"/>
      <c r="AR417" s="926"/>
      <c r="AS417" s="926"/>
      <c r="AT417" s="926"/>
      <c r="AU417" s="926"/>
      <c r="AV417" s="926"/>
      <c r="AW417" s="926"/>
      <c r="AX417" s="926"/>
      <c r="AY417" s="926"/>
      <c r="AZ417" s="926"/>
      <c r="BA417" s="926"/>
      <c r="BB417" s="927"/>
    </row>
    <row r="418" spans="1:54" x14ac:dyDescent="0.25">
      <c r="A418" s="13">
        <f t="shared" si="6"/>
        <v>405</v>
      </c>
      <c r="B418" s="888" t="str">
        <f>'refer admin discharge'!B414</f>
        <v>x</v>
      </c>
      <c r="C418" s="888"/>
      <c r="D418" s="868" t="str">
        <f>'refer admin discharge'!D414</f>
        <v>xx</v>
      </c>
      <c r="E418" s="868"/>
      <c r="F418" s="891" t="str">
        <f>'refer admin discharge'!H414</f>
        <v>00/00/0000</v>
      </c>
      <c r="G418" s="892"/>
      <c r="H418" s="894"/>
      <c r="I418" s="894"/>
      <c r="J418" s="918"/>
      <c r="K418" s="918"/>
      <c r="L418" s="894"/>
      <c r="M418" s="894"/>
      <c r="N418" s="916"/>
      <c r="O418" s="916"/>
      <c r="P418" s="894"/>
      <c r="Q418" s="894"/>
      <c r="R418" s="916"/>
      <c r="S418" s="916"/>
      <c r="T418" s="894"/>
      <c r="U418" s="894"/>
      <c r="V418" s="921" t="str">
        <f>'refer admin discharge'!H419</f>
        <v>00/00/0000</v>
      </c>
      <c r="W418" s="922"/>
      <c r="X418" s="920"/>
      <c r="Y418" s="920"/>
      <c r="Z418" s="919"/>
      <c r="AA418" s="919"/>
      <c r="AB418" s="920"/>
      <c r="AC418" s="920"/>
      <c r="AD418" s="912"/>
      <c r="AE418" s="912"/>
      <c r="AF418" s="920"/>
      <c r="AG418" s="920"/>
      <c r="AH418" s="912"/>
      <c r="AI418" s="912"/>
      <c r="AJ418" s="920"/>
      <c r="AK418" s="920"/>
      <c r="AL418" s="905"/>
      <c r="AM418" s="906"/>
      <c r="AN418" s="906"/>
      <c r="AO418" s="906"/>
      <c r="AP418" s="906"/>
      <c r="AQ418" s="906"/>
      <c r="AR418" s="906"/>
      <c r="AS418" s="906"/>
      <c r="AT418" s="906"/>
      <c r="AU418" s="906"/>
      <c r="AV418" s="906"/>
      <c r="AW418" s="906"/>
      <c r="AX418" s="906"/>
      <c r="AY418" s="906"/>
      <c r="AZ418" s="906"/>
      <c r="BA418" s="906"/>
      <c r="BB418" s="907"/>
    </row>
    <row r="419" spans="1:54" x14ac:dyDescent="0.25">
      <c r="A419" s="13">
        <f t="shared" si="6"/>
        <v>406</v>
      </c>
      <c r="B419" s="914" t="str">
        <f>'refer admin discharge'!B415</f>
        <v>x</v>
      </c>
      <c r="C419" s="914"/>
      <c r="D419" s="889" t="str">
        <f>'refer admin discharge'!D415</f>
        <v>xx</v>
      </c>
      <c r="E419" s="889"/>
      <c r="F419" s="915" t="str">
        <f>'refer admin discharge'!H415</f>
        <v>00/00/0000</v>
      </c>
      <c r="G419" s="890"/>
      <c r="H419" s="916"/>
      <c r="I419" s="916"/>
      <c r="J419" s="917"/>
      <c r="K419" s="917"/>
      <c r="L419" s="916"/>
      <c r="M419" s="916"/>
      <c r="N419" s="893"/>
      <c r="O419" s="893"/>
      <c r="P419" s="916"/>
      <c r="Q419" s="916"/>
      <c r="R419" s="893"/>
      <c r="S419" s="893"/>
      <c r="T419" s="916"/>
      <c r="U419" s="916"/>
      <c r="V419" s="921" t="str">
        <f>'refer admin discharge'!H420</f>
        <v>00/00/0000</v>
      </c>
      <c r="W419" s="922"/>
      <c r="X419" s="912"/>
      <c r="Y419" s="912"/>
      <c r="Z419" s="924"/>
      <c r="AA419" s="924"/>
      <c r="AB419" s="912"/>
      <c r="AC419" s="912"/>
      <c r="AD419" s="913"/>
      <c r="AE419" s="913"/>
      <c r="AF419" s="912"/>
      <c r="AG419" s="912"/>
      <c r="AH419" s="913"/>
      <c r="AI419" s="913"/>
      <c r="AJ419" s="912"/>
      <c r="AK419" s="912"/>
      <c r="AL419" s="925"/>
      <c r="AM419" s="926"/>
      <c r="AN419" s="926"/>
      <c r="AO419" s="926"/>
      <c r="AP419" s="926"/>
      <c r="AQ419" s="926"/>
      <c r="AR419" s="926"/>
      <c r="AS419" s="926"/>
      <c r="AT419" s="926"/>
      <c r="AU419" s="926"/>
      <c r="AV419" s="926"/>
      <c r="AW419" s="926"/>
      <c r="AX419" s="926"/>
      <c r="AY419" s="926"/>
      <c r="AZ419" s="926"/>
      <c r="BA419" s="926"/>
      <c r="BB419" s="927"/>
    </row>
    <row r="420" spans="1:54" x14ac:dyDescent="0.25">
      <c r="A420" s="13">
        <f t="shared" si="6"/>
        <v>407</v>
      </c>
      <c r="B420" s="888" t="str">
        <f>'refer admin discharge'!B416</f>
        <v>x</v>
      </c>
      <c r="C420" s="888"/>
      <c r="D420" s="868" t="str">
        <f>'refer admin discharge'!D416</f>
        <v>xx</v>
      </c>
      <c r="E420" s="868"/>
      <c r="F420" s="891" t="str">
        <f>'refer admin discharge'!H416</f>
        <v>00/00/0000</v>
      </c>
      <c r="G420" s="892"/>
      <c r="H420" s="894"/>
      <c r="I420" s="894"/>
      <c r="J420" s="918"/>
      <c r="K420" s="918"/>
      <c r="L420" s="894"/>
      <c r="M420" s="894"/>
      <c r="N420" s="916"/>
      <c r="O420" s="916"/>
      <c r="P420" s="894"/>
      <c r="Q420" s="894"/>
      <c r="R420" s="916"/>
      <c r="S420" s="916"/>
      <c r="T420" s="894"/>
      <c r="U420" s="894"/>
      <c r="V420" s="921" t="str">
        <f>'refer admin discharge'!H421</f>
        <v>00/00/0000</v>
      </c>
      <c r="W420" s="922"/>
      <c r="X420" s="920"/>
      <c r="Y420" s="920"/>
      <c r="Z420" s="919"/>
      <c r="AA420" s="919"/>
      <c r="AB420" s="920"/>
      <c r="AC420" s="920"/>
      <c r="AD420" s="912"/>
      <c r="AE420" s="912"/>
      <c r="AF420" s="920"/>
      <c r="AG420" s="920"/>
      <c r="AH420" s="912"/>
      <c r="AI420" s="912"/>
      <c r="AJ420" s="920"/>
      <c r="AK420" s="920"/>
      <c r="AL420" s="905"/>
      <c r="AM420" s="906"/>
      <c r="AN420" s="906"/>
      <c r="AO420" s="906"/>
      <c r="AP420" s="906"/>
      <c r="AQ420" s="906"/>
      <c r="AR420" s="906"/>
      <c r="AS420" s="906"/>
      <c r="AT420" s="906"/>
      <c r="AU420" s="906"/>
      <c r="AV420" s="906"/>
      <c r="AW420" s="906"/>
      <c r="AX420" s="906"/>
      <c r="AY420" s="906"/>
      <c r="AZ420" s="906"/>
      <c r="BA420" s="906"/>
      <c r="BB420" s="907"/>
    </row>
    <row r="421" spans="1:54" x14ac:dyDescent="0.25">
      <c r="A421" s="13">
        <f t="shared" si="6"/>
        <v>408</v>
      </c>
      <c r="B421" s="914" t="str">
        <f>'refer admin discharge'!B417</f>
        <v>x</v>
      </c>
      <c r="C421" s="914"/>
      <c r="D421" s="889" t="str">
        <f>'refer admin discharge'!D417</f>
        <v>xx</v>
      </c>
      <c r="E421" s="889"/>
      <c r="F421" s="915" t="str">
        <f>'refer admin discharge'!H417</f>
        <v>00/00/0000</v>
      </c>
      <c r="G421" s="890"/>
      <c r="H421" s="916"/>
      <c r="I421" s="916"/>
      <c r="J421" s="917"/>
      <c r="K421" s="917"/>
      <c r="L421" s="916"/>
      <c r="M421" s="916"/>
      <c r="N421" s="893"/>
      <c r="O421" s="893"/>
      <c r="P421" s="916"/>
      <c r="Q421" s="916"/>
      <c r="R421" s="893"/>
      <c r="S421" s="893"/>
      <c r="T421" s="916"/>
      <c r="U421" s="916"/>
      <c r="V421" s="921" t="str">
        <f>'refer admin discharge'!H422</f>
        <v>00/00/0000</v>
      </c>
      <c r="W421" s="922"/>
      <c r="X421" s="912"/>
      <c r="Y421" s="912"/>
      <c r="Z421" s="924"/>
      <c r="AA421" s="924"/>
      <c r="AB421" s="912"/>
      <c r="AC421" s="912"/>
      <c r="AD421" s="913"/>
      <c r="AE421" s="913"/>
      <c r="AF421" s="912"/>
      <c r="AG421" s="912"/>
      <c r="AH421" s="913"/>
      <c r="AI421" s="913"/>
      <c r="AJ421" s="912"/>
      <c r="AK421" s="912"/>
      <c r="AL421" s="925"/>
      <c r="AM421" s="926"/>
      <c r="AN421" s="926"/>
      <c r="AO421" s="926"/>
      <c r="AP421" s="926"/>
      <c r="AQ421" s="926"/>
      <c r="AR421" s="926"/>
      <c r="AS421" s="926"/>
      <c r="AT421" s="926"/>
      <c r="AU421" s="926"/>
      <c r="AV421" s="926"/>
      <c r="AW421" s="926"/>
      <c r="AX421" s="926"/>
      <c r="AY421" s="926"/>
      <c r="AZ421" s="926"/>
      <c r="BA421" s="926"/>
      <c r="BB421" s="927"/>
    </row>
    <row r="422" spans="1:54" x14ac:dyDescent="0.25">
      <c r="A422" s="13">
        <f t="shared" si="6"/>
        <v>409</v>
      </c>
      <c r="B422" s="888" t="str">
        <f>'refer admin discharge'!B418</f>
        <v>x</v>
      </c>
      <c r="C422" s="888"/>
      <c r="D422" s="868" t="str">
        <f>'refer admin discharge'!D418</f>
        <v>xx</v>
      </c>
      <c r="E422" s="868"/>
      <c r="F422" s="891" t="str">
        <f>'refer admin discharge'!H418</f>
        <v>00/00/0000</v>
      </c>
      <c r="G422" s="892"/>
      <c r="H422" s="894"/>
      <c r="I422" s="894"/>
      <c r="J422" s="918"/>
      <c r="K422" s="918"/>
      <c r="L422" s="894"/>
      <c r="M422" s="894"/>
      <c r="N422" s="916"/>
      <c r="O422" s="916"/>
      <c r="P422" s="894"/>
      <c r="Q422" s="894"/>
      <c r="R422" s="916"/>
      <c r="S422" s="916"/>
      <c r="T422" s="894"/>
      <c r="U422" s="894"/>
      <c r="V422" s="921" t="str">
        <f>'refer admin discharge'!H423</f>
        <v>00/00/0000</v>
      </c>
      <c r="W422" s="922"/>
      <c r="X422" s="920"/>
      <c r="Y422" s="920"/>
      <c r="Z422" s="919"/>
      <c r="AA422" s="919"/>
      <c r="AB422" s="920"/>
      <c r="AC422" s="920"/>
      <c r="AD422" s="912"/>
      <c r="AE422" s="912"/>
      <c r="AF422" s="920"/>
      <c r="AG422" s="920"/>
      <c r="AH422" s="912"/>
      <c r="AI422" s="912"/>
      <c r="AJ422" s="920"/>
      <c r="AK422" s="920"/>
      <c r="AL422" s="905"/>
      <c r="AM422" s="906"/>
      <c r="AN422" s="906"/>
      <c r="AO422" s="906"/>
      <c r="AP422" s="906"/>
      <c r="AQ422" s="906"/>
      <c r="AR422" s="906"/>
      <c r="AS422" s="906"/>
      <c r="AT422" s="906"/>
      <c r="AU422" s="906"/>
      <c r="AV422" s="906"/>
      <c r="AW422" s="906"/>
      <c r="AX422" s="906"/>
      <c r="AY422" s="906"/>
      <c r="AZ422" s="906"/>
      <c r="BA422" s="906"/>
      <c r="BB422" s="907"/>
    </row>
    <row r="423" spans="1:54" x14ac:dyDescent="0.25">
      <c r="A423" s="13">
        <f t="shared" si="6"/>
        <v>410</v>
      </c>
      <c r="B423" s="914" t="str">
        <f>'refer admin discharge'!B419</f>
        <v>x</v>
      </c>
      <c r="C423" s="914"/>
      <c r="D423" s="889" t="str">
        <f>'refer admin discharge'!D419</f>
        <v>xx</v>
      </c>
      <c r="E423" s="889"/>
      <c r="F423" s="915" t="str">
        <f>'refer admin discharge'!H419</f>
        <v>00/00/0000</v>
      </c>
      <c r="G423" s="890"/>
      <c r="H423" s="916"/>
      <c r="I423" s="916"/>
      <c r="J423" s="917"/>
      <c r="K423" s="917"/>
      <c r="L423" s="916"/>
      <c r="M423" s="916"/>
      <c r="N423" s="893"/>
      <c r="O423" s="893"/>
      <c r="P423" s="916"/>
      <c r="Q423" s="916"/>
      <c r="R423" s="893"/>
      <c r="S423" s="893"/>
      <c r="T423" s="916"/>
      <c r="U423" s="916"/>
      <c r="V423" s="921" t="str">
        <f>'refer admin discharge'!H424</f>
        <v>00/00/0000</v>
      </c>
      <c r="W423" s="922"/>
      <c r="X423" s="912"/>
      <c r="Y423" s="912"/>
      <c r="Z423" s="924"/>
      <c r="AA423" s="924"/>
      <c r="AB423" s="912"/>
      <c r="AC423" s="912"/>
      <c r="AD423" s="913"/>
      <c r="AE423" s="913"/>
      <c r="AF423" s="912"/>
      <c r="AG423" s="912"/>
      <c r="AH423" s="913"/>
      <c r="AI423" s="913"/>
      <c r="AJ423" s="912"/>
      <c r="AK423" s="912"/>
      <c r="AL423" s="925"/>
      <c r="AM423" s="926"/>
      <c r="AN423" s="926"/>
      <c r="AO423" s="926"/>
      <c r="AP423" s="926"/>
      <c r="AQ423" s="926"/>
      <c r="AR423" s="926"/>
      <c r="AS423" s="926"/>
      <c r="AT423" s="926"/>
      <c r="AU423" s="926"/>
      <c r="AV423" s="926"/>
      <c r="AW423" s="926"/>
      <c r="AX423" s="926"/>
      <c r="AY423" s="926"/>
      <c r="AZ423" s="926"/>
      <c r="BA423" s="926"/>
      <c r="BB423" s="927"/>
    </row>
    <row r="424" spans="1:54" x14ac:dyDescent="0.25">
      <c r="A424" s="13">
        <f t="shared" si="6"/>
        <v>411</v>
      </c>
      <c r="B424" s="888" t="str">
        <f>'refer admin discharge'!B420</f>
        <v>x</v>
      </c>
      <c r="C424" s="888"/>
      <c r="D424" s="868" t="str">
        <f>'refer admin discharge'!D420</f>
        <v>xx</v>
      </c>
      <c r="E424" s="868"/>
      <c r="F424" s="891" t="str">
        <f>'refer admin discharge'!H420</f>
        <v>00/00/0000</v>
      </c>
      <c r="G424" s="892"/>
      <c r="H424" s="894"/>
      <c r="I424" s="894"/>
      <c r="J424" s="918"/>
      <c r="K424" s="918"/>
      <c r="L424" s="894"/>
      <c r="M424" s="894"/>
      <c r="N424" s="916"/>
      <c r="O424" s="916"/>
      <c r="P424" s="894"/>
      <c r="Q424" s="894"/>
      <c r="R424" s="916"/>
      <c r="S424" s="916"/>
      <c r="T424" s="894"/>
      <c r="U424" s="894"/>
      <c r="V424" s="921" t="str">
        <f>'refer admin discharge'!H425</f>
        <v>00/00/0000</v>
      </c>
      <c r="W424" s="922"/>
      <c r="X424" s="920"/>
      <c r="Y424" s="920"/>
      <c r="Z424" s="919"/>
      <c r="AA424" s="919"/>
      <c r="AB424" s="920"/>
      <c r="AC424" s="920"/>
      <c r="AD424" s="912"/>
      <c r="AE424" s="912"/>
      <c r="AF424" s="920"/>
      <c r="AG424" s="920"/>
      <c r="AH424" s="912"/>
      <c r="AI424" s="912"/>
      <c r="AJ424" s="920"/>
      <c r="AK424" s="920"/>
      <c r="AL424" s="905"/>
      <c r="AM424" s="906"/>
      <c r="AN424" s="906"/>
      <c r="AO424" s="906"/>
      <c r="AP424" s="906"/>
      <c r="AQ424" s="906"/>
      <c r="AR424" s="906"/>
      <c r="AS424" s="906"/>
      <c r="AT424" s="906"/>
      <c r="AU424" s="906"/>
      <c r="AV424" s="906"/>
      <c r="AW424" s="906"/>
      <c r="AX424" s="906"/>
      <c r="AY424" s="906"/>
      <c r="AZ424" s="906"/>
      <c r="BA424" s="906"/>
      <c r="BB424" s="907"/>
    </row>
    <row r="425" spans="1:54" x14ac:dyDescent="0.25">
      <c r="A425" s="13">
        <f t="shared" si="6"/>
        <v>412</v>
      </c>
      <c r="B425" s="914" t="str">
        <f>'refer admin discharge'!B421</f>
        <v>x</v>
      </c>
      <c r="C425" s="914"/>
      <c r="D425" s="889" t="str">
        <f>'refer admin discharge'!D421</f>
        <v>xx</v>
      </c>
      <c r="E425" s="889"/>
      <c r="F425" s="915" t="str">
        <f>'refer admin discharge'!H421</f>
        <v>00/00/0000</v>
      </c>
      <c r="G425" s="890"/>
      <c r="H425" s="916"/>
      <c r="I425" s="916"/>
      <c r="J425" s="917"/>
      <c r="K425" s="917"/>
      <c r="L425" s="916"/>
      <c r="M425" s="916"/>
      <c r="N425" s="893"/>
      <c r="O425" s="893"/>
      <c r="P425" s="916"/>
      <c r="Q425" s="916"/>
      <c r="R425" s="893"/>
      <c r="S425" s="893"/>
      <c r="T425" s="916"/>
      <c r="U425" s="916"/>
      <c r="V425" s="921" t="str">
        <f>'refer admin discharge'!H426</f>
        <v>00/00/0000</v>
      </c>
      <c r="W425" s="922"/>
      <c r="X425" s="912"/>
      <c r="Y425" s="912"/>
      <c r="Z425" s="924"/>
      <c r="AA425" s="924"/>
      <c r="AB425" s="912"/>
      <c r="AC425" s="912"/>
      <c r="AD425" s="913"/>
      <c r="AE425" s="913"/>
      <c r="AF425" s="912"/>
      <c r="AG425" s="912"/>
      <c r="AH425" s="913"/>
      <c r="AI425" s="913"/>
      <c r="AJ425" s="912"/>
      <c r="AK425" s="912"/>
      <c r="AL425" s="925"/>
      <c r="AM425" s="926"/>
      <c r="AN425" s="926"/>
      <c r="AO425" s="926"/>
      <c r="AP425" s="926"/>
      <c r="AQ425" s="926"/>
      <c r="AR425" s="926"/>
      <c r="AS425" s="926"/>
      <c r="AT425" s="926"/>
      <c r="AU425" s="926"/>
      <c r="AV425" s="926"/>
      <c r="AW425" s="926"/>
      <c r="AX425" s="926"/>
      <c r="AY425" s="926"/>
      <c r="AZ425" s="926"/>
      <c r="BA425" s="926"/>
      <c r="BB425" s="927"/>
    </row>
    <row r="426" spans="1:54" x14ac:dyDescent="0.25">
      <c r="A426" s="13">
        <f t="shared" si="6"/>
        <v>413</v>
      </c>
      <c r="B426" s="888" t="str">
        <f>'refer admin discharge'!B422</f>
        <v>x</v>
      </c>
      <c r="C426" s="888"/>
      <c r="D426" s="868" t="str">
        <f>'refer admin discharge'!D422</f>
        <v>xx</v>
      </c>
      <c r="E426" s="868"/>
      <c r="F426" s="891" t="str">
        <f>'refer admin discharge'!H422</f>
        <v>00/00/0000</v>
      </c>
      <c r="G426" s="892"/>
      <c r="H426" s="894"/>
      <c r="I426" s="894"/>
      <c r="J426" s="918"/>
      <c r="K426" s="918"/>
      <c r="L426" s="894"/>
      <c r="M426" s="894"/>
      <c r="N426" s="916"/>
      <c r="O426" s="916"/>
      <c r="P426" s="894"/>
      <c r="Q426" s="894"/>
      <c r="R426" s="916"/>
      <c r="S426" s="916"/>
      <c r="T426" s="894"/>
      <c r="U426" s="894"/>
      <c r="V426" s="921" t="str">
        <f>'refer admin discharge'!H427</f>
        <v>00/00/0000</v>
      </c>
      <c r="W426" s="922"/>
      <c r="X426" s="920"/>
      <c r="Y426" s="920"/>
      <c r="Z426" s="919"/>
      <c r="AA426" s="919"/>
      <c r="AB426" s="920"/>
      <c r="AC426" s="920"/>
      <c r="AD426" s="912"/>
      <c r="AE426" s="912"/>
      <c r="AF426" s="920"/>
      <c r="AG426" s="920"/>
      <c r="AH426" s="912"/>
      <c r="AI426" s="912"/>
      <c r="AJ426" s="920"/>
      <c r="AK426" s="920"/>
      <c r="AL426" s="905"/>
      <c r="AM426" s="906"/>
      <c r="AN426" s="906"/>
      <c r="AO426" s="906"/>
      <c r="AP426" s="906"/>
      <c r="AQ426" s="906"/>
      <c r="AR426" s="906"/>
      <c r="AS426" s="906"/>
      <c r="AT426" s="906"/>
      <c r="AU426" s="906"/>
      <c r="AV426" s="906"/>
      <c r="AW426" s="906"/>
      <c r="AX426" s="906"/>
      <c r="AY426" s="906"/>
      <c r="AZ426" s="906"/>
      <c r="BA426" s="906"/>
      <c r="BB426" s="907"/>
    </row>
    <row r="427" spans="1:54" x14ac:dyDescent="0.25">
      <c r="A427" s="13">
        <f t="shared" si="6"/>
        <v>414</v>
      </c>
      <c r="B427" s="914" t="str">
        <f>'refer admin discharge'!B423</f>
        <v>x</v>
      </c>
      <c r="C427" s="914"/>
      <c r="D427" s="889" t="str">
        <f>'refer admin discharge'!D423</f>
        <v>xx</v>
      </c>
      <c r="E427" s="889"/>
      <c r="F427" s="915" t="str">
        <f>'refer admin discharge'!H423</f>
        <v>00/00/0000</v>
      </c>
      <c r="G427" s="890"/>
      <c r="H427" s="916"/>
      <c r="I427" s="916"/>
      <c r="J427" s="917"/>
      <c r="K427" s="917"/>
      <c r="L427" s="916"/>
      <c r="M427" s="916"/>
      <c r="N427" s="893"/>
      <c r="O427" s="893"/>
      <c r="P427" s="916"/>
      <c r="Q427" s="916"/>
      <c r="R427" s="893"/>
      <c r="S427" s="893"/>
      <c r="T427" s="916"/>
      <c r="U427" s="916"/>
      <c r="V427" s="921" t="str">
        <f>'refer admin discharge'!H428</f>
        <v>00/00/0000</v>
      </c>
      <c r="W427" s="922"/>
      <c r="X427" s="912"/>
      <c r="Y427" s="912"/>
      <c r="Z427" s="924"/>
      <c r="AA427" s="924"/>
      <c r="AB427" s="912"/>
      <c r="AC427" s="912"/>
      <c r="AD427" s="913"/>
      <c r="AE427" s="913"/>
      <c r="AF427" s="912"/>
      <c r="AG427" s="912"/>
      <c r="AH427" s="913"/>
      <c r="AI427" s="913"/>
      <c r="AJ427" s="912"/>
      <c r="AK427" s="912"/>
      <c r="AL427" s="925"/>
      <c r="AM427" s="926"/>
      <c r="AN427" s="926"/>
      <c r="AO427" s="926"/>
      <c r="AP427" s="926"/>
      <c r="AQ427" s="926"/>
      <c r="AR427" s="926"/>
      <c r="AS427" s="926"/>
      <c r="AT427" s="926"/>
      <c r="AU427" s="926"/>
      <c r="AV427" s="926"/>
      <c r="AW427" s="926"/>
      <c r="AX427" s="926"/>
      <c r="AY427" s="926"/>
      <c r="AZ427" s="926"/>
      <c r="BA427" s="926"/>
      <c r="BB427" s="927"/>
    </row>
    <row r="428" spans="1:54" x14ac:dyDescent="0.25">
      <c r="A428" s="13">
        <f t="shared" si="6"/>
        <v>415</v>
      </c>
      <c r="B428" s="888" t="str">
        <f>'refer admin discharge'!B424</f>
        <v>x</v>
      </c>
      <c r="C428" s="888"/>
      <c r="D428" s="868" t="str">
        <f>'refer admin discharge'!D424</f>
        <v>xx</v>
      </c>
      <c r="E428" s="868"/>
      <c r="F428" s="891" t="str">
        <f>'refer admin discharge'!H424</f>
        <v>00/00/0000</v>
      </c>
      <c r="G428" s="892"/>
      <c r="H428" s="894"/>
      <c r="I428" s="894"/>
      <c r="J428" s="918"/>
      <c r="K428" s="918"/>
      <c r="L428" s="894"/>
      <c r="M428" s="894"/>
      <c r="N428" s="916"/>
      <c r="O428" s="916"/>
      <c r="P428" s="894"/>
      <c r="Q428" s="894"/>
      <c r="R428" s="916"/>
      <c r="S428" s="916"/>
      <c r="T428" s="894"/>
      <c r="U428" s="894"/>
      <c r="V428" s="921" t="str">
        <f>'refer admin discharge'!H429</f>
        <v>00/00/0000</v>
      </c>
      <c r="W428" s="922"/>
      <c r="X428" s="920"/>
      <c r="Y428" s="920"/>
      <c r="Z428" s="919"/>
      <c r="AA428" s="919"/>
      <c r="AB428" s="920"/>
      <c r="AC428" s="920"/>
      <c r="AD428" s="912"/>
      <c r="AE428" s="912"/>
      <c r="AF428" s="920"/>
      <c r="AG428" s="920"/>
      <c r="AH428" s="912"/>
      <c r="AI428" s="912"/>
      <c r="AJ428" s="920"/>
      <c r="AK428" s="920"/>
      <c r="AL428" s="905"/>
      <c r="AM428" s="906"/>
      <c r="AN428" s="906"/>
      <c r="AO428" s="906"/>
      <c r="AP428" s="906"/>
      <c r="AQ428" s="906"/>
      <c r="AR428" s="906"/>
      <c r="AS428" s="906"/>
      <c r="AT428" s="906"/>
      <c r="AU428" s="906"/>
      <c r="AV428" s="906"/>
      <c r="AW428" s="906"/>
      <c r="AX428" s="906"/>
      <c r="AY428" s="906"/>
      <c r="AZ428" s="906"/>
      <c r="BA428" s="906"/>
      <c r="BB428" s="907"/>
    </row>
    <row r="429" spans="1:54" x14ac:dyDescent="0.25">
      <c r="A429" s="13">
        <f t="shared" si="6"/>
        <v>416</v>
      </c>
      <c r="B429" s="914" t="str">
        <f>'refer admin discharge'!B425</f>
        <v>x</v>
      </c>
      <c r="C429" s="914"/>
      <c r="D429" s="889" t="str">
        <f>'refer admin discharge'!D425</f>
        <v>xx</v>
      </c>
      <c r="E429" s="889"/>
      <c r="F429" s="915" t="str">
        <f>'refer admin discharge'!H425</f>
        <v>00/00/0000</v>
      </c>
      <c r="G429" s="890"/>
      <c r="H429" s="916"/>
      <c r="I429" s="916"/>
      <c r="J429" s="917"/>
      <c r="K429" s="917"/>
      <c r="L429" s="916"/>
      <c r="M429" s="916"/>
      <c r="N429" s="893"/>
      <c r="O429" s="893"/>
      <c r="P429" s="916"/>
      <c r="Q429" s="916"/>
      <c r="R429" s="893"/>
      <c r="S429" s="893"/>
      <c r="T429" s="916"/>
      <c r="U429" s="916"/>
      <c r="V429" s="921" t="str">
        <f>'refer admin discharge'!H430</f>
        <v>00/00/0000</v>
      </c>
      <c r="W429" s="922"/>
      <c r="X429" s="912"/>
      <c r="Y429" s="912"/>
      <c r="Z429" s="924"/>
      <c r="AA429" s="924"/>
      <c r="AB429" s="912"/>
      <c r="AC429" s="912"/>
      <c r="AD429" s="913"/>
      <c r="AE429" s="913"/>
      <c r="AF429" s="912"/>
      <c r="AG429" s="912"/>
      <c r="AH429" s="913"/>
      <c r="AI429" s="913"/>
      <c r="AJ429" s="912"/>
      <c r="AK429" s="912"/>
      <c r="AL429" s="925"/>
      <c r="AM429" s="926"/>
      <c r="AN429" s="926"/>
      <c r="AO429" s="926"/>
      <c r="AP429" s="926"/>
      <c r="AQ429" s="926"/>
      <c r="AR429" s="926"/>
      <c r="AS429" s="926"/>
      <c r="AT429" s="926"/>
      <c r="AU429" s="926"/>
      <c r="AV429" s="926"/>
      <c r="AW429" s="926"/>
      <c r="AX429" s="926"/>
      <c r="AY429" s="926"/>
      <c r="AZ429" s="926"/>
      <c r="BA429" s="926"/>
      <c r="BB429" s="927"/>
    </row>
    <row r="430" spans="1:54" x14ac:dyDescent="0.25">
      <c r="A430" s="13">
        <f t="shared" si="6"/>
        <v>417</v>
      </c>
      <c r="B430" s="888" t="str">
        <f>'refer admin discharge'!B426</f>
        <v>x</v>
      </c>
      <c r="C430" s="888"/>
      <c r="D430" s="868" t="str">
        <f>'refer admin discharge'!D426</f>
        <v>xx</v>
      </c>
      <c r="E430" s="868"/>
      <c r="F430" s="891" t="str">
        <f>'refer admin discharge'!H426</f>
        <v>00/00/0000</v>
      </c>
      <c r="G430" s="892"/>
      <c r="H430" s="894"/>
      <c r="I430" s="894"/>
      <c r="J430" s="918"/>
      <c r="K430" s="918"/>
      <c r="L430" s="894"/>
      <c r="M430" s="894"/>
      <c r="N430" s="916"/>
      <c r="O430" s="916"/>
      <c r="P430" s="894"/>
      <c r="Q430" s="894"/>
      <c r="R430" s="916"/>
      <c r="S430" s="916"/>
      <c r="T430" s="894"/>
      <c r="U430" s="894"/>
      <c r="V430" s="921" t="str">
        <f>'refer admin discharge'!H431</f>
        <v>00/00/0000</v>
      </c>
      <c r="W430" s="922"/>
      <c r="X430" s="920"/>
      <c r="Y430" s="920"/>
      <c r="Z430" s="919"/>
      <c r="AA430" s="919"/>
      <c r="AB430" s="920"/>
      <c r="AC430" s="920"/>
      <c r="AD430" s="912"/>
      <c r="AE430" s="912"/>
      <c r="AF430" s="920"/>
      <c r="AG430" s="920"/>
      <c r="AH430" s="912"/>
      <c r="AI430" s="912"/>
      <c r="AJ430" s="920"/>
      <c r="AK430" s="920"/>
      <c r="AL430" s="905"/>
      <c r="AM430" s="906"/>
      <c r="AN430" s="906"/>
      <c r="AO430" s="906"/>
      <c r="AP430" s="906"/>
      <c r="AQ430" s="906"/>
      <c r="AR430" s="906"/>
      <c r="AS430" s="906"/>
      <c r="AT430" s="906"/>
      <c r="AU430" s="906"/>
      <c r="AV430" s="906"/>
      <c r="AW430" s="906"/>
      <c r="AX430" s="906"/>
      <c r="AY430" s="906"/>
      <c r="AZ430" s="906"/>
      <c r="BA430" s="906"/>
      <c r="BB430" s="907"/>
    </row>
    <row r="431" spans="1:54" x14ac:dyDescent="0.25">
      <c r="A431" s="13">
        <f t="shared" si="6"/>
        <v>418</v>
      </c>
      <c r="B431" s="914" t="str">
        <f>'refer admin discharge'!B427</f>
        <v>x</v>
      </c>
      <c r="C431" s="914"/>
      <c r="D431" s="889" t="str">
        <f>'refer admin discharge'!D427</f>
        <v>xx</v>
      </c>
      <c r="E431" s="889"/>
      <c r="F431" s="915" t="str">
        <f>'refer admin discharge'!H427</f>
        <v>00/00/0000</v>
      </c>
      <c r="G431" s="890"/>
      <c r="H431" s="916"/>
      <c r="I431" s="916"/>
      <c r="J431" s="917"/>
      <c r="K431" s="917"/>
      <c r="L431" s="916"/>
      <c r="M431" s="916"/>
      <c r="N431" s="893"/>
      <c r="O431" s="893"/>
      <c r="P431" s="916"/>
      <c r="Q431" s="916"/>
      <c r="R431" s="893"/>
      <c r="S431" s="893"/>
      <c r="T431" s="916"/>
      <c r="U431" s="916"/>
      <c r="V431" s="921" t="str">
        <f>'refer admin discharge'!H432</f>
        <v>00/00/0000</v>
      </c>
      <c r="W431" s="922"/>
      <c r="X431" s="912"/>
      <c r="Y431" s="912"/>
      <c r="Z431" s="924"/>
      <c r="AA431" s="924"/>
      <c r="AB431" s="912"/>
      <c r="AC431" s="912"/>
      <c r="AD431" s="913"/>
      <c r="AE431" s="913"/>
      <c r="AF431" s="912"/>
      <c r="AG431" s="912"/>
      <c r="AH431" s="913"/>
      <c r="AI431" s="913"/>
      <c r="AJ431" s="912"/>
      <c r="AK431" s="912"/>
      <c r="AL431" s="925"/>
      <c r="AM431" s="926"/>
      <c r="AN431" s="926"/>
      <c r="AO431" s="926"/>
      <c r="AP431" s="926"/>
      <c r="AQ431" s="926"/>
      <c r="AR431" s="926"/>
      <c r="AS431" s="926"/>
      <c r="AT431" s="926"/>
      <c r="AU431" s="926"/>
      <c r="AV431" s="926"/>
      <c r="AW431" s="926"/>
      <c r="AX431" s="926"/>
      <c r="AY431" s="926"/>
      <c r="AZ431" s="926"/>
      <c r="BA431" s="926"/>
      <c r="BB431" s="927"/>
    </row>
    <row r="432" spans="1:54" x14ac:dyDescent="0.25">
      <c r="A432" s="13">
        <f t="shared" si="6"/>
        <v>419</v>
      </c>
      <c r="B432" s="888" t="str">
        <f>'refer admin discharge'!B428</f>
        <v>x</v>
      </c>
      <c r="C432" s="888"/>
      <c r="D432" s="868" t="str">
        <f>'refer admin discharge'!D428</f>
        <v>xx</v>
      </c>
      <c r="E432" s="868"/>
      <c r="F432" s="891" t="str">
        <f>'refer admin discharge'!H428</f>
        <v>00/00/0000</v>
      </c>
      <c r="G432" s="892"/>
      <c r="H432" s="894"/>
      <c r="I432" s="894"/>
      <c r="J432" s="918"/>
      <c r="K432" s="918"/>
      <c r="L432" s="894"/>
      <c r="M432" s="894"/>
      <c r="N432" s="916"/>
      <c r="O432" s="916"/>
      <c r="P432" s="894"/>
      <c r="Q432" s="894"/>
      <c r="R432" s="916"/>
      <c r="S432" s="916"/>
      <c r="T432" s="894"/>
      <c r="U432" s="894"/>
      <c r="V432" s="921" t="str">
        <f>'refer admin discharge'!H433</f>
        <v>00/00/0000</v>
      </c>
      <c r="W432" s="922"/>
      <c r="X432" s="920"/>
      <c r="Y432" s="920"/>
      <c r="Z432" s="919"/>
      <c r="AA432" s="919"/>
      <c r="AB432" s="920"/>
      <c r="AC432" s="920"/>
      <c r="AD432" s="912"/>
      <c r="AE432" s="912"/>
      <c r="AF432" s="920"/>
      <c r="AG432" s="920"/>
      <c r="AH432" s="912"/>
      <c r="AI432" s="912"/>
      <c r="AJ432" s="920"/>
      <c r="AK432" s="920"/>
      <c r="AL432" s="905"/>
      <c r="AM432" s="906"/>
      <c r="AN432" s="906"/>
      <c r="AO432" s="906"/>
      <c r="AP432" s="906"/>
      <c r="AQ432" s="906"/>
      <c r="AR432" s="906"/>
      <c r="AS432" s="906"/>
      <c r="AT432" s="906"/>
      <c r="AU432" s="906"/>
      <c r="AV432" s="906"/>
      <c r="AW432" s="906"/>
      <c r="AX432" s="906"/>
      <c r="AY432" s="906"/>
      <c r="AZ432" s="906"/>
      <c r="BA432" s="906"/>
      <c r="BB432" s="907"/>
    </row>
    <row r="433" spans="1:54" x14ac:dyDescent="0.25">
      <c r="A433" s="13">
        <f t="shared" si="6"/>
        <v>420</v>
      </c>
      <c r="B433" s="914" t="str">
        <f>'refer admin discharge'!B429</f>
        <v>x</v>
      </c>
      <c r="C433" s="914"/>
      <c r="D433" s="889" t="str">
        <f>'refer admin discharge'!D429</f>
        <v>xx</v>
      </c>
      <c r="E433" s="889"/>
      <c r="F433" s="915" t="str">
        <f>'refer admin discharge'!H429</f>
        <v>00/00/0000</v>
      </c>
      <c r="G433" s="890"/>
      <c r="H433" s="916"/>
      <c r="I433" s="916"/>
      <c r="J433" s="917"/>
      <c r="K433" s="917"/>
      <c r="L433" s="916"/>
      <c r="M433" s="916"/>
      <c r="N433" s="893"/>
      <c r="O433" s="893"/>
      <c r="P433" s="916"/>
      <c r="Q433" s="916"/>
      <c r="R433" s="893"/>
      <c r="S433" s="893"/>
      <c r="T433" s="916"/>
      <c r="U433" s="916"/>
      <c r="V433" s="921" t="str">
        <f>'refer admin discharge'!H434</f>
        <v>00/00/0000</v>
      </c>
      <c r="W433" s="922"/>
      <c r="X433" s="912"/>
      <c r="Y433" s="912"/>
      <c r="Z433" s="924"/>
      <c r="AA433" s="924"/>
      <c r="AB433" s="912"/>
      <c r="AC433" s="912"/>
      <c r="AD433" s="913"/>
      <c r="AE433" s="913"/>
      <c r="AF433" s="912"/>
      <c r="AG433" s="912"/>
      <c r="AH433" s="913"/>
      <c r="AI433" s="913"/>
      <c r="AJ433" s="912"/>
      <c r="AK433" s="912"/>
      <c r="AL433" s="925"/>
      <c r="AM433" s="926"/>
      <c r="AN433" s="926"/>
      <c r="AO433" s="926"/>
      <c r="AP433" s="926"/>
      <c r="AQ433" s="926"/>
      <c r="AR433" s="926"/>
      <c r="AS433" s="926"/>
      <c r="AT433" s="926"/>
      <c r="AU433" s="926"/>
      <c r="AV433" s="926"/>
      <c r="AW433" s="926"/>
      <c r="AX433" s="926"/>
      <c r="AY433" s="926"/>
      <c r="AZ433" s="926"/>
      <c r="BA433" s="926"/>
      <c r="BB433" s="927"/>
    </row>
    <row r="434" spans="1:54" x14ac:dyDescent="0.25">
      <c r="A434" s="13">
        <f t="shared" si="6"/>
        <v>421</v>
      </c>
      <c r="B434" s="888" t="str">
        <f>'refer admin discharge'!B430</f>
        <v>x</v>
      </c>
      <c r="C434" s="888"/>
      <c r="D434" s="868" t="str">
        <f>'refer admin discharge'!D430</f>
        <v>xx</v>
      </c>
      <c r="E434" s="868"/>
      <c r="F434" s="891" t="str">
        <f>'refer admin discharge'!H430</f>
        <v>00/00/0000</v>
      </c>
      <c r="G434" s="892"/>
      <c r="H434" s="894"/>
      <c r="I434" s="894"/>
      <c r="J434" s="918"/>
      <c r="K434" s="918"/>
      <c r="L434" s="894"/>
      <c r="M434" s="894"/>
      <c r="N434" s="916"/>
      <c r="O434" s="916"/>
      <c r="P434" s="894"/>
      <c r="Q434" s="894"/>
      <c r="R434" s="916"/>
      <c r="S434" s="916"/>
      <c r="T434" s="894"/>
      <c r="U434" s="894"/>
      <c r="V434" s="921" t="str">
        <f>'refer admin discharge'!H435</f>
        <v>00/00/0000</v>
      </c>
      <c r="W434" s="922"/>
      <c r="X434" s="920"/>
      <c r="Y434" s="920"/>
      <c r="Z434" s="919"/>
      <c r="AA434" s="919"/>
      <c r="AB434" s="920"/>
      <c r="AC434" s="920"/>
      <c r="AD434" s="912"/>
      <c r="AE434" s="912"/>
      <c r="AF434" s="920"/>
      <c r="AG434" s="920"/>
      <c r="AH434" s="912"/>
      <c r="AI434" s="912"/>
      <c r="AJ434" s="920"/>
      <c r="AK434" s="920"/>
      <c r="AL434" s="905"/>
      <c r="AM434" s="906"/>
      <c r="AN434" s="906"/>
      <c r="AO434" s="906"/>
      <c r="AP434" s="906"/>
      <c r="AQ434" s="906"/>
      <c r="AR434" s="906"/>
      <c r="AS434" s="906"/>
      <c r="AT434" s="906"/>
      <c r="AU434" s="906"/>
      <c r="AV434" s="906"/>
      <c r="AW434" s="906"/>
      <c r="AX434" s="906"/>
      <c r="AY434" s="906"/>
      <c r="AZ434" s="906"/>
      <c r="BA434" s="906"/>
      <c r="BB434" s="907"/>
    </row>
    <row r="435" spans="1:54" x14ac:dyDescent="0.25">
      <c r="A435" s="13">
        <f t="shared" si="6"/>
        <v>422</v>
      </c>
      <c r="B435" s="914" t="str">
        <f>'refer admin discharge'!B431</f>
        <v>x</v>
      </c>
      <c r="C435" s="914"/>
      <c r="D435" s="889" t="str">
        <f>'refer admin discharge'!D431</f>
        <v>xx</v>
      </c>
      <c r="E435" s="889"/>
      <c r="F435" s="915" t="str">
        <f>'refer admin discharge'!H431</f>
        <v>00/00/0000</v>
      </c>
      <c r="G435" s="890"/>
      <c r="H435" s="916"/>
      <c r="I435" s="916"/>
      <c r="J435" s="917"/>
      <c r="K435" s="917"/>
      <c r="L435" s="916"/>
      <c r="M435" s="916"/>
      <c r="N435" s="893"/>
      <c r="O435" s="893"/>
      <c r="P435" s="916"/>
      <c r="Q435" s="916"/>
      <c r="R435" s="893"/>
      <c r="S435" s="893"/>
      <c r="T435" s="916"/>
      <c r="U435" s="916"/>
      <c r="V435" s="921" t="str">
        <f>'refer admin discharge'!H436</f>
        <v>00/00/0000</v>
      </c>
      <c r="W435" s="922"/>
      <c r="X435" s="912"/>
      <c r="Y435" s="912"/>
      <c r="Z435" s="924"/>
      <c r="AA435" s="924"/>
      <c r="AB435" s="912"/>
      <c r="AC435" s="912"/>
      <c r="AD435" s="913"/>
      <c r="AE435" s="913"/>
      <c r="AF435" s="912"/>
      <c r="AG435" s="912"/>
      <c r="AH435" s="913"/>
      <c r="AI435" s="913"/>
      <c r="AJ435" s="912"/>
      <c r="AK435" s="912"/>
      <c r="AL435" s="925"/>
      <c r="AM435" s="926"/>
      <c r="AN435" s="926"/>
      <c r="AO435" s="926"/>
      <c r="AP435" s="926"/>
      <c r="AQ435" s="926"/>
      <c r="AR435" s="926"/>
      <c r="AS435" s="926"/>
      <c r="AT435" s="926"/>
      <c r="AU435" s="926"/>
      <c r="AV435" s="926"/>
      <c r="AW435" s="926"/>
      <c r="AX435" s="926"/>
      <c r="AY435" s="926"/>
      <c r="AZ435" s="926"/>
      <c r="BA435" s="926"/>
      <c r="BB435" s="927"/>
    </row>
    <row r="436" spans="1:54" x14ac:dyDescent="0.25">
      <c r="A436" s="13">
        <f t="shared" si="6"/>
        <v>423</v>
      </c>
      <c r="B436" s="888" t="str">
        <f>'refer admin discharge'!B432</f>
        <v>x</v>
      </c>
      <c r="C436" s="888"/>
      <c r="D436" s="868" t="str">
        <f>'refer admin discharge'!D432</f>
        <v>xx</v>
      </c>
      <c r="E436" s="868"/>
      <c r="F436" s="891" t="str">
        <f>'refer admin discharge'!H432</f>
        <v>00/00/0000</v>
      </c>
      <c r="G436" s="892"/>
      <c r="H436" s="894"/>
      <c r="I436" s="894"/>
      <c r="J436" s="918"/>
      <c r="K436" s="918"/>
      <c r="L436" s="894"/>
      <c r="M436" s="894"/>
      <c r="N436" s="916"/>
      <c r="O436" s="916"/>
      <c r="P436" s="894"/>
      <c r="Q436" s="894"/>
      <c r="R436" s="916"/>
      <c r="S436" s="916"/>
      <c r="T436" s="894"/>
      <c r="U436" s="894"/>
      <c r="V436" s="921" t="str">
        <f>'refer admin discharge'!H437</f>
        <v>00/00/0000</v>
      </c>
      <c r="W436" s="922"/>
      <c r="X436" s="920"/>
      <c r="Y436" s="920"/>
      <c r="Z436" s="919"/>
      <c r="AA436" s="919"/>
      <c r="AB436" s="920"/>
      <c r="AC436" s="920"/>
      <c r="AD436" s="912"/>
      <c r="AE436" s="912"/>
      <c r="AF436" s="920"/>
      <c r="AG436" s="920"/>
      <c r="AH436" s="912"/>
      <c r="AI436" s="912"/>
      <c r="AJ436" s="920"/>
      <c r="AK436" s="920"/>
      <c r="AL436" s="905"/>
      <c r="AM436" s="906"/>
      <c r="AN436" s="906"/>
      <c r="AO436" s="906"/>
      <c r="AP436" s="906"/>
      <c r="AQ436" s="906"/>
      <c r="AR436" s="906"/>
      <c r="AS436" s="906"/>
      <c r="AT436" s="906"/>
      <c r="AU436" s="906"/>
      <c r="AV436" s="906"/>
      <c r="AW436" s="906"/>
      <c r="AX436" s="906"/>
      <c r="AY436" s="906"/>
      <c r="AZ436" s="906"/>
      <c r="BA436" s="906"/>
      <c r="BB436" s="907"/>
    </row>
    <row r="437" spans="1:54" x14ac:dyDescent="0.25">
      <c r="A437" s="13">
        <f t="shared" si="6"/>
        <v>424</v>
      </c>
      <c r="B437" s="914" t="str">
        <f>'refer admin discharge'!B433</f>
        <v>x</v>
      </c>
      <c r="C437" s="914"/>
      <c r="D437" s="889" t="str">
        <f>'refer admin discharge'!D433</f>
        <v>xx</v>
      </c>
      <c r="E437" s="889"/>
      <c r="F437" s="915" t="str">
        <f>'refer admin discharge'!H433</f>
        <v>00/00/0000</v>
      </c>
      <c r="G437" s="890"/>
      <c r="H437" s="916"/>
      <c r="I437" s="916"/>
      <c r="J437" s="917"/>
      <c r="K437" s="917"/>
      <c r="L437" s="916"/>
      <c r="M437" s="916"/>
      <c r="N437" s="893"/>
      <c r="O437" s="893"/>
      <c r="P437" s="916"/>
      <c r="Q437" s="916"/>
      <c r="R437" s="893"/>
      <c r="S437" s="893"/>
      <c r="T437" s="916"/>
      <c r="U437" s="916"/>
      <c r="V437" s="921" t="str">
        <f>'refer admin discharge'!H438</f>
        <v>00/00/0000</v>
      </c>
      <c r="W437" s="922"/>
      <c r="X437" s="912"/>
      <c r="Y437" s="912"/>
      <c r="Z437" s="924"/>
      <c r="AA437" s="924"/>
      <c r="AB437" s="912"/>
      <c r="AC437" s="912"/>
      <c r="AD437" s="913"/>
      <c r="AE437" s="913"/>
      <c r="AF437" s="912"/>
      <c r="AG437" s="912"/>
      <c r="AH437" s="913"/>
      <c r="AI437" s="913"/>
      <c r="AJ437" s="912"/>
      <c r="AK437" s="912"/>
      <c r="AL437" s="925"/>
      <c r="AM437" s="926"/>
      <c r="AN437" s="926"/>
      <c r="AO437" s="926"/>
      <c r="AP437" s="926"/>
      <c r="AQ437" s="926"/>
      <c r="AR437" s="926"/>
      <c r="AS437" s="926"/>
      <c r="AT437" s="926"/>
      <c r="AU437" s="926"/>
      <c r="AV437" s="926"/>
      <c r="AW437" s="926"/>
      <c r="AX437" s="926"/>
      <c r="AY437" s="926"/>
      <c r="AZ437" s="926"/>
      <c r="BA437" s="926"/>
      <c r="BB437" s="927"/>
    </row>
    <row r="438" spans="1:54" x14ac:dyDescent="0.25">
      <c r="A438" s="13">
        <f t="shared" si="6"/>
        <v>425</v>
      </c>
      <c r="B438" s="888" t="str">
        <f>'refer admin discharge'!B434</f>
        <v>x</v>
      </c>
      <c r="C438" s="888"/>
      <c r="D438" s="868" t="str">
        <f>'refer admin discharge'!D434</f>
        <v>xx</v>
      </c>
      <c r="E438" s="868"/>
      <c r="F438" s="891" t="str">
        <f>'refer admin discharge'!H434</f>
        <v>00/00/0000</v>
      </c>
      <c r="G438" s="892"/>
      <c r="H438" s="894"/>
      <c r="I438" s="894"/>
      <c r="J438" s="918"/>
      <c r="K438" s="918"/>
      <c r="L438" s="894"/>
      <c r="M438" s="894"/>
      <c r="N438" s="916"/>
      <c r="O438" s="916"/>
      <c r="P438" s="894"/>
      <c r="Q438" s="894"/>
      <c r="R438" s="916"/>
      <c r="S438" s="916"/>
      <c r="T438" s="894"/>
      <c r="U438" s="894"/>
      <c r="V438" s="921" t="str">
        <f>'refer admin discharge'!H439</f>
        <v>00/00/0000</v>
      </c>
      <c r="W438" s="922"/>
      <c r="X438" s="920"/>
      <c r="Y438" s="920"/>
      <c r="Z438" s="919"/>
      <c r="AA438" s="919"/>
      <c r="AB438" s="920"/>
      <c r="AC438" s="920"/>
      <c r="AD438" s="912"/>
      <c r="AE438" s="912"/>
      <c r="AF438" s="920"/>
      <c r="AG438" s="920"/>
      <c r="AH438" s="912"/>
      <c r="AI438" s="912"/>
      <c r="AJ438" s="920"/>
      <c r="AK438" s="920"/>
      <c r="AL438" s="905"/>
      <c r="AM438" s="906"/>
      <c r="AN438" s="906"/>
      <c r="AO438" s="906"/>
      <c r="AP438" s="906"/>
      <c r="AQ438" s="906"/>
      <c r="AR438" s="906"/>
      <c r="AS438" s="906"/>
      <c r="AT438" s="906"/>
      <c r="AU438" s="906"/>
      <c r="AV438" s="906"/>
      <c r="AW438" s="906"/>
      <c r="AX438" s="906"/>
      <c r="AY438" s="906"/>
      <c r="AZ438" s="906"/>
      <c r="BA438" s="906"/>
      <c r="BB438" s="907"/>
    </row>
    <row r="439" spans="1:54" x14ac:dyDescent="0.25">
      <c r="A439" s="13">
        <f t="shared" si="6"/>
        <v>426</v>
      </c>
      <c r="B439" s="914" t="str">
        <f>'refer admin discharge'!B435</f>
        <v>x</v>
      </c>
      <c r="C439" s="914"/>
      <c r="D439" s="889" t="str">
        <f>'refer admin discharge'!D435</f>
        <v>xx</v>
      </c>
      <c r="E439" s="889"/>
      <c r="F439" s="915" t="str">
        <f>'refer admin discharge'!H435</f>
        <v>00/00/0000</v>
      </c>
      <c r="G439" s="890"/>
      <c r="H439" s="916"/>
      <c r="I439" s="916"/>
      <c r="J439" s="917"/>
      <c r="K439" s="917"/>
      <c r="L439" s="916"/>
      <c r="M439" s="916"/>
      <c r="N439" s="893"/>
      <c r="O439" s="893"/>
      <c r="P439" s="916"/>
      <c r="Q439" s="916"/>
      <c r="R439" s="893"/>
      <c r="S439" s="893"/>
      <c r="T439" s="916"/>
      <c r="U439" s="916"/>
      <c r="V439" s="921" t="str">
        <f>'refer admin discharge'!H440</f>
        <v>00/00/0000</v>
      </c>
      <c r="W439" s="922"/>
      <c r="X439" s="912"/>
      <c r="Y439" s="912"/>
      <c r="Z439" s="924"/>
      <c r="AA439" s="924"/>
      <c r="AB439" s="912"/>
      <c r="AC439" s="912"/>
      <c r="AD439" s="913"/>
      <c r="AE439" s="913"/>
      <c r="AF439" s="912"/>
      <c r="AG439" s="912"/>
      <c r="AH439" s="913"/>
      <c r="AI439" s="913"/>
      <c r="AJ439" s="912"/>
      <c r="AK439" s="912"/>
      <c r="AL439" s="925"/>
      <c r="AM439" s="926"/>
      <c r="AN439" s="926"/>
      <c r="AO439" s="926"/>
      <c r="AP439" s="926"/>
      <c r="AQ439" s="926"/>
      <c r="AR439" s="926"/>
      <c r="AS439" s="926"/>
      <c r="AT439" s="926"/>
      <c r="AU439" s="926"/>
      <c r="AV439" s="926"/>
      <c r="AW439" s="926"/>
      <c r="AX439" s="926"/>
      <c r="AY439" s="926"/>
      <c r="AZ439" s="926"/>
      <c r="BA439" s="926"/>
      <c r="BB439" s="927"/>
    </row>
    <row r="440" spans="1:54" x14ac:dyDescent="0.25">
      <c r="A440" s="13">
        <f t="shared" si="6"/>
        <v>427</v>
      </c>
      <c r="B440" s="888" t="str">
        <f>'refer admin discharge'!B436</f>
        <v>x</v>
      </c>
      <c r="C440" s="888"/>
      <c r="D440" s="868" t="str">
        <f>'refer admin discharge'!D436</f>
        <v>xx</v>
      </c>
      <c r="E440" s="868"/>
      <c r="F440" s="891" t="str">
        <f>'refer admin discharge'!H436</f>
        <v>00/00/0000</v>
      </c>
      <c r="G440" s="892"/>
      <c r="H440" s="894"/>
      <c r="I440" s="894"/>
      <c r="J440" s="918"/>
      <c r="K440" s="918"/>
      <c r="L440" s="894"/>
      <c r="M440" s="894"/>
      <c r="N440" s="916"/>
      <c r="O440" s="916"/>
      <c r="P440" s="894"/>
      <c r="Q440" s="894"/>
      <c r="R440" s="916"/>
      <c r="S440" s="916"/>
      <c r="T440" s="894"/>
      <c r="U440" s="894"/>
      <c r="V440" s="921" t="str">
        <f>'refer admin discharge'!H441</f>
        <v>00/00/0000</v>
      </c>
      <c r="W440" s="922"/>
      <c r="X440" s="920"/>
      <c r="Y440" s="920"/>
      <c r="Z440" s="919"/>
      <c r="AA440" s="919"/>
      <c r="AB440" s="920"/>
      <c r="AC440" s="920"/>
      <c r="AD440" s="912"/>
      <c r="AE440" s="912"/>
      <c r="AF440" s="920"/>
      <c r="AG440" s="920"/>
      <c r="AH440" s="912"/>
      <c r="AI440" s="912"/>
      <c r="AJ440" s="920"/>
      <c r="AK440" s="920"/>
      <c r="AL440" s="905"/>
      <c r="AM440" s="906"/>
      <c r="AN440" s="906"/>
      <c r="AO440" s="906"/>
      <c r="AP440" s="906"/>
      <c r="AQ440" s="906"/>
      <c r="AR440" s="906"/>
      <c r="AS440" s="906"/>
      <c r="AT440" s="906"/>
      <c r="AU440" s="906"/>
      <c r="AV440" s="906"/>
      <c r="AW440" s="906"/>
      <c r="AX440" s="906"/>
      <c r="AY440" s="906"/>
      <c r="AZ440" s="906"/>
      <c r="BA440" s="906"/>
      <c r="BB440" s="907"/>
    </row>
    <row r="441" spans="1:54" x14ac:dyDescent="0.25">
      <c r="A441" s="13">
        <f t="shared" si="6"/>
        <v>428</v>
      </c>
      <c r="B441" s="914" t="str">
        <f>'refer admin discharge'!B437</f>
        <v>x</v>
      </c>
      <c r="C441" s="914"/>
      <c r="D441" s="889" t="str">
        <f>'refer admin discharge'!D437</f>
        <v>xx</v>
      </c>
      <c r="E441" s="889"/>
      <c r="F441" s="915" t="str">
        <f>'refer admin discharge'!H437</f>
        <v>00/00/0000</v>
      </c>
      <c r="G441" s="890"/>
      <c r="H441" s="916"/>
      <c r="I441" s="916"/>
      <c r="J441" s="917"/>
      <c r="K441" s="917"/>
      <c r="L441" s="916"/>
      <c r="M441" s="916"/>
      <c r="N441" s="893"/>
      <c r="O441" s="893"/>
      <c r="P441" s="916"/>
      <c r="Q441" s="916"/>
      <c r="R441" s="893"/>
      <c r="S441" s="893"/>
      <c r="T441" s="916"/>
      <c r="U441" s="916"/>
      <c r="V441" s="921" t="str">
        <f>'refer admin discharge'!H442</f>
        <v>00/00/0000</v>
      </c>
      <c r="W441" s="922"/>
      <c r="X441" s="912"/>
      <c r="Y441" s="912"/>
      <c r="Z441" s="924"/>
      <c r="AA441" s="924"/>
      <c r="AB441" s="912"/>
      <c r="AC441" s="912"/>
      <c r="AD441" s="913"/>
      <c r="AE441" s="913"/>
      <c r="AF441" s="912"/>
      <c r="AG441" s="912"/>
      <c r="AH441" s="913"/>
      <c r="AI441" s="913"/>
      <c r="AJ441" s="912"/>
      <c r="AK441" s="912"/>
      <c r="AL441" s="925"/>
      <c r="AM441" s="926"/>
      <c r="AN441" s="926"/>
      <c r="AO441" s="926"/>
      <c r="AP441" s="926"/>
      <c r="AQ441" s="926"/>
      <c r="AR441" s="926"/>
      <c r="AS441" s="926"/>
      <c r="AT441" s="926"/>
      <c r="AU441" s="926"/>
      <c r="AV441" s="926"/>
      <c r="AW441" s="926"/>
      <c r="AX441" s="926"/>
      <c r="AY441" s="926"/>
      <c r="AZ441" s="926"/>
      <c r="BA441" s="926"/>
      <c r="BB441" s="927"/>
    </row>
    <row r="442" spans="1:54" x14ac:dyDescent="0.25">
      <c r="A442" s="13">
        <f t="shared" si="6"/>
        <v>429</v>
      </c>
      <c r="B442" s="888" t="str">
        <f>'refer admin discharge'!B438</f>
        <v>x</v>
      </c>
      <c r="C442" s="888"/>
      <c r="D442" s="868" t="str">
        <f>'refer admin discharge'!D438</f>
        <v>xx</v>
      </c>
      <c r="E442" s="868"/>
      <c r="F442" s="891" t="str">
        <f>'refer admin discharge'!H438</f>
        <v>00/00/0000</v>
      </c>
      <c r="G442" s="892"/>
      <c r="H442" s="894"/>
      <c r="I442" s="894"/>
      <c r="J442" s="918"/>
      <c r="K442" s="918"/>
      <c r="L442" s="894"/>
      <c r="M442" s="894"/>
      <c r="N442" s="916"/>
      <c r="O442" s="916"/>
      <c r="P442" s="894"/>
      <c r="Q442" s="894"/>
      <c r="R442" s="916"/>
      <c r="S442" s="916"/>
      <c r="T442" s="894"/>
      <c r="U442" s="894"/>
      <c r="V442" s="921" t="str">
        <f>'refer admin discharge'!H443</f>
        <v>00/00/0000</v>
      </c>
      <c r="W442" s="922"/>
      <c r="X442" s="920"/>
      <c r="Y442" s="920"/>
      <c r="Z442" s="919"/>
      <c r="AA442" s="919"/>
      <c r="AB442" s="920"/>
      <c r="AC442" s="920"/>
      <c r="AD442" s="912"/>
      <c r="AE442" s="912"/>
      <c r="AF442" s="920"/>
      <c r="AG442" s="920"/>
      <c r="AH442" s="912"/>
      <c r="AI442" s="912"/>
      <c r="AJ442" s="920"/>
      <c r="AK442" s="920"/>
      <c r="AL442" s="905"/>
      <c r="AM442" s="906"/>
      <c r="AN442" s="906"/>
      <c r="AO442" s="906"/>
      <c r="AP442" s="906"/>
      <c r="AQ442" s="906"/>
      <c r="AR442" s="906"/>
      <c r="AS442" s="906"/>
      <c r="AT442" s="906"/>
      <c r="AU442" s="906"/>
      <c r="AV442" s="906"/>
      <c r="AW442" s="906"/>
      <c r="AX442" s="906"/>
      <c r="AY442" s="906"/>
      <c r="AZ442" s="906"/>
      <c r="BA442" s="906"/>
      <c r="BB442" s="907"/>
    </row>
    <row r="443" spans="1:54" x14ac:dyDescent="0.25">
      <c r="A443" s="13">
        <f t="shared" si="6"/>
        <v>430</v>
      </c>
      <c r="B443" s="914" t="str">
        <f>'refer admin discharge'!B439</f>
        <v>x</v>
      </c>
      <c r="C443" s="914"/>
      <c r="D443" s="889" t="str">
        <f>'refer admin discharge'!D439</f>
        <v>xx</v>
      </c>
      <c r="E443" s="889"/>
      <c r="F443" s="915" t="str">
        <f>'refer admin discharge'!H439</f>
        <v>00/00/0000</v>
      </c>
      <c r="G443" s="890"/>
      <c r="H443" s="916"/>
      <c r="I443" s="916"/>
      <c r="J443" s="917"/>
      <c r="K443" s="917"/>
      <c r="L443" s="916"/>
      <c r="M443" s="916"/>
      <c r="N443" s="893"/>
      <c r="O443" s="893"/>
      <c r="P443" s="916"/>
      <c r="Q443" s="916"/>
      <c r="R443" s="893"/>
      <c r="S443" s="893"/>
      <c r="T443" s="916"/>
      <c r="U443" s="916"/>
      <c r="V443" s="921" t="str">
        <f>'refer admin discharge'!H444</f>
        <v>00/00/0000</v>
      </c>
      <c r="W443" s="922"/>
      <c r="X443" s="912"/>
      <c r="Y443" s="912"/>
      <c r="Z443" s="924"/>
      <c r="AA443" s="924"/>
      <c r="AB443" s="912"/>
      <c r="AC443" s="912"/>
      <c r="AD443" s="913"/>
      <c r="AE443" s="913"/>
      <c r="AF443" s="912"/>
      <c r="AG443" s="912"/>
      <c r="AH443" s="913"/>
      <c r="AI443" s="913"/>
      <c r="AJ443" s="912"/>
      <c r="AK443" s="912"/>
      <c r="AL443" s="925"/>
      <c r="AM443" s="926"/>
      <c r="AN443" s="926"/>
      <c r="AO443" s="926"/>
      <c r="AP443" s="926"/>
      <c r="AQ443" s="926"/>
      <c r="AR443" s="926"/>
      <c r="AS443" s="926"/>
      <c r="AT443" s="926"/>
      <c r="AU443" s="926"/>
      <c r="AV443" s="926"/>
      <c r="AW443" s="926"/>
      <c r="AX443" s="926"/>
      <c r="AY443" s="926"/>
      <c r="AZ443" s="926"/>
      <c r="BA443" s="926"/>
      <c r="BB443" s="927"/>
    </row>
    <row r="444" spans="1:54" x14ac:dyDescent="0.25">
      <c r="A444" s="13">
        <f t="shared" si="6"/>
        <v>431</v>
      </c>
      <c r="B444" s="888" t="str">
        <f>'refer admin discharge'!B440</f>
        <v>x</v>
      </c>
      <c r="C444" s="888"/>
      <c r="D444" s="868" t="str">
        <f>'refer admin discharge'!D440</f>
        <v>xx</v>
      </c>
      <c r="E444" s="868"/>
      <c r="F444" s="891" t="str">
        <f>'refer admin discharge'!H440</f>
        <v>00/00/0000</v>
      </c>
      <c r="G444" s="892"/>
      <c r="H444" s="894"/>
      <c r="I444" s="894"/>
      <c r="J444" s="918"/>
      <c r="K444" s="918"/>
      <c r="L444" s="894"/>
      <c r="M444" s="894"/>
      <c r="N444" s="916"/>
      <c r="O444" s="916"/>
      <c r="P444" s="894"/>
      <c r="Q444" s="894"/>
      <c r="R444" s="916"/>
      <c r="S444" s="916"/>
      <c r="T444" s="894"/>
      <c r="U444" s="894"/>
      <c r="V444" s="921" t="str">
        <f>'refer admin discharge'!H445</f>
        <v>00/00/0000</v>
      </c>
      <c r="W444" s="922"/>
      <c r="X444" s="920"/>
      <c r="Y444" s="920"/>
      <c r="Z444" s="919"/>
      <c r="AA444" s="919"/>
      <c r="AB444" s="920"/>
      <c r="AC444" s="920"/>
      <c r="AD444" s="912"/>
      <c r="AE444" s="912"/>
      <c r="AF444" s="920"/>
      <c r="AG444" s="920"/>
      <c r="AH444" s="912"/>
      <c r="AI444" s="912"/>
      <c r="AJ444" s="920"/>
      <c r="AK444" s="920"/>
      <c r="AL444" s="905"/>
      <c r="AM444" s="906"/>
      <c r="AN444" s="906"/>
      <c r="AO444" s="906"/>
      <c r="AP444" s="906"/>
      <c r="AQ444" s="906"/>
      <c r="AR444" s="906"/>
      <c r="AS444" s="906"/>
      <c r="AT444" s="906"/>
      <c r="AU444" s="906"/>
      <c r="AV444" s="906"/>
      <c r="AW444" s="906"/>
      <c r="AX444" s="906"/>
      <c r="AY444" s="906"/>
      <c r="AZ444" s="906"/>
      <c r="BA444" s="906"/>
      <c r="BB444" s="907"/>
    </row>
    <row r="445" spans="1:54" x14ac:dyDescent="0.25">
      <c r="A445" s="13">
        <f t="shared" si="6"/>
        <v>432</v>
      </c>
      <c r="B445" s="914" t="str">
        <f>'refer admin discharge'!B441</f>
        <v>x</v>
      </c>
      <c r="C445" s="914"/>
      <c r="D445" s="889" t="str">
        <f>'refer admin discharge'!D441</f>
        <v>xx</v>
      </c>
      <c r="E445" s="889"/>
      <c r="F445" s="915" t="str">
        <f>'refer admin discharge'!H441</f>
        <v>00/00/0000</v>
      </c>
      <c r="G445" s="890"/>
      <c r="H445" s="916"/>
      <c r="I445" s="916"/>
      <c r="J445" s="917"/>
      <c r="K445" s="917"/>
      <c r="L445" s="916"/>
      <c r="M445" s="916"/>
      <c r="N445" s="893"/>
      <c r="O445" s="893"/>
      <c r="P445" s="916"/>
      <c r="Q445" s="916"/>
      <c r="R445" s="893"/>
      <c r="S445" s="893"/>
      <c r="T445" s="916"/>
      <c r="U445" s="916"/>
      <c r="V445" s="921" t="str">
        <f>'refer admin discharge'!H446</f>
        <v>00/00/0000</v>
      </c>
      <c r="W445" s="922"/>
      <c r="X445" s="912"/>
      <c r="Y445" s="912"/>
      <c r="Z445" s="924"/>
      <c r="AA445" s="924"/>
      <c r="AB445" s="912"/>
      <c r="AC445" s="912"/>
      <c r="AD445" s="913"/>
      <c r="AE445" s="913"/>
      <c r="AF445" s="912"/>
      <c r="AG445" s="912"/>
      <c r="AH445" s="913"/>
      <c r="AI445" s="913"/>
      <c r="AJ445" s="912"/>
      <c r="AK445" s="912"/>
      <c r="AL445" s="925"/>
      <c r="AM445" s="926"/>
      <c r="AN445" s="926"/>
      <c r="AO445" s="926"/>
      <c r="AP445" s="926"/>
      <c r="AQ445" s="926"/>
      <c r="AR445" s="926"/>
      <c r="AS445" s="926"/>
      <c r="AT445" s="926"/>
      <c r="AU445" s="926"/>
      <c r="AV445" s="926"/>
      <c r="AW445" s="926"/>
      <c r="AX445" s="926"/>
      <c r="AY445" s="926"/>
      <c r="AZ445" s="926"/>
      <c r="BA445" s="926"/>
      <c r="BB445" s="927"/>
    </row>
    <row r="446" spans="1:54" x14ac:dyDescent="0.25">
      <c r="A446" s="13">
        <f t="shared" si="6"/>
        <v>433</v>
      </c>
      <c r="B446" s="888" t="str">
        <f>'refer admin discharge'!B442</f>
        <v>x</v>
      </c>
      <c r="C446" s="888"/>
      <c r="D446" s="868" t="str">
        <f>'refer admin discharge'!D442</f>
        <v>xx</v>
      </c>
      <c r="E446" s="868"/>
      <c r="F446" s="891" t="str">
        <f>'refer admin discharge'!H442</f>
        <v>00/00/0000</v>
      </c>
      <c r="G446" s="892"/>
      <c r="H446" s="894"/>
      <c r="I446" s="894"/>
      <c r="J446" s="918"/>
      <c r="K446" s="918"/>
      <c r="L446" s="894"/>
      <c r="M446" s="894"/>
      <c r="N446" s="916"/>
      <c r="O446" s="916"/>
      <c r="P446" s="894"/>
      <c r="Q446" s="894"/>
      <c r="R446" s="916"/>
      <c r="S446" s="916"/>
      <c r="T446" s="894"/>
      <c r="U446" s="894"/>
      <c r="V446" s="921" t="str">
        <f>'refer admin discharge'!H447</f>
        <v>00/00/0000</v>
      </c>
      <c r="W446" s="922"/>
      <c r="X446" s="920"/>
      <c r="Y446" s="920"/>
      <c r="Z446" s="919"/>
      <c r="AA446" s="919"/>
      <c r="AB446" s="920"/>
      <c r="AC446" s="920"/>
      <c r="AD446" s="912"/>
      <c r="AE446" s="912"/>
      <c r="AF446" s="920"/>
      <c r="AG446" s="920"/>
      <c r="AH446" s="912"/>
      <c r="AI446" s="912"/>
      <c r="AJ446" s="920"/>
      <c r="AK446" s="920"/>
      <c r="AL446" s="905"/>
      <c r="AM446" s="906"/>
      <c r="AN446" s="906"/>
      <c r="AO446" s="906"/>
      <c r="AP446" s="906"/>
      <c r="AQ446" s="906"/>
      <c r="AR446" s="906"/>
      <c r="AS446" s="906"/>
      <c r="AT446" s="906"/>
      <c r="AU446" s="906"/>
      <c r="AV446" s="906"/>
      <c r="AW446" s="906"/>
      <c r="AX446" s="906"/>
      <c r="AY446" s="906"/>
      <c r="AZ446" s="906"/>
      <c r="BA446" s="906"/>
      <c r="BB446" s="907"/>
    </row>
    <row r="447" spans="1:54" x14ac:dyDescent="0.25">
      <c r="A447" s="13">
        <f t="shared" si="6"/>
        <v>434</v>
      </c>
      <c r="B447" s="914" t="str">
        <f>'refer admin discharge'!B443</f>
        <v>x</v>
      </c>
      <c r="C447" s="914"/>
      <c r="D447" s="889" t="str">
        <f>'refer admin discharge'!D443</f>
        <v>xx</v>
      </c>
      <c r="E447" s="889"/>
      <c r="F447" s="915" t="str">
        <f>'refer admin discharge'!H443</f>
        <v>00/00/0000</v>
      </c>
      <c r="G447" s="890"/>
      <c r="H447" s="916"/>
      <c r="I447" s="916"/>
      <c r="J447" s="917"/>
      <c r="K447" s="917"/>
      <c r="L447" s="916"/>
      <c r="M447" s="916"/>
      <c r="N447" s="893"/>
      <c r="O447" s="893"/>
      <c r="P447" s="916"/>
      <c r="Q447" s="916"/>
      <c r="R447" s="893"/>
      <c r="S447" s="893"/>
      <c r="T447" s="916"/>
      <c r="U447" s="916"/>
      <c r="V447" s="921" t="str">
        <f>'refer admin discharge'!H448</f>
        <v>00/00/0000</v>
      </c>
      <c r="W447" s="922"/>
      <c r="X447" s="912"/>
      <c r="Y447" s="912"/>
      <c r="Z447" s="924"/>
      <c r="AA447" s="924"/>
      <c r="AB447" s="912"/>
      <c r="AC447" s="912"/>
      <c r="AD447" s="913"/>
      <c r="AE447" s="913"/>
      <c r="AF447" s="912"/>
      <c r="AG447" s="912"/>
      <c r="AH447" s="913"/>
      <c r="AI447" s="913"/>
      <c r="AJ447" s="912"/>
      <c r="AK447" s="912"/>
      <c r="AL447" s="925"/>
      <c r="AM447" s="926"/>
      <c r="AN447" s="926"/>
      <c r="AO447" s="926"/>
      <c r="AP447" s="926"/>
      <c r="AQ447" s="926"/>
      <c r="AR447" s="926"/>
      <c r="AS447" s="926"/>
      <c r="AT447" s="926"/>
      <c r="AU447" s="926"/>
      <c r="AV447" s="926"/>
      <c r="AW447" s="926"/>
      <c r="AX447" s="926"/>
      <c r="AY447" s="926"/>
      <c r="AZ447" s="926"/>
      <c r="BA447" s="926"/>
      <c r="BB447" s="927"/>
    </row>
    <row r="448" spans="1:54" x14ac:dyDescent="0.25">
      <c r="A448" s="13">
        <f t="shared" si="6"/>
        <v>435</v>
      </c>
      <c r="B448" s="888" t="str">
        <f>'refer admin discharge'!B444</f>
        <v>x</v>
      </c>
      <c r="C448" s="888"/>
      <c r="D448" s="868" t="str">
        <f>'refer admin discharge'!D444</f>
        <v>xx</v>
      </c>
      <c r="E448" s="868"/>
      <c r="F448" s="891" t="str">
        <f>'refer admin discharge'!H444</f>
        <v>00/00/0000</v>
      </c>
      <c r="G448" s="892"/>
      <c r="H448" s="894"/>
      <c r="I448" s="894"/>
      <c r="J448" s="918"/>
      <c r="K448" s="918"/>
      <c r="L448" s="894"/>
      <c r="M448" s="894"/>
      <c r="N448" s="916"/>
      <c r="O448" s="916"/>
      <c r="P448" s="894"/>
      <c r="Q448" s="894"/>
      <c r="R448" s="916"/>
      <c r="S448" s="916"/>
      <c r="T448" s="894"/>
      <c r="U448" s="894"/>
      <c r="V448" s="921" t="str">
        <f>'refer admin discharge'!H449</f>
        <v>00/00/0000</v>
      </c>
      <c r="W448" s="922"/>
      <c r="X448" s="920"/>
      <c r="Y448" s="920"/>
      <c r="Z448" s="919"/>
      <c r="AA448" s="919"/>
      <c r="AB448" s="920"/>
      <c r="AC448" s="920"/>
      <c r="AD448" s="912"/>
      <c r="AE448" s="912"/>
      <c r="AF448" s="920"/>
      <c r="AG448" s="920"/>
      <c r="AH448" s="912"/>
      <c r="AI448" s="912"/>
      <c r="AJ448" s="920"/>
      <c r="AK448" s="920"/>
      <c r="AL448" s="905"/>
      <c r="AM448" s="906"/>
      <c r="AN448" s="906"/>
      <c r="AO448" s="906"/>
      <c r="AP448" s="906"/>
      <c r="AQ448" s="906"/>
      <c r="AR448" s="906"/>
      <c r="AS448" s="906"/>
      <c r="AT448" s="906"/>
      <c r="AU448" s="906"/>
      <c r="AV448" s="906"/>
      <c r="AW448" s="906"/>
      <c r="AX448" s="906"/>
      <c r="AY448" s="906"/>
      <c r="AZ448" s="906"/>
      <c r="BA448" s="906"/>
      <c r="BB448" s="907"/>
    </row>
    <row r="449" spans="1:54" x14ac:dyDescent="0.25">
      <c r="A449" s="13">
        <f t="shared" si="6"/>
        <v>436</v>
      </c>
      <c r="B449" s="914" t="str">
        <f>'refer admin discharge'!B445</f>
        <v>x</v>
      </c>
      <c r="C449" s="914"/>
      <c r="D449" s="889" t="str">
        <f>'refer admin discharge'!D445</f>
        <v>xx</v>
      </c>
      <c r="E449" s="889"/>
      <c r="F449" s="915" t="str">
        <f>'refer admin discharge'!H445</f>
        <v>00/00/0000</v>
      </c>
      <c r="G449" s="890"/>
      <c r="H449" s="916"/>
      <c r="I449" s="916"/>
      <c r="J449" s="917"/>
      <c r="K449" s="917"/>
      <c r="L449" s="916"/>
      <c r="M449" s="916"/>
      <c r="N449" s="893"/>
      <c r="O449" s="893"/>
      <c r="P449" s="916"/>
      <c r="Q449" s="916"/>
      <c r="R449" s="893"/>
      <c r="S449" s="893"/>
      <c r="T449" s="916"/>
      <c r="U449" s="916"/>
      <c r="V449" s="921" t="str">
        <f>'refer admin discharge'!H450</f>
        <v>00/00/0000</v>
      </c>
      <c r="W449" s="922"/>
      <c r="X449" s="912"/>
      <c r="Y449" s="912"/>
      <c r="Z449" s="924"/>
      <c r="AA449" s="924"/>
      <c r="AB449" s="912"/>
      <c r="AC449" s="912"/>
      <c r="AD449" s="913"/>
      <c r="AE449" s="913"/>
      <c r="AF449" s="912"/>
      <c r="AG449" s="912"/>
      <c r="AH449" s="913"/>
      <c r="AI449" s="913"/>
      <c r="AJ449" s="912"/>
      <c r="AK449" s="912"/>
      <c r="AL449" s="925"/>
      <c r="AM449" s="926"/>
      <c r="AN449" s="926"/>
      <c r="AO449" s="926"/>
      <c r="AP449" s="926"/>
      <c r="AQ449" s="926"/>
      <c r="AR449" s="926"/>
      <c r="AS449" s="926"/>
      <c r="AT449" s="926"/>
      <c r="AU449" s="926"/>
      <c r="AV449" s="926"/>
      <c r="AW449" s="926"/>
      <c r="AX449" s="926"/>
      <c r="AY449" s="926"/>
      <c r="AZ449" s="926"/>
      <c r="BA449" s="926"/>
      <c r="BB449" s="927"/>
    </row>
    <row r="450" spans="1:54" x14ac:dyDescent="0.25">
      <c r="A450" s="13">
        <f t="shared" si="6"/>
        <v>437</v>
      </c>
      <c r="B450" s="888" t="str">
        <f>'refer admin discharge'!B446</f>
        <v>x</v>
      </c>
      <c r="C450" s="888"/>
      <c r="D450" s="868" t="str">
        <f>'refer admin discharge'!D446</f>
        <v>xx</v>
      </c>
      <c r="E450" s="868"/>
      <c r="F450" s="891" t="str">
        <f>'refer admin discharge'!H446</f>
        <v>00/00/0000</v>
      </c>
      <c r="G450" s="892"/>
      <c r="H450" s="894"/>
      <c r="I450" s="894"/>
      <c r="J450" s="918"/>
      <c r="K450" s="918"/>
      <c r="L450" s="894"/>
      <c r="M450" s="894"/>
      <c r="N450" s="916"/>
      <c r="O450" s="916"/>
      <c r="P450" s="894"/>
      <c r="Q450" s="894"/>
      <c r="R450" s="916"/>
      <c r="S450" s="916"/>
      <c r="T450" s="894"/>
      <c r="U450" s="894"/>
      <c r="V450" s="921" t="str">
        <f>'refer admin discharge'!H451</f>
        <v>00/00/0000</v>
      </c>
      <c r="W450" s="922"/>
      <c r="X450" s="920"/>
      <c r="Y450" s="920"/>
      <c r="Z450" s="919"/>
      <c r="AA450" s="919"/>
      <c r="AB450" s="920"/>
      <c r="AC450" s="920"/>
      <c r="AD450" s="912"/>
      <c r="AE450" s="912"/>
      <c r="AF450" s="920"/>
      <c r="AG450" s="920"/>
      <c r="AH450" s="912"/>
      <c r="AI450" s="912"/>
      <c r="AJ450" s="920"/>
      <c r="AK450" s="920"/>
      <c r="AL450" s="905"/>
      <c r="AM450" s="906"/>
      <c r="AN450" s="906"/>
      <c r="AO450" s="906"/>
      <c r="AP450" s="906"/>
      <c r="AQ450" s="906"/>
      <c r="AR450" s="906"/>
      <c r="AS450" s="906"/>
      <c r="AT450" s="906"/>
      <c r="AU450" s="906"/>
      <c r="AV450" s="906"/>
      <c r="AW450" s="906"/>
      <c r="AX450" s="906"/>
      <c r="AY450" s="906"/>
      <c r="AZ450" s="906"/>
      <c r="BA450" s="906"/>
      <c r="BB450" s="907"/>
    </row>
    <row r="451" spans="1:54" x14ac:dyDescent="0.25">
      <c r="A451" s="13">
        <f t="shared" si="6"/>
        <v>438</v>
      </c>
      <c r="B451" s="914" t="str">
        <f>'refer admin discharge'!B447</f>
        <v>x</v>
      </c>
      <c r="C451" s="914"/>
      <c r="D451" s="889" t="str">
        <f>'refer admin discharge'!D447</f>
        <v>xx</v>
      </c>
      <c r="E451" s="889"/>
      <c r="F451" s="915" t="str">
        <f>'refer admin discharge'!H447</f>
        <v>00/00/0000</v>
      </c>
      <c r="G451" s="890"/>
      <c r="H451" s="916"/>
      <c r="I451" s="916"/>
      <c r="J451" s="917"/>
      <c r="K451" s="917"/>
      <c r="L451" s="916"/>
      <c r="M451" s="916"/>
      <c r="N451" s="893"/>
      <c r="O451" s="893"/>
      <c r="P451" s="916"/>
      <c r="Q451" s="916"/>
      <c r="R451" s="893"/>
      <c r="S451" s="893"/>
      <c r="T451" s="916"/>
      <c r="U451" s="916"/>
      <c r="V451" s="921" t="str">
        <f>'refer admin discharge'!H452</f>
        <v>00/00/0000</v>
      </c>
      <c r="W451" s="922"/>
      <c r="X451" s="912"/>
      <c r="Y451" s="912"/>
      <c r="Z451" s="924"/>
      <c r="AA451" s="924"/>
      <c r="AB451" s="912"/>
      <c r="AC451" s="912"/>
      <c r="AD451" s="913"/>
      <c r="AE451" s="913"/>
      <c r="AF451" s="912"/>
      <c r="AG451" s="912"/>
      <c r="AH451" s="913"/>
      <c r="AI451" s="913"/>
      <c r="AJ451" s="912"/>
      <c r="AK451" s="912"/>
      <c r="AL451" s="925"/>
      <c r="AM451" s="926"/>
      <c r="AN451" s="926"/>
      <c r="AO451" s="926"/>
      <c r="AP451" s="926"/>
      <c r="AQ451" s="926"/>
      <c r="AR451" s="926"/>
      <c r="AS451" s="926"/>
      <c r="AT451" s="926"/>
      <c r="AU451" s="926"/>
      <c r="AV451" s="926"/>
      <c r="AW451" s="926"/>
      <c r="AX451" s="926"/>
      <c r="AY451" s="926"/>
      <c r="AZ451" s="926"/>
      <c r="BA451" s="926"/>
      <c r="BB451" s="927"/>
    </row>
    <row r="452" spans="1:54" x14ac:dyDescent="0.25">
      <c r="A452" s="13">
        <f t="shared" si="6"/>
        <v>439</v>
      </c>
      <c r="B452" s="888" t="str">
        <f>'refer admin discharge'!B448</f>
        <v>x</v>
      </c>
      <c r="C452" s="888"/>
      <c r="D452" s="868" t="str">
        <f>'refer admin discharge'!D448</f>
        <v>xx</v>
      </c>
      <c r="E452" s="868"/>
      <c r="F452" s="891" t="str">
        <f>'refer admin discharge'!H448</f>
        <v>00/00/0000</v>
      </c>
      <c r="G452" s="892"/>
      <c r="H452" s="894"/>
      <c r="I452" s="894"/>
      <c r="J452" s="918"/>
      <c r="K452" s="918"/>
      <c r="L452" s="894"/>
      <c r="M452" s="894"/>
      <c r="N452" s="916"/>
      <c r="O452" s="916"/>
      <c r="P452" s="894"/>
      <c r="Q452" s="894"/>
      <c r="R452" s="916"/>
      <c r="S452" s="916"/>
      <c r="T452" s="894"/>
      <c r="U452" s="894"/>
      <c r="V452" s="921" t="str">
        <f>'refer admin discharge'!H453</f>
        <v>00/00/0000</v>
      </c>
      <c r="W452" s="922"/>
      <c r="X452" s="920"/>
      <c r="Y452" s="920"/>
      <c r="Z452" s="919"/>
      <c r="AA452" s="919"/>
      <c r="AB452" s="920"/>
      <c r="AC452" s="920"/>
      <c r="AD452" s="912"/>
      <c r="AE452" s="912"/>
      <c r="AF452" s="920"/>
      <c r="AG452" s="920"/>
      <c r="AH452" s="912"/>
      <c r="AI452" s="912"/>
      <c r="AJ452" s="920"/>
      <c r="AK452" s="920"/>
      <c r="AL452" s="905"/>
      <c r="AM452" s="906"/>
      <c r="AN452" s="906"/>
      <c r="AO452" s="906"/>
      <c r="AP452" s="906"/>
      <c r="AQ452" s="906"/>
      <c r="AR452" s="906"/>
      <c r="AS452" s="906"/>
      <c r="AT452" s="906"/>
      <c r="AU452" s="906"/>
      <c r="AV452" s="906"/>
      <c r="AW452" s="906"/>
      <c r="AX452" s="906"/>
      <c r="AY452" s="906"/>
      <c r="AZ452" s="906"/>
      <c r="BA452" s="906"/>
      <c r="BB452" s="907"/>
    </row>
    <row r="453" spans="1:54" x14ac:dyDescent="0.25">
      <c r="A453" s="13">
        <f t="shared" si="6"/>
        <v>440</v>
      </c>
      <c r="B453" s="914" t="str">
        <f>'refer admin discharge'!B449</f>
        <v>x</v>
      </c>
      <c r="C453" s="914"/>
      <c r="D453" s="889" t="str">
        <f>'refer admin discharge'!D449</f>
        <v>xx</v>
      </c>
      <c r="E453" s="889"/>
      <c r="F453" s="915" t="str">
        <f>'refer admin discharge'!H449</f>
        <v>00/00/0000</v>
      </c>
      <c r="G453" s="890"/>
      <c r="H453" s="916"/>
      <c r="I453" s="916"/>
      <c r="J453" s="917"/>
      <c r="K453" s="917"/>
      <c r="L453" s="916"/>
      <c r="M453" s="916"/>
      <c r="N453" s="893"/>
      <c r="O453" s="893"/>
      <c r="P453" s="916"/>
      <c r="Q453" s="916"/>
      <c r="R453" s="893"/>
      <c r="S453" s="893"/>
      <c r="T453" s="916"/>
      <c r="U453" s="916"/>
      <c r="V453" s="921" t="str">
        <f>'refer admin discharge'!H454</f>
        <v>00/00/0000</v>
      </c>
      <c r="W453" s="922"/>
      <c r="X453" s="912"/>
      <c r="Y453" s="912"/>
      <c r="Z453" s="924"/>
      <c r="AA453" s="924"/>
      <c r="AB453" s="912"/>
      <c r="AC453" s="912"/>
      <c r="AD453" s="913"/>
      <c r="AE453" s="913"/>
      <c r="AF453" s="912"/>
      <c r="AG453" s="912"/>
      <c r="AH453" s="913"/>
      <c r="AI453" s="913"/>
      <c r="AJ453" s="912"/>
      <c r="AK453" s="912"/>
      <c r="AL453" s="925"/>
      <c r="AM453" s="926"/>
      <c r="AN453" s="926"/>
      <c r="AO453" s="926"/>
      <c r="AP453" s="926"/>
      <c r="AQ453" s="926"/>
      <c r="AR453" s="926"/>
      <c r="AS453" s="926"/>
      <c r="AT453" s="926"/>
      <c r="AU453" s="926"/>
      <c r="AV453" s="926"/>
      <c r="AW453" s="926"/>
      <c r="AX453" s="926"/>
      <c r="AY453" s="926"/>
      <c r="AZ453" s="926"/>
      <c r="BA453" s="926"/>
      <c r="BB453" s="927"/>
    </row>
    <row r="454" spans="1:54" x14ac:dyDescent="0.25">
      <c r="A454" s="13">
        <f t="shared" si="6"/>
        <v>441</v>
      </c>
      <c r="B454" s="888" t="str">
        <f>'refer admin discharge'!B450</f>
        <v>x</v>
      </c>
      <c r="C454" s="888"/>
      <c r="D454" s="868" t="str">
        <f>'refer admin discharge'!D450</f>
        <v>xx</v>
      </c>
      <c r="E454" s="868"/>
      <c r="F454" s="891" t="str">
        <f>'refer admin discharge'!H450</f>
        <v>00/00/0000</v>
      </c>
      <c r="G454" s="892"/>
      <c r="H454" s="894"/>
      <c r="I454" s="894"/>
      <c r="J454" s="918"/>
      <c r="K454" s="918"/>
      <c r="L454" s="894"/>
      <c r="M454" s="894"/>
      <c r="N454" s="916"/>
      <c r="O454" s="916"/>
      <c r="P454" s="894"/>
      <c r="Q454" s="894"/>
      <c r="R454" s="916"/>
      <c r="S454" s="916"/>
      <c r="T454" s="894"/>
      <c r="U454" s="894"/>
      <c r="V454" s="921" t="str">
        <f>'refer admin discharge'!H455</f>
        <v>00/00/0000</v>
      </c>
      <c r="W454" s="922"/>
      <c r="X454" s="920"/>
      <c r="Y454" s="920"/>
      <c r="Z454" s="919"/>
      <c r="AA454" s="919"/>
      <c r="AB454" s="920"/>
      <c r="AC454" s="920"/>
      <c r="AD454" s="912"/>
      <c r="AE454" s="912"/>
      <c r="AF454" s="920"/>
      <c r="AG454" s="920"/>
      <c r="AH454" s="912"/>
      <c r="AI454" s="912"/>
      <c r="AJ454" s="920"/>
      <c r="AK454" s="920"/>
      <c r="AL454" s="905"/>
      <c r="AM454" s="906"/>
      <c r="AN454" s="906"/>
      <c r="AO454" s="906"/>
      <c r="AP454" s="906"/>
      <c r="AQ454" s="906"/>
      <c r="AR454" s="906"/>
      <c r="AS454" s="906"/>
      <c r="AT454" s="906"/>
      <c r="AU454" s="906"/>
      <c r="AV454" s="906"/>
      <c r="AW454" s="906"/>
      <c r="AX454" s="906"/>
      <c r="AY454" s="906"/>
      <c r="AZ454" s="906"/>
      <c r="BA454" s="906"/>
      <c r="BB454" s="907"/>
    </row>
    <row r="455" spans="1:54" x14ac:dyDescent="0.25">
      <c r="A455" s="13">
        <f t="shared" si="6"/>
        <v>442</v>
      </c>
      <c r="B455" s="914" t="str">
        <f>'refer admin discharge'!B451</f>
        <v>x</v>
      </c>
      <c r="C455" s="914"/>
      <c r="D455" s="889" t="str">
        <f>'refer admin discharge'!D451</f>
        <v>xx</v>
      </c>
      <c r="E455" s="889"/>
      <c r="F455" s="915" t="str">
        <f>'refer admin discharge'!H451</f>
        <v>00/00/0000</v>
      </c>
      <c r="G455" s="890"/>
      <c r="H455" s="916"/>
      <c r="I455" s="916"/>
      <c r="J455" s="917"/>
      <c r="K455" s="917"/>
      <c r="L455" s="916"/>
      <c r="M455" s="916"/>
      <c r="N455" s="893"/>
      <c r="O455" s="893"/>
      <c r="P455" s="916"/>
      <c r="Q455" s="916"/>
      <c r="R455" s="893"/>
      <c r="S455" s="893"/>
      <c r="T455" s="916"/>
      <c r="U455" s="916"/>
      <c r="V455" s="921" t="str">
        <f>'refer admin discharge'!H456</f>
        <v>00/00/0000</v>
      </c>
      <c r="W455" s="922"/>
      <c r="X455" s="912"/>
      <c r="Y455" s="912"/>
      <c r="Z455" s="924"/>
      <c r="AA455" s="924"/>
      <c r="AB455" s="912"/>
      <c r="AC455" s="912"/>
      <c r="AD455" s="913"/>
      <c r="AE455" s="913"/>
      <c r="AF455" s="912"/>
      <c r="AG455" s="912"/>
      <c r="AH455" s="913"/>
      <c r="AI455" s="913"/>
      <c r="AJ455" s="912"/>
      <c r="AK455" s="912"/>
      <c r="AL455" s="925"/>
      <c r="AM455" s="926"/>
      <c r="AN455" s="926"/>
      <c r="AO455" s="926"/>
      <c r="AP455" s="926"/>
      <c r="AQ455" s="926"/>
      <c r="AR455" s="926"/>
      <c r="AS455" s="926"/>
      <c r="AT455" s="926"/>
      <c r="AU455" s="926"/>
      <c r="AV455" s="926"/>
      <c r="AW455" s="926"/>
      <c r="AX455" s="926"/>
      <c r="AY455" s="926"/>
      <c r="AZ455" s="926"/>
      <c r="BA455" s="926"/>
      <c r="BB455" s="927"/>
    </row>
    <row r="456" spans="1:54" x14ac:dyDescent="0.25">
      <c r="A456" s="13">
        <f t="shared" si="6"/>
        <v>443</v>
      </c>
      <c r="B456" s="888" t="str">
        <f>'refer admin discharge'!B452</f>
        <v>x</v>
      </c>
      <c r="C456" s="888"/>
      <c r="D456" s="868" t="str">
        <f>'refer admin discharge'!D452</f>
        <v>xx</v>
      </c>
      <c r="E456" s="868"/>
      <c r="F456" s="891" t="str">
        <f>'refer admin discharge'!H452</f>
        <v>00/00/0000</v>
      </c>
      <c r="G456" s="892"/>
      <c r="H456" s="894"/>
      <c r="I456" s="894"/>
      <c r="J456" s="918"/>
      <c r="K456" s="918"/>
      <c r="L456" s="894"/>
      <c r="M456" s="894"/>
      <c r="N456" s="916"/>
      <c r="O456" s="916"/>
      <c r="P456" s="894"/>
      <c r="Q456" s="894"/>
      <c r="R456" s="916"/>
      <c r="S456" s="916"/>
      <c r="T456" s="894"/>
      <c r="U456" s="894"/>
      <c r="V456" s="921" t="str">
        <f>'refer admin discharge'!H457</f>
        <v>00/00/0000</v>
      </c>
      <c r="W456" s="922"/>
      <c r="X456" s="920"/>
      <c r="Y456" s="920"/>
      <c r="Z456" s="919"/>
      <c r="AA456" s="919"/>
      <c r="AB456" s="920"/>
      <c r="AC456" s="920"/>
      <c r="AD456" s="912"/>
      <c r="AE456" s="912"/>
      <c r="AF456" s="920"/>
      <c r="AG456" s="920"/>
      <c r="AH456" s="912"/>
      <c r="AI456" s="912"/>
      <c r="AJ456" s="920"/>
      <c r="AK456" s="920"/>
      <c r="AL456" s="905"/>
      <c r="AM456" s="906"/>
      <c r="AN456" s="906"/>
      <c r="AO456" s="906"/>
      <c r="AP456" s="906"/>
      <c r="AQ456" s="906"/>
      <c r="AR456" s="906"/>
      <c r="AS456" s="906"/>
      <c r="AT456" s="906"/>
      <c r="AU456" s="906"/>
      <c r="AV456" s="906"/>
      <c r="AW456" s="906"/>
      <c r="AX456" s="906"/>
      <c r="AY456" s="906"/>
      <c r="AZ456" s="906"/>
      <c r="BA456" s="906"/>
      <c r="BB456" s="907"/>
    </row>
    <row r="457" spans="1:54" x14ac:dyDescent="0.25">
      <c r="A457" s="13">
        <f t="shared" si="6"/>
        <v>444</v>
      </c>
      <c r="B457" s="914" t="str">
        <f>'refer admin discharge'!B453</f>
        <v>x</v>
      </c>
      <c r="C457" s="914"/>
      <c r="D457" s="889" t="str">
        <f>'refer admin discharge'!D453</f>
        <v>xx</v>
      </c>
      <c r="E457" s="889"/>
      <c r="F457" s="915" t="str">
        <f>'refer admin discharge'!H453</f>
        <v>00/00/0000</v>
      </c>
      <c r="G457" s="890"/>
      <c r="H457" s="916"/>
      <c r="I457" s="916"/>
      <c r="J457" s="917"/>
      <c r="K457" s="917"/>
      <c r="L457" s="916"/>
      <c r="M457" s="916"/>
      <c r="N457" s="893"/>
      <c r="O457" s="893"/>
      <c r="P457" s="916"/>
      <c r="Q457" s="916"/>
      <c r="R457" s="893"/>
      <c r="S457" s="893"/>
      <c r="T457" s="916"/>
      <c r="U457" s="916"/>
      <c r="V457" s="921" t="str">
        <f>'refer admin discharge'!H458</f>
        <v>00/00/0000</v>
      </c>
      <c r="W457" s="922"/>
      <c r="X457" s="912"/>
      <c r="Y457" s="912"/>
      <c r="Z457" s="924"/>
      <c r="AA457" s="924"/>
      <c r="AB457" s="912"/>
      <c r="AC457" s="912"/>
      <c r="AD457" s="913"/>
      <c r="AE457" s="913"/>
      <c r="AF457" s="912"/>
      <c r="AG457" s="912"/>
      <c r="AH457" s="913"/>
      <c r="AI457" s="913"/>
      <c r="AJ457" s="912"/>
      <c r="AK457" s="912"/>
      <c r="AL457" s="925"/>
      <c r="AM457" s="926"/>
      <c r="AN457" s="926"/>
      <c r="AO457" s="926"/>
      <c r="AP457" s="926"/>
      <c r="AQ457" s="926"/>
      <c r="AR457" s="926"/>
      <c r="AS457" s="926"/>
      <c r="AT457" s="926"/>
      <c r="AU457" s="926"/>
      <c r="AV457" s="926"/>
      <c r="AW457" s="926"/>
      <c r="AX457" s="926"/>
      <c r="AY457" s="926"/>
      <c r="AZ457" s="926"/>
      <c r="BA457" s="926"/>
      <c r="BB457" s="927"/>
    </row>
    <row r="458" spans="1:54" x14ac:dyDescent="0.25">
      <c r="A458" s="13">
        <f t="shared" si="6"/>
        <v>445</v>
      </c>
      <c r="B458" s="888" t="str">
        <f>'refer admin discharge'!B454</f>
        <v>x</v>
      </c>
      <c r="C458" s="888"/>
      <c r="D458" s="868" t="str">
        <f>'refer admin discharge'!D454</f>
        <v>xx</v>
      </c>
      <c r="E458" s="868"/>
      <c r="F458" s="891" t="str">
        <f>'refer admin discharge'!H454</f>
        <v>00/00/0000</v>
      </c>
      <c r="G458" s="892"/>
      <c r="H458" s="894"/>
      <c r="I458" s="894"/>
      <c r="J458" s="918"/>
      <c r="K458" s="918"/>
      <c r="L458" s="894"/>
      <c r="M458" s="894"/>
      <c r="N458" s="916"/>
      <c r="O458" s="916"/>
      <c r="P458" s="894"/>
      <c r="Q458" s="894"/>
      <c r="R458" s="916"/>
      <c r="S458" s="916"/>
      <c r="T458" s="894"/>
      <c r="U458" s="894"/>
      <c r="V458" s="921" t="str">
        <f>'refer admin discharge'!H459</f>
        <v>00/00/0000</v>
      </c>
      <c r="W458" s="922"/>
      <c r="X458" s="920"/>
      <c r="Y458" s="920"/>
      <c r="Z458" s="919"/>
      <c r="AA458" s="919"/>
      <c r="AB458" s="920"/>
      <c r="AC458" s="920"/>
      <c r="AD458" s="912"/>
      <c r="AE458" s="912"/>
      <c r="AF458" s="920"/>
      <c r="AG458" s="920"/>
      <c r="AH458" s="912"/>
      <c r="AI458" s="912"/>
      <c r="AJ458" s="920"/>
      <c r="AK458" s="920"/>
      <c r="AL458" s="905"/>
      <c r="AM458" s="906"/>
      <c r="AN458" s="906"/>
      <c r="AO458" s="906"/>
      <c r="AP458" s="906"/>
      <c r="AQ458" s="906"/>
      <c r="AR458" s="906"/>
      <c r="AS458" s="906"/>
      <c r="AT458" s="906"/>
      <c r="AU458" s="906"/>
      <c r="AV458" s="906"/>
      <c r="AW458" s="906"/>
      <c r="AX458" s="906"/>
      <c r="AY458" s="906"/>
      <c r="AZ458" s="906"/>
      <c r="BA458" s="906"/>
      <c r="BB458" s="907"/>
    </row>
    <row r="459" spans="1:54" x14ac:dyDescent="0.25">
      <c r="A459" s="13">
        <f t="shared" si="6"/>
        <v>446</v>
      </c>
      <c r="B459" s="914" t="str">
        <f>'refer admin discharge'!B455</f>
        <v>x</v>
      </c>
      <c r="C459" s="914"/>
      <c r="D459" s="889" t="str">
        <f>'refer admin discharge'!D455</f>
        <v>xx</v>
      </c>
      <c r="E459" s="889"/>
      <c r="F459" s="915" t="str">
        <f>'refer admin discharge'!H455</f>
        <v>00/00/0000</v>
      </c>
      <c r="G459" s="890"/>
      <c r="H459" s="916"/>
      <c r="I459" s="916"/>
      <c r="J459" s="917"/>
      <c r="K459" s="917"/>
      <c r="L459" s="916"/>
      <c r="M459" s="916"/>
      <c r="N459" s="893"/>
      <c r="O459" s="893"/>
      <c r="P459" s="916"/>
      <c r="Q459" s="916"/>
      <c r="R459" s="893"/>
      <c r="S459" s="893"/>
      <c r="T459" s="916"/>
      <c r="U459" s="916"/>
      <c r="V459" s="921" t="str">
        <f>'refer admin discharge'!H460</f>
        <v>00/00/0000</v>
      </c>
      <c r="W459" s="922"/>
      <c r="X459" s="912"/>
      <c r="Y459" s="912"/>
      <c r="Z459" s="924"/>
      <c r="AA459" s="924"/>
      <c r="AB459" s="912"/>
      <c r="AC459" s="912"/>
      <c r="AD459" s="913"/>
      <c r="AE459" s="913"/>
      <c r="AF459" s="912"/>
      <c r="AG459" s="912"/>
      <c r="AH459" s="913"/>
      <c r="AI459" s="913"/>
      <c r="AJ459" s="912"/>
      <c r="AK459" s="912"/>
      <c r="AL459" s="925"/>
      <c r="AM459" s="926"/>
      <c r="AN459" s="926"/>
      <c r="AO459" s="926"/>
      <c r="AP459" s="926"/>
      <c r="AQ459" s="926"/>
      <c r="AR459" s="926"/>
      <c r="AS459" s="926"/>
      <c r="AT459" s="926"/>
      <c r="AU459" s="926"/>
      <c r="AV459" s="926"/>
      <c r="AW459" s="926"/>
      <c r="AX459" s="926"/>
      <c r="AY459" s="926"/>
      <c r="AZ459" s="926"/>
      <c r="BA459" s="926"/>
      <c r="BB459" s="927"/>
    </row>
    <row r="460" spans="1:54" x14ac:dyDescent="0.25">
      <c r="A460" s="13">
        <f t="shared" si="6"/>
        <v>447</v>
      </c>
      <c r="B460" s="888" t="str">
        <f>'refer admin discharge'!B456</f>
        <v>x</v>
      </c>
      <c r="C460" s="888"/>
      <c r="D460" s="868" t="str">
        <f>'refer admin discharge'!D456</f>
        <v>xx</v>
      </c>
      <c r="E460" s="868"/>
      <c r="F460" s="891" t="str">
        <f>'refer admin discharge'!H456</f>
        <v>00/00/0000</v>
      </c>
      <c r="G460" s="892"/>
      <c r="H460" s="894"/>
      <c r="I460" s="894"/>
      <c r="J460" s="918"/>
      <c r="K460" s="918"/>
      <c r="L460" s="894"/>
      <c r="M460" s="894"/>
      <c r="N460" s="916"/>
      <c r="O460" s="916"/>
      <c r="P460" s="894"/>
      <c r="Q460" s="894"/>
      <c r="R460" s="916"/>
      <c r="S460" s="916"/>
      <c r="T460" s="894"/>
      <c r="U460" s="894"/>
      <c r="V460" s="921" t="str">
        <f>'refer admin discharge'!H461</f>
        <v>00/00/0000</v>
      </c>
      <c r="W460" s="922"/>
      <c r="X460" s="920"/>
      <c r="Y460" s="920"/>
      <c r="Z460" s="919"/>
      <c r="AA460" s="919"/>
      <c r="AB460" s="920"/>
      <c r="AC460" s="920"/>
      <c r="AD460" s="912"/>
      <c r="AE460" s="912"/>
      <c r="AF460" s="920"/>
      <c r="AG460" s="920"/>
      <c r="AH460" s="912"/>
      <c r="AI460" s="912"/>
      <c r="AJ460" s="920"/>
      <c r="AK460" s="920"/>
      <c r="AL460" s="905"/>
      <c r="AM460" s="906"/>
      <c r="AN460" s="906"/>
      <c r="AO460" s="906"/>
      <c r="AP460" s="906"/>
      <c r="AQ460" s="906"/>
      <c r="AR460" s="906"/>
      <c r="AS460" s="906"/>
      <c r="AT460" s="906"/>
      <c r="AU460" s="906"/>
      <c r="AV460" s="906"/>
      <c r="AW460" s="906"/>
      <c r="AX460" s="906"/>
      <c r="AY460" s="906"/>
      <c r="AZ460" s="906"/>
      <c r="BA460" s="906"/>
      <c r="BB460" s="907"/>
    </row>
    <row r="461" spans="1:54" x14ac:dyDescent="0.25">
      <c r="A461" s="13">
        <f t="shared" si="6"/>
        <v>448</v>
      </c>
      <c r="B461" s="914" t="str">
        <f>'refer admin discharge'!B457</f>
        <v>x</v>
      </c>
      <c r="C461" s="914"/>
      <c r="D461" s="889" t="str">
        <f>'refer admin discharge'!D457</f>
        <v>xx</v>
      </c>
      <c r="E461" s="889"/>
      <c r="F461" s="915" t="str">
        <f>'refer admin discharge'!H457</f>
        <v>00/00/0000</v>
      </c>
      <c r="G461" s="890"/>
      <c r="H461" s="916"/>
      <c r="I461" s="916"/>
      <c r="J461" s="917"/>
      <c r="K461" s="917"/>
      <c r="L461" s="916"/>
      <c r="M461" s="916"/>
      <c r="N461" s="893"/>
      <c r="O461" s="893"/>
      <c r="P461" s="916"/>
      <c r="Q461" s="916"/>
      <c r="R461" s="893"/>
      <c r="S461" s="893"/>
      <c r="T461" s="916"/>
      <c r="U461" s="916"/>
      <c r="V461" s="921" t="str">
        <f>'refer admin discharge'!H462</f>
        <v>00/00/0000</v>
      </c>
      <c r="W461" s="922"/>
      <c r="X461" s="912"/>
      <c r="Y461" s="912"/>
      <c r="Z461" s="924"/>
      <c r="AA461" s="924"/>
      <c r="AB461" s="912"/>
      <c r="AC461" s="912"/>
      <c r="AD461" s="913"/>
      <c r="AE461" s="913"/>
      <c r="AF461" s="912"/>
      <c r="AG461" s="912"/>
      <c r="AH461" s="913"/>
      <c r="AI461" s="913"/>
      <c r="AJ461" s="912"/>
      <c r="AK461" s="912"/>
      <c r="AL461" s="925"/>
      <c r="AM461" s="926"/>
      <c r="AN461" s="926"/>
      <c r="AO461" s="926"/>
      <c r="AP461" s="926"/>
      <c r="AQ461" s="926"/>
      <c r="AR461" s="926"/>
      <c r="AS461" s="926"/>
      <c r="AT461" s="926"/>
      <c r="AU461" s="926"/>
      <c r="AV461" s="926"/>
      <c r="AW461" s="926"/>
      <c r="AX461" s="926"/>
      <c r="AY461" s="926"/>
      <c r="AZ461" s="926"/>
      <c r="BA461" s="926"/>
      <c r="BB461" s="927"/>
    </row>
    <row r="462" spans="1:54" x14ac:dyDescent="0.25">
      <c r="A462" s="13">
        <f t="shared" ref="A462:A525" si="7">ROW(A449)</f>
        <v>449</v>
      </c>
      <c r="B462" s="888" t="str">
        <f>'refer admin discharge'!B458</f>
        <v>x</v>
      </c>
      <c r="C462" s="888"/>
      <c r="D462" s="868" t="str">
        <f>'refer admin discharge'!D458</f>
        <v>xx</v>
      </c>
      <c r="E462" s="868"/>
      <c r="F462" s="891" t="str">
        <f>'refer admin discharge'!H458</f>
        <v>00/00/0000</v>
      </c>
      <c r="G462" s="892"/>
      <c r="H462" s="894"/>
      <c r="I462" s="894"/>
      <c r="J462" s="918"/>
      <c r="K462" s="918"/>
      <c r="L462" s="894"/>
      <c r="M462" s="894"/>
      <c r="N462" s="916"/>
      <c r="O462" s="916"/>
      <c r="P462" s="894"/>
      <c r="Q462" s="894"/>
      <c r="R462" s="916"/>
      <c r="S462" s="916"/>
      <c r="T462" s="894"/>
      <c r="U462" s="894"/>
      <c r="V462" s="921" t="str">
        <f>'refer admin discharge'!H463</f>
        <v>00/00/0000</v>
      </c>
      <c r="W462" s="922"/>
      <c r="X462" s="920"/>
      <c r="Y462" s="920"/>
      <c r="Z462" s="919"/>
      <c r="AA462" s="919"/>
      <c r="AB462" s="920"/>
      <c r="AC462" s="920"/>
      <c r="AD462" s="912"/>
      <c r="AE462" s="912"/>
      <c r="AF462" s="920"/>
      <c r="AG462" s="920"/>
      <c r="AH462" s="912"/>
      <c r="AI462" s="912"/>
      <c r="AJ462" s="920"/>
      <c r="AK462" s="920"/>
      <c r="AL462" s="905"/>
      <c r="AM462" s="906"/>
      <c r="AN462" s="906"/>
      <c r="AO462" s="906"/>
      <c r="AP462" s="906"/>
      <c r="AQ462" s="906"/>
      <c r="AR462" s="906"/>
      <c r="AS462" s="906"/>
      <c r="AT462" s="906"/>
      <c r="AU462" s="906"/>
      <c r="AV462" s="906"/>
      <c r="AW462" s="906"/>
      <c r="AX462" s="906"/>
      <c r="AY462" s="906"/>
      <c r="AZ462" s="906"/>
      <c r="BA462" s="906"/>
      <c r="BB462" s="907"/>
    </row>
    <row r="463" spans="1:54" x14ac:dyDescent="0.25">
      <c r="A463" s="13">
        <f t="shared" si="7"/>
        <v>450</v>
      </c>
      <c r="B463" s="914" t="str">
        <f>'refer admin discharge'!B459</f>
        <v>x</v>
      </c>
      <c r="C463" s="914"/>
      <c r="D463" s="889" t="str">
        <f>'refer admin discharge'!D459</f>
        <v>xx</v>
      </c>
      <c r="E463" s="889"/>
      <c r="F463" s="915" t="str">
        <f>'refer admin discharge'!H459</f>
        <v>00/00/0000</v>
      </c>
      <c r="G463" s="890"/>
      <c r="H463" s="916"/>
      <c r="I463" s="916"/>
      <c r="J463" s="917"/>
      <c r="K463" s="917"/>
      <c r="L463" s="916"/>
      <c r="M463" s="916"/>
      <c r="N463" s="893"/>
      <c r="O463" s="893"/>
      <c r="P463" s="916"/>
      <c r="Q463" s="916"/>
      <c r="R463" s="893"/>
      <c r="S463" s="893"/>
      <c r="T463" s="916"/>
      <c r="U463" s="916"/>
      <c r="V463" s="921" t="str">
        <f>'refer admin discharge'!H464</f>
        <v>00/00/0000</v>
      </c>
      <c r="W463" s="922"/>
      <c r="X463" s="912"/>
      <c r="Y463" s="912"/>
      <c r="Z463" s="924"/>
      <c r="AA463" s="924"/>
      <c r="AB463" s="912"/>
      <c r="AC463" s="912"/>
      <c r="AD463" s="913"/>
      <c r="AE463" s="913"/>
      <c r="AF463" s="912"/>
      <c r="AG463" s="912"/>
      <c r="AH463" s="913"/>
      <c r="AI463" s="913"/>
      <c r="AJ463" s="912"/>
      <c r="AK463" s="912"/>
      <c r="AL463" s="925"/>
      <c r="AM463" s="926"/>
      <c r="AN463" s="926"/>
      <c r="AO463" s="926"/>
      <c r="AP463" s="926"/>
      <c r="AQ463" s="926"/>
      <c r="AR463" s="926"/>
      <c r="AS463" s="926"/>
      <c r="AT463" s="926"/>
      <c r="AU463" s="926"/>
      <c r="AV463" s="926"/>
      <c r="AW463" s="926"/>
      <c r="AX463" s="926"/>
      <c r="AY463" s="926"/>
      <c r="AZ463" s="926"/>
      <c r="BA463" s="926"/>
      <c r="BB463" s="927"/>
    </row>
    <row r="464" spans="1:54" x14ac:dyDescent="0.25">
      <c r="A464" s="13">
        <f t="shared" si="7"/>
        <v>451</v>
      </c>
      <c r="B464" s="888" t="str">
        <f>'refer admin discharge'!B460</f>
        <v>x</v>
      </c>
      <c r="C464" s="888"/>
      <c r="D464" s="868" t="str">
        <f>'refer admin discharge'!D460</f>
        <v>xx</v>
      </c>
      <c r="E464" s="868"/>
      <c r="F464" s="891" t="str">
        <f>'refer admin discharge'!H460</f>
        <v>00/00/0000</v>
      </c>
      <c r="G464" s="892"/>
      <c r="H464" s="894"/>
      <c r="I464" s="894"/>
      <c r="J464" s="918"/>
      <c r="K464" s="918"/>
      <c r="L464" s="894"/>
      <c r="M464" s="894"/>
      <c r="N464" s="916"/>
      <c r="O464" s="916"/>
      <c r="P464" s="894"/>
      <c r="Q464" s="894"/>
      <c r="R464" s="916"/>
      <c r="S464" s="916"/>
      <c r="T464" s="894"/>
      <c r="U464" s="894"/>
      <c r="V464" s="921" t="str">
        <f>'refer admin discharge'!H465</f>
        <v>00/00/0000</v>
      </c>
      <c r="W464" s="922"/>
      <c r="X464" s="920"/>
      <c r="Y464" s="920"/>
      <c r="Z464" s="919"/>
      <c r="AA464" s="919"/>
      <c r="AB464" s="920"/>
      <c r="AC464" s="920"/>
      <c r="AD464" s="912"/>
      <c r="AE464" s="912"/>
      <c r="AF464" s="920"/>
      <c r="AG464" s="920"/>
      <c r="AH464" s="912"/>
      <c r="AI464" s="912"/>
      <c r="AJ464" s="920"/>
      <c r="AK464" s="920"/>
      <c r="AL464" s="905"/>
      <c r="AM464" s="906"/>
      <c r="AN464" s="906"/>
      <c r="AO464" s="906"/>
      <c r="AP464" s="906"/>
      <c r="AQ464" s="906"/>
      <c r="AR464" s="906"/>
      <c r="AS464" s="906"/>
      <c r="AT464" s="906"/>
      <c r="AU464" s="906"/>
      <c r="AV464" s="906"/>
      <c r="AW464" s="906"/>
      <c r="AX464" s="906"/>
      <c r="AY464" s="906"/>
      <c r="AZ464" s="906"/>
      <c r="BA464" s="906"/>
      <c r="BB464" s="907"/>
    </row>
    <row r="465" spans="1:54" x14ac:dyDescent="0.25">
      <c r="A465" s="13">
        <f t="shared" si="7"/>
        <v>452</v>
      </c>
      <c r="B465" s="914" t="str">
        <f>'refer admin discharge'!B461</f>
        <v>x</v>
      </c>
      <c r="C465" s="914"/>
      <c r="D465" s="889" t="str">
        <f>'refer admin discharge'!D461</f>
        <v>xx</v>
      </c>
      <c r="E465" s="889"/>
      <c r="F465" s="915" t="str">
        <f>'refer admin discharge'!H461</f>
        <v>00/00/0000</v>
      </c>
      <c r="G465" s="890"/>
      <c r="H465" s="916"/>
      <c r="I465" s="916"/>
      <c r="J465" s="917"/>
      <c r="K465" s="917"/>
      <c r="L465" s="916"/>
      <c r="M465" s="916"/>
      <c r="N465" s="893"/>
      <c r="O465" s="893"/>
      <c r="P465" s="916"/>
      <c r="Q465" s="916"/>
      <c r="R465" s="893"/>
      <c r="S465" s="893"/>
      <c r="T465" s="916"/>
      <c r="U465" s="916"/>
      <c r="V465" s="921" t="str">
        <f>'refer admin discharge'!H466</f>
        <v>00/00/0000</v>
      </c>
      <c r="W465" s="922"/>
      <c r="X465" s="912"/>
      <c r="Y465" s="912"/>
      <c r="Z465" s="924"/>
      <c r="AA465" s="924"/>
      <c r="AB465" s="912"/>
      <c r="AC465" s="912"/>
      <c r="AD465" s="913"/>
      <c r="AE465" s="913"/>
      <c r="AF465" s="912"/>
      <c r="AG465" s="912"/>
      <c r="AH465" s="913"/>
      <c r="AI465" s="913"/>
      <c r="AJ465" s="912"/>
      <c r="AK465" s="912"/>
      <c r="AL465" s="925"/>
      <c r="AM465" s="926"/>
      <c r="AN465" s="926"/>
      <c r="AO465" s="926"/>
      <c r="AP465" s="926"/>
      <c r="AQ465" s="926"/>
      <c r="AR465" s="926"/>
      <c r="AS465" s="926"/>
      <c r="AT465" s="926"/>
      <c r="AU465" s="926"/>
      <c r="AV465" s="926"/>
      <c r="AW465" s="926"/>
      <c r="AX465" s="926"/>
      <c r="AY465" s="926"/>
      <c r="AZ465" s="926"/>
      <c r="BA465" s="926"/>
      <c r="BB465" s="927"/>
    </row>
    <row r="466" spans="1:54" x14ac:dyDescent="0.25">
      <c r="A466" s="13">
        <f t="shared" si="7"/>
        <v>453</v>
      </c>
      <c r="B466" s="888" t="str">
        <f>'refer admin discharge'!B462</f>
        <v>x</v>
      </c>
      <c r="C466" s="888"/>
      <c r="D466" s="868" t="str">
        <f>'refer admin discharge'!D462</f>
        <v>xx</v>
      </c>
      <c r="E466" s="868"/>
      <c r="F466" s="891" t="str">
        <f>'refer admin discharge'!H462</f>
        <v>00/00/0000</v>
      </c>
      <c r="G466" s="892"/>
      <c r="H466" s="894"/>
      <c r="I466" s="894"/>
      <c r="J466" s="918"/>
      <c r="K466" s="918"/>
      <c r="L466" s="894"/>
      <c r="M466" s="894"/>
      <c r="N466" s="916"/>
      <c r="O466" s="916"/>
      <c r="P466" s="894"/>
      <c r="Q466" s="894"/>
      <c r="R466" s="916"/>
      <c r="S466" s="916"/>
      <c r="T466" s="894"/>
      <c r="U466" s="894"/>
      <c r="V466" s="921" t="str">
        <f>'refer admin discharge'!H467</f>
        <v>00/00/0000</v>
      </c>
      <c r="W466" s="922"/>
      <c r="X466" s="920"/>
      <c r="Y466" s="920"/>
      <c r="Z466" s="919"/>
      <c r="AA466" s="919"/>
      <c r="AB466" s="920"/>
      <c r="AC466" s="920"/>
      <c r="AD466" s="912"/>
      <c r="AE466" s="912"/>
      <c r="AF466" s="920"/>
      <c r="AG466" s="920"/>
      <c r="AH466" s="912"/>
      <c r="AI466" s="912"/>
      <c r="AJ466" s="920"/>
      <c r="AK466" s="920"/>
      <c r="AL466" s="905"/>
      <c r="AM466" s="906"/>
      <c r="AN466" s="906"/>
      <c r="AO466" s="906"/>
      <c r="AP466" s="906"/>
      <c r="AQ466" s="906"/>
      <c r="AR466" s="906"/>
      <c r="AS466" s="906"/>
      <c r="AT466" s="906"/>
      <c r="AU466" s="906"/>
      <c r="AV466" s="906"/>
      <c r="AW466" s="906"/>
      <c r="AX466" s="906"/>
      <c r="AY466" s="906"/>
      <c r="AZ466" s="906"/>
      <c r="BA466" s="906"/>
      <c r="BB466" s="907"/>
    </row>
    <row r="467" spans="1:54" x14ac:dyDescent="0.25">
      <c r="A467" s="13">
        <f t="shared" si="7"/>
        <v>454</v>
      </c>
      <c r="B467" s="914" t="str">
        <f>'refer admin discharge'!B463</f>
        <v>x</v>
      </c>
      <c r="C467" s="914"/>
      <c r="D467" s="889" t="str">
        <f>'refer admin discharge'!D463</f>
        <v>xx</v>
      </c>
      <c r="E467" s="889"/>
      <c r="F467" s="915" t="str">
        <f>'refer admin discharge'!H463</f>
        <v>00/00/0000</v>
      </c>
      <c r="G467" s="890"/>
      <c r="H467" s="916"/>
      <c r="I467" s="916"/>
      <c r="J467" s="917"/>
      <c r="K467" s="917"/>
      <c r="L467" s="916"/>
      <c r="M467" s="916"/>
      <c r="N467" s="893"/>
      <c r="O467" s="893"/>
      <c r="P467" s="916"/>
      <c r="Q467" s="916"/>
      <c r="R467" s="893"/>
      <c r="S467" s="893"/>
      <c r="T467" s="916"/>
      <c r="U467" s="916"/>
      <c r="V467" s="921" t="str">
        <f>'refer admin discharge'!H468</f>
        <v>00/00/0000</v>
      </c>
      <c r="W467" s="922"/>
      <c r="X467" s="912"/>
      <c r="Y467" s="912"/>
      <c r="Z467" s="924"/>
      <c r="AA467" s="924"/>
      <c r="AB467" s="912"/>
      <c r="AC467" s="912"/>
      <c r="AD467" s="913"/>
      <c r="AE467" s="913"/>
      <c r="AF467" s="912"/>
      <c r="AG467" s="912"/>
      <c r="AH467" s="913"/>
      <c r="AI467" s="913"/>
      <c r="AJ467" s="912"/>
      <c r="AK467" s="912"/>
      <c r="AL467" s="925"/>
      <c r="AM467" s="926"/>
      <c r="AN467" s="926"/>
      <c r="AO467" s="926"/>
      <c r="AP467" s="926"/>
      <c r="AQ467" s="926"/>
      <c r="AR467" s="926"/>
      <c r="AS467" s="926"/>
      <c r="AT467" s="926"/>
      <c r="AU467" s="926"/>
      <c r="AV467" s="926"/>
      <c r="AW467" s="926"/>
      <c r="AX467" s="926"/>
      <c r="AY467" s="926"/>
      <c r="AZ467" s="926"/>
      <c r="BA467" s="926"/>
      <c r="BB467" s="927"/>
    </row>
    <row r="468" spans="1:54" x14ac:dyDescent="0.25">
      <c r="A468" s="13">
        <f t="shared" si="7"/>
        <v>455</v>
      </c>
      <c r="B468" s="888" t="str">
        <f>'refer admin discharge'!B464</f>
        <v>x</v>
      </c>
      <c r="C468" s="888"/>
      <c r="D468" s="868" t="str">
        <f>'refer admin discharge'!D464</f>
        <v>xx</v>
      </c>
      <c r="E468" s="868"/>
      <c r="F468" s="891" t="str">
        <f>'refer admin discharge'!H464</f>
        <v>00/00/0000</v>
      </c>
      <c r="G468" s="892"/>
      <c r="H468" s="894"/>
      <c r="I468" s="894"/>
      <c r="J468" s="918"/>
      <c r="K468" s="918"/>
      <c r="L468" s="894"/>
      <c r="M468" s="894"/>
      <c r="N468" s="916"/>
      <c r="O468" s="916"/>
      <c r="P468" s="894"/>
      <c r="Q468" s="894"/>
      <c r="R468" s="916"/>
      <c r="S468" s="916"/>
      <c r="T468" s="894"/>
      <c r="U468" s="894"/>
      <c r="V468" s="921" t="str">
        <f>'refer admin discharge'!H469</f>
        <v>00/00/0000</v>
      </c>
      <c r="W468" s="922"/>
      <c r="X468" s="920"/>
      <c r="Y468" s="920"/>
      <c r="Z468" s="919"/>
      <c r="AA468" s="919"/>
      <c r="AB468" s="920"/>
      <c r="AC468" s="920"/>
      <c r="AD468" s="912"/>
      <c r="AE468" s="912"/>
      <c r="AF468" s="920"/>
      <c r="AG468" s="920"/>
      <c r="AH468" s="912"/>
      <c r="AI468" s="912"/>
      <c r="AJ468" s="920"/>
      <c r="AK468" s="920"/>
      <c r="AL468" s="905"/>
      <c r="AM468" s="906"/>
      <c r="AN468" s="906"/>
      <c r="AO468" s="906"/>
      <c r="AP468" s="906"/>
      <c r="AQ468" s="906"/>
      <c r="AR468" s="906"/>
      <c r="AS468" s="906"/>
      <c r="AT468" s="906"/>
      <c r="AU468" s="906"/>
      <c r="AV468" s="906"/>
      <c r="AW468" s="906"/>
      <c r="AX468" s="906"/>
      <c r="AY468" s="906"/>
      <c r="AZ468" s="906"/>
      <c r="BA468" s="906"/>
      <c r="BB468" s="907"/>
    </row>
    <row r="469" spans="1:54" x14ac:dyDescent="0.25">
      <c r="A469" s="13">
        <f t="shared" si="7"/>
        <v>456</v>
      </c>
      <c r="B469" s="914" t="str">
        <f>'refer admin discharge'!B465</f>
        <v>x</v>
      </c>
      <c r="C469" s="914"/>
      <c r="D469" s="889" t="str">
        <f>'refer admin discharge'!D465</f>
        <v>xx</v>
      </c>
      <c r="E469" s="889"/>
      <c r="F469" s="915" t="str">
        <f>'refer admin discharge'!H465</f>
        <v>00/00/0000</v>
      </c>
      <c r="G469" s="890"/>
      <c r="H469" s="916"/>
      <c r="I469" s="916"/>
      <c r="J469" s="917"/>
      <c r="K469" s="917"/>
      <c r="L469" s="916"/>
      <c r="M469" s="916"/>
      <c r="N469" s="893"/>
      <c r="O469" s="893"/>
      <c r="P469" s="916"/>
      <c r="Q469" s="916"/>
      <c r="R469" s="893"/>
      <c r="S469" s="893"/>
      <c r="T469" s="916"/>
      <c r="U469" s="916"/>
      <c r="V469" s="921" t="str">
        <f>'refer admin discharge'!H470</f>
        <v>00/00/0000</v>
      </c>
      <c r="W469" s="922"/>
      <c r="X469" s="912"/>
      <c r="Y469" s="912"/>
      <c r="Z469" s="924"/>
      <c r="AA469" s="924"/>
      <c r="AB469" s="912"/>
      <c r="AC469" s="912"/>
      <c r="AD469" s="913"/>
      <c r="AE469" s="913"/>
      <c r="AF469" s="912"/>
      <c r="AG469" s="912"/>
      <c r="AH469" s="913"/>
      <c r="AI469" s="913"/>
      <c r="AJ469" s="912"/>
      <c r="AK469" s="912"/>
      <c r="AL469" s="925"/>
      <c r="AM469" s="926"/>
      <c r="AN469" s="926"/>
      <c r="AO469" s="926"/>
      <c r="AP469" s="926"/>
      <c r="AQ469" s="926"/>
      <c r="AR469" s="926"/>
      <c r="AS469" s="926"/>
      <c r="AT469" s="926"/>
      <c r="AU469" s="926"/>
      <c r="AV469" s="926"/>
      <c r="AW469" s="926"/>
      <c r="AX469" s="926"/>
      <c r="AY469" s="926"/>
      <c r="AZ469" s="926"/>
      <c r="BA469" s="926"/>
      <c r="BB469" s="927"/>
    </row>
    <row r="470" spans="1:54" x14ac:dyDescent="0.25">
      <c r="A470" s="13">
        <f t="shared" si="7"/>
        <v>457</v>
      </c>
      <c r="B470" s="888" t="str">
        <f>'refer admin discharge'!B466</f>
        <v>x</v>
      </c>
      <c r="C470" s="888"/>
      <c r="D470" s="868" t="str">
        <f>'refer admin discharge'!D466</f>
        <v>xx</v>
      </c>
      <c r="E470" s="868"/>
      <c r="F470" s="891" t="str">
        <f>'refer admin discharge'!H466</f>
        <v>00/00/0000</v>
      </c>
      <c r="G470" s="892"/>
      <c r="H470" s="894"/>
      <c r="I470" s="894"/>
      <c r="J470" s="918"/>
      <c r="K470" s="918"/>
      <c r="L470" s="894"/>
      <c r="M470" s="894"/>
      <c r="N470" s="916"/>
      <c r="O470" s="916"/>
      <c r="P470" s="894"/>
      <c r="Q470" s="894"/>
      <c r="R470" s="916"/>
      <c r="S470" s="916"/>
      <c r="T470" s="894"/>
      <c r="U470" s="894"/>
      <c r="V470" s="921" t="str">
        <f>'refer admin discharge'!H471</f>
        <v>00/00/0000</v>
      </c>
      <c r="W470" s="922"/>
      <c r="X470" s="920"/>
      <c r="Y470" s="920"/>
      <c r="Z470" s="919"/>
      <c r="AA470" s="919"/>
      <c r="AB470" s="920"/>
      <c r="AC470" s="920"/>
      <c r="AD470" s="912"/>
      <c r="AE470" s="912"/>
      <c r="AF470" s="920"/>
      <c r="AG470" s="920"/>
      <c r="AH470" s="912"/>
      <c r="AI470" s="912"/>
      <c r="AJ470" s="920"/>
      <c r="AK470" s="920"/>
      <c r="AL470" s="905"/>
      <c r="AM470" s="906"/>
      <c r="AN470" s="906"/>
      <c r="AO470" s="906"/>
      <c r="AP470" s="906"/>
      <c r="AQ470" s="906"/>
      <c r="AR470" s="906"/>
      <c r="AS470" s="906"/>
      <c r="AT470" s="906"/>
      <c r="AU470" s="906"/>
      <c r="AV470" s="906"/>
      <c r="AW470" s="906"/>
      <c r="AX470" s="906"/>
      <c r="AY470" s="906"/>
      <c r="AZ470" s="906"/>
      <c r="BA470" s="906"/>
      <c r="BB470" s="907"/>
    </row>
    <row r="471" spans="1:54" x14ac:dyDescent="0.25">
      <c r="A471" s="13">
        <f t="shared" si="7"/>
        <v>458</v>
      </c>
      <c r="B471" s="914" t="str">
        <f>'refer admin discharge'!B467</f>
        <v>x</v>
      </c>
      <c r="C471" s="914"/>
      <c r="D471" s="889" t="str">
        <f>'refer admin discharge'!D467</f>
        <v>xx</v>
      </c>
      <c r="E471" s="889"/>
      <c r="F471" s="915" t="str">
        <f>'refer admin discharge'!H467</f>
        <v>00/00/0000</v>
      </c>
      <c r="G471" s="890"/>
      <c r="H471" s="916"/>
      <c r="I471" s="916"/>
      <c r="J471" s="917"/>
      <c r="K471" s="917"/>
      <c r="L471" s="916"/>
      <c r="M471" s="916"/>
      <c r="N471" s="893"/>
      <c r="O471" s="893"/>
      <c r="P471" s="916"/>
      <c r="Q471" s="916"/>
      <c r="R471" s="893"/>
      <c r="S471" s="893"/>
      <c r="T471" s="916"/>
      <c r="U471" s="916"/>
      <c r="V471" s="921" t="str">
        <f>'refer admin discharge'!H472</f>
        <v>00/00/0000</v>
      </c>
      <c r="W471" s="922"/>
      <c r="X471" s="912"/>
      <c r="Y471" s="912"/>
      <c r="Z471" s="924"/>
      <c r="AA471" s="924"/>
      <c r="AB471" s="912"/>
      <c r="AC471" s="912"/>
      <c r="AD471" s="913"/>
      <c r="AE471" s="913"/>
      <c r="AF471" s="912"/>
      <c r="AG471" s="912"/>
      <c r="AH471" s="913"/>
      <c r="AI471" s="913"/>
      <c r="AJ471" s="912"/>
      <c r="AK471" s="912"/>
      <c r="AL471" s="925"/>
      <c r="AM471" s="926"/>
      <c r="AN471" s="926"/>
      <c r="AO471" s="926"/>
      <c r="AP471" s="926"/>
      <c r="AQ471" s="926"/>
      <c r="AR471" s="926"/>
      <c r="AS471" s="926"/>
      <c r="AT471" s="926"/>
      <c r="AU471" s="926"/>
      <c r="AV471" s="926"/>
      <c r="AW471" s="926"/>
      <c r="AX471" s="926"/>
      <c r="AY471" s="926"/>
      <c r="AZ471" s="926"/>
      <c r="BA471" s="926"/>
      <c r="BB471" s="927"/>
    </row>
    <row r="472" spans="1:54" x14ac:dyDescent="0.25">
      <c r="A472" s="13">
        <f t="shared" si="7"/>
        <v>459</v>
      </c>
      <c r="B472" s="888" t="str">
        <f>'refer admin discharge'!B468</f>
        <v>x</v>
      </c>
      <c r="C472" s="888"/>
      <c r="D472" s="868" t="str">
        <f>'refer admin discharge'!D468</f>
        <v>xx</v>
      </c>
      <c r="E472" s="868"/>
      <c r="F472" s="891" t="str">
        <f>'refer admin discharge'!H468</f>
        <v>00/00/0000</v>
      </c>
      <c r="G472" s="892"/>
      <c r="H472" s="894"/>
      <c r="I472" s="894"/>
      <c r="J472" s="918"/>
      <c r="K472" s="918"/>
      <c r="L472" s="894"/>
      <c r="M472" s="894"/>
      <c r="N472" s="916"/>
      <c r="O472" s="916"/>
      <c r="P472" s="894"/>
      <c r="Q472" s="894"/>
      <c r="R472" s="916"/>
      <c r="S472" s="916"/>
      <c r="T472" s="894"/>
      <c r="U472" s="894"/>
      <c r="V472" s="921" t="str">
        <f>'refer admin discharge'!H473</f>
        <v>00/00/0000</v>
      </c>
      <c r="W472" s="922"/>
      <c r="X472" s="920"/>
      <c r="Y472" s="920"/>
      <c r="Z472" s="919"/>
      <c r="AA472" s="919"/>
      <c r="AB472" s="920"/>
      <c r="AC472" s="920"/>
      <c r="AD472" s="912"/>
      <c r="AE472" s="912"/>
      <c r="AF472" s="920"/>
      <c r="AG472" s="920"/>
      <c r="AH472" s="912"/>
      <c r="AI472" s="912"/>
      <c r="AJ472" s="920"/>
      <c r="AK472" s="920"/>
      <c r="AL472" s="905"/>
      <c r="AM472" s="906"/>
      <c r="AN472" s="906"/>
      <c r="AO472" s="906"/>
      <c r="AP472" s="906"/>
      <c r="AQ472" s="906"/>
      <c r="AR472" s="906"/>
      <c r="AS472" s="906"/>
      <c r="AT472" s="906"/>
      <c r="AU472" s="906"/>
      <c r="AV472" s="906"/>
      <c r="AW472" s="906"/>
      <c r="AX472" s="906"/>
      <c r="AY472" s="906"/>
      <c r="AZ472" s="906"/>
      <c r="BA472" s="906"/>
      <c r="BB472" s="907"/>
    </row>
    <row r="473" spans="1:54" x14ac:dyDescent="0.25">
      <c r="A473" s="13">
        <f t="shared" si="7"/>
        <v>460</v>
      </c>
      <c r="B473" s="914" t="str">
        <f>'refer admin discharge'!B469</f>
        <v>x</v>
      </c>
      <c r="C473" s="914"/>
      <c r="D473" s="889" t="str">
        <f>'refer admin discharge'!D469</f>
        <v>xx</v>
      </c>
      <c r="E473" s="889"/>
      <c r="F473" s="915" t="str">
        <f>'refer admin discharge'!H469</f>
        <v>00/00/0000</v>
      </c>
      <c r="G473" s="890"/>
      <c r="H473" s="916"/>
      <c r="I473" s="916"/>
      <c r="J473" s="917"/>
      <c r="K473" s="917"/>
      <c r="L473" s="916"/>
      <c r="M473" s="916"/>
      <c r="N473" s="893"/>
      <c r="O473" s="893"/>
      <c r="P473" s="916"/>
      <c r="Q473" s="916"/>
      <c r="R473" s="893"/>
      <c r="S473" s="893"/>
      <c r="T473" s="916"/>
      <c r="U473" s="916"/>
      <c r="V473" s="921" t="str">
        <f>'refer admin discharge'!H474</f>
        <v>00/00/0000</v>
      </c>
      <c r="W473" s="922"/>
      <c r="X473" s="912"/>
      <c r="Y473" s="912"/>
      <c r="Z473" s="924"/>
      <c r="AA473" s="924"/>
      <c r="AB473" s="912"/>
      <c r="AC473" s="912"/>
      <c r="AD473" s="913"/>
      <c r="AE473" s="913"/>
      <c r="AF473" s="912"/>
      <c r="AG473" s="912"/>
      <c r="AH473" s="913"/>
      <c r="AI473" s="913"/>
      <c r="AJ473" s="912"/>
      <c r="AK473" s="912"/>
      <c r="AL473" s="925"/>
      <c r="AM473" s="926"/>
      <c r="AN473" s="926"/>
      <c r="AO473" s="926"/>
      <c r="AP473" s="926"/>
      <c r="AQ473" s="926"/>
      <c r="AR473" s="926"/>
      <c r="AS473" s="926"/>
      <c r="AT473" s="926"/>
      <c r="AU473" s="926"/>
      <c r="AV473" s="926"/>
      <c r="AW473" s="926"/>
      <c r="AX473" s="926"/>
      <c r="AY473" s="926"/>
      <c r="AZ473" s="926"/>
      <c r="BA473" s="926"/>
      <c r="BB473" s="927"/>
    </row>
    <row r="474" spans="1:54" x14ac:dyDescent="0.25">
      <c r="A474" s="13">
        <f t="shared" si="7"/>
        <v>461</v>
      </c>
      <c r="B474" s="888" t="str">
        <f>'refer admin discharge'!B470</f>
        <v>x</v>
      </c>
      <c r="C474" s="888"/>
      <c r="D474" s="868" t="str">
        <f>'refer admin discharge'!D470</f>
        <v>xx</v>
      </c>
      <c r="E474" s="868"/>
      <c r="F474" s="891" t="str">
        <f>'refer admin discharge'!H470</f>
        <v>00/00/0000</v>
      </c>
      <c r="G474" s="892"/>
      <c r="H474" s="894"/>
      <c r="I474" s="894"/>
      <c r="J474" s="918"/>
      <c r="K474" s="918"/>
      <c r="L474" s="894"/>
      <c r="M474" s="894"/>
      <c r="N474" s="916"/>
      <c r="O474" s="916"/>
      <c r="P474" s="894"/>
      <c r="Q474" s="894"/>
      <c r="R474" s="916"/>
      <c r="S474" s="916"/>
      <c r="T474" s="894"/>
      <c r="U474" s="894"/>
      <c r="V474" s="921" t="str">
        <f>'refer admin discharge'!H475</f>
        <v>00/00/0000</v>
      </c>
      <c r="W474" s="922"/>
      <c r="X474" s="920"/>
      <c r="Y474" s="920"/>
      <c r="Z474" s="919"/>
      <c r="AA474" s="919"/>
      <c r="AB474" s="920"/>
      <c r="AC474" s="920"/>
      <c r="AD474" s="912"/>
      <c r="AE474" s="912"/>
      <c r="AF474" s="920"/>
      <c r="AG474" s="920"/>
      <c r="AH474" s="912"/>
      <c r="AI474" s="912"/>
      <c r="AJ474" s="920"/>
      <c r="AK474" s="920"/>
      <c r="AL474" s="905"/>
      <c r="AM474" s="906"/>
      <c r="AN474" s="906"/>
      <c r="AO474" s="906"/>
      <c r="AP474" s="906"/>
      <c r="AQ474" s="906"/>
      <c r="AR474" s="906"/>
      <c r="AS474" s="906"/>
      <c r="AT474" s="906"/>
      <c r="AU474" s="906"/>
      <c r="AV474" s="906"/>
      <c r="AW474" s="906"/>
      <c r="AX474" s="906"/>
      <c r="AY474" s="906"/>
      <c r="AZ474" s="906"/>
      <c r="BA474" s="906"/>
      <c r="BB474" s="907"/>
    </row>
    <row r="475" spans="1:54" x14ac:dyDescent="0.25">
      <c r="A475" s="13">
        <f t="shared" si="7"/>
        <v>462</v>
      </c>
      <c r="B475" s="914" t="str">
        <f>'refer admin discharge'!B471</f>
        <v>x</v>
      </c>
      <c r="C475" s="914"/>
      <c r="D475" s="889" t="str">
        <f>'refer admin discharge'!D471</f>
        <v>xx</v>
      </c>
      <c r="E475" s="889"/>
      <c r="F475" s="915" t="str">
        <f>'refer admin discharge'!H471</f>
        <v>00/00/0000</v>
      </c>
      <c r="G475" s="890"/>
      <c r="H475" s="916"/>
      <c r="I475" s="916"/>
      <c r="J475" s="917"/>
      <c r="K475" s="917"/>
      <c r="L475" s="916"/>
      <c r="M475" s="916"/>
      <c r="N475" s="893"/>
      <c r="O475" s="893"/>
      <c r="P475" s="916"/>
      <c r="Q475" s="916"/>
      <c r="R475" s="893"/>
      <c r="S475" s="893"/>
      <c r="T475" s="916"/>
      <c r="U475" s="916"/>
      <c r="V475" s="921" t="str">
        <f>'refer admin discharge'!H476</f>
        <v>00/00/0000</v>
      </c>
      <c r="W475" s="922"/>
      <c r="X475" s="912"/>
      <c r="Y475" s="912"/>
      <c r="Z475" s="924"/>
      <c r="AA475" s="924"/>
      <c r="AB475" s="912"/>
      <c r="AC475" s="912"/>
      <c r="AD475" s="913"/>
      <c r="AE475" s="913"/>
      <c r="AF475" s="912"/>
      <c r="AG475" s="912"/>
      <c r="AH475" s="913"/>
      <c r="AI475" s="913"/>
      <c r="AJ475" s="912"/>
      <c r="AK475" s="912"/>
      <c r="AL475" s="925"/>
      <c r="AM475" s="926"/>
      <c r="AN475" s="926"/>
      <c r="AO475" s="926"/>
      <c r="AP475" s="926"/>
      <c r="AQ475" s="926"/>
      <c r="AR475" s="926"/>
      <c r="AS475" s="926"/>
      <c r="AT475" s="926"/>
      <c r="AU475" s="926"/>
      <c r="AV475" s="926"/>
      <c r="AW475" s="926"/>
      <c r="AX475" s="926"/>
      <c r="AY475" s="926"/>
      <c r="AZ475" s="926"/>
      <c r="BA475" s="926"/>
      <c r="BB475" s="927"/>
    </row>
    <row r="476" spans="1:54" x14ac:dyDescent="0.25">
      <c r="A476" s="13">
        <f t="shared" si="7"/>
        <v>463</v>
      </c>
      <c r="B476" s="888" t="str">
        <f>'refer admin discharge'!B472</f>
        <v>x</v>
      </c>
      <c r="C476" s="888"/>
      <c r="D476" s="868" t="str">
        <f>'refer admin discharge'!D472</f>
        <v>xx</v>
      </c>
      <c r="E476" s="868"/>
      <c r="F476" s="891" t="str">
        <f>'refer admin discharge'!H472</f>
        <v>00/00/0000</v>
      </c>
      <c r="G476" s="892"/>
      <c r="H476" s="894"/>
      <c r="I476" s="894"/>
      <c r="J476" s="918"/>
      <c r="K476" s="918"/>
      <c r="L476" s="894"/>
      <c r="M476" s="894"/>
      <c r="N476" s="916"/>
      <c r="O476" s="916"/>
      <c r="P476" s="894"/>
      <c r="Q476" s="894"/>
      <c r="R476" s="916"/>
      <c r="S476" s="916"/>
      <c r="T476" s="894"/>
      <c r="U476" s="894"/>
      <c r="V476" s="921" t="str">
        <f>'refer admin discharge'!H477</f>
        <v>00/00/0000</v>
      </c>
      <c r="W476" s="922"/>
      <c r="X476" s="920"/>
      <c r="Y476" s="920"/>
      <c r="Z476" s="919"/>
      <c r="AA476" s="919"/>
      <c r="AB476" s="920"/>
      <c r="AC476" s="920"/>
      <c r="AD476" s="912"/>
      <c r="AE476" s="912"/>
      <c r="AF476" s="920"/>
      <c r="AG476" s="920"/>
      <c r="AH476" s="912"/>
      <c r="AI476" s="912"/>
      <c r="AJ476" s="920"/>
      <c r="AK476" s="920"/>
      <c r="AL476" s="905"/>
      <c r="AM476" s="906"/>
      <c r="AN476" s="906"/>
      <c r="AO476" s="906"/>
      <c r="AP476" s="906"/>
      <c r="AQ476" s="906"/>
      <c r="AR476" s="906"/>
      <c r="AS476" s="906"/>
      <c r="AT476" s="906"/>
      <c r="AU476" s="906"/>
      <c r="AV476" s="906"/>
      <c r="AW476" s="906"/>
      <c r="AX476" s="906"/>
      <c r="AY476" s="906"/>
      <c r="AZ476" s="906"/>
      <c r="BA476" s="906"/>
      <c r="BB476" s="907"/>
    </row>
    <row r="477" spans="1:54" x14ac:dyDescent="0.25">
      <c r="A477" s="13">
        <f t="shared" si="7"/>
        <v>464</v>
      </c>
      <c r="B477" s="914" t="str">
        <f>'refer admin discharge'!B473</f>
        <v>x</v>
      </c>
      <c r="C477" s="914"/>
      <c r="D477" s="889" t="str">
        <f>'refer admin discharge'!D473</f>
        <v>xx</v>
      </c>
      <c r="E477" s="889"/>
      <c r="F477" s="915" t="str">
        <f>'refer admin discharge'!H473</f>
        <v>00/00/0000</v>
      </c>
      <c r="G477" s="890"/>
      <c r="H477" s="916"/>
      <c r="I477" s="916"/>
      <c r="J477" s="917"/>
      <c r="K477" s="917"/>
      <c r="L477" s="916"/>
      <c r="M477" s="916"/>
      <c r="N477" s="893"/>
      <c r="O477" s="893"/>
      <c r="P477" s="916"/>
      <c r="Q477" s="916"/>
      <c r="R477" s="893"/>
      <c r="S477" s="893"/>
      <c r="T477" s="916"/>
      <c r="U477" s="916"/>
      <c r="V477" s="921" t="str">
        <f>'refer admin discharge'!H478</f>
        <v>00/00/0000</v>
      </c>
      <c r="W477" s="922"/>
      <c r="X477" s="912"/>
      <c r="Y477" s="912"/>
      <c r="Z477" s="924"/>
      <c r="AA477" s="924"/>
      <c r="AB477" s="912"/>
      <c r="AC477" s="912"/>
      <c r="AD477" s="913"/>
      <c r="AE477" s="913"/>
      <c r="AF477" s="912"/>
      <c r="AG477" s="912"/>
      <c r="AH477" s="913"/>
      <c r="AI477" s="913"/>
      <c r="AJ477" s="912"/>
      <c r="AK477" s="912"/>
      <c r="AL477" s="925"/>
      <c r="AM477" s="926"/>
      <c r="AN477" s="926"/>
      <c r="AO477" s="926"/>
      <c r="AP477" s="926"/>
      <c r="AQ477" s="926"/>
      <c r="AR477" s="926"/>
      <c r="AS477" s="926"/>
      <c r="AT477" s="926"/>
      <c r="AU477" s="926"/>
      <c r="AV477" s="926"/>
      <c r="AW477" s="926"/>
      <c r="AX477" s="926"/>
      <c r="AY477" s="926"/>
      <c r="AZ477" s="926"/>
      <c r="BA477" s="926"/>
      <c r="BB477" s="927"/>
    </row>
    <row r="478" spans="1:54" x14ac:dyDescent="0.25">
      <c r="A478" s="13">
        <f t="shared" si="7"/>
        <v>465</v>
      </c>
      <c r="B478" s="888" t="str">
        <f>'refer admin discharge'!B474</f>
        <v>x</v>
      </c>
      <c r="C478" s="888"/>
      <c r="D478" s="868" t="str">
        <f>'refer admin discharge'!D474</f>
        <v>xx</v>
      </c>
      <c r="E478" s="868"/>
      <c r="F478" s="891" t="str">
        <f>'refer admin discharge'!H474</f>
        <v>00/00/0000</v>
      </c>
      <c r="G478" s="892"/>
      <c r="H478" s="894"/>
      <c r="I478" s="894"/>
      <c r="J478" s="918"/>
      <c r="K478" s="918"/>
      <c r="L478" s="894"/>
      <c r="M478" s="894"/>
      <c r="N478" s="916"/>
      <c r="O478" s="916"/>
      <c r="P478" s="894"/>
      <c r="Q478" s="894"/>
      <c r="R478" s="916"/>
      <c r="S478" s="916"/>
      <c r="T478" s="894"/>
      <c r="U478" s="894"/>
      <c r="V478" s="921" t="str">
        <f>'refer admin discharge'!H479</f>
        <v>00/00/0000</v>
      </c>
      <c r="W478" s="922"/>
      <c r="X478" s="920"/>
      <c r="Y478" s="920"/>
      <c r="Z478" s="919"/>
      <c r="AA478" s="919"/>
      <c r="AB478" s="920"/>
      <c r="AC478" s="920"/>
      <c r="AD478" s="912"/>
      <c r="AE478" s="912"/>
      <c r="AF478" s="920"/>
      <c r="AG478" s="920"/>
      <c r="AH478" s="912"/>
      <c r="AI478" s="912"/>
      <c r="AJ478" s="920"/>
      <c r="AK478" s="920"/>
      <c r="AL478" s="905"/>
      <c r="AM478" s="906"/>
      <c r="AN478" s="906"/>
      <c r="AO478" s="906"/>
      <c r="AP478" s="906"/>
      <c r="AQ478" s="906"/>
      <c r="AR478" s="906"/>
      <c r="AS478" s="906"/>
      <c r="AT478" s="906"/>
      <c r="AU478" s="906"/>
      <c r="AV478" s="906"/>
      <c r="AW478" s="906"/>
      <c r="AX478" s="906"/>
      <c r="AY478" s="906"/>
      <c r="AZ478" s="906"/>
      <c r="BA478" s="906"/>
      <c r="BB478" s="907"/>
    </row>
    <row r="479" spans="1:54" x14ac:dyDescent="0.25">
      <c r="A479" s="13">
        <f t="shared" si="7"/>
        <v>466</v>
      </c>
      <c r="B479" s="914" t="str">
        <f>'refer admin discharge'!B475</f>
        <v>x</v>
      </c>
      <c r="C479" s="914"/>
      <c r="D479" s="889" t="str">
        <f>'refer admin discharge'!D475</f>
        <v>xx</v>
      </c>
      <c r="E479" s="889"/>
      <c r="F479" s="915" t="str">
        <f>'refer admin discharge'!H475</f>
        <v>00/00/0000</v>
      </c>
      <c r="G479" s="890"/>
      <c r="H479" s="916"/>
      <c r="I479" s="916"/>
      <c r="J479" s="917"/>
      <c r="K479" s="917"/>
      <c r="L479" s="916"/>
      <c r="M479" s="916"/>
      <c r="N479" s="893"/>
      <c r="O479" s="893"/>
      <c r="P479" s="916"/>
      <c r="Q479" s="916"/>
      <c r="R479" s="893"/>
      <c r="S479" s="893"/>
      <c r="T479" s="916"/>
      <c r="U479" s="916"/>
      <c r="V479" s="921" t="str">
        <f>'refer admin discharge'!H480</f>
        <v>00/00/0000</v>
      </c>
      <c r="W479" s="922"/>
      <c r="X479" s="912"/>
      <c r="Y479" s="912"/>
      <c r="Z479" s="924"/>
      <c r="AA479" s="924"/>
      <c r="AB479" s="912"/>
      <c r="AC479" s="912"/>
      <c r="AD479" s="913"/>
      <c r="AE479" s="913"/>
      <c r="AF479" s="912"/>
      <c r="AG479" s="912"/>
      <c r="AH479" s="913"/>
      <c r="AI479" s="913"/>
      <c r="AJ479" s="912"/>
      <c r="AK479" s="912"/>
      <c r="AL479" s="925"/>
      <c r="AM479" s="926"/>
      <c r="AN479" s="926"/>
      <c r="AO479" s="926"/>
      <c r="AP479" s="926"/>
      <c r="AQ479" s="926"/>
      <c r="AR479" s="926"/>
      <c r="AS479" s="926"/>
      <c r="AT479" s="926"/>
      <c r="AU479" s="926"/>
      <c r="AV479" s="926"/>
      <c r="AW479" s="926"/>
      <c r="AX479" s="926"/>
      <c r="AY479" s="926"/>
      <c r="AZ479" s="926"/>
      <c r="BA479" s="926"/>
      <c r="BB479" s="927"/>
    </row>
    <row r="480" spans="1:54" x14ac:dyDescent="0.25">
      <c r="A480" s="13">
        <f t="shared" si="7"/>
        <v>467</v>
      </c>
      <c r="B480" s="888" t="str">
        <f>'refer admin discharge'!B476</f>
        <v>x</v>
      </c>
      <c r="C480" s="888"/>
      <c r="D480" s="868" t="str">
        <f>'refer admin discharge'!D476</f>
        <v>xx</v>
      </c>
      <c r="E480" s="868"/>
      <c r="F480" s="891" t="str">
        <f>'refer admin discharge'!H476</f>
        <v>00/00/0000</v>
      </c>
      <c r="G480" s="892"/>
      <c r="H480" s="894"/>
      <c r="I480" s="894"/>
      <c r="J480" s="918"/>
      <c r="K480" s="918"/>
      <c r="L480" s="894"/>
      <c r="M480" s="894"/>
      <c r="N480" s="916"/>
      <c r="O480" s="916"/>
      <c r="P480" s="894"/>
      <c r="Q480" s="894"/>
      <c r="R480" s="916"/>
      <c r="S480" s="916"/>
      <c r="T480" s="894"/>
      <c r="U480" s="894"/>
      <c r="V480" s="921" t="str">
        <f>'refer admin discharge'!H481</f>
        <v>00/00/0000</v>
      </c>
      <c r="W480" s="922"/>
      <c r="X480" s="920"/>
      <c r="Y480" s="920"/>
      <c r="Z480" s="919"/>
      <c r="AA480" s="919"/>
      <c r="AB480" s="920"/>
      <c r="AC480" s="920"/>
      <c r="AD480" s="912"/>
      <c r="AE480" s="912"/>
      <c r="AF480" s="920"/>
      <c r="AG480" s="920"/>
      <c r="AH480" s="912"/>
      <c r="AI480" s="912"/>
      <c r="AJ480" s="920"/>
      <c r="AK480" s="920"/>
      <c r="AL480" s="905"/>
      <c r="AM480" s="906"/>
      <c r="AN480" s="906"/>
      <c r="AO480" s="906"/>
      <c r="AP480" s="906"/>
      <c r="AQ480" s="906"/>
      <c r="AR480" s="906"/>
      <c r="AS480" s="906"/>
      <c r="AT480" s="906"/>
      <c r="AU480" s="906"/>
      <c r="AV480" s="906"/>
      <c r="AW480" s="906"/>
      <c r="AX480" s="906"/>
      <c r="AY480" s="906"/>
      <c r="AZ480" s="906"/>
      <c r="BA480" s="906"/>
      <c r="BB480" s="907"/>
    </row>
    <row r="481" spans="1:54" x14ac:dyDescent="0.25">
      <c r="A481" s="13">
        <f t="shared" si="7"/>
        <v>468</v>
      </c>
      <c r="B481" s="914" t="str">
        <f>'refer admin discharge'!B477</f>
        <v>x</v>
      </c>
      <c r="C481" s="914"/>
      <c r="D481" s="889" t="str">
        <f>'refer admin discharge'!D477</f>
        <v>xx</v>
      </c>
      <c r="E481" s="889"/>
      <c r="F481" s="915" t="str">
        <f>'refer admin discharge'!H477</f>
        <v>00/00/0000</v>
      </c>
      <c r="G481" s="890"/>
      <c r="H481" s="916"/>
      <c r="I481" s="916"/>
      <c r="J481" s="917"/>
      <c r="K481" s="917"/>
      <c r="L481" s="916"/>
      <c r="M481" s="916"/>
      <c r="N481" s="893"/>
      <c r="O481" s="893"/>
      <c r="P481" s="916"/>
      <c r="Q481" s="916"/>
      <c r="R481" s="893"/>
      <c r="S481" s="893"/>
      <c r="T481" s="916"/>
      <c r="U481" s="916"/>
      <c r="V481" s="921" t="str">
        <f>'refer admin discharge'!H482</f>
        <v>00/00/0000</v>
      </c>
      <c r="W481" s="922"/>
      <c r="X481" s="912"/>
      <c r="Y481" s="912"/>
      <c r="Z481" s="924"/>
      <c r="AA481" s="924"/>
      <c r="AB481" s="912"/>
      <c r="AC481" s="912"/>
      <c r="AD481" s="913"/>
      <c r="AE481" s="913"/>
      <c r="AF481" s="912"/>
      <c r="AG481" s="912"/>
      <c r="AH481" s="913"/>
      <c r="AI481" s="913"/>
      <c r="AJ481" s="912"/>
      <c r="AK481" s="912"/>
      <c r="AL481" s="925"/>
      <c r="AM481" s="926"/>
      <c r="AN481" s="926"/>
      <c r="AO481" s="926"/>
      <c r="AP481" s="926"/>
      <c r="AQ481" s="926"/>
      <c r="AR481" s="926"/>
      <c r="AS481" s="926"/>
      <c r="AT481" s="926"/>
      <c r="AU481" s="926"/>
      <c r="AV481" s="926"/>
      <c r="AW481" s="926"/>
      <c r="AX481" s="926"/>
      <c r="AY481" s="926"/>
      <c r="AZ481" s="926"/>
      <c r="BA481" s="926"/>
      <c r="BB481" s="927"/>
    </row>
    <row r="482" spans="1:54" x14ac:dyDescent="0.25">
      <c r="A482" s="13">
        <f t="shared" si="7"/>
        <v>469</v>
      </c>
      <c r="B482" s="888" t="str">
        <f>'refer admin discharge'!B478</f>
        <v>x</v>
      </c>
      <c r="C482" s="888"/>
      <c r="D482" s="868" t="str">
        <f>'refer admin discharge'!D478</f>
        <v>xx</v>
      </c>
      <c r="E482" s="868"/>
      <c r="F482" s="891" t="str">
        <f>'refer admin discharge'!H478</f>
        <v>00/00/0000</v>
      </c>
      <c r="G482" s="892"/>
      <c r="H482" s="894"/>
      <c r="I482" s="894"/>
      <c r="J482" s="918"/>
      <c r="K482" s="918"/>
      <c r="L482" s="894"/>
      <c r="M482" s="894"/>
      <c r="N482" s="916"/>
      <c r="O482" s="916"/>
      <c r="P482" s="894"/>
      <c r="Q482" s="894"/>
      <c r="R482" s="916"/>
      <c r="S482" s="916"/>
      <c r="T482" s="894"/>
      <c r="U482" s="894"/>
      <c r="V482" s="921" t="str">
        <f>'refer admin discharge'!H483</f>
        <v>00/00/0000</v>
      </c>
      <c r="W482" s="922"/>
      <c r="X482" s="920"/>
      <c r="Y482" s="920"/>
      <c r="Z482" s="919"/>
      <c r="AA482" s="919"/>
      <c r="AB482" s="920"/>
      <c r="AC482" s="920"/>
      <c r="AD482" s="912"/>
      <c r="AE482" s="912"/>
      <c r="AF482" s="920"/>
      <c r="AG482" s="920"/>
      <c r="AH482" s="912"/>
      <c r="AI482" s="912"/>
      <c r="AJ482" s="920"/>
      <c r="AK482" s="920"/>
      <c r="AL482" s="905"/>
      <c r="AM482" s="906"/>
      <c r="AN482" s="906"/>
      <c r="AO482" s="906"/>
      <c r="AP482" s="906"/>
      <c r="AQ482" s="906"/>
      <c r="AR482" s="906"/>
      <c r="AS482" s="906"/>
      <c r="AT482" s="906"/>
      <c r="AU482" s="906"/>
      <c r="AV482" s="906"/>
      <c r="AW482" s="906"/>
      <c r="AX482" s="906"/>
      <c r="AY482" s="906"/>
      <c r="AZ482" s="906"/>
      <c r="BA482" s="906"/>
      <c r="BB482" s="907"/>
    </row>
    <row r="483" spans="1:54" x14ac:dyDescent="0.25">
      <c r="A483" s="13">
        <f t="shared" si="7"/>
        <v>470</v>
      </c>
      <c r="B483" s="914" t="str">
        <f>'refer admin discharge'!B479</f>
        <v>x</v>
      </c>
      <c r="C483" s="914"/>
      <c r="D483" s="889" t="str">
        <f>'refer admin discharge'!D479</f>
        <v>xx</v>
      </c>
      <c r="E483" s="889"/>
      <c r="F483" s="915" t="str">
        <f>'refer admin discharge'!H479</f>
        <v>00/00/0000</v>
      </c>
      <c r="G483" s="890"/>
      <c r="H483" s="916"/>
      <c r="I483" s="916"/>
      <c r="J483" s="917"/>
      <c r="K483" s="917"/>
      <c r="L483" s="916"/>
      <c r="M483" s="916"/>
      <c r="N483" s="893"/>
      <c r="O483" s="893"/>
      <c r="P483" s="916"/>
      <c r="Q483" s="916"/>
      <c r="R483" s="893"/>
      <c r="S483" s="893"/>
      <c r="T483" s="916"/>
      <c r="U483" s="916"/>
      <c r="V483" s="921" t="str">
        <f>'refer admin discharge'!H484</f>
        <v>00/00/0000</v>
      </c>
      <c r="W483" s="922"/>
      <c r="X483" s="912"/>
      <c r="Y483" s="912"/>
      <c r="Z483" s="924"/>
      <c r="AA483" s="924"/>
      <c r="AB483" s="912"/>
      <c r="AC483" s="912"/>
      <c r="AD483" s="913"/>
      <c r="AE483" s="913"/>
      <c r="AF483" s="912"/>
      <c r="AG483" s="912"/>
      <c r="AH483" s="913"/>
      <c r="AI483" s="913"/>
      <c r="AJ483" s="912"/>
      <c r="AK483" s="912"/>
      <c r="AL483" s="925"/>
      <c r="AM483" s="926"/>
      <c r="AN483" s="926"/>
      <c r="AO483" s="926"/>
      <c r="AP483" s="926"/>
      <c r="AQ483" s="926"/>
      <c r="AR483" s="926"/>
      <c r="AS483" s="926"/>
      <c r="AT483" s="926"/>
      <c r="AU483" s="926"/>
      <c r="AV483" s="926"/>
      <c r="AW483" s="926"/>
      <c r="AX483" s="926"/>
      <c r="AY483" s="926"/>
      <c r="AZ483" s="926"/>
      <c r="BA483" s="926"/>
      <c r="BB483" s="927"/>
    </row>
    <row r="484" spans="1:54" x14ac:dyDescent="0.25">
      <c r="A484" s="13">
        <f t="shared" si="7"/>
        <v>471</v>
      </c>
      <c r="B484" s="888" t="str">
        <f>'refer admin discharge'!B480</f>
        <v>x</v>
      </c>
      <c r="C484" s="888"/>
      <c r="D484" s="868" t="str">
        <f>'refer admin discharge'!D480</f>
        <v>xx</v>
      </c>
      <c r="E484" s="868"/>
      <c r="F484" s="891" t="str">
        <f>'refer admin discharge'!H480</f>
        <v>00/00/0000</v>
      </c>
      <c r="G484" s="892"/>
      <c r="H484" s="894"/>
      <c r="I484" s="894"/>
      <c r="J484" s="918"/>
      <c r="K484" s="918"/>
      <c r="L484" s="894"/>
      <c r="M484" s="894"/>
      <c r="N484" s="916"/>
      <c r="O484" s="916"/>
      <c r="P484" s="894"/>
      <c r="Q484" s="894"/>
      <c r="R484" s="916"/>
      <c r="S484" s="916"/>
      <c r="T484" s="894"/>
      <c r="U484" s="894"/>
      <c r="V484" s="921" t="str">
        <f>'refer admin discharge'!H485</f>
        <v>00/00/0000</v>
      </c>
      <c r="W484" s="922"/>
      <c r="X484" s="920"/>
      <c r="Y484" s="920"/>
      <c r="Z484" s="919"/>
      <c r="AA484" s="919"/>
      <c r="AB484" s="920"/>
      <c r="AC484" s="920"/>
      <c r="AD484" s="912"/>
      <c r="AE484" s="912"/>
      <c r="AF484" s="920"/>
      <c r="AG484" s="920"/>
      <c r="AH484" s="912"/>
      <c r="AI484" s="912"/>
      <c r="AJ484" s="920"/>
      <c r="AK484" s="920"/>
      <c r="AL484" s="905"/>
      <c r="AM484" s="906"/>
      <c r="AN484" s="906"/>
      <c r="AO484" s="906"/>
      <c r="AP484" s="906"/>
      <c r="AQ484" s="906"/>
      <c r="AR484" s="906"/>
      <c r="AS484" s="906"/>
      <c r="AT484" s="906"/>
      <c r="AU484" s="906"/>
      <c r="AV484" s="906"/>
      <c r="AW484" s="906"/>
      <c r="AX484" s="906"/>
      <c r="AY484" s="906"/>
      <c r="AZ484" s="906"/>
      <c r="BA484" s="906"/>
      <c r="BB484" s="907"/>
    </row>
    <row r="485" spans="1:54" x14ac:dyDescent="0.25">
      <c r="A485" s="13">
        <f t="shared" si="7"/>
        <v>472</v>
      </c>
      <c r="B485" s="914" t="str">
        <f>'refer admin discharge'!B481</f>
        <v>x</v>
      </c>
      <c r="C485" s="914"/>
      <c r="D485" s="889" t="str">
        <f>'refer admin discharge'!D481</f>
        <v>xx</v>
      </c>
      <c r="E485" s="889"/>
      <c r="F485" s="915" t="str">
        <f>'refer admin discharge'!H481</f>
        <v>00/00/0000</v>
      </c>
      <c r="G485" s="890"/>
      <c r="H485" s="916"/>
      <c r="I485" s="916"/>
      <c r="J485" s="917"/>
      <c r="K485" s="917"/>
      <c r="L485" s="916"/>
      <c r="M485" s="916"/>
      <c r="N485" s="893"/>
      <c r="O485" s="893"/>
      <c r="P485" s="916"/>
      <c r="Q485" s="916"/>
      <c r="R485" s="893"/>
      <c r="S485" s="893"/>
      <c r="T485" s="916"/>
      <c r="U485" s="916"/>
      <c r="V485" s="921" t="str">
        <f>'refer admin discharge'!H486</f>
        <v>00/00/0000</v>
      </c>
      <c r="W485" s="922"/>
      <c r="X485" s="912"/>
      <c r="Y485" s="912"/>
      <c r="Z485" s="924"/>
      <c r="AA485" s="924"/>
      <c r="AB485" s="912"/>
      <c r="AC485" s="912"/>
      <c r="AD485" s="913"/>
      <c r="AE485" s="913"/>
      <c r="AF485" s="912"/>
      <c r="AG485" s="912"/>
      <c r="AH485" s="913"/>
      <c r="AI485" s="913"/>
      <c r="AJ485" s="912"/>
      <c r="AK485" s="912"/>
      <c r="AL485" s="925"/>
      <c r="AM485" s="926"/>
      <c r="AN485" s="926"/>
      <c r="AO485" s="926"/>
      <c r="AP485" s="926"/>
      <c r="AQ485" s="926"/>
      <c r="AR485" s="926"/>
      <c r="AS485" s="926"/>
      <c r="AT485" s="926"/>
      <c r="AU485" s="926"/>
      <c r="AV485" s="926"/>
      <c r="AW485" s="926"/>
      <c r="AX485" s="926"/>
      <c r="AY485" s="926"/>
      <c r="AZ485" s="926"/>
      <c r="BA485" s="926"/>
      <c r="BB485" s="927"/>
    </row>
    <row r="486" spans="1:54" x14ac:dyDescent="0.25">
      <c r="A486" s="13">
        <f t="shared" si="7"/>
        <v>473</v>
      </c>
      <c r="B486" s="888" t="str">
        <f>'refer admin discharge'!B482</f>
        <v>x</v>
      </c>
      <c r="C486" s="888"/>
      <c r="D486" s="868" t="str">
        <f>'refer admin discharge'!D482</f>
        <v>xx</v>
      </c>
      <c r="E486" s="868"/>
      <c r="F486" s="891" t="str">
        <f>'refer admin discharge'!H482</f>
        <v>00/00/0000</v>
      </c>
      <c r="G486" s="892"/>
      <c r="H486" s="894"/>
      <c r="I486" s="894"/>
      <c r="J486" s="918"/>
      <c r="K486" s="918"/>
      <c r="L486" s="894"/>
      <c r="M486" s="894"/>
      <c r="N486" s="916"/>
      <c r="O486" s="916"/>
      <c r="P486" s="894"/>
      <c r="Q486" s="894"/>
      <c r="R486" s="916"/>
      <c r="S486" s="916"/>
      <c r="T486" s="894"/>
      <c r="U486" s="894"/>
      <c r="V486" s="921" t="str">
        <f>'refer admin discharge'!H487</f>
        <v>00/00/0000</v>
      </c>
      <c r="W486" s="922"/>
      <c r="X486" s="920"/>
      <c r="Y486" s="920"/>
      <c r="Z486" s="919"/>
      <c r="AA486" s="919"/>
      <c r="AB486" s="920"/>
      <c r="AC486" s="920"/>
      <c r="AD486" s="912"/>
      <c r="AE486" s="912"/>
      <c r="AF486" s="920"/>
      <c r="AG486" s="920"/>
      <c r="AH486" s="912"/>
      <c r="AI486" s="912"/>
      <c r="AJ486" s="920"/>
      <c r="AK486" s="920"/>
      <c r="AL486" s="905"/>
      <c r="AM486" s="906"/>
      <c r="AN486" s="906"/>
      <c r="AO486" s="906"/>
      <c r="AP486" s="906"/>
      <c r="AQ486" s="906"/>
      <c r="AR486" s="906"/>
      <c r="AS486" s="906"/>
      <c r="AT486" s="906"/>
      <c r="AU486" s="906"/>
      <c r="AV486" s="906"/>
      <c r="AW486" s="906"/>
      <c r="AX486" s="906"/>
      <c r="AY486" s="906"/>
      <c r="AZ486" s="906"/>
      <c r="BA486" s="906"/>
      <c r="BB486" s="907"/>
    </row>
    <row r="487" spans="1:54" x14ac:dyDescent="0.25">
      <c r="A487" s="13">
        <f t="shared" si="7"/>
        <v>474</v>
      </c>
      <c r="B487" s="914" t="str">
        <f>'refer admin discharge'!B483</f>
        <v>x</v>
      </c>
      <c r="C487" s="914"/>
      <c r="D487" s="889" t="str">
        <f>'refer admin discharge'!D483</f>
        <v>xx</v>
      </c>
      <c r="E487" s="889"/>
      <c r="F487" s="915" t="str">
        <f>'refer admin discharge'!H483</f>
        <v>00/00/0000</v>
      </c>
      <c r="G487" s="890"/>
      <c r="H487" s="916"/>
      <c r="I487" s="916"/>
      <c r="J487" s="917"/>
      <c r="K487" s="917"/>
      <c r="L487" s="916"/>
      <c r="M487" s="916"/>
      <c r="N487" s="893"/>
      <c r="O487" s="893"/>
      <c r="P487" s="916"/>
      <c r="Q487" s="916"/>
      <c r="R487" s="893"/>
      <c r="S487" s="893"/>
      <c r="T487" s="916"/>
      <c r="U487" s="916"/>
      <c r="V487" s="921" t="str">
        <f>'refer admin discharge'!H488</f>
        <v>00/00/0000</v>
      </c>
      <c r="W487" s="922"/>
      <c r="X487" s="912"/>
      <c r="Y487" s="912"/>
      <c r="Z487" s="924"/>
      <c r="AA487" s="924"/>
      <c r="AB487" s="912"/>
      <c r="AC487" s="912"/>
      <c r="AD487" s="913"/>
      <c r="AE487" s="913"/>
      <c r="AF487" s="912"/>
      <c r="AG487" s="912"/>
      <c r="AH487" s="913"/>
      <c r="AI487" s="913"/>
      <c r="AJ487" s="912"/>
      <c r="AK487" s="912"/>
      <c r="AL487" s="925"/>
      <c r="AM487" s="926"/>
      <c r="AN487" s="926"/>
      <c r="AO487" s="926"/>
      <c r="AP487" s="926"/>
      <c r="AQ487" s="926"/>
      <c r="AR487" s="926"/>
      <c r="AS487" s="926"/>
      <c r="AT487" s="926"/>
      <c r="AU487" s="926"/>
      <c r="AV487" s="926"/>
      <c r="AW487" s="926"/>
      <c r="AX487" s="926"/>
      <c r="AY487" s="926"/>
      <c r="AZ487" s="926"/>
      <c r="BA487" s="926"/>
      <c r="BB487" s="927"/>
    </row>
    <row r="488" spans="1:54" x14ac:dyDescent="0.25">
      <c r="A488" s="13">
        <f t="shared" si="7"/>
        <v>475</v>
      </c>
      <c r="B488" s="888" t="str">
        <f>'refer admin discharge'!B484</f>
        <v>x</v>
      </c>
      <c r="C488" s="888"/>
      <c r="D488" s="868" t="str">
        <f>'refer admin discharge'!D484</f>
        <v>xx</v>
      </c>
      <c r="E488" s="868"/>
      <c r="F488" s="891" t="str">
        <f>'refer admin discharge'!H484</f>
        <v>00/00/0000</v>
      </c>
      <c r="G488" s="892"/>
      <c r="H488" s="894"/>
      <c r="I488" s="894"/>
      <c r="J488" s="918"/>
      <c r="K488" s="918"/>
      <c r="L488" s="894"/>
      <c r="M488" s="894"/>
      <c r="N488" s="916"/>
      <c r="O488" s="916"/>
      <c r="P488" s="894"/>
      <c r="Q488" s="894"/>
      <c r="R488" s="916"/>
      <c r="S488" s="916"/>
      <c r="T488" s="894"/>
      <c r="U488" s="894"/>
      <c r="V488" s="921" t="str">
        <f>'refer admin discharge'!H489</f>
        <v>00/00/0000</v>
      </c>
      <c r="W488" s="922"/>
      <c r="X488" s="920"/>
      <c r="Y488" s="920"/>
      <c r="Z488" s="919"/>
      <c r="AA488" s="919"/>
      <c r="AB488" s="920"/>
      <c r="AC488" s="920"/>
      <c r="AD488" s="912"/>
      <c r="AE488" s="912"/>
      <c r="AF488" s="920"/>
      <c r="AG488" s="920"/>
      <c r="AH488" s="912"/>
      <c r="AI488" s="912"/>
      <c r="AJ488" s="920"/>
      <c r="AK488" s="920"/>
      <c r="AL488" s="905"/>
      <c r="AM488" s="906"/>
      <c r="AN488" s="906"/>
      <c r="AO488" s="906"/>
      <c r="AP488" s="906"/>
      <c r="AQ488" s="906"/>
      <c r="AR488" s="906"/>
      <c r="AS488" s="906"/>
      <c r="AT488" s="906"/>
      <c r="AU488" s="906"/>
      <c r="AV488" s="906"/>
      <c r="AW488" s="906"/>
      <c r="AX488" s="906"/>
      <c r="AY488" s="906"/>
      <c r="AZ488" s="906"/>
      <c r="BA488" s="906"/>
      <c r="BB488" s="907"/>
    </row>
    <row r="489" spans="1:54" x14ac:dyDescent="0.25">
      <c r="A489" s="13">
        <f t="shared" si="7"/>
        <v>476</v>
      </c>
      <c r="B489" s="914" t="str">
        <f>'refer admin discharge'!B485</f>
        <v>x</v>
      </c>
      <c r="C489" s="914"/>
      <c r="D489" s="889" t="str">
        <f>'refer admin discharge'!D485</f>
        <v>xx</v>
      </c>
      <c r="E489" s="889"/>
      <c r="F489" s="915" t="str">
        <f>'refer admin discharge'!H485</f>
        <v>00/00/0000</v>
      </c>
      <c r="G489" s="890"/>
      <c r="H489" s="916"/>
      <c r="I489" s="916"/>
      <c r="J489" s="917"/>
      <c r="K489" s="917"/>
      <c r="L489" s="916"/>
      <c r="M489" s="916"/>
      <c r="N489" s="893"/>
      <c r="O489" s="893"/>
      <c r="P489" s="916"/>
      <c r="Q489" s="916"/>
      <c r="R489" s="893"/>
      <c r="S489" s="893"/>
      <c r="T489" s="916"/>
      <c r="U489" s="916"/>
      <c r="V489" s="921" t="str">
        <f>'refer admin discharge'!H490</f>
        <v>00/00/0000</v>
      </c>
      <c r="W489" s="922"/>
      <c r="X489" s="912"/>
      <c r="Y489" s="912"/>
      <c r="Z489" s="924"/>
      <c r="AA489" s="924"/>
      <c r="AB489" s="912"/>
      <c r="AC489" s="912"/>
      <c r="AD489" s="913"/>
      <c r="AE489" s="913"/>
      <c r="AF489" s="912"/>
      <c r="AG489" s="912"/>
      <c r="AH489" s="913"/>
      <c r="AI489" s="913"/>
      <c r="AJ489" s="912"/>
      <c r="AK489" s="912"/>
      <c r="AL489" s="925"/>
      <c r="AM489" s="926"/>
      <c r="AN489" s="926"/>
      <c r="AO489" s="926"/>
      <c r="AP489" s="926"/>
      <c r="AQ489" s="926"/>
      <c r="AR489" s="926"/>
      <c r="AS489" s="926"/>
      <c r="AT489" s="926"/>
      <c r="AU489" s="926"/>
      <c r="AV489" s="926"/>
      <c r="AW489" s="926"/>
      <c r="AX489" s="926"/>
      <c r="AY489" s="926"/>
      <c r="AZ489" s="926"/>
      <c r="BA489" s="926"/>
      <c r="BB489" s="927"/>
    </row>
    <row r="490" spans="1:54" x14ac:dyDescent="0.25">
      <c r="A490" s="13">
        <f t="shared" si="7"/>
        <v>477</v>
      </c>
      <c r="B490" s="888" t="str">
        <f>'refer admin discharge'!B486</f>
        <v>x</v>
      </c>
      <c r="C490" s="888"/>
      <c r="D490" s="868" t="str">
        <f>'refer admin discharge'!D486</f>
        <v>xx</v>
      </c>
      <c r="E490" s="868"/>
      <c r="F490" s="891" t="str">
        <f>'refer admin discharge'!H486</f>
        <v>00/00/0000</v>
      </c>
      <c r="G490" s="892"/>
      <c r="H490" s="894"/>
      <c r="I490" s="894"/>
      <c r="J490" s="918"/>
      <c r="K490" s="918"/>
      <c r="L490" s="894"/>
      <c r="M490" s="894"/>
      <c r="N490" s="916"/>
      <c r="O490" s="916"/>
      <c r="P490" s="894"/>
      <c r="Q490" s="894"/>
      <c r="R490" s="916"/>
      <c r="S490" s="916"/>
      <c r="T490" s="894"/>
      <c r="U490" s="894"/>
      <c r="V490" s="921" t="str">
        <f>'refer admin discharge'!H491</f>
        <v>00/00/0000</v>
      </c>
      <c r="W490" s="922"/>
      <c r="X490" s="920"/>
      <c r="Y490" s="920"/>
      <c r="Z490" s="919"/>
      <c r="AA490" s="919"/>
      <c r="AB490" s="920"/>
      <c r="AC490" s="920"/>
      <c r="AD490" s="912"/>
      <c r="AE490" s="912"/>
      <c r="AF490" s="920"/>
      <c r="AG490" s="920"/>
      <c r="AH490" s="912"/>
      <c r="AI490" s="912"/>
      <c r="AJ490" s="920"/>
      <c r="AK490" s="920"/>
      <c r="AL490" s="905"/>
      <c r="AM490" s="906"/>
      <c r="AN490" s="906"/>
      <c r="AO490" s="906"/>
      <c r="AP490" s="906"/>
      <c r="AQ490" s="906"/>
      <c r="AR490" s="906"/>
      <c r="AS490" s="906"/>
      <c r="AT490" s="906"/>
      <c r="AU490" s="906"/>
      <c r="AV490" s="906"/>
      <c r="AW490" s="906"/>
      <c r="AX490" s="906"/>
      <c r="AY490" s="906"/>
      <c r="AZ490" s="906"/>
      <c r="BA490" s="906"/>
      <c r="BB490" s="907"/>
    </row>
    <row r="491" spans="1:54" x14ac:dyDescent="0.25">
      <c r="A491" s="13">
        <f t="shared" si="7"/>
        <v>478</v>
      </c>
      <c r="B491" s="914" t="str">
        <f>'refer admin discharge'!B487</f>
        <v>x</v>
      </c>
      <c r="C491" s="914"/>
      <c r="D491" s="889" t="str">
        <f>'refer admin discharge'!D487</f>
        <v>xx</v>
      </c>
      <c r="E491" s="889"/>
      <c r="F491" s="915" t="str">
        <f>'refer admin discharge'!H487</f>
        <v>00/00/0000</v>
      </c>
      <c r="G491" s="890"/>
      <c r="H491" s="916"/>
      <c r="I491" s="916"/>
      <c r="J491" s="917"/>
      <c r="K491" s="917"/>
      <c r="L491" s="916"/>
      <c r="M491" s="916"/>
      <c r="N491" s="893"/>
      <c r="O491" s="893"/>
      <c r="P491" s="916"/>
      <c r="Q491" s="916"/>
      <c r="R491" s="893"/>
      <c r="S491" s="893"/>
      <c r="T491" s="916"/>
      <c r="U491" s="916"/>
      <c r="V491" s="921" t="str">
        <f>'refer admin discharge'!H492</f>
        <v>00/00/0000</v>
      </c>
      <c r="W491" s="922"/>
      <c r="X491" s="912"/>
      <c r="Y491" s="912"/>
      <c r="Z491" s="924"/>
      <c r="AA491" s="924"/>
      <c r="AB491" s="912"/>
      <c r="AC491" s="912"/>
      <c r="AD491" s="913"/>
      <c r="AE491" s="913"/>
      <c r="AF491" s="912"/>
      <c r="AG491" s="912"/>
      <c r="AH491" s="913"/>
      <c r="AI491" s="913"/>
      <c r="AJ491" s="912"/>
      <c r="AK491" s="912"/>
      <c r="AL491" s="925"/>
      <c r="AM491" s="926"/>
      <c r="AN491" s="926"/>
      <c r="AO491" s="926"/>
      <c r="AP491" s="926"/>
      <c r="AQ491" s="926"/>
      <c r="AR491" s="926"/>
      <c r="AS491" s="926"/>
      <c r="AT491" s="926"/>
      <c r="AU491" s="926"/>
      <c r="AV491" s="926"/>
      <c r="AW491" s="926"/>
      <c r="AX491" s="926"/>
      <c r="AY491" s="926"/>
      <c r="AZ491" s="926"/>
      <c r="BA491" s="926"/>
      <c r="BB491" s="927"/>
    </row>
    <row r="492" spans="1:54" x14ac:dyDescent="0.25">
      <c r="A492" s="13">
        <f t="shared" si="7"/>
        <v>479</v>
      </c>
      <c r="B492" s="888" t="str">
        <f>'refer admin discharge'!B488</f>
        <v>x</v>
      </c>
      <c r="C492" s="888"/>
      <c r="D492" s="868" t="str">
        <f>'refer admin discharge'!D488</f>
        <v>xx</v>
      </c>
      <c r="E492" s="868"/>
      <c r="F492" s="891" t="str">
        <f>'refer admin discharge'!H488</f>
        <v>00/00/0000</v>
      </c>
      <c r="G492" s="892"/>
      <c r="H492" s="894"/>
      <c r="I492" s="894"/>
      <c r="J492" s="918"/>
      <c r="K492" s="918"/>
      <c r="L492" s="894"/>
      <c r="M492" s="894"/>
      <c r="N492" s="916"/>
      <c r="O492" s="916"/>
      <c r="P492" s="894"/>
      <c r="Q492" s="894"/>
      <c r="R492" s="916"/>
      <c r="S492" s="916"/>
      <c r="T492" s="894"/>
      <c r="U492" s="894"/>
      <c r="V492" s="921" t="str">
        <f>'refer admin discharge'!H493</f>
        <v>00/00/0000</v>
      </c>
      <c r="W492" s="922"/>
      <c r="X492" s="920"/>
      <c r="Y492" s="920"/>
      <c r="Z492" s="919"/>
      <c r="AA492" s="919"/>
      <c r="AB492" s="920"/>
      <c r="AC492" s="920"/>
      <c r="AD492" s="912"/>
      <c r="AE492" s="912"/>
      <c r="AF492" s="920"/>
      <c r="AG492" s="920"/>
      <c r="AH492" s="912"/>
      <c r="AI492" s="912"/>
      <c r="AJ492" s="920"/>
      <c r="AK492" s="920"/>
      <c r="AL492" s="905"/>
      <c r="AM492" s="906"/>
      <c r="AN492" s="906"/>
      <c r="AO492" s="906"/>
      <c r="AP492" s="906"/>
      <c r="AQ492" s="906"/>
      <c r="AR492" s="906"/>
      <c r="AS492" s="906"/>
      <c r="AT492" s="906"/>
      <c r="AU492" s="906"/>
      <c r="AV492" s="906"/>
      <c r="AW492" s="906"/>
      <c r="AX492" s="906"/>
      <c r="AY492" s="906"/>
      <c r="AZ492" s="906"/>
      <c r="BA492" s="906"/>
      <c r="BB492" s="907"/>
    </row>
    <row r="493" spans="1:54" x14ac:dyDescent="0.25">
      <c r="A493" s="13">
        <f t="shared" si="7"/>
        <v>480</v>
      </c>
      <c r="B493" s="914" t="str">
        <f>'refer admin discharge'!B489</f>
        <v>x</v>
      </c>
      <c r="C493" s="914"/>
      <c r="D493" s="889" t="str">
        <f>'refer admin discharge'!D489</f>
        <v>xx</v>
      </c>
      <c r="E493" s="889"/>
      <c r="F493" s="915" t="str">
        <f>'refer admin discharge'!H489</f>
        <v>00/00/0000</v>
      </c>
      <c r="G493" s="890"/>
      <c r="H493" s="916"/>
      <c r="I493" s="916"/>
      <c r="J493" s="917"/>
      <c r="K493" s="917"/>
      <c r="L493" s="916"/>
      <c r="M493" s="916"/>
      <c r="N493" s="893"/>
      <c r="O493" s="893"/>
      <c r="P493" s="916"/>
      <c r="Q493" s="916"/>
      <c r="R493" s="893"/>
      <c r="S493" s="893"/>
      <c r="T493" s="916"/>
      <c r="U493" s="916"/>
      <c r="V493" s="921" t="str">
        <f>'refer admin discharge'!H494</f>
        <v>00/00/0000</v>
      </c>
      <c r="W493" s="922"/>
      <c r="X493" s="912"/>
      <c r="Y493" s="912"/>
      <c r="Z493" s="924"/>
      <c r="AA493" s="924"/>
      <c r="AB493" s="912"/>
      <c r="AC493" s="912"/>
      <c r="AD493" s="913"/>
      <c r="AE493" s="913"/>
      <c r="AF493" s="912"/>
      <c r="AG493" s="912"/>
      <c r="AH493" s="913"/>
      <c r="AI493" s="913"/>
      <c r="AJ493" s="912"/>
      <c r="AK493" s="912"/>
      <c r="AL493" s="925"/>
      <c r="AM493" s="926"/>
      <c r="AN493" s="926"/>
      <c r="AO493" s="926"/>
      <c r="AP493" s="926"/>
      <c r="AQ493" s="926"/>
      <c r="AR493" s="926"/>
      <c r="AS493" s="926"/>
      <c r="AT493" s="926"/>
      <c r="AU493" s="926"/>
      <c r="AV493" s="926"/>
      <c r="AW493" s="926"/>
      <c r="AX493" s="926"/>
      <c r="AY493" s="926"/>
      <c r="AZ493" s="926"/>
      <c r="BA493" s="926"/>
      <c r="BB493" s="927"/>
    </row>
    <row r="494" spans="1:54" x14ac:dyDescent="0.25">
      <c r="A494" s="13">
        <f t="shared" si="7"/>
        <v>481</v>
      </c>
      <c r="B494" s="888" t="str">
        <f>'refer admin discharge'!B490</f>
        <v>x</v>
      </c>
      <c r="C494" s="888"/>
      <c r="D494" s="868" t="str">
        <f>'refer admin discharge'!D490</f>
        <v>xx</v>
      </c>
      <c r="E494" s="868"/>
      <c r="F494" s="891" t="str">
        <f>'refer admin discharge'!H490</f>
        <v>00/00/0000</v>
      </c>
      <c r="G494" s="892"/>
      <c r="H494" s="894"/>
      <c r="I494" s="894"/>
      <c r="J494" s="918"/>
      <c r="K494" s="918"/>
      <c r="L494" s="894"/>
      <c r="M494" s="894"/>
      <c r="N494" s="916"/>
      <c r="O494" s="916"/>
      <c r="P494" s="894"/>
      <c r="Q494" s="894"/>
      <c r="R494" s="916"/>
      <c r="S494" s="916"/>
      <c r="T494" s="894"/>
      <c r="U494" s="894"/>
      <c r="V494" s="921" t="str">
        <f>'refer admin discharge'!H495</f>
        <v>00/00/0000</v>
      </c>
      <c r="W494" s="922"/>
      <c r="X494" s="920"/>
      <c r="Y494" s="920"/>
      <c r="Z494" s="919"/>
      <c r="AA494" s="919"/>
      <c r="AB494" s="920"/>
      <c r="AC494" s="920"/>
      <c r="AD494" s="912"/>
      <c r="AE494" s="912"/>
      <c r="AF494" s="920"/>
      <c r="AG494" s="920"/>
      <c r="AH494" s="912"/>
      <c r="AI494" s="912"/>
      <c r="AJ494" s="920"/>
      <c r="AK494" s="920"/>
      <c r="AL494" s="905"/>
      <c r="AM494" s="906"/>
      <c r="AN494" s="906"/>
      <c r="AO494" s="906"/>
      <c r="AP494" s="906"/>
      <c r="AQ494" s="906"/>
      <c r="AR494" s="906"/>
      <c r="AS494" s="906"/>
      <c r="AT494" s="906"/>
      <c r="AU494" s="906"/>
      <c r="AV494" s="906"/>
      <c r="AW494" s="906"/>
      <c r="AX494" s="906"/>
      <c r="AY494" s="906"/>
      <c r="AZ494" s="906"/>
      <c r="BA494" s="906"/>
      <c r="BB494" s="907"/>
    </row>
    <row r="495" spans="1:54" x14ac:dyDescent="0.25">
      <c r="A495" s="13">
        <f t="shared" si="7"/>
        <v>482</v>
      </c>
      <c r="B495" s="914" t="str">
        <f>'refer admin discharge'!B491</f>
        <v>x</v>
      </c>
      <c r="C495" s="914"/>
      <c r="D495" s="889" t="str">
        <f>'refer admin discharge'!D491</f>
        <v>xx</v>
      </c>
      <c r="E495" s="889"/>
      <c r="F495" s="915" t="str">
        <f>'refer admin discharge'!H491</f>
        <v>00/00/0000</v>
      </c>
      <c r="G495" s="890"/>
      <c r="H495" s="916"/>
      <c r="I495" s="916"/>
      <c r="J495" s="917"/>
      <c r="K495" s="917"/>
      <c r="L495" s="916"/>
      <c r="M495" s="916"/>
      <c r="N495" s="893"/>
      <c r="O495" s="893"/>
      <c r="P495" s="916"/>
      <c r="Q495" s="916"/>
      <c r="R495" s="893"/>
      <c r="S495" s="893"/>
      <c r="T495" s="916"/>
      <c r="U495" s="916"/>
      <c r="V495" s="921" t="str">
        <f>'refer admin discharge'!H496</f>
        <v>00/00/0000</v>
      </c>
      <c r="W495" s="922"/>
      <c r="X495" s="912"/>
      <c r="Y495" s="912"/>
      <c r="Z495" s="924"/>
      <c r="AA495" s="924"/>
      <c r="AB495" s="912"/>
      <c r="AC495" s="912"/>
      <c r="AD495" s="913"/>
      <c r="AE495" s="913"/>
      <c r="AF495" s="912"/>
      <c r="AG495" s="912"/>
      <c r="AH495" s="913"/>
      <c r="AI495" s="913"/>
      <c r="AJ495" s="912"/>
      <c r="AK495" s="912"/>
      <c r="AL495" s="925"/>
      <c r="AM495" s="926"/>
      <c r="AN495" s="926"/>
      <c r="AO495" s="926"/>
      <c r="AP495" s="926"/>
      <c r="AQ495" s="926"/>
      <c r="AR495" s="926"/>
      <c r="AS495" s="926"/>
      <c r="AT495" s="926"/>
      <c r="AU495" s="926"/>
      <c r="AV495" s="926"/>
      <c r="AW495" s="926"/>
      <c r="AX495" s="926"/>
      <c r="AY495" s="926"/>
      <c r="AZ495" s="926"/>
      <c r="BA495" s="926"/>
      <c r="BB495" s="927"/>
    </row>
    <row r="496" spans="1:54" x14ac:dyDescent="0.25">
      <c r="A496" s="13">
        <f t="shared" si="7"/>
        <v>483</v>
      </c>
      <c r="B496" s="888" t="str">
        <f>'refer admin discharge'!B492</f>
        <v>x</v>
      </c>
      <c r="C496" s="888"/>
      <c r="D496" s="868" t="str">
        <f>'refer admin discharge'!D492</f>
        <v>xx</v>
      </c>
      <c r="E496" s="868"/>
      <c r="F496" s="891" t="str">
        <f>'refer admin discharge'!H492</f>
        <v>00/00/0000</v>
      </c>
      <c r="G496" s="892"/>
      <c r="H496" s="894"/>
      <c r="I496" s="894"/>
      <c r="J496" s="918"/>
      <c r="K496" s="918"/>
      <c r="L496" s="894"/>
      <c r="M496" s="894"/>
      <c r="N496" s="916"/>
      <c r="O496" s="916"/>
      <c r="P496" s="894"/>
      <c r="Q496" s="894"/>
      <c r="R496" s="916"/>
      <c r="S496" s="916"/>
      <c r="T496" s="894"/>
      <c r="U496" s="894"/>
      <c r="V496" s="921" t="str">
        <f>'refer admin discharge'!H497</f>
        <v>00/00/0000</v>
      </c>
      <c r="W496" s="922"/>
      <c r="X496" s="920"/>
      <c r="Y496" s="920"/>
      <c r="Z496" s="919"/>
      <c r="AA496" s="919"/>
      <c r="AB496" s="920"/>
      <c r="AC496" s="920"/>
      <c r="AD496" s="912"/>
      <c r="AE496" s="912"/>
      <c r="AF496" s="920"/>
      <c r="AG496" s="920"/>
      <c r="AH496" s="912"/>
      <c r="AI496" s="912"/>
      <c r="AJ496" s="920"/>
      <c r="AK496" s="920"/>
      <c r="AL496" s="905"/>
      <c r="AM496" s="906"/>
      <c r="AN496" s="906"/>
      <c r="AO496" s="906"/>
      <c r="AP496" s="906"/>
      <c r="AQ496" s="906"/>
      <c r="AR496" s="906"/>
      <c r="AS496" s="906"/>
      <c r="AT496" s="906"/>
      <c r="AU496" s="906"/>
      <c r="AV496" s="906"/>
      <c r="AW496" s="906"/>
      <c r="AX496" s="906"/>
      <c r="AY496" s="906"/>
      <c r="AZ496" s="906"/>
      <c r="BA496" s="906"/>
      <c r="BB496" s="907"/>
    </row>
    <row r="497" spans="1:54" x14ac:dyDescent="0.25">
      <c r="A497" s="13">
        <f t="shared" si="7"/>
        <v>484</v>
      </c>
      <c r="B497" s="914" t="str">
        <f>'refer admin discharge'!B493</f>
        <v>x</v>
      </c>
      <c r="C497" s="914"/>
      <c r="D497" s="889" t="str">
        <f>'refer admin discharge'!D493</f>
        <v>xx</v>
      </c>
      <c r="E497" s="889"/>
      <c r="F497" s="915" t="str">
        <f>'refer admin discharge'!H493</f>
        <v>00/00/0000</v>
      </c>
      <c r="G497" s="890"/>
      <c r="H497" s="916"/>
      <c r="I497" s="916"/>
      <c r="J497" s="917"/>
      <c r="K497" s="917"/>
      <c r="L497" s="916"/>
      <c r="M497" s="916"/>
      <c r="N497" s="893"/>
      <c r="O497" s="893"/>
      <c r="P497" s="916"/>
      <c r="Q497" s="916"/>
      <c r="R497" s="893"/>
      <c r="S497" s="893"/>
      <c r="T497" s="916"/>
      <c r="U497" s="916"/>
      <c r="V497" s="921" t="str">
        <f>'refer admin discharge'!H498</f>
        <v>00/00/0000</v>
      </c>
      <c r="W497" s="922"/>
      <c r="X497" s="912"/>
      <c r="Y497" s="912"/>
      <c r="Z497" s="924"/>
      <c r="AA497" s="924"/>
      <c r="AB497" s="912"/>
      <c r="AC497" s="912"/>
      <c r="AD497" s="913"/>
      <c r="AE497" s="913"/>
      <c r="AF497" s="912"/>
      <c r="AG497" s="912"/>
      <c r="AH497" s="913"/>
      <c r="AI497" s="913"/>
      <c r="AJ497" s="912"/>
      <c r="AK497" s="912"/>
      <c r="AL497" s="925"/>
      <c r="AM497" s="926"/>
      <c r="AN497" s="926"/>
      <c r="AO497" s="926"/>
      <c r="AP497" s="926"/>
      <c r="AQ497" s="926"/>
      <c r="AR497" s="926"/>
      <c r="AS497" s="926"/>
      <c r="AT497" s="926"/>
      <c r="AU497" s="926"/>
      <c r="AV497" s="926"/>
      <c r="AW497" s="926"/>
      <c r="AX497" s="926"/>
      <c r="AY497" s="926"/>
      <c r="AZ497" s="926"/>
      <c r="BA497" s="926"/>
      <c r="BB497" s="927"/>
    </row>
    <row r="498" spans="1:54" x14ac:dyDescent="0.25">
      <c r="A498" s="13">
        <f t="shared" si="7"/>
        <v>485</v>
      </c>
      <c r="B498" s="888" t="str">
        <f>'refer admin discharge'!B494</f>
        <v>x</v>
      </c>
      <c r="C498" s="888"/>
      <c r="D498" s="868" t="str">
        <f>'refer admin discharge'!D494</f>
        <v>xx</v>
      </c>
      <c r="E498" s="868"/>
      <c r="F498" s="891" t="str">
        <f>'refer admin discharge'!H494</f>
        <v>00/00/0000</v>
      </c>
      <c r="G498" s="892"/>
      <c r="H498" s="894"/>
      <c r="I498" s="894"/>
      <c r="J498" s="918"/>
      <c r="K498" s="918"/>
      <c r="L498" s="894"/>
      <c r="M498" s="894"/>
      <c r="N498" s="916"/>
      <c r="O498" s="916"/>
      <c r="P498" s="894"/>
      <c r="Q498" s="894"/>
      <c r="R498" s="916"/>
      <c r="S498" s="916"/>
      <c r="T498" s="894"/>
      <c r="U498" s="894"/>
      <c r="V498" s="921" t="str">
        <f>'refer admin discharge'!H499</f>
        <v>00/00/0000</v>
      </c>
      <c r="W498" s="922"/>
      <c r="X498" s="920"/>
      <c r="Y498" s="920"/>
      <c r="Z498" s="919"/>
      <c r="AA498" s="919"/>
      <c r="AB498" s="920"/>
      <c r="AC498" s="920"/>
      <c r="AD498" s="912"/>
      <c r="AE498" s="912"/>
      <c r="AF498" s="920"/>
      <c r="AG498" s="920"/>
      <c r="AH498" s="912"/>
      <c r="AI498" s="912"/>
      <c r="AJ498" s="920"/>
      <c r="AK498" s="920"/>
      <c r="AL498" s="905"/>
      <c r="AM498" s="906"/>
      <c r="AN498" s="906"/>
      <c r="AO498" s="906"/>
      <c r="AP498" s="906"/>
      <c r="AQ498" s="906"/>
      <c r="AR498" s="906"/>
      <c r="AS498" s="906"/>
      <c r="AT498" s="906"/>
      <c r="AU498" s="906"/>
      <c r="AV498" s="906"/>
      <c r="AW498" s="906"/>
      <c r="AX498" s="906"/>
      <c r="AY498" s="906"/>
      <c r="AZ498" s="906"/>
      <c r="BA498" s="906"/>
      <c r="BB498" s="907"/>
    </row>
    <row r="499" spans="1:54" x14ac:dyDescent="0.25">
      <c r="A499" s="13">
        <f t="shared" si="7"/>
        <v>486</v>
      </c>
      <c r="B499" s="914" t="str">
        <f>'refer admin discharge'!B495</f>
        <v>x</v>
      </c>
      <c r="C499" s="914"/>
      <c r="D499" s="889" t="str">
        <f>'refer admin discharge'!D495</f>
        <v>xx</v>
      </c>
      <c r="E499" s="889"/>
      <c r="F499" s="915" t="str">
        <f>'refer admin discharge'!H495</f>
        <v>00/00/0000</v>
      </c>
      <c r="G499" s="890"/>
      <c r="H499" s="916"/>
      <c r="I499" s="916"/>
      <c r="J499" s="917"/>
      <c r="K499" s="917"/>
      <c r="L499" s="916"/>
      <c r="M499" s="916"/>
      <c r="N499" s="893"/>
      <c r="O499" s="893"/>
      <c r="P499" s="916"/>
      <c r="Q499" s="916"/>
      <c r="R499" s="893"/>
      <c r="S499" s="893"/>
      <c r="T499" s="916"/>
      <c r="U499" s="916"/>
      <c r="V499" s="921" t="str">
        <f>'refer admin discharge'!H500</f>
        <v>00/00/0000</v>
      </c>
      <c r="W499" s="922"/>
      <c r="X499" s="912"/>
      <c r="Y499" s="912"/>
      <c r="Z499" s="924"/>
      <c r="AA499" s="924"/>
      <c r="AB499" s="912"/>
      <c r="AC499" s="912"/>
      <c r="AD499" s="913"/>
      <c r="AE499" s="913"/>
      <c r="AF499" s="912"/>
      <c r="AG499" s="912"/>
      <c r="AH499" s="913"/>
      <c r="AI499" s="913"/>
      <c r="AJ499" s="912"/>
      <c r="AK499" s="912"/>
      <c r="AL499" s="925"/>
      <c r="AM499" s="926"/>
      <c r="AN499" s="926"/>
      <c r="AO499" s="926"/>
      <c r="AP499" s="926"/>
      <c r="AQ499" s="926"/>
      <c r="AR499" s="926"/>
      <c r="AS499" s="926"/>
      <c r="AT499" s="926"/>
      <c r="AU499" s="926"/>
      <c r="AV499" s="926"/>
      <c r="AW499" s="926"/>
      <c r="AX499" s="926"/>
      <c r="AY499" s="926"/>
      <c r="AZ499" s="926"/>
      <c r="BA499" s="926"/>
      <c r="BB499" s="927"/>
    </row>
    <row r="500" spans="1:54" x14ac:dyDescent="0.25">
      <c r="A500" s="13">
        <f t="shared" si="7"/>
        <v>487</v>
      </c>
      <c r="B500" s="888" t="str">
        <f>'refer admin discharge'!B496</f>
        <v>x</v>
      </c>
      <c r="C500" s="888"/>
      <c r="D500" s="868" t="str">
        <f>'refer admin discharge'!D496</f>
        <v>xx</v>
      </c>
      <c r="E500" s="868"/>
      <c r="F500" s="891" t="str">
        <f>'refer admin discharge'!H496</f>
        <v>00/00/0000</v>
      </c>
      <c r="G500" s="892"/>
      <c r="H500" s="894"/>
      <c r="I500" s="894"/>
      <c r="J500" s="918"/>
      <c r="K500" s="918"/>
      <c r="L500" s="894"/>
      <c r="M500" s="894"/>
      <c r="N500" s="916"/>
      <c r="O500" s="916"/>
      <c r="P500" s="894"/>
      <c r="Q500" s="894"/>
      <c r="R500" s="916"/>
      <c r="S500" s="916"/>
      <c r="T500" s="894"/>
      <c r="U500" s="894"/>
      <c r="V500" s="921" t="str">
        <f>'refer admin discharge'!H501</f>
        <v>00/00/0000</v>
      </c>
      <c r="W500" s="922"/>
      <c r="X500" s="920"/>
      <c r="Y500" s="920"/>
      <c r="Z500" s="919"/>
      <c r="AA500" s="919"/>
      <c r="AB500" s="920"/>
      <c r="AC500" s="920"/>
      <c r="AD500" s="912"/>
      <c r="AE500" s="912"/>
      <c r="AF500" s="920"/>
      <c r="AG500" s="920"/>
      <c r="AH500" s="912"/>
      <c r="AI500" s="912"/>
      <c r="AJ500" s="920"/>
      <c r="AK500" s="920"/>
      <c r="AL500" s="905"/>
      <c r="AM500" s="906"/>
      <c r="AN500" s="906"/>
      <c r="AO500" s="906"/>
      <c r="AP500" s="906"/>
      <c r="AQ500" s="906"/>
      <c r="AR500" s="906"/>
      <c r="AS500" s="906"/>
      <c r="AT500" s="906"/>
      <c r="AU500" s="906"/>
      <c r="AV500" s="906"/>
      <c r="AW500" s="906"/>
      <c r="AX500" s="906"/>
      <c r="AY500" s="906"/>
      <c r="AZ500" s="906"/>
      <c r="BA500" s="906"/>
      <c r="BB500" s="907"/>
    </row>
    <row r="501" spans="1:54" x14ac:dyDescent="0.25">
      <c r="A501" s="13">
        <f t="shared" si="7"/>
        <v>488</v>
      </c>
      <c r="B501" s="914" t="str">
        <f>'refer admin discharge'!B497</f>
        <v>x</v>
      </c>
      <c r="C501" s="914"/>
      <c r="D501" s="889" t="str">
        <f>'refer admin discharge'!D497</f>
        <v>xx</v>
      </c>
      <c r="E501" s="889"/>
      <c r="F501" s="915" t="str">
        <f>'refer admin discharge'!H497</f>
        <v>00/00/0000</v>
      </c>
      <c r="G501" s="890"/>
      <c r="H501" s="916"/>
      <c r="I501" s="916"/>
      <c r="J501" s="917"/>
      <c r="K501" s="917"/>
      <c r="L501" s="916"/>
      <c r="M501" s="916"/>
      <c r="N501" s="893"/>
      <c r="O501" s="893"/>
      <c r="P501" s="916"/>
      <c r="Q501" s="916"/>
      <c r="R501" s="893"/>
      <c r="S501" s="893"/>
      <c r="T501" s="916"/>
      <c r="U501" s="916"/>
      <c r="V501" s="921" t="str">
        <f>'refer admin discharge'!H502</f>
        <v>00/00/0000</v>
      </c>
      <c r="W501" s="922"/>
      <c r="X501" s="912"/>
      <c r="Y501" s="912"/>
      <c r="Z501" s="924"/>
      <c r="AA501" s="924"/>
      <c r="AB501" s="912"/>
      <c r="AC501" s="912"/>
      <c r="AD501" s="913"/>
      <c r="AE501" s="913"/>
      <c r="AF501" s="912"/>
      <c r="AG501" s="912"/>
      <c r="AH501" s="913"/>
      <c r="AI501" s="913"/>
      <c r="AJ501" s="912"/>
      <c r="AK501" s="912"/>
      <c r="AL501" s="925"/>
      <c r="AM501" s="926"/>
      <c r="AN501" s="926"/>
      <c r="AO501" s="926"/>
      <c r="AP501" s="926"/>
      <c r="AQ501" s="926"/>
      <c r="AR501" s="926"/>
      <c r="AS501" s="926"/>
      <c r="AT501" s="926"/>
      <c r="AU501" s="926"/>
      <c r="AV501" s="926"/>
      <c r="AW501" s="926"/>
      <c r="AX501" s="926"/>
      <c r="AY501" s="926"/>
      <c r="AZ501" s="926"/>
      <c r="BA501" s="926"/>
      <c r="BB501" s="927"/>
    </row>
    <row r="502" spans="1:54" x14ac:dyDescent="0.25">
      <c r="A502" s="13">
        <f t="shared" si="7"/>
        <v>489</v>
      </c>
      <c r="B502" s="888" t="str">
        <f>'refer admin discharge'!B498</f>
        <v>x</v>
      </c>
      <c r="C502" s="888"/>
      <c r="D502" s="868" t="str">
        <f>'refer admin discharge'!D498</f>
        <v>xx</v>
      </c>
      <c r="E502" s="868"/>
      <c r="F502" s="891" t="str">
        <f>'refer admin discharge'!H498</f>
        <v>00/00/0000</v>
      </c>
      <c r="G502" s="892"/>
      <c r="H502" s="894"/>
      <c r="I502" s="894"/>
      <c r="J502" s="918"/>
      <c r="K502" s="918"/>
      <c r="L502" s="894"/>
      <c r="M502" s="894"/>
      <c r="N502" s="916"/>
      <c r="O502" s="916"/>
      <c r="P502" s="894"/>
      <c r="Q502" s="894"/>
      <c r="R502" s="916"/>
      <c r="S502" s="916"/>
      <c r="T502" s="894"/>
      <c r="U502" s="894"/>
      <c r="V502" s="921" t="str">
        <f>'refer admin discharge'!H503</f>
        <v>00/00/0000</v>
      </c>
      <c r="W502" s="922"/>
      <c r="X502" s="920"/>
      <c r="Y502" s="920"/>
      <c r="Z502" s="919"/>
      <c r="AA502" s="919"/>
      <c r="AB502" s="920"/>
      <c r="AC502" s="920"/>
      <c r="AD502" s="912"/>
      <c r="AE502" s="912"/>
      <c r="AF502" s="920"/>
      <c r="AG502" s="920"/>
      <c r="AH502" s="912"/>
      <c r="AI502" s="912"/>
      <c r="AJ502" s="920"/>
      <c r="AK502" s="920"/>
      <c r="AL502" s="905"/>
      <c r="AM502" s="906"/>
      <c r="AN502" s="906"/>
      <c r="AO502" s="906"/>
      <c r="AP502" s="906"/>
      <c r="AQ502" s="906"/>
      <c r="AR502" s="906"/>
      <c r="AS502" s="906"/>
      <c r="AT502" s="906"/>
      <c r="AU502" s="906"/>
      <c r="AV502" s="906"/>
      <c r="AW502" s="906"/>
      <c r="AX502" s="906"/>
      <c r="AY502" s="906"/>
      <c r="AZ502" s="906"/>
      <c r="BA502" s="906"/>
      <c r="BB502" s="907"/>
    </row>
    <row r="503" spans="1:54" x14ac:dyDescent="0.25">
      <c r="A503" s="13">
        <f t="shared" si="7"/>
        <v>490</v>
      </c>
      <c r="B503" s="914" t="str">
        <f>'refer admin discharge'!B499</f>
        <v>x</v>
      </c>
      <c r="C503" s="914"/>
      <c r="D503" s="889" t="str">
        <f>'refer admin discharge'!D499</f>
        <v>xx</v>
      </c>
      <c r="E503" s="889"/>
      <c r="F503" s="915" t="str">
        <f>'refer admin discharge'!H499</f>
        <v>00/00/0000</v>
      </c>
      <c r="G503" s="890"/>
      <c r="H503" s="916"/>
      <c r="I503" s="916"/>
      <c r="J503" s="917"/>
      <c r="K503" s="917"/>
      <c r="L503" s="916"/>
      <c r="M503" s="916"/>
      <c r="N503" s="893"/>
      <c r="O503" s="893"/>
      <c r="P503" s="916"/>
      <c r="Q503" s="916"/>
      <c r="R503" s="893"/>
      <c r="S503" s="893"/>
      <c r="T503" s="916"/>
      <c r="U503" s="916"/>
      <c r="V503" s="921" t="str">
        <f>'refer admin discharge'!H504</f>
        <v>00/00/0000</v>
      </c>
      <c r="W503" s="922"/>
      <c r="X503" s="912"/>
      <c r="Y503" s="912"/>
      <c r="Z503" s="924"/>
      <c r="AA503" s="924"/>
      <c r="AB503" s="912"/>
      <c r="AC503" s="912"/>
      <c r="AD503" s="913"/>
      <c r="AE503" s="913"/>
      <c r="AF503" s="912"/>
      <c r="AG503" s="912"/>
      <c r="AH503" s="913"/>
      <c r="AI503" s="913"/>
      <c r="AJ503" s="912"/>
      <c r="AK503" s="912"/>
      <c r="AL503" s="925"/>
      <c r="AM503" s="926"/>
      <c r="AN503" s="926"/>
      <c r="AO503" s="926"/>
      <c r="AP503" s="926"/>
      <c r="AQ503" s="926"/>
      <c r="AR503" s="926"/>
      <c r="AS503" s="926"/>
      <c r="AT503" s="926"/>
      <c r="AU503" s="926"/>
      <c r="AV503" s="926"/>
      <c r="AW503" s="926"/>
      <c r="AX503" s="926"/>
      <c r="AY503" s="926"/>
      <c r="AZ503" s="926"/>
      <c r="BA503" s="926"/>
      <c r="BB503" s="927"/>
    </row>
    <row r="504" spans="1:54" x14ac:dyDescent="0.25">
      <c r="A504" s="13">
        <f t="shared" si="7"/>
        <v>491</v>
      </c>
      <c r="B504" s="888" t="str">
        <f>'refer admin discharge'!B500</f>
        <v>x</v>
      </c>
      <c r="C504" s="888"/>
      <c r="D504" s="868" t="str">
        <f>'refer admin discharge'!D500</f>
        <v>xx</v>
      </c>
      <c r="E504" s="868"/>
      <c r="F504" s="891" t="str">
        <f>'refer admin discharge'!H500</f>
        <v>00/00/0000</v>
      </c>
      <c r="G504" s="892"/>
      <c r="H504" s="894"/>
      <c r="I504" s="894"/>
      <c r="J504" s="918"/>
      <c r="K504" s="918"/>
      <c r="L504" s="894"/>
      <c r="M504" s="894"/>
      <c r="N504" s="916"/>
      <c r="O504" s="916"/>
      <c r="P504" s="894"/>
      <c r="Q504" s="894"/>
      <c r="R504" s="916"/>
      <c r="S504" s="916"/>
      <c r="T504" s="894"/>
      <c r="U504" s="894"/>
      <c r="V504" s="921" t="str">
        <f>'refer admin discharge'!H505</f>
        <v>00/00/0000</v>
      </c>
      <c r="W504" s="922"/>
      <c r="X504" s="920"/>
      <c r="Y504" s="920"/>
      <c r="Z504" s="919"/>
      <c r="AA504" s="919"/>
      <c r="AB504" s="920"/>
      <c r="AC504" s="920"/>
      <c r="AD504" s="912"/>
      <c r="AE504" s="912"/>
      <c r="AF504" s="920"/>
      <c r="AG504" s="920"/>
      <c r="AH504" s="912"/>
      <c r="AI504" s="912"/>
      <c r="AJ504" s="920"/>
      <c r="AK504" s="920"/>
      <c r="AL504" s="905"/>
      <c r="AM504" s="906"/>
      <c r="AN504" s="906"/>
      <c r="AO504" s="906"/>
      <c r="AP504" s="906"/>
      <c r="AQ504" s="906"/>
      <c r="AR504" s="906"/>
      <c r="AS504" s="906"/>
      <c r="AT504" s="906"/>
      <c r="AU504" s="906"/>
      <c r="AV504" s="906"/>
      <c r="AW504" s="906"/>
      <c r="AX504" s="906"/>
      <c r="AY504" s="906"/>
      <c r="AZ504" s="906"/>
      <c r="BA504" s="906"/>
      <c r="BB504" s="907"/>
    </row>
    <row r="505" spans="1:54" x14ac:dyDescent="0.25">
      <c r="A505" s="13">
        <f t="shared" si="7"/>
        <v>492</v>
      </c>
      <c r="B505" s="914" t="str">
        <f>'refer admin discharge'!B501</f>
        <v>x</v>
      </c>
      <c r="C505" s="914"/>
      <c r="D505" s="889" t="str">
        <f>'refer admin discharge'!D501</f>
        <v>xx</v>
      </c>
      <c r="E505" s="889"/>
      <c r="F505" s="915" t="str">
        <f>'refer admin discharge'!H501</f>
        <v>00/00/0000</v>
      </c>
      <c r="G505" s="890"/>
      <c r="H505" s="916"/>
      <c r="I505" s="916"/>
      <c r="J505" s="917"/>
      <c r="K505" s="917"/>
      <c r="L505" s="916"/>
      <c r="M505" s="916"/>
      <c r="N505" s="893"/>
      <c r="O505" s="893"/>
      <c r="P505" s="916"/>
      <c r="Q505" s="916"/>
      <c r="R505" s="893"/>
      <c r="S505" s="893"/>
      <c r="T505" s="916"/>
      <c r="U505" s="916"/>
      <c r="V505" s="921" t="str">
        <f>'refer admin discharge'!H506</f>
        <v>00/00/0000</v>
      </c>
      <c r="W505" s="922"/>
      <c r="X505" s="912"/>
      <c r="Y505" s="912"/>
      <c r="Z505" s="924"/>
      <c r="AA505" s="924"/>
      <c r="AB505" s="912"/>
      <c r="AC505" s="912"/>
      <c r="AD505" s="913"/>
      <c r="AE505" s="913"/>
      <c r="AF505" s="912"/>
      <c r="AG505" s="912"/>
      <c r="AH505" s="913"/>
      <c r="AI505" s="913"/>
      <c r="AJ505" s="912"/>
      <c r="AK505" s="912"/>
      <c r="AL505" s="925"/>
      <c r="AM505" s="926"/>
      <c r="AN505" s="926"/>
      <c r="AO505" s="926"/>
      <c r="AP505" s="926"/>
      <c r="AQ505" s="926"/>
      <c r="AR505" s="926"/>
      <c r="AS505" s="926"/>
      <c r="AT505" s="926"/>
      <c r="AU505" s="926"/>
      <c r="AV505" s="926"/>
      <c r="AW505" s="926"/>
      <c r="AX505" s="926"/>
      <c r="AY505" s="926"/>
      <c r="AZ505" s="926"/>
      <c r="BA505" s="926"/>
      <c r="BB505" s="927"/>
    </row>
    <row r="506" spans="1:54" x14ac:dyDescent="0.25">
      <c r="A506" s="13">
        <f t="shared" si="7"/>
        <v>493</v>
      </c>
      <c r="B506" s="888" t="str">
        <f>'refer admin discharge'!B502</f>
        <v>x</v>
      </c>
      <c r="C506" s="888"/>
      <c r="D506" s="868" t="str">
        <f>'refer admin discharge'!D502</f>
        <v>xx</v>
      </c>
      <c r="E506" s="868"/>
      <c r="F506" s="891" t="str">
        <f>'refer admin discharge'!H502</f>
        <v>00/00/0000</v>
      </c>
      <c r="G506" s="892"/>
      <c r="H506" s="894"/>
      <c r="I506" s="894"/>
      <c r="J506" s="918"/>
      <c r="K506" s="918"/>
      <c r="L506" s="894"/>
      <c r="M506" s="894"/>
      <c r="N506" s="916"/>
      <c r="O506" s="916"/>
      <c r="P506" s="894"/>
      <c r="Q506" s="894"/>
      <c r="R506" s="916"/>
      <c r="S506" s="916"/>
      <c r="T506" s="894"/>
      <c r="U506" s="894"/>
      <c r="V506" s="921" t="str">
        <f>'refer admin discharge'!H507</f>
        <v>00/00/0000</v>
      </c>
      <c r="W506" s="922"/>
      <c r="X506" s="920"/>
      <c r="Y506" s="920"/>
      <c r="Z506" s="919"/>
      <c r="AA506" s="919"/>
      <c r="AB506" s="920"/>
      <c r="AC506" s="920"/>
      <c r="AD506" s="912"/>
      <c r="AE506" s="912"/>
      <c r="AF506" s="920"/>
      <c r="AG506" s="920"/>
      <c r="AH506" s="912"/>
      <c r="AI506" s="912"/>
      <c r="AJ506" s="920"/>
      <c r="AK506" s="920"/>
      <c r="AL506" s="905"/>
      <c r="AM506" s="906"/>
      <c r="AN506" s="906"/>
      <c r="AO506" s="906"/>
      <c r="AP506" s="906"/>
      <c r="AQ506" s="906"/>
      <c r="AR506" s="906"/>
      <c r="AS506" s="906"/>
      <c r="AT506" s="906"/>
      <c r="AU506" s="906"/>
      <c r="AV506" s="906"/>
      <c r="AW506" s="906"/>
      <c r="AX506" s="906"/>
      <c r="AY506" s="906"/>
      <c r="AZ506" s="906"/>
      <c r="BA506" s="906"/>
      <c r="BB506" s="907"/>
    </row>
    <row r="507" spans="1:54" x14ac:dyDescent="0.25">
      <c r="A507" s="13">
        <f t="shared" si="7"/>
        <v>494</v>
      </c>
      <c r="B507" s="914" t="str">
        <f>'refer admin discharge'!B503</f>
        <v>x</v>
      </c>
      <c r="C507" s="914"/>
      <c r="D507" s="889" t="str">
        <f>'refer admin discharge'!D503</f>
        <v>xx</v>
      </c>
      <c r="E507" s="889"/>
      <c r="F507" s="915" t="str">
        <f>'refer admin discharge'!H503</f>
        <v>00/00/0000</v>
      </c>
      <c r="G507" s="890"/>
      <c r="H507" s="916"/>
      <c r="I507" s="916"/>
      <c r="J507" s="917"/>
      <c r="K507" s="917"/>
      <c r="L507" s="916"/>
      <c r="M507" s="916"/>
      <c r="N507" s="893"/>
      <c r="O507" s="893"/>
      <c r="P507" s="916"/>
      <c r="Q507" s="916"/>
      <c r="R507" s="893"/>
      <c r="S507" s="893"/>
      <c r="T507" s="916"/>
      <c r="U507" s="916"/>
      <c r="V507" s="921" t="str">
        <f>'refer admin discharge'!H508</f>
        <v>00/00/0000</v>
      </c>
      <c r="W507" s="922"/>
      <c r="X507" s="912"/>
      <c r="Y507" s="912"/>
      <c r="Z507" s="924"/>
      <c r="AA507" s="924"/>
      <c r="AB507" s="912"/>
      <c r="AC507" s="912"/>
      <c r="AD507" s="913"/>
      <c r="AE507" s="913"/>
      <c r="AF507" s="912"/>
      <c r="AG507" s="912"/>
      <c r="AH507" s="913"/>
      <c r="AI507" s="913"/>
      <c r="AJ507" s="912"/>
      <c r="AK507" s="912"/>
      <c r="AL507" s="925"/>
      <c r="AM507" s="926"/>
      <c r="AN507" s="926"/>
      <c r="AO507" s="926"/>
      <c r="AP507" s="926"/>
      <c r="AQ507" s="926"/>
      <c r="AR507" s="926"/>
      <c r="AS507" s="926"/>
      <c r="AT507" s="926"/>
      <c r="AU507" s="926"/>
      <c r="AV507" s="926"/>
      <c r="AW507" s="926"/>
      <c r="AX507" s="926"/>
      <c r="AY507" s="926"/>
      <c r="AZ507" s="926"/>
      <c r="BA507" s="926"/>
      <c r="BB507" s="927"/>
    </row>
    <row r="508" spans="1:54" x14ac:dyDescent="0.25">
      <c r="A508" s="13">
        <f t="shared" si="7"/>
        <v>495</v>
      </c>
      <c r="B508" s="888" t="str">
        <f>'refer admin discharge'!B504</f>
        <v>x</v>
      </c>
      <c r="C508" s="888"/>
      <c r="D508" s="868" t="str">
        <f>'refer admin discharge'!D504</f>
        <v>xx</v>
      </c>
      <c r="E508" s="868"/>
      <c r="F508" s="891" t="str">
        <f>'refer admin discharge'!H504</f>
        <v>00/00/0000</v>
      </c>
      <c r="G508" s="892"/>
      <c r="H508" s="894"/>
      <c r="I508" s="894"/>
      <c r="J508" s="918"/>
      <c r="K508" s="918"/>
      <c r="L508" s="894"/>
      <c r="M508" s="894"/>
      <c r="N508" s="916"/>
      <c r="O508" s="916"/>
      <c r="P508" s="894"/>
      <c r="Q508" s="894"/>
      <c r="R508" s="916"/>
      <c r="S508" s="916"/>
      <c r="T508" s="894"/>
      <c r="U508" s="894"/>
      <c r="V508" s="921" t="str">
        <f>'refer admin discharge'!H509</f>
        <v>00/00/0000</v>
      </c>
      <c r="W508" s="922"/>
      <c r="X508" s="920"/>
      <c r="Y508" s="920"/>
      <c r="Z508" s="919"/>
      <c r="AA508" s="919"/>
      <c r="AB508" s="920"/>
      <c r="AC508" s="920"/>
      <c r="AD508" s="912"/>
      <c r="AE508" s="912"/>
      <c r="AF508" s="920"/>
      <c r="AG508" s="920"/>
      <c r="AH508" s="912"/>
      <c r="AI508" s="912"/>
      <c r="AJ508" s="920"/>
      <c r="AK508" s="920"/>
      <c r="AL508" s="905"/>
      <c r="AM508" s="906"/>
      <c r="AN508" s="906"/>
      <c r="AO508" s="906"/>
      <c r="AP508" s="906"/>
      <c r="AQ508" s="906"/>
      <c r="AR508" s="906"/>
      <c r="AS508" s="906"/>
      <c r="AT508" s="906"/>
      <c r="AU508" s="906"/>
      <c r="AV508" s="906"/>
      <c r="AW508" s="906"/>
      <c r="AX508" s="906"/>
      <c r="AY508" s="906"/>
      <c r="AZ508" s="906"/>
      <c r="BA508" s="906"/>
      <c r="BB508" s="907"/>
    </row>
    <row r="509" spans="1:54" x14ac:dyDescent="0.25">
      <c r="A509" s="13">
        <f t="shared" si="7"/>
        <v>496</v>
      </c>
      <c r="B509" s="914" t="str">
        <f>'refer admin discharge'!B505</f>
        <v>x</v>
      </c>
      <c r="C509" s="914"/>
      <c r="D509" s="889" t="str">
        <f>'refer admin discharge'!D505</f>
        <v>xx</v>
      </c>
      <c r="E509" s="889"/>
      <c r="F509" s="915" t="str">
        <f>'refer admin discharge'!H505</f>
        <v>00/00/0000</v>
      </c>
      <c r="G509" s="890"/>
      <c r="H509" s="916"/>
      <c r="I509" s="916"/>
      <c r="J509" s="917"/>
      <c r="K509" s="917"/>
      <c r="L509" s="916"/>
      <c r="M509" s="916"/>
      <c r="N509" s="893"/>
      <c r="O509" s="893"/>
      <c r="P509" s="916"/>
      <c r="Q509" s="916"/>
      <c r="R509" s="893"/>
      <c r="S509" s="893"/>
      <c r="T509" s="916"/>
      <c r="U509" s="916"/>
      <c r="V509" s="921" t="str">
        <f>'refer admin discharge'!H510</f>
        <v>00/00/0000</v>
      </c>
      <c r="W509" s="922"/>
      <c r="X509" s="912"/>
      <c r="Y509" s="912"/>
      <c r="Z509" s="924"/>
      <c r="AA509" s="924"/>
      <c r="AB509" s="912"/>
      <c r="AC509" s="912"/>
      <c r="AD509" s="913"/>
      <c r="AE509" s="913"/>
      <c r="AF509" s="912"/>
      <c r="AG509" s="912"/>
      <c r="AH509" s="913"/>
      <c r="AI509" s="913"/>
      <c r="AJ509" s="912"/>
      <c r="AK509" s="912"/>
      <c r="AL509" s="925"/>
      <c r="AM509" s="926"/>
      <c r="AN509" s="926"/>
      <c r="AO509" s="926"/>
      <c r="AP509" s="926"/>
      <c r="AQ509" s="926"/>
      <c r="AR509" s="926"/>
      <c r="AS509" s="926"/>
      <c r="AT509" s="926"/>
      <c r="AU509" s="926"/>
      <c r="AV509" s="926"/>
      <c r="AW509" s="926"/>
      <c r="AX509" s="926"/>
      <c r="AY509" s="926"/>
      <c r="AZ509" s="926"/>
      <c r="BA509" s="926"/>
      <c r="BB509" s="927"/>
    </row>
    <row r="510" spans="1:54" x14ac:dyDescent="0.25">
      <c r="A510" s="13">
        <f t="shared" si="7"/>
        <v>497</v>
      </c>
      <c r="B510" s="888" t="str">
        <f>'refer admin discharge'!B506</f>
        <v>x</v>
      </c>
      <c r="C510" s="888"/>
      <c r="D510" s="868" t="str">
        <f>'refer admin discharge'!D506</f>
        <v>xx</v>
      </c>
      <c r="E510" s="868"/>
      <c r="F510" s="891" t="str">
        <f>'refer admin discharge'!H506</f>
        <v>00/00/0000</v>
      </c>
      <c r="G510" s="892"/>
      <c r="H510" s="894"/>
      <c r="I510" s="894"/>
      <c r="J510" s="918"/>
      <c r="K510" s="918"/>
      <c r="L510" s="894"/>
      <c r="M510" s="894"/>
      <c r="N510" s="916"/>
      <c r="O510" s="916"/>
      <c r="P510" s="894"/>
      <c r="Q510" s="894"/>
      <c r="R510" s="916"/>
      <c r="S510" s="916"/>
      <c r="T510" s="894"/>
      <c r="U510" s="894"/>
      <c r="V510" s="921" t="str">
        <f>'refer admin discharge'!H511</f>
        <v>00/00/0000</v>
      </c>
      <c r="W510" s="922"/>
      <c r="X510" s="920"/>
      <c r="Y510" s="920"/>
      <c r="Z510" s="919"/>
      <c r="AA510" s="919"/>
      <c r="AB510" s="920"/>
      <c r="AC510" s="920"/>
      <c r="AD510" s="912"/>
      <c r="AE510" s="912"/>
      <c r="AF510" s="920"/>
      <c r="AG510" s="920"/>
      <c r="AH510" s="912"/>
      <c r="AI510" s="912"/>
      <c r="AJ510" s="920"/>
      <c r="AK510" s="920"/>
      <c r="AL510" s="905"/>
      <c r="AM510" s="906"/>
      <c r="AN510" s="906"/>
      <c r="AO510" s="906"/>
      <c r="AP510" s="906"/>
      <c r="AQ510" s="906"/>
      <c r="AR510" s="906"/>
      <c r="AS510" s="906"/>
      <c r="AT510" s="906"/>
      <c r="AU510" s="906"/>
      <c r="AV510" s="906"/>
      <c r="AW510" s="906"/>
      <c r="AX510" s="906"/>
      <c r="AY510" s="906"/>
      <c r="AZ510" s="906"/>
      <c r="BA510" s="906"/>
      <c r="BB510" s="907"/>
    </row>
    <row r="511" spans="1:54" x14ac:dyDescent="0.25">
      <c r="A511" s="13">
        <f t="shared" si="7"/>
        <v>498</v>
      </c>
      <c r="B511" s="914" t="str">
        <f>'refer admin discharge'!B507</f>
        <v>x</v>
      </c>
      <c r="C511" s="914"/>
      <c r="D511" s="889" t="str">
        <f>'refer admin discharge'!D507</f>
        <v>xx</v>
      </c>
      <c r="E511" s="889"/>
      <c r="F511" s="915" t="str">
        <f>'refer admin discharge'!H507</f>
        <v>00/00/0000</v>
      </c>
      <c r="G511" s="890"/>
      <c r="H511" s="916"/>
      <c r="I511" s="916"/>
      <c r="J511" s="917"/>
      <c r="K511" s="917"/>
      <c r="L511" s="916"/>
      <c r="M511" s="916"/>
      <c r="N511" s="893"/>
      <c r="O511" s="893"/>
      <c r="P511" s="916"/>
      <c r="Q511" s="916"/>
      <c r="R511" s="893"/>
      <c r="S511" s="893"/>
      <c r="T511" s="916"/>
      <c r="U511" s="916"/>
      <c r="V511" s="921" t="str">
        <f>'refer admin discharge'!H512</f>
        <v>00/00/0000</v>
      </c>
      <c r="W511" s="922"/>
      <c r="X511" s="912"/>
      <c r="Y511" s="912"/>
      <c r="Z511" s="924"/>
      <c r="AA511" s="924"/>
      <c r="AB511" s="912"/>
      <c r="AC511" s="912"/>
      <c r="AD511" s="913"/>
      <c r="AE511" s="913"/>
      <c r="AF511" s="912"/>
      <c r="AG511" s="912"/>
      <c r="AH511" s="913"/>
      <c r="AI511" s="913"/>
      <c r="AJ511" s="912"/>
      <c r="AK511" s="912"/>
      <c r="AL511" s="925"/>
      <c r="AM511" s="926"/>
      <c r="AN511" s="926"/>
      <c r="AO511" s="926"/>
      <c r="AP511" s="926"/>
      <c r="AQ511" s="926"/>
      <c r="AR511" s="926"/>
      <c r="AS511" s="926"/>
      <c r="AT511" s="926"/>
      <c r="AU511" s="926"/>
      <c r="AV511" s="926"/>
      <c r="AW511" s="926"/>
      <c r="AX511" s="926"/>
      <c r="AY511" s="926"/>
      <c r="AZ511" s="926"/>
      <c r="BA511" s="926"/>
      <c r="BB511" s="927"/>
    </row>
    <row r="512" spans="1:54" x14ac:dyDescent="0.25">
      <c r="A512" s="13">
        <f t="shared" si="7"/>
        <v>499</v>
      </c>
      <c r="B512" s="888" t="str">
        <f>'refer admin discharge'!B508</f>
        <v>x</v>
      </c>
      <c r="C512" s="888"/>
      <c r="D512" s="868" t="str">
        <f>'refer admin discharge'!D508</f>
        <v>xx</v>
      </c>
      <c r="E512" s="868"/>
      <c r="F512" s="891" t="str">
        <f>'refer admin discharge'!H508</f>
        <v>00/00/0000</v>
      </c>
      <c r="G512" s="892"/>
      <c r="H512" s="894"/>
      <c r="I512" s="894"/>
      <c r="J512" s="918"/>
      <c r="K512" s="918"/>
      <c r="L512" s="894"/>
      <c r="M512" s="894"/>
      <c r="N512" s="916"/>
      <c r="O512" s="916"/>
      <c r="P512" s="894"/>
      <c r="Q512" s="894"/>
      <c r="R512" s="916"/>
      <c r="S512" s="916"/>
      <c r="T512" s="894"/>
      <c r="U512" s="894"/>
      <c r="V512" s="921" t="str">
        <f>'refer admin discharge'!H513</f>
        <v>00/00/0000</v>
      </c>
      <c r="W512" s="922"/>
      <c r="X512" s="920"/>
      <c r="Y512" s="920"/>
      <c r="Z512" s="919"/>
      <c r="AA512" s="919"/>
      <c r="AB512" s="920"/>
      <c r="AC512" s="920"/>
      <c r="AD512" s="912"/>
      <c r="AE512" s="912"/>
      <c r="AF512" s="920"/>
      <c r="AG512" s="920"/>
      <c r="AH512" s="912"/>
      <c r="AI512" s="912"/>
      <c r="AJ512" s="920"/>
      <c r="AK512" s="920"/>
      <c r="AL512" s="905"/>
      <c r="AM512" s="906"/>
      <c r="AN512" s="906"/>
      <c r="AO512" s="906"/>
      <c r="AP512" s="906"/>
      <c r="AQ512" s="906"/>
      <c r="AR512" s="906"/>
      <c r="AS512" s="906"/>
      <c r="AT512" s="906"/>
      <c r="AU512" s="906"/>
      <c r="AV512" s="906"/>
      <c r="AW512" s="906"/>
      <c r="AX512" s="906"/>
      <c r="AY512" s="906"/>
      <c r="AZ512" s="906"/>
      <c r="BA512" s="906"/>
      <c r="BB512" s="907"/>
    </row>
    <row r="513" spans="1:54" x14ac:dyDescent="0.25">
      <c r="A513" s="13">
        <f t="shared" si="7"/>
        <v>500</v>
      </c>
      <c r="B513" s="914" t="str">
        <f>'refer admin discharge'!B509</f>
        <v>x</v>
      </c>
      <c r="C513" s="914"/>
      <c r="D513" s="889" t="str">
        <f>'refer admin discharge'!D509</f>
        <v>xx</v>
      </c>
      <c r="E513" s="889"/>
      <c r="F513" s="915" t="str">
        <f>'refer admin discharge'!H509</f>
        <v>00/00/0000</v>
      </c>
      <c r="G513" s="890"/>
      <c r="H513" s="916"/>
      <c r="I513" s="916"/>
      <c r="J513" s="917"/>
      <c r="K513" s="917"/>
      <c r="L513" s="916"/>
      <c r="M513" s="916"/>
      <c r="N513" s="893"/>
      <c r="O513" s="893"/>
      <c r="P513" s="916"/>
      <c r="Q513" s="916"/>
      <c r="R513" s="893"/>
      <c r="S513" s="893"/>
      <c r="T513" s="916"/>
      <c r="U513" s="916"/>
      <c r="V513" s="921" t="str">
        <f>'refer admin discharge'!H514</f>
        <v>00/00/0000</v>
      </c>
      <c r="W513" s="922"/>
      <c r="X513" s="912"/>
      <c r="Y513" s="912"/>
      <c r="Z513" s="924"/>
      <c r="AA513" s="924"/>
      <c r="AB513" s="912"/>
      <c r="AC513" s="912"/>
      <c r="AD513" s="913"/>
      <c r="AE513" s="913"/>
      <c r="AF513" s="912"/>
      <c r="AG513" s="912"/>
      <c r="AH513" s="913"/>
      <c r="AI513" s="913"/>
      <c r="AJ513" s="912"/>
      <c r="AK513" s="912"/>
      <c r="AL513" s="925"/>
      <c r="AM513" s="926"/>
      <c r="AN513" s="926"/>
      <c r="AO513" s="926"/>
      <c r="AP513" s="926"/>
      <c r="AQ513" s="926"/>
      <c r="AR513" s="926"/>
      <c r="AS513" s="926"/>
      <c r="AT513" s="926"/>
      <c r="AU513" s="926"/>
      <c r="AV513" s="926"/>
      <c r="AW513" s="926"/>
      <c r="AX513" s="926"/>
      <c r="AY513" s="926"/>
      <c r="AZ513" s="926"/>
      <c r="BA513" s="926"/>
      <c r="BB513" s="927"/>
    </row>
    <row r="514" spans="1:54" x14ac:dyDescent="0.25">
      <c r="A514" s="13">
        <f t="shared" si="7"/>
        <v>501</v>
      </c>
      <c r="B514" s="888" t="str">
        <f>'refer admin discharge'!B510</f>
        <v>x</v>
      </c>
      <c r="C514" s="888"/>
      <c r="D514" s="868" t="str">
        <f>'refer admin discharge'!D510</f>
        <v>xx</v>
      </c>
      <c r="E514" s="868"/>
      <c r="F514" s="891" t="str">
        <f>'refer admin discharge'!H510</f>
        <v>00/00/0000</v>
      </c>
      <c r="G514" s="892"/>
      <c r="H514" s="894"/>
      <c r="I514" s="894"/>
      <c r="J514" s="918"/>
      <c r="K514" s="918"/>
      <c r="L514" s="894"/>
      <c r="M514" s="894"/>
      <c r="N514" s="916"/>
      <c r="O514" s="916"/>
      <c r="P514" s="894"/>
      <c r="Q514" s="894"/>
      <c r="R514" s="916"/>
      <c r="S514" s="916"/>
      <c r="T514" s="894"/>
      <c r="U514" s="894"/>
      <c r="V514" s="921" t="str">
        <f>'refer admin discharge'!H515</f>
        <v>00/00/0000</v>
      </c>
      <c r="W514" s="922"/>
      <c r="X514" s="920"/>
      <c r="Y514" s="920"/>
      <c r="Z514" s="919"/>
      <c r="AA514" s="919"/>
      <c r="AB514" s="920"/>
      <c r="AC514" s="920"/>
      <c r="AD514" s="912"/>
      <c r="AE514" s="912"/>
      <c r="AF514" s="920"/>
      <c r="AG514" s="920"/>
      <c r="AH514" s="912"/>
      <c r="AI514" s="912"/>
      <c r="AJ514" s="920"/>
      <c r="AK514" s="920"/>
      <c r="AL514" s="905"/>
      <c r="AM514" s="906"/>
      <c r="AN514" s="906"/>
      <c r="AO514" s="906"/>
      <c r="AP514" s="906"/>
      <c r="AQ514" s="906"/>
      <c r="AR514" s="906"/>
      <c r="AS514" s="906"/>
      <c r="AT514" s="906"/>
      <c r="AU514" s="906"/>
      <c r="AV514" s="906"/>
      <c r="AW514" s="906"/>
      <c r="AX514" s="906"/>
      <c r="AY514" s="906"/>
      <c r="AZ514" s="906"/>
      <c r="BA514" s="906"/>
      <c r="BB514" s="907"/>
    </row>
    <row r="515" spans="1:54" x14ac:dyDescent="0.25">
      <c r="A515" s="13">
        <f t="shared" si="7"/>
        <v>502</v>
      </c>
      <c r="B515" s="914" t="str">
        <f>'refer admin discharge'!B511</f>
        <v>x</v>
      </c>
      <c r="C515" s="914"/>
      <c r="D515" s="889" t="str">
        <f>'refer admin discharge'!D511</f>
        <v>xx</v>
      </c>
      <c r="E515" s="889"/>
      <c r="F515" s="915" t="str">
        <f>'refer admin discharge'!H511</f>
        <v>00/00/0000</v>
      </c>
      <c r="G515" s="890"/>
      <c r="H515" s="916"/>
      <c r="I515" s="916"/>
      <c r="J515" s="917"/>
      <c r="K515" s="917"/>
      <c r="L515" s="916"/>
      <c r="M515" s="916"/>
      <c r="N515" s="893"/>
      <c r="O515" s="893"/>
      <c r="P515" s="916"/>
      <c r="Q515" s="916"/>
      <c r="R515" s="893"/>
      <c r="S515" s="893"/>
      <c r="T515" s="916"/>
      <c r="U515" s="916"/>
      <c r="V515" s="921" t="str">
        <f>'refer admin discharge'!H516</f>
        <v>00/00/0000</v>
      </c>
      <c r="W515" s="922"/>
      <c r="X515" s="912"/>
      <c r="Y515" s="912"/>
      <c r="Z515" s="924"/>
      <c r="AA515" s="924"/>
      <c r="AB515" s="912"/>
      <c r="AC515" s="912"/>
      <c r="AD515" s="913"/>
      <c r="AE515" s="913"/>
      <c r="AF515" s="912"/>
      <c r="AG515" s="912"/>
      <c r="AH515" s="913"/>
      <c r="AI515" s="913"/>
      <c r="AJ515" s="912"/>
      <c r="AK515" s="912"/>
      <c r="AL515" s="925"/>
      <c r="AM515" s="926"/>
      <c r="AN515" s="926"/>
      <c r="AO515" s="926"/>
      <c r="AP515" s="926"/>
      <c r="AQ515" s="926"/>
      <c r="AR515" s="926"/>
      <c r="AS515" s="926"/>
      <c r="AT515" s="926"/>
      <c r="AU515" s="926"/>
      <c r="AV515" s="926"/>
      <c r="AW515" s="926"/>
      <c r="AX515" s="926"/>
      <c r="AY515" s="926"/>
      <c r="AZ515" s="926"/>
      <c r="BA515" s="926"/>
      <c r="BB515" s="927"/>
    </row>
    <row r="516" spans="1:54" x14ac:dyDescent="0.25">
      <c r="A516" s="13">
        <f t="shared" si="7"/>
        <v>503</v>
      </c>
      <c r="B516" s="888" t="str">
        <f>'refer admin discharge'!B512</f>
        <v>x</v>
      </c>
      <c r="C516" s="888"/>
      <c r="D516" s="868" t="str">
        <f>'refer admin discharge'!D512</f>
        <v>xx</v>
      </c>
      <c r="E516" s="868"/>
      <c r="F516" s="891" t="str">
        <f>'refer admin discharge'!H512</f>
        <v>00/00/0000</v>
      </c>
      <c r="G516" s="892"/>
      <c r="H516" s="894"/>
      <c r="I516" s="894"/>
      <c r="J516" s="918"/>
      <c r="K516" s="918"/>
      <c r="L516" s="894"/>
      <c r="M516" s="894"/>
      <c r="N516" s="916"/>
      <c r="O516" s="916"/>
      <c r="P516" s="894"/>
      <c r="Q516" s="894"/>
      <c r="R516" s="916"/>
      <c r="S516" s="916"/>
      <c r="T516" s="894"/>
      <c r="U516" s="894"/>
      <c r="V516" s="921" t="str">
        <f>'refer admin discharge'!H517</f>
        <v>00/00/0000</v>
      </c>
      <c r="W516" s="922"/>
      <c r="X516" s="920"/>
      <c r="Y516" s="920"/>
      <c r="Z516" s="919"/>
      <c r="AA516" s="919"/>
      <c r="AB516" s="920"/>
      <c r="AC516" s="920"/>
      <c r="AD516" s="912"/>
      <c r="AE516" s="912"/>
      <c r="AF516" s="920"/>
      <c r="AG516" s="920"/>
      <c r="AH516" s="912"/>
      <c r="AI516" s="912"/>
      <c r="AJ516" s="920"/>
      <c r="AK516" s="920"/>
      <c r="AL516" s="905"/>
      <c r="AM516" s="906"/>
      <c r="AN516" s="906"/>
      <c r="AO516" s="906"/>
      <c r="AP516" s="906"/>
      <c r="AQ516" s="906"/>
      <c r="AR516" s="906"/>
      <c r="AS516" s="906"/>
      <c r="AT516" s="906"/>
      <c r="AU516" s="906"/>
      <c r="AV516" s="906"/>
      <c r="AW516" s="906"/>
      <c r="AX516" s="906"/>
      <c r="AY516" s="906"/>
      <c r="AZ516" s="906"/>
      <c r="BA516" s="906"/>
      <c r="BB516" s="907"/>
    </row>
    <row r="517" spans="1:54" x14ac:dyDescent="0.25">
      <c r="A517" s="13">
        <f t="shared" si="7"/>
        <v>504</v>
      </c>
      <c r="B517" s="914" t="str">
        <f>'refer admin discharge'!B513</f>
        <v>x</v>
      </c>
      <c r="C517" s="914"/>
      <c r="D517" s="889" t="str">
        <f>'refer admin discharge'!D513</f>
        <v>xx</v>
      </c>
      <c r="E517" s="889"/>
      <c r="F517" s="915" t="str">
        <f>'refer admin discharge'!H513</f>
        <v>00/00/0000</v>
      </c>
      <c r="G517" s="890"/>
      <c r="H517" s="916"/>
      <c r="I517" s="916"/>
      <c r="J517" s="917"/>
      <c r="K517" s="917"/>
      <c r="L517" s="916"/>
      <c r="M517" s="916"/>
      <c r="N517" s="893"/>
      <c r="O517" s="893"/>
      <c r="P517" s="916"/>
      <c r="Q517" s="916"/>
      <c r="R517" s="893"/>
      <c r="S517" s="893"/>
      <c r="T517" s="916"/>
      <c r="U517" s="916"/>
      <c r="V517" s="921" t="str">
        <f>'refer admin discharge'!H518</f>
        <v>00/00/0000</v>
      </c>
      <c r="W517" s="922"/>
      <c r="X517" s="912"/>
      <c r="Y517" s="912"/>
      <c r="Z517" s="924"/>
      <c r="AA517" s="924"/>
      <c r="AB517" s="912"/>
      <c r="AC517" s="912"/>
      <c r="AD517" s="913"/>
      <c r="AE517" s="913"/>
      <c r="AF517" s="912"/>
      <c r="AG517" s="912"/>
      <c r="AH517" s="913"/>
      <c r="AI517" s="913"/>
      <c r="AJ517" s="912"/>
      <c r="AK517" s="912"/>
      <c r="AL517" s="925"/>
      <c r="AM517" s="926"/>
      <c r="AN517" s="926"/>
      <c r="AO517" s="926"/>
      <c r="AP517" s="926"/>
      <c r="AQ517" s="926"/>
      <c r="AR517" s="926"/>
      <c r="AS517" s="926"/>
      <c r="AT517" s="926"/>
      <c r="AU517" s="926"/>
      <c r="AV517" s="926"/>
      <c r="AW517" s="926"/>
      <c r="AX517" s="926"/>
      <c r="AY517" s="926"/>
      <c r="AZ517" s="926"/>
      <c r="BA517" s="926"/>
      <c r="BB517" s="927"/>
    </row>
    <row r="518" spans="1:54" x14ac:dyDescent="0.25">
      <c r="A518" s="13">
        <f t="shared" si="7"/>
        <v>505</v>
      </c>
      <c r="B518" s="888" t="str">
        <f>'refer admin discharge'!B514</f>
        <v>x</v>
      </c>
      <c r="C518" s="888"/>
      <c r="D518" s="868" t="str">
        <f>'refer admin discharge'!D514</f>
        <v>xx</v>
      </c>
      <c r="E518" s="868"/>
      <c r="F518" s="891" t="str">
        <f>'refer admin discharge'!H514</f>
        <v>00/00/0000</v>
      </c>
      <c r="G518" s="892"/>
      <c r="H518" s="894"/>
      <c r="I518" s="894"/>
      <c r="J518" s="918"/>
      <c r="K518" s="918"/>
      <c r="L518" s="894"/>
      <c r="M518" s="894"/>
      <c r="N518" s="916"/>
      <c r="O518" s="916"/>
      <c r="P518" s="894"/>
      <c r="Q518" s="894"/>
      <c r="R518" s="916"/>
      <c r="S518" s="916"/>
      <c r="T518" s="894"/>
      <c r="U518" s="894"/>
      <c r="V518" s="921" t="str">
        <f>'refer admin discharge'!H519</f>
        <v>00/00/0000</v>
      </c>
      <c r="W518" s="922"/>
      <c r="X518" s="920"/>
      <c r="Y518" s="920"/>
      <c r="Z518" s="919"/>
      <c r="AA518" s="919"/>
      <c r="AB518" s="920"/>
      <c r="AC518" s="920"/>
      <c r="AD518" s="912"/>
      <c r="AE518" s="912"/>
      <c r="AF518" s="920"/>
      <c r="AG518" s="920"/>
      <c r="AH518" s="912"/>
      <c r="AI518" s="912"/>
      <c r="AJ518" s="920"/>
      <c r="AK518" s="920"/>
      <c r="AL518" s="905"/>
      <c r="AM518" s="906"/>
      <c r="AN518" s="906"/>
      <c r="AO518" s="906"/>
      <c r="AP518" s="906"/>
      <c r="AQ518" s="906"/>
      <c r="AR518" s="906"/>
      <c r="AS518" s="906"/>
      <c r="AT518" s="906"/>
      <c r="AU518" s="906"/>
      <c r="AV518" s="906"/>
      <c r="AW518" s="906"/>
      <c r="AX518" s="906"/>
      <c r="AY518" s="906"/>
      <c r="AZ518" s="906"/>
      <c r="BA518" s="906"/>
      <c r="BB518" s="907"/>
    </row>
    <row r="519" spans="1:54" x14ac:dyDescent="0.25">
      <c r="A519" s="13">
        <f t="shared" si="7"/>
        <v>506</v>
      </c>
      <c r="B519" s="914" t="str">
        <f>'refer admin discharge'!B515</f>
        <v>x</v>
      </c>
      <c r="C519" s="914"/>
      <c r="D519" s="889" t="str">
        <f>'refer admin discharge'!D515</f>
        <v>xx</v>
      </c>
      <c r="E519" s="889"/>
      <c r="F519" s="915" t="str">
        <f>'refer admin discharge'!H515</f>
        <v>00/00/0000</v>
      </c>
      <c r="G519" s="890"/>
      <c r="H519" s="916"/>
      <c r="I519" s="916"/>
      <c r="J519" s="917"/>
      <c r="K519" s="917"/>
      <c r="L519" s="916"/>
      <c r="M519" s="916"/>
      <c r="N519" s="893"/>
      <c r="O519" s="893"/>
      <c r="P519" s="916"/>
      <c r="Q519" s="916"/>
      <c r="R519" s="893"/>
      <c r="S519" s="893"/>
      <c r="T519" s="916"/>
      <c r="U519" s="916"/>
      <c r="V519" s="921" t="str">
        <f>'refer admin discharge'!H520</f>
        <v>00/00/0000</v>
      </c>
      <c r="W519" s="922"/>
      <c r="X519" s="912"/>
      <c r="Y519" s="912"/>
      <c r="Z519" s="924"/>
      <c r="AA519" s="924"/>
      <c r="AB519" s="912"/>
      <c r="AC519" s="912"/>
      <c r="AD519" s="913"/>
      <c r="AE519" s="913"/>
      <c r="AF519" s="912"/>
      <c r="AG519" s="912"/>
      <c r="AH519" s="913"/>
      <c r="AI519" s="913"/>
      <c r="AJ519" s="912"/>
      <c r="AK519" s="912"/>
      <c r="AL519" s="925"/>
      <c r="AM519" s="926"/>
      <c r="AN519" s="926"/>
      <c r="AO519" s="926"/>
      <c r="AP519" s="926"/>
      <c r="AQ519" s="926"/>
      <c r="AR519" s="926"/>
      <c r="AS519" s="926"/>
      <c r="AT519" s="926"/>
      <c r="AU519" s="926"/>
      <c r="AV519" s="926"/>
      <c r="AW519" s="926"/>
      <c r="AX519" s="926"/>
      <c r="AY519" s="926"/>
      <c r="AZ519" s="926"/>
      <c r="BA519" s="926"/>
      <c r="BB519" s="927"/>
    </row>
    <row r="520" spans="1:54" x14ac:dyDescent="0.25">
      <c r="A520" s="13">
        <f t="shared" si="7"/>
        <v>507</v>
      </c>
      <c r="B520" s="888" t="str">
        <f>'refer admin discharge'!B516</f>
        <v>x</v>
      </c>
      <c r="C520" s="888"/>
      <c r="D520" s="868" t="str">
        <f>'refer admin discharge'!D516</f>
        <v>xx</v>
      </c>
      <c r="E520" s="868"/>
      <c r="F520" s="891" t="str">
        <f>'refer admin discharge'!H516</f>
        <v>00/00/0000</v>
      </c>
      <c r="G520" s="892"/>
      <c r="H520" s="894"/>
      <c r="I520" s="894"/>
      <c r="J520" s="918"/>
      <c r="K520" s="918"/>
      <c r="L520" s="894"/>
      <c r="M520" s="894"/>
      <c r="N520" s="916"/>
      <c r="O520" s="916"/>
      <c r="P520" s="894"/>
      <c r="Q520" s="894"/>
      <c r="R520" s="916"/>
      <c r="S520" s="916"/>
      <c r="T520" s="894"/>
      <c r="U520" s="894"/>
      <c r="V520" s="921" t="str">
        <f>'refer admin discharge'!H521</f>
        <v>00/00/0000</v>
      </c>
      <c r="W520" s="922"/>
      <c r="X520" s="920"/>
      <c r="Y520" s="920"/>
      <c r="Z520" s="919"/>
      <c r="AA520" s="919"/>
      <c r="AB520" s="920"/>
      <c r="AC520" s="920"/>
      <c r="AD520" s="912"/>
      <c r="AE520" s="912"/>
      <c r="AF520" s="920"/>
      <c r="AG520" s="920"/>
      <c r="AH520" s="912"/>
      <c r="AI520" s="912"/>
      <c r="AJ520" s="920"/>
      <c r="AK520" s="920"/>
      <c r="AL520" s="905"/>
      <c r="AM520" s="906"/>
      <c r="AN520" s="906"/>
      <c r="AO520" s="906"/>
      <c r="AP520" s="906"/>
      <c r="AQ520" s="906"/>
      <c r="AR520" s="906"/>
      <c r="AS520" s="906"/>
      <c r="AT520" s="906"/>
      <c r="AU520" s="906"/>
      <c r="AV520" s="906"/>
      <c r="AW520" s="906"/>
      <c r="AX520" s="906"/>
      <c r="AY520" s="906"/>
      <c r="AZ520" s="906"/>
      <c r="BA520" s="906"/>
      <c r="BB520" s="907"/>
    </row>
    <row r="521" spans="1:54" x14ac:dyDescent="0.25">
      <c r="A521" s="13">
        <f t="shared" si="7"/>
        <v>508</v>
      </c>
      <c r="B521" s="914" t="str">
        <f>'refer admin discharge'!B517</f>
        <v>x</v>
      </c>
      <c r="C521" s="914"/>
      <c r="D521" s="889" t="str">
        <f>'refer admin discharge'!D517</f>
        <v>xx</v>
      </c>
      <c r="E521" s="889"/>
      <c r="F521" s="915" t="str">
        <f>'refer admin discharge'!H517</f>
        <v>00/00/0000</v>
      </c>
      <c r="G521" s="890"/>
      <c r="H521" s="916"/>
      <c r="I521" s="916"/>
      <c r="J521" s="917"/>
      <c r="K521" s="917"/>
      <c r="L521" s="916"/>
      <c r="M521" s="916"/>
      <c r="N521" s="893"/>
      <c r="O521" s="893"/>
      <c r="P521" s="916"/>
      <c r="Q521" s="916"/>
      <c r="R521" s="893"/>
      <c r="S521" s="893"/>
      <c r="T521" s="916"/>
      <c r="U521" s="916"/>
      <c r="V521" s="921" t="str">
        <f>'refer admin discharge'!H522</f>
        <v>00/00/0000</v>
      </c>
      <c r="W521" s="922"/>
      <c r="X521" s="912"/>
      <c r="Y521" s="912"/>
      <c r="Z521" s="924"/>
      <c r="AA521" s="924"/>
      <c r="AB521" s="912"/>
      <c r="AC521" s="912"/>
      <c r="AD521" s="913"/>
      <c r="AE521" s="913"/>
      <c r="AF521" s="912"/>
      <c r="AG521" s="912"/>
      <c r="AH521" s="913"/>
      <c r="AI521" s="913"/>
      <c r="AJ521" s="912"/>
      <c r="AK521" s="912"/>
      <c r="AL521" s="925"/>
      <c r="AM521" s="926"/>
      <c r="AN521" s="926"/>
      <c r="AO521" s="926"/>
      <c r="AP521" s="926"/>
      <c r="AQ521" s="926"/>
      <c r="AR521" s="926"/>
      <c r="AS521" s="926"/>
      <c r="AT521" s="926"/>
      <c r="AU521" s="926"/>
      <c r="AV521" s="926"/>
      <c r="AW521" s="926"/>
      <c r="AX521" s="926"/>
      <c r="AY521" s="926"/>
      <c r="AZ521" s="926"/>
      <c r="BA521" s="926"/>
      <c r="BB521" s="927"/>
    </row>
    <row r="522" spans="1:54" x14ac:dyDescent="0.25">
      <c r="A522" s="13">
        <f t="shared" si="7"/>
        <v>509</v>
      </c>
      <c r="B522" s="888" t="str">
        <f>'refer admin discharge'!B518</f>
        <v>x</v>
      </c>
      <c r="C522" s="888"/>
      <c r="D522" s="868" t="str">
        <f>'refer admin discharge'!D518</f>
        <v>xx</v>
      </c>
      <c r="E522" s="868"/>
      <c r="F522" s="891" t="str">
        <f>'refer admin discharge'!H518</f>
        <v>00/00/0000</v>
      </c>
      <c r="G522" s="892"/>
      <c r="H522" s="894"/>
      <c r="I522" s="894"/>
      <c r="J522" s="918"/>
      <c r="K522" s="918"/>
      <c r="L522" s="894"/>
      <c r="M522" s="894"/>
      <c r="N522" s="916"/>
      <c r="O522" s="916"/>
      <c r="P522" s="894"/>
      <c r="Q522" s="894"/>
      <c r="R522" s="916"/>
      <c r="S522" s="916"/>
      <c r="T522" s="894"/>
      <c r="U522" s="894"/>
      <c r="V522" s="921" t="str">
        <f>'refer admin discharge'!H523</f>
        <v>00/00/0000</v>
      </c>
      <c r="W522" s="922"/>
      <c r="X522" s="920"/>
      <c r="Y522" s="920"/>
      <c r="Z522" s="919"/>
      <c r="AA522" s="919"/>
      <c r="AB522" s="920"/>
      <c r="AC522" s="920"/>
      <c r="AD522" s="912"/>
      <c r="AE522" s="912"/>
      <c r="AF522" s="920"/>
      <c r="AG522" s="920"/>
      <c r="AH522" s="912"/>
      <c r="AI522" s="912"/>
      <c r="AJ522" s="920"/>
      <c r="AK522" s="920"/>
      <c r="AL522" s="905"/>
      <c r="AM522" s="906"/>
      <c r="AN522" s="906"/>
      <c r="AO522" s="906"/>
      <c r="AP522" s="906"/>
      <c r="AQ522" s="906"/>
      <c r="AR522" s="906"/>
      <c r="AS522" s="906"/>
      <c r="AT522" s="906"/>
      <c r="AU522" s="906"/>
      <c r="AV522" s="906"/>
      <c r="AW522" s="906"/>
      <c r="AX522" s="906"/>
      <c r="AY522" s="906"/>
      <c r="AZ522" s="906"/>
      <c r="BA522" s="906"/>
      <c r="BB522" s="907"/>
    </row>
    <row r="523" spans="1:54" x14ac:dyDescent="0.25">
      <c r="A523" s="13">
        <f t="shared" si="7"/>
        <v>510</v>
      </c>
      <c r="B523" s="914" t="str">
        <f>'refer admin discharge'!B519</f>
        <v>x</v>
      </c>
      <c r="C523" s="914"/>
      <c r="D523" s="889" t="str">
        <f>'refer admin discharge'!D519</f>
        <v>xx</v>
      </c>
      <c r="E523" s="889"/>
      <c r="F523" s="915" t="str">
        <f>'refer admin discharge'!H519</f>
        <v>00/00/0000</v>
      </c>
      <c r="G523" s="890"/>
      <c r="H523" s="916"/>
      <c r="I523" s="916"/>
      <c r="J523" s="917"/>
      <c r="K523" s="917"/>
      <c r="L523" s="916"/>
      <c r="M523" s="916"/>
      <c r="N523" s="893"/>
      <c r="O523" s="893"/>
      <c r="P523" s="916"/>
      <c r="Q523" s="916"/>
      <c r="R523" s="893"/>
      <c r="S523" s="893"/>
      <c r="T523" s="916"/>
      <c r="U523" s="916"/>
      <c r="V523" s="921" t="str">
        <f>'refer admin discharge'!H524</f>
        <v>00/00/0000</v>
      </c>
      <c r="W523" s="922"/>
      <c r="X523" s="912"/>
      <c r="Y523" s="912"/>
      <c r="Z523" s="924"/>
      <c r="AA523" s="924"/>
      <c r="AB523" s="912"/>
      <c r="AC523" s="912"/>
      <c r="AD523" s="913"/>
      <c r="AE523" s="913"/>
      <c r="AF523" s="912"/>
      <c r="AG523" s="912"/>
      <c r="AH523" s="913"/>
      <c r="AI523" s="913"/>
      <c r="AJ523" s="912"/>
      <c r="AK523" s="912"/>
      <c r="AL523" s="925"/>
      <c r="AM523" s="926"/>
      <c r="AN523" s="926"/>
      <c r="AO523" s="926"/>
      <c r="AP523" s="926"/>
      <c r="AQ523" s="926"/>
      <c r="AR523" s="926"/>
      <c r="AS523" s="926"/>
      <c r="AT523" s="926"/>
      <c r="AU523" s="926"/>
      <c r="AV523" s="926"/>
      <c r="AW523" s="926"/>
      <c r="AX523" s="926"/>
      <c r="AY523" s="926"/>
      <c r="AZ523" s="926"/>
      <c r="BA523" s="926"/>
      <c r="BB523" s="927"/>
    </row>
    <row r="524" spans="1:54" x14ac:dyDescent="0.25">
      <c r="A524" s="13">
        <f t="shared" si="7"/>
        <v>511</v>
      </c>
      <c r="B524" s="888" t="str">
        <f>'refer admin discharge'!B520</f>
        <v>x</v>
      </c>
      <c r="C524" s="888"/>
      <c r="D524" s="868" t="str">
        <f>'refer admin discharge'!D520</f>
        <v>xx</v>
      </c>
      <c r="E524" s="868"/>
      <c r="F524" s="891" t="str">
        <f>'refer admin discharge'!H520</f>
        <v>00/00/0000</v>
      </c>
      <c r="G524" s="892"/>
      <c r="H524" s="894"/>
      <c r="I524" s="894"/>
      <c r="J524" s="918"/>
      <c r="K524" s="918"/>
      <c r="L524" s="894"/>
      <c r="M524" s="894"/>
      <c r="N524" s="916"/>
      <c r="O524" s="916"/>
      <c r="P524" s="894"/>
      <c r="Q524" s="894"/>
      <c r="R524" s="916"/>
      <c r="S524" s="916"/>
      <c r="T524" s="894"/>
      <c r="U524" s="894"/>
      <c r="V524" s="921" t="str">
        <f>'refer admin discharge'!H525</f>
        <v>00/00/0000</v>
      </c>
      <c r="W524" s="922"/>
      <c r="X524" s="920"/>
      <c r="Y524" s="920"/>
      <c r="Z524" s="919"/>
      <c r="AA524" s="919"/>
      <c r="AB524" s="920"/>
      <c r="AC524" s="920"/>
      <c r="AD524" s="912"/>
      <c r="AE524" s="912"/>
      <c r="AF524" s="920"/>
      <c r="AG524" s="920"/>
      <c r="AH524" s="912"/>
      <c r="AI524" s="912"/>
      <c r="AJ524" s="920"/>
      <c r="AK524" s="920"/>
      <c r="AL524" s="905"/>
      <c r="AM524" s="906"/>
      <c r="AN524" s="906"/>
      <c r="AO524" s="906"/>
      <c r="AP524" s="906"/>
      <c r="AQ524" s="906"/>
      <c r="AR524" s="906"/>
      <c r="AS524" s="906"/>
      <c r="AT524" s="906"/>
      <c r="AU524" s="906"/>
      <c r="AV524" s="906"/>
      <c r="AW524" s="906"/>
      <c r="AX524" s="906"/>
      <c r="AY524" s="906"/>
      <c r="AZ524" s="906"/>
      <c r="BA524" s="906"/>
      <c r="BB524" s="907"/>
    </row>
    <row r="525" spans="1:54" x14ac:dyDescent="0.25">
      <c r="A525" s="13">
        <f t="shared" si="7"/>
        <v>512</v>
      </c>
      <c r="B525" s="914" t="str">
        <f>'refer admin discharge'!B521</f>
        <v>x</v>
      </c>
      <c r="C525" s="914"/>
      <c r="D525" s="889" t="str">
        <f>'refer admin discharge'!D521</f>
        <v>xx</v>
      </c>
      <c r="E525" s="889"/>
      <c r="F525" s="915" t="str">
        <f>'refer admin discharge'!H521</f>
        <v>00/00/0000</v>
      </c>
      <c r="G525" s="890"/>
      <c r="H525" s="916"/>
      <c r="I525" s="916"/>
      <c r="J525" s="917"/>
      <c r="K525" s="917"/>
      <c r="L525" s="916"/>
      <c r="M525" s="916"/>
      <c r="N525" s="893"/>
      <c r="O525" s="893"/>
      <c r="P525" s="916"/>
      <c r="Q525" s="916"/>
      <c r="R525" s="893"/>
      <c r="S525" s="893"/>
      <c r="T525" s="916"/>
      <c r="U525" s="916"/>
      <c r="V525" s="921" t="str">
        <f>'refer admin discharge'!H526</f>
        <v>00/00/0000</v>
      </c>
      <c r="W525" s="922"/>
      <c r="X525" s="912"/>
      <c r="Y525" s="912"/>
      <c r="Z525" s="924"/>
      <c r="AA525" s="924"/>
      <c r="AB525" s="912"/>
      <c r="AC525" s="912"/>
      <c r="AD525" s="913"/>
      <c r="AE525" s="913"/>
      <c r="AF525" s="912"/>
      <c r="AG525" s="912"/>
      <c r="AH525" s="913"/>
      <c r="AI525" s="913"/>
      <c r="AJ525" s="912"/>
      <c r="AK525" s="912"/>
      <c r="AL525" s="925"/>
      <c r="AM525" s="926"/>
      <c r="AN525" s="926"/>
      <c r="AO525" s="926"/>
      <c r="AP525" s="926"/>
      <c r="AQ525" s="926"/>
      <c r="AR525" s="926"/>
      <c r="AS525" s="926"/>
      <c r="AT525" s="926"/>
      <c r="AU525" s="926"/>
      <c r="AV525" s="926"/>
      <c r="AW525" s="926"/>
      <c r="AX525" s="926"/>
      <c r="AY525" s="926"/>
      <c r="AZ525" s="926"/>
      <c r="BA525" s="926"/>
      <c r="BB525" s="927"/>
    </row>
    <row r="526" spans="1:54" x14ac:dyDescent="0.25">
      <c r="A526" s="13">
        <f t="shared" ref="A526:A589" si="8">ROW(A513)</f>
        <v>513</v>
      </c>
      <c r="B526" s="888" t="str">
        <f>'refer admin discharge'!B522</f>
        <v>x</v>
      </c>
      <c r="C526" s="888"/>
      <c r="D526" s="868" t="str">
        <f>'refer admin discharge'!D522</f>
        <v>xx</v>
      </c>
      <c r="E526" s="868"/>
      <c r="F526" s="891" t="str">
        <f>'refer admin discharge'!H522</f>
        <v>00/00/0000</v>
      </c>
      <c r="G526" s="892"/>
      <c r="H526" s="894"/>
      <c r="I526" s="894"/>
      <c r="J526" s="918"/>
      <c r="K526" s="918"/>
      <c r="L526" s="894"/>
      <c r="M526" s="894"/>
      <c r="N526" s="916"/>
      <c r="O526" s="916"/>
      <c r="P526" s="894"/>
      <c r="Q526" s="894"/>
      <c r="R526" s="916"/>
      <c r="S526" s="916"/>
      <c r="T526" s="894"/>
      <c r="U526" s="894"/>
      <c r="V526" s="921" t="str">
        <f>'refer admin discharge'!H527</f>
        <v>00/00/0000</v>
      </c>
      <c r="W526" s="922"/>
      <c r="X526" s="920"/>
      <c r="Y526" s="920"/>
      <c r="Z526" s="919"/>
      <c r="AA526" s="919"/>
      <c r="AB526" s="920"/>
      <c r="AC526" s="920"/>
      <c r="AD526" s="912"/>
      <c r="AE526" s="912"/>
      <c r="AF526" s="920"/>
      <c r="AG526" s="920"/>
      <c r="AH526" s="912"/>
      <c r="AI526" s="912"/>
      <c r="AJ526" s="920"/>
      <c r="AK526" s="920"/>
      <c r="AL526" s="905"/>
      <c r="AM526" s="906"/>
      <c r="AN526" s="906"/>
      <c r="AO526" s="906"/>
      <c r="AP526" s="906"/>
      <c r="AQ526" s="906"/>
      <c r="AR526" s="906"/>
      <c r="AS526" s="906"/>
      <c r="AT526" s="906"/>
      <c r="AU526" s="906"/>
      <c r="AV526" s="906"/>
      <c r="AW526" s="906"/>
      <c r="AX526" s="906"/>
      <c r="AY526" s="906"/>
      <c r="AZ526" s="906"/>
      <c r="BA526" s="906"/>
      <c r="BB526" s="907"/>
    </row>
    <row r="527" spans="1:54" x14ac:dyDescent="0.25">
      <c r="A527" s="13">
        <f t="shared" si="8"/>
        <v>514</v>
      </c>
      <c r="B527" s="914" t="str">
        <f>'refer admin discharge'!B523</f>
        <v>x</v>
      </c>
      <c r="C527" s="914"/>
      <c r="D527" s="889" t="str">
        <f>'refer admin discharge'!D523</f>
        <v>xx</v>
      </c>
      <c r="E527" s="889"/>
      <c r="F527" s="915" t="str">
        <f>'refer admin discharge'!H523</f>
        <v>00/00/0000</v>
      </c>
      <c r="G527" s="890"/>
      <c r="H527" s="916"/>
      <c r="I527" s="916"/>
      <c r="J527" s="917"/>
      <c r="K527" s="917"/>
      <c r="L527" s="916"/>
      <c r="M527" s="916"/>
      <c r="N527" s="893"/>
      <c r="O527" s="893"/>
      <c r="P527" s="916"/>
      <c r="Q527" s="916"/>
      <c r="R527" s="893"/>
      <c r="S527" s="893"/>
      <c r="T527" s="916"/>
      <c r="U527" s="916"/>
      <c r="V527" s="921" t="str">
        <f>'refer admin discharge'!H528</f>
        <v>00/00/0000</v>
      </c>
      <c r="W527" s="922"/>
      <c r="X527" s="912"/>
      <c r="Y527" s="912"/>
      <c r="Z527" s="924"/>
      <c r="AA527" s="924"/>
      <c r="AB527" s="912"/>
      <c r="AC527" s="912"/>
      <c r="AD527" s="913"/>
      <c r="AE527" s="913"/>
      <c r="AF527" s="912"/>
      <c r="AG527" s="912"/>
      <c r="AH527" s="913"/>
      <c r="AI527" s="913"/>
      <c r="AJ527" s="912"/>
      <c r="AK527" s="912"/>
      <c r="AL527" s="925"/>
      <c r="AM527" s="926"/>
      <c r="AN527" s="926"/>
      <c r="AO527" s="926"/>
      <c r="AP527" s="926"/>
      <c r="AQ527" s="926"/>
      <c r="AR527" s="926"/>
      <c r="AS527" s="926"/>
      <c r="AT527" s="926"/>
      <c r="AU527" s="926"/>
      <c r="AV527" s="926"/>
      <c r="AW527" s="926"/>
      <c r="AX527" s="926"/>
      <c r="AY527" s="926"/>
      <c r="AZ527" s="926"/>
      <c r="BA527" s="926"/>
      <c r="BB527" s="927"/>
    </row>
    <row r="528" spans="1:54" x14ac:dyDescent="0.25">
      <c r="A528" s="13">
        <f t="shared" si="8"/>
        <v>515</v>
      </c>
      <c r="B528" s="888" t="str">
        <f>'refer admin discharge'!B524</f>
        <v>x</v>
      </c>
      <c r="C528" s="888"/>
      <c r="D528" s="868" t="str">
        <f>'refer admin discharge'!D524</f>
        <v>xx</v>
      </c>
      <c r="E528" s="868"/>
      <c r="F528" s="891" t="str">
        <f>'refer admin discharge'!H524</f>
        <v>00/00/0000</v>
      </c>
      <c r="G528" s="892"/>
      <c r="H528" s="894"/>
      <c r="I528" s="894"/>
      <c r="J528" s="918"/>
      <c r="K528" s="918"/>
      <c r="L528" s="894"/>
      <c r="M528" s="894"/>
      <c r="N528" s="916"/>
      <c r="O528" s="916"/>
      <c r="P528" s="894"/>
      <c r="Q528" s="894"/>
      <c r="R528" s="916"/>
      <c r="S528" s="916"/>
      <c r="T528" s="894"/>
      <c r="U528" s="894"/>
      <c r="V528" s="921" t="str">
        <f>'refer admin discharge'!H529</f>
        <v>00/00/0000</v>
      </c>
      <c r="W528" s="922"/>
      <c r="X528" s="920"/>
      <c r="Y528" s="920"/>
      <c r="Z528" s="919"/>
      <c r="AA528" s="919"/>
      <c r="AB528" s="920"/>
      <c r="AC528" s="920"/>
      <c r="AD528" s="912"/>
      <c r="AE528" s="912"/>
      <c r="AF528" s="920"/>
      <c r="AG528" s="920"/>
      <c r="AH528" s="912"/>
      <c r="AI528" s="912"/>
      <c r="AJ528" s="920"/>
      <c r="AK528" s="920"/>
      <c r="AL528" s="905"/>
      <c r="AM528" s="906"/>
      <c r="AN528" s="906"/>
      <c r="AO528" s="906"/>
      <c r="AP528" s="906"/>
      <c r="AQ528" s="906"/>
      <c r="AR528" s="906"/>
      <c r="AS528" s="906"/>
      <c r="AT528" s="906"/>
      <c r="AU528" s="906"/>
      <c r="AV528" s="906"/>
      <c r="AW528" s="906"/>
      <c r="AX528" s="906"/>
      <c r="AY528" s="906"/>
      <c r="AZ528" s="906"/>
      <c r="BA528" s="906"/>
      <c r="BB528" s="907"/>
    </row>
    <row r="529" spans="1:54" x14ac:dyDescent="0.25">
      <c r="A529" s="13">
        <f t="shared" si="8"/>
        <v>516</v>
      </c>
      <c r="B529" s="914" t="str">
        <f>'refer admin discharge'!B525</f>
        <v>x</v>
      </c>
      <c r="C529" s="914"/>
      <c r="D529" s="889" t="str">
        <f>'refer admin discharge'!D525</f>
        <v>xx</v>
      </c>
      <c r="E529" s="889"/>
      <c r="F529" s="915" t="str">
        <f>'refer admin discharge'!H525</f>
        <v>00/00/0000</v>
      </c>
      <c r="G529" s="890"/>
      <c r="H529" s="916"/>
      <c r="I529" s="916"/>
      <c r="J529" s="917"/>
      <c r="K529" s="917"/>
      <c r="L529" s="916"/>
      <c r="M529" s="916"/>
      <c r="N529" s="893"/>
      <c r="O529" s="893"/>
      <c r="P529" s="916"/>
      <c r="Q529" s="916"/>
      <c r="R529" s="893"/>
      <c r="S529" s="893"/>
      <c r="T529" s="916"/>
      <c r="U529" s="916"/>
      <c r="V529" s="921" t="str">
        <f>'refer admin discharge'!H530</f>
        <v>00/00/0000</v>
      </c>
      <c r="W529" s="922"/>
      <c r="X529" s="912"/>
      <c r="Y529" s="912"/>
      <c r="Z529" s="924"/>
      <c r="AA529" s="924"/>
      <c r="AB529" s="912"/>
      <c r="AC529" s="912"/>
      <c r="AD529" s="913"/>
      <c r="AE529" s="913"/>
      <c r="AF529" s="912"/>
      <c r="AG529" s="912"/>
      <c r="AH529" s="913"/>
      <c r="AI529" s="913"/>
      <c r="AJ529" s="912"/>
      <c r="AK529" s="912"/>
      <c r="AL529" s="925"/>
      <c r="AM529" s="926"/>
      <c r="AN529" s="926"/>
      <c r="AO529" s="926"/>
      <c r="AP529" s="926"/>
      <c r="AQ529" s="926"/>
      <c r="AR529" s="926"/>
      <c r="AS529" s="926"/>
      <c r="AT529" s="926"/>
      <c r="AU529" s="926"/>
      <c r="AV529" s="926"/>
      <c r="AW529" s="926"/>
      <c r="AX529" s="926"/>
      <c r="AY529" s="926"/>
      <c r="AZ529" s="926"/>
      <c r="BA529" s="926"/>
      <c r="BB529" s="927"/>
    </row>
    <row r="530" spans="1:54" x14ac:dyDescent="0.25">
      <c r="A530" s="13">
        <f t="shared" si="8"/>
        <v>517</v>
      </c>
      <c r="B530" s="888" t="str">
        <f>'refer admin discharge'!B526</f>
        <v>x</v>
      </c>
      <c r="C530" s="888"/>
      <c r="D530" s="868" t="str">
        <f>'refer admin discharge'!D526</f>
        <v>xx</v>
      </c>
      <c r="E530" s="868"/>
      <c r="F530" s="891" t="str">
        <f>'refer admin discharge'!H526</f>
        <v>00/00/0000</v>
      </c>
      <c r="G530" s="892"/>
      <c r="H530" s="894"/>
      <c r="I530" s="894"/>
      <c r="J530" s="918"/>
      <c r="K530" s="918"/>
      <c r="L530" s="894"/>
      <c r="M530" s="894"/>
      <c r="N530" s="916"/>
      <c r="O530" s="916"/>
      <c r="P530" s="894"/>
      <c r="Q530" s="894"/>
      <c r="R530" s="916"/>
      <c r="S530" s="916"/>
      <c r="T530" s="894"/>
      <c r="U530" s="894"/>
      <c r="V530" s="921" t="str">
        <f>'refer admin discharge'!H531</f>
        <v>00/00/0000</v>
      </c>
      <c r="W530" s="922"/>
      <c r="X530" s="920"/>
      <c r="Y530" s="920"/>
      <c r="Z530" s="919"/>
      <c r="AA530" s="919"/>
      <c r="AB530" s="920"/>
      <c r="AC530" s="920"/>
      <c r="AD530" s="912"/>
      <c r="AE530" s="912"/>
      <c r="AF530" s="920"/>
      <c r="AG530" s="920"/>
      <c r="AH530" s="912"/>
      <c r="AI530" s="912"/>
      <c r="AJ530" s="920"/>
      <c r="AK530" s="920"/>
      <c r="AL530" s="905"/>
      <c r="AM530" s="906"/>
      <c r="AN530" s="906"/>
      <c r="AO530" s="906"/>
      <c r="AP530" s="906"/>
      <c r="AQ530" s="906"/>
      <c r="AR530" s="906"/>
      <c r="AS530" s="906"/>
      <c r="AT530" s="906"/>
      <c r="AU530" s="906"/>
      <c r="AV530" s="906"/>
      <c r="AW530" s="906"/>
      <c r="AX530" s="906"/>
      <c r="AY530" s="906"/>
      <c r="AZ530" s="906"/>
      <c r="BA530" s="906"/>
      <c r="BB530" s="907"/>
    </row>
    <row r="531" spans="1:54" x14ac:dyDescent="0.25">
      <c r="A531" s="13">
        <f t="shared" si="8"/>
        <v>518</v>
      </c>
      <c r="B531" s="914" t="str">
        <f>'refer admin discharge'!B527</f>
        <v>x</v>
      </c>
      <c r="C531" s="914"/>
      <c r="D531" s="889" t="str">
        <f>'refer admin discharge'!D527</f>
        <v>xx</v>
      </c>
      <c r="E531" s="889"/>
      <c r="F531" s="915" t="str">
        <f>'refer admin discharge'!H527</f>
        <v>00/00/0000</v>
      </c>
      <c r="G531" s="890"/>
      <c r="H531" s="916"/>
      <c r="I531" s="916"/>
      <c r="J531" s="917"/>
      <c r="K531" s="917"/>
      <c r="L531" s="916"/>
      <c r="M531" s="916"/>
      <c r="N531" s="893"/>
      <c r="O531" s="893"/>
      <c r="P531" s="916"/>
      <c r="Q531" s="916"/>
      <c r="R531" s="893"/>
      <c r="S531" s="893"/>
      <c r="T531" s="916"/>
      <c r="U531" s="916"/>
      <c r="V531" s="921" t="str">
        <f>'refer admin discharge'!H532</f>
        <v>00/00/0000</v>
      </c>
      <c r="W531" s="922"/>
      <c r="X531" s="912"/>
      <c r="Y531" s="912"/>
      <c r="Z531" s="924"/>
      <c r="AA531" s="924"/>
      <c r="AB531" s="912"/>
      <c r="AC531" s="912"/>
      <c r="AD531" s="913"/>
      <c r="AE531" s="913"/>
      <c r="AF531" s="912"/>
      <c r="AG531" s="912"/>
      <c r="AH531" s="913"/>
      <c r="AI531" s="913"/>
      <c r="AJ531" s="912"/>
      <c r="AK531" s="912"/>
      <c r="AL531" s="925"/>
      <c r="AM531" s="926"/>
      <c r="AN531" s="926"/>
      <c r="AO531" s="926"/>
      <c r="AP531" s="926"/>
      <c r="AQ531" s="926"/>
      <c r="AR531" s="926"/>
      <c r="AS531" s="926"/>
      <c r="AT531" s="926"/>
      <c r="AU531" s="926"/>
      <c r="AV531" s="926"/>
      <c r="AW531" s="926"/>
      <c r="AX531" s="926"/>
      <c r="AY531" s="926"/>
      <c r="AZ531" s="926"/>
      <c r="BA531" s="926"/>
      <c r="BB531" s="927"/>
    </row>
    <row r="532" spans="1:54" x14ac:dyDescent="0.25">
      <c r="A532" s="13">
        <f t="shared" si="8"/>
        <v>519</v>
      </c>
      <c r="B532" s="888" t="str">
        <f>'refer admin discharge'!B528</f>
        <v>x</v>
      </c>
      <c r="C532" s="888"/>
      <c r="D532" s="868" t="str">
        <f>'refer admin discharge'!D528</f>
        <v>xx</v>
      </c>
      <c r="E532" s="868"/>
      <c r="F532" s="891" t="str">
        <f>'refer admin discharge'!H528</f>
        <v>00/00/0000</v>
      </c>
      <c r="G532" s="892"/>
      <c r="H532" s="894"/>
      <c r="I532" s="894"/>
      <c r="J532" s="918"/>
      <c r="K532" s="918"/>
      <c r="L532" s="894"/>
      <c r="M532" s="894"/>
      <c r="N532" s="916"/>
      <c r="O532" s="916"/>
      <c r="P532" s="894"/>
      <c r="Q532" s="894"/>
      <c r="R532" s="916"/>
      <c r="S532" s="916"/>
      <c r="T532" s="894"/>
      <c r="U532" s="894"/>
      <c r="V532" s="921" t="str">
        <f>'refer admin discharge'!H533</f>
        <v>00/00/0000</v>
      </c>
      <c r="W532" s="922"/>
      <c r="X532" s="920"/>
      <c r="Y532" s="920"/>
      <c r="Z532" s="919"/>
      <c r="AA532" s="919"/>
      <c r="AB532" s="920"/>
      <c r="AC532" s="920"/>
      <c r="AD532" s="912"/>
      <c r="AE532" s="912"/>
      <c r="AF532" s="920"/>
      <c r="AG532" s="920"/>
      <c r="AH532" s="912"/>
      <c r="AI532" s="912"/>
      <c r="AJ532" s="920"/>
      <c r="AK532" s="920"/>
      <c r="AL532" s="905"/>
      <c r="AM532" s="906"/>
      <c r="AN532" s="906"/>
      <c r="AO532" s="906"/>
      <c r="AP532" s="906"/>
      <c r="AQ532" s="906"/>
      <c r="AR532" s="906"/>
      <c r="AS532" s="906"/>
      <c r="AT532" s="906"/>
      <c r="AU532" s="906"/>
      <c r="AV532" s="906"/>
      <c r="AW532" s="906"/>
      <c r="AX532" s="906"/>
      <c r="AY532" s="906"/>
      <c r="AZ532" s="906"/>
      <c r="BA532" s="906"/>
      <c r="BB532" s="907"/>
    </row>
    <row r="533" spans="1:54" x14ac:dyDescent="0.25">
      <c r="A533" s="13">
        <f t="shared" si="8"/>
        <v>520</v>
      </c>
      <c r="B533" s="914" t="str">
        <f>'refer admin discharge'!B529</f>
        <v>x</v>
      </c>
      <c r="C533" s="914"/>
      <c r="D533" s="889" t="str">
        <f>'refer admin discharge'!D529</f>
        <v>xx</v>
      </c>
      <c r="E533" s="889"/>
      <c r="F533" s="915" t="str">
        <f>'refer admin discharge'!H529</f>
        <v>00/00/0000</v>
      </c>
      <c r="G533" s="890"/>
      <c r="H533" s="916"/>
      <c r="I533" s="916"/>
      <c r="J533" s="917"/>
      <c r="K533" s="917"/>
      <c r="L533" s="916"/>
      <c r="M533" s="916"/>
      <c r="N533" s="893"/>
      <c r="O533" s="893"/>
      <c r="P533" s="916"/>
      <c r="Q533" s="916"/>
      <c r="R533" s="893"/>
      <c r="S533" s="893"/>
      <c r="T533" s="916"/>
      <c r="U533" s="916"/>
      <c r="V533" s="921" t="str">
        <f>'refer admin discharge'!H534</f>
        <v>00/00/0000</v>
      </c>
      <c r="W533" s="922"/>
      <c r="X533" s="912"/>
      <c r="Y533" s="912"/>
      <c r="Z533" s="924"/>
      <c r="AA533" s="924"/>
      <c r="AB533" s="912"/>
      <c r="AC533" s="912"/>
      <c r="AD533" s="913"/>
      <c r="AE533" s="913"/>
      <c r="AF533" s="912"/>
      <c r="AG533" s="912"/>
      <c r="AH533" s="913"/>
      <c r="AI533" s="913"/>
      <c r="AJ533" s="912"/>
      <c r="AK533" s="912"/>
      <c r="AL533" s="925"/>
      <c r="AM533" s="926"/>
      <c r="AN533" s="926"/>
      <c r="AO533" s="926"/>
      <c r="AP533" s="926"/>
      <c r="AQ533" s="926"/>
      <c r="AR533" s="926"/>
      <c r="AS533" s="926"/>
      <c r="AT533" s="926"/>
      <c r="AU533" s="926"/>
      <c r="AV533" s="926"/>
      <c r="AW533" s="926"/>
      <c r="AX533" s="926"/>
      <c r="AY533" s="926"/>
      <c r="AZ533" s="926"/>
      <c r="BA533" s="926"/>
      <c r="BB533" s="927"/>
    </row>
    <row r="534" spans="1:54" x14ac:dyDescent="0.25">
      <c r="A534" s="13">
        <f t="shared" si="8"/>
        <v>521</v>
      </c>
      <c r="B534" s="888" t="str">
        <f>'refer admin discharge'!B530</f>
        <v>x</v>
      </c>
      <c r="C534" s="888"/>
      <c r="D534" s="868" t="str">
        <f>'refer admin discharge'!D530</f>
        <v>xx</v>
      </c>
      <c r="E534" s="868"/>
      <c r="F534" s="891" t="str">
        <f>'refer admin discharge'!H530</f>
        <v>00/00/0000</v>
      </c>
      <c r="G534" s="892"/>
      <c r="H534" s="894"/>
      <c r="I534" s="894"/>
      <c r="J534" s="918"/>
      <c r="K534" s="918"/>
      <c r="L534" s="894"/>
      <c r="M534" s="894"/>
      <c r="N534" s="916"/>
      <c r="O534" s="916"/>
      <c r="P534" s="894"/>
      <c r="Q534" s="894"/>
      <c r="R534" s="916"/>
      <c r="S534" s="916"/>
      <c r="T534" s="894"/>
      <c r="U534" s="894"/>
      <c r="V534" s="921" t="str">
        <f>'refer admin discharge'!H535</f>
        <v>00/00/0000</v>
      </c>
      <c r="W534" s="922"/>
      <c r="X534" s="920"/>
      <c r="Y534" s="920"/>
      <c r="Z534" s="919"/>
      <c r="AA534" s="919"/>
      <c r="AB534" s="920"/>
      <c r="AC534" s="920"/>
      <c r="AD534" s="912"/>
      <c r="AE534" s="912"/>
      <c r="AF534" s="920"/>
      <c r="AG534" s="920"/>
      <c r="AH534" s="912"/>
      <c r="AI534" s="912"/>
      <c r="AJ534" s="920"/>
      <c r="AK534" s="920"/>
      <c r="AL534" s="905"/>
      <c r="AM534" s="906"/>
      <c r="AN534" s="906"/>
      <c r="AO534" s="906"/>
      <c r="AP534" s="906"/>
      <c r="AQ534" s="906"/>
      <c r="AR534" s="906"/>
      <c r="AS534" s="906"/>
      <c r="AT534" s="906"/>
      <c r="AU534" s="906"/>
      <c r="AV534" s="906"/>
      <c r="AW534" s="906"/>
      <c r="AX534" s="906"/>
      <c r="AY534" s="906"/>
      <c r="AZ534" s="906"/>
      <c r="BA534" s="906"/>
      <c r="BB534" s="907"/>
    </row>
    <row r="535" spans="1:54" x14ac:dyDescent="0.25">
      <c r="A535" s="13">
        <f t="shared" si="8"/>
        <v>522</v>
      </c>
      <c r="B535" s="914" t="str">
        <f>'refer admin discharge'!B531</f>
        <v>x</v>
      </c>
      <c r="C535" s="914"/>
      <c r="D535" s="889" t="str">
        <f>'refer admin discharge'!D531</f>
        <v>xx</v>
      </c>
      <c r="E535" s="889"/>
      <c r="F535" s="915" t="str">
        <f>'refer admin discharge'!H531</f>
        <v>00/00/0000</v>
      </c>
      <c r="G535" s="890"/>
      <c r="H535" s="916"/>
      <c r="I535" s="916"/>
      <c r="J535" s="917"/>
      <c r="K535" s="917"/>
      <c r="L535" s="916"/>
      <c r="M535" s="916"/>
      <c r="N535" s="893"/>
      <c r="O535" s="893"/>
      <c r="P535" s="916"/>
      <c r="Q535" s="916"/>
      <c r="R535" s="893"/>
      <c r="S535" s="893"/>
      <c r="T535" s="916"/>
      <c r="U535" s="916"/>
      <c r="V535" s="921" t="str">
        <f>'refer admin discharge'!H536</f>
        <v>00/00/0000</v>
      </c>
      <c r="W535" s="922"/>
      <c r="X535" s="912"/>
      <c r="Y535" s="912"/>
      <c r="Z535" s="924"/>
      <c r="AA535" s="924"/>
      <c r="AB535" s="912"/>
      <c r="AC535" s="912"/>
      <c r="AD535" s="913"/>
      <c r="AE535" s="913"/>
      <c r="AF535" s="912"/>
      <c r="AG535" s="912"/>
      <c r="AH535" s="913"/>
      <c r="AI535" s="913"/>
      <c r="AJ535" s="912"/>
      <c r="AK535" s="912"/>
      <c r="AL535" s="925"/>
      <c r="AM535" s="926"/>
      <c r="AN535" s="926"/>
      <c r="AO535" s="926"/>
      <c r="AP535" s="926"/>
      <c r="AQ535" s="926"/>
      <c r="AR535" s="926"/>
      <c r="AS535" s="926"/>
      <c r="AT535" s="926"/>
      <c r="AU535" s="926"/>
      <c r="AV535" s="926"/>
      <c r="AW535" s="926"/>
      <c r="AX535" s="926"/>
      <c r="AY535" s="926"/>
      <c r="AZ535" s="926"/>
      <c r="BA535" s="926"/>
      <c r="BB535" s="927"/>
    </row>
    <row r="536" spans="1:54" x14ac:dyDescent="0.25">
      <c r="A536" s="13">
        <f t="shared" si="8"/>
        <v>523</v>
      </c>
      <c r="B536" s="888" t="str">
        <f>'refer admin discharge'!B532</f>
        <v>x</v>
      </c>
      <c r="C536" s="888"/>
      <c r="D536" s="868" t="str">
        <f>'refer admin discharge'!D532</f>
        <v>xx</v>
      </c>
      <c r="E536" s="868"/>
      <c r="F536" s="891" t="str">
        <f>'refer admin discharge'!H532</f>
        <v>00/00/0000</v>
      </c>
      <c r="G536" s="892"/>
      <c r="H536" s="894"/>
      <c r="I536" s="894"/>
      <c r="J536" s="918"/>
      <c r="K536" s="918"/>
      <c r="L536" s="894"/>
      <c r="M536" s="894"/>
      <c r="N536" s="916"/>
      <c r="O536" s="916"/>
      <c r="P536" s="894"/>
      <c r="Q536" s="894"/>
      <c r="R536" s="916"/>
      <c r="S536" s="916"/>
      <c r="T536" s="894"/>
      <c r="U536" s="894"/>
      <c r="V536" s="921" t="str">
        <f>'refer admin discharge'!H537</f>
        <v>00/00/0000</v>
      </c>
      <c r="W536" s="922"/>
      <c r="X536" s="920"/>
      <c r="Y536" s="920"/>
      <c r="Z536" s="919"/>
      <c r="AA536" s="919"/>
      <c r="AB536" s="920"/>
      <c r="AC536" s="920"/>
      <c r="AD536" s="912"/>
      <c r="AE536" s="912"/>
      <c r="AF536" s="920"/>
      <c r="AG536" s="920"/>
      <c r="AH536" s="912"/>
      <c r="AI536" s="912"/>
      <c r="AJ536" s="920"/>
      <c r="AK536" s="920"/>
      <c r="AL536" s="905"/>
      <c r="AM536" s="906"/>
      <c r="AN536" s="906"/>
      <c r="AO536" s="906"/>
      <c r="AP536" s="906"/>
      <c r="AQ536" s="906"/>
      <c r="AR536" s="906"/>
      <c r="AS536" s="906"/>
      <c r="AT536" s="906"/>
      <c r="AU536" s="906"/>
      <c r="AV536" s="906"/>
      <c r="AW536" s="906"/>
      <c r="AX536" s="906"/>
      <c r="AY536" s="906"/>
      <c r="AZ536" s="906"/>
      <c r="BA536" s="906"/>
      <c r="BB536" s="907"/>
    </row>
    <row r="537" spans="1:54" x14ac:dyDescent="0.25">
      <c r="A537" s="13">
        <f t="shared" si="8"/>
        <v>524</v>
      </c>
      <c r="B537" s="914" t="str">
        <f>'refer admin discharge'!B533</f>
        <v>x</v>
      </c>
      <c r="C537" s="914"/>
      <c r="D537" s="889" t="str">
        <f>'refer admin discharge'!D533</f>
        <v>xx</v>
      </c>
      <c r="E537" s="889"/>
      <c r="F537" s="915" t="str">
        <f>'refer admin discharge'!H533</f>
        <v>00/00/0000</v>
      </c>
      <c r="G537" s="890"/>
      <c r="H537" s="916"/>
      <c r="I537" s="916"/>
      <c r="J537" s="917"/>
      <c r="K537" s="917"/>
      <c r="L537" s="916"/>
      <c r="M537" s="916"/>
      <c r="N537" s="893"/>
      <c r="O537" s="893"/>
      <c r="P537" s="916"/>
      <c r="Q537" s="916"/>
      <c r="R537" s="893"/>
      <c r="S537" s="893"/>
      <c r="T537" s="916"/>
      <c r="U537" s="916"/>
      <c r="V537" s="921" t="str">
        <f>'refer admin discharge'!H538</f>
        <v>00/00/0000</v>
      </c>
      <c r="W537" s="922"/>
      <c r="X537" s="912"/>
      <c r="Y537" s="912"/>
      <c r="Z537" s="924"/>
      <c r="AA537" s="924"/>
      <c r="AB537" s="912"/>
      <c r="AC537" s="912"/>
      <c r="AD537" s="913"/>
      <c r="AE537" s="913"/>
      <c r="AF537" s="912"/>
      <c r="AG537" s="912"/>
      <c r="AH537" s="913"/>
      <c r="AI537" s="913"/>
      <c r="AJ537" s="912"/>
      <c r="AK537" s="912"/>
      <c r="AL537" s="925"/>
      <c r="AM537" s="926"/>
      <c r="AN537" s="926"/>
      <c r="AO537" s="926"/>
      <c r="AP537" s="926"/>
      <c r="AQ537" s="926"/>
      <c r="AR537" s="926"/>
      <c r="AS537" s="926"/>
      <c r="AT537" s="926"/>
      <c r="AU537" s="926"/>
      <c r="AV537" s="926"/>
      <c r="AW537" s="926"/>
      <c r="AX537" s="926"/>
      <c r="AY537" s="926"/>
      <c r="AZ537" s="926"/>
      <c r="BA537" s="926"/>
      <c r="BB537" s="927"/>
    </row>
    <row r="538" spans="1:54" x14ac:dyDescent="0.25">
      <c r="A538" s="13">
        <f t="shared" si="8"/>
        <v>525</v>
      </c>
      <c r="B538" s="888" t="str">
        <f>'refer admin discharge'!B534</f>
        <v>x</v>
      </c>
      <c r="C538" s="888"/>
      <c r="D538" s="868" t="str">
        <f>'refer admin discharge'!D534</f>
        <v>xx</v>
      </c>
      <c r="E538" s="868"/>
      <c r="F538" s="891" t="str">
        <f>'refer admin discharge'!H534</f>
        <v>00/00/0000</v>
      </c>
      <c r="G538" s="892"/>
      <c r="H538" s="894"/>
      <c r="I538" s="894"/>
      <c r="J538" s="918"/>
      <c r="K538" s="918"/>
      <c r="L538" s="894"/>
      <c r="M538" s="894"/>
      <c r="N538" s="916"/>
      <c r="O538" s="916"/>
      <c r="P538" s="894"/>
      <c r="Q538" s="894"/>
      <c r="R538" s="916"/>
      <c r="S538" s="916"/>
      <c r="T538" s="894"/>
      <c r="U538" s="894"/>
      <c r="V538" s="921" t="str">
        <f>'refer admin discharge'!H539</f>
        <v>00/00/0000</v>
      </c>
      <c r="W538" s="922"/>
      <c r="X538" s="920"/>
      <c r="Y538" s="920"/>
      <c r="Z538" s="919"/>
      <c r="AA538" s="919"/>
      <c r="AB538" s="920"/>
      <c r="AC538" s="920"/>
      <c r="AD538" s="912"/>
      <c r="AE538" s="912"/>
      <c r="AF538" s="920"/>
      <c r="AG538" s="920"/>
      <c r="AH538" s="912"/>
      <c r="AI538" s="912"/>
      <c r="AJ538" s="920"/>
      <c r="AK538" s="920"/>
      <c r="AL538" s="905"/>
      <c r="AM538" s="906"/>
      <c r="AN538" s="906"/>
      <c r="AO538" s="906"/>
      <c r="AP538" s="906"/>
      <c r="AQ538" s="906"/>
      <c r="AR538" s="906"/>
      <c r="AS538" s="906"/>
      <c r="AT538" s="906"/>
      <c r="AU538" s="906"/>
      <c r="AV538" s="906"/>
      <c r="AW538" s="906"/>
      <c r="AX538" s="906"/>
      <c r="AY538" s="906"/>
      <c r="AZ538" s="906"/>
      <c r="BA538" s="906"/>
      <c r="BB538" s="907"/>
    </row>
    <row r="539" spans="1:54" x14ac:dyDescent="0.25">
      <c r="A539" s="13">
        <f t="shared" si="8"/>
        <v>526</v>
      </c>
      <c r="B539" s="914" t="str">
        <f>'refer admin discharge'!B535</f>
        <v>x</v>
      </c>
      <c r="C539" s="914"/>
      <c r="D539" s="889" t="str">
        <f>'refer admin discharge'!D535</f>
        <v>xx</v>
      </c>
      <c r="E539" s="889"/>
      <c r="F539" s="915" t="str">
        <f>'refer admin discharge'!H535</f>
        <v>00/00/0000</v>
      </c>
      <c r="G539" s="890"/>
      <c r="H539" s="916"/>
      <c r="I539" s="916"/>
      <c r="J539" s="917"/>
      <c r="K539" s="917"/>
      <c r="L539" s="916"/>
      <c r="M539" s="916"/>
      <c r="N539" s="893"/>
      <c r="O539" s="893"/>
      <c r="P539" s="916"/>
      <c r="Q539" s="916"/>
      <c r="R539" s="893"/>
      <c r="S539" s="893"/>
      <c r="T539" s="916"/>
      <c r="U539" s="916"/>
      <c r="V539" s="921" t="str">
        <f>'refer admin discharge'!H540</f>
        <v>00/00/0000</v>
      </c>
      <c r="W539" s="922"/>
      <c r="X539" s="912"/>
      <c r="Y539" s="912"/>
      <c r="Z539" s="924"/>
      <c r="AA539" s="924"/>
      <c r="AB539" s="912"/>
      <c r="AC539" s="912"/>
      <c r="AD539" s="913"/>
      <c r="AE539" s="913"/>
      <c r="AF539" s="912"/>
      <c r="AG539" s="912"/>
      <c r="AH539" s="913"/>
      <c r="AI539" s="913"/>
      <c r="AJ539" s="912"/>
      <c r="AK539" s="912"/>
      <c r="AL539" s="925"/>
      <c r="AM539" s="926"/>
      <c r="AN539" s="926"/>
      <c r="AO539" s="926"/>
      <c r="AP539" s="926"/>
      <c r="AQ539" s="926"/>
      <c r="AR539" s="926"/>
      <c r="AS539" s="926"/>
      <c r="AT539" s="926"/>
      <c r="AU539" s="926"/>
      <c r="AV539" s="926"/>
      <c r="AW539" s="926"/>
      <c r="AX539" s="926"/>
      <c r="AY539" s="926"/>
      <c r="AZ539" s="926"/>
      <c r="BA539" s="926"/>
      <c r="BB539" s="927"/>
    </row>
    <row r="540" spans="1:54" x14ac:dyDescent="0.25">
      <c r="A540" s="13">
        <f t="shared" si="8"/>
        <v>527</v>
      </c>
      <c r="B540" s="888" t="str">
        <f>'refer admin discharge'!B536</f>
        <v>x</v>
      </c>
      <c r="C540" s="888"/>
      <c r="D540" s="868" t="str">
        <f>'refer admin discharge'!D536</f>
        <v>xx</v>
      </c>
      <c r="E540" s="868"/>
      <c r="F540" s="891" t="str">
        <f>'refer admin discharge'!H536</f>
        <v>00/00/0000</v>
      </c>
      <c r="G540" s="892"/>
      <c r="H540" s="894"/>
      <c r="I540" s="894"/>
      <c r="J540" s="918"/>
      <c r="K540" s="918"/>
      <c r="L540" s="894"/>
      <c r="M540" s="894"/>
      <c r="N540" s="916"/>
      <c r="O540" s="916"/>
      <c r="P540" s="894"/>
      <c r="Q540" s="894"/>
      <c r="R540" s="916"/>
      <c r="S540" s="916"/>
      <c r="T540" s="894"/>
      <c r="U540" s="894"/>
      <c r="V540" s="921" t="str">
        <f>'refer admin discharge'!H541</f>
        <v>00/00/0000</v>
      </c>
      <c r="W540" s="922"/>
      <c r="X540" s="920"/>
      <c r="Y540" s="920"/>
      <c r="Z540" s="919"/>
      <c r="AA540" s="919"/>
      <c r="AB540" s="920"/>
      <c r="AC540" s="920"/>
      <c r="AD540" s="912"/>
      <c r="AE540" s="912"/>
      <c r="AF540" s="920"/>
      <c r="AG540" s="920"/>
      <c r="AH540" s="912"/>
      <c r="AI540" s="912"/>
      <c r="AJ540" s="920"/>
      <c r="AK540" s="920"/>
      <c r="AL540" s="905"/>
      <c r="AM540" s="906"/>
      <c r="AN540" s="906"/>
      <c r="AO540" s="906"/>
      <c r="AP540" s="906"/>
      <c r="AQ540" s="906"/>
      <c r="AR540" s="906"/>
      <c r="AS540" s="906"/>
      <c r="AT540" s="906"/>
      <c r="AU540" s="906"/>
      <c r="AV540" s="906"/>
      <c r="AW540" s="906"/>
      <c r="AX540" s="906"/>
      <c r="AY540" s="906"/>
      <c r="AZ540" s="906"/>
      <c r="BA540" s="906"/>
      <c r="BB540" s="907"/>
    </row>
    <row r="541" spans="1:54" x14ac:dyDescent="0.25">
      <c r="A541" s="13">
        <f t="shared" si="8"/>
        <v>528</v>
      </c>
      <c r="B541" s="914" t="str">
        <f>'refer admin discharge'!B537</f>
        <v>x</v>
      </c>
      <c r="C541" s="914"/>
      <c r="D541" s="889" t="str">
        <f>'refer admin discharge'!D537</f>
        <v>xx</v>
      </c>
      <c r="E541" s="889"/>
      <c r="F541" s="915" t="str">
        <f>'refer admin discharge'!H537</f>
        <v>00/00/0000</v>
      </c>
      <c r="G541" s="890"/>
      <c r="H541" s="916"/>
      <c r="I541" s="916"/>
      <c r="J541" s="917"/>
      <c r="K541" s="917"/>
      <c r="L541" s="916"/>
      <c r="M541" s="916"/>
      <c r="N541" s="893"/>
      <c r="O541" s="893"/>
      <c r="P541" s="916"/>
      <c r="Q541" s="916"/>
      <c r="R541" s="893"/>
      <c r="S541" s="893"/>
      <c r="T541" s="916"/>
      <c r="U541" s="916"/>
      <c r="V541" s="921" t="str">
        <f>'refer admin discharge'!H542</f>
        <v>00/00/0000</v>
      </c>
      <c r="W541" s="922"/>
      <c r="X541" s="912"/>
      <c r="Y541" s="912"/>
      <c r="Z541" s="924"/>
      <c r="AA541" s="924"/>
      <c r="AB541" s="912"/>
      <c r="AC541" s="912"/>
      <c r="AD541" s="913"/>
      <c r="AE541" s="913"/>
      <c r="AF541" s="912"/>
      <c r="AG541" s="912"/>
      <c r="AH541" s="913"/>
      <c r="AI541" s="913"/>
      <c r="AJ541" s="912"/>
      <c r="AK541" s="912"/>
      <c r="AL541" s="925"/>
      <c r="AM541" s="926"/>
      <c r="AN541" s="926"/>
      <c r="AO541" s="926"/>
      <c r="AP541" s="926"/>
      <c r="AQ541" s="926"/>
      <c r="AR541" s="926"/>
      <c r="AS541" s="926"/>
      <c r="AT541" s="926"/>
      <c r="AU541" s="926"/>
      <c r="AV541" s="926"/>
      <c r="AW541" s="926"/>
      <c r="AX541" s="926"/>
      <c r="AY541" s="926"/>
      <c r="AZ541" s="926"/>
      <c r="BA541" s="926"/>
      <c r="BB541" s="927"/>
    </row>
    <row r="542" spans="1:54" x14ac:dyDescent="0.25">
      <c r="A542" s="13">
        <f t="shared" si="8"/>
        <v>529</v>
      </c>
      <c r="B542" s="888" t="str">
        <f>'refer admin discharge'!B538</f>
        <v>x</v>
      </c>
      <c r="C542" s="888"/>
      <c r="D542" s="868" t="str">
        <f>'refer admin discharge'!D538</f>
        <v>xx</v>
      </c>
      <c r="E542" s="868"/>
      <c r="F542" s="891" t="str">
        <f>'refer admin discharge'!H538</f>
        <v>00/00/0000</v>
      </c>
      <c r="G542" s="892"/>
      <c r="H542" s="894"/>
      <c r="I542" s="894"/>
      <c r="J542" s="918"/>
      <c r="K542" s="918"/>
      <c r="L542" s="894"/>
      <c r="M542" s="894"/>
      <c r="N542" s="916"/>
      <c r="O542" s="916"/>
      <c r="P542" s="894"/>
      <c r="Q542" s="894"/>
      <c r="R542" s="916"/>
      <c r="S542" s="916"/>
      <c r="T542" s="894"/>
      <c r="U542" s="894"/>
      <c r="V542" s="921" t="str">
        <f>'refer admin discharge'!H543</f>
        <v>00/00/0000</v>
      </c>
      <c r="W542" s="922"/>
      <c r="X542" s="920"/>
      <c r="Y542" s="920"/>
      <c r="Z542" s="919"/>
      <c r="AA542" s="919"/>
      <c r="AB542" s="920"/>
      <c r="AC542" s="920"/>
      <c r="AD542" s="912"/>
      <c r="AE542" s="912"/>
      <c r="AF542" s="920"/>
      <c r="AG542" s="920"/>
      <c r="AH542" s="912"/>
      <c r="AI542" s="912"/>
      <c r="AJ542" s="920"/>
      <c r="AK542" s="920"/>
      <c r="AL542" s="905"/>
      <c r="AM542" s="906"/>
      <c r="AN542" s="906"/>
      <c r="AO542" s="906"/>
      <c r="AP542" s="906"/>
      <c r="AQ542" s="906"/>
      <c r="AR542" s="906"/>
      <c r="AS542" s="906"/>
      <c r="AT542" s="906"/>
      <c r="AU542" s="906"/>
      <c r="AV542" s="906"/>
      <c r="AW542" s="906"/>
      <c r="AX542" s="906"/>
      <c r="AY542" s="906"/>
      <c r="AZ542" s="906"/>
      <c r="BA542" s="906"/>
      <c r="BB542" s="907"/>
    </row>
    <row r="543" spans="1:54" x14ac:dyDescent="0.25">
      <c r="A543" s="13">
        <f t="shared" si="8"/>
        <v>530</v>
      </c>
      <c r="B543" s="914" t="str">
        <f>'refer admin discharge'!B539</f>
        <v>x</v>
      </c>
      <c r="C543" s="914"/>
      <c r="D543" s="889" t="str">
        <f>'refer admin discharge'!D539</f>
        <v>xx</v>
      </c>
      <c r="E543" s="889"/>
      <c r="F543" s="915" t="str">
        <f>'refer admin discharge'!H539</f>
        <v>00/00/0000</v>
      </c>
      <c r="G543" s="890"/>
      <c r="H543" s="916"/>
      <c r="I543" s="916"/>
      <c r="J543" s="917"/>
      <c r="K543" s="917"/>
      <c r="L543" s="916"/>
      <c r="M543" s="916"/>
      <c r="N543" s="893"/>
      <c r="O543" s="893"/>
      <c r="P543" s="916"/>
      <c r="Q543" s="916"/>
      <c r="R543" s="893"/>
      <c r="S543" s="893"/>
      <c r="T543" s="916"/>
      <c r="U543" s="916"/>
      <c r="V543" s="921" t="str">
        <f>'refer admin discharge'!H544</f>
        <v>00/00/0000</v>
      </c>
      <c r="W543" s="922"/>
      <c r="X543" s="912"/>
      <c r="Y543" s="912"/>
      <c r="Z543" s="924"/>
      <c r="AA543" s="924"/>
      <c r="AB543" s="912"/>
      <c r="AC543" s="912"/>
      <c r="AD543" s="913"/>
      <c r="AE543" s="913"/>
      <c r="AF543" s="912"/>
      <c r="AG543" s="912"/>
      <c r="AH543" s="913"/>
      <c r="AI543" s="913"/>
      <c r="AJ543" s="912"/>
      <c r="AK543" s="912"/>
      <c r="AL543" s="925"/>
      <c r="AM543" s="926"/>
      <c r="AN543" s="926"/>
      <c r="AO543" s="926"/>
      <c r="AP543" s="926"/>
      <c r="AQ543" s="926"/>
      <c r="AR543" s="926"/>
      <c r="AS543" s="926"/>
      <c r="AT543" s="926"/>
      <c r="AU543" s="926"/>
      <c r="AV543" s="926"/>
      <c r="AW543" s="926"/>
      <c r="AX543" s="926"/>
      <c r="AY543" s="926"/>
      <c r="AZ543" s="926"/>
      <c r="BA543" s="926"/>
      <c r="BB543" s="927"/>
    </row>
    <row r="544" spans="1:54" x14ac:dyDescent="0.25">
      <c r="A544" s="13">
        <f t="shared" si="8"/>
        <v>531</v>
      </c>
      <c r="B544" s="888" t="str">
        <f>'refer admin discharge'!B540</f>
        <v>x</v>
      </c>
      <c r="C544" s="888"/>
      <c r="D544" s="868" t="str">
        <f>'refer admin discharge'!D540</f>
        <v>xx</v>
      </c>
      <c r="E544" s="868"/>
      <c r="F544" s="891" t="str">
        <f>'refer admin discharge'!H540</f>
        <v>00/00/0000</v>
      </c>
      <c r="G544" s="892"/>
      <c r="H544" s="894"/>
      <c r="I544" s="894"/>
      <c r="J544" s="918"/>
      <c r="K544" s="918"/>
      <c r="L544" s="894"/>
      <c r="M544" s="894"/>
      <c r="N544" s="916"/>
      <c r="O544" s="916"/>
      <c r="P544" s="894"/>
      <c r="Q544" s="894"/>
      <c r="R544" s="916"/>
      <c r="S544" s="916"/>
      <c r="T544" s="894"/>
      <c r="U544" s="894"/>
      <c r="V544" s="921" t="str">
        <f>'refer admin discharge'!H545</f>
        <v>00/00/0000</v>
      </c>
      <c r="W544" s="922"/>
      <c r="X544" s="920"/>
      <c r="Y544" s="920"/>
      <c r="Z544" s="919"/>
      <c r="AA544" s="919"/>
      <c r="AB544" s="920"/>
      <c r="AC544" s="920"/>
      <c r="AD544" s="912"/>
      <c r="AE544" s="912"/>
      <c r="AF544" s="920"/>
      <c r="AG544" s="920"/>
      <c r="AH544" s="912"/>
      <c r="AI544" s="912"/>
      <c r="AJ544" s="920"/>
      <c r="AK544" s="920"/>
      <c r="AL544" s="905"/>
      <c r="AM544" s="906"/>
      <c r="AN544" s="906"/>
      <c r="AO544" s="906"/>
      <c r="AP544" s="906"/>
      <c r="AQ544" s="906"/>
      <c r="AR544" s="906"/>
      <c r="AS544" s="906"/>
      <c r="AT544" s="906"/>
      <c r="AU544" s="906"/>
      <c r="AV544" s="906"/>
      <c r="AW544" s="906"/>
      <c r="AX544" s="906"/>
      <c r="AY544" s="906"/>
      <c r="AZ544" s="906"/>
      <c r="BA544" s="906"/>
      <c r="BB544" s="907"/>
    </row>
    <row r="545" spans="1:54" x14ac:dyDescent="0.25">
      <c r="A545" s="13">
        <f t="shared" si="8"/>
        <v>532</v>
      </c>
      <c r="B545" s="914" t="str">
        <f>'refer admin discharge'!B541</f>
        <v>x</v>
      </c>
      <c r="C545" s="914"/>
      <c r="D545" s="889" t="str">
        <f>'refer admin discharge'!D541</f>
        <v>xx</v>
      </c>
      <c r="E545" s="889"/>
      <c r="F545" s="915" t="str">
        <f>'refer admin discharge'!H541</f>
        <v>00/00/0000</v>
      </c>
      <c r="G545" s="890"/>
      <c r="H545" s="916"/>
      <c r="I545" s="916"/>
      <c r="J545" s="917"/>
      <c r="K545" s="917"/>
      <c r="L545" s="916"/>
      <c r="M545" s="916"/>
      <c r="N545" s="893"/>
      <c r="O545" s="893"/>
      <c r="P545" s="916"/>
      <c r="Q545" s="916"/>
      <c r="R545" s="893"/>
      <c r="S545" s="893"/>
      <c r="T545" s="916"/>
      <c r="U545" s="916"/>
      <c r="V545" s="921" t="str">
        <f>'refer admin discharge'!H546</f>
        <v>00/00/0000</v>
      </c>
      <c r="W545" s="922"/>
      <c r="X545" s="912"/>
      <c r="Y545" s="912"/>
      <c r="Z545" s="924"/>
      <c r="AA545" s="924"/>
      <c r="AB545" s="912"/>
      <c r="AC545" s="912"/>
      <c r="AD545" s="913"/>
      <c r="AE545" s="913"/>
      <c r="AF545" s="912"/>
      <c r="AG545" s="912"/>
      <c r="AH545" s="913"/>
      <c r="AI545" s="913"/>
      <c r="AJ545" s="912"/>
      <c r="AK545" s="912"/>
      <c r="AL545" s="925"/>
      <c r="AM545" s="926"/>
      <c r="AN545" s="926"/>
      <c r="AO545" s="926"/>
      <c r="AP545" s="926"/>
      <c r="AQ545" s="926"/>
      <c r="AR545" s="926"/>
      <c r="AS545" s="926"/>
      <c r="AT545" s="926"/>
      <c r="AU545" s="926"/>
      <c r="AV545" s="926"/>
      <c r="AW545" s="926"/>
      <c r="AX545" s="926"/>
      <c r="AY545" s="926"/>
      <c r="AZ545" s="926"/>
      <c r="BA545" s="926"/>
      <c r="BB545" s="927"/>
    </row>
    <row r="546" spans="1:54" x14ac:dyDescent="0.25">
      <c r="A546" s="13">
        <f t="shared" si="8"/>
        <v>533</v>
      </c>
      <c r="B546" s="888" t="str">
        <f>'refer admin discharge'!B542</f>
        <v>x</v>
      </c>
      <c r="C546" s="888"/>
      <c r="D546" s="868" t="str">
        <f>'refer admin discharge'!D542</f>
        <v>xx</v>
      </c>
      <c r="E546" s="868"/>
      <c r="F546" s="891" t="str">
        <f>'refer admin discharge'!H542</f>
        <v>00/00/0000</v>
      </c>
      <c r="G546" s="892"/>
      <c r="H546" s="894"/>
      <c r="I546" s="894"/>
      <c r="J546" s="918"/>
      <c r="K546" s="918"/>
      <c r="L546" s="894"/>
      <c r="M546" s="894"/>
      <c r="N546" s="916"/>
      <c r="O546" s="916"/>
      <c r="P546" s="894"/>
      <c r="Q546" s="894"/>
      <c r="R546" s="916"/>
      <c r="S546" s="916"/>
      <c r="T546" s="894"/>
      <c r="U546" s="894"/>
      <c r="V546" s="921" t="str">
        <f>'refer admin discharge'!H547</f>
        <v>00/00/0000</v>
      </c>
      <c r="W546" s="922"/>
      <c r="X546" s="920"/>
      <c r="Y546" s="920"/>
      <c r="Z546" s="919"/>
      <c r="AA546" s="919"/>
      <c r="AB546" s="920"/>
      <c r="AC546" s="920"/>
      <c r="AD546" s="912"/>
      <c r="AE546" s="912"/>
      <c r="AF546" s="920"/>
      <c r="AG546" s="920"/>
      <c r="AH546" s="912"/>
      <c r="AI546" s="912"/>
      <c r="AJ546" s="920"/>
      <c r="AK546" s="920"/>
      <c r="AL546" s="905"/>
      <c r="AM546" s="906"/>
      <c r="AN546" s="906"/>
      <c r="AO546" s="906"/>
      <c r="AP546" s="906"/>
      <c r="AQ546" s="906"/>
      <c r="AR546" s="906"/>
      <c r="AS546" s="906"/>
      <c r="AT546" s="906"/>
      <c r="AU546" s="906"/>
      <c r="AV546" s="906"/>
      <c r="AW546" s="906"/>
      <c r="AX546" s="906"/>
      <c r="AY546" s="906"/>
      <c r="AZ546" s="906"/>
      <c r="BA546" s="906"/>
      <c r="BB546" s="907"/>
    </row>
    <row r="547" spans="1:54" x14ac:dyDescent="0.25">
      <c r="A547" s="13">
        <f t="shared" si="8"/>
        <v>534</v>
      </c>
      <c r="B547" s="914" t="str">
        <f>'refer admin discharge'!B543</f>
        <v>x</v>
      </c>
      <c r="C547" s="914"/>
      <c r="D547" s="889" t="str">
        <f>'refer admin discharge'!D543</f>
        <v>xx</v>
      </c>
      <c r="E547" s="889"/>
      <c r="F547" s="915" t="str">
        <f>'refer admin discharge'!H543</f>
        <v>00/00/0000</v>
      </c>
      <c r="G547" s="890"/>
      <c r="H547" s="916"/>
      <c r="I547" s="916"/>
      <c r="J547" s="917"/>
      <c r="K547" s="917"/>
      <c r="L547" s="916"/>
      <c r="M547" s="916"/>
      <c r="N547" s="893"/>
      <c r="O547" s="893"/>
      <c r="P547" s="916"/>
      <c r="Q547" s="916"/>
      <c r="R547" s="893"/>
      <c r="S547" s="893"/>
      <c r="T547" s="916"/>
      <c r="U547" s="916"/>
      <c r="V547" s="921" t="str">
        <f>'refer admin discharge'!H548</f>
        <v>00/00/0000</v>
      </c>
      <c r="W547" s="922"/>
      <c r="X547" s="912"/>
      <c r="Y547" s="912"/>
      <c r="Z547" s="924"/>
      <c r="AA547" s="924"/>
      <c r="AB547" s="912"/>
      <c r="AC547" s="912"/>
      <c r="AD547" s="913"/>
      <c r="AE547" s="913"/>
      <c r="AF547" s="912"/>
      <c r="AG547" s="912"/>
      <c r="AH547" s="913"/>
      <c r="AI547" s="913"/>
      <c r="AJ547" s="912"/>
      <c r="AK547" s="912"/>
      <c r="AL547" s="925"/>
      <c r="AM547" s="926"/>
      <c r="AN547" s="926"/>
      <c r="AO547" s="926"/>
      <c r="AP547" s="926"/>
      <c r="AQ547" s="926"/>
      <c r="AR547" s="926"/>
      <c r="AS547" s="926"/>
      <c r="AT547" s="926"/>
      <c r="AU547" s="926"/>
      <c r="AV547" s="926"/>
      <c r="AW547" s="926"/>
      <c r="AX547" s="926"/>
      <c r="AY547" s="926"/>
      <c r="AZ547" s="926"/>
      <c r="BA547" s="926"/>
      <c r="BB547" s="927"/>
    </row>
    <row r="548" spans="1:54" x14ac:dyDescent="0.25">
      <c r="A548" s="13">
        <f t="shared" si="8"/>
        <v>535</v>
      </c>
      <c r="B548" s="888" t="str">
        <f>'refer admin discharge'!B544</f>
        <v>x</v>
      </c>
      <c r="C548" s="888"/>
      <c r="D548" s="868" t="str">
        <f>'refer admin discharge'!D544</f>
        <v>xx</v>
      </c>
      <c r="E548" s="868"/>
      <c r="F548" s="891" t="str">
        <f>'refer admin discharge'!H544</f>
        <v>00/00/0000</v>
      </c>
      <c r="G548" s="892"/>
      <c r="H548" s="894"/>
      <c r="I548" s="894"/>
      <c r="J548" s="918"/>
      <c r="K548" s="918"/>
      <c r="L548" s="894"/>
      <c r="M548" s="894"/>
      <c r="N548" s="916"/>
      <c r="O548" s="916"/>
      <c r="P548" s="894"/>
      <c r="Q548" s="894"/>
      <c r="R548" s="916"/>
      <c r="S548" s="916"/>
      <c r="T548" s="894"/>
      <c r="U548" s="894"/>
      <c r="V548" s="921" t="str">
        <f>'refer admin discharge'!H549</f>
        <v>00/00/0000</v>
      </c>
      <c r="W548" s="922"/>
      <c r="X548" s="920"/>
      <c r="Y548" s="920"/>
      <c r="Z548" s="919"/>
      <c r="AA548" s="919"/>
      <c r="AB548" s="920"/>
      <c r="AC548" s="920"/>
      <c r="AD548" s="912"/>
      <c r="AE548" s="912"/>
      <c r="AF548" s="920"/>
      <c r="AG548" s="920"/>
      <c r="AH548" s="912"/>
      <c r="AI548" s="912"/>
      <c r="AJ548" s="920"/>
      <c r="AK548" s="920"/>
      <c r="AL548" s="905"/>
      <c r="AM548" s="906"/>
      <c r="AN548" s="906"/>
      <c r="AO548" s="906"/>
      <c r="AP548" s="906"/>
      <c r="AQ548" s="906"/>
      <c r="AR548" s="906"/>
      <c r="AS548" s="906"/>
      <c r="AT548" s="906"/>
      <c r="AU548" s="906"/>
      <c r="AV548" s="906"/>
      <c r="AW548" s="906"/>
      <c r="AX548" s="906"/>
      <c r="AY548" s="906"/>
      <c r="AZ548" s="906"/>
      <c r="BA548" s="906"/>
      <c r="BB548" s="907"/>
    </row>
    <row r="549" spans="1:54" x14ac:dyDescent="0.25">
      <c r="A549" s="13">
        <f t="shared" si="8"/>
        <v>536</v>
      </c>
      <c r="B549" s="914" t="str">
        <f>'refer admin discharge'!B545</f>
        <v>x</v>
      </c>
      <c r="C549" s="914"/>
      <c r="D549" s="889" t="str">
        <f>'refer admin discharge'!D545</f>
        <v>xx</v>
      </c>
      <c r="E549" s="889"/>
      <c r="F549" s="915" t="str">
        <f>'refer admin discharge'!H545</f>
        <v>00/00/0000</v>
      </c>
      <c r="G549" s="890"/>
      <c r="H549" s="916"/>
      <c r="I549" s="916"/>
      <c r="J549" s="917"/>
      <c r="K549" s="917"/>
      <c r="L549" s="916"/>
      <c r="M549" s="916"/>
      <c r="N549" s="893"/>
      <c r="O549" s="893"/>
      <c r="P549" s="916"/>
      <c r="Q549" s="916"/>
      <c r="R549" s="893"/>
      <c r="S549" s="893"/>
      <c r="T549" s="916"/>
      <c r="U549" s="916"/>
      <c r="V549" s="921" t="str">
        <f>'refer admin discharge'!H550</f>
        <v>00/00/0000</v>
      </c>
      <c r="W549" s="922"/>
      <c r="X549" s="912"/>
      <c r="Y549" s="912"/>
      <c r="Z549" s="924"/>
      <c r="AA549" s="924"/>
      <c r="AB549" s="912"/>
      <c r="AC549" s="912"/>
      <c r="AD549" s="913"/>
      <c r="AE549" s="913"/>
      <c r="AF549" s="912"/>
      <c r="AG549" s="912"/>
      <c r="AH549" s="913"/>
      <c r="AI549" s="913"/>
      <c r="AJ549" s="912"/>
      <c r="AK549" s="912"/>
      <c r="AL549" s="925"/>
      <c r="AM549" s="926"/>
      <c r="AN549" s="926"/>
      <c r="AO549" s="926"/>
      <c r="AP549" s="926"/>
      <c r="AQ549" s="926"/>
      <c r="AR549" s="926"/>
      <c r="AS549" s="926"/>
      <c r="AT549" s="926"/>
      <c r="AU549" s="926"/>
      <c r="AV549" s="926"/>
      <c r="AW549" s="926"/>
      <c r="AX549" s="926"/>
      <c r="AY549" s="926"/>
      <c r="AZ549" s="926"/>
      <c r="BA549" s="926"/>
      <c r="BB549" s="927"/>
    </row>
    <row r="550" spans="1:54" x14ac:dyDescent="0.25">
      <c r="A550" s="13">
        <f t="shared" si="8"/>
        <v>537</v>
      </c>
      <c r="B550" s="888" t="str">
        <f>'refer admin discharge'!B546</f>
        <v>x</v>
      </c>
      <c r="C550" s="888"/>
      <c r="D550" s="868" t="str">
        <f>'refer admin discharge'!D546</f>
        <v>xx</v>
      </c>
      <c r="E550" s="868"/>
      <c r="F550" s="891" t="str">
        <f>'refer admin discharge'!H546</f>
        <v>00/00/0000</v>
      </c>
      <c r="G550" s="892"/>
      <c r="H550" s="894"/>
      <c r="I550" s="894"/>
      <c r="J550" s="918"/>
      <c r="K550" s="918"/>
      <c r="L550" s="894"/>
      <c r="M550" s="894"/>
      <c r="N550" s="916"/>
      <c r="O550" s="916"/>
      <c r="P550" s="894"/>
      <c r="Q550" s="894"/>
      <c r="R550" s="916"/>
      <c r="S550" s="916"/>
      <c r="T550" s="894"/>
      <c r="U550" s="894"/>
      <c r="V550" s="921" t="str">
        <f>'refer admin discharge'!H551</f>
        <v>00/00/0000</v>
      </c>
      <c r="W550" s="922"/>
      <c r="X550" s="920"/>
      <c r="Y550" s="920"/>
      <c r="Z550" s="919"/>
      <c r="AA550" s="919"/>
      <c r="AB550" s="920"/>
      <c r="AC550" s="920"/>
      <c r="AD550" s="912"/>
      <c r="AE550" s="912"/>
      <c r="AF550" s="920"/>
      <c r="AG550" s="920"/>
      <c r="AH550" s="912"/>
      <c r="AI550" s="912"/>
      <c r="AJ550" s="920"/>
      <c r="AK550" s="920"/>
      <c r="AL550" s="905"/>
      <c r="AM550" s="906"/>
      <c r="AN550" s="906"/>
      <c r="AO550" s="906"/>
      <c r="AP550" s="906"/>
      <c r="AQ550" s="906"/>
      <c r="AR550" s="906"/>
      <c r="AS550" s="906"/>
      <c r="AT550" s="906"/>
      <c r="AU550" s="906"/>
      <c r="AV550" s="906"/>
      <c r="AW550" s="906"/>
      <c r="AX550" s="906"/>
      <c r="AY550" s="906"/>
      <c r="AZ550" s="906"/>
      <c r="BA550" s="906"/>
      <c r="BB550" s="907"/>
    </row>
    <row r="551" spans="1:54" x14ac:dyDescent="0.25">
      <c r="A551" s="13">
        <f t="shared" si="8"/>
        <v>538</v>
      </c>
      <c r="B551" s="914" t="str">
        <f>'refer admin discharge'!B547</f>
        <v>x</v>
      </c>
      <c r="C551" s="914"/>
      <c r="D551" s="889" t="str">
        <f>'refer admin discharge'!D547</f>
        <v>xx</v>
      </c>
      <c r="E551" s="889"/>
      <c r="F551" s="915" t="str">
        <f>'refer admin discharge'!H547</f>
        <v>00/00/0000</v>
      </c>
      <c r="G551" s="890"/>
      <c r="H551" s="916"/>
      <c r="I551" s="916"/>
      <c r="J551" s="917"/>
      <c r="K551" s="917"/>
      <c r="L551" s="916"/>
      <c r="M551" s="916"/>
      <c r="N551" s="893"/>
      <c r="O551" s="893"/>
      <c r="P551" s="916"/>
      <c r="Q551" s="916"/>
      <c r="R551" s="893"/>
      <c r="S551" s="893"/>
      <c r="T551" s="916"/>
      <c r="U551" s="916"/>
      <c r="V551" s="921" t="str">
        <f>'refer admin discharge'!H552</f>
        <v>00/00/0000</v>
      </c>
      <c r="W551" s="922"/>
      <c r="X551" s="912"/>
      <c r="Y551" s="912"/>
      <c r="Z551" s="924"/>
      <c r="AA551" s="924"/>
      <c r="AB551" s="912"/>
      <c r="AC551" s="912"/>
      <c r="AD551" s="913"/>
      <c r="AE551" s="913"/>
      <c r="AF551" s="912"/>
      <c r="AG551" s="912"/>
      <c r="AH551" s="913"/>
      <c r="AI551" s="913"/>
      <c r="AJ551" s="912"/>
      <c r="AK551" s="912"/>
      <c r="AL551" s="925"/>
      <c r="AM551" s="926"/>
      <c r="AN551" s="926"/>
      <c r="AO551" s="926"/>
      <c r="AP551" s="926"/>
      <c r="AQ551" s="926"/>
      <c r="AR551" s="926"/>
      <c r="AS551" s="926"/>
      <c r="AT551" s="926"/>
      <c r="AU551" s="926"/>
      <c r="AV551" s="926"/>
      <c r="AW551" s="926"/>
      <c r="AX551" s="926"/>
      <c r="AY551" s="926"/>
      <c r="AZ551" s="926"/>
      <c r="BA551" s="926"/>
      <c r="BB551" s="927"/>
    </row>
    <row r="552" spans="1:54" x14ac:dyDescent="0.25">
      <c r="A552" s="13">
        <f t="shared" si="8"/>
        <v>539</v>
      </c>
      <c r="B552" s="888" t="str">
        <f>'refer admin discharge'!B548</f>
        <v>x</v>
      </c>
      <c r="C552" s="888"/>
      <c r="D552" s="868" t="str">
        <f>'refer admin discharge'!D548</f>
        <v>xx</v>
      </c>
      <c r="E552" s="868"/>
      <c r="F552" s="891" t="str">
        <f>'refer admin discharge'!H548</f>
        <v>00/00/0000</v>
      </c>
      <c r="G552" s="892"/>
      <c r="H552" s="894"/>
      <c r="I552" s="894"/>
      <c r="J552" s="918"/>
      <c r="K552" s="918"/>
      <c r="L552" s="894"/>
      <c r="M552" s="894"/>
      <c r="N552" s="916"/>
      <c r="O552" s="916"/>
      <c r="P552" s="894"/>
      <c r="Q552" s="894"/>
      <c r="R552" s="916"/>
      <c r="S552" s="916"/>
      <c r="T552" s="894"/>
      <c r="U552" s="894"/>
      <c r="V552" s="921" t="str">
        <f>'refer admin discharge'!H553</f>
        <v>00/00/0000</v>
      </c>
      <c r="W552" s="922"/>
      <c r="X552" s="920"/>
      <c r="Y552" s="920"/>
      <c r="Z552" s="919"/>
      <c r="AA552" s="919"/>
      <c r="AB552" s="920"/>
      <c r="AC552" s="920"/>
      <c r="AD552" s="912"/>
      <c r="AE552" s="912"/>
      <c r="AF552" s="920"/>
      <c r="AG552" s="920"/>
      <c r="AH552" s="912"/>
      <c r="AI552" s="912"/>
      <c r="AJ552" s="920"/>
      <c r="AK552" s="920"/>
      <c r="AL552" s="905"/>
      <c r="AM552" s="906"/>
      <c r="AN552" s="906"/>
      <c r="AO552" s="906"/>
      <c r="AP552" s="906"/>
      <c r="AQ552" s="906"/>
      <c r="AR552" s="906"/>
      <c r="AS552" s="906"/>
      <c r="AT552" s="906"/>
      <c r="AU552" s="906"/>
      <c r="AV552" s="906"/>
      <c r="AW552" s="906"/>
      <c r="AX552" s="906"/>
      <c r="AY552" s="906"/>
      <c r="AZ552" s="906"/>
      <c r="BA552" s="906"/>
      <c r="BB552" s="907"/>
    </row>
    <row r="553" spans="1:54" x14ac:dyDescent="0.25">
      <c r="A553" s="13">
        <f t="shared" si="8"/>
        <v>540</v>
      </c>
      <c r="B553" s="914" t="str">
        <f>'refer admin discharge'!B549</f>
        <v>x</v>
      </c>
      <c r="C553" s="914"/>
      <c r="D553" s="889" t="str">
        <f>'refer admin discharge'!D549</f>
        <v>xx</v>
      </c>
      <c r="E553" s="889"/>
      <c r="F553" s="915" t="str">
        <f>'refer admin discharge'!H549</f>
        <v>00/00/0000</v>
      </c>
      <c r="G553" s="890"/>
      <c r="H553" s="916"/>
      <c r="I553" s="916"/>
      <c r="J553" s="917"/>
      <c r="K553" s="917"/>
      <c r="L553" s="916"/>
      <c r="M553" s="916"/>
      <c r="N553" s="893"/>
      <c r="O553" s="893"/>
      <c r="P553" s="916"/>
      <c r="Q553" s="916"/>
      <c r="R553" s="893"/>
      <c r="S553" s="893"/>
      <c r="T553" s="916"/>
      <c r="U553" s="916"/>
      <c r="V553" s="921" t="str">
        <f>'refer admin discharge'!H554</f>
        <v>00/00/0000</v>
      </c>
      <c r="W553" s="922"/>
      <c r="X553" s="912"/>
      <c r="Y553" s="912"/>
      <c r="Z553" s="924"/>
      <c r="AA553" s="924"/>
      <c r="AB553" s="912"/>
      <c r="AC553" s="912"/>
      <c r="AD553" s="913"/>
      <c r="AE553" s="913"/>
      <c r="AF553" s="912"/>
      <c r="AG553" s="912"/>
      <c r="AH553" s="913"/>
      <c r="AI553" s="913"/>
      <c r="AJ553" s="912"/>
      <c r="AK553" s="912"/>
      <c r="AL553" s="925"/>
      <c r="AM553" s="926"/>
      <c r="AN553" s="926"/>
      <c r="AO553" s="926"/>
      <c r="AP553" s="926"/>
      <c r="AQ553" s="926"/>
      <c r="AR553" s="926"/>
      <c r="AS553" s="926"/>
      <c r="AT553" s="926"/>
      <c r="AU553" s="926"/>
      <c r="AV553" s="926"/>
      <c r="AW553" s="926"/>
      <c r="AX553" s="926"/>
      <c r="AY553" s="926"/>
      <c r="AZ553" s="926"/>
      <c r="BA553" s="926"/>
      <c r="BB553" s="927"/>
    </row>
    <row r="554" spans="1:54" x14ac:dyDescent="0.25">
      <c r="A554" s="13">
        <f t="shared" si="8"/>
        <v>541</v>
      </c>
      <c r="B554" s="888" t="str">
        <f>'refer admin discharge'!B550</f>
        <v>x</v>
      </c>
      <c r="C554" s="888"/>
      <c r="D554" s="868" t="str">
        <f>'refer admin discharge'!D550</f>
        <v>xx</v>
      </c>
      <c r="E554" s="868"/>
      <c r="F554" s="891" t="str">
        <f>'refer admin discharge'!H550</f>
        <v>00/00/0000</v>
      </c>
      <c r="G554" s="892"/>
      <c r="H554" s="894"/>
      <c r="I554" s="894"/>
      <c r="J554" s="918"/>
      <c r="K554" s="918"/>
      <c r="L554" s="894"/>
      <c r="M554" s="894"/>
      <c r="N554" s="916"/>
      <c r="O554" s="916"/>
      <c r="P554" s="894"/>
      <c r="Q554" s="894"/>
      <c r="R554" s="916"/>
      <c r="S554" s="916"/>
      <c r="T554" s="894"/>
      <c r="U554" s="894"/>
      <c r="V554" s="921" t="str">
        <f>'refer admin discharge'!H555</f>
        <v>00/00/0000</v>
      </c>
      <c r="W554" s="922"/>
      <c r="X554" s="920"/>
      <c r="Y554" s="920"/>
      <c r="Z554" s="919"/>
      <c r="AA554" s="919"/>
      <c r="AB554" s="920"/>
      <c r="AC554" s="920"/>
      <c r="AD554" s="912"/>
      <c r="AE554" s="912"/>
      <c r="AF554" s="920"/>
      <c r="AG554" s="920"/>
      <c r="AH554" s="912"/>
      <c r="AI554" s="912"/>
      <c r="AJ554" s="920"/>
      <c r="AK554" s="920"/>
      <c r="AL554" s="905"/>
      <c r="AM554" s="906"/>
      <c r="AN554" s="906"/>
      <c r="AO554" s="906"/>
      <c r="AP554" s="906"/>
      <c r="AQ554" s="906"/>
      <c r="AR554" s="906"/>
      <c r="AS554" s="906"/>
      <c r="AT554" s="906"/>
      <c r="AU554" s="906"/>
      <c r="AV554" s="906"/>
      <c r="AW554" s="906"/>
      <c r="AX554" s="906"/>
      <c r="AY554" s="906"/>
      <c r="AZ554" s="906"/>
      <c r="BA554" s="906"/>
      <c r="BB554" s="907"/>
    </row>
    <row r="555" spans="1:54" x14ac:dyDescent="0.25">
      <c r="A555" s="13">
        <f t="shared" si="8"/>
        <v>542</v>
      </c>
      <c r="B555" s="914" t="str">
        <f>'refer admin discharge'!B551</f>
        <v>x</v>
      </c>
      <c r="C555" s="914"/>
      <c r="D555" s="889" t="str">
        <f>'refer admin discharge'!D551</f>
        <v>xx</v>
      </c>
      <c r="E555" s="889"/>
      <c r="F555" s="915" t="str">
        <f>'refer admin discharge'!H551</f>
        <v>00/00/0000</v>
      </c>
      <c r="G555" s="890"/>
      <c r="H555" s="916"/>
      <c r="I555" s="916"/>
      <c r="J555" s="917"/>
      <c r="K555" s="917"/>
      <c r="L555" s="916"/>
      <c r="M555" s="916"/>
      <c r="N555" s="893"/>
      <c r="O555" s="893"/>
      <c r="P555" s="916"/>
      <c r="Q555" s="916"/>
      <c r="R555" s="893"/>
      <c r="S555" s="893"/>
      <c r="T555" s="916"/>
      <c r="U555" s="916"/>
      <c r="V555" s="921" t="str">
        <f>'refer admin discharge'!H556</f>
        <v>00/00/0000</v>
      </c>
      <c r="W555" s="922"/>
      <c r="X555" s="912"/>
      <c r="Y555" s="912"/>
      <c r="Z555" s="924"/>
      <c r="AA555" s="924"/>
      <c r="AB555" s="912"/>
      <c r="AC555" s="912"/>
      <c r="AD555" s="913"/>
      <c r="AE555" s="913"/>
      <c r="AF555" s="912"/>
      <c r="AG555" s="912"/>
      <c r="AH555" s="913"/>
      <c r="AI555" s="913"/>
      <c r="AJ555" s="912"/>
      <c r="AK555" s="912"/>
      <c r="AL555" s="925"/>
      <c r="AM555" s="926"/>
      <c r="AN555" s="926"/>
      <c r="AO555" s="926"/>
      <c r="AP555" s="926"/>
      <c r="AQ555" s="926"/>
      <c r="AR555" s="926"/>
      <c r="AS555" s="926"/>
      <c r="AT555" s="926"/>
      <c r="AU555" s="926"/>
      <c r="AV555" s="926"/>
      <c r="AW555" s="926"/>
      <c r="AX555" s="926"/>
      <c r="AY555" s="926"/>
      <c r="AZ555" s="926"/>
      <c r="BA555" s="926"/>
      <c r="BB555" s="927"/>
    </row>
    <row r="556" spans="1:54" x14ac:dyDescent="0.25">
      <c r="A556" s="13">
        <f t="shared" si="8"/>
        <v>543</v>
      </c>
      <c r="B556" s="888" t="str">
        <f>'refer admin discharge'!B552</f>
        <v>x</v>
      </c>
      <c r="C556" s="888"/>
      <c r="D556" s="868" t="str">
        <f>'refer admin discharge'!D552</f>
        <v>xx</v>
      </c>
      <c r="E556" s="868"/>
      <c r="F556" s="891" t="str">
        <f>'refer admin discharge'!H552</f>
        <v>00/00/0000</v>
      </c>
      <c r="G556" s="892"/>
      <c r="H556" s="894"/>
      <c r="I556" s="894"/>
      <c r="J556" s="918"/>
      <c r="K556" s="918"/>
      <c r="L556" s="894"/>
      <c r="M556" s="894"/>
      <c r="N556" s="916"/>
      <c r="O556" s="916"/>
      <c r="P556" s="894"/>
      <c r="Q556" s="894"/>
      <c r="R556" s="916"/>
      <c r="S556" s="916"/>
      <c r="T556" s="894"/>
      <c r="U556" s="894"/>
      <c r="V556" s="921" t="str">
        <f>'refer admin discharge'!H557</f>
        <v>00/00/0000</v>
      </c>
      <c r="W556" s="922"/>
      <c r="X556" s="920"/>
      <c r="Y556" s="920"/>
      <c r="Z556" s="919"/>
      <c r="AA556" s="919"/>
      <c r="AB556" s="920"/>
      <c r="AC556" s="920"/>
      <c r="AD556" s="912"/>
      <c r="AE556" s="912"/>
      <c r="AF556" s="920"/>
      <c r="AG556" s="920"/>
      <c r="AH556" s="912"/>
      <c r="AI556" s="912"/>
      <c r="AJ556" s="920"/>
      <c r="AK556" s="920"/>
      <c r="AL556" s="905"/>
      <c r="AM556" s="906"/>
      <c r="AN556" s="906"/>
      <c r="AO556" s="906"/>
      <c r="AP556" s="906"/>
      <c r="AQ556" s="906"/>
      <c r="AR556" s="906"/>
      <c r="AS556" s="906"/>
      <c r="AT556" s="906"/>
      <c r="AU556" s="906"/>
      <c r="AV556" s="906"/>
      <c r="AW556" s="906"/>
      <c r="AX556" s="906"/>
      <c r="AY556" s="906"/>
      <c r="AZ556" s="906"/>
      <c r="BA556" s="906"/>
      <c r="BB556" s="907"/>
    </row>
    <row r="557" spans="1:54" x14ac:dyDescent="0.25">
      <c r="A557" s="13">
        <f t="shared" si="8"/>
        <v>544</v>
      </c>
      <c r="B557" s="914" t="str">
        <f>'refer admin discharge'!B553</f>
        <v>x</v>
      </c>
      <c r="C557" s="914"/>
      <c r="D557" s="889" t="str">
        <f>'refer admin discharge'!D553</f>
        <v>xx</v>
      </c>
      <c r="E557" s="889"/>
      <c r="F557" s="915" t="str">
        <f>'refer admin discharge'!H553</f>
        <v>00/00/0000</v>
      </c>
      <c r="G557" s="890"/>
      <c r="H557" s="916"/>
      <c r="I557" s="916"/>
      <c r="J557" s="917"/>
      <c r="K557" s="917"/>
      <c r="L557" s="916"/>
      <c r="M557" s="916"/>
      <c r="N557" s="893"/>
      <c r="O557" s="893"/>
      <c r="P557" s="916"/>
      <c r="Q557" s="916"/>
      <c r="R557" s="893"/>
      <c r="S557" s="893"/>
      <c r="T557" s="916"/>
      <c r="U557" s="916"/>
      <c r="V557" s="921" t="str">
        <f>'refer admin discharge'!H558</f>
        <v>00/00/0000</v>
      </c>
      <c r="W557" s="922"/>
      <c r="X557" s="912"/>
      <c r="Y557" s="912"/>
      <c r="Z557" s="924"/>
      <c r="AA557" s="924"/>
      <c r="AB557" s="912"/>
      <c r="AC557" s="912"/>
      <c r="AD557" s="913"/>
      <c r="AE557" s="913"/>
      <c r="AF557" s="912"/>
      <c r="AG557" s="912"/>
      <c r="AH557" s="913"/>
      <c r="AI557" s="913"/>
      <c r="AJ557" s="912"/>
      <c r="AK557" s="912"/>
      <c r="AL557" s="925"/>
      <c r="AM557" s="926"/>
      <c r="AN557" s="926"/>
      <c r="AO557" s="926"/>
      <c r="AP557" s="926"/>
      <c r="AQ557" s="926"/>
      <c r="AR557" s="926"/>
      <c r="AS557" s="926"/>
      <c r="AT557" s="926"/>
      <c r="AU557" s="926"/>
      <c r="AV557" s="926"/>
      <c r="AW557" s="926"/>
      <c r="AX557" s="926"/>
      <c r="AY557" s="926"/>
      <c r="AZ557" s="926"/>
      <c r="BA557" s="926"/>
      <c r="BB557" s="927"/>
    </row>
    <row r="558" spans="1:54" x14ac:dyDescent="0.25">
      <c r="A558" s="13">
        <f t="shared" si="8"/>
        <v>545</v>
      </c>
      <c r="B558" s="888" t="str">
        <f>'refer admin discharge'!B554</f>
        <v>x</v>
      </c>
      <c r="C558" s="888"/>
      <c r="D558" s="868" t="str">
        <f>'refer admin discharge'!D554</f>
        <v>xx</v>
      </c>
      <c r="E558" s="868"/>
      <c r="F558" s="891" t="str">
        <f>'refer admin discharge'!H554</f>
        <v>00/00/0000</v>
      </c>
      <c r="G558" s="892"/>
      <c r="H558" s="894"/>
      <c r="I558" s="894"/>
      <c r="J558" s="918"/>
      <c r="K558" s="918"/>
      <c r="L558" s="894"/>
      <c r="M558" s="894"/>
      <c r="N558" s="916"/>
      <c r="O558" s="916"/>
      <c r="P558" s="894"/>
      <c r="Q558" s="894"/>
      <c r="R558" s="916"/>
      <c r="S558" s="916"/>
      <c r="T558" s="894"/>
      <c r="U558" s="894"/>
      <c r="V558" s="921" t="str">
        <f>'refer admin discharge'!H559</f>
        <v>00/00/0000</v>
      </c>
      <c r="W558" s="922"/>
      <c r="X558" s="920"/>
      <c r="Y558" s="920"/>
      <c r="Z558" s="919"/>
      <c r="AA558" s="919"/>
      <c r="AB558" s="920"/>
      <c r="AC558" s="920"/>
      <c r="AD558" s="912"/>
      <c r="AE558" s="912"/>
      <c r="AF558" s="920"/>
      <c r="AG558" s="920"/>
      <c r="AH558" s="912"/>
      <c r="AI558" s="912"/>
      <c r="AJ558" s="920"/>
      <c r="AK558" s="920"/>
      <c r="AL558" s="905"/>
      <c r="AM558" s="906"/>
      <c r="AN558" s="906"/>
      <c r="AO558" s="906"/>
      <c r="AP558" s="906"/>
      <c r="AQ558" s="906"/>
      <c r="AR558" s="906"/>
      <c r="AS558" s="906"/>
      <c r="AT558" s="906"/>
      <c r="AU558" s="906"/>
      <c r="AV558" s="906"/>
      <c r="AW558" s="906"/>
      <c r="AX558" s="906"/>
      <c r="AY558" s="906"/>
      <c r="AZ558" s="906"/>
      <c r="BA558" s="906"/>
      <c r="BB558" s="907"/>
    </row>
    <row r="559" spans="1:54" x14ac:dyDescent="0.25">
      <c r="A559" s="13">
        <f t="shared" si="8"/>
        <v>546</v>
      </c>
      <c r="B559" s="914" t="str">
        <f>'refer admin discharge'!B555</f>
        <v>x</v>
      </c>
      <c r="C559" s="914"/>
      <c r="D559" s="889" t="str">
        <f>'refer admin discharge'!D555</f>
        <v>xx</v>
      </c>
      <c r="E559" s="889"/>
      <c r="F559" s="915" t="str">
        <f>'refer admin discharge'!H555</f>
        <v>00/00/0000</v>
      </c>
      <c r="G559" s="890"/>
      <c r="H559" s="916"/>
      <c r="I559" s="916"/>
      <c r="J559" s="917"/>
      <c r="K559" s="917"/>
      <c r="L559" s="916"/>
      <c r="M559" s="916"/>
      <c r="N559" s="893"/>
      <c r="O559" s="893"/>
      <c r="P559" s="916"/>
      <c r="Q559" s="916"/>
      <c r="R559" s="893"/>
      <c r="S559" s="893"/>
      <c r="T559" s="916"/>
      <c r="U559" s="916"/>
      <c r="V559" s="921" t="str">
        <f>'refer admin discharge'!H560</f>
        <v>00/00/0000</v>
      </c>
      <c r="W559" s="922"/>
      <c r="X559" s="912"/>
      <c r="Y559" s="912"/>
      <c r="Z559" s="924"/>
      <c r="AA559" s="924"/>
      <c r="AB559" s="912"/>
      <c r="AC559" s="912"/>
      <c r="AD559" s="913"/>
      <c r="AE559" s="913"/>
      <c r="AF559" s="912"/>
      <c r="AG559" s="912"/>
      <c r="AH559" s="913"/>
      <c r="AI559" s="913"/>
      <c r="AJ559" s="912"/>
      <c r="AK559" s="912"/>
      <c r="AL559" s="925"/>
      <c r="AM559" s="926"/>
      <c r="AN559" s="926"/>
      <c r="AO559" s="926"/>
      <c r="AP559" s="926"/>
      <c r="AQ559" s="926"/>
      <c r="AR559" s="926"/>
      <c r="AS559" s="926"/>
      <c r="AT559" s="926"/>
      <c r="AU559" s="926"/>
      <c r="AV559" s="926"/>
      <c r="AW559" s="926"/>
      <c r="AX559" s="926"/>
      <c r="AY559" s="926"/>
      <c r="AZ559" s="926"/>
      <c r="BA559" s="926"/>
      <c r="BB559" s="927"/>
    </row>
    <row r="560" spans="1:54" x14ac:dyDescent="0.25">
      <c r="A560" s="13">
        <f t="shared" si="8"/>
        <v>547</v>
      </c>
      <c r="B560" s="888" t="str">
        <f>'refer admin discharge'!B556</f>
        <v>x</v>
      </c>
      <c r="C560" s="888"/>
      <c r="D560" s="868" t="str">
        <f>'refer admin discharge'!D556</f>
        <v>xx</v>
      </c>
      <c r="E560" s="868"/>
      <c r="F560" s="891" t="str">
        <f>'refer admin discharge'!H556</f>
        <v>00/00/0000</v>
      </c>
      <c r="G560" s="892"/>
      <c r="H560" s="894"/>
      <c r="I560" s="894"/>
      <c r="J560" s="918"/>
      <c r="K560" s="918"/>
      <c r="L560" s="894"/>
      <c r="M560" s="894"/>
      <c r="N560" s="916"/>
      <c r="O560" s="916"/>
      <c r="P560" s="894"/>
      <c r="Q560" s="894"/>
      <c r="R560" s="916"/>
      <c r="S560" s="916"/>
      <c r="T560" s="894"/>
      <c r="U560" s="894"/>
      <c r="V560" s="921" t="str">
        <f>'refer admin discharge'!H561</f>
        <v>00/00/0000</v>
      </c>
      <c r="W560" s="922"/>
      <c r="X560" s="920"/>
      <c r="Y560" s="920"/>
      <c r="Z560" s="919"/>
      <c r="AA560" s="919"/>
      <c r="AB560" s="920"/>
      <c r="AC560" s="920"/>
      <c r="AD560" s="912"/>
      <c r="AE560" s="912"/>
      <c r="AF560" s="920"/>
      <c r="AG560" s="920"/>
      <c r="AH560" s="912"/>
      <c r="AI560" s="912"/>
      <c r="AJ560" s="920"/>
      <c r="AK560" s="920"/>
      <c r="AL560" s="905"/>
      <c r="AM560" s="906"/>
      <c r="AN560" s="906"/>
      <c r="AO560" s="906"/>
      <c r="AP560" s="906"/>
      <c r="AQ560" s="906"/>
      <c r="AR560" s="906"/>
      <c r="AS560" s="906"/>
      <c r="AT560" s="906"/>
      <c r="AU560" s="906"/>
      <c r="AV560" s="906"/>
      <c r="AW560" s="906"/>
      <c r="AX560" s="906"/>
      <c r="AY560" s="906"/>
      <c r="AZ560" s="906"/>
      <c r="BA560" s="906"/>
      <c r="BB560" s="907"/>
    </row>
    <row r="561" spans="1:54" x14ac:dyDescent="0.25">
      <c r="A561" s="13">
        <f t="shared" si="8"/>
        <v>548</v>
      </c>
      <c r="B561" s="914" t="str">
        <f>'refer admin discharge'!B557</f>
        <v>x</v>
      </c>
      <c r="C561" s="914"/>
      <c r="D561" s="889" t="str">
        <f>'refer admin discharge'!D557</f>
        <v>xx</v>
      </c>
      <c r="E561" s="889"/>
      <c r="F561" s="915" t="str">
        <f>'refer admin discharge'!H557</f>
        <v>00/00/0000</v>
      </c>
      <c r="G561" s="890"/>
      <c r="H561" s="916"/>
      <c r="I561" s="916"/>
      <c r="J561" s="917"/>
      <c r="K561" s="917"/>
      <c r="L561" s="916"/>
      <c r="M561" s="916"/>
      <c r="N561" s="893"/>
      <c r="O561" s="893"/>
      <c r="P561" s="916"/>
      <c r="Q561" s="916"/>
      <c r="R561" s="893"/>
      <c r="S561" s="893"/>
      <c r="T561" s="916"/>
      <c r="U561" s="916"/>
      <c r="V561" s="921" t="str">
        <f>'refer admin discharge'!H562</f>
        <v>00/00/0000</v>
      </c>
      <c r="W561" s="922"/>
      <c r="X561" s="912"/>
      <c r="Y561" s="912"/>
      <c r="Z561" s="924"/>
      <c r="AA561" s="924"/>
      <c r="AB561" s="912"/>
      <c r="AC561" s="912"/>
      <c r="AD561" s="913"/>
      <c r="AE561" s="913"/>
      <c r="AF561" s="912"/>
      <c r="AG561" s="912"/>
      <c r="AH561" s="913"/>
      <c r="AI561" s="913"/>
      <c r="AJ561" s="912"/>
      <c r="AK561" s="912"/>
      <c r="AL561" s="925"/>
      <c r="AM561" s="926"/>
      <c r="AN561" s="926"/>
      <c r="AO561" s="926"/>
      <c r="AP561" s="926"/>
      <c r="AQ561" s="926"/>
      <c r="AR561" s="926"/>
      <c r="AS561" s="926"/>
      <c r="AT561" s="926"/>
      <c r="AU561" s="926"/>
      <c r="AV561" s="926"/>
      <c r="AW561" s="926"/>
      <c r="AX561" s="926"/>
      <c r="AY561" s="926"/>
      <c r="AZ561" s="926"/>
      <c r="BA561" s="926"/>
      <c r="BB561" s="927"/>
    </row>
    <row r="562" spans="1:54" x14ac:dyDescent="0.25">
      <c r="A562" s="13">
        <f t="shared" si="8"/>
        <v>549</v>
      </c>
      <c r="B562" s="888" t="str">
        <f>'refer admin discharge'!B558</f>
        <v>x</v>
      </c>
      <c r="C562" s="888"/>
      <c r="D562" s="868" t="str">
        <f>'refer admin discharge'!D558</f>
        <v>xx</v>
      </c>
      <c r="E562" s="868"/>
      <c r="F562" s="891" t="str">
        <f>'refer admin discharge'!H558</f>
        <v>00/00/0000</v>
      </c>
      <c r="G562" s="892"/>
      <c r="H562" s="894"/>
      <c r="I562" s="894"/>
      <c r="J562" s="918"/>
      <c r="K562" s="918"/>
      <c r="L562" s="894"/>
      <c r="M562" s="894"/>
      <c r="N562" s="916"/>
      <c r="O562" s="916"/>
      <c r="P562" s="894"/>
      <c r="Q562" s="894"/>
      <c r="R562" s="916"/>
      <c r="S562" s="916"/>
      <c r="T562" s="894"/>
      <c r="U562" s="894"/>
      <c r="V562" s="921" t="str">
        <f>'refer admin discharge'!H563</f>
        <v>00/00/0000</v>
      </c>
      <c r="W562" s="922"/>
      <c r="X562" s="920"/>
      <c r="Y562" s="920"/>
      <c r="Z562" s="919"/>
      <c r="AA562" s="919"/>
      <c r="AB562" s="920"/>
      <c r="AC562" s="920"/>
      <c r="AD562" s="912"/>
      <c r="AE562" s="912"/>
      <c r="AF562" s="920"/>
      <c r="AG562" s="920"/>
      <c r="AH562" s="912"/>
      <c r="AI562" s="912"/>
      <c r="AJ562" s="920"/>
      <c r="AK562" s="920"/>
      <c r="AL562" s="905"/>
      <c r="AM562" s="906"/>
      <c r="AN562" s="906"/>
      <c r="AO562" s="906"/>
      <c r="AP562" s="906"/>
      <c r="AQ562" s="906"/>
      <c r="AR562" s="906"/>
      <c r="AS562" s="906"/>
      <c r="AT562" s="906"/>
      <c r="AU562" s="906"/>
      <c r="AV562" s="906"/>
      <c r="AW562" s="906"/>
      <c r="AX562" s="906"/>
      <c r="AY562" s="906"/>
      <c r="AZ562" s="906"/>
      <c r="BA562" s="906"/>
      <c r="BB562" s="907"/>
    </row>
    <row r="563" spans="1:54" x14ac:dyDescent="0.25">
      <c r="A563" s="13">
        <f t="shared" si="8"/>
        <v>550</v>
      </c>
      <c r="B563" s="914" t="str">
        <f>'refer admin discharge'!B559</f>
        <v>x</v>
      </c>
      <c r="C563" s="914"/>
      <c r="D563" s="889" t="str">
        <f>'refer admin discharge'!D559</f>
        <v>xx</v>
      </c>
      <c r="E563" s="889"/>
      <c r="F563" s="915" t="str">
        <f>'refer admin discharge'!H559</f>
        <v>00/00/0000</v>
      </c>
      <c r="G563" s="890"/>
      <c r="H563" s="916"/>
      <c r="I563" s="916"/>
      <c r="J563" s="917"/>
      <c r="K563" s="917"/>
      <c r="L563" s="916"/>
      <c r="M563" s="916"/>
      <c r="N563" s="893"/>
      <c r="O563" s="893"/>
      <c r="P563" s="916"/>
      <c r="Q563" s="916"/>
      <c r="R563" s="893"/>
      <c r="S563" s="893"/>
      <c r="T563" s="916"/>
      <c r="U563" s="916"/>
      <c r="V563" s="921" t="str">
        <f>'refer admin discharge'!H564</f>
        <v>00/00/0000</v>
      </c>
      <c r="W563" s="922"/>
      <c r="X563" s="912"/>
      <c r="Y563" s="912"/>
      <c r="Z563" s="924"/>
      <c r="AA563" s="924"/>
      <c r="AB563" s="912"/>
      <c r="AC563" s="912"/>
      <c r="AD563" s="913"/>
      <c r="AE563" s="913"/>
      <c r="AF563" s="912"/>
      <c r="AG563" s="912"/>
      <c r="AH563" s="913"/>
      <c r="AI563" s="913"/>
      <c r="AJ563" s="912"/>
      <c r="AK563" s="912"/>
      <c r="AL563" s="925"/>
      <c r="AM563" s="926"/>
      <c r="AN563" s="926"/>
      <c r="AO563" s="926"/>
      <c r="AP563" s="926"/>
      <c r="AQ563" s="926"/>
      <c r="AR563" s="926"/>
      <c r="AS563" s="926"/>
      <c r="AT563" s="926"/>
      <c r="AU563" s="926"/>
      <c r="AV563" s="926"/>
      <c r="AW563" s="926"/>
      <c r="AX563" s="926"/>
      <c r="AY563" s="926"/>
      <c r="AZ563" s="926"/>
      <c r="BA563" s="926"/>
      <c r="BB563" s="927"/>
    </row>
    <row r="564" spans="1:54" x14ac:dyDescent="0.25">
      <c r="A564" s="13">
        <f t="shared" si="8"/>
        <v>551</v>
      </c>
      <c r="B564" s="888" t="str">
        <f>'refer admin discharge'!B560</f>
        <v>x</v>
      </c>
      <c r="C564" s="888"/>
      <c r="D564" s="868" t="str">
        <f>'refer admin discharge'!D560</f>
        <v>xx</v>
      </c>
      <c r="E564" s="868"/>
      <c r="F564" s="891" t="str">
        <f>'refer admin discharge'!H560</f>
        <v>00/00/0000</v>
      </c>
      <c r="G564" s="892"/>
      <c r="H564" s="894"/>
      <c r="I564" s="894"/>
      <c r="J564" s="918"/>
      <c r="K564" s="918"/>
      <c r="L564" s="894"/>
      <c r="M564" s="894"/>
      <c r="N564" s="916"/>
      <c r="O564" s="916"/>
      <c r="P564" s="894"/>
      <c r="Q564" s="894"/>
      <c r="R564" s="916"/>
      <c r="S564" s="916"/>
      <c r="T564" s="894"/>
      <c r="U564" s="894"/>
      <c r="V564" s="921" t="str">
        <f>'refer admin discharge'!H565</f>
        <v>00/00/0000</v>
      </c>
      <c r="W564" s="922"/>
      <c r="X564" s="920"/>
      <c r="Y564" s="920"/>
      <c r="Z564" s="919"/>
      <c r="AA564" s="919"/>
      <c r="AB564" s="920"/>
      <c r="AC564" s="920"/>
      <c r="AD564" s="912"/>
      <c r="AE564" s="912"/>
      <c r="AF564" s="920"/>
      <c r="AG564" s="920"/>
      <c r="AH564" s="912"/>
      <c r="AI564" s="912"/>
      <c r="AJ564" s="920"/>
      <c r="AK564" s="920"/>
      <c r="AL564" s="905"/>
      <c r="AM564" s="906"/>
      <c r="AN564" s="906"/>
      <c r="AO564" s="906"/>
      <c r="AP564" s="906"/>
      <c r="AQ564" s="906"/>
      <c r="AR564" s="906"/>
      <c r="AS564" s="906"/>
      <c r="AT564" s="906"/>
      <c r="AU564" s="906"/>
      <c r="AV564" s="906"/>
      <c r="AW564" s="906"/>
      <c r="AX564" s="906"/>
      <c r="AY564" s="906"/>
      <c r="AZ564" s="906"/>
      <c r="BA564" s="906"/>
      <c r="BB564" s="907"/>
    </row>
    <row r="565" spans="1:54" x14ac:dyDescent="0.25">
      <c r="A565" s="13">
        <f t="shared" si="8"/>
        <v>552</v>
      </c>
      <c r="B565" s="914" t="str">
        <f>'refer admin discharge'!B561</f>
        <v>x</v>
      </c>
      <c r="C565" s="914"/>
      <c r="D565" s="889" t="str">
        <f>'refer admin discharge'!D561</f>
        <v>xx</v>
      </c>
      <c r="E565" s="889"/>
      <c r="F565" s="915" t="str">
        <f>'refer admin discharge'!H561</f>
        <v>00/00/0000</v>
      </c>
      <c r="G565" s="890"/>
      <c r="H565" s="916"/>
      <c r="I565" s="916"/>
      <c r="J565" s="917"/>
      <c r="K565" s="917"/>
      <c r="L565" s="916"/>
      <c r="M565" s="916"/>
      <c r="N565" s="893"/>
      <c r="O565" s="893"/>
      <c r="P565" s="916"/>
      <c r="Q565" s="916"/>
      <c r="R565" s="893"/>
      <c r="S565" s="893"/>
      <c r="T565" s="916"/>
      <c r="U565" s="916"/>
      <c r="V565" s="921" t="str">
        <f>'refer admin discharge'!H566</f>
        <v>00/00/0000</v>
      </c>
      <c r="W565" s="922"/>
      <c r="X565" s="912"/>
      <c r="Y565" s="912"/>
      <c r="Z565" s="924"/>
      <c r="AA565" s="924"/>
      <c r="AB565" s="912"/>
      <c r="AC565" s="912"/>
      <c r="AD565" s="913"/>
      <c r="AE565" s="913"/>
      <c r="AF565" s="912"/>
      <c r="AG565" s="912"/>
      <c r="AH565" s="913"/>
      <c r="AI565" s="913"/>
      <c r="AJ565" s="912"/>
      <c r="AK565" s="912"/>
      <c r="AL565" s="925"/>
      <c r="AM565" s="926"/>
      <c r="AN565" s="926"/>
      <c r="AO565" s="926"/>
      <c r="AP565" s="926"/>
      <c r="AQ565" s="926"/>
      <c r="AR565" s="926"/>
      <c r="AS565" s="926"/>
      <c r="AT565" s="926"/>
      <c r="AU565" s="926"/>
      <c r="AV565" s="926"/>
      <c r="AW565" s="926"/>
      <c r="AX565" s="926"/>
      <c r="AY565" s="926"/>
      <c r="AZ565" s="926"/>
      <c r="BA565" s="926"/>
      <c r="BB565" s="927"/>
    </row>
    <row r="566" spans="1:54" x14ac:dyDescent="0.25">
      <c r="A566" s="13">
        <f t="shared" si="8"/>
        <v>553</v>
      </c>
      <c r="B566" s="888" t="str">
        <f>'refer admin discharge'!B562</f>
        <v>x</v>
      </c>
      <c r="C566" s="888"/>
      <c r="D566" s="868" t="str">
        <f>'refer admin discharge'!D562</f>
        <v>xx</v>
      </c>
      <c r="E566" s="868"/>
      <c r="F566" s="891" t="str">
        <f>'refer admin discharge'!H562</f>
        <v>00/00/0000</v>
      </c>
      <c r="G566" s="892"/>
      <c r="H566" s="894"/>
      <c r="I566" s="894"/>
      <c r="J566" s="918"/>
      <c r="K566" s="918"/>
      <c r="L566" s="894"/>
      <c r="M566" s="894"/>
      <c r="N566" s="916"/>
      <c r="O566" s="916"/>
      <c r="P566" s="894"/>
      <c r="Q566" s="894"/>
      <c r="R566" s="916"/>
      <c r="S566" s="916"/>
      <c r="T566" s="894"/>
      <c r="U566" s="894"/>
      <c r="V566" s="921" t="str">
        <f>'refer admin discharge'!H567</f>
        <v>00/00/0000</v>
      </c>
      <c r="W566" s="922"/>
      <c r="X566" s="920"/>
      <c r="Y566" s="920"/>
      <c r="Z566" s="919"/>
      <c r="AA566" s="919"/>
      <c r="AB566" s="920"/>
      <c r="AC566" s="920"/>
      <c r="AD566" s="912"/>
      <c r="AE566" s="912"/>
      <c r="AF566" s="920"/>
      <c r="AG566" s="920"/>
      <c r="AH566" s="912"/>
      <c r="AI566" s="912"/>
      <c r="AJ566" s="920"/>
      <c r="AK566" s="920"/>
      <c r="AL566" s="905"/>
      <c r="AM566" s="906"/>
      <c r="AN566" s="906"/>
      <c r="AO566" s="906"/>
      <c r="AP566" s="906"/>
      <c r="AQ566" s="906"/>
      <c r="AR566" s="906"/>
      <c r="AS566" s="906"/>
      <c r="AT566" s="906"/>
      <c r="AU566" s="906"/>
      <c r="AV566" s="906"/>
      <c r="AW566" s="906"/>
      <c r="AX566" s="906"/>
      <c r="AY566" s="906"/>
      <c r="AZ566" s="906"/>
      <c r="BA566" s="906"/>
      <c r="BB566" s="907"/>
    </row>
    <row r="567" spans="1:54" x14ac:dyDescent="0.25">
      <c r="A567" s="13">
        <f t="shared" si="8"/>
        <v>554</v>
      </c>
      <c r="B567" s="914" t="str">
        <f>'refer admin discharge'!B563</f>
        <v>x</v>
      </c>
      <c r="C567" s="914"/>
      <c r="D567" s="889" t="str">
        <f>'refer admin discharge'!D563</f>
        <v>xx</v>
      </c>
      <c r="E567" s="889"/>
      <c r="F567" s="915" t="str">
        <f>'refer admin discharge'!H563</f>
        <v>00/00/0000</v>
      </c>
      <c r="G567" s="890"/>
      <c r="H567" s="916"/>
      <c r="I567" s="916"/>
      <c r="J567" s="917"/>
      <c r="K567" s="917"/>
      <c r="L567" s="916"/>
      <c r="M567" s="916"/>
      <c r="N567" s="893"/>
      <c r="O567" s="893"/>
      <c r="P567" s="916"/>
      <c r="Q567" s="916"/>
      <c r="R567" s="893"/>
      <c r="S567" s="893"/>
      <c r="T567" s="916"/>
      <c r="U567" s="916"/>
      <c r="V567" s="921" t="str">
        <f>'refer admin discharge'!H568</f>
        <v>00/00/0000</v>
      </c>
      <c r="W567" s="922"/>
      <c r="X567" s="912"/>
      <c r="Y567" s="912"/>
      <c r="Z567" s="924"/>
      <c r="AA567" s="924"/>
      <c r="AB567" s="912"/>
      <c r="AC567" s="912"/>
      <c r="AD567" s="913"/>
      <c r="AE567" s="913"/>
      <c r="AF567" s="912"/>
      <c r="AG567" s="912"/>
      <c r="AH567" s="913"/>
      <c r="AI567" s="913"/>
      <c r="AJ567" s="912"/>
      <c r="AK567" s="912"/>
      <c r="AL567" s="925"/>
      <c r="AM567" s="926"/>
      <c r="AN567" s="926"/>
      <c r="AO567" s="926"/>
      <c r="AP567" s="926"/>
      <c r="AQ567" s="926"/>
      <c r="AR567" s="926"/>
      <c r="AS567" s="926"/>
      <c r="AT567" s="926"/>
      <c r="AU567" s="926"/>
      <c r="AV567" s="926"/>
      <c r="AW567" s="926"/>
      <c r="AX567" s="926"/>
      <c r="AY567" s="926"/>
      <c r="AZ567" s="926"/>
      <c r="BA567" s="926"/>
      <c r="BB567" s="927"/>
    </row>
    <row r="568" spans="1:54" x14ac:dyDescent="0.25">
      <c r="A568" s="13">
        <f t="shared" si="8"/>
        <v>555</v>
      </c>
      <c r="B568" s="888" t="str">
        <f>'refer admin discharge'!B564</f>
        <v>x</v>
      </c>
      <c r="C568" s="888"/>
      <c r="D568" s="868" t="str">
        <f>'refer admin discharge'!D564</f>
        <v>xx</v>
      </c>
      <c r="E568" s="868"/>
      <c r="F568" s="891" t="str">
        <f>'refer admin discharge'!H564</f>
        <v>00/00/0000</v>
      </c>
      <c r="G568" s="892"/>
      <c r="H568" s="894"/>
      <c r="I568" s="894"/>
      <c r="J568" s="918"/>
      <c r="K568" s="918"/>
      <c r="L568" s="894"/>
      <c r="M568" s="894"/>
      <c r="N568" s="916"/>
      <c r="O568" s="916"/>
      <c r="P568" s="894"/>
      <c r="Q568" s="894"/>
      <c r="R568" s="916"/>
      <c r="S568" s="916"/>
      <c r="T568" s="894"/>
      <c r="U568" s="894"/>
      <c r="V568" s="921" t="str">
        <f>'refer admin discharge'!H569</f>
        <v>00/00/0000</v>
      </c>
      <c r="W568" s="922"/>
      <c r="X568" s="920"/>
      <c r="Y568" s="920"/>
      <c r="Z568" s="919"/>
      <c r="AA568" s="919"/>
      <c r="AB568" s="920"/>
      <c r="AC568" s="920"/>
      <c r="AD568" s="912"/>
      <c r="AE568" s="912"/>
      <c r="AF568" s="920"/>
      <c r="AG568" s="920"/>
      <c r="AH568" s="912"/>
      <c r="AI568" s="912"/>
      <c r="AJ568" s="920"/>
      <c r="AK568" s="920"/>
      <c r="AL568" s="905"/>
      <c r="AM568" s="906"/>
      <c r="AN568" s="906"/>
      <c r="AO568" s="906"/>
      <c r="AP568" s="906"/>
      <c r="AQ568" s="906"/>
      <c r="AR568" s="906"/>
      <c r="AS568" s="906"/>
      <c r="AT568" s="906"/>
      <c r="AU568" s="906"/>
      <c r="AV568" s="906"/>
      <c r="AW568" s="906"/>
      <c r="AX568" s="906"/>
      <c r="AY568" s="906"/>
      <c r="AZ568" s="906"/>
      <c r="BA568" s="906"/>
      <c r="BB568" s="907"/>
    </row>
    <row r="569" spans="1:54" x14ac:dyDescent="0.25">
      <c r="A569" s="13">
        <f t="shared" si="8"/>
        <v>556</v>
      </c>
      <c r="B569" s="914" t="str">
        <f>'refer admin discharge'!B565</f>
        <v>x</v>
      </c>
      <c r="C569" s="914"/>
      <c r="D569" s="889" t="str">
        <f>'refer admin discharge'!D565</f>
        <v>xx</v>
      </c>
      <c r="E569" s="889"/>
      <c r="F569" s="915" t="str">
        <f>'refer admin discharge'!H565</f>
        <v>00/00/0000</v>
      </c>
      <c r="G569" s="890"/>
      <c r="H569" s="916"/>
      <c r="I569" s="916"/>
      <c r="J569" s="917"/>
      <c r="K569" s="917"/>
      <c r="L569" s="916"/>
      <c r="M569" s="916"/>
      <c r="N569" s="893"/>
      <c r="O569" s="893"/>
      <c r="P569" s="916"/>
      <c r="Q569" s="916"/>
      <c r="R569" s="893"/>
      <c r="S569" s="893"/>
      <c r="T569" s="916"/>
      <c r="U569" s="916"/>
      <c r="V569" s="921" t="str">
        <f>'refer admin discharge'!H570</f>
        <v>00/00/0000</v>
      </c>
      <c r="W569" s="922"/>
      <c r="X569" s="912"/>
      <c r="Y569" s="912"/>
      <c r="Z569" s="924"/>
      <c r="AA569" s="924"/>
      <c r="AB569" s="912"/>
      <c r="AC569" s="912"/>
      <c r="AD569" s="913"/>
      <c r="AE569" s="913"/>
      <c r="AF569" s="912"/>
      <c r="AG569" s="912"/>
      <c r="AH569" s="913"/>
      <c r="AI569" s="913"/>
      <c r="AJ569" s="912"/>
      <c r="AK569" s="912"/>
      <c r="AL569" s="925"/>
      <c r="AM569" s="926"/>
      <c r="AN569" s="926"/>
      <c r="AO569" s="926"/>
      <c r="AP569" s="926"/>
      <c r="AQ569" s="926"/>
      <c r="AR569" s="926"/>
      <c r="AS569" s="926"/>
      <c r="AT569" s="926"/>
      <c r="AU569" s="926"/>
      <c r="AV569" s="926"/>
      <c r="AW569" s="926"/>
      <c r="AX569" s="926"/>
      <c r="AY569" s="926"/>
      <c r="AZ569" s="926"/>
      <c r="BA569" s="926"/>
      <c r="BB569" s="927"/>
    </row>
    <row r="570" spans="1:54" x14ac:dyDescent="0.25">
      <c r="A570" s="13">
        <f t="shared" si="8"/>
        <v>557</v>
      </c>
      <c r="B570" s="888" t="str">
        <f>'refer admin discharge'!B566</f>
        <v>x</v>
      </c>
      <c r="C570" s="888"/>
      <c r="D570" s="868" t="str">
        <f>'refer admin discharge'!D566</f>
        <v>xx</v>
      </c>
      <c r="E570" s="868"/>
      <c r="F570" s="891" t="str">
        <f>'refer admin discharge'!H566</f>
        <v>00/00/0000</v>
      </c>
      <c r="G570" s="892"/>
      <c r="H570" s="894"/>
      <c r="I570" s="894"/>
      <c r="J570" s="918"/>
      <c r="K570" s="918"/>
      <c r="L570" s="894"/>
      <c r="M570" s="894"/>
      <c r="N570" s="916"/>
      <c r="O570" s="916"/>
      <c r="P570" s="894"/>
      <c r="Q570" s="894"/>
      <c r="R570" s="916"/>
      <c r="S570" s="916"/>
      <c r="T570" s="894"/>
      <c r="U570" s="894"/>
      <c r="V570" s="921" t="str">
        <f>'refer admin discharge'!H571</f>
        <v>00/00/0000</v>
      </c>
      <c r="W570" s="922"/>
      <c r="X570" s="920"/>
      <c r="Y570" s="920"/>
      <c r="Z570" s="919"/>
      <c r="AA570" s="919"/>
      <c r="AB570" s="920"/>
      <c r="AC570" s="920"/>
      <c r="AD570" s="912"/>
      <c r="AE570" s="912"/>
      <c r="AF570" s="920"/>
      <c r="AG570" s="920"/>
      <c r="AH570" s="912"/>
      <c r="AI570" s="912"/>
      <c r="AJ570" s="920"/>
      <c r="AK570" s="920"/>
      <c r="AL570" s="905"/>
      <c r="AM570" s="906"/>
      <c r="AN570" s="906"/>
      <c r="AO570" s="906"/>
      <c r="AP570" s="906"/>
      <c r="AQ570" s="906"/>
      <c r="AR570" s="906"/>
      <c r="AS570" s="906"/>
      <c r="AT570" s="906"/>
      <c r="AU570" s="906"/>
      <c r="AV570" s="906"/>
      <c r="AW570" s="906"/>
      <c r="AX570" s="906"/>
      <c r="AY570" s="906"/>
      <c r="AZ570" s="906"/>
      <c r="BA570" s="906"/>
      <c r="BB570" s="907"/>
    </row>
    <row r="571" spans="1:54" x14ac:dyDescent="0.25">
      <c r="A571" s="13">
        <f t="shared" si="8"/>
        <v>558</v>
      </c>
      <c r="B571" s="914" t="str">
        <f>'refer admin discharge'!B567</f>
        <v>x</v>
      </c>
      <c r="C571" s="914"/>
      <c r="D571" s="889" t="str">
        <f>'refer admin discharge'!D567</f>
        <v>xx</v>
      </c>
      <c r="E571" s="889"/>
      <c r="F571" s="915" t="str">
        <f>'refer admin discharge'!H567</f>
        <v>00/00/0000</v>
      </c>
      <c r="G571" s="890"/>
      <c r="H571" s="916"/>
      <c r="I571" s="916"/>
      <c r="J571" s="917"/>
      <c r="K571" s="917"/>
      <c r="L571" s="916"/>
      <c r="M571" s="916"/>
      <c r="N571" s="893"/>
      <c r="O571" s="893"/>
      <c r="P571" s="916"/>
      <c r="Q571" s="916"/>
      <c r="R571" s="893"/>
      <c r="S571" s="893"/>
      <c r="T571" s="916"/>
      <c r="U571" s="916"/>
      <c r="V571" s="921" t="str">
        <f>'refer admin discharge'!H572</f>
        <v>00/00/0000</v>
      </c>
      <c r="W571" s="922"/>
      <c r="X571" s="912"/>
      <c r="Y571" s="912"/>
      <c r="Z571" s="924"/>
      <c r="AA571" s="924"/>
      <c r="AB571" s="912"/>
      <c r="AC571" s="912"/>
      <c r="AD571" s="913"/>
      <c r="AE571" s="913"/>
      <c r="AF571" s="912"/>
      <c r="AG571" s="912"/>
      <c r="AH571" s="913"/>
      <c r="AI571" s="913"/>
      <c r="AJ571" s="912"/>
      <c r="AK571" s="912"/>
      <c r="AL571" s="925"/>
      <c r="AM571" s="926"/>
      <c r="AN571" s="926"/>
      <c r="AO571" s="926"/>
      <c r="AP571" s="926"/>
      <c r="AQ571" s="926"/>
      <c r="AR571" s="926"/>
      <c r="AS571" s="926"/>
      <c r="AT571" s="926"/>
      <c r="AU571" s="926"/>
      <c r="AV571" s="926"/>
      <c r="AW571" s="926"/>
      <c r="AX571" s="926"/>
      <c r="AY571" s="926"/>
      <c r="AZ571" s="926"/>
      <c r="BA571" s="926"/>
      <c r="BB571" s="927"/>
    </row>
    <row r="572" spans="1:54" x14ac:dyDescent="0.25">
      <c r="A572" s="13">
        <f t="shared" si="8"/>
        <v>559</v>
      </c>
      <c r="B572" s="888" t="str">
        <f>'refer admin discharge'!B568</f>
        <v>x</v>
      </c>
      <c r="C572" s="888"/>
      <c r="D572" s="868" t="str">
        <f>'refer admin discharge'!D568</f>
        <v>xx</v>
      </c>
      <c r="E572" s="868"/>
      <c r="F572" s="891" t="str">
        <f>'refer admin discharge'!H568</f>
        <v>00/00/0000</v>
      </c>
      <c r="G572" s="892"/>
      <c r="H572" s="894"/>
      <c r="I572" s="894"/>
      <c r="J572" s="918"/>
      <c r="K572" s="918"/>
      <c r="L572" s="894"/>
      <c r="M572" s="894"/>
      <c r="N572" s="916"/>
      <c r="O572" s="916"/>
      <c r="P572" s="894"/>
      <c r="Q572" s="894"/>
      <c r="R572" s="916"/>
      <c r="S572" s="916"/>
      <c r="T572" s="894"/>
      <c r="U572" s="894"/>
      <c r="V572" s="921" t="str">
        <f>'refer admin discharge'!H573</f>
        <v>00/00/0000</v>
      </c>
      <c r="W572" s="922"/>
      <c r="X572" s="920"/>
      <c r="Y572" s="920"/>
      <c r="Z572" s="919"/>
      <c r="AA572" s="919"/>
      <c r="AB572" s="920"/>
      <c r="AC572" s="920"/>
      <c r="AD572" s="912"/>
      <c r="AE572" s="912"/>
      <c r="AF572" s="920"/>
      <c r="AG572" s="920"/>
      <c r="AH572" s="912"/>
      <c r="AI572" s="912"/>
      <c r="AJ572" s="920"/>
      <c r="AK572" s="920"/>
      <c r="AL572" s="905"/>
      <c r="AM572" s="906"/>
      <c r="AN572" s="906"/>
      <c r="AO572" s="906"/>
      <c r="AP572" s="906"/>
      <c r="AQ572" s="906"/>
      <c r="AR572" s="906"/>
      <c r="AS572" s="906"/>
      <c r="AT572" s="906"/>
      <c r="AU572" s="906"/>
      <c r="AV572" s="906"/>
      <c r="AW572" s="906"/>
      <c r="AX572" s="906"/>
      <c r="AY572" s="906"/>
      <c r="AZ572" s="906"/>
      <c r="BA572" s="906"/>
      <c r="BB572" s="907"/>
    </row>
    <row r="573" spans="1:54" x14ac:dyDescent="0.25">
      <c r="A573" s="13">
        <f t="shared" si="8"/>
        <v>560</v>
      </c>
      <c r="B573" s="914" t="str">
        <f>'refer admin discharge'!B569</f>
        <v>x</v>
      </c>
      <c r="C573" s="914"/>
      <c r="D573" s="889" t="str">
        <f>'refer admin discharge'!D569</f>
        <v>xx</v>
      </c>
      <c r="E573" s="889"/>
      <c r="F573" s="915" t="str">
        <f>'refer admin discharge'!H569</f>
        <v>00/00/0000</v>
      </c>
      <c r="G573" s="890"/>
      <c r="H573" s="916"/>
      <c r="I573" s="916"/>
      <c r="J573" s="917"/>
      <c r="K573" s="917"/>
      <c r="L573" s="916"/>
      <c r="M573" s="916"/>
      <c r="N573" s="893"/>
      <c r="O573" s="893"/>
      <c r="P573" s="916"/>
      <c r="Q573" s="916"/>
      <c r="R573" s="893"/>
      <c r="S573" s="893"/>
      <c r="T573" s="916"/>
      <c r="U573" s="916"/>
      <c r="V573" s="921" t="str">
        <f>'refer admin discharge'!H574</f>
        <v>00/00/0000</v>
      </c>
      <c r="W573" s="922"/>
      <c r="X573" s="912"/>
      <c r="Y573" s="912"/>
      <c r="Z573" s="924"/>
      <c r="AA573" s="924"/>
      <c r="AB573" s="912"/>
      <c r="AC573" s="912"/>
      <c r="AD573" s="913"/>
      <c r="AE573" s="913"/>
      <c r="AF573" s="912"/>
      <c r="AG573" s="912"/>
      <c r="AH573" s="913"/>
      <c r="AI573" s="913"/>
      <c r="AJ573" s="912"/>
      <c r="AK573" s="912"/>
      <c r="AL573" s="925"/>
      <c r="AM573" s="926"/>
      <c r="AN573" s="926"/>
      <c r="AO573" s="926"/>
      <c r="AP573" s="926"/>
      <c r="AQ573" s="926"/>
      <c r="AR573" s="926"/>
      <c r="AS573" s="926"/>
      <c r="AT573" s="926"/>
      <c r="AU573" s="926"/>
      <c r="AV573" s="926"/>
      <c r="AW573" s="926"/>
      <c r="AX573" s="926"/>
      <c r="AY573" s="926"/>
      <c r="AZ573" s="926"/>
      <c r="BA573" s="926"/>
      <c r="BB573" s="927"/>
    </row>
    <row r="574" spans="1:54" x14ac:dyDescent="0.25">
      <c r="A574" s="13">
        <f t="shared" si="8"/>
        <v>561</v>
      </c>
      <c r="B574" s="888" t="str">
        <f>'refer admin discharge'!B570</f>
        <v>x</v>
      </c>
      <c r="C574" s="888"/>
      <c r="D574" s="868" t="str">
        <f>'refer admin discharge'!D570</f>
        <v>xx</v>
      </c>
      <c r="E574" s="868"/>
      <c r="F574" s="891" t="str">
        <f>'refer admin discharge'!H570</f>
        <v>00/00/0000</v>
      </c>
      <c r="G574" s="892"/>
      <c r="H574" s="894"/>
      <c r="I574" s="894"/>
      <c r="J574" s="918"/>
      <c r="K574" s="918"/>
      <c r="L574" s="894"/>
      <c r="M574" s="894"/>
      <c r="N574" s="916"/>
      <c r="O574" s="916"/>
      <c r="P574" s="894"/>
      <c r="Q574" s="894"/>
      <c r="R574" s="916"/>
      <c r="S574" s="916"/>
      <c r="T574" s="894"/>
      <c r="U574" s="894"/>
      <c r="V574" s="921" t="str">
        <f>'refer admin discharge'!H575</f>
        <v>00/00/0000</v>
      </c>
      <c r="W574" s="922"/>
      <c r="X574" s="920"/>
      <c r="Y574" s="920"/>
      <c r="Z574" s="919"/>
      <c r="AA574" s="919"/>
      <c r="AB574" s="920"/>
      <c r="AC574" s="920"/>
      <c r="AD574" s="912"/>
      <c r="AE574" s="912"/>
      <c r="AF574" s="920"/>
      <c r="AG574" s="920"/>
      <c r="AH574" s="912"/>
      <c r="AI574" s="912"/>
      <c r="AJ574" s="920"/>
      <c r="AK574" s="920"/>
      <c r="AL574" s="905"/>
      <c r="AM574" s="906"/>
      <c r="AN574" s="906"/>
      <c r="AO574" s="906"/>
      <c r="AP574" s="906"/>
      <c r="AQ574" s="906"/>
      <c r="AR574" s="906"/>
      <c r="AS574" s="906"/>
      <c r="AT574" s="906"/>
      <c r="AU574" s="906"/>
      <c r="AV574" s="906"/>
      <c r="AW574" s="906"/>
      <c r="AX574" s="906"/>
      <c r="AY574" s="906"/>
      <c r="AZ574" s="906"/>
      <c r="BA574" s="906"/>
      <c r="BB574" s="907"/>
    </row>
    <row r="575" spans="1:54" x14ac:dyDescent="0.25">
      <c r="A575" s="13">
        <f t="shared" si="8"/>
        <v>562</v>
      </c>
      <c r="B575" s="914" t="str">
        <f>'refer admin discharge'!B571</f>
        <v>x</v>
      </c>
      <c r="C575" s="914"/>
      <c r="D575" s="889" t="str">
        <f>'refer admin discharge'!D571</f>
        <v>xx</v>
      </c>
      <c r="E575" s="889"/>
      <c r="F575" s="915" t="str">
        <f>'refer admin discharge'!H571</f>
        <v>00/00/0000</v>
      </c>
      <c r="G575" s="890"/>
      <c r="H575" s="916"/>
      <c r="I575" s="916"/>
      <c r="J575" s="917"/>
      <c r="K575" s="917"/>
      <c r="L575" s="916"/>
      <c r="M575" s="916"/>
      <c r="N575" s="893"/>
      <c r="O575" s="893"/>
      <c r="P575" s="916"/>
      <c r="Q575" s="916"/>
      <c r="R575" s="893"/>
      <c r="S575" s="893"/>
      <c r="T575" s="916"/>
      <c r="U575" s="916"/>
      <c r="V575" s="921" t="str">
        <f>'refer admin discharge'!H576</f>
        <v>00/00/0000</v>
      </c>
      <c r="W575" s="922"/>
      <c r="X575" s="912"/>
      <c r="Y575" s="912"/>
      <c r="Z575" s="924"/>
      <c r="AA575" s="924"/>
      <c r="AB575" s="912"/>
      <c r="AC575" s="912"/>
      <c r="AD575" s="913"/>
      <c r="AE575" s="913"/>
      <c r="AF575" s="912"/>
      <c r="AG575" s="912"/>
      <c r="AH575" s="913"/>
      <c r="AI575" s="913"/>
      <c r="AJ575" s="912"/>
      <c r="AK575" s="912"/>
      <c r="AL575" s="925"/>
      <c r="AM575" s="926"/>
      <c r="AN575" s="926"/>
      <c r="AO575" s="926"/>
      <c r="AP575" s="926"/>
      <c r="AQ575" s="926"/>
      <c r="AR575" s="926"/>
      <c r="AS575" s="926"/>
      <c r="AT575" s="926"/>
      <c r="AU575" s="926"/>
      <c r="AV575" s="926"/>
      <c r="AW575" s="926"/>
      <c r="AX575" s="926"/>
      <c r="AY575" s="926"/>
      <c r="AZ575" s="926"/>
      <c r="BA575" s="926"/>
      <c r="BB575" s="927"/>
    </row>
    <row r="576" spans="1:54" x14ac:dyDescent="0.25">
      <c r="A576" s="13">
        <f t="shared" si="8"/>
        <v>563</v>
      </c>
      <c r="B576" s="888" t="str">
        <f>'refer admin discharge'!B572</f>
        <v>x</v>
      </c>
      <c r="C576" s="888"/>
      <c r="D576" s="868" t="str">
        <f>'refer admin discharge'!D572</f>
        <v>xx</v>
      </c>
      <c r="E576" s="868"/>
      <c r="F576" s="891" t="str">
        <f>'refer admin discharge'!H572</f>
        <v>00/00/0000</v>
      </c>
      <c r="G576" s="892"/>
      <c r="H576" s="894"/>
      <c r="I576" s="894"/>
      <c r="J576" s="918"/>
      <c r="K576" s="918"/>
      <c r="L576" s="894"/>
      <c r="M576" s="894"/>
      <c r="N576" s="916"/>
      <c r="O576" s="916"/>
      <c r="P576" s="894"/>
      <c r="Q576" s="894"/>
      <c r="R576" s="916"/>
      <c r="S576" s="916"/>
      <c r="T576" s="894"/>
      <c r="U576" s="894"/>
      <c r="V576" s="921" t="str">
        <f>'refer admin discharge'!H577</f>
        <v>00/00/0000</v>
      </c>
      <c r="W576" s="922"/>
      <c r="X576" s="920"/>
      <c r="Y576" s="920"/>
      <c r="Z576" s="919"/>
      <c r="AA576" s="919"/>
      <c r="AB576" s="920"/>
      <c r="AC576" s="920"/>
      <c r="AD576" s="912"/>
      <c r="AE576" s="912"/>
      <c r="AF576" s="920"/>
      <c r="AG576" s="920"/>
      <c r="AH576" s="912"/>
      <c r="AI576" s="912"/>
      <c r="AJ576" s="920"/>
      <c r="AK576" s="920"/>
      <c r="AL576" s="905"/>
      <c r="AM576" s="906"/>
      <c r="AN576" s="906"/>
      <c r="AO576" s="906"/>
      <c r="AP576" s="906"/>
      <c r="AQ576" s="906"/>
      <c r="AR576" s="906"/>
      <c r="AS576" s="906"/>
      <c r="AT576" s="906"/>
      <c r="AU576" s="906"/>
      <c r="AV576" s="906"/>
      <c r="AW576" s="906"/>
      <c r="AX576" s="906"/>
      <c r="AY576" s="906"/>
      <c r="AZ576" s="906"/>
      <c r="BA576" s="906"/>
      <c r="BB576" s="907"/>
    </row>
    <row r="577" spans="1:54" x14ac:dyDescent="0.25">
      <c r="A577" s="13">
        <f t="shared" si="8"/>
        <v>564</v>
      </c>
      <c r="B577" s="914" t="str">
        <f>'refer admin discharge'!B573</f>
        <v>x</v>
      </c>
      <c r="C577" s="914"/>
      <c r="D577" s="889" t="str">
        <f>'refer admin discharge'!D573</f>
        <v>xx</v>
      </c>
      <c r="E577" s="889"/>
      <c r="F577" s="915" t="str">
        <f>'refer admin discharge'!H573</f>
        <v>00/00/0000</v>
      </c>
      <c r="G577" s="890"/>
      <c r="H577" s="916"/>
      <c r="I577" s="916"/>
      <c r="J577" s="917"/>
      <c r="K577" s="917"/>
      <c r="L577" s="916"/>
      <c r="M577" s="916"/>
      <c r="N577" s="893"/>
      <c r="O577" s="893"/>
      <c r="P577" s="916"/>
      <c r="Q577" s="916"/>
      <c r="R577" s="893"/>
      <c r="S577" s="893"/>
      <c r="T577" s="916"/>
      <c r="U577" s="916"/>
      <c r="V577" s="921" t="str">
        <f>'refer admin discharge'!H578</f>
        <v>00/00/0000</v>
      </c>
      <c r="W577" s="922"/>
      <c r="X577" s="912"/>
      <c r="Y577" s="912"/>
      <c r="Z577" s="924"/>
      <c r="AA577" s="924"/>
      <c r="AB577" s="912"/>
      <c r="AC577" s="912"/>
      <c r="AD577" s="913"/>
      <c r="AE577" s="913"/>
      <c r="AF577" s="912"/>
      <c r="AG577" s="912"/>
      <c r="AH577" s="913"/>
      <c r="AI577" s="913"/>
      <c r="AJ577" s="912"/>
      <c r="AK577" s="912"/>
      <c r="AL577" s="925"/>
      <c r="AM577" s="926"/>
      <c r="AN577" s="926"/>
      <c r="AO577" s="926"/>
      <c r="AP577" s="926"/>
      <c r="AQ577" s="926"/>
      <c r="AR577" s="926"/>
      <c r="AS577" s="926"/>
      <c r="AT577" s="926"/>
      <c r="AU577" s="926"/>
      <c r="AV577" s="926"/>
      <c r="AW577" s="926"/>
      <c r="AX577" s="926"/>
      <c r="AY577" s="926"/>
      <c r="AZ577" s="926"/>
      <c r="BA577" s="926"/>
      <c r="BB577" s="927"/>
    </row>
    <row r="578" spans="1:54" x14ac:dyDescent="0.25">
      <c r="A578" s="13">
        <f t="shared" si="8"/>
        <v>565</v>
      </c>
      <c r="B578" s="888" t="str">
        <f>'refer admin discharge'!B574</f>
        <v>x</v>
      </c>
      <c r="C578" s="888"/>
      <c r="D578" s="868" t="str">
        <f>'refer admin discharge'!D574</f>
        <v>xx</v>
      </c>
      <c r="E578" s="868"/>
      <c r="F578" s="891" t="str">
        <f>'refer admin discharge'!H574</f>
        <v>00/00/0000</v>
      </c>
      <c r="G578" s="892"/>
      <c r="H578" s="894"/>
      <c r="I578" s="894"/>
      <c r="J578" s="918"/>
      <c r="K578" s="918"/>
      <c r="L578" s="894"/>
      <c r="M578" s="894"/>
      <c r="N578" s="916"/>
      <c r="O578" s="916"/>
      <c r="P578" s="894"/>
      <c r="Q578" s="894"/>
      <c r="R578" s="916"/>
      <c r="S578" s="916"/>
      <c r="T578" s="894"/>
      <c r="U578" s="894"/>
      <c r="V578" s="921" t="str">
        <f>'refer admin discharge'!H579</f>
        <v>00/00/0000</v>
      </c>
      <c r="W578" s="922"/>
      <c r="X578" s="920"/>
      <c r="Y578" s="920"/>
      <c r="Z578" s="919"/>
      <c r="AA578" s="919"/>
      <c r="AB578" s="920"/>
      <c r="AC578" s="920"/>
      <c r="AD578" s="912"/>
      <c r="AE578" s="912"/>
      <c r="AF578" s="920"/>
      <c r="AG578" s="920"/>
      <c r="AH578" s="912"/>
      <c r="AI578" s="912"/>
      <c r="AJ578" s="920"/>
      <c r="AK578" s="920"/>
      <c r="AL578" s="905"/>
      <c r="AM578" s="906"/>
      <c r="AN578" s="906"/>
      <c r="AO578" s="906"/>
      <c r="AP578" s="906"/>
      <c r="AQ578" s="906"/>
      <c r="AR578" s="906"/>
      <c r="AS578" s="906"/>
      <c r="AT578" s="906"/>
      <c r="AU578" s="906"/>
      <c r="AV578" s="906"/>
      <c r="AW578" s="906"/>
      <c r="AX578" s="906"/>
      <c r="AY578" s="906"/>
      <c r="AZ578" s="906"/>
      <c r="BA578" s="906"/>
      <c r="BB578" s="907"/>
    </row>
    <row r="579" spans="1:54" x14ac:dyDescent="0.25">
      <c r="A579" s="13">
        <f t="shared" si="8"/>
        <v>566</v>
      </c>
      <c r="B579" s="914" t="str">
        <f>'refer admin discharge'!B575</f>
        <v>x</v>
      </c>
      <c r="C579" s="914"/>
      <c r="D579" s="889" t="str">
        <f>'refer admin discharge'!D575</f>
        <v>xx</v>
      </c>
      <c r="E579" s="889"/>
      <c r="F579" s="915" t="str">
        <f>'refer admin discharge'!H575</f>
        <v>00/00/0000</v>
      </c>
      <c r="G579" s="890"/>
      <c r="H579" s="916"/>
      <c r="I579" s="916"/>
      <c r="J579" s="917"/>
      <c r="K579" s="917"/>
      <c r="L579" s="916"/>
      <c r="M579" s="916"/>
      <c r="N579" s="893"/>
      <c r="O579" s="893"/>
      <c r="P579" s="916"/>
      <c r="Q579" s="916"/>
      <c r="R579" s="893"/>
      <c r="S579" s="893"/>
      <c r="T579" s="916"/>
      <c r="U579" s="916"/>
      <c r="V579" s="921" t="str">
        <f>'refer admin discharge'!H580</f>
        <v>00/00/0000</v>
      </c>
      <c r="W579" s="922"/>
      <c r="X579" s="912"/>
      <c r="Y579" s="912"/>
      <c r="Z579" s="924"/>
      <c r="AA579" s="924"/>
      <c r="AB579" s="912"/>
      <c r="AC579" s="912"/>
      <c r="AD579" s="913"/>
      <c r="AE579" s="913"/>
      <c r="AF579" s="912"/>
      <c r="AG579" s="912"/>
      <c r="AH579" s="913"/>
      <c r="AI579" s="913"/>
      <c r="AJ579" s="912"/>
      <c r="AK579" s="912"/>
      <c r="AL579" s="925"/>
      <c r="AM579" s="926"/>
      <c r="AN579" s="926"/>
      <c r="AO579" s="926"/>
      <c r="AP579" s="926"/>
      <c r="AQ579" s="926"/>
      <c r="AR579" s="926"/>
      <c r="AS579" s="926"/>
      <c r="AT579" s="926"/>
      <c r="AU579" s="926"/>
      <c r="AV579" s="926"/>
      <c r="AW579" s="926"/>
      <c r="AX579" s="926"/>
      <c r="AY579" s="926"/>
      <c r="AZ579" s="926"/>
      <c r="BA579" s="926"/>
      <c r="BB579" s="927"/>
    </row>
    <row r="580" spans="1:54" x14ac:dyDescent="0.25">
      <c r="A580" s="13">
        <f t="shared" si="8"/>
        <v>567</v>
      </c>
      <c r="B580" s="888" t="str">
        <f>'refer admin discharge'!B576</f>
        <v>x</v>
      </c>
      <c r="C580" s="888"/>
      <c r="D580" s="868" t="str">
        <f>'refer admin discharge'!D576</f>
        <v>xx</v>
      </c>
      <c r="E580" s="868"/>
      <c r="F580" s="891" t="str">
        <f>'refer admin discharge'!H576</f>
        <v>00/00/0000</v>
      </c>
      <c r="G580" s="892"/>
      <c r="H580" s="894"/>
      <c r="I580" s="894"/>
      <c r="J580" s="918"/>
      <c r="K580" s="918"/>
      <c r="L580" s="894"/>
      <c r="M580" s="894"/>
      <c r="N580" s="916"/>
      <c r="O580" s="916"/>
      <c r="P580" s="894"/>
      <c r="Q580" s="894"/>
      <c r="R580" s="916"/>
      <c r="S580" s="916"/>
      <c r="T580" s="894"/>
      <c r="U580" s="894"/>
      <c r="V580" s="921" t="str">
        <f>'refer admin discharge'!H581</f>
        <v>00/00/0000</v>
      </c>
      <c r="W580" s="922"/>
      <c r="X580" s="920"/>
      <c r="Y580" s="920"/>
      <c r="Z580" s="919"/>
      <c r="AA580" s="919"/>
      <c r="AB580" s="920"/>
      <c r="AC580" s="920"/>
      <c r="AD580" s="912"/>
      <c r="AE580" s="912"/>
      <c r="AF580" s="920"/>
      <c r="AG580" s="920"/>
      <c r="AH580" s="912"/>
      <c r="AI580" s="912"/>
      <c r="AJ580" s="920"/>
      <c r="AK580" s="920"/>
      <c r="AL580" s="905"/>
      <c r="AM580" s="906"/>
      <c r="AN580" s="906"/>
      <c r="AO580" s="906"/>
      <c r="AP580" s="906"/>
      <c r="AQ580" s="906"/>
      <c r="AR580" s="906"/>
      <c r="AS580" s="906"/>
      <c r="AT580" s="906"/>
      <c r="AU580" s="906"/>
      <c r="AV580" s="906"/>
      <c r="AW580" s="906"/>
      <c r="AX580" s="906"/>
      <c r="AY580" s="906"/>
      <c r="AZ580" s="906"/>
      <c r="BA580" s="906"/>
      <c r="BB580" s="907"/>
    </row>
    <row r="581" spans="1:54" x14ac:dyDescent="0.25">
      <c r="A581" s="13">
        <f t="shared" si="8"/>
        <v>568</v>
      </c>
      <c r="B581" s="914" t="str">
        <f>'refer admin discharge'!B577</f>
        <v>x</v>
      </c>
      <c r="C581" s="914"/>
      <c r="D581" s="889" t="str">
        <f>'refer admin discharge'!D577</f>
        <v>xx</v>
      </c>
      <c r="E581" s="889"/>
      <c r="F581" s="915" t="str">
        <f>'refer admin discharge'!H577</f>
        <v>00/00/0000</v>
      </c>
      <c r="G581" s="890"/>
      <c r="H581" s="916"/>
      <c r="I581" s="916"/>
      <c r="J581" s="917"/>
      <c r="K581" s="917"/>
      <c r="L581" s="916"/>
      <c r="M581" s="916"/>
      <c r="N581" s="893"/>
      <c r="O581" s="893"/>
      <c r="P581" s="916"/>
      <c r="Q581" s="916"/>
      <c r="R581" s="893"/>
      <c r="S581" s="893"/>
      <c r="T581" s="916"/>
      <c r="U581" s="916"/>
      <c r="V581" s="921" t="str">
        <f>'refer admin discharge'!H582</f>
        <v>00/00/0000</v>
      </c>
      <c r="W581" s="922"/>
      <c r="X581" s="912"/>
      <c r="Y581" s="912"/>
      <c r="Z581" s="924"/>
      <c r="AA581" s="924"/>
      <c r="AB581" s="912"/>
      <c r="AC581" s="912"/>
      <c r="AD581" s="913"/>
      <c r="AE581" s="913"/>
      <c r="AF581" s="912"/>
      <c r="AG581" s="912"/>
      <c r="AH581" s="913"/>
      <c r="AI581" s="913"/>
      <c r="AJ581" s="912"/>
      <c r="AK581" s="912"/>
      <c r="AL581" s="925"/>
      <c r="AM581" s="926"/>
      <c r="AN581" s="926"/>
      <c r="AO581" s="926"/>
      <c r="AP581" s="926"/>
      <c r="AQ581" s="926"/>
      <c r="AR581" s="926"/>
      <c r="AS581" s="926"/>
      <c r="AT581" s="926"/>
      <c r="AU581" s="926"/>
      <c r="AV581" s="926"/>
      <c r="AW581" s="926"/>
      <c r="AX581" s="926"/>
      <c r="AY581" s="926"/>
      <c r="AZ581" s="926"/>
      <c r="BA581" s="926"/>
      <c r="BB581" s="927"/>
    </row>
    <row r="582" spans="1:54" x14ac:dyDescent="0.25">
      <c r="A582" s="13">
        <f t="shared" si="8"/>
        <v>569</v>
      </c>
      <c r="B582" s="888" t="str">
        <f>'refer admin discharge'!B578</f>
        <v>x</v>
      </c>
      <c r="C582" s="888"/>
      <c r="D582" s="868" t="str">
        <f>'refer admin discharge'!D578</f>
        <v>xx</v>
      </c>
      <c r="E582" s="868"/>
      <c r="F582" s="891" t="str">
        <f>'refer admin discharge'!H578</f>
        <v>00/00/0000</v>
      </c>
      <c r="G582" s="892"/>
      <c r="H582" s="894"/>
      <c r="I582" s="894"/>
      <c r="J582" s="918"/>
      <c r="K582" s="918"/>
      <c r="L582" s="894"/>
      <c r="M582" s="894"/>
      <c r="N582" s="916"/>
      <c r="O582" s="916"/>
      <c r="P582" s="894"/>
      <c r="Q582" s="894"/>
      <c r="R582" s="916"/>
      <c r="S582" s="916"/>
      <c r="T582" s="894"/>
      <c r="U582" s="894"/>
      <c r="V582" s="921" t="str">
        <f>'refer admin discharge'!H583</f>
        <v>00/00/0000</v>
      </c>
      <c r="W582" s="922"/>
      <c r="X582" s="920"/>
      <c r="Y582" s="920"/>
      <c r="Z582" s="919"/>
      <c r="AA582" s="919"/>
      <c r="AB582" s="920"/>
      <c r="AC582" s="920"/>
      <c r="AD582" s="912"/>
      <c r="AE582" s="912"/>
      <c r="AF582" s="920"/>
      <c r="AG582" s="920"/>
      <c r="AH582" s="912"/>
      <c r="AI582" s="912"/>
      <c r="AJ582" s="920"/>
      <c r="AK582" s="920"/>
      <c r="AL582" s="905"/>
      <c r="AM582" s="906"/>
      <c r="AN582" s="906"/>
      <c r="AO582" s="906"/>
      <c r="AP582" s="906"/>
      <c r="AQ582" s="906"/>
      <c r="AR582" s="906"/>
      <c r="AS582" s="906"/>
      <c r="AT582" s="906"/>
      <c r="AU582" s="906"/>
      <c r="AV582" s="906"/>
      <c r="AW582" s="906"/>
      <c r="AX582" s="906"/>
      <c r="AY582" s="906"/>
      <c r="AZ582" s="906"/>
      <c r="BA582" s="906"/>
      <c r="BB582" s="907"/>
    </row>
    <row r="583" spans="1:54" x14ac:dyDescent="0.25">
      <c r="A583" s="13">
        <f t="shared" si="8"/>
        <v>570</v>
      </c>
      <c r="B583" s="914" t="str">
        <f>'refer admin discharge'!B579</f>
        <v>x</v>
      </c>
      <c r="C583" s="914"/>
      <c r="D583" s="889" t="str">
        <f>'refer admin discharge'!D579</f>
        <v>xx</v>
      </c>
      <c r="E583" s="889"/>
      <c r="F583" s="915" t="str">
        <f>'refer admin discharge'!H579</f>
        <v>00/00/0000</v>
      </c>
      <c r="G583" s="890"/>
      <c r="H583" s="916"/>
      <c r="I583" s="916"/>
      <c r="J583" s="917"/>
      <c r="K583" s="917"/>
      <c r="L583" s="916"/>
      <c r="M583" s="916"/>
      <c r="N583" s="893"/>
      <c r="O583" s="893"/>
      <c r="P583" s="916"/>
      <c r="Q583" s="916"/>
      <c r="R583" s="893"/>
      <c r="S583" s="893"/>
      <c r="T583" s="916"/>
      <c r="U583" s="916"/>
      <c r="V583" s="921" t="str">
        <f>'refer admin discharge'!H584</f>
        <v>00/00/0000</v>
      </c>
      <c r="W583" s="922"/>
      <c r="X583" s="912"/>
      <c r="Y583" s="912"/>
      <c r="Z583" s="924"/>
      <c r="AA583" s="924"/>
      <c r="AB583" s="912"/>
      <c r="AC583" s="912"/>
      <c r="AD583" s="913"/>
      <c r="AE583" s="913"/>
      <c r="AF583" s="912"/>
      <c r="AG583" s="912"/>
      <c r="AH583" s="913"/>
      <c r="AI583" s="913"/>
      <c r="AJ583" s="912"/>
      <c r="AK583" s="912"/>
      <c r="AL583" s="925"/>
      <c r="AM583" s="926"/>
      <c r="AN583" s="926"/>
      <c r="AO583" s="926"/>
      <c r="AP583" s="926"/>
      <c r="AQ583" s="926"/>
      <c r="AR583" s="926"/>
      <c r="AS583" s="926"/>
      <c r="AT583" s="926"/>
      <c r="AU583" s="926"/>
      <c r="AV583" s="926"/>
      <c r="AW583" s="926"/>
      <c r="AX583" s="926"/>
      <c r="AY583" s="926"/>
      <c r="AZ583" s="926"/>
      <c r="BA583" s="926"/>
      <c r="BB583" s="927"/>
    </row>
    <row r="584" spans="1:54" x14ac:dyDescent="0.25">
      <c r="A584" s="13">
        <f t="shared" si="8"/>
        <v>571</v>
      </c>
      <c r="B584" s="888" t="str">
        <f>'refer admin discharge'!B580</f>
        <v>x</v>
      </c>
      <c r="C584" s="888"/>
      <c r="D584" s="868" t="str">
        <f>'refer admin discharge'!D580</f>
        <v>xx</v>
      </c>
      <c r="E584" s="868"/>
      <c r="F584" s="891" t="str">
        <f>'refer admin discharge'!H580</f>
        <v>00/00/0000</v>
      </c>
      <c r="G584" s="892"/>
      <c r="H584" s="894"/>
      <c r="I584" s="894"/>
      <c r="J584" s="918"/>
      <c r="K584" s="918"/>
      <c r="L584" s="894"/>
      <c r="M584" s="894"/>
      <c r="N584" s="916"/>
      <c r="O584" s="916"/>
      <c r="P584" s="894"/>
      <c r="Q584" s="894"/>
      <c r="R584" s="916"/>
      <c r="S584" s="916"/>
      <c r="T584" s="894"/>
      <c r="U584" s="894"/>
      <c r="V584" s="921" t="str">
        <f>'refer admin discharge'!H585</f>
        <v>00/00/0000</v>
      </c>
      <c r="W584" s="922"/>
      <c r="X584" s="920"/>
      <c r="Y584" s="920"/>
      <c r="Z584" s="919"/>
      <c r="AA584" s="919"/>
      <c r="AB584" s="920"/>
      <c r="AC584" s="920"/>
      <c r="AD584" s="912"/>
      <c r="AE584" s="912"/>
      <c r="AF584" s="920"/>
      <c r="AG584" s="920"/>
      <c r="AH584" s="912"/>
      <c r="AI584" s="912"/>
      <c r="AJ584" s="920"/>
      <c r="AK584" s="920"/>
      <c r="AL584" s="905"/>
      <c r="AM584" s="906"/>
      <c r="AN584" s="906"/>
      <c r="AO584" s="906"/>
      <c r="AP584" s="906"/>
      <c r="AQ584" s="906"/>
      <c r="AR584" s="906"/>
      <c r="AS584" s="906"/>
      <c r="AT584" s="906"/>
      <c r="AU584" s="906"/>
      <c r="AV584" s="906"/>
      <c r="AW584" s="906"/>
      <c r="AX584" s="906"/>
      <c r="AY584" s="906"/>
      <c r="AZ584" s="906"/>
      <c r="BA584" s="906"/>
      <c r="BB584" s="907"/>
    </row>
    <row r="585" spans="1:54" x14ac:dyDescent="0.25">
      <c r="A585" s="13">
        <f t="shared" si="8"/>
        <v>572</v>
      </c>
      <c r="B585" s="914" t="str">
        <f>'refer admin discharge'!B581</f>
        <v>x</v>
      </c>
      <c r="C585" s="914"/>
      <c r="D585" s="889" t="str">
        <f>'refer admin discharge'!D581</f>
        <v>xx</v>
      </c>
      <c r="E585" s="889"/>
      <c r="F585" s="915" t="str">
        <f>'refer admin discharge'!H581</f>
        <v>00/00/0000</v>
      </c>
      <c r="G585" s="890"/>
      <c r="H585" s="916"/>
      <c r="I585" s="916"/>
      <c r="J585" s="917"/>
      <c r="K585" s="917"/>
      <c r="L585" s="916"/>
      <c r="M585" s="916"/>
      <c r="N585" s="893"/>
      <c r="O585" s="893"/>
      <c r="P585" s="916"/>
      <c r="Q585" s="916"/>
      <c r="R585" s="893"/>
      <c r="S585" s="893"/>
      <c r="T585" s="916"/>
      <c r="U585" s="916"/>
      <c r="V585" s="921" t="str">
        <f>'refer admin discharge'!H586</f>
        <v>00/00/0000</v>
      </c>
      <c r="W585" s="922"/>
      <c r="X585" s="912"/>
      <c r="Y585" s="912"/>
      <c r="Z585" s="924"/>
      <c r="AA585" s="924"/>
      <c r="AB585" s="912"/>
      <c r="AC585" s="912"/>
      <c r="AD585" s="913"/>
      <c r="AE585" s="913"/>
      <c r="AF585" s="912"/>
      <c r="AG585" s="912"/>
      <c r="AH585" s="913"/>
      <c r="AI585" s="913"/>
      <c r="AJ585" s="912"/>
      <c r="AK585" s="912"/>
      <c r="AL585" s="925"/>
      <c r="AM585" s="926"/>
      <c r="AN585" s="926"/>
      <c r="AO585" s="926"/>
      <c r="AP585" s="926"/>
      <c r="AQ585" s="926"/>
      <c r="AR585" s="926"/>
      <c r="AS585" s="926"/>
      <c r="AT585" s="926"/>
      <c r="AU585" s="926"/>
      <c r="AV585" s="926"/>
      <c r="AW585" s="926"/>
      <c r="AX585" s="926"/>
      <c r="AY585" s="926"/>
      <c r="AZ585" s="926"/>
      <c r="BA585" s="926"/>
      <c r="BB585" s="927"/>
    </row>
    <row r="586" spans="1:54" x14ac:dyDescent="0.25">
      <c r="A586" s="13">
        <f t="shared" si="8"/>
        <v>573</v>
      </c>
      <c r="B586" s="888" t="str">
        <f>'refer admin discharge'!B582</f>
        <v>x</v>
      </c>
      <c r="C586" s="888"/>
      <c r="D586" s="868" t="str">
        <f>'refer admin discharge'!D582</f>
        <v>xx</v>
      </c>
      <c r="E586" s="868"/>
      <c r="F586" s="891" t="str">
        <f>'refer admin discharge'!H582</f>
        <v>00/00/0000</v>
      </c>
      <c r="G586" s="892"/>
      <c r="H586" s="894"/>
      <c r="I586" s="894"/>
      <c r="J586" s="918"/>
      <c r="K586" s="918"/>
      <c r="L586" s="894"/>
      <c r="M586" s="894"/>
      <c r="N586" s="916"/>
      <c r="O586" s="916"/>
      <c r="P586" s="894"/>
      <c r="Q586" s="894"/>
      <c r="R586" s="916"/>
      <c r="S586" s="916"/>
      <c r="T586" s="894"/>
      <c r="U586" s="894"/>
      <c r="V586" s="921" t="str">
        <f>'refer admin discharge'!H587</f>
        <v>00/00/0000</v>
      </c>
      <c r="W586" s="922"/>
      <c r="X586" s="920"/>
      <c r="Y586" s="920"/>
      <c r="Z586" s="919"/>
      <c r="AA586" s="919"/>
      <c r="AB586" s="920"/>
      <c r="AC586" s="920"/>
      <c r="AD586" s="912"/>
      <c r="AE586" s="912"/>
      <c r="AF586" s="920"/>
      <c r="AG586" s="920"/>
      <c r="AH586" s="912"/>
      <c r="AI586" s="912"/>
      <c r="AJ586" s="920"/>
      <c r="AK586" s="920"/>
      <c r="AL586" s="905"/>
      <c r="AM586" s="906"/>
      <c r="AN586" s="906"/>
      <c r="AO586" s="906"/>
      <c r="AP586" s="906"/>
      <c r="AQ586" s="906"/>
      <c r="AR586" s="906"/>
      <c r="AS586" s="906"/>
      <c r="AT586" s="906"/>
      <c r="AU586" s="906"/>
      <c r="AV586" s="906"/>
      <c r="AW586" s="906"/>
      <c r="AX586" s="906"/>
      <c r="AY586" s="906"/>
      <c r="AZ586" s="906"/>
      <c r="BA586" s="906"/>
      <c r="BB586" s="907"/>
    </row>
    <row r="587" spans="1:54" x14ac:dyDescent="0.25">
      <c r="A587" s="13">
        <f t="shared" si="8"/>
        <v>574</v>
      </c>
      <c r="B587" s="914" t="str">
        <f>'refer admin discharge'!B583</f>
        <v>x</v>
      </c>
      <c r="C587" s="914"/>
      <c r="D587" s="889" t="str">
        <f>'refer admin discharge'!D583</f>
        <v>xx</v>
      </c>
      <c r="E587" s="889"/>
      <c r="F587" s="915" t="str">
        <f>'refer admin discharge'!H583</f>
        <v>00/00/0000</v>
      </c>
      <c r="G587" s="890"/>
      <c r="H587" s="916"/>
      <c r="I587" s="916"/>
      <c r="J587" s="917"/>
      <c r="K587" s="917"/>
      <c r="L587" s="916"/>
      <c r="M587" s="916"/>
      <c r="N587" s="893"/>
      <c r="O587" s="893"/>
      <c r="P587" s="916"/>
      <c r="Q587" s="916"/>
      <c r="R587" s="893"/>
      <c r="S587" s="893"/>
      <c r="T587" s="916"/>
      <c r="U587" s="916"/>
      <c r="V587" s="921" t="str">
        <f>'refer admin discharge'!H588</f>
        <v>00/00/0000</v>
      </c>
      <c r="W587" s="922"/>
      <c r="X587" s="912"/>
      <c r="Y587" s="912"/>
      <c r="Z587" s="924"/>
      <c r="AA587" s="924"/>
      <c r="AB587" s="912"/>
      <c r="AC587" s="912"/>
      <c r="AD587" s="913"/>
      <c r="AE587" s="913"/>
      <c r="AF587" s="912"/>
      <c r="AG587" s="912"/>
      <c r="AH587" s="913"/>
      <c r="AI587" s="913"/>
      <c r="AJ587" s="912"/>
      <c r="AK587" s="912"/>
      <c r="AL587" s="925"/>
      <c r="AM587" s="926"/>
      <c r="AN587" s="926"/>
      <c r="AO587" s="926"/>
      <c r="AP587" s="926"/>
      <c r="AQ587" s="926"/>
      <c r="AR587" s="926"/>
      <c r="AS587" s="926"/>
      <c r="AT587" s="926"/>
      <c r="AU587" s="926"/>
      <c r="AV587" s="926"/>
      <c r="AW587" s="926"/>
      <c r="AX587" s="926"/>
      <c r="AY587" s="926"/>
      <c r="AZ587" s="926"/>
      <c r="BA587" s="926"/>
      <c r="BB587" s="927"/>
    </row>
    <row r="588" spans="1:54" x14ac:dyDescent="0.25">
      <c r="A588" s="13">
        <f t="shared" si="8"/>
        <v>575</v>
      </c>
      <c r="B588" s="888" t="str">
        <f>'refer admin discharge'!B584</f>
        <v>x</v>
      </c>
      <c r="C588" s="888"/>
      <c r="D588" s="868" t="str">
        <f>'refer admin discharge'!D584</f>
        <v>xx</v>
      </c>
      <c r="E588" s="868"/>
      <c r="F588" s="891" t="str">
        <f>'refer admin discharge'!H584</f>
        <v>00/00/0000</v>
      </c>
      <c r="G588" s="892"/>
      <c r="H588" s="894"/>
      <c r="I588" s="894"/>
      <c r="J588" s="918"/>
      <c r="K588" s="918"/>
      <c r="L588" s="894"/>
      <c r="M588" s="894"/>
      <c r="N588" s="916"/>
      <c r="O588" s="916"/>
      <c r="P588" s="894"/>
      <c r="Q588" s="894"/>
      <c r="R588" s="916"/>
      <c r="S588" s="916"/>
      <c r="T588" s="894"/>
      <c r="U588" s="894"/>
      <c r="V588" s="921" t="str">
        <f>'refer admin discharge'!H589</f>
        <v>00/00/0000</v>
      </c>
      <c r="W588" s="922"/>
      <c r="X588" s="920"/>
      <c r="Y588" s="920"/>
      <c r="Z588" s="919"/>
      <c r="AA588" s="919"/>
      <c r="AB588" s="920"/>
      <c r="AC588" s="920"/>
      <c r="AD588" s="912"/>
      <c r="AE588" s="912"/>
      <c r="AF588" s="920"/>
      <c r="AG588" s="920"/>
      <c r="AH588" s="912"/>
      <c r="AI588" s="912"/>
      <c r="AJ588" s="920"/>
      <c r="AK588" s="920"/>
      <c r="AL588" s="905"/>
      <c r="AM588" s="906"/>
      <c r="AN588" s="906"/>
      <c r="AO588" s="906"/>
      <c r="AP588" s="906"/>
      <c r="AQ588" s="906"/>
      <c r="AR588" s="906"/>
      <c r="AS588" s="906"/>
      <c r="AT588" s="906"/>
      <c r="AU588" s="906"/>
      <c r="AV588" s="906"/>
      <c r="AW588" s="906"/>
      <c r="AX588" s="906"/>
      <c r="AY588" s="906"/>
      <c r="AZ588" s="906"/>
      <c r="BA588" s="906"/>
      <c r="BB588" s="907"/>
    </row>
    <row r="589" spans="1:54" x14ac:dyDescent="0.25">
      <c r="A589" s="13">
        <f t="shared" si="8"/>
        <v>576</v>
      </c>
      <c r="B589" s="914" t="str">
        <f>'refer admin discharge'!B585</f>
        <v>x</v>
      </c>
      <c r="C589" s="914"/>
      <c r="D589" s="889" t="str">
        <f>'refer admin discharge'!D585</f>
        <v>xx</v>
      </c>
      <c r="E589" s="889"/>
      <c r="F589" s="915" t="str">
        <f>'refer admin discharge'!H585</f>
        <v>00/00/0000</v>
      </c>
      <c r="G589" s="890"/>
      <c r="H589" s="916"/>
      <c r="I589" s="916"/>
      <c r="J589" s="917"/>
      <c r="K589" s="917"/>
      <c r="L589" s="916"/>
      <c r="M589" s="916"/>
      <c r="N589" s="893"/>
      <c r="O589" s="893"/>
      <c r="P589" s="916"/>
      <c r="Q589" s="916"/>
      <c r="R589" s="893"/>
      <c r="S589" s="893"/>
      <c r="T589" s="916"/>
      <c r="U589" s="916"/>
      <c r="V589" s="921" t="str">
        <f>'refer admin discharge'!H590</f>
        <v>00/00/0000</v>
      </c>
      <c r="W589" s="922"/>
      <c r="X589" s="912"/>
      <c r="Y589" s="912"/>
      <c r="Z589" s="924"/>
      <c r="AA589" s="924"/>
      <c r="AB589" s="912"/>
      <c r="AC589" s="912"/>
      <c r="AD589" s="913"/>
      <c r="AE589" s="913"/>
      <c r="AF589" s="912"/>
      <c r="AG589" s="912"/>
      <c r="AH589" s="913"/>
      <c r="AI589" s="913"/>
      <c r="AJ589" s="912"/>
      <c r="AK589" s="912"/>
      <c r="AL589" s="925"/>
      <c r="AM589" s="926"/>
      <c r="AN589" s="926"/>
      <c r="AO589" s="926"/>
      <c r="AP589" s="926"/>
      <c r="AQ589" s="926"/>
      <c r="AR589" s="926"/>
      <c r="AS589" s="926"/>
      <c r="AT589" s="926"/>
      <c r="AU589" s="926"/>
      <c r="AV589" s="926"/>
      <c r="AW589" s="926"/>
      <c r="AX589" s="926"/>
      <c r="AY589" s="926"/>
      <c r="AZ589" s="926"/>
      <c r="BA589" s="926"/>
      <c r="BB589" s="927"/>
    </row>
    <row r="590" spans="1:54" x14ac:dyDescent="0.25">
      <c r="A590" s="13">
        <f t="shared" ref="A590:A653" si="9">ROW(A577)</f>
        <v>577</v>
      </c>
      <c r="B590" s="888" t="str">
        <f>'refer admin discharge'!B586</f>
        <v>x</v>
      </c>
      <c r="C590" s="888"/>
      <c r="D590" s="868" t="str">
        <f>'refer admin discharge'!D586</f>
        <v>xx</v>
      </c>
      <c r="E590" s="868"/>
      <c r="F590" s="891" t="str">
        <f>'refer admin discharge'!H586</f>
        <v>00/00/0000</v>
      </c>
      <c r="G590" s="892"/>
      <c r="H590" s="894"/>
      <c r="I590" s="894"/>
      <c r="J590" s="918"/>
      <c r="K590" s="918"/>
      <c r="L590" s="894"/>
      <c r="M590" s="894"/>
      <c r="N590" s="916"/>
      <c r="O590" s="916"/>
      <c r="P590" s="894"/>
      <c r="Q590" s="894"/>
      <c r="R590" s="916"/>
      <c r="S590" s="916"/>
      <c r="T590" s="894"/>
      <c r="U590" s="894"/>
      <c r="V590" s="921" t="str">
        <f>'refer admin discharge'!H591</f>
        <v>00/00/0000</v>
      </c>
      <c r="W590" s="922"/>
      <c r="X590" s="920"/>
      <c r="Y590" s="920"/>
      <c r="Z590" s="919"/>
      <c r="AA590" s="919"/>
      <c r="AB590" s="920"/>
      <c r="AC590" s="920"/>
      <c r="AD590" s="912"/>
      <c r="AE590" s="912"/>
      <c r="AF590" s="920"/>
      <c r="AG590" s="920"/>
      <c r="AH590" s="912"/>
      <c r="AI590" s="912"/>
      <c r="AJ590" s="920"/>
      <c r="AK590" s="920"/>
      <c r="AL590" s="905"/>
      <c r="AM590" s="906"/>
      <c r="AN590" s="906"/>
      <c r="AO590" s="906"/>
      <c r="AP590" s="906"/>
      <c r="AQ590" s="906"/>
      <c r="AR590" s="906"/>
      <c r="AS590" s="906"/>
      <c r="AT590" s="906"/>
      <c r="AU590" s="906"/>
      <c r="AV590" s="906"/>
      <c r="AW590" s="906"/>
      <c r="AX590" s="906"/>
      <c r="AY590" s="906"/>
      <c r="AZ590" s="906"/>
      <c r="BA590" s="906"/>
      <c r="BB590" s="907"/>
    </row>
    <row r="591" spans="1:54" x14ac:dyDescent="0.25">
      <c r="A591" s="13">
        <f t="shared" si="9"/>
        <v>578</v>
      </c>
      <c r="B591" s="914" t="str">
        <f>'refer admin discharge'!B587</f>
        <v>x</v>
      </c>
      <c r="C591" s="914"/>
      <c r="D591" s="889" t="str">
        <f>'refer admin discharge'!D587</f>
        <v>xx</v>
      </c>
      <c r="E591" s="889"/>
      <c r="F591" s="915" t="str">
        <f>'refer admin discharge'!H587</f>
        <v>00/00/0000</v>
      </c>
      <c r="G591" s="890"/>
      <c r="H591" s="916"/>
      <c r="I591" s="916"/>
      <c r="J591" s="917"/>
      <c r="K591" s="917"/>
      <c r="L591" s="916"/>
      <c r="M591" s="916"/>
      <c r="N591" s="893"/>
      <c r="O591" s="893"/>
      <c r="P591" s="916"/>
      <c r="Q591" s="916"/>
      <c r="R591" s="893"/>
      <c r="S591" s="893"/>
      <c r="T591" s="916"/>
      <c r="U591" s="916"/>
      <c r="V591" s="921" t="str">
        <f>'refer admin discharge'!H592</f>
        <v>00/00/0000</v>
      </c>
      <c r="W591" s="922"/>
      <c r="X591" s="912"/>
      <c r="Y591" s="912"/>
      <c r="Z591" s="924"/>
      <c r="AA591" s="924"/>
      <c r="AB591" s="912"/>
      <c r="AC591" s="912"/>
      <c r="AD591" s="913"/>
      <c r="AE591" s="913"/>
      <c r="AF591" s="912"/>
      <c r="AG591" s="912"/>
      <c r="AH591" s="913"/>
      <c r="AI591" s="913"/>
      <c r="AJ591" s="912"/>
      <c r="AK591" s="912"/>
      <c r="AL591" s="925"/>
      <c r="AM591" s="926"/>
      <c r="AN591" s="926"/>
      <c r="AO591" s="926"/>
      <c r="AP591" s="926"/>
      <c r="AQ591" s="926"/>
      <c r="AR591" s="926"/>
      <c r="AS591" s="926"/>
      <c r="AT591" s="926"/>
      <c r="AU591" s="926"/>
      <c r="AV591" s="926"/>
      <c r="AW591" s="926"/>
      <c r="AX591" s="926"/>
      <c r="AY591" s="926"/>
      <c r="AZ591" s="926"/>
      <c r="BA591" s="926"/>
      <c r="BB591" s="927"/>
    </row>
    <row r="592" spans="1:54" x14ac:dyDescent="0.25">
      <c r="A592" s="13">
        <f t="shared" si="9"/>
        <v>579</v>
      </c>
      <c r="B592" s="888" t="str">
        <f>'refer admin discharge'!B588</f>
        <v>x</v>
      </c>
      <c r="C592" s="888"/>
      <c r="D592" s="868" t="str">
        <f>'refer admin discharge'!D588</f>
        <v>xx</v>
      </c>
      <c r="E592" s="868"/>
      <c r="F592" s="891" t="str">
        <f>'refer admin discharge'!H588</f>
        <v>00/00/0000</v>
      </c>
      <c r="G592" s="892"/>
      <c r="H592" s="894"/>
      <c r="I592" s="894"/>
      <c r="J592" s="918"/>
      <c r="K592" s="918"/>
      <c r="L592" s="894"/>
      <c r="M592" s="894"/>
      <c r="N592" s="916"/>
      <c r="O592" s="916"/>
      <c r="P592" s="894"/>
      <c r="Q592" s="894"/>
      <c r="R592" s="916"/>
      <c r="S592" s="916"/>
      <c r="T592" s="894"/>
      <c r="U592" s="894"/>
      <c r="V592" s="921" t="str">
        <f>'refer admin discharge'!H593</f>
        <v>00/00/0000</v>
      </c>
      <c r="W592" s="922"/>
      <c r="X592" s="920"/>
      <c r="Y592" s="920"/>
      <c r="Z592" s="919"/>
      <c r="AA592" s="919"/>
      <c r="AB592" s="920"/>
      <c r="AC592" s="920"/>
      <c r="AD592" s="912"/>
      <c r="AE592" s="912"/>
      <c r="AF592" s="920"/>
      <c r="AG592" s="920"/>
      <c r="AH592" s="912"/>
      <c r="AI592" s="912"/>
      <c r="AJ592" s="920"/>
      <c r="AK592" s="920"/>
      <c r="AL592" s="905"/>
      <c r="AM592" s="906"/>
      <c r="AN592" s="906"/>
      <c r="AO592" s="906"/>
      <c r="AP592" s="906"/>
      <c r="AQ592" s="906"/>
      <c r="AR592" s="906"/>
      <c r="AS592" s="906"/>
      <c r="AT592" s="906"/>
      <c r="AU592" s="906"/>
      <c r="AV592" s="906"/>
      <c r="AW592" s="906"/>
      <c r="AX592" s="906"/>
      <c r="AY592" s="906"/>
      <c r="AZ592" s="906"/>
      <c r="BA592" s="906"/>
      <c r="BB592" s="907"/>
    </row>
    <row r="593" spans="1:54" x14ac:dyDescent="0.25">
      <c r="A593" s="13">
        <f t="shared" si="9"/>
        <v>580</v>
      </c>
      <c r="B593" s="914" t="str">
        <f>'refer admin discharge'!B589</f>
        <v>x</v>
      </c>
      <c r="C593" s="914"/>
      <c r="D593" s="889" t="str">
        <f>'refer admin discharge'!D589</f>
        <v>xx</v>
      </c>
      <c r="E593" s="889"/>
      <c r="F593" s="915" t="str">
        <f>'refer admin discharge'!H589</f>
        <v>00/00/0000</v>
      </c>
      <c r="G593" s="890"/>
      <c r="H593" s="916"/>
      <c r="I593" s="916"/>
      <c r="J593" s="917"/>
      <c r="K593" s="917"/>
      <c r="L593" s="916"/>
      <c r="M593" s="916"/>
      <c r="N593" s="893"/>
      <c r="O593" s="893"/>
      <c r="P593" s="916"/>
      <c r="Q593" s="916"/>
      <c r="R593" s="893"/>
      <c r="S593" s="893"/>
      <c r="T593" s="916"/>
      <c r="U593" s="916"/>
      <c r="V593" s="921" t="str">
        <f>'refer admin discharge'!H594</f>
        <v>00/00/0000</v>
      </c>
      <c r="W593" s="922"/>
      <c r="X593" s="912"/>
      <c r="Y593" s="912"/>
      <c r="Z593" s="924"/>
      <c r="AA593" s="924"/>
      <c r="AB593" s="912"/>
      <c r="AC593" s="912"/>
      <c r="AD593" s="913"/>
      <c r="AE593" s="913"/>
      <c r="AF593" s="912"/>
      <c r="AG593" s="912"/>
      <c r="AH593" s="913"/>
      <c r="AI593" s="913"/>
      <c r="AJ593" s="912"/>
      <c r="AK593" s="912"/>
      <c r="AL593" s="925"/>
      <c r="AM593" s="926"/>
      <c r="AN593" s="926"/>
      <c r="AO593" s="926"/>
      <c r="AP593" s="926"/>
      <c r="AQ593" s="926"/>
      <c r="AR593" s="926"/>
      <c r="AS593" s="926"/>
      <c r="AT593" s="926"/>
      <c r="AU593" s="926"/>
      <c r="AV593" s="926"/>
      <c r="AW593" s="926"/>
      <c r="AX593" s="926"/>
      <c r="AY593" s="926"/>
      <c r="AZ593" s="926"/>
      <c r="BA593" s="926"/>
      <c r="BB593" s="927"/>
    </row>
    <row r="594" spans="1:54" x14ac:dyDescent="0.25">
      <c r="A594" s="13">
        <f t="shared" si="9"/>
        <v>581</v>
      </c>
      <c r="B594" s="888" t="str">
        <f>'refer admin discharge'!B590</f>
        <v>x</v>
      </c>
      <c r="C594" s="888"/>
      <c r="D594" s="868" t="str">
        <f>'refer admin discharge'!D590</f>
        <v>xx</v>
      </c>
      <c r="E594" s="868"/>
      <c r="F594" s="891" t="str">
        <f>'refer admin discharge'!H590</f>
        <v>00/00/0000</v>
      </c>
      <c r="G594" s="892"/>
      <c r="H594" s="894"/>
      <c r="I594" s="894"/>
      <c r="J594" s="918"/>
      <c r="K594" s="918"/>
      <c r="L594" s="894"/>
      <c r="M594" s="894"/>
      <c r="N594" s="916"/>
      <c r="O594" s="916"/>
      <c r="P594" s="894"/>
      <c r="Q594" s="894"/>
      <c r="R594" s="916"/>
      <c r="S594" s="916"/>
      <c r="T594" s="894"/>
      <c r="U594" s="894"/>
      <c r="V594" s="921" t="str">
        <f>'refer admin discharge'!H595</f>
        <v>00/00/0000</v>
      </c>
      <c r="W594" s="922"/>
      <c r="X594" s="920"/>
      <c r="Y594" s="920"/>
      <c r="Z594" s="919"/>
      <c r="AA594" s="919"/>
      <c r="AB594" s="920"/>
      <c r="AC594" s="920"/>
      <c r="AD594" s="912"/>
      <c r="AE594" s="912"/>
      <c r="AF594" s="920"/>
      <c r="AG594" s="920"/>
      <c r="AH594" s="912"/>
      <c r="AI594" s="912"/>
      <c r="AJ594" s="920"/>
      <c r="AK594" s="920"/>
      <c r="AL594" s="905"/>
      <c r="AM594" s="906"/>
      <c r="AN594" s="906"/>
      <c r="AO594" s="906"/>
      <c r="AP594" s="906"/>
      <c r="AQ594" s="906"/>
      <c r="AR594" s="906"/>
      <c r="AS594" s="906"/>
      <c r="AT594" s="906"/>
      <c r="AU594" s="906"/>
      <c r="AV594" s="906"/>
      <c r="AW594" s="906"/>
      <c r="AX594" s="906"/>
      <c r="AY594" s="906"/>
      <c r="AZ594" s="906"/>
      <c r="BA594" s="906"/>
      <c r="BB594" s="907"/>
    </row>
    <row r="595" spans="1:54" x14ac:dyDescent="0.25">
      <c r="A595" s="13">
        <f t="shared" si="9"/>
        <v>582</v>
      </c>
      <c r="B595" s="914" t="str">
        <f>'refer admin discharge'!B591</f>
        <v>x</v>
      </c>
      <c r="C595" s="914"/>
      <c r="D595" s="889" t="str">
        <f>'refer admin discharge'!D591</f>
        <v>xx</v>
      </c>
      <c r="E595" s="889"/>
      <c r="F595" s="915" t="str">
        <f>'refer admin discharge'!H591</f>
        <v>00/00/0000</v>
      </c>
      <c r="G595" s="890"/>
      <c r="H595" s="916"/>
      <c r="I595" s="916"/>
      <c r="J595" s="917"/>
      <c r="K595" s="917"/>
      <c r="L595" s="916"/>
      <c r="M595" s="916"/>
      <c r="N595" s="893"/>
      <c r="O595" s="893"/>
      <c r="P595" s="916"/>
      <c r="Q595" s="916"/>
      <c r="R595" s="893"/>
      <c r="S595" s="893"/>
      <c r="T595" s="916"/>
      <c r="U595" s="916"/>
      <c r="V595" s="921" t="str">
        <f>'refer admin discharge'!H596</f>
        <v>00/00/0000</v>
      </c>
      <c r="W595" s="922"/>
      <c r="X595" s="912"/>
      <c r="Y595" s="912"/>
      <c r="Z595" s="924"/>
      <c r="AA595" s="924"/>
      <c r="AB595" s="912"/>
      <c r="AC595" s="912"/>
      <c r="AD595" s="913"/>
      <c r="AE595" s="913"/>
      <c r="AF595" s="912"/>
      <c r="AG595" s="912"/>
      <c r="AH595" s="913"/>
      <c r="AI595" s="913"/>
      <c r="AJ595" s="912"/>
      <c r="AK595" s="912"/>
      <c r="AL595" s="925"/>
      <c r="AM595" s="926"/>
      <c r="AN595" s="926"/>
      <c r="AO595" s="926"/>
      <c r="AP595" s="926"/>
      <c r="AQ595" s="926"/>
      <c r="AR595" s="926"/>
      <c r="AS595" s="926"/>
      <c r="AT595" s="926"/>
      <c r="AU595" s="926"/>
      <c r="AV595" s="926"/>
      <c r="AW595" s="926"/>
      <c r="AX595" s="926"/>
      <c r="AY595" s="926"/>
      <c r="AZ595" s="926"/>
      <c r="BA595" s="926"/>
      <c r="BB595" s="927"/>
    </row>
    <row r="596" spans="1:54" x14ac:dyDescent="0.25">
      <c r="A596" s="13">
        <f t="shared" si="9"/>
        <v>583</v>
      </c>
      <c r="B596" s="888" t="str">
        <f>'refer admin discharge'!B592</f>
        <v>x</v>
      </c>
      <c r="C596" s="888"/>
      <c r="D596" s="868" t="str">
        <f>'refer admin discharge'!D592</f>
        <v>xx</v>
      </c>
      <c r="E596" s="868"/>
      <c r="F596" s="891" t="str">
        <f>'refer admin discharge'!H592</f>
        <v>00/00/0000</v>
      </c>
      <c r="G596" s="892"/>
      <c r="H596" s="894"/>
      <c r="I596" s="894"/>
      <c r="J596" s="918"/>
      <c r="K596" s="918"/>
      <c r="L596" s="894"/>
      <c r="M596" s="894"/>
      <c r="N596" s="916"/>
      <c r="O596" s="916"/>
      <c r="P596" s="894"/>
      <c r="Q596" s="894"/>
      <c r="R596" s="916"/>
      <c r="S596" s="916"/>
      <c r="T596" s="894"/>
      <c r="U596" s="894"/>
      <c r="V596" s="921" t="str">
        <f>'refer admin discharge'!H597</f>
        <v>00/00/0000</v>
      </c>
      <c r="W596" s="922"/>
      <c r="X596" s="920"/>
      <c r="Y596" s="920"/>
      <c r="Z596" s="919"/>
      <c r="AA596" s="919"/>
      <c r="AB596" s="920"/>
      <c r="AC596" s="920"/>
      <c r="AD596" s="912"/>
      <c r="AE596" s="912"/>
      <c r="AF596" s="920"/>
      <c r="AG596" s="920"/>
      <c r="AH596" s="912"/>
      <c r="AI596" s="912"/>
      <c r="AJ596" s="920"/>
      <c r="AK596" s="920"/>
      <c r="AL596" s="905"/>
      <c r="AM596" s="906"/>
      <c r="AN596" s="906"/>
      <c r="AO596" s="906"/>
      <c r="AP596" s="906"/>
      <c r="AQ596" s="906"/>
      <c r="AR596" s="906"/>
      <c r="AS596" s="906"/>
      <c r="AT596" s="906"/>
      <c r="AU596" s="906"/>
      <c r="AV596" s="906"/>
      <c r="AW596" s="906"/>
      <c r="AX596" s="906"/>
      <c r="AY596" s="906"/>
      <c r="AZ596" s="906"/>
      <c r="BA596" s="906"/>
      <c r="BB596" s="907"/>
    </row>
    <row r="597" spans="1:54" x14ac:dyDescent="0.25">
      <c r="A597" s="13">
        <f t="shared" si="9"/>
        <v>584</v>
      </c>
      <c r="B597" s="914" t="str">
        <f>'refer admin discharge'!B593</f>
        <v>x</v>
      </c>
      <c r="C597" s="914"/>
      <c r="D597" s="889" t="str">
        <f>'refer admin discharge'!D593</f>
        <v>xx</v>
      </c>
      <c r="E597" s="889"/>
      <c r="F597" s="915" t="str">
        <f>'refer admin discharge'!H593</f>
        <v>00/00/0000</v>
      </c>
      <c r="G597" s="890"/>
      <c r="H597" s="916"/>
      <c r="I597" s="916"/>
      <c r="J597" s="917"/>
      <c r="K597" s="917"/>
      <c r="L597" s="916"/>
      <c r="M597" s="916"/>
      <c r="N597" s="893"/>
      <c r="O597" s="893"/>
      <c r="P597" s="916"/>
      <c r="Q597" s="916"/>
      <c r="R597" s="893"/>
      <c r="S597" s="893"/>
      <c r="T597" s="916"/>
      <c r="U597" s="916"/>
      <c r="V597" s="921" t="str">
        <f>'refer admin discharge'!H598</f>
        <v>00/00/0000</v>
      </c>
      <c r="W597" s="922"/>
      <c r="X597" s="912"/>
      <c r="Y597" s="912"/>
      <c r="Z597" s="924"/>
      <c r="AA597" s="924"/>
      <c r="AB597" s="912"/>
      <c r="AC597" s="912"/>
      <c r="AD597" s="913"/>
      <c r="AE597" s="913"/>
      <c r="AF597" s="912"/>
      <c r="AG597" s="912"/>
      <c r="AH597" s="913"/>
      <c r="AI597" s="913"/>
      <c r="AJ597" s="912"/>
      <c r="AK597" s="912"/>
      <c r="AL597" s="925"/>
      <c r="AM597" s="926"/>
      <c r="AN597" s="926"/>
      <c r="AO597" s="926"/>
      <c r="AP597" s="926"/>
      <c r="AQ597" s="926"/>
      <c r="AR597" s="926"/>
      <c r="AS597" s="926"/>
      <c r="AT597" s="926"/>
      <c r="AU597" s="926"/>
      <c r="AV597" s="926"/>
      <c r="AW597" s="926"/>
      <c r="AX597" s="926"/>
      <c r="AY597" s="926"/>
      <c r="AZ597" s="926"/>
      <c r="BA597" s="926"/>
      <c r="BB597" s="927"/>
    </row>
    <row r="598" spans="1:54" x14ac:dyDescent="0.25">
      <c r="A598" s="13">
        <f t="shared" si="9"/>
        <v>585</v>
      </c>
      <c r="B598" s="888" t="str">
        <f>'refer admin discharge'!B594</f>
        <v>x</v>
      </c>
      <c r="C598" s="888"/>
      <c r="D598" s="868" t="str">
        <f>'refer admin discharge'!D594</f>
        <v>xx</v>
      </c>
      <c r="E598" s="868"/>
      <c r="F598" s="891" t="str">
        <f>'refer admin discharge'!H594</f>
        <v>00/00/0000</v>
      </c>
      <c r="G598" s="892"/>
      <c r="H598" s="894"/>
      <c r="I598" s="894"/>
      <c r="J598" s="918"/>
      <c r="K598" s="918"/>
      <c r="L598" s="894"/>
      <c r="M598" s="894"/>
      <c r="N598" s="916"/>
      <c r="O598" s="916"/>
      <c r="P598" s="894"/>
      <c r="Q598" s="894"/>
      <c r="R598" s="916"/>
      <c r="S598" s="916"/>
      <c r="T598" s="894"/>
      <c r="U598" s="894"/>
      <c r="V598" s="921" t="str">
        <f>'refer admin discharge'!H599</f>
        <v>00/00/0000</v>
      </c>
      <c r="W598" s="922"/>
      <c r="X598" s="920"/>
      <c r="Y598" s="920"/>
      <c r="Z598" s="919"/>
      <c r="AA598" s="919"/>
      <c r="AB598" s="920"/>
      <c r="AC598" s="920"/>
      <c r="AD598" s="912"/>
      <c r="AE598" s="912"/>
      <c r="AF598" s="920"/>
      <c r="AG598" s="920"/>
      <c r="AH598" s="912"/>
      <c r="AI598" s="912"/>
      <c r="AJ598" s="920"/>
      <c r="AK598" s="920"/>
      <c r="AL598" s="905"/>
      <c r="AM598" s="906"/>
      <c r="AN598" s="906"/>
      <c r="AO598" s="906"/>
      <c r="AP598" s="906"/>
      <c r="AQ598" s="906"/>
      <c r="AR598" s="906"/>
      <c r="AS598" s="906"/>
      <c r="AT598" s="906"/>
      <c r="AU598" s="906"/>
      <c r="AV598" s="906"/>
      <c r="AW598" s="906"/>
      <c r="AX598" s="906"/>
      <c r="AY598" s="906"/>
      <c r="AZ598" s="906"/>
      <c r="BA598" s="906"/>
      <c r="BB598" s="907"/>
    </row>
    <row r="599" spans="1:54" x14ac:dyDescent="0.25">
      <c r="A599" s="13">
        <f t="shared" si="9"/>
        <v>586</v>
      </c>
      <c r="B599" s="914" t="str">
        <f>'refer admin discharge'!B595</f>
        <v>x</v>
      </c>
      <c r="C599" s="914"/>
      <c r="D599" s="889" t="str">
        <f>'refer admin discharge'!D595</f>
        <v>xx</v>
      </c>
      <c r="E599" s="889"/>
      <c r="F599" s="915" t="str">
        <f>'refer admin discharge'!H595</f>
        <v>00/00/0000</v>
      </c>
      <c r="G599" s="890"/>
      <c r="H599" s="916"/>
      <c r="I599" s="916"/>
      <c r="J599" s="917"/>
      <c r="K599" s="917"/>
      <c r="L599" s="916"/>
      <c r="M599" s="916"/>
      <c r="N599" s="893"/>
      <c r="O599" s="893"/>
      <c r="P599" s="916"/>
      <c r="Q599" s="916"/>
      <c r="R599" s="893"/>
      <c r="S599" s="893"/>
      <c r="T599" s="916"/>
      <c r="U599" s="916"/>
      <c r="V599" s="921" t="str">
        <f>'refer admin discharge'!H600</f>
        <v>00/00/0000</v>
      </c>
      <c r="W599" s="922"/>
      <c r="X599" s="912"/>
      <c r="Y599" s="912"/>
      <c r="Z599" s="924"/>
      <c r="AA599" s="924"/>
      <c r="AB599" s="912"/>
      <c r="AC599" s="912"/>
      <c r="AD599" s="913"/>
      <c r="AE599" s="913"/>
      <c r="AF599" s="912"/>
      <c r="AG599" s="912"/>
      <c r="AH599" s="913"/>
      <c r="AI599" s="913"/>
      <c r="AJ599" s="912"/>
      <c r="AK599" s="912"/>
      <c r="AL599" s="925"/>
      <c r="AM599" s="926"/>
      <c r="AN599" s="926"/>
      <c r="AO599" s="926"/>
      <c r="AP599" s="926"/>
      <c r="AQ599" s="926"/>
      <c r="AR599" s="926"/>
      <c r="AS599" s="926"/>
      <c r="AT599" s="926"/>
      <c r="AU599" s="926"/>
      <c r="AV599" s="926"/>
      <c r="AW599" s="926"/>
      <c r="AX599" s="926"/>
      <c r="AY599" s="926"/>
      <c r="AZ599" s="926"/>
      <c r="BA599" s="926"/>
      <c r="BB599" s="927"/>
    </row>
    <row r="600" spans="1:54" x14ac:dyDescent="0.25">
      <c r="A600" s="13">
        <f t="shared" si="9"/>
        <v>587</v>
      </c>
      <c r="B600" s="888" t="str">
        <f>'refer admin discharge'!B596</f>
        <v>x</v>
      </c>
      <c r="C600" s="888"/>
      <c r="D600" s="868" t="str">
        <f>'refer admin discharge'!D596</f>
        <v>xx</v>
      </c>
      <c r="E600" s="868"/>
      <c r="F600" s="891" t="str">
        <f>'refer admin discharge'!H596</f>
        <v>00/00/0000</v>
      </c>
      <c r="G600" s="892"/>
      <c r="H600" s="894"/>
      <c r="I600" s="894"/>
      <c r="J600" s="918"/>
      <c r="K600" s="918"/>
      <c r="L600" s="894"/>
      <c r="M600" s="894"/>
      <c r="N600" s="916"/>
      <c r="O600" s="916"/>
      <c r="P600" s="894"/>
      <c r="Q600" s="894"/>
      <c r="R600" s="916"/>
      <c r="S600" s="916"/>
      <c r="T600" s="894"/>
      <c r="U600" s="894"/>
      <c r="V600" s="921" t="str">
        <f>'refer admin discharge'!H601</f>
        <v>00/00/0000</v>
      </c>
      <c r="W600" s="922"/>
      <c r="X600" s="920"/>
      <c r="Y600" s="920"/>
      <c r="Z600" s="919"/>
      <c r="AA600" s="919"/>
      <c r="AB600" s="920"/>
      <c r="AC600" s="920"/>
      <c r="AD600" s="912"/>
      <c r="AE600" s="912"/>
      <c r="AF600" s="920"/>
      <c r="AG600" s="920"/>
      <c r="AH600" s="912"/>
      <c r="AI600" s="912"/>
      <c r="AJ600" s="920"/>
      <c r="AK600" s="920"/>
      <c r="AL600" s="905"/>
      <c r="AM600" s="906"/>
      <c r="AN600" s="906"/>
      <c r="AO600" s="906"/>
      <c r="AP600" s="906"/>
      <c r="AQ600" s="906"/>
      <c r="AR600" s="906"/>
      <c r="AS600" s="906"/>
      <c r="AT600" s="906"/>
      <c r="AU600" s="906"/>
      <c r="AV600" s="906"/>
      <c r="AW600" s="906"/>
      <c r="AX600" s="906"/>
      <c r="AY600" s="906"/>
      <c r="AZ600" s="906"/>
      <c r="BA600" s="906"/>
      <c r="BB600" s="907"/>
    </row>
    <row r="601" spans="1:54" x14ac:dyDescent="0.25">
      <c r="A601" s="13">
        <f t="shared" si="9"/>
        <v>588</v>
      </c>
      <c r="B601" s="914" t="str">
        <f>'refer admin discharge'!B597</f>
        <v>x</v>
      </c>
      <c r="C601" s="914"/>
      <c r="D601" s="889" t="str">
        <f>'refer admin discharge'!D597</f>
        <v>xx</v>
      </c>
      <c r="E601" s="889"/>
      <c r="F601" s="915" t="str">
        <f>'refer admin discharge'!H597</f>
        <v>00/00/0000</v>
      </c>
      <c r="G601" s="890"/>
      <c r="H601" s="916"/>
      <c r="I601" s="916"/>
      <c r="J601" s="917"/>
      <c r="K601" s="917"/>
      <c r="L601" s="916"/>
      <c r="M601" s="916"/>
      <c r="N601" s="893"/>
      <c r="O601" s="893"/>
      <c r="P601" s="916"/>
      <c r="Q601" s="916"/>
      <c r="R601" s="893"/>
      <c r="S601" s="893"/>
      <c r="T601" s="916"/>
      <c r="U601" s="916"/>
      <c r="V601" s="921" t="str">
        <f>'refer admin discharge'!H602</f>
        <v>00/00/0000</v>
      </c>
      <c r="W601" s="922"/>
      <c r="X601" s="912"/>
      <c r="Y601" s="912"/>
      <c r="Z601" s="924"/>
      <c r="AA601" s="924"/>
      <c r="AB601" s="912"/>
      <c r="AC601" s="912"/>
      <c r="AD601" s="913"/>
      <c r="AE601" s="913"/>
      <c r="AF601" s="912"/>
      <c r="AG601" s="912"/>
      <c r="AH601" s="913"/>
      <c r="AI601" s="913"/>
      <c r="AJ601" s="912"/>
      <c r="AK601" s="912"/>
      <c r="AL601" s="925"/>
      <c r="AM601" s="926"/>
      <c r="AN601" s="926"/>
      <c r="AO601" s="926"/>
      <c r="AP601" s="926"/>
      <c r="AQ601" s="926"/>
      <c r="AR601" s="926"/>
      <c r="AS601" s="926"/>
      <c r="AT601" s="926"/>
      <c r="AU601" s="926"/>
      <c r="AV601" s="926"/>
      <c r="AW601" s="926"/>
      <c r="AX601" s="926"/>
      <c r="AY601" s="926"/>
      <c r="AZ601" s="926"/>
      <c r="BA601" s="926"/>
      <c r="BB601" s="927"/>
    </row>
    <row r="602" spans="1:54" x14ac:dyDescent="0.25">
      <c r="A602" s="13">
        <f t="shared" si="9"/>
        <v>589</v>
      </c>
      <c r="B602" s="888" t="str">
        <f>'refer admin discharge'!B598</f>
        <v>x</v>
      </c>
      <c r="C602" s="888"/>
      <c r="D602" s="868" t="str">
        <f>'refer admin discharge'!D598</f>
        <v>xx</v>
      </c>
      <c r="E602" s="868"/>
      <c r="F602" s="891" t="str">
        <f>'refer admin discharge'!H598</f>
        <v>00/00/0000</v>
      </c>
      <c r="G602" s="892"/>
      <c r="H602" s="894"/>
      <c r="I602" s="894"/>
      <c r="J602" s="918"/>
      <c r="K602" s="918"/>
      <c r="L602" s="894"/>
      <c r="M602" s="894"/>
      <c r="N602" s="916"/>
      <c r="O602" s="916"/>
      <c r="P602" s="894"/>
      <c r="Q602" s="894"/>
      <c r="R602" s="916"/>
      <c r="S602" s="916"/>
      <c r="T602" s="894"/>
      <c r="U602" s="894"/>
      <c r="V602" s="921" t="str">
        <f>'refer admin discharge'!H603</f>
        <v>00/00/0000</v>
      </c>
      <c r="W602" s="922"/>
      <c r="X602" s="920"/>
      <c r="Y602" s="920"/>
      <c r="Z602" s="919"/>
      <c r="AA602" s="919"/>
      <c r="AB602" s="920"/>
      <c r="AC602" s="920"/>
      <c r="AD602" s="912"/>
      <c r="AE602" s="912"/>
      <c r="AF602" s="920"/>
      <c r="AG602" s="920"/>
      <c r="AH602" s="912"/>
      <c r="AI602" s="912"/>
      <c r="AJ602" s="920"/>
      <c r="AK602" s="920"/>
      <c r="AL602" s="905"/>
      <c r="AM602" s="906"/>
      <c r="AN602" s="906"/>
      <c r="AO602" s="906"/>
      <c r="AP602" s="906"/>
      <c r="AQ602" s="906"/>
      <c r="AR602" s="906"/>
      <c r="AS602" s="906"/>
      <c r="AT602" s="906"/>
      <c r="AU602" s="906"/>
      <c r="AV602" s="906"/>
      <c r="AW602" s="906"/>
      <c r="AX602" s="906"/>
      <c r="AY602" s="906"/>
      <c r="AZ602" s="906"/>
      <c r="BA602" s="906"/>
      <c r="BB602" s="907"/>
    </row>
    <row r="603" spans="1:54" x14ac:dyDescent="0.25">
      <c r="A603" s="13">
        <f t="shared" si="9"/>
        <v>590</v>
      </c>
      <c r="B603" s="914" t="str">
        <f>'refer admin discharge'!B599</f>
        <v>x</v>
      </c>
      <c r="C603" s="914"/>
      <c r="D603" s="889" t="str">
        <f>'refer admin discharge'!D599</f>
        <v>xx</v>
      </c>
      <c r="E603" s="889"/>
      <c r="F603" s="915" t="str">
        <f>'refer admin discharge'!H599</f>
        <v>00/00/0000</v>
      </c>
      <c r="G603" s="890"/>
      <c r="H603" s="916"/>
      <c r="I603" s="916"/>
      <c r="J603" s="917"/>
      <c r="K603" s="917"/>
      <c r="L603" s="916"/>
      <c r="M603" s="916"/>
      <c r="N603" s="893"/>
      <c r="O603" s="893"/>
      <c r="P603" s="916"/>
      <c r="Q603" s="916"/>
      <c r="R603" s="893"/>
      <c r="S603" s="893"/>
      <c r="T603" s="916"/>
      <c r="U603" s="916"/>
      <c r="V603" s="921" t="str">
        <f>'refer admin discharge'!H604</f>
        <v>00/00/0000</v>
      </c>
      <c r="W603" s="922"/>
      <c r="X603" s="912"/>
      <c r="Y603" s="912"/>
      <c r="Z603" s="924"/>
      <c r="AA603" s="924"/>
      <c r="AB603" s="912"/>
      <c r="AC603" s="912"/>
      <c r="AD603" s="913"/>
      <c r="AE603" s="913"/>
      <c r="AF603" s="912"/>
      <c r="AG603" s="912"/>
      <c r="AH603" s="913"/>
      <c r="AI603" s="913"/>
      <c r="AJ603" s="912"/>
      <c r="AK603" s="912"/>
      <c r="AL603" s="925"/>
      <c r="AM603" s="926"/>
      <c r="AN603" s="926"/>
      <c r="AO603" s="926"/>
      <c r="AP603" s="926"/>
      <c r="AQ603" s="926"/>
      <c r="AR603" s="926"/>
      <c r="AS603" s="926"/>
      <c r="AT603" s="926"/>
      <c r="AU603" s="926"/>
      <c r="AV603" s="926"/>
      <c r="AW603" s="926"/>
      <c r="AX603" s="926"/>
      <c r="AY603" s="926"/>
      <c r="AZ603" s="926"/>
      <c r="BA603" s="926"/>
      <c r="BB603" s="927"/>
    </row>
    <row r="604" spans="1:54" x14ac:dyDescent="0.25">
      <c r="A604" s="13">
        <f t="shared" si="9"/>
        <v>591</v>
      </c>
      <c r="B604" s="888" t="str">
        <f>'refer admin discharge'!B600</f>
        <v>x</v>
      </c>
      <c r="C604" s="888"/>
      <c r="D604" s="868" t="str">
        <f>'refer admin discharge'!D600</f>
        <v>xx</v>
      </c>
      <c r="E604" s="868"/>
      <c r="F604" s="891" t="str">
        <f>'refer admin discharge'!H600</f>
        <v>00/00/0000</v>
      </c>
      <c r="G604" s="892"/>
      <c r="H604" s="894"/>
      <c r="I604" s="894"/>
      <c r="J604" s="918"/>
      <c r="K604" s="918"/>
      <c r="L604" s="894"/>
      <c r="M604" s="894"/>
      <c r="N604" s="916"/>
      <c r="O604" s="916"/>
      <c r="P604" s="894"/>
      <c r="Q604" s="894"/>
      <c r="R604" s="916"/>
      <c r="S604" s="916"/>
      <c r="T604" s="894"/>
      <c r="U604" s="894"/>
      <c r="V604" s="921" t="str">
        <f>'refer admin discharge'!H605</f>
        <v>00/00/0000</v>
      </c>
      <c r="W604" s="922"/>
      <c r="X604" s="920"/>
      <c r="Y604" s="920"/>
      <c r="Z604" s="919"/>
      <c r="AA604" s="919"/>
      <c r="AB604" s="920"/>
      <c r="AC604" s="920"/>
      <c r="AD604" s="912"/>
      <c r="AE604" s="912"/>
      <c r="AF604" s="920"/>
      <c r="AG604" s="920"/>
      <c r="AH604" s="912"/>
      <c r="AI604" s="912"/>
      <c r="AJ604" s="920"/>
      <c r="AK604" s="920"/>
      <c r="AL604" s="905"/>
      <c r="AM604" s="906"/>
      <c r="AN604" s="906"/>
      <c r="AO604" s="906"/>
      <c r="AP604" s="906"/>
      <c r="AQ604" s="906"/>
      <c r="AR604" s="906"/>
      <c r="AS604" s="906"/>
      <c r="AT604" s="906"/>
      <c r="AU604" s="906"/>
      <c r="AV604" s="906"/>
      <c r="AW604" s="906"/>
      <c r="AX604" s="906"/>
      <c r="AY604" s="906"/>
      <c r="AZ604" s="906"/>
      <c r="BA604" s="906"/>
      <c r="BB604" s="907"/>
    </row>
    <row r="605" spans="1:54" x14ac:dyDescent="0.25">
      <c r="A605" s="13">
        <f t="shared" si="9"/>
        <v>592</v>
      </c>
      <c r="B605" s="914" t="str">
        <f>'refer admin discharge'!B601</f>
        <v>x</v>
      </c>
      <c r="C605" s="914"/>
      <c r="D605" s="889" t="str">
        <f>'refer admin discharge'!D601</f>
        <v>xx</v>
      </c>
      <c r="E605" s="889"/>
      <c r="F605" s="915" t="str">
        <f>'refer admin discharge'!H601</f>
        <v>00/00/0000</v>
      </c>
      <c r="G605" s="890"/>
      <c r="H605" s="916"/>
      <c r="I605" s="916"/>
      <c r="J605" s="917"/>
      <c r="K605" s="917"/>
      <c r="L605" s="916"/>
      <c r="M605" s="916"/>
      <c r="N605" s="893"/>
      <c r="O605" s="893"/>
      <c r="P605" s="916"/>
      <c r="Q605" s="916"/>
      <c r="R605" s="893"/>
      <c r="S605" s="893"/>
      <c r="T605" s="916"/>
      <c r="U605" s="916"/>
      <c r="V605" s="921" t="str">
        <f>'refer admin discharge'!H606</f>
        <v>00/00/0000</v>
      </c>
      <c r="W605" s="922"/>
      <c r="X605" s="912"/>
      <c r="Y605" s="912"/>
      <c r="Z605" s="924"/>
      <c r="AA605" s="924"/>
      <c r="AB605" s="912"/>
      <c r="AC605" s="912"/>
      <c r="AD605" s="913"/>
      <c r="AE605" s="913"/>
      <c r="AF605" s="912"/>
      <c r="AG605" s="912"/>
      <c r="AH605" s="913"/>
      <c r="AI605" s="913"/>
      <c r="AJ605" s="912"/>
      <c r="AK605" s="912"/>
      <c r="AL605" s="925"/>
      <c r="AM605" s="926"/>
      <c r="AN605" s="926"/>
      <c r="AO605" s="926"/>
      <c r="AP605" s="926"/>
      <c r="AQ605" s="926"/>
      <c r="AR605" s="926"/>
      <c r="AS605" s="926"/>
      <c r="AT605" s="926"/>
      <c r="AU605" s="926"/>
      <c r="AV605" s="926"/>
      <c r="AW605" s="926"/>
      <c r="AX605" s="926"/>
      <c r="AY605" s="926"/>
      <c r="AZ605" s="926"/>
      <c r="BA605" s="926"/>
      <c r="BB605" s="927"/>
    </row>
    <row r="606" spans="1:54" x14ac:dyDescent="0.25">
      <c r="A606" s="13">
        <f t="shared" si="9"/>
        <v>593</v>
      </c>
      <c r="B606" s="888" t="str">
        <f>'refer admin discharge'!B602</f>
        <v>x</v>
      </c>
      <c r="C606" s="888"/>
      <c r="D606" s="868" t="str">
        <f>'refer admin discharge'!D602</f>
        <v>xx</v>
      </c>
      <c r="E606" s="868"/>
      <c r="F606" s="891" t="str">
        <f>'refer admin discharge'!H602</f>
        <v>00/00/0000</v>
      </c>
      <c r="G606" s="892"/>
      <c r="H606" s="894"/>
      <c r="I606" s="894"/>
      <c r="J606" s="918"/>
      <c r="K606" s="918"/>
      <c r="L606" s="894"/>
      <c r="M606" s="894"/>
      <c r="N606" s="916"/>
      <c r="O606" s="916"/>
      <c r="P606" s="894"/>
      <c r="Q606" s="894"/>
      <c r="R606" s="916"/>
      <c r="S606" s="916"/>
      <c r="T606" s="894"/>
      <c r="U606" s="894"/>
      <c r="V606" s="921" t="str">
        <f>'refer admin discharge'!H607</f>
        <v>00/00/0000</v>
      </c>
      <c r="W606" s="922"/>
      <c r="X606" s="920"/>
      <c r="Y606" s="920"/>
      <c r="Z606" s="919"/>
      <c r="AA606" s="919"/>
      <c r="AB606" s="920"/>
      <c r="AC606" s="920"/>
      <c r="AD606" s="912"/>
      <c r="AE606" s="912"/>
      <c r="AF606" s="920"/>
      <c r="AG606" s="920"/>
      <c r="AH606" s="912"/>
      <c r="AI606" s="912"/>
      <c r="AJ606" s="920"/>
      <c r="AK606" s="920"/>
      <c r="AL606" s="905"/>
      <c r="AM606" s="906"/>
      <c r="AN606" s="906"/>
      <c r="AO606" s="906"/>
      <c r="AP606" s="906"/>
      <c r="AQ606" s="906"/>
      <c r="AR606" s="906"/>
      <c r="AS606" s="906"/>
      <c r="AT606" s="906"/>
      <c r="AU606" s="906"/>
      <c r="AV606" s="906"/>
      <c r="AW606" s="906"/>
      <c r="AX606" s="906"/>
      <c r="AY606" s="906"/>
      <c r="AZ606" s="906"/>
      <c r="BA606" s="906"/>
      <c r="BB606" s="907"/>
    </row>
    <row r="607" spans="1:54" x14ac:dyDescent="0.25">
      <c r="A607" s="13">
        <f t="shared" si="9"/>
        <v>594</v>
      </c>
      <c r="B607" s="914" t="str">
        <f>'refer admin discharge'!B603</f>
        <v>x</v>
      </c>
      <c r="C607" s="914"/>
      <c r="D607" s="889" t="str">
        <f>'refer admin discharge'!D603</f>
        <v>xx</v>
      </c>
      <c r="E607" s="889"/>
      <c r="F607" s="915" t="str">
        <f>'refer admin discharge'!H603</f>
        <v>00/00/0000</v>
      </c>
      <c r="G607" s="890"/>
      <c r="H607" s="916"/>
      <c r="I607" s="916"/>
      <c r="J607" s="917"/>
      <c r="K607" s="917"/>
      <c r="L607" s="916"/>
      <c r="M607" s="916"/>
      <c r="N607" s="893"/>
      <c r="O607" s="893"/>
      <c r="P607" s="916"/>
      <c r="Q607" s="916"/>
      <c r="R607" s="893"/>
      <c r="S607" s="893"/>
      <c r="T607" s="916"/>
      <c r="U607" s="916"/>
      <c r="V607" s="921" t="str">
        <f>'refer admin discharge'!H608</f>
        <v>00/00/0000</v>
      </c>
      <c r="W607" s="922"/>
      <c r="X607" s="912"/>
      <c r="Y607" s="912"/>
      <c r="Z607" s="924"/>
      <c r="AA607" s="924"/>
      <c r="AB607" s="912"/>
      <c r="AC607" s="912"/>
      <c r="AD607" s="913"/>
      <c r="AE607" s="913"/>
      <c r="AF607" s="912"/>
      <c r="AG607" s="912"/>
      <c r="AH607" s="913"/>
      <c r="AI607" s="913"/>
      <c r="AJ607" s="912"/>
      <c r="AK607" s="912"/>
      <c r="AL607" s="925"/>
      <c r="AM607" s="926"/>
      <c r="AN607" s="926"/>
      <c r="AO607" s="926"/>
      <c r="AP607" s="926"/>
      <c r="AQ607" s="926"/>
      <c r="AR607" s="926"/>
      <c r="AS607" s="926"/>
      <c r="AT607" s="926"/>
      <c r="AU607" s="926"/>
      <c r="AV607" s="926"/>
      <c r="AW607" s="926"/>
      <c r="AX607" s="926"/>
      <c r="AY607" s="926"/>
      <c r="AZ607" s="926"/>
      <c r="BA607" s="926"/>
      <c r="BB607" s="927"/>
    </row>
    <row r="608" spans="1:54" x14ac:dyDescent="0.25">
      <c r="A608" s="13">
        <f t="shared" si="9"/>
        <v>595</v>
      </c>
      <c r="B608" s="888" t="str">
        <f>'refer admin discharge'!B604</f>
        <v>x</v>
      </c>
      <c r="C608" s="888"/>
      <c r="D608" s="868" t="str">
        <f>'refer admin discharge'!D604</f>
        <v>xx</v>
      </c>
      <c r="E608" s="868"/>
      <c r="F608" s="891" t="str">
        <f>'refer admin discharge'!H604</f>
        <v>00/00/0000</v>
      </c>
      <c r="G608" s="892"/>
      <c r="H608" s="894"/>
      <c r="I608" s="894"/>
      <c r="J608" s="918"/>
      <c r="K608" s="918"/>
      <c r="L608" s="894"/>
      <c r="M608" s="894"/>
      <c r="N608" s="916"/>
      <c r="O608" s="916"/>
      <c r="P608" s="894"/>
      <c r="Q608" s="894"/>
      <c r="R608" s="916"/>
      <c r="S608" s="916"/>
      <c r="T608" s="894"/>
      <c r="U608" s="894"/>
      <c r="V608" s="921" t="str">
        <f>'refer admin discharge'!H609</f>
        <v>00/00/0000</v>
      </c>
      <c r="W608" s="922"/>
      <c r="X608" s="920"/>
      <c r="Y608" s="920"/>
      <c r="Z608" s="919"/>
      <c r="AA608" s="919"/>
      <c r="AB608" s="920"/>
      <c r="AC608" s="920"/>
      <c r="AD608" s="912"/>
      <c r="AE608" s="912"/>
      <c r="AF608" s="920"/>
      <c r="AG608" s="920"/>
      <c r="AH608" s="912"/>
      <c r="AI608" s="912"/>
      <c r="AJ608" s="920"/>
      <c r="AK608" s="920"/>
      <c r="AL608" s="905"/>
      <c r="AM608" s="906"/>
      <c r="AN608" s="906"/>
      <c r="AO608" s="906"/>
      <c r="AP608" s="906"/>
      <c r="AQ608" s="906"/>
      <c r="AR608" s="906"/>
      <c r="AS608" s="906"/>
      <c r="AT608" s="906"/>
      <c r="AU608" s="906"/>
      <c r="AV608" s="906"/>
      <c r="AW608" s="906"/>
      <c r="AX608" s="906"/>
      <c r="AY608" s="906"/>
      <c r="AZ608" s="906"/>
      <c r="BA608" s="906"/>
      <c r="BB608" s="907"/>
    </row>
    <row r="609" spans="1:54" x14ac:dyDescent="0.25">
      <c r="A609" s="13">
        <f t="shared" si="9"/>
        <v>596</v>
      </c>
      <c r="B609" s="914" t="str">
        <f>'refer admin discharge'!B605</f>
        <v>x</v>
      </c>
      <c r="C609" s="914"/>
      <c r="D609" s="889" t="str">
        <f>'refer admin discharge'!D605</f>
        <v>xx</v>
      </c>
      <c r="E609" s="889"/>
      <c r="F609" s="915" t="str">
        <f>'refer admin discharge'!H605</f>
        <v>00/00/0000</v>
      </c>
      <c r="G609" s="890"/>
      <c r="H609" s="916"/>
      <c r="I609" s="916"/>
      <c r="J609" s="917"/>
      <c r="K609" s="917"/>
      <c r="L609" s="916"/>
      <c r="M609" s="916"/>
      <c r="N609" s="893"/>
      <c r="O609" s="893"/>
      <c r="P609" s="916"/>
      <c r="Q609" s="916"/>
      <c r="R609" s="893"/>
      <c r="S609" s="893"/>
      <c r="T609" s="916"/>
      <c r="U609" s="916"/>
      <c r="V609" s="921" t="str">
        <f>'refer admin discharge'!H610</f>
        <v>00/00/0000</v>
      </c>
      <c r="W609" s="922"/>
      <c r="X609" s="912"/>
      <c r="Y609" s="912"/>
      <c r="Z609" s="924"/>
      <c r="AA609" s="924"/>
      <c r="AB609" s="912"/>
      <c r="AC609" s="912"/>
      <c r="AD609" s="913"/>
      <c r="AE609" s="913"/>
      <c r="AF609" s="912"/>
      <c r="AG609" s="912"/>
      <c r="AH609" s="913"/>
      <c r="AI609" s="913"/>
      <c r="AJ609" s="912"/>
      <c r="AK609" s="912"/>
      <c r="AL609" s="925"/>
      <c r="AM609" s="926"/>
      <c r="AN609" s="926"/>
      <c r="AO609" s="926"/>
      <c r="AP609" s="926"/>
      <c r="AQ609" s="926"/>
      <c r="AR609" s="926"/>
      <c r="AS609" s="926"/>
      <c r="AT609" s="926"/>
      <c r="AU609" s="926"/>
      <c r="AV609" s="926"/>
      <c r="AW609" s="926"/>
      <c r="AX609" s="926"/>
      <c r="AY609" s="926"/>
      <c r="AZ609" s="926"/>
      <c r="BA609" s="926"/>
      <c r="BB609" s="927"/>
    </row>
    <row r="610" spans="1:54" x14ac:dyDescent="0.25">
      <c r="A610" s="13">
        <f t="shared" si="9"/>
        <v>597</v>
      </c>
      <c r="B610" s="888" t="str">
        <f>'refer admin discharge'!B606</f>
        <v>x</v>
      </c>
      <c r="C610" s="888"/>
      <c r="D610" s="868" t="str">
        <f>'refer admin discharge'!D606</f>
        <v>xx</v>
      </c>
      <c r="E610" s="868"/>
      <c r="F610" s="891" t="str">
        <f>'refer admin discharge'!H606</f>
        <v>00/00/0000</v>
      </c>
      <c r="G610" s="892"/>
      <c r="H610" s="894"/>
      <c r="I610" s="894"/>
      <c r="J610" s="918"/>
      <c r="K610" s="918"/>
      <c r="L610" s="894"/>
      <c r="M610" s="894"/>
      <c r="N610" s="916"/>
      <c r="O610" s="916"/>
      <c r="P610" s="894"/>
      <c r="Q610" s="894"/>
      <c r="R610" s="916"/>
      <c r="S610" s="916"/>
      <c r="T610" s="894"/>
      <c r="U610" s="894"/>
      <c r="V610" s="921" t="str">
        <f>'refer admin discharge'!H611</f>
        <v>00/00/0000</v>
      </c>
      <c r="W610" s="922"/>
      <c r="X610" s="920"/>
      <c r="Y610" s="920"/>
      <c r="Z610" s="919"/>
      <c r="AA610" s="919"/>
      <c r="AB610" s="920"/>
      <c r="AC610" s="920"/>
      <c r="AD610" s="912"/>
      <c r="AE610" s="912"/>
      <c r="AF610" s="920"/>
      <c r="AG610" s="920"/>
      <c r="AH610" s="912"/>
      <c r="AI610" s="912"/>
      <c r="AJ610" s="920"/>
      <c r="AK610" s="920"/>
      <c r="AL610" s="905"/>
      <c r="AM610" s="906"/>
      <c r="AN610" s="906"/>
      <c r="AO610" s="906"/>
      <c r="AP610" s="906"/>
      <c r="AQ610" s="906"/>
      <c r="AR610" s="906"/>
      <c r="AS610" s="906"/>
      <c r="AT610" s="906"/>
      <c r="AU610" s="906"/>
      <c r="AV610" s="906"/>
      <c r="AW610" s="906"/>
      <c r="AX610" s="906"/>
      <c r="AY610" s="906"/>
      <c r="AZ610" s="906"/>
      <c r="BA610" s="906"/>
      <c r="BB610" s="907"/>
    </row>
    <row r="611" spans="1:54" x14ac:dyDescent="0.25">
      <c r="A611" s="13">
        <f t="shared" si="9"/>
        <v>598</v>
      </c>
      <c r="B611" s="914" t="str">
        <f>'refer admin discharge'!B607</f>
        <v>x</v>
      </c>
      <c r="C611" s="914"/>
      <c r="D611" s="889" t="str">
        <f>'refer admin discharge'!D607</f>
        <v>xx</v>
      </c>
      <c r="E611" s="889"/>
      <c r="F611" s="915" t="str">
        <f>'refer admin discharge'!H607</f>
        <v>00/00/0000</v>
      </c>
      <c r="G611" s="890"/>
      <c r="H611" s="916"/>
      <c r="I611" s="916"/>
      <c r="J611" s="917"/>
      <c r="K611" s="917"/>
      <c r="L611" s="916"/>
      <c r="M611" s="916"/>
      <c r="N611" s="893"/>
      <c r="O611" s="893"/>
      <c r="P611" s="916"/>
      <c r="Q611" s="916"/>
      <c r="R611" s="893"/>
      <c r="S611" s="893"/>
      <c r="T611" s="916"/>
      <c r="U611" s="916"/>
      <c r="V611" s="921" t="str">
        <f>'refer admin discharge'!H612</f>
        <v>00/00/0000</v>
      </c>
      <c r="W611" s="922"/>
      <c r="X611" s="912"/>
      <c r="Y611" s="912"/>
      <c r="Z611" s="924"/>
      <c r="AA611" s="924"/>
      <c r="AB611" s="912"/>
      <c r="AC611" s="912"/>
      <c r="AD611" s="913"/>
      <c r="AE611" s="913"/>
      <c r="AF611" s="912"/>
      <c r="AG611" s="912"/>
      <c r="AH611" s="913"/>
      <c r="AI611" s="913"/>
      <c r="AJ611" s="912"/>
      <c r="AK611" s="912"/>
      <c r="AL611" s="925"/>
      <c r="AM611" s="926"/>
      <c r="AN611" s="926"/>
      <c r="AO611" s="926"/>
      <c r="AP611" s="926"/>
      <c r="AQ611" s="926"/>
      <c r="AR611" s="926"/>
      <c r="AS611" s="926"/>
      <c r="AT611" s="926"/>
      <c r="AU611" s="926"/>
      <c r="AV611" s="926"/>
      <c r="AW611" s="926"/>
      <c r="AX611" s="926"/>
      <c r="AY611" s="926"/>
      <c r="AZ611" s="926"/>
      <c r="BA611" s="926"/>
      <c r="BB611" s="927"/>
    </row>
    <row r="612" spans="1:54" x14ac:dyDescent="0.25">
      <c r="A612" s="13">
        <f t="shared" si="9"/>
        <v>599</v>
      </c>
      <c r="B612" s="888" t="str">
        <f>'refer admin discharge'!B608</f>
        <v>x</v>
      </c>
      <c r="C612" s="888"/>
      <c r="D612" s="868" t="str">
        <f>'refer admin discharge'!D608</f>
        <v>xx</v>
      </c>
      <c r="E612" s="868"/>
      <c r="F612" s="891" t="str">
        <f>'refer admin discharge'!H608</f>
        <v>00/00/0000</v>
      </c>
      <c r="G612" s="892"/>
      <c r="H612" s="894"/>
      <c r="I612" s="894"/>
      <c r="J612" s="918"/>
      <c r="K612" s="918"/>
      <c r="L612" s="894"/>
      <c r="M612" s="894"/>
      <c r="N612" s="916"/>
      <c r="O612" s="916"/>
      <c r="P612" s="894"/>
      <c r="Q612" s="894"/>
      <c r="R612" s="916"/>
      <c r="S612" s="916"/>
      <c r="T612" s="894"/>
      <c r="U612" s="894"/>
      <c r="V612" s="921" t="str">
        <f>'refer admin discharge'!H613</f>
        <v>00/00/0000</v>
      </c>
      <c r="W612" s="922"/>
      <c r="X612" s="920"/>
      <c r="Y612" s="920"/>
      <c r="Z612" s="919"/>
      <c r="AA612" s="919"/>
      <c r="AB612" s="920"/>
      <c r="AC612" s="920"/>
      <c r="AD612" s="912"/>
      <c r="AE612" s="912"/>
      <c r="AF612" s="920"/>
      <c r="AG612" s="920"/>
      <c r="AH612" s="912"/>
      <c r="AI612" s="912"/>
      <c r="AJ612" s="920"/>
      <c r="AK612" s="920"/>
      <c r="AL612" s="905"/>
      <c r="AM612" s="906"/>
      <c r="AN612" s="906"/>
      <c r="AO612" s="906"/>
      <c r="AP612" s="906"/>
      <c r="AQ612" s="906"/>
      <c r="AR612" s="906"/>
      <c r="AS612" s="906"/>
      <c r="AT612" s="906"/>
      <c r="AU612" s="906"/>
      <c r="AV612" s="906"/>
      <c r="AW612" s="906"/>
      <c r="AX612" s="906"/>
      <c r="AY612" s="906"/>
      <c r="AZ612" s="906"/>
      <c r="BA612" s="906"/>
      <c r="BB612" s="907"/>
    </row>
    <row r="613" spans="1:54" x14ac:dyDescent="0.25">
      <c r="A613" s="13">
        <f t="shared" si="9"/>
        <v>600</v>
      </c>
      <c r="B613" s="914" t="str">
        <f>'refer admin discharge'!B609</f>
        <v>x</v>
      </c>
      <c r="C613" s="914"/>
      <c r="D613" s="889" t="str">
        <f>'refer admin discharge'!D609</f>
        <v>xx</v>
      </c>
      <c r="E613" s="889"/>
      <c r="F613" s="915" t="str">
        <f>'refer admin discharge'!H609</f>
        <v>00/00/0000</v>
      </c>
      <c r="G613" s="890"/>
      <c r="H613" s="916"/>
      <c r="I613" s="916"/>
      <c r="J613" s="917"/>
      <c r="K613" s="917"/>
      <c r="L613" s="916"/>
      <c r="M613" s="916"/>
      <c r="N613" s="893"/>
      <c r="O613" s="893"/>
      <c r="P613" s="916"/>
      <c r="Q613" s="916"/>
      <c r="R613" s="893"/>
      <c r="S613" s="893"/>
      <c r="T613" s="916"/>
      <c r="U613" s="916"/>
      <c r="V613" s="921" t="str">
        <f>'refer admin discharge'!H614</f>
        <v>00/00/0000</v>
      </c>
      <c r="W613" s="922"/>
      <c r="X613" s="912"/>
      <c r="Y613" s="912"/>
      <c r="Z613" s="924"/>
      <c r="AA613" s="924"/>
      <c r="AB613" s="912"/>
      <c r="AC613" s="912"/>
      <c r="AD613" s="913"/>
      <c r="AE613" s="913"/>
      <c r="AF613" s="912"/>
      <c r="AG613" s="912"/>
      <c r="AH613" s="913"/>
      <c r="AI613" s="913"/>
      <c r="AJ613" s="912"/>
      <c r="AK613" s="912"/>
      <c r="AL613" s="925"/>
      <c r="AM613" s="926"/>
      <c r="AN613" s="926"/>
      <c r="AO613" s="926"/>
      <c r="AP613" s="926"/>
      <c r="AQ613" s="926"/>
      <c r="AR613" s="926"/>
      <c r="AS613" s="926"/>
      <c r="AT613" s="926"/>
      <c r="AU613" s="926"/>
      <c r="AV613" s="926"/>
      <c r="AW613" s="926"/>
      <c r="AX613" s="926"/>
      <c r="AY613" s="926"/>
      <c r="AZ613" s="926"/>
      <c r="BA613" s="926"/>
      <c r="BB613" s="927"/>
    </row>
    <row r="614" spans="1:54" x14ac:dyDescent="0.25">
      <c r="A614" s="13">
        <f t="shared" si="9"/>
        <v>601</v>
      </c>
      <c r="B614" s="888" t="str">
        <f>'refer admin discharge'!B610</f>
        <v>x</v>
      </c>
      <c r="C614" s="888"/>
      <c r="D614" s="868" t="str">
        <f>'refer admin discharge'!D610</f>
        <v>xx</v>
      </c>
      <c r="E614" s="868"/>
      <c r="F614" s="891" t="str">
        <f>'refer admin discharge'!H610</f>
        <v>00/00/0000</v>
      </c>
      <c r="G614" s="892"/>
      <c r="H614" s="894"/>
      <c r="I614" s="894"/>
      <c r="J614" s="918"/>
      <c r="K614" s="918"/>
      <c r="L614" s="894"/>
      <c r="M614" s="894"/>
      <c r="N614" s="916"/>
      <c r="O614" s="916"/>
      <c r="P614" s="894"/>
      <c r="Q614" s="894"/>
      <c r="R614" s="916"/>
      <c r="S614" s="916"/>
      <c r="T614" s="894"/>
      <c r="U614" s="894"/>
      <c r="V614" s="921" t="str">
        <f>'refer admin discharge'!H615</f>
        <v>00/00/0000</v>
      </c>
      <c r="W614" s="922"/>
      <c r="X614" s="920"/>
      <c r="Y614" s="920"/>
      <c r="Z614" s="919"/>
      <c r="AA614" s="919"/>
      <c r="AB614" s="920"/>
      <c r="AC614" s="920"/>
      <c r="AD614" s="912"/>
      <c r="AE614" s="912"/>
      <c r="AF614" s="920"/>
      <c r="AG614" s="920"/>
      <c r="AH614" s="912"/>
      <c r="AI614" s="912"/>
      <c r="AJ614" s="920"/>
      <c r="AK614" s="920"/>
      <c r="AL614" s="905"/>
      <c r="AM614" s="906"/>
      <c r="AN614" s="906"/>
      <c r="AO614" s="906"/>
      <c r="AP614" s="906"/>
      <c r="AQ614" s="906"/>
      <c r="AR614" s="906"/>
      <c r="AS614" s="906"/>
      <c r="AT614" s="906"/>
      <c r="AU614" s="906"/>
      <c r="AV614" s="906"/>
      <c r="AW614" s="906"/>
      <c r="AX614" s="906"/>
      <c r="AY614" s="906"/>
      <c r="AZ614" s="906"/>
      <c r="BA614" s="906"/>
      <c r="BB614" s="907"/>
    </row>
    <row r="615" spans="1:54" x14ac:dyDescent="0.25">
      <c r="A615" s="13">
        <f t="shared" si="9"/>
        <v>602</v>
      </c>
      <c r="B615" s="914" t="str">
        <f>'refer admin discharge'!B611</f>
        <v>x</v>
      </c>
      <c r="C615" s="914"/>
      <c r="D615" s="889" t="str">
        <f>'refer admin discharge'!D611</f>
        <v>xx</v>
      </c>
      <c r="E615" s="889"/>
      <c r="F615" s="915" t="str">
        <f>'refer admin discharge'!H611</f>
        <v>00/00/0000</v>
      </c>
      <c r="G615" s="890"/>
      <c r="H615" s="916"/>
      <c r="I615" s="916"/>
      <c r="J615" s="917"/>
      <c r="K615" s="917"/>
      <c r="L615" s="916"/>
      <c r="M615" s="916"/>
      <c r="N615" s="893"/>
      <c r="O615" s="893"/>
      <c r="P615" s="916"/>
      <c r="Q615" s="916"/>
      <c r="R615" s="893"/>
      <c r="S615" s="893"/>
      <c r="T615" s="916"/>
      <c r="U615" s="916"/>
      <c r="V615" s="921" t="str">
        <f>'refer admin discharge'!H616</f>
        <v>00/00/0000</v>
      </c>
      <c r="W615" s="922"/>
      <c r="X615" s="912"/>
      <c r="Y615" s="912"/>
      <c r="Z615" s="924"/>
      <c r="AA615" s="924"/>
      <c r="AB615" s="912"/>
      <c r="AC615" s="912"/>
      <c r="AD615" s="913"/>
      <c r="AE615" s="913"/>
      <c r="AF615" s="912"/>
      <c r="AG615" s="912"/>
      <c r="AH615" s="913"/>
      <c r="AI615" s="913"/>
      <c r="AJ615" s="912"/>
      <c r="AK615" s="912"/>
      <c r="AL615" s="925"/>
      <c r="AM615" s="926"/>
      <c r="AN615" s="926"/>
      <c r="AO615" s="926"/>
      <c r="AP615" s="926"/>
      <c r="AQ615" s="926"/>
      <c r="AR615" s="926"/>
      <c r="AS615" s="926"/>
      <c r="AT615" s="926"/>
      <c r="AU615" s="926"/>
      <c r="AV615" s="926"/>
      <c r="AW615" s="926"/>
      <c r="AX615" s="926"/>
      <c r="AY615" s="926"/>
      <c r="AZ615" s="926"/>
      <c r="BA615" s="926"/>
      <c r="BB615" s="927"/>
    </row>
    <row r="616" spans="1:54" x14ac:dyDescent="0.25">
      <c r="A616" s="13">
        <f t="shared" si="9"/>
        <v>603</v>
      </c>
      <c r="B616" s="888" t="str">
        <f>'refer admin discharge'!B612</f>
        <v>x</v>
      </c>
      <c r="C616" s="888"/>
      <c r="D616" s="868" t="str">
        <f>'refer admin discharge'!D612</f>
        <v>xx</v>
      </c>
      <c r="E616" s="868"/>
      <c r="F616" s="891" t="str">
        <f>'refer admin discharge'!H612</f>
        <v>00/00/0000</v>
      </c>
      <c r="G616" s="892"/>
      <c r="H616" s="894"/>
      <c r="I616" s="894"/>
      <c r="J616" s="918"/>
      <c r="K616" s="918"/>
      <c r="L616" s="894"/>
      <c r="M616" s="894"/>
      <c r="N616" s="916"/>
      <c r="O616" s="916"/>
      <c r="P616" s="894"/>
      <c r="Q616" s="894"/>
      <c r="R616" s="916"/>
      <c r="S616" s="916"/>
      <c r="T616" s="894"/>
      <c r="U616" s="894"/>
      <c r="V616" s="921" t="str">
        <f>'refer admin discharge'!H617</f>
        <v>00/00/0000</v>
      </c>
      <c r="W616" s="922"/>
      <c r="X616" s="920"/>
      <c r="Y616" s="920"/>
      <c r="Z616" s="919"/>
      <c r="AA616" s="919"/>
      <c r="AB616" s="920"/>
      <c r="AC616" s="920"/>
      <c r="AD616" s="912"/>
      <c r="AE616" s="912"/>
      <c r="AF616" s="920"/>
      <c r="AG616" s="920"/>
      <c r="AH616" s="912"/>
      <c r="AI616" s="912"/>
      <c r="AJ616" s="920"/>
      <c r="AK616" s="920"/>
      <c r="AL616" s="905"/>
      <c r="AM616" s="906"/>
      <c r="AN616" s="906"/>
      <c r="AO616" s="906"/>
      <c r="AP616" s="906"/>
      <c r="AQ616" s="906"/>
      <c r="AR616" s="906"/>
      <c r="AS616" s="906"/>
      <c r="AT616" s="906"/>
      <c r="AU616" s="906"/>
      <c r="AV616" s="906"/>
      <c r="AW616" s="906"/>
      <c r="AX616" s="906"/>
      <c r="AY616" s="906"/>
      <c r="AZ616" s="906"/>
      <c r="BA616" s="906"/>
      <c r="BB616" s="907"/>
    </row>
    <row r="617" spans="1:54" x14ac:dyDescent="0.25">
      <c r="A617" s="13">
        <f t="shared" si="9"/>
        <v>604</v>
      </c>
      <c r="B617" s="914" t="str">
        <f>'refer admin discharge'!B613</f>
        <v>x</v>
      </c>
      <c r="C617" s="914"/>
      <c r="D617" s="889" t="str">
        <f>'refer admin discharge'!D613</f>
        <v>xx</v>
      </c>
      <c r="E617" s="889"/>
      <c r="F617" s="915" t="str">
        <f>'refer admin discharge'!H613</f>
        <v>00/00/0000</v>
      </c>
      <c r="G617" s="890"/>
      <c r="H617" s="916"/>
      <c r="I617" s="916"/>
      <c r="J617" s="917"/>
      <c r="K617" s="917"/>
      <c r="L617" s="916"/>
      <c r="M617" s="916"/>
      <c r="N617" s="893"/>
      <c r="O617" s="893"/>
      <c r="P617" s="916"/>
      <c r="Q617" s="916"/>
      <c r="R617" s="893"/>
      <c r="S617" s="893"/>
      <c r="T617" s="916"/>
      <c r="U617" s="916"/>
      <c r="V617" s="921" t="str">
        <f>'refer admin discharge'!H618</f>
        <v>00/00/0000</v>
      </c>
      <c r="W617" s="922"/>
      <c r="X617" s="912"/>
      <c r="Y617" s="912"/>
      <c r="Z617" s="924"/>
      <c r="AA617" s="924"/>
      <c r="AB617" s="912"/>
      <c r="AC617" s="912"/>
      <c r="AD617" s="913"/>
      <c r="AE617" s="913"/>
      <c r="AF617" s="912"/>
      <c r="AG617" s="912"/>
      <c r="AH617" s="913"/>
      <c r="AI617" s="913"/>
      <c r="AJ617" s="912"/>
      <c r="AK617" s="912"/>
      <c r="AL617" s="925"/>
      <c r="AM617" s="926"/>
      <c r="AN617" s="926"/>
      <c r="AO617" s="926"/>
      <c r="AP617" s="926"/>
      <c r="AQ617" s="926"/>
      <c r="AR617" s="926"/>
      <c r="AS617" s="926"/>
      <c r="AT617" s="926"/>
      <c r="AU617" s="926"/>
      <c r="AV617" s="926"/>
      <c r="AW617" s="926"/>
      <c r="AX617" s="926"/>
      <c r="AY617" s="926"/>
      <c r="AZ617" s="926"/>
      <c r="BA617" s="926"/>
      <c r="BB617" s="927"/>
    </row>
    <row r="618" spans="1:54" x14ac:dyDescent="0.25">
      <c r="A618" s="13">
        <f t="shared" si="9"/>
        <v>605</v>
      </c>
      <c r="B618" s="888" t="str">
        <f>'refer admin discharge'!B614</f>
        <v>x</v>
      </c>
      <c r="C618" s="888"/>
      <c r="D618" s="868" t="str">
        <f>'refer admin discharge'!D614</f>
        <v>xx</v>
      </c>
      <c r="E618" s="868"/>
      <c r="F618" s="891" t="str">
        <f>'refer admin discharge'!H614</f>
        <v>00/00/0000</v>
      </c>
      <c r="G618" s="892"/>
      <c r="H618" s="894"/>
      <c r="I618" s="894"/>
      <c r="J618" s="918"/>
      <c r="K618" s="918"/>
      <c r="L618" s="894"/>
      <c r="M618" s="894"/>
      <c r="N618" s="916"/>
      <c r="O618" s="916"/>
      <c r="P618" s="894"/>
      <c r="Q618" s="894"/>
      <c r="R618" s="916"/>
      <c r="S618" s="916"/>
      <c r="T618" s="894"/>
      <c r="U618" s="894"/>
      <c r="V618" s="921" t="str">
        <f>'refer admin discharge'!H619</f>
        <v>00/00/0000</v>
      </c>
      <c r="W618" s="922"/>
      <c r="X618" s="920"/>
      <c r="Y618" s="920"/>
      <c r="Z618" s="919"/>
      <c r="AA618" s="919"/>
      <c r="AB618" s="920"/>
      <c r="AC618" s="920"/>
      <c r="AD618" s="912"/>
      <c r="AE618" s="912"/>
      <c r="AF618" s="920"/>
      <c r="AG618" s="920"/>
      <c r="AH618" s="912"/>
      <c r="AI618" s="912"/>
      <c r="AJ618" s="920"/>
      <c r="AK618" s="920"/>
      <c r="AL618" s="905"/>
      <c r="AM618" s="906"/>
      <c r="AN618" s="906"/>
      <c r="AO618" s="906"/>
      <c r="AP618" s="906"/>
      <c r="AQ618" s="906"/>
      <c r="AR618" s="906"/>
      <c r="AS618" s="906"/>
      <c r="AT618" s="906"/>
      <c r="AU618" s="906"/>
      <c r="AV618" s="906"/>
      <c r="AW618" s="906"/>
      <c r="AX618" s="906"/>
      <c r="AY618" s="906"/>
      <c r="AZ618" s="906"/>
      <c r="BA618" s="906"/>
      <c r="BB618" s="907"/>
    </row>
    <row r="619" spans="1:54" x14ac:dyDescent="0.25">
      <c r="A619" s="13">
        <f t="shared" si="9"/>
        <v>606</v>
      </c>
      <c r="B619" s="914" t="str">
        <f>'refer admin discharge'!B615</f>
        <v>x</v>
      </c>
      <c r="C619" s="914"/>
      <c r="D619" s="889" t="str">
        <f>'refer admin discharge'!D615</f>
        <v>xx</v>
      </c>
      <c r="E619" s="889"/>
      <c r="F619" s="915" t="str">
        <f>'refer admin discharge'!H615</f>
        <v>00/00/0000</v>
      </c>
      <c r="G619" s="890"/>
      <c r="H619" s="916"/>
      <c r="I619" s="916"/>
      <c r="J619" s="917"/>
      <c r="K619" s="917"/>
      <c r="L619" s="916"/>
      <c r="M619" s="916"/>
      <c r="N619" s="893"/>
      <c r="O619" s="893"/>
      <c r="P619" s="916"/>
      <c r="Q619" s="916"/>
      <c r="R619" s="893"/>
      <c r="S619" s="893"/>
      <c r="T619" s="916"/>
      <c r="U619" s="916"/>
      <c r="V619" s="921" t="str">
        <f>'refer admin discharge'!H620</f>
        <v>00/00/0000</v>
      </c>
      <c r="W619" s="922"/>
      <c r="X619" s="912"/>
      <c r="Y619" s="912"/>
      <c r="Z619" s="924"/>
      <c r="AA619" s="924"/>
      <c r="AB619" s="912"/>
      <c r="AC619" s="912"/>
      <c r="AD619" s="913"/>
      <c r="AE619" s="913"/>
      <c r="AF619" s="912"/>
      <c r="AG619" s="912"/>
      <c r="AH619" s="913"/>
      <c r="AI619" s="913"/>
      <c r="AJ619" s="912"/>
      <c r="AK619" s="912"/>
      <c r="AL619" s="925"/>
      <c r="AM619" s="926"/>
      <c r="AN619" s="926"/>
      <c r="AO619" s="926"/>
      <c r="AP619" s="926"/>
      <c r="AQ619" s="926"/>
      <c r="AR619" s="926"/>
      <c r="AS619" s="926"/>
      <c r="AT619" s="926"/>
      <c r="AU619" s="926"/>
      <c r="AV619" s="926"/>
      <c r="AW619" s="926"/>
      <c r="AX619" s="926"/>
      <c r="AY619" s="926"/>
      <c r="AZ619" s="926"/>
      <c r="BA619" s="926"/>
      <c r="BB619" s="927"/>
    </row>
    <row r="620" spans="1:54" x14ac:dyDescent="0.25">
      <c r="A620" s="13">
        <f t="shared" si="9"/>
        <v>607</v>
      </c>
      <c r="B620" s="888" t="str">
        <f>'refer admin discharge'!B616</f>
        <v>x</v>
      </c>
      <c r="C620" s="888"/>
      <c r="D620" s="868" t="str">
        <f>'refer admin discharge'!D616</f>
        <v>xx</v>
      </c>
      <c r="E620" s="868"/>
      <c r="F620" s="891" t="str">
        <f>'refer admin discharge'!H616</f>
        <v>00/00/0000</v>
      </c>
      <c r="G620" s="892"/>
      <c r="H620" s="894"/>
      <c r="I620" s="894"/>
      <c r="J620" s="918"/>
      <c r="K620" s="918"/>
      <c r="L620" s="894"/>
      <c r="M620" s="894"/>
      <c r="N620" s="916"/>
      <c r="O620" s="916"/>
      <c r="P620" s="894"/>
      <c r="Q620" s="894"/>
      <c r="R620" s="916"/>
      <c r="S620" s="916"/>
      <c r="T620" s="894"/>
      <c r="U620" s="894"/>
      <c r="V620" s="921" t="str">
        <f>'refer admin discharge'!H621</f>
        <v>00/00/0000</v>
      </c>
      <c r="W620" s="922"/>
      <c r="X620" s="920"/>
      <c r="Y620" s="920"/>
      <c r="Z620" s="919"/>
      <c r="AA620" s="919"/>
      <c r="AB620" s="920"/>
      <c r="AC620" s="920"/>
      <c r="AD620" s="912"/>
      <c r="AE620" s="912"/>
      <c r="AF620" s="920"/>
      <c r="AG620" s="920"/>
      <c r="AH620" s="912"/>
      <c r="AI620" s="912"/>
      <c r="AJ620" s="920"/>
      <c r="AK620" s="920"/>
      <c r="AL620" s="905"/>
      <c r="AM620" s="906"/>
      <c r="AN620" s="906"/>
      <c r="AO620" s="906"/>
      <c r="AP620" s="906"/>
      <c r="AQ620" s="906"/>
      <c r="AR620" s="906"/>
      <c r="AS620" s="906"/>
      <c r="AT620" s="906"/>
      <c r="AU620" s="906"/>
      <c r="AV620" s="906"/>
      <c r="AW620" s="906"/>
      <c r="AX620" s="906"/>
      <c r="AY620" s="906"/>
      <c r="AZ620" s="906"/>
      <c r="BA620" s="906"/>
      <c r="BB620" s="907"/>
    </row>
    <row r="621" spans="1:54" x14ac:dyDescent="0.25">
      <c r="A621" s="13">
        <f t="shared" si="9"/>
        <v>608</v>
      </c>
      <c r="B621" s="914" t="str">
        <f>'refer admin discharge'!B617</f>
        <v>x</v>
      </c>
      <c r="C621" s="914"/>
      <c r="D621" s="889" t="str">
        <f>'refer admin discharge'!D617</f>
        <v>xx</v>
      </c>
      <c r="E621" s="889"/>
      <c r="F621" s="915" t="str">
        <f>'refer admin discharge'!H617</f>
        <v>00/00/0000</v>
      </c>
      <c r="G621" s="890"/>
      <c r="H621" s="916"/>
      <c r="I621" s="916"/>
      <c r="J621" s="917"/>
      <c r="K621" s="917"/>
      <c r="L621" s="916"/>
      <c r="M621" s="916"/>
      <c r="N621" s="893"/>
      <c r="O621" s="893"/>
      <c r="P621" s="916"/>
      <c r="Q621" s="916"/>
      <c r="R621" s="893"/>
      <c r="S621" s="893"/>
      <c r="T621" s="916"/>
      <c r="U621" s="916"/>
      <c r="V621" s="921" t="str">
        <f>'refer admin discharge'!H622</f>
        <v>00/00/0000</v>
      </c>
      <c r="W621" s="922"/>
      <c r="X621" s="912"/>
      <c r="Y621" s="912"/>
      <c r="Z621" s="924"/>
      <c r="AA621" s="924"/>
      <c r="AB621" s="912"/>
      <c r="AC621" s="912"/>
      <c r="AD621" s="913"/>
      <c r="AE621" s="913"/>
      <c r="AF621" s="912"/>
      <c r="AG621" s="912"/>
      <c r="AH621" s="913"/>
      <c r="AI621" s="913"/>
      <c r="AJ621" s="912"/>
      <c r="AK621" s="912"/>
      <c r="AL621" s="925"/>
      <c r="AM621" s="926"/>
      <c r="AN621" s="926"/>
      <c r="AO621" s="926"/>
      <c r="AP621" s="926"/>
      <c r="AQ621" s="926"/>
      <c r="AR621" s="926"/>
      <c r="AS621" s="926"/>
      <c r="AT621" s="926"/>
      <c r="AU621" s="926"/>
      <c r="AV621" s="926"/>
      <c r="AW621" s="926"/>
      <c r="AX621" s="926"/>
      <c r="AY621" s="926"/>
      <c r="AZ621" s="926"/>
      <c r="BA621" s="926"/>
      <c r="BB621" s="927"/>
    </row>
    <row r="622" spans="1:54" x14ac:dyDescent="0.25">
      <c r="A622" s="13">
        <f t="shared" si="9"/>
        <v>609</v>
      </c>
      <c r="B622" s="888" t="str">
        <f>'refer admin discharge'!B618</f>
        <v>x</v>
      </c>
      <c r="C622" s="888"/>
      <c r="D622" s="868" t="str">
        <f>'refer admin discharge'!D618</f>
        <v>xx</v>
      </c>
      <c r="E622" s="868"/>
      <c r="F622" s="891" t="str">
        <f>'refer admin discharge'!H618</f>
        <v>00/00/0000</v>
      </c>
      <c r="G622" s="892"/>
      <c r="H622" s="894"/>
      <c r="I622" s="894"/>
      <c r="J622" s="918"/>
      <c r="K622" s="918"/>
      <c r="L622" s="894"/>
      <c r="M622" s="894"/>
      <c r="N622" s="916"/>
      <c r="O622" s="916"/>
      <c r="P622" s="894"/>
      <c r="Q622" s="894"/>
      <c r="R622" s="916"/>
      <c r="S622" s="916"/>
      <c r="T622" s="894"/>
      <c r="U622" s="894"/>
      <c r="V622" s="921" t="str">
        <f>'refer admin discharge'!H623</f>
        <v>00/00/0000</v>
      </c>
      <c r="W622" s="922"/>
      <c r="X622" s="920"/>
      <c r="Y622" s="920"/>
      <c r="Z622" s="919"/>
      <c r="AA622" s="919"/>
      <c r="AB622" s="920"/>
      <c r="AC622" s="920"/>
      <c r="AD622" s="912"/>
      <c r="AE622" s="912"/>
      <c r="AF622" s="920"/>
      <c r="AG622" s="920"/>
      <c r="AH622" s="912"/>
      <c r="AI622" s="912"/>
      <c r="AJ622" s="920"/>
      <c r="AK622" s="920"/>
      <c r="AL622" s="905"/>
      <c r="AM622" s="906"/>
      <c r="AN622" s="906"/>
      <c r="AO622" s="906"/>
      <c r="AP622" s="906"/>
      <c r="AQ622" s="906"/>
      <c r="AR622" s="906"/>
      <c r="AS622" s="906"/>
      <c r="AT622" s="906"/>
      <c r="AU622" s="906"/>
      <c r="AV622" s="906"/>
      <c r="AW622" s="906"/>
      <c r="AX622" s="906"/>
      <c r="AY622" s="906"/>
      <c r="AZ622" s="906"/>
      <c r="BA622" s="906"/>
      <c r="BB622" s="907"/>
    </row>
    <row r="623" spans="1:54" x14ac:dyDescent="0.25">
      <c r="A623" s="13">
        <f t="shared" si="9"/>
        <v>610</v>
      </c>
      <c r="B623" s="914" t="str">
        <f>'refer admin discharge'!B619</f>
        <v>x</v>
      </c>
      <c r="C623" s="914"/>
      <c r="D623" s="889" t="str">
        <f>'refer admin discharge'!D619</f>
        <v>xx</v>
      </c>
      <c r="E623" s="889"/>
      <c r="F623" s="915" t="str">
        <f>'refer admin discharge'!H619</f>
        <v>00/00/0000</v>
      </c>
      <c r="G623" s="890"/>
      <c r="H623" s="916"/>
      <c r="I623" s="916"/>
      <c r="J623" s="917"/>
      <c r="K623" s="917"/>
      <c r="L623" s="916"/>
      <c r="M623" s="916"/>
      <c r="N623" s="893"/>
      <c r="O623" s="893"/>
      <c r="P623" s="916"/>
      <c r="Q623" s="916"/>
      <c r="R623" s="893"/>
      <c r="S623" s="893"/>
      <c r="T623" s="916"/>
      <c r="U623" s="916"/>
      <c r="V623" s="921" t="str">
        <f>'refer admin discharge'!H624</f>
        <v>00/00/0000</v>
      </c>
      <c r="W623" s="922"/>
      <c r="X623" s="912"/>
      <c r="Y623" s="912"/>
      <c r="Z623" s="924"/>
      <c r="AA623" s="924"/>
      <c r="AB623" s="912"/>
      <c r="AC623" s="912"/>
      <c r="AD623" s="913"/>
      <c r="AE623" s="913"/>
      <c r="AF623" s="912"/>
      <c r="AG623" s="912"/>
      <c r="AH623" s="913"/>
      <c r="AI623" s="913"/>
      <c r="AJ623" s="912"/>
      <c r="AK623" s="912"/>
      <c r="AL623" s="925"/>
      <c r="AM623" s="926"/>
      <c r="AN623" s="926"/>
      <c r="AO623" s="926"/>
      <c r="AP623" s="926"/>
      <c r="AQ623" s="926"/>
      <c r="AR623" s="926"/>
      <c r="AS623" s="926"/>
      <c r="AT623" s="926"/>
      <c r="AU623" s="926"/>
      <c r="AV623" s="926"/>
      <c r="AW623" s="926"/>
      <c r="AX623" s="926"/>
      <c r="AY623" s="926"/>
      <c r="AZ623" s="926"/>
      <c r="BA623" s="926"/>
      <c r="BB623" s="927"/>
    </row>
    <row r="624" spans="1:54" x14ac:dyDescent="0.25">
      <c r="A624" s="13">
        <f t="shared" si="9"/>
        <v>611</v>
      </c>
      <c r="B624" s="888" t="str">
        <f>'refer admin discharge'!B620</f>
        <v>x</v>
      </c>
      <c r="C624" s="888"/>
      <c r="D624" s="868" t="str">
        <f>'refer admin discharge'!D620</f>
        <v>xx</v>
      </c>
      <c r="E624" s="868"/>
      <c r="F624" s="891" t="str">
        <f>'refer admin discharge'!H620</f>
        <v>00/00/0000</v>
      </c>
      <c r="G624" s="892"/>
      <c r="H624" s="894"/>
      <c r="I624" s="894"/>
      <c r="J624" s="918"/>
      <c r="K624" s="918"/>
      <c r="L624" s="894"/>
      <c r="M624" s="894"/>
      <c r="N624" s="916"/>
      <c r="O624" s="916"/>
      <c r="P624" s="894"/>
      <c r="Q624" s="894"/>
      <c r="R624" s="916"/>
      <c r="S624" s="916"/>
      <c r="T624" s="894"/>
      <c r="U624" s="894"/>
      <c r="V624" s="921" t="str">
        <f>'refer admin discharge'!H625</f>
        <v>00/00/0000</v>
      </c>
      <c r="W624" s="922"/>
      <c r="X624" s="920"/>
      <c r="Y624" s="920"/>
      <c r="Z624" s="919"/>
      <c r="AA624" s="919"/>
      <c r="AB624" s="920"/>
      <c r="AC624" s="920"/>
      <c r="AD624" s="912"/>
      <c r="AE624" s="912"/>
      <c r="AF624" s="920"/>
      <c r="AG624" s="920"/>
      <c r="AH624" s="912"/>
      <c r="AI624" s="912"/>
      <c r="AJ624" s="920"/>
      <c r="AK624" s="920"/>
      <c r="AL624" s="905"/>
      <c r="AM624" s="906"/>
      <c r="AN624" s="906"/>
      <c r="AO624" s="906"/>
      <c r="AP624" s="906"/>
      <c r="AQ624" s="906"/>
      <c r="AR624" s="906"/>
      <c r="AS624" s="906"/>
      <c r="AT624" s="906"/>
      <c r="AU624" s="906"/>
      <c r="AV624" s="906"/>
      <c r="AW624" s="906"/>
      <c r="AX624" s="906"/>
      <c r="AY624" s="906"/>
      <c r="AZ624" s="906"/>
      <c r="BA624" s="906"/>
      <c r="BB624" s="907"/>
    </row>
    <row r="625" spans="1:54" x14ac:dyDescent="0.25">
      <c r="A625" s="13">
        <f t="shared" si="9"/>
        <v>612</v>
      </c>
      <c r="B625" s="914" t="str">
        <f>'refer admin discharge'!B621</f>
        <v>x</v>
      </c>
      <c r="C625" s="914"/>
      <c r="D625" s="889" t="str">
        <f>'refer admin discharge'!D621</f>
        <v>xx</v>
      </c>
      <c r="E625" s="889"/>
      <c r="F625" s="915" t="str">
        <f>'refer admin discharge'!H621</f>
        <v>00/00/0000</v>
      </c>
      <c r="G625" s="890"/>
      <c r="H625" s="916"/>
      <c r="I625" s="916"/>
      <c r="J625" s="917"/>
      <c r="K625" s="917"/>
      <c r="L625" s="916"/>
      <c r="M625" s="916"/>
      <c r="N625" s="893"/>
      <c r="O625" s="893"/>
      <c r="P625" s="916"/>
      <c r="Q625" s="916"/>
      <c r="R625" s="893"/>
      <c r="S625" s="893"/>
      <c r="T625" s="916"/>
      <c r="U625" s="916"/>
      <c r="V625" s="921" t="str">
        <f>'refer admin discharge'!H626</f>
        <v>00/00/0000</v>
      </c>
      <c r="W625" s="922"/>
      <c r="X625" s="912"/>
      <c r="Y625" s="912"/>
      <c r="Z625" s="924"/>
      <c r="AA625" s="924"/>
      <c r="AB625" s="912"/>
      <c r="AC625" s="912"/>
      <c r="AD625" s="913"/>
      <c r="AE625" s="913"/>
      <c r="AF625" s="912"/>
      <c r="AG625" s="912"/>
      <c r="AH625" s="913"/>
      <c r="AI625" s="913"/>
      <c r="AJ625" s="912"/>
      <c r="AK625" s="912"/>
      <c r="AL625" s="925"/>
      <c r="AM625" s="926"/>
      <c r="AN625" s="926"/>
      <c r="AO625" s="926"/>
      <c r="AP625" s="926"/>
      <c r="AQ625" s="926"/>
      <c r="AR625" s="926"/>
      <c r="AS625" s="926"/>
      <c r="AT625" s="926"/>
      <c r="AU625" s="926"/>
      <c r="AV625" s="926"/>
      <c r="AW625" s="926"/>
      <c r="AX625" s="926"/>
      <c r="AY625" s="926"/>
      <c r="AZ625" s="926"/>
      <c r="BA625" s="926"/>
      <c r="BB625" s="927"/>
    </row>
    <row r="626" spans="1:54" x14ac:dyDescent="0.25">
      <c r="A626" s="13">
        <f t="shared" si="9"/>
        <v>613</v>
      </c>
      <c r="B626" s="888" t="str">
        <f>'refer admin discharge'!B622</f>
        <v>x</v>
      </c>
      <c r="C626" s="888"/>
      <c r="D626" s="868" t="str">
        <f>'refer admin discharge'!D622</f>
        <v>xx</v>
      </c>
      <c r="E626" s="868"/>
      <c r="F626" s="891" t="str">
        <f>'refer admin discharge'!H622</f>
        <v>00/00/0000</v>
      </c>
      <c r="G626" s="892"/>
      <c r="H626" s="894"/>
      <c r="I626" s="894"/>
      <c r="J626" s="918"/>
      <c r="K626" s="918"/>
      <c r="L626" s="894"/>
      <c r="M626" s="894"/>
      <c r="N626" s="916"/>
      <c r="O626" s="916"/>
      <c r="P626" s="894"/>
      <c r="Q626" s="894"/>
      <c r="R626" s="916"/>
      <c r="S626" s="916"/>
      <c r="T626" s="894"/>
      <c r="U626" s="894"/>
      <c r="V626" s="921" t="str">
        <f>'refer admin discharge'!H627</f>
        <v>00/00/0000</v>
      </c>
      <c r="W626" s="922"/>
      <c r="X626" s="920"/>
      <c r="Y626" s="920"/>
      <c r="Z626" s="919"/>
      <c r="AA626" s="919"/>
      <c r="AB626" s="920"/>
      <c r="AC626" s="920"/>
      <c r="AD626" s="912"/>
      <c r="AE626" s="912"/>
      <c r="AF626" s="920"/>
      <c r="AG626" s="920"/>
      <c r="AH626" s="912"/>
      <c r="AI626" s="912"/>
      <c r="AJ626" s="920"/>
      <c r="AK626" s="920"/>
      <c r="AL626" s="905"/>
      <c r="AM626" s="906"/>
      <c r="AN626" s="906"/>
      <c r="AO626" s="906"/>
      <c r="AP626" s="906"/>
      <c r="AQ626" s="906"/>
      <c r="AR626" s="906"/>
      <c r="AS626" s="906"/>
      <c r="AT626" s="906"/>
      <c r="AU626" s="906"/>
      <c r="AV626" s="906"/>
      <c r="AW626" s="906"/>
      <c r="AX626" s="906"/>
      <c r="AY626" s="906"/>
      <c r="AZ626" s="906"/>
      <c r="BA626" s="906"/>
      <c r="BB626" s="907"/>
    </row>
    <row r="627" spans="1:54" x14ac:dyDescent="0.25">
      <c r="A627" s="13">
        <f t="shared" si="9"/>
        <v>614</v>
      </c>
      <c r="B627" s="914" t="str">
        <f>'refer admin discharge'!B623</f>
        <v>x</v>
      </c>
      <c r="C627" s="914"/>
      <c r="D627" s="889" t="str">
        <f>'refer admin discharge'!D623</f>
        <v>xx</v>
      </c>
      <c r="E627" s="889"/>
      <c r="F627" s="915" t="str">
        <f>'refer admin discharge'!H623</f>
        <v>00/00/0000</v>
      </c>
      <c r="G627" s="890"/>
      <c r="H627" s="916"/>
      <c r="I627" s="916"/>
      <c r="J627" s="917"/>
      <c r="K627" s="917"/>
      <c r="L627" s="916"/>
      <c r="M627" s="916"/>
      <c r="N627" s="893"/>
      <c r="O627" s="893"/>
      <c r="P627" s="916"/>
      <c r="Q627" s="916"/>
      <c r="R627" s="893"/>
      <c r="S627" s="893"/>
      <c r="T627" s="916"/>
      <c r="U627" s="916"/>
      <c r="V627" s="921" t="str">
        <f>'refer admin discharge'!H628</f>
        <v>00/00/0000</v>
      </c>
      <c r="W627" s="922"/>
      <c r="X627" s="912"/>
      <c r="Y627" s="912"/>
      <c r="Z627" s="924"/>
      <c r="AA627" s="924"/>
      <c r="AB627" s="912"/>
      <c r="AC627" s="912"/>
      <c r="AD627" s="913"/>
      <c r="AE627" s="913"/>
      <c r="AF627" s="912"/>
      <c r="AG627" s="912"/>
      <c r="AH627" s="913"/>
      <c r="AI627" s="913"/>
      <c r="AJ627" s="912"/>
      <c r="AK627" s="912"/>
      <c r="AL627" s="925"/>
      <c r="AM627" s="926"/>
      <c r="AN627" s="926"/>
      <c r="AO627" s="926"/>
      <c r="AP627" s="926"/>
      <c r="AQ627" s="926"/>
      <c r="AR627" s="926"/>
      <c r="AS627" s="926"/>
      <c r="AT627" s="926"/>
      <c r="AU627" s="926"/>
      <c r="AV627" s="926"/>
      <c r="AW627" s="926"/>
      <c r="AX627" s="926"/>
      <c r="AY627" s="926"/>
      <c r="AZ627" s="926"/>
      <c r="BA627" s="926"/>
      <c r="BB627" s="927"/>
    </row>
    <row r="628" spans="1:54" x14ac:dyDescent="0.25">
      <c r="A628" s="13">
        <f t="shared" si="9"/>
        <v>615</v>
      </c>
      <c r="B628" s="888" t="str">
        <f>'refer admin discharge'!B624</f>
        <v>x</v>
      </c>
      <c r="C628" s="888"/>
      <c r="D628" s="868" t="str">
        <f>'refer admin discharge'!D624</f>
        <v>xx</v>
      </c>
      <c r="E628" s="868"/>
      <c r="F628" s="891" t="str">
        <f>'refer admin discharge'!H624</f>
        <v>00/00/0000</v>
      </c>
      <c r="G628" s="892"/>
      <c r="H628" s="894"/>
      <c r="I628" s="894"/>
      <c r="J628" s="918"/>
      <c r="K628" s="918"/>
      <c r="L628" s="894"/>
      <c r="M628" s="894"/>
      <c r="N628" s="916"/>
      <c r="O628" s="916"/>
      <c r="P628" s="894"/>
      <c r="Q628" s="894"/>
      <c r="R628" s="916"/>
      <c r="S628" s="916"/>
      <c r="T628" s="894"/>
      <c r="U628" s="894"/>
      <c r="V628" s="921" t="str">
        <f>'refer admin discharge'!H629</f>
        <v>00/00/0000</v>
      </c>
      <c r="W628" s="922"/>
      <c r="X628" s="920"/>
      <c r="Y628" s="920"/>
      <c r="Z628" s="919"/>
      <c r="AA628" s="919"/>
      <c r="AB628" s="920"/>
      <c r="AC628" s="920"/>
      <c r="AD628" s="912"/>
      <c r="AE628" s="912"/>
      <c r="AF628" s="920"/>
      <c r="AG628" s="920"/>
      <c r="AH628" s="912"/>
      <c r="AI628" s="912"/>
      <c r="AJ628" s="920"/>
      <c r="AK628" s="920"/>
      <c r="AL628" s="905"/>
      <c r="AM628" s="906"/>
      <c r="AN628" s="906"/>
      <c r="AO628" s="906"/>
      <c r="AP628" s="906"/>
      <c r="AQ628" s="906"/>
      <c r="AR628" s="906"/>
      <c r="AS628" s="906"/>
      <c r="AT628" s="906"/>
      <c r="AU628" s="906"/>
      <c r="AV628" s="906"/>
      <c r="AW628" s="906"/>
      <c r="AX628" s="906"/>
      <c r="AY628" s="906"/>
      <c r="AZ628" s="906"/>
      <c r="BA628" s="906"/>
      <c r="BB628" s="907"/>
    </row>
    <row r="629" spans="1:54" x14ac:dyDescent="0.25">
      <c r="A629" s="13">
        <f t="shared" si="9"/>
        <v>616</v>
      </c>
      <c r="B629" s="914" t="str">
        <f>'refer admin discharge'!B625</f>
        <v>x</v>
      </c>
      <c r="C629" s="914"/>
      <c r="D629" s="889" t="str">
        <f>'refer admin discharge'!D625</f>
        <v>xx</v>
      </c>
      <c r="E629" s="889"/>
      <c r="F629" s="915" t="str">
        <f>'refer admin discharge'!H625</f>
        <v>00/00/0000</v>
      </c>
      <c r="G629" s="890"/>
      <c r="H629" s="916"/>
      <c r="I629" s="916"/>
      <c r="J629" s="917"/>
      <c r="K629" s="917"/>
      <c r="L629" s="916"/>
      <c r="M629" s="916"/>
      <c r="N629" s="893"/>
      <c r="O629" s="893"/>
      <c r="P629" s="916"/>
      <c r="Q629" s="916"/>
      <c r="R629" s="893"/>
      <c r="S629" s="893"/>
      <c r="T629" s="916"/>
      <c r="U629" s="916"/>
      <c r="V629" s="921" t="str">
        <f>'refer admin discharge'!H630</f>
        <v>00/00/0000</v>
      </c>
      <c r="W629" s="922"/>
      <c r="X629" s="912"/>
      <c r="Y629" s="912"/>
      <c r="Z629" s="924"/>
      <c r="AA629" s="924"/>
      <c r="AB629" s="912"/>
      <c r="AC629" s="912"/>
      <c r="AD629" s="913"/>
      <c r="AE629" s="913"/>
      <c r="AF629" s="912"/>
      <c r="AG629" s="912"/>
      <c r="AH629" s="913"/>
      <c r="AI629" s="913"/>
      <c r="AJ629" s="912"/>
      <c r="AK629" s="912"/>
      <c r="AL629" s="925"/>
      <c r="AM629" s="926"/>
      <c r="AN629" s="926"/>
      <c r="AO629" s="926"/>
      <c r="AP629" s="926"/>
      <c r="AQ629" s="926"/>
      <c r="AR629" s="926"/>
      <c r="AS629" s="926"/>
      <c r="AT629" s="926"/>
      <c r="AU629" s="926"/>
      <c r="AV629" s="926"/>
      <c r="AW629" s="926"/>
      <c r="AX629" s="926"/>
      <c r="AY629" s="926"/>
      <c r="AZ629" s="926"/>
      <c r="BA629" s="926"/>
      <c r="BB629" s="927"/>
    </row>
    <row r="630" spans="1:54" x14ac:dyDescent="0.25">
      <c r="A630" s="13">
        <f t="shared" si="9"/>
        <v>617</v>
      </c>
      <c r="B630" s="888" t="str">
        <f>'refer admin discharge'!B626</f>
        <v>x</v>
      </c>
      <c r="C630" s="888"/>
      <c r="D630" s="868" t="str">
        <f>'refer admin discharge'!D626</f>
        <v>xx</v>
      </c>
      <c r="E630" s="868"/>
      <c r="F630" s="891" t="str">
        <f>'refer admin discharge'!H626</f>
        <v>00/00/0000</v>
      </c>
      <c r="G630" s="892"/>
      <c r="H630" s="894"/>
      <c r="I630" s="894"/>
      <c r="J630" s="918"/>
      <c r="K630" s="918"/>
      <c r="L630" s="894"/>
      <c r="M630" s="894"/>
      <c r="N630" s="916"/>
      <c r="O630" s="916"/>
      <c r="P630" s="894"/>
      <c r="Q630" s="894"/>
      <c r="R630" s="916"/>
      <c r="S630" s="916"/>
      <c r="T630" s="894"/>
      <c r="U630" s="894"/>
      <c r="V630" s="921" t="str">
        <f>'refer admin discharge'!H631</f>
        <v>00/00/0000</v>
      </c>
      <c r="W630" s="922"/>
      <c r="X630" s="920"/>
      <c r="Y630" s="920"/>
      <c r="Z630" s="919"/>
      <c r="AA630" s="919"/>
      <c r="AB630" s="920"/>
      <c r="AC630" s="920"/>
      <c r="AD630" s="912"/>
      <c r="AE630" s="912"/>
      <c r="AF630" s="920"/>
      <c r="AG630" s="920"/>
      <c r="AH630" s="912"/>
      <c r="AI630" s="912"/>
      <c r="AJ630" s="920"/>
      <c r="AK630" s="920"/>
      <c r="AL630" s="905"/>
      <c r="AM630" s="906"/>
      <c r="AN630" s="906"/>
      <c r="AO630" s="906"/>
      <c r="AP630" s="906"/>
      <c r="AQ630" s="906"/>
      <c r="AR630" s="906"/>
      <c r="AS630" s="906"/>
      <c r="AT630" s="906"/>
      <c r="AU630" s="906"/>
      <c r="AV630" s="906"/>
      <c r="AW630" s="906"/>
      <c r="AX630" s="906"/>
      <c r="AY630" s="906"/>
      <c r="AZ630" s="906"/>
      <c r="BA630" s="906"/>
      <c r="BB630" s="907"/>
    </row>
    <row r="631" spans="1:54" x14ac:dyDescent="0.25">
      <c r="A631" s="13">
        <f t="shared" si="9"/>
        <v>618</v>
      </c>
      <c r="B631" s="914" t="str">
        <f>'refer admin discharge'!B627</f>
        <v>x</v>
      </c>
      <c r="C631" s="914"/>
      <c r="D631" s="889" t="str">
        <f>'refer admin discharge'!D627</f>
        <v>xx</v>
      </c>
      <c r="E631" s="889"/>
      <c r="F631" s="915" t="str">
        <f>'refer admin discharge'!H627</f>
        <v>00/00/0000</v>
      </c>
      <c r="G631" s="890"/>
      <c r="H631" s="916"/>
      <c r="I631" s="916"/>
      <c r="J631" s="917"/>
      <c r="K631" s="917"/>
      <c r="L631" s="916"/>
      <c r="M631" s="916"/>
      <c r="N631" s="893"/>
      <c r="O631" s="893"/>
      <c r="P631" s="916"/>
      <c r="Q631" s="916"/>
      <c r="R631" s="893"/>
      <c r="S631" s="893"/>
      <c r="T631" s="916"/>
      <c r="U631" s="916"/>
      <c r="V631" s="921" t="str">
        <f>'refer admin discharge'!H632</f>
        <v>00/00/0000</v>
      </c>
      <c r="W631" s="922"/>
      <c r="X631" s="912"/>
      <c r="Y631" s="912"/>
      <c r="Z631" s="924"/>
      <c r="AA631" s="924"/>
      <c r="AB631" s="912"/>
      <c r="AC631" s="912"/>
      <c r="AD631" s="913"/>
      <c r="AE631" s="913"/>
      <c r="AF631" s="912"/>
      <c r="AG631" s="912"/>
      <c r="AH631" s="913"/>
      <c r="AI631" s="913"/>
      <c r="AJ631" s="912"/>
      <c r="AK631" s="912"/>
      <c r="AL631" s="925"/>
      <c r="AM631" s="926"/>
      <c r="AN631" s="926"/>
      <c r="AO631" s="926"/>
      <c r="AP631" s="926"/>
      <c r="AQ631" s="926"/>
      <c r="AR631" s="926"/>
      <c r="AS631" s="926"/>
      <c r="AT631" s="926"/>
      <c r="AU631" s="926"/>
      <c r="AV631" s="926"/>
      <c r="AW631" s="926"/>
      <c r="AX631" s="926"/>
      <c r="AY631" s="926"/>
      <c r="AZ631" s="926"/>
      <c r="BA631" s="926"/>
      <c r="BB631" s="927"/>
    </row>
    <row r="632" spans="1:54" x14ac:dyDescent="0.25">
      <c r="A632" s="13">
        <f t="shared" si="9"/>
        <v>619</v>
      </c>
      <c r="B632" s="888" t="str">
        <f>'refer admin discharge'!B628</f>
        <v>x</v>
      </c>
      <c r="C632" s="888"/>
      <c r="D632" s="868" t="str">
        <f>'refer admin discharge'!D628</f>
        <v>xx</v>
      </c>
      <c r="E632" s="868"/>
      <c r="F632" s="891" t="str">
        <f>'refer admin discharge'!H628</f>
        <v>00/00/0000</v>
      </c>
      <c r="G632" s="892"/>
      <c r="H632" s="894"/>
      <c r="I632" s="894"/>
      <c r="J632" s="918"/>
      <c r="K632" s="918"/>
      <c r="L632" s="894"/>
      <c r="M632" s="894"/>
      <c r="N632" s="916"/>
      <c r="O632" s="916"/>
      <c r="P632" s="894"/>
      <c r="Q632" s="894"/>
      <c r="R632" s="916"/>
      <c r="S632" s="916"/>
      <c r="T632" s="894"/>
      <c r="U632" s="894"/>
      <c r="V632" s="921" t="str">
        <f>'refer admin discharge'!H633</f>
        <v>00/00/0000</v>
      </c>
      <c r="W632" s="922"/>
      <c r="X632" s="920"/>
      <c r="Y632" s="920"/>
      <c r="Z632" s="919"/>
      <c r="AA632" s="919"/>
      <c r="AB632" s="920"/>
      <c r="AC632" s="920"/>
      <c r="AD632" s="912"/>
      <c r="AE632" s="912"/>
      <c r="AF632" s="920"/>
      <c r="AG632" s="920"/>
      <c r="AH632" s="912"/>
      <c r="AI632" s="912"/>
      <c r="AJ632" s="920"/>
      <c r="AK632" s="920"/>
      <c r="AL632" s="905"/>
      <c r="AM632" s="906"/>
      <c r="AN632" s="906"/>
      <c r="AO632" s="906"/>
      <c r="AP632" s="906"/>
      <c r="AQ632" s="906"/>
      <c r="AR632" s="906"/>
      <c r="AS632" s="906"/>
      <c r="AT632" s="906"/>
      <c r="AU632" s="906"/>
      <c r="AV632" s="906"/>
      <c r="AW632" s="906"/>
      <c r="AX632" s="906"/>
      <c r="AY632" s="906"/>
      <c r="AZ632" s="906"/>
      <c r="BA632" s="906"/>
      <c r="BB632" s="907"/>
    </row>
    <row r="633" spans="1:54" x14ac:dyDescent="0.25">
      <c r="A633" s="13">
        <f t="shared" si="9"/>
        <v>620</v>
      </c>
      <c r="B633" s="914" t="str">
        <f>'refer admin discharge'!B629</f>
        <v>x</v>
      </c>
      <c r="C633" s="914"/>
      <c r="D633" s="889" t="str">
        <f>'refer admin discharge'!D629</f>
        <v>xx</v>
      </c>
      <c r="E633" s="889"/>
      <c r="F633" s="915" t="str">
        <f>'refer admin discharge'!H629</f>
        <v>00/00/0000</v>
      </c>
      <c r="G633" s="890"/>
      <c r="H633" s="916"/>
      <c r="I633" s="916"/>
      <c r="J633" s="917"/>
      <c r="K633" s="917"/>
      <c r="L633" s="916"/>
      <c r="M633" s="916"/>
      <c r="N633" s="893"/>
      <c r="O633" s="893"/>
      <c r="P633" s="916"/>
      <c r="Q633" s="916"/>
      <c r="R633" s="893"/>
      <c r="S633" s="893"/>
      <c r="T633" s="916"/>
      <c r="U633" s="916"/>
      <c r="V633" s="921" t="str">
        <f>'refer admin discharge'!H634</f>
        <v>00/00/0000</v>
      </c>
      <c r="W633" s="922"/>
      <c r="X633" s="912"/>
      <c r="Y633" s="912"/>
      <c r="Z633" s="924"/>
      <c r="AA633" s="924"/>
      <c r="AB633" s="912"/>
      <c r="AC633" s="912"/>
      <c r="AD633" s="913"/>
      <c r="AE633" s="913"/>
      <c r="AF633" s="912"/>
      <c r="AG633" s="912"/>
      <c r="AH633" s="913"/>
      <c r="AI633" s="913"/>
      <c r="AJ633" s="912"/>
      <c r="AK633" s="912"/>
      <c r="AL633" s="925"/>
      <c r="AM633" s="926"/>
      <c r="AN633" s="926"/>
      <c r="AO633" s="926"/>
      <c r="AP633" s="926"/>
      <c r="AQ633" s="926"/>
      <c r="AR633" s="926"/>
      <c r="AS633" s="926"/>
      <c r="AT633" s="926"/>
      <c r="AU633" s="926"/>
      <c r="AV633" s="926"/>
      <c r="AW633" s="926"/>
      <c r="AX633" s="926"/>
      <c r="AY633" s="926"/>
      <c r="AZ633" s="926"/>
      <c r="BA633" s="926"/>
      <c r="BB633" s="927"/>
    </row>
    <row r="634" spans="1:54" x14ac:dyDescent="0.25">
      <c r="A634" s="13">
        <f t="shared" si="9"/>
        <v>621</v>
      </c>
      <c r="B634" s="888" t="str">
        <f>'refer admin discharge'!B630</f>
        <v>x</v>
      </c>
      <c r="C634" s="888"/>
      <c r="D634" s="868" t="str">
        <f>'refer admin discharge'!D630</f>
        <v>xx</v>
      </c>
      <c r="E634" s="868"/>
      <c r="F634" s="891" t="str">
        <f>'refer admin discharge'!H630</f>
        <v>00/00/0000</v>
      </c>
      <c r="G634" s="892"/>
      <c r="H634" s="894"/>
      <c r="I634" s="894"/>
      <c r="J634" s="918"/>
      <c r="K634" s="918"/>
      <c r="L634" s="894"/>
      <c r="M634" s="894"/>
      <c r="N634" s="916"/>
      <c r="O634" s="916"/>
      <c r="P634" s="894"/>
      <c r="Q634" s="894"/>
      <c r="R634" s="916"/>
      <c r="S634" s="916"/>
      <c r="T634" s="894"/>
      <c r="U634" s="894"/>
      <c r="V634" s="921" t="str">
        <f>'refer admin discharge'!H635</f>
        <v>00/00/0000</v>
      </c>
      <c r="W634" s="922"/>
      <c r="X634" s="920"/>
      <c r="Y634" s="920"/>
      <c r="Z634" s="919"/>
      <c r="AA634" s="919"/>
      <c r="AB634" s="920"/>
      <c r="AC634" s="920"/>
      <c r="AD634" s="912"/>
      <c r="AE634" s="912"/>
      <c r="AF634" s="920"/>
      <c r="AG634" s="920"/>
      <c r="AH634" s="912"/>
      <c r="AI634" s="912"/>
      <c r="AJ634" s="920"/>
      <c r="AK634" s="920"/>
      <c r="AL634" s="905"/>
      <c r="AM634" s="906"/>
      <c r="AN634" s="906"/>
      <c r="AO634" s="906"/>
      <c r="AP634" s="906"/>
      <c r="AQ634" s="906"/>
      <c r="AR634" s="906"/>
      <c r="AS634" s="906"/>
      <c r="AT634" s="906"/>
      <c r="AU634" s="906"/>
      <c r="AV634" s="906"/>
      <c r="AW634" s="906"/>
      <c r="AX634" s="906"/>
      <c r="AY634" s="906"/>
      <c r="AZ634" s="906"/>
      <c r="BA634" s="906"/>
      <c r="BB634" s="907"/>
    </row>
    <row r="635" spans="1:54" x14ac:dyDescent="0.25">
      <c r="A635" s="13">
        <f t="shared" si="9"/>
        <v>622</v>
      </c>
      <c r="B635" s="914" t="str">
        <f>'refer admin discharge'!B631</f>
        <v>x</v>
      </c>
      <c r="C635" s="914"/>
      <c r="D635" s="889" t="str">
        <f>'refer admin discharge'!D631</f>
        <v>xx</v>
      </c>
      <c r="E635" s="889"/>
      <c r="F635" s="915" t="str">
        <f>'refer admin discharge'!H631</f>
        <v>00/00/0000</v>
      </c>
      <c r="G635" s="890"/>
      <c r="H635" s="916"/>
      <c r="I635" s="916"/>
      <c r="J635" s="917"/>
      <c r="K635" s="917"/>
      <c r="L635" s="916"/>
      <c r="M635" s="916"/>
      <c r="N635" s="893"/>
      <c r="O635" s="893"/>
      <c r="P635" s="916"/>
      <c r="Q635" s="916"/>
      <c r="R635" s="893"/>
      <c r="S635" s="893"/>
      <c r="T635" s="916"/>
      <c r="U635" s="916"/>
      <c r="V635" s="921" t="str">
        <f>'refer admin discharge'!H636</f>
        <v>00/00/0000</v>
      </c>
      <c r="W635" s="922"/>
      <c r="X635" s="912"/>
      <c r="Y635" s="912"/>
      <c r="Z635" s="924"/>
      <c r="AA635" s="924"/>
      <c r="AB635" s="912"/>
      <c r="AC635" s="912"/>
      <c r="AD635" s="913"/>
      <c r="AE635" s="913"/>
      <c r="AF635" s="912"/>
      <c r="AG635" s="912"/>
      <c r="AH635" s="913"/>
      <c r="AI635" s="913"/>
      <c r="AJ635" s="912"/>
      <c r="AK635" s="912"/>
      <c r="AL635" s="925"/>
      <c r="AM635" s="926"/>
      <c r="AN635" s="926"/>
      <c r="AO635" s="926"/>
      <c r="AP635" s="926"/>
      <c r="AQ635" s="926"/>
      <c r="AR635" s="926"/>
      <c r="AS635" s="926"/>
      <c r="AT635" s="926"/>
      <c r="AU635" s="926"/>
      <c r="AV635" s="926"/>
      <c r="AW635" s="926"/>
      <c r="AX635" s="926"/>
      <c r="AY635" s="926"/>
      <c r="AZ635" s="926"/>
      <c r="BA635" s="926"/>
      <c r="BB635" s="927"/>
    </row>
    <row r="636" spans="1:54" x14ac:dyDescent="0.25">
      <c r="A636" s="13">
        <f t="shared" si="9"/>
        <v>623</v>
      </c>
      <c r="B636" s="888" t="str">
        <f>'refer admin discharge'!B632</f>
        <v>x</v>
      </c>
      <c r="C636" s="888"/>
      <c r="D636" s="868" t="str">
        <f>'refer admin discharge'!D632</f>
        <v>xx</v>
      </c>
      <c r="E636" s="868"/>
      <c r="F636" s="891" t="str">
        <f>'refer admin discharge'!H632</f>
        <v>00/00/0000</v>
      </c>
      <c r="G636" s="892"/>
      <c r="H636" s="894"/>
      <c r="I636" s="894"/>
      <c r="J636" s="918"/>
      <c r="K636" s="918"/>
      <c r="L636" s="894"/>
      <c r="M636" s="894"/>
      <c r="N636" s="916"/>
      <c r="O636" s="916"/>
      <c r="P636" s="894"/>
      <c r="Q636" s="894"/>
      <c r="R636" s="916"/>
      <c r="S636" s="916"/>
      <c r="T636" s="894"/>
      <c r="U636" s="894"/>
      <c r="V636" s="921" t="str">
        <f>'refer admin discharge'!H637</f>
        <v>00/00/0000</v>
      </c>
      <c r="W636" s="922"/>
      <c r="X636" s="920"/>
      <c r="Y636" s="920"/>
      <c r="Z636" s="919"/>
      <c r="AA636" s="919"/>
      <c r="AB636" s="920"/>
      <c r="AC636" s="920"/>
      <c r="AD636" s="912"/>
      <c r="AE636" s="912"/>
      <c r="AF636" s="920"/>
      <c r="AG636" s="920"/>
      <c r="AH636" s="912"/>
      <c r="AI636" s="912"/>
      <c r="AJ636" s="920"/>
      <c r="AK636" s="920"/>
      <c r="AL636" s="905"/>
      <c r="AM636" s="906"/>
      <c r="AN636" s="906"/>
      <c r="AO636" s="906"/>
      <c r="AP636" s="906"/>
      <c r="AQ636" s="906"/>
      <c r="AR636" s="906"/>
      <c r="AS636" s="906"/>
      <c r="AT636" s="906"/>
      <c r="AU636" s="906"/>
      <c r="AV636" s="906"/>
      <c r="AW636" s="906"/>
      <c r="AX636" s="906"/>
      <c r="AY636" s="906"/>
      <c r="AZ636" s="906"/>
      <c r="BA636" s="906"/>
      <c r="BB636" s="907"/>
    </row>
    <row r="637" spans="1:54" x14ac:dyDescent="0.25">
      <c r="A637" s="13">
        <f t="shared" si="9"/>
        <v>624</v>
      </c>
      <c r="B637" s="914" t="str">
        <f>'refer admin discharge'!B633</f>
        <v>x</v>
      </c>
      <c r="C637" s="914"/>
      <c r="D637" s="889" t="str">
        <f>'refer admin discharge'!D633</f>
        <v>xx</v>
      </c>
      <c r="E637" s="889"/>
      <c r="F637" s="915" t="str">
        <f>'refer admin discharge'!H633</f>
        <v>00/00/0000</v>
      </c>
      <c r="G637" s="890"/>
      <c r="H637" s="916"/>
      <c r="I637" s="916"/>
      <c r="J637" s="917"/>
      <c r="K637" s="917"/>
      <c r="L637" s="916"/>
      <c r="M637" s="916"/>
      <c r="N637" s="893"/>
      <c r="O637" s="893"/>
      <c r="P637" s="916"/>
      <c r="Q637" s="916"/>
      <c r="R637" s="893"/>
      <c r="S637" s="893"/>
      <c r="T637" s="916"/>
      <c r="U637" s="916"/>
      <c r="V637" s="921" t="str">
        <f>'refer admin discharge'!H638</f>
        <v>00/00/0000</v>
      </c>
      <c r="W637" s="922"/>
      <c r="X637" s="912"/>
      <c r="Y637" s="912"/>
      <c r="Z637" s="924"/>
      <c r="AA637" s="924"/>
      <c r="AB637" s="912"/>
      <c r="AC637" s="912"/>
      <c r="AD637" s="913"/>
      <c r="AE637" s="913"/>
      <c r="AF637" s="912"/>
      <c r="AG637" s="912"/>
      <c r="AH637" s="913"/>
      <c r="AI637" s="913"/>
      <c r="AJ637" s="912"/>
      <c r="AK637" s="912"/>
      <c r="AL637" s="925"/>
      <c r="AM637" s="926"/>
      <c r="AN637" s="926"/>
      <c r="AO637" s="926"/>
      <c r="AP637" s="926"/>
      <c r="AQ637" s="926"/>
      <c r="AR637" s="926"/>
      <c r="AS637" s="926"/>
      <c r="AT637" s="926"/>
      <c r="AU637" s="926"/>
      <c r="AV637" s="926"/>
      <c r="AW637" s="926"/>
      <c r="AX637" s="926"/>
      <c r="AY637" s="926"/>
      <c r="AZ637" s="926"/>
      <c r="BA637" s="926"/>
      <c r="BB637" s="927"/>
    </row>
    <row r="638" spans="1:54" x14ac:dyDescent="0.25">
      <c r="A638" s="13">
        <f t="shared" si="9"/>
        <v>625</v>
      </c>
      <c r="B638" s="888" t="str">
        <f>'refer admin discharge'!B634</f>
        <v>x</v>
      </c>
      <c r="C638" s="888"/>
      <c r="D638" s="868" t="str">
        <f>'refer admin discharge'!D634</f>
        <v>xx</v>
      </c>
      <c r="E638" s="868"/>
      <c r="F638" s="891" t="str">
        <f>'refer admin discharge'!H634</f>
        <v>00/00/0000</v>
      </c>
      <c r="G638" s="892"/>
      <c r="H638" s="894"/>
      <c r="I638" s="894"/>
      <c r="J638" s="918"/>
      <c r="K638" s="918"/>
      <c r="L638" s="894"/>
      <c r="M638" s="894"/>
      <c r="N638" s="916"/>
      <c r="O638" s="916"/>
      <c r="P638" s="894"/>
      <c r="Q638" s="894"/>
      <c r="R638" s="916"/>
      <c r="S638" s="916"/>
      <c r="T638" s="894"/>
      <c r="U638" s="894"/>
      <c r="V638" s="921" t="str">
        <f>'refer admin discharge'!H639</f>
        <v>00/00/0000</v>
      </c>
      <c r="W638" s="922"/>
      <c r="X638" s="920"/>
      <c r="Y638" s="920"/>
      <c r="Z638" s="919"/>
      <c r="AA638" s="919"/>
      <c r="AB638" s="920"/>
      <c r="AC638" s="920"/>
      <c r="AD638" s="912"/>
      <c r="AE638" s="912"/>
      <c r="AF638" s="920"/>
      <c r="AG638" s="920"/>
      <c r="AH638" s="912"/>
      <c r="AI638" s="912"/>
      <c r="AJ638" s="920"/>
      <c r="AK638" s="920"/>
      <c r="AL638" s="905"/>
      <c r="AM638" s="906"/>
      <c r="AN638" s="906"/>
      <c r="AO638" s="906"/>
      <c r="AP638" s="906"/>
      <c r="AQ638" s="906"/>
      <c r="AR638" s="906"/>
      <c r="AS638" s="906"/>
      <c r="AT638" s="906"/>
      <c r="AU638" s="906"/>
      <c r="AV638" s="906"/>
      <c r="AW638" s="906"/>
      <c r="AX638" s="906"/>
      <c r="AY638" s="906"/>
      <c r="AZ638" s="906"/>
      <c r="BA638" s="906"/>
      <c r="BB638" s="907"/>
    </row>
    <row r="639" spans="1:54" x14ac:dyDescent="0.25">
      <c r="A639" s="13">
        <f t="shared" si="9"/>
        <v>626</v>
      </c>
      <c r="B639" s="914" t="str">
        <f>'refer admin discharge'!B635</f>
        <v>x</v>
      </c>
      <c r="C639" s="914"/>
      <c r="D639" s="889" t="str">
        <f>'refer admin discharge'!D635</f>
        <v>xx</v>
      </c>
      <c r="E639" s="889"/>
      <c r="F639" s="915" t="str">
        <f>'refer admin discharge'!H635</f>
        <v>00/00/0000</v>
      </c>
      <c r="G639" s="890"/>
      <c r="H639" s="916"/>
      <c r="I639" s="916"/>
      <c r="J639" s="917"/>
      <c r="K639" s="917"/>
      <c r="L639" s="916"/>
      <c r="M639" s="916"/>
      <c r="N639" s="893"/>
      <c r="O639" s="893"/>
      <c r="P639" s="916"/>
      <c r="Q639" s="916"/>
      <c r="R639" s="893"/>
      <c r="S639" s="893"/>
      <c r="T639" s="916"/>
      <c r="U639" s="916"/>
      <c r="V639" s="921" t="str">
        <f>'refer admin discharge'!H640</f>
        <v>00/00/0000</v>
      </c>
      <c r="W639" s="922"/>
      <c r="X639" s="912"/>
      <c r="Y639" s="912"/>
      <c r="Z639" s="924"/>
      <c r="AA639" s="924"/>
      <c r="AB639" s="912"/>
      <c r="AC639" s="912"/>
      <c r="AD639" s="913"/>
      <c r="AE639" s="913"/>
      <c r="AF639" s="912"/>
      <c r="AG639" s="912"/>
      <c r="AH639" s="913"/>
      <c r="AI639" s="913"/>
      <c r="AJ639" s="912"/>
      <c r="AK639" s="912"/>
      <c r="AL639" s="925"/>
      <c r="AM639" s="926"/>
      <c r="AN639" s="926"/>
      <c r="AO639" s="926"/>
      <c r="AP639" s="926"/>
      <c r="AQ639" s="926"/>
      <c r="AR639" s="926"/>
      <c r="AS639" s="926"/>
      <c r="AT639" s="926"/>
      <c r="AU639" s="926"/>
      <c r="AV639" s="926"/>
      <c r="AW639" s="926"/>
      <c r="AX639" s="926"/>
      <c r="AY639" s="926"/>
      <c r="AZ639" s="926"/>
      <c r="BA639" s="926"/>
      <c r="BB639" s="927"/>
    </row>
    <row r="640" spans="1:54" x14ac:dyDescent="0.25">
      <c r="A640" s="13">
        <f t="shared" si="9"/>
        <v>627</v>
      </c>
      <c r="B640" s="888" t="str">
        <f>'refer admin discharge'!B636</f>
        <v>x</v>
      </c>
      <c r="C640" s="888"/>
      <c r="D640" s="868" t="str">
        <f>'refer admin discharge'!D636</f>
        <v>xx</v>
      </c>
      <c r="E640" s="868"/>
      <c r="F640" s="891" t="str">
        <f>'refer admin discharge'!H636</f>
        <v>00/00/0000</v>
      </c>
      <c r="G640" s="892"/>
      <c r="H640" s="894"/>
      <c r="I640" s="894"/>
      <c r="J640" s="918"/>
      <c r="K640" s="918"/>
      <c r="L640" s="894"/>
      <c r="M640" s="894"/>
      <c r="N640" s="916"/>
      <c r="O640" s="916"/>
      <c r="P640" s="894"/>
      <c r="Q640" s="894"/>
      <c r="R640" s="916"/>
      <c r="S640" s="916"/>
      <c r="T640" s="894"/>
      <c r="U640" s="894"/>
      <c r="V640" s="921" t="str">
        <f>'refer admin discharge'!H641</f>
        <v>00/00/0000</v>
      </c>
      <c r="W640" s="922"/>
      <c r="X640" s="920"/>
      <c r="Y640" s="920"/>
      <c r="Z640" s="919"/>
      <c r="AA640" s="919"/>
      <c r="AB640" s="920"/>
      <c r="AC640" s="920"/>
      <c r="AD640" s="912"/>
      <c r="AE640" s="912"/>
      <c r="AF640" s="920"/>
      <c r="AG640" s="920"/>
      <c r="AH640" s="912"/>
      <c r="AI640" s="912"/>
      <c r="AJ640" s="920"/>
      <c r="AK640" s="920"/>
      <c r="AL640" s="905"/>
      <c r="AM640" s="906"/>
      <c r="AN640" s="906"/>
      <c r="AO640" s="906"/>
      <c r="AP640" s="906"/>
      <c r="AQ640" s="906"/>
      <c r="AR640" s="906"/>
      <c r="AS640" s="906"/>
      <c r="AT640" s="906"/>
      <c r="AU640" s="906"/>
      <c r="AV640" s="906"/>
      <c r="AW640" s="906"/>
      <c r="AX640" s="906"/>
      <c r="AY640" s="906"/>
      <c r="AZ640" s="906"/>
      <c r="BA640" s="906"/>
      <c r="BB640" s="907"/>
    </row>
    <row r="641" spans="1:54" x14ac:dyDescent="0.25">
      <c r="A641" s="13">
        <f t="shared" si="9"/>
        <v>628</v>
      </c>
      <c r="B641" s="914" t="str">
        <f>'refer admin discharge'!B637</f>
        <v>x</v>
      </c>
      <c r="C641" s="914"/>
      <c r="D641" s="889" t="str">
        <f>'refer admin discharge'!D637</f>
        <v>xx</v>
      </c>
      <c r="E641" s="889"/>
      <c r="F641" s="915" t="str">
        <f>'refer admin discharge'!H637</f>
        <v>00/00/0000</v>
      </c>
      <c r="G641" s="890"/>
      <c r="H641" s="916"/>
      <c r="I641" s="916"/>
      <c r="J641" s="917"/>
      <c r="K641" s="917"/>
      <c r="L641" s="916"/>
      <c r="M641" s="916"/>
      <c r="N641" s="893"/>
      <c r="O641" s="893"/>
      <c r="P641" s="916"/>
      <c r="Q641" s="916"/>
      <c r="R641" s="893"/>
      <c r="S641" s="893"/>
      <c r="T641" s="916"/>
      <c r="U641" s="916"/>
      <c r="V641" s="921" t="str">
        <f>'refer admin discharge'!H642</f>
        <v>00/00/0000</v>
      </c>
      <c r="W641" s="922"/>
      <c r="X641" s="912"/>
      <c r="Y641" s="912"/>
      <c r="Z641" s="924"/>
      <c r="AA641" s="924"/>
      <c r="AB641" s="912"/>
      <c r="AC641" s="912"/>
      <c r="AD641" s="913"/>
      <c r="AE641" s="913"/>
      <c r="AF641" s="912"/>
      <c r="AG641" s="912"/>
      <c r="AH641" s="913"/>
      <c r="AI641" s="913"/>
      <c r="AJ641" s="912"/>
      <c r="AK641" s="912"/>
      <c r="AL641" s="925"/>
      <c r="AM641" s="926"/>
      <c r="AN641" s="926"/>
      <c r="AO641" s="926"/>
      <c r="AP641" s="926"/>
      <c r="AQ641" s="926"/>
      <c r="AR641" s="926"/>
      <c r="AS641" s="926"/>
      <c r="AT641" s="926"/>
      <c r="AU641" s="926"/>
      <c r="AV641" s="926"/>
      <c r="AW641" s="926"/>
      <c r="AX641" s="926"/>
      <c r="AY641" s="926"/>
      <c r="AZ641" s="926"/>
      <c r="BA641" s="926"/>
      <c r="BB641" s="927"/>
    </row>
    <row r="642" spans="1:54" x14ac:dyDescent="0.25">
      <c r="A642" s="13">
        <f t="shared" si="9"/>
        <v>629</v>
      </c>
      <c r="B642" s="888" t="str">
        <f>'refer admin discharge'!B638</f>
        <v>x</v>
      </c>
      <c r="C642" s="888"/>
      <c r="D642" s="868" t="str">
        <f>'refer admin discharge'!D638</f>
        <v>xx</v>
      </c>
      <c r="E642" s="868"/>
      <c r="F642" s="891" t="str">
        <f>'refer admin discharge'!H638</f>
        <v>00/00/0000</v>
      </c>
      <c r="G642" s="892"/>
      <c r="H642" s="894"/>
      <c r="I642" s="894"/>
      <c r="J642" s="918"/>
      <c r="K642" s="918"/>
      <c r="L642" s="894"/>
      <c r="M642" s="894"/>
      <c r="N642" s="916"/>
      <c r="O642" s="916"/>
      <c r="P642" s="894"/>
      <c r="Q642" s="894"/>
      <c r="R642" s="916"/>
      <c r="S642" s="916"/>
      <c r="T642" s="894"/>
      <c r="U642" s="894"/>
      <c r="V642" s="921" t="str">
        <f>'refer admin discharge'!H643</f>
        <v>00/00/0000</v>
      </c>
      <c r="W642" s="922"/>
      <c r="X642" s="920"/>
      <c r="Y642" s="920"/>
      <c r="Z642" s="919"/>
      <c r="AA642" s="919"/>
      <c r="AB642" s="920"/>
      <c r="AC642" s="920"/>
      <c r="AD642" s="912"/>
      <c r="AE642" s="912"/>
      <c r="AF642" s="920"/>
      <c r="AG642" s="920"/>
      <c r="AH642" s="912"/>
      <c r="AI642" s="912"/>
      <c r="AJ642" s="920"/>
      <c r="AK642" s="920"/>
      <c r="AL642" s="905"/>
      <c r="AM642" s="906"/>
      <c r="AN642" s="906"/>
      <c r="AO642" s="906"/>
      <c r="AP642" s="906"/>
      <c r="AQ642" s="906"/>
      <c r="AR642" s="906"/>
      <c r="AS642" s="906"/>
      <c r="AT642" s="906"/>
      <c r="AU642" s="906"/>
      <c r="AV642" s="906"/>
      <c r="AW642" s="906"/>
      <c r="AX642" s="906"/>
      <c r="AY642" s="906"/>
      <c r="AZ642" s="906"/>
      <c r="BA642" s="906"/>
      <c r="BB642" s="907"/>
    </row>
    <row r="643" spans="1:54" x14ac:dyDescent="0.25">
      <c r="A643" s="13">
        <f t="shared" si="9"/>
        <v>630</v>
      </c>
      <c r="B643" s="914" t="str">
        <f>'refer admin discharge'!B639</f>
        <v>x</v>
      </c>
      <c r="C643" s="914"/>
      <c r="D643" s="889" t="str">
        <f>'refer admin discharge'!D639</f>
        <v>xx</v>
      </c>
      <c r="E643" s="889"/>
      <c r="F643" s="915" t="str">
        <f>'refer admin discharge'!H639</f>
        <v>00/00/0000</v>
      </c>
      <c r="G643" s="890"/>
      <c r="H643" s="916"/>
      <c r="I643" s="916"/>
      <c r="J643" s="917"/>
      <c r="K643" s="917"/>
      <c r="L643" s="916"/>
      <c r="M643" s="916"/>
      <c r="N643" s="893"/>
      <c r="O643" s="893"/>
      <c r="P643" s="916"/>
      <c r="Q643" s="916"/>
      <c r="R643" s="893"/>
      <c r="S643" s="893"/>
      <c r="T643" s="916"/>
      <c r="U643" s="916"/>
      <c r="V643" s="921" t="str">
        <f>'refer admin discharge'!H644</f>
        <v>00/00/0000</v>
      </c>
      <c r="W643" s="922"/>
      <c r="X643" s="912"/>
      <c r="Y643" s="912"/>
      <c r="Z643" s="924"/>
      <c r="AA643" s="924"/>
      <c r="AB643" s="912"/>
      <c r="AC643" s="912"/>
      <c r="AD643" s="913"/>
      <c r="AE643" s="913"/>
      <c r="AF643" s="912"/>
      <c r="AG643" s="912"/>
      <c r="AH643" s="913"/>
      <c r="AI643" s="913"/>
      <c r="AJ643" s="912"/>
      <c r="AK643" s="912"/>
      <c r="AL643" s="925"/>
      <c r="AM643" s="926"/>
      <c r="AN643" s="926"/>
      <c r="AO643" s="926"/>
      <c r="AP643" s="926"/>
      <c r="AQ643" s="926"/>
      <c r="AR643" s="926"/>
      <c r="AS643" s="926"/>
      <c r="AT643" s="926"/>
      <c r="AU643" s="926"/>
      <c r="AV643" s="926"/>
      <c r="AW643" s="926"/>
      <c r="AX643" s="926"/>
      <c r="AY643" s="926"/>
      <c r="AZ643" s="926"/>
      <c r="BA643" s="926"/>
      <c r="BB643" s="927"/>
    </row>
    <row r="644" spans="1:54" x14ac:dyDescent="0.25">
      <c r="A644" s="13">
        <f t="shared" si="9"/>
        <v>631</v>
      </c>
      <c r="B644" s="888" t="str">
        <f>'refer admin discharge'!B640</f>
        <v>x</v>
      </c>
      <c r="C644" s="888"/>
      <c r="D644" s="868" t="str">
        <f>'refer admin discharge'!D640</f>
        <v>xx</v>
      </c>
      <c r="E644" s="868"/>
      <c r="F644" s="891" t="str">
        <f>'refer admin discharge'!H640</f>
        <v>00/00/0000</v>
      </c>
      <c r="G644" s="892"/>
      <c r="H644" s="894"/>
      <c r="I644" s="894"/>
      <c r="J644" s="918"/>
      <c r="K644" s="918"/>
      <c r="L644" s="894"/>
      <c r="M644" s="894"/>
      <c r="N644" s="916"/>
      <c r="O644" s="916"/>
      <c r="P644" s="894"/>
      <c r="Q644" s="894"/>
      <c r="R644" s="916"/>
      <c r="S644" s="916"/>
      <c r="T644" s="894"/>
      <c r="U644" s="894"/>
      <c r="V644" s="921" t="str">
        <f>'refer admin discharge'!H645</f>
        <v>00/00/0000</v>
      </c>
      <c r="W644" s="922"/>
      <c r="X644" s="920"/>
      <c r="Y644" s="920"/>
      <c r="Z644" s="919"/>
      <c r="AA644" s="919"/>
      <c r="AB644" s="920"/>
      <c r="AC644" s="920"/>
      <c r="AD644" s="912"/>
      <c r="AE644" s="912"/>
      <c r="AF644" s="920"/>
      <c r="AG644" s="920"/>
      <c r="AH644" s="912"/>
      <c r="AI644" s="912"/>
      <c r="AJ644" s="920"/>
      <c r="AK644" s="920"/>
      <c r="AL644" s="905"/>
      <c r="AM644" s="906"/>
      <c r="AN644" s="906"/>
      <c r="AO644" s="906"/>
      <c r="AP644" s="906"/>
      <c r="AQ644" s="906"/>
      <c r="AR644" s="906"/>
      <c r="AS644" s="906"/>
      <c r="AT644" s="906"/>
      <c r="AU644" s="906"/>
      <c r="AV644" s="906"/>
      <c r="AW644" s="906"/>
      <c r="AX644" s="906"/>
      <c r="AY644" s="906"/>
      <c r="AZ644" s="906"/>
      <c r="BA644" s="906"/>
      <c r="BB644" s="907"/>
    </row>
    <row r="645" spans="1:54" x14ac:dyDescent="0.25">
      <c r="A645" s="13">
        <f t="shared" si="9"/>
        <v>632</v>
      </c>
      <c r="B645" s="914" t="str">
        <f>'refer admin discharge'!B641</f>
        <v>x</v>
      </c>
      <c r="C645" s="914"/>
      <c r="D645" s="889" t="str">
        <f>'refer admin discharge'!D641</f>
        <v>xx</v>
      </c>
      <c r="E645" s="889"/>
      <c r="F645" s="915" t="str">
        <f>'refer admin discharge'!H641</f>
        <v>00/00/0000</v>
      </c>
      <c r="G645" s="890"/>
      <c r="H645" s="916"/>
      <c r="I645" s="916"/>
      <c r="J645" s="917"/>
      <c r="K645" s="917"/>
      <c r="L645" s="916"/>
      <c r="M645" s="916"/>
      <c r="N645" s="893"/>
      <c r="O645" s="893"/>
      <c r="P645" s="916"/>
      <c r="Q645" s="916"/>
      <c r="R645" s="893"/>
      <c r="S645" s="893"/>
      <c r="T645" s="916"/>
      <c r="U645" s="916"/>
      <c r="V645" s="921" t="str">
        <f>'refer admin discharge'!H646</f>
        <v>00/00/0000</v>
      </c>
      <c r="W645" s="922"/>
      <c r="X645" s="912"/>
      <c r="Y645" s="912"/>
      <c r="Z645" s="924"/>
      <c r="AA645" s="924"/>
      <c r="AB645" s="912"/>
      <c r="AC645" s="912"/>
      <c r="AD645" s="913"/>
      <c r="AE645" s="913"/>
      <c r="AF645" s="912"/>
      <c r="AG645" s="912"/>
      <c r="AH645" s="913"/>
      <c r="AI645" s="913"/>
      <c r="AJ645" s="912"/>
      <c r="AK645" s="912"/>
      <c r="AL645" s="925"/>
      <c r="AM645" s="926"/>
      <c r="AN645" s="926"/>
      <c r="AO645" s="926"/>
      <c r="AP645" s="926"/>
      <c r="AQ645" s="926"/>
      <c r="AR645" s="926"/>
      <c r="AS645" s="926"/>
      <c r="AT645" s="926"/>
      <c r="AU645" s="926"/>
      <c r="AV645" s="926"/>
      <c r="AW645" s="926"/>
      <c r="AX645" s="926"/>
      <c r="AY645" s="926"/>
      <c r="AZ645" s="926"/>
      <c r="BA645" s="926"/>
      <c r="BB645" s="927"/>
    </row>
    <row r="646" spans="1:54" x14ac:dyDescent="0.25">
      <c r="A646" s="13">
        <f t="shared" si="9"/>
        <v>633</v>
      </c>
      <c r="B646" s="888" t="str">
        <f>'refer admin discharge'!B642</f>
        <v>x</v>
      </c>
      <c r="C646" s="888"/>
      <c r="D646" s="868" t="str">
        <f>'refer admin discharge'!D642</f>
        <v>xx</v>
      </c>
      <c r="E646" s="868"/>
      <c r="F646" s="891" t="str">
        <f>'refer admin discharge'!H642</f>
        <v>00/00/0000</v>
      </c>
      <c r="G646" s="892"/>
      <c r="H646" s="894"/>
      <c r="I646" s="894"/>
      <c r="J646" s="918"/>
      <c r="K646" s="918"/>
      <c r="L646" s="894"/>
      <c r="M646" s="894"/>
      <c r="N646" s="916"/>
      <c r="O646" s="916"/>
      <c r="P646" s="894"/>
      <c r="Q646" s="894"/>
      <c r="R646" s="916"/>
      <c r="S646" s="916"/>
      <c r="T646" s="894"/>
      <c r="U646" s="894"/>
      <c r="V646" s="921" t="str">
        <f>'refer admin discharge'!H647</f>
        <v>00/00/0000</v>
      </c>
      <c r="W646" s="922"/>
      <c r="X646" s="920"/>
      <c r="Y646" s="920"/>
      <c r="Z646" s="919"/>
      <c r="AA646" s="919"/>
      <c r="AB646" s="920"/>
      <c r="AC646" s="920"/>
      <c r="AD646" s="912"/>
      <c r="AE646" s="912"/>
      <c r="AF646" s="920"/>
      <c r="AG646" s="920"/>
      <c r="AH646" s="912"/>
      <c r="AI646" s="912"/>
      <c r="AJ646" s="920"/>
      <c r="AK646" s="920"/>
      <c r="AL646" s="905"/>
      <c r="AM646" s="906"/>
      <c r="AN646" s="906"/>
      <c r="AO646" s="906"/>
      <c r="AP646" s="906"/>
      <c r="AQ646" s="906"/>
      <c r="AR646" s="906"/>
      <c r="AS646" s="906"/>
      <c r="AT646" s="906"/>
      <c r="AU646" s="906"/>
      <c r="AV646" s="906"/>
      <c r="AW646" s="906"/>
      <c r="AX646" s="906"/>
      <c r="AY646" s="906"/>
      <c r="AZ646" s="906"/>
      <c r="BA646" s="906"/>
      <c r="BB646" s="907"/>
    </row>
    <row r="647" spans="1:54" x14ac:dyDescent="0.25">
      <c r="A647" s="13">
        <f t="shared" si="9"/>
        <v>634</v>
      </c>
      <c r="B647" s="914" t="str">
        <f>'refer admin discharge'!B643</f>
        <v>x</v>
      </c>
      <c r="C647" s="914"/>
      <c r="D647" s="889" t="str">
        <f>'refer admin discharge'!D643</f>
        <v>xx</v>
      </c>
      <c r="E647" s="889"/>
      <c r="F647" s="915" t="str">
        <f>'refer admin discharge'!H643</f>
        <v>00/00/0000</v>
      </c>
      <c r="G647" s="890"/>
      <c r="H647" s="916"/>
      <c r="I647" s="916"/>
      <c r="J647" s="917"/>
      <c r="K647" s="917"/>
      <c r="L647" s="916"/>
      <c r="M647" s="916"/>
      <c r="N647" s="893"/>
      <c r="O647" s="893"/>
      <c r="P647" s="916"/>
      <c r="Q647" s="916"/>
      <c r="R647" s="893"/>
      <c r="S647" s="893"/>
      <c r="T647" s="916"/>
      <c r="U647" s="916"/>
      <c r="V647" s="921" t="str">
        <f>'refer admin discharge'!H648</f>
        <v>00/00/0000</v>
      </c>
      <c r="W647" s="922"/>
      <c r="X647" s="912"/>
      <c r="Y647" s="912"/>
      <c r="Z647" s="924"/>
      <c r="AA647" s="924"/>
      <c r="AB647" s="912"/>
      <c r="AC647" s="912"/>
      <c r="AD647" s="913"/>
      <c r="AE647" s="913"/>
      <c r="AF647" s="912"/>
      <c r="AG647" s="912"/>
      <c r="AH647" s="913"/>
      <c r="AI647" s="913"/>
      <c r="AJ647" s="912"/>
      <c r="AK647" s="912"/>
      <c r="AL647" s="925"/>
      <c r="AM647" s="926"/>
      <c r="AN647" s="926"/>
      <c r="AO647" s="926"/>
      <c r="AP647" s="926"/>
      <c r="AQ647" s="926"/>
      <c r="AR647" s="926"/>
      <c r="AS647" s="926"/>
      <c r="AT647" s="926"/>
      <c r="AU647" s="926"/>
      <c r="AV647" s="926"/>
      <c r="AW647" s="926"/>
      <c r="AX647" s="926"/>
      <c r="AY647" s="926"/>
      <c r="AZ647" s="926"/>
      <c r="BA647" s="926"/>
      <c r="BB647" s="927"/>
    </row>
    <row r="648" spans="1:54" x14ac:dyDescent="0.25">
      <c r="A648" s="13">
        <f t="shared" si="9"/>
        <v>635</v>
      </c>
      <c r="B648" s="888" t="str">
        <f>'refer admin discharge'!B644</f>
        <v>x</v>
      </c>
      <c r="C648" s="888"/>
      <c r="D648" s="868" t="str">
        <f>'refer admin discharge'!D644</f>
        <v>xx</v>
      </c>
      <c r="E648" s="868"/>
      <c r="F648" s="891" t="str">
        <f>'refer admin discharge'!H644</f>
        <v>00/00/0000</v>
      </c>
      <c r="G648" s="892"/>
      <c r="H648" s="894"/>
      <c r="I648" s="894"/>
      <c r="J648" s="918"/>
      <c r="K648" s="918"/>
      <c r="L648" s="894"/>
      <c r="M648" s="894"/>
      <c r="N648" s="916"/>
      <c r="O648" s="916"/>
      <c r="P648" s="894"/>
      <c r="Q648" s="894"/>
      <c r="R648" s="916"/>
      <c r="S648" s="916"/>
      <c r="T648" s="894"/>
      <c r="U648" s="894"/>
      <c r="V648" s="921" t="str">
        <f>'refer admin discharge'!H649</f>
        <v>00/00/0000</v>
      </c>
      <c r="W648" s="922"/>
      <c r="X648" s="920"/>
      <c r="Y648" s="920"/>
      <c r="Z648" s="919"/>
      <c r="AA648" s="919"/>
      <c r="AB648" s="920"/>
      <c r="AC648" s="920"/>
      <c r="AD648" s="912"/>
      <c r="AE648" s="912"/>
      <c r="AF648" s="920"/>
      <c r="AG648" s="920"/>
      <c r="AH648" s="912"/>
      <c r="AI648" s="912"/>
      <c r="AJ648" s="920"/>
      <c r="AK648" s="920"/>
      <c r="AL648" s="905"/>
      <c r="AM648" s="906"/>
      <c r="AN648" s="906"/>
      <c r="AO648" s="906"/>
      <c r="AP648" s="906"/>
      <c r="AQ648" s="906"/>
      <c r="AR648" s="906"/>
      <c r="AS648" s="906"/>
      <c r="AT648" s="906"/>
      <c r="AU648" s="906"/>
      <c r="AV648" s="906"/>
      <c r="AW648" s="906"/>
      <c r="AX648" s="906"/>
      <c r="AY648" s="906"/>
      <c r="AZ648" s="906"/>
      <c r="BA648" s="906"/>
      <c r="BB648" s="907"/>
    </row>
    <row r="649" spans="1:54" x14ac:dyDescent="0.25">
      <c r="A649" s="13">
        <f t="shared" si="9"/>
        <v>636</v>
      </c>
      <c r="B649" s="914" t="str">
        <f>'refer admin discharge'!B645</f>
        <v>x</v>
      </c>
      <c r="C649" s="914"/>
      <c r="D649" s="889" t="str">
        <f>'refer admin discharge'!D645</f>
        <v>xx</v>
      </c>
      <c r="E649" s="889"/>
      <c r="F649" s="915" t="str">
        <f>'refer admin discharge'!H645</f>
        <v>00/00/0000</v>
      </c>
      <c r="G649" s="890"/>
      <c r="H649" s="916"/>
      <c r="I649" s="916"/>
      <c r="J649" s="917"/>
      <c r="K649" s="917"/>
      <c r="L649" s="916"/>
      <c r="M649" s="916"/>
      <c r="N649" s="893"/>
      <c r="O649" s="893"/>
      <c r="P649" s="916"/>
      <c r="Q649" s="916"/>
      <c r="R649" s="893"/>
      <c r="S649" s="893"/>
      <c r="T649" s="916"/>
      <c r="U649" s="916"/>
      <c r="V649" s="921" t="str">
        <f>'refer admin discharge'!H650</f>
        <v>00/00/0000</v>
      </c>
      <c r="W649" s="922"/>
      <c r="X649" s="912"/>
      <c r="Y649" s="912"/>
      <c r="Z649" s="924"/>
      <c r="AA649" s="924"/>
      <c r="AB649" s="912"/>
      <c r="AC649" s="912"/>
      <c r="AD649" s="913"/>
      <c r="AE649" s="913"/>
      <c r="AF649" s="912"/>
      <c r="AG649" s="912"/>
      <c r="AH649" s="913"/>
      <c r="AI649" s="913"/>
      <c r="AJ649" s="912"/>
      <c r="AK649" s="912"/>
      <c r="AL649" s="925"/>
      <c r="AM649" s="926"/>
      <c r="AN649" s="926"/>
      <c r="AO649" s="926"/>
      <c r="AP649" s="926"/>
      <c r="AQ649" s="926"/>
      <c r="AR649" s="926"/>
      <c r="AS649" s="926"/>
      <c r="AT649" s="926"/>
      <c r="AU649" s="926"/>
      <c r="AV649" s="926"/>
      <c r="AW649" s="926"/>
      <c r="AX649" s="926"/>
      <c r="AY649" s="926"/>
      <c r="AZ649" s="926"/>
      <c r="BA649" s="926"/>
      <c r="BB649" s="927"/>
    </row>
    <row r="650" spans="1:54" x14ac:dyDescent="0.25">
      <c r="A650" s="13">
        <f t="shared" si="9"/>
        <v>637</v>
      </c>
      <c r="B650" s="888" t="str">
        <f>'refer admin discharge'!B646</f>
        <v>x</v>
      </c>
      <c r="C650" s="888"/>
      <c r="D650" s="868" t="str">
        <f>'refer admin discharge'!D646</f>
        <v>xx</v>
      </c>
      <c r="E650" s="868"/>
      <c r="F650" s="891" t="str">
        <f>'refer admin discharge'!H646</f>
        <v>00/00/0000</v>
      </c>
      <c r="G650" s="892"/>
      <c r="H650" s="894"/>
      <c r="I650" s="894"/>
      <c r="J650" s="918"/>
      <c r="K650" s="918"/>
      <c r="L650" s="894"/>
      <c r="M650" s="894"/>
      <c r="N650" s="916"/>
      <c r="O650" s="916"/>
      <c r="P650" s="894"/>
      <c r="Q650" s="894"/>
      <c r="R650" s="916"/>
      <c r="S650" s="916"/>
      <c r="T650" s="894"/>
      <c r="U650" s="894"/>
      <c r="V650" s="921" t="str">
        <f>'refer admin discharge'!H651</f>
        <v>00/00/0000</v>
      </c>
      <c r="W650" s="922"/>
      <c r="X650" s="920"/>
      <c r="Y650" s="920"/>
      <c r="Z650" s="919"/>
      <c r="AA650" s="919"/>
      <c r="AB650" s="920"/>
      <c r="AC650" s="920"/>
      <c r="AD650" s="912"/>
      <c r="AE650" s="912"/>
      <c r="AF650" s="920"/>
      <c r="AG650" s="920"/>
      <c r="AH650" s="912"/>
      <c r="AI650" s="912"/>
      <c r="AJ650" s="920"/>
      <c r="AK650" s="920"/>
      <c r="AL650" s="905"/>
      <c r="AM650" s="906"/>
      <c r="AN650" s="906"/>
      <c r="AO650" s="906"/>
      <c r="AP650" s="906"/>
      <c r="AQ650" s="906"/>
      <c r="AR650" s="906"/>
      <c r="AS650" s="906"/>
      <c r="AT650" s="906"/>
      <c r="AU650" s="906"/>
      <c r="AV650" s="906"/>
      <c r="AW650" s="906"/>
      <c r="AX650" s="906"/>
      <c r="AY650" s="906"/>
      <c r="AZ650" s="906"/>
      <c r="BA650" s="906"/>
      <c r="BB650" s="907"/>
    </row>
    <row r="651" spans="1:54" x14ac:dyDescent="0.25">
      <c r="A651" s="13">
        <f t="shared" si="9"/>
        <v>638</v>
      </c>
      <c r="B651" s="914" t="str">
        <f>'refer admin discharge'!B647</f>
        <v>x</v>
      </c>
      <c r="C651" s="914"/>
      <c r="D651" s="889" t="str">
        <f>'refer admin discharge'!D647</f>
        <v>xx</v>
      </c>
      <c r="E651" s="889"/>
      <c r="F651" s="915" t="str">
        <f>'refer admin discharge'!H647</f>
        <v>00/00/0000</v>
      </c>
      <c r="G651" s="890"/>
      <c r="H651" s="916"/>
      <c r="I651" s="916"/>
      <c r="J651" s="917"/>
      <c r="K651" s="917"/>
      <c r="L651" s="916"/>
      <c r="M651" s="916"/>
      <c r="N651" s="893"/>
      <c r="O651" s="893"/>
      <c r="P651" s="916"/>
      <c r="Q651" s="916"/>
      <c r="R651" s="893"/>
      <c r="S651" s="893"/>
      <c r="T651" s="916"/>
      <c r="U651" s="916"/>
      <c r="V651" s="921" t="str">
        <f>'refer admin discharge'!H652</f>
        <v>00/00/0000</v>
      </c>
      <c r="W651" s="922"/>
      <c r="X651" s="912"/>
      <c r="Y651" s="912"/>
      <c r="Z651" s="924"/>
      <c r="AA651" s="924"/>
      <c r="AB651" s="912"/>
      <c r="AC651" s="912"/>
      <c r="AD651" s="913"/>
      <c r="AE651" s="913"/>
      <c r="AF651" s="912"/>
      <c r="AG651" s="912"/>
      <c r="AH651" s="913"/>
      <c r="AI651" s="913"/>
      <c r="AJ651" s="912"/>
      <c r="AK651" s="912"/>
      <c r="AL651" s="925"/>
      <c r="AM651" s="926"/>
      <c r="AN651" s="926"/>
      <c r="AO651" s="926"/>
      <c r="AP651" s="926"/>
      <c r="AQ651" s="926"/>
      <c r="AR651" s="926"/>
      <c r="AS651" s="926"/>
      <c r="AT651" s="926"/>
      <c r="AU651" s="926"/>
      <c r="AV651" s="926"/>
      <c r="AW651" s="926"/>
      <c r="AX651" s="926"/>
      <c r="AY651" s="926"/>
      <c r="AZ651" s="926"/>
      <c r="BA651" s="926"/>
      <c r="BB651" s="927"/>
    </row>
    <row r="652" spans="1:54" x14ac:dyDescent="0.25">
      <c r="A652" s="13">
        <f t="shared" si="9"/>
        <v>639</v>
      </c>
      <c r="B652" s="888" t="str">
        <f>'refer admin discharge'!B648</f>
        <v>x</v>
      </c>
      <c r="C652" s="888"/>
      <c r="D652" s="868" t="str">
        <f>'refer admin discharge'!D648</f>
        <v>xx</v>
      </c>
      <c r="E652" s="868"/>
      <c r="F652" s="891" t="str">
        <f>'refer admin discharge'!H648</f>
        <v>00/00/0000</v>
      </c>
      <c r="G652" s="892"/>
      <c r="H652" s="894"/>
      <c r="I652" s="894"/>
      <c r="J652" s="918"/>
      <c r="K652" s="918"/>
      <c r="L652" s="894"/>
      <c r="M652" s="894"/>
      <c r="N652" s="916"/>
      <c r="O652" s="916"/>
      <c r="P652" s="894"/>
      <c r="Q652" s="894"/>
      <c r="R652" s="916"/>
      <c r="S652" s="916"/>
      <c r="T652" s="894"/>
      <c r="U652" s="894"/>
      <c r="V652" s="921" t="str">
        <f>'refer admin discharge'!H653</f>
        <v>00/00/0000</v>
      </c>
      <c r="W652" s="922"/>
      <c r="X652" s="920"/>
      <c r="Y652" s="920"/>
      <c r="Z652" s="919"/>
      <c r="AA652" s="919"/>
      <c r="AB652" s="920"/>
      <c r="AC652" s="920"/>
      <c r="AD652" s="912"/>
      <c r="AE652" s="912"/>
      <c r="AF652" s="920"/>
      <c r="AG652" s="920"/>
      <c r="AH652" s="912"/>
      <c r="AI652" s="912"/>
      <c r="AJ652" s="920"/>
      <c r="AK652" s="920"/>
      <c r="AL652" s="905"/>
      <c r="AM652" s="906"/>
      <c r="AN652" s="906"/>
      <c r="AO652" s="906"/>
      <c r="AP652" s="906"/>
      <c r="AQ652" s="906"/>
      <c r="AR652" s="906"/>
      <c r="AS652" s="906"/>
      <c r="AT652" s="906"/>
      <c r="AU652" s="906"/>
      <c r="AV652" s="906"/>
      <c r="AW652" s="906"/>
      <c r="AX652" s="906"/>
      <c r="AY652" s="906"/>
      <c r="AZ652" s="906"/>
      <c r="BA652" s="906"/>
      <c r="BB652" s="907"/>
    </row>
    <row r="653" spans="1:54" x14ac:dyDescent="0.25">
      <c r="A653" s="13">
        <f t="shared" si="9"/>
        <v>640</v>
      </c>
      <c r="B653" s="914" t="str">
        <f>'refer admin discharge'!B649</f>
        <v>x</v>
      </c>
      <c r="C653" s="914"/>
      <c r="D653" s="889" t="str">
        <f>'refer admin discharge'!D649</f>
        <v>xx</v>
      </c>
      <c r="E653" s="889"/>
      <c r="F653" s="915" t="str">
        <f>'refer admin discharge'!H649</f>
        <v>00/00/0000</v>
      </c>
      <c r="G653" s="890"/>
      <c r="H653" s="916"/>
      <c r="I653" s="916"/>
      <c r="J653" s="917"/>
      <c r="K653" s="917"/>
      <c r="L653" s="916"/>
      <c r="M653" s="916"/>
      <c r="N653" s="893"/>
      <c r="O653" s="893"/>
      <c r="P653" s="916"/>
      <c r="Q653" s="916"/>
      <c r="R653" s="893"/>
      <c r="S653" s="893"/>
      <c r="T653" s="916"/>
      <c r="U653" s="916"/>
      <c r="V653" s="921" t="str">
        <f>'refer admin discharge'!H654</f>
        <v>00/00/0000</v>
      </c>
      <c r="W653" s="922"/>
      <c r="X653" s="912"/>
      <c r="Y653" s="912"/>
      <c r="Z653" s="924"/>
      <c r="AA653" s="924"/>
      <c r="AB653" s="912"/>
      <c r="AC653" s="912"/>
      <c r="AD653" s="913"/>
      <c r="AE653" s="913"/>
      <c r="AF653" s="912"/>
      <c r="AG653" s="912"/>
      <c r="AH653" s="913"/>
      <c r="AI653" s="913"/>
      <c r="AJ653" s="912"/>
      <c r="AK653" s="912"/>
      <c r="AL653" s="925"/>
      <c r="AM653" s="926"/>
      <c r="AN653" s="926"/>
      <c r="AO653" s="926"/>
      <c r="AP653" s="926"/>
      <c r="AQ653" s="926"/>
      <c r="AR653" s="926"/>
      <c r="AS653" s="926"/>
      <c r="AT653" s="926"/>
      <c r="AU653" s="926"/>
      <c r="AV653" s="926"/>
      <c r="AW653" s="926"/>
      <c r="AX653" s="926"/>
      <c r="AY653" s="926"/>
      <c r="AZ653" s="926"/>
      <c r="BA653" s="926"/>
      <c r="BB653" s="927"/>
    </row>
    <row r="654" spans="1:54" x14ac:dyDescent="0.25">
      <c r="A654" s="13">
        <f t="shared" ref="A654:A717" si="10">ROW(A641)</f>
        <v>641</v>
      </c>
      <c r="B654" s="888" t="str">
        <f>'refer admin discharge'!B650</f>
        <v>x</v>
      </c>
      <c r="C654" s="888"/>
      <c r="D654" s="868" t="str">
        <f>'refer admin discharge'!D650</f>
        <v>xx</v>
      </c>
      <c r="E654" s="868"/>
      <c r="F654" s="891" t="str">
        <f>'refer admin discharge'!H650</f>
        <v>00/00/0000</v>
      </c>
      <c r="G654" s="892"/>
      <c r="H654" s="894"/>
      <c r="I654" s="894"/>
      <c r="J654" s="918"/>
      <c r="K654" s="918"/>
      <c r="L654" s="894"/>
      <c r="M654" s="894"/>
      <c r="N654" s="916"/>
      <c r="O654" s="916"/>
      <c r="P654" s="894"/>
      <c r="Q654" s="894"/>
      <c r="R654" s="916"/>
      <c r="S654" s="916"/>
      <c r="T654" s="894"/>
      <c r="U654" s="894"/>
      <c r="V654" s="921" t="str">
        <f>'refer admin discharge'!H655</f>
        <v>00/00/0000</v>
      </c>
      <c r="W654" s="922"/>
      <c r="X654" s="920"/>
      <c r="Y654" s="920"/>
      <c r="Z654" s="919"/>
      <c r="AA654" s="919"/>
      <c r="AB654" s="920"/>
      <c r="AC654" s="920"/>
      <c r="AD654" s="912"/>
      <c r="AE654" s="912"/>
      <c r="AF654" s="920"/>
      <c r="AG654" s="920"/>
      <c r="AH654" s="912"/>
      <c r="AI654" s="912"/>
      <c r="AJ654" s="920"/>
      <c r="AK654" s="920"/>
      <c r="AL654" s="905"/>
      <c r="AM654" s="906"/>
      <c r="AN654" s="906"/>
      <c r="AO654" s="906"/>
      <c r="AP654" s="906"/>
      <c r="AQ654" s="906"/>
      <c r="AR654" s="906"/>
      <c r="AS654" s="906"/>
      <c r="AT654" s="906"/>
      <c r="AU654" s="906"/>
      <c r="AV654" s="906"/>
      <c r="AW654" s="906"/>
      <c r="AX654" s="906"/>
      <c r="AY654" s="906"/>
      <c r="AZ654" s="906"/>
      <c r="BA654" s="906"/>
      <c r="BB654" s="907"/>
    </row>
    <row r="655" spans="1:54" x14ac:dyDescent="0.25">
      <c r="A655" s="13">
        <f t="shared" si="10"/>
        <v>642</v>
      </c>
      <c r="B655" s="914" t="str">
        <f>'refer admin discharge'!B651</f>
        <v>x</v>
      </c>
      <c r="C655" s="914"/>
      <c r="D655" s="889" t="str">
        <f>'refer admin discharge'!D651</f>
        <v>xx</v>
      </c>
      <c r="E655" s="889"/>
      <c r="F655" s="915" t="str">
        <f>'refer admin discharge'!H651</f>
        <v>00/00/0000</v>
      </c>
      <c r="G655" s="890"/>
      <c r="H655" s="916"/>
      <c r="I655" s="916"/>
      <c r="J655" s="917"/>
      <c r="K655" s="917"/>
      <c r="L655" s="916"/>
      <c r="M655" s="916"/>
      <c r="N655" s="893"/>
      <c r="O655" s="893"/>
      <c r="P655" s="916"/>
      <c r="Q655" s="916"/>
      <c r="R655" s="893"/>
      <c r="S655" s="893"/>
      <c r="T655" s="916"/>
      <c r="U655" s="916"/>
      <c r="V655" s="921" t="str">
        <f>'refer admin discharge'!H656</f>
        <v>00/00/0000</v>
      </c>
      <c r="W655" s="922"/>
      <c r="X655" s="912"/>
      <c r="Y655" s="912"/>
      <c r="Z655" s="924"/>
      <c r="AA655" s="924"/>
      <c r="AB655" s="912"/>
      <c r="AC655" s="912"/>
      <c r="AD655" s="913"/>
      <c r="AE655" s="913"/>
      <c r="AF655" s="912"/>
      <c r="AG655" s="912"/>
      <c r="AH655" s="913"/>
      <c r="AI655" s="913"/>
      <c r="AJ655" s="912"/>
      <c r="AK655" s="912"/>
      <c r="AL655" s="925"/>
      <c r="AM655" s="926"/>
      <c r="AN655" s="926"/>
      <c r="AO655" s="926"/>
      <c r="AP655" s="926"/>
      <c r="AQ655" s="926"/>
      <c r="AR655" s="926"/>
      <c r="AS655" s="926"/>
      <c r="AT655" s="926"/>
      <c r="AU655" s="926"/>
      <c r="AV655" s="926"/>
      <c r="AW655" s="926"/>
      <c r="AX655" s="926"/>
      <c r="AY655" s="926"/>
      <c r="AZ655" s="926"/>
      <c r="BA655" s="926"/>
      <c r="BB655" s="927"/>
    </row>
    <row r="656" spans="1:54" x14ac:dyDescent="0.25">
      <c r="A656" s="13">
        <f t="shared" si="10"/>
        <v>643</v>
      </c>
      <c r="B656" s="888" t="str">
        <f>'refer admin discharge'!B652</f>
        <v>x</v>
      </c>
      <c r="C656" s="888"/>
      <c r="D656" s="868" t="str">
        <f>'refer admin discharge'!D652</f>
        <v>xx</v>
      </c>
      <c r="E656" s="868"/>
      <c r="F656" s="891" t="str">
        <f>'refer admin discharge'!H652</f>
        <v>00/00/0000</v>
      </c>
      <c r="G656" s="892"/>
      <c r="H656" s="894"/>
      <c r="I656" s="894"/>
      <c r="J656" s="918"/>
      <c r="K656" s="918"/>
      <c r="L656" s="894"/>
      <c r="M656" s="894"/>
      <c r="N656" s="916"/>
      <c r="O656" s="916"/>
      <c r="P656" s="894"/>
      <c r="Q656" s="894"/>
      <c r="R656" s="916"/>
      <c r="S656" s="916"/>
      <c r="T656" s="894"/>
      <c r="U656" s="894"/>
      <c r="V656" s="921" t="str">
        <f>'refer admin discharge'!H657</f>
        <v>00/00/0000</v>
      </c>
      <c r="W656" s="922"/>
      <c r="X656" s="920"/>
      <c r="Y656" s="920"/>
      <c r="Z656" s="919"/>
      <c r="AA656" s="919"/>
      <c r="AB656" s="920"/>
      <c r="AC656" s="920"/>
      <c r="AD656" s="912"/>
      <c r="AE656" s="912"/>
      <c r="AF656" s="920"/>
      <c r="AG656" s="920"/>
      <c r="AH656" s="912"/>
      <c r="AI656" s="912"/>
      <c r="AJ656" s="920"/>
      <c r="AK656" s="920"/>
      <c r="AL656" s="905"/>
      <c r="AM656" s="906"/>
      <c r="AN656" s="906"/>
      <c r="AO656" s="906"/>
      <c r="AP656" s="906"/>
      <c r="AQ656" s="906"/>
      <c r="AR656" s="906"/>
      <c r="AS656" s="906"/>
      <c r="AT656" s="906"/>
      <c r="AU656" s="906"/>
      <c r="AV656" s="906"/>
      <c r="AW656" s="906"/>
      <c r="AX656" s="906"/>
      <c r="AY656" s="906"/>
      <c r="AZ656" s="906"/>
      <c r="BA656" s="906"/>
      <c r="BB656" s="907"/>
    </row>
    <row r="657" spans="1:54" x14ac:dyDescent="0.25">
      <c r="A657" s="13">
        <f t="shared" si="10"/>
        <v>644</v>
      </c>
      <c r="B657" s="914" t="str">
        <f>'refer admin discharge'!B653</f>
        <v>x</v>
      </c>
      <c r="C657" s="914"/>
      <c r="D657" s="889" t="str">
        <f>'refer admin discharge'!D653</f>
        <v>xx</v>
      </c>
      <c r="E657" s="889"/>
      <c r="F657" s="915" t="str">
        <f>'refer admin discharge'!H653</f>
        <v>00/00/0000</v>
      </c>
      <c r="G657" s="890"/>
      <c r="H657" s="916"/>
      <c r="I657" s="916"/>
      <c r="J657" s="917"/>
      <c r="K657" s="917"/>
      <c r="L657" s="916"/>
      <c r="M657" s="916"/>
      <c r="N657" s="893"/>
      <c r="O657" s="893"/>
      <c r="P657" s="916"/>
      <c r="Q657" s="916"/>
      <c r="R657" s="893"/>
      <c r="S657" s="893"/>
      <c r="T657" s="916"/>
      <c r="U657" s="916"/>
      <c r="V657" s="921" t="str">
        <f>'refer admin discharge'!H658</f>
        <v>00/00/0000</v>
      </c>
      <c r="W657" s="922"/>
      <c r="X657" s="912"/>
      <c r="Y657" s="912"/>
      <c r="Z657" s="924"/>
      <c r="AA657" s="924"/>
      <c r="AB657" s="912"/>
      <c r="AC657" s="912"/>
      <c r="AD657" s="913"/>
      <c r="AE657" s="913"/>
      <c r="AF657" s="912"/>
      <c r="AG657" s="912"/>
      <c r="AH657" s="913"/>
      <c r="AI657" s="913"/>
      <c r="AJ657" s="912"/>
      <c r="AK657" s="912"/>
      <c r="AL657" s="925"/>
      <c r="AM657" s="926"/>
      <c r="AN657" s="926"/>
      <c r="AO657" s="926"/>
      <c r="AP657" s="926"/>
      <c r="AQ657" s="926"/>
      <c r="AR657" s="926"/>
      <c r="AS657" s="926"/>
      <c r="AT657" s="926"/>
      <c r="AU657" s="926"/>
      <c r="AV657" s="926"/>
      <c r="AW657" s="926"/>
      <c r="AX657" s="926"/>
      <c r="AY657" s="926"/>
      <c r="AZ657" s="926"/>
      <c r="BA657" s="926"/>
      <c r="BB657" s="927"/>
    </row>
    <row r="658" spans="1:54" x14ac:dyDescent="0.25">
      <c r="A658" s="13">
        <f t="shared" si="10"/>
        <v>645</v>
      </c>
      <c r="B658" s="888" t="str">
        <f>'refer admin discharge'!B654</f>
        <v>x</v>
      </c>
      <c r="C658" s="888"/>
      <c r="D658" s="868" t="str">
        <f>'refer admin discharge'!D654</f>
        <v>xx</v>
      </c>
      <c r="E658" s="868"/>
      <c r="F658" s="891" t="str">
        <f>'refer admin discharge'!H654</f>
        <v>00/00/0000</v>
      </c>
      <c r="G658" s="892"/>
      <c r="H658" s="894"/>
      <c r="I658" s="894"/>
      <c r="J658" s="918"/>
      <c r="K658" s="918"/>
      <c r="L658" s="894"/>
      <c r="M658" s="894"/>
      <c r="N658" s="916"/>
      <c r="O658" s="916"/>
      <c r="P658" s="894"/>
      <c r="Q658" s="894"/>
      <c r="R658" s="916"/>
      <c r="S658" s="916"/>
      <c r="T658" s="894"/>
      <c r="U658" s="894"/>
      <c r="V658" s="921" t="str">
        <f>'refer admin discharge'!H659</f>
        <v>00/00/0000</v>
      </c>
      <c r="W658" s="922"/>
      <c r="X658" s="920"/>
      <c r="Y658" s="920"/>
      <c r="Z658" s="919"/>
      <c r="AA658" s="919"/>
      <c r="AB658" s="920"/>
      <c r="AC658" s="920"/>
      <c r="AD658" s="912"/>
      <c r="AE658" s="912"/>
      <c r="AF658" s="920"/>
      <c r="AG658" s="920"/>
      <c r="AH658" s="912"/>
      <c r="AI658" s="912"/>
      <c r="AJ658" s="920"/>
      <c r="AK658" s="920"/>
      <c r="AL658" s="905"/>
      <c r="AM658" s="906"/>
      <c r="AN658" s="906"/>
      <c r="AO658" s="906"/>
      <c r="AP658" s="906"/>
      <c r="AQ658" s="906"/>
      <c r="AR658" s="906"/>
      <c r="AS658" s="906"/>
      <c r="AT658" s="906"/>
      <c r="AU658" s="906"/>
      <c r="AV658" s="906"/>
      <c r="AW658" s="906"/>
      <c r="AX658" s="906"/>
      <c r="AY658" s="906"/>
      <c r="AZ658" s="906"/>
      <c r="BA658" s="906"/>
      <c r="BB658" s="907"/>
    </row>
    <row r="659" spans="1:54" x14ac:dyDescent="0.25">
      <c r="A659" s="13">
        <f t="shared" si="10"/>
        <v>646</v>
      </c>
      <c r="B659" s="914" t="str">
        <f>'refer admin discharge'!B655</f>
        <v>x</v>
      </c>
      <c r="C659" s="914"/>
      <c r="D659" s="889" t="str">
        <f>'refer admin discharge'!D655</f>
        <v>xx</v>
      </c>
      <c r="E659" s="889"/>
      <c r="F659" s="915" t="str">
        <f>'refer admin discharge'!H655</f>
        <v>00/00/0000</v>
      </c>
      <c r="G659" s="890"/>
      <c r="H659" s="916"/>
      <c r="I659" s="916"/>
      <c r="J659" s="917"/>
      <c r="K659" s="917"/>
      <c r="L659" s="916"/>
      <c r="M659" s="916"/>
      <c r="N659" s="893"/>
      <c r="O659" s="893"/>
      <c r="P659" s="916"/>
      <c r="Q659" s="916"/>
      <c r="R659" s="893"/>
      <c r="S659" s="893"/>
      <c r="T659" s="916"/>
      <c r="U659" s="916"/>
      <c r="V659" s="921" t="str">
        <f>'refer admin discharge'!H660</f>
        <v>00/00/0000</v>
      </c>
      <c r="W659" s="922"/>
      <c r="X659" s="912"/>
      <c r="Y659" s="912"/>
      <c r="Z659" s="924"/>
      <c r="AA659" s="924"/>
      <c r="AB659" s="912"/>
      <c r="AC659" s="912"/>
      <c r="AD659" s="913"/>
      <c r="AE659" s="913"/>
      <c r="AF659" s="912"/>
      <c r="AG659" s="912"/>
      <c r="AH659" s="913"/>
      <c r="AI659" s="913"/>
      <c r="AJ659" s="912"/>
      <c r="AK659" s="912"/>
      <c r="AL659" s="925"/>
      <c r="AM659" s="926"/>
      <c r="AN659" s="926"/>
      <c r="AO659" s="926"/>
      <c r="AP659" s="926"/>
      <c r="AQ659" s="926"/>
      <c r="AR659" s="926"/>
      <c r="AS659" s="926"/>
      <c r="AT659" s="926"/>
      <c r="AU659" s="926"/>
      <c r="AV659" s="926"/>
      <c r="AW659" s="926"/>
      <c r="AX659" s="926"/>
      <c r="AY659" s="926"/>
      <c r="AZ659" s="926"/>
      <c r="BA659" s="926"/>
      <c r="BB659" s="927"/>
    </row>
    <row r="660" spans="1:54" x14ac:dyDescent="0.25">
      <c r="A660" s="13">
        <f t="shared" si="10"/>
        <v>647</v>
      </c>
      <c r="B660" s="888" t="str">
        <f>'refer admin discharge'!B656</f>
        <v>x</v>
      </c>
      <c r="C660" s="888"/>
      <c r="D660" s="868" t="str">
        <f>'refer admin discharge'!D656</f>
        <v>xx</v>
      </c>
      <c r="E660" s="868"/>
      <c r="F660" s="891" t="str">
        <f>'refer admin discharge'!H656</f>
        <v>00/00/0000</v>
      </c>
      <c r="G660" s="892"/>
      <c r="H660" s="894"/>
      <c r="I660" s="894"/>
      <c r="J660" s="918"/>
      <c r="K660" s="918"/>
      <c r="L660" s="894"/>
      <c r="M660" s="894"/>
      <c r="N660" s="916"/>
      <c r="O660" s="916"/>
      <c r="P660" s="894"/>
      <c r="Q660" s="894"/>
      <c r="R660" s="916"/>
      <c r="S660" s="916"/>
      <c r="T660" s="894"/>
      <c r="U660" s="894"/>
      <c r="V660" s="921" t="str">
        <f>'refer admin discharge'!H661</f>
        <v>00/00/0000</v>
      </c>
      <c r="W660" s="922"/>
      <c r="X660" s="920"/>
      <c r="Y660" s="920"/>
      <c r="Z660" s="919"/>
      <c r="AA660" s="919"/>
      <c r="AB660" s="920"/>
      <c r="AC660" s="920"/>
      <c r="AD660" s="912"/>
      <c r="AE660" s="912"/>
      <c r="AF660" s="920"/>
      <c r="AG660" s="920"/>
      <c r="AH660" s="912"/>
      <c r="AI660" s="912"/>
      <c r="AJ660" s="920"/>
      <c r="AK660" s="920"/>
      <c r="AL660" s="905"/>
      <c r="AM660" s="906"/>
      <c r="AN660" s="906"/>
      <c r="AO660" s="906"/>
      <c r="AP660" s="906"/>
      <c r="AQ660" s="906"/>
      <c r="AR660" s="906"/>
      <c r="AS660" s="906"/>
      <c r="AT660" s="906"/>
      <c r="AU660" s="906"/>
      <c r="AV660" s="906"/>
      <c r="AW660" s="906"/>
      <c r="AX660" s="906"/>
      <c r="AY660" s="906"/>
      <c r="AZ660" s="906"/>
      <c r="BA660" s="906"/>
      <c r="BB660" s="907"/>
    </row>
    <row r="661" spans="1:54" x14ac:dyDescent="0.25">
      <c r="A661" s="13">
        <f t="shared" si="10"/>
        <v>648</v>
      </c>
      <c r="B661" s="914" t="str">
        <f>'refer admin discharge'!B657</f>
        <v>x</v>
      </c>
      <c r="C661" s="914"/>
      <c r="D661" s="889" t="str">
        <f>'refer admin discharge'!D657</f>
        <v>xx</v>
      </c>
      <c r="E661" s="889"/>
      <c r="F661" s="915" t="str">
        <f>'refer admin discharge'!H657</f>
        <v>00/00/0000</v>
      </c>
      <c r="G661" s="890"/>
      <c r="H661" s="916"/>
      <c r="I661" s="916"/>
      <c r="J661" s="917"/>
      <c r="K661" s="917"/>
      <c r="L661" s="916"/>
      <c r="M661" s="916"/>
      <c r="N661" s="893"/>
      <c r="O661" s="893"/>
      <c r="P661" s="916"/>
      <c r="Q661" s="916"/>
      <c r="R661" s="893"/>
      <c r="S661" s="893"/>
      <c r="T661" s="916"/>
      <c r="U661" s="916"/>
      <c r="V661" s="921" t="str">
        <f>'refer admin discharge'!H662</f>
        <v>00/00/0000</v>
      </c>
      <c r="W661" s="922"/>
      <c r="X661" s="912"/>
      <c r="Y661" s="912"/>
      <c r="Z661" s="924"/>
      <c r="AA661" s="924"/>
      <c r="AB661" s="912"/>
      <c r="AC661" s="912"/>
      <c r="AD661" s="913"/>
      <c r="AE661" s="913"/>
      <c r="AF661" s="912"/>
      <c r="AG661" s="912"/>
      <c r="AH661" s="913"/>
      <c r="AI661" s="913"/>
      <c r="AJ661" s="912"/>
      <c r="AK661" s="912"/>
      <c r="AL661" s="925"/>
      <c r="AM661" s="926"/>
      <c r="AN661" s="926"/>
      <c r="AO661" s="926"/>
      <c r="AP661" s="926"/>
      <c r="AQ661" s="926"/>
      <c r="AR661" s="926"/>
      <c r="AS661" s="926"/>
      <c r="AT661" s="926"/>
      <c r="AU661" s="926"/>
      <c r="AV661" s="926"/>
      <c r="AW661" s="926"/>
      <c r="AX661" s="926"/>
      <c r="AY661" s="926"/>
      <c r="AZ661" s="926"/>
      <c r="BA661" s="926"/>
      <c r="BB661" s="927"/>
    </row>
    <row r="662" spans="1:54" x14ac:dyDescent="0.25">
      <c r="A662" s="13">
        <f t="shared" si="10"/>
        <v>649</v>
      </c>
      <c r="B662" s="888" t="str">
        <f>'refer admin discharge'!B658</f>
        <v>x</v>
      </c>
      <c r="C662" s="888"/>
      <c r="D662" s="868" t="str">
        <f>'refer admin discharge'!D658</f>
        <v>xx</v>
      </c>
      <c r="E662" s="868"/>
      <c r="F662" s="891" t="str">
        <f>'refer admin discharge'!H658</f>
        <v>00/00/0000</v>
      </c>
      <c r="G662" s="892"/>
      <c r="H662" s="894"/>
      <c r="I662" s="894"/>
      <c r="J662" s="918"/>
      <c r="K662" s="918"/>
      <c r="L662" s="894"/>
      <c r="M662" s="894"/>
      <c r="N662" s="916"/>
      <c r="O662" s="916"/>
      <c r="P662" s="894"/>
      <c r="Q662" s="894"/>
      <c r="R662" s="916"/>
      <c r="S662" s="916"/>
      <c r="T662" s="894"/>
      <c r="U662" s="894"/>
      <c r="V662" s="921" t="str">
        <f>'refer admin discharge'!H663</f>
        <v>00/00/0000</v>
      </c>
      <c r="W662" s="922"/>
      <c r="X662" s="920"/>
      <c r="Y662" s="920"/>
      <c r="Z662" s="919"/>
      <c r="AA662" s="919"/>
      <c r="AB662" s="920"/>
      <c r="AC662" s="920"/>
      <c r="AD662" s="912"/>
      <c r="AE662" s="912"/>
      <c r="AF662" s="920"/>
      <c r="AG662" s="920"/>
      <c r="AH662" s="912"/>
      <c r="AI662" s="912"/>
      <c r="AJ662" s="920"/>
      <c r="AK662" s="920"/>
      <c r="AL662" s="905"/>
      <c r="AM662" s="906"/>
      <c r="AN662" s="906"/>
      <c r="AO662" s="906"/>
      <c r="AP662" s="906"/>
      <c r="AQ662" s="906"/>
      <c r="AR662" s="906"/>
      <c r="AS662" s="906"/>
      <c r="AT662" s="906"/>
      <c r="AU662" s="906"/>
      <c r="AV662" s="906"/>
      <c r="AW662" s="906"/>
      <c r="AX662" s="906"/>
      <c r="AY662" s="906"/>
      <c r="AZ662" s="906"/>
      <c r="BA662" s="906"/>
      <c r="BB662" s="907"/>
    </row>
    <row r="663" spans="1:54" x14ac:dyDescent="0.25">
      <c r="A663" s="13">
        <f t="shared" si="10"/>
        <v>650</v>
      </c>
      <c r="B663" s="914" t="str">
        <f>'refer admin discharge'!B659</f>
        <v>x</v>
      </c>
      <c r="C663" s="914"/>
      <c r="D663" s="889" t="str">
        <f>'refer admin discharge'!D659</f>
        <v>xx</v>
      </c>
      <c r="E663" s="889"/>
      <c r="F663" s="915" t="str">
        <f>'refer admin discharge'!H659</f>
        <v>00/00/0000</v>
      </c>
      <c r="G663" s="890"/>
      <c r="H663" s="916"/>
      <c r="I663" s="916"/>
      <c r="J663" s="917"/>
      <c r="K663" s="917"/>
      <c r="L663" s="916"/>
      <c r="M663" s="916"/>
      <c r="N663" s="893"/>
      <c r="O663" s="893"/>
      <c r="P663" s="916"/>
      <c r="Q663" s="916"/>
      <c r="R663" s="893"/>
      <c r="S663" s="893"/>
      <c r="T663" s="916"/>
      <c r="U663" s="916"/>
      <c r="V663" s="921" t="str">
        <f>'refer admin discharge'!H664</f>
        <v>00/00/0000</v>
      </c>
      <c r="W663" s="922"/>
      <c r="X663" s="912"/>
      <c r="Y663" s="912"/>
      <c r="Z663" s="924"/>
      <c r="AA663" s="924"/>
      <c r="AB663" s="912"/>
      <c r="AC663" s="912"/>
      <c r="AD663" s="913"/>
      <c r="AE663" s="913"/>
      <c r="AF663" s="912"/>
      <c r="AG663" s="912"/>
      <c r="AH663" s="913"/>
      <c r="AI663" s="913"/>
      <c r="AJ663" s="912"/>
      <c r="AK663" s="912"/>
      <c r="AL663" s="925"/>
      <c r="AM663" s="926"/>
      <c r="AN663" s="926"/>
      <c r="AO663" s="926"/>
      <c r="AP663" s="926"/>
      <c r="AQ663" s="926"/>
      <c r="AR663" s="926"/>
      <c r="AS663" s="926"/>
      <c r="AT663" s="926"/>
      <c r="AU663" s="926"/>
      <c r="AV663" s="926"/>
      <c r="AW663" s="926"/>
      <c r="AX663" s="926"/>
      <c r="AY663" s="926"/>
      <c r="AZ663" s="926"/>
      <c r="BA663" s="926"/>
      <c r="BB663" s="927"/>
    </row>
    <row r="664" spans="1:54" x14ac:dyDescent="0.25">
      <c r="A664" s="13">
        <f t="shared" si="10"/>
        <v>651</v>
      </c>
      <c r="B664" s="888" t="str">
        <f>'refer admin discharge'!B660</f>
        <v>x</v>
      </c>
      <c r="C664" s="888"/>
      <c r="D664" s="868" t="str">
        <f>'refer admin discharge'!D660</f>
        <v>xx</v>
      </c>
      <c r="E664" s="868"/>
      <c r="F664" s="891" t="str">
        <f>'refer admin discharge'!H660</f>
        <v>00/00/0000</v>
      </c>
      <c r="G664" s="892"/>
      <c r="H664" s="894"/>
      <c r="I664" s="894"/>
      <c r="J664" s="918"/>
      <c r="K664" s="918"/>
      <c r="L664" s="894"/>
      <c r="M664" s="894"/>
      <c r="N664" s="916"/>
      <c r="O664" s="916"/>
      <c r="P664" s="894"/>
      <c r="Q664" s="894"/>
      <c r="R664" s="916"/>
      <c r="S664" s="916"/>
      <c r="T664" s="894"/>
      <c r="U664" s="894"/>
      <c r="V664" s="921" t="str">
        <f>'refer admin discharge'!H665</f>
        <v>00/00/0000</v>
      </c>
      <c r="W664" s="922"/>
      <c r="X664" s="920"/>
      <c r="Y664" s="920"/>
      <c r="Z664" s="919"/>
      <c r="AA664" s="919"/>
      <c r="AB664" s="920"/>
      <c r="AC664" s="920"/>
      <c r="AD664" s="912"/>
      <c r="AE664" s="912"/>
      <c r="AF664" s="920"/>
      <c r="AG664" s="920"/>
      <c r="AH664" s="912"/>
      <c r="AI664" s="912"/>
      <c r="AJ664" s="920"/>
      <c r="AK664" s="920"/>
      <c r="AL664" s="905"/>
      <c r="AM664" s="906"/>
      <c r="AN664" s="906"/>
      <c r="AO664" s="906"/>
      <c r="AP664" s="906"/>
      <c r="AQ664" s="906"/>
      <c r="AR664" s="906"/>
      <c r="AS664" s="906"/>
      <c r="AT664" s="906"/>
      <c r="AU664" s="906"/>
      <c r="AV664" s="906"/>
      <c r="AW664" s="906"/>
      <c r="AX664" s="906"/>
      <c r="AY664" s="906"/>
      <c r="AZ664" s="906"/>
      <c r="BA664" s="906"/>
      <c r="BB664" s="907"/>
    </row>
    <row r="665" spans="1:54" x14ac:dyDescent="0.25">
      <c r="A665" s="13">
        <f t="shared" si="10"/>
        <v>652</v>
      </c>
      <c r="B665" s="914" t="str">
        <f>'refer admin discharge'!B661</f>
        <v>x</v>
      </c>
      <c r="C665" s="914"/>
      <c r="D665" s="889" t="str">
        <f>'refer admin discharge'!D661</f>
        <v>xx</v>
      </c>
      <c r="E665" s="889"/>
      <c r="F665" s="915" t="str">
        <f>'refer admin discharge'!H661</f>
        <v>00/00/0000</v>
      </c>
      <c r="G665" s="890"/>
      <c r="H665" s="916"/>
      <c r="I665" s="916"/>
      <c r="J665" s="917"/>
      <c r="K665" s="917"/>
      <c r="L665" s="916"/>
      <c r="M665" s="916"/>
      <c r="N665" s="893"/>
      <c r="O665" s="893"/>
      <c r="P665" s="916"/>
      <c r="Q665" s="916"/>
      <c r="R665" s="893"/>
      <c r="S665" s="893"/>
      <c r="T665" s="916"/>
      <c r="U665" s="916"/>
      <c r="V665" s="921" t="str">
        <f>'refer admin discharge'!H666</f>
        <v>00/00/0000</v>
      </c>
      <c r="W665" s="922"/>
      <c r="X665" s="912"/>
      <c r="Y665" s="912"/>
      <c r="Z665" s="924"/>
      <c r="AA665" s="924"/>
      <c r="AB665" s="912"/>
      <c r="AC665" s="912"/>
      <c r="AD665" s="913"/>
      <c r="AE665" s="913"/>
      <c r="AF665" s="912"/>
      <c r="AG665" s="912"/>
      <c r="AH665" s="913"/>
      <c r="AI665" s="913"/>
      <c r="AJ665" s="912"/>
      <c r="AK665" s="912"/>
      <c r="AL665" s="925"/>
      <c r="AM665" s="926"/>
      <c r="AN665" s="926"/>
      <c r="AO665" s="926"/>
      <c r="AP665" s="926"/>
      <c r="AQ665" s="926"/>
      <c r="AR665" s="926"/>
      <c r="AS665" s="926"/>
      <c r="AT665" s="926"/>
      <c r="AU665" s="926"/>
      <c r="AV665" s="926"/>
      <c r="AW665" s="926"/>
      <c r="AX665" s="926"/>
      <c r="AY665" s="926"/>
      <c r="AZ665" s="926"/>
      <c r="BA665" s="926"/>
      <c r="BB665" s="927"/>
    </row>
    <row r="666" spans="1:54" x14ac:dyDescent="0.25">
      <c r="A666" s="13">
        <f t="shared" si="10"/>
        <v>653</v>
      </c>
      <c r="B666" s="888" t="str">
        <f>'refer admin discharge'!B662</f>
        <v>x</v>
      </c>
      <c r="C666" s="888"/>
      <c r="D666" s="868" t="str">
        <f>'refer admin discharge'!D662</f>
        <v>xx</v>
      </c>
      <c r="E666" s="868"/>
      <c r="F666" s="891" t="str">
        <f>'refer admin discharge'!H662</f>
        <v>00/00/0000</v>
      </c>
      <c r="G666" s="892"/>
      <c r="H666" s="894"/>
      <c r="I666" s="894"/>
      <c r="J666" s="918"/>
      <c r="K666" s="918"/>
      <c r="L666" s="894"/>
      <c r="M666" s="894"/>
      <c r="N666" s="916"/>
      <c r="O666" s="916"/>
      <c r="P666" s="894"/>
      <c r="Q666" s="894"/>
      <c r="R666" s="916"/>
      <c r="S666" s="916"/>
      <c r="T666" s="894"/>
      <c r="U666" s="894"/>
      <c r="V666" s="921" t="str">
        <f>'refer admin discharge'!H667</f>
        <v>00/00/0000</v>
      </c>
      <c r="W666" s="922"/>
      <c r="X666" s="920"/>
      <c r="Y666" s="920"/>
      <c r="Z666" s="919"/>
      <c r="AA666" s="919"/>
      <c r="AB666" s="920"/>
      <c r="AC666" s="920"/>
      <c r="AD666" s="912"/>
      <c r="AE666" s="912"/>
      <c r="AF666" s="920"/>
      <c r="AG666" s="920"/>
      <c r="AH666" s="912"/>
      <c r="AI666" s="912"/>
      <c r="AJ666" s="920"/>
      <c r="AK666" s="920"/>
      <c r="AL666" s="905"/>
      <c r="AM666" s="906"/>
      <c r="AN666" s="906"/>
      <c r="AO666" s="906"/>
      <c r="AP666" s="906"/>
      <c r="AQ666" s="906"/>
      <c r="AR666" s="906"/>
      <c r="AS666" s="906"/>
      <c r="AT666" s="906"/>
      <c r="AU666" s="906"/>
      <c r="AV666" s="906"/>
      <c r="AW666" s="906"/>
      <c r="AX666" s="906"/>
      <c r="AY666" s="906"/>
      <c r="AZ666" s="906"/>
      <c r="BA666" s="906"/>
      <c r="BB666" s="907"/>
    </row>
    <row r="667" spans="1:54" x14ac:dyDescent="0.25">
      <c r="A667" s="13">
        <f t="shared" si="10"/>
        <v>654</v>
      </c>
      <c r="B667" s="914" t="str">
        <f>'refer admin discharge'!B663</f>
        <v>x</v>
      </c>
      <c r="C667" s="914"/>
      <c r="D667" s="889" t="str">
        <f>'refer admin discharge'!D663</f>
        <v>xx</v>
      </c>
      <c r="E667" s="889"/>
      <c r="F667" s="915" t="str">
        <f>'refer admin discharge'!H663</f>
        <v>00/00/0000</v>
      </c>
      <c r="G667" s="890"/>
      <c r="H667" s="916"/>
      <c r="I667" s="916"/>
      <c r="J667" s="917"/>
      <c r="K667" s="917"/>
      <c r="L667" s="916"/>
      <c r="M667" s="916"/>
      <c r="N667" s="893"/>
      <c r="O667" s="893"/>
      <c r="P667" s="916"/>
      <c r="Q667" s="916"/>
      <c r="R667" s="893"/>
      <c r="S667" s="893"/>
      <c r="T667" s="916"/>
      <c r="U667" s="916"/>
      <c r="V667" s="921" t="str">
        <f>'refer admin discharge'!H668</f>
        <v>00/00/0000</v>
      </c>
      <c r="W667" s="922"/>
      <c r="X667" s="912"/>
      <c r="Y667" s="912"/>
      <c r="Z667" s="924"/>
      <c r="AA667" s="924"/>
      <c r="AB667" s="912"/>
      <c r="AC667" s="912"/>
      <c r="AD667" s="913"/>
      <c r="AE667" s="913"/>
      <c r="AF667" s="912"/>
      <c r="AG667" s="912"/>
      <c r="AH667" s="913"/>
      <c r="AI667" s="913"/>
      <c r="AJ667" s="912"/>
      <c r="AK667" s="912"/>
      <c r="AL667" s="925"/>
      <c r="AM667" s="926"/>
      <c r="AN667" s="926"/>
      <c r="AO667" s="926"/>
      <c r="AP667" s="926"/>
      <c r="AQ667" s="926"/>
      <c r="AR667" s="926"/>
      <c r="AS667" s="926"/>
      <c r="AT667" s="926"/>
      <c r="AU667" s="926"/>
      <c r="AV667" s="926"/>
      <c r="AW667" s="926"/>
      <c r="AX667" s="926"/>
      <c r="AY667" s="926"/>
      <c r="AZ667" s="926"/>
      <c r="BA667" s="926"/>
      <c r="BB667" s="927"/>
    </row>
    <row r="668" spans="1:54" x14ac:dyDescent="0.25">
      <c r="A668" s="13">
        <f t="shared" si="10"/>
        <v>655</v>
      </c>
      <c r="B668" s="888" t="str">
        <f>'refer admin discharge'!B664</f>
        <v>x</v>
      </c>
      <c r="C668" s="888"/>
      <c r="D668" s="868" t="str">
        <f>'refer admin discharge'!D664</f>
        <v>xx</v>
      </c>
      <c r="E668" s="868"/>
      <c r="F668" s="891" t="str">
        <f>'refer admin discharge'!H664</f>
        <v>00/00/0000</v>
      </c>
      <c r="G668" s="892"/>
      <c r="H668" s="894"/>
      <c r="I668" s="894"/>
      <c r="J668" s="918"/>
      <c r="K668" s="918"/>
      <c r="L668" s="894"/>
      <c r="M668" s="894"/>
      <c r="N668" s="916"/>
      <c r="O668" s="916"/>
      <c r="P668" s="894"/>
      <c r="Q668" s="894"/>
      <c r="R668" s="916"/>
      <c r="S668" s="916"/>
      <c r="T668" s="894"/>
      <c r="U668" s="894"/>
      <c r="V668" s="921" t="str">
        <f>'refer admin discharge'!H669</f>
        <v>00/00/0000</v>
      </c>
      <c r="W668" s="922"/>
      <c r="X668" s="920"/>
      <c r="Y668" s="920"/>
      <c r="Z668" s="919"/>
      <c r="AA668" s="919"/>
      <c r="AB668" s="920"/>
      <c r="AC668" s="920"/>
      <c r="AD668" s="912"/>
      <c r="AE668" s="912"/>
      <c r="AF668" s="920"/>
      <c r="AG668" s="920"/>
      <c r="AH668" s="912"/>
      <c r="AI668" s="912"/>
      <c r="AJ668" s="920"/>
      <c r="AK668" s="920"/>
      <c r="AL668" s="905"/>
      <c r="AM668" s="906"/>
      <c r="AN668" s="906"/>
      <c r="AO668" s="906"/>
      <c r="AP668" s="906"/>
      <c r="AQ668" s="906"/>
      <c r="AR668" s="906"/>
      <c r="AS668" s="906"/>
      <c r="AT668" s="906"/>
      <c r="AU668" s="906"/>
      <c r="AV668" s="906"/>
      <c r="AW668" s="906"/>
      <c r="AX668" s="906"/>
      <c r="AY668" s="906"/>
      <c r="AZ668" s="906"/>
      <c r="BA668" s="906"/>
      <c r="BB668" s="907"/>
    </row>
    <row r="669" spans="1:54" x14ac:dyDescent="0.25">
      <c r="A669" s="13">
        <f t="shared" si="10"/>
        <v>656</v>
      </c>
      <c r="B669" s="914" t="str">
        <f>'refer admin discharge'!B665</f>
        <v>x</v>
      </c>
      <c r="C669" s="914"/>
      <c r="D669" s="889" t="str">
        <f>'refer admin discharge'!D665</f>
        <v>xx</v>
      </c>
      <c r="E669" s="889"/>
      <c r="F669" s="915" t="str">
        <f>'refer admin discharge'!H665</f>
        <v>00/00/0000</v>
      </c>
      <c r="G669" s="890"/>
      <c r="H669" s="916"/>
      <c r="I669" s="916"/>
      <c r="J669" s="917"/>
      <c r="K669" s="917"/>
      <c r="L669" s="916"/>
      <c r="M669" s="916"/>
      <c r="N669" s="893"/>
      <c r="O669" s="893"/>
      <c r="P669" s="916"/>
      <c r="Q669" s="916"/>
      <c r="R669" s="893"/>
      <c r="S669" s="893"/>
      <c r="T669" s="916"/>
      <c r="U669" s="916"/>
      <c r="V669" s="921" t="str">
        <f>'refer admin discharge'!H670</f>
        <v>00/00/0000</v>
      </c>
      <c r="W669" s="922"/>
      <c r="X669" s="912"/>
      <c r="Y669" s="912"/>
      <c r="Z669" s="924"/>
      <c r="AA669" s="924"/>
      <c r="AB669" s="912"/>
      <c r="AC669" s="912"/>
      <c r="AD669" s="913"/>
      <c r="AE669" s="913"/>
      <c r="AF669" s="912"/>
      <c r="AG669" s="912"/>
      <c r="AH669" s="913"/>
      <c r="AI669" s="913"/>
      <c r="AJ669" s="912"/>
      <c r="AK669" s="912"/>
      <c r="AL669" s="925"/>
      <c r="AM669" s="926"/>
      <c r="AN669" s="926"/>
      <c r="AO669" s="926"/>
      <c r="AP669" s="926"/>
      <c r="AQ669" s="926"/>
      <c r="AR669" s="926"/>
      <c r="AS669" s="926"/>
      <c r="AT669" s="926"/>
      <c r="AU669" s="926"/>
      <c r="AV669" s="926"/>
      <c r="AW669" s="926"/>
      <c r="AX669" s="926"/>
      <c r="AY669" s="926"/>
      <c r="AZ669" s="926"/>
      <c r="BA669" s="926"/>
      <c r="BB669" s="927"/>
    </row>
    <row r="670" spans="1:54" x14ac:dyDescent="0.25">
      <c r="A670" s="13">
        <f t="shared" si="10"/>
        <v>657</v>
      </c>
      <c r="B670" s="888" t="str">
        <f>'refer admin discharge'!B666</f>
        <v>x</v>
      </c>
      <c r="C670" s="888"/>
      <c r="D670" s="868" t="str">
        <f>'refer admin discharge'!D666</f>
        <v>xx</v>
      </c>
      <c r="E670" s="868"/>
      <c r="F670" s="891" t="str">
        <f>'refer admin discharge'!H666</f>
        <v>00/00/0000</v>
      </c>
      <c r="G670" s="892"/>
      <c r="H670" s="894"/>
      <c r="I670" s="894"/>
      <c r="J670" s="918"/>
      <c r="K670" s="918"/>
      <c r="L670" s="894"/>
      <c r="M670" s="894"/>
      <c r="N670" s="916"/>
      <c r="O670" s="916"/>
      <c r="P670" s="894"/>
      <c r="Q670" s="894"/>
      <c r="R670" s="916"/>
      <c r="S670" s="916"/>
      <c r="T670" s="894"/>
      <c r="U670" s="894"/>
      <c r="V670" s="921" t="str">
        <f>'refer admin discharge'!H671</f>
        <v>00/00/0000</v>
      </c>
      <c r="W670" s="922"/>
      <c r="X670" s="920"/>
      <c r="Y670" s="920"/>
      <c r="Z670" s="919"/>
      <c r="AA670" s="919"/>
      <c r="AB670" s="920"/>
      <c r="AC670" s="920"/>
      <c r="AD670" s="912"/>
      <c r="AE670" s="912"/>
      <c r="AF670" s="920"/>
      <c r="AG670" s="920"/>
      <c r="AH670" s="912"/>
      <c r="AI670" s="912"/>
      <c r="AJ670" s="920"/>
      <c r="AK670" s="920"/>
      <c r="AL670" s="905"/>
      <c r="AM670" s="906"/>
      <c r="AN670" s="906"/>
      <c r="AO670" s="906"/>
      <c r="AP670" s="906"/>
      <c r="AQ670" s="906"/>
      <c r="AR670" s="906"/>
      <c r="AS670" s="906"/>
      <c r="AT670" s="906"/>
      <c r="AU670" s="906"/>
      <c r="AV670" s="906"/>
      <c r="AW670" s="906"/>
      <c r="AX670" s="906"/>
      <c r="AY670" s="906"/>
      <c r="AZ670" s="906"/>
      <c r="BA670" s="906"/>
      <c r="BB670" s="907"/>
    </row>
    <row r="671" spans="1:54" x14ac:dyDescent="0.25">
      <c r="A671" s="13">
        <f t="shared" si="10"/>
        <v>658</v>
      </c>
      <c r="B671" s="914" t="str">
        <f>'refer admin discharge'!B667</f>
        <v>x</v>
      </c>
      <c r="C671" s="914"/>
      <c r="D671" s="889" t="str">
        <f>'refer admin discharge'!D667</f>
        <v>xx</v>
      </c>
      <c r="E671" s="889"/>
      <c r="F671" s="915" t="str">
        <f>'refer admin discharge'!H667</f>
        <v>00/00/0000</v>
      </c>
      <c r="G671" s="890"/>
      <c r="H671" s="916"/>
      <c r="I671" s="916"/>
      <c r="J671" s="917"/>
      <c r="K671" s="917"/>
      <c r="L671" s="916"/>
      <c r="M671" s="916"/>
      <c r="N671" s="893"/>
      <c r="O671" s="893"/>
      <c r="P671" s="916"/>
      <c r="Q671" s="916"/>
      <c r="R671" s="893"/>
      <c r="S671" s="893"/>
      <c r="T671" s="916"/>
      <c r="U671" s="916"/>
      <c r="V671" s="921" t="str">
        <f>'refer admin discharge'!H672</f>
        <v>00/00/0000</v>
      </c>
      <c r="W671" s="922"/>
      <c r="X671" s="912"/>
      <c r="Y671" s="912"/>
      <c r="Z671" s="924"/>
      <c r="AA671" s="924"/>
      <c r="AB671" s="912"/>
      <c r="AC671" s="912"/>
      <c r="AD671" s="913"/>
      <c r="AE671" s="913"/>
      <c r="AF671" s="912"/>
      <c r="AG671" s="912"/>
      <c r="AH671" s="913"/>
      <c r="AI671" s="913"/>
      <c r="AJ671" s="912"/>
      <c r="AK671" s="912"/>
      <c r="AL671" s="925"/>
      <c r="AM671" s="926"/>
      <c r="AN671" s="926"/>
      <c r="AO671" s="926"/>
      <c r="AP671" s="926"/>
      <c r="AQ671" s="926"/>
      <c r="AR671" s="926"/>
      <c r="AS671" s="926"/>
      <c r="AT671" s="926"/>
      <c r="AU671" s="926"/>
      <c r="AV671" s="926"/>
      <c r="AW671" s="926"/>
      <c r="AX671" s="926"/>
      <c r="AY671" s="926"/>
      <c r="AZ671" s="926"/>
      <c r="BA671" s="926"/>
      <c r="BB671" s="927"/>
    </row>
    <row r="672" spans="1:54" x14ac:dyDescent="0.25">
      <c r="A672" s="13">
        <f t="shared" si="10"/>
        <v>659</v>
      </c>
      <c r="B672" s="888" t="str">
        <f>'refer admin discharge'!B668</f>
        <v>x</v>
      </c>
      <c r="C672" s="888"/>
      <c r="D672" s="868" t="str">
        <f>'refer admin discharge'!D668</f>
        <v>xx</v>
      </c>
      <c r="E672" s="868"/>
      <c r="F672" s="891" t="str">
        <f>'refer admin discharge'!H668</f>
        <v>00/00/0000</v>
      </c>
      <c r="G672" s="892"/>
      <c r="H672" s="894"/>
      <c r="I672" s="894"/>
      <c r="J672" s="918"/>
      <c r="K672" s="918"/>
      <c r="L672" s="894"/>
      <c r="M672" s="894"/>
      <c r="N672" s="916"/>
      <c r="O672" s="916"/>
      <c r="P672" s="894"/>
      <c r="Q672" s="894"/>
      <c r="R672" s="916"/>
      <c r="S672" s="916"/>
      <c r="T672" s="894"/>
      <c r="U672" s="894"/>
      <c r="V672" s="921" t="str">
        <f>'refer admin discharge'!H673</f>
        <v>00/00/0000</v>
      </c>
      <c r="W672" s="922"/>
      <c r="X672" s="920"/>
      <c r="Y672" s="920"/>
      <c r="Z672" s="919"/>
      <c r="AA672" s="919"/>
      <c r="AB672" s="920"/>
      <c r="AC672" s="920"/>
      <c r="AD672" s="912"/>
      <c r="AE672" s="912"/>
      <c r="AF672" s="920"/>
      <c r="AG672" s="920"/>
      <c r="AH672" s="912"/>
      <c r="AI672" s="912"/>
      <c r="AJ672" s="920"/>
      <c r="AK672" s="920"/>
      <c r="AL672" s="905"/>
      <c r="AM672" s="906"/>
      <c r="AN672" s="906"/>
      <c r="AO672" s="906"/>
      <c r="AP672" s="906"/>
      <c r="AQ672" s="906"/>
      <c r="AR672" s="906"/>
      <c r="AS672" s="906"/>
      <c r="AT672" s="906"/>
      <c r="AU672" s="906"/>
      <c r="AV672" s="906"/>
      <c r="AW672" s="906"/>
      <c r="AX672" s="906"/>
      <c r="AY672" s="906"/>
      <c r="AZ672" s="906"/>
      <c r="BA672" s="906"/>
      <c r="BB672" s="907"/>
    </row>
    <row r="673" spans="1:54" x14ac:dyDescent="0.25">
      <c r="A673" s="13">
        <f t="shared" si="10"/>
        <v>660</v>
      </c>
      <c r="B673" s="914" t="str">
        <f>'refer admin discharge'!B669</f>
        <v>x</v>
      </c>
      <c r="C673" s="914"/>
      <c r="D673" s="889" t="str">
        <f>'refer admin discharge'!D669</f>
        <v>xx</v>
      </c>
      <c r="E673" s="889"/>
      <c r="F673" s="915" t="str">
        <f>'refer admin discharge'!H669</f>
        <v>00/00/0000</v>
      </c>
      <c r="G673" s="890"/>
      <c r="H673" s="916"/>
      <c r="I673" s="916"/>
      <c r="J673" s="917"/>
      <c r="K673" s="917"/>
      <c r="L673" s="916"/>
      <c r="M673" s="916"/>
      <c r="N673" s="893"/>
      <c r="O673" s="893"/>
      <c r="P673" s="916"/>
      <c r="Q673" s="916"/>
      <c r="R673" s="893"/>
      <c r="S673" s="893"/>
      <c r="T673" s="916"/>
      <c r="U673" s="916"/>
      <c r="V673" s="921" t="str">
        <f>'refer admin discharge'!H674</f>
        <v>00/00/0000</v>
      </c>
      <c r="W673" s="922"/>
      <c r="X673" s="912"/>
      <c r="Y673" s="912"/>
      <c r="Z673" s="924"/>
      <c r="AA673" s="924"/>
      <c r="AB673" s="912"/>
      <c r="AC673" s="912"/>
      <c r="AD673" s="913"/>
      <c r="AE673" s="913"/>
      <c r="AF673" s="912"/>
      <c r="AG673" s="912"/>
      <c r="AH673" s="913"/>
      <c r="AI673" s="913"/>
      <c r="AJ673" s="912"/>
      <c r="AK673" s="912"/>
      <c r="AL673" s="925"/>
      <c r="AM673" s="926"/>
      <c r="AN673" s="926"/>
      <c r="AO673" s="926"/>
      <c r="AP673" s="926"/>
      <c r="AQ673" s="926"/>
      <c r="AR673" s="926"/>
      <c r="AS673" s="926"/>
      <c r="AT673" s="926"/>
      <c r="AU673" s="926"/>
      <c r="AV673" s="926"/>
      <c r="AW673" s="926"/>
      <c r="AX673" s="926"/>
      <c r="AY673" s="926"/>
      <c r="AZ673" s="926"/>
      <c r="BA673" s="926"/>
      <c r="BB673" s="927"/>
    </row>
    <row r="674" spans="1:54" x14ac:dyDescent="0.25">
      <c r="A674" s="13">
        <f t="shared" si="10"/>
        <v>661</v>
      </c>
      <c r="B674" s="888" t="str">
        <f>'refer admin discharge'!B670</f>
        <v>x</v>
      </c>
      <c r="C674" s="888"/>
      <c r="D674" s="868" t="str">
        <f>'refer admin discharge'!D670</f>
        <v>xx</v>
      </c>
      <c r="E674" s="868"/>
      <c r="F674" s="891" t="str">
        <f>'refer admin discharge'!H670</f>
        <v>00/00/0000</v>
      </c>
      <c r="G674" s="892"/>
      <c r="H674" s="894"/>
      <c r="I674" s="894"/>
      <c r="J674" s="918"/>
      <c r="K674" s="918"/>
      <c r="L674" s="894"/>
      <c r="M674" s="894"/>
      <c r="N674" s="916"/>
      <c r="O674" s="916"/>
      <c r="P674" s="894"/>
      <c r="Q674" s="894"/>
      <c r="R674" s="916"/>
      <c r="S674" s="916"/>
      <c r="T674" s="894"/>
      <c r="U674" s="894"/>
      <c r="V674" s="921" t="str">
        <f>'refer admin discharge'!H675</f>
        <v>00/00/0000</v>
      </c>
      <c r="W674" s="922"/>
      <c r="X674" s="920"/>
      <c r="Y674" s="920"/>
      <c r="Z674" s="919"/>
      <c r="AA674" s="919"/>
      <c r="AB674" s="920"/>
      <c r="AC674" s="920"/>
      <c r="AD674" s="912"/>
      <c r="AE674" s="912"/>
      <c r="AF674" s="920"/>
      <c r="AG674" s="920"/>
      <c r="AH674" s="912"/>
      <c r="AI674" s="912"/>
      <c r="AJ674" s="920"/>
      <c r="AK674" s="920"/>
      <c r="AL674" s="905"/>
      <c r="AM674" s="906"/>
      <c r="AN674" s="906"/>
      <c r="AO674" s="906"/>
      <c r="AP674" s="906"/>
      <c r="AQ674" s="906"/>
      <c r="AR674" s="906"/>
      <c r="AS674" s="906"/>
      <c r="AT674" s="906"/>
      <c r="AU674" s="906"/>
      <c r="AV674" s="906"/>
      <c r="AW674" s="906"/>
      <c r="AX674" s="906"/>
      <c r="AY674" s="906"/>
      <c r="AZ674" s="906"/>
      <c r="BA674" s="906"/>
      <c r="BB674" s="907"/>
    </row>
    <row r="675" spans="1:54" x14ac:dyDescent="0.25">
      <c r="A675" s="13">
        <f t="shared" si="10"/>
        <v>662</v>
      </c>
      <c r="B675" s="914" t="str">
        <f>'refer admin discharge'!B671</f>
        <v>x</v>
      </c>
      <c r="C675" s="914"/>
      <c r="D675" s="889" t="str">
        <f>'refer admin discharge'!D671</f>
        <v>xx</v>
      </c>
      <c r="E675" s="889"/>
      <c r="F675" s="915" t="str">
        <f>'refer admin discharge'!H671</f>
        <v>00/00/0000</v>
      </c>
      <c r="G675" s="890"/>
      <c r="H675" s="916"/>
      <c r="I675" s="916"/>
      <c r="J675" s="917"/>
      <c r="K675" s="917"/>
      <c r="L675" s="916"/>
      <c r="M675" s="916"/>
      <c r="N675" s="893"/>
      <c r="O675" s="893"/>
      <c r="P675" s="916"/>
      <c r="Q675" s="916"/>
      <c r="R675" s="893"/>
      <c r="S675" s="893"/>
      <c r="T675" s="916"/>
      <c r="U675" s="916"/>
      <c r="V675" s="921" t="str">
        <f>'refer admin discharge'!H676</f>
        <v>00/00/0000</v>
      </c>
      <c r="W675" s="922"/>
      <c r="X675" s="912"/>
      <c r="Y675" s="912"/>
      <c r="Z675" s="924"/>
      <c r="AA675" s="924"/>
      <c r="AB675" s="912"/>
      <c r="AC675" s="912"/>
      <c r="AD675" s="913"/>
      <c r="AE675" s="913"/>
      <c r="AF675" s="912"/>
      <c r="AG675" s="912"/>
      <c r="AH675" s="913"/>
      <c r="AI675" s="913"/>
      <c r="AJ675" s="912"/>
      <c r="AK675" s="912"/>
      <c r="AL675" s="925"/>
      <c r="AM675" s="926"/>
      <c r="AN675" s="926"/>
      <c r="AO675" s="926"/>
      <c r="AP675" s="926"/>
      <c r="AQ675" s="926"/>
      <c r="AR675" s="926"/>
      <c r="AS675" s="926"/>
      <c r="AT675" s="926"/>
      <c r="AU675" s="926"/>
      <c r="AV675" s="926"/>
      <c r="AW675" s="926"/>
      <c r="AX675" s="926"/>
      <c r="AY675" s="926"/>
      <c r="AZ675" s="926"/>
      <c r="BA675" s="926"/>
      <c r="BB675" s="927"/>
    </row>
    <row r="676" spans="1:54" x14ac:dyDescent="0.25">
      <c r="A676" s="13">
        <f t="shared" si="10"/>
        <v>663</v>
      </c>
      <c r="B676" s="888" t="str">
        <f>'refer admin discharge'!B672</f>
        <v>x</v>
      </c>
      <c r="C676" s="888"/>
      <c r="D676" s="868" t="str">
        <f>'refer admin discharge'!D672</f>
        <v>xx</v>
      </c>
      <c r="E676" s="868"/>
      <c r="F676" s="891" t="str">
        <f>'refer admin discharge'!H672</f>
        <v>00/00/0000</v>
      </c>
      <c r="G676" s="892"/>
      <c r="H676" s="894"/>
      <c r="I676" s="894"/>
      <c r="J676" s="918"/>
      <c r="K676" s="918"/>
      <c r="L676" s="894"/>
      <c r="M676" s="894"/>
      <c r="N676" s="916"/>
      <c r="O676" s="916"/>
      <c r="P676" s="894"/>
      <c r="Q676" s="894"/>
      <c r="R676" s="916"/>
      <c r="S676" s="916"/>
      <c r="T676" s="894"/>
      <c r="U676" s="894"/>
      <c r="V676" s="921" t="str">
        <f>'refer admin discharge'!H677</f>
        <v>00/00/0000</v>
      </c>
      <c r="W676" s="922"/>
      <c r="X676" s="920"/>
      <c r="Y676" s="920"/>
      <c r="Z676" s="919"/>
      <c r="AA676" s="919"/>
      <c r="AB676" s="920"/>
      <c r="AC676" s="920"/>
      <c r="AD676" s="912"/>
      <c r="AE676" s="912"/>
      <c r="AF676" s="920"/>
      <c r="AG676" s="920"/>
      <c r="AH676" s="912"/>
      <c r="AI676" s="912"/>
      <c r="AJ676" s="920"/>
      <c r="AK676" s="920"/>
      <c r="AL676" s="905"/>
      <c r="AM676" s="906"/>
      <c r="AN676" s="906"/>
      <c r="AO676" s="906"/>
      <c r="AP676" s="906"/>
      <c r="AQ676" s="906"/>
      <c r="AR676" s="906"/>
      <c r="AS676" s="906"/>
      <c r="AT676" s="906"/>
      <c r="AU676" s="906"/>
      <c r="AV676" s="906"/>
      <c r="AW676" s="906"/>
      <c r="AX676" s="906"/>
      <c r="AY676" s="906"/>
      <c r="AZ676" s="906"/>
      <c r="BA676" s="906"/>
      <c r="BB676" s="907"/>
    </row>
    <row r="677" spans="1:54" x14ac:dyDescent="0.25">
      <c r="A677" s="13">
        <f t="shared" si="10"/>
        <v>664</v>
      </c>
      <c r="B677" s="914" t="str">
        <f>'refer admin discharge'!B673</f>
        <v>x</v>
      </c>
      <c r="C677" s="914"/>
      <c r="D677" s="889" t="str">
        <f>'refer admin discharge'!D673</f>
        <v>xx</v>
      </c>
      <c r="E677" s="889"/>
      <c r="F677" s="915" t="str">
        <f>'refer admin discharge'!H673</f>
        <v>00/00/0000</v>
      </c>
      <c r="G677" s="890"/>
      <c r="H677" s="916"/>
      <c r="I677" s="916"/>
      <c r="J677" s="917"/>
      <c r="K677" s="917"/>
      <c r="L677" s="916"/>
      <c r="M677" s="916"/>
      <c r="N677" s="893"/>
      <c r="O677" s="893"/>
      <c r="P677" s="916"/>
      <c r="Q677" s="916"/>
      <c r="R677" s="893"/>
      <c r="S677" s="893"/>
      <c r="T677" s="916"/>
      <c r="U677" s="916"/>
      <c r="V677" s="921" t="str">
        <f>'refer admin discharge'!H678</f>
        <v>00/00/0000</v>
      </c>
      <c r="W677" s="922"/>
      <c r="X677" s="912"/>
      <c r="Y677" s="912"/>
      <c r="Z677" s="924"/>
      <c r="AA677" s="924"/>
      <c r="AB677" s="912"/>
      <c r="AC677" s="912"/>
      <c r="AD677" s="913"/>
      <c r="AE677" s="913"/>
      <c r="AF677" s="912"/>
      <c r="AG677" s="912"/>
      <c r="AH677" s="913"/>
      <c r="AI677" s="913"/>
      <c r="AJ677" s="912"/>
      <c r="AK677" s="912"/>
      <c r="AL677" s="925"/>
      <c r="AM677" s="926"/>
      <c r="AN677" s="926"/>
      <c r="AO677" s="926"/>
      <c r="AP677" s="926"/>
      <c r="AQ677" s="926"/>
      <c r="AR677" s="926"/>
      <c r="AS677" s="926"/>
      <c r="AT677" s="926"/>
      <c r="AU677" s="926"/>
      <c r="AV677" s="926"/>
      <c r="AW677" s="926"/>
      <c r="AX677" s="926"/>
      <c r="AY677" s="926"/>
      <c r="AZ677" s="926"/>
      <c r="BA677" s="926"/>
      <c r="BB677" s="927"/>
    </row>
    <row r="678" spans="1:54" x14ac:dyDescent="0.25">
      <c r="A678" s="13">
        <f t="shared" si="10"/>
        <v>665</v>
      </c>
      <c r="B678" s="888" t="str">
        <f>'refer admin discharge'!B674</f>
        <v>x</v>
      </c>
      <c r="C678" s="888"/>
      <c r="D678" s="868" t="str">
        <f>'refer admin discharge'!D674</f>
        <v>xx</v>
      </c>
      <c r="E678" s="868"/>
      <c r="F678" s="891" t="str">
        <f>'refer admin discharge'!H674</f>
        <v>00/00/0000</v>
      </c>
      <c r="G678" s="892"/>
      <c r="H678" s="894"/>
      <c r="I678" s="894"/>
      <c r="J678" s="918"/>
      <c r="K678" s="918"/>
      <c r="L678" s="894"/>
      <c r="M678" s="894"/>
      <c r="N678" s="916"/>
      <c r="O678" s="916"/>
      <c r="P678" s="894"/>
      <c r="Q678" s="894"/>
      <c r="R678" s="916"/>
      <c r="S678" s="916"/>
      <c r="T678" s="894"/>
      <c r="U678" s="894"/>
      <c r="V678" s="921" t="str">
        <f>'refer admin discharge'!H679</f>
        <v>00/00/0000</v>
      </c>
      <c r="W678" s="922"/>
      <c r="X678" s="920"/>
      <c r="Y678" s="920"/>
      <c r="Z678" s="919"/>
      <c r="AA678" s="919"/>
      <c r="AB678" s="920"/>
      <c r="AC678" s="920"/>
      <c r="AD678" s="912"/>
      <c r="AE678" s="912"/>
      <c r="AF678" s="920"/>
      <c r="AG678" s="920"/>
      <c r="AH678" s="912"/>
      <c r="AI678" s="912"/>
      <c r="AJ678" s="920"/>
      <c r="AK678" s="920"/>
      <c r="AL678" s="905"/>
      <c r="AM678" s="906"/>
      <c r="AN678" s="906"/>
      <c r="AO678" s="906"/>
      <c r="AP678" s="906"/>
      <c r="AQ678" s="906"/>
      <c r="AR678" s="906"/>
      <c r="AS678" s="906"/>
      <c r="AT678" s="906"/>
      <c r="AU678" s="906"/>
      <c r="AV678" s="906"/>
      <c r="AW678" s="906"/>
      <c r="AX678" s="906"/>
      <c r="AY678" s="906"/>
      <c r="AZ678" s="906"/>
      <c r="BA678" s="906"/>
      <c r="BB678" s="907"/>
    </row>
    <row r="679" spans="1:54" x14ac:dyDescent="0.25">
      <c r="A679" s="13">
        <f t="shared" si="10"/>
        <v>666</v>
      </c>
      <c r="B679" s="914" t="str">
        <f>'refer admin discharge'!B675</f>
        <v>x</v>
      </c>
      <c r="C679" s="914"/>
      <c r="D679" s="889" t="str">
        <f>'refer admin discharge'!D675</f>
        <v>xx</v>
      </c>
      <c r="E679" s="889"/>
      <c r="F679" s="915" t="str">
        <f>'refer admin discharge'!H675</f>
        <v>00/00/0000</v>
      </c>
      <c r="G679" s="890"/>
      <c r="H679" s="916"/>
      <c r="I679" s="916"/>
      <c r="J679" s="917"/>
      <c r="K679" s="917"/>
      <c r="L679" s="916"/>
      <c r="M679" s="916"/>
      <c r="N679" s="893"/>
      <c r="O679" s="893"/>
      <c r="P679" s="916"/>
      <c r="Q679" s="916"/>
      <c r="R679" s="893"/>
      <c r="S679" s="893"/>
      <c r="T679" s="916"/>
      <c r="U679" s="916"/>
      <c r="V679" s="921" t="str">
        <f>'refer admin discharge'!H680</f>
        <v>00/00/0000</v>
      </c>
      <c r="W679" s="922"/>
      <c r="X679" s="912"/>
      <c r="Y679" s="912"/>
      <c r="Z679" s="924"/>
      <c r="AA679" s="924"/>
      <c r="AB679" s="912"/>
      <c r="AC679" s="912"/>
      <c r="AD679" s="913"/>
      <c r="AE679" s="913"/>
      <c r="AF679" s="912"/>
      <c r="AG679" s="912"/>
      <c r="AH679" s="913"/>
      <c r="AI679" s="913"/>
      <c r="AJ679" s="912"/>
      <c r="AK679" s="912"/>
      <c r="AL679" s="925"/>
      <c r="AM679" s="926"/>
      <c r="AN679" s="926"/>
      <c r="AO679" s="926"/>
      <c r="AP679" s="926"/>
      <c r="AQ679" s="926"/>
      <c r="AR679" s="926"/>
      <c r="AS679" s="926"/>
      <c r="AT679" s="926"/>
      <c r="AU679" s="926"/>
      <c r="AV679" s="926"/>
      <c r="AW679" s="926"/>
      <c r="AX679" s="926"/>
      <c r="AY679" s="926"/>
      <c r="AZ679" s="926"/>
      <c r="BA679" s="926"/>
      <c r="BB679" s="927"/>
    </row>
    <row r="680" spans="1:54" x14ac:dyDescent="0.25">
      <c r="A680" s="13">
        <f t="shared" si="10"/>
        <v>667</v>
      </c>
      <c r="B680" s="888" t="str">
        <f>'refer admin discharge'!B676</f>
        <v>x</v>
      </c>
      <c r="C680" s="888"/>
      <c r="D680" s="868" t="str">
        <f>'refer admin discharge'!D676</f>
        <v>xx</v>
      </c>
      <c r="E680" s="868"/>
      <c r="F680" s="891" t="str">
        <f>'refer admin discharge'!H676</f>
        <v>00/00/0000</v>
      </c>
      <c r="G680" s="892"/>
      <c r="H680" s="894"/>
      <c r="I680" s="894"/>
      <c r="J680" s="918"/>
      <c r="K680" s="918"/>
      <c r="L680" s="894"/>
      <c r="M680" s="894"/>
      <c r="N680" s="916"/>
      <c r="O680" s="916"/>
      <c r="P680" s="894"/>
      <c r="Q680" s="894"/>
      <c r="R680" s="916"/>
      <c r="S680" s="916"/>
      <c r="T680" s="894"/>
      <c r="U680" s="894"/>
      <c r="V680" s="921" t="str">
        <f>'refer admin discharge'!H681</f>
        <v>00/00/0000</v>
      </c>
      <c r="W680" s="922"/>
      <c r="X680" s="920"/>
      <c r="Y680" s="920"/>
      <c r="Z680" s="919"/>
      <c r="AA680" s="919"/>
      <c r="AB680" s="920"/>
      <c r="AC680" s="920"/>
      <c r="AD680" s="912"/>
      <c r="AE680" s="912"/>
      <c r="AF680" s="920"/>
      <c r="AG680" s="920"/>
      <c r="AH680" s="912"/>
      <c r="AI680" s="912"/>
      <c r="AJ680" s="920"/>
      <c r="AK680" s="920"/>
      <c r="AL680" s="905"/>
      <c r="AM680" s="906"/>
      <c r="AN680" s="906"/>
      <c r="AO680" s="906"/>
      <c r="AP680" s="906"/>
      <c r="AQ680" s="906"/>
      <c r="AR680" s="906"/>
      <c r="AS680" s="906"/>
      <c r="AT680" s="906"/>
      <c r="AU680" s="906"/>
      <c r="AV680" s="906"/>
      <c r="AW680" s="906"/>
      <c r="AX680" s="906"/>
      <c r="AY680" s="906"/>
      <c r="AZ680" s="906"/>
      <c r="BA680" s="906"/>
      <c r="BB680" s="907"/>
    </row>
    <row r="681" spans="1:54" x14ac:dyDescent="0.25">
      <c r="A681" s="13">
        <f t="shared" si="10"/>
        <v>668</v>
      </c>
      <c r="B681" s="914" t="str">
        <f>'refer admin discharge'!B677</f>
        <v>x</v>
      </c>
      <c r="C681" s="914"/>
      <c r="D681" s="889" t="str">
        <f>'refer admin discharge'!D677</f>
        <v>xx</v>
      </c>
      <c r="E681" s="889"/>
      <c r="F681" s="915" t="str">
        <f>'refer admin discharge'!H677</f>
        <v>00/00/0000</v>
      </c>
      <c r="G681" s="890"/>
      <c r="H681" s="916"/>
      <c r="I681" s="916"/>
      <c r="J681" s="917"/>
      <c r="K681" s="917"/>
      <c r="L681" s="916"/>
      <c r="M681" s="916"/>
      <c r="N681" s="893"/>
      <c r="O681" s="893"/>
      <c r="P681" s="916"/>
      <c r="Q681" s="916"/>
      <c r="R681" s="893"/>
      <c r="S681" s="893"/>
      <c r="T681" s="916"/>
      <c r="U681" s="916"/>
      <c r="V681" s="921" t="str">
        <f>'refer admin discharge'!H682</f>
        <v>00/00/0000</v>
      </c>
      <c r="W681" s="922"/>
      <c r="X681" s="912"/>
      <c r="Y681" s="912"/>
      <c r="Z681" s="924"/>
      <c r="AA681" s="924"/>
      <c r="AB681" s="912"/>
      <c r="AC681" s="912"/>
      <c r="AD681" s="913"/>
      <c r="AE681" s="913"/>
      <c r="AF681" s="912"/>
      <c r="AG681" s="912"/>
      <c r="AH681" s="913"/>
      <c r="AI681" s="913"/>
      <c r="AJ681" s="912"/>
      <c r="AK681" s="912"/>
      <c r="AL681" s="925"/>
      <c r="AM681" s="926"/>
      <c r="AN681" s="926"/>
      <c r="AO681" s="926"/>
      <c r="AP681" s="926"/>
      <c r="AQ681" s="926"/>
      <c r="AR681" s="926"/>
      <c r="AS681" s="926"/>
      <c r="AT681" s="926"/>
      <c r="AU681" s="926"/>
      <c r="AV681" s="926"/>
      <c r="AW681" s="926"/>
      <c r="AX681" s="926"/>
      <c r="AY681" s="926"/>
      <c r="AZ681" s="926"/>
      <c r="BA681" s="926"/>
      <c r="BB681" s="927"/>
    </row>
    <row r="682" spans="1:54" x14ac:dyDescent="0.25">
      <c r="A682" s="13">
        <f t="shared" si="10"/>
        <v>669</v>
      </c>
      <c r="B682" s="888" t="str">
        <f>'refer admin discharge'!B678</f>
        <v>x</v>
      </c>
      <c r="C682" s="888"/>
      <c r="D682" s="868" t="str">
        <f>'refer admin discharge'!D678</f>
        <v>xx</v>
      </c>
      <c r="E682" s="868"/>
      <c r="F682" s="891" t="str">
        <f>'refer admin discharge'!H678</f>
        <v>00/00/0000</v>
      </c>
      <c r="G682" s="892"/>
      <c r="H682" s="894"/>
      <c r="I682" s="894"/>
      <c r="J682" s="918"/>
      <c r="K682" s="918"/>
      <c r="L682" s="894"/>
      <c r="M682" s="894"/>
      <c r="N682" s="916"/>
      <c r="O682" s="916"/>
      <c r="P682" s="894"/>
      <c r="Q682" s="894"/>
      <c r="R682" s="916"/>
      <c r="S682" s="916"/>
      <c r="T682" s="894"/>
      <c r="U682" s="894"/>
      <c r="V682" s="921" t="str">
        <f>'refer admin discharge'!H683</f>
        <v>00/00/0000</v>
      </c>
      <c r="W682" s="922"/>
      <c r="X682" s="920"/>
      <c r="Y682" s="920"/>
      <c r="Z682" s="919"/>
      <c r="AA682" s="919"/>
      <c r="AB682" s="920"/>
      <c r="AC682" s="920"/>
      <c r="AD682" s="912"/>
      <c r="AE682" s="912"/>
      <c r="AF682" s="920"/>
      <c r="AG682" s="920"/>
      <c r="AH682" s="912"/>
      <c r="AI682" s="912"/>
      <c r="AJ682" s="920"/>
      <c r="AK682" s="920"/>
      <c r="AL682" s="905"/>
      <c r="AM682" s="906"/>
      <c r="AN682" s="906"/>
      <c r="AO682" s="906"/>
      <c r="AP682" s="906"/>
      <c r="AQ682" s="906"/>
      <c r="AR682" s="906"/>
      <c r="AS682" s="906"/>
      <c r="AT682" s="906"/>
      <c r="AU682" s="906"/>
      <c r="AV682" s="906"/>
      <c r="AW682" s="906"/>
      <c r="AX682" s="906"/>
      <c r="AY682" s="906"/>
      <c r="AZ682" s="906"/>
      <c r="BA682" s="906"/>
      <c r="BB682" s="907"/>
    </row>
    <row r="683" spans="1:54" x14ac:dyDescent="0.25">
      <c r="A683" s="13">
        <f t="shared" si="10"/>
        <v>670</v>
      </c>
      <c r="B683" s="914" t="str">
        <f>'refer admin discharge'!B679</f>
        <v>x</v>
      </c>
      <c r="C683" s="914"/>
      <c r="D683" s="889" t="str">
        <f>'refer admin discharge'!D679</f>
        <v>xx</v>
      </c>
      <c r="E683" s="889"/>
      <c r="F683" s="915" t="str">
        <f>'refer admin discharge'!H679</f>
        <v>00/00/0000</v>
      </c>
      <c r="G683" s="890"/>
      <c r="H683" s="916"/>
      <c r="I683" s="916"/>
      <c r="J683" s="917"/>
      <c r="K683" s="917"/>
      <c r="L683" s="916"/>
      <c r="M683" s="916"/>
      <c r="N683" s="893"/>
      <c r="O683" s="893"/>
      <c r="P683" s="916"/>
      <c r="Q683" s="916"/>
      <c r="R683" s="893"/>
      <c r="S683" s="893"/>
      <c r="T683" s="916"/>
      <c r="U683" s="916"/>
      <c r="V683" s="921" t="str">
        <f>'refer admin discharge'!H684</f>
        <v>00/00/0000</v>
      </c>
      <c r="W683" s="922"/>
      <c r="X683" s="912"/>
      <c r="Y683" s="912"/>
      <c r="Z683" s="924"/>
      <c r="AA683" s="924"/>
      <c r="AB683" s="912"/>
      <c r="AC683" s="912"/>
      <c r="AD683" s="913"/>
      <c r="AE683" s="913"/>
      <c r="AF683" s="912"/>
      <c r="AG683" s="912"/>
      <c r="AH683" s="913"/>
      <c r="AI683" s="913"/>
      <c r="AJ683" s="912"/>
      <c r="AK683" s="912"/>
      <c r="AL683" s="925"/>
      <c r="AM683" s="926"/>
      <c r="AN683" s="926"/>
      <c r="AO683" s="926"/>
      <c r="AP683" s="926"/>
      <c r="AQ683" s="926"/>
      <c r="AR683" s="926"/>
      <c r="AS683" s="926"/>
      <c r="AT683" s="926"/>
      <c r="AU683" s="926"/>
      <c r="AV683" s="926"/>
      <c r="AW683" s="926"/>
      <c r="AX683" s="926"/>
      <c r="AY683" s="926"/>
      <c r="AZ683" s="926"/>
      <c r="BA683" s="926"/>
      <c r="BB683" s="927"/>
    </row>
    <row r="684" spans="1:54" x14ac:dyDescent="0.25">
      <c r="A684" s="13">
        <f t="shared" si="10"/>
        <v>671</v>
      </c>
      <c r="B684" s="888" t="str">
        <f>'refer admin discharge'!B680</f>
        <v>x</v>
      </c>
      <c r="C684" s="888"/>
      <c r="D684" s="868" t="str">
        <f>'refer admin discharge'!D680</f>
        <v>xx</v>
      </c>
      <c r="E684" s="868"/>
      <c r="F684" s="891" t="str">
        <f>'refer admin discharge'!H680</f>
        <v>00/00/0000</v>
      </c>
      <c r="G684" s="892"/>
      <c r="H684" s="894"/>
      <c r="I684" s="894"/>
      <c r="J684" s="918"/>
      <c r="K684" s="918"/>
      <c r="L684" s="894"/>
      <c r="M684" s="894"/>
      <c r="N684" s="916"/>
      <c r="O684" s="916"/>
      <c r="P684" s="894"/>
      <c r="Q684" s="894"/>
      <c r="R684" s="916"/>
      <c r="S684" s="916"/>
      <c r="T684" s="894"/>
      <c r="U684" s="894"/>
      <c r="V684" s="921" t="str">
        <f>'refer admin discharge'!H685</f>
        <v>00/00/0000</v>
      </c>
      <c r="W684" s="922"/>
      <c r="X684" s="920"/>
      <c r="Y684" s="920"/>
      <c r="Z684" s="919"/>
      <c r="AA684" s="919"/>
      <c r="AB684" s="920"/>
      <c r="AC684" s="920"/>
      <c r="AD684" s="912"/>
      <c r="AE684" s="912"/>
      <c r="AF684" s="920"/>
      <c r="AG684" s="920"/>
      <c r="AH684" s="912"/>
      <c r="AI684" s="912"/>
      <c r="AJ684" s="920"/>
      <c r="AK684" s="920"/>
      <c r="AL684" s="905"/>
      <c r="AM684" s="906"/>
      <c r="AN684" s="906"/>
      <c r="AO684" s="906"/>
      <c r="AP684" s="906"/>
      <c r="AQ684" s="906"/>
      <c r="AR684" s="906"/>
      <c r="AS684" s="906"/>
      <c r="AT684" s="906"/>
      <c r="AU684" s="906"/>
      <c r="AV684" s="906"/>
      <c r="AW684" s="906"/>
      <c r="AX684" s="906"/>
      <c r="AY684" s="906"/>
      <c r="AZ684" s="906"/>
      <c r="BA684" s="906"/>
      <c r="BB684" s="907"/>
    </row>
    <row r="685" spans="1:54" x14ac:dyDescent="0.25">
      <c r="A685" s="13">
        <f t="shared" si="10"/>
        <v>672</v>
      </c>
      <c r="B685" s="914" t="str">
        <f>'refer admin discharge'!B681</f>
        <v>x</v>
      </c>
      <c r="C685" s="914"/>
      <c r="D685" s="889" t="str">
        <f>'refer admin discharge'!D681</f>
        <v>xx</v>
      </c>
      <c r="E685" s="889"/>
      <c r="F685" s="915" t="str">
        <f>'refer admin discharge'!H681</f>
        <v>00/00/0000</v>
      </c>
      <c r="G685" s="890"/>
      <c r="H685" s="916"/>
      <c r="I685" s="916"/>
      <c r="J685" s="917"/>
      <c r="K685" s="917"/>
      <c r="L685" s="916"/>
      <c r="M685" s="916"/>
      <c r="N685" s="893"/>
      <c r="O685" s="893"/>
      <c r="P685" s="916"/>
      <c r="Q685" s="916"/>
      <c r="R685" s="893"/>
      <c r="S685" s="893"/>
      <c r="T685" s="916"/>
      <c r="U685" s="916"/>
      <c r="V685" s="921" t="str">
        <f>'refer admin discharge'!H686</f>
        <v>00/00/0000</v>
      </c>
      <c r="W685" s="922"/>
      <c r="X685" s="912"/>
      <c r="Y685" s="912"/>
      <c r="Z685" s="924"/>
      <c r="AA685" s="924"/>
      <c r="AB685" s="912"/>
      <c r="AC685" s="912"/>
      <c r="AD685" s="913"/>
      <c r="AE685" s="913"/>
      <c r="AF685" s="912"/>
      <c r="AG685" s="912"/>
      <c r="AH685" s="913"/>
      <c r="AI685" s="913"/>
      <c r="AJ685" s="912"/>
      <c r="AK685" s="912"/>
      <c r="AL685" s="925"/>
      <c r="AM685" s="926"/>
      <c r="AN685" s="926"/>
      <c r="AO685" s="926"/>
      <c r="AP685" s="926"/>
      <c r="AQ685" s="926"/>
      <c r="AR685" s="926"/>
      <c r="AS685" s="926"/>
      <c r="AT685" s="926"/>
      <c r="AU685" s="926"/>
      <c r="AV685" s="926"/>
      <c r="AW685" s="926"/>
      <c r="AX685" s="926"/>
      <c r="AY685" s="926"/>
      <c r="AZ685" s="926"/>
      <c r="BA685" s="926"/>
      <c r="BB685" s="927"/>
    </row>
    <row r="686" spans="1:54" x14ac:dyDescent="0.25">
      <c r="A686" s="13">
        <f t="shared" si="10"/>
        <v>673</v>
      </c>
      <c r="B686" s="888" t="str">
        <f>'refer admin discharge'!B682</f>
        <v>x</v>
      </c>
      <c r="C686" s="888"/>
      <c r="D686" s="868" t="str">
        <f>'refer admin discharge'!D682</f>
        <v>xx</v>
      </c>
      <c r="E686" s="868"/>
      <c r="F686" s="891" t="str">
        <f>'refer admin discharge'!H682</f>
        <v>00/00/0000</v>
      </c>
      <c r="G686" s="892"/>
      <c r="H686" s="894"/>
      <c r="I686" s="894"/>
      <c r="J686" s="918"/>
      <c r="K686" s="918"/>
      <c r="L686" s="894"/>
      <c r="M686" s="894"/>
      <c r="N686" s="916"/>
      <c r="O686" s="916"/>
      <c r="P686" s="894"/>
      <c r="Q686" s="894"/>
      <c r="R686" s="916"/>
      <c r="S686" s="916"/>
      <c r="T686" s="894"/>
      <c r="U686" s="894"/>
      <c r="V686" s="921" t="str">
        <f>'refer admin discharge'!H687</f>
        <v>00/00/0000</v>
      </c>
      <c r="W686" s="922"/>
      <c r="X686" s="920"/>
      <c r="Y686" s="920"/>
      <c r="Z686" s="919"/>
      <c r="AA686" s="919"/>
      <c r="AB686" s="920"/>
      <c r="AC686" s="920"/>
      <c r="AD686" s="912"/>
      <c r="AE686" s="912"/>
      <c r="AF686" s="920"/>
      <c r="AG686" s="920"/>
      <c r="AH686" s="912"/>
      <c r="AI686" s="912"/>
      <c r="AJ686" s="920"/>
      <c r="AK686" s="920"/>
      <c r="AL686" s="905"/>
      <c r="AM686" s="906"/>
      <c r="AN686" s="906"/>
      <c r="AO686" s="906"/>
      <c r="AP686" s="906"/>
      <c r="AQ686" s="906"/>
      <c r="AR686" s="906"/>
      <c r="AS686" s="906"/>
      <c r="AT686" s="906"/>
      <c r="AU686" s="906"/>
      <c r="AV686" s="906"/>
      <c r="AW686" s="906"/>
      <c r="AX686" s="906"/>
      <c r="AY686" s="906"/>
      <c r="AZ686" s="906"/>
      <c r="BA686" s="906"/>
      <c r="BB686" s="907"/>
    </row>
    <row r="687" spans="1:54" x14ac:dyDescent="0.25">
      <c r="A687" s="13">
        <f t="shared" si="10"/>
        <v>674</v>
      </c>
      <c r="B687" s="914" t="str">
        <f>'refer admin discharge'!B683</f>
        <v>x</v>
      </c>
      <c r="C687" s="914"/>
      <c r="D687" s="889" t="str">
        <f>'refer admin discharge'!D683</f>
        <v>xx</v>
      </c>
      <c r="E687" s="889"/>
      <c r="F687" s="915" t="str">
        <f>'refer admin discharge'!H683</f>
        <v>00/00/0000</v>
      </c>
      <c r="G687" s="890"/>
      <c r="H687" s="916"/>
      <c r="I687" s="916"/>
      <c r="J687" s="917"/>
      <c r="K687" s="917"/>
      <c r="L687" s="916"/>
      <c r="M687" s="916"/>
      <c r="N687" s="893"/>
      <c r="O687" s="893"/>
      <c r="P687" s="916"/>
      <c r="Q687" s="916"/>
      <c r="R687" s="893"/>
      <c r="S687" s="893"/>
      <c r="T687" s="916"/>
      <c r="U687" s="916"/>
      <c r="V687" s="921" t="str">
        <f>'refer admin discharge'!H688</f>
        <v>00/00/0000</v>
      </c>
      <c r="W687" s="922"/>
      <c r="X687" s="912"/>
      <c r="Y687" s="912"/>
      <c r="Z687" s="924"/>
      <c r="AA687" s="924"/>
      <c r="AB687" s="912"/>
      <c r="AC687" s="912"/>
      <c r="AD687" s="913"/>
      <c r="AE687" s="913"/>
      <c r="AF687" s="912"/>
      <c r="AG687" s="912"/>
      <c r="AH687" s="913"/>
      <c r="AI687" s="913"/>
      <c r="AJ687" s="912"/>
      <c r="AK687" s="912"/>
      <c r="AL687" s="925"/>
      <c r="AM687" s="926"/>
      <c r="AN687" s="926"/>
      <c r="AO687" s="926"/>
      <c r="AP687" s="926"/>
      <c r="AQ687" s="926"/>
      <c r="AR687" s="926"/>
      <c r="AS687" s="926"/>
      <c r="AT687" s="926"/>
      <c r="AU687" s="926"/>
      <c r="AV687" s="926"/>
      <c r="AW687" s="926"/>
      <c r="AX687" s="926"/>
      <c r="AY687" s="926"/>
      <c r="AZ687" s="926"/>
      <c r="BA687" s="926"/>
      <c r="BB687" s="927"/>
    </row>
    <row r="688" spans="1:54" x14ac:dyDescent="0.25">
      <c r="A688" s="13">
        <f t="shared" si="10"/>
        <v>675</v>
      </c>
      <c r="B688" s="888" t="str">
        <f>'refer admin discharge'!B684</f>
        <v>x</v>
      </c>
      <c r="C688" s="888"/>
      <c r="D688" s="868" t="str">
        <f>'refer admin discharge'!D684</f>
        <v>xx</v>
      </c>
      <c r="E688" s="868"/>
      <c r="F688" s="891" t="str">
        <f>'refer admin discharge'!H684</f>
        <v>00/00/0000</v>
      </c>
      <c r="G688" s="892"/>
      <c r="H688" s="894"/>
      <c r="I688" s="894"/>
      <c r="J688" s="918"/>
      <c r="K688" s="918"/>
      <c r="L688" s="894"/>
      <c r="M688" s="894"/>
      <c r="N688" s="916"/>
      <c r="O688" s="916"/>
      <c r="P688" s="894"/>
      <c r="Q688" s="894"/>
      <c r="R688" s="916"/>
      <c r="S688" s="916"/>
      <c r="T688" s="894"/>
      <c r="U688" s="894"/>
      <c r="V688" s="921" t="str">
        <f>'refer admin discharge'!H689</f>
        <v>00/00/0000</v>
      </c>
      <c r="W688" s="922"/>
      <c r="X688" s="920"/>
      <c r="Y688" s="920"/>
      <c r="Z688" s="919"/>
      <c r="AA688" s="919"/>
      <c r="AB688" s="920"/>
      <c r="AC688" s="920"/>
      <c r="AD688" s="912"/>
      <c r="AE688" s="912"/>
      <c r="AF688" s="920"/>
      <c r="AG688" s="920"/>
      <c r="AH688" s="912"/>
      <c r="AI688" s="912"/>
      <c r="AJ688" s="920"/>
      <c r="AK688" s="920"/>
      <c r="AL688" s="905"/>
      <c r="AM688" s="906"/>
      <c r="AN688" s="906"/>
      <c r="AO688" s="906"/>
      <c r="AP688" s="906"/>
      <c r="AQ688" s="906"/>
      <c r="AR688" s="906"/>
      <c r="AS688" s="906"/>
      <c r="AT688" s="906"/>
      <c r="AU688" s="906"/>
      <c r="AV688" s="906"/>
      <c r="AW688" s="906"/>
      <c r="AX688" s="906"/>
      <c r="AY688" s="906"/>
      <c r="AZ688" s="906"/>
      <c r="BA688" s="906"/>
      <c r="BB688" s="907"/>
    </row>
    <row r="689" spans="1:54" x14ac:dyDescent="0.25">
      <c r="A689" s="13">
        <f t="shared" si="10"/>
        <v>676</v>
      </c>
      <c r="B689" s="914" t="str">
        <f>'refer admin discharge'!B685</f>
        <v>x</v>
      </c>
      <c r="C689" s="914"/>
      <c r="D689" s="889" t="str">
        <f>'refer admin discharge'!D685</f>
        <v>xx</v>
      </c>
      <c r="E689" s="889"/>
      <c r="F689" s="915" t="str">
        <f>'refer admin discharge'!H685</f>
        <v>00/00/0000</v>
      </c>
      <c r="G689" s="890"/>
      <c r="H689" s="916"/>
      <c r="I689" s="916"/>
      <c r="J689" s="917"/>
      <c r="K689" s="917"/>
      <c r="L689" s="916"/>
      <c r="M689" s="916"/>
      <c r="N689" s="893"/>
      <c r="O689" s="893"/>
      <c r="P689" s="916"/>
      <c r="Q689" s="916"/>
      <c r="R689" s="893"/>
      <c r="S689" s="893"/>
      <c r="T689" s="916"/>
      <c r="U689" s="916"/>
      <c r="V689" s="921" t="str">
        <f>'refer admin discharge'!H690</f>
        <v>00/00/0000</v>
      </c>
      <c r="W689" s="922"/>
      <c r="X689" s="912"/>
      <c r="Y689" s="912"/>
      <c r="Z689" s="924"/>
      <c r="AA689" s="924"/>
      <c r="AB689" s="912"/>
      <c r="AC689" s="912"/>
      <c r="AD689" s="913"/>
      <c r="AE689" s="913"/>
      <c r="AF689" s="912"/>
      <c r="AG689" s="912"/>
      <c r="AH689" s="913"/>
      <c r="AI689" s="913"/>
      <c r="AJ689" s="912"/>
      <c r="AK689" s="912"/>
      <c r="AL689" s="925"/>
      <c r="AM689" s="926"/>
      <c r="AN689" s="926"/>
      <c r="AO689" s="926"/>
      <c r="AP689" s="926"/>
      <c r="AQ689" s="926"/>
      <c r="AR689" s="926"/>
      <c r="AS689" s="926"/>
      <c r="AT689" s="926"/>
      <c r="AU689" s="926"/>
      <c r="AV689" s="926"/>
      <c r="AW689" s="926"/>
      <c r="AX689" s="926"/>
      <c r="AY689" s="926"/>
      <c r="AZ689" s="926"/>
      <c r="BA689" s="926"/>
      <c r="BB689" s="927"/>
    </row>
    <row r="690" spans="1:54" x14ac:dyDescent="0.25">
      <c r="A690" s="13">
        <f t="shared" si="10"/>
        <v>677</v>
      </c>
      <c r="B690" s="888" t="str">
        <f>'refer admin discharge'!B686</f>
        <v>x</v>
      </c>
      <c r="C690" s="888"/>
      <c r="D690" s="868" t="str">
        <f>'refer admin discharge'!D686</f>
        <v>xx</v>
      </c>
      <c r="E690" s="868"/>
      <c r="F690" s="891" t="str">
        <f>'refer admin discharge'!H686</f>
        <v>00/00/0000</v>
      </c>
      <c r="G690" s="892"/>
      <c r="H690" s="894"/>
      <c r="I690" s="894"/>
      <c r="J690" s="918"/>
      <c r="K690" s="918"/>
      <c r="L690" s="894"/>
      <c r="M690" s="894"/>
      <c r="N690" s="916"/>
      <c r="O690" s="916"/>
      <c r="P690" s="894"/>
      <c r="Q690" s="894"/>
      <c r="R690" s="916"/>
      <c r="S690" s="916"/>
      <c r="T690" s="894"/>
      <c r="U690" s="894"/>
      <c r="V690" s="921" t="str">
        <f>'refer admin discharge'!H691</f>
        <v>00/00/0000</v>
      </c>
      <c r="W690" s="922"/>
      <c r="X690" s="920"/>
      <c r="Y690" s="920"/>
      <c r="Z690" s="919"/>
      <c r="AA690" s="919"/>
      <c r="AB690" s="920"/>
      <c r="AC690" s="920"/>
      <c r="AD690" s="912"/>
      <c r="AE690" s="912"/>
      <c r="AF690" s="920"/>
      <c r="AG690" s="920"/>
      <c r="AH690" s="912"/>
      <c r="AI690" s="912"/>
      <c r="AJ690" s="920"/>
      <c r="AK690" s="920"/>
      <c r="AL690" s="905"/>
      <c r="AM690" s="906"/>
      <c r="AN690" s="906"/>
      <c r="AO690" s="906"/>
      <c r="AP690" s="906"/>
      <c r="AQ690" s="906"/>
      <c r="AR690" s="906"/>
      <c r="AS690" s="906"/>
      <c r="AT690" s="906"/>
      <c r="AU690" s="906"/>
      <c r="AV690" s="906"/>
      <c r="AW690" s="906"/>
      <c r="AX690" s="906"/>
      <c r="AY690" s="906"/>
      <c r="AZ690" s="906"/>
      <c r="BA690" s="906"/>
      <c r="BB690" s="907"/>
    </row>
    <row r="691" spans="1:54" x14ac:dyDescent="0.25">
      <c r="A691" s="13">
        <f t="shared" si="10"/>
        <v>678</v>
      </c>
      <c r="B691" s="914" t="str">
        <f>'refer admin discharge'!B687</f>
        <v>x</v>
      </c>
      <c r="C691" s="914"/>
      <c r="D691" s="889" t="str">
        <f>'refer admin discharge'!D687</f>
        <v>xx</v>
      </c>
      <c r="E691" s="889"/>
      <c r="F691" s="915" t="str">
        <f>'refer admin discharge'!H687</f>
        <v>00/00/0000</v>
      </c>
      <c r="G691" s="890"/>
      <c r="H691" s="916"/>
      <c r="I691" s="916"/>
      <c r="J691" s="917"/>
      <c r="K691" s="917"/>
      <c r="L691" s="916"/>
      <c r="M691" s="916"/>
      <c r="N691" s="893"/>
      <c r="O691" s="893"/>
      <c r="P691" s="916"/>
      <c r="Q691" s="916"/>
      <c r="R691" s="893"/>
      <c r="S691" s="893"/>
      <c r="T691" s="916"/>
      <c r="U691" s="916"/>
      <c r="V691" s="921" t="str">
        <f>'refer admin discharge'!H692</f>
        <v>00/00/0000</v>
      </c>
      <c r="W691" s="922"/>
      <c r="X691" s="912"/>
      <c r="Y691" s="912"/>
      <c r="Z691" s="924"/>
      <c r="AA691" s="924"/>
      <c r="AB691" s="912"/>
      <c r="AC691" s="912"/>
      <c r="AD691" s="913"/>
      <c r="AE691" s="913"/>
      <c r="AF691" s="912"/>
      <c r="AG691" s="912"/>
      <c r="AH691" s="913"/>
      <c r="AI691" s="913"/>
      <c r="AJ691" s="912"/>
      <c r="AK691" s="912"/>
      <c r="AL691" s="925"/>
      <c r="AM691" s="926"/>
      <c r="AN691" s="926"/>
      <c r="AO691" s="926"/>
      <c r="AP691" s="926"/>
      <c r="AQ691" s="926"/>
      <c r="AR691" s="926"/>
      <c r="AS691" s="926"/>
      <c r="AT691" s="926"/>
      <c r="AU691" s="926"/>
      <c r="AV691" s="926"/>
      <c r="AW691" s="926"/>
      <c r="AX691" s="926"/>
      <c r="AY691" s="926"/>
      <c r="AZ691" s="926"/>
      <c r="BA691" s="926"/>
      <c r="BB691" s="927"/>
    </row>
    <row r="692" spans="1:54" x14ac:dyDescent="0.25">
      <c r="A692" s="13">
        <f t="shared" si="10"/>
        <v>679</v>
      </c>
      <c r="B692" s="888" t="str">
        <f>'refer admin discharge'!B688</f>
        <v>x</v>
      </c>
      <c r="C692" s="888"/>
      <c r="D692" s="868" t="str">
        <f>'refer admin discharge'!D688</f>
        <v>xx</v>
      </c>
      <c r="E692" s="868"/>
      <c r="F692" s="891" t="str">
        <f>'refer admin discharge'!H688</f>
        <v>00/00/0000</v>
      </c>
      <c r="G692" s="892"/>
      <c r="H692" s="894"/>
      <c r="I692" s="894"/>
      <c r="J692" s="918"/>
      <c r="K692" s="918"/>
      <c r="L692" s="894"/>
      <c r="M692" s="894"/>
      <c r="N692" s="916"/>
      <c r="O692" s="916"/>
      <c r="P692" s="894"/>
      <c r="Q692" s="894"/>
      <c r="R692" s="916"/>
      <c r="S692" s="916"/>
      <c r="T692" s="894"/>
      <c r="U692" s="894"/>
      <c r="V692" s="921" t="str">
        <f>'refer admin discharge'!H693</f>
        <v>00/00/0000</v>
      </c>
      <c r="W692" s="922"/>
      <c r="X692" s="920"/>
      <c r="Y692" s="920"/>
      <c r="Z692" s="919"/>
      <c r="AA692" s="919"/>
      <c r="AB692" s="920"/>
      <c r="AC692" s="920"/>
      <c r="AD692" s="912"/>
      <c r="AE692" s="912"/>
      <c r="AF692" s="920"/>
      <c r="AG692" s="920"/>
      <c r="AH692" s="912"/>
      <c r="AI692" s="912"/>
      <c r="AJ692" s="920"/>
      <c r="AK692" s="920"/>
      <c r="AL692" s="905"/>
      <c r="AM692" s="906"/>
      <c r="AN692" s="906"/>
      <c r="AO692" s="906"/>
      <c r="AP692" s="906"/>
      <c r="AQ692" s="906"/>
      <c r="AR692" s="906"/>
      <c r="AS692" s="906"/>
      <c r="AT692" s="906"/>
      <c r="AU692" s="906"/>
      <c r="AV692" s="906"/>
      <c r="AW692" s="906"/>
      <c r="AX692" s="906"/>
      <c r="AY692" s="906"/>
      <c r="AZ692" s="906"/>
      <c r="BA692" s="906"/>
      <c r="BB692" s="907"/>
    </row>
    <row r="693" spans="1:54" x14ac:dyDescent="0.25">
      <c r="A693" s="13">
        <f t="shared" si="10"/>
        <v>680</v>
      </c>
      <c r="B693" s="914" t="str">
        <f>'refer admin discharge'!B689</f>
        <v>x</v>
      </c>
      <c r="C693" s="914"/>
      <c r="D693" s="889" t="str">
        <f>'refer admin discharge'!D689</f>
        <v>xx</v>
      </c>
      <c r="E693" s="889"/>
      <c r="F693" s="915" t="str">
        <f>'refer admin discharge'!H689</f>
        <v>00/00/0000</v>
      </c>
      <c r="G693" s="890"/>
      <c r="H693" s="916"/>
      <c r="I693" s="916"/>
      <c r="J693" s="917"/>
      <c r="K693" s="917"/>
      <c r="L693" s="916"/>
      <c r="M693" s="916"/>
      <c r="N693" s="893"/>
      <c r="O693" s="893"/>
      <c r="P693" s="916"/>
      <c r="Q693" s="916"/>
      <c r="R693" s="893"/>
      <c r="S693" s="893"/>
      <c r="T693" s="916"/>
      <c r="U693" s="916"/>
      <c r="V693" s="921" t="str">
        <f>'refer admin discharge'!H694</f>
        <v>00/00/0000</v>
      </c>
      <c r="W693" s="922"/>
      <c r="X693" s="912"/>
      <c r="Y693" s="912"/>
      <c r="Z693" s="924"/>
      <c r="AA693" s="924"/>
      <c r="AB693" s="912"/>
      <c r="AC693" s="912"/>
      <c r="AD693" s="913"/>
      <c r="AE693" s="913"/>
      <c r="AF693" s="912"/>
      <c r="AG693" s="912"/>
      <c r="AH693" s="913"/>
      <c r="AI693" s="913"/>
      <c r="AJ693" s="912"/>
      <c r="AK693" s="912"/>
      <c r="AL693" s="925"/>
      <c r="AM693" s="926"/>
      <c r="AN693" s="926"/>
      <c r="AO693" s="926"/>
      <c r="AP693" s="926"/>
      <c r="AQ693" s="926"/>
      <c r="AR693" s="926"/>
      <c r="AS693" s="926"/>
      <c r="AT693" s="926"/>
      <c r="AU693" s="926"/>
      <c r="AV693" s="926"/>
      <c r="AW693" s="926"/>
      <c r="AX693" s="926"/>
      <c r="AY693" s="926"/>
      <c r="AZ693" s="926"/>
      <c r="BA693" s="926"/>
      <c r="BB693" s="927"/>
    </row>
    <row r="694" spans="1:54" x14ac:dyDescent="0.25">
      <c r="A694" s="13">
        <f t="shared" si="10"/>
        <v>681</v>
      </c>
      <c r="B694" s="888" t="str">
        <f>'refer admin discharge'!B690</f>
        <v>x</v>
      </c>
      <c r="C694" s="888"/>
      <c r="D694" s="868" t="str">
        <f>'refer admin discharge'!D690</f>
        <v>xx</v>
      </c>
      <c r="E694" s="868"/>
      <c r="F694" s="891" t="str">
        <f>'refer admin discharge'!H690</f>
        <v>00/00/0000</v>
      </c>
      <c r="G694" s="892"/>
      <c r="H694" s="894"/>
      <c r="I694" s="894"/>
      <c r="J694" s="918"/>
      <c r="K694" s="918"/>
      <c r="L694" s="894"/>
      <c r="M694" s="894"/>
      <c r="N694" s="916"/>
      <c r="O694" s="916"/>
      <c r="P694" s="894"/>
      <c r="Q694" s="894"/>
      <c r="R694" s="916"/>
      <c r="S694" s="916"/>
      <c r="T694" s="894"/>
      <c r="U694" s="894"/>
      <c r="V694" s="921" t="str">
        <f>'refer admin discharge'!H695</f>
        <v>00/00/0000</v>
      </c>
      <c r="W694" s="922"/>
      <c r="X694" s="920"/>
      <c r="Y694" s="920"/>
      <c r="Z694" s="919"/>
      <c r="AA694" s="919"/>
      <c r="AB694" s="920"/>
      <c r="AC694" s="920"/>
      <c r="AD694" s="912"/>
      <c r="AE694" s="912"/>
      <c r="AF694" s="920"/>
      <c r="AG694" s="920"/>
      <c r="AH694" s="912"/>
      <c r="AI694" s="912"/>
      <c r="AJ694" s="920"/>
      <c r="AK694" s="920"/>
      <c r="AL694" s="905"/>
      <c r="AM694" s="906"/>
      <c r="AN694" s="906"/>
      <c r="AO694" s="906"/>
      <c r="AP694" s="906"/>
      <c r="AQ694" s="906"/>
      <c r="AR694" s="906"/>
      <c r="AS694" s="906"/>
      <c r="AT694" s="906"/>
      <c r="AU694" s="906"/>
      <c r="AV694" s="906"/>
      <c r="AW694" s="906"/>
      <c r="AX694" s="906"/>
      <c r="AY694" s="906"/>
      <c r="AZ694" s="906"/>
      <c r="BA694" s="906"/>
      <c r="BB694" s="907"/>
    </row>
    <row r="695" spans="1:54" x14ac:dyDescent="0.25">
      <c r="A695" s="13">
        <f t="shared" si="10"/>
        <v>682</v>
      </c>
      <c r="B695" s="914" t="str">
        <f>'refer admin discharge'!B691</f>
        <v>x</v>
      </c>
      <c r="C695" s="914"/>
      <c r="D695" s="889" t="str">
        <f>'refer admin discharge'!D691</f>
        <v>xx</v>
      </c>
      <c r="E695" s="889"/>
      <c r="F695" s="915" t="str">
        <f>'refer admin discharge'!H691</f>
        <v>00/00/0000</v>
      </c>
      <c r="G695" s="890"/>
      <c r="H695" s="916"/>
      <c r="I695" s="916"/>
      <c r="J695" s="917"/>
      <c r="K695" s="917"/>
      <c r="L695" s="916"/>
      <c r="M695" s="916"/>
      <c r="N695" s="893"/>
      <c r="O695" s="893"/>
      <c r="P695" s="916"/>
      <c r="Q695" s="916"/>
      <c r="R695" s="893"/>
      <c r="S695" s="893"/>
      <c r="T695" s="916"/>
      <c r="U695" s="916"/>
      <c r="V695" s="921" t="str">
        <f>'refer admin discharge'!H696</f>
        <v>00/00/0000</v>
      </c>
      <c r="W695" s="922"/>
      <c r="X695" s="912"/>
      <c r="Y695" s="912"/>
      <c r="Z695" s="924"/>
      <c r="AA695" s="924"/>
      <c r="AB695" s="912"/>
      <c r="AC695" s="912"/>
      <c r="AD695" s="913"/>
      <c r="AE695" s="913"/>
      <c r="AF695" s="912"/>
      <c r="AG695" s="912"/>
      <c r="AH695" s="913"/>
      <c r="AI695" s="913"/>
      <c r="AJ695" s="912"/>
      <c r="AK695" s="912"/>
      <c r="AL695" s="925"/>
      <c r="AM695" s="926"/>
      <c r="AN695" s="926"/>
      <c r="AO695" s="926"/>
      <c r="AP695" s="926"/>
      <c r="AQ695" s="926"/>
      <c r="AR695" s="926"/>
      <c r="AS695" s="926"/>
      <c r="AT695" s="926"/>
      <c r="AU695" s="926"/>
      <c r="AV695" s="926"/>
      <c r="AW695" s="926"/>
      <c r="AX695" s="926"/>
      <c r="AY695" s="926"/>
      <c r="AZ695" s="926"/>
      <c r="BA695" s="926"/>
      <c r="BB695" s="927"/>
    </row>
    <row r="696" spans="1:54" x14ac:dyDescent="0.25">
      <c r="A696" s="13">
        <f t="shared" si="10"/>
        <v>683</v>
      </c>
      <c r="B696" s="888" t="str">
        <f>'refer admin discharge'!B692</f>
        <v>x</v>
      </c>
      <c r="C696" s="888"/>
      <c r="D696" s="868" t="str">
        <f>'refer admin discharge'!D692</f>
        <v>xx</v>
      </c>
      <c r="E696" s="868"/>
      <c r="F696" s="891" t="str">
        <f>'refer admin discharge'!H692</f>
        <v>00/00/0000</v>
      </c>
      <c r="G696" s="892"/>
      <c r="H696" s="894"/>
      <c r="I696" s="894"/>
      <c r="J696" s="918"/>
      <c r="K696" s="918"/>
      <c r="L696" s="894"/>
      <c r="M696" s="894"/>
      <c r="N696" s="916"/>
      <c r="O696" s="916"/>
      <c r="P696" s="894"/>
      <c r="Q696" s="894"/>
      <c r="R696" s="916"/>
      <c r="S696" s="916"/>
      <c r="T696" s="894"/>
      <c r="U696" s="894"/>
      <c r="V696" s="921" t="str">
        <f>'refer admin discharge'!H697</f>
        <v>00/00/0000</v>
      </c>
      <c r="W696" s="922"/>
      <c r="X696" s="920"/>
      <c r="Y696" s="920"/>
      <c r="Z696" s="919"/>
      <c r="AA696" s="919"/>
      <c r="AB696" s="920"/>
      <c r="AC696" s="920"/>
      <c r="AD696" s="912"/>
      <c r="AE696" s="912"/>
      <c r="AF696" s="920"/>
      <c r="AG696" s="920"/>
      <c r="AH696" s="912"/>
      <c r="AI696" s="912"/>
      <c r="AJ696" s="920"/>
      <c r="AK696" s="920"/>
      <c r="AL696" s="905"/>
      <c r="AM696" s="906"/>
      <c r="AN696" s="906"/>
      <c r="AO696" s="906"/>
      <c r="AP696" s="906"/>
      <c r="AQ696" s="906"/>
      <c r="AR696" s="906"/>
      <c r="AS696" s="906"/>
      <c r="AT696" s="906"/>
      <c r="AU696" s="906"/>
      <c r="AV696" s="906"/>
      <c r="AW696" s="906"/>
      <c r="AX696" s="906"/>
      <c r="AY696" s="906"/>
      <c r="AZ696" s="906"/>
      <c r="BA696" s="906"/>
      <c r="BB696" s="907"/>
    </row>
    <row r="697" spans="1:54" x14ac:dyDescent="0.25">
      <c r="A697" s="13">
        <f t="shared" si="10"/>
        <v>684</v>
      </c>
      <c r="B697" s="914" t="str">
        <f>'refer admin discharge'!B693</f>
        <v>x</v>
      </c>
      <c r="C697" s="914"/>
      <c r="D697" s="889" t="str">
        <f>'refer admin discharge'!D693</f>
        <v>xx</v>
      </c>
      <c r="E697" s="889"/>
      <c r="F697" s="915" t="str">
        <f>'refer admin discharge'!H693</f>
        <v>00/00/0000</v>
      </c>
      <c r="G697" s="890"/>
      <c r="H697" s="916"/>
      <c r="I697" s="916"/>
      <c r="J697" s="917"/>
      <c r="K697" s="917"/>
      <c r="L697" s="916"/>
      <c r="M697" s="916"/>
      <c r="N697" s="893"/>
      <c r="O697" s="893"/>
      <c r="P697" s="916"/>
      <c r="Q697" s="916"/>
      <c r="R697" s="893"/>
      <c r="S697" s="893"/>
      <c r="T697" s="916"/>
      <c r="U697" s="916"/>
      <c r="V697" s="921" t="str">
        <f>'refer admin discharge'!H698</f>
        <v>00/00/0000</v>
      </c>
      <c r="W697" s="922"/>
      <c r="X697" s="912"/>
      <c r="Y697" s="912"/>
      <c r="Z697" s="924"/>
      <c r="AA697" s="924"/>
      <c r="AB697" s="912"/>
      <c r="AC697" s="912"/>
      <c r="AD697" s="913"/>
      <c r="AE697" s="913"/>
      <c r="AF697" s="912"/>
      <c r="AG697" s="912"/>
      <c r="AH697" s="913"/>
      <c r="AI697" s="913"/>
      <c r="AJ697" s="912"/>
      <c r="AK697" s="912"/>
      <c r="AL697" s="925"/>
      <c r="AM697" s="926"/>
      <c r="AN697" s="926"/>
      <c r="AO697" s="926"/>
      <c r="AP697" s="926"/>
      <c r="AQ697" s="926"/>
      <c r="AR697" s="926"/>
      <c r="AS697" s="926"/>
      <c r="AT697" s="926"/>
      <c r="AU697" s="926"/>
      <c r="AV697" s="926"/>
      <c r="AW697" s="926"/>
      <c r="AX697" s="926"/>
      <c r="AY697" s="926"/>
      <c r="AZ697" s="926"/>
      <c r="BA697" s="926"/>
      <c r="BB697" s="927"/>
    </row>
    <row r="698" spans="1:54" x14ac:dyDescent="0.25">
      <c r="A698" s="13">
        <f t="shared" si="10"/>
        <v>685</v>
      </c>
      <c r="B698" s="888" t="str">
        <f>'refer admin discharge'!B694</f>
        <v>x</v>
      </c>
      <c r="C698" s="888"/>
      <c r="D698" s="868" t="str">
        <f>'refer admin discharge'!D694</f>
        <v>xx</v>
      </c>
      <c r="E698" s="868"/>
      <c r="F698" s="891" t="str">
        <f>'refer admin discharge'!H694</f>
        <v>00/00/0000</v>
      </c>
      <c r="G698" s="892"/>
      <c r="H698" s="894"/>
      <c r="I698" s="894"/>
      <c r="J698" s="918"/>
      <c r="K698" s="918"/>
      <c r="L698" s="894"/>
      <c r="M698" s="894"/>
      <c r="N698" s="916"/>
      <c r="O698" s="916"/>
      <c r="P698" s="894"/>
      <c r="Q698" s="894"/>
      <c r="R698" s="916"/>
      <c r="S698" s="916"/>
      <c r="T698" s="894"/>
      <c r="U698" s="894"/>
      <c r="V698" s="921" t="str">
        <f>'refer admin discharge'!H699</f>
        <v>00/00/0000</v>
      </c>
      <c r="W698" s="922"/>
      <c r="X698" s="920"/>
      <c r="Y698" s="920"/>
      <c r="Z698" s="919"/>
      <c r="AA698" s="919"/>
      <c r="AB698" s="920"/>
      <c r="AC698" s="920"/>
      <c r="AD698" s="912"/>
      <c r="AE698" s="912"/>
      <c r="AF698" s="920"/>
      <c r="AG698" s="920"/>
      <c r="AH698" s="912"/>
      <c r="AI698" s="912"/>
      <c r="AJ698" s="920"/>
      <c r="AK698" s="920"/>
      <c r="AL698" s="905"/>
      <c r="AM698" s="906"/>
      <c r="AN698" s="906"/>
      <c r="AO698" s="906"/>
      <c r="AP698" s="906"/>
      <c r="AQ698" s="906"/>
      <c r="AR698" s="906"/>
      <c r="AS698" s="906"/>
      <c r="AT698" s="906"/>
      <c r="AU698" s="906"/>
      <c r="AV698" s="906"/>
      <c r="AW698" s="906"/>
      <c r="AX698" s="906"/>
      <c r="AY698" s="906"/>
      <c r="AZ698" s="906"/>
      <c r="BA698" s="906"/>
      <c r="BB698" s="907"/>
    </row>
    <row r="699" spans="1:54" x14ac:dyDescent="0.25">
      <c r="A699" s="13">
        <f t="shared" si="10"/>
        <v>686</v>
      </c>
      <c r="B699" s="914" t="str">
        <f>'refer admin discharge'!B695</f>
        <v>x</v>
      </c>
      <c r="C699" s="914"/>
      <c r="D699" s="889" t="str">
        <f>'refer admin discharge'!D695</f>
        <v>xx</v>
      </c>
      <c r="E699" s="889"/>
      <c r="F699" s="915" t="str">
        <f>'refer admin discharge'!H695</f>
        <v>00/00/0000</v>
      </c>
      <c r="G699" s="890"/>
      <c r="H699" s="916"/>
      <c r="I699" s="916"/>
      <c r="J699" s="917"/>
      <c r="K699" s="917"/>
      <c r="L699" s="916"/>
      <c r="M699" s="916"/>
      <c r="N699" s="893"/>
      <c r="O699" s="893"/>
      <c r="P699" s="916"/>
      <c r="Q699" s="916"/>
      <c r="R699" s="893"/>
      <c r="S699" s="893"/>
      <c r="T699" s="916"/>
      <c r="U699" s="916"/>
      <c r="V699" s="921" t="str">
        <f>'refer admin discharge'!H700</f>
        <v>00/00/0000</v>
      </c>
      <c r="W699" s="922"/>
      <c r="X699" s="912"/>
      <c r="Y699" s="912"/>
      <c r="Z699" s="924"/>
      <c r="AA699" s="924"/>
      <c r="AB699" s="912"/>
      <c r="AC699" s="912"/>
      <c r="AD699" s="913"/>
      <c r="AE699" s="913"/>
      <c r="AF699" s="912"/>
      <c r="AG699" s="912"/>
      <c r="AH699" s="913"/>
      <c r="AI699" s="913"/>
      <c r="AJ699" s="912"/>
      <c r="AK699" s="912"/>
      <c r="AL699" s="925"/>
      <c r="AM699" s="926"/>
      <c r="AN699" s="926"/>
      <c r="AO699" s="926"/>
      <c r="AP699" s="926"/>
      <c r="AQ699" s="926"/>
      <c r="AR699" s="926"/>
      <c r="AS699" s="926"/>
      <c r="AT699" s="926"/>
      <c r="AU699" s="926"/>
      <c r="AV699" s="926"/>
      <c r="AW699" s="926"/>
      <c r="AX699" s="926"/>
      <c r="AY699" s="926"/>
      <c r="AZ699" s="926"/>
      <c r="BA699" s="926"/>
      <c r="BB699" s="927"/>
    </row>
    <row r="700" spans="1:54" x14ac:dyDescent="0.25">
      <c r="A700" s="13">
        <f t="shared" si="10"/>
        <v>687</v>
      </c>
      <c r="B700" s="888" t="str">
        <f>'refer admin discharge'!B696</f>
        <v>x</v>
      </c>
      <c r="C700" s="888"/>
      <c r="D700" s="868" t="str">
        <f>'refer admin discharge'!D696</f>
        <v>xx</v>
      </c>
      <c r="E700" s="868"/>
      <c r="F700" s="891" t="str">
        <f>'refer admin discharge'!H696</f>
        <v>00/00/0000</v>
      </c>
      <c r="G700" s="892"/>
      <c r="H700" s="894"/>
      <c r="I700" s="894"/>
      <c r="J700" s="918"/>
      <c r="K700" s="918"/>
      <c r="L700" s="894"/>
      <c r="M700" s="894"/>
      <c r="N700" s="916"/>
      <c r="O700" s="916"/>
      <c r="P700" s="894"/>
      <c r="Q700" s="894"/>
      <c r="R700" s="916"/>
      <c r="S700" s="916"/>
      <c r="T700" s="894"/>
      <c r="U700" s="894"/>
      <c r="V700" s="921" t="str">
        <f>'refer admin discharge'!H701</f>
        <v>00/00/0000</v>
      </c>
      <c r="W700" s="922"/>
      <c r="X700" s="920"/>
      <c r="Y700" s="920"/>
      <c r="Z700" s="919"/>
      <c r="AA700" s="919"/>
      <c r="AB700" s="920"/>
      <c r="AC700" s="920"/>
      <c r="AD700" s="912"/>
      <c r="AE700" s="912"/>
      <c r="AF700" s="920"/>
      <c r="AG700" s="920"/>
      <c r="AH700" s="912"/>
      <c r="AI700" s="912"/>
      <c r="AJ700" s="920"/>
      <c r="AK700" s="920"/>
      <c r="AL700" s="905"/>
      <c r="AM700" s="906"/>
      <c r="AN700" s="906"/>
      <c r="AO700" s="906"/>
      <c r="AP700" s="906"/>
      <c r="AQ700" s="906"/>
      <c r="AR700" s="906"/>
      <c r="AS700" s="906"/>
      <c r="AT700" s="906"/>
      <c r="AU700" s="906"/>
      <c r="AV700" s="906"/>
      <c r="AW700" s="906"/>
      <c r="AX700" s="906"/>
      <c r="AY700" s="906"/>
      <c r="AZ700" s="906"/>
      <c r="BA700" s="906"/>
      <c r="BB700" s="907"/>
    </row>
    <row r="701" spans="1:54" x14ac:dyDescent="0.25">
      <c r="A701" s="13">
        <f t="shared" si="10"/>
        <v>688</v>
      </c>
      <c r="B701" s="914" t="str">
        <f>'refer admin discharge'!B697</f>
        <v>x</v>
      </c>
      <c r="C701" s="914"/>
      <c r="D701" s="889" t="str">
        <f>'refer admin discharge'!D697</f>
        <v>xx</v>
      </c>
      <c r="E701" s="889"/>
      <c r="F701" s="915" t="str">
        <f>'refer admin discharge'!H697</f>
        <v>00/00/0000</v>
      </c>
      <c r="G701" s="890"/>
      <c r="H701" s="916"/>
      <c r="I701" s="916"/>
      <c r="J701" s="917"/>
      <c r="K701" s="917"/>
      <c r="L701" s="916"/>
      <c r="M701" s="916"/>
      <c r="N701" s="893"/>
      <c r="O701" s="893"/>
      <c r="P701" s="916"/>
      <c r="Q701" s="916"/>
      <c r="R701" s="893"/>
      <c r="S701" s="893"/>
      <c r="T701" s="916"/>
      <c r="U701" s="916"/>
      <c r="V701" s="921" t="str">
        <f>'refer admin discharge'!H702</f>
        <v>00/00/0000</v>
      </c>
      <c r="W701" s="922"/>
      <c r="X701" s="912"/>
      <c r="Y701" s="912"/>
      <c r="Z701" s="924"/>
      <c r="AA701" s="924"/>
      <c r="AB701" s="912"/>
      <c r="AC701" s="912"/>
      <c r="AD701" s="913"/>
      <c r="AE701" s="913"/>
      <c r="AF701" s="912"/>
      <c r="AG701" s="912"/>
      <c r="AH701" s="913"/>
      <c r="AI701" s="913"/>
      <c r="AJ701" s="912"/>
      <c r="AK701" s="912"/>
      <c r="AL701" s="925"/>
      <c r="AM701" s="926"/>
      <c r="AN701" s="926"/>
      <c r="AO701" s="926"/>
      <c r="AP701" s="926"/>
      <c r="AQ701" s="926"/>
      <c r="AR701" s="926"/>
      <c r="AS701" s="926"/>
      <c r="AT701" s="926"/>
      <c r="AU701" s="926"/>
      <c r="AV701" s="926"/>
      <c r="AW701" s="926"/>
      <c r="AX701" s="926"/>
      <c r="AY701" s="926"/>
      <c r="AZ701" s="926"/>
      <c r="BA701" s="926"/>
      <c r="BB701" s="927"/>
    </row>
    <row r="702" spans="1:54" x14ac:dyDescent="0.25">
      <c r="A702" s="13">
        <f t="shared" si="10"/>
        <v>689</v>
      </c>
      <c r="B702" s="888" t="str">
        <f>'refer admin discharge'!B698</f>
        <v>x</v>
      </c>
      <c r="C702" s="888"/>
      <c r="D702" s="868" t="str">
        <f>'refer admin discharge'!D698</f>
        <v>xx</v>
      </c>
      <c r="E702" s="868"/>
      <c r="F702" s="891" t="str">
        <f>'refer admin discharge'!H698</f>
        <v>00/00/0000</v>
      </c>
      <c r="G702" s="892"/>
      <c r="H702" s="894"/>
      <c r="I702" s="894"/>
      <c r="J702" s="918"/>
      <c r="K702" s="918"/>
      <c r="L702" s="894"/>
      <c r="M702" s="894"/>
      <c r="N702" s="916"/>
      <c r="O702" s="916"/>
      <c r="P702" s="894"/>
      <c r="Q702" s="894"/>
      <c r="R702" s="916"/>
      <c r="S702" s="916"/>
      <c r="T702" s="894"/>
      <c r="U702" s="894"/>
      <c r="V702" s="921" t="str">
        <f>'refer admin discharge'!H703</f>
        <v>00/00/0000</v>
      </c>
      <c r="W702" s="922"/>
      <c r="X702" s="920"/>
      <c r="Y702" s="920"/>
      <c r="Z702" s="919"/>
      <c r="AA702" s="919"/>
      <c r="AB702" s="920"/>
      <c r="AC702" s="920"/>
      <c r="AD702" s="912"/>
      <c r="AE702" s="912"/>
      <c r="AF702" s="920"/>
      <c r="AG702" s="920"/>
      <c r="AH702" s="912"/>
      <c r="AI702" s="912"/>
      <c r="AJ702" s="920"/>
      <c r="AK702" s="920"/>
      <c r="AL702" s="905"/>
      <c r="AM702" s="906"/>
      <c r="AN702" s="906"/>
      <c r="AO702" s="906"/>
      <c r="AP702" s="906"/>
      <c r="AQ702" s="906"/>
      <c r="AR702" s="906"/>
      <c r="AS702" s="906"/>
      <c r="AT702" s="906"/>
      <c r="AU702" s="906"/>
      <c r="AV702" s="906"/>
      <c r="AW702" s="906"/>
      <c r="AX702" s="906"/>
      <c r="AY702" s="906"/>
      <c r="AZ702" s="906"/>
      <c r="BA702" s="906"/>
      <c r="BB702" s="907"/>
    </row>
    <row r="703" spans="1:54" x14ac:dyDescent="0.25">
      <c r="A703" s="13">
        <f t="shared" si="10"/>
        <v>690</v>
      </c>
      <c r="B703" s="914" t="str">
        <f>'refer admin discharge'!B699</f>
        <v>x</v>
      </c>
      <c r="C703" s="914"/>
      <c r="D703" s="889" t="str">
        <f>'refer admin discharge'!D699</f>
        <v>xx</v>
      </c>
      <c r="E703" s="889"/>
      <c r="F703" s="915" t="str">
        <f>'refer admin discharge'!H699</f>
        <v>00/00/0000</v>
      </c>
      <c r="G703" s="890"/>
      <c r="H703" s="916"/>
      <c r="I703" s="916"/>
      <c r="J703" s="917"/>
      <c r="K703" s="917"/>
      <c r="L703" s="916"/>
      <c r="M703" s="916"/>
      <c r="N703" s="893"/>
      <c r="O703" s="893"/>
      <c r="P703" s="916"/>
      <c r="Q703" s="916"/>
      <c r="R703" s="893"/>
      <c r="S703" s="893"/>
      <c r="T703" s="916"/>
      <c r="U703" s="916"/>
      <c r="V703" s="921" t="str">
        <f>'refer admin discharge'!H704</f>
        <v>00/00/0000</v>
      </c>
      <c r="W703" s="922"/>
      <c r="X703" s="912"/>
      <c r="Y703" s="912"/>
      <c r="Z703" s="924"/>
      <c r="AA703" s="924"/>
      <c r="AB703" s="912"/>
      <c r="AC703" s="912"/>
      <c r="AD703" s="913"/>
      <c r="AE703" s="913"/>
      <c r="AF703" s="912"/>
      <c r="AG703" s="912"/>
      <c r="AH703" s="913"/>
      <c r="AI703" s="913"/>
      <c r="AJ703" s="912"/>
      <c r="AK703" s="912"/>
      <c r="AL703" s="925"/>
      <c r="AM703" s="926"/>
      <c r="AN703" s="926"/>
      <c r="AO703" s="926"/>
      <c r="AP703" s="926"/>
      <c r="AQ703" s="926"/>
      <c r="AR703" s="926"/>
      <c r="AS703" s="926"/>
      <c r="AT703" s="926"/>
      <c r="AU703" s="926"/>
      <c r="AV703" s="926"/>
      <c r="AW703" s="926"/>
      <c r="AX703" s="926"/>
      <c r="AY703" s="926"/>
      <c r="AZ703" s="926"/>
      <c r="BA703" s="926"/>
      <c r="BB703" s="927"/>
    </row>
    <row r="704" spans="1:54" x14ac:dyDescent="0.25">
      <c r="A704" s="13">
        <f t="shared" si="10"/>
        <v>691</v>
      </c>
      <c r="B704" s="888" t="str">
        <f>'refer admin discharge'!B700</f>
        <v>x</v>
      </c>
      <c r="C704" s="888"/>
      <c r="D704" s="868" t="str">
        <f>'refer admin discharge'!D700</f>
        <v>xx</v>
      </c>
      <c r="E704" s="868"/>
      <c r="F704" s="891" t="str">
        <f>'refer admin discharge'!H700</f>
        <v>00/00/0000</v>
      </c>
      <c r="G704" s="892"/>
      <c r="H704" s="894"/>
      <c r="I704" s="894"/>
      <c r="J704" s="918"/>
      <c r="K704" s="918"/>
      <c r="L704" s="894"/>
      <c r="M704" s="894"/>
      <c r="N704" s="916"/>
      <c r="O704" s="916"/>
      <c r="P704" s="894"/>
      <c r="Q704" s="894"/>
      <c r="R704" s="916"/>
      <c r="S704" s="916"/>
      <c r="T704" s="894"/>
      <c r="U704" s="894"/>
      <c r="V704" s="921" t="str">
        <f>'refer admin discharge'!H705</f>
        <v>00/00/0000</v>
      </c>
      <c r="W704" s="922"/>
      <c r="X704" s="920"/>
      <c r="Y704" s="920"/>
      <c r="Z704" s="919"/>
      <c r="AA704" s="919"/>
      <c r="AB704" s="920"/>
      <c r="AC704" s="920"/>
      <c r="AD704" s="912"/>
      <c r="AE704" s="912"/>
      <c r="AF704" s="920"/>
      <c r="AG704" s="920"/>
      <c r="AH704" s="912"/>
      <c r="AI704" s="912"/>
      <c r="AJ704" s="920"/>
      <c r="AK704" s="920"/>
      <c r="AL704" s="905"/>
      <c r="AM704" s="906"/>
      <c r="AN704" s="906"/>
      <c r="AO704" s="906"/>
      <c r="AP704" s="906"/>
      <c r="AQ704" s="906"/>
      <c r="AR704" s="906"/>
      <c r="AS704" s="906"/>
      <c r="AT704" s="906"/>
      <c r="AU704" s="906"/>
      <c r="AV704" s="906"/>
      <c r="AW704" s="906"/>
      <c r="AX704" s="906"/>
      <c r="AY704" s="906"/>
      <c r="AZ704" s="906"/>
      <c r="BA704" s="906"/>
      <c r="BB704" s="907"/>
    </row>
    <row r="705" spans="1:54" x14ac:dyDescent="0.25">
      <c r="A705" s="13">
        <f t="shared" si="10"/>
        <v>692</v>
      </c>
      <c r="B705" s="914" t="str">
        <f>'refer admin discharge'!B701</f>
        <v>x</v>
      </c>
      <c r="C705" s="914"/>
      <c r="D705" s="889" t="str">
        <f>'refer admin discharge'!D701</f>
        <v>xx</v>
      </c>
      <c r="E705" s="889"/>
      <c r="F705" s="915" t="str">
        <f>'refer admin discharge'!H701</f>
        <v>00/00/0000</v>
      </c>
      <c r="G705" s="890"/>
      <c r="H705" s="916"/>
      <c r="I705" s="916"/>
      <c r="J705" s="917"/>
      <c r="K705" s="917"/>
      <c r="L705" s="916"/>
      <c r="M705" s="916"/>
      <c r="N705" s="893"/>
      <c r="O705" s="893"/>
      <c r="P705" s="916"/>
      <c r="Q705" s="916"/>
      <c r="R705" s="893"/>
      <c r="S705" s="893"/>
      <c r="T705" s="916"/>
      <c r="U705" s="916"/>
      <c r="V705" s="921" t="str">
        <f>'refer admin discharge'!H706</f>
        <v>00/00/0000</v>
      </c>
      <c r="W705" s="922"/>
      <c r="X705" s="912"/>
      <c r="Y705" s="912"/>
      <c r="Z705" s="924"/>
      <c r="AA705" s="924"/>
      <c r="AB705" s="912"/>
      <c r="AC705" s="912"/>
      <c r="AD705" s="913"/>
      <c r="AE705" s="913"/>
      <c r="AF705" s="912"/>
      <c r="AG705" s="912"/>
      <c r="AH705" s="913"/>
      <c r="AI705" s="913"/>
      <c r="AJ705" s="912"/>
      <c r="AK705" s="912"/>
      <c r="AL705" s="925"/>
      <c r="AM705" s="926"/>
      <c r="AN705" s="926"/>
      <c r="AO705" s="926"/>
      <c r="AP705" s="926"/>
      <c r="AQ705" s="926"/>
      <c r="AR705" s="926"/>
      <c r="AS705" s="926"/>
      <c r="AT705" s="926"/>
      <c r="AU705" s="926"/>
      <c r="AV705" s="926"/>
      <c r="AW705" s="926"/>
      <c r="AX705" s="926"/>
      <c r="AY705" s="926"/>
      <c r="AZ705" s="926"/>
      <c r="BA705" s="926"/>
      <c r="BB705" s="927"/>
    </row>
    <row r="706" spans="1:54" x14ac:dyDescent="0.25">
      <c r="A706" s="13">
        <f t="shared" si="10"/>
        <v>693</v>
      </c>
      <c r="B706" s="888" t="str">
        <f>'refer admin discharge'!B702</f>
        <v>x</v>
      </c>
      <c r="C706" s="888"/>
      <c r="D706" s="868" t="str">
        <f>'refer admin discharge'!D702</f>
        <v>xx</v>
      </c>
      <c r="E706" s="868"/>
      <c r="F706" s="891" t="str">
        <f>'refer admin discharge'!H702</f>
        <v>00/00/0000</v>
      </c>
      <c r="G706" s="892"/>
      <c r="H706" s="894"/>
      <c r="I706" s="894"/>
      <c r="J706" s="918"/>
      <c r="K706" s="918"/>
      <c r="L706" s="894"/>
      <c r="M706" s="894"/>
      <c r="N706" s="916"/>
      <c r="O706" s="916"/>
      <c r="P706" s="894"/>
      <c r="Q706" s="894"/>
      <c r="R706" s="916"/>
      <c r="S706" s="916"/>
      <c r="T706" s="894"/>
      <c r="U706" s="894"/>
      <c r="V706" s="921" t="str">
        <f>'refer admin discharge'!H707</f>
        <v>00/00/0000</v>
      </c>
      <c r="W706" s="922"/>
      <c r="X706" s="920"/>
      <c r="Y706" s="920"/>
      <c r="Z706" s="919"/>
      <c r="AA706" s="919"/>
      <c r="AB706" s="920"/>
      <c r="AC706" s="920"/>
      <c r="AD706" s="912"/>
      <c r="AE706" s="912"/>
      <c r="AF706" s="920"/>
      <c r="AG706" s="920"/>
      <c r="AH706" s="912"/>
      <c r="AI706" s="912"/>
      <c r="AJ706" s="920"/>
      <c r="AK706" s="920"/>
      <c r="AL706" s="905"/>
      <c r="AM706" s="906"/>
      <c r="AN706" s="906"/>
      <c r="AO706" s="906"/>
      <c r="AP706" s="906"/>
      <c r="AQ706" s="906"/>
      <c r="AR706" s="906"/>
      <c r="AS706" s="906"/>
      <c r="AT706" s="906"/>
      <c r="AU706" s="906"/>
      <c r="AV706" s="906"/>
      <c r="AW706" s="906"/>
      <c r="AX706" s="906"/>
      <c r="AY706" s="906"/>
      <c r="AZ706" s="906"/>
      <c r="BA706" s="906"/>
      <c r="BB706" s="907"/>
    </row>
    <row r="707" spans="1:54" x14ac:dyDescent="0.25">
      <c r="A707" s="13">
        <f t="shared" si="10"/>
        <v>694</v>
      </c>
      <c r="B707" s="914" t="str">
        <f>'refer admin discharge'!B703</f>
        <v>x</v>
      </c>
      <c r="C707" s="914"/>
      <c r="D707" s="889" t="str">
        <f>'refer admin discharge'!D703</f>
        <v>xx</v>
      </c>
      <c r="E707" s="889"/>
      <c r="F707" s="915" t="str">
        <f>'refer admin discharge'!H703</f>
        <v>00/00/0000</v>
      </c>
      <c r="G707" s="890"/>
      <c r="H707" s="916"/>
      <c r="I707" s="916"/>
      <c r="J707" s="917"/>
      <c r="K707" s="917"/>
      <c r="L707" s="916"/>
      <c r="M707" s="916"/>
      <c r="N707" s="893"/>
      <c r="O707" s="893"/>
      <c r="P707" s="916"/>
      <c r="Q707" s="916"/>
      <c r="R707" s="893"/>
      <c r="S707" s="893"/>
      <c r="T707" s="916"/>
      <c r="U707" s="916"/>
      <c r="V707" s="921" t="str">
        <f>'refer admin discharge'!H708</f>
        <v>00/00/0000</v>
      </c>
      <c r="W707" s="922"/>
      <c r="X707" s="912"/>
      <c r="Y707" s="912"/>
      <c r="Z707" s="924"/>
      <c r="AA707" s="924"/>
      <c r="AB707" s="912"/>
      <c r="AC707" s="912"/>
      <c r="AD707" s="913"/>
      <c r="AE707" s="913"/>
      <c r="AF707" s="912"/>
      <c r="AG707" s="912"/>
      <c r="AH707" s="913"/>
      <c r="AI707" s="913"/>
      <c r="AJ707" s="912"/>
      <c r="AK707" s="912"/>
      <c r="AL707" s="925"/>
      <c r="AM707" s="926"/>
      <c r="AN707" s="926"/>
      <c r="AO707" s="926"/>
      <c r="AP707" s="926"/>
      <c r="AQ707" s="926"/>
      <c r="AR707" s="926"/>
      <c r="AS707" s="926"/>
      <c r="AT707" s="926"/>
      <c r="AU707" s="926"/>
      <c r="AV707" s="926"/>
      <c r="AW707" s="926"/>
      <c r="AX707" s="926"/>
      <c r="AY707" s="926"/>
      <c r="AZ707" s="926"/>
      <c r="BA707" s="926"/>
      <c r="BB707" s="927"/>
    </row>
    <row r="708" spans="1:54" x14ac:dyDescent="0.25">
      <c r="A708" s="13">
        <f t="shared" si="10"/>
        <v>695</v>
      </c>
      <c r="B708" s="888" t="str">
        <f>'refer admin discharge'!B704</f>
        <v>x</v>
      </c>
      <c r="C708" s="888"/>
      <c r="D708" s="868" t="str">
        <f>'refer admin discharge'!D704</f>
        <v>xx</v>
      </c>
      <c r="E708" s="868"/>
      <c r="F708" s="891" t="str">
        <f>'refer admin discharge'!H704</f>
        <v>00/00/0000</v>
      </c>
      <c r="G708" s="892"/>
      <c r="H708" s="894"/>
      <c r="I708" s="894"/>
      <c r="J708" s="918"/>
      <c r="K708" s="918"/>
      <c r="L708" s="894"/>
      <c r="M708" s="894"/>
      <c r="N708" s="916"/>
      <c r="O708" s="916"/>
      <c r="P708" s="894"/>
      <c r="Q708" s="894"/>
      <c r="R708" s="916"/>
      <c r="S708" s="916"/>
      <c r="T708" s="894"/>
      <c r="U708" s="894"/>
      <c r="V708" s="921" t="str">
        <f>'refer admin discharge'!H709</f>
        <v>00/00/0000</v>
      </c>
      <c r="W708" s="922"/>
      <c r="X708" s="920"/>
      <c r="Y708" s="920"/>
      <c r="Z708" s="919"/>
      <c r="AA708" s="919"/>
      <c r="AB708" s="920"/>
      <c r="AC708" s="920"/>
      <c r="AD708" s="912"/>
      <c r="AE708" s="912"/>
      <c r="AF708" s="920"/>
      <c r="AG708" s="920"/>
      <c r="AH708" s="912"/>
      <c r="AI708" s="912"/>
      <c r="AJ708" s="920"/>
      <c r="AK708" s="920"/>
      <c r="AL708" s="905"/>
      <c r="AM708" s="906"/>
      <c r="AN708" s="906"/>
      <c r="AO708" s="906"/>
      <c r="AP708" s="906"/>
      <c r="AQ708" s="906"/>
      <c r="AR708" s="906"/>
      <c r="AS708" s="906"/>
      <c r="AT708" s="906"/>
      <c r="AU708" s="906"/>
      <c r="AV708" s="906"/>
      <c r="AW708" s="906"/>
      <c r="AX708" s="906"/>
      <c r="AY708" s="906"/>
      <c r="AZ708" s="906"/>
      <c r="BA708" s="906"/>
      <c r="BB708" s="907"/>
    </row>
    <row r="709" spans="1:54" x14ac:dyDescent="0.25">
      <c r="A709" s="13">
        <f t="shared" si="10"/>
        <v>696</v>
      </c>
      <c r="B709" s="914" t="str">
        <f>'refer admin discharge'!B705</f>
        <v>x</v>
      </c>
      <c r="C709" s="914"/>
      <c r="D709" s="889" t="str">
        <f>'refer admin discharge'!D705</f>
        <v>xx</v>
      </c>
      <c r="E709" s="889"/>
      <c r="F709" s="915" t="str">
        <f>'refer admin discharge'!H705</f>
        <v>00/00/0000</v>
      </c>
      <c r="G709" s="890"/>
      <c r="H709" s="916"/>
      <c r="I709" s="916"/>
      <c r="J709" s="917"/>
      <c r="K709" s="917"/>
      <c r="L709" s="916"/>
      <c r="M709" s="916"/>
      <c r="N709" s="893"/>
      <c r="O709" s="893"/>
      <c r="P709" s="916"/>
      <c r="Q709" s="916"/>
      <c r="R709" s="893"/>
      <c r="S709" s="893"/>
      <c r="T709" s="916"/>
      <c r="U709" s="916"/>
      <c r="V709" s="921" t="str">
        <f>'refer admin discharge'!H710</f>
        <v>00/00/0000</v>
      </c>
      <c r="W709" s="922"/>
      <c r="X709" s="912"/>
      <c r="Y709" s="912"/>
      <c r="Z709" s="924"/>
      <c r="AA709" s="924"/>
      <c r="AB709" s="912"/>
      <c r="AC709" s="912"/>
      <c r="AD709" s="913"/>
      <c r="AE709" s="913"/>
      <c r="AF709" s="912"/>
      <c r="AG709" s="912"/>
      <c r="AH709" s="913"/>
      <c r="AI709" s="913"/>
      <c r="AJ709" s="912"/>
      <c r="AK709" s="912"/>
      <c r="AL709" s="925"/>
      <c r="AM709" s="926"/>
      <c r="AN709" s="926"/>
      <c r="AO709" s="926"/>
      <c r="AP709" s="926"/>
      <c r="AQ709" s="926"/>
      <c r="AR709" s="926"/>
      <c r="AS709" s="926"/>
      <c r="AT709" s="926"/>
      <c r="AU709" s="926"/>
      <c r="AV709" s="926"/>
      <c r="AW709" s="926"/>
      <c r="AX709" s="926"/>
      <c r="AY709" s="926"/>
      <c r="AZ709" s="926"/>
      <c r="BA709" s="926"/>
      <c r="BB709" s="927"/>
    </row>
    <row r="710" spans="1:54" x14ac:dyDescent="0.25">
      <c r="A710" s="13">
        <f t="shared" si="10"/>
        <v>697</v>
      </c>
      <c r="B710" s="888" t="str">
        <f>'refer admin discharge'!B706</f>
        <v>x</v>
      </c>
      <c r="C710" s="888"/>
      <c r="D710" s="868" t="str">
        <f>'refer admin discharge'!D706</f>
        <v>xx</v>
      </c>
      <c r="E710" s="868"/>
      <c r="F710" s="891" t="str">
        <f>'refer admin discharge'!H706</f>
        <v>00/00/0000</v>
      </c>
      <c r="G710" s="892"/>
      <c r="H710" s="894"/>
      <c r="I710" s="894"/>
      <c r="J710" s="918"/>
      <c r="K710" s="918"/>
      <c r="L710" s="894"/>
      <c r="M710" s="894"/>
      <c r="N710" s="916"/>
      <c r="O710" s="916"/>
      <c r="P710" s="894"/>
      <c r="Q710" s="894"/>
      <c r="R710" s="916"/>
      <c r="S710" s="916"/>
      <c r="T710" s="894"/>
      <c r="U710" s="894"/>
      <c r="V710" s="921" t="str">
        <f>'refer admin discharge'!H711</f>
        <v>00/00/0000</v>
      </c>
      <c r="W710" s="922"/>
      <c r="X710" s="920"/>
      <c r="Y710" s="920"/>
      <c r="Z710" s="919"/>
      <c r="AA710" s="919"/>
      <c r="AB710" s="920"/>
      <c r="AC710" s="920"/>
      <c r="AD710" s="912"/>
      <c r="AE710" s="912"/>
      <c r="AF710" s="920"/>
      <c r="AG710" s="920"/>
      <c r="AH710" s="912"/>
      <c r="AI710" s="912"/>
      <c r="AJ710" s="920"/>
      <c r="AK710" s="920"/>
      <c r="AL710" s="905"/>
      <c r="AM710" s="906"/>
      <c r="AN710" s="906"/>
      <c r="AO710" s="906"/>
      <c r="AP710" s="906"/>
      <c r="AQ710" s="906"/>
      <c r="AR710" s="906"/>
      <c r="AS710" s="906"/>
      <c r="AT710" s="906"/>
      <c r="AU710" s="906"/>
      <c r="AV710" s="906"/>
      <c r="AW710" s="906"/>
      <c r="AX710" s="906"/>
      <c r="AY710" s="906"/>
      <c r="AZ710" s="906"/>
      <c r="BA710" s="906"/>
      <c r="BB710" s="907"/>
    </row>
    <row r="711" spans="1:54" x14ac:dyDescent="0.25">
      <c r="A711" s="13">
        <f t="shared" si="10"/>
        <v>698</v>
      </c>
      <c r="B711" s="914" t="str">
        <f>'refer admin discharge'!B707</f>
        <v>x</v>
      </c>
      <c r="C711" s="914"/>
      <c r="D711" s="889" t="str">
        <f>'refer admin discharge'!D707</f>
        <v>xx</v>
      </c>
      <c r="E711" s="889"/>
      <c r="F711" s="915" t="str">
        <f>'refer admin discharge'!H707</f>
        <v>00/00/0000</v>
      </c>
      <c r="G711" s="890"/>
      <c r="H711" s="916"/>
      <c r="I711" s="916"/>
      <c r="J711" s="917"/>
      <c r="K711" s="917"/>
      <c r="L711" s="916"/>
      <c r="M711" s="916"/>
      <c r="N711" s="893"/>
      <c r="O711" s="893"/>
      <c r="P711" s="916"/>
      <c r="Q711" s="916"/>
      <c r="R711" s="893"/>
      <c r="S711" s="893"/>
      <c r="T711" s="916"/>
      <c r="U711" s="916"/>
      <c r="V711" s="921" t="str">
        <f>'refer admin discharge'!H712</f>
        <v>00/00/0000</v>
      </c>
      <c r="W711" s="922"/>
      <c r="X711" s="912"/>
      <c r="Y711" s="912"/>
      <c r="Z711" s="924"/>
      <c r="AA711" s="924"/>
      <c r="AB711" s="912"/>
      <c r="AC711" s="912"/>
      <c r="AD711" s="913"/>
      <c r="AE711" s="913"/>
      <c r="AF711" s="912"/>
      <c r="AG711" s="912"/>
      <c r="AH711" s="913"/>
      <c r="AI711" s="913"/>
      <c r="AJ711" s="912"/>
      <c r="AK711" s="912"/>
      <c r="AL711" s="925"/>
      <c r="AM711" s="926"/>
      <c r="AN711" s="926"/>
      <c r="AO711" s="926"/>
      <c r="AP711" s="926"/>
      <c r="AQ711" s="926"/>
      <c r="AR711" s="926"/>
      <c r="AS711" s="926"/>
      <c r="AT711" s="926"/>
      <c r="AU711" s="926"/>
      <c r="AV711" s="926"/>
      <c r="AW711" s="926"/>
      <c r="AX711" s="926"/>
      <c r="AY711" s="926"/>
      <c r="AZ711" s="926"/>
      <c r="BA711" s="926"/>
      <c r="BB711" s="927"/>
    </row>
    <row r="712" spans="1:54" x14ac:dyDescent="0.25">
      <c r="A712" s="13">
        <f t="shared" si="10"/>
        <v>699</v>
      </c>
      <c r="B712" s="888" t="str">
        <f>'refer admin discharge'!B708</f>
        <v>x</v>
      </c>
      <c r="C712" s="888"/>
      <c r="D712" s="868" t="str">
        <f>'refer admin discharge'!D708</f>
        <v>xx</v>
      </c>
      <c r="E712" s="868"/>
      <c r="F712" s="891" t="str">
        <f>'refer admin discharge'!H708</f>
        <v>00/00/0000</v>
      </c>
      <c r="G712" s="892"/>
      <c r="H712" s="894"/>
      <c r="I712" s="894"/>
      <c r="J712" s="918"/>
      <c r="K712" s="918"/>
      <c r="L712" s="894"/>
      <c r="M712" s="894"/>
      <c r="N712" s="916"/>
      <c r="O712" s="916"/>
      <c r="P712" s="894"/>
      <c r="Q712" s="894"/>
      <c r="R712" s="916"/>
      <c r="S712" s="916"/>
      <c r="T712" s="894"/>
      <c r="U712" s="894"/>
      <c r="V712" s="921" t="str">
        <f>'refer admin discharge'!H713</f>
        <v>00/00/0000</v>
      </c>
      <c r="W712" s="922"/>
      <c r="X712" s="920"/>
      <c r="Y712" s="920"/>
      <c r="Z712" s="919"/>
      <c r="AA712" s="919"/>
      <c r="AB712" s="920"/>
      <c r="AC712" s="920"/>
      <c r="AD712" s="912"/>
      <c r="AE712" s="912"/>
      <c r="AF712" s="920"/>
      <c r="AG712" s="920"/>
      <c r="AH712" s="912"/>
      <c r="AI712" s="912"/>
      <c r="AJ712" s="920"/>
      <c r="AK712" s="920"/>
      <c r="AL712" s="905"/>
      <c r="AM712" s="906"/>
      <c r="AN712" s="906"/>
      <c r="AO712" s="906"/>
      <c r="AP712" s="906"/>
      <c r="AQ712" s="906"/>
      <c r="AR712" s="906"/>
      <c r="AS712" s="906"/>
      <c r="AT712" s="906"/>
      <c r="AU712" s="906"/>
      <c r="AV712" s="906"/>
      <c r="AW712" s="906"/>
      <c r="AX712" s="906"/>
      <c r="AY712" s="906"/>
      <c r="AZ712" s="906"/>
      <c r="BA712" s="906"/>
      <c r="BB712" s="907"/>
    </row>
    <row r="713" spans="1:54" x14ac:dyDescent="0.25">
      <c r="A713" s="13">
        <f t="shared" si="10"/>
        <v>700</v>
      </c>
      <c r="B713" s="914" t="str">
        <f>'refer admin discharge'!B709</f>
        <v>x</v>
      </c>
      <c r="C713" s="914"/>
      <c r="D713" s="889" t="str">
        <f>'refer admin discharge'!D709</f>
        <v>xx</v>
      </c>
      <c r="E713" s="889"/>
      <c r="F713" s="915" t="str">
        <f>'refer admin discharge'!H709</f>
        <v>00/00/0000</v>
      </c>
      <c r="G713" s="890"/>
      <c r="H713" s="916"/>
      <c r="I713" s="916"/>
      <c r="J713" s="917"/>
      <c r="K713" s="917"/>
      <c r="L713" s="916"/>
      <c r="M713" s="916"/>
      <c r="N713" s="893"/>
      <c r="O713" s="893"/>
      <c r="P713" s="916"/>
      <c r="Q713" s="916"/>
      <c r="R713" s="893"/>
      <c r="S713" s="893"/>
      <c r="T713" s="916"/>
      <c r="U713" s="916"/>
      <c r="V713" s="921" t="str">
        <f>'refer admin discharge'!H714</f>
        <v>00/00/0000</v>
      </c>
      <c r="W713" s="922"/>
      <c r="X713" s="912"/>
      <c r="Y713" s="912"/>
      <c r="Z713" s="924"/>
      <c r="AA713" s="924"/>
      <c r="AB713" s="912"/>
      <c r="AC713" s="912"/>
      <c r="AD713" s="913"/>
      <c r="AE713" s="913"/>
      <c r="AF713" s="912"/>
      <c r="AG713" s="912"/>
      <c r="AH713" s="913"/>
      <c r="AI713" s="913"/>
      <c r="AJ713" s="912"/>
      <c r="AK713" s="912"/>
      <c r="AL713" s="925"/>
      <c r="AM713" s="926"/>
      <c r="AN713" s="926"/>
      <c r="AO713" s="926"/>
      <c r="AP713" s="926"/>
      <c r="AQ713" s="926"/>
      <c r="AR713" s="926"/>
      <c r="AS713" s="926"/>
      <c r="AT713" s="926"/>
      <c r="AU713" s="926"/>
      <c r="AV713" s="926"/>
      <c r="AW713" s="926"/>
      <c r="AX713" s="926"/>
      <c r="AY713" s="926"/>
      <c r="AZ713" s="926"/>
      <c r="BA713" s="926"/>
      <c r="BB713" s="927"/>
    </row>
    <row r="714" spans="1:54" x14ac:dyDescent="0.25">
      <c r="A714" s="13">
        <f t="shared" si="10"/>
        <v>701</v>
      </c>
      <c r="B714" s="888" t="str">
        <f>'refer admin discharge'!B710</f>
        <v>x</v>
      </c>
      <c r="C714" s="888"/>
      <c r="D714" s="868" t="str">
        <f>'refer admin discharge'!D710</f>
        <v>xx</v>
      </c>
      <c r="E714" s="868"/>
      <c r="F714" s="891" t="str">
        <f>'refer admin discharge'!H710</f>
        <v>00/00/0000</v>
      </c>
      <c r="G714" s="892"/>
      <c r="H714" s="894"/>
      <c r="I714" s="894"/>
      <c r="J714" s="918"/>
      <c r="K714" s="918"/>
      <c r="L714" s="894"/>
      <c r="M714" s="894"/>
      <c r="N714" s="916"/>
      <c r="O714" s="916"/>
      <c r="P714" s="894"/>
      <c r="Q714" s="894"/>
      <c r="R714" s="916"/>
      <c r="S714" s="916"/>
      <c r="T714" s="894"/>
      <c r="U714" s="894"/>
      <c r="V714" s="921" t="str">
        <f>'refer admin discharge'!H715</f>
        <v>00/00/0000</v>
      </c>
      <c r="W714" s="922"/>
      <c r="X714" s="920"/>
      <c r="Y714" s="920"/>
      <c r="Z714" s="919"/>
      <c r="AA714" s="919"/>
      <c r="AB714" s="920"/>
      <c r="AC714" s="920"/>
      <c r="AD714" s="912"/>
      <c r="AE714" s="912"/>
      <c r="AF714" s="920"/>
      <c r="AG714" s="920"/>
      <c r="AH714" s="912"/>
      <c r="AI714" s="912"/>
      <c r="AJ714" s="920"/>
      <c r="AK714" s="920"/>
      <c r="AL714" s="905"/>
      <c r="AM714" s="906"/>
      <c r="AN714" s="906"/>
      <c r="AO714" s="906"/>
      <c r="AP714" s="906"/>
      <c r="AQ714" s="906"/>
      <c r="AR714" s="906"/>
      <c r="AS714" s="906"/>
      <c r="AT714" s="906"/>
      <c r="AU714" s="906"/>
      <c r="AV714" s="906"/>
      <c r="AW714" s="906"/>
      <c r="AX714" s="906"/>
      <c r="AY714" s="906"/>
      <c r="AZ714" s="906"/>
      <c r="BA714" s="906"/>
      <c r="BB714" s="907"/>
    </row>
    <row r="715" spans="1:54" x14ac:dyDescent="0.25">
      <c r="A715" s="13">
        <f t="shared" si="10"/>
        <v>702</v>
      </c>
      <c r="B715" s="914" t="str">
        <f>'refer admin discharge'!B711</f>
        <v>x</v>
      </c>
      <c r="C715" s="914"/>
      <c r="D715" s="889" t="str">
        <f>'refer admin discharge'!D711</f>
        <v>xx</v>
      </c>
      <c r="E715" s="889"/>
      <c r="F715" s="915" t="str">
        <f>'refer admin discharge'!H711</f>
        <v>00/00/0000</v>
      </c>
      <c r="G715" s="890"/>
      <c r="H715" s="916"/>
      <c r="I715" s="916"/>
      <c r="J715" s="917"/>
      <c r="K715" s="917"/>
      <c r="L715" s="916"/>
      <c r="M715" s="916"/>
      <c r="N715" s="893"/>
      <c r="O715" s="893"/>
      <c r="P715" s="916"/>
      <c r="Q715" s="916"/>
      <c r="R715" s="893"/>
      <c r="S715" s="893"/>
      <c r="T715" s="916"/>
      <c r="U715" s="916"/>
      <c r="V715" s="921" t="str">
        <f>'refer admin discharge'!H716</f>
        <v>00/00/0000</v>
      </c>
      <c r="W715" s="922"/>
      <c r="X715" s="912"/>
      <c r="Y715" s="912"/>
      <c r="Z715" s="924"/>
      <c r="AA715" s="924"/>
      <c r="AB715" s="912"/>
      <c r="AC715" s="912"/>
      <c r="AD715" s="913"/>
      <c r="AE715" s="913"/>
      <c r="AF715" s="912"/>
      <c r="AG715" s="912"/>
      <c r="AH715" s="913"/>
      <c r="AI715" s="913"/>
      <c r="AJ715" s="912"/>
      <c r="AK715" s="912"/>
      <c r="AL715" s="925"/>
      <c r="AM715" s="926"/>
      <c r="AN715" s="926"/>
      <c r="AO715" s="926"/>
      <c r="AP715" s="926"/>
      <c r="AQ715" s="926"/>
      <c r="AR715" s="926"/>
      <c r="AS715" s="926"/>
      <c r="AT715" s="926"/>
      <c r="AU715" s="926"/>
      <c r="AV715" s="926"/>
      <c r="AW715" s="926"/>
      <c r="AX715" s="926"/>
      <c r="AY715" s="926"/>
      <c r="AZ715" s="926"/>
      <c r="BA715" s="926"/>
      <c r="BB715" s="927"/>
    </row>
    <row r="716" spans="1:54" x14ac:dyDescent="0.25">
      <c r="A716" s="13">
        <f t="shared" si="10"/>
        <v>703</v>
      </c>
      <c r="B716" s="888" t="str">
        <f>'refer admin discharge'!B712</f>
        <v>x</v>
      </c>
      <c r="C716" s="888"/>
      <c r="D716" s="868" t="str">
        <f>'refer admin discharge'!D712</f>
        <v>xx</v>
      </c>
      <c r="E716" s="868"/>
      <c r="F716" s="891" t="str">
        <f>'refer admin discharge'!H712</f>
        <v>00/00/0000</v>
      </c>
      <c r="G716" s="892"/>
      <c r="H716" s="894"/>
      <c r="I716" s="894"/>
      <c r="J716" s="918"/>
      <c r="K716" s="918"/>
      <c r="L716" s="894"/>
      <c r="M716" s="894"/>
      <c r="N716" s="916"/>
      <c r="O716" s="916"/>
      <c r="P716" s="894"/>
      <c r="Q716" s="894"/>
      <c r="R716" s="916"/>
      <c r="S716" s="916"/>
      <c r="T716" s="894"/>
      <c r="U716" s="894"/>
      <c r="V716" s="921" t="str">
        <f>'refer admin discharge'!H717</f>
        <v>00/00/0000</v>
      </c>
      <c r="W716" s="922"/>
      <c r="X716" s="920"/>
      <c r="Y716" s="920"/>
      <c r="Z716" s="919"/>
      <c r="AA716" s="919"/>
      <c r="AB716" s="920"/>
      <c r="AC716" s="920"/>
      <c r="AD716" s="912"/>
      <c r="AE716" s="912"/>
      <c r="AF716" s="920"/>
      <c r="AG716" s="920"/>
      <c r="AH716" s="912"/>
      <c r="AI716" s="912"/>
      <c r="AJ716" s="920"/>
      <c r="AK716" s="920"/>
      <c r="AL716" s="905"/>
      <c r="AM716" s="906"/>
      <c r="AN716" s="906"/>
      <c r="AO716" s="906"/>
      <c r="AP716" s="906"/>
      <c r="AQ716" s="906"/>
      <c r="AR716" s="906"/>
      <c r="AS716" s="906"/>
      <c r="AT716" s="906"/>
      <c r="AU716" s="906"/>
      <c r="AV716" s="906"/>
      <c r="AW716" s="906"/>
      <c r="AX716" s="906"/>
      <c r="AY716" s="906"/>
      <c r="AZ716" s="906"/>
      <c r="BA716" s="906"/>
      <c r="BB716" s="907"/>
    </row>
    <row r="717" spans="1:54" x14ac:dyDescent="0.25">
      <c r="A717" s="13">
        <f t="shared" si="10"/>
        <v>704</v>
      </c>
      <c r="B717" s="914" t="str">
        <f>'refer admin discharge'!B713</f>
        <v>x</v>
      </c>
      <c r="C717" s="914"/>
      <c r="D717" s="889" t="str">
        <f>'refer admin discharge'!D713</f>
        <v>xx</v>
      </c>
      <c r="E717" s="889"/>
      <c r="F717" s="915" t="str">
        <f>'refer admin discharge'!H713</f>
        <v>00/00/0000</v>
      </c>
      <c r="G717" s="890"/>
      <c r="H717" s="916"/>
      <c r="I717" s="916"/>
      <c r="J717" s="917"/>
      <c r="K717" s="917"/>
      <c r="L717" s="916"/>
      <c r="M717" s="916"/>
      <c r="N717" s="893"/>
      <c r="O717" s="893"/>
      <c r="P717" s="916"/>
      <c r="Q717" s="916"/>
      <c r="R717" s="893"/>
      <c r="S717" s="893"/>
      <c r="T717" s="916"/>
      <c r="U717" s="916"/>
      <c r="V717" s="921" t="str">
        <f>'refer admin discharge'!H718</f>
        <v>00/00/0000</v>
      </c>
      <c r="W717" s="922"/>
      <c r="X717" s="912"/>
      <c r="Y717" s="912"/>
      <c r="Z717" s="924"/>
      <c r="AA717" s="924"/>
      <c r="AB717" s="912"/>
      <c r="AC717" s="912"/>
      <c r="AD717" s="913"/>
      <c r="AE717" s="913"/>
      <c r="AF717" s="912"/>
      <c r="AG717" s="912"/>
      <c r="AH717" s="913"/>
      <c r="AI717" s="913"/>
      <c r="AJ717" s="912"/>
      <c r="AK717" s="912"/>
      <c r="AL717" s="925"/>
      <c r="AM717" s="926"/>
      <c r="AN717" s="926"/>
      <c r="AO717" s="926"/>
      <c r="AP717" s="926"/>
      <c r="AQ717" s="926"/>
      <c r="AR717" s="926"/>
      <c r="AS717" s="926"/>
      <c r="AT717" s="926"/>
      <c r="AU717" s="926"/>
      <c r="AV717" s="926"/>
      <c r="AW717" s="926"/>
      <c r="AX717" s="926"/>
      <c r="AY717" s="926"/>
      <c r="AZ717" s="926"/>
      <c r="BA717" s="926"/>
      <c r="BB717" s="927"/>
    </row>
    <row r="718" spans="1:54" x14ac:dyDescent="0.25">
      <c r="A718" s="13">
        <f t="shared" ref="A718:A781" si="11">ROW(A705)</f>
        <v>705</v>
      </c>
      <c r="B718" s="888" t="str">
        <f>'refer admin discharge'!B714</f>
        <v>x</v>
      </c>
      <c r="C718" s="888"/>
      <c r="D718" s="868" t="str">
        <f>'refer admin discharge'!D714</f>
        <v>xx</v>
      </c>
      <c r="E718" s="868"/>
      <c r="F718" s="891" t="str">
        <f>'refer admin discharge'!H714</f>
        <v>00/00/0000</v>
      </c>
      <c r="G718" s="892"/>
      <c r="H718" s="894"/>
      <c r="I718" s="894"/>
      <c r="J718" s="918"/>
      <c r="K718" s="918"/>
      <c r="L718" s="894"/>
      <c r="M718" s="894"/>
      <c r="N718" s="916"/>
      <c r="O718" s="916"/>
      <c r="P718" s="894"/>
      <c r="Q718" s="894"/>
      <c r="R718" s="916"/>
      <c r="S718" s="916"/>
      <c r="T718" s="894"/>
      <c r="U718" s="894"/>
      <c r="V718" s="921" t="str">
        <f>'refer admin discharge'!H719</f>
        <v>00/00/0000</v>
      </c>
      <c r="W718" s="922"/>
      <c r="X718" s="920"/>
      <c r="Y718" s="920"/>
      <c r="Z718" s="919"/>
      <c r="AA718" s="919"/>
      <c r="AB718" s="920"/>
      <c r="AC718" s="920"/>
      <c r="AD718" s="912"/>
      <c r="AE718" s="912"/>
      <c r="AF718" s="920"/>
      <c r="AG718" s="920"/>
      <c r="AH718" s="912"/>
      <c r="AI718" s="912"/>
      <c r="AJ718" s="920"/>
      <c r="AK718" s="920"/>
      <c r="AL718" s="905"/>
      <c r="AM718" s="906"/>
      <c r="AN718" s="906"/>
      <c r="AO718" s="906"/>
      <c r="AP718" s="906"/>
      <c r="AQ718" s="906"/>
      <c r="AR718" s="906"/>
      <c r="AS718" s="906"/>
      <c r="AT718" s="906"/>
      <c r="AU718" s="906"/>
      <c r="AV718" s="906"/>
      <c r="AW718" s="906"/>
      <c r="AX718" s="906"/>
      <c r="AY718" s="906"/>
      <c r="AZ718" s="906"/>
      <c r="BA718" s="906"/>
      <c r="BB718" s="907"/>
    </row>
    <row r="719" spans="1:54" x14ac:dyDescent="0.25">
      <c r="A719" s="13">
        <f t="shared" si="11"/>
        <v>706</v>
      </c>
      <c r="B719" s="914" t="str">
        <f>'refer admin discharge'!B715</f>
        <v>x</v>
      </c>
      <c r="C719" s="914"/>
      <c r="D719" s="889" t="str">
        <f>'refer admin discharge'!D715</f>
        <v>xx</v>
      </c>
      <c r="E719" s="889"/>
      <c r="F719" s="915" t="str">
        <f>'refer admin discharge'!H715</f>
        <v>00/00/0000</v>
      </c>
      <c r="G719" s="890"/>
      <c r="H719" s="916"/>
      <c r="I719" s="916"/>
      <c r="J719" s="917"/>
      <c r="K719" s="917"/>
      <c r="L719" s="916"/>
      <c r="M719" s="916"/>
      <c r="N719" s="893"/>
      <c r="O719" s="893"/>
      <c r="P719" s="916"/>
      <c r="Q719" s="916"/>
      <c r="R719" s="893"/>
      <c r="S719" s="893"/>
      <c r="T719" s="916"/>
      <c r="U719" s="916"/>
      <c r="V719" s="921" t="str">
        <f>'refer admin discharge'!H720</f>
        <v>00/00/0000</v>
      </c>
      <c r="W719" s="922"/>
      <c r="X719" s="912"/>
      <c r="Y719" s="912"/>
      <c r="Z719" s="924"/>
      <c r="AA719" s="924"/>
      <c r="AB719" s="912"/>
      <c r="AC719" s="912"/>
      <c r="AD719" s="913"/>
      <c r="AE719" s="913"/>
      <c r="AF719" s="912"/>
      <c r="AG719" s="912"/>
      <c r="AH719" s="913"/>
      <c r="AI719" s="913"/>
      <c r="AJ719" s="912"/>
      <c r="AK719" s="912"/>
      <c r="AL719" s="925"/>
      <c r="AM719" s="926"/>
      <c r="AN719" s="926"/>
      <c r="AO719" s="926"/>
      <c r="AP719" s="926"/>
      <c r="AQ719" s="926"/>
      <c r="AR719" s="926"/>
      <c r="AS719" s="926"/>
      <c r="AT719" s="926"/>
      <c r="AU719" s="926"/>
      <c r="AV719" s="926"/>
      <c r="AW719" s="926"/>
      <c r="AX719" s="926"/>
      <c r="AY719" s="926"/>
      <c r="AZ719" s="926"/>
      <c r="BA719" s="926"/>
      <c r="BB719" s="927"/>
    </row>
    <row r="720" spans="1:54" x14ac:dyDescent="0.25">
      <c r="A720" s="13">
        <f t="shared" si="11"/>
        <v>707</v>
      </c>
      <c r="B720" s="888" t="str">
        <f>'refer admin discharge'!B716</f>
        <v>x</v>
      </c>
      <c r="C720" s="888"/>
      <c r="D720" s="868" t="str">
        <f>'refer admin discharge'!D716</f>
        <v>xx</v>
      </c>
      <c r="E720" s="868"/>
      <c r="F720" s="891" t="str">
        <f>'refer admin discharge'!H716</f>
        <v>00/00/0000</v>
      </c>
      <c r="G720" s="892"/>
      <c r="H720" s="894"/>
      <c r="I720" s="894"/>
      <c r="J720" s="918"/>
      <c r="K720" s="918"/>
      <c r="L720" s="894"/>
      <c r="M720" s="894"/>
      <c r="N720" s="916"/>
      <c r="O720" s="916"/>
      <c r="P720" s="894"/>
      <c r="Q720" s="894"/>
      <c r="R720" s="916"/>
      <c r="S720" s="916"/>
      <c r="T720" s="894"/>
      <c r="U720" s="894"/>
      <c r="V720" s="921" t="str">
        <f>'refer admin discharge'!H721</f>
        <v>00/00/0000</v>
      </c>
      <c r="W720" s="922"/>
      <c r="X720" s="920"/>
      <c r="Y720" s="920"/>
      <c r="Z720" s="919"/>
      <c r="AA720" s="919"/>
      <c r="AB720" s="920"/>
      <c r="AC720" s="920"/>
      <c r="AD720" s="912"/>
      <c r="AE720" s="912"/>
      <c r="AF720" s="920"/>
      <c r="AG720" s="920"/>
      <c r="AH720" s="912"/>
      <c r="AI720" s="912"/>
      <c r="AJ720" s="920"/>
      <c r="AK720" s="920"/>
      <c r="AL720" s="905"/>
      <c r="AM720" s="906"/>
      <c r="AN720" s="906"/>
      <c r="AO720" s="906"/>
      <c r="AP720" s="906"/>
      <c r="AQ720" s="906"/>
      <c r="AR720" s="906"/>
      <c r="AS720" s="906"/>
      <c r="AT720" s="906"/>
      <c r="AU720" s="906"/>
      <c r="AV720" s="906"/>
      <c r="AW720" s="906"/>
      <c r="AX720" s="906"/>
      <c r="AY720" s="906"/>
      <c r="AZ720" s="906"/>
      <c r="BA720" s="906"/>
      <c r="BB720" s="907"/>
    </row>
    <row r="721" spans="1:54" x14ac:dyDescent="0.25">
      <c r="A721" s="13">
        <f t="shared" si="11"/>
        <v>708</v>
      </c>
      <c r="B721" s="914" t="str">
        <f>'refer admin discharge'!B717</f>
        <v>x</v>
      </c>
      <c r="C721" s="914"/>
      <c r="D721" s="889" t="str">
        <f>'refer admin discharge'!D717</f>
        <v>xx</v>
      </c>
      <c r="E721" s="889"/>
      <c r="F721" s="915" t="str">
        <f>'refer admin discharge'!H717</f>
        <v>00/00/0000</v>
      </c>
      <c r="G721" s="890"/>
      <c r="H721" s="916"/>
      <c r="I721" s="916"/>
      <c r="J721" s="917"/>
      <c r="K721" s="917"/>
      <c r="L721" s="916"/>
      <c r="M721" s="916"/>
      <c r="N721" s="893"/>
      <c r="O721" s="893"/>
      <c r="P721" s="916"/>
      <c r="Q721" s="916"/>
      <c r="R721" s="893"/>
      <c r="S721" s="893"/>
      <c r="T721" s="916"/>
      <c r="U721" s="916"/>
      <c r="V721" s="921" t="str">
        <f>'refer admin discharge'!H722</f>
        <v>00/00/0000</v>
      </c>
      <c r="W721" s="922"/>
      <c r="X721" s="912"/>
      <c r="Y721" s="912"/>
      <c r="Z721" s="924"/>
      <c r="AA721" s="924"/>
      <c r="AB721" s="912"/>
      <c r="AC721" s="912"/>
      <c r="AD721" s="913"/>
      <c r="AE721" s="913"/>
      <c r="AF721" s="912"/>
      <c r="AG721" s="912"/>
      <c r="AH721" s="913"/>
      <c r="AI721" s="913"/>
      <c r="AJ721" s="912"/>
      <c r="AK721" s="912"/>
      <c r="AL721" s="925"/>
      <c r="AM721" s="926"/>
      <c r="AN721" s="926"/>
      <c r="AO721" s="926"/>
      <c r="AP721" s="926"/>
      <c r="AQ721" s="926"/>
      <c r="AR721" s="926"/>
      <c r="AS721" s="926"/>
      <c r="AT721" s="926"/>
      <c r="AU721" s="926"/>
      <c r="AV721" s="926"/>
      <c r="AW721" s="926"/>
      <c r="AX721" s="926"/>
      <c r="AY721" s="926"/>
      <c r="AZ721" s="926"/>
      <c r="BA721" s="926"/>
      <c r="BB721" s="927"/>
    </row>
    <row r="722" spans="1:54" x14ac:dyDescent="0.25">
      <c r="A722" s="13">
        <f t="shared" si="11"/>
        <v>709</v>
      </c>
      <c r="B722" s="888" t="str">
        <f>'refer admin discharge'!B718</f>
        <v>x</v>
      </c>
      <c r="C722" s="888"/>
      <c r="D722" s="868" t="str">
        <f>'refer admin discharge'!D718</f>
        <v>xx</v>
      </c>
      <c r="E722" s="868"/>
      <c r="F722" s="891" t="str">
        <f>'refer admin discharge'!H718</f>
        <v>00/00/0000</v>
      </c>
      <c r="G722" s="892"/>
      <c r="H722" s="894"/>
      <c r="I722" s="894"/>
      <c r="J722" s="918"/>
      <c r="K722" s="918"/>
      <c r="L722" s="894"/>
      <c r="M722" s="894"/>
      <c r="N722" s="916"/>
      <c r="O722" s="916"/>
      <c r="P722" s="894"/>
      <c r="Q722" s="894"/>
      <c r="R722" s="916"/>
      <c r="S722" s="916"/>
      <c r="T722" s="894"/>
      <c r="U722" s="894"/>
      <c r="V722" s="921" t="str">
        <f>'refer admin discharge'!H723</f>
        <v>00/00/0000</v>
      </c>
      <c r="W722" s="922"/>
      <c r="X722" s="920"/>
      <c r="Y722" s="920"/>
      <c r="Z722" s="919"/>
      <c r="AA722" s="919"/>
      <c r="AB722" s="920"/>
      <c r="AC722" s="920"/>
      <c r="AD722" s="912"/>
      <c r="AE722" s="912"/>
      <c r="AF722" s="920"/>
      <c r="AG722" s="920"/>
      <c r="AH722" s="912"/>
      <c r="AI722" s="912"/>
      <c r="AJ722" s="920"/>
      <c r="AK722" s="920"/>
      <c r="AL722" s="905"/>
      <c r="AM722" s="906"/>
      <c r="AN722" s="906"/>
      <c r="AO722" s="906"/>
      <c r="AP722" s="906"/>
      <c r="AQ722" s="906"/>
      <c r="AR722" s="906"/>
      <c r="AS722" s="906"/>
      <c r="AT722" s="906"/>
      <c r="AU722" s="906"/>
      <c r="AV722" s="906"/>
      <c r="AW722" s="906"/>
      <c r="AX722" s="906"/>
      <c r="AY722" s="906"/>
      <c r="AZ722" s="906"/>
      <c r="BA722" s="906"/>
      <c r="BB722" s="907"/>
    </row>
    <row r="723" spans="1:54" x14ac:dyDescent="0.25">
      <c r="A723" s="13">
        <f t="shared" si="11"/>
        <v>710</v>
      </c>
      <c r="B723" s="914" t="str">
        <f>'refer admin discharge'!B719</f>
        <v>x</v>
      </c>
      <c r="C723" s="914"/>
      <c r="D723" s="889" t="str">
        <f>'refer admin discharge'!D719</f>
        <v>xx</v>
      </c>
      <c r="E723" s="889"/>
      <c r="F723" s="915" t="str">
        <f>'refer admin discharge'!H719</f>
        <v>00/00/0000</v>
      </c>
      <c r="G723" s="890"/>
      <c r="H723" s="916"/>
      <c r="I723" s="916"/>
      <c r="J723" s="917"/>
      <c r="K723" s="917"/>
      <c r="L723" s="916"/>
      <c r="M723" s="916"/>
      <c r="N723" s="893"/>
      <c r="O723" s="893"/>
      <c r="P723" s="916"/>
      <c r="Q723" s="916"/>
      <c r="R723" s="893"/>
      <c r="S723" s="893"/>
      <c r="T723" s="916"/>
      <c r="U723" s="916"/>
      <c r="V723" s="921" t="str">
        <f>'refer admin discharge'!H724</f>
        <v>00/00/0000</v>
      </c>
      <c r="W723" s="922"/>
      <c r="X723" s="912"/>
      <c r="Y723" s="912"/>
      <c r="Z723" s="924"/>
      <c r="AA723" s="924"/>
      <c r="AB723" s="912"/>
      <c r="AC723" s="912"/>
      <c r="AD723" s="913"/>
      <c r="AE723" s="913"/>
      <c r="AF723" s="912"/>
      <c r="AG723" s="912"/>
      <c r="AH723" s="913"/>
      <c r="AI723" s="913"/>
      <c r="AJ723" s="912"/>
      <c r="AK723" s="912"/>
      <c r="AL723" s="925"/>
      <c r="AM723" s="926"/>
      <c r="AN723" s="926"/>
      <c r="AO723" s="926"/>
      <c r="AP723" s="926"/>
      <c r="AQ723" s="926"/>
      <c r="AR723" s="926"/>
      <c r="AS723" s="926"/>
      <c r="AT723" s="926"/>
      <c r="AU723" s="926"/>
      <c r="AV723" s="926"/>
      <c r="AW723" s="926"/>
      <c r="AX723" s="926"/>
      <c r="AY723" s="926"/>
      <c r="AZ723" s="926"/>
      <c r="BA723" s="926"/>
      <c r="BB723" s="927"/>
    </row>
    <row r="724" spans="1:54" x14ac:dyDescent="0.25">
      <c r="A724" s="13">
        <f t="shared" si="11"/>
        <v>711</v>
      </c>
      <c r="B724" s="888" t="str">
        <f>'refer admin discharge'!B720</f>
        <v>x</v>
      </c>
      <c r="C724" s="888"/>
      <c r="D724" s="868" t="str">
        <f>'refer admin discharge'!D720</f>
        <v>xx</v>
      </c>
      <c r="E724" s="868"/>
      <c r="F724" s="891" t="str">
        <f>'refer admin discharge'!H720</f>
        <v>00/00/0000</v>
      </c>
      <c r="G724" s="892"/>
      <c r="H724" s="894"/>
      <c r="I724" s="894"/>
      <c r="J724" s="918"/>
      <c r="K724" s="918"/>
      <c r="L724" s="894"/>
      <c r="M724" s="894"/>
      <c r="N724" s="916"/>
      <c r="O724" s="916"/>
      <c r="P724" s="894"/>
      <c r="Q724" s="894"/>
      <c r="R724" s="916"/>
      <c r="S724" s="916"/>
      <c r="T724" s="894"/>
      <c r="U724" s="894"/>
      <c r="V724" s="921" t="str">
        <f>'refer admin discharge'!H725</f>
        <v>00/00/0000</v>
      </c>
      <c r="W724" s="922"/>
      <c r="X724" s="920"/>
      <c r="Y724" s="920"/>
      <c r="Z724" s="919"/>
      <c r="AA724" s="919"/>
      <c r="AB724" s="920"/>
      <c r="AC724" s="920"/>
      <c r="AD724" s="912"/>
      <c r="AE724" s="912"/>
      <c r="AF724" s="920"/>
      <c r="AG724" s="920"/>
      <c r="AH724" s="912"/>
      <c r="AI724" s="912"/>
      <c r="AJ724" s="920"/>
      <c r="AK724" s="920"/>
      <c r="AL724" s="905"/>
      <c r="AM724" s="906"/>
      <c r="AN724" s="906"/>
      <c r="AO724" s="906"/>
      <c r="AP724" s="906"/>
      <c r="AQ724" s="906"/>
      <c r="AR724" s="906"/>
      <c r="AS724" s="906"/>
      <c r="AT724" s="906"/>
      <c r="AU724" s="906"/>
      <c r="AV724" s="906"/>
      <c r="AW724" s="906"/>
      <c r="AX724" s="906"/>
      <c r="AY724" s="906"/>
      <c r="AZ724" s="906"/>
      <c r="BA724" s="906"/>
      <c r="BB724" s="907"/>
    </row>
    <row r="725" spans="1:54" x14ac:dyDescent="0.25">
      <c r="A725" s="13">
        <f t="shared" si="11"/>
        <v>712</v>
      </c>
      <c r="B725" s="914" t="str">
        <f>'refer admin discharge'!B721</f>
        <v>x</v>
      </c>
      <c r="C725" s="914"/>
      <c r="D725" s="889" t="str">
        <f>'refer admin discharge'!D721</f>
        <v>xx</v>
      </c>
      <c r="E725" s="889"/>
      <c r="F725" s="915" t="str">
        <f>'refer admin discharge'!H721</f>
        <v>00/00/0000</v>
      </c>
      <c r="G725" s="890"/>
      <c r="H725" s="916"/>
      <c r="I725" s="916"/>
      <c r="J725" s="917"/>
      <c r="K725" s="917"/>
      <c r="L725" s="916"/>
      <c r="M725" s="916"/>
      <c r="N725" s="893"/>
      <c r="O725" s="893"/>
      <c r="P725" s="916"/>
      <c r="Q725" s="916"/>
      <c r="R725" s="893"/>
      <c r="S725" s="893"/>
      <c r="T725" s="916"/>
      <c r="U725" s="916"/>
      <c r="V725" s="921" t="str">
        <f>'refer admin discharge'!H726</f>
        <v>00/00/0000</v>
      </c>
      <c r="W725" s="922"/>
      <c r="X725" s="912"/>
      <c r="Y725" s="912"/>
      <c r="Z725" s="924"/>
      <c r="AA725" s="924"/>
      <c r="AB725" s="912"/>
      <c r="AC725" s="912"/>
      <c r="AD725" s="913"/>
      <c r="AE725" s="913"/>
      <c r="AF725" s="912"/>
      <c r="AG725" s="912"/>
      <c r="AH725" s="913"/>
      <c r="AI725" s="913"/>
      <c r="AJ725" s="912"/>
      <c r="AK725" s="912"/>
      <c r="AL725" s="925"/>
      <c r="AM725" s="926"/>
      <c r="AN725" s="926"/>
      <c r="AO725" s="926"/>
      <c r="AP725" s="926"/>
      <c r="AQ725" s="926"/>
      <c r="AR725" s="926"/>
      <c r="AS725" s="926"/>
      <c r="AT725" s="926"/>
      <c r="AU725" s="926"/>
      <c r="AV725" s="926"/>
      <c r="AW725" s="926"/>
      <c r="AX725" s="926"/>
      <c r="AY725" s="926"/>
      <c r="AZ725" s="926"/>
      <c r="BA725" s="926"/>
      <c r="BB725" s="927"/>
    </row>
    <row r="726" spans="1:54" x14ac:dyDescent="0.25">
      <c r="A726" s="13">
        <f t="shared" si="11"/>
        <v>713</v>
      </c>
      <c r="B726" s="888" t="str">
        <f>'refer admin discharge'!B722</f>
        <v>x</v>
      </c>
      <c r="C726" s="888"/>
      <c r="D726" s="868" t="str">
        <f>'refer admin discharge'!D722</f>
        <v>xx</v>
      </c>
      <c r="E726" s="868"/>
      <c r="F726" s="891" t="str">
        <f>'refer admin discharge'!H722</f>
        <v>00/00/0000</v>
      </c>
      <c r="G726" s="892"/>
      <c r="H726" s="894"/>
      <c r="I726" s="894"/>
      <c r="J726" s="918"/>
      <c r="K726" s="918"/>
      <c r="L726" s="894"/>
      <c r="M726" s="894"/>
      <c r="N726" s="916"/>
      <c r="O726" s="916"/>
      <c r="P726" s="894"/>
      <c r="Q726" s="894"/>
      <c r="R726" s="916"/>
      <c r="S726" s="916"/>
      <c r="T726" s="894"/>
      <c r="U726" s="894"/>
      <c r="V726" s="921" t="str">
        <f>'refer admin discharge'!H727</f>
        <v>00/00/0000</v>
      </c>
      <c r="W726" s="922"/>
      <c r="X726" s="920"/>
      <c r="Y726" s="920"/>
      <c r="Z726" s="919"/>
      <c r="AA726" s="919"/>
      <c r="AB726" s="920"/>
      <c r="AC726" s="920"/>
      <c r="AD726" s="912"/>
      <c r="AE726" s="912"/>
      <c r="AF726" s="920"/>
      <c r="AG726" s="920"/>
      <c r="AH726" s="912"/>
      <c r="AI726" s="912"/>
      <c r="AJ726" s="920"/>
      <c r="AK726" s="920"/>
      <c r="AL726" s="905"/>
      <c r="AM726" s="906"/>
      <c r="AN726" s="906"/>
      <c r="AO726" s="906"/>
      <c r="AP726" s="906"/>
      <c r="AQ726" s="906"/>
      <c r="AR726" s="906"/>
      <c r="AS726" s="906"/>
      <c r="AT726" s="906"/>
      <c r="AU726" s="906"/>
      <c r="AV726" s="906"/>
      <c r="AW726" s="906"/>
      <c r="AX726" s="906"/>
      <c r="AY726" s="906"/>
      <c r="AZ726" s="906"/>
      <c r="BA726" s="906"/>
      <c r="BB726" s="907"/>
    </row>
    <row r="727" spans="1:54" x14ac:dyDescent="0.25">
      <c r="A727" s="13">
        <f t="shared" si="11"/>
        <v>714</v>
      </c>
      <c r="B727" s="914" t="str">
        <f>'refer admin discharge'!B723</f>
        <v>x</v>
      </c>
      <c r="C727" s="914"/>
      <c r="D727" s="889" t="str">
        <f>'refer admin discharge'!D723</f>
        <v>xx</v>
      </c>
      <c r="E727" s="889"/>
      <c r="F727" s="915" t="str">
        <f>'refer admin discharge'!H723</f>
        <v>00/00/0000</v>
      </c>
      <c r="G727" s="890"/>
      <c r="H727" s="916"/>
      <c r="I727" s="916"/>
      <c r="J727" s="917"/>
      <c r="K727" s="917"/>
      <c r="L727" s="916"/>
      <c r="M727" s="916"/>
      <c r="N727" s="893"/>
      <c r="O727" s="893"/>
      <c r="P727" s="916"/>
      <c r="Q727" s="916"/>
      <c r="R727" s="893"/>
      <c r="S727" s="893"/>
      <c r="T727" s="916"/>
      <c r="U727" s="916"/>
      <c r="V727" s="921" t="str">
        <f>'refer admin discharge'!H728</f>
        <v>00/00/0000</v>
      </c>
      <c r="W727" s="922"/>
      <c r="X727" s="912"/>
      <c r="Y727" s="912"/>
      <c r="Z727" s="924"/>
      <c r="AA727" s="924"/>
      <c r="AB727" s="912"/>
      <c r="AC727" s="912"/>
      <c r="AD727" s="913"/>
      <c r="AE727" s="913"/>
      <c r="AF727" s="912"/>
      <c r="AG727" s="912"/>
      <c r="AH727" s="913"/>
      <c r="AI727" s="913"/>
      <c r="AJ727" s="912"/>
      <c r="AK727" s="912"/>
      <c r="AL727" s="925"/>
      <c r="AM727" s="926"/>
      <c r="AN727" s="926"/>
      <c r="AO727" s="926"/>
      <c r="AP727" s="926"/>
      <c r="AQ727" s="926"/>
      <c r="AR727" s="926"/>
      <c r="AS727" s="926"/>
      <c r="AT727" s="926"/>
      <c r="AU727" s="926"/>
      <c r="AV727" s="926"/>
      <c r="AW727" s="926"/>
      <c r="AX727" s="926"/>
      <c r="AY727" s="926"/>
      <c r="AZ727" s="926"/>
      <c r="BA727" s="926"/>
      <c r="BB727" s="927"/>
    </row>
    <row r="728" spans="1:54" x14ac:dyDescent="0.25">
      <c r="A728" s="13">
        <f t="shared" si="11"/>
        <v>715</v>
      </c>
      <c r="B728" s="888" t="str">
        <f>'refer admin discharge'!B724</f>
        <v>x</v>
      </c>
      <c r="C728" s="888"/>
      <c r="D728" s="868" t="str">
        <f>'refer admin discharge'!D724</f>
        <v>xx</v>
      </c>
      <c r="E728" s="868"/>
      <c r="F728" s="891" t="str">
        <f>'refer admin discharge'!H724</f>
        <v>00/00/0000</v>
      </c>
      <c r="G728" s="892"/>
      <c r="H728" s="894"/>
      <c r="I728" s="894"/>
      <c r="J728" s="918"/>
      <c r="K728" s="918"/>
      <c r="L728" s="894"/>
      <c r="M728" s="894"/>
      <c r="N728" s="916"/>
      <c r="O728" s="916"/>
      <c r="P728" s="894"/>
      <c r="Q728" s="894"/>
      <c r="R728" s="916"/>
      <c r="S728" s="916"/>
      <c r="T728" s="894"/>
      <c r="U728" s="894"/>
      <c r="V728" s="921" t="str">
        <f>'refer admin discharge'!H729</f>
        <v>00/00/0000</v>
      </c>
      <c r="W728" s="922"/>
      <c r="X728" s="920"/>
      <c r="Y728" s="920"/>
      <c r="Z728" s="919"/>
      <c r="AA728" s="919"/>
      <c r="AB728" s="920"/>
      <c r="AC728" s="920"/>
      <c r="AD728" s="912"/>
      <c r="AE728" s="912"/>
      <c r="AF728" s="920"/>
      <c r="AG728" s="920"/>
      <c r="AH728" s="912"/>
      <c r="AI728" s="912"/>
      <c r="AJ728" s="920"/>
      <c r="AK728" s="920"/>
      <c r="AL728" s="905"/>
      <c r="AM728" s="906"/>
      <c r="AN728" s="906"/>
      <c r="AO728" s="906"/>
      <c r="AP728" s="906"/>
      <c r="AQ728" s="906"/>
      <c r="AR728" s="906"/>
      <c r="AS728" s="906"/>
      <c r="AT728" s="906"/>
      <c r="AU728" s="906"/>
      <c r="AV728" s="906"/>
      <c r="AW728" s="906"/>
      <c r="AX728" s="906"/>
      <c r="AY728" s="906"/>
      <c r="AZ728" s="906"/>
      <c r="BA728" s="906"/>
      <c r="BB728" s="907"/>
    </row>
    <row r="729" spans="1:54" x14ac:dyDescent="0.25">
      <c r="A729" s="13">
        <f t="shared" si="11"/>
        <v>716</v>
      </c>
      <c r="B729" s="914" t="str">
        <f>'refer admin discharge'!B725</f>
        <v>x</v>
      </c>
      <c r="C729" s="914"/>
      <c r="D729" s="889" t="str">
        <f>'refer admin discharge'!D725</f>
        <v>xx</v>
      </c>
      <c r="E729" s="889"/>
      <c r="F729" s="915" t="str">
        <f>'refer admin discharge'!H725</f>
        <v>00/00/0000</v>
      </c>
      <c r="G729" s="890"/>
      <c r="H729" s="916"/>
      <c r="I729" s="916"/>
      <c r="J729" s="917"/>
      <c r="K729" s="917"/>
      <c r="L729" s="916"/>
      <c r="M729" s="916"/>
      <c r="N729" s="893"/>
      <c r="O729" s="893"/>
      <c r="P729" s="916"/>
      <c r="Q729" s="916"/>
      <c r="R729" s="893"/>
      <c r="S729" s="893"/>
      <c r="T729" s="916"/>
      <c r="U729" s="916"/>
      <c r="V729" s="921" t="str">
        <f>'refer admin discharge'!H730</f>
        <v>00/00/0000</v>
      </c>
      <c r="W729" s="922"/>
      <c r="X729" s="912"/>
      <c r="Y729" s="912"/>
      <c r="Z729" s="924"/>
      <c r="AA729" s="924"/>
      <c r="AB729" s="912"/>
      <c r="AC729" s="912"/>
      <c r="AD729" s="913"/>
      <c r="AE729" s="913"/>
      <c r="AF729" s="912"/>
      <c r="AG729" s="912"/>
      <c r="AH729" s="913"/>
      <c r="AI729" s="913"/>
      <c r="AJ729" s="912"/>
      <c r="AK729" s="912"/>
      <c r="AL729" s="925"/>
      <c r="AM729" s="926"/>
      <c r="AN729" s="926"/>
      <c r="AO729" s="926"/>
      <c r="AP729" s="926"/>
      <c r="AQ729" s="926"/>
      <c r="AR729" s="926"/>
      <c r="AS729" s="926"/>
      <c r="AT729" s="926"/>
      <c r="AU729" s="926"/>
      <c r="AV729" s="926"/>
      <c r="AW729" s="926"/>
      <c r="AX729" s="926"/>
      <c r="AY729" s="926"/>
      <c r="AZ729" s="926"/>
      <c r="BA729" s="926"/>
      <c r="BB729" s="927"/>
    </row>
    <row r="730" spans="1:54" x14ac:dyDescent="0.25">
      <c r="A730" s="13">
        <f t="shared" si="11"/>
        <v>717</v>
      </c>
      <c r="B730" s="888" t="str">
        <f>'refer admin discharge'!B726</f>
        <v>x</v>
      </c>
      <c r="C730" s="888"/>
      <c r="D730" s="868" t="str">
        <f>'refer admin discharge'!D726</f>
        <v>xx</v>
      </c>
      <c r="E730" s="868"/>
      <c r="F730" s="891" t="str">
        <f>'refer admin discharge'!H726</f>
        <v>00/00/0000</v>
      </c>
      <c r="G730" s="892"/>
      <c r="H730" s="894"/>
      <c r="I730" s="894"/>
      <c r="J730" s="918"/>
      <c r="K730" s="918"/>
      <c r="L730" s="894"/>
      <c r="M730" s="894"/>
      <c r="N730" s="916"/>
      <c r="O730" s="916"/>
      <c r="P730" s="894"/>
      <c r="Q730" s="894"/>
      <c r="R730" s="916"/>
      <c r="S730" s="916"/>
      <c r="T730" s="894"/>
      <c r="U730" s="894"/>
      <c r="V730" s="921" t="str">
        <f>'refer admin discharge'!H731</f>
        <v>00/00/0000</v>
      </c>
      <c r="W730" s="922"/>
      <c r="X730" s="920"/>
      <c r="Y730" s="920"/>
      <c r="Z730" s="919"/>
      <c r="AA730" s="919"/>
      <c r="AB730" s="920"/>
      <c r="AC730" s="920"/>
      <c r="AD730" s="912"/>
      <c r="AE730" s="912"/>
      <c r="AF730" s="920"/>
      <c r="AG730" s="920"/>
      <c r="AH730" s="912"/>
      <c r="AI730" s="912"/>
      <c r="AJ730" s="920"/>
      <c r="AK730" s="920"/>
      <c r="AL730" s="905"/>
      <c r="AM730" s="906"/>
      <c r="AN730" s="906"/>
      <c r="AO730" s="906"/>
      <c r="AP730" s="906"/>
      <c r="AQ730" s="906"/>
      <c r="AR730" s="906"/>
      <c r="AS730" s="906"/>
      <c r="AT730" s="906"/>
      <c r="AU730" s="906"/>
      <c r="AV730" s="906"/>
      <c r="AW730" s="906"/>
      <c r="AX730" s="906"/>
      <c r="AY730" s="906"/>
      <c r="AZ730" s="906"/>
      <c r="BA730" s="906"/>
      <c r="BB730" s="907"/>
    </row>
    <row r="731" spans="1:54" x14ac:dyDescent="0.25">
      <c r="A731" s="13">
        <f t="shared" si="11"/>
        <v>718</v>
      </c>
      <c r="B731" s="914" t="str">
        <f>'refer admin discharge'!B727</f>
        <v>x</v>
      </c>
      <c r="C731" s="914"/>
      <c r="D731" s="889" t="str">
        <f>'refer admin discharge'!D727</f>
        <v>xx</v>
      </c>
      <c r="E731" s="889"/>
      <c r="F731" s="915" t="str">
        <f>'refer admin discharge'!H727</f>
        <v>00/00/0000</v>
      </c>
      <c r="G731" s="890"/>
      <c r="H731" s="916"/>
      <c r="I731" s="916"/>
      <c r="J731" s="917"/>
      <c r="K731" s="917"/>
      <c r="L731" s="916"/>
      <c r="M731" s="916"/>
      <c r="N731" s="893"/>
      <c r="O731" s="893"/>
      <c r="P731" s="916"/>
      <c r="Q731" s="916"/>
      <c r="R731" s="893"/>
      <c r="S731" s="893"/>
      <c r="T731" s="916"/>
      <c r="U731" s="916"/>
      <c r="V731" s="921" t="str">
        <f>'refer admin discharge'!H732</f>
        <v>00/00/0000</v>
      </c>
      <c r="W731" s="922"/>
      <c r="X731" s="912"/>
      <c r="Y731" s="912"/>
      <c r="Z731" s="924"/>
      <c r="AA731" s="924"/>
      <c r="AB731" s="912"/>
      <c r="AC731" s="912"/>
      <c r="AD731" s="913"/>
      <c r="AE731" s="913"/>
      <c r="AF731" s="912"/>
      <c r="AG731" s="912"/>
      <c r="AH731" s="913"/>
      <c r="AI731" s="913"/>
      <c r="AJ731" s="912"/>
      <c r="AK731" s="912"/>
      <c r="AL731" s="925"/>
      <c r="AM731" s="926"/>
      <c r="AN731" s="926"/>
      <c r="AO731" s="926"/>
      <c r="AP731" s="926"/>
      <c r="AQ731" s="926"/>
      <c r="AR731" s="926"/>
      <c r="AS731" s="926"/>
      <c r="AT731" s="926"/>
      <c r="AU731" s="926"/>
      <c r="AV731" s="926"/>
      <c r="AW731" s="926"/>
      <c r="AX731" s="926"/>
      <c r="AY731" s="926"/>
      <c r="AZ731" s="926"/>
      <c r="BA731" s="926"/>
      <c r="BB731" s="927"/>
    </row>
    <row r="732" spans="1:54" x14ac:dyDescent="0.25">
      <c r="A732" s="13">
        <f t="shared" si="11"/>
        <v>719</v>
      </c>
      <c r="B732" s="888" t="str">
        <f>'refer admin discharge'!B728</f>
        <v>x</v>
      </c>
      <c r="C732" s="888"/>
      <c r="D732" s="868" t="str">
        <f>'refer admin discharge'!D728</f>
        <v>xx</v>
      </c>
      <c r="E732" s="868"/>
      <c r="F732" s="891" t="str">
        <f>'refer admin discharge'!H728</f>
        <v>00/00/0000</v>
      </c>
      <c r="G732" s="892"/>
      <c r="H732" s="894"/>
      <c r="I732" s="894"/>
      <c r="J732" s="918"/>
      <c r="K732" s="918"/>
      <c r="L732" s="894"/>
      <c r="M732" s="894"/>
      <c r="N732" s="916"/>
      <c r="O732" s="916"/>
      <c r="P732" s="894"/>
      <c r="Q732" s="894"/>
      <c r="R732" s="916"/>
      <c r="S732" s="916"/>
      <c r="T732" s="894"/>
      <c r="U732" s="894"/>
      <c r="V732" s="921" t="str">
        <f>'refer admin discharge'!H733</f>
        <v>00/00/0000</v>
      </c>
      <c r="W732" s="922"/>
      <c r="X732" s="920"/>
      <c r="Y732" s="920"/>
      <c r="Z732" s="919"/>
      <c r="AA732" s="919"/>
      <c r="AB732" s="920"/>
      <c r="AC732" s="920"/>
      <c r="AD732" s="912"/>
      <c r="AE732" s="912"/>
      <c r="AF732" s="920"/>
      <c r="AG732" s="920"/>
      <c r="AH732" s="912"/>
      <c r="AI732" s="912"/>
      <c r="AJ732" s="920"/>
      <c r="AK732" s="920"/>
      <c r="AL732" s="905"/>
      <c r="AM732" s="906"/>
      <c r="AN732" s="906"/>
      <c r="AO732" s="906"/>
      <c r="AP732" s="906"/>
      <c r="AQ732" s="906"/>
      <c r="AR732" s="906"/>
      <c r="AS732" s="906"/>
      <c r="AT732" s="906"/>
      <c r="AU732" s="906"/>
      <c r="AV732" s="906"/>
      <c r="AW732" s="906"/>
      <c r="AX732" s="906"/>
      <c r="AY732" s="906"/>
      <c r="AZ732" s="906"/>
      <c r="BA732" s="906"/>
      <c r="BB732" s="907"/>
    </row>
    <row r="733" spans="1:54" x14ac:dyDescent="0.25">
      <c r="A733" s="13">
        <f t="shared" si="11"/>
        <v>720</v>
      </c>
      <c r="B733" s="914" t="str">
        <f>'refer admin discharge'!B729</f>
        <v>x</v>
      </c>
      <c r="C733" s="914"/>
      <c r="D733" s="889" t="str">
        <f>'refer admin discharge'!D729</f>
        <v>xx</v>
      </c>
      <c r="E733" s="889"/>
      <c r="F733" s="915" t="str">
        <f>'refer admin discharge'!H729</f>
        <v>00/00/0000</v>
      </c>
      <c r="G733" s="890"/>
      <c r="H733" s="916"/>
      <c r="I733" s="916"/>
      <c r="J733" s="917"/>
      <c r="K733" s="917"/>
      <c r="L733" s="916"/>
      <c r="M733" s="916"/>
      <c r="N733" s="893"/>
      <c r="O733" s="893"/>
      <c r="P733" s="916"/>
      <c r="Q733" s="916"/>
      <c r="R733" s="893"/>
      <c r="S733" s="893"/>
      <c r="T733" s="916"/>
      <c r="U733" s="916"/>
      <c r="V733" s="921" t="str">
        <f>'refer admin discharge'!H734</f>
        <v>00/00/0000</v>
      </c>
      <c r="W733" s="922"/>
      <c r="X733" s="912"/>
      <c r="Y733" s="912"/>
      <c r="Z733" s="924"/>
      <c r="AA733" s="924"/>
      <c r="AB733" s="912"/>
      <c r="AC733" s="912"/>
      <c r="AD733" s="913"/>
      <c r="AE733" s="913"/>
      <c r="AF733" s="912"/>
      <c r="AG733" s="912"/>
      <c r="AH733" s="913"/>
      <c r="AI733" s="913"/>
      <c r="AJ733" s="912"/>
      <c r="AK733" s="912"/>
      <c r="AL733" s="925"/>
      <c r="AM733" s="926"/>
      <c r="AN733" s="926"/>
      <c r="AO733" s="926"/>
      <c r="AP733" s="926"/>
      <c r="AQ733" s="926"/>
      <c r="AR733" s="926"/>
      <c r="AS733" s="926"/>
      <c r="AT733" s="926"/>
      <c r="AU733" s="926"/>
      <c r="AV733" s="926"/>
      <c r="AW733" s="926"/>
      <c r="AX733" s="926"/>
      <c r="AY733" s="926"/>
      <c r="AZ733" s="926"/>
      <c r="BA733" s="926"/>
      <c r="BB733" s="927"/>
    </row>
    <row r="734" spans="1:54" x14ac:dyDescent="0.25">
      <c r="A734" s="13">
        <f t="shared" si="11"/>
        <v>721</v>
      </c>
      <c r="B734" s="888" t="str">
        <f>'refer admin discharge'!B730</f>
        <v>x</v>
      </c>
      <c r="C734" s="888"/>
      <c r="D734" s="868" t="str">
        <f>'refer admin discharge'!D730</f>
        <v>xx</v>
      </c>
      <c r="E734" s="868"/>
      <c r="F734" s="891" t="str">
        <f>'refer admin discharge'!H730</f>
        <v>00/00/0000</v>
      </c>
      <c r="G734" s="892"/>
      <c r="H734" s="894"/>
      <c r="I734" s="894"/>
      <c r="J734" s="918"/>
      <c r="K734" s="918"/>
      <c r="L734" s="894"/>
      <c r="M734" s="894"/>
      <c r="N734" s="916"/>
      <c r="O734" s="916"/>
      <c r="P734" s="894"/>
      <c r="Q734" s="894"/>
      <c r="R734" s="916"/>
      <c r="S734" s="916"/>
      <c r="T734" s="894"/>
      <c r="U734" s="894"/>
      <c r="V734" s="921" t="str">
        <f>'refer admin discharge'!H735</f>
        <v>00/00/0000</v>
      </c>
      <c r="W734" s="922"/>
      <c r="X734" s="920"/>
      <c r="Y734" s="920"/>
      <c r="Z734" s="919"/>
      <c r="AA734" s="919"/>
      <c r="AB734" s="920"/>
      <c r="AC734" s="920"/>
      <c r="AD734" s="912"/>
      <c r="AE734" s="912"/>
      <c r="AF734" s="920"/>
      <c r="AG734" s="920"/>
      <c r="AH734" s="912"/>
      <c r="AI734" s="912"/>
      <c r="AJ734" s="920"/>
      <c r="AK734" s="920"/>
      <c r="AL734" s="905"/>
      <c r="AM734" s="906"/>
      <c r="AN734" s="906"/>
      <c r="AO734" s="906"/>
      <c r="AP734" s="906"/>
      <c r="AQ734" s="906"/>
      <c r="AR734" s="906"/>
      <c r="AS734" s="906"/>
      <c r="AT734" s="906"/>
      <c r="AU734" s="906"/>
      <c r="AV734" s="906"/>
      <c r="AW734" s="906"/>
      <c r="AX734" s="906"/>
      <c r="AY734" s="906"/>
      <c r="AZ734" s="906"/>
      <c r="BA734" s="906"/>
      <c r="BB734" s="907"/>
    </row>
    <row r="735" spans="1:54" x14ac:dyDescent="0.25">
      <c r="A735" s="13">
        <f t="shared" si="11"/>
        <v>722</v>
      </c>
      <c r="B735" s="914" t="str">
        <f>'refer admin discharge'!B731</f>
        <v>x</v>
      </c>
      <c r="C735" s="914"/>
      <c r="D735" s="889" t="str">
        <f>'refer admin discharge'!D731</f>
        <v>xx</v>
      </c>
      <c r="E735" s="889"/>
      <c r="F735" s="915" t="str">
        <f>'refer admin discharge'!H731</f>
        <v>00/00/0000</v>
      </c>
      <c r="G735" s="890"/>
      <c r="H735" s="916"/>
      <c r="I735" s="916"/>
      <c r="J735" s="917"/>
      <c r="K735" s="917"/>
      <c r="L735" s="916"/>
      <c r="M735" s="916"/>
      <c r="N735" s="893"/>
      <c r="O735" s="893"/>
      <c r="P735" s="916"/>
      <c r="Q735" s="916"/>
      <c r="R735" s="893"/>
      <c r="S735" s="893"/>
      <c r="T735" s="916"/>
      <c r="U735" s="916"/>
      <c r="V735" s="921" t="str">
        <f>'refer admin discharge'!H736</f>
        <v>00/00/0000</v>
      </c>
      <c r="W735" s="922"/>
      <c r="X735" s="912"/>
      <c r="Y735" s="912"/>
      <c r="Z735" s="924"/>
      <c r="AA735" s="924"/>
      <c r="AB735" s="912"/>
      <c r="AC735" s="912"/>
      <c r="AD735" s="913"/>
      <c r="AE735" s="913"/>
      <c r="AF735" s="912"/>
      <c r="AG735" s="912"/>
      <c r="AH735" s="913"/>
      <c r="AI735" s="913"/>
      <c r="AJ735" s="912"/>
      <c r="AK735" s="912"/>
      <c r="AL735" s="925"/>
      <c r="AM735" s="926"/>
      <c r="AN735" s="926"/>
      <c r="AO735" s="926"/>
      <c r="AP735" s="926"/>
      <c r="AQ735" s="926"/>
      <c r="AR735" s="926"/>
      <c r="AS735" s="926"/>
      <c r="AT735" s="926"/>
      <c r="AU735" s="926"/>
      <c r="AV735" s="926"/>
      <c r="AW735" s="926"/>
      <c r="AX735" s="926"/>
      <c r="AY735" s="926"/>
      <c r="AZ735" s="926"/>
      <c r="BA735" s="926"/>
      <c r="BB735" s="927"/>
    </row>
    <row r="736" spans="1:54" x14ac:dyDescent="0.25">
      <c r="A736" s="13">
        <f t="shared" si="11"/>
        <v>723</v>
      </c>
      <c r="B736" s="888" t="str">
        <f>'refer admin discharge'!B732</f>
        <v>x</v>
      </c>
      <c r="C736" s="888"/>
      <c r="D736" s="868" t="str">
        <f>'refer admin discharge'!D732</f>
        <v>xx</v>
      </c>
      <c r="E736" s="868"/>
      <c r="F736" s="891" t="str">
        <f>'refer admin discharge'!H732</f>
        <v>00/00/0000</v>
      </c>
      <c r="G736" s="892"/>
      <c r="H736" s="894"/>
      <c r="I736" s="894"/>
      <c r="J736" s="918"/>
      <c r="K736" s="918"/>
      <c r="L736" s="894"/>
      <c r="M736" s="894"/>
      <c r="N736" s="916"/>
      <c r="O736" s="916"/>
      <c r="P736" s="894"/>
      <c r="Q736" s="894"/>
      <c r="R736" s="916"/>
      <c r="S736" s="916"/>
      <c r="T736" s="894"/>
      <c r="U736" s="894"/>
      <c r="V736" s="921" t="str">
        <f>'refer admin discharge'!H737</f>
        <v>00/00/0000</v>
      </c>
      <c r="W736" s="922"/>
      <c r="X736" s="920"/>
      <c r="Y736" s="920"/>
      <c r="Z736" s="919"/>
      <c r="AA736" s="919"/>
      <c r="AB736" s="920"/>
      <c r="AC736" s="920"/>
      <c r="AD736" s="912"/>
      <c r="AE736" s="912"/>
      <c r="AF736" s="920"/>
      <c r="AG736" s="920"/>
      <c r="AH736" s="912"/>
      <c r="AI736" s="912"/>
      <c r="AJ736" s="920"/>
      <c r="AK736" s="920"/>
      <c r="AL736" s="905"/>
      <c r="AM736" s="906"/>
      <c r="AN736" s="906"/>
      <c r="AO736" s="906"/>
      <c r="AP736" s="906"/>
      <c r="AQ736" s="906"/>
      <c r="AR736" s="906"/>
      <c r="AS736" s="906"/>
      <c r="AT736" s="906"/>
      <c r="AU736" s="906"/>
      <c r="AV736" s="906"/>
      <c r="AW736" s="906"/>
      <c r="AX736" s="906"/>
      <c r="AY736" s="906"/>
      <c r="AZ736" s="906"/>
      <c r="BA736" s="906"/>
      <c r="BB736" s="907"/>
    </row>
    <row r="737" spans="1:54" x14ac:dyDescent="0.25">
      <c r="A737" s="13">
        <f t="shared" si="11"/>
        <v>724</v>
      </c>
      <c r="B737" s="914" t="str">
        <f>'refer admin discharge'!B733</f>
        <v>x</v>
      </c>
      <c r="C737" s="914"/>
      <c r="D737" s="889" t="str">
        <f>'refer admin discharge'!D733</f>
        <v>xx</v>
      </c>
      <c r="E737" s="889"/>
      <c r="F737" s="915" t="str">
        <f>'refer admin discharge'!H733</f>
        <v>00/00/0000</v>
      </c>
      <c r="G737" s="890"/>
      <c r="H737" s="916"/>
      <c r="I737" s="916"/>
      <c r="J737" s="917"/>
      <c r="K737" s="917"/>
      <c r="L737" s="916"/>
      <c r="M737" s="916"/>
      <c r="N737" s="893"/>
      <c r="O737" s="893"/>
      <c r="P737" s="916"/>
      <c r="Q737" s="916"/>
      <c r="R737" s="893"/>
      <c r="S737" s="893"/>
      <c r="T737" s="916"/>
      <c r="U737" s="916"/>
      <c r="V737" s="921" t="str">
        <f>'refer admin discharge'!H738</f>
        <v>00/00/0000</v>
      </c>
      <c r="W737" s="922"/>
      <c r="X737" s="912"/>
      <c r="Y737" s="912"/>
      <c r="Z737" s="924"/>
      <c r="AA737" s="924"/>
      <c r="AB737" s="912"/>
      <c r="AC737" s="912"/>
      <c r="AD737" s="913"/>
      <c r="AE737" s="913"/>
      <c r="AF737" s="912"/>
      <c r="AG737" s="912"/>
      <c r="AH737" s="913"/>
      <c r="AI737" s="913"/>
      <c r="AJ737" s="912"/>
      <c r="AK737" s="912"/>
      <c r="AL737" s="925"/>
      <c r="AM737" s="926"/>
      <c r="AN737" s="926"/>
      <c r="AO737" s="926"/>
      <c r="AP737" s="926"/>
      <c r="AQ737" s="926"/>
      <c r="AR737" s="926"/>
      <c r="AS737" s="926"/>
      <c r="AT737" s="926"/>
      <c r="AU737" s="926"/>
      <c r="AV737" s="926"/>
      <c r="AW737" s="926"/>
      <c r="AX737" s="926"/>
      <c r="AY737" s="926"/>
      <c r="AZ737" s="926"/>
      <c r="BA737" s="926"/>
      <c r="BB737" s="927"/>
    </row>
    <row r="738" spans="1:54" x14ac:dyDescent="0.25">
      <c r="A738" s="13">
        <f t="shared" si="11"/>
        <v>725</v>
      </c>
      <c r="B738" s="888" t="str">
        <f>'refer admin discharge'!B734</f>
        <v>x</v>
      </c>
      <c r="C738" s="888"/>
      <c r="D738" s="868" t="str">
        <f>'refer admin discharge'!D734</f>
        <v>xx</v>
      </c>
      <c r="E738" s="868"/>
      <c r="F738" s="891" t="str">
        <f>'refer admin discharge'!H734</f>
        <v>00/00/0000</v>
      </c>
      <c r="G738" s="892"/>
      <c r="H738" s="894"/>
      <c r="I738" s="894"/>
      <c r="J738" s="918"/>
      <c r="K738" s="918"/>
      <c r="L738" s="894"/>
      <c r="M738" s="894"/>
      <c r="N738" s="916"/>
      <c r="O738" s="916"/>
      <c r="P738" s="894"/>
      <c r="Q738" s="894"/>
      <c r="R738" s="916"/>
      <c r="S738" s="916"/>
      <c r="T738" s="894"/>
      <c r="U738" s="894"/>
      <c r="V738" s="921" t="str">
        <f>'refer admin discharge'!H739</f>
        <v>00/00/0000</v>
      </c>
      <c r="W738" s="922"/>
      <c r="X738" s="920"/>
      <c r="Y738" s="920"/>
      <c r="Z738" s="919"/>
      <c r="AA738" s="919"/>
      <c r="AB738" s="920"/>
      <c r="AC738" s="920"/>
      <c r="AD738" s="912"/>
      <c r="AE738" s="912"/>
      <c r="AF738" s="920"/>
      <c r="AG738" s="920"/>
      <c r="AH738" s="912"/>
      <c r="AI738" s="912"/>
      <c r="AJ738" s="920"/>
      <c r="AK738" s="920"/>
      <c r="AL738" s="905"/>
      <c r="AM738" s="906"/>
      <c r="AN738" s="906"/>
      <c r="AO738" s="906"/>
      <c r="AP738" s="906"/>
      <c r="AQ738" s="906"/>
      <c r="AR738" s="906"/>
      <c r="AS738" s="906"/>
      <c r="AT738" s="906"/>
      <c r="AU738" s="906"/>
      <c r="AV738" s="906"/>
      <c r="AW738" s="906"/>
      <c r="AX738" s="906"/>
      <c r="AY738" s="906"/>
      <c r="AZ738" s="906"/>
      <c r="BA738" s="906"/>
      <c r="BB738" s="907"/>
    </row>
    <row r="739" spans="1:54" x14ac:dyDescent="0.25">
      <c r="A739" s="13">
        <f t="shared" si="11"/>
        <v>726</v>
      </c>
      <c r="B739" s="914" t="str">
        <f>'refer admin discharge'!B735</f>
        <v>x</v>
      </c>
      <c r="C739" s="914"/>
      <c r="D739" s="889" t="str">
        <f>'refer admin discharge'!D735</f>
        <v>xx</v>
      </c>
      <c r="E739" s="889"/>
      <c r="F739" s="915" t="str">
        <f>'refer admin discharge'!H735</f>
        <v>00/00/0000</v>
      </c>
      <c r="G739" s="890"/>
      <c r="H739" s="916"/>
      <c r="I739" s="916"/>
      <c r="J739" s="917"/>
      <c r="K739" s="917"/>
      <c r="L739" s="916"/>
      <c r="M739" s="916"/>
      <c r="N739" s="893"/>
      <c r="O739" s="893"/>
      <c r="P739" s="916"/>
      <c r="Q739" s="916"/>
      <c r="R739" s="893"/>
      <c r="S739" s="893"/>
      <c r="T739" s="916"/>
      <c r="U739" s="916"/>
      <c r="V739" s="921" t="str">
        <f>'refer admin discharge'!H740</f>
        <v>00/00/0000</v>
      </c>
      <c r="W739" s="922"/>
      <c r="X739" s="912"/>
      <c r="Y739" s="912"/>
      <c r="Z739" s="924"/>
      <c r="AA739" s="924"/>
      <c r="AB739" s="912"/>
      <c r="AC739" s="912"/>
      <c r="AD739" s="913"/>
      <c r="AE739" s="913"/>
      <c r="AF739" s="912"/>
      <c r="AG739" s="912"/>
      <c r="AH739" s="913"/>
      <c r="AI739" s="913"/>
      <c r="AJ739" s="912"/>
      <c r="AK739" s="912"/>
      <c r="AL739" s="925"/>
      <c r="AM739" s="926"/>
      <c r="AN739" s="926"/>
      <c r="AO739" s="926"/>
      <c r="AP739" s="926"/>
      <c r="AQ739" s="926"/>
      <c r="AR739" s="926"/>
      <c r="AS739" s="926"/>
      <c r="AT739" s="926"/>
      <c r="AU739" s="926"/>
      <c r="AV739" s="926"/>
      <c r="AW739" s="926"/>
      <c r="AX739" s="926"/>
      <c r="AY739" s="926"/>
      <c r="AZ739" s="926"/>
      <c r="BA739" s="926"/>
      <c r="BB739" s="927"/>
    </row>
    <row r="740" spans="1:54" x14ac:dyDescent="0.25">
      <c r="A740" s="13">
        <f t="shared" si="11"/>
        <v>727</v>
      </c>
      <c r="B740" s="888" t="str">
        <f>'refer admin discharge'!B736</f>
        <v>x</v>
      </c>
      <c r="C740" s="888"/>
      <c r="D740" s="868" t="str">
        <f>'refer admin discharge'!D736</f>
        <v>xx</v>
      </c>
      <c r="E740" s="868"/>
      <c r="F740" s="891" t="str">
        <f>'refer admin discharge'!H736</f>
        <v>00/00/0000</v>
      </c>
      <c r="G740" s="892"/>
      <c r="H740" s="894"/>
      <c r="I740" s="894"/>
      <c r="J740" s="918"/>
      <c r="K740" s="918"/>
      <c r="L740" s="894"/>
      <c r="M740" s="894"/>
      <c r="N740" s="916"/>
      <c r="O740" s="916"/>
      <c r="P740" s="894"/>
      <c r="Q740" s="894"/>
      <c r="R740" s="916"/>
      <c r="S740" s="916"/>
      <c r="T740" s="894"/>
      <c r="U740" s="894"/>
      <c r="V740" s="921" t="str">
        <f>'refer admin discharge'!H741</f>
        <v>00/00/0000</v>
      </c>
      <c r="W740" s="922"/>
      <c r="X740" s="920"/>
      <c r="Y740" s="920"/>
      <c r="Z740" s="919"/>
      <c r="AA740" s="919"/>
      <c r="AB740" s="920"/>
      <c r="AC740" s="920"/>
      <c r="AD740" s="912"/>
      <c r="AE740" s="912"/>
      <c r="AF740" s="920"/>
      <c r="AG740" s="920"/>
      <c r="AH740" s="912"/>
      <c r="AI740" s="912"/>
      <c r="AJ740" s="920"/>
      <c r="AK740" s="920"/>
      <c r="AL740" s="905"/>
      <c r="AM740" s="906"/>
      <c r="AN740" s="906"/>
      <c r="AO740" s="906"/>
      <c r="AP740" s="906"/>
      <c r="AQ740" s="906"/>
      <c r="AR740" s="906"/>
      <c r="AS740" s="906"/>
      <c r="AT740" s="906"/>
      <c r="AU740" s="906"/>
      <c r="AV740" s="906"/>
      <c r="AW740" s="906"/>
      <c r="AX740" s="906"/>
      <c r="AY740" s="906"/>
      <c r="AZ740" s="906"/>
      <c r="BA740" s="906"/>
      <c r="BB740" s="907"/>
    </row>
    <row r="741" spans="1:54" x14ac:dyDescent="0.25">
      <c r="A741" s="13">
        <f t="shared" si="11"/>
        <v>728</v>
      </c>
      <c r="B741" s="914" t="str">
        <f>'refer admin discharge'!B737</f>
        <v>x</v>
      </c>
      <c r="C741" s="914"/>
      <c r="D741" s="889" t="str">
        <f>'refer admin discharge'!D737</f>
        <v>xx</v>
      </c>
      <c r="E741" s="889"/>
      <c r="F741" s="915" t="str">
        <f>'refer admin discharge'!H737</f>
        <v>00/00/0000</v>
      </c>
      <c r="G741" s="890"/>
      <c r="H741" s="916"/>
      <c r="I741" s="916"/>
      <c r="J741" s="917"/>
      <c r="K741" s="917"/>
      <c r="L741" s="916"/>
      <c r="M741" s="916"/>
      <c r="N741" s="893"/>
      <c r="O741" s="893"/>
      <c r="P741" s="916"/>
      <c r="Q741" s="916"/>
      <c r="R741" s="893"/>
      <c r="S741" s="893"/>
      <c r="T741" s="916"/>
      <c r="U741" s="916"/>
      <c r="V741" s="921" t="str">
        <f>'refer admin discharge'!H742</f>
        <v>00/00/0000</v>
      </c>
      <c r="W741" s="922"/>
      <c r="X741" s="912"/>
      <c r="Y741" s="912"/>
      <c r="Z741" s="924"/>
      <c r="AA741" s="924"/>
      <c r="AB741" s="912"/>
      <c r="AC741" s="912"/>
      <c r="AD741" s="913"/>
      <c r="AE741" s="913"/>
      <c r="AF741" s="912"/>
      <c r="AG741" s="912"/>
      <c r="AH741" s="913"/>
      <c r="AI741" s="913"/>
      <c r="AJ741" s="912"/>
      <c r="AK741" s="912"/>
      <c r="AL741" s="925"/>
      <c r="AM741" s="926"/>
      <c r="AN741" s="926"/>
      <c r="AO741" s="926"/>
      <c r="AP741" s="926"/>
      <c r="AQ741" s="926"/>
      <c r="AR741" s="926"/>
      <c r="AS741" s="926"/>
      <c r="AT741" s="926"/>
      <c r="AU741" s="926"/>
      <c r="AV741" s="926"/>
      <c r="AW741" s="926"/>
      <c r="AX741" s="926"/>
      <c r="AY741" s="926"/>
      <c r="AZ741" s="926"/>
      <c r="BA741" s="926"/>
      <c r="BB741" s="927"/>
    </row>
    <row r="742" spans="1:54" x14ac:dyDescent="0.25">
      <c r="A742" s="13">
        <f t="shared" si="11"/>
        <v>729</v>
      </c>
      <c r="B742" s="888" t="str">
        <f>'refer admin discharge'!B738</f>
        <v>x</v>
      </c>
      <c r="C742" s="888"/>
      <c r="D742" s="868" t="str">
        <f>'refer admin discharge'!D738</f>
        <v>xx</v>
      </c>
      <c r="E742" s="868"/>
      <c r="F742" s="891" t="str">
        <f>'refer admin discharge'!H738</f>
        <v>00/00/0000</v>
      </c>
      <c r="G742" s="892"/>
      <c r="H742" s="894"/>
      <c r="I742" s="894"/>
      <c r="J742" s="918"/>
      <c r="K742" s="918"/>
      <c r="L742" s="894"/>
      <c r="M742" s="894"/>
      <c r="N742" s="916"/>
      <c r="O742" s="916"/>
      <c r="P742" s="894"/>
      <c r="Q742" s="894"/>
      <c r="R742" s="916"/>
      <c r="S742" s="916"/>
      <c r="T742" s="894"/>
      <c r="U742" s="894"/>
      <c r="V742" s="921" t="str">
        <f>'refer admin discharge'!H743</f>
        <v>00/00/0000</v>
      </c>
      <c r="W742" s="922"/>
      <c r="X742" s="920"/>
      <c r="Y742" s="920"/>
      <c r="Z742" s="919"/>
      <c r="AA742" s="919"/>
      <c r="AB742" s="920"/>
      <c r="AC742" s="920"/>
      <c r="AD742" s="912"/>
      <c r="AE742" s="912"/>
      <c r="AF742" s="920"/>
      <c r="AG742" s="920"/>
      <c r="AH742" s="912"/>
      <c r="AI742" s="912"/>
      <c r="AJ742" s="920"/>
      <c r="AK742" s="920"/>
      <c r="AL742" s="905"/>
      <c r="AM742" s="906"/>
      <c r="AN742" s="906"/>
      <c r="AO742" s="906"/>
      <c r="AP742" s="906"/>
      <c r="AQ742" s="906"/>
      <c r="AR742" s="906"/>
      <c r="AS742" s="906"/>
      <c r="AT742" s="906"/>
      <c r="AU742" s="906"/>
      <c r="AV742" s="906"/>
      <c r="AW742" s="906"/>
      <c r="AX742" s="906"/>
      <c r="AY742" s="906"/>
      <c r="AZ742" s="906"/>
      <c r="BA742" s="906"/>
      <c r="BB742" s="907"/>
    </row>
    <row r="743" spans="1:54" x14ac:dyDescent="0.25">
      <c r="A743" s="13">
        <f t="shared" si="11"/>
        <v>730</v>
      </c>
      <c r="B743" s="914" t="str">
        <f>'refer admin discharge'!B739</f>
        <v>x</v>
      </c>
      <c r="C743" s="914"/>
      <c r="D743" s="889" t="str">
        <f>'refer admin discharge'!D739</f>
        <v>xx</v>
      </c>
      <c r="E743" s="889"/>
      <c r="F743" s="915" t="str">
        <f>'refer admin discharge'!H739</f>
        <v>00/00/0000</v>
      </c>
      <c r="G743" s="890"/>
      <c r="H743" s="916"/>
      <c r="I743" s="916"/>
      <c r="J743" s="917"/>
      <c r="K743" s="917"/>
      <c r="L743" s="916"/>
      <c r="M743" s="916"/>
      <c r="N743" s="893"/>
      <c r="O743" s="893"/>
      <c r="P743" s="916"/>
      <c r="Q743" s="916"/>
      <c r="R743" s="893"/>
      <c r="S743" s="893"/>
      <c r="T743" s="916"/>
      <c r="U743" s="916"/>
      <c r="V743" s="921" t="str">
        <f>'refer admin discharge'!H744</f>
        <v>00/00/0000</v>
      </c>
      <c r="W743" s="922"/>
      <c r="X743" s="912"/>
      <c r="Y743" s="912"/>
      <c r="Z743" s="924"/>
      <c r="AA743" s="924"/>
      <c r="AB743" s="912"/>
      <c r="AC743" s="912"/>
      <c r="AD743" s="913"/>
      <c r="AE743" s="913"/>
      <c r="AF743" s="912"/>
      <c r="AG743" s="912"/>
      <c r="AH743" s="913"/>
      <c r="AI743" s="913"/>
      <c r="AJ743" s="912"/>
      <c r="AK743" s="912"/>
      <c r="AL743" s="925"/>
      <c r="AM743" s="926"/>
      <c r="AN743" s="926"/>
      <c r="AO743" s="926"/>
      <c r="AP743" s="926"/>
      <c r="AQ743" s="926"/>
      <c r="AR743" s="926"/>
      <c r="AS743" s="926"/>
      <c r="AT743" s="926"/>
      <c r="AU743" s="926"/>
      <c r="AV743" s="926"/>
      <c r="AW743" s="926"/>
      <c r="AX743" s="926"/>
      <c r="AY743" s="926"/>
      <c r="AZ743" s="926"/>
      <c r="BA743" s="926"/>
      <c r="BB743" s="927"/>
    </row>
    <row r="744" spans="1:54" x14ac:dyDescent="0.25">
      <c r="A744" s="13">
        <f t="shared" si="11"/>
        <v>731</v>
      </c>
      <c r="B744" s="888" t="str">
        <f>'refer admin discharge'!B740</f>
        <v>x</v>
      </c>
      <c r="C744" s="888"/>
      <c r="D744" s="868" t="str">
        <f>'refer admin discharge'!D740</f>
        <v>xx</v>
      </c>
      <c r="E744" s="868"/>
      <c r="F744" s="891" t="str">
        <f>'refer admin discharge'!H740</f>
        <v>00/00/0000</v>
      </c>
      <c r="G744" s="892"/>
      <c r="H744" s="894"/>
      <c r="I744" s="894"/>
      <c r="J744" s="918"/>
      <c r="K744" s="918"/>
      <c r="L744" s="894"/>
      <c r="M744" s="894"/>
      <c r="N744" s="916"/>
      <c r="O744" s="916"/>
      <c r="P744" s="894"/>
      <c r="Q744" s="894"/>
      <c r="R744" s="916"/>
      <c r="S744" s="916"/>
      <c r="T744" s="894"/>
      <c r="U744" s="894"/>
      <c r="V744" s="921" t="str">
        <f>'refer admin discharge'!H745</f>
        <v>00/00/0000</v>
      </c>
      <c r="W744" s="922"/>
      <c r="X744" s="920"/>
      <c r="Y744" s="920"/>
      <c r="Z744" s="919"/>
      <c r="AA744" s="919"/>
      <c r="AB744" s="920"/>
      <c r="AC744" s="920"/>
      <c r="AD744" s="912"/>
      <c r="AE744" s="912"/>
      <c r="AF744" s="920"/>
      <c r="AG744" s="920"/>
      <c r="AH744" s="912"/>
      <c r="AI744" s="912"/>
      <c r="AJ744" s="920"/>
      <c r="AK744" s="920"/>
      <c r="AL744" s="905"/>
      <c r="AM744" s="906"/>
      <c r="AN744" s="906"/>
      <c r="AO744" s="906"/>
      <c r="AP744" s="906"/>
      <c r="AQ744" s="906"/>
      <c r="AR744" s="906"/>
      <c r="AS744" s="906"/>
      <c r="AT744" s="906"/>
      <c r="AU744" s="906"/>
      <c r="AV744" s="906"/>
      <c r="AW744" s="906"/>
      <c r="AX744" s="906"/>
      <c r="AY744" s="906"/>
      <c r="AZ744" s="906"/>
      <c r="BA744" s="906"/>
      <c r="BB744" s="907"/>
    </row>
    <row r="745" spans="1:54" x14ac:dyDescent="0.25">
      <c r="A745" s="13">
        <f t="shared" si="11"/>
        <v>732</v>
      </c>
      <c r="B745" s="914" t="str">
        <f>'refer admin discharge'!B741</f>
        <v>x</v>
      </c>
      <c r="C745" s="914"/>
      <c r="D745" s="889" t="str">
        <f>'refer admin discharge'!D741</f>
        <v>xx</v>
      </c>
      <c r="E745" s="889"/>
      <c r="F745" s="915" t="str">
        <f>'refer admin discharge'!H741</f>
        <v>00/00/0000</v>
      </c>
      <c r="G745" s="890"/>
      <c r="H745" s="916"/>
      <c r="I745" s="916"/>
      <c r="J745" s="917"/>
      <c r="K745" s="917"/>
      <c r="L745" s="916"/>
      <c r="M745" s="916"/>
      <c r="N745" s="893"/>
      <c r="O745" s="893"/>
      <c r="P745" s="916"/>
      <c r="Q745" s="916"/>
      <c r="R745" s="893"/>
      <c r="S745" s="893"/>
      <c r="T745" s="916"/>
      <c r="U745" s="916"/>
      <c r="V745" s="921" t="str">
        <f>'refer admin discharge'!H746</f>
        <v>00/00/0000</v>
      </c>
      <c r="W745" s="922"/>
      <c r="X745" s="912"/>
      <c r="Y745" s="912"/>
      <c r="Z745" s="924"/>
      <c r="AA745" s="924"/>
      <c r="AB745" s="912"/>
      <c r="AC745" s="912"/>
      <c r="AD745" s="913"/>
      <c r="AE745" s="913"/>
      <c r="AF745" s="912"/>
      <c r="AG745" s="912"/>
      <c r="AH745" s="913"/>
      <c r="AI745" s="913"/>
      <c r="AJ745" s="912"/>
      <c r="AK745" s="912"/>
      <c r="AL745" s="925"/>
      <c r="AM745" s="926"/>
      <c r="AN745" s="926"/>
      <c r="AO745" s="926"/>
      <c r="AP745" s="926"/>
      <c r="AQ745" s="926"/>
      <c r="AR745" s="926"/>
      <c r="AS745" s="926"/>
      <c r="AT745" s="926"/>
      <c r="AU745" s="926"/>
      <c r="AV745" s="926"/>
      <c r="AW745" s="926"/>
      <c r="AX745" s="926"/>
      <c r="AY745" s="926"/>
      <c r="AZ745" s="926"/>
      <c r="BA745" s="926"/>
      <c r="BB745" s="927"/>
    </row>
    <row r="746" spans="1:54" x14ac:dyDescent="0.25">
      <c r="A746" s="13">
        <f t="shared" si="11"/>
        <v>733</v>
      </c>
      <c r="B746" s="888" t="str">
        <f>'refer admin discharge'!B742</f>
        <v>x</v>
      </c>
      <c r="C746" s="888"/>
      <c r="D746" s="868" t="str">
        <f>'refer admin discharge'!D742</f>
        <v>xx</v>
      </c>
      <c r="E746" s="868"/>
      <c r="F746" s="891" t="str">
        <f>'refer admin discharge'!H742</f>
        <v>00/00/0000</v>
      </c>
      <c r="G746" s="892"/>
      <c r="H746" s="894"/>
      <c r="I746" s="894"/>
      <c r="J746" s="918"/>
      <c r="K746" s="918"/>
      <c r="L746" s="894"/>
      <c r="M746" s="894"/>
      <c r="N746" s="916"/>
      <c r="O746" s="916"/>
      <c r="P746" s="894"/>
      <c r="Q746" s="894"/>
      <c r="R746" s="916"/>
      <c r="S746" s="916"/>
      <c r="T746" s="894"/>
      <c r="U746" s="894"/>
      <c r="V746" s="921" t="str">
        <f>'refer admin discharge'!H747</f>
        <v>00/00/0000</v>
      </c>
      <c r="W746" s="922"/>
      <c r="X746" s="920"/>
      <c r="Y746" s="920"/>
      <c r="Z746" s="919"/>
      <c r="AA746" s="919"/>
      <c r="AB746" s="920"/>
      <c r="AC746" s="920"/>
      <c r="AD746" s="912"/>
      <c r="AE746" s="912"/>
      <c r="AF746" s="920"/>
      <c r="AG746" s="920"/>
      <c r="AH746" s="912"/>
      <c r="AI746" s="912"/>
      <c r="AJ746" s="920"/>
      <c r="AK746" s="920"/>
      <c r="AL746" s="905"/>
      <c r="AM746" s="906"/>
      <c r="AN746" s="906"/>
      <c r="AO746" s="906"/>
      <c r="AP746" s="906"/>
      <c r="AQ746" s="906"/>
      <c r="AR746" s="906"/>
      <c r="AS746" s="906"/>
      <c r="AT746" s="906"/>
      <c r="AU746" s="906"/>
      <c r="AV746" s="906"/>
      <c r="AW746" s="906"/>
      <c r="AX746" s="906"/>
      <c r="AY746" s="906"/>
      <c r="AZ746" s="906"/>
      <c r="BA746" s="906"/>
      <c r="BB746" s="907"/>
    </row>
    <row r="747" spans="1:54" x14ac:dyDescent="0.25">
      <c r="A747" s="13">
        <f t="shared" si="11"/>
        <v>734</v>
      </c>
      <c r="B747" s="914" t="str">
        <f>'refer admin discharge'!B743</f>
        <v>x</v>
      </c>
      <c r="C747" s="914"/>
      <c r="D747" s="889" t="str">
        <f>'refer admin discharge'!D743</f>
        <v>xx</v>
      </c>
      <c r="E747" s="889"/>
      <c r="F747" s="915" t="str">
        <f>'refer admin discharge'!H743</f>
        <v>00/00/0000</v>
      </c>
      <c r="G747" s="890"/>
      <c r="H747" s="916"/>
      <c r="I747" s="916"/>
      <c r="J747" s="917"/>
      <c r="K747" s="917"/>
      <c r="L747" s="916"/>
      <c r="M747" s="916"/>
      <c r="N747" s="893"/>
      <c r="O747" s="893"/>
      <c r="P747" s="916"/>
      <c r="Q747" s="916"/>
      <c r="R747" s="893"/>
      <c r="S747" s="893"/>
      <c r="T747" s="916"/>
      <c r="U747" s="916"/>
      <c r="V747" s="921" t="str">
        <f>'refer admin discharge'!H748</f>
        <v>00/00/0000</v>
      </c>
      <c r="W747" s="922"/>
      <c r="X747" s="912"/>
      <c r="Y747" s="912"/>
      <c r="Z747" s="924"/>
      <c r="AA747" s="924"/>
      <c r="AB747" s="912"/>
      <c r="AC747" s="912"/>
      <c r="AD747" s="913"/>
      <c r="AE747" s="913"/>
      <c r="AF747" s="912"/>
      <c r="AG747" s="912"/>
      <c r="AH747" s="913"/>
      <c r="AI747" s="913"/>
      <c r="AJ747" s="912"/>
      <c r="AK747" s="912"/>
      <c r="AL747" s="925"/>
      <c r="AM747" s="926"/>
      <c r="AN747" s="926"/>
      <c r="AO747" s="926"/>
      <c r="AP747" s="926"/>
      <c r="AQ747" s="926"/>
      <c r="AR747" s="926"/>
      <c r="AS747" s="926"/>
      <c r="AT747" s="926"/>
      <c r="AU747" s="926"/>
      <c r="AV747" s="926"/>
      <c r="AW747" s="926"/>
      <c r="AX747" s="926"/>
      <c r="AY747" s="926"/>
      <c r="AZ747" s="926"/>
      <c r="BA747" s="926"/>
      <c r="BB747" s="927"/>
    </row>
    <row r="748" spans="1:54" x14ac:dyDescent="0.25">
      <c r="A748" s="13">
        <f t="shared" si="11"/>
        <v>735</v>
      </c>
      <c r="B748" s="888" t="str">
        <f>'refer admin discharge'!B744</f>
        <v>x</v>
      </c>
      <c r="C748" s="888"/>
      <c r="D748" s="868" t="str">
        <f>'refer admin discharge'!D744</f>
        <v>xx</v>
      </c>
      <c r="E748" s="868"/>
      <c r="F748" s="891" t="str">
        <f>'refer admin discharge'!H744</f>
        <v>00/00/0000</v>
      </c>
      <c r="G748" s="892"/>
      <c r="H748" s="894"/>
      <c r="I748" s="894"/>
      <c r="J748" s="918"/>
      <c r="K748" s="918"/>
      <c r="L748" s="894"/>
      <c r="M748" s="894"/>
      <c r="N748" s="916"/>
      <c r="O748" s="916"/>
      <c r="P748" s="894"/>
      <c r="Q748" s="894"/>
      <c r="R748" s="916"/>
      <c r="S748" s="916"/>
      <c r="T748" s="894"/>
      <c r="U748" s="894"/>
      <c r="V748" s="921" t="str">
        <f>'refer admin discharge'!H749</f>
        <v>00/00/0000</v>
      </c>
      <c r="W748" s="922"/>
      <c r="X748" s="920"/>
      <c r="Y748" s="920"/>
      <c r="Z748" s="919"/>
      <c r="AA748" s="919"/>
      <c r="AB748" s="920"/>
      <c r="AC748" s="920"/>
      <c r="AD748" s="912"/>
      <c r="AE748" s="912"/>
      <c r="AF748" s="920"/>
      <c r="AG748" s="920"/>
      <c r="AH748" s="912"/>
      <c r="AI748" s="912"/>
      <c r="AJ748" s="920"/>
      <c r="AK748" s="920"/>
      <c r="AL748" s="905"/>
      <c r="AM748" s="906"/>
      <c r="AN748" s="906"/>
      <c r="AO748" s="906"/>
      <c r="AP748" s="906"/>
      <c r="AQ748" s="906"/>
      <c r="AR748" s="906"/>
      <c r="AS748" s="906"/>
      <c r="AT748" s="906"/>
      <c r="AU748" s="906"/>
      <c r="AV748" s="906"/>
      <c r="AW748" s="906"/>
      <c r="AX748" s="906"/>
      <c r="AY748" s="906"/>
      <c r="AZ748" s="906"/>
      <c r="BA748" s="906"/>
      <c r="BB748" s="907"/>
    </row>
    <row r="749" spans="1:54" x14ac:dyDescent="0.25">
      <c r="A749" s="13">
        <f t="shared" si="11"/>
        <v>736</v>
      </c>
      <c r="B749" s="914" t="str">
        <f>'refer admin discharge'!B745</f>
        <v>x</v>
      </c>
      <c r="C749" s="914"/>
      <c r="D749" s="889" t="str">
        <f>'refer admin discharge'!D745</f>
        <v>xx</v>
      </c>
      <c r="E749" s="889"/>
      <c r="F749" s="915" t="str">
        <f>'refer admin discharge'!H745</f>
        <v>00/00/0000</v>
      </c>
      <c r="G749" s="890"/>
      <c r="H749" s="916"/>
      <c r="I749" s="916"/>
      <c r="J749" s="917"/>
      <c r="K749" s="917"/>
      <c r="L749" s="916"/>
      <c r="M749" s="916"/>
      <c r="N749" s="893"/>
      <c r="O749" s="893"/>
      <c r="P749" s="916"/>
      <c r="Q749" s="916"/>
      <c r="R749" s="893"/>
      <c r="S749" s="893"/>
      <c r="T749" s="916"/>
      <c r="U749" s="916"/>
      <c r="V749" s="921" t="str">
        <f>'refer admin discharge'!H750</f>
        <v>00/00/0000</v>
      </c>
      <c r="W749" s="922"/>
      <c r="X749" s="912"/>
      <c r="Y749" s="912"/>
      <c r="Z749" s="924"/>
      <c r="AA749" s="924"/>
      <c r="AB749" s="912"/>
      <c r="AC749" s="912"/>
      <c r="AD749" s="913"/>
      <c r="AE749" s="913"/>
      <c r="AF749" s="912"/>
      <c r="AG749" s="912"/>
      <c r="AH749" s="913"/>
      <c r="AI749" s="913"/>
      <c r="AJ749" s="912"/>
      <c r="AK749" s="912"/>
      <c r="AL749" s="925"/>
      <c r="AM749" s="926"/>
      <c r="AN749" s="926"/>
      <c r="AO749" s="926"/>
      <c r="AP749" s="926"/>
      <c r="AQ749" s="926"/>
      <c r="AR749" s="926"/>
      <c r="AS749" s="926"/>
      <c r="AT749" s="926"/>
      <c r="AU749" s="926"/>
      <c r="AV749" s="926"/>
      <c r="AW749" s="926"/>
      <c r="AX749" s="926"/>
      <c r="AY749" s="926"/>
      <c r="AZ749" s="926"/>
      <c r="BA749" s="926"/>
      <c r="BB749" s="927"/>
    </row>
    <row r="750" spans="1:54" x14ac:dyDescent="0.25">
      <c r="A750" s="13">
        <f t="shared" si="11"/>
        <v>737</v>
      </c>
      <c r="B750" s="888" t="str">
        <f>'refer admin discharge'!B746</f>
        <v>x</v>
      </c>
      <c r="C750" s="888"/>
      <c r="D750" s="868" t="str">
        <f>'refer admin discharge'!D746</f>
        <v>xx</v>
      </c>
      <c r="E750" s="868"/>
      <c r="F750" s="891" t="str">
        <f>'refer admin discharge'!H746</f>
        <v>00/00/0000</v>
      </c>
      <c r="G750" s="892"/>
      <c r="H750" s="894"/>
      <c r="I750" s="894"/>
      <c r="J750" s="918"/>
      <c r="K750" s="918"/>
      <c r="L750" s="894"/>
      <c r="M750" s="894"/>
      <c r="N750" s="916"/>
      <c r="O750" s="916"/>
      <c r="P750" s="894"/>
      <c r="Q750" s="894"/>
      <c r="R750" s="916"/>
      <c r="S750" s="916"/>
      <c r="T750" s="894"/>
      <c r="U750" s="894"/>
      <c r="V750" s="921" t="str">
        <f>'refer admin discharge'!H751</f>
        <v>00/00/0000</v>
      </c>
      <c r="W750" s="922"/>
      <c r="X750" s="920"/>
      <c r="Y750" s="920"/>
      <c r="Z750" s="919"/>
      <c r="AA750" s="919"/>
      <c r="AB750" s="920"/>
      <c r="AC750" s="920"/>
      <c r="AD750" s="912"/>
      <c r="AE750" s="912"/>
      <c r="AF750" s="920"/>
      <c r="AG750" s="920"/>
      <c r="AH750" s="912"/>
      <c r="AI750" s="912"/>
      <c r="AJ750" s="920"/>
      <c r="AK750" s="920"/>
      <c r="AL750" s="905"/>
      <c r="AM750" s="906"/>
      <c r="AN750" s="906"/>
      <c r="AO750" s="906"/>
      <c r="AP750" s="906"/>
      <c r="AQ750" s="906"/>
      <c r="AR750" s="906"/>
      <c r="AS750" s="906"/>
      <c r="AT750" s="906"/>
      <c r="AU750" s="906"/>
      <c r="AV750" s="906"/>
      <c r="AW750" s="906"/>
      <c r="AX750" s="906"/>
      <c r="AY750" s="906"/>
      <c r="AZ750" s="906"/>
      <c r="BA750" s="906"/>
      <c r="BB750" s="907"/>
    </row>
    <row r="751" spans="1:54" x14ac:dyDescent="0.25">
      <c r="A751" s="13">
        <f t="shared" si="11"/>
        <v>738</v>
      </c>
      <c r="B751" s="914" t="str">
        <f>'refer admin discharge'!B747</f>
        <v>x</v>
      </c>
      <c r="C751" s="914"/>
      <c r="D751" s="889" t="str">
        <f>'refer admin discharge'!D747</f>
        <v>xx</v>
      </c>
      <c r="E751" s="889"/>
      <c r="F751" s="915" t="str">
        <f>'refer admin discharge'!H747</f>
        <v>00/00/0000</v>
      </c>
      <c r="G751" s="890"/>
      <c r="H751" s="916"/>
      <c r="I751" s="916"/>
      <c r="J751" s="917"/>
      <c r="K751" s="917"/>
      <c r="L751" s="916"/>
      <c r="M751" s="916"/>
      <c r="N751" s="893"/>
      <c r="O751" s="893"/>
      <c r="P751" s="916"/>
      <c r="Q751" s="916"/>
      <c r="R751" s="893"/>
      <c r="S751" s="893"/>
      <c r="T751" s="916"/>
      <c r="U751" s="916"/>
      <c r="V751" s="921" t="str">
        <f>'refer admin discharge'!H752</f>
        <v>00/00/0000</v>
      </c>
      <c r="W751" s="922"/>
      <c r="X751" s="912"/>
      <c r="Y751" s="912"/>
      <c r="Z751" s="924"/>
      <c r="AA751" s="924"/>
      <c r="AB751" s="912"/>
      <c r="AC751" s="912"/>
      <c r="AD751" s="913"/>
      <c r="AE751" s="913"/>
      <c r="AF751" s="912"/>
      <c r="AG751" s="912"/>
      <c r="AH751" s="913"/>
      <c r="AI751" s="913"/>
      <c r="AJ751" s="912"/>
      <c r="AK751" s="912"/>
      <c r="AL751" s="925"/>
      <c r="AM751" s="926"/>
      <c r="AN751" s="926"/>
      <c r="AO751" s="926"/>
      <c r="AP751" s="926"/>
      <c r="AQ751" s="926"/>
      <c r="AR751" s="926"/>
      <c r="AS751" s="926"/>
      <c r="AT751" s="926"/>
      <c r="AU751" s="926"/>
      <c r="AV751" s="926"/>
      <c r="AW751" s="926"/>
      <c r="AX751" s="926"/>
      <c r="AY751" s="926"/>
      <c r="AZ751" s="926"/>
      <c r="BA751" s="926"/>
      <c r="BB751" s="927"/>
    </row>
    <row r="752" spans="1:54" x14ac:dyDescent="0.25">
      <c r="A752" s="13">
        <f t="shared" si="11"/>
        <v>739</v>
      </c>
      <c r="B752" s="888" t="str">
        <f>'refer admin discharge'!B748</f>
        <v>x</v>
      </c>
      <c r="C752" s="888"/>
      <c r="D752" s="868" t="str">
        <f>'refer admin discharge'!D748</f>
        <v>xx</v>
      </c>
      <c r="E752" s="868"/>
      <c r="F752" s="891" t="str">
        <f>'refer admin discharge'!H748</f>
        <v>00/00/0000</v>
      </c>
      <c r="G752" s="892"/>
      <c r="H752" s="894"/>
      <c r="I752" s="894"/>
      <c r="J752" s="918"/>
      <c r="K752" s="918"/>
      <c r="L752" s="894"/>
      <c r="M752" s="894"/>
      <c r="N752" s="916"/>
      <c r="O752" s="916"/>
      <c r="P752" s="894"/>
      <c r="Q752" s="894"/>
      <c r="R752" s="916"/>
      <c r="S752" s="916"/>
      <c r="T752" s="894"/>
      <c r="U752" s="894"/>
      <c r="V752" s="921" t="str">
        <f>'refer admin discharge'!H753</f>
        <v>00/00/0000</v>
      </c>
      <c r="W752" s="922"/>
      <c r="X752" s="920"/>
      <c r="Y752" s="920"/>
      <c r="Z752" s="919"/>
      <c r="AA752" s="919"/>
      <c r="AB752" s="920"/>
      <c r="AC752" s="920"/>
      <c r="AD752" s="912"/>
      <c r="AE752" s="912"/>
      <c r="AF752" s="920"/>
      <c r="AG752" s="920"/>
      <c r="AH752" s="912"/>
      <c r="AI752" s="912"/>
      <c r="AJ752" s="920"/>
      <c r="AK752" s="920"/>
      <c r="AL752" s="905"/>
      <c r="AM752" s="906"/>
      <c r="AN752" s="906"/>
      <c r="AO752" s="906"/>
      <c r="AP752" s="906"/>
      <c r="AQ752" s="906"/>
      <c r="AR752" s="906"/>
      <c r="AS752" s="906"/>
      <c r="AT752" s="906"/>
      <c r="AU752" s="906"/>
      <c r="AV752" s="906"/>
      <c r="AW752" s="906"/>
      <c r="AX752" s="906"/>
      <c r="AY752" s="906"/>
      <c r="AZ752" s="906"/>
      <c r="BA752" s="906"/>
      <c r="BB752" s="907"/>
    </row>
    <row r="753" spans="1:54" x14ac:dyDescent="0.25">
      <c r="A753" s="13">
        <f t="shared" si="11"/>
        <v>740</v>
      </c>
      <c r="B753" s="914" t="str">
        <f>'refer admin discharge'!B749</f>
        <v>x</v>
      </c>
      <c r="C753" s="914"/>
      <c r="D753" s="889" t="str">
        <f>'refer admin discharge'!D749</f>
        <v>xx</v>
      </c>
      <c r="E753" s="889"/>
      <c r="F753" s="915" t="str">
        <f>'refer admin discharge'!H749</f>
        <v>00/00/0000</v>
      </c>
      <c r="G753" s="890"/>
      <c r="H753" s="916"/>
      <c r="I753" s="916"/>
      <c r="J753" s="917"/>
      <c r="K753" s="917"/>
      <c r="L753" s="916"/>
      <c r="M753" s="916"/>
      <c r="N753" s="893"/>
      <c r="O753" s="893"/>
      <c r="P753" s="916"/>
      <c r="Q753" s="916"/>
      <c r="R753" s="893"/>
      <c r="S753" s="893"/>
      <c r="T753" s="916"/>
      <c r="U753" s="916"/>
      <c r="V753" s="921" t="str">
        <f>'refer admin discharge'!H754</f>
        <v>00/00/0000</v>
      </c>
      <c r="W753" s="922"/>
      <c r="X753" s="912"/>
      <c r="Y753" s="912"/>
      <c r="Z753" s="924"/>
      <c r="AA753" s="924"/>
      <c r="AB753" s="912"/>
      <c r="AC753" s="912"/>
      <c r="AD753" s="913"/>
      <c r="AE753" s="913"/>
      <c r="AF753" s="912"/>
      <c r="AG753" s="912"/>
      <c r="AH753" s="913"/>
      <c r="AI753" s="913"/>
      <c r="AJ753" s="912"/>
      <c r="AK753" s="912"/>
      <c r="AL753" s="925"/>
      <c r="AM753" s="926"/>
      <c r="AN753" s="926"/>
      <c r="AO753" s="926"/>
      <c r="AP753" s="926"/>
      <c r="AQ753" s="926"/>
      <c r="AR753" s="926"/>
      <c r="AS753" s="926"/>
      <c r="AT753" s="926"/>
      <c r="AU753" s="926"/>
      <c r="AV753" s="926"/>
      <c r="AW753" s="926"/>
      <c r="AX753" s="926"/>
      <c r="AY753" s="926"/>
      <c r="AZ753" s="926"/>
      <c r="BA753" s="926"/>
      <c r="BB753" s="927"/>
    </row>
    <row r="754" spans="1:54" x14ac:dyDescent="0.25">
      <c r="A754" s="13">
        <f t="shared" si="11"/>
        <v>741</v>
      </c>
      <c r="B754" s="888" t="str">
        <f>'refer admin discharge'!B750</f>
        <v>x</v>
      </c>
      <c r="C754" s="888"/>
      <c r="D754" s="868" t="str">
        <f>'refer admin discharge'!D750</f>
        <v>xx</v>
      </c>
      <c r="E754" s="868"/>
      <c r="F754" s="891" t="str">
        <f>'refer admin discharge'!H750</f>
        <v>00/00/0000</v>
      </c>
      <c r="G754" s="892"/>
      <c r="H754" s="894"/>
      <c r="I754" s="894"/>
      <c r="J754" s="918"/>
      <c r="K754" s="918"/>
      <c r="L754" s="894"/>
      <c r="M754" s="894"/>
      <c r="N754" s="916"/>
      <c r="O754" s="916"/>
      <c r="P754" s="894"/>
      <c r="Q754" s="894"/>
      <c r="R754" s="916"/>
      <c r="S754" s="916"/>
      <c r="T754" s="894"/>
      <c r="U754" s="894"/>
      <c r="V754" s="921" t="str">
        <f>'refer admin discharge'!H755</f>
        <v>00/00/0000</v>
      </c>
      <c r="W754" s="922"/>
      <c r="X754" s="920"/>
      <c r="Y754" s="920"/>
      <c r="Z754" s="919"/>
      <c r="AA754" s="919"/>
      <c r="AB754" s="920"/>
      <c r="AC754" s="920"/>
      <c r="AD754" s="912"/>
      <c r="AE754" s="912"/>
      <c r="AF754" s="920"/>
      <c r="AG754" s="920"/>
      <c r="AH754" s="912"/>
      <c r="AI754" s="912"/>
      <c r="AJ754" s="920"/>
      <c r="AK754" s="920"/>
      <c r="AL754" s="905"/>
      <c r="AM754" s="906"/>
      <c r="AN754" s="906"/>
      <c r="AO754" s="906"/>
      <c r="AP754" s="906"/>
      <c r="AQ754" s="906"/>
      <c r="AR754" s="906"/>
      <c r="AS754" s="906"/>
      <c r="AT754" s="906"/>
      <c r="AU754" s="906"/>
      <c r="AV754" s="906"/>
      <c r="AW754" s="906"/>
      <c r="AX754" s="906"/>
      <c r="AY754" s="906"/>
      <c r="AZ754" s="906"/>
      <c r="BA754" s="906"/>
      <c r="BB754" s="907"/>
    </row>
    <row r="755" spans="1:54" x14ac:dyDescent="0.25">
      <c r="A755" s="13">
        <f t="shared" si="11"/>
        <v>742</v>
      </c>
      <c r="B755" s="914" t="str">
        <f>'refer admin discharge'!B751</f>
        <v>x</v>
      </c>
      <c r="C755" s="914"/>
      <c r="D755" s="889" t="str">
        <f>'refer admin discharge'!D751</f>
        <v>xx</v>
      </c>
      <c r="E755" s="889"/>
      <c r="F755" s="915" t="str">
        <f>'refer admin discharge'!H751</f>
        <v>00/00/0000</v>
      </c>
      <c r="G755" s="890"/>
      <c r="H755" s="916"/>
      <c r="I755" s="916"/>
      <c r="J755" s="917"/>
      <c r="K755" s="917"/>
      <c r="L755" s="916"/>
      <c r="M755" s="916"/>
      <c r="N755" s="893"/>
      <c r="O755" s="893"/>
      <c r="P755" s="916"/>
      <c r="Q755" s="916"/>
      <c r="R755" s="893"/>
      <c r="S755" s="893"/>
      <c r="T755" s="916"/>
      <c r="U755" s="916"/>
      <c r="V755" s="921" t="str">
        <f>'refer admin discharge'!H756</f>
        <v>00/00/0000</v>
      </c>
      <c r="W755" s="922"/>
      <c r="X755" s="912"/>
      <c r="Y755" s="912"/>
      <c r="Z755" s="924"/>
      <c r="AA755" s="924"/>
      <c r="AB755" s="912"/>
      <c r="AC755" s="912"/>
      <c r="AD755" s="913"/>
      <c r="AE755" s="913"/>
      <c r="AF755" s="912"/>
      <c r="AG755" s="912"/>
      <c r="AH755" s="913"/>
      <c r="AI755" s="913"/>
      <c r="AJ755" s="912"/>
      <c r="AK755" s="912"/>
      <c r="AL755" s="925"/>
      <c r="AM755" s="926"/>
      <c r="AN755" s="926"/>
      <c r="AO755" s="926"/>
      <c r="AP755" s="926"/>
      <c r="AQ755" s="926"/>
      <c r="AR755" s="926"/>
      <c r="AS755" s="926"/>
      <c r="AT755" s="926"/>
      <c r="AU755" s="926"/>
      <c r="AV755" s="926"/>
      <c r="AW755" s="926"/>
      <c r="AX755" s="926"/>
      <c r="AY755" s="926"/>
      <c r="AZ755" s="926"/>
      <c r="BA755" s="926"/>
      <c r="BB755" s="927"/>
    </row>
    <row r="756" spans="1:54" x14ac:dyDescent="0.25">
      <c r="A756" s="13">
        <f t="shared" si="11"/>
        <v>743</v>
      </c>
      <c r="B756" s="888" t="str">
        <f>'refer admin discharge'!B752</f>
        <v>x</v>
      </c>
      <c r="C756" s="888"/>
      <c r="D756" s="868" t="str">
        <f>'refer admin discharge'!D752</f>
        <v>xx</v>
      </c>
      <c r="E756" s="868"/>
      <c r="F756" s="891" t="str">
        <f>'refer admin discharge'!H752</f>
        <v>00/00/0000</v>
      </c>
      <c r="G756" s="892"/>
      <c r="H756" s="894"/>
      <c r="I756" s="894"/>
      <c r="J756" s="918"/>
      <c r="K756" s="918"/>
      <c r="L756" s="894"/>
      <c r="M756" s="894"/>
      <c r="N756" s="916"/>
      <c r="O756" s="916"/>
      <c r="P756" s="894"/>
      <c r="Q756" s="894"/>
      <c r="R756" s="916"/>
      <c r="S756" s="916"/>
      <c r="T756" s="894"/>
      <c r="U756" s="894"/>
      <c r="V756" s="921" t="str">
        <f>'refer admin discharge'!H757</f>
        <v>00/00/0000</v>
      </c>
      <c r="W756" s="922"/>
      <c r="X756" s="920"/>
      <c r="Y756" s="920"/>
      <c r="Z756" s="919"/>
      <c r="AA756" s="919"/>
      <c r="AB756" s="920"/>
      <c r="AC756" s="920"/>
      <c r="AD756" s="912"/>
      <c r="AE756" s="912"/>
      <c r="AF756" s="920"/>
      <c r="AG756" s="920"/>
      <c r="AH756" s="912"/>
      <c r="AI756" s="912"/>
      <c r="AJ756" s="920"/>
      <c r="AK756" s="920"/>
      <c r="AL756" s="905"/>
      <c r="AM756" s="906"/>
      <c r="AN756" s="906"/>
      <c r="AO756" s="906"/>
      <c r="AP756" s="906"/>
      <c r="AQ756" s="906"/>
      <c r="AR756" s="906"/>
      <c r="AS756" s="906"/>
      <c r="AT756" s="906"/>
      <c r="AU756" s="906"/>
      <c r="AV756" s="906"/>
      <c r="AW756" s="906"/>
      <c r="AX756" s="906"/>
      <c r="AY756" s="906"/>
      <c r="AZ756" s="906"/>
      <c r="BA756" s="906"/>
      <c r="BB756" s="907"/>
    </row>
    <row r="757" spans="1:54" x14ac:dyDescent="0.25">
      <c r="A757" s="13">
        <f t="shared" si="11"/>
        <v>744</v>
      </c>
      <c r="B757" s="914" t="str">
        <f>'refer admin discharge'!B753</f>
        <v>x</v>
      </c>
      <c r="C757" s="914"/>
      <c r="D757" s="889" t="str">
        <f>'refer admin discharge'!D753</f>
        <v>xx</v>
      </c>
      <c r="E757" s="889"/>
      <c r="F757" s="915" t="str">
        <f>'refer admin discharge'!H753</f>
        <v>00/00/0000</v>
      </c>
      <c r="G757" s="890"/>
      <c r="H757" s="916"/>
      <c r="I757" s="916"/>
      <c r="J757" s="917"/>
      <c r="K757" s="917"/>
      <c r="L757" s="916"/>
      <c r="M757" s="916"/>
      <c r="N757" s="893"/>
      <c r="O757" s="893"/>
      <c r="P757" s="916"/>
      <c r="Q757" s="916"/>
      <c r="R757" s="893"/>
      <c r="S757" s="893"/>
      <c r="T757" s="916"/>
      <c r="U757" s="916"/>
      <c r="V757" s="921" t="str">
        <f>'refer admin discharge'!H758</f>
        <v>00/00/0000</v>
      </c>
      <c r="W757" s="922"/>
      <c r="X757" s="912"/>
      <c r="Y757" s="912"/>
      <c r="Z757" s="924"/>
      <c r="AA757" s="924"/>
      <c r="AB757" s="912"/>
      <c r="AC757" s="912"/>
      <c r="AD757" s="913"/>
      <c r="AE757" s="913"/>
      <c r="AF757" s="912"/>
      <c r="AG757" s="912"/>
      <c r="AH757" s="913"/>
      <c r="AI757" s="913"/>
      <c r="AJ757" s="912"/>
      <c r="AK757" s="912"/>
      <c r="AL757" s="925"/>
      <c r="AM757" s="926"/>
      <c r="AN757" s="926"/>
      <c r="AO757" s="926"/>
      <c r="AP757" s="926"/>
      <c r="AQ757" s="926"/>
      <c r="AR757" s="926"/>
      <c r="AS757" s="926"/>
      <c r="AT757" s="926"/>
      <c r="AU757" s="926"/>
      <c r="AV757" s="926"/>
      <c r="AW757" s="926"/>
      <c r="AX757" s="926"/>
      <c r="AY757" s="926"/>
      <c r="AZ757" s="926"/>
      <c r="BA757" s="926"/>
      <c r="BB757" s="927"/>
    </row>
    <row r="758" spans="1:54" x14ac:dyDescent="0.25">
      <c r="A758" s="13">
        <f t="shared" si="11"/>
        <v>745</v>
      </c>
      <c r="B758" s="888" t="str">
        <f>'refer admin discharge'!B754</f>
        <v>x</v>
      </c>
      <c r="C758" s="888"/>
      <c r="D758" s="868" t="str">
        <f>'refer admin discharge'!D754</f>
        <v>xx</v>
      </c>
      <c r="E758" s="868"/>
      <c r="F758" s="891" t="str">
        <f>'refer admin discharge'!H754</f>
        <v>00/00/0000</v>
      </c>
      <c r="G758" s="892"/>
      <c r="H758" s="894"/>
      <c r="I758" s="894"/>
      <c r="J758" s="918"/>
      <c r="K758" s="918"/>
      <c r="L758" s="894"/>
      <c r="M758" s="894"/>
      <c r="N758" s="916"/>
      <c r="O758" s="916"/>
      <c r="P758" s="894"/>
      <c r="Q758" s="894"/>
      <c r="R758" s="916"/>
      <c r="S758" s="916"/>
      <c r="T758" s="894"/>
      <c r="U758" s="894"/>
      <c r="V758" s="921" t="str">
        <f>'refer admin discharge'!H759</f>
        <v>00/00/0000</v>
      </c>
      <c r="W758" s="922"/>
      <c r="X758" s="920"/>
      <c r="Y758" s="920"/>
      <c r="Z758" s="919"/>
      <c r="AA758" s="919"/>
      <c r="AB758" s="920"/>
      <c r="AC758" s="920"/>
      <c r="AD758" s="912"/>
      <c r="AE758" s="912"/>
      <c r="AF758" s="920"/>
      <c r="AG758" s="920"/>
      <c r="AH758" s="912"/>
      <c r="AI758" s="912"/>
      <c r="AJ758" s="920"/>
      <c r="AK758" s="920"/>
      <c r="AL758" s="905"/>
      <c r="AM758" s="906"/>
      <c r="AN758" s="906"/>
      <c r="AO758" s="906"/>
      <c r="AP758" s="906"/>
      <c r="AQ758" s="906"/>
      <c r="AR758" s="906"/>
      <c r="AS758" s="906"/>
      <c r="AT758" s="906"/>
      <c r="AU758" s="906"/>
      <c r="AV758" s="906"/>
      <c r="AW758" s="906"/>
      <c r="AX758" s="906"/>
      <c r="AY758" s="906"/>
      <c r="AZ758" s="906"/>
      <c r="BA758" s="906"/>
      <c r="BB758" s="907"/>
    </row>
    <row r="759" spans="1:54" x14ac:dyDescent="0.25">
      <c r="A759" s="13">
        <f t="shared" si="11"/>
        <v>746</v>
      </c>
      <c r="B759" s="914" t="str">
        <f>'refer admin discharge'!B755</f>
        <v>x</v>
      </c>
      <c r="C759" s="914"/>
      <c r="D759" s="889" t="str">
        <f>'refer admin discharge'!D755</f>
        <v>xx</v>
      </c>
      <c r="E759" s="889"/>
      <c r="F759" s="915" t="str">
        <f>'refer admin discharge'!H755</f>
        <v>00/00/0000</v>
      </c>
      <c r="G759" s="890"/>
      <c r="H759" s="916"/>
      <c r="I759" s="916"/>
      <c r="J759" s="917"/>
      <c r="K759" s="917"/>
      <c r="L759" s="916"/>
      <c r="M759" s="916"/>
      <c r="N759" s="893"/>
      <c r="O759" s="893"/>
      <c r="P759" s="916"/>
      <c r="Q759" s="916"/>
      <c r="R759" s="893"/>
      <c r="S759" s="893"/>
      <c r="T759" s="916"/>
      <c r="U759" s="916"/>
      <c r="V759" s="921" t="str">
        <f>'refer admin discharge'!H760</f>
        <v>00/00/0000</v>
      </c>
      <c r="W759" s="922"/>
      <c r="X759" s="912"/>
      <c r="Y759" s="912"/>
      <c r="Z759" s="924"/>
      <c r="AA759" s="924"/>
      <c r="AB759" s="912"/>
      <c r="AC759" s="912"/>
      <c r="AD759" s="913"/>
      <c r="AE759" s="913"/>
      <c r="AF759" s="912"/>
      <c r="AG759" s="912"/>
      <c r="AH759" s="913"/>
      <c r="AI759" s="913"/>
      <c r="AJ759" s="912"/>
      <c r="AK759" s="912"/>
      <c r="AL759" s="925"/>
      <c r="AM759" s="926"/>
      <c r="AN759" s="926"/>
      <c r="AO759" s="926"/>
      <c r="AP759" s="926"/>
      <c r="AQ759" s="926"/>
      <c r="AR759" s="926"/>
      <c r="AS759" s="926"/>
      <c r="AT759" s="926"/>
      <c r="AU759" s="926"/>
      <c r="AV759" s="926"/>
      <c r="AW759" s="926"/>
      <c r="AX759" s="926"/>
      <c r="AY759" s="926"/>
      <c r="AZ759" s="926"/>
      <c r="BA759" s="926"/>
      <c r="BB759" s="927"/>
    </row>
    <row r="760" spans="1:54" x14ac:dyDescent="0.25">
      <c r="A760" s="13">
        <f t="shared" si="11"/>
        <v>747</v>
      </c>
      <c r="B760" s="888" t="str">
        <f>'refer admin discharge'!B756</f>
        <v>x</v>
      </c>
      <c r="C760" s="888"/>
      <c r="D760" s="868" t="str">
        <f>'refer admin discharge'!D756</f>
        <v>xx</v>
      </c>
      <c r="E760" s="868"/>
      <c r="F760" s="891" t="str">
        <f>'refer admin discharge'!H756</f>
        <v>00/00/0000</v>
      </c>
      <c r="G760" s="892"/>
      <c r="H760" s="894"/>
      <c r="I760" s="894"/>
      <c r="J760" s="918"/>
      <c r="K760" s="918"/>
      <c r="L760" s="894"/>
      <c r="M760" s="894"/>
      <c r="N760" s="916"/>
      <c r="O760" s="916"/>
      <c r="P760" s="894"/>
      <c r="Q760" s="894"/>
      <c r="R760" s="916"/>
      <c r="S760" s="916"/>
      <c r="T760" s="894"/>
      <c r="U760" s="894"/>
      <c r="V760" s="921" t="str">
        <f>'refer admin discharge'!H761</f>
        <v>00/00/0000</v>
      </c>
      <c r="W760" s="922"/>
      <c r="X760" s="920"/>
      <c r="Y760" s="920"/>
      <c r="Z760" s="919"/>
      <c r="AA760" s="919"/>
      <c r="AB760" s="920"/>
      <c r="AC760" s="920"/>
      <c r="AD760" s="912"/>
      <c r="AE760" s="912"/>
      <c r="AF760" s="920"/>
      <c r="AG760" s="920"/>
      <c r="AH760" s="912"/>
      <c r="AI760" s="912"/>
      <c r="AJ760" s="920"/>
      <c r="AK760" s="920"/>
      <c r="AL760" s="905"/>
      <c r="AM760" s="906"/>
      <c r="AN760" s="906"/>
      <c r="AO760" s="906"/>
      <c r="AP760" s="906"/>
      <c r="AQ760" s="906"/>
      <c r="AR760" s="906"/>
      <c r="AS760" s="906"/>
      <c r="AT760" s="906"/>
      <c r="AU760" s="906"/>
      <c r="AV760" s="906"/>
      <c r="AW760" s="906"/>
      <c r="AX760" s="906"/>
      <c r="AY760" s="906"/>
      <c r="AZ760" s="906"/>
      <c r="BA760" s="906"/>
      <c r="BB760" s="907"/>
    </row>
    <row r="761" spans="1:54" x14ac:dyDescent="0.25">
      <c r="A761" s="13">
        <f t="shared" si="11"/>
        <v>748</v>
      </c>
      <c r="B761" s="914" t="str">
        <f>'refer admin discharge'!B757</f>
        <v>x</v>
      </c>
      <c r="C761" s="914"/>
      <c r="D761" s="889" t="str">
        <f>'refer admin discharge'!D757</f>
        <v>xx</v>
      </c>
      <c r="E761" s="889"/>
      <c r="F761" s="915" t="str">
        <f>'refer admin discharge'!H757</f>
        <v>00/00/0000</v>
      </c>
      <c r="G761" s="890"/>
      <c r="H761" s="916"/>
      <c r="I761" s="916"/>
      <c r="J761" s="917"/>
      <c r="K761" s="917"/>
      <c r="L761" s="916"/>
      <c r="M761" s="916"/>
      <c r="N761" s="893"/>
      <c r="O761" s="893"/>
      <c r="P761" s="916"/>
      <c r="Q761" s="916"/>
      <c r="R761" s="893"/>
      <c r="S761" s="893"/>
      <c r="T761" s="916"/>
      <c r="U761" s="916"/>
      <c r="V761" s="921" t="str">
        <f>'refer admin discharge'!H762</f>
        <v>00/00/0000</v>
      </c>
      <c r="W761" s="922"/>
      <c r="X761" s="912"/>
      <c r="Y761" s="912"/>
      <c r="Z761" s="924"/>
      <c r="AA761" s="924"/>
      <c r="AB761" s="912"/>
      <c r="AC761" s="912"/>
      <c r="AD761" s="913"/>
      <c r="AE761" s="913"/>
      <c r="AF761" s="912"/>
      <c r="AG761" s="912"/>
      <c r="AH761" s="913"/>
      <c r="AI761" s="913"/>
      <c r="AJ761" s="912"/>
      <c r="AK761" s="912"/>
      <c r="AL761" s="925"/>
      <c r="AM761" s="926"/>
      <c r="AN761" s="926"/>
      <c r="AO761" s="926"/>
      <c r="AP761" s="926"/>
      <c r="AQ761" s="926"/>
      <c r="AR761" s="926"/>
      <c r="AS761" s="926"/>
      <c r="AT761" s="926"/>
      <c r="AU761" s="926"/>
      <c r="AV761" s="926"/>
      <c r="AW761" s="926"/>
      <c r="AX761" s="926"/>
      <c r="AY761" s="926"/>
      <c r="AZ761" s="926"/>
      <c r="BA761" s="926"/>
      <c r="BB761" s="927"/>
    </row>
    <row r="762" spans="1:54" x14ac:dyDescent="0.25">
      <c r="A762" s="13">
        <f t="shared" si="11"/>
        <v>749</v>
      </c>
      <c r="B762" s="888" t="str">
        <f>'refer admin discharge'!B758</f>
        <v>x</v>
      </c>
      <c r="C762" s="888"/>
      <c r="D762" s="868" t="str">
        <f>'refer admin discharge'!D758</f>
        <v>xx</v>
      </c>
      <c r="E762" s="868"/>
      <c r="F762" s="891" t="str">
        <f>'refer admin discharge'!H758</f>
        <v>00/00/0000</v>
      </c>
      <c r="G762" s="892"/>
      <c r="H762" s="894"/>
      <c r="I762" s="894"/>
      <c r="J762" s="918"/>
      <c r="K762" s="918"/>
      <c r="L762" s="894"/>
      <c r="M762" s="894"/>
      <c r="N762" s="916"/>
      <c r="O762" s="916"/>
      <c r="P762" s="894"/>
      <c r="Q762" s="894"/>
      <c r="R762" s="916"/>
      <c r="S762" s="916"/>
      <c r="T762" s="894"/>
      <c r="U762" s="894"/>
      <c r="V762" s="921" t="str">
        <f>'refer admin discharge'!H763</f>
        <v>00/00/0000</v>
      </c>
      <c r="W762" s="922"/>
      <c r="X762" s="920"/>
      <c r="Y762" s="920"/>
      <c r="Z762" s="919"/>
      <c r="AA762" s="919"/>
      <c r="AB762" s="920"/>
      <c r="AC762" s="920"/>
      <c r="AD762" s="912"/>
      <c r="AE762" s="912"/>
      <c r="AF762" s="920"/>
      <c r="AG762" s="920"/>
      <c r="AH762" s="912"/>
      <c r="AI762" s="912"/>
      <c r="AJ762" s="920"/>
      <c r="AK762" s="920"/>
      <c r="AL762" s="905"/>
      <c r="AM762" s="906"/>
      <c r="AN762" s="906"/>
      <c r="AO762" s="906"/>
      <c r="AP762" s="906"/>
      <c r="AQ762" s="906"/>
      <c r="AR762" s="906"/>
      <c r="AS762" s="906"/>
      <c r="AT762" s="906"/>
      <c r="AU762" s="906"/>
      <c r="AV762" s="906"/>
      <c r="AW762" s="906"/>
      <c r="AX762" s="906"/>
      <c r="AY762" s="906"/>
      <c r="AZ762" s="906"/>
      <c r="BA762" s="906"/>
      <c r="BB762" s="907"/>
    </row>
    <row r="763" spans="1:54" x14ac:dyDescent="0.25">
      <c r="A763" s="13">
        <f t="shared" si="11"/>
        <v>750</v>
      </c>
      <c r="B763" s="914" t="str">
        <f>'refer admin discharge'!B759</f>
        <v>x</v>
      </c>
      <c r="C763" s="914"/>
      <c r="D763" s="889" t="str">
        <f>'refer admin discharge'!D759</f>
        <v>xx</v>
      </c>
      <c r="E763" s="889"/>
      <c r="F763" s="915" t="str">
        <f>'refer admin discharge'!H759</f>
        <v>00/00/0000</v>
      </c>
      <c r="G763" s="890"/>
      <c r="H763" s="916"/>
      <c r="I763" s="916"/>
      <c r="J763" s="917"/>
      <c r="K763" s="917"/>
      <c r="L763" s="916"/>
      <c r="M763" s="916"/>
      <c r="N763" s="893"/>
      <c r="O763" s="893"/>
      <c r="P763" s="916"/>
      <c r="Q763" s="916"/>
      <c r="R763" s="893"/>
      <c r="S763" s="893"/>
      <c r="T763" s="916"/>
      <c r="U763" s="916"/>
      <c r="V763" s="921" t="str">
        <f>'refer admin discharge'!H764</f>
        <v>00/00/0000</v>
      </c>
      <c r="W763" s="922"/>
      <c r="X763" s="912"/>
      <c r="Y763" s="912"/>
      <c r="Z763" s="924"/>
      <c r="AA763" s="924"/>
      <c r="AB763" s="912"/>
      <c r="AC763" s="912"/>
      <c r="AD763" s="913"/>
      <c r="AE763" s="913"/>
      <c r="AF763" s="912"/>
      <c r="AG763" s="912"/>
      <c r="AH763" s="913"/>
      <c r="AI763" s="913"/>
      <c r="AJ763" s="912"/>
      <c r="AK763" s="912"/>
      <c r="AL763" s="925"/>
      <c r="AM763" s="926"/>
      <c r="AN763" s="926"/>
      <c r="AO763" s="926"/>
      <c r="AP763" s="926"/>
      <c r="AQ763" s="926"/>
      <c r="AR763" s="926"/>
      <c r="AS763" s="926"/>
      <c r="AT763" s="926"/>
      <c r="AU763" s="926"/>
      <c r="AV763" s="926"/>
      <c r="AW763" s="926"/>
      <c r="AX763" s="926"/>
      <c r="AY763" s="926"/>
      <c r="AZ763" s="926"/>
      <c r="BA763" s="926"/>
      <c r="BB763" s="927"/>
    </row>
    <row r="764" spans="1:54" x14ac:dyDescent="0.25">
      <c r="A764" s="13">
        <f t="shared" si="11"/>
        <v>751</v>
      </c>
      <c r="B764" s="888" t="str">
        <f>'refer admin discharge'!B760</f>
        <v>x</v>
      </c>
      <c r="C764" s="888"/>
      <c r="D764" s="868" t="str">
        <f>'refer admin discharge'!D760</f>
        <v>xx</v>
      </c>
      <c r="E764" s="868"/>
      <c r="F764" s="891" t="str">
        <f>'refer admin discharge'!H760</f>
        <v>00/00/0000</v>
      </c>
      <c r="G764" s="892"/>
      <c r="H764" s="894"/>
      <c r="I764" s="894"/>
      <c r="J764" s="918"/>
      <c r="K764" s="918"/>
      <c r="L764" s="894"/>
      <c r="M764" s="894"/>
      <c r="N764" s="916"/>
      <c r="O764" s="916"/>
      <c r="P764" s="894"/>
      <c r="Q764" s="894"/>
      <c r="R764" s="916"/>
      <c r="S764" s="916"/>
      <c r="T764" s="894"/>
      <c r="U764" s="894"/>
      <c r="V764" s="921" t="str">
        <f>'refer admin discharge'!H765</f>
        <v>00/00/0000</v>
      </c>
      <c r="W764" s="922"/>
      <c r="X764" s="920"/>
      <c r="Y764" s="920"/>
      <c r="Z764" s="919"/>
      <c r="AA764" s="919"/>
      <c r="AB764" s="920"/>
      <c r="AC764" s="920"/>
      <c r="AD764" s="912"/>
      <c r="AE764" s="912"/>
      <c r="AF764" s="920"/>
      <c r="AG764" s="920"/>
      <c r="AH764" s="912"/>
      <c r="AI764" s="912"/>
      <c r="AJ764" s="920"/>
      <c r="AK764" s="920"/>
      <c r="AL764" s="905"/>
      <c r="AM764" s="906"/>
      <c r="AN764" s="906"/>
      <c r="AO764" s="906"/>
      <c r="AP764" s="906"/>
      <c r="AQ764" s="906"/>
      <c r="AR764" s="906"/>
      <c r="AS764" s="906"/>
      <c r="AT764" s="906"/>
      <c r="AU764" s="906"/>
      <c r="AV764" s="906"/>
      <c r="AW764" s="906"/>
      <c r="AX764" s="906"/>
      <c r="AY764" s="906"/>
      <c r="AZ764" s="906"/>
      <c r="BA764" s="906"/>
      <c r="BB764" s="907"/>
    </row>
    <row r="765" spans="1:54" x14ac:dyDescent="0.25">
      <c r="A765" s="13">
        <f t="shared" si="11"/>
        <v>752</v>
      </c>
      <c r="B765" s="914" t="str">
        <f>'refer admin discharge'!B761</f>
        <v>x</v>
      </c>
      <c r="C765" s="914"/>
      <c r="D765" s="889" t="str">
        <f>'refer admin discharge'!D761</f>
        <v>xx</v>
      </c>
      <c r="E765" s="889"/>
      <c r="F765" s="915" t="str">
        <f>'refer admin discharge'!H761</f>
        <v>00/00/0000</v>
      </c>
      <c r="G765" s="890"/>
      <c r="H765" s="916"/>
      <c r="I765" s="916"/>
      <c r="J765" s="917"/>
      <c r="K765" s="917"/>
      <c r="L765" s="916"/>
      <c r="M765" s="916"/>
      <c r="N765" s="893"/>
      <c r="O765" s="893"/>
      <c r="P765" s="916"/>
      <c r="Q765" s="916"/>
      <c r="R765" s="893"/>
      <c r="S765" s="893"/>
      <c r="T765" s="916"/>
      <c r="U765" s="916"/>
      <c r="V765" s="921" t="str">
        <f>'refer admin discharge'!H766</f>
        <v>00/00/0000</v>
      </c>
      <c r="W765" s="922"/>
      <c r="X765" s="912"/>
      <c r="Y765" s="912"/>
      <c r="Z765" s="924"/>
      <c r="AA765" s="924"/>
      <c r="AB765" s="912"/>
      <c r="AC765" s="912"/>
      <c r="AD765" s="913"/>
      <c r="AE765" s="913"/>
      <c r="AF765" s="912"/>
      <c r="AG765" s="912"/>
      <c r="AH765" s="913"/>
      <c r="AI765" s="913"/>
      <c r="AJ765" s="912"/>
      <c r="AK765" s="912"/>
      <c r="AL765" s="925"/>
      <c r="AM765" s="926"/>
      <c r="AN765" s="926"/>
      <c r="AO765" s="926"/>
      <c r="AP765" s="926"/>
      <c r="AQ765" s="926"/>
      <c r="AR765" s="926"/>
      <c r="AS765" s="926"/>
      <c r="AT765" s="926"/>
      <c r="AU765" s="926"/>
      <c r="AV765" s="926"/>
      <c r="AW765" s="926"/>
      <c r="AX765" s="926"/>
      <c r="AY765" s="926"/>
      <c r="AZ765" s="926"/>
      <c r="BA765" s="926"/>
      <c r="BB765" s="927"/>
    </row>
    <row r="766" spans="1:54" x14ac:dyDescent="0.25">
      <c r="A766" s="13">
        <f t="shared" si="11"/>
        <v>753</v>
      </c>
      <c r="B766" s="888" t="str">
        <f>'refer admin discharge'!B762</f>
        <v>x</v>
      </c>
      <c r="C766" s="888"/>
      <c r="D766" s="868" t="str">
        <f>'refer admin discharge'!D762</f>
        <v>xx</v>
      </c>
      <c r="E766" s="868"/>
      <c r="F766" s="891" t="str">
        <f>'refer admin discharge'!H762</f>
        <v>00/00/0000</v>
      </c>
      <c r="G766" s="892"/>
      <c r="H766" s="894"/>
      <c r="I766" s="894"/>
      <c r="J766" s="918"/>
      <c r="K766" s="918"/>
      <c r="L766" s="894"/>
      <c r="M766" s="894"/>
      <c r="N766" s="916"/>
      <c r="O766" s="916"/>
      <c r="P766" s="894"/>
      <c r="Q766" s="894"/>
      <c r="R766" s="916"/>
      <c r="S766" s="916"/>
      <c r="T766" s="894"/>
      <c r="U766" s="894"/>
      <c r="V766" s="921" t="str">
        <f>'refer admin discharge'!H767</f>
        <v>00/00/0000</v>
      </c>
      <c r="W766" s="922"/>
      <c r="X766" s="920"/>
      <c r="Y766" s="920"/>
      <c r="Z766" s="919"/>
      <c r="AA766" s="919"/>
      <c r="AB766" s="920"/>
      <c r="AC766" s="920"/>
      <c r="AD766" s="912"/>
      <c r="AE766" s="912"/>
      <c r="AF766" s="920"/>
      <c r="AG766" s="920"/>
      <c r="AH766" s="912"/>
      <c r="AI766" s="912"/>
      <c r="AJ766" s="920"/>
      <c r="AK766" s="920"/>
      <c r="AL766" s="905"/>
      <c r="AM766" s="906"/>
      <c r="AN766" s="906"/>
      <c r="AO766" s="906"/>
      <c r="AP766" s="906"/>
      <c r="AQ766" s="906"/>
      <c r="AR766" s="906"/>
      <c r="AS766" s="906"/>
      <c r="AT766" s="906"/>
      <c r="AU766" s="906"/>
      <c r="AV766" s="906"/>
      <c r="AW766" s="906"/>
      <c r="AX766" s="906"/>
      <c r="AY766" s="906"/>
      <c r="AZ766" s="906"/>
      <c r="BA766" s="906"/>
      <c r="BB766" s="907"/>
    </row>
    <row r="767" spans="1:54" x14ac:dyDescent="0.25">
      <c r="A767" s="13">
        <f t="shared" si="11"/>
        <v>754</v>
      </c>
      <c r="B767" s="914" t="str">
        <f>'refer admin discharge'!B763</f>
        <v>x</v>
      </c>
      <c r="C767" s="914"/>
      <c r="D767" s="889" t="str">
        <f>'refer admin discharge'!D763</f>
        <v>xx</v>
      </c>
      <c r="E767" s="889"/>
      <c r="F767" s="915" t="str">
        <f>'refer admin discharge'!H763</f>
        <v>00/00/0000</v>
      </c>
      <c r="G767" s="890"/>
      <c r="H767" s="916"/>
      <c r="I767" s="916"/>
      <c r="J767" s="917"/>
      <c r="K767" s="917"/>
      <c r="L767" s="916"/>
      <c r="M767" s="916"/>
      <c r="N767" s="893"/>
      <c r="O767" s="893"/>
      <c r="P767" s="916"/>
      <c r="Q767" s="916"/>
      <c r="R767" s="893"/>
      <c r="S767" s="893"/>
      <c r="T767" s="916"/>
      <c r="U767" s="916"/>
      <c r="V767" s="921" t="str">
        <f>'refer admin discharge'!H768</f>
        <v>00/00/0000</v>
      </c>
      <c r="W767" s="922"/>
      <c r="X767" s="912"/>
      <c r="Y767" s="912"/>
      <c r="Z767" s="924"/>
      <c r="AA767" s="924"/>
      <c r="AB767" s="912"/>
      <c r="AC767" s="912"/>
      <c r="AD767" s="913"/>
      <c r="AE767" s="913"/>
      <c r="AF767" s="912"/>
      <c r="AG767" s="912"/>
      <c r="AH767" s="913"/>
      <c r="AI767" s="913"/>
      <c r="AJ767" s="912"/>
      <c r="AK767" s="912"/>
      <c r="AL767" s="925"/>
      <c r="AM767" s="926"/>
      <c r="AN767" s="926"/>
      <c r="AO767" s="926"/>
      <c r="AP767" s="926"/>
      <c r="AQ767" s="926"/>
      <c r="AR767" s="926"/>
      <c r="AS767" s="926"/>
      <c r="AT767" s="926"/>
      <c r="AU767" s="926"/>
      <c r="AV767" s="926"/>
      <c r="AW767" s="926"/>
      <c r="AX767" s="926"/>
      <c r="AY767" s="926"/>
      <c r="AZ767" s="926"/>
      <c r="BA767" s="926"/>
      <c r="BB767" s="927"/>
    </row>
    <row r="768" spans="1:54" x14ac:dyDescent="0.25">
      <c r="A768" s="13">
        <f t="shared" si="11"/>
        <v>755</v>
      </c>
      <c r="B768" s="888" t="str">
        <f>'refer admin discharge'!B764</f>
        <v>x</v>
      </c>
      <c r="C768" s="888"/>
      <c r="D768" s="868" t="str">
        <f>'refer admin discharge'!D764</f>
        <v>xx</v>
      </c>
      <c r="E768" s="868"/>
      <c r="F768" s="891" t="str">
        <f>'refer admin discharge'!H764</f>
        <v>00/00/0000</v>
      </c>
      <c r="G768" s="892"/>
      <c r="H768" s="894"/>
      <c r="I768" s="894"/>
      <c r="J768" s="918"/>
      <c r="K768" s="918"/>
      <c r="L768" s="894"/>
      <c r="M768" s="894"/>
      <c r="N768" s="916"/>
      <c r="O768" s="916"/>
      <c r="P768" s="894"/>
      <c r="Q768" s="894"/>
      <c r="R768" s="916"/>
      <c r="S768" s="916"/>
      <c r="T768" s="894"/>
      <c r="U768" s="894"/>
      <c r="V768" s="921" t="str">
        <f>'refer admin discharge'!H769</f>
        <v>00/00/0000</v>
      </c>
      <c r="W768" s="922"/>
      <c r="X768" s="920"/>
      <c r="Y768" s="920"/>
      <c r="Z768" s="919"/>
      <c r="AA768" s="919"/>
      <c r="AB768" s="920"/>
      <c r="AC768" s="920"/>
      <c r="AD768" s="912"/>
      <c r="AE768" s="912"/>
      <c r="AF768" s="920"/>
      <c r="AG768" s="920"/>
      <c r="AH768" s="912"/>
      <c r="AI768" s="912"/>
      <c r="AJ768" s="920"/>
      <c r="AK768" s="920"/>
      <c r="AL768" s="905"/>
      <c r="AM768" s="906"/>
      <c r="AN768" s="906"/>
      <c r="AO768" s="906"/>
      <c r="AP768" s="906"/>
      <c r="AQ768" s="906"/>
      <c r="AR768" s="906"/>
      <c r="AS768" s="906"/>
      <c r="AT768" s="906"/>
      <c r="AU768" s="906"/>
      <c r="AV768" s="906"/>
      <c r="AW768" s="906"/>
      <c r="AX768" s="906"/>
      <c r="AY768" s="906"/>
      <c r="AZ768" s="906"/>
      <c r="BA768" s="906"/>
      <c r="BB768" s="907"/>
    </row>
    <row r="769" spans="1:54" x14ac:dyDescent="0.25">
      <c r="A769" s="13">
        <f t="shared" si="11"/>
        <v>756</v>
      </c>
      <c r="B769" s="914" t="str">
        <f>'refer admin discharge'!B765</f>
        <v>x</v>
      </c>
      <c r="C769" s="914"/>
      <c r="D769" s="889" t="str">
        <f>'refer admin discharge'!D765</f>
        <v>xx</v>
      </c>
      <c r="E769" s="889"/>
      <c r="F769" s="915" t="str">
        <f>'refer admin discharge'!H765</f>
        <v>00/00/0000</v>
      </c>
      <c r="G769" s="890"/>
      <c r="H769" s="916"/>
      <c r="I769" s="916"/>
      <c r="J769" s="917"/>
      <c r="K769" s="917"/>
      <c r="L769" s="916"/>
      <c r="M769" s="916"/>
      <c r="N769" s="893"/>
      <c r="O769" s="893"/>
      <c r="P769" s="916"/>
      <c r="Q769" s="916"/>
      <c r="R769" s="893"/>
      <c r="S769" s="893"/>
      <c r="T769" s="916"/>
      <c r="U769" s="916"/>
      <c r="V769" s="921" t="str">
        <f>'refer admin discharge'!H770</f>
        <v>00/00/0000</v>
      </c>
      <c r="W769" s="922"/>
      <c r="X769" s="912"/>
      <c r="Y769" s="912"/>
      <c r="Z769" s="924"/>
      <c r="AA769" s="924"/>
      <c r="AB769" s="912"/>
      <c r="AC769" s="912"/>
      <c r="AD769" s="913"/>
      <c r="AE769" s="913"/>
      <c r="AF769" s="912"/>
      <c r="AG769" s="912"/>
      <c r="AH769" s="913"/>
      <c r="AI769" s="913"/>
      <c r="AJ769" s="912"/>
      <c r="AK769" s="912"/>
      <c r="AL769" s="925"/>
      <c r="AM769" s="926"/>
      <c r="AN769" s="926"/>
      <c r="AO769" s="926"/>
      <c r="AP769" s="926"/>
      <c r="AQ769" s="926"/>
      <c r="AR769" s="926"/>
      <c r="AS769" s="926"/>
      <c r="AT769" s="926"/>
      <c r="AU769" s="926"/>
      <c r="AV769" s="926"/>
      <c r="AW769" s="926"/>
      <c r="AX769" s="926"/>
      <c r="AY769" s="926"/>
      <c r="AZ769" s="926"/>
      <c r="BA769" s="926"/>
      <c r="BB769" s="927"/>
    </row>
    <row r="770" spans="1:54" x14ac:dyDescent="0.25">
      <c r="A770" s="13">
        <f t="shared" si="11"/>
        <v>757</v>
      </c>
      <c r="B770" s="888" t="str">
        <f>'refer admin discharge'!B766</f>
        <v>x</v>
      </c>
      <c r="C770" s="888"/>
      <c r="D770" s="868" t="str">
        <f>'refer admin discharge'!D766</f>
        <v>xx</v>
      </c>
      <c r="E770" s="868"/>
      <c r="F770" s="891" t="str">
        <f>'refer admin discharge'!H766</f>
        <v>00/00/0000</v>
      </c>
      <c r="G770" s="892"/>
      <c r="H770" s="894"/>
      <c r="I770" s="894"/>
      <c r="J770" s="918"/>
      <c r="K770" s="918"/>
      <c r="L770" s="894"/>
      <c r="M770" s="894"/>
      <c r="N770" s="916"/>
      <c r="O770" s="916"/>
      <c r="P770" s="894"/>
      <c r="Q770" s="894"/>
      <c r="R770" s="916"/>
      <c r="S770" s="916"/>
      <c r="T770" s="894"/>
      <c r="U770" s="894"/>
      <c r="V770" s="921" t="str">
        <f>'refer admin discharge'!H771</f>
        <v>00/00/0000</v>
      </c>
      <c r="W770" s="922"/>
      <c r="X770" s="920"/>
      <c r="Y770" s="920"/>
      <c r="Z770" s="919"/>
      <c r="AA770" s="919"/>
      <c r="AB770" s="920"/>
      <c r="AC770" s="920"/>
      <c r="AD770" s="912"/>
      <c r="AE770" s="912"/>
      <c r="AF770" s="920"/>
      <c r="AG770" s="920"/>
      <c r="AH770" s="912"/>
      <c r="AI770" s="912"/>
      <c r="AJ770" s="920"/>
      <c r="AK770" s="920"/>
      <c r="AL770" s="905"/>
      <c r="AM770" s="906"/>
      <c r="AN770" s="906"/>
      <c r="AO770" s="906"/>
      <c r="AP770" s="906"/>
      <c r="AQ770" s="906"/>
      <c r="AR770" s="906"/>
      <c r="AS770" s="906"/>
      <c r="AT770" s="906"/>
      <c r="AU770" s="906"/>
      <c r="AV770" s="906"/>
      <c r="AW770" s="906"/>
      <c r="AX770" s="906"/>
      <c r="AY770" s="906"/>
      <c r="AZ770" s="906"/>
      <c r="BA770" s="906"/>
      <c r="BB770" s="907"/>
    </row>
    <row r="771" spans="1:54" x14ac:dyDescent="0.25">
      <c r="A771" s="13">
        <f t="shared" si="11"/>
        <v>758</v>
      </c>
      <c r="B771" s="914" t="str">
        <f>'refer admin discharge'!B767</f>
        <v>x</v>
      </c>
      <c r="C771" s="914"/>
      <c r="D771" s="889" t="str">
        <f>'refer admin discharge'!D767</f>
        <v>xx</v>
      </c>
      <c r="E771" s="889"/>
      <c r="F771" s="915" t="str">
        <f>'refer admin discharge'!H767</f>
        <v>00/00/0000</v>
      </c>
      <c r="G771" s="890"/>
      <c r="H771" s="916"/>
      <c r="I771" s="916"/>
      <c r="J771" s="917"/>
      <c r="K771" s="917"/>
      <c r="L771" s="916"/>
      <c r="M771" s="916"/>
      <c r="N771" s="893"/>
      <c r="O771" s="893"/>
      <c r="P771" s="916"/>
      <c r="Q771" s="916"/>
      <c r="R771" s="893"/>
      <c r="S771" s="893"/>
      <c r="T771" s="916"/>
      <c r="U771" s="916"/>
      <c r="V771" s="921" t="str">
        <f>'refer admin discharge'!H772</f>
        <v>00/00/0000</v>
      </c>
      <c r="W771" s="922"/>
      <c r="X771" s="912"/>
      <c r="Y771" s="912"/>
      <c r="Z771" s="924"/>
      <c r="AA771" s="924"/>
      <c r="AB771" s="912"/>
      <c r="AC771" s="912"/>
      <c r="AD771" s="913"/>
      <c r="AE771" s="913"/>
      <c r="AF771" s="912"/>
      <c r="AG771" s="912"/>
      <c r="AH771" s="913"/>
      <c r="AI771" s="913"/>
      <c r="AJ771" s="912"/>
      <c r="AK771" s="912"/>
      <c r="AL771" s="925"/>
      <c r="AM771" s="926"/>
      <c r="AN771" s="926"/>
      <c r="AO771" s="926"/>
      <c r="AP771" s="926"/>
      <c r="AQ771" s="926"/>
      <c r="AR771" s="926"/>
      <c r="AS771" s="926"/>
      <c r="AT771" s="926"/>
      <c r="AU771" s="926"/>
      <c r="AV771" s="926"/>
      <c r="AW771" s="926"/>
      <c r="AX771" s="926"/>
      <c r="AY771" s="926"/>
      <c r="AZ771" s="926"/>
      <c r="BA771" s="926"/>
      <c r="BB771" s="927"/>
    </row>
    <row r="772" spans="1:54" x14ac:dyDescent="0.25">
      <c r="A772" s="13">
        <f t="shared" si="11"/>
        <v>759</v>
      </c>
      <c r="B772" s="888" t="str">
        <f>'refer admin discharge'!B768</f>
        <v>x</v>
      </c>
      <c r="C772" s="888"/>
      <c r="D772" s="868" t="str">
        <f>'refer admin discharge'!D768</f>
        <v>xx</v>
      </c>
      <c r="E772" s="868"/>
      <c r="F772" s="891" t="str">
        <f>'refer admin discharge'!H768</f>
        <v>00/00/0000</v>
      </c>
      <c r="G772" s="892"/>
      <c r="H772" s="894"/>
      <c r="I772" s="894"/>
      <c r="J772" s="918"/>
      <c r="K772" s="918"/>
      <c r="L772" s="894"/>
      <c r="M772" s="894"/>
      <c r="N772" s="916"/>
      <c r="O772" s="916"/>
      <c r="P772" s="894"/>
      <c r="Q772" s="894"/>
      <c r="R772" s="916"/>
      <c r="S772" s="916"/>
      <c r="T772" s="894"/>
      <c r="U772" s="894"/>
      <c r="V772" s="921" t="str">
        <f>'refer admin discharge'!H773</f>
        <v>00/00/0000</v>
      </c>
      <c r="W772" s="922"/>
      <c r="X772" s="920"/>
      <c r="Y772" s="920"/>
      <c r="Z772" s="919"/>
      <c r="AA772" s="919"/>
      <c r="AB772" s="920"/>
      <c r="AC772" s="920"/>
      <c r="AD772" s="912"/>
      <c r="AE772" s="912"/>
      <c r="AF772" s="920"/>
      <c r="AG772" s="920"/>
      <c r="AH772" s="912"/>
      <c r="AI772" s="912"/>
      <c r="AJ772" s="920"/>
      <c r="AK772" s="920"/>
      <c r="AL772" s="905"/>
      <c r="AM772" s="906"/>
      <c r="AN772" s="906"/>
      <c r="AO772" s="906"/>
      <c r="AP772" s="906"/>
      <c r="AQ772" s="906"/>
      <c r="AR772" s="906"/>
      <c r="AS772" s="906"/>
      <c r="AT772" s="906"/>
      <c r="AU772" s="906"/>
      <c r="AV772" s="906"/>
      <c r="AW772" s="906"/>
      <c r="AX772" s="906"/>
      <c r="AY772" s="906"/>
      <c r="AZ772" s="906"/>
      <c r="BA772" s="906"/>
      <c r="BB772" s="907"/>
    </row>
    <row r="773" spans="1:54" x14ac:dyDescent="0.25">
      <c r="A773" s="13">
        <f t="shared" si="11"/>
        <v>760</v>
      </c>
      <c r="B773" s="914" t="str">
        <f>'refer admin discharge'!B769</f>
        <v>x</v>
      </c>
      <c r="C773" s="914"/>
      <c r="D773" s="889" t="str">
        <f>'refer admin discharge'!D769</f>
        <v>xx</v>
      </c>
      <c r="E773" s="889"/>
      <c r="F773" s="915" t="str">
        <f>'refer admin discharge'!H769</f>
        <v>00/00/0000</v>
      </c>
      <c r="G773" s="890"/>
      <c r="H773" s="916"/>
      <c r="I773" s="916"/>
      <c r="J773" s="917"/>
      <c r="K773" s="917"/>
      <c r="L773" s="916"/>
      <c r="M773" s="916"/>
      <c r="N773" s="893"/>
      <c r="O773" s="893"/>
      <c r="P773" s="916"/>
      <c r="Q773" s="916"/>
      <c r="R773" s="893"/>
      <c r="S773" s="893"/>
      <c r="T773" s="916"/>
      <c r="U773" s="916"/>
      <c r="V773" s="921" t="str">
        <f>'refer admin discharge'!H774</f>
        <v>00/00/0000</v>
      </c>
      <c r="W773" s="922"/>
      <c r="X773" s="912"/>
      <c r="Y773" s="912"/>
      <c r="Z773" s="924"/>
      <c r="AA773" s="924"/>
      <c r="AB773" s="912"/>
      <c r="AC773" s="912"/>
      <c r="AD773" s="913"/>
      <c r="AE773" s="913"/>
      <c r="AF773" s="912"/>
      <c r="AG773" s="912"/>
      <c r="AH773" s="913"/>
      <c r="AI773" s="913"/>
      <c r="AJ773" s="912"/>
      <c r="AK773" s="912"/>
      <c r="AL773" s="925"/>
      <c r="AM773" s="926"/>
      <c r="AN773" s="926"/>
      <c r="AO773" s="926"/>
      <c r="AP773" s="926"/>
      <c r="AQ773" s="926"/>
      <c r="AR773" s="926"/>
      <c r="AS773" s="926"/>
      <c r="AT773" s="926"/>
      <c r="AU773" s="926"/>
      <c r="AV773" s="926"/>
      <c r="AW773" s="926"/>
      <c r="AX773" s="926"/>
      <c r="AY773" s="926"/>
      <c r="AZ773" s="926"/>
      <c r="BA773" s="926"/>
      <c r="BB773" s="927"/>
    </row>
    <row r="774" spans="1:54" x14ac:dyDescent="0.25">
      <c r="A774" s="13">
        <f t="shared" si="11"/>
        <v>761</v>
      </c>
      <c r="B774" s="888" t="str">
        <f>'refer admin discharge'!B770</f>
        <v>x</v>
      </c>
      <c r="C774" s="888"/>
      <c r="D774" s="868" t="str">
        <f>'refer admin discharge'!D770</f>
        <v>xx</v>
      </c>
      <c r="E774" s="868"/>
      <c r="F774" s="891" t="str">
        <f>'refer admin discharge'!H770</f>
        <v>00/00/0000</v>
      </c>
      <c r="G774" s="892"/>
      <c r="H774" s="894"/>
      <c r="I774" s="894"/>
      <c r="J774" s="918"/>
      <c r="K774" s="918"/>
      <c r="L774" s="894"/>
      <c r="M774" s="894"/>
      <c r="N774" s="916"/>
      <c r="O774" s="916"/>
      <c r="P774" s="894"/>
      <c r="Q774" s="894"/>
      <c r="R774" s="916"/>
      <c r="S774" s="916"/>
      <c r="T774" s="894"/>
      <c r="U774" s="894"/>
      <c r="V774" s="921" t="str">
        <f>'refer admin discharge'!H775</f>
        <v>00/00/0000</v>
      </c>
      <c r="W774" s="922"/>
      <c r="X774" s="920"/>
      <c r="Y774" s="920"/>
      <c r="Z774" s="919"/>
      <c r="AA774" s="919"/>
      <c r="AB774" s="920"/>
      <c r="AC774" s="920"/>
      <c r="AD774" s="912"/>
      <c r="AE774" s="912"/>
      <c r="AF774" s="920"/>
      <c r="AG774" s="920"/>
      <c r="AH774" s="912"/>
      <c r="AI774" s="912"/>
      <c r="AJ774" s="920"/>
      <c r="AK774" s="920"/>
      <c r="AL774" s="905"/>
      <c r="AM774" s="906"/>
      <c r="AN774" s="906"/>
      <c r="AO774" s="906"/>
      <c r="AP774" s="906"/>
      <c r="AQ774" s="906"/>
      <c r="AR774" s="906"/>
      <c r="AS774" s="906"/>
      <c r="AT774" s="906"/>
      <c r="AU774" s="906"/>
      <c r="AV774" s="906"/>
      <c r="AW774" s="906"/>
      <c r="AX774" s="906"/>
      <c r="AY774" s="906"/>
      <c r="AZ774" s="906"/>
      <c r="BA774" s="906"/>
      <c r="BB774" s="907"/>
    </row>
    <row r="775" spans="1:54" x14ac:dyDescent="0.25">
      <c r="A775" s="13">
        <f t="shared" si="11"/>
        <v>762</v>
      </c>
      <c r="B775" s="914" t="str">
        <f>'refer admin discharge'!B771</f>
        <v>x</v>
      </c>
      <c r="C775" s="914"/>
      <c r="D775" s="889" t="str">
        <f>'refer admin discharge'!D771</f>
        <v>xx</v>
      </c>
      <c r="E775" s="889"/>
      <c r="F775" s="915" t="str">
        <f>'refer admin discharge'!H771</f>
        <v>00/00/0000</v>
      </c>
      <c r="G775" s="890"/>
      <c r="H775" s="916"/>
      <c r="I775" s="916"/>
      <c r="J775" s="917"/>
      <c r="K775" s="917"/>
      <c r="L775" s="916"/>
      <c r="M775" s="916"/>
      <c r="N775" s="893"/>
      <c r="O775" s="893"/>
      <c r="P775" s="916"/>
      <c r="Q775" s="916"/>
      <c r="R775" s="893"/>
      <c r="S775" s="893"/>
      <c r="T775" s="916"/>
      <c r="U775" s="916"/>
      <c r="V775" s="921" t="str">
        <f>'refer admin discharge'!H776</f>
        <v>00/00/0000</v>
      </c>
      <c r="W775" s="922"/>
      <c r="X775" s="912"/>
      <c r="Y775" s="912"/>
      <c r="Z775" s="924"/>
      <c r="AA775" s="924"/>
      <c r="AB775" s="912"/>
      <c r="AC775" s="912"/>
      <c r="AD775" s="913"/>
      <c r="AE775" s="913"/>
      <c r="AF775" s="912"/>
      <c r="AG775" s="912"/>
      <c r="AH775" s="913"/>
      <c r="AI775" s="913"/>
      <c r="AJ775" s="912"/>
      <c r="AK775" s="912"/>
      <c r="AL775" s="925"/>
      <c r="AM775" s="926"/>
      <c r="AN775" s="926"/>
      <c r="AO775" s="926"/>
      <c r="AP775" s="926"/>
      <c r="AQ775" s="926"/>
      <c r="AR775" s="926"/>
      <c r="AS775" s="926"/>
      <c r="AT775" s="926"/>
      <c r="AU775" s="926"/>
      <c r="AV775" s="926"/>
      <c r="AW775" s="926"/>
      <c r="AX775" s="926"/>
      <c r="AY775" s="926"/>
      <c r="AZ775" s="926"/>
      <c r="BA775" s="926"/>
      <c r="BB775" s="927"/>
    </row>
    <row r="776" spans="1:54" x14ac:dyDescent="0.25">
      <c r="A776" s="13">
        <f t="shared" si="11"/>
        <v>763</v>
      </c>
      <c r="B776" s="888" t="str">
        <f>'refer admin discharge'!B772</f>
        <v>x</v>
      </c>
      <c r="C776" s="888"/>
      <c r="D776" s="868" t="str">
        <f>'refer admin discharge'!D772</f>
        <v>xx</v>
      </c>
      <c r="E776" s="868"/>
      <c r="F776" s="891" t="str">
        <f>'refer admin discharge'!H772</f>
        <v>00/00/0000</v>
      </c>
      <c r="G776" s="892"/>
      <c r="H776" s="894"/>
      <c r="I776" s="894"/>
      <c r="J776" s="918"/>
      <c r="K776" s="918"/>
      <c r="L776" s="894"/>
      <c r="M776" s="894"/>
      <c r="N776" s="916"/>
      <c r="O776" s="916"/>
      <c r="P776" s="894"/>
      <c r="Q776" s="894"/>
      <c r="R776" s="916"/>
      <c r="S776" s="916"/>
      <c r="T776" s="894"/>
      <c r="U776" s="894"/>
      <c r="V776" s="921" t="str">
        <f>'refer admin discharge'!H777</f>
        <v>00/00/0000</v>
      </c>
      <c r="W776" s="922"/>
      <c r="X776" s="920"/>
      <c r="Y776" s="920"/>
      <c r="Z776" s="919"/>
      <c r="AA776" s="919"/>
      <c r="AB776" s="920"/>
      <c r="AC776" s="920"/>
      <c r="AD776" s="912"/>
      <c r="AE776" s="912"/>
      <c r="AF776" s="920"/>
      <c r="AG776" s="920"/>
      <c r="AH776" s="912"/>
      <c r="AI776" s="912"/>
      <c r="AJ776" s="920"/>
      <c r="AK776" s="920"/>
      <c r="AL776" s="905"/>
      <c r="AM776" s="906"/>
      <c r="AN776" s="906"/>
      <c r="AO776" s="906"/>
      <c r="AP776" s="906"/>
      <c r="AQ776" s="906"/>
      <c r="AR776" s="906"/>
      <c r="AS776" s="906"/>
      <c r="AT776" s="906"/>
      <c r="AU776" s="906"/>
      <c r="AV776" s="906"/>
      <c r="AW776" s="906"/>
      <c r="AX776" s="906"/>
      <c r="AY776" s="906"/>
      <c r="AZ776" s="906"/>
      <c r="BA776" s="906"/>
      <c r="BB776" s="907"/>
    </row>
    <row r="777" spans="1:54" x14ac:dyDescent="0.25">
      <c r="A777" s="13">
        <f t="shared" si="11"/>
        <v>764</v>
      </c>
      <c r="B777" s="914" t="str">
        <f>'refer admin discharge'!B773</f>
        <v>x</v>
      </c>
      <c r="C777" s="914"/>
      <c r="D777" s="889" t="str">
        <f>'refer admin discharge'!D773</f>
        <v>xx</v>
      </c>
      <c r="E777" s="889"/>
      <c r="F777" s="915" t="str">
        <f>'refer admin discharge'!H773</f>
        <v>00/00/0000</v>
      </c>
      <c r="G777" s="890"/>
      <c r="H777" s="916"/>
      <c r="I777" s="916"/>
      <c r="J777" s="917"/>
      <c r="K777" s="917"/>
      <c r="L777" s="916"/>
      <c r="M777" s="916"/>
      <c r="N777" s="893"/>
      <c r="O777" s="893"/>
      <c r="P777" s="916"/>
      <c r="Q777" s="916"/>
      <c r="R777" s="893"/>
      <c r="S777" s="893"/>
      <c r="T777" s="916"/>
      <c r="U777" s="916"/>
      <c r="V777" s="921" t="str">
        <f>'refer admin discharge'!H778</f>
        <v>00/00/0000</v>
      </c>
      <c r="W777" s="922"/>
      <c r="X777" s="912"/>
      <c r="Y777" s="912"/>
      <c r="Z777" s="924"/>
      <c r="AA777" s="924"/>
      <c r="AB777" s="912"/>
      <c r="AC777" s="912"/>
      <c r="AD777" s="913"/>
      <c r="AE777" s="913"/>
      <c r="AF777" s="912"/>
      <c r="AG777" s="912"/>
      <c r="AH777" s="913"/>
      <c r="AI777" s="913"/>
      <c r="AJ777" s="912"/>
      <c r="AK777" s="912"/>
      <c r="AL777" s="925"/>
      <c r="AM777" s="926"/>
      <c r="AN777" s="926"/>
      <c r="AO777" s="926"/>
      <c r="AP777" s="926"/>
      <c r="AQ777" s="926"/>
      <c r="AR777" s="926"/>
      <c r="AS777" s="926"/>
      <c r="AT777" s="926"/>
      <c r="AU777" s="926"/>
      <c r="AV777" s="926"/>
      <c r="AW777" s="926"/>
      <c r="AX777" s="926"/>
      <c r="AY777" s="926"/>
      <c r="AZ777" s="926"/>
      <c r="BA777" s="926"/>
      <c r="BB777" s="927"/>
    </row>
    <row r="778" spans="1:54" x14ac:dyDescent="0.25">
      <c r="A778" s="13">
        <f t="shared" si="11"/>
        <v>765</v>
      </c>
      <c r="B778" s="888" t="str">
        <f>'refer admin discharge'!B774</f>
        <v>x</v>
      </c>
      <c r="C778" s="888"/>
      <c r="D778" s="868" t="str">
        <f>'refer admin discharge'!D774</f>
        <v>xx</v>
      </c>
      <c r="E778" s="868"/>
      <c r="F778" s="891" t="str">
        <f>'refer admin discharge'!H774</f>
        <v>00/00/0000</v>
      </c>
      <c r="G778" s="892"/>
      <c r="H778" s="894"/>
      <c r="I778" s="894"/>
      <c r="J778" s="918"/>
      <c r="K778" s="918"/>
      <c r="L778" s="894"/>
      <c r="M778" s="894"/>
      <c r="N778" s="916"/>
      <c r="O778" s="916"/>
      <c r="P778" s="894"/>
      <c r="Q778" s="894"/>
      <c r="R778" s="916"/>
      <c r="S778" s="916"/>
      <c r="T778" s="894"/>
      <c r="U778" s="894"/>
      <c r="V778" s="921" t="str">
        <f>'refer admin discharge'!H779</f>
        <v>00/00/0000</v>
      </c>
      <c r="W778" s="922"/>
      <c r="X778" s="920"/>
      <c r="Y778" s="920"/>
      <c r="Z778" s="919"/>
      <c r="AA778" s="919"/>
      <c r="AB778" s="920"/>
      <c r="AC778" s="920"/>
      <c r="AD778" s="912"/>
      <c r="AE778" s="912"/>
      <c r="AF778" s="920"/>
      <c r="AG778" s="920"/>
      <c r="AH778" s="912"/>
      <c r="AI778" s="912"/>
      <c r="AJ778" s="920"/>
      <c r="AK778" s="920"/>
      <c r="AL778" s="905"/>
      <c r="AM778" s="906"/>
      <c r="AN778" s="906"/>
      <c r="AO778" s="906"/>
      <c r="AP778" s="906"/>
      <c r="AQ778" s="906"/>
      <c r="AR778" s="906"/>
      <c r="AS778" s="906"/>
      <c r="AT778" s="906"/>
      <c r="AU778" s="906"/>
      <c r="AV778" s="906"/>
      <c r="AW778" s="906"/>
      <c r="AX778" s="906"/>
      <c r="AY778" s="906"/>
      <c r="AZ778" s="906"/>
      <c r="BA778" s="906"/>
      <c r="BB778" s="907"/>
    </row>
    <row r="779" spans="1:54" x14ac:dyDescent="0.25">
      <c r="A779" s="13">
        <f t="shared" si="11"/>
        <v>766</v>
      </c>
      <c r="B779" s="914" t="str">
        <f>'refer admin discharge'!B775</f>
        <v>x</v>
      </c>
      <c r="C779" s="914"/>
      <c r="D779" s="889" t="str">
        <f>'refer admin discharge'!D775</f>
        <v>xx</v>
      </c>
      <c r="E779" s="889"/>
      <c r="F779" s="915" t="str">
        <f>'refer admin discharge'!H775</f>
        <v>00/00/0000</v>
      </c>
      <c r="G779" s="890"/>
      <c r="H779" s="916"/>
      <c r="I779" s="916"/>
      <c r="J779" s="917"/>
      <c r="K779" s="917"/>
      <c r="L779" s="916"/>
      <c r="M779" s="916"/>
      <c r="N779" s="893"/>
      <c r="O779" s="893"/>
      <c r="P779" s="916"/>
      <c r="Q779" s="916"/>
      <c r="R779" s="893"/>
      <c r="S779" s="893"/>
      <c r="T779" s="916"/>
      <c r="U779" s="916"/>
      <c r="V779" s="921" t="str">
        <f>'refer admin discharge'!H780</f>
        <v>00/00/0000</v>
      </c>
      <c r="W779" s="922"/>
      <c r="X779" s="912"/>
      <c r="Y779" s="912"/>
      <c r="Z779" s="924"/>
      <c r="AA779" s="924"/>
      <c r="AB779" s="912"/>
      <c r="AC779" s="912"/>
      <c r="AD779" s="913"/>
      <c r="AE779" s="913"/>
      <c r="AF779" s="912"/>
      <c r="AG779" s="912"/>
      <c r="AH779" s="913"/>
      <c r="AI779" s="913"/>
      <c r="AJ779" s="912"/>
      <c r="AK779" s="912"/>
      <c r="AL779" s="925"/>
      <c r="AM779" s="926"/>
      <c r="AN779" s="926"/>
      <c r="AO779" s="926"/>
      <c r="AP779" s="926"/>
      <c r="AQ779" s="926"/>
      <c r="AR779" s="926"/>
      <c r="AS779" s="926"/>
      <c r="AT779" s="926"/>
      <c r="AU779" s="926"/>
      <c r="AV779" s="926"/>
      <c r="AW779" s="926"/>
      <c r="AX779" s="926"/>
      <c r="AY779" s="926"/>
      <c r="AZ779" s="926"/>
      <c r="BA779" s="926"/>
      <c r="BB779" s="927"/>
    </row>
    <row r="780" spans="1:54" x14ac:dyDescent="0.25">
      <c r="A780" s="13">
        <f t="shared" si="11"/>
        <v>767</v>
      </c>
      <c r="B780" s="888" t="str">
        <f>'refer admin discharge'!B776</f>
        <v>x</v>
      </c>
      <c r="C780" s="888"/>
      <c r="D780" s="868" t="str">
        <f>'refer admin discharge'!D776</f>
        <v>xx</v>
      </c>
      <c r="E780" s="868"/>
      <c r="F780" s="891" t="str">
        <f>'refer admin discharge'!H776</f>
        <v>00/00/0000</v>
      </c>
      <c r="G780" s="892"/>
      <c r="H780" s="894"/>
      <c r="I780" s="894"/>
      <c r="J780" s="918"/>
      <c r="K780" s="918"/>
      <c r="L780" s="894"/>
      <c r="M780" s="894"/>
      <c r="N780" s="916"/>
      <c r="O780" s="916"/>
      <c r="P780" s="894"/>
      <c r="Q780" s="894"/>
      <c r="R780" s="916"/>
      <c r="S780" s="916"/>
      <c r="T780" s="894"/>
      <c r="U780" s="894"/>
      <c r="V780" s="921" t="str">
        <f>'refer admin discharge'!H781</f>
        <v>00/00/0000</v>
      </c>
      <c r="W780" s="922"/>
      <c r="X780" s="920"/>
      <c r="Y780" s="920"/>
      <c r="Z780" s="919"/>
      <c r="AA780" s="919"/>
      <c r="AB780" s="920"/>
      <c r="AC780" s="920"/>
      <c r="AD780" s="912"/>
      <c r="AE780" s="912"/>
      <c r="AF780" s="920"/>
      <c r="AG780" s="920"/>
      <c r="AH780" s="912"/>
      <c r="AI780" s="912"/>
      <c r="AJ780" s="920"/>
      <c r="AK780" s="920"/>
      <c r="AL780" s="905"/>
      <c r="AM780" s="906"/>
      <c r="AN780" s="906"/>
      <c r="AO780" s="906"/>
      <c r="AP780" s="906"/>
      <c r="AQ780" s="906"/>
      <c r="AR780" s="906"/>
      <c r="AS780" s="906"/>
      <c r="AT780" s="906"/>
      <c r="AU780" s="906"/>
      <c r="AV780" s="906"/>
      <c r="AW780" s="906"/>
      <c r="AX780" s="906"/>
      <c r="AY780" s="906"/>
      <c r="AZ780" s="906"/>
      <c r="BA780" s="906"/>
      <c r="BB780" s="907"/>
    </row>
    <row r="781" spans="1:54" x14ac:dyDescent="0.25">
      <c r="A781" s="13">
        <f t="shared" si="11"/>
        <v>768</v>
      </c>
      <c r="B781" s="914" t="str">
        <f>'refer admin discharge'!B777</f>
        <v>x</v>
      </c>
      <c r="C781" s="914"/>
      <c r="D781" s="889" t="str">
        <f>'refer admin discharge'!D777</f>
        <v>xx</v>
      </c>
      <c r="E781" s="889"/>
      <c r="F781" s="915" t="str">
        <f>'refer admin discharge'!H777</f>
        <v>00/00/0000</v>
      </c>
      <c r="G781" s="890"/>
      <c r="H781" s="916"/>
      <c r="I781" s="916"/>
      <c r="J781" s="917"/>
      <c r="K781" s="917"/>
      <c r="L781" s="916"/>
      <c r="M781" s="916"/>
      <c r="N781" s="893"/>
      <c r="O781" s="893"/>
      <c r="P781" s="916"/>
      <c r="Q781" s="916"/>
      <c r="R781" s="893"/>
      <c r="S781" s="893"/>
      <c r="T781" s="916"/>
      <c r="U781" s="916"/>
      <c r="V781" s="921" t="str">
        <f>'refer admin discharge'!H782</f>
        <v>00/00/0000</v>
      </c>
      <c r="W781" s="922"/>
      <c r="X781" s="912"/>
      <c r="Y781" s="912"/>
      <c r="Z781" s="924"/>
      <c r="AA781" s="924"/>
      <c r="AB781" s="912"/>
      <c r="AC781" s="912"/>
      <c r="AD781" s="913"/>
      <c r="AE781" s="913"/>
      <c r="AF781" s="912"/>
      <c r="AG781" s="912"/>
      <c r="AH781" s="913"/>
      <c r="AI781" s="913"/>
      <c r="AJ781" s="912"/>
      <c r="AK781" s="912"/>
      <c r="AL781" s="925"/>
      <c r="AM781" s="926"/>
      <c r="AN781" s="926"/>
      <c r="AO781" s="926"/>
      <c r="AP781" s="926"/>
      <c r="AQ781" s="926"/>
      <c r="AR781" s="926"/>
      <c r="AS781" s="926"/>
      <c r="AT781" s="926"/>
      <c r="AU781" s="926"/>
      <c r="AV781" s="926"/>
      <c r="AW781" s="926"/>
      <c r="AX781" s="926"/>
      <c r="AY781" s="926"/>
      <c r="AZ781" s="926"/>
      <c r="BA781" s="926"/>
      <c r="BB781" s="927"/>
    </row>
    <row r="782" spans="1:54" x14ac:dyDescent="0.25">
      <c r="A782" s="13">
        <f t="shared" ref="A782:A845" si="12">ROW(A769)</f>
        <v>769</v>
      </c>
      <c r="B782" s="888" t="str">
        <f>'refer admin discharge'!B778</f>
        <v>x</v>
      </c>
      <c r="C782" s="888"/>
      <c r="D782" s="868" t="str">
        <f>'refer admin discharge'!D778</f>
        <v>xx</v>
      </c>
      <c r="E782" s="868"/>
      <c r="F782" s="891" t="str">
        <f>'refer admin discharge'!H778</f>
        <v>00/00/0000</v>
      </c>
      <c r="G782" s="892"/>
      <c r="H782" s="894"/>
      <c r="I782" s="894"/>
      <c r="J782" s="918"/>
      <c r="K782" s="918"/>
      <c r="L782" s="894"/>
      <c r="M782" s="894"/>
      <c r="N782" s="916"/>
      <c r="O782" s="916"/>
      <c r="P782" s="894"/>
      <c r="Q782" s="894"/>
      <c r="R782" s="916"/>
      <c r="S782" s="916"/>
      <c r="T782" s="894"/>
      <c r="U782" s="894"/>
      <c r="V782" s="921" t="str">
        <f>'refer admin discharge'!H783</f>
        <v>00/00/0000</v>
      </c>
      <c r="W782" s="922"/>
      <c r="X782" s="920"/>
      <c r="Y782" s="920"/>
      <c r="Z782" s="919"/>
      <c r="AA782" s="919"/>
      <c r="AB782" s="920"/>
      <c r="AC782" s="920"/>
      <c r="AD782" s="912"/>
      <c r="AE782" s="912"/>
      <c r="AF782" s="920"/>
      <c r="AG782" s="920"/>
      <c r="AH782" s="912"/>
      <c r="AI782" s="912"/>
      <c r="AJ782" s="920"/>
      <c r="AK782" s="920"/>
      <c r="AL782" s="905"/>
      <c r="AM782" s="906"/>
      <c r="AN782" s="906"/>
      <c r="AO782" s="906"/>
      <c r="AP782" s="906"/>
      <c r="AQ782" s="906"/>
      <c r="AR782" s="906"/>
      <c r="AS782" s="906"/>
      <c r="AT782" s="906"/>
      <c r="AU782" s="906"/>
      <c r="AV782" s="906"/>
      <c r="AW782" s="906"/>
      <c r="AX782" s="906"/>
      <c r="AY782" s="906"/>
      <c r="AZ782" s="906"/>
      <c r="BA782" s="906"/>
      <c r="BB782" s="907"/>
    </row>
    <row r="783" spans="1:54" x14ac:dyDescent="0.25">
      <c r="A783" s="13">
        <f t="shared" si="12"/>
        <v>770</v>
      </c>
      <c r="B783" s="914" t="str">
        <f>'refer admin discharge'!B779</f>
        <v>x</v>
      </c>
      <c r="C783" s="914"/>
      <c r="D783" s="889" t="str">
        <f>'refer admin discharge'!D779</f>
        <v>xx</v>
      </c>
      <c r="E783" s="889"/>
      <c r="F783" s="915" t="str">
        <f>'refer admin discharge'!H779</f>
        <v>00/00/0000</v>
      </c>
      <c r="G783" s="890"/>
      <c r="H783" s="916"/>
      <c r="I783" s="916"/>
      <c r="J783" s="917"/>
      <c r="K783" s="917"/>
      <c r="L783" s="916"/>
      <c r="M783" s="916"/>
      <c r="N783" s="893"/>
      <c r="O783" s="893"/>
      <c r="P783" s="916"/>
      <c r="Q783" s="916"/>
      <c r="R783" s="893"/>
      <c r="S783" s="893"/>
      <c r="T783" s="916"/>
      <c r="U783" s="916"/>
      <c r="V783" s="921" t="str">
        <f>'refer admin discharge'!H784</f>
        <v>00/00/0000</v>
      </c>
      <c r="W783" s="922"/>
      <c r="X783" s="912"/>
      <c r="Y783" s="912"/>
      <c r="Z783" s="924"/>
      <c r="AA783" s="924"/>
      <c r="AB783" s="912"/>
      <c r="AC783" s="912"/>
      <c r="AD783" s="913"/>
      <c r="AE783" s="913"/>
      <c r="AF783" s="912"/>
      <c r="AG783" s="912"/>
      <c r="AH783" s="913"/>
      <c r="AI783" s="913"/>
      <c r="AJ783" s="912"/>
      <c r="AK783" s="912"/>
      <c r="AL783" s="925"/>
      <c r="AM783" s="926"/>
      <c r="AN783" s="926"/>
      <c r="AO783" s="926"/>
      <c r="AP783" s="926"/>
      <c r="AQ783" s="926"/>
      <c r="AR783" s="926"/>
      <c r="AS783" s="926"/>
      <c r="AT783" s="926"/>
      <c r="AU783" s="926"/>
      <c r="AV783" s="926"/>
      <c r="AW783" s="926"/>
      <c r="AX783" s="926"/>
      <c r="AY783" s="926"/>
      <c r="AZ783" s="926"/>
      <c r="BA783" s="926"/>
      <c r="BB783" s="927"/>
    </row>
    <row r="784" spans="1:54" x14ac:dyDescent="0.25">
      <c r="A784" s="13">
        <f t="shared" si="12"/>
        <v>771</v>
      </c>
      <c r="B784" s="888" t="str">
        <f>'refer admin discharge'!B780</f>
        <v>x</v>
      </c>
      <c r="C784" s="888"/>
      <c r="D784" s="868" t="str">
        <f>'refer admin discharge'!D780</f>
        <v>xx</v>
      </c>
      <c r="E784" s="868"/>
      <c r="F784" s="891" t="str">
        <f>'refer admin discharge'!H780</f>
        <v>00/00/0000</v>
      </c>
      <c r="G784" s="892"/>
      <c r="H784" s="894"/>
      <c r="I784" s="894"/>
      <c r="J784" s="918"/>
      <c r="K784" s="918"/>
      <c r="L784" s="894"/>
      <c r="M784" s="894"/>
      <c r="N784" s="916"/>
      <c r="O784" s="916"/>
      <c r="P784" s="894"/>
      <c r="Q784" s="894"/>
      <c r="R784" s="916"/>
      <c r="S784" s="916"/>
      <c r="T784" s="894"/>
      <c r="U784" s="894"/>
      <c r="V784" s="921" t="str">
        <f>'refer admin discharge'!H785</f>
        <v>00/00/0000</v>
      </c>
      <c r="W784" s="922"/>
      <c r="X784" s="920"/>
      <c r="Y784" s="920"/>
      <c r="Z784" s="919"/>
      <c r="AA784" s="919"/>
      <c r="AB784" s="920"/>
      <c r="AC784" s="920"/>
      <c r="AD784" s="912"/>
      <c r="AE784" s="912"/>
      <c r="AF784" s="920"/>
      <c r="AG784" s="920"/>
      <c r="AH784" s="912"/>
      <c r="AI784" s="912"/>
      <c r="AJ784" s="920"/>
      <c r="AK784" s="920"/>
      <c r="AL784" s="905"/>
      <c r="AM784" s="906"/>
      <c r="AN784" s="906"/>
      <c r="AO784" s="906"/>
      <c r="AP784" s="906"/>
      <c r="AQ784" s="906"/>
      <c r="AR784" s="906"/>
      <c r="AS784" s="906"/>
      <c r="AT784" s="906"/>
      <c r="AU784" s="906"/>
      <c r="AV784" s="906"/>
      <c r="AW784" s="906"/>
      <c r="AX784" s="906"/>
      <c r="AY784" s="906"/>
      <c r="AZ784" s="906"/>
      <c r="BA784" s="906"/>
      <c r="BB784" s="907"/>
    </row>
    <row r="785" spans="1:54" x14ac:dyDescent="0.25">
      <c r="A785" s="13">
        <f t="shared" si="12"/>
        <v>772</v>
      </c>
      <c r="B785" s="914" t="str">
        <f>'refer admin discharge'!B781</f>
        <v>x</v>
      </c>
      <c r="C785" s="914"/>
      <c r="D785" s="889" t="str">
        <f>'refer admin discharge'!D781</f>
        <v>xx</v>
      </c>
      <c r="E785" s="889"/>
      <c r="F785" s="915" t="str">
        <f>'refer admin discharge'!H781</f>
        <v>00/00/0000</v>
      </c>
      <c r="G785" s="890"/>
      <c r="H785" s="916"/>
      <c r="I785" s="916"/>
      <c r="J785" s="917"/>
      <c r="K785" s="917"/>
      <c r="L785" s="916"/>
      <c r="M785" s="916"/>
      <c r="N785" s="893"/>
      <c r="O785" s="893"/>
      <c r="P785" s="916"/>
      <c r="Q785" s="916"/>
      <c r="R785" s="893"/>
      <c r="S785" s="893"/>
      <c r="T785" s="916"/>
      <c r="U785" s="916"/>
      <c r="V785" s="921" t="str">
        <f>'refer admin discharge'!H786</f>
        <v>00/00/0000</v>
      </c>
      <c r="W785" s="922"/>
      <c r="X785" s="912"/>
      <c r="Y785" s="912"/>
      <c r="Z785" s="924"/>
      <c r="AA785" s="924"/>
      <c r="AB785" s="912"/>
      <c r="AC785" s="912"/>
      <c r="AD785" s="913"/>
      <c r="AE785" s="913"/>
      <c r="AF785" s="912"/>
      <c r="AG785" s="912"/>
      <c r="AH785" s="913"/>
      <c r="AI785" s="913"/>
      <c r="AJ785" s="912"/>
      <c r="AK785" s="912"/>
      <c r="AL785" s="925"/>
      <c r="AM785" s="926"/>
      <c r="AN785" s="926"/>
      <c r="AO785" s="926"/>
      <c r="AP785" s="926"/>
      <c r="AQ785" s="926"/>
      <c r="AR785" s="926"/>
      <c r="AS785" s="926"/>
      <c r="AT785" s="926"/>
      <c r="AU785" s="926"/>
      <c r="AV785" s="926"/>
      <c r="AW785" s="926"/>
      <c r="AX785" s="926"/>
      <c r="AY785" s="926"/>
      <c r="AZ785" s="926"/>
      <c r="BA785" s="926"/>
      <c r="BB785" s="927"/>
    </row>
    <row r="786" spans="1:54" x14ac:dyDescent="0.25">
      <c r="A786" s="13">
        <f t="shared" si="12"/>
        <v>773</v>
      </c>
      <c r="B786" s="888" t="str">
        <f>'refer admin discharge'!B782</f>
        <v>x</v>
      </c>
      <c r="C786" s="888"/>
      <c r="D786" s="868" t="str">
        <f>'refer admin discharge'!D782</f>
        <v>xx</v>
      </c>
      <c r="E786" s="868"/>
      <c r="F786" s="891" t="str">
        <f>'refer admin discharge'!H782</f>
        <v>00/00/0000</v>
      </c>
      <c r="G786" s="892"/>
      <c r="H786" s="894"/>
      <c r="I786" s="894"/>
      <c r="J786" s="918"/>
      <c r="K786" s="918"/>
      <c r="L786" s="894"/>
      <c r="M786" s="894"/>
      <c r="N786" s="916"/>
      <c r="O786" s="916"/>
      <c r="P786" s="894"/>
      <c r="Q786" s="894"/>
      <c r="R786" s="916"/>
      <c r="S786" s="916"/>
      <c r="T786" s="894"/>
      <c r="U786" s="894"/>
      <c r="V786" s="921" t="str">
        <f>'refer admin discharge'!H787</f>
        <v>00/00/0000</v>
      </c>
      <c r="W786" s="922"/>
      <c r="X786" s="920"/>
      <c r="Y786" s="920"/>
      <c r="Z786" s="919"/>
      <c r="AA786" s="919"/>
      <c r="AB786" s="920"/>
      <c r="AC786" s="920"/>
      <c r="AD786" s="912"/>
      <c r="AE786" s="912"/>
      <c r="AF786" s="920"/>
      <c r="AG786" s="920"/>
      <c r="AH786" s="912"/>
      <c r="AI786" s="912"/>
      <c r="AJ786" s="920"/>
      <c r="AK786" s="920"/>
      <c r="AL786" s="905"/>
      <c r="AM786" s="906"/>
      <c r="AN786" s="906"/>
      <c r="AO786" s="906"/>
      <c r="AP786" s="906"/>
      <c r="AQ786" s="906"/>
      <c r="AR786" s="906"/>
      <c r="AS786" s="906"/>
      <c r="AT786" s="906"/>
      <c r="AU786" s="906"/>
      <c r="AV786" s="906"/>
      <c r="AW786" s="906"/>
      <c r="AX786" s="906"/>
      <c r="AY786" s="906"/>
      <c r="AZ786" s="906"/>
      <c r="BA786" s="906"/>
      <c r="BB786" s="907"/>
    </row>
    <row r="787" spans="1:54" x14ac:dyDescent="0.25">
      <c r="A787" s="13">
        <f t="shared" si="12"/>
        <v>774</v>
      </c>
      <c r="B787" s="914" t="str">
        <f>'refer admin discharge'!B783</f>
        <v>x</v>
      </c>
      <c r="C787" s="914"/>
      <c r="D787" s="889" t="str">
        <f>'refer admin discharge'!D783</f>
        <v>xx</v>
      </c>
      <c r="E787" s="889"/>
      <c r="F787" s="915" t="str">
        <f>'refer admin discharge'!H783</f>
        <v>00/00/0000</v>
      </c>
      <c r="G787" s="890"/>
      <c r="H787" s="916"/>
      <c r="I787" s="916"/>
      <c r="J787" s="917"/>
      <c r="K787" s="917"/>
      <c r="L787" s="916"/>
      <c r="M787" s="916"/>
      <c r="N787" s="893"/>
      <c r="O787" s="893"/>
      <c r="P787" s="916"/>
      <c r="Q787" s="916"/>
      <c r="R787" s="893"/>
      <c r="S787" s="893"/>
      <c r="T787" s="916"/>
      <c r="U787" s="916"/>
      <c r="V787" s="921" t="str">
        <f>'refer admin discharge'!H788</f>
        <v>00/00/0000</v>
      </c>
      <c r="W787" s="922"/>
      <c r="X787" s="912"/>
      <c r="Y787" s="912"/>
      <c r="Z787" s="924"/>
      <c r="AA787" s="924"/>
      <c r="AB787" s="912"/>
      <c r="AC787" s="912"/>
      <c r="AD787" s="913"/>
      <c r="AE787" s="913"/>
      <c r="AF787" s="912"/>
      <c r="AG787" s="912"/>
      <c r="AH787" s="913"/>
      <c r="AI787" s="913"/>
      <c r="AJ787" s="912"/>
      <c r="AK787" s="912"/>
      <c r="AL787" s="925"/>
      <c r="AM787" s="926"/>
      <c r="AN787" s="926"/>
      <c r="AO787" s="926"/>
      <c r="AP787" s="926"/>
      <c r="AQ787" s="926"/>
      <c r="AR787" s="926"/>
      <c r="AS787" s="926"/>
      <c r="AT787" s="926"/>
      <c r="AU787" s="926"/>
      <c r="AV787" s="926"/>
      <c r="AW787" s="926"/>
      <c r="AX787" s="926"/>
      <c r="AY787" s="926"/>
      <c r="AZ787" s="926"/>
      <c r="BA787" s="926"/>
      <c r="BB787" s="927"/>
    </row>
    <row r="788" spans="1:54" x14ac:dyDescent="0.25">
      <c r="A788" s="13">
        <f t="shared" si="12"/>
        <v>775</v>
      </c>
      <c r="B788" s="888" t="str">
        <f>'refer admin discharge'!B784</f>
        <v>x</v>
      </c>
      <c r="C788" s="888"/>
      <c r="D788" s="868" t="str">
        <f>'refer admin discharge'!D784</f>
        <v>xx</v>
      </c>
      <c r="E788" s="868"/>
      <c r="F788" s="891" t="str">
        <f>'refer admin discharge'!H784</f>
        <v>00/00/0000</v>
      </c>
      <c r="G788" s="892"/>
      <c r="H788" s="894"/>
      <c r="I788" s="894"/>
      <c r="J788" s="918"/>
      <c r="K788" s="918"/>
      <c r="L788" s="894"/>
      <c r="M788" s="894"/>
      <c r="N788" s="916"/>
      <c r="O788" s="916"/>
      <c r="P788" s="894"/>
      <c r="Q788" s="894"/>
      <c r="R788" s="916"/>
      <c r="S788" s="916"/>
      <c r="T788" s="894"/>
      <c r="U788" s="894"/>
      <c r="V788" s="921" t="str">
        <f>'refer admin discharge'!H789</f>
        <v>00/00/0000</v>
      </c>
      <c r="W788" s="922"/>
      <c r="X788" s="920"/>
      <c r="Y788" s="920"/>
      <c r="Z788" s="919"/>
      <c r="AA788" s="919"/>
      <c r="AB788" s="920"/>
      <c r="AC788" s="920"/>
      <c r="AD788" s="912"/>
      <c r="AE788" s="912"/>
      <c r="AF788" s="920"/>
      <c r="AG788" s="920"/>
      <c r="AH788" s="912"/>
      <c r="AI788" s="912"/>
      <c r="AJ788" s="920"/>
      <c r="AK788" s="920"/>
      <c r="AL788" s="905"/>
      <c r="AM788" s="906"/>
      <c r="AN788" s="906"/>
      <c r="AO788" s="906"/>
      <c r="AP788" s="906"/>
      <c r="AQ788" s="906"/>
      <c r="AR788" s="906"/>
      <c r="AS788" s="906"/>
      <c r="AT788" s="906"/>
      <c r="AU788" s="906"/>
      <c r="AV788" s="906"/>
      <c r="AW788" s="906"/>
      <c r="AX788" s="906"/>
      <c r="AY788" s="906"/>
      <c r="AZ788" s="906"/>
      <c r="BA788" s="906"/>
      <c r="BB788" s="907"/>
    </row>
    <row r="789" spans="1:54" x14ac:dyDescent="0.25">
      <c r="A789" s="13">
        <f t="shared" si="12"/>
        <v>776</v>
      </c>
      <c r="B789" s="914" t="str">
        <f>'refer admin discharge'!B785</f>
        <v>x</v>
      </c>
      <c r="C789" s="914"/>
      <c r="D789" s="889" t="str">
        <f>'refer admin discharge'!D785</f>
        <v>xx</v>
      </c>
      <c r="E789" s="889"/>
      <c r="F789" s="915" t="str">
        <f>'refer admin discharge'!H785</f>
        <v>00/00/0000</v>
      </c>
      <c r="G789" s="890"/>
      <c r="H789" s="916"/>
      <c r="I789" s="916"/>
      <c r="J789" s="917"/>
      <c r="K789" s="917"/>
      <c r="L789" s="916"/>
      <c r="M789" s="916"/>
      <c r="N789" s="893"/>
      <c r="O789" s="893"/>
      <c r="P789" s="916"/>
      <c r="Q789" s="916"/>
      <c r="R789" s="893"/>
      <c r="S789" s="893"/>
      <c r="T789" s="916"/>
      <c r="U789" s="916"/>
      <c r="V789" s="921" t="str">
        <f>'refer admin discharge'!H790</f>
        <v>00/00/0000</v>
      </c>
      <c r="W789" s="922"/>
      <c r="X789" s="912"/>
      <c r="Y789" s="912"/>
      <c r="Z789" s="924"/>
      <c r="AA789" s="924"/>
      <c r="AB789" s="912"/>
      <c r="AC789" s="912"/>
      <c r="AD789" s="913"/>
      <c r="AE789" s="913"/>
      <c r="AF789" s="912"/>
      <c r="AG789" s="912"/>
      <c r="AH789" s="913"/>
      <c r="AI789" s="913"/>
      <c r="AJ789" s="912"/>
      <c r="AK789" s="912"/>
      <c r="AL789" s="925"/>
      <c r="AM789" s="926"/>
      <c r="AN789" s="926"/>
      <c r="AO789" s="926"/>
      <c r="AP789" s="926"/>
      <c r="AQ789" s="926"/>
      <c r="AR789" s="926"/>
      <c r="AS789" s="926"/>
      <c r="AT789" s="926"/>
      <c r="AU789" s="926"/>
      <c r="AV789" s="926"/>
      <c r="AW789" s="926"/>
      <c r="AX789" s="926"/>
      <c r="AY789" s="926"/>
      <c r="AZ789" s="926"/>
      <c r="BA789" s="926"/>
      <c r="BB789" s="927"/>
    </row>
    <row r="790" spans="1:54" x14ac:dyDescent="0.25">
      <c r="A790" s="13">
        <f t="shared" si="12"/>
        <v>777</v>
      </c>
      <c r="B790" s="888" t="str">
        <f>'refer admin discharge'!B786</f>
        <v>x</v>
      </c>
      <c r="C790" s="888"/>
      <c r="D790" s="868" t="str">
        <f>'refer admin discharge'!D786</f>
        <v>xx</v>
      </c>
      <c r="E790" s="868"/>
      <c r="F790" s="891" t="str">
        <f>'refer admin discharge'!H786</f>
        <v>00/00/0000</v>
      </c>
      <c r="G790" s="892"/>
      <c r="H790" s="894"/>
      <c r="I790" s="894"/>
      <c r="J790" s="918"/>
      <c r="K790" s="918"/>
      <c r="L790" s="894"/>
      <c r="M790" s="894"/>
      <c r="N790" s="916"/>
      <c r="O790" s="916"/>
      <c r="P790" s="894"/>
      <c r="Q790" s="894"/>
      <c r="R790" s="916"/>
      <c r="S790" s="916"/>
      <c r="T790" s="894"/>
      <c r="U790" s="894"/>
      <c r="V790" s="921" t="str">
        <f>'refer admin discharge'!H791</f>
        <v>00/00/0000</v>
      </c>
      <c r="W790" s="922"/>
      <c r="X790" s="920"/>
      <c r="Y790" s="920"/>
      <c r="Z790" s="919"/>
      <c r="AA790" s="919"/>
      <c r="AB790" s="920"/>
      <c r="AC790" s="920"/>
      <c r="AD790" s="912"/>
      <c r="AE790" s="912"/>
      <c r="AF790" s="920"/>
      <c r="AG790" s="920"/>
      <c r="AH790" s="912"/>
      <c r="AI790" s="912"/>
      <c r="AJ790" s="920"/>
      <c r="AK790" s="920"/>
      <c r="AL790" s="905"/>
      <c r="AM790" s="906"/>
      <c r="AN790" s="906"/>
      <c r="AO790" s="906"/>
      <c r="AP790" s="906"/>
      <c r="AQ790" s="906"/>
      <c r="AR790" s="906"/>
      <c r="AS790" s="906"/>
      <c r="AT790" s="906"/>
      <c r="AU790" s="906"/>
      <c r="AV790" s="906"/>
      <c r="AW790" s="906"/>
      <c r="AX790" s="906"/>
      <c r="AY790" s="906"/>
      <c r="AZ790" s="906"/>
      <c r="BA790" s="906"/>
      <c r="BB790" s="907"/>
    </row>
    <row r="791" spans="1:54" x14ac:dyDescent="0.25">
      <c r="A791" s="13">
        <f t="shared" si="12"/>
        <v>778</v>
      </c>
      <c r="B791" s="914" t="str">
        <f>'refer admin discharge'!B787</f>
        <v>x</v>
      </c>
      <c r="C791" s="914"/>
      <c r="D791" s="889" t="str">
        <f>'refer admin discharge'!D787</f>
        <v>xx</v>
      </c>
      <c r="E791" s="889"/>
      <c r="F791" s="915" t="str">
        <f>'refer admin discharge'!H787</f>
        <v>00/00/0000</v>
      </c>
      <c r="G791" s="890"/>
      <c r="H791" s="916"/>
      <c r="I791" s="916"/>
      <c r="J791" s="917"/>
      <c r="K791" s="917"/>
      <c r="L791" s="916"/>
      <c r="M791" s="916"/>
      <c r="N791" s="893"/>
      <c r="O791" s="893"/>
      <c r="P791" s="916"/>
      <c r="Q791" s="916"/>
      <c r="R791" s="893"/>
      <c r="S791" s="893"/>
      <c r="T791" s="916"/>
      <c r="U791" s="916"/>
      <c r="V791" s="921" t="str">
        <f>'refer admin discharge'!H792</f>
        <v>00/00/0000</v>
      </c>
      <c r="W791" s="922"/>
      <c r="X791" s="912"/>
      <c r="Y791" s="912"/>
      <c r="Z791" s="924"/>
      <c r="AA791" s="924"/>
      <c r="AB791" s="912"/>
      <c r="AC791" s="912"/>
      <c r="AD791" s="913"/>
      <c r="AE791" s="913"/>
      <c r="AF791" s="912"/>
      <c r="AG791" s="912"/>
      <c r="AH791" s="913"/>
      <c r="AI791" s="913"/>
      <c r="AJ791" s="912"/>
      <c r="AK791" s="912"/>
      <c r="AL791" s="925"/>
      <c r="AM791" s="926"/>
      <c r="AN791" s="926"/>
      <c r="AO791" s="926"/>
      <c r="AP791" s="926"/>
      <c r="AQ791" s="926"/>
      <c r="AR791" s="926"/>
      <c r="AS791" s="926"/>
      <c r="AT791" s="926"/>
      <c r="AU791" s="926"/>
      <c r="AV791" s="926"/>
      <c r="AW791" s="926"/>
      <c r="AX791" s="926"/>
      <c r="AY791" s="926"/>
      <c r="AZ791" s="926"/>
      <c r="BA791" s="926"/>
      <c r="BB791" s="927"/>
    </row>
    <row r="792" spans="1:54" x14ac:dyDescent="0.25">
      <c r="A792" s="13">
        <f t="shared" si="12"/>
        <v>779</v>
      </c>
      <c r="B792" s="888" t="str">
        <f>'refer admin discharge'!B788</f>
        <v>x</v>
      </c>
      <c r="C792" s="888"/>
      <c r="D792" s="868" t="str">
        <f>'refer admin discharge'!D788</f>
        <v>xx</v>
      </c>
      <c r="E792" s="868"/>
      <c r="F792" s="891" t="str">
        <f>'refer admin discharge'!H788</f>
        <v>00/00/0000</v>
      </c>
      <c r="G792" s="892"/>
      <c r="H792" s="894"/>
      <c r="I792" s="894"/>
      <c r="J792" s="918"/>
      <c r="K792" s="918"/>
      <c r="L792" s="894"/>
      <c r="M792" s="894"/>
      <c r="N792" s="916"/>
      <c r="O792" s="916"/>
      <c r="P792" s="894"/>
      <c r="Q792" s="894"/>
      <c r="R792" s="916"/>
      <c r="S792" s="916"/>
      <c r="T792" s="894"/>
      <c r="U792" s="894"/>
      <c r="V792" s="921" t="str">
        <f>'refer admin discharge'!H793</f>
        <v>00/00/0000</v>
      </c>
      <c r="W792" s="922"/>
      <c r="X792" s="920"/>
      <c r="Y792" s="920"/>
      <c r="Z792" s="919"/>
      <c r="AA792" s="919"/>
      <c r="AB792" s="920"/>
      <c r="AC792" s="920"/>
      <c r="AD792" s="912"/>
      <c r="AE792" s="912"/>
      <c r="AF792" s="920"/>
      <c r="AG792" s="920"/>
      <c r="AH792" s="912"/>
      <c r="AI792" s="912"/>
      <c r="AJ792" s="920"/>
      <c r="AK792" s="920"/>
      <c r="AL792" s="905"/>
      <c r="AM792" s="906"/>
      <c r="AN792" s="906"/>
      <c r="AO792" s="906"/>
      <c r="AP792" s="906"/>
      <c r="AQ792" s="906"/>
      <c r="AR792" s="906"/>
      <c r="AS792" s="906"/>
      <c r="AT792" s="906"/>
      <c r="AU792" s="906"/>
      <c r="AV792" s="906"/>
      <c r="AW792" s="906"/>
      <c r="AX792" s="906"/>
      <c r="AY792" s="906"/>
      <c r="AZ792" s="906"/>
      <c r="BA792" s="906"/>
      <c r="BB792" s="907"/>
    </row>
    <row r="793" spans="1:54" x14ac:dyDescent="0.25">
      <c r="A793" s="13">
        <f t="shared" si="12"/>
        <v>780</v>
      </c>
      <c r="B793" s="914" t="str">
        <f>'refer admin discharge'!B789</f>
        <v>x</v>
      </c>
      <c r="C793" s="914"/>
      <c r="D793" s="889" t="str">
        <f>'refer admin discharge'!D789</f>
        <v>xx</v>
      </c>
      <c r="E793" s="889"/>
      <c r="F793" s="915" t="str">
        <f>'refer admin discharge'!H789</f>
        <v>00/00/0000</v>
      </c>
      <c r="G793" s="890"/>
      <c r="H793" s="916"/>
      <c r="I793" s="916"/>
      <c r="J793" s="917"/>
      <c r="K793" s="917"/>
      <c r="L793" s="916"/>
      <c r="M793" s="916"/>
      <c r="N793" s="893"/>
      <c r="O793" s="893"/>
      <c r="P793" s="916"/>
      <c r="Q793" s="916"/>
      <c r="R793" s="893"/>
      <c r="S793" s="893"/>
      <c r="T793" s="916"/>
      <c r="U793" s="916"/>
      <c r="V793" s="921" t="str">
        <f>'refer admin discharge'!H794</f>
        <v>00/00/0000</v>
      </c>
      <c r="W793" s="922"/>
      <c r="X793" s="912"/>
      <c r="Y793" s="912"/>
      <c r="Z793" s="924"/>
      <c r="AA793" s="924"/>
      <c r="AB793" s="912"/>
      <c r="AC793" s="912"/>
      <c r="AD793" s="913"/>
      <c r="AE793" s="913"/>
      <c r="AF793" s="912"/>
      <c r="AG793" s="912"/>
      <c r="AH793" s="913"/>
      <c r="AI793" s="913"/>
      <c r="AJ793" s="912"/>
      <c r="AK793" s="912"/>
      <c r="AL793" s="925"/>
      <c r="AM793" s="926"/>
      <c r="AN793" s="926"/>
      <c r="AO793" s="926"/>
      <c r="AP793" s="926"/>
      <c r="AQ793" s="926"/>
      <c r="AR793" s="926"/>
      <c r="AS793" s="926"/>
      <c r="AT793" s="926"/>
      <c r="AU793" s="926"/>
      <c r="AV793" s="926"/>
      <c r="AW793" s="926"/>
      <c r="AX793" s="926"/>
      <c r="AY793" s="926"/>
      <c r="AZ793" s="926"/>
      <c r="BA793" s="926"/>
      <c r="BB793" s="927"/>
    </row>
    <row r="794" spans="1:54" x14ac:dyDescent="0.25">
      <c r="A794" s="13">
        <f t="shared" si="12"/>
        <v>781</v>
      </c>
      <c r="B794" s="888" t="str">
        <f>'refer admin discharge'!B790</f>
        <v>x</v>
      </c>
      <c r="C794" s="888"/>
      <c r="D794" s="868" t="str">
        <f>'refer admin discharge'!D790</f>
        <v>xx</v>
      </c>
      <c r="E794" s="868"/>
      <c r="F794" s="891" t="str">
        <f>'refer admin discharge'!H790</f>
        <v>00/00/0000</v>
      </c>
      <c r="G794" s="892"/>
      <c r="H794" s="894"/>
      <c r="I794" s="894"/>
      <c r="J794" s="918"/>
      <c r="K794" s="918"/>
      <c r="L794" s="894"/>
      <c r="M794" s="894"/>
      <c r="N794" s="916"/>
      <c r="O794" s="916"/>
      <c r="P794" s="894"/>
      <c r="Q794" s="894"/>
      <c r="R794" s="916"/>
      <c r="S794" s="916"/>
      <c r="T794" s="894"/>
      <c r="U794" s="894"/>
      <c r="V794" s="921" t="str">
        <f>'refer admin discharge'!H795</f>
        <v>00/00/0000</v>
      </c>
      <c r="W794" s="922"/>
      <c r="X794" s="920"/>
      <c r="Y794" s="920"/>
      <c r="Z794" s="919"/>
      <c r="AA794" s="919"/>
      <c r="AB794" s="920"/>
      <c r="AC794" s="920"/>
      <c r="AD794" s="912"/>
      <c r="AE794" s="912"/>
      <c r="AF794" s="920"/>
      <c r="AG794" s="920"/>
      <c r="AH794" s="912"/>
      <c r="AI794" s="912"/>
      <c r="AJ794" s="920"/>
      <c r="AK794" s="920"/>
      <c r="AL794" s="905"/>
      <c r="AM794" s="906"/>
      <c r="AN794" s="906"/>
      <c r="AO794" s="906"/>
      <c r="AP794" s="906"/>
      <c r="AQ794" s="906"/>
      <c r="AR794" s="906"/>
      <c r="AS794" s="906"/>
      <c r="AT794" s="906"/>
      <c r="AU794" s="906"/>
      <c r="AV794" s="906"/>
      <c r="AW794" s="906"/>
      <c r="AX794" s="906"/>
      <c r="AY794" s="906"/>
      <c r="AZ794" s="906"/>
      <c r="BA794" s="906"/>
      <c r="BB794" s="907"/>
    </row>
    <row r="795" spans="1:54" x14ac:dyDescent="0.25">
      <c r="A795" s="13">
        <f t="shared" si="12"/>
        <v>782</v>
      </c>
      <c r="B795" s="914" t="str">
        <f>'refer admin discharge'!B791</f>
        <v>x</v>
      </c>
      <c r="C795" s="914"/>
      <c r="D795" s="889" t="str">
        <f>'refer admin discharge'!D791</f>
        <v>xx</v>
      </c>
      <c r="E795" s="889"/>
      <c r="F795" s="915" t="str">
        <f>'refer admin discharge'!H791</f>
        <v>00/00/0000</v>
      </c>
      <c r="G795" s="890"/>
      <c r="H795" s="916"/>
      <c r="I795" s="916"/>
      <c r="J795" s="917"/>
      <c r="K795" s="917"/>
      <c r="L795" s="916"/>
      <c r="M795" s="916"/>
      <c r="N795" s="893"/>
      <c r="O795" s="893"/>
      <c r="P795" s="916"/>
      <c r="Q795" s="916"/>
      <c r="R795" s="893"/>
      <c r="S795" s="893"/>
      <c r="T795" s="916"/>
      <c r="U795" s="916"/>
      <c r="V795" s="921" t="str">
        <f>'refer admin discharge'!H796</f>
        <v>00/00/0000</v>
      </c>
      <c r="W795" s="922"/>
      <c r="X795" s="912"/>
      <c r="Y795" s="912"/>
      <c r="Z795" s="924"/>
      <c r="AA795" s="924"/>
      <c r="AB795" s="912"/>
      <c r="AC795" s="912"/>
      <c r="AD795" s="913"/>
      <c r="AE795" s="913"/>
      <c r="AF795" s="912"/>
      <c r="AG795" s="912"/>
      <c r="AH795" s="913"/>
      <c r="AI795" s="913"/>
      <c r="AJ795" s="912"/>
      <c r="AK795" s="912"/>
      <c r="AL795" s="925"/>
      <c r="AM795" s="926"/>
      <c r="AN795" s="926"/>
      <c r="AO795" s="926"/>
      <c r="AP795" s="926"/>
      <c r="AQ795" s="926"/>
      <c r="AR795" s="926"/>
      <c r="AS795" s="926"/>
      <c r="AT795" s="926"/>
      <c r="AU795" s="926"/>
      <c r="AV795" s="926"/>
      <c r="AW795" s="926"/>
      <c r="AX795" s="926"/>
      <c r="AY795" s="926"/>
      <c r="AZ795" s="926"/>
      <c r="BA795" s="926"/>
      <c r="BB795" s="927"/>
    </row>
    <row r="796" spans="1:54" x14ac:dyDescent="0.25">
      <c r="A796" s="13">
        <f t="shared" si="12"/>
        <v>783</v>
      </c>
      <c r="B796" s="888" t="str">
        <f>'refer admin discharge'!B792</f>
        <v>x</v>
      </c>
      <c r="C796" s="888"/>
      <c r="D796" s="868" t="str">
        <f>'refer admin discharge'!D792</f>
        <v>xx</v>
      </c>
      <c r="E796" s="868"/>
      <c r="F796" s="891" t="str">
        <f>'refer admin discharge'!H792</f>
        <v>00/00/0000</v>
      </c>
      <c r="G796" s="892"/>
      <c r="H796" s="894"/>
      <c r="I796" s="894"/>
      <c r="J796" s="918"/>
      <c r="K796" s="918"/>
      <c r="L796" s="894"/>
      <c r="M796" s="894"/>
      <c r="N796" s="916"/>
      <c r="O796" s="916"/>
      <c r="P796" s="894"/>
      <c r="Q796" s="894"/>
      <c r="R796" s="916"/>
      <c r="S796" s="916"/>
      <c r="T796" s="894"/>
      <c r="U796" s="894"/>
      <c r="V796" s="921" t="str">
        <f>'refer admin discharge'!H797</f>
        <v>00/00/0000</v>
      </c>
      <c r="W796" s="922"/>
      <c r="X796" s="920"/>
      <c r="Y796" s="920"/>
      <c r="Z796" s="919"/>
      <c r="AA796" s="919"/>
      <c r="AB796" s="920"/>
      <c r="AC796" s="920"/>
      <c r="AD796" s="912"/>
      <c r="AE796" s="912"/>
      <c r="AF796" s="920"/>
      <c r="AG796" s="920"/>
      <c r="AH796" s="912"/>
      <c r="AI796" s="912"/>
      <c r="AJ796" s="920"/>
      <c r="AK796" s="920"/>
      <c r="AL796" s="905"/>
      <c r="AM796" s="906"/>
      <c r="AN796" s="906"/>
      <c r="AO796" s="906"/>
      <c r="AP796" s="906"/>
      <c r="AQ796" s="906"/>
      <c r="AR796" s="906"/>
      <c r="AS796" s="906"/>
      <c r="AT796" s="906"/>
      <c r="AU796" s="906"/>
      <c r="AV796" s="906"/>
      <c r="AW796" s="906"/>
      <c r="AX796" s="906"/>
      <c r="AY796" s="906"/>
      <c r="AZ796" s="906"/>
      <c r="BA796" s="906"/>
      <c r="BB796" s="907"/>
    </row>
    <row r="797" spans="1:54" x14ac:dyDescent="0.25">
      <c r="A797" s="13">
        <f t="shared" si="12"/>
        <v>784</v>
      </c>
      <c r="B797" s="914" t="str">
        <f>'refer admin discharge'!B793</f>
        <v>x</v>
      </c>
      <c r="C797" s="914"/>
      <c r="D797" s="889" t="str">
        <f>'refer admin discharge'!D793</f>
        <v>xx</v>
      </c>
      <c r="E797" s="889"/>
      <c r="F797" s="915" t="str">
        <f>'refer admin discharge'!H793</f>
        <v>00/00/0000</v>
      </c>
      <c r="G797" s="890"/>
      <c r="H797" s="916"/>
      <c r="I797" s="916"/>
      <c r="J797" s="917"/>
      <c r="K797" s="917"/>
      <c r="L797" s="916"/>
      <c r="M797" s="916"/>
      <c r="N797" s="893"/>
      <c r="O797" s="893"/>
      <c r="P797" s="916"/>
      <c r="Q797" s="916"/>
      <c r="R797" s="893"/>
      <c r="S797" s="893"/>
      <c r="T797" s="916"/>
      <c r="U797" s="916"/>
      <c r="V797" s="921" t="str">
        <f>'refer admin discharge'!H798</f>
        <v>00/00/0000</v>
      </c>
      <c r="W797" s="922"/>
      <c r="X797" s="912"/>
      <c r="Y797" s="912"/>
      <c r="Z797" s="924"/>
      <c r="AA797" s="924"/>
      <c r="AB797" s="912"/>
      <c r="AC797" s="912"/>
      <c r="AD797" s="913"/>
      <c r="AE797" s="913"/>
      <c r="AF797" s="912"/>
      <c r="AG797" s="912"/>
      <c r="AH797" s="913"/>
      <c r="AI797" s="913"/>
      <c r="AJ797" s="912"/>
      <c r="AK797" s="912"/>
      <c r="AL797" s="925"/>
      <c r="AM797" s="926"/>
      <c r="AN797" s="926"/>
      <c r="AO797" s="926"/>
      <c r="AP797" s="926"/>
      <c r="AQ797" s="926"/>
      <c r="AR797" s="926"/>
      <c r="AS797" s="926"/>
      <c r="AT797" s="926"/>
      <c r="AU797" s="926"/>
      <c r="AV797" s="926"/>
      <c r="AW797" s="926"/>
      <c r="AX797" s="926"/>
      <c r="AY797" s="926"/>
      <c r="AZ797" s="926"/>
      <c r="BA797" s="926"/>
      <c r="BB797" s="927"/>
    </row>
    <row r="798" spans="1:54" x14ac:dyDescent="0.25">
      <c r="A798" s="13">
        <f t="shared" si="12"/>
        <v>785</v>
      </c>
      <c r="B798" s="888" t="str">
        <f>'refer admin discharge'!B794</f>
        <v>x</v>
      </c>
      <c r="C798" s="888"/>
      <c r="D798" s="868" t="str">
        <f>'refer admin discharge'!D794</f>
        <v>xx</v>
      </c>
      <c r="E798" s="868"/>
      <c r="F798" s="891" t="str">
        <f>'refer admin discharge'!H794</f>
        <v>00/00/0000</v>
      </c>
      <c r="G798" s="892"/>
      <c r="H798" s="894"/>
      <c r="I798" s="894"/>
      <c r="J798" s="918"/>
      <c r="K798" s="918"/>
      <c r="L798" s="894"/>
      <c r="M798" s="894"/>
      <c r="N798" s="916"/>
      <c r="O798" s="916"/>
      <c r="P798" s="894"/>
      <c r="Q798" s="894"/>
      <c r="R798" s="916"/>
      <c r="S798" s="916"/>
      <c r="T798" s="894"/>
      <c r="U798" s="894"/>
      <c r="V798" s="921" t="str">
        <f>'refer admin discharge'!H799</f>
        <v>00/00/0000</v>
      </c>
      <c r="W798" s="922"/>
      <c r="X798" s="920"/>
      <c r="Y798" s="920"/>
      <c r="Z798" s="919"/>
      <c r="AA798" s="919"/>
      <c r="AB798" s="920"/>
      <c r="AC798" s="920"/>
      <c r="AD798" s="912"/>
      <c r="AE798" s="912"/>
      <c r="AF798" s="920"/>
      <c r="AG798" s="920"/>
      <c r="AH798" s="912"/>
      <c r="AI798" s="912"/>
      <c r="AJ798" s="920"/>
      <c r="AK798" s="920"/>
      <c r="AL798" s="905"/>
      <c r="AM798" s="906"/>
      <c r="AN798" s="906"/>
      <c r="AO798" s="906"/>
      <c r="AP798" s="906"/>
      <c r="AQ798" s="906"/>
      <c r="AR798" s="906"/>
      <c r="AS798" s="906"/>
      <c r="AT798" s="906"/>
      <c r="AU798" s="906"/>
      <c r="AV798" s="906"/>
      <c r="AW798" s="906"/>
      <c r="AX798" s="906"/>
      <c r="AY798" s="906"/>
      <c r="AZ798" s="906"/>
      <c r="BA798" s="906"/>
      <c r="BB798" s="907"/>
    </row>
    <row r="799" spans="1:54" x14ac:dyDescent="0.25">
      <c r="A799" s="13">
        <f t="shared" si="12"/>
        <v>786</v>
      </c>
      <c r="B799" s="914" t="str">
        <f>'refer admin discharge'!B795</f>
        <v>x</v>
      </c>
      <c r="C799" s="914"/>
      <c r="D799" s="889" t="str">
        <f>'refer admin discharge'!D795</f>
        <v>xx</v>
      </c>
      <c r="E799" s="889"/>
      <c r="F799" s="915" t="str">
        <f>'refer admin discharge'!H795</f>
        <v>00/00/0000</v>
      </c>
      <c r="G799" s="890"/>
      <c r="H799" s="916"/>
      <c r="I799" s="916"/>
      <c r="J799" s="917"/>
      <c r="K799" s="917"/>
      <c r="L799" s="916"/>
      <c r="M799" s="916"/>
      <c r="N799" s="893"/>
      <c r="O799" s="893"/>
      <c r="P799" s="916"/>
      <c r="Q799" s="916"/>
      <c r="R799" s="893"/>
      <c r="S799" s="893"/>
      <c r="T799" s="916"/>
      <c r="U799" s="916"/>
      <c r="V799" s="921" t="str">
        <f>'refer admin discharge'!H800</f>
        <v>00/00/0000</v>
      </c>
      <c r="W799" s="922"/>
      <c r="X799" s="912"/>
      <c r="Y799" s="912"/>
      <c r="Z799" s="924"/>
      <c r="AA799" s="924"/>
      <c r="AB799" s="912"/>
      <c r="AC799" s="912"/>
      <c r="AD799" s="913"/>
      <c r="AE799" s="913"/>
      <c r="AF799" s="912"/>
      <c r="AG799" s="912"/>
      <c r="AH799" s="913"/>
      <c r="AI799" s="913"/>
      <c r="AJ799" s="912"/>
      <c r="AK799" s="912"/>
      <c r="AL799" s="925"/>
      <c r="AM799" s="926"/>
      <c r="AN799" s="926"/>
      <c r="AO799" s="926"/>
      <c r="AP799" s="926"/>
      <c r="AQ799" s="926"/>
      <c r="AR799" s="926"/>
      <c r="AS799" s="926"/>
      <c r="AT799" s="926"/>
      <c r="AU799" s="926"/>
      <c r="AV799" s="926"/>
      <c r="AW799" s="926"/>
      <c r="AX799" s="926"/>
      <c r="AY799" s="926"/>
      <c r="AZ799" s="926"/>
      <c r="BA799" s="926"/>
      <c r="BB799" s="927"/>
    </row>
    <row r="800" spans="1:54" x14ac:dyDescent="0.25">
      <c r="A800" s="13">
        <f t="shared" si="12"/>
        <v>787</v>
      </c>
      <c r="B800" s="888" t="str">
        <f>'refer admin discharge'!B796</f>
        <v>x</v>
      </c>
      <c r="C800" s="888"/>
      <c r="D800" s="868" t="str">
        <f>'refer admin discharge'!D796</f>
        <v>xx</v>
      </c>
      <c r="E800" s="868"/>
      <c r="F800" s="891" t="str">
        <f>'refer admin discharge'!H796</f>
        <v>00/00/0000</v>
      </c>
      <c r="G800" s="892"/>
      <c r="H800" s="894"/>
      <c r="I800" s="894"/>
      <c r="J800" s="918"/>
      <c r="K800" s="918"/>
      <c r="L800" s="894"/>
      <c r="M800" s="894"/>
      <c r="N800" s="916"/>
      <c r="O800" s="916"/>
      <c r="P800" s="894"/>
      <c r="Q800" s="894"/>
      <c r="R800" s="916"/>
      <c r="S800" s="916"/>
      <c r="T800" s="894"/>
      <c r="U800" s="894"/>
      <c r="V800" s="921" t="str">
        <f>'refer admin discharge'!H801</f>
        <v>00/00/0000</v>
      </c>
      <c r="W800" s="922"/>
      <c r="X800" s="920"/>
      <c r="Y800" s="920"/>
      <c r="Z800" s="919"/>
      <c r="AA800" s="919"/>
      <c r="AB800" s="920"/>
      <c r="AC800" s="920"/>
      <c r="AD800" s="912"/>
      <c r="AE800" s="912"/>
      <c r="AF800" s="920"/>
      <c r="AG800" s="920"/>
      <c r="AH800" s="912"/>
      <c r="AI800" s="912"/>
      <c r="AJ800" s="920"/>
      <c r="AK800" s="920"/>
      <c r="AL800" s="905"/>
      <c r="AM800" s="906"/>
      <c r="AN800" s="906"/>
      <c r="AO800" s="906"/>
      <c r="AP800" s="906"/>
      <c r="AQ800" s="906"/>
      <c r="AR800" s="906"/>
      <c r="AS800" s="906"/>
      <c r="AT800" s="906"/>
      <c r="AU800" s="906"/>
      <c r="AV800" s="906"/>
      <c r="AW800" s="906"/>
      <c r="AX800" s="906"/>
      <c r="AY800" s="906"/>
      <c r="AZ800" s="906"/>
      <c r="BA800" s="906"/>
      <c r="BB800" s="907"/>
    </row>
    <row r="801" spans="1:54" x14ac:dyDescent="0.25">
      <c r="A801" s="13">
        <f t="shared" si="12"/>
        <v>788</v>
      </c>
      <c r="B801" s="914" t="str">
        <f>'refer admin discharge'!B797</f>
        <v>x</v>
      </c>
      <c r="C801" s="914"/>
      <c r="D801" s="889" t="str">
        <f>'refer admin discharge'!D797</f>
        <v>xx</v>
      </c>
      <c r="E801" s="889"/>
      <c r="F801" s="915" t="str">
        <f>'refer admin discharge'!H797</f>
        <v>00/00/0000</v>
      </c>
      <c r="G801" s="890"/>
      <c r="H801" s="916"/>
      <c r="I801" s="916"/>
      <c r="J801" s="917"/>
      <c r="K801" s="917"/>
      <c r="L801" s="916"/>
      <c r="M801" s="916"/>
      <c r="N801" s="893"/>
      <c r="O801" s="893"/>
      <c r="P801" s="916"/>
      <c r="Q801" s="916"/>
      <c r="R801" s="893"/>
      <c r="S801" s="893"/>
      <c r="T801" s="916"/>
      <c r="U801" s="916"/>
      <c r="V801" s="921" t="str">
        <f>'refer admin discharge'!H802</f>
        <v>00/00/0000</v>
      </c>
      <c r="W801" s="922"/>
      <c r="X801" s="912"/>
      <c r="Y801" s="912"/>
      <c r="Z801" s="924"/>
      <c r="AA801" s="924"/>
      <c r="AB801" s="912"/>
      <c r="AC801" s="912"/>
      <c r="AD801" s="913"/>
      <c r="AE801" s="913"/>
      <c r="AF801" s="912"/>
      <c r="AG801" s="912"/>
      <c r="AH801" s="913"/>
      <c r="AI801" s="913"/>
      <c r="AJ801" s="912"/>
      <c r="AK801" s="912"/>
      <c r="AL801" s="925"/>
      <c r="AM801" s="926"/>
      <c r="AN801" s="926"/>
      <c r="AO801" s="926"/>
      <c r="AP801" s="926"/>
      <c r="AQ801" s="926"/>
      <c r="AR801" s="926"/>
      <c r="AS801" s="926"/>
      <c r="AT801" s="926"/>
      <c r="AU801" s="926"/>
      <c r="AV801" s="926"/>
      <c r="AW801" s="926"/>
      <c r="AX801" s="926"/>
      <c r="AY801" s="926"/>
      <c r="AZ801" s="926"/>
      <c r="BA801" s="926"/>
      <c r="BB801" s="927"/>
    </row>
    <row r="802" spans="1:54" x14ac:dyDescent="0.25">
      <c r="A802" s="13">
        <f t="shared" si="12"/>
        <v>789</v>
      </c>
      <c r="B802" s="888" t="str">
        <f>'refer admin discharge'!B798</f>
        <v>x</v>
      </c>
      <c r="C802" s="888"/>
      <c r="D802" s="868" t="str">
        <f>'refer admin discharge'!D798</f>
        <v>xx</v>
      </c>
      <c r="E802" s="868"/>
      <c r="F802" s="891" t="str">
        <f>'refer admin discharge'!H798</f>
        <v>00/00/0000</v>
      </c>
      <c r="G802" s="892"/>
      <c r="H802" s="894"/>
      <c r="I802" s="894"/>
      <c r="J802" s="918"/>
      <c r="K802" s="918"/>
      <c r="L802" s="894"/>
      <c r="M802" s="894"/>
      <c r="N802" s="916"/>
      <c r="O802" s="916"/>
      <c r="P802" s="894"/>
      <c r="Q802" s="894"/>
      <c r="R802" s="916"/>
      <c r="S802" s="916"/>
      <c r="T802" s="894"/>
      <c r="U802" s="894"/>
      <c r="V802" s="921" t="str">
        <f>'refer admin discharge'!H803</f>
        <v>00/00/0000</v>
      </c>
      <c r="W802" s="922"/>
      <c r="X802" s="920"/>
      <c r="Y802" s="920"/>
      <c r="Z802" s="919"/>
      <c r="AA802" s="919"/>
      <c r="AB802" s="920"/>
      <c r="AC802" s="920"/>
      <c r="AD802" s="912"/>
      <c r="AE802" s="912"/>
      <c r="AF802" s="920"/>
      <c r="AG802" s="920"/>
      <c r="AH802" s="912"/>
      <c r="AI802" s="912"/>
      <c r="AJ802" s="920"/>
      <c r="AK802" s="920"/>
      <c r="AL802" s="905"/>
      <c r="AM802" s="906"/>
      <c r="AN802" s="906"/>
      <c r="AO802" s="906"/>
      <c r="AP802" s="906"/>
      <c r="AQ802" s="906"/>
      <c r="AR802" s="906"/>
      <c r="AS802" s="906"/>
      <c r="AT802" s="906"/>
      <c r="AU802" s="906"/>
      <c r="AV802" s="906"/>
      <c r="AW802" s="906"/>
      <c r="AX802" s="906"/>
      <c r="AY802" s="906"/>
      <c r="AZ802" s="906"/>
      <c r="BA802" s="906"/>
      <c r="BB802" s="907"/>
    </row>
    <row r="803" spans="1:54" x14ac:dyDescent="0.25">
      <c r="A803" s="13">
        <f t="shared" si="12"/>
        <v>790</v>
      </c>
      <c r="B803" s="914" t="str">
        <f>'refer admin discharge'!B799</f>
        <v>x</v>
      </c>
      <c r="C803" s="914"/>
      <c r="D803" s="889" t="str">
        <f>'refer admin discharge'!D799</f>
        <v>xx</v>
      </c>
      <c r="E803" s="889"/>
      <c r="F803" s="915" t="str">
        <f>'refer admin discharge'!H799</f>
        <v>00/00/0000</v>
      </c>
      <c r="G803" s="890"/>
      <c r="H803" s="916"/>
      <c r="I803" s="916"/>
      <c r="J803" s="917"/>
      <c r="K803" s="917"/>
      <c r="L803" s="916"/>
      <c r="M803" s="916"/>
      <c r="N803" s="893"/>
      <c r="O803" s="893"/>
      <c r="P803" s="916"/>
      <c r="Q803" s="916"/>
      <c r="R803" s="893"/>
      <c r="S803" s="893"/>
      <c r="T803" s="916"/>
      <c r="U803" s="916"/>
      <c r="V803" s="921" t="str">
        <f>'refer admin discharge'!H804</f>
        <v>00/00/0000</v>
      </c>
      <c r="W803" s="922"/>
      <c r="X803" s="912"/>
      <c r="Y803" s="912"/>
      <c r="Z803" s="924"/>
      <c r="AA803" s="924"/>
      <c r="AB803" s="912"/>
      <c r="AC803" s="912"/>
      <c r="AD803" s="913"/>
      <c r="AE803" s="913"/>
      <c r="AF803" s="912"/>
      <c r="AG803" s="912"/>
      <c r="AH803" s="913"/>
      <c r="AI803" s="913"/>
      <c r="AJ803" s="912"/>
      <c r="AK803" s="912"/>
      <c r="AL803" s="925"/>
      <c r="AM803" s="926"/>
      <c r="AN803" s="926"/>
      <c r="AO803" s="926"/>
      <c r="AP803" s="926"/>
      <c r="AQ803" s="926"/>
      <c r="AR803" s="926"/>
      <c r="AS803" s="926"/>
      <c r="AT803" s="926"/>
      <c r="AU803" s="926"/>
      <c r="AV803" s="926"/>
      <c r="AW803" s="926"/>
      <c r="AX803" s="926"/>
      <c r="AY803" s="926"/>
      <c r="AZ803" s="926"/>
      <c r="BA803" s="926"/>
      <c r="BB803" s="927"/>
    </row>
    <row r="804" spans="1:54" x14ac:dyDescent="0.25">
      <c r="A804" s="13">
        <f t="shared" si="12"/>
        <v>791</v>
      </c>
      <c r="B804" s="888" t="str">
        <f>'refer admin discharge'!B800</f>
        <v>x</v>
      </c>
      <c r="C804" s="888"/>
      <c r="D804" s="868" t="str">
        <f>'refer admin discharge'!D800</f>
        <v>xx</v>
      </c>
      <c r="E804" s="868"/>
      <c r="F804" s="891" t="str">
        <f>'refer admin discharge'!H800</f>
        <v>00/00/0000</v>
      </c>
      <c r="G804" s="892"/>
      <c r="H804" s="894"/>
      <c r="I804" s="894"/>
      <c r="J804" s="918"/>
      <c r="K804" s="918"/>
      <c r="L804" s="894"/>
      <c r="M804" s="894"/>
      <c r="N804" s="916"/>
      <c r="O804" s="916"/>
      <c r="P804" s="894"/>
      <c r="Q804" s="894"/>
      <c r="R804" s="916"/>
      <c r="S804" s="916"/>
      <c r="T804" s="894"/>
      <c r="U804" s="894"/>
      <c r="V804" s="921" t="str">
        <f>'refer admin discharge'!H805</f>
        <v>00/00/0000</v>
      </c>
      <c r="W804" s="922"/>
      <c r="X804" s="920"/>
      <c r="Y804" s="920"/>
      <c r="Z804" s="919"/>
      <c r="AA804" s="919"/>
      <c r="AB804" s="920"/>
      <c r="AC804" s="920"/>
      <c r="AD804" s="912"/>
      <c r="AE804" s="912"/>
      <c r="AF804" s="920"/>
      <c r="AG804" s="920"/>
      <c r="AH804" s="912"/>
      <c r="AI804" s="912"/>
      <c r="AJ804" s="920"/>
      <c r="AK804" s="920"/>
      <c r="AL804" s="905"/>
      <c r="AM804" s="906"/>
      <c r="AN804" s="906"/>
      <c r="AO804" s="906"/>
      <c r="AP804" s="906"/>
      <c r="AQ804" s="906"/>
      <c r="AR804" s="906"/>
      <c r="AS804" s="906"/>
      <c r="AT804" s="906"/>
      <c r="AU804" s="906"/>
      <c r="AV804" s="906"/>
      <c r="AW804" s="906"/>
      <c r="AX804" s="906"/>
      <c r="AY804" s="906"/>
      <c r="AZ804" s="906"/>
      <c r="BA804" s="906"/>
      <c r="BB804" s="907"/>
    </row>
    <row r="805" spans="1:54" x14ac:dyDescent="0.25">
      <c r="A805" s="13">
        <f t="shared" si="12"/>
        <v>792</v>
      </c>
      <c r="B805" s="914" t="str">
        <f>'refer admin discharge'!B801</f>
        <v>x</v>
      </c>
      <c r="C805" s="914"/>
      <c r="D805" s="889" t="str">
        <f>'refer admin discharge'!D801</f>
        <v>xx</v>
      </c>
      <c r="E805" s="889"/>
      <c r="F805" s="915" t="str">
        <f>'refer admin discharge'!H801</f>
        <v>00/00/0000</v>
      </c>
      <c r="G805" s="890"/>
      <c r="H805" s="916"/>
      <c r="I805" s="916"/>
      <c r="J805" s="917"/>
      <c r="K805" s="917"/>
      <c r="L805" s="916"/>
      <c r="M805" s="916"/>
      <c r="N805" s="893"/>
      <c r="O805" s="893"/>
      <c r="P805" s="916"/>
      <c r="Q805" s="916"/>
      <c r="R805" s="893"/>
      <c r="S805" s="893"/>
      <c r="T805" s="916"/>
      <c r="U805" s="916"/>
      <c r="V805" s="921" t="str">
        <f>'refer admin discharge'!H806</f>
        <v>00/00/0000</v>
      </c>
      <c r="W805" s="922"/>
      <c r="X805" s="912"/>
      <c r="Y805" s="912"/>
      <c r="Z805" s="924"/>
      <c r="AA805" s="924"/>
      <c r="AB805" s="912"/>
      <c r="AC805" s="912"/>
      <c r="AD805" s="913"/>
      <c r="AE805" s="913"/>
      <c r="AF805" s="912"/>
      <c r="AG805" s="912"/>
      <c r="AH805" s="913"/>
      <c r="AI805" s="913"/>
      <c r="AJ805" s="912"/>
      <c r="AK805" s="912"/>
      <c r="AL805" s="925"/>
      <c r="AM805" s="926"/>
      <c r="AN805" s="926"/>
      <c r="AO805" s="926"/>
      <c r="AP805" s="926"/>
      <c r="AQ805" s="926"/>
      <c r="AR805" s="926"/>
      <c r="AS805" s="926"/>
      <c r="AT805" s="926"/>
      <c r="AU805" s="926"/>
      <c r="AV805" s="926"/>
      <c r="AW805" s="926"/>
      <c r="AX805" s="926"/>
      <c r="AY805" s="926"/>
      <c r="AZ805" s="926"/>
      <c r="BA805" s="926"/>
      <c r="BB805" s="927"/>
    </row>
    <row r="806" spans="1:54" x14ac:dyDescent="0.25">
      <c r="A806" s="13">
        <f t="shared" si="12"/>
        <v>793</v>
      </c>
      <c r="B806" s="888" t="str">
        <f>'refer admin discharge'!B802</f>
        <v>x</v>
      </c>
      <c r="C806" s="888"/>
      <c r="D806" s="868" t="str">
        <f>'refer admin discharge'!D802</f>
        <v>xx</v>
      </c>
      <c r="E806" s="868"/>
      <c r="F806" s="891" t="str">
        <f>'refer admin discharge'!H802</f>
        <v>00/00/0000</v>
      </c>
      <c r="G806" s="892"/>
      <c r="H806" s="894"/>
      <c r="I806" s="894"/>
      <c r="J806" s="918"/>
      <c r="K806" s="918"/>
      <c r="L806" s="894"/>
      <c r="M806" s="894"/>
      <c r="N806" s="916"/>
      <c r="O806" s="916"/>
      <c r="P806" s="894"/>
      <c r="Q806" s="894"/>
      <c r="R806" s="916"/>
      <c r="S806" s="916"/>
      <c r="T806" s="894"/>
      <c r="U806" s="894"/>
      <c r="V806" s="921" t="str">
        <f>'refer admin discharge'!H807</f>
        <v>00/00/0000</v>
      </c>
      <c r="W806" s="922"/>
      <c r="X806" s="920"/>
      <c r="Y806" s="920"/>
      <c r="Z806" s="919"/>
      <c r="AA806" s="919"/>
      <c r="AB806" s="920"/>
      <c r="AC806" s="920"/>
      <c r="AD806" s="912"/>
      <c r="AE806" s="912"/>
      <c r="AF806" s="920"/>
      <c r="AG806" s="920"/>
      <c r="AH806" s="912"/>
      <c r="AI806" s="912"/>
      <c r="AJ806" s="920"/>
      <c r="AK806" s="920"/>
      <c r="AL806" s="905"/>
      <c r="AM806" s="906"/>
      <c r="AN806" s="906"/>
      <c r="AO806" s="906"/>
      <c r="AP806" s="906"/>
      <c r="AQ806" s="906"/>
      <c r="AR806" s="906"/>
      <c r="AS806" s="906"/>
      <c r="AT806" s="906"/>
      <c r="AU806" s="906"/>
      <c r="AV806" s="906"/>
      <c r="AW806" s="906"/>
      <c r="AX806" s="906"/>
      <c r="AY806" s="906"/>
      <c r="AZ806" s="906"/>
      <c r="BA806" s="906"/>
      <c r="BB806" s="907"/>
    </row>
    <row r="807" spans="1:54" x14ac:dyDescent="0.25">
      <c r="A807" s="13">
        <f t="shared" si="12"/>
        <v>794</v>
      </c>
      <c r="B807" s="914" t="str">
        <f>'refer admin discharge'!B803</f>
        <v>x</v>
      </c>
      <c r="C807" s="914"/>
      <c r="D807" s="889" t="str">
        <f>'refer admin discharge'!D803</f>
        <v>xx</v>
      </c>
      <c r="E807" s="889"/>
      <c r="F807" s="915" t="str">
        <f>'refer admin discharge'!H803</f>
        <v>00/00/0000</v>
      </c>
      <c r="G807" s="890"/>
      <c r="H807" s="916"/>
      <c r="I807" s="916"/>
      <c r="J807" s="917"/>
      <c r="K807" s="917"/>
      <c r="L807" s="916"/>
      <c r="M807" s="916"/>
      <c r="N807" s="893"/>
      <c r="O807" s="893"/>
      <c r="P807" s="916"/>
      <c r="Q807" s="916"/>
      <c r="R807" s="893"/>
      <c r="S807" s="893"/>
      <c r="T807" s="916"/>
      <c r="U807" s="916"/>
      <c r="V807" s="921" t="str">
        <f>'refer admin discharge'!H808</f>
        <v>00/00/0000</v>
      </c>
      <c r="W807" s="922"/>
      <c r="X807" s="912"/>
      <c r="Y807" s="912"/>
      <c r="Z807" s="924"/>
      <c r="AA807" s="924"/>
      <c r="AB807" s="912"/>
      <c r="AC807" s="912"/>
      <c r="AD807" s="913"/>
      <c r="AE807" s="913"/>
      <c r="AF807" s="912"/>
      <c r="AG807" s="912"/>
      <c r="AH807" s="913"/>
      <c r="AI807" s="913"/>
      <c r="AJ807" s="912"/>
      <c r="AK807" s="912"/>
      <c r="AL807" s="925"/>
      <c r="AM807" s="926"/>
      <c r="AN807" s="926"/>
      <c r="AO807" s="926"/>
      <c r="AP807" s="926"/>
      <c r="AQ807" s="926"/>
      <c r="AR807" s="926"/>
      <c r="AS807" s="926"/>
      <c r="AT807" s="926"/>
      <c r="AU807" s="926"/>
      <c r="AV807" s="926"/>
      <c r="AW807" s="926"/>
      <c r="AX807" s="926"/>
      <c r="AY807" s="926"/>
      <c r="AZ807" s="926"/>
      <c r="BA807" s="926"/>
      <c r="BB807" s="927"/>
    </row>
    <row r="808" spans="1:54" x14ac:dyDescent="0.25">
      <c r="A808" s="13">
        <f t="shared" si="12"/>
        <v>795</v>
      </c>
      <c r="B808" s="888" t="str">
        <f>'refer admin discharge'!B804</f>
        <v>x</v>
      </c>
      <c r="C808" s="888"/>
      <c r="D808" s="868" t="str">
        <f>'refer admin discharge'!D804</f>
        <v>xx</v>
      </c>
      <c r="E808" s="868"/>
      <c r="F808" s="891" t="str">
        <f>'refer admin discharge'!H804</f>
        <v>00/00/0000</v>
      </c>
      <c r="G808" s="892"/>
      <c r="H808" s="894"/>
      <c r="I808" s="894"/>
      <c r="J808" s="918"/>
      <c r="K808" s="918"/>
      <c r="L808" s="894"/>
      <c r="M808" s="894"/>
      <c r="N808" s="916"/>
      <c r="O808" s="916"/>
      <c r="P808" s="894"/>
      <c r="Q808" s="894"/>
      <c r="R808" s="916"/>
      <c r="S808" s="916"/>
      <c r="T808" s="894"/>
      <c r="U808" s="894"/>
      <c r="V808" s="921" t="str">
        <f>'refer admin discharge'!H809</f>
        <v>00/00/0000</v>
      </c>
      <c r="W808" s="922"/>
      <c r="X808" s="920"/>
      <c r="Y808" s="920"/>
      <c r="Z808" s="919"/>
      <c r="AA808" s="919"/>
      <c r="AB808" s="920"/>
      <c r="AC808" s="920"/>
      <c r="AD808" s="912"/>
      <c r="AE808" s="912"/>
      <c r="AF808" s="920"/>
      <c r="AG808" s="920"/>
      <c r="AH808" s="912"/>
      <c r="AI808" s="912"/>
      <c r="AJ808" s="920"/>
      <c r="AK808" s="920"/>
      <c r="AL808" s="905"/>
      <c r="AM808" s="906"/>
      <c r="AN808" s="906"/>
      <c r="AO808" s="906"/>
      <c r="AP808" s="906"/>
      <c r="AQ808" s="906"/>
      <c r="AR808" s="906"/>
      <c r="AS808" s="906"/>
      <c r="AT808" s="906"/>
      <c r="AU808" s="906"/>
      <c r="AV808" s="906"/>
      <c r="AW808" s="906"/>
      <c r="AX808" s="906"/>
      <c r="AY808" s="906"/>
      <c r="AZ808" s="906"/>
      <c r="BA808" s="906"/>
      <c r="BB808" s="907"/>
    </row>
    <row r="809" spans="1:54" x14ac:dyDescent="0.25">
      <c r="A809" s="13">
        <f t="shared" si="12"/>
        <v>796</v>
      </c>
      <c r="B809" s="914" t="str">
        <f>'refer admin discharge'!B805</f>
        <v>x</v>
      </c>
      <c r="C809" s="914"/>
      <c r="D809" s="889" t="str">
        <f>'refer admin discharge'!D805</f>
        <v>xx</v>
      </c>
      <c r="E809" s="889"/>
      <c r="F809" s="915" t="str">
        <f>'refer admin discharge'!H805</f>
        <v>00/00/0000</v>
      </c>
      <c r="G809" s="890"/>
      <c r="H809" s="916"/>
      <c r="I809" s="916"/>
      <c r="J809" s="917"/>
      <c r="K809" s="917"/>
      <c r="L809" s="916"/>
      <c r="M809" s="916"/>
      <c r="N809" s="893"/>
      <c r="O809" s="893"/>
      <c r="P809" s="916"/>
      <c r="Q809" s="916"/>
      <c r="R809" s="893"/>
      <c r="S809" s="893"/>
      <c r="T809" s="916"/>
      <c r="U809" s="916"/>
      <c r="V809" s="921" t="str">
        <f>'refer admin discharge'!H810</f>
        <v>00/00/0000</v>
      </c>
      <c r="W809" s="922"/>
      <c r="X809" s="912"/>
      <c r="Y809" s="912"/>
      <c r="Z809" s="924"/>
      <c r="AA809" s="924"/>
      <c r="AB809" s="912"/>
      <c r="AC809" s="912"/>
      <c r="AD809" s="913"/>
      <c r="AE809" s="913"/>
      <c r="AF809" s="912"/>
      <c r="AG809" s="912"/>
      <c r="AH809" s="913"/>
      <c r="AI809" s="913"/>
      <c r="AJ809" s="912"/>
      <c r="AK809" s="912"/>
      <c r="AL809" s="925"/>
      <c r="AM809" s="926"/>
      <c r="AN809" s="926"/>
      <c r="AO809" s="926"/>
      <c r="AP809" s="926"/>
      <c r="AQ809" s="926"/>
      <c r="AR809" s="926"/>
      <c r="AS809" s="926"/>
      <c r="AT809" s="926"/>
      <c r="AU809" s="926"/>
      <c r="AV809" s="926"/>
      <c r="AW809" s="926"/>
      <c r="AX809" s="926"/>
      <c r="AY809" s="926"/>
      <c r="AZ809" s="926"/>
      <c r="BA809" s="926"/>
      <c r="BB809" s="927"/>
    </row>
    <row r="810" spans="1:54" x14ac:dyDescent="0.25">
      <c r="A810" s="13">
        <f t="shared" si="12"/>
        <v>797</v>
      </c>
      <c r="B810" s="888" t="str">
        <f>'refer admin discharge'!B806</f>
        <v>x</v>
      </c>
      <c r="C810" s="888"/>
      <c r="D810" s="868" t="str">
        <f>'refer admin discharge'!D806</f>
        <v>xx</v>
      </c>
      <c r="E810" s="868"/>
      <c r="F810" s="891" t="str">
        <f>'refer admin discharge'!H806</f>
        <v>00/00/0000</v>
      </c>
      <c r="G810" s="892"/>
      <c r="H810" s="894"/>
      <c r="I810" s="894"/>
      <c r="J810" s="918"/>
      <c r="K810" s="918"/>
      <c r="L810" s="894"/>
      <c r="M810" s="894"/>
      <c r="N810" s="916"/>
      <c r="O810" s="916"/>
      <c r="P810" s="894"/>
      <c r="Q810" s="894"/>
      <c r="R810" s="916"/>
      <c r="S810" s="916"/>
      <c r="T810" s="894"/>
      <c r="U810" s="894"/>
      <c r="V810" s="921" t="str">
        <f>'refer admin discharge'!H811</f>
        <v>00/00/0000</v>
      </c>
      <c r="W810" s="922"/>
      <c r="X810" s="920"/>
      <c r="Y810" s="920"/>
      <c r="Z810" s="919"/>
      <c r="AA810" s="919"/>
      <c r="AB810" s="920"/>
      <c r="AC810" s="920"/>
      <c r="AD810" s="912"/>
      <c r="AE810" s="912"/>
      <c r="AF810" s="920"/>
      <c r="AG810" s="920"/>
      <c r="AH810" s="912"/>
      <c r="AI810" s="912"/>
      <c r="AJ810" s="920"/>
      <c r="AK810" s="920"/>
      <c r="AL810" s="905"/>
      <c r="AM810" s="906"/>
      <c r="AN810" s="906"/>
      <c r="AO810" s="906"/>
      <c r="AP810" s="906"/>
      <c r="AQ810" s="906"/>
      <c r="AR810" s="906"/>
      <c r="AS810" s="906"/>
      <c r="AT810" s="906"/>
      <c r="AU810" s="906"/>
      <c r="AV810" s="906"/>
      <c r="AW810" s="906"/>
      <c r="AX810" s="906"/>
      <c r="AY810" s="906"/>
      <c r="AZ810" s="906"/>
      <c r="BA810" s="906"/>
      <c r="BB810" s="907"/>
    </row>
    <row r="811" spans="1:54" x14ac:dyDescent="0.25">
      <c r="A811" s="13">
        <f t="shared" si="12"/>
        <v>798</v>
      </c>
      <c r="B811" s="914" t="str">
        <f>'refer admin discharge'!B807</f>
        <v>x</v>
      </c>
      <c r="C811" s="914"/>
      <c r="D811" s="889" t="str">
        <f>'refer admin discharge'!D807</f>
        <v>xx</v>
      </c>
      <c r="E811" s="889"/>
      <c r="F811" s="915" t="str">
        <f>'refer admin discharge'!H807</f>
        <v>00/00/0000</v>
      </c>
      <c r="G811" s="890"/>
      <c r="H811" s="916"/>
      <c r="I811" s="916"/>
      <c r="J811" s="917"/>
      <c r="K811" s="917"/>
      <c r="L811" s="916"/>
      <c r="M811" s="916"/>
      <c r="N811" s="893"/>
      <c r="O811" s="893"/>
      <c r="P811" s="916"/>
      <c r="Q811" s="916"/>
      <c r="R811" s="893"/>
      <c r="S811" s="893"/>
      <c r="T811" s="916"/>
      <c r="U811" s="916"/>
      <c r="V811" s="921" t="str">
        <f>'refer admin discharge'!H812</f>
        <v>00/00/0000</v>
      </c>
      <c r="W811" s="922"/>
      <c r="X811" s="912"/>
      <c r="Y811" s="912"/>
      <c r="Z811" s="924"/>
      <c r="AA811" s="924"/>
      <c r="AB811" s="912"/>
      <c r="AC811" s="912"/>
      <c r="AD811" s="913"/>
      <c r="AE811" s="913"/>
      <c r="AF811" s="912"/>
      <c r="AG811" s="912"/>
      <c r="AH811" s="913"/>
      <c r="AI811" s="913"/>
      <c r="AJ811" s="912"/>
      <c r="AK811" s="912"/>
      <c r="AL811" s="925"/>
      <c r="AM811" s="926"/>
      <c r="AN811" s="926"/>
      <c r="AO811" s="926"/>
      <c r="AP811" s="926"/>
      <c r="AQ811" s="926"/>
      <c r="AR811" s="926"/>
      <c r="AS811" s="926"/>
      <c r="AT811" s="926"/>
      <c r="AU811" s="926"/>
      <c r="AV811" s="926"/>
      <c r="AW811" s="926"/>
      <c r="AX811" s="926"/>
      <c r="AY811" s="926"/>
      <c r="AZ811" s="926"/>
      <c r="BA811" s="926"/>
      <c r="BB811" s="927"/>
    </row>
    <row r="812" spans="1:54" x14ac:dyDescent="0.25">
      <c r="A812" s="13">
        <f t="shared" si="12"/>
        <v>799</v>
      </c>
      <c r="B812" s="888" t="str">
        <f>'refer admin discharge'!B808</f>
        <v>x</v>
      </c>
      <c r="C812" s="888"/>
      <c r="D812" s="868" t="str">
        <f>'refer admin discharge'!D808</f>
        <v>xx</v>
      </c>
      <c r="E812" s="868"/>
      <c r="F812" s="891" t="str">
        <f>'refer admin discharge'!H808</f>
        <v>00/00/0000</v>
      </c>
      <c r="G812" s="892"/>
      <c r="H812" s="894"/>
      <c r="I812" s="894"/>
      <c r="J812" s="918"/>
      <c r="K812" s="918"/>
      <c r="L812" s="894"/>
      <c r="M812" s="894"/>
      <c r="N812" s="916"/>
      <c r="O812" s="916"/>
      <c r="P812" s="894"/>
      <c r="Q812" s="894"/>
      <c r="R812" s="916"/>
      <c r="S812" s="916"/>
      <c r="T812" s="894"/>
      <c r="U812" s="894"/>
      <c r="V812" s="921" t="str">
        <f>'refer admin discharge'!H813</f>
        <v>00/00/0000</v>
      </c>
      <c r="W812" s="922"/>
      <c r="X812" s="920"/>
      <c r="Y812" s="920"/>
      <c r="Z812" s="919"/>
      <c r="AA812" s="919"/>
      <c r="AB812" s="920"/>
      <c r="AC812" s="920"/>
      <c r="AD812" s="912"/>
      <c r="AE812" s="912"/>
      <c r="AF812" s="920"/>
      <c r="AG812" s="920"/>
      <c r="AH812" s="912"/>
      <c r="AI812" s="912"/>
      <c r="AJ812" s="920"/>
      <c r="AK812" s="920"/>
      <c r="AL812" s="905"/>
      <c r="AM812" s="906"/>
      <c r="AN812" s="906"/>
      <c r="AO812" s="906"/>
      <c r="AP812" s="906"/>
      <c r="AQ812" s="906"/>
      <c r="AR812" s="906"/>
      <c r="AS812" s="906"/>
      <c r="AT812" s="906"/>
      <c r="AU812" s="906"/>
      <c r="AV812" s="906"/>
      <c r="AW812" s="906"/>
      <c r="AX812" s="906"/>
      <c r="AY812" s="906"/>
      <c r="AZ812" s="906"/>
      <c r="BA812" s="906"/>
      <c r="BB812" s="907"/>
    </row>
    <row r="813" spans="1:54" x14ac:dyDescent="0.25">
      <c r="A813" s="13">
        <f t="shared" si="12"/>
        <v>800</v>
      </c>
      <c r="B813" s="914" t="str">
        <f>'refer admin discharge'!B809</f>
        <v>x</v>
      </c>
      <c r="C813" s="914"/>
      <c r="D813" s="889" t="str">
        <f>'refer admin discharge'!D809</f>
        <v>xx</v>
      </c>
      <c r="E813" s="889"/>
      <c r="F813" s="915" t="str">
        <f>'refer admin discharge'!H809</f>
        <v>00/00/0000</v>
      </c>
      <c r="G813" s="890"/>
      <c r="H813" s="916"/>
      <c r="I813" s="916"/>
      <c r="J813" s="917"/>
      <c r="K813" s="917"/>
      <c r="L813" s="916"/>
      <c r="M813" s="916"/>
      <c r="N813" s="893"/>
      <c r="O813" s="893"/>
      <c r="P813" s="916"/>
      <c r="Q813" s="916"/>
      <c r="R813" s="893"/>
      <c r="S813" s="893"/>
      <c r="T813" s="916"/>
      <c r="U813" s="916"/>
      <c r="V813" s="921" t="str">
        <f>'refer admin discharge'!H814</f>
        <v>00/00/0000</v>
      </c>
      <c r="W813" s="922"/>
      <c r="X813" s="912"/>
      <c r="Y813" s="912"/>
      <c r="Z813" s="924"/>
      <c r="AA813" s="924"/>
      <c r="AB813" s="912"/>
      <c r="AC813" s="912"/>
      <c r="AD813" s="913"/>
      <c r="AE813" s="913"/>
      <c r="AF813" s="912"/>
      <c r="AG813" s="912"/>
      <c r="AH813" s="913"/>
      <c r="AI813" s="913"/>
      <c r="AJ813" s="912"/>
      <c r="AK813" s="912"/>
      <c r="AL813" s="925"/>
      <c r="AM813" s="926"/>
      <c r="AN813" s="926"/>
      <c r="AO813" s="926"/>
      <c r="AP813" s="926"/>
      <c r="AQ813" s="926"/>
      <c r="AR813" s="926"/>
      <c r="AS813" s="926"/>
      <c r="AT813" s="926"/>
      <c r="AU813" s="926"/>
      <c r="AV813" s="926"/>
      <c r="AW813" s="926"/>
      <c r="AX813" s="926"/>
      <c r="AY813" s="926"/>
      <c r="AZ813" s="926"/>
      <c r="BA813" s="926"/>
      <c r="BB813" s="927"/>
    </row>
    <row r="814" spans="1:54" x14ac:dyDescent="0.25">
      <c r="A814" s="13">
        <f t="shared" si="12"/>
        <v>801</v>
      </c>
      <c r="B814" s="888" t="str">
        <f>'refer admin discharge'!B810</f>
        <v>x</v>
      </c>
      <c r="C814" s="888"/>
      <c r="D814" s="868" t="str">
        <f>'refer admin discharge'!D810</f>
        <v>xx</v>
      </c>
      <c r="E814" s="868"/>
      <c r="F814" s="891" t="str">
        <f>'refer admin discharge'!H810</f>
        <v>00/00/0000</v>
      </c>
      <c r="G814" s="892"/>
      <c r="H814" s="894"/>
      <c r="I814" s="894"/>
      <c r="J814" s="918"/>
      <c r="K814" s="918"/>
      <c r="L814" s="894"/>
      <c r="M814" s="894"/>
      <c r="N814" s="916"/>
      <c r="O814" s="916"/>
      <c r="P814" s="894"/>
      <c r="Q814" s="894"/>
      <c r="R814" s="916"/>
      <c r="S814" s="916"/>
      <c r="T814" s="894"/>
      <c r="U814" s="894"/>
      <c r="V814" s="921" t="str">
        <f>'refer admin discharge'!H815</f>
        <v>00/00/0000</v>
      </c>
      <c r="W814" s="922"/>
      <c r="X814" s="920"/>
      <c r="Y814" s="920"/>
      <c r="Z814" s="919"/>
      <c r="AA814" s="919"/>
      <c r="AB814" s="920"/>
      <c r="AC814" s="920"/>
      <c r="AD814" s="912"/>
      <c r="AE814" s="912"/>
      <c r="AF814" s="920"/>
      <c r="AG814" s="920"/>
      <c r="AH814" s="912"/>
      <c r="AI814" s="912"/>
      <c r="AJ814" s="920"/>
      <c r="AK814" s="920"/>
      <c r="AL814" s="905"/>
      <c r="AM814" s="906"/>
      <c r="AN814" s="906"/>
      <c r="AO814" s="906"/>
      <c r="AP814" s="906"/>
      <c r="AQ814" s="906"/>
      <c r="AR814" s="906"/>
      <c r="AS814" s="906"/>
      <c r="AT814" s="906"/>
      <c r="AU814" s="906"/>
      <c r="AV814" s="906"/>
      <c r="AW814" s="906"/>
      <c r="AX814" s="906"/>
      <c r="AY814" s="906"/>
      <c r="AZ814" s="906"/>
      <c r="BA814" s="906"/>
      <c r="BB814" s="907"/>
    </row>
    <row r="815" spans="1:54" x14ac:dyDescent="0.25">
      <c r="A815" s="13">
        <f t="shared" si="12"/>
        <v>802</v>
      </c>
      <c r="B815" s="914" t="str">
        <f>'refer admin discharge'!B811</f>
        <v>x</v>
      </c>
      <c r="C815" s="914"/>
      <c r="D815" s="889" t="str">
        <f>'refer admin discharge'!D811</f>
        <v>xx</v>
      </c>
      <c r="E815" s="889"/>
      <c r="F815" s="915" t="str">
        <f>'refer admin discharge'!H811</f>
        <v>00/00/0000</v>
      </c>
      <c r="G815" s="890"/>
      <c r="H815" s="916"/>
      <c r="I815" s="916"/>
      <c r="J815" s="917"/>
      <c r="K815" s="917"/>
      <c r="L815" s="916"/>
      <c r="M815" s="916"/>
      <c r="N815" s="893"/>
      <c r="O815" s="893"/>
      <c r="P815" s="916"/>
      <c r="Q815" s="916"/>
      <c r="R815" s="893"/>
      <c r="S815" s="893"/>
      <c r="T815" s="916"/>
      <c r="U815" s="916"/>
      <c r="V815" s="921" t="str">
        <f>'refer admin discharge'!H816</f>
        <v>00/00/0000</v>
      </c>
      <c r="W815" s="922"/>
      <c r="X815" s="912"/>
      <c r="Y815" s="912"/>
      <c r="Z815" s="924"/>
      <c r="AA815" s="924"/>
      <c r="AB815" s="912"/>
      <c r="AC815" s="912"/>
      <c r="AD815" s="913"/>
      <c r="AE815" s="913"/>
      <c r="AF815" s="912"/>
      <c r="AG815" s="912"/>
      <c r="AH815" s="913"/>
      <c r="AI815" s="913"/>
      <c r="AJ815" s="912"/>
      <c r="AK815" s="912"/>
      <c r="AL815" s="925"/>
      <c r="AM815" s="926"/>
      <c r="AN815" s="926"/>
      <c r="AO815" s="926"/>
      <c r="AP815" s="926"/>
      <c r="AQ815" s="926"/>
      <c r="AR815" s="926"/>
      <c r="AS815" s="926"/>
      <c r="AT815" s="926"/>
      <c r="AU815" s="926"/>
      <c r="AV815" s="926"/>
      <c r="AW815" s="926"/>
      <c r="AX815" s="926"/>
      <c r="AY815" s="926"/>
      <c r="AZ815" s="926"/>
      <c r="BA815" s="926"/>
      <c r="BB815" s="927"/>
    </row>
    <row r="816" spans="1:54" x14ac:dyDescent="0.25">
      <c r="A816" s="13">
        <f t="shared" si="12"/>
        <v>803</v>
      </c>
      <c r="B816" s="888" t="str">
        <f>'refer admin discharge'!B812</f>
        <v>x</v>
      </c>
      <c r="C816" s="888"/>
      <c r="D816" s="868" t="str">
        <f>'refer admin discharge'!D812</f>
        <v>xx</v>
      </c>
      <c r="E816" s="868"/>
      <c r="F816" s="891" t="str">
        <f>'refer admin discharge'!H812</f>
        <v>00/00/0000</v>
      </c>
      <c r="G816" s="892"/>
      <c r="H816" s="894"/>
      <c r="I816" s="894"/>
      <c r="J816" s="918"/>
      <c r="K816" s="918"/>
      <c r="L816" s="894"/>
      <c r="M816" s="894"/>
      <c r="N816" s="916"/>
      <c r="O816" s="916"/>
      <c r="P816" s="894"/>
      <c r="Q816" s="894"/>
      <c r="R816" s="916"/>
      <c r="S816" s="916"/>
      <c r="T816" s="894"/>
      <c r="U816" s="894"/>
      <c r="V816" s="921" t="str">
        <f>'refer admin discharge'!H817</f>
        <v>00/00/0000</v>
      </c>
      <c r="W816" s="922"/>
      <c r="X816" s="920"/>
      <c r="Y816" s="920"/>
      <c r="Z816" s="919"/>
      <c r="AA816" s="919"/>
      <c r="AB816" s="920"/>
      <c r="AC816" s="920"/>
      <c r="AD816" s="912"/>
      <c r="AE816" s="912"/>
      <c r="AF816" s="920"/>
      <c r="AG816" s="920"/>
      <c r="AH816" s="912"/>
      <c r="AI816" s="912"/>
      <c r="AJ816" s="920"/>
      <c r="AK816" s="920"/>
      <c r="AL816" s="905"/>
      <c r="AM816" s="906"/>
      <c r="AN816" s="906"/>
      <c r="AO816" s="906"/>
      <c r="AP816" s="906"/>
      <c r="AQ816" s="906"/>
      <c r="AR816" s="906"/>
      <c r="AS816" s="906"/>
      <c r="AT816" s="906"/>
      <c r="AU816" s="906"/>
      <c r="AV816" s="906"/>
      <c r="AW816" s="906"/>
      <c r="AX816" s="906"/>
      <c r="AY816" s="906"/>
      <c r="AZ816" s="906"/>
      <c r="BA816" s="906"/>
      <c r="BB816" s="907"/>
    </row>
    <row r="817" spans="1:54" x14ac:dyDescent="0.25">
      <c r="A817" s="13">
        <f t="shared" si="12"/>
        <v>804</v>
      </c>
      <c r="B817" s="914" t="str">
        <f>'refer admin discharge'!B813</f>
        <v>x</v>
      </c>
      <c r="C817" s="914"/>
      <c r="D817" s="889" t="str">
        <f>'refer admin discharge'!D813</f>
        <v>xx</v>
      </c>
      <c r="E817" s="889"/>
      <c r="F817" s="915" t="str">
        <f>'refer admin discharge'!H813</f>
        <v>00/00/0000</v>
      </c>
      <c r="G817" s="890"/>
      <c r="H817" s="916"/>
      <c r="I817" s="916"/>
      <c r="J817" s="917"/>
      <c r="K817" s="917"/>
      <c r="L817" s="916"/>
      <c r="M817" s="916"/>
      <c r="N817" s="893"/>
      <c r="O817" s="893"/>
      <c r="P817" s="916"/>
      <c r="Q817" s="916"/>
      <c r="R817" s="893"/>
      <c r="S817" s="893"/>
      <c r="T817" s="916"/>
      <c r="U817" s="916"/>
      <c r="V817" s="921" t="str">
        <f>'refer admin discharge'!H818</f>
        <v>00/00/0000</v>
      </c>
      <c r="W817" s="922"/>
      <c r="X817" s="912"/>
      <c r="Y817" s="912"/>
      <c r="Z817" s="924"/>
      <c r="AA817" s="924"/>
      <c r="AB817" s="912"/>
      <c r="AC817" s="912"/>
      <c r="AD817" s="913"/>
      <c r="AE817" s="913"/>
      <c r="AF817" s="912"/>
      <c r="AG817" s="912"/>
      <c r="AH817" s="913"/>
      <c r="AI817" s="913"/>
      <c r="AJ817" s="912"/>
      <c r="AK817" s="912"/>
      <c r="AL817" s="925"/>
      <c r="AM817" s="926"/>
      <c r="AN817" s="926"/>
      <c r="AO817" s="926"/>
      <c r="AP817" s="926"/>
      <c r="AQ817" s="926"/>
      <c r="AR817" s="926"/>
      <c r="AS817" s="926"/>
      <c r="AT817" s="926"/>
      <c r="AU817" s="926"/>
      <c r="AV817" s="926"/>
      <c r="AW817" s="926"/>
      <c r="AX817" s="926"/>
      <c r="AY817" s="926"/>
      <c r="AZ817" s="926"/>
      <c r="BA817" s="926"/>
      <c r="BB817" s="927"/>
    </row>
    <row r="818" spans="1:54" x14ac:dyDescent="0.25">
      <c r="A818" s="13">
        <f t="shared" si="12"/>
        <v>805</v>
      </c>
      <c r="B818" s="888" t="str">
        <f>'refer admin discharge'!B814</f>
        <v>x</v>
      </c>
      <c r="C818" s="888"/>
      <c r="D818" s="868" t="str">
        <f>'refer admin discharge'!D814</f>
        <v>xx</v>
      </c>
      <c r="E818" s="868"/>
      <c r="F818" s="891" t="str">
        <f>'refer admin discharge'!H814</f>
        <v>00/00/0000</v>
      </c>
      <c r="G818" s="892"/>
      <c r="H818" s="894"/>
      <c r="I818" s="894"/>
      <c r="J818" s="918"/>
      <c r="K818" s="918"/>
      <c r="L818" s="894"/>
      <c r="M818" s="894"/>
      <c r="N818" s="916"/>
      <c r="O818" s="916"/>
      <c r="P818" s="894"/>
      <c r="Q818" s="894"/>
      <c r="R818" s="916"/>
      <c r="S818" s="916"/>
      <c r="T818" s="894"/>
      <c r="U818" s="894"/>
      <c r="V818" s="921" t="str">
        <f>'refer admin discharge'!H819</f>
        <v>00/00/0000</v>
      </c>
      <c r="W818" s="922"/>
      <c r="X818" s="920"/>
      <c r="Y818" s="920"/>
      <c r="Z818" s="919"/>
      <c r="AA818" s="919"/>
      <c r="AB818" s="920"/>
      <c r="AC818" s="920"/>
      <c r="AD818" s="912"/>
      <c r="AE818" s="912"/>
      <c r="AF818" s="920"/>
      <c r="AG818" s="920"/>
      <c r="AH818" s="912"/>
      <c r="AI818" s="912"/>
      <c r="AJ818" s="920"/>
      <c r="AK818" s="920"/>
      <c r="AL818" s="905"/>
      <c r="AM818" s="906"/>
      <c r="AN818" s="906"/>
      <c r="AO818" s="906"/>
      <c r="AP818" s="906"/>
      <c r="AQ818" s="906"/>
      <c r="AR818" s="906"/>
      <c r="AS818" s="906"/>
      <c r="AT818" s="906"/>
      <c r="AU818" s="906"/>
      <c r="AV818" s="906"/>
      <c r="AW818" s="906"/>
      <c r="AX818" s="906"/>
      <c r="AY818" s="906"/>
      <c r="AZ818" s="906"/>
      <c r="BA818" s="906"/>
      <c r="BB818" s="907"/>
    </row>
    <row r="819" spans="1:54" x14ac:dyDescent="0.25">
      <c r="A819" s="13">
        <f t="shared" si="12"/>
        <v>806</v>
      </c>
      <c r="B819" s="914" t="str">
        <f>'refer admin discharge'!B815</f>
        <v>x</v>
      </c>
      <c r="C819" s="914"/>
      <c r="D819" s="889" t="str">
        <f>'refer admin discharge'!D815</f>
        <v>xx</v>
      </c>
      <c r="E819" s="889"/>
      <c r="F819" s="915" t="str">
        <f>'refer admin discharge'!H815</f>
        <v>00/00/0000</v>
      </c>
      <c r="G819" s="890"/>
      <c r="H819" s="916"/>
      <c r="I819" s="916"/>
      <c r="J819" s="917"/>
      <c r="K819" s="917"/>
      <c r="L819" s="916"/>
      <c r="M819" s="916"/>
      <c r="N819" s="893"/>
      <c r="O819" s="893"/>
      <c r="P819" s="916"/>
      <c r="Q819" s="916"/>
      <c r="R819" s="893"/>
      <c r="S819" s="893"/>
      <c r="T819" s="916"/>
      <c r="U819" s="916"/>
      <c r="V819" s="921" t="str">
        <f>'refer admin discharge'!H820</f>
        <v>00/00/0000</v>
      </c>
      <c r="W819" s="922"/>
      <c r="X819" s="912"/>
      <c r="Y819" s="912"/>
      <c r="Z819" s="924"/>
      <c r="AA819" s="924"/>
      <c r="AB819" s="912"/>
      <c r="AC819" s="912"/>
      <c r="AD819" s="913"/>
      <c r="AE819" s="913"/>
      <c r="AF819" s="912"/>
      <c r="AG819" s="912"/>
      <c r="AH819" s="913"/>
      <c r="AI819" s="913"/>
      <c r="AJ819" s="912"/>
      <c r="AK819" s="912"/>
      <c r="AL819" s="925"/>
      <c r="AM819" s="926"/>
      <c r="AN819" s="926"/>
      <c r="AO819" s="926"/>
      <c r="AP819" s="926"/>
      <c r="AQ819" s="926"/>
      <c r="AR819" s="926"/>
      <c r="AS819" s="926"/>
      <c r="AT819" s="926"/>
      <c r="AU819" s="926"/>
      <c r="AV819" s="926"/>
      <c r="AW819" s="926"/>
      <c r="AX819" s="926"/>
      <c r="AY819" s="926"/>
      <c r="AZ819" s="926"/>
      <c r="BA819" s="926"/>
      <c r="BB819" s="927"/>
    </row>
    <row r="820" spans="1:54" x14ac:dyDescent="0.25">
      <c r="A820" s="13">
        <f t="shared" si="12"/>
        <v>807</v>
      </c>
      <c r="B820" s="888" t="str">
        <f>'refer admin discharge'!B816</f>
        <v>x</v>
      </c>
      <c r="C820" s="888"/>
      <c r="D820" s="868" t="str">
        <f>'refer admin discharge'!D816</f>
        <v>xx</v>
      </c>
      <c r="E820" s="868"/>
      <c r="F820" s="891" t="str">
        <f>'refer admin discharge'!H816</f>
        <v>00/00/0000</v>
      </c>
      <c r="G820" s="892"/>
      <c r="H820" s="894"/>
      <c r="I820" s="894"/>
      <c r="J820" s="918"/>
      <c r="K820" s="918"/>
      <c r="L820" s="894"/>
      <c r="M820" s="894"/>
      <c r="N820" s="916"/>
      <c r="O820" s="916"/>
      <c r="P820" s="894"/>
      <c r="Q820" s="894"/>
      <c r="R820" s="916"/>
      <c r="S820" s="916"/>
      <c r="T820" s="894"/>
      <c r="U820" s="894"/>
      <c r="V820" s="921" t="str">
        <f>'refer admin discharge'!H821</f>
        <v>00/00/0000</v>
      </c>
      <c r="W820" s="922"/>
      <c r="X820" s="920"/>
      <c r="Y820" s="920"/>
      <c r="Z820" s="919"/>
      <c r="AA820" s="919"/>
      <c r="AB820" s="920"/>
      <c r="AC820" s="920"/>
      <c r="AD820" s="912"/>
      <c r="AE820" s="912"/>
      <c r="AF820" s="920"/>
      <c r="AG820" s="920"/>
      <c r="AH820" s="912"/>
      <c r="AI820" s="912"/>
      <c r="AJ820" s="920"/>
      <c r="AK820" s="920"/>
      <c r="AL820" s="905"/>
      <c r="AM820" s="906"/>
      <c r="AN820" s="906"/>
      <c r="AO820" s="906"/>
      <c r="AP820" s="906"/>
      <c r="AQ820" s="906"/>
      <c r="AR820" s="906"/>
      <c r="AS820" s="906"/>
      <c r="AT820" s="906"/>
      <c r="AU820" s="906"/>
      <c r="AV820" s="906"/>
      <c r="AW820" s="906"/>
      <c r="AX820" s="906"/>
      <c r="AY820" s="906"/>
      <c r="AZ820" s="906"/>
      <c r="BA820" s="906"/>
      <c r="BB820" s="907"/>
    </row>
    <row r="821" spans="1:54" x14ac:dyDescent="0.25">
      <c r="A821" s="13">
        <f t="shared" si="12"/>
        <v>808</v>
      </c>
      <c r="B821" s="914" t="str">
        <f>'refer admin discharge'!B817</f>
        <v>x</v>
      </c>
      <c r="C821" s="914"/>
      <c r="D821" s="889" t="str">
        <f>'refer admin discharge'!D817</f>
        <v>xx</v>
      </c>
      <c r="E821" s="889"/>
      <c r="F821" s="915" t="str">
        <f>'refer admin discharge'!H817</f>
        <v>00/00/0000</v>
      </c>
      <c r="G821" s="890"/>
      <c r="H821" s="916"/>
      <c r="I821" s="916"/>
      <c r="J821" s="917"/>
      <c r="K821" s="917"/>
      <c r="L821" s="916"/>
      <c r="M821" s="916"/>
      <c r="N821" s="893"/>
      <c r="O821" s="893"/>
      <c r="P821" s="916"/>
      <c r="Q821" s="916"/>
      <c r="R821" s="893"/>
      <c r="S821" s="893"/>
      <c r="T821" s="916"/>
      <c r="U821" s="916"/>
      <c r="V821" s="921" t="str">
        <f>'refer admin discharge'!H822</f>
        <v>00/00/0000</v>
      </c>
      <c r="W821" s="922"/>
      <c r="X821" s="912"/>
      <c r="Y821" s="912"/>
      <c r="Z821" s="924"/>
      <c r="AA821" s="924"/>
      <c r="AB821" s="912"/>
      <c r="AC821" s="912"/>
      <c r="AD821" s="913"/>
      <c r="AE821" s="913"/>
      <c r="AF821" s="912"/>
      <c r="AG821" s="912"/>
      <c r="AH821" s="913"/>
      <c r="AI821" s="913"/>
      <c r="AJ821" s="912"/>
      <c r="AK821" s="912"/>
      <c r="AL821" s="925"/>
      <c r="AM821" s="926"/>
      <c r="AN821" s="926"/>
      <c r="AO821" s="926"/>
      <c r="AP821" s="926"/>
      <c r="AQ821" s="926"/>
      <c r="AR821" s="926"/>
      <c r="AS821" s="926"/>
      <c r="AT821" s="926"/>
      <c r="AU821" s="926"/>
      <c r="AV821" s="926"/>
      <c r="AW821" s="926"/>
      <c r="AX821" s="926"/>
      <c r="AY821" s="926"/>
      <c r="AZ821" s="926"/>
      <c r="BA821" s="926"/>
      <c r="BB821" s="927"/>
    </row>
    <row r="822" spans="1:54" x14ac:dyDescent="0.25">
      <c r="A822" s="13">
        <f t="shared" si="12"/>
        <v>809</v>
      </c>
      <c r="B822" s="888" t="str">
        <f>'refer admin discharge'!B818</f>
        <v>x</v>
      </c>
      <c r="C822" s="888"/>
      <c r="D822" s="868" t="str">
        <f>'refer admin discharge'!D818</f>
        <v>xx</v>
      </c>
      <c r="E822" s="868"/>
      <c r="F822" s="891" t="str">
        <f>'refer admin discharge'!H818</f>
        <v>00/00/0000</v>
      </c>
      <c r="G822" s="892"/>
      <c r="H822" s="894"/>
      <c r="I822" s="894"/>
      <c r="J822" s="918"/>
      <c r="K822" s="918"/>
      <c r="L822" s="894"/>
      <c r="M822" s="894"/>
      <c r="N822" s="916"/>
      <c r="O822" s="916"/>
      <c r="P822" s="894"/>
      <c r="Q822" s="894"/>
      <c r="R822" s="916"/>
      <c r="S822" s="916"/>
      <c r="T822" s="894"/>
      <c r="U822" s="894"/>
      <c r="V822" s="921" t="str">
        <f>'refer admin discharge'!H823</f>
        <v>00/00/0000</v>
      </c>
      <c r="W822" s="922"/>
      <c r="X822" s="920"/>
      <c r="Y822" s="920"/>
      <c r="Z822" s="919"/>
      <c r="AA822" s="919"/>
      <c r="AB822" s="920"/>
      <c r="AC822" s="920"/>
      <c r="AD822" s="912"/>
      <c r="AE822" s="912"/>
      <c r="AF822" s="920"/>
      <c r="AG822" s="920"/>
      <c r="AH822" s="912"/>
      <c r="AI822" s="912"/>
      <c r="AJ822" s="920"/>
      <c r="AK822" s="920"/>
      <c r="AL822" s="905"/>
      <c r="AM822" s="906"/>
      <c r="AN822" s="906"/>
      <c r="AO822" s="906"/>
      <c r="AP822" s="906"/>
      <c r="AQ822" s="906"/>
      <c r="AR822" s="906"/>
      <c r="AS822" s="906"/>
      <c r="AT822" s="906"/>
      <c r="AU822" s="906"/>
      <c r="AV822" s="906"/>
      <c r="AW822" s="906"/>
      <c r="AX822" s="906"/>
      <c r="AY822" s="906"/>
      <c r="AZ822" s="906"/>
      <c r="BA822" s="906"/>
      <c r="BB822" s="907"/>
    </row>
    <row r="823" spans="1:54" x14ac:dyDescent="0.25">
      <c r="A823" s="13">
        <f t="shared" si="12"/>
        <v>810</v>
      </c>
      <c r="B823" s="914" t="str">
        <f>'refer admin discharge'!B819</f>
        <v>x</v>
      </c>
      <c r="C823" s="914"/>
      <c r="D823" s="889" t="str">
        <f>'refer admin discharge'!D819</f>
        <v>xx</v>
      </c>
      <c r="E823" s="889"/>
      <c r="F823" s="915" t="str">
        <f>'refer admin discharge'!H819</f>
        <v>00/00/0000</v>
      </c>
      <c r="G823" s="890"/>
      <c r="H823" s="916"/>
      <c r="I823" s="916"/>
      <c r="J823" s="917"/>
      <c r="K823" s="917"/>
      <c r="L823" s="916"/>
      <c r="M823" s="916"/>
      <c r="N823" s="893"/>
      <c r="O823" s="893"/>
      <c r="P823" s="916"/>
      <c r="Q823" s="916"/>
      <c r="R823" s="893"/>
      <c r="S823" s="893"/>
      <c r="T823" s="916"/>
      <c r="U823" s="916"/>
      <c r="V823" s="921" t="str">
        <f>'refer admin discharge'!H824</f>
        <v>00/00/0000</v>
      </c>
      <c r="W823" s="922"/>
      <c r="X823" s="912"/>
      <c r="Y823" s="912"/>
      <c r="Z823" s="924"/>
      <c r="AA823" s="924"/>
      <c r="AB823" s="912"/>
      <c r="AC823" s="912"/>
      <c r="AD823" s="913"/>
      <c r="AE823" s="913"/>
      <c r="AF823" s="912"/>
      <c r="AG823" s="912"/>
      <c r="AH823" s="913"/>
      <c r="AI823" s="913"/>
      <c r="AJ823" s="912"/>
      <c r="AK823" s="912"/>
      <c r="AL823" s="925"/>
      <c r="AM823" s="926"/>
      <c r="AN823" s="926"/>
      <c r="AO823" s="926"/>
      <c r="AP823" s="926"/>
      <c r="AQ823" s="926"/>
      <c r="AR823" s="926"/>
      <c r="AS823" s="926"/>
      <c r="AT823" s="926"/>
      <c r="AU823" s="926"/>
      <c r="AV823" s="926"/>
      <c r="AW823" s="926"/>
      <c r="AX823" s="926"/>
      <c r="AY823" s="926"/>
      <c r="AZ823" s="926"/>
      <c r="BA823" s="926"/>
      <c r="BB823" s="927"/>
    </row>
    <row r="824" spans="1:54" x14ac:dyDescent="0.25">
      <c r="A824" s="13">
        <f t="shared" si="12"/>
        <v>811</v>
      </c>
      <c r="B824" s="888" t="str">
        <f>'refer admin discharge'!B820</f>
        <v>x</v>
      </c>
      <c r="C824" s="888"/>
      <c r="D824" s="868" t="str">
        <f>'refer admin discharge'!D820</f>
        <v>xx</v>
      </c>
      <c r="E824" s="868"/>
      <c r="F824" s="891" t="str">
        <f>'refer admin discharge'!H820</f>
        <v>00/00/0000</v>
      </c>
      <c r="G824" s="892"/>
      <c r="H824" s="894"/>
      <c r="I824" s="894"/>
      <c r="J824" s="918"/>
      <c r="K824" s="918"/>
      <c r="L824" s="894"/>
      <c r="M824" s="894"/>
      <c r="N824" s="916"/>
      <c r="O824" s="916"/>
      <c r="P824" s="894"/>
      <c r="Q824" s="894"/>
      <c r="R824" s="916"/>
      <c r="S824" s="916"/>
      <c r="T824" s="894"/>
      <c r="U824" s="894"/>
      <c r="V824" s="921" t="str">
        <f>'refer admin discharge'!H825</f>
        <v>00/00/0000</v>
      </c>
      <c r="W824" s="922"/>
      <c r="X824" s="920"/>
      <c r="Y824" s="920"/>
      <c r="Z824" s="919"/>
      <c r="AA824" s="919"/>
      <c r="AB824" s="920"/>
      <c r="AC824" s="920"/>
      <c r="AD824" s="912"/>
      <c r="AE824" s="912"/>
      <c r="AF824" s="920"/>
      <c r="AG824" s="920"/>
      <c r="AH824" s="912"/>
      <c r="AI824" s="912"/>
      <c r="AJ824" s="920"/>
      <c r="AK824" s="920"/>
      <c r="AL824" s="905"/>
      <c r="AM824" s="906"/>
      <c r="AN824" s="906"/>
      <c r="AO824" s="906"/>
      <c r="AP824" s="906"/>
      <c r="AQ824" s="906"/>
      <c r="AR824" s="906"/>
      <c r="AS824" s="906"/>
      <c r="AT824" s="906"/>
      <c r="AU824" s="906"/>
      <c r="AV824" s="906"/>
      <c r="AW824" s="906"/>
      <c r="AX824" s="906"/>
      <c r="AY824" s="906"/>
      <c r="AZ824" s="906"/>
      <c r="BA824" s="906"/>
      <c r="BB824" s="907"/>
    </row>
    <row r="825" spans="1:54" x14ac:dyDescent="0.25">
      <c r="A825" s="13">
        <f t="shared" si="12"/>
        <v>812</v>
      </c>
      <c r="B825" s="914" t="str">
        <f>'refer admin discharge'!B821</f>
        <v>x</v>
      </c>
      <c r="C825" s="914"/>
      <c r="D825" s="889" t="str">
        <f>'refer admin discharge'!D821</f>
        <v>xx</v>
      </c>
      <c r="E825" s="889"/>
      <c r="F825" s="915" t="str">
        <f>'refer admin discharge'!H821</f>
        <v>00/00/0000</v>
      </c>
      <c r="G825" s="890"/>
      <c r="H825" s="916"/>
      <c r="I825" s="916"/>
      <c r="J825" s="917"/>
      <c r="K825" s="917"/>
      <c r="L825" s="916"/>
      <c r="M825" s="916"/>
      <c r="N825" s="893"/>
      <c r="O825" s="893"/>
      <c r="P825" s="916"/>
      <c r="Q825" s="916"/>
      <c r="R825" s="893"/>
      <c r="S825" s="893"/>
      <c r="T825" s="916"/>
      <c r="U825" s="916"/>
      <c r="V825" s="921" t="str">
        <f>'refer admin discharge'!H826</f>
        <v>00/00/0000</v>
      </c>
      <c r="W825" s="922"/>
      <c r="X825" s="912"/>
      <c r="Y825" s="912"/>
      <c r="Z825" s="924"/>
      <c r="AA825" s="924"/>
      <c r="AB825" s="912"/>
      <c r="AC825" s="912"/>
      <c r="AD825" s="913"/>
      <c r="AE825" s="913"/>
      <c r="AF825" s="912"/>
      <c r="AG825" s="912"/>
      <c r="AH825" s="913"/>
      <c r="AI825" s="913"/>
      <c r="AJ825" s="912"/>
      <c r="AK825" s="912"/>
      <c r="AL825" s="925"/>
      <c r="AM825" s="926"/>
      <c r="AN825" s="926"/>
      <c r="AO825" s="926"/>
      <c r="AP825" s="926"/>
      <c r="AQ825" s="926"/>
      <c r="AR825" s="926"/>
      <c r="AS825" s="926"/>
      <c r="AT825" s="926"/>
      <c r="AU825" s="926"/>
      <c r="AV825" s="926"/>
      <c r="AW825" s="926"/>
      <c r="AX825" s="926"/>
      <c r="AY825" s="926"/>
      <c r="AZ825" s="926"/>
      <c r="BA825" s="926"/>
      <c r="BB825" s="927"/>
    </row>
    <row r="826" spans="1:54" x14ac:dyDescent="0.25">
      <c r="A826" s="13">
        <f t="shared" si="12"/>
        <v>813</v>
      </c>
      <c r="B826" s="888" t="str">
        <f>'refer admin discharge'!B822</f>
        <v>x</v>
      </c>
      <c r="C826" s="888"/>
      <c r="D826" s="868" t="str">
        <f>'refer admin discharge'!D822</f>
        <v>xx</v>
      </c>
      <c r="E826" s="868"/>
      <c r="F826" s="891" t="str">
        <f>'refer admin discharge'!H822</f>
        <v>00/00/0000</v>
      </c>
      <c r="G826" s="892"/>
      <c r="H826" s="894"/>
      <c r="I826" s="894"/>
      <c r="J826" s="918"/>
      <c r="K826" s="918"/>
      <c r="L826" s="894"/>
      <c r="M826" s="894"/>
      <c r="N826" s="916"/>
      <c r="O826" s="916"/>
      <c r="P826" s="894"/>
      <c r="Q826" s="894"/>
      <c r="R826" s="916"/>
      <c r="S826" s="916"/>
      <c r="T826" s="894"/>
      <c r="U826" s="894"/>
      <c r="V826" s="921" t="str">
        <f>'refer admin discharge'!H827</f>
        <v>00/00/0000</v>
      </c>
      <c r="W826" s="922"/>
      <c r="X826" s="920"/>
      <c r="Y826" s="920"/>
      <c r="Z826" s="919"/>
      <c r="AA826" s="919"/>
      <c r="AB826" s="920"/>
      <c r="AC826" s="920"/>
      <c r="AD826" s="912"/>
      <c r="AE826" s="912"/>
      <c r="AF826" s="920"/>
      <c r="AG826" s="920"/>
      <c r="AH826" s="912"/>
      <c r="AI826" s="912"/>
      <c r="AJ826" s="920"/>
      <c r="AK826" s="920"/>
      <c r="AL826" s="905"/>
      <c r="AM826" s="906"/>
      <c r="AN826" s="906"/>
      <c r="AO826" s="906"/>
      <c r="AP826" s="906"/>
      <c r="AQ826" s="906"/>
      <c r="AR826" s="906"/>
      <c r="AS826" s="906"/>
      <c r="AT826" s="906"/>
      <c r="AU826" s="906"/>
      <c r="AV826" s="906"/>
      <c r="AW826" s="906"/>
      <c r="AX826" s="906"/>
      <c r="AY826" s="906"/>
      <c r="AZ826" s="906"/>
      <c r="BA826" s="906"/>
      <c r="BB826" s="907"/>
    </row>
    <row r="827" spans="1:54" x14ac:dyDescent="0.25">
      <c r="A827" s="13">
        <f t="shared" si="12"/>
        <v>814</v>
      </c>
      <c r="B827" s="914" t="str">
        <f>'refer admin discharge'!B823</f>
        <v>x</v>
      </c>
      <c r="C827" s="914"/>
      <c r="D827" s="889" t="str">
        <f>'refer admin discharge'!D823</f>
        <v>xx</v>
      </c>
      <c r="E827" s="889"/>
      <c r="F827" s="915" t="str">
        <f>'refer admin discharge'!H823</f>
        <v>00/00/0000</v>
      </c>
      <c r="G827" s="890"/>
      <c r="H827" s="916"/>
      <c r="I827" s="916"/>
      <c r="J827" s="917"/>
      <c r="K827" s="917"/>
      <c r="L827" s="916"/>
      <c r="M827" s="916"/>
      <c r="N827" s="893"/>
      <c r="O827" s="893"/>
      <c r="P827" s="916"/>
      <c r="Q827" s="916"/>
      <c r="R827" s="893"/>
      <c r="S827" s="893"/>
      <c r="T827" s="916"/>
      <c r="U827" s="916"/>
      <c r="V827" s="921" t="str">
        <f>'refer admin discharge'!H828</f>
        <v>00/00/0000</v>
      </c>
      <c r="W827" s="922"/>
      <c r="X827" s="912"/>
      <c r="Y827" s="912"/>
      <c r="Z827" s="924"/>
      <c r="AA827" s="924"/>
      <c r="AB827" s="912"/>
      <c r="AC827" s="912"/>
      <c r="AD827" s="913"/>
      <c r="AE827" s="913"/>
      <c r="AF827" s="912"/>
      <c r="AG827" s="912"/>
      <c r="AH827" s="913"/>
      <c r="AI827" s="913"/>
      <c r="AJ827" s="912"/>
      <c r="AK827" s="912"/>
      <c r="AL827" s="925"/>
      <c r="AM827" s="926"/>
      <c r="AN827" s="926"/>
      <c r="AO827" s="926"/>
      <c r="AP827" s="926"/>
      <c r="AQ827" s="926"/>
      <c r="AR827" s="926"/>
      <c r="AS827" s="926"/>
      <c r="AT827" s="926"/>
      <c r="AU827" s="926"/>
      <c r="AV827" s="926"/>
      <c r="AW827" s="926"/>
      <c r="AX827" s="926"/>
      <c r="AY827" s="926"/>
      <c r="AZ827" s="926"/>
      <c r="BA827" s="926"/>
      <c r="BB827" s="927"/>
    </row>
    <row r="828" spans="1:54" x14ac:dyDescent="0.25">
      <c r="A828" s="13">
        <f t="shared" si="12"/>
        <v>815</v>
      </c>
      <c r="B828" s="888" t="str">
        <f>'refer admin discharge'!B824</f>
        <v>x</v>
      </c>
      <c r="C828" s="888"/>
      <c r="D828" s="868" t="str">
        <f>'refer admin discharge'!D824</f>
        <v>xx</v>
      </c>
      <c r="E828" s="868"/>
      <c r="F828" s="891" t="str">
        <f>'refer admin discharge'!H824</f>
        <v>00/00/0000</v>
      </c>
      <c r="G828" s="892"/>
      <c r="H828" s="894"/>
      <c r="I828" s="894"/>
      <c r="J828" s="918"/>
      <c r="K828" s="918"/>
      <c r="L828" s="894"/>
      <c r="M828" s="894"/>
      <c r="N828" s="916"/>
      <c r="O828" s="916"/>
      <c r="P828" s="894"/>
      <c r="Q828" s="894"/>
      <c r="R828" s="916"/>
      <c r="S828" s="916"/>
      <c r="T828" s="894"/>
      <c r="U828" s="894"/>
      <c r="V828" s="921" t="str">
        <f>'refer admin discharge'!H829</f>
        <v>00/00/0000</v>
      </c>
      <c r="W828" s="922"/>
      <c r="X828" s="920"/>
      <c r="Y828" s="920"/>
      <c r="Z828" s="919"/>
      <c r="AA828" s="919"/>
      <c r="AB828" s="920"/>
      <c r="AC828" s="920"/>
      <c r="AD828" s="912"/>
      <c r="AE828" s="912"/>
      <c r="AF828" s="920"/>
      <c r="AG828" s="920"/>
      <c r="AH828" s="912"/>
      <c r="AI828" s="912"/>
      <c r="AJ828" s="920"/>
      <c r="AK828" s="920"/>
      <c r="AL828" s="905"/>
      <c r="AM828" s="906"/>
      <c r="AN828" s="906"/>
      <c r="AO828" s="906"/>
      <c r="AP828" s="906"/>
      <c r="AQ828" s="906"/>
      <c r="AR828" s="906"/>
      <c r="AS828" s="906"/>
      <c r="AT828" s="906"/>
      <c r="AU828" s="906"/>
      <c r="AV828" s="906"/>
      <c r="AW828" s="906"/>
      <c r="AX828" s="906"/>
      <c r="AY828" s="906"/>
      <c r="AZ828" s="906"/>
      <c r="BA828" s="906"/>
      <c r="BB828" s="907"/>
    </row>
    <row r="829" spans="1:54" x14ac:dyDescent="0.25">
      <c r="A829" s="13">
        <f t="shared" si="12"/>
        <v>816</v>
      </c>
      <c r="B829" s="914" t="str">
        <f>'refer admin discharge'!B825</f>
        <v>x</v>
      </c>
      <c r="C829" s="914"/>
      <c r="D829" s="889" t="str">
        <f>'refer admin discharge'!D825</f>
        <v>xx</v>
      </c>
      <c r="E829" s="889"/>
      <c r="F829" s="915" t="str">
        <f>'refer admin discharge'!H825</f>
        <v>00/00/0000</v>
      </c>
      <c r="G829" s="890"/>
      <c r="H829" s="916"/>
      <c r="I829" s="916"/>
      <c r="J829" s="917"/>
      <c r="K829" s="917"/>
      <c r="L829" s="916"/>
      <c r="M829" s="916"/>
      <c r="N829" s="893"/>
      <c r="O829" s="893"/>
      <c r="P829" s="916"/>
      <c r="Q829" s="916"/>
      <c r="R829" s="893"/>
      <c r="S829" s="893"/>
      <c r="T829" s="916"/>
      <c r="U829" s="916"/>
      <c r="V829" s="921" t="str">
        <f>'refer admin discharge'!H830</f>
        <v>00/00/0000</v>
      </c>
      <c r="W829" s="922"/>
      <c r="X829" s="912"/>
      <c r="Y829" s="912"/>
      <c r="Z829" s="924"/>
      <c r="AA829" s="924"/>
      <c r="AB829" s="912"/>
      <c r="AC829" s="912"/>
      <c r="AD829" s="913"/>
      <c r="AE829" s="913"/>
      <c r="AF829" s="912"/>
      <c r="AG829" s="912"/>
      <c r="AH829" s="913"/>
      <c r="AI829" s="913"/>
      <c r="AJ829" s="912"/>
      <c r="AK829" s="912"/>
      <c r="AL829" s="925"/>
      <c r="AM829" s="926"/>
      <c r="AN829" s="926"/>
      <c r="AO829" s="926"/>
      <c r="AP829" s="926"/>
      <c r="AQ829" s="926"/>
      <c r="AR829" s="926"/>
      <c r="AS829" s="926"/>
      <c r="AT829" s="926"/>
      <c r="AU829" s="926"/>
      <c r="AV829" s="926"/>
      <c r="AW829" s="926"/>
      <c r="AX829" s="926"/>
      <c r="AY829" s="926"/>
      <c r="AZ829" s="926"/>
      <c r="BA829" s="926"/>
      <c r="BB829" s="927"/>
    </row>
    <row r="830" spans="1:54" x14ac:dyDescent="0.25">
      <c r="A830" s="13">
        <f t="shared" si="12"/>
        <v>817</v>
      </c>
      <c r="B830" s="888" t="str">
        <f>'refer admin discharge'!B826</f>
        <v>x</v>
      </c>
      <c r="C830" s="888"/>
      <c r="D830" s="868" t="str">
        <f>'refer admin discharge'!D826</f>
        <v>xx</v>
      </c>
      <c r="E830" s="868"/>
      <c r="F830" s="891" t="str">
        <f>'refer admin discharge'!H826</f>
        <v>00/00/0000</v>
      </c>
      <c r="G830" s="892"/>
      <c r="H830" s="894"/>
      <c r="I830" s="894"/>
      <c r="J830" s="918"/>
      <c r="K830" s="918"/>
      <c r="L830" s="894"/>
      <c r="M830" s="894"/>
      <c r="N830" s="916"/>
      <c r="O830" s="916"/>
      <c r="P830" s="894"/>
      <c r="Q830" s="894"/>
      <c r="R830" s="916"/>
      <c r="S830" s="916"/>
      <c r="T830" s="894"/>
      <c r="U830" s="894"/>
      <c r="V830" s="921" t="str">
        <f>'refer admin discharge'!H831</f>
        <v>00/00/0000</v>
      </c>
      <c r="W830" s="922"/>
      <c r="X830" s="920"/>
      <c r="Y830" s="920"/>
      <c r="Z830" s="919"/>
      <c r="AA830" s="919"/>
      <c r="AB830" s="920"/>
      <c r="AC830" s="920"/>
      <c r="AD830" s="912"/>
      <c r="AE830" s="912"/>
      <c r="AF830" s="920"/>
      <c r="AG830" s="920"/>
      <c r="AH830" s="912"/>
      <c r="AI830" s="912"/>
      <c r="AJ830" s="920"/>
      <c r="AK830" s="920"/>
      <c r="AL830" s="905"/>
      <c r="AM830" s="906"/>
      <c r="AN830" s="906"/>
      <c r="AO830" s="906"/>
      <c r="AP830" s="906"/>
      <c r="AQ830" s="906"/>
      <c r="AR830" s="906"/>
      <c r="AS830" s="906"/>
      <c r="AT830" s="906"/>
      <c r="AU830" s="906"/>
      <c r="AV830" s="906"/>
      <c r="AW830" s="906"/>
      <c r="AX830" s="906"/>
      <c r="AY830" s="906"/>
      <c r="AZ830" s="906"/>
      <c r="BA830" s="906"/>
      <c r="BB830" s="907"/>
    </row>
    <row r="831" spans="1:54" x14ac:dyDescent="0.25">
      <c r="A831" s="13">
        <f t="shared" si="12"/>
        <v>818</v>
      </c>
      <c r="B831" s="914" t="str">
        <f>'refer admin discharge'!B827</f>
        <v>x</v>
      </c>
      <c r="C831" s="914"/>
      <c r="D831" s="889" t="str">
        <f>'refer admin discharge'!D827</f>
        <v>xx</v>
      </c>
      <c r="E831" s="889"/>
      <c r="F831" s="915" t="str">
        <f>'refer admin discharge'!H827</f>
        <v>00/00/0000</v>
      </c>
      <c r="G831" s="890"/>
      <c r="H831" s="916"/>
      <c r="I831" s="916"/>
      <c r="J831" s="917"/>
      <c r="K831" s="917"/>
      <c r="L831" s="916"/>
      <c r="M831" s="916"/>
      <c r="N831" s="893"/>
      <c r="O831" s="893"/>
      <c r="P831" s="916"/>
      <c r="Q831" s="916"/>
      <c r="R831" s="893"/>
      <c r="S831" s="893"/>
      <c r="T831" s="916"/>
      <c r="U831" s="916"/>
      <c r="V831" s="921" t="str">
        <f>'refer admin discharge'!H832</f>
        <v>00/00/0000</v>
      </c>
      <c r="W831" s="922"/>
      <c r="X831" s="912"/>
      <c r="Y831" s="912"/>
      <c r="Z831" s="924"/>
      <c r="AA831" s="924"/>
      <c r="AB831" s="912"/>
      <c r="AC831" s="912"/>
      <c r="AD831" s="913"/>
      <c r="AE831" s="913"/>
      <c r="AF831" s="912"/>
      <c r="AG831" s="912"/>
      <c r="AH831" s="913"/>
      <c r="AI831" s="913"/>
      <c r="AJ831" s="912"/>
      <c r="AK831" s="912"/>
      <c r="AL831" s="925"/>
      <c r="AM831" s="926"/>
      <c r="AN831" s="926"/>
      <c r="AO831" s="926"/>
      <c r="AP831" s="926"/>
      <c r="AQ831" s="926"/>
      <c r="AR831" s="926"/>
      <c r="AS831" s="926"/>
      <c r="AT831" s="926"/>
      <c r="AU831" s="926"/>
      <c r="AV831" s="926"/>
      <c r="AW831" s="926"/>
      <c r="AX831" s="926"/>
      <c r="AY831" s="926"/>
      <c r="AZ831" s="926"/>
      <c r="BA831" s="926"/>
      <c r="BB831" s="927"/>
    </row>
    <row r="832" spans="1:54" x14ac:dyDescent="0.25">
      <c r="A832" s="13">
        <f t="shared" si="12"/>
        <v>819</v>
      </c>
      <c r="B832" s="888" t="str">
        <f>'refer admin discharge'!B828</f>
        <v>x</v>
      </c>
      <c r="C832" s="888"/>
      <c r="D832" s="868" t="str">
        <f>'refer admin discharge'!D828</f>
        <v>xx</v>
      </c>
      <c r="E832" s="868"/>
      <c r="F832" s="891" t="str">
        <f>'refer admin discharge'!H828</f>
        <v>00/00/0000</v>
      </c>
      <c r="G832" s="892"/>
      <c r="H832" s="894"/>
      <c r="I832" s="894"/>
      <c r="J832" s="918"/>
      <c r="K832" s="918"/>
      <c r="L832" s="894"/>
      <c r="M832" s="894"/>
      <c r="N832" s="916"/>
      <c r="O832" s="916"/>
      <c r="P832" s="894"/>
      <c r="Q832" s="894"/>
      <c r="R832" s="916"/>
      <c r="S832" s="916"/>
      <c r="T832" s="894"/>
      <c r="U832" s="894"/>
      <c r="V832" s="921" t="str">
        <f>'refer admin discharge'!H833</f>
        <v>00/00/0000</v>
      </c>
      <c r="W832" s="922"/>
      <c r="X832" s="920"/>
      <c r="Y832" s="920"/>
      <c r="Z832" s="919"/>
      <c r="AA832" s="919"/>
      <c r="AB832" s="920"/>
      <c r="AC832" s="920"/>
      <c r="AD832" s="912"/>
      <c r="AE832" s="912"/>
      <c r="AF832" s="920"/>
      <c r="AG832" s="920"/>
      <c r="AH832" s="912"/>
      <c r="AI832" s="912"/>
      <c r="AJ832" s="920"/>
      <c r="AK832" s="920"/>
      <c r="AL832" s="905"/>
      <c r="AM832" s="906"/>
      <c r="AN832" s="906"/>
      <c r="AO832" s="906"/>
      <c r="AP832" s="906"/>
      <c r="AQ832" s="906"/>
      <c r="AR832" s="906"/>
      <c r="AS832" s="906"/>
      <c r="AT832" s="906"/>
      <c r="AU832" s="906"/>
      <c r="AV832" s="906"/>
      <c r="AW832" s="906"/>
      <c r="AX832" s="906"/>
      <c r="AY832" s="906"/>
      <c r="AZ832" s="906"/>
      <c r="BA832" s="906"/>
      <c r="BB832" s="907"/>
    </row>
    <row r="833" spans="1:54" x14ac:dyDescent="0.25">
      <c r="A833" s="13">
        <f t="shared" si="12"/>
        <v>820</v>
      </c>
      <c r="B833" s="914" t="str">
        <f>'refer admin discharge'!B829</f>
        <v>x</v>
      </c>
      <c r="C833" s="914"/>
      <c r="D833" s="889" t="str">
        <f>'refer admin discharge'!D829</f>
        <v>xx</v>
      </c>
      <c r="E833" s="889"/>
      <c r="F833" s="915" t="str">
        <f>'refer admin discharge'!H829</f>
        <v>00/00/0000</v>
      </c>
      <c r="G833" s="890"/>
      <c r="H833" s="916"/>
      <c r="I833" s="916"/>
      <c r="J833" s="917"/>
      <c r="K833" s="917"/>
      <c r="L833" s="916"/>
      <c r="M833" s="916"/>
      <c r="N833" s="893"/>
      <c r="O833" s="893"/>
      <c r="P833" s="916"/>
      <c r="Q833" s="916"/>
      <c r="R833" s="893"/>
      <c r="S833" s="893"/>
      <c r="T833" s="916"/>
      <c r="U833" s="916"/>
      <c r="V833" s="921" t="str">
        <f>'refer admin discharge'!H834</f>
        <v>00/00/0000</v>
      </c>
      <c r="W833" s="922"/>
      <c r="X833" s="912"/>
      <c r="Y833" s="912"/>
      <c r="Z833" s="924"/>
      <c r="AA833" s="924"/>
      <c r="AB833" s="912"/>
      <c r="AC833" s="912"/>
      <c r="AD833" s="913"/>
      <c r="AE833" s="913"/>
      <c r="AF833" s="912"/>
      <c r="AG833" s="912"/>
      <c r="AH833" s="913"/>
      <c r="AI833" s="913"/>
      <c r="AJ833" s="912"/>
      <c r="AK833" s="912"/>
      <c r="AL833" s="925"/>
      <c r="AM833" s="926"/>
      <c r="AN833" s="926"/>
      <c r="AO833" s="926"/>
      <c r="AP833" s="926"/>
      <c r="AQ833" s="926"/>
      <c r="AR833" s="926"/>
      <c r="AS833" s="926"/>
      <c r="AT833" s="926"/>
      <c r="AU833" s="926"/>
      <c r="AV833" s="926"/>
      <c r="AW833" s="926"/>
      <c r="AX833" s="926"/>
      <c r="AY833" s="926"/>
      <c r="AZ833" s="926"/>
      <c r="BA833" s="926"/>
      <c r="BB833" s="927"/>
    </row>
    <row r="834" spans="1:54" x14ac:dyDescent="0.25">
      <c r="A834" s="13">
        <f t="shared" si="12"/>
        <v>821</v>
      </c>
      <c r="B834" s="888" t="str">
        <f>'refer admin discharge'!B830</f>
        <v>x</v>
      </c>
      <c r="C834" s="888"/>
      <c r="D834" s="868" t="str">
        <f>'refer admin discharge'!D830</f>
        <v>xx</v>
      </c>
      <c r="E834" s="868"/>
      <c r="F834" s="891" t="str">
        <f>'refer admin discharge'!H830</f>
        <v>00/00/0000</v>
      </c>
      <c r="G834" s="892"/>
      <c r="H834" s="894"/>
      <c r="I834" s="894"/>
      <c r="J834" s="918"/>
      <c r="K834" s="918"/>
      <c r="L834" s="894"/>
      <c r="M834" s="894"/>
      <c r="N834" s="916"/>
      <c r="O834" s="916"/>
      <c r="P834" s="894"/>
      <c r="Q834" s="894"/>
      <c r="R834" s="916"/>
      <c r="S834" s="916"/>
      <c r="T834" s="894"/>
      <c r="U834" s="894"/>
      <c r="V834" s="921" t="str">
        <f>'refer admin discharge'!H835</f>
        <v>00/00/0000</v>
      </c>
      <c r="W834" s="922"/>
      <c r="X834" s="920"/>
      <c r="Y834" s="920"/>
      <c r="Z834" s="919"/>
      <c r="AA834" s="919"/>
      <c r="AB834" s="920"/>
      <c r="AC834" s="920"/>
      <c r="AD834" s="912"/>
      <c r="AE834" s="912"/>
      <c r="AF834" s="920"/>
      <c r="AG834" s="920"/>
      <c r="AH834" s="912"/>
      <c r="AI834" s="912"/>
      <c r="AJ834" s="920"/>
      <c r="AK834" s="920"/>
      <c r="AL834" s="905"/>
      <c r="AM834" s="906"/>
      <c r="AN834" s="906"/>
      <c r="AO834" s="906"/>
      <c r="AP834" s="906"/>
      <c r="AQ834" s="906"/>
      <c r="AR834" s="906"/>
      <c r="AS834" s="906"/>
      <c r="AT834" s="906"/>
      <c r="AU834" s="906"/>
      <c r="AV834" s="906"/>
      <c r="AW834" s="906"/>
      <c r="AX834" s="906"/>
      <c r="AY834" s="906"/>
      <c r="AZ834" s="906"/>
      <c r="BA834" s="906"/>
      <c r="BB834" s="907"/>
    </row>
    <row r="835" spans="1:54" x14ac:dyDescent="0.25">
      <c r="A835" s="13">
        <f t="shared" si="12"/>
        <v>822</v>
      </c>
      <c r="B835" s="914" t="str">
        <f>'refer admin discharge'!B831</f>
        <v>x</v>
      </c>
      <c r="C835" s="914"/>
      <c r="D835" s="889" t="str">
        <f>'refer admin discharge'!D831</f>
        <v>xx</v>
      </c>
      <c r="E835" s="889"/>
      <c r="F835" s="915" t="str">
        <f>'refer admin discharge'!H831</f>
        <v>00/00/0000</v>
      </c>
      <c r="G835" s="890"/>
      <c r="H835" s="916"/>
      <c r="I835" s="916"/>
      <c r="J835" s="917"/>
      <c r="K835" s="917"/>
      <c r="L835" s="916"/>
      <c r="M835" s="916"/>
      <c r="N835" s="893"/>
      <c r="O835" s="893"/>
      <c r="P835" s="916"/>
      <c r="Q835" s="916"/>
      <c r="R835" s="893"/>
      <c r="S835" s="893"/>
      <c r="T835" s="916"/>
      <c r="U835" s="916"/>
      <c r="V835" s="921" t="str">
        <f>'refer admin discharge'!H836</f>
        <v>00/00/0000</v>
      </c>
      <c r="W835" s="922"/>
      <c r="X835" s="912"/>
      <c r="Y835" s="912"/>
      <c r="Z835" s="924"/>
      <c r="AA835" s="924"/>
      <c r="AB835" s="912"/>
      <c r="AC835" s="912"/>
      <c r="AD835" s="913"/>
      <c r="AE835" s="913"/>
      <c r="AF835" s="912"/>
      <c r="AG835" s="912"/>
      <c r="AH835" s="913"/>
      <c r="AI835" s="913"/>
      <c r="AJ835" s="912"/>
      <c r="AK835" s="912"/>
      <c r="AL835" s="925"/>
      <c r="AM835" s="926"/>
      <c r="AN835" s="926"/>
      <c r="AO835" s="926"/>
      <c r="AP835" s="926"/>
      <c r="AQ835" s="926"/>
      <c r="AR835" s="926"/>
      <c r="AS835" s="926"/>
      <c r="AT835" s="926"/>
      <c r="AU835" s="926"/>
      <c r="AV835" s="926"/>
      <c r="AW835" s="926"/>
      <c r="AX835" s="926"/>
      <c r="AY835" s="926"/>
      <c r="AZ835" s="926"/>
      <c r="BA835" s="926"/>
      <c r="BB835" s="927"/>
    </row>
    <row r="836" spans="1:54" x14ac:dyDescent="0.25">
      <c r="A836" s="13">
        <f t="shared" si="12"/>
        <v>823</v>
      </c>
      <c r="B836" s="888" t="str">
        <f>'refer admin discharge'!B832</f>
        <v>x</v>
      </c>
      <c r="C836" s="888"/>
      <c r="D836" s="868" t="str">
        <f>'refer admin discharge'!D832</f>
        <v>xx</v>
      </c>
      <c r="E836" s="868"/>
      <c r="F836" s="891" t="str">
        <f>'refer admin discharge'!H832</f>
        <v>00/00/0000</v>
      </c>
      <c r="G836" s="892"/>
      <c r="H836" s="894"/>
      <c r="I836" s="894"/>
      <c r="J836" s="918"/>
      <c r="K836" s="918"/>
      <c r="L836" s="894"/>
      <c r="M836" s="894"/>
      <c r="N836" s="916"/>
      <c r="O836" s="916"/>
      <c r="P836" s="894"/>
      <c r="Q836" s="894"/>
      <c r="R836" s="916"/>
      <c r="S836" s="916"/>
      <c r="T836" s="894"/>
      <c r="U836" s="894"/>
      <c r="V836" s="921" t="str">
        <f>'refer admin discharge'!H837</f>
        <v>00/00/0000</v>
      </c>
      <c r="W836" s="922"/>
      <c r="X836" s="920"/>
      <c r="Y836" s="920"/>
      <c r="Z836" s="919"/>
      <c r="AA836" s="919"/>
      <c r="AB836" s="920"/>
      <c r="AC836" s="920"/>
      <c r="AD836" s="912"/>
      <c r="AE836" s="912"/>
      <c r="AF836" s="920"/>
      <c r="AG836" s="920"/>
      <c r="AH836" s="912"/>
      <c r="AI836" s="912"/>
      <c r="AJ836" s="920"/>
      <c r="AK836" s="920"/>
      <c r="AL836" s="905"/>
      <c r="AM836" s="906"/>
      <c r="AN836" s="906"/>
      <c r="AO836" s="906"/>
      <c r="AP836" s="906"/>
      <c r="AQ836" s="906"/>
      <c r="AR836" s="906"/>
      <c r="AS836" s="906"/>
      <c r="AT836" s="906"/>
      <c r="AU836" s="906"/>
      <c r="AV836" s="906"/>
      <c r="AW836" s="906"/>
      <c r="AX836" s="906"/>
      <c r="AY836" s="906"/>
      <c r="AZ836" s="906"/>
      <c r="BA836" s="906"/>
      <c r="BB836" s="907"/>
    </row>
    <row r="837" spans="1:54" x14ac:dyDescent="0.25">
      <c r="A837" s="13">
        <f t="shared" si="12"/>
        <v>824</v>
      </c>
      <c r="B837" s="914" t="str">
        <f>'refer admin discharge'!B833</f>
        <v>x</v>
      </c>
      <c r="C837" s="914"/>
      <c r="D837" s="889" t="str">
        <f>'refer admin discharge'!D833</f>
        <v>xx</v>
      </c>
      <c r="E837" s="889"/>
      <c r="F837" s="915" t="str">
        <f>'refer admin discharge'!H833</f>
        <v>00/00/0000</v>
      </c>
      <c r="G837" s="890"/>
      <c r="H837" s="916"/>
      <c r="I837" s="916"/>
      <c r="J837" s="917"/>
      <c r="K837" s="917"/>
      <c r="L837" s="916"/>
      <c r="M837" s="916"/>
      <c r="N837" s="893"/>
      <c r="O837" s="893"/>
      <c r="P837" s="916"/>
      <c r="Q837" s="916"/>
      <c r="R837" s="893"/>
      <c r="S837" s="893"/>
      <c r="T837" s="916"/>
      <c r="U837" s="916"/>
      <c r="V837" s="921" t="str">
        <f>'refer admin discharge'!H838</f>
        <v>00/00/0000</v>
      </c>
      <c r="W837" s="922"/>
      <c r="X837" s="912"/>
      <c r="Y837" s="912"/>
      <c r="Z837" s="924"/>
      <c r="AA837" s="924"/>
      <c r="AB837" s="912"/>
      <c r="AC837" s="912"/>
      <c r="AD837" s="913"/>
      <c r="AE837" s="913"/>
      <c r="AF837" s="912"/>
      <c r="AG837" s="912"/>
      <c r="AH837" s="913"/>
      <c r="AI837" s="913"/>
      <c r="AJ837" s="912"/>
      <c r="AK837" s="912"/>
      <c r="AL837" s="925"/>
      <c r="AM837" s="926"/>
      <c r="AN837" s="926"/>
      <c r="AO837" s="926"/>
      <c r="AP837" s="926"/>
      <c r="AQ837" s="926"/>
      <c r="AR837" s="926"/>
      <c r="AS837" s="926"/>
      <c r="AT837" s="926"/>
      <c r="AU837" s="926"/>
      <c r="AV837" s="926"/>
      <c r="AW837" s="926"/>
      <c r="AX837" s="926"/>
      <c r="AY837" s="926"/>
      <c r="AZ837" s="926"/>
      <c r="BA837" s="926"/>
      <c r="BB837" s="927"/>
    </row>
    <row r="838" spans="1:54" x14ac:dyDescent="0.25">
      <c r="A838" s="13">
        <f t="shared" si="12"/>
        <v>825</v>
      </c>
      <c r="B838" s="888" t="str">
        <f>'refer admin discharge'!B834</f>
        <v>x</v>
      </c>
      <c r="C838" s="888"/>
      <c r="D838" s="868" t="str">
        <f>'refer admin discharge'!D834</f>
        <v>xx</v>
      </c>
      <c r="E838" s="868"/>
      <c r="F838" s="891" t="str">
        <f>'refer admin discharge'!H834</f>
        <v>00/00/0000</v>
      </c>
      <c r="G838" s="892"/>
      <c r="H838" s="894"/>
      <c r="I838" s="894"/>
      <c r="J838" s="918"/>
      <c r="K838" s="918"/>
      <c r="L838" s="894"/>
      <c r="M838" s="894"/>
      <c r="N838" s="916"/>
      <c r="O838" s="916"/>
      <c r="P838" s="894"/>
      <c r="Q838" s="894"/>
      <c r="R838" s="916"/>
      <c r="S838" s="916"/>
      <c r="T838" s="894"/>
      <c r="U838" s="894"/>
      <c r="V838" s="921" t="str">
        <f>'refer admin discharge'!H839</f>
        <v>00/00/0000</v>
      </c>
      <c r="W838" s="922"/>
      <c r="X838" s="920"/>
      <c r="Y838" s="920"/>
      <c r="Z838" s="919"/>
      <c r="AA838" s="919"/>
      <c r="AB838" s="920"/>
      <c r="AC838" s="920"/>
      <c r="AD838" s="912"/>
      <c r="AE838" s="912"/>
      <c r="AF838" s="920"/>
      <c r="AG838" s="920"/>
      <c r="AH838" s="912"/>
      <c r="AI838" s="912"/>
      <c r="AJ838" s="920"/>
      <c r="AK838" s="920"/>
      <c r="AL838" s="905"/>
      <c r="AM838" s="906"/>
      <c r="AN838" s="906"/>
      <c r="AO838" s="906"/>
      <c r="AP838" s="906"/>
      <c r="AQ838" s="906"/>
      <c r="AR838" s="906"/>
      <c r="AS838" s="906"/>
      <c r="AT838" s="906"/>
      <c r="AU838" s="906"/>
      <c r="AV838" s="906"/>
      <c r="AW838" s="906"/>
      <c r="AX838" s="906"/>
      <c r="AY838" s="906"/>
      <c r="AZ838" s="906"/>
      <c r="BA838" s="906"/>
      <c r="BB838" s="907"/>
    </row>
    <row r="839" spans="1:54" x14ac:dyDescent="0.25">
      <c r="A839" s="13">
        <f t="shared" si="12"/>
        <v>826</v>
      </c>
      <c r="B839" s="914" t="str">
        <f>'refer admin discharge'!B835</f>
        <v>x</v>
      </c>
      <c r="C839" s="914"/>
      <c r="D839" s="889" t="str">
        <f>'refer admin discharge'!D835</f>
        <v>xx</v>
      </c>
      <c r="E839" s="889"/>
      <c r="F839" s="915" t="str">
        <f>'refer admin discharge'!H835</f>
        <v>00/00/0000</v>
      </c>
      <c r="G839" s="890"/>
      <c r="H839" s="916"/>
      <c r="I839" s="916"/>
      <c r="J839" s="917"/>
      <c r="K839" s="917"/>
      <c r="L839" s="916"/>
      <c r="M839" s="916"/>
      <c r="N839" s="893"/>
      <c r="O839" s="893"/>
      <c r="P839" s="916"/>
      <c r="Q839" s="916"/>
      <c r="R839" s="893"/>
      <c r="S839" s="893"/>
      <c r="T839" s="916"/>
      <c r="U839" s="916"/>
      <c r="V839" s="921" t="str">
        <f>'refer admin discharge'!H840</f>
        <v>00/00/0000</v>
      </c>
      <c r="W839" s="922"/>
      <c r="X839" s="912"/>
      <c r="Y839" s="912"/>
      <c r="Z839" s="924"/>
      <c r="AA839" s="924"/>
      <c r="AB839" s="912"/>
      <c r="AC839" s="912"/>
      <c r="AD839" s="913"/>
      <c r="AE839" s="913"/>
      <c r="AF839" s="912"/>
      <c r="AG839" s="912"/>
      <c r="AH839" s="913"/>
      <c r="AI839" s="913"/>
      <c r="AJ839" s="912"/>
      <c r="AK839" s="912"/>
      <c r="AL839" s="925"/>
      <c r="AM839" s="926"/>
      <c r="AN839" s="926"/>
      <c r="AO839" s="926"/>
      <c r="AP839" s="926"/>
      <c r="AQ839" s="926"/>
      <c r="AR839" s="926"/>
      <c r="AS839" s="926"/>
      <c r="AT839" s="926"/>
      <c r="AU839" s="926"/>
      <c r="AV839" s="926"/>
      <c r="AW839" s="926"/>
      <c r="AX839" s="926"/>
      <c r="AY839" s="926"/>
      <c r="AZ839" s="926"/>
      <c r="BA839" s="926"/>
      <c r="BB839" s="927"/>
    </row>
    <row r="840" spans="1:54" x14ac:dyDescent="0.25">
      <c r="A840" s="13">
        <f t="shared" si="12"/>
        <v>827</v>
      </c>
      <c r="B840" s="888" t="str">
        <f>'refer admin discharge'!B836</f>
        <v>x</v>
      </c>
      <c r="C840" s="888"/>
      <c r="D840" s="868" t="str">
        <f>'refer admin discharge'!D836</f>
        <v>xx</v>
      </c>
      <c r="E840" s="868"/>
      <c r="F840" s="891" t="str">
        <f>'refer admin discharge'!H836</f>
        <v>00/00/0000</v>
      </c>
      <c r="G840" s="892"/>
      <c r="H840" s="894"/>
      <c r="I840" s="894"/>
      <c r="J840" s="918"/>
      <c r="K840" s="918"/>
      <c r="L840" s="894"/>
      <c r="M840" s="894"/>
      <c r="N840" s="916"/>
      <c r="O840" s="916"/>
      <c r="P840" s="894"/>
      <c r="Q840" s="894"/>
      <c r="R840" s="916"/>
      <c r="S840" s="916"/>
      <c r="T840" s="894"/>
      <c r="U840" s="894"/>
      <c r="V840" s="921" t="str">
        <f>'refer admin discharge'!H841</f>
        <v>00/00/0000</v>
      </c>
      <c r="W840" s="922"/>
      <c r="X840" s="920"/>
      <c r="Y840" s="920"/>
      <c r="Z840" s="919"/>
      <c r="AA840" s="919"/>
      <c r="AB840" s="920"/>
      <c r="AC840" s="920"/>
      <c r="AD840" s="912"/>
      <c r="AE840" s="912"/>
      <c r="AF840" s="920"/>
      <c r="AG840" s="920"/>
      <c r="AH840" s="912"/>
      <c r="AI840" s="912"/>
      <c r="AJ840" s="920"/>
      <c r="AK840" s="920"/>
      <c r="AL840" s="905"/>
      <c r="AM840" s="906"/>
      <c r="AN840" s="906"/>
      <c r="AO840" s="906"/>
      <c r="AP840" s="906"/>
      <c r="AQ840" s="906"/>
      <c r="AR840" s="906"/>
      <c r="AS840" s="906"/>
      <c r="AT840" s="906"/>
      <c r="AU840" s="906"/>
      <c r="AV840" s="906"/>
      <c r="AW840" s="906"/>
      <c r="AX840" s="906"/>
      <c r="AY840" s="906"/>
      <c r="AZ840" s="906"/>
      <c r="BA840" s="906"/>
      <c r="BB840" s="907"/>
    </row>
    <row r="841" spans="1:54" x14ac:dyDescent="0.25">
      <c r="A841" s="13">
        <f t="shared" si="12"/>
        <v>828</v>
      </c>
      <c r="B841" s="914" t="str">
        <f>'refer admin discharge'!B837</f>
        <v>x</v>
      </c>
      <c r="C841" s="914"/>
      <c r="D841" s="889" t="str">
        <f>'refer admin discharge'!D837</f>
        <v>xx</v>
      </c>
      <c r="E841" s="889"/>
      <c r="F841" s="915" t="str">
        <f>'refer admin discharge'!H837</f>
        <v>00/00/0000</v>
      </c>
      <c r="G841" s="890"/>
      <c r="H841" s="916"/>
      <c r="I841" s="916"/>
      <c r="J841" s="917"/>
      <c r="K841" s="917"/>
      <c r="L841" s="916"/>
      <c r="M841" s="916"/>
      <c r="N841" s="893"/>
      <c r="O841" s="893"/>
      <c r="P841" s="916"/>
      <c r="Q841" s="916"/>
      <c r="R841" s="893"/>
      <c r="S841" s="893"/>
      <c r="T841" s="916"/>
      <c r="U841" s="916"/>
      <c r="V841" s="921" t="str">
        <f>'refer admin discharge'!H842</f>
        <v>00/00/0000</v>
      </c>
      <c r="W841" s="922"/>
      <c r="X841" s="912"/>
      <c r="Y841" s="912"/>
      <c r="Z841" s="924"/>
      <c r="AA841" s="924"/>
      <c r="AB841" s="912"/>
      <c r="AC841" s="912"/>
      <c r="AD841" s="913"/>
      <c r="AE841" s="913"/>
      <c r="AF841" s="912"/>
      <c r="AG841" s="912"/>
      <c r="AH841" s="913"/>
      <c r="AI841" s="913"/>
      <c r="AJ841" s="912"/>
      <c r="AK841" s="912"/>
      <c r="AL841" s="925"/>
      <c r="AM841" s="926"/>
      <c r="AN841" s="926"/>
      <c r="AO841" s="926"/>
      <c r="AP841" s="926"/>
      <c r="AQ841" s="926"/>
      <c r="AR841" s="926"/>
      <c r="AS841" s="926"/>
      <c r="AT841" s="926"/>
      <c r="AU841" s="926"/>
      <c r="AV841" s="926"/>
      <c r="AW841" s="926"/>
      <c r="AX841" s="926"/>
      <c r="AY841" s="926"/>
      <c r="AZ841" s="926"/>
      <c r="BA841" s="926"/>
      <c r="BB841" s="927"/>
    </row>
    <row r="842" spans="1:54" x14ac:dyDescent="0.25">
      <c r="A842" s="13">
        <f t="shared" si="12"/>
        <v>829</v>
      </c>
      <c r="B842" s="888" t="str">
        <f>'refer admin discharge'!B838</f>
        <v>x</v>
      </c>
      <c r="C842" s="888"/>
      <c r="D842" s="868" t="str">
        <f>'refer admin discharge'!D838</f>
        <v>xx</v>
      </c>
      <c r="E842" s="868"/>
      <c r="F842" s="891" t="str">
        <f>'refer admin discharge'!H838</f>
        <v>00/00/0000</v>
      </c>
      <c r="G842" s="892"/>
      <c r="H842" s="894"/>
      <c r="I842" s="894"/>
      <c r="J842" s="918"/>
      <c r="K842" s="918"/>
      <c r="L842" s="894"/>
      <c r="M842" s="894"/>
      <c r="N842" s="916"/>
      <c r="O842" s="916"/>
      <c r="P842" s="894"/>
      <c r="Q842" s="894"/>
      <c r="R842" s="916"/>
      <c r="S842" s="916"/>
      <c r="T842" s="894"/>
      <c r="U842" s="894"/>
      <c r="V842" s="921" t="str">
        <f>'refer admin discharge'!H843</f>
        <v>00/00/0000</v>
      </c>
      <c r="W842" s="922"/>
      <c r="X842" s="920"/>
      <c r="Y842" s="920"/>
      <c r="Z842" s="919"/>
      <c r="AA842" s="919"/>
      <c r="AB842" s="920"/>
      <c r="AC842" s="920"/>
      <c r="AD842" s="912"/>
      <c r="AE842" s="912"/>
      <c r="AF842" s="920"/>
      <c r="AG842" s="920"/>
      <c r="AH842" s="912"/>
      <c r="AI842" s="912"/>
      <c r="AJ842" s="920"/>
      <c r="AK842" s="920"/>
      <c r="AL842" s="905"/>
      <c r="AM842" s="906"/>
      <c r="AN842" s="906"/>
      <c r="AO842" s="906"/>
      <c r="AP842" s="906"/>
      <c r="AQ842" s="906"/>
      <c r="AR842" s="906"/>
      <c r="AS842" s="906"/>
      <c r="AT842" s="906"/>
      <c r="AU842" s="906"/>
      <c r="AV842" s="906"/>
      <c r="AW842" s="906"/>
      <c r="AX842" s="906"/>
      <c r="AY842" s="906"/>
      <c r="AZ842" s="906"/>
      <c r="BA842" s="906"/>
      <c r="BB842" s="907"/>
    </row>
    <row r="843" spans="1:54" x14ac:dyDescent="0.25">
      <c r="A843" s="13">
        <f t="shared" si="12"/>
        <v>830</v>
      </c>
      <c r="B843" s="914" t="str">
        <f>'refer admin discharge'!B839</f>
        <v>x</v>
      </c>
      <c r="C843" s="914"/>
      <c r="D843" s="889" t="str">
        <f>'refer admin discharge'!D839</f>
        <v>xx</v>
      </c>
      <c r="E843" s="889"/>
      <c r="F843" s="915" t="str">
        <f>'refer admin discharge'!H839</f>
        <v>00/00/0000</v>
      </c>
      <c r="G843" s="890"/>
      <c r="H843" s="916"/>
      <c r="I843" s="916"/>
      <c r="J843" s="917"/>
      <c r="K843" s="917"/>
      <c r="L843" s="916"/>
      <c r="M843" s="916"/>
      <c r="N843" s="893"/>
      <c r="O843" s="893"/>
      <c r="P843" s="916"/>
      <c r="Q843" s="916"/>
      <c r="R843" s="893"/>
      <c r="S843" s="893"/>
      <c r="T843" s="916"/>
      <c r="U843" s="916"/>
      <c r="V843" s="921" t="str">
        <f>'refer admin discharge'!H844</f>
        <v>00/00/0000</v>
      </c>
      <c r="W843" s="922"/>
      <c r="X843" s="912"/>
      <c r="Y843" s="912"/>
      <c r="Z843" s="924"/>
      <c r="AA843" s="924"/>
      <c r="AB843" s="912"/>
      <c r="AC843" s="912"/>
      <c r="AD843" s="913"/>
      <c r="AE843" s="913"/>
      <c r="AF843" s="912"/>
      <c r="AG843" s="912"/>
      <c r="AH843" s="913"/>
      <c r="AI843" s="913"/>
      <c r="AJ843" s="912"/>
      <c r="AK843" s="912"/>
      <c r="AL843" s="925"/>
      <c r="AM843" s="926"/>
      <c r="AN843" s="926"/>
      <c r="AO843" s="926"/>
      <c r="AP843" s="926"/>
      <c r="AQ843" s="926"/>
      <c r="AR843" s="926"/>
      <c r="AS843" s="926"/>
      <c r="AT843" s="926"/>
      <c r="AU843" s="926"/>
      <c r="AV843" s="926"/>
      <c r="AW843" s="926"/>
      <c r="AX843" s="926"/>
      <c r="AY843" s="926"/>
      <c r="AZ843" s="926"/>
      <c r="BA843" s="926"/>
      <c r="BB843" s="927"/>
    </row>
    <row r="844" spans="1:54" x14ac:dyDescent="0.25">
      <c r="A844" s="13">
        <f t="shared" si="12"/>
        <v>831</v>
      </c>
      <c r="B844" s="888" t="str">
        <f>'refer admin discharge'!B840</f>
        <v>x</v>
      </c>
      <c r="C844" s="888"/>
      <c r="D844" s="868" t="str">
        <f>'refer admin discharge'!D840</f>
        <v>xx</v>
      </c>
      <c r="E844" s="868"/>
      <c r="F844" s="891" t="str">
        <f>'refer admin discharge'!H840</f>
        <v>00/00/0000</v>
      </c>
      <c r="G844" s="892"/>
      <c r="H844" s="894"/>
      <c r="I844" s="894"/>
      <c r="J844" s="918"/>
      <c r="K844" s="918"/>
      <c r="L844" s="894"/>
      <c r="M844" s="894"/>
      <c r="N844" s="916"/>
      <c r="O844" s="916"/>
      <c r="P844" s="894"/>
      <c r="Q844" s="894"/>
      <c r="R844" s="916"/>
      <c r="S844" s="916"/>
      <c r="T844" s="894"/>
      <c r="U844" s="894"/>
      <c r="V844" s="921" t="str">
        <f>'refer admin discharge'!H845</f>
        <v>00/00/0000</v>
      </c>
      <c r="W844" s="922"/>
      <c r="X844" s="920"/>
      <c r="Y844" s="920"/>
      <c r="Z844" s="919"/>
      <c r="AA844" s="919"/>
      <c r="AB844" s="920"/>
      <c r="AC844" s="920"/>
      <c r="AD844" s="912"/>
      <c r="AE844" s="912"/>
      <c r="AF844" s="920"/>
      <c r="AG844" s="920"/>
      <c r="AH844" s="912"/>
      <c r="AI844" s="912"/>
      <c r="AJ844" s="920"/>
      <c r="AK844" s="920"/>
      <c r="AL844" s="905"/>
      <c r="AM844" s="906"/>
      <c r="AN844" s="906"/>
      <c r="AO844" s="906"/>
      <c r="AP844" s="906"/>
      <c r="AQ844" s="906"/>
      <c r="AR844" s="906"/>
      <c r="AS844" s="906"/>
      <c r="AT844" s="906"/>
      <c r="AU844" s="906"/>
      <c r="AV844" s="906"/>
      <c r="AW844" s="906"/>
      <c r="AX844" s="906"/>
      <c r="AY844" s="906"/>
      <c r="AZ844" s="906"/>
      <c r="BA844" s="906"/>
      <c r="BB844" s="907"/>
    </row>
    <row r="845" spans="1:54" x14ac:dyDescent="0.25">
      <c r="A845" s="13">
        <f t="shared" si="12"/>
        <v>832</v>
      </c>
      <c r="B845" s="914" t="str">
        <f>'refer admin discharge'!B841</f>
        <v>x</v>
      </c>
      <c r="C845" s="914"/>
      <c r="D845" s="889" t="str">
        <f>'refer admin discharge'!D841</f>
        <v>xx</v>
      </c>
      <c r="E845" s="889"/>
      <c r="F845" s="915" t="str">
        <f>'refer admin discharge'!H841</f>
        <v>00/00/0000</v>
      </c>
      <c r="G845" s="890"/>
      <c r="H845" s="916"/>
      <c r="I845" s="916"/>
      <c r="J845" s="917"/>
      <c r="K845" s="917"/>
      <c r="L845" s="916"/>
      <c r="M845" s="916"/>
      <c r="N845" s="893"/>
      <c r="O845" s="893"/>
      <c r="P845" s="916"/>
      <c r="Q845" s="916"/>
      <c r="R845" s="893"/>
      <c r="S845" s="893"/>
      <c r="T845" s="916"/>
      <c r="U845" s="916"/>
      <c r="V845" s="921" t="str">
        <f>'refer admin discharge'!H846</f>
        <v>00/00/0000</v>
      </c>
      <c r="W845" s="922"/>
      <c r="X845" s="912"/>
      <c r="Y845" s="912"/>
      <c r="Z845" s="924"/>
      <c r="AA845" s="924"/>
      <c r="AB845" s="912"/>
      <c r="AC845" s="912"/>
      <c r="AD845" s="913"/>
      <c r="AE845" s="913"/>
      <c r="AF845" s="912"/>
      <c r="AG845" s="912"/>
      <c r="AH845" s="913"/>
      <c r="AI845" s="913"/>
      <c r="AJ845" s="912"/>
      <c r="AK845" s="912"/>
      <c r="AL845" s="925"/>
      <c r="AM845" s="926"/>
      <c r="AN845" s="926"/>
      <c r="AO845" s="926"/>
      <c r="AP845" s="926"/>
      <c r="AQ845" s="926"/>
      <c r="AR845" s="926"/>
      <c r="AS845" s="926"/>
      <c r="AT845" s="926"/>
      <c r="AU845" s="926"/>
      <c r="AV845" s="926"/>
      <c r="AW845" s="926"/>
      <c r="AX845" s="926"/>
      <c r="AY845" s="926"/>
      <c r="AZ845" s="926"/>
      <c r="BA845" s="926"/>
      <c r="BB845" s="927"/>
    </row>
    <row r="846" spans="1:54" x14ac:dyDescent="0.25">
      <c r="A846" s="13">
        <f t="shared" ref="A846:A909" si="13">ROW(A833)</f>
        <v>833</v>
      </c>
      <c r="B846" s="888" t="str">
        <f>'refer admin discharge'!B842</f>
        <v>x</v>
      </c>
      <c r="C846" s="888"/>
      <c r="D846" s="868" t="str">
        <f>'refer admin discharge'!D842</f>
        <v>xx</v>
      </c>
      <c r="E846" s="868"/>
      <c r="F846" s="891" t="str">
        <f>'refer admin discharge'!H842</f>
        <v>00/00/0000</v>
      </c>
      <c r="G846" s="892"/>
      <c r="H846" s="894"/>
      <c r="I846" s="894"/>
      <c r="J846" s="918"/>
      <c r="K846" s="918"/>
      <c r="L846" s="894"/>
      <c r="M846" s="894"/>
      <c r="N846" s="916"/>
      <c r="O846" s="916"/>
      <c r="P846" s="894"/>
      <c r="Q846" s="894"/>
      <c r="R846" s="916"/>
      <c r="S846" s="916"/>
      <c r="T846" s="894"/>
      <c r="U846" s="894"/>
      <c r="V846" s="921" t="str">
        <f>'refer admin discharge'!H847</f>
        <v>00/00/0000</v>
      </c>
      <c r="W846" s="922"/>
      <c r="X846" s="920"/>
      <c r="Y846" s="920"/>
      <c r="Z846" s="919"/>
      <c r="AA846" s="919"/>
      <c r="AB846" s="920"/>
      <c r="AC846" s="920"/>
      <c r="AD846" s="912"/>
      <c r="AE846" s="912"/>
      <c r="AF846" s="920"/>
      <c r="AG846" s="920"/>
      <c r="AH846" s="912"/>
      <c r="AI846" s="912"/>
      <c r="AJ846" s="920"/>
      <c r="AK846" s="920"/>
      <c r="AL846" s="905"/>
      <c r="AM846" s="906"/>
      <c r="AN846" s="906"/>
      <c r="AO846" s="906"/>
      <c r="AP846" s="906"/>
      <c r="AQ846" s="906"/>
      <c r="AR846" s="906"/>
      <c r="AS846" s="906"/>
      <c r="AT846" s="906"/>
      <c r="AU846" s="906"/>
      <c r="AV846" s="906"/>
      <c r="AW846" s="906"/>
      <c r="AX846" s="906"/>
      <c r="AY846" s="906"/>
      <c r="AZ846" s="906"/>
      <c r="BA846" s="906"/>
      <c r="BB846" s="907"/>
    </row>
    <row r="847" spans="1:54" x14ac:dyDescent="0.25">
      <c r="A847" s="13">
        <f t="shared" si="13"/>
        <v>834</v>
      </c>
      <c r="B847" s="914" t="str">
        <f>'refer admin discharge'!B843</f>
        <v>x</v>
      </c>
      <c r="C847" s="914"/>
      <c r="D847" s="889" t="str">
        <f>'refer admin discharge'!D843</f>
        <v>xx</v>
      </c>
      <c r="E847" s="889"/>
      <c r="F847" s="915" t="str">
        <f>'refer admin discharge'!H843</f>
        <v>00/00/0000</v>
      </c>
      <c r="G847" s="890"/>
      <c r="H847" s="916"/>
      <c r="I847" s="916"/>
      <c r="J847" s="917"/>
      <c r="K847" s="917"/>
      <c r="L847" s="916"/>
      <c r="M847" s="916"/>
      <c r="N847" s="893"/>
      <c r="O847" s="893"/>
      <c r="P847" s="916"/>
      <c r="Q847" s="916"/>
      <c r="R847" s="893"/>
      <c r="S847" s="893"/>
      <c r="T847" s="916"/>
      <c r="U847" s="916"/>
      <c r="V847" s="921" t="str">
        <f>'refer admin discharge'!H848</f>
        <v>00/00/0000</v>
      </c>
      <c r="W847" s="922"/>
      <c r="X847" s="912"/>
      <c r="Y847" s="912"/>
      <c r="Z847" s="924"/>
      <c r="AA847" s="924"/>
      <c r="AB847" s="912"/>
      <c r="AC847" s="912"/>
      <c r="AD847" s="913"/>
      <c r="AE847" s="913"/>
      <c r="AF847" s="912"/>
      <c r="AG847" s="912"/>
      <c r="AH847" s="913"/>
      <c r="AI847" s="913"/>
      <c r="AJ847" s="912"/>
      <c r="AK847" s="912"/>
      <c r="AL847" s="925"/>
      <c r="AM847" s="926"/>
      <c r="AN847" s="926"/>
      <c r="AO847" s="926"/>
      <c r="AP847" s="926"/>
      <c r="AQ847" s="926"/>
      <c r="AR847" s="926"/>
      <c r="AS847" s="926"/>
      <c r="AT847" s="926"/>
      <c r="AU847" s="926"/>
      <c r="AV847" s="926"/>
      <c r="AW847" s="926"/>
      <c r="AX847" s="926"/>
      <c r="AY847" s="926"/>
      <c r="AZ847" s="926"/>
      <c r="BA847" s="926"/>
      <c r="BB847" s="927"/>
    </row>
    <row r="848" spans="1:54" x14ac:dyDescent="0.25">
      <c r="A848" s="13">
        <f t="shared" si="13"/>
        <v>835</v>
      </c>
      <c r="B848" s="888" t="str">
        <f>'refer admin discharge'!B844</f>
        <v>x</v>
      </c>
      <c r="C848" s="888"/>
      <c r="D848" s="868" t="str">
        <f>'refer admin discharge'!D844</f>
        <v>xx</v>
      </c>
      <c r="E848" s="868"/>
      <c r="F848" s="891" t="str">
        <f>'refer admin discharge'!H844</f>
        <v>00/00/0000</v>
      </c>
      <c r="G848" s="892"/>
      <c r="H848" s="894"/>
      <c r="I848" s="894"/>
      <c r="J848" s="918"/>
      <c r="K848" s="918"/>
      <c r="L848" s="894"/>
      <c r="M848" s="894"/>
      <c r="N848" s="916"/>
      <c r="O848" s="916"/>
      <c r="P848" s="894"/>
      <c r="Q848" s="894"/>
      <c r="R848" s="916"/>
      <c r="S848" s="916"/>
      <c r="T848" s="894"/>
      <c r="U848" s="894"/>
      <c r="V848" s="921" t="str">
        <f>'refer admin discharge'!H849</f>
        <v>00/00/0000</v>
      </c>
      <c r="W848" s="922"/>
      <c r="X848" s="920"/>
      <c r="Y848" s="920"/>
      <c r="Z848" s="919"/>
      <c r="AA848" s="919"/>
      <c r="AB848" s="920"/>
      <c r="AC848" s="920"/>
      <c r="AD848" s="912"/>
      <c r="AE848" s="912"/>
      <c r="AF848" s="920"/>
      <c r="AG848" s="920"/>
      <c r="AH848" s="912"/>
      <c r="AI848" s="912"/>
      <c r="AJ848" s="920"/>
      <c r="AK848" s="920"/>
      <c r="AL848" s="905"/>
      <c r="AM848" s="906"/>
      <c r="AN848" s="906"/>
      <c r="AO848" s="906"/>
      <c r="AP848" s="906"/>
      <c r="AQ848" s="906"/>
      <c r="AR848" s="906"/>
      <c r="AS848" s="906"/>
      <c r="AT848" s="906"/>
      <c r="AU848" s="906"/>
      <c r="AV848" s="906"/>
      <c r="AW848" s="906"/>
      <c r="AX848" s="906"/>
      <c r="AY848" s="906"/>
      <c r="AZ848" s="906"/>
      <c r="BA848" s="906"/>
      <c r="BB848" s="907"/>
    </row>
    <row r="849" spans="1:54" x14ac:dyDescent="0.25">
      <c r="A849" s="13">
        <f t="shared" si="13"/>
        <v>836</v>
      </c>
      <c r="B849" s="914" t="str">
        <f>'refer admin discharge'!B845</f>
        <v>x</v>
      </c>
      <c r="C849" s="914"/>
      <c r="D849" s="889" t="str">
        <f>'refer admin discharge'!D845</f>
        <v>xx</v>
      </c>
      <c r="E849" s="889"/>
      <c r="F849" s="915" t="str">
        <f>'refer admin discharge'!H845</f>
        <v>00/00/0000</v>
      </c>
      <c r="G849" s="890"/>
      <c r="H849" s="916"/>
      <c r="I849" s="916"/>
      <c r="J849" s="917"/>
      <c r="K849" s="917"/>
      <c r="L849" s="916"/>
      <c r="M849" s="916"/>
      <c r="N849" s="893"/>
      <c r="O849" s="893"/>
      <c r="P849" s="916"/>
      <c r="Q849" s="916"/>
      <c r="R849" s="893"/>
      <c r="S849" s="893"/>
      <c r="T849" s="916"/>
      <c r="U849" s="916"/>
      <c r="V849" s="921" t="str">
        <f>'refer admin discharge'!H850</f>
        <v>00/00/0000</v>
      </c>
      <c r="W849" s="922"/>
      <c r="X849" s="912"/>
      <c r="Y849" s="912"/>
      <c r="Z849" s="924"/>
      <c r="AA849" s="924"/>
      <c r="AB849" s="912"/>
      <c r="AC849" s="912"/>
      <c r="AD849" s="913"/>
      <c r="AE849" s="913"/>
      <c r="AF849" s="912"/>
      <c r="AG849" s="912"/>
      <c r="AH849" s="913"/>
      <c r="AI849" s="913"/>
      <c r="AJ849" s="912"/>
      <c r="AK849" s="912"/>
      <c r="AL849" s="925"/>
      <c r="AM849" s="926"/>
      <c r="AN849" s="926"/>
      <c r="AO849" s="926"/>
      <c r="AP849" s="926"/>
      <c r="AQ849" s="926"/>
      <c r="AR849" s="926"/>
      <c r="AS849" s="926"/>
      <c r="AT849" s="926"/>
      <c r="AU849" s="926"/>
      <c r="AV849" s="926"/>
      <c r="AW849" s="926"/>
      <c r="AX849" s="926"/>
      <c r="AY849" s="926"/>
      <c r="AZ849" s="926"/>
      <c r="BA849" s="926"/>
      <c r="BB849" s="927"/>
    </row>
    <row r="850" spans="1:54" x14ac:dyDescent="0.25">
      <c r="A850" s="13">
        <f t="shared" si="13"/>
        <v>837</v>
      </c>
      <c r="B850" s="888" t="str">
        <f>'refer admin discharge'!B846</f>
        <v>x</v>
      </c>
      <c r="C850" s="888"/>
      <c r="D850" s="868" t="str">
        <f>'refer admin discharge'!D846</f>
        <v>xx</v>
      </c>
      <c r="E850" s="868"/>
      <c r="F850" s="891" t="str">
        <f>'refer admin discharge'!H846</f>
        <v>00/00/0000</v>
      </c>
      <c r="G850" s="892"/>
      <c r="H850" s="894"/>
      <c r="I850" s="894"/>
      <c r="J850" s="918"/>
      <c r="K850" s="918"/>
      <c r="L850" s="894"/>
      <c r="M850" s="894"/>
      <c r="N850" s="916"/>
      <c r="O850" s="916"/>
      <c r="P850" s="894"/>
      <c r="Q850" s="894"/>
      <c r="R850" s="916"/>
      <c r="S850" s="916"/>
      <c r="T850" s="894"/>
      <c r="U850" s="894"/>
      <c r="V850" s="921" t="str">
        <f>'refer admin discharge'!H851</f>
        <v>00/00/0000</v>
      </c>
      <c r="W850" s="922"/>
      <c r="X850" s="920"/>
      <c r="Y850" s="920"/>
      <c r="Z850" s="919"/>
      <c r="AA850" s="919"/>
      <c r="AB850" s="920"/>
      <c r="AC850" s="920"/>
      <c r="AD850" s="912"/>
      <c r="AE850" s="912"/>
      <c r="AF850" s="920"/>
      <c r="AG850" s="920"/>
      <c r="AH850" s="912"/>
      <c r="AI850" s="912"/>
      <c r="AJ850" s="920"/>
      <c r="AK850" s="920"/>
      <c r="AL850" s="905"/>
      <c r="AM850" s="906"/>
      <c r="AN850" s="906"/>
      <c r="AO850" s="906"/>
      <c r="AP850" s="906"/>
      <c r="AQ850" s="906"/>
      <c r="AR850" s="906"/>
      <c r="AS850" s="906"/>
      <c r="AT850" s="906"/>
      <c r="AU850" s="906"/>
      <c r="AV850" s="906"/>
      <c r="AW850" s="906"/>
      <c r="AX850" s="906"/>
      <c r="AY850" s="906"/>
      <c r="AZ850" s="906"/>
      <c r="BA850" s="906"/>
      <c r="BB850" s="907"/>
    </row>
    <row r="851" spans="1:54" x14ac:dyDescent="0.25">
      <c r="A851" s="13">
        <f t="shared" si="13"/>
        <v>838</v>
      </c>
      <c r="B851" s="914" t="str">
        <f>'refer admin discharge'!B847</f>
        <v>x</v>
      </c>
      <c r="C851" s="914"/>
      <c r="D851" s="889" t="str">
        <f>'refer admin discharge'!D847</f>
        <v>xx</v>
      </c>
      <c r="E851" s="889"/>
      <c r="F851" s="915" t="str">
        <f>'refer admin discharge'!H847</f>
        <v>00/00/0000</v>
      </c>
      <c r="G851" s="890"/>
      <c r="H851" s="916"/>
      <c r="I851" s="916"/>
      <c r="J851" s="917"/>
      <c r="K851" s="917"/>
      <c r="L851" s="916"/>
      <c r="M851" s="916"/>
      <c r="N851" s="893"/>
      <c r="O851" s="893"/>
      <c r="P851" s="916"/>
      <c r="Q851" s="916"/>
      <c r="R851" s="893"/>
      <c r="S851" s="893"/>
      <c r="T851" s="916"/>
      <c r="U851" s="916"/>
      <c r="V851" s="921" t="str">
        <f>'refer admin discharge'!H852</f>
        <v>00/00/0000</v>
      </c>
      <c r="W851" s="922"/>
      <c r="X851" s="912"/>
      <c r="Y851" s="912"/>
      <c r="Z851" s="924"/>
      <c r="AA851" s="924"/>
      <c r="AB851" s="912"/>
      <c r="AC851" s="912"/>
      <c r="AD851" s="913"/>
      <c r="AE851" s="913"/>
      <c r="AF851" s="912"/>
      <c r="AG851" s="912"/>
      <c r="AH851" s="913"/>
      <c r="AI851" s="913"/>
      <c r="AJ851" s="912"/>
      <c r="AK851" s="912"/>
      <c r="AL851" s="925"/>
      <c r="AM851" s="926"/>
      <c r="AN851" s="926"/>
      <c r="AO851" s="926"/>
      <c r="AP851" s="926"/>
      <c r="AQ851" s="926"/>
      <c r="AR851" s="926"/>
      <c r="AS851" s="926"/>
      <c r="AT851" s="926"/>
      <c r="AU851" s="926"/>
      <c r="AV851" s="926"/>
      <c r="AW851" s="926"/>
      <c r="AX851" s="926"/>
      <c r="AY851" s="926"/>
      <c r="AZ851" s="926"/>
      <c r="BA851" s="926"/>
      <c r="BB851" s="927"/>
    </row>
    <row r="852" spans="1:54" x14ac:dyDescent="0.25">
      <c r="A852" s="13">
        <f t="shared" si="13"/>
        <v>839</v>
      </c>
      <c r="B852" s="888" t="str">
        <f>'refer admin discharge'!B848</f>
        <v>x</v>
      </c>
      <c r="C852" s="888"/>
      <c r="D852" s="868" t="str">
        <f>'refer admin discharge'!D848</f>
        <v>xx</v>
      </c>
      <c r="E852" s="868"/>
      <c r="F852" s="891" t="str">
        <f>'refer admin discharge'!H848</f>
        <v>00/00/0000</v>
      </c>
      <c r="G852" s="892"/>
      <c r="H852" s="894"/>
      <c r="I852" s="894"/>
      <c r="J852" s="918"/>
      <c r="K852" s="918"/>
      <c r="L852" s="894"/>
      <c r="M852" s="894"/>
      <c r="N852" s="916"/>
      <c r="O852" s="916"/>
      <c r="P852" s="894"/>
      <c r="Q852" s="894"/>
      <c r="R852" s="916"/>
      <c r="S852" s="916"/>
      <c r="T852" s="894"/>
      <c r="U852" s="894"/>
      <c r="V852" s="921" t="str">
        <f>'refer admin discharge'!H853</f>
        <v>00/00/0000</v>
      </c>
      <c r="W852" s="922"/>
      <c r="X852" s="920"/>
      <c r="Y852" s="920"/>
      <c r="Z852" s="919"/>
      <c r="AA852" s="919"/>
      <c r="AB852" s="920"/>
      <c r="AC852" s="920"/>
      <c r="AD852" s="912"/>
      <c r="AE852" s="912"/>
      <c r="AF852" s="920"/>
      <c r="AG852" s="920"/>
      <c r="AH852" s="912"/>
      <c r="AI852" s="912"/>
      <c r="AJ852" s="920"/>
      <c r="AK852" s="920"/>
      <c r="AL852" s="905"/>
      <c r="AM852" s="906"/>
      <c r="AN852" s="906"/>
      <c r="AO852" s="906"/>
      <c r="AP852" s="906"/>
      <c r="AQ852" s="906"/>
      <c r="AR852" s="906"/>
      <c r="AS852" s="906"/>
      <c r="AT852" s="906"/>
      <c r="AU852" s="906"/>
      <c r="AV852" s="906"/>
      <c r="AW852" s="906"/>
      <c r="AX852" s="906"/>
      <c r="AY852" s="906"/>
      <c r="AZ852" s="906"/>
      <c r="BA852" s="906"/>
      <c r="BB852" s="907"/>
    </row>
    <row r="853" spans="1:54" x14ac:dyDescent="0.25">
      <c r="A853" s="13">
        <f t="shared" si="13"/>
        <v>840</v>
      </c>
      <c r="B853" s="914" t="str">
        <f>'refer admin discharge'!B849</f>
        <v>x</v>
      </c>
      <c r="C853" s="914"/>
      <c r="D853" s="889" t="str">
        <f>'refer admin discharge'!D849</f>
        <v>xx</v>
      </c>
      <c r="E853" s="889"/>
      <c r="F853" s="915" t="str">
        <f>'refer admin discharge'!H849</f>
        <v>00/00/0000</v>
      </c>
      <c r="G853" s="890"/>
      <c r="H853" s="916"/>
      <c r="I853" s="916"/>
      <c r="J853" s="917"/>
      <c r="K853" s="917"/>
      <c r="L853" s="916"/>
      <c r="M853" s="916"/>
      <c r="N853" s="893"/>
      <c r="O853" s="893"/>
      <c r="P853" s="916"/>
      <c r="Q853" s="916"/>
      <c r="R853" s="893"/>
      <c r="S853" s="893"/>
      <c r="T853" s="916"/>
      <c r="U853" s="916"/>
      <c r="V853" s="921" t="str">
        <f>'refer admin discharge'!H854</f>
        <v>00/00/0000</v>
      </c>
      <c r="W853" s="922"/>
      <c r="X853" s="912"/>
      <c r="Y853" s="912"/>
      <c r="Z853" s="924"/>
      <c r="AA853" s="924"/>
      <c r="AB853" s="912"/>
      <c r="AC853" s="912"/>
      <c r="AD853" s="913"/>
      <c r="AE853" s="913"/>
      <c r="AF853" s="912"/>
      <c r="AG853" s="912"/>
      <c r="AH853" s="913"/>
      <c r="AI853" s="913"/>
      <c r="AJ853" s="912"/>
      <c r="AK853" s="912"/>
      <c r="AL853" s="925"/>
      <c r="AM853" s="926"/>
      <c r="AN853" s="926"/>
      <c r="AO853" s="926"/>
      <c r="AP853" s="926"/>
      <c r="AQ853" s="926"/>
      <c r="AR853" s="926"/>
      <c r="AS853" s="926"/>
      <c r="AT853" s="926"/>
      <c r="AU853" s="926"/>
      <c r="AV853" s="926"/>
      <c r="AW853" s="926"/>
      <c r="AX853" s="926"/>
      <c r="AY853" s="926"/>
      <c r="AZ853" s="926"/>
      <c r="BA853" s="926"/>
      <c r="BB853" s="927"/>
    </row>
    <row r="854" spans="1:54" x14ac:dyDescent="0.25">
      <c r="A854" s="13">
        <f t="shared" si="13"/>
        <v>841</v>
      </c>
      <c r="B854" s="888" t="str">
        <f>'refer admin discharge'!B850</f>
        <v>x</v>
      </c>
      <c r="C854" s="888"/>
      <c r="D854" s="868" t="str">
        <f>'refer admin discharge'!D850</f>
        <v>xx</v>
      </c>
      <c r="E854" s="868"/>
      <c r="F854" s="891" t="str">
        <f>'refer admin discharge'!H850</f>
        <v>00/00/0000</v>
      </c>
      <c r="G854" s="892"/>
      <c r="H854" s="894"/>
      <c r="I854" s="894"/>
      <c r="J854" s="918"/>
      <c r="K854" s="918"/>
      <c r="L854" s="894"/>
      <c r="M854" s="894"/>
      <c r="N854" s="916"/>
      <c r="O854" s="916"/>
      <c r="P854" s="894"/>
      <c r="Q854" s="894"/>
      <c r="R854" s="916"/>
      <c r="S854" s="916"/>
      <c r="T854" s="894"/>
      <c r="U854" s="894"/>
      <c r="V854" s="921" t="str">
        <f>'refer admin discharge'!H855</f>
        <v>00/00/0000</v>
      </c>
      <c r="W854" s="922"/>
      <c r="X854" s="920"/>
      <c r="Y854" s="920"/>
      <c r="Z854" s="919"/>
      <c r="AA854" s="919"/>
      <c r="AB854" s="920"/>
      <c r="AC854" s="920"/>
      <c r="AD854" s="912"/>
      <c r="AE854" s="912"/>
      <c r="AF854" s="920"/>
      <c r="AG854" s="920"/>
      <c r="AH854" s="912"/>
      <c r="AI854" s="912"/>
      <c r="AJ854" s="920"/>
      <c r="AK854" s="920"/>
      <c r="AL854" s="905"/>
      <c r="AM854" s="906"/>
      <c r="AN854" s="906"/>
      <c r="AO854" s="906"/>
      <c r="AP854" s="906"/>
      <c r="AQ854" s="906"/>
      <c r="AR854" s="906"/>
      <c r="AS854" s="906"/>
      <c r="AT854" s="906"/>
      <c r="AU854" s="906"/>
      <c r="AV854" s="906"/>
      <c r="AW854" s="906"/>
      <c r="AX854" s="906"/>
      <c r="AY854" s="906"/>
      <c r="AZ854" s="906"/>
      <c r="BA854" s="906"/>
      <c r="BB854" s="907"/>
    </row>
    <row r="855" spans="1:54" x14ac:dyDescent="0.25">
      <c r="A855" s="13">
        <f t="shared" si="13"/>
        <v>842</v>
      </c>
      <c r="B855" s="914" t="str">
        <f>'refer admin discharge'!B851</f>
        <v>x</v>
      </c>
      <c r="C855" s="914"/>
      <c r="D855" s="889" t="str">
        <f>'refer admin discharge'!D851</f>
        <v>xx</v>
      </c>
      <c r="E855" s="889"/>
      <c r="F855" s="915" t="str">
        <f>'refer admin discharge'!H851</f>
        <v>00/00/0000</v>
      </c>
      <c r="G855" s="890"/>
      <c r="H855" s="916"/>
      <c r="I855" s="916"/>
      <c r="J855" s="917"/>
      <c r="K855" s="917"/>
      <c r="L855" s="916"/>
      <c r="M855" s="916"/>
      <c r="N855" s="893"/>
      <c r="O855" s="893"/>
      <c r="P855" s="916"/>
      <c r="Q855" s="916"/>
      <c r="R855" s="893"/>
      <c r="S855" s="893"/>
      <c r="T855" s="916"/>
      <c r="U855" s="916"/>
      <c r="V855" s="921" t="str">
        <f>'refer admin discharge'!H856</f>
        <v>00/00/0000</v>
      </c>
      <c r="W855" s="922"/>
      <c r="X855" s="912"/>
      <c r="Y855" s="912"/>
      <c r="Z855" s="924"/>
      <c r="AA855" s="924"/>
      <c r="AB855" s="912"/>
      <c r="AC855" s="912"/>
      <c r="AD855" s="913"/>
      <c r="AE855" s="913"/>
      <c r="AF855" s="912"/>
      <c r="AG855" s="912"/>
      <c r="AH855" s="913"/>
      <c r="AI855" s="913"/>
      <c r="AJ855" s="912"/>
      <c r="AK855" s="912"/>
      <c r="AL855" s="925"/>
      <c r="AM855" s="926"/>
      <c r="AN855" s="926"/>
      <c r="AO855" s="926"/>
      <c r="AP855" s="926"/>
      <c r="AQ855" s="926"/>
      <c r="AR855" s="926"/>
      <c r="AS855" s="926"/>
      <c r="AT855" s="926"/>
      <c r="AU855" s="926"/>
      <c r="AV855" s="926"/>
      <c r="AW855" s="926"/>
      <c r="AX855" s="926"/>
      <c r="AY855" s="926"/>
      <c r="AZ855" s="926"/>
      <c r="BA855" s="926"/>
      <c r="BB855" s="927"/>
    </row>
    <row r="856" spans="1:54" x14ac:dyDescent="0.25">
      <c r="A856" s="13">
        <f t="shared" si="13"/>
        <v>843</v>
      </c>
      <c r="B856" s="888" t="str">
        <f>'refer admin discharge'!B852</f>
        <v>x</v>
      </c>
      <c r="C856" s="888"/>
      <c r="D856" s="868" t="str">
        <f>'refer admin discharge'!D852</f>
        <v>xx</v>
      </c>
      <c r="E856" s="868"/>
      <c r="F856" s="891" t="str">
        <f>'refer admin discharge'!H852</f>
        <v>00/00/0000</v>
      </c>
      <c r="G856" s="892"/>
      <c r="H856" s="894"/>
      <c r="I856" s="894"/>
      <c r="J856" s="918"/>
      <c r="K856" s="918"/>
      <c r="L856" s="894"/>
      <c r="M856" s="894"/>
      <c r="N856" s="916"/>
      <c r="O856" s="916"/>
      <c r="P856" s="894"/>
      <c r="Q856" s="894"/>
      <c r="R856" s="916"/>
      <c r="S856" s="916"/>
      <c r="T856" s="894"/>
      <c r="U856" s="894"/>
      <c r="V856" s="921" t="str">
        <f>'refer admin discharge'!H857</f>
        <v>00/00/0000</v>
      </c>
      <c r="W856" s="922"/>
      <c r="X856" s="920"/>
      <c r="Y856" s="920"/>
      <c r="Z856" s="919"/>
      <c r="AA856" s="919"/>
      <c r="AB856" s="920"/>
      <c r="AC856" s="920"/>
      <c r="AD856" s="912"/>
      <c r="AE856" s="912"/>
      <c r="AF856" s="920"/>
      <c r="AG856" s="920"/>
      <c r="AH856" s="912"/>
      <c r="AI856" s="912"/>
      <c r="AJ856" s="920"/>
      <c r="AK856" s="920"/>
      <c r="AL856" s="905"/>
      <c r="AM856" s="906"/>
      <c r="AN856" s="906"/>
      <c r="AO856" s="906"/>
      <c r="AP856" s="906"/>
      <c r="AQ856" s="906"/>
      <c r="AR856" s="906"/>
      <c r="AS856" s="906"/>
      <c r="AT856" s="906"/>
      <c r="AU856" s="906"/>
      <c r="AV856" s="906"/>
      <c r="AW856" s="906"/>
      <c r="AX856" s="906"/>
      <c r="AY856" s="906"/>
      <c r="AZ856" s="906"/>
      <c r="BA856" s="906"/>
      <c r="BB856" s="907"/>
    </row>
    <row r="857" spans="1:54" x14ac:dyDescent="0.25">
      <c r="A857" s="13">
        <f t="shared" si="13"/>
        <v>844</v>
      </c>
      <c r="B857" s="914" t="str">
        <f>'refer admin discharge'!B853</f>
        <v>x</v>
      </c>
      <c r="C857" s="914"/>
      <c r="D857" s="889" t="str">
        <f>'refer admin discharge'!D853</f>
        <v>xx</v>
      </c>
      <c r="E857" s="889"/>
      <c r="F857" s="915" t="str">
        <f>'refer admin discharge'!H853</f>
        <v>00/00/0000</v>
      </c>
      <c r="G857" s="890"/>
      <c r="H857" s="916"/>
      <c r="I857" s="916"/>
      <c r="J857" s="917"/>
      <c r="K857" s="917"/>
      <c r="L857" s="916"/>
      <c r="M857" s="916"/>
      <c r="N857" s="893"/>
      <c r="O857" s="893"/>
      <c r="P857" s="916"/>
      <c r="Q857" s="916"/>
      <c r="R857" s="893"/>
      <c r="S857" s="893"/>
      <c r="T857" s="916"/>
      <c r="U857" s="916"/>
      <c r="V857" s="921" t="str">
        <f>'refer admin discharge'!H858</f>
        <v>00/00/0000</v>
      </c>
      <c r="W857" s="922"/>
      <c r="X857" s="912"/>
      <c r="Y857" s="912"/>
      <c r="Z857" s="924"/>
      <c r="AA857" s="924"/>
      <c r="AB857" s="912"/>
      <c r="AC857" s="912"/>
      <c r="AD857" s="913"/>
      <c r="AE857" s="913"/>
      <c r="AF857" s="912"/>
      <c r="AG857" s="912"/>
      <c r="AH857" s="913"/>
      <c r="AI857" s="913"/>
      <c r="AJ857" s="912"/>
      <c r="AK857" s="912"/>
      <c r="AL857" s="925"/>
      <c r="AM857" s="926"/>
      <c r="AN857" s="926"/>
      <c r="AO857" s="926"/>
      <c r="AP857" s="926"/>
      <c r="AQ857" s="926"/>
      <c r="AR857" s="926"/>
      <c r="AS857" s="926"/>
      <c r="AT857" s="926"/>
      <c r="AU857" s="926"/>
      <c r="AV857" s="926"/>
      <c r="AW857" s="926"/>
      <c r="AX857" s="926"/>
      <c r="AY857" s="926"/>
      <c r="AZ857" s="926"/>
      <c r="BA857" s="926"/>
      <c r="BB857" s="927"/>
    </row>
    <row r="858" spans="1:54" x14ac:dyDescent="0.25">
      <c r="A858" s="13">
        <f t="shared" si="13"/>
        <v>845</v>
      </c>
      <c r="B858" s="888" t="str">
        <f>'refer admin discharge'!B854</f>
        <v>x</v>
      </c>
      <c r="C858" s="888"/>
      <c r="D858" s="868" t="str">
        <f>'refer admin discharge'!D854</f>
        <v>xx</v>
      </c>
      <c r="E858" s="868"/>
      <c r="F858" s="891" t="str">
        <f>'refer admin discharge'!H854</f>
        <v>00/00/0000</v>
      </c>
      <c r="G858" s="892"/>
      <c r="H858" s="894"/>
      <c r="I858" s="894"/>
      <c r="J858" s="918"/>
      <c r="K858" s="918"/>
      <c r="L858" s="894"/>
      <c r="M858" s="894"/>
      <c r="N858" s="916"/>
      <c r="O858" s="916"/>
      <c r="P858" s="894"/>
      <c r="Q858" s="894"/>
      <c r="R858" s="916"/>
      <c r="S858" s="916"/>
      <c r="T858" s="894"/>
      <c r="U858" s="894"/>
      <c r="V858" s="921" t="str">
        <f>'refer admin discharge'!H859</f>
        <v>00/00/0000</v>
      </c>
      <c r="W858" s="922"/>
      <c r="X858" s="920"/>
      <c r="Y858" s="920"/>
      <c r="Z858" s="919"/>
      <c r="AA858" s="919"/>
      <c r="AB858" s="920"/>
      <c r="AC858" s="920"/>
      <c r="AD858" s="912"/>
      <c r="AE858" s="912"/>
      <c r="AF858" s="920"/>
      <c r="AG858" s="920"/>
      <c r="AH858" s="912"/>
      <c r="AI858" s="912"/>
      <c r="AJ858" s="920"/>
      <c r="AK858" s="920"/>
      <c r="AL858" s="905"/>
      <c r="AM858" s="906"/>
      <c r="AN858" s="906"/>
      <c r="AO858" s="906"/>
      <c r="AP858" s="906"/>
      <c r="AQ858" s="906"/>
      <c r="AR858" s="906"/>
      <c r="AS858" s="906"/>
      <c r="AT858" s="906"/>
      <c r="AU858" s="906"/>
      <c r="AV858" s="906"/>
      <c r="AW858" s="906"/>
      <c r="AX858" s="906"/>
      <c r="AY858" s="906"/>
      <c r="AZ858" s="906"/>
      <c r="BA858" s="906"/>
      <c r="BB858" s="907"/>
    </row>
    <row r="859" spans="1:54" x14ac:dyDescent="0.25">
      <c r="A859" s="13">
        <f t="shared" si="13"/>
        <v>846</v>
      </c>
      <c r="B859" s="914" t="str">
        <f>'refer admin discharge'!B855</f>
        <v>x</v>
      </c>
      <c r="C859" s="914"/>
      <c r="D859" s="889" t="str">
        <f>'refer admin discharge'!D855</f>
        <v>xx</v>
      </c>
      <c r="E859" s="889"/>
      <c r="F859" s="915" t="str">
        <f>'refer admin discharge'!H855</f>
        <v>00/00/0000</v>
      </c>
      <c r="G859" s="890"/>
      <c r="H859" s="916"/>
      <c r="I859" s="916"/>
      <c r="J859" s="917"/>
      <c r="K859" s="917"/>
      <c r="L859" s="916"/>
      <c r="M859" s="916"/>
      <c r="N859" s="893"/>
      <c r="O859" s="893"/>
      <c r="P859" s="916"/>
      <c r="Q859" s="916"/>
      <c r="R859" s="893"/>
      <c r="S859" s="893"/>
      <c r="T859" s="916"/>
      <c r="U859" s="916"/>
      <c r="V859" s="921" t="str">
        <f>'refer admin discharge'!H860</f>
        <v>00/00/0000</v>
      </c>
      <c r="W859" s="922"/>
      <c r="X859" s="912"/>
      <c r="Y859" s="912"/>
      <c r="Z859" s="924"/>
      <c r="AA859" s="924"/>
      <c r="AB859" s="912"/>
      <c r="AC859" s="912"/>
      <c r="AD859" s="913"/>
      <c r="AE859" s="913"/>
      <c r="AF859" s="912"/>
      <c r="AG859" s="912"/>
      <c r="AH859" s="913"/>
      <c r="AI859" s="913"/>
      <c r="AJ859" s="912"/>
      <c r="AK859" s="912"/>
      <c r="AL859" s="925"/>
      <c r="AM859" s="926"/>
      <c r="AN859" s="926"/>
      <c r="AO859" s="926"/>
      <c r="AP859" s="926"/>
      <c r="AQ859" s="926"/>
      <c r="AR859" s="926"/>
      <c r="AS859" s="926"/>
      <c r="AT859" s="926"/>
      <c r="AU859" s="926"/>
      <c r="AV859" s="926"/>
      <c r="AW859" s="926"/>
      <c r="AX859" s="926"/>
      <c r="AY859" s="926"/>
      <c r="AZ859" s="926"/>
      <c r="BA859" s="926"/>
      <c r="BB859" s="927"/>
    </row>
    <row r="860" spans="1:54" x14ac:dyDescent="0.25">
      <c r="A860" s="13">
        <f t="shared" si="13"/>
        <v>847</v>
      </c>
      <c r="B860" s="888" t="str">
        <f>'refer admin discharge'!B856</f>
        <v>x</v>
      </c>
      <c r="C860" s="888"/>
      <c r="D860" s="868" t="str">
        <f>'refer admin discharge'!D856</f>
        <v>xx</v>
      </c>
      <c r="E860" s="868"/>
      <c r="F860" s="891" t="str">
        <f>'refer admin discharge'!H856</f>
        <v>00/00/0000</v>
      </c>
      <c r="G860" s="892"/>
      <c r="H860" s="894"/>
      <c r="I860" s="894"/>
      <c r="J860" s="918"/>
      <c r="K860" s="918"/>
      <c r="L860" s="894"/>
      <c r="M860" s="894"/>
      <c r="N860" s="916"/>
      <c r="O860" s="916"/>
      <c r="P860" s="894"/>
      <c r="Q860" s="894"/>
      <c r="R860" s="916"/>
      <c r="S860" s="916"/>
      <c r="T860" s="894"/>
      <c r="U860" s="894"/>
      <c r="V860" s="921" t="str">
        <f>'refer admin discharge'!H861</f>
        <v>00/00/0000</v>
      </c>
      <c r="W860" s="922"/>
      <c r="X860" s="920"/>
      <c r="Y860" s="920"/>
      <c r="Z860" s="919"/>
      <c r="AA860" s="919"/>
      <c r="AB860" s="920"/>
      <c r="AC860" s="920"/>
      <c r="AD860" s="912"/>
      <c r="AE860" s="912"/>
      <c r="AF860" s="920"/>
      <c r="AG860" s="920"/>
      <c r="AH860" s="912"/>
      <c r="AI860" s="912"/>
      <c r="AJ860" s="920"/>
      <c r="AK860" s="920"/>
      <c r="AL860" s="905"/>
      <c r="AM860" s="906"/>
      <c r="AN860" s="906"/>
      <c r="AO860" s="906"/>
      <c r="AP860" s="906"/>
      <c r="AQ860" s="906"/>
      <c r="AR860" s="906"/>
      <c r="AS860" s="906"/>
      <c r="AT860" s="906"/>
      <c r="AU860" s="906"/>
      <c r="AV860" s="906"/>
      <c r="AW860" s="906"/>
      <c r="AX860" s="906"/>
      <c r="AY860" s="906"/>
      <c r="AZ860" s="906"/>
      <c r="BA860" s="906"/>
      <c r="BB860" s="907"/>
    </row>
    <row r="861" spans="1:54" x14ac:dyDescent="0.25">
      <c r="A861" s="13">
        <f t="shared" si="13"/>
        <v>848</v>
      </c>
      <c r="B861" s="914" t="str">
        <f>'refer admin discharge'!B857</f>
        <v>x</v>
      </c>
      <c r="C861" s="914"/>
      <c r="D861" s="889" t="str">
        <f>'refer admin discharge'!D857</f>
        <v>xx</v>
      </c>
      <c r="E861" s="889"/>
      <c r="F861" s="915" t="str">
        <f>'refer admin discharge'!H857</f>
        <v>00/00/0000</v>
      </c>
      <c r="G861" s="890"/>
      <c r="H861" s="916"/>
      <c r="I861" s="916"/>
      <c r="J861" s="917"/>
      <c r="K861" s="917"/>
      <c r="L861" s="916"/>
      <c r="M861" s="916"/>
      <c r="N861" s="893"/>
      <c r="O861" s="893"/>
      <c r="P861" s="916"/>
      <c r="Q861" s="916"/>
      <c r="R861" s="893"/>
      <c r="S861" s="893"/>
      <c r="T861" s="916"/>
      <c r="U861" s="916"/>
      <c r="V861" s="921" t="str">
        <f>'refer admin discharge'!H862</f>
        <v>00/00/0000</v>
      </c>
      <c r="W861" s="922"/>
      <c r="X861" s="912"/>
      <c r="Y861" s="912"/>
      <c r="Z861" s="924"/>
      <c r="AA861" s="924"/>
      <c r="AB861" s="912"/>
      <c r="AC861" s="912"/>
      <c r="AD861" s="913"/>
      <c r="AE861" s="913"/>
      <c r="AF861" s="912"/>
      <c r="AG861" s="912"/>
      <c r="AH861" s="913"/>
      <c r="AI861" s="913"/>
      <c r="AJ861" s="912"/>
      <c r="AK861" s="912"/>
      <c r="AL861" s="925"/>
      <c r="AM861" s="926"/>
      <c r="AN861" s="926"/>
      <c r="AO861" s="926"/>
      <c r="AP861" s="926"/>
      <c r="AQ861" s="926"/>
      <c r="AR861" s="926"/>
      <c r="AS861" s="926"/>
      <c r="AT861" s="926"/>
      <c r="AU861" s="926"/>
      <c r="AV861" s="926"/>
      <c r="AW861" s="926"/>
      <c r="AX861" s="926"/>
      <c r="AY861" s="926"/>
      <c r="AZ861" s="926"/>
      <c r="BA861" s="926"/>
      <c r="BB861" s="927"/>
    </row>
    <row r="862" spans="1:54" x14ac:dyDescent="0.25">
      <c r="A862" s="13">
        <f t="shared" si="13"/>
        <v>849</v>
      </c>
      <c r="B862" s="888" t="str">
        <f>'refer admin discharge'!B858</f>
        <v>x</v>
      </c>
      <c r="C862" s="888"/>
      <c r="D862" s="868" t="str">
        <f>'refer admin discharge'!D858</f>
        <v>xx</v>
      </c>
      <c r="E862" s="868"/>
      <c r="F862" s="891" t="str">
        <f>'refer admin discharge'!H858</f>
        <v>00/00/0000</v>
      </c>
      <c r="G862" s="892"/>
      <c r="H862" s="894"/>
      <c r="I862" s="894"/>
      <c r="J862" s="918"/>
      <c r="K862" s="918"/>
      <c r="L862" s="894"/>
      <c r="M862" s="894"/>
      <c r="N862" s="916"/>
      <c r="O862" s="916"/>
      <c r="P862" s="894"/>
      <c r="Q862" s="894"/>
      <c r="R862" s="916"/>
      <c r="S862" s="916"/>
      <c r="T862" s="894"/>
      <c r="U862" s="894"/>
      <c r="V862" s="921" t="str">
        <f>'refer admin discharge'!H863</f>
        <v>00/00/0000</v>
      </c>
      <c r="W862" s="922"/>
      <c r="X862" s="920"/>
      <c r="Y862" s="920"/>
      <c r="Z862" s="919"/>
      <c r="AA862" s="919"/>
      <c r="AB862" s="920"/>
      <c r="AC862" s="920"/>
      <c r="AD862" s="912"/>
      <c r="AE862" s="912"/>
      <c r="AF862" s="920"/>
      <c r="AG862" s="920"/>
      <c r="AH862" s="912"/>
      <c r="AI862" s="912"/>
      <c r="AJ862" s="920"/>
      <c r="AK862" s="920"/>
      <c r="AL862" s="905"/>
      <c r="AM862" s="906"/>
      <c r="AN862" s="906"/>
      <c r="AO862" s="906"/>
      <c r="AP862" s="906"/>
      <c r="AQ862" s="906"/>
      <c r="AR862" s="906"/>
      <c r="AS862" s="906"/>
      <c r="AT862" s="906"/>
      <c r="AU862" s="906"/>
      <c r="AV862" s="906"/>
      <c r="AW862" s="906"/>
      <c r="AX862" s="906"/>
      <c r="AY862" s="906"/>
      <c r="AZ862" s="906"/>
      <c r="BA862" s="906"/>
      <c r="BB862" s="907"/>
    </row>
    <row r="863" spans="1:54" x14ac:dyDescent="0.25">
      <c r="A863" s="13">
        <f t="shared" si="13"/>
        <v>850</v>
      </c>
      <c r="B863" s="914" t="str">
        <f>'refer admin discharge'!B859</f>
        <v>x</v>
      </c>
      <c r="C863" s="914"/>
      <c r="D863" s="889" t="str">
        <f>'refer admin discharge'!D859</f>
        <v>xx</v>
      </c>
      <c r="E863" s="889"/>
      <c r="F863" s="915" t="str">
        <f>'refer admin discharge'!H859</f>
        <v>00/00/0000</v>
      </c>
      <c r="G863" s="890"/>
      <c r="H863" s="916"/>
      <c r="I863" s="916"/>
      <c r="J863" s="917"/>
      <c r="K863" s="917"/>
      <c r="L863" s="916"/>
      <c r="M863" s="916"/>
      <c r="N863" s="893"/>
      <c r="O863" s="893"/>
      <c r="P863" s="916"/>
      <c r="Q863" s="916"/>
      <c r="R863" s="893"/>
      <c r="S863" s="893"/>
      <c r="T863" s="916"/>
      <c r="U863" s="916"/>
      <c r="V863" s="921" t="str">
        <f>'refer admin discharge'!H864</f>
        <v>00/00/0000</v>
      </c>
      <c r="W863" s="922"/>
      <c r="X863" s="912"/>
      <c r="Y863" s="912"/>
      <c r="Z863" s="924"/>
      <c r="AA863" s="924"/>
      <c r="AB863" s="912"/>
      <c r="AC863" s="912"/>
      <c r="AD863" s="913"/>
      <c r="AE863" s="913"/>
      <c r="AF863" s="912"/>
      <c r="AG863" s="912"/>
      <c r="AH863" s="913"/>
      <c r="AI863" s="913"/>
      <c r="AJ863" s="912"/>
      <c r="AK863" s="912"/>
      <c r="AL863" s="925"/>
      <c r="AM863" s="926"/>
      <c r="AN863" s="926"/>
      <c r="AO863" s="926"/>
      <c r="AP863" s="926"/>
      <c r="AQ863" s="926"/>
      <c r="AR863" s="926"/>
      <c r="AS863" s="926"/>
      <c r="AT863" s="926"/>
      <c r="AU863" s="926"/>
      <c r="AV863" s="926"/>
      <c r="AW863" s="926"/>
      <c r="AX863" s="926"/>
      <c r="AY863" s="926"/>
      <c r="AZ863" s="926"/>
      <c r="BA863" s="926"/>
      <c r="BB863" s="927"/>
    </row>
    <row r="864" spans="1:54" x14ac:dyDescent="0.25">
      <c r="A864" s="13">
        <f t="shared" si="13"/>
        <v>851</v>
      </c>
      <c r="B864" s="888" t="str">
        <f>'refer admin discharge'!B860</f>
        <v>x</v>
      </c>
      <c r="C864" s="888"/>
      <c r="D864" s="868" t="str">
        <f>'refer admin discharge'!D860</f>
        <v>xx</v>
      </c>
      <c r="E864" s="868"/>
      <c r="F864" s="891" t="str">
        <f>'refer admin discharge'!H860</f>
        <v>00/00/0000</v>
      </c>
      <c r="G864" s="892"/>
      <c r="H864" s="894"/>
      <c r="I864" s="894"/>
      <c r="J864" s="918"/>
      <c r="K864" s="918"/>
      <c r="L864" s="894"/>
      <c r="M864" s="894"/>
      <c r="N864" s="916"/>
      <c r="O864" s="916"/>
      <c r="P864" s="894"/>
      <c r="Q864" s="894"/>
      <c r="R864" s="916"/>
      <c r="S864" s="916"/>
      <c r="T864" s="894"/>
      <c r="U864" s="894"/>
      <c r="V864" s="921" t="str">
        <f>'refer admin discharge'!H865</f>
        <v>00/00/0000</v>
      </c>
      <c r="W864" s="922"/>
      <c r="X864" s="920"/>
      <c r="Y864" s="920"/>
      <c r="Z864" s="919"/>
      <c r="AA864" s="919"/>
      <c r="AB864" s="920"/>
      <c r="AC864" s="920"/>
      <c r="AD864" s="912"/>
      <c r="AE864" s="912"/>
      <c r="AF864" s="920"/>
      <c r="AG864" s="920"/>
      <c r="AH864" s="912"/>
      <c r="AI864" s="912"/>
      <c r="AJ864" s="920"/>
      <c r="AK864" s="920"/>
      <c r="AL864" s="905"/>
      <c r="AM864" s="906"/>
      <c r="AN864" s="906"/>
      <c r="AO864" s="906"/>
      <c r="AP864" s="906"/>
      <c r="AQ864" s="906"/>
      <c r="AR864" s="906"/>
      <c r="AS864" s="906"/>
      <c r="AT864" s="906"/>
      <c r="AU864" s="906"/>
      <c r="AV864" s="906"/>
      <c r="AW864" s="906"/>
      <c r="AX864" s="906"/>
      <c r="AY864" s="906"/>
      <c r="AZ864" s="906"/>
      <c r="BA864" s="906"/>
      <c r="BB864" s="907"/>
    </row>
    <row r="865" spans="1:54" x14ac:dyDescent="0.25">
      <c r="A865" s="13">
        <f t="shared" si="13"/>
        <v>852</v>
      </c>
      <c r="B865" s="914" t="str">
        <f>'refer admin discharge'!B861</f>
        <v>x</v>
      </c>
      <c r="C865" s="914"/>
      <c r="D865" s="889" t="str">
        <f>'refer admin discharge'!D861</f>
        <v>xx</v>
      </c>
      <c r="E865" s="889"/>
      <c r="F865" s="915" t="str">
        <f>'refer admin discharge'!H861</f>
        <v>00/00/0000</v>
      </c>
      <c r="G865" s="890"/>
      <c r="H865" s="916"/>
      <c r="I865" s="916"/>
      <c r="J865" s="917"/>
      <c r="K865" s="917"/>
      <c r="L865" s="916"/>
      <c r="M865" s="916"/>
      <c r="N865" s="893"/>
      <c r="O865" s="893"/>
      <c r="P865" s="916"/>
      <c r="Q865" s="916"/>
      <c r="R865" s="893"/>
      <c r="S865" s="893"/>
      <c r="T865" s="916"/>
      <c r="U865" s="916"/>
      <c r="V865" s="921" t="str">
        <f>'refer admin discharge'!H866</f>
        <v>00/00/0000</v>
      </c>
      <c r="W865" s="922"/>
      <c r="X865" s="912"/>
      <c r="Y865" s="912"/>
      <c r="Z865" s="924"/>
      <c r="AA865" s="924"/>
      <c r="AB865" s="912"/>
      <c r="AC865" s="912"/>
      <c r="AD865" s="913"/>
      <c r="AE865" s="913"/>
      <c r="AF865" s="912"/>
      <c r="AG865" s="912"/>
      <c r="AH865" s="913"/>
      <c r="AI865" s="913"/>
      <c r="AJ865" s="912"/>
      <c r="AK865" s="912"/>
      <c r="AL865" s="925"/>
      <c r="AM865" s="926"/>
      <c r="AN865" s="926"/>
      <c r="AO865" s="926"/>
      <c r="AP865" s="926"/>
      <c r="AQ865" s="926"/>
      <c r="AR865" s="926"/>
      <c r="AS865" s="926"/>
      <c r="AT865" s="926"/>
      <c r="AU865" s="926"/>
      <c r="AV865" s="926"/>
      <c r="AW865" s="926"/>
      <c r="AX865" s="926"/>
      <c r="AY865" s="926"/>
      <c r="AZ865" s="926"/>
      <c r="BA865" s="926"/>
      <c r="BB865" s="927"/>
    </row>
    <row r="866" spans="1:54" x14ac:dyDescent="0.25">
      <c r="A866" s="13">
        <f t="shared" si="13"/>
        <v>853</v>
      </c>
      <c r="B866" s="888" t="str">
        <f>'refer admin discharge'!B862</f>
        <v>x</v>
      </c>
      <c r="C866" s="888"/>
      <c r="D866" s="868" t="str">
        <f>'refer admin discharge'!D862</f>
        <v>xx</v>
      </c>
      <c r="E866" s="868"/>
      <c r="F866" s="891" t="str">
        <f>'refer admin discharge'!H862</f>
        <v>00/00/0000</v>
      </c>
      <c r="G866" s="892"/>
      <c r="H866" s="894"/>
      <c r="I866" s="894"/>
      <c r="J866" s="918"/>
      <c r="K866" s="918"/>
      <c r="L866" s="894"/>
      <c r="M866" s="894"/>
      <c r="N866" s="916"/>
      <c r="O866" s="916"/>
      <c r="P866" s="894"/>
      <c r="Q866" s="894"/>
      <c r="R866" s="916"/>
      <c r="S866" s="916"/>
      <c r="T866" s="894"/>
      <c r="U866" s="894"/>
      <c r="V866" s="921" t="str">
        <f>'refer admin discharge'!H867</f>
        <v>00/00/0000</v>
      </c>
      <c r="W866" s="922"/>
      <c r="X866" s="920"/>
      <c r="Y866" s="920"/>
      <c r="Z866" s="919"/>
      <c r="AA866" s="919"/>
      <c r="AB866" s="920"/>
      <c r="AC866" s="920"/>
      <c r="AD866" s="912"/>
      <c r="AE866" s="912"/>
      <c r="AF866" s="920"/>
      <c r="AG866" s="920"/>
      <c r="AH866" s="912"/>
      <c r="AI866" s="912"/>
      <c r="AJ866" s="920"/>
      <c r="AK866" s="920"/>
      <c r="AL866" s="905"/>
      <c r="AM866" s="906"/>
      <c r="AN866" s="906"/>
      <c r="AO866" s="906"/>
      <c r="AP866" s="906"/>
      <c r="AQ866" s="906"/>
      <c r="AR866" s="906"/>
      <c r="AS866" s="906"/>
      <c r="AT866" s="906"/>
      <c r="AU866" s="906"/>
      <c r="AV866" s="906"/>
      <c r="AW866" s="906"/>
      <c r="AX866" s="906"/>
      <c r="AY866" s="906"/>
      <c r="AZ866" s="906"/>
      <c r="BA866" s="906"/>
      <c r="BB866" s="907"/>
    </row>
    <row r="867" spans="1:54" x14ac:dyDescent="0.25">
      <c r="A867" s="13">
        <f t="shared" si="13"/>
        <v>854</v>
      </c>
      <c r="B867" s="914" t="str">
        <f>'refer admin discharge'!B863</f>
        <v>x</v>
      </c>
      <c r="C867" s="914"/>
      <c r="D867" s="889" t="str">
        <f>'refer admin discharge'!D863</f>
        <v>xx</v>
      </c>
      <c r="E867" s="889"/>
      <c r="F867" s="915" t="str">
        <f>'refer admin discharge'!H863</f>
        <v>00/00/0000</v>
      </c>
      <c r="G867" s="890"/>
      <c r="H867" s="916"/>
      <c r="I867" s="916"/>
      <c r="J867" s="917"/>
      <c r="K867" s="917"/>
      <c r="L867" s="916"/>
      <c r="M867" s="916"/>
      <c r="N867" s="893"/>
      <c r="O867" s="893"/>
      <c r="P867" s="916"/>
      <c r="Q867" s="916"/>
      <c r="R867" s="893"/>
      <c r="S867" s="893"/>
      <c r="T867" s="916"/>
      <c r="U867" s="916"/>
      <c r="V867" s="921" t="str">
        <f>'refer admin discharge'!H868</f>
        <v>00/00/0000</v>
      </c>
      <c r="W867" s="922"/>
      <c r="X867" s="912"/>
      <c r="Y867" s="912"/>
      <c r="Z867" s="924"/>
      <c r="AA867" s="924"/>
      <c r="AB867" s="912"/>
      <c r="AC867" s="912"/>
      <c r="AD867" s="913"/>
      <c r="AE867" s="913"/>
      <c r="AF867" s="912"/>
      <c r="AG867" s="912"/>
      <c r="AH867" s="913"/>
      <c r="AI867" s="913"/>
      <c r="AJ867" s="912"/>
      <c r="AK867" s="912"/>
      <c r="AL867" s="925"/>
      <c r="AM867" s="926"/>
      <c r="AN867" s="926"/>
      <c r="AO867" s="926"/>
      <c r="AP867" s="926"/>
      <c r="AQ867" s="926"/>
      <c r="AR867" s="926"/>
      <c r="AS867" s="926"/>
      <c r="AT867" s="926"/>
      <c r="AU867" s="926"/>
      <c r="AV867" s="926"/>
      <c r="AW867" s="926"/>
      <c r="AX867" s="926"/>
      <c r="AY867" s="926"/>
      <c r="AZ867" s="926"/>
      <c r="BA867" s="926"/>
      <c r="BB867" s="927"/>
    </row>
    <row r="868" spans="1:54" x14ac:dyDescent="0.25">
      <c r="A868" s="13">
        <f t="shared" si="13"/>
        <v>855</v>
      </c>
      <c r="B868" s="888" t="str">
        <f>'refer admin discharge'!B864</f>
        <v>x</v>
      </c>
      <c r="C868" s="888"/>
      <c r="D868" s="868" t="str">
        <f>'refer admin discharge'!D864</f>
        <v>xx</v>
      </c>
      <c r="E868" s="868"/>
      <c r="F868" s="891" t="str">
        <f>'refer admin discharge'!H864</f>
        <v>00/00/0000</v>
      </c>
      <c r="G868" s="892"/>
      <c r="H868" s="894"/>
      <c r="I868" s="894"/>
      <c r="J868" s="918"/>
      <c r="K868" s="918"/>
      <c r="L868" s="894"/>
      <c r="M868" s="894"/>
      <c r="N868" s="916"/>
      <c r="O868" s="916"/>
      <c r="P868" s="894"/>
      <c r="Q868" s="894"/>
      <c r="R868" s="916"/>
      <c r="S868" s="916"/>
      <c r="T868" s="894"/>
      <c r="U868" s="894"/>
      <c r="V868" s="921" t="str">
        <f>'refer admin discharge'!H869</f>
        <v>00/00/0000</v>
      </c>
      <c r="W868" s="922"/>
      <c r="X868" s="920"/>
      <c r="Y868" s="920"/>
      <c r="Z868" s="919"/>
      <c r="AA868" s="919"/>
      <c r="AB868" s="920"/>
      <c r="AC868" s="920"/>
      <c r="AD868" s="912"/>
      <c r="AE868" s="912"/>
      <c r="AF868" s="920"/>
      <c r="AG868" s="920"/>
      <c r="AH868" s="912"/>
      <c r="AI868" s="912"/>
      <c r="AJ868" s="920"/>
      <c r="AK868" s="920"/>
      <c r="AL868" s="905"/>
      <c r="AM868" s="906"/>
      <c r="AN868" s="906"/>
      <c r="AO868" s="906"/>
      <c r="AP868" s="906"/>
      <c r="AQ868" s="906"/>
      <c r="AR868" s="906"/>
      <c r="AS868" s="906"/>
      <c r="AT868" s="906"/>
      <c r="AU868" s="906"/>
      <c r="AV868" s="906"/>
      <c r="AW868" s="906"/>
      <c r="AX868" s="906"/>
      <c r="AY868" s="906"/>
      <c r="AZ868" s="906"/>
      <c r="BA868" s="906"/>
      <c r="BB868" s="907"/>
    </row>
    <row r="869" spans="1:54" x14ac:dyDescent="0.25">
      <c r="A869" s="13">
        <f t="shared" si="13"/>
        <v>856</v>
      </c>
      <c r="B869" s="914" t="str">
        <f>'refer admin discharge'!B865</f>
        <v>x</v>
      </c>
      <c r="C869" s="914"/>
      <c r="D869" s="889" t="str">
        <f>'refer admin discharge'!D865</f>
        <v>xx</v>
      </c>
      <c r="E869" s="889"/>
      <c r="F869" s="915" t="str">
        <f>'refer admin discharge'!H865</f>
        <v>00/00/0000</v>
      </c>
      <c r="G869" s="890"/>
      <c r="H869" s="916"/>
      <c r="I869" s="916"/>
      <c r="J869" s="917"/>
      <c r="K869" s="917"/>
      <c r="L869" s="916"/>
      <c r="M869" s="916"/>
      <c r="N869" s="893"/>
      <c r="O869" s="893"/>
      <c r="P869" s="916"/>
      <c r="Q869" s="916"/>
      <c r="R869" s="893"/>
      <c r="S869" s="893"/>
      <c r="T869" s="916"/>
      <c r="U869" s="916"/>
      <c r="V869" s="921" t="str">
        <f>'refer admin discharge'!H870</f>
        <v>00/00/0000</v>
      </c>
      <c r="W869" s="922"/>
      <c r="X869" s="912"/>
      <c r="Y869" s="912"/>
      <c r="Z869" s="924"/>
      <c r="AA869" s="924"/>
      <c r="AB869" s="912"/>
      <c r="AC869" s="912"/>
      <c r="AD869" s="913"/>
      <c r="AE869" s="913"/>
      <c r="AF869" s="912"/>
      <c r="AG869" s="912"/>
      <c r="AH869" s="913"/>
      <c r="AI869" s="913"/>
      <c r="AJ869" s="912"/>
      <c r="AK869" s="912"/>
      <c r="AL869" s="925"/>
      <c r="AM869" s="926"/>
      <c r="AN869" s="926"/>
      <c r="AO869" s="926"/>
      <c r="AP869" s="926"/>
      <c r="AQ869" s="926"/>
      <c r="AR869" s="926"/>
      <c r="AS869" s="926"/>
      <c r="AT869" s="926"/>
      <c r="AU869" s="926"/>
      <c r="AV869" s="926"/>
      <c r="AW869" s="926"/>
      <c r="AX869" s="926"/>
      <c r="AY869" s="926"/>
      <c r="AZ869" s="926"/>
      <c r="BA869" s="926"/>
      <c r="BB869" s="927"/>
    </row>
    <row r="870" spans="1:54" x14ac:dyDescent="0.25">
      <c r="A870" s="13">
        <f t="shared" si="13"/>
        <v>857</v>
      </c>
      <c r="B870" s="888" t="str">
        <f>'refer admin discharge'!B866</f>
        <v>x</v>
      </c>
      <c r="C870" s="888"/>
      <c r="D870" s="868" t="str">
        <f>'refer admin discharge'!D866</f>
        <v>xx</v>
      </c>
      <c r="E870" s="868"/>
      <c r="F870" s="891" t="str">
        <f>'refer admin discharge'!H866</f>
        <v>00/00/0000</v>
      </c>
      <c r="G870" s="892"/>
      <c r="H870" s="894"/>
      <c r="I870" s="894"/>
      <c r="J870" s="918"/>
      <c r="K870" s="918"/>
      <c r="L870" s="894"/>
      <c r="M870" s="894"/>
      <c r="N870" s="916"/>
      <c r="O870" s="916"/>
      <c r="P870" s="894"/>
      <c r="Q870" s="894"/>
      <c r="R870" s="916"/>
      <c r="S870" s="916"/>
      <c r="T870" s="894"/>
      <c r="U870" s="894"/>
      <c r="V870" s="921" t="str">
        <f>'refer admin discharge'!H871</f>
        <v>00/00/0000</v>
      </c>
      <c r="W870" s="922"/>
      <c r="X870" s="920"/>
      <c r="Y870" s="920"/>
      <c r="Z870" s="919"/>
      <c r="AA870" s="919"/>
      <c r="AB870" s="920"/>
      <c r="AC870" s="920"/>
      <c r="AD870" s="912"/>
      <c r="AE870" s="912"/>
      <c r="AF870" s="920"/>
      <c r="AG870" s="920"/>
      <c r="AH870" s="912"/>
      <c r="AI870" s="912"/>
      <c r="AJ870" s="920"/>
      <c r="AK870" s="920"/>
      <c r="AL870" s="905"/>
      <c r="AM870" s="906"/>
      <c r="AN870" s="906"/>
      <c r="AO870" s="906"/>
      <c r="AP870" s="906"/>
      <c r="AQ870" s="906"/>
      <c r="AR870" s="906"/>
      <c r="AS870" s="906"/>
      <c r="AT870" s="906"/>
      <c r="AU870" s="906"/>
      <c r="AV870" s="906"/>
      <c r="AW870" s="906"/>
      <c r="AX870" s="906"/>
      <c r="AY870" s="906"/>
      <c r="AZ870" s="906"/>
      <c r="BA870" s="906"/>
      <c r="BB870" s="907"/>
    </row>
    <row r="871" spans="1:54" x14ac:dyDescent="0.25">
      <c r="A871" s="13">
        <f t="shared" si="13"/>
        <v>858</v>
      </c>
      <c r="B871" s="914" t="str">
        <f>'refer admin discharge'!B867</f>
        <v>x</v>
      </c>
      <c r="C871" s="914"/>
      <c r="D871" s="889" t="str">
        <f>'refer admin discharge'!D867</f>
        <v>xx</v>
      </c>
      <c r="E871" s="889"/>
      <c r="F871" s="915" t="str">
        <f>'refer admin discharge'!H867</f>
        <v>00/00/0000</v>
      </c>
      <c r="G871" s="890"/>
      <c r="H871" s="916"/>
      <c r="I871" s="916"/>
      <c r="J871" s="917"/>
      <c r="K871" s="917"/>
      <c r="L871" s="916"/>
      <c r="M871" s="916"/>
      <c r="N871" s="893"/>
      <c r="O871" s="893"/>
      <c r="P871" s="916"/>
      <c r="Q871" s="916"/>
      <c r="R871" s="893"/>
      <c r="S871" s="893"/>
      <c r="T871" s="916"/>
      <c r="U871" s="916"/>
      <c r="V871" s="921" t="str">
        <f>'refer admin discharge'!H872</f>
        <v>00/00/0000</v>
      </c>
      <c r="W871" s="922"/>
      <c r="X871" s="912"/>
      <c r="Y871" s="912"/>
      <c r="Z871" s="924"/>
      <c r="AA871" s="924"/>
      <c r="AB871" s="912"/>
      <c r="AC871" s="912"/>
      <c r="AD871" s="913"/>
      <c r="AE871" s="913"/>
      <c r="AF871" s="912"/>
      <c r="AG871" s="912"/>
      <c r="AH871" s="913"/>
      <c r="AI871" s="913"/>
      <c r="AJ871" s="912"/>
      <c r="AK871" s="912"/>
      <c r="AL871" s="925"/>
      <c r="AM871" s="926"/>
      <c r="AN871" s="926"/>
      <c r="AO871" s="926"/>
      <c r="AP871" s="926"/>
      <c r="AQ871" s="926"/>
      <c r="AR871" s="926"/>
      <c r="AS871" s="926"/>
      <c r="AT871" s="926"/>
      <c r="AU871" s="926"/>
      <c r="AV871" s="926"/>
      <c r="AW871" s="926"/>
      <c r="AX871" s="926"/>
      <c r="AY871" s="926"/>
      <c r="AZ871" s="926"/>
      <c r="BA871" s="926"/>
      <c r="BB871" s="927"/>
    </row>
    <row r="872" spans="1:54" x14ac:dyDescent="0.25">
      <c r="A872" s="13">
        <f t="shared" si="13"/>
        <v>859</v>
      </c>
      <c r="B872" s="888" t="str">
        <f>'refer admin discharge'!B868</f>
        <v>x</v>
      </c>
      <c r="C872" s="888"/>
      <c r="D872" s="868" t="str">
        <f>'refer admin discharge'!D868</f>
        <v>xx</v>
      </c>
      <c r="E872" s="868"/>
      <c r="F872" s="891" t="str">
        <f>'refer admin discharge'!H868</f>
        <v>00/00/0000</v>
      </c>
      <c r="G872" s="892"/>
      <c r="H872" s="894"/>
      <c r="I872" s="894"/>
      <c r="J872" s="918"/>
      <c r="K872" s="918"/>
      <c r="L872" s="894"/>
      <c r="M872" s="894"/>
      <c r="N872" s="916"/>
      <c r="O872" s="916"/>
      <c r="P872" s="894"/>
      <c r="Q872" s="894"/>
      <c r="R872" s="916"/>
      <c r="S872" s="916"/>
      <c r="T872" s="894"/>
      <c r="U872" s="894"/>
      <c r="V872" s="921" t="str">
        <f>'refer admin discharge'!H873</f>
        <v>00/00/0000</v>
      </c>
      <c r="W872" s="922"/>
      <c r="X872" s="920"/>
      <c r="Y872" s="920"/>
      <c r="Z872" s="919"/>
      <c r="AA872" s="919"/>
      <c r="AB872" s="920"/>
      <c r="AC872" s="920"/>
      <c r="AD872" s="912"/>
      <c r="AE872" s="912"/>
      <c r="AF872" s="920"/>
      <c r="AG872" s="920"/>
      <c r="AH872" s="912"/>
      <c r="AI872" s="912"/>
      <c r="AJ872" s="920"/>
      <c r="AK872" s="920"/>
      <c r="AL872" s="905"/>
      <c r="AM872" s="906"/>
      <c r="AN872" s="906"/>
      <c r="AO872" s="906"/>
      <c r="AP872" s="906"/>
      <c r="AQ872" s="906"/>
      <c r="AR872" s="906"/>
      <c r="AS872" s="906"/>
      <c r="AT872" s="906"/>
      <c r="AU872" s="906"/>
      <c r="AV872" s="906"/>
      <c r="AW872" s="906"/>
      <c r="AX872" s="906"/>
      <c r="AY872" s="906"/>
      <c r="AZ872" s="906"/>
      <c r="BA872" s="906"/>
      <c r="BB872" s="907"/>
    </row>
    <row r="873" spans="1:54" x14ac:dyDescent="0.25">
      <c r="A873" s="13">
        <f t="shared" si="13"/>
        <v>860</v>
      </c>
      <c r="B873" s="914" t="str">
        <f>'refer admin discharge'!B869</f>
        <v>x</v>
      </c>
      <c r="C873" s="914"/>
      <c r="D873" s="889" t="str">
        <f>'refer admin discharge'!D869</f>
        <v>xx</v>
      </c>
      <c r="E873" s="889"/>
      <c r="F873" s="915" t="str">
        <f>'refer admin discharge'!H869</f>
        <v>00/00/0000</v>
      </c>
      <c r="G873" s="890"/>
      <c r="H873" s="916"/>
      <c r="I873" s="916"/>
      <c r="J873" s="917"/>
      <c r="K873" s="917"/>
      <c r="L873" s="916"/>
      <c r="M873" s="916"/>
      <c r="N873" s="893"/>
      <c r="O873" s="893"/>
      <c r="P873" s="916"/>
      <c r="Q873" s="916"/>
      <c r="R873" s="893"/>
      <c r="S873" s="893"/>
      <c r="T873" s="916"/>
      <c r="U873" s="916"/>
      <c r="V873" s="921" t="str">
        <f>'refer admin discharge'!H874</f>
        <v>00/00/0000</v>
      </c>
      <c r="W873" s="922"/>
      <c r="X873" s="912"/>
      <c r="Y873" s="912"/>
      <c r="Z873" s="924"/>
      <c r="AA873" s="924"/>
      <c r="AB873" s="912"/>
      <c r="AC873" s="912"/>
      <c r="AD873" s="913"/>
      <c r="AE873" s="913"/>
      <c r="AF873" s="912"/>
      <c r="AG873" s="912"/>
      <c r="AH873" s="913"/>
      <c r="AI873" s="913"/>
      <c r="AJ873" s="912"/>
      <c r="AK873" s="912"/>
      <c r="AL873" s="925"/>
      <c r="AM873" s="926"/>
      <c r="AN873" s="926"/>
      <c r="AO873" s="926"/>
      <c r="AP873" s="926"/>
      <c r="AQ873" s="926"/>
      <c r="AR873" s="926"/>
      <c r="AS873" s="926"/>
      <c r="AT873" s="926"/>
      <c r="AU873" s="926"/>
      <c r="AV873" s="926"/>
      <c r="AW873" s="926"/>
      <c r="AX873" s="926"/>
      <c r="AY873" s="926"/>
      <c r="AZ873" s="926"/>
      <c r="BA873" s="926"/>
      <c r="BB873" s="927"/>
    </row>
    <row r="874" spans="1:54" x14ac:dyDescent="0.25">
      <c r="A874" s="13">
        <f t="shared" si="13"/>
        <v>861</v>
      </c>
      <c r="B874" s="888" t="str">
        <f>'refer admin discharge'!B870</f>
        <v>x</v>
      </c>
      <c r="C874" s="888"/>
      <c r="D874" s="868" t="str">
        <f>'refer admin discharge'!D870</f>
        <v>xx</v>
      </c>
      <c r="E874" s="868"/>
      <c r="F874" s="891" t="str">
        <f>'refer admin discharge'!H870</f>
        <v>00/00/0000</v>
      </c>
      <c r="G874" s="892"/>
      <c r="H874" s="894"/>
      <c r="I874" s="894"/>
      <c r="J874" s="918"/>
      <c r="K874" s="918"/>
      <c r="L874" s="894"/>
      <c r="M874" s="894"/>
      <c r="N874" s="916"/>
      <c r="O874" s="916"/>
      <c r="P874" s="894"/>
      <c r="Q874" s="894"/>
      <c r="R874" s="916"/>
      <c r="S874" s="916"/>
      <c r="T874" s="894"/>
      <c r="U874" s="894"/>
      <c r="V874" s="921" t="str">
        <f>'refer admin discharge'!H875</f>
        <v>00/00/0000</v>
      </c>
      <c r="W874" s="922"/>
      <c r="X874" s="920"/>
      <c r="Y874" s="920"/>
      <c r="Z874" s="919"/>
      <c r="AA874" s="919"/>
      <c r="AB874" s="920"/>
      <c r="AC874" s="920"/>
      <c r="AD874" s="912"/>
      <c r="AE874" s="912"/>
      <c r="AF874" s="920"/>
      <c r="AG874" s="920"/>
      <c r="AH874" s="912"/>
      <c r="AI874" s="912"/>
      <c r="AJ874" s="920"/>
      <c r="AK874" s="920"/>
      <c r="AL874" s="905"/>
      <c r="AM874" s="906"/>
      <c r="AN874" s="906"/>
      <c r="AO874" s="906"/>
      <c r="AP874" s="906"/>
      <c r="AQ874" s="906"/>
      <c r="AR874" s="906"/>
      <c r="AS874" s="906"/>
      <c r="AT874" s="906"/>
      <c r="AU874" s="906"/>
      <c r="AV874" s="906"/>
      <c r="AW874" s="906"/>
      <c r="AX874" s="906"/>
      <c r="AY874" s="906"/>
      <c r="AZ874" s="906"/>
      <c r="BA874" s="906"/>
      <c r="BB874" s="907"/>
    </row>
    <row r="875" spans="1:54" x14ac:dyDescent="0.25">
      <c r="A875" s="13">
        <f t="shared" si="13"/>
        <v>862</v>
      </c>
      <c r="B875" s="914" t="str">
        <f>'refer admin discharge'!B871</f>
        <v>x</v>
      </c>
      <c r="C875" s="914"/>
      <c r="D875" s="889" t="str">
        <f>'refer admin discharge'!D871</f>
        <v>xx</v>
      </c>
      <c r="E875" s="889"/>
      <c r="F875" s="915" t="str">
        <f>'refer admin discharge'!H871</f>
        <v>00/00/0000</v>
      </c>
      <c r="G875" s="890"/>
      <c r="H875" s="916"/>
      <c r="I875" s="916"/>
      <c r="J875" s="917"/>
      <c r="K875" s="917"/>
      <c r="L875" s="916"/>
      <c r="M875" s="916"/>
      <c r="N875" s="893"/>
      <c r="O875" s="893"/>
      <c r="P875" s="916"/>
      <c r="Q875" s="916"/>
      <c r="R875" s="893"/>
      <c r="S875" s="893"/>
      <c r="T875" s="916"/>
      <c r="U875" s="916"/>
      <c r="V875" s="921" t="str">
        <f>'refer admin discharge'!H876</f>
        <v>00/00/0000</v>
      </c>
      <c r="W875" s="922"/>
      <c r="X875" s="912"/>
      <c r="Y875" s="912"/>
      <c r="Z875" s="924"/>
      <c r="AA875" s="924"/>
      <c r="AB875" s="912"/>
      <c r="AC875" s="912"/>
      <c r="AD875" s="913"/>
      <c r="AE875" s="913"/>
      <c r="AF875" s="912"/>
      <c r="AG875" s="912"/>
      <c r="AH875" s="913"/>
      <c r="AI875" s="913"/>
      <c r="AJ875" s="912"/>
      <c r="AK875" s="912"/>
      <c r="AL875" s="925"/>
      <c r="AM875" s="926"/>
      <c r="AN875" s="926"/>
      <c r="AO875" s="926"/>
      <c r="AP875" s="926"/>
      <c r="AQ875" s="926"/>
      <c r="AR875" s="926"/>
      <c r="AS875" s="926"/>
      <c r="AT875" s="926"/>
      <c r="AU875" s="926"/>
      <c r="AV875" s="926"/>
      <c r="AW875" s="926"/>
      <c r="AX875" s="926"/>
      <c r="AY875" s="926"/>
      <c r="AZ875" s="926"/>
      <c r="BA875" s="926"/>
      <c r="BB875" s="927"/>
    </row>
    <row r="876" spans="1:54" x14ac:dyDescent="0.25">
      <c r="A876" s="13">
        <f t="shared" si="13"/>
        <v>863</v>
      </c>
      <c r="B876" s="888" t="str">
        <f>'refer admin discharge'!B872</f>
        <v>x</v>
      </c>
      <c r="C876" s="888"/>
      <c r="D876" s="868" t="str">
        <f>'refer admin discharge'!D872</f>
        <v>xx</v>
      </c>
      <c r="E876" s="868"/>
      <c r="F876" s="891" t="str">
        <f>'refer admin discharge'!H872</f>
        <v>00/00/0000</v>
      </c>
      <c r="G876" s="892"/>
      <c r="H876" s="894"/>
      <c r="I876" s="894"/>
      <c r="J876" s="918"/>
      <c r="K876" s="918"/>
      <c r="L876" s="894"/>
      <c r="M876" s="894"/>
      <c r="N876" s="916"/>
      <c r="O876" s="916"/>
      <c r="P876" s="894"/>
      <c r="Q876" s="894"/>
      <c r="R876" s="916"/>
      <c r="S876" s="916"/>
      <c r="T876" s="894"/>
      <c r="U876" s="894"/>
      <c r="V876" s="921" t="str">
        <f>'refer admin discharge'!H877</f>
        <v>00/00/0000</v>
      </c>
      <c r="W876" s="922"/>
      <c r="X876" s="920"/>
      <c r="Y876" s="920"/>
      <c r="Z876" s="919"/>
      <c r="AA876" s="919"/>
      <c r="AB876" s="920"/>
      <c r="AC876" s="920"/>
      <c r="AD876" s="912"/>
      <c r="AE876" s="912"/>
      <c r="AF876" s="920"/>
      <c r="AG876" s="920"/>
      <c r="AH876" s="912"/>
      <c r="AI876" s="912"/>
      <c r="AJ876" s="920"/>
      <c r="AK876" s="920"/>
      <c r="AL876" s="905"/>
      <c r="AM876" s="906"/>
      <c r="AN876" s="906"/>
      <c r="AO876" s="906"/>
      <c r="AP876" s="906"/>
      <c r="AQ876" s="906"/>
      <c r="AR876" s="906"/>
      <c r="AS876" s="906"/>
      <c r="AT876" s="906"/>
      <c r="AU876" s="906"/>
      <c r="AV876" s="906"/>
      <c r="AW876" s="906"/>
      <c r="AX876" s="906"/>
      <c r="AY876" s="906"/>
      <c r="AZ876" s="906"/>
      <c r="BA876" s="906"/>
      <c r="BB876" s="907"/>
    </row>
    <row r="877" spans="1:54" x14ac:dyDescent="0.25">
      <c r="A877" s="13">
        <f t="shared" si="13"/>
        <v>864</v>
      </c>
      <c r="B877" s="914" t="str">
        <f>'refer admin discharge'!B873</f>
        <v>x</v>
      </c>
      <c r="C877" s="914"/>
      <c r="D877" s="889" t="str">
        <f>'refer admin discharge'!D873</f>
        <v>xx</v>
      </c>
      <c r="E877" s="889"/>
      <c r="F877" s="915" t="str">
        <f>'refer admin discharge'!H873</f>
        <v>00/00/0000</v>
      </c>
      <c r="G877" s="890"/>
      <c r="H877" s="916"/>
      <c r="I877" s="916"/>
      <c r="J877" s="917"/>
      <c r="K877" s="917"/>
      <c r="L877" s="916"/>
      <c r="M877" s="916"/>
      <c r="N877" s="893"/>
      <c r="O877" s="893"/>
      <c r="P877" s="916"/>
      <c r="Q877" s="916"/>
      <c r="R877" s="893"/>
      <c r="S877" s="893"/>
      <c r="T877" s="916"/>
      <c r="U877" s="916"/>
      <c r="V877" s="921" t="str">
        <f>'refer admin discharge'!H878</f>
        <v>00/00/0000</v>
      </c>
      <c r="W877" s="922"/>
      <c r="X877" s="912"/>
      <c r="Y877" s="912"/>
      <c r="Z877" s="924"/>
      <c r="AA877" s="924"/>
      <c r="AB877" s="912"/>
      <c r="AC877" s="912"/>
      <c r="AD877" s="913"/>
      <c r="AE877" s="913"/>
      <c r="AF877" s="912"/>
      <c r="AG877" s="912"/>
      <c r="AH877" s="913"/>
      <c r="AI877" s="913"/>
      <c r="AJ877" s="912"/>
      <c r="AK877" s="912"/>
      <c r="AL877" s="925"/>
      <c r="AM877" s="926"/>
      <c r="AN877" s="926"/>
      <c r="AO877" s="926"/>
      <c r="AP877" s="926"/>
      <c r="AQ877" s="926"/>
      <c r="AR877" s="926"/>
      <c r="AS877" s="926"/>
      <c r="AT877" s="926"/>
      <c r="AU877" s="926"/>
      <c r="AV877" s="926"/>
      <c r="AW877" s="926"/>
      <c r="AX877" s="926"/>
      <c r="AY877" s="926"/>
      <c r="AZ877" s="926"/>
      <c r="BA877" s="926"/>
      <c r="BB877" s="927"/>
    </row>
    <row r="878" spans="1:54" x14ac:dyDescent="0.25">
      <c r="A878" s="13">
        <f t="shared" si="13"/>
        <v>865</v>
      </c>
      <c r="B878" s="888" t="str">
        <f>'refer admin discharge'!B874</f>
        <v>x</v>
      </c>
      <c r="C878" s="888"/>
      <c r="D878" s="868" t="str">
        <f>'refer admin discharge'!D874</f>
        <v>xx</v>
      </c>
      <c r="E878" s="868"/>
      <c r="F878" s="891" t="str">
        <f>'refer admin discharge'!H874</f>
        <v>00/00/0000</v>
      </c>
      <c r="G878" s="892"/>
      <c r="H878" s="894"/>
      <c r="I878" s="894"/>
      <c r="J878" s="918"/>
      <c r="K878" s="918"/>
      <c r="L878" s="894"/>
      <c r="M878" s="894"/>
      <c r="N878" s="916"/>
      <c r="O878" s="916"/>
      <c r="P878" s="894"/>
      <c r="Q878" s="894"/>
      <c r="R878" s="916"/>
      <c r="S878" s="916"/>
      <c r="T878" s="894"/>
      <c r="U878" s="894"/>
      <c r="V878" s="921" t="str">
        <f>'refer admin discharge'!H879</f>
        <v>00/00/0000</v>
      </c>
      <c r="W878" s="922"/>
      <c r="X878" s="920"/>
      <c r="Y878" s="920"/>
      <c r="Z878" s="919"/>
      <c r="AA878" s="919"/>
      <c r="AB878" s="920"/>
      <c r="AC878" s="920"/>
      <c r="AD878" s="912"/>
      <c r="AE878" s="912"/>
      <c r="AF878" s="920"/>
      <c r="AG878" s="920"/>
      <c r="AH878" s="912"/>
      <c r="AI878" s="912"/>
      <c r="AJ878" s="920"/>
      <c r="AK878" s="920"/>
      <c r="AL878" s="905"/>
      <c r="AM878" s="906"/>
      <c r="AN878" s="906"/>
      <c r="AO878" s="906"/>
      <c r="AP878" s="906"/>
      <c r="AQ878" s="906"/>
      <c r="AR878" s="906"/>
      <c r="AS878" s="906"/>
      <c r="AT878" s="906"/>
      <c r="AU878" s="906"/>
      <c r="AV878" s="906"/>
      <c r="AW878" s="906"/>
      <c r="AX878" s="906"/>
      <c r="AY878" s="906"/>
      <c r="AZ878" s="906"/>
      <c r="BA878" s="906"/>
      <c r="BB878" s="907"/>
    </row>
    <row r="879" spans="1:54" x14ac:dyDescent="0.25">
      <c r="A879" s="13">
        <f t="shared" si="13"/>
        <v>866</v>
      </c>
      <c r="B879" s="914" t="str">
        <f>'refer admin discharge'!B875</f>
        <v>x</v>
      </c>
      <c r="C879" s="914"/>
      <c r="D879" s="889" t="str">
        <f>'refer admin discharge'!D875</f>
        <v>xx</v>
      </c>
      <c r="E879" s="889"/>
      <c r="F879" s="915" t="str">
        <f>'refer admin discharge'!H875</f>
        <v>00/00/0000</v>
      </c>
      <c r="G879" s="890"/>
      <c r="H879" s="916"/>
      <c r="I879" s="916"/>
      <c r="J879" s="917"/>
      <c r="K879" s="917"/>
      <c r="L879" s="916"/>
      <c r="M879" s="916"/>
      <c r="N879" s="893"/>
      <c r="O879" s="893"/>
      <c r="P879" s="916"/>
      <c r="Q879" s="916"/>
      <c r="R879" s="893"/>
      <c r="S879" s="893"/>
      <c r="T879" s="916"/>
      <c r="U879" s="916"/>
      <c r="V879" s="921" t="str">
        <f>'refer admin discharge'!H880</f>
        <v>00/00/0000</v>
      </c>
      <c r="W879" s="922"/>
      <c r="X879" s="912"/>
      <c r="Y879" s="912"/>
      <c r="Z879" s="924"/>
      <c r="AA879" s="924"/>
      <c r="AB879" s="912"/>
      <c r="AC879" s="912"/>
      <c r="AD879" s="913"/>
      <c r="AE879" s="913"/>
      <c r="AF879" s="912"/>
      <c r="AG879" s="912"/>
      <c r="AH879" s="913"/>
      <c r="AI879" s="913"/>
      <c r="AJ879" s="912"/>
      <c r="AK879" s="912"/>
      <c r="AL879" s="925"/>
      <c r="AM879" s="926"/>
      <c r="AN879" s="926"/>
      <c r="AO879" s="926"/>
      <c r="AP879" s="926"/>
      <c r="AQ879" s="926"/>
      <c r="AR879" s="926"/>
      <c r="AS879" s="926"/>
      <c r="AT879" s="926"/>
      <c r="AU879" s="926"/>
      <c r="AV879" s="926"/>
      <c r="AW879" s="926"/>
      <c r="AX879" s="926"/>
      <c r="AY879" s="926"/>
      <c r="AZ879" s="926"/>
      <c r="BA879" s="926"/>
      <c r="BB879" s="927"/>
    </row>
    <row r="880" spans="1:54" x14ac:dyDescent="0.25">
      <c r="A880" s="13">
        <f t="shared" si="13"/>
        <v>867</v>
      </c>
      <c r="B880" s="888" t="str">
        <f>'refer admin discharge'!B876</f>
        <v>x</v>
      </c>
      <c r="C880" s="888"/>
      <c r="D880" s="868" t="str">
        <f>'refer admin discharge'!D876</f>
        <v>xx</v>
      </c>
      <c r="E880" s="868"/>
      <c r="F880" s="891" t="str">
        <f>'refer admin discharge'!H876</f>
        <v>00/00/0000</v>
      </c>
      <c r="G880" s="892"/>
      <c r="H880" s="894"/>
      <c r="I880" s="894"/>
      <c r="J880" s="918"/>
      <c r="K880" s="918"/>
      <c r="L880" s="894"/>
      <c r="M880" s="894"/>
      <c r="N880" s="916"/>
      <c r="O880" s="916"/>
      <c r="P880" s="894"/>
      <c r="Q880" s="894"/>
      <c r="R880" s="916"/>
      <c r="S880" s="916"/>
      <c r="T880" s="894"/>
      <c r="U880" s="894"/>
      <c r="V880" s="921" t="str">
        <f>'refer admin discharge'!H881</f>
        <v>00/00/0000</v>
      </c>
      <c r="W880" s="922"/>
      <c r="X880" s="920"/>
      <c r="Y880" s="920"/>
      <c r="Z880" s="919"/>
      <c r="AA880" s="919"/>
      <c r="AB880" s="920"/>
      <c r="AC880" s="920"/>
      <c r="AD880" s="912"/>
      <c r="AE880" s="912"/>
      <c r="AF880" s="920"/>
      <c r="AG880" s="920"/>
      <c r="AH880" s="912"/>
      <c r="AI880" s="912"/>
      <c r="AJ880" s="920"/>
      <c r="AK880" s="920"/>
      <c r="AL880" s="905"/>
      <c r="AM880" s="906"/>
      <c r="AN880" s="906"/>
      <c r="AO880" s="906"/>
      <c r="AP880" s="906"/>
      <c r="AQ880" s="906"/>
      <c r="AR880" s="906"/>
      <c r="AS880" s="906"/>
      <c r="AT880" s="906"/>
      <c r="AU880" s="906"/>
      <c r="AV880" s="906"/>
      <c r="AW880" s="906"/>
      <c r="AX880" s="906"/>
      <c r="AY880" s="906"/>
      <c r="AZ880" s="906"/>
      <c r="BA880" s="906"/>
      <c r="BB880" s="907"/>
    </row>
    <row r="881" spans="1:54" x14ac:dyDescent="0.25">
      <c r="A881" s="13">
        <f t="shared" si="13"/>
        <v>868</v>
      </c>
      <c r="B881" s="914" t="str">
        <f>'refer admin discharge'!B877</f>
        <v>x</v>
      </c>
      <c r="C881" s="914"/>
      <c r="D881" s="889" t="str">
        <f>'refer admin discharge'!D877</f>
        <v>xx</v>
      </c>
      <c r="E881" s="889"/>
      <c r="F881" s="915" t="str">
        <f>'refer admin discharge'!H877</f>
        <v>00/00/0000</v>
      </c>
      <c r="G881" s="890"/>
      <c r="H881" s="916"/>
      <c r="I881" s="916"/>
      <c r="J881" s="917"/>
      <c r="K881" s="917"/>
      <c r="L881" s="916"/>
      <c r="M881" s="916"/>
      <c r="N881" s="893"/>
      <c r="O881" s="893"/>
      <c r="P881" s="916"/>
      <c r="Q881" s="916"/>
      <c r="R881" s="893"/>
      <c r="S881" s="893"/>
      <c r="T881" s="916"/>
      <c r="U881" s="916"/>
      <c r="V881" s="921" t="str">
        <f>'refer admin discharge'!H882</f>
        <v>00/00/0000</v>
      </c>
      <c r="W881" s="922"/>
      <c r="X881" s="912"/>
      <c r="Y881" s="912"/>
      <c r="Z881" s="924"/>
      <c r="AA881" s="924"/>
      <c r="AB881" s="912"/>
      <c r="AC881" s="912"/>
      <c r="AD881" s="913"/>
      <c r="AE881" s="913"/>
      <c r="AF881" s="912"/>
      <c r="AG881" s="912"/>
      <c r="AH881" s="913"/>
      <c r="AI881" s="913"/>
      <c r="AJ881" s="912"/>
      <c r="AK881" s="912"/>
      <c r="AL881" s="925"/>
      <c r="AM881" s="926"/>
      <c r="AN881" s="926"/>
      <c r="AO881" s="926"/>
      <c r="AP881" s="926"/>
      <c r="AQ881" s="926"/>
      <c r="AR881" s="926"/>
      <c r="AS881" s="926"/>
      <c r="AT881" s="926"/>
      <c r="AU881" s="926"/>
      <c r="AV881" s="926"/>
      <c r="AW881" s="926"/>
      <c r="AX881" s="926"/>
      <c r="AY881" s="926"/>
      <c r="AZ881" s="926"/>
      <c r="BA881" s="926"/>
      <c r="BB881" s="927"/>
    </row>
    <row r="882" spans="1:54" x14ac:dyDescent="0.25">
      <c r="A882" s="13">
        <f t="shared" si="13"/>
        <v>869</v>
      </c>
      <c r="B882" s="888" t="str">
        <f>'refer admin discharge'!B878</f>
        <v>x</v>
      </c>
      <c r="C882" s="888"/>
      <c r="D882" s="868" t="str">
        <f>'refer admin discharge'!D878</f>
        <v>xx</v>
      </c>
      <c r="E882" s="868"/>
      <c r="F882" s="891" t="str">
        <f>'refer admin discharge'!H878</f>
        <v>00/00/0000</v>
      </c>
      <c r="G882" s="892"/>
      <c r="H882" s="894"/>
      <c r="I882" s="894"/>
      <c r="J882" s="918"/>
      <c r="K882" s="918"/>
      <c r="L882" s="894"/>
      <c r="M882" s="894"/>
      <c r="N882" s="916"/>
      <c r="O882" s="916"/>
      <c r="P882" s="894"/>
      <c r="Q882" s="894"/>
      <c r="R882" s="916"/>
      <c r="S882" s="916"/>
      <c r="T882" s="894"/>
      <c r="U882" s="894"/>
      <c r="V882" s="921" t="str">
        <f>'refer admin discharge'!H883</f>
        <v>00/00/0000</v>
      </c>
      <c r="W882" s="922"/>
      <c r="X882" s="920"/>
      <c r="Y882" s="920"/>
      <c r="Z882" s="919"/>
      <c r="AA882" s="919"/>
      <c r="AB882" s="920"/>
      <c r="AC882" s="920"/>
      <c r="AD882" s="912"/>
      <c r="AE882" s="912"/>
      <c r="AF882" s="920"/>
      <c r="AG882" s="920"/>
      <c r="AH882" s="912"/>
      <c r="AI882" s="912"/>
      <c r="AJ882" s="920"/>
      <c r="AK882" s="920"/>
      <c r="AL882" s="905"/>
      <c r="AM882" s="906"/>
      <c r="AN882" s="906"/>
      <c r="AO882" s="906"/>
      <c r="AP882" s="906"/>
      <c r="AQ882" s="906"/>
      <c r="AR882" s="906"/>
      <c r="AS882" s="906"/>
      <c r="AT882" s="906"/>
      <c r="AU882" s="906"/>
      <c r="AV882" s="906"/>
      <c r="AW882" s="906"/>
      <c r="AX882" s="906"/>
      <c r="AY882" s="906"/>
      <c r="AZ882" s="906"/>
      <c r="BA882" s="906"/>
      <c r="BB882" s="907"/>
    </row>
    <row r="883" spans="1:54" x14ac:dyDescent="0.25">
      <c r="A883" s="13">
        <f t="shared" si="13"/>
        <v>870</v>
      </c>
      <c r="B883" s="914" t="str">
        <f>'refer admin discharge'!B879</f>
        <v>x</v>
      </c>
      <c r="C883" s="914"/>
      <c r="D883" s="889" t="str">
        <f>'refer admin discharge'!D879</f>
        <v>xx</v>
      </c>
      <c r="E883" s="889"/>
      <c r="F883" s="915" t="str">
        <f>'refer admin discharge'!H879</f>
        <v>00/00/0000</v>
      </c>
      <c r="G883" s="890"/>
      <c r="H883" s="916"/>
      <c r="I883" s="916"/>
      <c r="J883" s="917"/>
      <c r="K883" s="917"/>
      <c r="L883" s="916"/>
      <c r="M883" s="916"/>
      <c r="N883" s="893"/>
      <c r="O883" s="893"/>
      <c r="P883" s="916"/>
      <c r="Q883" s="916"/>
      <c r="R883" s="893"/>
      <c r="S883" s="893"/>
      <c r="T883" s="916"/>
      <c r="U883" s="916"/>
      <c r="V883" s="921" t="str">
        <f>'refer admin discharge'!H884</f>
        <v>00/00/0000</v>
      </c>
      <c r="W883" s="922"/>
      <c r="X883" s="912"/>
      <c r="Y883" s="912"/>
      <c r="Z883" s="924"/>
      <c r="AA883" s="924"/>
      <c r="AB883" s="912"/>
      <c r="AC883" s="912"/>
      <c r="AD883" s="913"/>
      <c r="AE883" s="913"/>
      <c r="AF883" s="912"/>
      <c r="AG883" s="912"/>
      <c r="AH883" s="913"/>
      <c r="AI883" s="913"/>
      <c r="AJ883" s="912"/>
      <c r="AK883" s="912"/>
      <c r="AL883" s="925"/>
      <c r="AM883" s="926"/>
      <c r="AN883" s="926"/>
      <c r="AO883" s="926"/>
      <c r="AP883" s="926"/>
      <c r="AQ883" s="926"/>
      <c r="AR883" s="926"/>
      <c r="AS883" s="926"/>
      <c r="AT883" s="926"/>
      <c r="AU883" s="926"/>
      <c r="AV883" s="926"/>
      <c r="AW883" s="926"/>
      <c r="AX883" s="926"/>
      <c r="AY883" s="926"/>
      <c r="AZ883" s="926"/>
      <c r="BA883" s="926"/>
      <c r="BB883" s="927"/>
    </row>
    <row r="884" spans="1:54" x14ac:dyDescent="0.25">
      <c r="A884" s="13">
        <f t="shared" si="13"/>
        <v>871</v>
      </c>
      <c r="B884" s="888" t="str">
        <f>'refer admin discharge'!B880</f>
        <v>x</v>
      </c>
      <c r="C884" s="888"/>
      <c r="D884" s="868" t="str">
        <f>'refer admin discharge'!D880</f>
        <v>xx</v>
      </c>
      <c r="E884" s="868"/>
      <c r="F884" s="891" t="str">
        <f>'refer admin discharge'!H880</f>
        <v>00/00/0000</v>
      </c>
      <c r="G884" s="892"/>
      <c r="H884" s="894"/>
      <c r="I884" s="894"/>
      <c r="J884" s="918"/>
      <c r="K884" s="918"/>
      <c r="L884" s="894"/>
      <c r="M884" s="894"/>
      <c r="N884" s="916"/>
      <c r="O884" s="916"/>
      <c r="P884" s="894"/>
      <c r="Q884" s="894"/>
      <c r="R884" s="916"/>
      <c r="S884" s="916"/>
      <c r="T884" s="894"/>
      <c r="U884" s="894"/>
      <c r="V884" s="921" t="str">
        <f>'refer admin discharge'!H885</f>
        <v>00/00/0000</v>
      </c>
      <c r="W884" s="922"/>
      <c r="X884" s="920"/>
      <c r="Y884" s="920"/>
      <c r="Z884" s="919"/>
      <c r="AA884" s="919"/>
      <c r="AB884" s="920"/>
      <c r="AC884" s="920"/>
      <c r="AD884" s="912"/>
      <c r="AE884" s="912"/>
      <c r="AF884" s="920"/>
      <c r="AG884" s="920"/>
      <c r="AH884" s="912"/>
      <c r="AI884" s="912"/>
      <c r="AJ884" s="920"/>
      <c r="AK884" s="920"/>
      <c r="AL884" s="905"/>
      <c r="AM884" s="906"/>
      <c r="AN884" s="906"/>
      <c r="AO884" s="906"/>
      <c r="AP884" s="906"/>
      <c r="AQ884" s="906"/>
      <c r="AR884" s="906"/>
      <c r="AS884" s="906"/>
      <c r="AT884" s="906"/>
      <c r="AU884" s="906"/>
      <c r="AV884" s="906"/>
      <c r="AW884" s="906"/>
      <c r="AX884" s="906"/>
      <c r="AY884" s="906"/>
      <c r="AZ884" s="906"/>
      <c r="BA884" s="906"/>
      <c r="BB884" s="907"/>
    </row>
    <row r="885" spans="1:54" x14ac:dyDescent="0.25">
      <c r="A885" s="13">
        <f t="shared" si="13"/>
        <v>872</v>
      </c>
      <c r="B885" s="914" t="str">
        <f>'refer admin discharge'!B881</f>
        <v>x</v>
      </c>
      <c r="C885" s="914"/>
      <c r="D885" s="889" t="str">
        <f>'refer admin discharge'!D881</f>
        <v>xx</v>
      </c>
      <c r="E885" s="889"/>
      <c r="F885" s="915" t="str">
        <f>'refer admin discharge'!H881</f>
        <v>00/00/0000</v>
      </c>
      <c r="G885" s="890"/>
      <c r="H885" s="916"/>
      <c r="I885" s="916"/>
      <c r="J885" s="917"/>
      <c r="K885" s="917"/>
      <c r="L885" s="916"/>
      <c r="M885" s="916"/>
      <c r="N885" s="893"/>
      <c r="O885" s="893"/>
      <c r="P885" s="916"/>
      <c r="Q885" s="916"/>
      <c r="R885" s="893"/>
      <c r="S885" s="893"/>
      <c r="T885" s="916"/>
      <c r="U885" s="916"/>
      <c r="V885" s="921" t="str">
        <f>'refer admin discharge'!H886</f>
        <v>00/00/0000</v>
      </c>
      <c r="W885" s="922"/>
      <c r="X885" s="912"/>
      <c r="Y885" s="912"/>
      <c r="Z885" s="924"/>
      <c r="AA885" s="924"/>
      <c r="AB885" s="912"/>
      <c r="AC885" s="912"/>
      <c r="AD885" s="913"/>
      <c r="AE885" s="913"/>
      <c r="AF885" s="912"/>
      <c r="AG885" s="912"/>
      <c r="AH885" s="913"/>
      <c r="AI885" s="913"/>
      <c r="AJ885" s="912"/>
      <c r="AK885" s="912"/>
      <c r="AL885" s="925"/>
      <c r="AM885" s="926"/>
      <c r="AN885" s="926"/>
      <c r="AO885" s="926"/>
      <c r="AP885" s="926"/>
      <c r="AQ885" s="926"/>
      <c r="AR885" s="926"/>
      <c r="AS885" s="926"/>
      <c r="AT885" s="926"/>
      <c r="AU885" s="926"/>
      <c r="AV885" s="926"/>
      <c r="AW885" s="926"/>
      <c r="AX885" s="926"/>
      <c r="AY885" s="926"/>
      <c r="AZ885" s="926"/>
      <c r="BA885" s="926"/>
      <c r="BB885" s="927"/>
    </row>
    <row r="886" spans="1:54" x14ac:dyDescent="0.25">
      <c r="A886" s="13">
        <f t="shared" si="13"/>
        <v>873</v>
      </c>
      <c r="B886" s="888" t="str">
        <f>'refer admin discharge'!B882</f>
        <v>x</v>
      </c>
      <c r="C886" s="888"/>
      <c r="D886" s="868" t="str">
        <f>'refer admin discharge'!D882</f>
        <v>xx</v>
      </c>
      <c r="E886" s="868"/>
      <c r="F886" s="891" t="str">
        <f>'refer admin discharge'!H882</f>
        <v>00/00/0000</v>
      </c>
      <c r="G886" s="892"/>
      <c r="H886" s="894"/>
      <c r="I886" s="894"/>
      <c r="J886" s="918"/>
      <c r="K886" s="918"/>
      <c r="L886" s="894"/>
      <c r="M886" s="894"/>
      <c r="N886" s="916"/>
      <c r="O886" s="916"/>
      <c r="P886" s="894"/>
      <c r="Q886" s="894"/>
      <c r="R886" s="916"/>
      <c r="S886" s="916"/>
      <c r="T886" s="894"/>
      <c r="U886" s="894"/>
      <c r="V886" s="921" t="str">
        <f>'refer admin discharge'!H887</f>
        <v>00/00/0000</v>
      </c>
      <c r="W886" s="922"/>
      <c r="X886" s="920"/>
      <c r="Y886" s="920"/>
      <c r="Z886" s="919"/>
      <c r="AA886" s="919"/>
      <c r="AB886" s="920"/>
      <c r="AC886" s="920"/>
      <c r="AD886" s="912"/>
      <c r="AE886" s="912"/>
      <c r="AF886" s="920"/>
      <c r="AG886" s="920"/>
      <c r="AH886" s="912"/>
      <c r="AI886" s="912"/>
      <c r="AJ886" s="920"/>
      <c r="AK886" s="920"/>
      <c r="AL886" s="905"/>
      <c r="AM886" s="906"/>
      <c r="AN886" s="906"/>
      <c r="AO886" s="906"/>
      <c r="AP886" s="906"/>
      <c r="AQ886" s="906"/>
      <c r="AR886" s="906"/>
      <c r="AS886" s="906"/>
      <c r="AT886" s="906"/>
      <c r="AU886" s="906"/>
      <c r="AV886" s="906"/>
      <c r="AW886" s="906"/>
      <c r="AX886" s="906"/>
      <c r="AY886" s="906"/>
      <c r="AZ886" s="906"/>
      <c r="BA886" s="906"/>
      <c r="BB886" s="907"/>
    </row>
    <row r="887" spans="1:54" x14ac:dyDescent="0.25">
      <c r="A887" s="13">
        <f t="shared" si="13"/>
        <v>874</v>
      </c>
      <c r="B887" s="914" t="str">
        <f>'refer admin discharge'!B883</f>
        <v>x</v>
      </c>
      <c r="C887" s="914"/>
      <c r="D887" s="889" t="str">
        <f>'refer admin discharge'!D883</f>
        <v>xx</v>
      </c>
      <c r="E887" s="889"/>
      <c r="F887" s="915" t="str">
        <f>'refer admin discharge'!H883</f>
        <v>00/00/0000</v>
      </c>
      <c r="G887" s="890"/>
      <c r="H887" s="916"/>
      <c r="I887" s="916"/>
      <c r="J887" s="917"/>
      <c r="K887" s="917"/>
      <c r="L887" s="916"/>
      <c r="M887" s="916"/>
      <c r="N887" s="893"/>
      <c r="O887" s="893"/>
      <c r="P887" s="916"/>
      <c r="Q887" s="916"/>
      <c r="R887" s="893"/>
      <c r="S887" s="893"/>
      <c r="T887" s="916"/>
      <c r="U887" s="916"/>
      <c r="V887" s="921" t="str">
        <f>'refer admin discharge'!H888</f>
        <v>00/00/0000</v>
      </c>
      <c r="W887" s="922"/>
      <c r="X887" s="912"/>
      <c r="Y887" s="912"/>
      <c r="Z887" s="924"/>
      <c r="AA887" s="924"/>
      <c r="AB887" s="912"/>
      <c r="AC887" s="912"/>
      <c r="AD887" s="913"/>
      <c r="AE887" s="913"/>
      <c r="AF887" s="912"/>
      <c r="AG887" s="912"/>
      <c r="AH887" s="913"/>
      <c r="AI887" s="913"/>
      <c r="AJ887" s="912"/>
      <c r="AK887" s="912"/>
      <c r="AL887" s="925"/>
      <c r="AM887" s="926"/>
      <c r="AN887" s="926"/>
      <c r="AO887" s="926"/>
      <c r="AP887" s="926"/>
      <c r="AQ887" s="926"/>
      <c r="AR887" s="926"/>
      <c r="AS887" s="926"/>
      <c r="AT887" s="926"/>
      <c r="AU887" s="926"/>
      <c r="AV887" s="926"/>
      <c r="AW887" s="926"/>
      <c r="AX887" s="926"/>
      <c r="AY887" s="926"/>
      <c r="AZ887" s="926"/>
      <c r="BA887" s="926"/>
      <c r="BB887" s="927"/>
    </row>
    <row r="888" spans="1:54" x14ac:dyDescent="0.25">
      <c r="A888" s="13">
        <f t="shared" si="13"/>
        <v>875</v>
      </c>
      <c r="B888" s="888" t="str">
        <f>'refer admin discharge'!B884</f>
        <v>x</v>
      </c>
      <c r="C888" s="888"/>
      <c r="D888" s="868" t="str">
        <f>'refer admin discharge'!D884</f>
        <v>xx</v>
      </c>
      <c r="E888" s="868"/>
      <c r="F888" s="891" t="str">
        <f>'refer admin discharge'!H884</f>
        <v>00/00/0000</v>
      </c>
      <c r="G888" s="892"/>
      <c r="H888" s="894"/>
      <c r="I888" s="894"/>
      <c r="J888" s="918"/>
      <c r="K888" s="918"/>
      <c r="L888" s="894"/>
      <c r="M888" s="894"/>
      <c r="N888" s="916"/>
      <c r="O888" s="916"/>
      <c r="P888" s="894"/>
      <c r="Q888" s="894"/>
      <c r="R888" s="916"/>
      <c r="S888" s="916"/>
      <c r="T888" s="894"/>
      <c r="U888" s="894"/>
      <c r="V888" s="921" t="str">
        <f>'refer admin discharge'!H889</f>
        <v>00/00/0000</v>
      </c>
      <c r="W888" s="922"/>
      <c r="X888" s="920"/>
      <c r="Y888" s="920"/>
      <c r="Z888" s="919"/>
      <c r="AA888" s="919"/>
      <c r="AB888" s="920"/>
      <c r="AC888" s="920"/>
      <c r="AD888" s="912"/>
      <c r="AE888" s="912"/>
      <c r="AF888" s="920"/>
      <c r="AG888" s="920"/>
      <c r="AH888" s="912"/>
      <c r="AI888" s="912"/>
      <c r="AJ888" s="920"/>
      <c r="AK888" s="920"/>
      <c r="AL888" s="905"/>
      <c r="AM888" s="906"/>
      <c r="AN888" s="906"/>
      <c r="AO888" s="906"/>
      <c r="AP888" s="906"/>
      <c r="AQ888" s="906"/>
      <c r="AR888" s="906"/>
      <c r="AS888" s="906"/>
      <c r="AT888" s="906"/>
      <c r="AU888" s="906"/>
      <c r="AV888" s="906"/>
      <c r="AW888" s="906"/>
      <c r="AX888" s="906"/>
      <c r="AY888" s="906"/>
      <c r="AZ888" s="906"/>
      <c r="BA888" s="906"/>
      <c r="BB888" s="907"/>
    </row>
    <row r="889" spans="1:54" x14ac:dyDescent="0.25">
      <c r="A889" s="13">
        <f t="shared" si="13"/>
        <v>876</v>
      </c>
      <c r="B889" s="914" t="str">
        <f>'refer admin discharge'!B885</f>
        <v>x</v>
      </c>
      <c r="C889" s="914"/>
      <c r="D889" s="889" t="str">
        <f>'refer admin discharge'!D885</f>
        <v>xx</v>
      </c>
      <c r="E889" s="889"/>
      <c r="F889" s="915" t="str">
        <f>'refer admin discharge'!H885</f>
        <v>00/00/0000</v>
      </c>
      <c r="G889" s="890"/>
      <c r="H889" s="916"/>
      <c r="I889" s="916"/>
      <c r="J889" s="917"/>
      <c r="K889" s="917"/>
      <c r="L889" s="916"/>
      <c r="M889" s="916"/>
      <c r="N889" s="893"/>
      <c r="O889" s="893"/>
      <c r="P889" s="916"/>
      <c r="Q889" s="916"/>
      <c r="R889" s="893"/>
      <c r="S889" s="893"/>
      <c r="T889" s="916"/>
      <c r="U889" s="916"/>
      <c r="V889" s="921" t="str">
        <f>'refer admin discharge'!H890</f>
        <v>00/00/0000</v>
      </c>
      <c r="W889" s="922"/>
      <c r="X889" s="912"/>
      <c r="Y889" s="912"/>
      <c r="Z889" s="924"/>
      <c r="AA889" s="924"/>
      <c r="AB889" s="912"/>
      <c r="AC889" s="912"/>
      <c r="AD889" s="913"/>
      <c r="AE889" s="913"/>
      <c r="AF889" s="912"/>
      <c r="AG889" s="912"/>
      <c r="AH889" s="913"/>
      <c r="AI889" s="913"/>
      <c r="AJ889" s="912"/>
      <c r="AK889" s="912"/>
      <c r="AL889" s="925"/>
      <c r="AM889" s="926"/>
      <c r="AN889" s="926"/>
      <c r="AO889" s="926"/>
      <c r="AP889" s="926"/>
      <c r="AQ889" s="926"/>
      <c r="AR889" s="926"/>
      <c r="AS889" s="926"/>
      <c r="AT889" s="926"/>
      <c r="AU889" s="926"/>
      <c r="AV889" s="926"/>
      <c r="AW889" s="926"/>
      <c r="AX889" s="926"/>
      <c r="AY889" s="926"/>
      <c r="AZ889" s="926"/>
      <c r="BA889" s="926"/>
      <c r="BB889" s="927"/>
    </row>
    <row r="890" spans="1:54" x14ac:dyDescent="0.25">
      <c r="A890" s="13">
        <f t="shared" si="13"/>
        <v>877</v>
      </c>
      <c r="B890" s="888" t="str">
        <f>'refer admin discharge'!B886</f>
        <v>x</v>
      </c>
      <c r="C890" s="888"/>
      <c r="D890" s="868" t="str">
        <f>'refer admin discharge'!D886</f>
        <v>xx</v>
      </c>
      <c r="E890" s="868"/>
      <c r="F890" s="891" t="str">
        <f>'refer admin discharge'!H886</f>
        <v>00/00/0000</v>
      </c>
      <c r="G890" s="892"/>
      <c r="H890" s="894"/>
      <c r="I890" s="894"/>
      <c r="J890" s="918"/>
      <c r="K890" s="918"/>
      <c r="L890" s="894"/>
      <c r="M890" s="894"/>
      <c r="N890" s="916"/>
      <c r="O890" s="916"/>
      <c r="P890" s="894"/>
      <c r="Q890" s="894"/>
      <c r="R890" s="916"/>
      <c r="S890" s="916"/>
      <c r="T890" s="894"/>
      <c r="U890" s="894"/>
      <c r="V890" s="921" t="str">
        <f>'refer admin discharge'!H891</f>
        <v>00/00/0000</v>
      </c>
      <c r="W890" s="922"/>
      <c r="X890" s="920"/>
      <c r="Y890" s="920"/>
      <c r="Z890" s="919"/>
      <c r="AA890" s="919"/>
      <c r="AB890" s="920"/>
      <c r="AC890" s="920"/>
      <c r="AD890" s="912"/>
      <c r="AE890" s="912"/>
      <c r="AF890" s="920"/>
      <c r="AG890" s="920"/>
      <c r="AH890" s="912"/>
      <c r="AI890" s="912"/>
      <c r="AJ890" s="920"/>
      <c r="AK890" s="920"/>
      <c r="AL890" s="905"/>
      <c r="AM890" s="906"/>
      <c r="AN890" s="906"/>
      <c r="AO890" s="906"/>
      <c r="AP890" s="906"/>
      <c r="AQ890" s="906"/>
      <c r="AR890" s="906"/>
      <c r="AS890" s="906"/>
      <c r="AT890" s="906"/>
      <c r="AU890" s="906"/>
      <c r="AV890" s="906"/>
      <c r="AW890" s="906"/>
      <c r="AX890" s="906"/>
      <c r="AY890" s="906"/>
      <c r="AZ890" s="906"/>
      <c r="BA890" s="906"/>
      <c r="BB890" s="907"/>
    </row>
    <row r="891" spans="1:54" x14ac:dyDescent="0.25">
      <c r="A891" s="13">
        <f t="shared" si="13"/>
        <v>878</v>
      </c>
      <c r="B891" s="914" t="str">
        <f>'refer admin discharge'!B887</f>
        <v>x</v>
      </c>
      <c r="C891" s="914"/>
      <c r="D891" s="889" t="str">
        <f>'refer admin discharge'!D887</f>
        <v>xx</v>
      </c>
      <c r="E891" s="889"/>
      <c r="F891" s="915" t="str">
        <f>'refer admin discharge'!H887</f>
        <v>00/00/0000</v>
      </c>
      <c r="G891" s="890"/>
      <c r="H891" s="916"/>
      <c r="I891" s="916"/>
      <c r="J891" s="917"/>
      <c r="K891" s="917"/>
      <c r="L891" s="916"/>
      <c r="M891" s="916"/>
      <c r="N891" s="893"/>
      <c r="O891" s="893"/>
      <c r="P891" s="916"/>
      <c r="Q891" s="916"/>
      <c r="R891" s="893"/>
      <c r="S891" s="893"/>
      <c r="T891" s="916"/>
      <c r="U891" s="916"/>
      <c r="V891" s="921" t="str">
        <f>'refer admin discharge'!H892</f>
        <v>00/00/0000</v>
      </c>
      <c r="W891" s="922"/>
      <c r="X891" s="912"/>
      <c r="Y891" s="912"/>
      <c r="Z891" s="924"/>
      <c r="AA891" s="924"/>
      <c r="AB891" s="912"/>
      <c r="AC891" s="912"/>
      <c r="AD891" s="913"/>
      <c r="AE891" s="913"/>
      <c r="AF891" s="912"/>
      <c r="AG891" s="912"/>
      <c r="AH891" s="913"/>
      <c r="AI891" s="913"/>
      <c r="AJ891" s="912"/>
      <c r="AK891" s="912"/>
      <c r="AL891" s="925"/>
      <c r="AM891" s="926"/>
      <c r="AN891" s="926"/>
      <c r="AO891" s="926"/>
      <c r="AP891" s="926"/>
      <c r="AQ891" s="926"/>
      <c r="AR891" s="926"/>
      <c r="AS891" s="926"/>
      <c r="AT891" s="926"/>
      <c r="AU891" s="926"/>
      <c r="AV891" s="926"/>
      <c r="AW891" s="926"/>
      <c r="AX891" s="926"/>
      <c r="AY891" s="926"/>
      <c r="AZ891" s="926"/>
      <c r="BA891" s="926"/>
      <c r="BB891" s="927"/>
    </row>
    <row r="892" spans="1:54" x14ac:dyDescent="0.25">
      <c r="A892" s="13">
        <f t="shared" si="13"/>
        <v>879</v>
      </c>
      <c r="B892" s="888" t="str">
        <f>'refer admin discharge'!B888</f>
        <v>x</v>
      </c>
      <c r="C892" s="888"/>
      <c r="D892" s="868" t="str">
        <f>'refer admin discharge'!D888</f>
        <v>xx</v>
      </c>
      <c r="E892" s="868"/>
      <c r="F892" s="891" t="str">
        <f>'refer admin discharge'!H888</f>
        <v>00/00/0000</v>
      </c>
      <c r="G892" s="892"/>
      <c r="H892" s="894"/>
      <c r="I892" s="894"/>
      <c r="J892" s="918"/>
      <c r="K892" s="918"/>
      <c r="L892" s="894"/>
      <c r="M892" s="894"/>
      <c r="N892" s="916"/>
      <c r="O892" s="916"/>
      <c r="P892" s="894"/>
      <c r="Q892" s="894"/>
      <c r="R892" s="916"/>
      <c r="S892" s="916"/>
      <c r="T892" s="894"/>
      <c r="U892" s="894"/>
      <c r="V892" s="921" t="str">
        <f>'refer admin discharge'!H893</f>
        <v>00/00/0000</v>
      </c>
      <c r="W892" s="922"/>
      <c r="X892" s="920"/>
      <c r="Y892" s="920"/>
      <c r="Z892" s="919"/>
      <c r="AA892" s="919"/>
      <c r="AB892" s="920"/>
      <c r="AC892" s="920"/>
      <c r="AD892" s="912"/>
      <c r="AE892" s="912"/>
      <c r="AF892" s="920"/>
      <c r="AG892" s="920"/>
      <c r="AH892" s="912"/>
      <c r="AI892" s="912"/>
      <c r="AJ892" s="920"/>
      <c r="AK892" s="920"/>
      <c r="AL892" s="905"/>
      <c r="AM892" s="906"/>
      <c r="AN892" s="906"/>
      <c r="AO892" s="906"/>
      <c r="AP892" s="906"/>
      <c r="AQ892" s="906"/>
      <c r="AR892" s="906"/>
      <c r="AS892" s="906"/>
      <c r="AT892" s="906"/>
      <c r="AU892" s="906"/>
      <c r="AV892" s="906"/>
      <c r="AW892" s="906"/>
      <c r="AX892" s="906"/>
      <c r="AY892" s="906"/>
      <c r="AZ892" s="906"/>
      <c r="BA892" s="906"/>
      <c r="BB892" s="907"/>
    </row>
    <row r="893" spans="1:54" x14ac:dyDescent="0.25">
      <c r="A893" s="13">
        <f t="shared" si="13"/>
        <v>880</v>
      </c>
      <c r="B893" s="914" t="str">
        <f>'refer admin discharge'!B889</f>
        <v>x</v>
      </c>
      <c r="C893" s="914"/>
      <c r="D893" s="889" t="str">
        <f>'refer admin discharge'!D889</f>
        <v>xx</v>
      </c>
      <c r="E893" s="889"/>
      <c r="F893" s="915" t="str">
        <f>'refer admin discharge'!H889</f>
        <v>00/00/0000</v>
      </c>
      <c r="G893" s="890"/>
      <c r="H893" s="916"/>
      <c r="I893" s="916"/>
      <c r="J893" s="917"/>
      <c r="K893" s="917"/>
      <c r="L893" s="916"/>
      <c r="M893" s="916"/>
      <c r="N893" s="893"/>
      <c r="O893" s="893"/>
      <c r="P893" s="916"/>
      <c r="Q893" s="916"/>
      <c r="R893" s="893"/>
      <c r="S893" s="893"/>
      <c r="T893" s="916"/>
      <c r="U893" s="916"/>
      <c r="V893" s="921" t="str">
        <f>'refer admin discharge'!H894</f>
        <v>00/00/0000</v>
      </c>
      <c r="W893" s="922"/>
      <c r="X893" s="912"/>
      <c r="Y893" s="912"/>
      <c r="Z893" s="924"/>
      <c r="AA893" s="924"/>
      <c r="AB893" s="912"/>
      <c r="AC893" s="912"/>
      <c r="AD893" s="913"/>
      <c r="AE893" s="913"/>
      <c r="AF893" s="912"/>
      <c r="AG893" s="912"/>
      <c r="AH893" s="913"/>
      <c r="AI893" s="913"/>
      <c r="AJ893" s="912"/>
      <c r="AK893" s="912"/>
      <c r="AL893" s="925"/>
      <c r="AM893" s="926"/>
      <c r="AN893" s="926"/>
      <c r="AO893" s="926"/>
      <c r="AP893" s="926"/>
      <c r="AQ893" s="926"/>
      <c r="AR893" s="926"/>
      <c r="AS893" s="926"/>
      <c r="AT893" s="926"/>
      <c r="AU893" s="926"/>
      <c r="AV893" s="926"/>
      <c r="AW893" s="926"/>
      <c r="AX893" s="926"/>
      <c r="AY893" s="926"/>
      <c r="AZ893" s="926"/>
      <c r="BA893" s="926"/>
      <c r="BB893" s="927"/>
    </row>
    <row r="894" spans="1:54" x14ac:dyDescent="0.25">
      <c r="A894" s="13">
        <f t="shared" si="13"/>
        <v>881</v>
      </c>
      <c r="B894" s="888" t="str">
        <f>'refer admin discharge'!B890</f>
        <v>x</v>
      </c>
      <c r="C894" s="888"/>
      <c r="D894" s="868" t="str">
        <f>'refer admin discharge'!D890</f>
        <v>xx</v>
      </c>
      <c r="E894" s="868"/>
      <c r="F894" s="891" t="str">
        <f>'refer admin discharge'!H890</f>
        <v>00/00/0000</v>
      </c>
      <c r="G894" s="892"/>
      <c r="H894" s="894"/>
      <c r="I894" s="894"/>
      <c r="J894" s="918"/>
      <c r="K894" s="918"/>
      <c r="L894" s="894"/>
      <c r="M894" s="894"/>
      <c r="N894" s="916"/>
      <c r="O894" s="916"/>
      <c r="P894" s="894"/>
      <c r="Q894" s="894"/>
      <c r="R894" s="916"/>
      <c r="S894" s="916"/>
      <c r="T894" s="894"/>
      <c r="U894" s="894"/>
      <c r="V894" s="921" t="str">
        <f>'refer admin discharge'!H895</f>
        <v>00/00/0000</v>
      </c>
      <c r="W894" s="922"/>
      <c r="X894" s="920"/>
      <c r="Y894" s="920"/>
      <c r="Z894" s="919"/>
      <c r="AA894" s="919"/>
      <c r="AB894" s="920"/>
      <c r="AC894" s="920"/>
      <c r="AD894" s="912"/>
      <c r="AE894" s="912"/>
      <c r="AF894" s="920"/>
      <c r="AG894" s="920"/>
      <c r="AH894" s="912"/>
      <c r="AI894" s="912"/>
      <c r="AJ894" s="920"/>
      <c r="AK894" s="920"/>
      <c r="AL894" s="905"/>
      <c r="AM894" s="906"/>
      <c r="AN894" s="906"/>
      <c r="AO894" s="906"/>
      <c r="AP894" s="906"/>
      <c r="AQ894" s="906"/>
      <c r="AR894" s="906"/>
      <c r="AS894" s="906"/>
      <c r="AT894" s="906"/>
      <c r="AU894" s="906"/>
      <c r="AV894" s="906"/>
      <c r="AW894" s="906"/>
      <c r="AX894" s="906"/>
      <c r="AY894" s="906"/>
      <c r="AZ894" s="906"/>
      <c r="BA894" s="906"/>
      <c r="BB894" s="907"/>
    </row>
    <row r="895" spans="1:54" x14ac:dyDescent="0.25">
      <c r="A895" s="13">
        <f t="shared" si="13"/>
        <v>882</v>
      </c>
      <c r="B895" s="914" t="str">
        <f>'refer admin discharge'!B891</f>
        <v>x</v>
      </c>
      <c r="C895" s="914"/>
      <c r="D895" s="889" t="str">
        <f>'refer admin discharge'!D891</f>
        <v>xx</v>
      </c>
      <c r="E895" s="889"/>
      <c r="F895" s="915" t="str">
        <f>'refer admin discharge'!H891</f>
        <v>00/00/0000</v>
      </c>
      <c r="G895" s="890"/>
      <c r="H895" s="916"/>
      <c r="I895" s="916"/>
      <c r="J895" s="917"/>
      <c r="K895" s="917"/>
      <c r="L895" s="916"/>
      <c r="M895" s="916"/>
      <c r="N895" s="893"/>
      <c r="O895" s="893"/>
      <c r="P895" s="916"/>
      <c r="Q895" s="916"/>
      <c r="R895" s="893"/>
      <c r="S895" s="893"/>
      <c r="T895" s="916"/>
      <c r="U895" s="916"/>
      <c r="V895" s="921" t="str">
        <f>'refer admin discharge'!H896</f>
        <v>00/00/0000</v>
      </c>
      <c r="W895" s="922"/>
      <c r="X895" s="912"/>
      <c r="Y895" s="912"/>
      <c r="Z895" s="924"/>
      <c r="AA895" s="924"/>
      <c r="AB895" s="912"/>
      <c r="AC895" s="912"/>
      <c r="AD895" s="913"/>
      <c r="AE895" s="913"/>
      <c r="AF895" s="912"/>
      <c r="AG895" s="912"/>
      <c r="AH895" s="913"/>
      <c r="AI895" s="913"/>
      <c r="AJ895" s="912"/>
      <c r="AK895" s="912"/>
      <c r="AL895" s="925"/>
      <c r="AM895" s="926"/>
      <c r="AN895" s="926"/>
      <c r="AO895" s="926"/>
      <c r="AP895" s="926"/>
      <c r="AQ895" s="926"/>
      <c r="AR895" s="926"/>
      <c r="AS895" s="926"/>
      <c r="AT895" s="926"/>
      <c r="AU895" s="926"/>
      <c r="AV895" s="926"/>
      <c r="AW895" s="926"/>
      <c r="AX895" s="926"/>
      <c r="AY895" s="926"/>
      <c r="AZ895" s="926"/>
      <c r="BA895" s="926"/>
      <c r="BB895" s="927"/>
    </row>
    <row r="896" spans="1:54" x14ac:dyDescent="0.25">
      <c r="A896" s="13">
        <f t="shared" si="13"/>
        <v>883</v>
      </c>
      <c r="B896" s="888" t="str">
        <f>'refer admin discharge'!B892</f>
        <v>x</v>
      </c>
      <c r="C896" s="888"/>
      <c r="D896" s="868" t="str">
        <f>'refer admin discharge'!D892</f>
        <v>xx</v>
      </c>
      <c r="E896" s="868"/>
      <c r="F896" s="891" t="str">
        <f>'refer admin discharge'!H892</f>
        <v>00/00/0000</v>
      </c>
      <c r="G896" s="892"/>
      <c r="H896" s="894"/>
      <c r="I896" s="894"/>
      <c r="J896" s="918"/>
      <c r="K896" s="918"/>
      <c r="L896" s="894"/>
      <c r="M896" s="894"/>
      <c r="N896" s="916"/>
      <c r="O896" s="916"/>
      <c r="P896" s="894"/>
      <c r="Q896" s="894"/>
      <c r="R896" s="916"/>
      <c r="S896" s="916"/>
      <c r="T896" s="894"/>
      <c r="U896" s="894"/>
      <c r="V896" s="921" t="str">
        <f>'refer admin discharge'!H897</f>
        <v>00/00/0000</v>
      </c>
      <c r="W896" s="922"/>
      <c r="X896" s="920"/>
      <c r="Y896" s="920"/>
      <c r="Z896" s="919"/>
      <c r="AA896" s="919"/>
      <c r="AB896" s="920"/>
      <c r="AC896" s="920"/>
      <c r="AD896" s="912"/>
      <c r="AE896" s="912"/>
      <c r="AF896" s="920"/>
      <c r="AG896" s="920"/>
      <c r="AH896" s="912"/>
      <c r="AI896" s="912"/>
      <c r="AJ896" s="920"/>
      <c r="AK896" s="920"/>
      <c r="AL896" s="905"/>
      <c r="AM896" s="906"/>
      <c r="AN896" s="906"/>
      <c r="AO896" s="906"/>
      <c r="AP896" s="906"/>
      <c r="AQ896" s="906"/>
      <c r="AR896" s="906"/>
      <c r="AS896" s="906"/>
      <c r="AT896" s="906"/>
      <c r="AU896" s="906"/>
      <c r="AV896" s="906"/>
      <c r="AW896" s="906"/>
      <c r="AX896" s="906"/>
      <c r="AY896" s="906"/>
      <c r="AZ896" s="906"/>
      <c r="BA896" s="906"/>
      <c r="BB896" s="907"/>
    </row>
    <row r="897" spans="1:54" x14ac:dyDescent="0.25">
      <c r="A897" s="13">
        <f t="shared" si="13"/>
        <v>884</v>
      </c>
      <c r="B897" s="914" t="str">
        <f>'refer admin discharge'!B893</f>
        <v>x</v>
      </c>
      <c r="C897" s="914"/>
      <c r="D897" s="889" t="str">
        <f>'refer admin discharge'!D893</f>
        <v>xx</v>
      </c>
      <c r="E897" s="889"/>
      <c r="F897" s="915" t="str">
        <f>'refer admin discharge'!H893</f>
        <v>00/00/0000</v>
      </c>
      <c r="G897" s="890"/>
      <c r="H897" s="916"/>
      <c r="I897" s="916"/>
      <c r="J897" s="917"/>
      <c r="K897" s="917"/>
      <c r="L897" s="916"/>
      <c r="M897" s="916"/>
      <c r="N897" s="893"/>
      <c r="O897" s="893"/>
      <c r="P897" s="916"/>
      <c r="Q897" s="916"/>
      <c r="R897" s="893"/>
      <c r="S897" s="893"/>
      <c r="T897" s="916"/>
      <c r="U897" s="916"/>
      <c r="V897" s="921" t="str">
        <f>'refer admin discharge'!H898</f>
        <v>00/00/0000</v>
      </c>
      <c r="W897" s="922"/>
      <c r="X897" s="912"/>
      <c r="Y897" s="912"/>
      <c r="Z897" s="924"/>
      <c r="AA897" s="924"/>
      <c r="AB897" s="912"/>
      <c r="AC897" s="912"/>
      <c r="AD897" s="913"/>
      <c r="AE897" s="913"/>
      <c r="AF897" s="912"/>
      <c r="AG897" s="912"/>
      <c r="AH897" s="913"/>
      <c r="AI897" s="913"/>
      <c r="AJ897" s="912"/>
      <c r="AK897" s="912"/>
      <c r="AL897" s="925"/>
      <c r="AM897" s="926"/>
      <c r="AN897" s="926"/>
      <c r="AO897" s="926"/>
      <c r="AP897" s="926"/>
      <c r="AQ897" s="926"/>
      <c r="AR897" s="926"/>
      <c r="AS897" s="926"/>
      <c r="AT897" s="926"/>
      <c r="AU897" s="926"/>
      <c r="AV897" s="926"/>
      <c r="AW897" s="926"/>
      <c r="AX897" s="926"/>
      <c r="AY897" s="926"/>
      <c r="AZ897" s="926"/>
      <c r="BA897" s="926"/>
      <c r="BB897" s="927"/>
    </row>
    <row r="898" spans="1:54" x14ac:dyDescent="0.25">
      <c r="A898" s="13">
        <f t="shared" si="13"/>
        <v>885</v>
      </c>
      <c r="B898" s="888" t="str">
        <f>'refer admin discharge'!B894</f>
        <v>x</v>
      </c>
      <c r="C898" s="888"/>
      <c r="D898" s="868" t="str">
        <f>'refer admin discharge'!D894</f>
        <v>xx</v>
      </c>
      <c r="E898" s="868"/>
      <c r="F898" s="891" t="str">
        <f>'refer admin discharge'!H894</f>
        <v>00/00/0000</v>
      </c>
      <c r="G898" s="892"/>
      <c r="H898" s="894"/>
      <c r="I898" s="894"/>
      <c r="J898" s="918"/>
      <c r="K898" s="918"/>
      <c r="L898" s="894"/>
      <c r="M898" s="894"/>
      <c r="N898" s="916"/>
      <c r="O898" s="916"/>
      <c r="P898" s="894"/>
      <c r="Q898" s="894"/>
      <c r="R898" s="916"/>
      <c r="S898" s="916"/>
      <c r="T898" s="894"/>
      <c r="U898" s="894"/>
      <c r="V898" s="921" t="str">
        <f>'refer admin discharge'!H899</f>
        <v>00/00/0000</v>
      </c>
      <c r="W898" s="922"/>
      <c r="X898" s="920"/>
      <c r="Y898" s="920"/>
      <c r="Z898" s="919"/>
      <c r="AA898" s="919"/>
      <c r="AB898" s="920"/>
      <c r="AC898" s="920"/>
      <c r="AD898" s="912"/>
      <c r="AE898" s="912"/>
      <c r="AF898" s="920"/>
      <c r="AG898" s="920"/>
      <c r="AH898" s="912"/>
      <c r="AI898" s="912"/>
      <c r="AJ898" s="920"/>
      <c r="AK898" s="920"/>
      <c r="AL898" s="905"/>
      <c r="AM898" s="906"/>
      <c r="AN898" s="906"/>
      <c r="AO898" s="906"/>
      <c r="AP898" s="906"/>
      <c r="AQ898" s="906"/>
      <c r="AR898" s="906"/>
      <c r="AS898" s="906"/>
      <c r="AT898" s="906"/>
      <c r="AU898" s="906"/>
      <c r="AV898" s="906"/>
      <c r="AW898" s="906"/>
      <c r="AX898" s="906"/>
      <c r="AY898" s="906"/>
      <c r="AZ898" s="906"/>
      <c r="BA898" s="906"/>
      <c r="BB898" s="907"/>
    </row>
    <row r="899" spans="1:54" x14ac:dyDescent="0.25">
      <c r="A899" s="13">
        <f t="shared" si="13"/>
        <v>886</v>
      </c>
      <c r="B899" s="914" t="str">
        <f>'refer admin discharge'!B895</f>
        <v>x</v>
      </c>
      <c r="C899" s="914"/>
      <c r="D899" s="889" t="str">
        <f>'refer admin discharge'!D895</f>
        <v>xx</v>
      </c>
      <c r="E899" s="889"/>
      <c r="F899" s="915" t="str">
        <f>'refer admin discharge'!H895</f>
        <v>00/00/0000</v>
      </c>
      <c r="G899" s="890"/>
      <c r="H899" s="916"/>
      <c r="I899" s="916"/>
      <c r="J899" s="917"/>
      <c r="K899" s="917"/>
      <c r="L899" s="916"/>
      <c r="M899" s="916"/>
      <c r="N899" s="893"/>
      <c r="O899" s="893"/>
      <c r="P899" s="916"/>
      <c r="Q899" s="916"/>
      <c r="R899" s="893"/>
      <c r="S899" s="893"/>
      <c r="T899" s="916"/>
      <c r="U899" s="916"/>
      <c r="V899" s="921" t="str">
        <f>'refer admin discharge'!H900</f>
        <v>00/00/0000</v>
      </c>
      <c r="W899" s="922"/>
      <c r="X899" s="912"/>
      <c r="Y899" s="912"/>
      <c r="Z899" s="924"/>
      <c r="AA899" s="924"/>
      <c r="AB899" s="912"/>
      <c r="AC899" s="912"/>
      <c r="AD899" s="913"/>
      <c r="AE899" s="913"/>
      <c r="AF899" s="912"/>
      <c r="AG899" s="912"/>
      <c r="AH899" s="913"/>
      <c r="AI899" s="913"/>
      <c r="AJ899" s="912"/>
      <c r="AK899" s="912"/>
      <c r="AL899" s="925"/>
      <c r="AM899" s="926"/>
      <c r="AN899" s="926"/>
      <c r="AO899" s="926"/>
      <c r="AP899" s="926"/>
      <c r="AQ899" s="926"/>
      <c r="AR899" s="926"/>
      <c r="AS899" s="926"/>
      <c r="AT899" s="926"/>
      <c r="AU899" s="926"/>
      <c r="AV899" s="926"/>
      <c r="AW899" s="926"/>
      <c r="AX899" s="926"/>
      <c r="AY899" s="926"/>
      <c r="AZ899" s="926"/>
      <c r="BA899" s="926"/>
      <c r="BB899" s="927"/>
    </row>
    <row r="900" spans="1:54" x14ac:dyDescent="0.25">
      <c r="A900" s="13">
        <f t="shared" si="13"/>
        <v>887</v>
      </c>
      <c r="B900" s="888" t="str">
        <f>'refer admin discharge'!B896</f>
        <v>x</v>
      </c>
      <c r="C900" s="888"/>
      <c r="D900" s="868" t="str">
        <f>'refer admin discharge'!D896</f>
        <v>xx</v>
      </c>
      <c r="E900" s="868"/>
      <c r="F900" s="891" t="str">
        <f>'refer admin discharge'!H896</f>
        <v>00/00/0000</v>
      </c>
      <c r="G900" s="892"/>
      <c r="H900" s="894"/>
      <c r="I900" s="894"/>
      <c r="J900" s="918"/>
      <c r="K900" s="918"/>
      <c r="L900" s="894"/>
      <c r="M900" s="894"/>
      <c r="N900" s="916"/>
      <c r="O900" s="916"/>
      <c r="P900" s="894"/>
      <c r="Q900" s="894"/>
      <c r="R900" s="916"/>
      <c r="S900" s="916"/>
      <c r="T900" s="894"/>
      <c r="U900" s="894"/>
      <c r="V900" s="921" t="str">
        <f>'refer admin discharge'!H901</f>
        <v>00/00/0000</v>
      </c>
      <c r="W900" s="922"/>
      <c r="X900" s="920"/>
      <c r="Y900" s="920"/>
      <c r="Z900" s="919"/>
      <c r="AA900" s="919"/>
      <c r="AB900" s="920"/>
      <c r="AC900" s="920"/>
      <c r="AD900" s="912"/>
      <c r="AE900" s="912"/>
      <c r="AF900" s="920"/>
      <c r="AG900" s="920"/>
      <c r="AH900" s="912"/>
      <c r="AI900" s="912"/>
      <c r="AJ900" s="920"/>
      <c r="AK900" s="920"/>
      <c r="AL900" s="905"/>
      <c r="AM900" s="906"/>
      <c r="AN900" s="906"/>
      <c r="AO900" s="906"/>
      <c r="AP900" s="906"/>
      <c r="AQ900" s="906"/>
      <c r="AR900" s="906"/>
      <c r="AS900" s="906"/>
      <c r="AT900" s="906"/>
      <c r="AU900" s="906"/>
      <c r="AV900" s="906"/>
      <c r="AW900" s="906"/>
      <c r="AX900" s="906"/>
      <c r="AY900" s="906"/>
      <c r="AZ900" s="906"/>
      <c r="BA900" s="906"/>
      <c r="BB900" s="907"/>
    </row>
    <row r="901" spans="1:54" x14ac:dyDescent="0.25">
      <c r="A901" s="13">
        <f t="shared" si="13"/>
        <v>888</v>
      </c>
      <c r="B901" s="914" t="str">
        <f>'refer admin discharge'!B897</f>
        <v>x</v>
      </c>
      <c r="C901" s="914"/>
      <c r="D901" s="889" t="str">
        <f>'refer admin discharge'!D897</f>
        <v>xx</v>
      </c>
      <c r="E901" s="889"/>
      <c r="F901" s="915" t="str">
        <f>'refer admin discharge'!H897</f>
        <v>00/00/0000</v>
      </c>
      <c r="G901" s="890"/>
      <c r="H901" s="916"/>
      <c r="I901" s="916"/>
      <c r="J901" s="917"/>
      <c r="K901" s="917"/>
      <c r="L901" s="916"/>
      <c r="M901" s="916"/>
      <c r="N901" s="893"/>
      <c r="O901" s="893"/>
      <c r="P901" s="916"/>
      <c r="Q901" s="916"/>
      <c r="R901" s="893"/>
      <c r="S901" s="893"/>
      <c r="T901" s="916"/>
      <c r="U901" s="916"/>
      <c r="V901" s="921" t="str">
        <f>'refer admin discharge'!H902</f>
        <v>00/00/0000</v>
      </c>
      <c r="W901" s="922"/>
      <c r="X901" s="912"/>
      <c r="Y901" s="912"/>
      <c r="Z901" s="924"/>
      <c r="AA901" s="924"/>
      <c r="AB901" s="912"/>
      <c r="AC901" s="912"/>
      <c r="AD901" s="913"/>
      <c r="AE901" s="913"/>
      <c r="AF901" s="912"/>
      <c r="AG901" s="912"/>
      <c r="AH901" s="913"/>
      <c r="AI901" s="913"/>
      <c r="AJ901" s="912"/>
      <c r="AK901" s="912"/>
      <c r="AL901" s="925"/>
      <c r="AM901" s="926"/>
      <c r="AN901" s="926"/>
      <c r="AO901" s="926"/>
      <c r="AP901" s="926"/>
      <c r="AQ901" s="926"/>
      <c r="AR901" s="926"/>
      <c r="AS901" s="926"/>
      <c r="AT901" s="926"/>
      <c r="AU901" s="926"/>
      <c r="AV901" s="926"/>
      <c r="AW901" s="926"/>
      <c r="AX901" s="926"/>
      <c r="AY901" s="926"/>
      <c r="AZ901" s="926"/>
      <c r="BA901" s="926"/>
      <c r="BB901" s="927"/>
    </row>
    <row r="902" spans="1:54" x14ac:dyDescent="0.25">
      <c r="A902" s="13">
        <f t="shared" si="13"/>
        <v>889</v>
      </c>
      <c r="B902" s="888" t="str">
        <f>'refer admin discharge'!B898</f>
        <v>x</v>
      </c>
      <c r="C902" s="888"/>
      <c r="D902" s="868" t="str">
        <f>'refer admin discharge'!D898</f>
        <v>xx</v>
      </c>
      <c r="E902" s="868"/>
      <c r="F902" s="891" t="str">
        <f>'refer admin discharge'!H898</f>
        <v>00/00/0000</v>
      </c>
      <c r="G902" s="892"/>
      <c r="H902" s="894"/>
      <c r="I902" s="894"/>
      <c r="J902" s="918"/>
      <c r="K902" s="918"/>
      <c r="L902" s="894"/>
      <c r="M902" s="894"/>
      <c r="N902" s="916"/>
      <c r="O902" s="916"/>
      <c r="P902" s="894"/>
      <c r="Q902" s="894"/>
      <c r="R902" s="916"/>
      <c r="S902" s="916"/>
      <c r="T902" s="894"/>
      <c r="U902" s="894"/>
      <c r="V902" s="921" t="str">
        <f>'refer admin discharge'!H903</f>
        <v>00/00/0000</v>
      </c>
      <c r="W902" s="922"/>
      <c r="X902" s="920"/>
      <c r="Y902" s="920"/>
      <c r="Z902" s="919"/>
      <c r="AA902" s="919"/>
      <c r="AB902" s="920"/>
      <c r="AC902" s="920"/>
      <c r="AD902" s="912"/>
      <c r="AE902" s="912"/>
      <c r="AF902" s="920"/>
      <c r="AG902" s="920"/>
      <c r="AH902" s="912"/>
      <c r="AI902" s="912"/>
      <c r="AJ902" s="920"/>
      <c r="AK902" s="920"/>
      <c r="AL902" s="905"/>
      <c r="AM902" s="906"/>
      <c r="AN902" s="906"/>
      <c r="AO902" s="906"/>
      <c r="AP902" s="906"/>
      <c r="AQ902" s="906"/>
      <c r="AR902" s="906"/>
      <c r="AS902" s="906"/>
      <c r="AT902" s="906"/>
      <c r="AU902" s="906"/>
      <c r="AV902" s="906"/>
      <c r="AW902" s="906"/>
      <c r="AX902" s="906"/>
      <c r="AY902" s="906"/>
      <c r="AZ902" s="906"/>
      <c r="BA902" s="906"/>
      <c r="BB902" s="907"/>
    </row>
    <row r="903" spans="1:54" x14ac:dyDescent="0.25">
      <c r="A903" s="13">
        <f t="shared" si="13"/>
        <v>890</v>
      </c>
      <c r="B903" s="914" t="str">
        <f>'refer admin discharge'!B899</f>
        <v>x</v>
      </c>
      <c r="C903" s="914"/>
      <c r="D903" s="889" t="str">
        <f>'refer admin discharge'!D899</f>
        <v>xx</v>
      </c>
      <c r="E903" s="889"/>
      <c r="F903" s="915" t="str">
        <f>'refer admin discharge'!H899</f>
        <v>00/00/0000</v>
      </c>
      <c r="G903" s="890"/>
      <c r="H903" s="916"/>
      <c r="I903" s="916"/>
      <c r="J903" s="917"/>
      <c r="K903" s="917"/>
      <c r="L903" s="916"/>
      <c r="M903" s="916"/>
      <c r="N903" s="893"/>
      <c r="O903" s="893"/>
      <c r="P903" s="916"/>
      <c r="Q903" s="916"/>
      <c r="R903" s="893"/>
      <c r="S903" s="893"/>
      <c r="T903" s="916"/>
      <c r="U903" s="916"/>
      <c r="V903" s="921" t="str">
        <f>'refer admin discharge'!H904</f>
        <v>00/00/0000</v>
      </c>
      <c r="W903" s="922"/>
      <c r="X903" s="912"/>
      <c r="Y903" s="912"/>
      <c r="Z903" s="924"/>
      <c r="AA903" s="924"/>
      <c r="AB903" s="912"/>
      <c r="AC903" s="912"/>
      <c r="AD903" s="913"/>
      <c r="AE903" s="913"/>
      <c r="AF903" s="912"/>
      <c r="AG903" s="912"/>
      <c r="AH903" s="913"/>
      <c r="AI903" s="913"/>
      <c r="AJ903" s="912"/>
      <c r="AK903" s="912"/>
      <c r="AL903" s="925"/>
      <c r="AM903" s="926"/>
      <c r="AN903" s="926"/>
      <c r="AO903" s="926"/>
      <c r="AP903" s="926"/>
      <c r="AQ903" s="926"/>
      <c r="AR903" s="926"/>
      <c r="AS903" s="926"/>
      <c r="AT903" s="926"/>
      <c r="AU903" s="926"/>
      <c r="AV903" s="926"/>
      <c r="AW903" s="926"/>
      <c r="AX903" s="926"/>
      <c r="AY903" s="926"/>
      <c r="AZ903" s="926"/>
      <c r="BA903" s="926"/>
      <c r="BB903" s="927"/>
    </row>
    <row r="904" spans="1:54" x14ac:dyDescent="0.25">
      <c r="A904" s="13">
        <f t="shared" si="13"/>
        <v>891</v>
      </c>
      <c r="B904" s="888" t="str">
        <f>'refer admin discharge'!B900</f>
        <v>x</v>
      </c>
      <c r="C904" s="888"/>
      <c r="D904" s="868" t="str">
        <f>'refer admin discharge'!D900</f>
        <v>xx</v>
      </c>
      <c r="E904" s="868"/>
      <c r="F904" s="891" t="str">
        <f>'refer admin discharge'!H900</f>
        <v>00/00/0000</v>
      </c>
      <c r="G904" s="892"/>
      <c r="H904" s="894"/>
      <c r="I904" s="894"/>
      <c r="J904" s="918"/>
      <c r="K904" s="918"/>
      <c r="L904" s="894"/>
      <c r="M904" s="894"/>
      <c r="N904" s="916"/>
      <c r="O904" s="916"/>
      <c r="P904" s="894"/>
      <c r="Q904" s="894"/>
      <c r="R904" s="916"/>
      <c r="S904" s="916"/>
      <c r="T904" s="894"/>
      <c r="U904" s="894"/>
      <c r="V904" s="921" t="str">
        <f>'refer admin discharge'!H905</f>
        <v>00/00/0000</v>
      </c>
      <c r="W904" s="922"/>
      <c r="X904" s="920"/>
      <c r="Y904" s="920"/>
      <c r="Z904" s="919"/>
      <c r="AA904" s="919"/>
      <c r="AB904" s="920"/>
      <c r="AC904" s="920"/>
      <c r="AD904" s="912"/>
      <c r="AE904" s="912"/>
      <c r="AF904" s="920"/>
      <c r="AG904" s="920"/>
      <c r="AH904" s="912"/>
      <c r="AI904" s="912"/>
      <c r="AJ904" s="920"/>
      <c r="AK904" s="920"/>
      <c r="AL904" s="905"/>
      <c r="AM904" s="906"/>
      <c r="AN904" s="906"/>
      <c r="AO904" s="906"/>
      <c r="AP904" s="906"/>
      <c r="AQ904" s="906"/>
      <c r="AR904" s="906"/>
      <c r="AS904" s="906"/>
      <c r="AT904" s="906"/>
      <c r="AU904" s="906"/>
      <c r="AV904" s="906"/>
      <c r="AW904" s="906"/>
      <c r="AX904" s="906"/>
      <c r="AY904" s="906"/>
      <c r="AZ904" s="906"/>
      <c r="BA904" s="906"/>
      <c r="BB904" s="907"/>
    </row>
    <row r="905" spans="1:54" x14ac:dyDescent="0.25">
      <c r="A905" s="13">
        <f t="shared" si="13"/>
        <v>892</v>
      </c>
      <c r="B905" s="914" t="str">
        <f>'refer admin discharge'!B901</f>
        <v>x</v>
      </c>
      <c r="C905" s="914"/>
      <c r="D905" s="889" t="str">
        <f>'refer admin discharge'!D901</f>
        <v>xx</v>
      </c>
      <c r="E905" s="889"/>
      <c r="F905" s="915" t="str">
        <f>'refer admin discharge'!H901</f>
        <v>00/00/0000</v>
      </c>
      <c r="G905" s="890"/>
      <c r="H905" s="916"/>
      <c r="I905" s="916"/>
      <c r="J905" s="917"/>
      <c r="K905" s="917"/>
      <c r="L905" s="916"/>
      <c r="M905" s="916"/>
      <c r="N905" s="893"/>
      <c r="O905" s="893"/>
      <c r="P905" s="916"/>
      <c r="Q905" s="916"/>
      <c r="R905" s="893"/>
      <c r="S905" s="893"/>
      <c r="T905" s="916"/>
      <c r="U905" s="916"/>
      <c r="V905" s="921" t="str">
        <f>'refer admin discharge'!H906</f>
        <v>00/00/0000</v>
      </c>
      <c r="W905" s="922"/>
      <c r="X905" s="912"/>
      <c r="Y905" s="912"/>
      <c r="Z905" s="924"/>
      <c r="AA905" s="924"/>
      <c r="AB905" s="912"/>
      <c r="AC905" s="912"/>
      <c r="AD905" s="913"/>
      <c r="AE905" s="913"/>
      <c r="AF905" s="912"/>
      <c r="AG905" s="912"/>
      <c r="AH905" s="913"/>
      <c r="AI905" s="913"/>
      <c r="AJ905" s="912"/>
      <c r="AK905" s="912"/>
      <c r="AL905" s="925"/>
      <c r="AM905" s="926"/>
      <c r="AN905" s="926"/>
      <c r="AO905" s="926"/>
      <c r="AP905" s="926"/>
      <c r="AQ905" s="926"/>
      <c r="AR905" s="926"/>
      <c r="AS905" s="926"/>
      <c r="AT905" s="926"/>
      <c r="AU905" s="926"/>
      <c r="AV905" s="926"/>
      <c r="AW905" s="926"/>
      <c r="AX905" s="926"/>
      <c r="AY905" s="926"/>
      <c r="AZ905" s="926"/>
      <c r="BA905" s="926"/>
      <c r="BB905" s="927"/>
    </row>
    <row r="906" spans="1:54" x14ac:dyDescent="0.25">
      <c r="A906" s="13">
        <f t="shared" si="13"/>
        <v>893</v>
      </c>
      <c r="B906" s="888" t="str">
        <f>'refer admin discharge'!B902</f>
        <v>x</v>
      </c>
      <c r="C906" s="888"/>
      <c r="D906" s="868" t="str">
        <f>'refer admin discharge'!D902</f>
        <v>xx</v>
      </c>
      <c r="E906" s="868"/>
      <c r="F906" s="891" t="str">
        <f>'refer admin discharge'!H902</f>
        <v>00/00/0000</v>
      </c>
      <c r="G906" s="892"/>
      <c r="H906" s="894"/>
      <c r="I906" s="894"/>
      <c r="J906" s="918"/>
      <c r="K906" s="918"/>
      <c r="L906" s="894"/>
      <c r="M906" s="894"/>
      <c r="N906" s="916"/>
      <c r="O906" s="916"/>
      <c r="P906" s="894"/>
      <c r="Q906" s="894"/>
      <c r="R906" s="916"/>
      <c r="S906" s="916"/>
      <c r="T906" s="894"/>
      <c r="U906" s="894"/>
      <c r="V906" s="921" t="str">
        <f>'refer admin discharge'!H907</f>
        <v>00/00/0000</v>
      </c>
      <c r="W906" s="922"/>
      <c r="X906" s="920"/>
      <c r="Y906" s="920"/>
      <c r="Z906" s="919"/>
      <c r="AA906" s="919"/>
      <c r="AB906" s="920"/>
      <c r="AC906" s="920"/>
      <c r="AD906" s="912"/>
      <c r="AE906" s="912"/>
      <c r="AF906" s="920"/>
      <c r="AG906" s="920"/>
      <c r="AH906" s="912"/>
      <c r="AI906" s="912"/>
      <c r="AJ906" s="920"/>
      <c r="AK906" s="920"/>
      <c r="AL906" s="905"/>
      <c r="AM906" s="906"/>
      <c r="AN906" s="906"/>
      <c r="AO906" s="906"/>
      <c r="AP906" s="906"/>
      <c r="AQ906" s="906"/>
      <c r="AR906" s="906"/>
      <c r="AS906" s="906"/>
      <c r="AT906" s="906"/>
      <c r="AU906" s="906"/>
      <c r="AV906" s="906"/>
      <c r="AW906" s="906"/>
      <c r="AX906" s="906"/>
      <c r="AY906" s="906"/>
      <c r="AZ906" s="906"/>
      <c r="BA906" s="906"/>
      <c r="BB906" s="907"/>
    </row>
    <row r="907" spans="1:54" x14ac:dyDescent="0.25">
      <c r="A907" s="13">
        <f t="shared" si="13"/>
        <v>894</v>
      </c>
      <c r="B907" s="914" t="str">
        <f>'refer admin discharge'!B903</f>
        <v>x</v>
      </c>
      <c r="C907" s="914"/>
      <c r="D907" s="889" t="str">
        <f>'refer admin discharge'!D903</f>
        <v>xx</v>
      </c>
      <c r="E907" s="889"/>
      <c r="F907" s="915" t="str">
        <f>'refer admin discharge'!H903</f>
        <v>00/00/0000</v>
      </c>
      <c r="G907" s="890"/>
      <c r="H907" s="916"/>
      <c r="I907" s="916"/>
      <c r="J907" s="917"/>
      <c r="K907" s="917"/>
      <c r="L907" s="916"/>
      <c r="M907" s="916"/>
      <c r="N907" s="893"/>
      <c r="O907" s="893"/>
      <c r="P907" s="916"/>
      <c r="Q907" s="916"/>
      <c r="R907" s="893"/>
      <c r="S907" s="893"/>
      <c r="T907" s="916"/>
      <c r="U907" s="916"/>
      <c r="V907" s="921" t="str">
        <f>'refer admin discharge'!H908</f>
        <v>00/00/0000</v>
      </c>
      <c r="W907" s="922"/>
      <c r="X907" s="912"/>
      <c r="Y907" s="912"/>
      <c r="Z907" s="924"/>
      <c r="AA907" s="924"/>
      <c r="AB907" s="912"/>
      <c r="AC907" s="912"/>
      <c r="AD907" s="913"/>
      <c r="AE907" s="913"/>
      <c r="AF907" s="912"/>
      <c r="AG907" s="912"/>
      <c r="AH907" s="913"/>
      <c r="AI907" s="913"/>
      <c r="AJ907" s="912"/>
      <c r="AK907" s="912"/>
      <c r="AL907" s="925"/>
      <c r="AM907" s="926"/>
      <c r="AN907" s="926"/>
      <c r="AO907" s="926"/>
      <c r="AP907" s="926"/>
      <c r="AQ907" s="926"/>
      <c r="AR907" s="926"/>
      <c r="AS907" s="926"/>
      <c r="AT907" s="926"/>
      <c r="AU907" s="926"/>
      <c r="AV907" s="926"/>
      <c r="AW907" s="926"/>
      <c r="AX907" s="926"/>
      <c r="AY907" s="926"/>
      <c r="AZ907" s="926"/>
      <c r="BA907" s="926"/>
      <c r="BB907" s="927"/>
    </row>
    <row r="908" spans="1:54" x14ac:dyDescent="0.25">
      <c r="A908" s="13">
        <f t="shared" si="13"/>
        <v>895</v>
      </c>
      <c r="B908" s="888" t="str">
        <f>'refer admin discharge'!B904</f>
        <v>x</v>
      </c>
      <c r="C908" s="888"/>
      <c r="D908" s="868" t="str">
        <f>'refer admin discharge'!D904</f>
        <v>xx</v>
      </c>
      <c r="E908" s="868"/>
      <c r="F908" s="891" t="str">
        <f>'refer admin discharge'!H904</f>
        <v>00/00/0000</v>
      </c>
      <c r="G908" s="892"/>
      <c r="H908" s="894"/>
      <c r="I908" s="894"/>
      <c r="J908" s="918"/>
      <c r="K908" s="918"/>
      <c r="L908" s="894"/>
      <c r="M908" s="894"/>
      <c r="N908" s="916"/>
      <c r="O908" s="916"/>
      <c r="P908" s="894"/>
      <c r="Q908" s="894"/>
      <c r="R908" s="916"/>
      <c r="S908" s="916"/>
      <c r="T908" s="894"/>
      <c r="U908" s="894"/>
      <c r="V908" s="921" t="str">
        <f>'refer admin discharge'!H909</f>
        <v>00/00/0000</v>
      </c>
      <c r="W908" s="922"/>
      <c r="X908" s="920"/>
      <c r="Y908" s="920"/>
      <c r="Z908" s="919"/>
      <c r="AA908" s="919"/>
      <c r="AB908" s="920"/>
      <c r="AC908" s="920"/>
      <c r="AD908" s="912"/>
      <c r="AE908" s="912"/>
      <c r="AF908" s="920"/>
      <c r="AG908" s="920"/>
      <c r="AH908" s="912"/>
      <c r="AI908" s="912"/>
      <c r="AJ908" s="920"/>
      <c r="AK908" s="920"/>
      <c r="AL908" s="905"/>
      <c r="AM908" s="906"/>
      <c r="AN908" s="906"/>
      <c r="AO908" s="906"/>
      <c r="AP908" s="906"/>
      <c r="AQ908" s="906"/>
      <c r="AR908" s="906"/>
      <c r="AS908" s="906"/>
      <c r="AT908" s="906"/>
      <c r="AU908" s="906"/>
      <c r="AV908" s="906"/>
      <c r="AW908" s="906"/>
      <c r="AX908" s="906"/>
      <c r="AY908" s="906"/>
      <c r="AZ908" s="906"/>
      <c r="BA908" s="906"/>
      <c r="BB908" s="907"/>
    </row>
    <row r="909" spans="1:54" x14ac:dyDescent="0.25">
      <c r="A909" s="13">
        <f t="shared" si="13"/>
        <v>896</v>
      </c>
      <c r="B909" s="914" t="str">
        <f>'refer admin discharge'!B905</f>
        <v>x</v>
      </c>
      <c r="C909" s="914"/>
      <c r="D909" s="889" t="str">
        <f>'refer admin discharge'!D905</f>
        <v>xx</v>
      </c>
      <c r="E909" s="889"/>
      <c r="F909" s="915" t="str">
        <f>'refer admin discharge'!H905</f>
        <v>00/00/0000</v>
      </c>
      <c r="G909" s="890"/>
      <c r="H909" s="916"/>
      <c r="I909" s="916"/>
      <c r="J909" s="917"/>
      <c r="K909" s="917"/>
      <c r="L909" s="916"/>
      <c r="M909" s="916"/>
      <c r="N909" s="893"/>
      <c r="O909" s="893"/>
      <c r="P909" s="916"/>
      <c r="Q909" s="916"/>
      <c r="R909" s="893"/>
      <c r="S909" s="893"/>
      <c r="T909" s="916"/>
      <c r="U909" s="916"/>
      <c r="V909" s="921" t="str">
        <f>'refer admin discharge'!H910</f>
        <v>00/00/0000</v>
      </c>
      <c r="W909" s="922"/>
      <c r="X909" s="912"/>
      <c r="Y909" s="912"/>
      <c r="Z909" s="924"/>
      <c r="AA909" s="924"/>
      <c r="AB909" s="912"/>
      <c r="AC909" s="912"/>
      <c r="AD909" s="913"/>
      <c r="AE909" s="913"/>
      <c r="AF909" s="912"/>
      <c r="AG909" s="912"/>
      <c r="AH909" s="913"/>
      <c r="AI909" s="913"/>
      <c r="AJ909" s="912"/>
      <c r="AK909" s="912"/>
      <c r="AL909" s="925"/>
      <c r="AM909" s="926"/>
      <c r="AN909" s="926"/>
      <c r="AO909" s="926"/>
      <c r="AP909" s="926"/>
      <c r="AQ909" s="926"/>
      <c r="AR909" s="926"/>
      <c r="AS909" s="926"/>
      <c r="AT909" s="926"/>
      <c r="AU909" s="926"/>
      <c r="AV909" s="926"/>
      <c r="AW909" s="926"/>
      <c r="AX909" s="926"/>
      <c r="AY909" s="926"/>
      <c r="AZ909" s="926"/>
      <c r="BA909" s="926"/>
      <c r="BB909" s="927"/>
    </row>
    <row r="910" spans="1:54" x14ac:dyDescent="0.25">
      <c r="A910" s="13">
        <f t="shared" ref="A910:A973" si="14">ROW(A897)</f>
        <v>897</v>
      </c>
      <c r="B910" s="888" t="str">
        <f>'refer admin discharge'!B906</f>
        <v>x</v>
      </c>
      <c r="C910" s="888"/>
      <c r="D910" s="868" t="str">
        <f>'refer admin discharge'!D906</f>
        <v>xx</v>
      </c>
      <c r="E910" s="868"/>
      <c r="F910" s="891" t="str">
        <f>'refer admin discharge'!H906</f>
        <v>00/00/0000</v>
      </c>
      <c r="G910" s="892"/>
      <c r="H910" s="894"/>
      <c r="I910" s="894"/>
      <c r="J910" s="918"/>
      <c r="K910" s="918"/>
      <c r="L910" s="894"/>
      <c r="M910" s="894"/>
      <c r="N910" s="916"/>
      <c r="O910" s="916"/>
      <c r="P910" s="894"/>
      <c r="Q910" s="894"/>
      <c r="R910" s="916"/>
      <c r="S910" s="916"/>
      <c r="T910" s="894"/>
      <c r="U910" s="894"/>
      <c r="V910" s="921" t="str">
        <f>'refer admin discharge'!H911</f>
        <v>00/00/0000</v>
      </c>
      <c r="W910" s="922"/>
      <c r="X910" s="920"/>
      <c r="Y910" s="920"/>
      <c r="Z910" s="919"/>
      <c r="AA910" s="919"/>
      <c r="AB910" s="920"/>
      <c r="AC910" s="920"/>
      <c r="AD910" s="912"/>
      <c r="AE910" s="912"/>
      <c r="AF910" s="920"/>
      <c r="AG910" s="920"/>
      <c r="AH910" s="912"/>
      <c r="AI910" s="912"/>
      <c r="AJ910" s="920"/>
      <c r="AK910" s="920"/>
      <c r="AL910" s="905"/>
      <c r="AM910" s="906"/>
      <c r="AN910" s="906"/>
      <c r="AO910" s="906"/>
      <c r="AP910" s="906"/>
      <c r="AQ910" s="906"/>
      <c r="AR910" s="906"/>
      <c r="AS910" s="906"/>
      <c r="AT910" s="906"/>
      <c r="AU910" s="906"/>
      <c r="AV910" s="906"/>
      <c r="AW910" s="906"/>
      <c r="AX910" s="906"/>
      <c r="AY910" s="906"/>
      <c r="AZ910" s="906"/>
      <c r="BA910" s="906"/>
      <c r="BB910" s="907"/>
    </row>
    <row r="911" spans="1:54" x14ac:dyDescent="0.25">
      <c r="A911" s="13">
        <f t="shared" si="14"/>
        <v>898</v>
      </c>
      <c r="B911" s="914" t="str">
        <f>'refer admin discharge'!B907</f>
        <v>x</v>
      </c>
      <c r="C911" s="914"/>
      <c r="D911" s="889" t="str">
        <f>'refer admin discharge'!D907</f>
        <v>xx</v>
      </c>
      <c r="E911" s="889"/>
      <c r="F911" s="915" t="str">
        <f>'refer admin discharge'!H907</f>
        <v>00/00/0000</v>
      </c>
      <c r="G911" s="890"/>
      <c r="H911" s="916"/>
      <c r="I911" s="916"/>
      <c r="J911" s="917"/>
      <c r="K911" s="917"/>
      <c r="L911" s="916"/>
      <c r="M911" s="916"/>
      <c r="N911" s="893"/>
      <c r="O911" s="893"/>
      <c r="P911" s="916"/>
      <c r="Q911" s="916"/>
      <c r="R911" s="893"/>
      <c r="S911" s="893"/>
      <c r="T911" s="916"/>
      <c r="U911" s="916"/>
      <c r="V911" s="921" t="str">
        <f>'refer admin discharge'!H912</f>
        <v>00/00/0000</v>
      </c>
      <c r="W911" s="922"/>
      <c r="X911" s="912"/>
      <c r="Y911" s="912"/>
      <c r="Z911" s="924"/>
      <c r="AA911" s="924"/>
      <c r="AB911" s="912"/>
      <c r="AC911" s="912"/>
      <c r="AD911" s="913"/>
      <c r="AE911" s="913"/>
      <c r="AF911" s="912"/>
      <c r="AG911" s="912"/>
      <c r="AH911" s="913"/>
      <c r="AI911" s="913"/>
      <c r="AJ911" s="912"/>
      <c r="AK911" s="912"/>
      <c r="AL911" s="925"/>
      <c r="AM911" s="926"/>
      <c r="AN911" s="926"/>
      <c r="AO911" s="926"/>
      <c r="AP911" s="926"/>
      <c r="AQ911" s="926"/>
      <c r="AR911" s="926"/>
      <c r="AS911" s="926"/>
      <c r="AT911" s="926"/>
      <c r="AU911" s="926"/>
      <c r="AV911" s="926"/>
      <c r="AW911" s="926"/>
      <c r="AX911" s="926"/>
      <c r="AY911" s="926"/>
      <c r="AZ911" s="926"/>
      <c r="BA911" s="926"/>
      <c r="BB911" s="927"/>
    </row>
    <row r="912" spans="1:54" x14ac:dyDescent="0.25">
      <c r="A912" s="13">
        <f t="shared" si="14"/>
        <v>899</v>
      </c>
      <c r="B912" s="888" t="str">
        <f>'refer admin discharge'!B908</f>
        <v>x</v>
      </c>
      <c r="C912" s="888"/>
      <c r="D912" s="868" t="str">
        <f>'refer admin discharge'!D908</f>
        <v>xx</v>
      </c>
      <c r="E912" s="868"/>
      <c r="F912" s="891" t="str">
        <f>'refer admin discharge'!H908</f>
        <v>00/00/0000</v>
      </c>
      <c r="G912" s="892"/>
      <c r="H912" s="894"/>
      <c r="I912" s="894"/>
      <c r="J912" s="918"/>
      <c r="K912" s="918"/>
      <c r="L912" s="894"/>
      <c r="M912" s="894"/>
      <c r="N912" s="916"/>
      <c r="O912" s="916"/>
      <c r="P912" s="894"/>
      <c r="Q912" s="894"/>
      <c r="R912" s="916"/>
      <c r="S912" s="916"/>
      <c r="T912" s="894"/>
      <c r="U912" s="894"/>
      <c r="V912" s="921" t="str">
        <f>'refer admin discharge'!H913</f>
        <v>00/00/0000</v>
      </c>
      <c r="W912" s="922"/>
      <c r="X912" s="920"/>
      <c r="Y912" s="920"/>
      <c r="Z912" s="919"/>
      <c r="AA912" s="919"/>
      <c r="AB912" s="920"/>
      <c r="AC912" s="920"/>
      <c r="AD912" s="912"/>
      <c r="AE912" s="912"/>
      <c r="AF912" s="920"/>
      <c r="AG912" s="920"/>
      <c r="AH912" s="912"/>
      <c r="AI912" s="912"/>
      <c r="AJ912" s="920"/>
      <c r="AK912" s="920"/>
      <c r="AL912" s="905"/>
      <c r="AM912" s="906"/>
      <c r="AN912" s="906"/>
      <c r="AO912" s="906"/>
      <c r="AP912" s="906"/>
      <c r="AQ912" s="906"/>
      <c r="AR912" s="906"/>
      <c r="AS912" s="906"/>
      <c r="AT912" s="906"/>
      <c r="AU912" s="906"/>
      <c r="AV912" s="906"/>
      <c r="AW912" s="906"/>
      <c r="AX912" s="906"/>
      <c r="AY912" s="906"/>
      <c r="AZ912" s="906"/>
      <c r="BA912" s="906"/>
      <c r="BB912" s="907"/>
    </row>
    <row r="913" spans="1:54" x14ac:dyDescent="0.25">
      <c r="A913" s="13">
        <f t="shared" si="14"/>
        <v>900</v>
      </c>
      <c r="B913" s="914" t="str">
        <f>'refer admin discharge'!B909</f>
        <v>x</v>
      </c>
      <c r="C913" s="914"/>
      <c r="D913" s="889" t="str">
        <f>'refer admin discharge'!D909</f>
        <v>xx</v>
      </c>
      <c r="E913" s="889"/>
      <c r="F913" s="915" t="str">
        <f>'refer admin discharge'!H909</f>
        <v>00/00/0000</v>
      </c>
      <c r="G913" s="890"/>
      <c r="H913" s="916"/>
      <c r="I913" s="916"/>
      <c r="J913" s="917"/>
      <c r="K913" s="917"/>
      <c r="L913" s="916"/>
      <c r="M913" s="916"/>
      <c r="N913" s="893"/>
      <c r="O913" s="893"/>
      <c r="P913" s="916"/>
      <c r="Q913" s="916"/>
      <c r="R913" s="893"/>
      <c r="S913" s="893"/>
      <c r="T913" s="916"/>
      <c r="U913" s="916"/>
      <c r="V913" s="921" t="str">
        <f>'refer admin discharge'!H914</f>
        <v>00/00/0000</v>
      </c>
      <c r="W913" s="922"/>
      <c r="X913" s="912"/>
      <c r="Y913" s="912"/>
      <c r="Z913" s="924"/>
      <c r="AA913" s="924"/>
      <c r="AB913" s="912"/>
      <c r="AC913" s="912"/>
      <c r="AD913" s="913"/>
      <c r="AE913" s="913"/>
      <c r="AF913" s="912"/>
      <c r="AG913" s="912"/>
      <c r="AH913" s="913"/>
      <c r="AI913" s="913"/>
      <c r="AJ913" s="912"/>
      <c r="AK913" s="912"/>
      <c r="AL913" s="925"/>
      <c r="AM913" s="926"/>
      <c r="AN913" s="926"/>
      <c r="AO913" s="926"/>
      <c r="AP913" s="926"/>
      <c r="AQ913" s="926"/>
      <c r="AR913" s="926"/>
      <c r="AS913" s="926"/>
      <c r="AT913" s="926"/>
      <c r="AU913" s="926"/>
      <c r="AV913" s="926"/>
      <c r="AW913" s="926"/>
      <c r="AX913" s="926"/>
      <c r="AY913" s="926"/>
      <c r="AZ913" s="926"/>
      <c r="BA913" s="926"/>
      <c r="BB913" s="927"/>
    </row>
    <row r="914" spans="1:54" x14ac:dyDescent="0.25">
      <c r="A914" s="13">
        <f t="shared" si="14"/>
        <v>901</v>
      </c>
      <c r="B914" s="888" t="str">
        <f>'refer admin discharge'!B910</f>
        <v>x</v>
      </c>
      <c r="C914" s="888"/>
      <c r="D914" s="868" t="str">
        <f>'refer admin discharge'!D910</f>
        <v>xx</v>
      </c>
      <c r="E914" s="868"/>
      <c r="F914" s="891" t="str">
        <f>'refer admin discharge'!H910</f>
        <v>00/00/0000</v>
      </c>
      <c r="G914" s="892"/>
      <c r="H914" s="894"/>
      <c r="I914" s="894"/>
      <c r="J914" s="918"/>
      <c r="K914" s="918"/>
      <c r="L914" s="894"/>
      <c r="M914" s="894"/>
      <c r="N914" s="916"/>
      <c r="O914" s="916"/>
      <c r="P914" s="894"/>
      <c r="Q914" s="894"/>
      <c r="R914" s="916"/>
      <c r="S914" s="916"/>
      <c r="T914" s="894"/>
      <c r="U914" s="894"/>
      <c r="V914" s="921" t="str">
        <f>'refer admin discharge'!H915</f>
        <v>00/00/0000</v>
      </c>
      <c r="W914" s="922"/>
      <c r="X914" s="920"/>
      <c r="Y914" s="920"/>
      <c r="Z914" s="919"/>
      <c r="AA914" s="919"/>
      <c r="AB914" s="920"/>
      <c r="AC914" s="920"/>
      <c r="AD914" s="912"/>
      <c r="AE914" s="912"/>
      <c r="AF914" s="920"/>
      <c r="AG914" s="920"/>
      <c r="AH914" s="912"/>
      <c r="AI914" s="912"/>
      <c r="AJ914" s="920"/>
      <c r="AK914" s="920"/>
      <c r="AL914" s="905"/>
      <c r="AM914" s="906"/>
      <c r="AN914" s="906"/>
      <c r="AO914" s="906"/>
      <c r="AP914" s="906"/>
      <c r="AQ914" s="906"/>
      <c r="AR914" s="906"/>
      <c r="AS914" s="906"/>
      <c r="AT914" s="906"/>
      <c r="AU914" s="906"/>
      <c r="AV914" s="906"/>
      <c r="AW914" s="906"/>
      <c r="AX914" s="906"/>
      <c r="AY914" s="906"/>
      <c r="AZ914" s="906"/>
      <c r="BA914" s="906"/>
      <c r="BB914" s="907"/>
    </row>
    <row r="915" spans="1:54" x14ac:dyDescent="0.25">
      <c r="A915" s="13">
        <f t="shared" si="14"/>
        <v>902</v>
      </c>
      <c r="B915" s="914" t="str">
        <f>'refer admin discharge'!B911</f>
        <v>x</v>
      </c>
      <c r="C915" s="914"/>
      <c r="D915" s="889" t="str">
        <f>'refer admin discharge'!D911</f>
        <v>xx</v>
      </c>
      <c r="E915" s="889"/>
      <c r="F915" s="915" t="str">
        <f>'refer admin discharge'!H911</f>
        <v>00/00/0000</v>
      </c>
      <c r="G915" s="890"/>
      <c r="H915" s="916"/>
      <c r="I915" s="916"/>
      <c r="J915" s="917"/>
      <c r="K915" s="917"/>
      <c r="L915" s="916"/>
      <c r="M915" s="916"/>
      <c r="N915" s="893"/>
      <c r="O915" s="893"/>
      <c r="P915" s="916"/>
      <c r="Q915" s="916"/>
      <c r="R915" s="893"/>
      <c r="S915" s="893"/>
      <c r="T915" s="916"/>
      <c r="U915" s="916"/>
      <c r="V915" s="921" t="str">
        <f>'refer admin discharge'!H916</f>
        <v>00/00/0000</v>
      </c>
      <c r="W915" s="922"/>
      <c r="X915" s="912"/>
      <c r="Y915" s="912"/>
      <c r="Z915" s="924"/>
      <c r="AA915" s="924"/>
      <c r="AB915" s="912"/>
      <c r="AC915" s="912"/>
      <c r="AD915" s="913"/>
      <c r="AE915" s="913"/>
      <c r="AF915" s="912"/>
      <c r="AG915" s="912"/>
      <c r="AH915" s="913"/>
      <c r="AI915" s="913"/>
      <c r="AJ915" s="912"/>
      <c r="AK915" s="912"/>
      <c r="AL915" s="925"/>
      <c r="AM915" s="926"/>
      <c r="AN915" s="926"/>
      <c r="AO915" s="926"/>
      <c r="AP915" s="926"/>
      <c r="AQ915" s="926"/>
      <c r="AR915" s="926"/>
      <c r="AS915" s="926"/>
      <c r="AT915" s="926"/>
      <c r="AU915" s="926"/>
      <c r="AV915" s="926"/>
      <c r="AW915" s="926"/>
      <c r="AX915" s="926"/>
      <c r="AY915" s="926"/>
      <c r="AZ915" s="926"/>
      <c r="BA915" s="926"/>
      <c r="BB915" s="927"/>
    </row>
    <row r="916" spans="1:54" x14ac:dyDescent="0.25">
      <c r="A916" s="13">
        <f t="shared" si="14"/>
        <v>903</v>
      </c>
      <c r="B916" s="888" t="str">
        <f>'refer admin discharge'!B912</f>
        <v>x</v>
      </c>
      <c r="C916" s="888"/>
      <c r="D916" s="868" t="str">
        <f>'refer admin discharge'!D912</f>
        <v>xx</v>
      </c>
      <c r="E916" s="868"/>
      <c r="F916" s="891" t="str">
        <f>'refer admin discharge'!H912</f>
        <v>00/00/0000</v>
      </c>
      <c r="G916" s="892"/>
      <c r="H916" s="894"/>
      <c r="I916" s="894"/>
      <c r="J916" s="918"/>
      <c r="K916" s="918"/>
      <c r="L916" s="894"/>
      <c r="M916" s="894"/>
      <c r="N916" s="916"/>
      <c r="O916" s="916"/>
      <c r="P916" s="894"/>
      <c r="Q916" s="894"/>
      <c r="R916" s="916"/>
      <c r="S916" s="916"/>
      <c r="T916" s="894"/>
      <c r="U916" s="894"/>
      <c r="V916" s="921" t="str">
        <f>'refer admin discharge'!H917</f>
        <v>00/00/0000</v>
      </c>
      <c r="W916" s="922"/>
      <c r="X916" s="920"/>
      <c r="Y916" s="920"/>
      <c r="Z916" s="919"/>
      <c r="AA916" s="919"/>
      <c r="AB916" s="920"/>
      <c r="AC916" s="920"/>
      <c r="AD916" s="912"/>
      <c r="AE916" s="912"/>
      <c r="AF916" s="920"/>
      <c r="AG916" s="920"/>
      <c r="AH916" s="912"/>
      <c r="AI916" s="912"/>
      <c r="AJ916" s="920"/>
      <c r="AK916" s="920"/>
      <c r="AL916" s="905"/>
      <c r="AM916" s="906"/>
      <c r="AN916" s="906"/>
      <c r="AO916" s="906"/>
      <c r="AP916" s="906"/>
      <c r="AQ916" s="906"/>
      <c r="AR916" s="906"/>
      <c r="AS916" s="906"/>
      <c r="AT916" s="906"/>
      <c r="AU916" s="906"/>
      <c r="AV916" s="906"/>
      <c r="AW916" s="906"/>
      <c r="AX916" s="906"/>
      <c r="AY916" s="906"/>
      <c r="AZ916" s="906"/>
      <c r="BA916" s="906"/>
      <c r="BB916" s="907"/>
    </row>
    <row r="917" spans="1:54" x14ac:dyDescent="0.25">
      <c r="A917" s="13">
        <f t="shared" si="14"/>
        <v>904</v>
      </c>
      <c r="B917" s="914" t="str">
        <f>'refer admin discharge'!B913</f>
        <v>x</v>
      </c>
      <c r="C917" s="914"/>
      <c r="D917" s="889" t="str">
        <f>'refer admin discharge'!D913</f>
        <v>xx</v>
      </c>
      <c r="E917" s="889"/>
      <c r="F917" s="915" t="str">
        <f>'refer admin discharge'!H913</f>
        <v>00/00/0000</v>
      </c>
      <c r="G917" s="890"/>
      <c r="H917" s="916"/>
      <c r="I917" s="916"/>
      <c r="J917" s="917"/>
      <c r="K917" s="917"/>
      <c r="L917" s="916"/>
      <c r="M917" s="916"/>
      <c r="N917" s="893"/>
      <c r="O917" s="893"/>
      <c r="P917" s="916"/>
      <c r="Q917" s="916"/>
      <c r="R917" s="893"/>
      <c r="S917" s="893"/>
      <c r="T917" s="916"/>
      <c r="U917" s="916"/>
      <c r="V917" s="921" t="str">
        <f>'refer admin discharge'!H918</f>
        <v>00/00/0000</v>
      </c>
      <c r="W917" s="922"/>
      <c r="X917" s="912"/>
      <c r="Y917" s="912"/>
      <c r="Z917" s="924"/>
      <c r="AA917" s="924"/>
      <c r="AB917" s="912"/>
      <c r="AC917" s="912"/>
      <c r="AD917" s="913"/>
      <c r="AE917" s="913"/>
      <c r="AF917" s="912"/>
      <c r="AG917" s="912"/>
      <c r="AH917" s="913"/>
      <c r="AI917" s="913"/>
      <c r="AJ917" s="912"/>
      <c r="AK917" s="912"/>
      <c r="AL917" s="925"/>
      <c r="AM917" s="926"/>
      <c r="AN917" s="926"/>
      <c r="AO917" s="926"/>
      <c r="AP917" s="926"/>
      <c r="AQ917" s="926"/>
      <c r="AR917" s="926"/>
      <c r="AS917" s="926"/>
      <c r="AT917" s="926"/>
      <c r="AU917" s="926"/>
      <c r="AV917" s="926"/>
      <c r="AW917" s="926"/>
      <c r="AX917" s="926"/>
      <c r="AY917" s="926"/>
      <c r="AZ917" s="926"/>
      <c r="BA917" s="926"/>
      <c r="BB917" s="927"/>
    </row>
    <row r="918" spans="1:54" x14ac:dyDescent="0.25">
      <c r="A918" s="13">
        <f t="shared" si="14"/>
        <v>905</v>
      </c>
      <c r="B918" s="888" t="str">
        <f>'refer admin discharge'!B914</f>
        <v>x</v>
      </c>
      <c r="C918" s="888"/>
      <c r="D918" s="868" t="str">
        <f>'refer admin discharge'!D914</f>
        <v>xx</v>
      </c>
      <c r="E918" s="868"/>
      <c r="F918" s="891" t="str">
        <f>'refer admin discharge'!H914</f>
        <v>00/00/0000</v>
      </c>
      <c r="G918" s="892"/>
      <c r="H918" s="894"/>
      <c r="I918" s="894"/>
      <c r="J918" s="918"/>
      <c r="K918" s="918"/>
      <c r="L918" s="894"/>
      <c r="M918" s="894"/>
      <c r="N918" s="916"/>
      <c r="O918" s="916"/>
      <c r="P918" s="894"/>
      <c r="Q918" s="894"/>
      <c r="R918" s="916"/>
      <c r="S918" s="916"/>
      <c r="T918" s="894"/>
      <c r="U918" s="894"/>
      <c r="V918" s="921" t="str">
        <f>'refer admin discharge'!H919</f>
        <v>00/00/0000</v>
      </c>
      <c r="W918" s="922"/>
      <c r="X918" s="920"/>
      <c r="Y918" s="920"/>
      <c r="Z918" s="919"/>
      <c r="AA918" s="919"/>
      <c r="AB918" s="920"/>
      <c r="AC918" s="920"/>
      <c r="AD918" s="912"/>
      <c r="AE918" s="912"/>
      <c r="AF918" s="920"/>
      <c r="AG918" s="920"/>
      <c r="AH918" s="912"/>
      <c r="AI918" s="912"/>
      <c r="AJ918" s="920"/>
      <c r="AK918" s="920"/>
      <c r="AL918" s="905"/>
      <c r="AM918" s="906"/>
      <c r="AN918" s="906"/>
      <c r="AO918" s="906"/>
      <c r="AP918" s="906"/>
      <c r="AQ918" s="906"/>
      <c r="AR918" s="906"/>
      <c r="AS918" s="906"/>
      <c r="AT918" s="906"/>
      <c r="AU918" s="906"/>
      <c r="AV918" s="906"/>
      <c r="AW918" s="906"/>
      <c r="AX918" s="906"/>
      <c r="AY918" s="906"/>
      <c r="AZ918" s="906"/>
      <c r="BA918" s="906"/>
      <c r="BB918" s="907"/>
    </row>
    <row r="919" spans="1:54" x14ac:dyDescent="0.25">
      <c r="A919" s="13">
        <f t="shared" si="14"/>
        <v>906</v>
      </c>
      <c r="B919" s="914" t="str">
        <f>'refer admin discharge'!B915</f>
        <v>x</v>
      </c>
      <c r="C919" s="914"/>
      <c r="D919" s="889" t="str">
        <f>'refer admin discharge'!D915</f>
        <v>xx</v>
      </c>
      <c r="E919" s="889"/>
      <c r="F919" s="915" t="str">
        <f>'refer admin discharge'!H915</f>
        <v>00/00/0000</v>
      </c>
      <c r="G919" s="890"/>
      <c r="H919" s="916"/>
      <c r="I919" s="916"/>
      <c r="J919" s="917"/>
      <c r="K919" s="917"/>
      <c r="L919" s="916"/>
      <c r="M919" s="916"/>
      <c r="N919" s="893"/>
      <c r="O919" s="893"/>
      <c r="P919" s="916"/>
      <c r="Q919" s="916"/>
      <c r="R919" s="893"/>
      <c r="S919" s="893"/>
      <c r="T919" s="916"/>
      <c r="U919" s="916"/>
      <c r="V919" s="921" t="str">
        <f>'refer admin discharge'!H920</f>
        <v>00/00/0000</v>
      </c>
      <c r="W919" s="922"/>
      <c r="X919" s="912"/>
      <c r="Y919" s="912"/>
      <c r="Z919" s="924"/>
      <c r="AA919" s="924"/>
      <c r="AB919" s="912"/>
      <c r="AC919" s="912"/>
      <c r="AD919" s="913"/>
      <c r="AE919" s="913"/>
      <c r="AF919" s="912"/>
      <c r="AG919" s="912"/>
      <c r="AH919" s="913"/>
      <c r="AI919" s="913"/>
      <c r="AJ919" s="912"/>
      <c r="AK919" s="912"/>
      <c r="AL919" s="925"/>
      <c r="AM919" s="926"/>
      <c r="AN919" s="926"/>
      <c r="AO919" s="926"/>
      <c r="AP919" s="926"/>
      <c r="AQ919" s="926"/>
      <c r="AR919" s="926"/>
      <c r="AS919" s="926"/>
      <c r="AT919" s="926"/>
      <c r="AU919" s="926"/>
      <c r="AV919" s="926"/>
      <c r="AW919" s="926"/>
      <c r="AX919" s="926"/>
      <c r="AY919" s="926"/>
      <c r="AZ919" s="926"/>
      <c r="BA919" s="926"/>
      <c r="BB919" s="927"/>
    </row>
    <row r="920" spans="1:54" x14ac:dyDescent="0.25">
      <c r="A920" s="13">
        <f t="shared" si="14"/>
        <v>907</v>
      </c>
      <c r="B920" s="888" t="str">
        <f>'refer admin discharge'!B916</f>
        <v>x</v>
      </c>
      <c r="C920" s="888"/>
      <c r="D920" s="868" t="str">
        <f>'refer admin discharge'!D916</f>
        <v>xx</v>
      </c>
      <c r="E920" s="868"/>
      <c r="F920" s="891" t="str">
        <f>'refer admin discharge'!H916</f>
        <v>00/00/0000</v>
      </c>
      <c r="G920" s="892"/>
      <c r="H920" s="894"/>
      <c r="I920" s="894"/>
      <c r="J920" s="918"/>
      <c r="K920" s="918"/>
      <c r="L920" s="894"/>
      <c r="M920" s="894"/>
      <c r="N920" s="916"/>
      <c r="O920" s="916"/>
      <c r="P920" s="894"/>
      <c r="Q920" s="894"/>
      <c r="R920" s="916"/>
      <c r="S920" s="916"/>
      <c r="T920" s="894"/>
      <c r="U920" s="894"/>
      <c r="V920" s="921" t="str">
        <f>'refer admin discharge'!H921</f>
        <v>00/00/0000</v>
      </c>
      <c r="W920" s="922"/>
      <c r="X920" s="920"/>
      <c r="Y920" s="920"/>
      <c r="Z920" s="919"/>
      <c r="AA920" s="919"/>
      <c r="AB920" s="920"/>
      <c r="AC920" s="920"/>
      <c r="AD920" s="912"/>
      <c r="AE920" s="912"/>
      <c r="AF920" s="920"/>
      <c r="AG920" s="920"/>
      <c r="AH920" s="912"/>
      <c r="AI920" s="912"/>
      <c r="AJ920" s="920"/>
      <c r="AK920" s="920"/>
      <c r="AL920" s="905"/>
      <c r="AM920" s="906"/>
      <c r="AN920" s="906"/>
      <c r="AO920" s="906"/>
      <c r="AP920" s="906"/>
      <c r="AQ920" s="906"/>
      <c r="AR920" s="906"/>
      <c r="AS920" s="906"/>
      <c r="AT920" s="906"/>
      <c r="AU920" s="906"/>
      <c r="AV920" s="906"/>
      <c r="AW920" s="906"/>
      <c r="AX920" s="906"/>
      <c r="AY920" s="906"/>
      <c r="AZ920" s="906"/>
      <c r="BA920" s="906"/>
      <c r="BB920" s="907"/>
    </row>
    <row r="921" spans="1:54" x14ac:dyDescent="0.25">
      <c r="A921" s="13">
        <f t="shared" si="14"/>
        <v>908</v>
      </c>
      <c r="B921" s="914" t="str">
        <f>'refer admin discharge'!B917</f>
        <v>x</v>
      </c>
      <c r="C921" s="914"/>
      <c r="D921" s="889" t="str">
        <f>'refer admin discharge'!D917</f>
        <v>xx</v>
      </c>
      <c r="E921" s="889"/>
      <c r="F921" s="915" t="str">
        <f>'refer admin discharge'!H917</f>
        <v>00/00/0000</v>
      </c>
      <c r="G921" s="890"/>
      <c r="H921" s="916"/>
      <c r="I921" s="916"/>
      <c r="J921" s="917"/>
      <c r="K921" s="917"/>
      <c r="L921" s="916"/>
      <c r="M921" s="916"/>
      <c r="N921" s="893"/>
      <c r="O921" s="893"/>
      <c r="P921" s="916"/>
      <c r="Q921" s="916"/>
      <c r="R921" s="893"/>
      <c r="S921" s="893"/>
      <c r="T921" s="916"/>
      <c r="U921" s="916"/>
      <c r="V921" s="921" t="str">
        <f>'refer admin discharge'!H922</f>
        <v>00/00/0000</v>
      </c>
      <c r="W921" s="922"/>
      <c r="X921" s="912"/>
      <c r="Y921" s="912"/>
      <c r="Z921" s="924"/>
      <c r="AA921" s="924"/>
      <c r="AB921" s="912"/>
      <c r="AC921" s="912"/>
      <c r="AD921" s="913"/>
      <c r="AE921" s="913"/>
      <c r="AF921" s="912"/>
      <c r="AG921" s="912"/>
      <c r="AH921" s="913"/>
      <c r="AI921" s="913"/>
      <c r="AJ921" s="912"/>
      <c r="AK921" s="912"/>
      <c r="AL921" s="925"/>
      <c r="AM921" s="926"/>
      <c r="AN921" s="926"/>
      <c r="AO921" s="926"/>
      <c r="AP921" s="926"/>
      <c r="AQ921" s="926"/>
      <c r="AR921" s="926"/>
      <c r="AS921" s="926"/>
      <c r="AT921" s="926"/>
      <c r="AU921" s="926"/>
      <c r="AV921" s="926"/>
      <c r="AW921" s="926"/>
      <c r="AX921" s="926"/>
      <c r="AY921" s="926"/>
      <c r="AZ921" s="926"/>
      <c r="BA921" s="926"/>
      <c r="BB921" s="927"/>
    </row>
    <row r="922" spans="1:54" x14ac:dyDescent="0.25">
      <c r="A922" s="13">
        <f t="shared" si="14"/>
        <v>909</v>
      </c>
      <c r="B922" s="888" t="str">
        <f>'refer admin discharge'!B918</f>
        <v>x</v>
      </c>
      <c r="C922" s="888"/>
      <c r="D922" s="868" t="str">
        <f>'refer admin discharge'!D918</f>
        <v>xx</v>
      </c>
      <c r="E922" s="868"/>
      <c r="F922" s="891" t="str">
        <f>'refer admin discharge'!H918</f>
        <v>00/00/0000</v>
      </c>
      <c r="G922" s="892"/>
      <c r="H922" s="894"/>
      <c r="I922" s="894"/>
      <c r="J922" s="918"/>
      <c r="K922" s="918"/>
      <c r="L922" s="894"/>
      <c r="M922" s="894"/>
      <c r="N922" s="916"/>
      <c r="O922" s="916"/>
      <c r="P922" s="894"/>
      <c r="Q922" s="894"/>
      <c r="R922" s="916"/>
      <c r="S922" s="916"/>
      <c r="T922" s="894"/>
      <c r="U922" s="894"/>
      <c r="V922" s="921" t="str">
        <f>'refer admin discharge'!H923</f>
        <v>00/00/0000</v>
      </c>
      <c r="W922" s="922"/>
      <c r="X922" s="920"/>
      <c r="Y922" s="920"/>
      <c r="Z922" s="919"/>
      <c r="AA922" s="919"/>
      <c r="AB922" s="920"/>
      <c r="AC922" s="920"/>
      <c r="AD922" s="912"/>
      <c r="AE922" s="912"/>
      <c r="AF922" s="920"/>
      <c r="AG922" s="920"/>
      <c r="AH922" s="912"/>
      <c r="AI922" s="912"/>
      <c r="AJ922" s="920"/>
      <c r="AK922" s="920"/>
      <c r="AL922" s="905"/>
      <c r="AM922" s="906"/>
      <c r="AN922" s="906"/>
      <c r="AO922" s="906"/>
      <c r="AP922" s="906"/>
      <c r="AQ922" s="906"/>
      <c r="AR922" s="906"/>
      <c r="AS922" s="906"/>
      <c r="AT922" s="906"/>
      <c r="AU922" s="906"/>
      <c r="AV922" s="906"/>
      <c r="AW922" s="906"/>
      <c r="AX922" s="906"/>
      <c r="AY922" s="906"/>
      <c r="AZ922" s="906"/>
      <c r="BA922" s="906"/>
      <c r="BB922" s="907"/>
    </row>
    <row r="923" spans="1:54" x14ac:dyDescent="0.25">
      <c r="A923" s="13">
        <f t="shared" si="14"/>
        <v>910</v>
      </c>
      <c r="B923" s="914" t="str">
        <f>'refer admin discharge'!B919</f>
        <v>x</v>
      </c>
      <c r="C923" s="914"/>
      <c r="D923" s="889" t="str">
        <f>'refer admin discharge'!D919</f>
        <v>xx</v>
      </c>
      <c r="E923" s="889"/>
      <c r="F923" s="915" t="str">
        <f>'refer admin discharge'!H919</f>
        <v>00/00/0000</v>
      </c>
      <c r="G923" s="890"/>
      <c r="H923" s="916"/>
      <c r="I923" s="916"/>
      <c r="J923" s="917"/>
      <c r="K923" s="917"/>
      <c r="L923" s="916"/>
      <c r="M923" s="916"/>
      <c r="N923" s="893"/>
      <c r="O923" s="893"/>
      <c r="P923" s="916"/>
      <c r="Q923" s="916"/>
      <c r="R923" s="893"/>
      <c r="S923" s="893"/>
      <c r="T923" s="916"/>
      <c r="U923" s="916"/>
      <c r="V923" s="921" t="str">
        <f>'refer admin discharge'!H924</f>
        <v>00/00/0000</v>
      </c>
      <c r="W923" s="922"/>
      <c r="X923" s="912"/>
      <c r="Y923" s="912"/>
      <c r="Z923" s="924"/>
      <c r="AA923" s="924"/>
      <c r="AB923" s="912"/>
      <c r="AC923" s="912"/>
      <c r="AD923" s="913"/>
      <c r="AE923" s="913"/>
      <c r="AF923" s="912"/>
      <c r="AG923" s="912"/>
      <c r="AH923" s="913"/>
      <c r="AI923" s="913"/>
      <c r="AJ923" s="912"/>
      <c r="AK923" s="912"/>
      <c r="AL923" s="925"/>
      <c r="AM923" s="926"/>
      <c r="AN923" s="926"/>
      <c r="AO923" s="926"/>
      <c r="AP923" s="926"/>
      <c r="AQ923" s="926"/>
      <c r="AR923" s="926"/>
      <c r="AS923" s="926"/>
      <c r="AT923" s="926"/>
      <c r="AU923" s="926"/>
      <c r="AV923" s="926"/>
      <c r="AW923" s="926"/>
      <c r="AX923" s="926"/>
      <c r="AY923" s="926"/>
      <c r="AZ923" s="926"/>
      <c r="BA923" s="926"/>
      <c r="BB923" s="927"/>
    </row>
    <row r="924" spans="1:54" x14ac:dyDescent="0.25">
      <c r="A924" s="13">
        <f t="shared" si="14"/>
        <v>911</v>
      </c>
      <c r="B924" s="888" t="str">
        <f>'refer admin discharge'!B920</f>
        <v>x</v>
      </c>
      <c r="C924" s="888"/>
      <c r="D924" s="868" t="str">
        <f>'refer admin discharge'!D920</f>
        <v>xx</v>
      </c>
      <c r="E924" s="868"/>
      <c r="F924" s="891" t="str">
        <f>'refer admin discharge'!H920</f>
        <v>00/00/0000</v>
      </c>
      <c r="G924" s="892"/>
      <c r="H924" s="894"/>
      <c r="I924" s="894"/>
      <c r="J924" s="918"/>
      <c r="K924" s="918"/>
      <c r="L924" s="894"/>
      <c r="M924" s="894"/>
      <c r="N924" s="916"/>
      <c r="O924" s="916"/>
      <c r="P924" s="894"/>
      <c r="Q924" s="894"/>
      <c r="R924" s="916"/>
      <c r="S924" s="916"/>
      <c r="T924" s="894"/>
      <c r="U924" s="894"/>
      <c r="V924" s="921" t="str">
        <f>'refer admin discharge'!H925</f>
        <v>00/00/0000</v>
      </c>
      <c r="W924" s="922"/>
      <c r="X924" s="920"/>
      <c r="Y924" s="920"/>
      <c r="Z924" s="919"/>
      <c r="AA924" s="919"/>
      <c r="AB924" s="920"/>
      <c r="AC924" s="920"/>
      <c r="AD924" s="912"/>
      <c r="AE924" s="912"/>
      <c r="AF924" s="920"/>
      <c r="AG924" s="920"/>
      <c r="AH924" s="912"/>
      <c r="AI924" s="912"/>
      <c r="AJ924" s="920"/>
      <c r="AK924" s="920"/>
      <c r="AL924" s="905"/>
      <c r="AM924" s="906"/>
      <c r="AN924" s="906"/>
      <c r="AO924" s="906"/>
      <c r="AP924" s="906"/>
      <c r="AQ924" s="906"/>
      <c r="AR924" s="906"/>
      <c r="AS924" s="906"/>
      <c r="AT924" s="906"/>
      <c r="AU924" s="906"/>
      <c r="AV924" s="906"/>
      <c r="AW924" s="906"/>
      <c r="AX924" s="906"/>
      <c r="AY924" s="906"/>
      <c r="AZ924" s="906"/>
      <c r="BA924" s="906"/>
      <c r="BB924" s="907"/>
    </row>
    <row r="925" spans="1:54" x14ac:dyDescent="0.25">
      <c r="A925" s="13">
        <f t="shared" si="14"/>
        <v>912</v>
      </c>
      <c r="B925" s="914" t="str">
        <f>'refer admin discharge'!B921</f>
        <v>x</v>
      </c>
      <c r="C925" s="914"/>
      <c r="D925" s="889" t="str">
        <f>'refer admin discharge'!D921</f>
        <v>xx</v>
      </c>
      <c r="E925" s="889"/>
      <c r="F925" s="915" t="str">
        <f>'refer admin discharge'!H921</f>
        <v>00/00/0000</v>
      </c>
      <c r="G925" s="890"/>
      <c r="H925" s="916"/>
      <c r="I925" s="916"/>
      <c r="J925" s="917"/>
      <c r="K925" s="917"/>
      <c r="L925" s="916"/>
      <c r="M925" s="916"/>
      <c r="N925" s="893"/>
      <c r="O925" s="893"/>
      <c r="P925" s="916"/>
      <c r="Q925" s="916"/>
      <c r="R925" s="893"/>
      <c r="S925" s="893"/>
      <c r="T925" s="916"/>
      <c r="U925" s="916"/>
      <c r="V925" s="921" t="str">
        <f>'refer admin discharge'!H926</f>
        <v>00/00/0000</v>
      </c>
      <c r="W925" s="922"/>
      <c r="X925" s="912"/>
      <c r="Y925" s="912"/>
      <c r="Z925" s="924"/>
      <c r="AA925" s="924"/>
      <c r="AB925" s="912"/>
      <c r="AC925" s="912"/>
      <c r="AD925" s="913"/>
      <c r="AE925" s="913"/>
      <c r="AF925" s="912"/>
      <c r="AG925" s="912"/>
      <c r="AH925" s="913"/>
      <c r="AI925" s="913"/>
      <c r="AJ925" s="912"/>
      <c r="AK925" s="912"/>
      <c r="AL925" s="925"/>
      <c r="AM925" s="926"/>
      <c r="AN925" s="926"/>
      <c r="AO925" s="926"/>
      <c r="AP925" s="926"/>
      <c r="AQ925" s="926"/>
      <c r="AR925" s="926"/>
      <c r="AS925" s="926"/>
      <c r="AT925" s="926"/>
      <c r="AU925" s="926"/>
      <c r="AV925" s="926"/>
      <c r="AW925" s="926"/>
      <c r="AX925" s="926"/>
      <c r="AY925" s="926"/>
      <c r="AZ925" s="926"/>
      <c r="BA925" s="926"/>
      <c r="BB925" s="927"/>
    </row>
    <row r="926" spans="1:54" x14ac:dyDescent="0.25">
      <c r="A926" s="13">
        <f t="shared" si="14"/>
        <v>913</v>
      </c>
      <c r="B926" s="888" t="str">
        <f>'refer admin discharge'!B922</f>
        <v>x</v>
      </c>
      <c r="C926" s="888"/>
      <c r="D926" s="868" t="str">
        <f>'refer admin discharge'!D922</f>
        <v>xx</v>
      </c>
      <c r="E926" s="868"/>
      <c r="F926" s="891" t="str">
        <f>'refer admin discharge'!H922</f>
        <v>00/00/0000</v>
      </c>
      <c r="G926" s="892"/>
      <c r="H926" s="894"/>
      <c r="I926" s="894"/>
      <c r="J926" s="918"/>
      <c r="K926" s="918"/>
      <c r="L926" s="894"/>
      <c r="M926" s="894"/>
      <c r="N926" s="916"/>
      <c r="O926" s="916"/>
      <c r="P926" s="894"/>
      <c r="Q926" s="894"/>
      <c r="R926" s="916"/>
      <c r="S926" s="916"/>
      <c r="T926" s="894"/>
      <c r="U926" s="894"/>
      <c r="V926" s="921" t="str">
        <f>'refer admin discharge'!H927</f>
        <v>00/00/0000</v>
      </c>
      <c r="W926" s="922"/>
      <c r="X926" s="920"/>
      <c r="Y926" s="920"/>
      <c r="Z926" s="919"/>
      <c r="AA926" s="919"/>
      <c r="AB926" s="920"/>
      <c r="AC926" s="920"/>
      <c r="AD926" s="912"/>
      <c r="AE926" s="912"/>
      <c r="AF926" s="920"/>
      <c r="AG926" s="920"/>
      <c r="AH926" s="912"/>
      <c r="AI926" s="912"/>
      <c r="AJ926" s="920"/>
      <c r="AK926" s="920"/>
      <c r="AL926" s="905"/>
      <c r="AM926" s="906"/>
      <c r="AN926" s="906"/>
      <c r="AO926" s="906"/>
      <c r="AP926" s="906"/>
      <c r="AQ926" s="906"/>
      <c r="AR926" s="906"/>
      <c r="AS926" s="906"/>
      <c r="AT926" s="906"/>
      <c r="AU926" s="906"/>
      <c r="AV926" s="906"/>
      <c r="AW926" s="906"/>
      <c r="AX926" s="906"/>
      <c r="AY926" s="906"/>
      <c r="AZ926" s="906"/>
      <c r="BA926" s="906"/>
      <c r="BB926" s="907"/>
    </row>
    <row r="927" spans="1:54" x14ac:dyDescent="0.25">
      <c r="A927" s="13">
        <f t="shared" si="14"/>
        <v>914</v>
      </c>
      <c r="B927" s="914" t="str">
        <f>'refer admin discharge'!B923</f>
        <v>x</v>
      </c>
      <c r="C927" s="914"/>
      <c r="D927" s="889" t="str">
        <f>'refer admin discharge'!D923</f>
        <v>xx</v>
      </c>
      <c r="E927" s="889"/>
      <c r="F927" s="915" t="str">
        <f>'refer admin discharge'!H923</f>
        <v>00/00/0000</v>
      </c>
      <c r="G927" s="890"/>
      <c r="H927" s="916"/>
      <c r="I927" s="916"/>
      <c r="J927" s="917"/>
      <c r="K927" s="917"/>
      <c r="L927" s="916"/>
      <c r="M927" s="916"/>
      <c r="N927" s="893"/>
      <c r="O927" s="893"/>
      <c r="P927" s="916"/>
      <c r="Q927" s="916"/>
      <c r="R927" s="893"/>
      <c r="S927" s="893"/>
      <c r="T927" s="916"/>
      <c r="U927" s="916"/>
      <c r="V927" s="921" t="str">
        <f>'refer admin discharge'!H928</f>
        <v>00/00/0000</v>
      </c>
      <c r="W927" s="922"/>
      <c r="X927" s="912"/>
      <c r="Y927" s="912"/>
      <c r="Z927" s="924"/>
      <c r="AA927" s="924"/>
      <c r="AB927" s="912"/>
      <c r="AC927" s="912"/>
      <c r="AD927" s="913"/>
      <c r="AE927" s="913"/>
      <c r="AF927" s="912"/>
      <c r="AG927" s="912"/>
      <c r="AH927" s="913"/>
      <c r="AI927" s="913"/>
      <c r="AJ927" s="912"/>
      <c r="AK927" s="912"/>
      <c r="AL927" s="925"/>
      <c r="AM927" s="926"/>
      <c r="AN927" s="926"/>
      <c r="AO927" s="926"/>
      <c r="AP927" s="926"/>
      <c r="AQ927" s="926"/>
      <c r="AR927" s="926"/>
      <c r="AS927" s="926"/>
      <c r="AT927" s="926"/>
      <c r="AU927" s="926"/>
      <c r="AV927" s="926"/>
      <c r="AW927" s="926"/>
      <c r="AX927" s="926"/>
      <c r="AY927" s="926"/>
      <c r="AZ927" s="926"/>
      <c r="BA927" s="926"/>
      <c r="BB927" s="927"/>
    </row>
    <row r="928" spans="1:54" x14ac:dyDescent="0.25">
      <c r="A928" s="13">
        <f t="shared" si="14"/>
        <v>915</v>
      </c>
      <c r="B928" s="888" t="str">
        <f>'refer admin discharge'!B924</f>
        <v>x</v>
      </c>
      <c r="C928" s="888"/>
      <c r="D928" s="868" t="str">
        <f>'refer admin discharge'!D924</f>
        <v>xx</v>
      </c>
      <c r="E928" s="868"/>
      <c r="F928" s="891" t="str">
        <f>'refer admin discharge'!H924</f>
        <v>00/00/0000</v>
      </c>
      <c r="G928" s="892"/>
      <c r="H928" s="894"/>
      <c r="I928" s="894"/>
      <c r="J928" s="918"/>
      <c r="K928" s="918"/>
      <c r="L928" s="894"/>
      <c r="M928" s="894"/>
      <c r="N928" s="916"/>
      <c r="O928" s="916"/>
      <c r="P928" s="894"/>
      <c r="Q928" s="894"/>
      <c r="R928" s="916"/>
      <c r="S928" s="916"/>
      <c r="T928" s="894"/>
      <c r="U928" s="894"/>
      <c r="V928" s="921" t="str">
        <f>'refer admin discharge'!H929</f>
        <v>00/00/0000</v>
      </c>
      <c r="W928" s="922"/>
      <c r="X928" s="920"/>
      <c r="Y928" s="920"/>
      <c r="Z928" s="919"/>
      <c r="AA928" s="919"/>
      <c r="AB928" s="920"/>
      <c r="AC928" s="920"/>
      <c r="AD928" s="912"/>
      <c r="AE928" s="912"/>
      <c r="AF928" s="920"/>
      <c r="AG928" s="920"/>
      <c r="AH928" s="912"/>
      <c r="AI928" s="912"/>
      <c r="AJ928" s="920"/>
      <c r="AK928" s="920"/>
      <c r="AL928" s="905"/>
      <c r="AM928" s="906"/>
      <c r="AN928" s="906"/>
      <c r="AO928" s="906"/>
      <c r="AP928" s="906"/>
      <c r="AQ928" s="906"/>
      <c r="AR928" s="906"/>
      <c r="AS928" s="906"/>
      <c r="AT928" s="906"/>
      <c r="AU928" s="906"/>
      <c r="AV928" s="906"/>
      <c r="AW928" s="906"/>
      <c r="AX928" s="906"/>
      <c r="AY928" s="906"/>
      <c r="AZ928" s="906"/>
      <c r="BA928" s="906"/>
      <c r="BB928" s="907"/>
    </row>
    <row r="929" spans="1:54" x14ac:dyDescent="0.25">
      <c r="A929" s="13">
        <f t="shared" si="14"/>
        <v>916</v>
      </c>
      <c r="B929" s="914" t="str">
        <f>'refer admin discharge'!B925</f>
        <v>x</v>
      </c>
      <c r="C929" s="914"/>
      <c r="D929" s="889" t="str">
        <f>'refer admin discharge'!D925</f>
        <v>xx</v>
      </c>
      <c r="E929" s="889"/>
      <c r="F929" s="915" t="str">
        <f>'refer admin discharge'!H925</f>
        <v>00/00/0000</v>
      </c>
      <c r="G929" s="890"/>
      <c r="H929" s="916"/>
      <c r="I929" s="916"/>
      <c r="J929" s="917"/>
      <c r="K929" s="917"/>
      <c r="L929" s="916"/>
      <c r="M929" s="916"/>
      <c r="N929" s="893"/>
      <c r="O929" s="893"/>
      <c r="P929" s="916"/>
      <c r="Q929" s="916"/>
      <c r="R929" s="893"/>
      <c r="S929" s="893"/>
      <c r="T929" s="916"/>
      <c r="U929" s="916"/>
      <c r="V929" s="921" t="str">
        <f>'refer admin discharge'!H930</f>
        <v>00/00/0000</v>
      </c>
      <c r="W929" s="922"/>
      <c r="X929" s="912"/>
      <c r="Y929" s="912"/>
      <c r="Z929" s="924"/>
      <c r="AA929" s="924"/>
      <c r="AB929" s="912"/>
      <c r="AC929" s="912"/>
      <c r="AD929" s="913"/>
      <c r="AE929" s="913"/>
      <c r="AF929" s="912"/>
      <c r="AG929" s="912"/>
      <c r="AH929" s="913"/>
      <c r="AI929" s="913"/>
      <c r="AJ929" s="912"/>
      <c r="AK929" s="912"/>
      <c r="AL929" s="925"/>
      <c r="AM929" s="926"/>
      <c r="AN929" s="926"/>
      <c r="AO929" s="926"/>
      <c r="AP929" s="926"/>
      <c r="AQ929" s="926"/>
      <c r="AR929" s="926"/>
      <c r="AS929" s="926"/>
      <c r="AT929" s="926"/>
      <c r="AU929" s="926"/>
      <c r="AV929" s="926"/>
      <c r="AW929" s="926"/>
      <c r="AX929" s="926"/>
      <c r="AY929" s="926"/>
      <c r="AZ929" s="926"/>
      <c r="BA929" s="926"/>
      <c r="BB929" s="927"/>
    </row>
    <row r="930" spans="1:54" x14ac:dyDescent="0.25">
      <c r="A930" s="13">
        <f t="shared" si="14"/>
        <v>917</v>
      </c>
      <c r="B930" s="888" t="str">
        <f>'refer admin discharge'!B926</f>
        <v>x</v>
      </c>
      <c r="C930" s="888"/>
      <c r="D930" s="868" t="str">
        <f>'refer admin discharge'!D926</f>
        <v>xx</v>
      </c>
      <c r="E930" s="868"/>
      <c r="F930" s="891" t="str">
        <f>'refer admin discharge'!H926</f>
        <v>00/00/0000</v>
      </c>
      <c r="G930" s="892"/>
      <c r="H930" s="894"/>
      <c r="I930" s="894"/>
      <c r="J930" s="918"/>
      <c r="K930" s="918"/>
      <c r="L930" s="894"/>
      <c r="M930" s="894"/>
      <c r="N930" s="916"/>
      <c r="O930" s="916"/>
      <c r="P930" s="894"/>
      <c r="Q930" s="894"/>
      <c r="R930" s="916"/>
      <c r="S930" s="916"/>
      <c r="T930" s="894"/>
      <c r="U930" s="894"/>
      <c r="V930" s="921" t="str">
        <f>'refer admin discharge'!H931</f>
        <v>00/00/0000</v>
      </c>
      <c r="W930" s="922"/>
      <c r="X930" s="920"/>
      <c r="Y930" s="920"/>
      <c r="Z930" s="919"/>
      <c r="AA930" s="919"/>
      <c r="AB930" s="920"/>
      <c r="AC930" s="920"/>
      <c r="AD930" s="912"/>
      <c r="AE930" s="912"/>
      <c r="AF930" s="920"/>
      <c r="AG930" s="920"/>
      <c r="AH930" s="912"/>
      <c r="AI930" s="912"/>
      <c r="AJ930" s="920"/>
      <c r="AK930" s="920"/>
      <c r="AL930" s="905"/>
      <c r="AM930" s="906"/>
      <c r="AN930" s="906"/>
      <c r="AO930" s="906"/>
      <c r="AP930" s="906"/>
      <c r="AQ930" s="906"/>
      <c r="AR930" s="906"/>
      <c r="AS930" s="906"/>
      <c r="AT930" s="906"/>
      <c r="AU930" s="906"/>
      <c r="AV930" s="906"/>
      <c r="AW930" s="906"/>
      <c r="AX930" s="906"/>
      <c r="AY930" s="906"/>
      <c r="AZ930" s="906"/>
      <c r="BA930" s="906"/>
      <c r="BB930" s="907"/>
    </row>
    <row r="931" spans="1:54" x14ac:dyDescent="0.25">
      <c r="A931" s="13">
        <f t="shared" si="14"/>
        <v>918</v>
      </c>
      <c r="B931" s="914" t="str">
        <f>'refer admin discharge'!B927</f>
        <v>x</v>
      </c>
      <c r="C931" s="914"/>
      <c r="D931" s="889" t="str">
        <f>'refer admin discharge'!D927</f>
        <v>xx</v>
      </c>
      <c r="E931" s="889"/>
      <c r="F931" s="915" t="str">
        <f>'refer admin discharge'!H927</f>
        <v>00/00/0000</v>
      </c>
      <c r="G931" s="890"/>
      <c r="H931" s="916"/>
      <c r="I931" s="916"/>
      <c r="J931" s="917"/>
      <c r="K931" s="917"/>
      <c r="L931" s="916"/>
      <c r="M931" s="916"/>
      <c r="N931" s="893"/>
      <c r="O931" s="893"/>
      <c r="P931" s="916"/>
      <c r="Q931" s="916"/>
      <c r="R931" s="893"/>
      <c r="S931" s="893"/>
      <c r="T931" s="916"/>
      <c r="U931" s="916"/>
      <c r="V931" s="921" t="str">
        <f>'refer admin discharge'!H932</f>
        <v>00/00/0000</v>
      </c>
      <c r="W931" s="922"/>
      <c r="X931" s="912"/>
      <c r="Y931" s="912"/>
      <c r="Z931" s="924"/>
      <c r="AA931" s="924"/>
      <c r="AB931" s="912"/>
      <c r="AC931" s="912"/>
      <c r="AD931" s="913"/>
      <c r="AE931" s="913"/>
      <c r="AF931" s="912"/>
      <c r="AG931" s="912"/>
      <c r="AH931" s="913"/>
      <c r="AI931" s="913"/>
      <c r="AJ931" s="912"/>
      <c r="AK931" s="912"/>
      <c r="AL931" s="925"/>
      <c r="AM931" s="926"/>
      <c r="AN931" s="926"/>
      <c r="AO931" s="926"/>
      <c r="AP931" s="926"/>
      <c r="AQ931" s="926"/>
      <c r="AR931" s="926"/>
      <c r="AS931" s="926"/>
      <c r="AT931" s="926"/>
      <c r="AU931" s="926"/>
      <c r="AV931" s="926"/>
      <c r="AW931" s="926"/>
      <c r="AX931" s="926"/>
      <c r="AY931" s="926"/>
      <c r="AZ931" s="926"/>
      <c r="BA931" s="926"/>
      <c r="BB931" s="927"/>
    </row>
    <row r="932" spans="1:54" x14ac:dyDescent="0.25">
      <c r="A932" s="13">
        <f t="shared" si="14"/>
        <v>919</v>
      </c>
      <c r="B932" s="888" t="str">
        <f>'refer admin discharge'!B928</f>
        <v>x</v>
      </c>
      <c r="C932" s="888"/>
      <c r="D932" s="868" t="str">
        <f>'refer admin discharge'!D928</f>
        <v>xx</v>
      </c>
      <c r="E932" s="868"/>
      <c r="F932" s="891" t="str">
        <f>'refer admin discharge'!H928</f>
        <v>00/00/0000</v>
      </c>
      <c r="G932" s="892"/>
      <c r="H932" s="894"/>
      <c r="I932" s="894"/>
      <c r="J932" s="918"/>
      <c r="K932" s="918"/>
      <c r="L932" s="894"/>
      <c r="M932" s="894"/>
      <c r="N932" s="916"/>
      <c r="O932" s="916"/>
      <c r="P932" s="894"/>
      <c r="Q932" s="894"/>
      <c r="R932" s="916"/>
      <c r="S932" s="916"/>
      <c r="T932" s="894"/>
      <c r="U932" s="894"/>
      <c r="V932" s="921" t="str">
        <f>'refer admin discharge'!H933</f>
        <v>00/00/0000</v>
      </c>
      <c r="W932" s="922"/>
      <c r="X932" s="920"/>
      <c r="Y932" s="920"/>
      <c r="Z932" s="919"/>
      <c r="AA932" s="919"/>
      <c r="AB932" s="920"/>
      <c r="AC932" s="920"/>
      <c r="AD932" s="912"/>
      <c r="AE932" s="912"/>
      <c r="AF932" s="920"/>
      <c r="AG932" s="920"/>
      <c r="AH932" s="912"/>
      <c r="AI932" s="912"/>
      <c r="AJ932" s="920"/>
      <c r="AK932" s="920"/>
      <c r="AL932" s="905"/>
      <c r="AM932" s="906"/>
      <c r="AN932" s="906"/>
      <c r="AO932" s="906"/>
      <c r="AP932" s="906"/>
      <c r="AQ932" s="906"/>
      <c r="AR932" s="906"/>
      <c r="AS932" s="906"/>
      <c r="AT932" s="906"/>
      <c r="AU932" s="906"/>
      <c r="AV932" s="906"/>
      <c r="AW932" s="906"/>
      <c r="AX932" s="906"/>
      <c r="AY932" s="906"/>
      <c r="AZ932" s="906"/>
      <c r="BA932" s="906"/>
      <c r="BB932" s="907"/>
    </row>
    <row r="933" spans="1:54" x14ac:dyDescent="0.25">
      <c r="A933" s="13">
        <f t="shared" si="14"/>
        <v>920</v>
      </c>
      <c r="B933" s="914" t="str">
        <f>'refer admin discharge'!B929</f>
        <v>x</v>
      </c>
      <c r="C933" s="914"/>
      <c r="D933" s="889" t="str">
        <f>'refer admin discharge'!D929</f>
        <v>xx</v>
      </c>
      <c r="E933" s="889"/>
      <c r="F933" s="915" t="str">
        <f>'refer admin discharge'!H929</f>
        <v>00/00/0000</v>
      </c>
      <c r="G933" s="890"/>
      <c r="H933" s="916"/>
      <c r="I933" s="916"/>
      <c r="J933" s="917"/>
      <c r="K933" s="917"/>
      <c r="L933" s="916"/>
      <c r="M933" s="916"/>
      <c r="N933" s="893"/>
      <c r="O933" s="893"/>
      <c r="P933" s="916"/>
      <c r="Q933" s="916"/>
      <c r="R933" s="893"/>
      <c r="S933" s="893"/>
      <c r="T933" s="916"/>
      <c r="U933" s="916"/>
      <c r="V933" s="921" t="str">
        <f>'refer admin discharge'!H934</f>
        <v>00/00/0000</v>
      </c>
      <c r="W933" s="922"/>
      <c r="X933" s="912"/>
      <c r="Y933" s="912"/>
      <c r="Z933" s="924"/>
      <c r="AA933" s="924"/>
      <c r="AB933" s="912"/>
      <c r="AC933" s="912"/>
      <c r="AD933" s="913"/>
      <c r="AE933" s="913"/>
      <c r="AF933" s="912"/>
      <c r="AG933" s="912"/>
      <c r="AH933" s="913"/>
      <c r="AI933" s="913"/>
      <c r="AJ933" s="912"/>
      <c r="AK933" s="912"/>
      <c r="AL933" s="925"/>
      <c r="AM933" s="926"/>
      <c r="AN933" s="926"/>
      <c r="AO933" s="926"/>
      <c r="AP933" s="926"/>
      <c r="AQ933" s="926"/>
      <c r="AR933" s="926"/>
      <c r="AS933" s="926"/>
      <c r="AT933" s="926"/>
      <c r="AU933" s="926"/>
      <c r="AV933" s="926"/>
      <c r="AW933" s="926"/>
      <c r="AX933" s="926"/>
      <c r="AY933" s="926"/>
      <c r="AZ933" s="926"/>
      <c r="BA933" s="926"/>
      <c r="BB933" s="927"/>
    </row>
    <row r="934" spans="1:54" x14ac:dyDescent="0.25">
      <c r="A934" s="13">
        <f t="shared" si="14"/>
        <v>921</v>
      </c>
      <c r="B934" s="888" t="str">
        <f>'refer admin discharge'!B930</f>
        <v>x</v>
      </c>
      <c r="C934" s="888"/>
      <c r="D934" s="868" t="str">
        <f>'refer admin discharge'!D930</f>
        <v>xx</v>
      </c>
      <c r="E934" s="868"/>
      <c r="F934" s="891" t="str">
        <f>'refer admin discharge'!H930</f>
        <v>00/00/0000</v>
      </c>
      <c r="G934" s="892"/>
      <c r="H934" s="894"/>
      <c r="I934" s="894"/>
      <c r="J934" s="918"/>
      <c r="K934" s="918"/>
      <c r="L934" s="894"/>
      <c r="M934" s="894"/>
      <c r="N934" s="916"/>
      <c r="O934" s="916"/>
      <c r="P934" s="894"/>
      <c r="Q934" s="894"/>
      <c r="R934" s="916"/>
      <c r="S934" s="916"/>
      <c r="T934" s="894"/>
      <c r="U934" s="894"/>
      <c r="V934" s="921" t="str">
        <f>'refer admin discharge'!H935</f>
        <v>00/00/0000</v>
      </c>
      <c r="W934" s="922"/>
      <c r="X934" s="920"/>
      <c r="Y934" s="920"/>
      <c r="Z934" s="919"/>
      <c r="AA934" s="919"/>
      <c r="AB934" s="920"/>
      <c r="AC934" s="920"/>
      <c r="AD934" s="912"/>
      <c r="AE934" s="912"/>
      <c r="AF934" s="920"/>
      <c r="AG934" s="920"/>
      <c r="AH934" s="912"/>
      <c r="AI934" s="912"/>
      <c r="AJ934" s="920"/>
      <c r="AK934" s="920"/>
      <c r="AL934" s="905"/>
      <c r="AM934" s="906"/>
      <c r="AN934" s="906"/>
      <c r="AO934" s="906"/>
      <c r="AP934" s="906"/>
      <c r="AQ934" s="906"/>
      <c r="AR934" s="906"/>
      <c r="AS934" s="906"/>
      <c r="AT934" s="906"/>
      <c r="AU934" s="906"/>
      <c r="AV934" s="906"/>
      <c r="AW934" s="906"/>
      <c r="AX934" s="906"/>
      <c r="AY934" s="906"/>
      <c r="AZ934" s="906"/>
      <c r="BA934" s="906"/>
      <c r="BB934" s="907"/>
    </row>
    <row r="935" spans="1:54" x14ac:dyDescent="0.25">
      <c r="A935" s="13">
        <f t="shared" si="14"/>
        <v>922</v>
      </c>
      <c r="B935" s="914" t="str">
        <f>'refer admin discharge'!B931</f>
        <v>x</v>
      </c>
      <c r="C935" s="914"/>
      <c r="D935" s="889" t="str">
        <f>'refer admin discharge'!D931</f>
        <v>xx</v>
      </c>
      <c r="E935" s="889"/>
      <c r="F935" s="915" t="str">
        <f>'refer admin discharge'!H931</f>
        <v>00/00/0000</v>
      </c>
      <c r="G935" s="890"/>
      <c r="H935" s="916"/>
      <c r="I935" s="916"/>
      <c r="J935" s="917"/>
      <c r="K935" s="917"/>
      <c r="L935" s="916"/>
      <c r="M935" s="916"/>
      <c r="N935" s="893"/>
      <c r="O935" s="893"/>
      <c r="P935" s="916"/>
      <c r="Q935" s="916"/>
      <c r="R935" s="893"/>
      <c r="S935" s="893"/>
      <c r="T935" s="916"/>
      <c r="U935" s="916"/>
      <c r="V935" s="921" t="str">
        <f>'refer admin discharge'!H936</f>
        <v>00/00/0000</v>
      </c>
      <c r="W935" s="922"/>
      <c r="X935" s="912"/>
      <c r="Y935" s="912"/>
      <c r="Z935" s="924"/>
      <c r="AA935" s="924"/>
      <c r="AB935" s="912"/>
      <c r="AC935" s="912"/>
      <c r="AD935" s="913"/>
      <c r="AE935" s="913"/>
      <c r="AF935" s="912"/>
      <c r="AG935" s="912"/>
      <c r="AH935" s="913"/>
      <c r="AI935" s="913"/>
      <c r="AJ935" s="912"/>
      <c r="AK935" s="912"/>
      <c r="AL935" s="925"/>
      <c r="AM935" s="926"/>
      <c r="AN935" s="926"/>
      <c r="AO935" s="926"/>
      <c r="AP935" s="926"/>
      <c r="AQ935" s="926"/>
      <c r="AR935" s="926"/>
      <c r="AS935" s="926"/>
      <c r="AT935" s="926"/>
      <c r="AU935" s="926"/>
      <c r="AV935" s="926"/>
      <c r="AW935" s="926"/>
      <c r="AX935" s="926"/>
      <c r="AY935" s="926"/>
      <c r="AZ935" s="926"/>
      <c r="BA935" s="926"/>
      <c r="BB935" s="927"/>
    </row>
    <row r="936" spans="1:54" x14ac:dyDescent="0.25">
      <c r="A936" s="13">
        <f t="shared" si="14"/>
        <v>923</v>
      </c>
      <c r="B936" s="888" t="str">
        <f>'refer admin discharge'!B932</f>
        <v>x</v>
      </c>
      <c r="C936" s="888"/>
      <c r="D936" s="868" t="str">
        <f>'refer admin discharge'!D932</f>
        <v>xx</v>
      </c>
      <c r="E936" s="868"/>
      <c r="F936" s="891" t="str">
        <f>'refer admin discharge'!H932</f>
        <v>00/00/0000</v>
      </c>
      <c r="G936" s="892"/>
      <c r="H936" s="894"/>
      <c r="I936" s="894"/>
      <c r="J936" s="918"/>
      <c r="K936" s="918"/>
      <c r="L936" s="894"/>
      <c r="M936" s="894"/>
      <c r="N936" s="916"/>
      <c r="O936" s="916"/>
      <c r="P936" s="894"/>
      <c r="Q936" s="894"/>
      <c r="R936" s="916"/>
      <c r="S936" s="916"/>
      <c r="T936" s="894"/>
      <c r="U936" s="894"/>
      <c r="V936" s="921" t="str">
        <f>'refer admin discharge'!H937</f>
        <v>00/00/0000</v>
      </c>
      <c r="W936" s="922"/>
      <c r="X936" s="920"/>
      <c r="Y936" s="920"/>
      <c r="Z936" s="919"/>
      <c r="AA936" s="919"/>
      <c r="AB936" s="920"/>
      <c r="AC936" s="920"/>
      <c r="AD936" s="912"/>
      <c r="AE936" s="912"/>
      <c r="AF936" s="920"/>
      <c r="AG936" s="920"/>
      <c r="AH936" s="912"/>
      <c r="AI936" s="912"/>
      <c r="AJ936" s="920"/>
      <c r="AK936" s="920"/>
      <c r="AL936" s="905"/>
      <c r="AM936" s="906"/>
      <c r="AN936" s="906"/>
      <c r="AO936" s="906"/>
      <c r="AP936" s="906"/>
      <c r="AQ936" s="906"/>
      <c r="AR936" s="906"/>
      <c r="AS936" s="906"/>
      <c r="AT936" s="906"/>
      <c r="AU936" s="906"/>
      <c r="AV936" s="906"/>
      <c r="AW936" s="906"/>
      <c r="AX936" s="906"/>
      <c r="AY936" s="906"/>
      <c r="AZ936" s="906"/>
      <c r="BA936" s="906"/>
      <c r="BB936" s="907"/>
    </row>
    <row r="937" spans="1:54" x14ac:dyDescent="0.25">
      <c r="A937" s="13">
        <f t="shared" si="14"/>
        <v>924</v>
      </c>
      <c r="B937" s="914" t="str">
        <f>'refer admin discharge'!B933</f>
        <v>x</v>
      </c>
      <c r="C937" s="914"/>
      <c r="D937" s="889" t="str">
        <f>'refer admin discharge'!D933</f>
        <v>xx</v>
      </c>
      <c r="E937" s="889"/>
      <c r="F937" s="915" t="str">
        <f>'refer admin discharge'!H933</f>
        <v>00/00/0000</v>
      </c>
      <c r="G937" s="890"/>
      <c r="H937" s="916"/>
      <c r="I937" s="916"/>
      <c r="J937" s="917"/>
      <c r="K937" s="917"/>
      <c r="L937" s="916"/>
      <c r="M937" s="916"/>
      <c r="N937" s="893"/>
      <c r="O937" s="893"/>
      <c r="P937" s="916"/>
      <c r="Q937" s="916"/>
      <c r="R937" s="893"/>
      <c r="S937" s="893"/>
      <c r="T937" s="916"/>
      <c r="U937" s="916"/>
      <c r="V937" s="921" t="str">
        <f>'refer admin discharge'!H938</f>
        <v>00/00/0000</v>
      </c>
      <c r="W937" s="922"/>
      <c r="X937" s="912"/>
      <c r="Y937" s="912"/>
      <c r="Z937" s="924"/>
      <c r="AA937" s="924"/>
      <c r="AB937" s="912"/>
      <c r="AC937" s="912"/>
      <c r="AD937" s="913"/>
      <c r="AE937" s="913"/>
      <c r="AF937" s="912"/>
      <c r="AG937" s="912"/>
      <c r="AH937" s="913"/>
      <c r="AI937" s="913"/>
      <c r="AJ937" s="912"/>
      <c r="AK937" s="912"/>
      <c r="AL937" s="925"/>
      <c r="AM937" s="926"/>
      <c r="AN937" s="926"/>
      <c r="AO937" s="926"/>
      <c r="AP937" s="926"/>
      <c r="AQ937" s="926"/>
      <c r="AR937" s="926"/>
      <c r="AS937" s="926"/>
      <c r="AT937" s="926"/>
      <c r="AU937" s="926"/>
      <c r="AV937" s="926"/>
      <c r="AW937" s="926"/>
      <c r="AX937" s="926"/>
      <c r="AY937" s="926"/>
      <c r="AZ937" s="926"/>
      <c r="BA937" s="926"/>
      <c r="BB937" s="927"/>
    </row>
    <row r="938" spans="1:54" x14ac:dyDescent="0.25">
      <c r="A938" s="13">
        <f t="shared" si="14"/>
        <v>925</v>
      </c>
      <c r="B938" s="888" t="str">
        <f>'refer admin discharge'!B934</f>
        <v>x</v>
      </c>
      <c r="C938" s="888"/>
      <c r="D938" s="868" t="str">
        <f>'refer admin discharge'!D934</f>
        <v>xx</v>
      </c>
      <c r="E938" s="868"/>
      <c r="F938" s="891" t="str">
        <f>'refer admin discharge'!H934</f>
        <v>00/00/0000</v>
      </c>
      <c r="G938" s="892"/>
      <c r="H938" s="894"/>
      <c r="I938" s="894"/>
      <c r="J938" s="918"/>
      <c r="K938" s="918"/>
      <c r="L938" s="894"/>
      <c r="M938" s="894"/>
      <c r="N938" s="916"/>
      <c r="O938" s="916"/>
      <c r="P938" s="894"/>
      <c r="Q938" s="894"/>
      <c r="R938" s="916"/>
      <c r="S938" s="916"/>
      <c r="T938" s="894"/>
      <c r="U938" s="894"/>
      <c r="V938" s="921" t="str">
        <f>'refer admin discharge'!H939</f>
        <v>00/00/0000</v>
      </c>
      <c r="W938" s="922"/>
      <c r="X938" s="920"/>
      <c r="Y938" s="920"/>
      <c r="Z938" s="919"/>
      <c r="AA938" s="919"/>
      <c r="AB938" s="920"/>
      <c r="AC938" s="920"/>
      <c r="AD938" s="912"/>
      <c r="AE938" s="912"/>
      <c r="AF938" s="920"/>
      <c r="AG938" s="920"/>
      <c r="AH938" s="912"/>
      <c r="AI938" s="912"/>
      <c r="AJ938" s="920"/>
      <c r="AK938" s="920"/>
      <c r="AL938" s="905"/>
      <c r="AM938" s="906"/>
      <c r="AN938" s="906"/>
      <c r="AO938" s="906"/>
      <c r="AP938" s="906"/>
      <c r="AQ938" s="906"/>
      <c r="AR938" s="906"/>
      <c r="AS938" s="906"/>
      <c r="AT938" s="906"/>
      <c r="AU938" s="906"/>
      <c r="AV938" s="906"/>
      <c r="AW938" s="906"/>
      <c r="AX938" s="906"/>
      <c r="AY938" s="906"/>
      <c r="AZ938" s="906"/>
      <c r="BA938" s="906"/>
      <c r="BB938" s="907"/>
    </row>
    <row r="939" spans="1:54" x14ac:dyDescent="0.25">
      <c r="A939" s="13">
        <f t="shared" si="14"/>
        <v>926</v>
      </c>
      <c r="B939" s="914" t="str">
        <f>'refer admin discharge'!B935</f>
        <v>x</v>
      </c>
      <c r="C939" s="914"/>
      <c r="D939" s="889" t="str">
        <f>'refer admin discharge'!D935</f>
        <v>xx</v>
      </c>
      <c r="E939" s="889"/>
      <c r="F939" s="915" t="str">
        <f>'refer admin discharge'!H935</f>
        <v>00/00/0000</v>
      </c>
      <c r="G939" s="890"/>
      <c r="H939" s="916"/>
      <c r="I939" s="916"/>
      <c r="J939" s="917"/>
      <c r="K939" s="917"/>
      <c r="L939" s="916"/>
      <c r="M939" s="916"/>
      <c r="N939" s="893"/>
      <c r="O939" s="893"/>
      <c r="P939" s="916"/>
      <c r="Q939" s="916"/>
      <c r="R939" s="893"/>
      <c r="S939" s="893"/>
      <c r="T939" s="916"/>
      <c r="U939" s="916"/>
      <c r="V939" s="921" t="str">
        <f>'refer admin discharge'!H940</f>
        <v>00/00/0000</v>
      </c>
      <c r="W939" s="922"/>
      <c r="X939" s="912"/>
      <c r="Y939" s="912"/>
      <c r="Z939" s="924"/>
      <c r="AA939" s="924"/>
      <c r="AB939" s="912"/>
      <c r="AC939" s="912"/>
      <c r="AD939" s="913"/>
      <c r="AE939" s="913"/>
      <c r="AF939" s="912"/>
      <c r="AG939" s="912"/>
      <c r="AH939" s="913"/>
      <c r="AI939" s="913"/>
      <c r="AJ939" s="912"/>
      <c r="AK939" s="912"/>
      <c r="AL939" s="925"/>
      <c r="AM939" s="926"/>
      <c r="AN939" s="926"/>
      <c r="AO939" s="926"/>
      <c r="AP939" s="926"/>
      <c r="AQ939" s="926"/>
      <c r="AR939" s="926"/>
      <c r="AS939" s="926"/>
      <c r="AT939" s="926"/>
      <c r="AU939" s="926"/>
      <c r="AV939" s="926"/>
      <c r="AW939" s="926"/>
      <c r="AX939" s="926"/>
      <c r="AY939" s="926"/>
      <c r="AZ939" s="926"/>
      <c r="BA939" s="926"/>
      <c r="BB939" s="927"/>
    </row>
    <row r="940" spans="1:54" x14ac:dyDescent="0.25">
      <c r="A940" s="13">
        <f t="shared" si="14"/>
        <v>927</v>
      </c>
      <c r="B940" s="888" t="str">
        <f>'refer admin discharge'!B936</f>
        <v>x</v>
      </c>
      <c r="C940" s="888"/>
      <c r="D940" s="868" t="str">
        <f>'refer admin discharge'!D936</f>
        <v>xx</v>
      </c>
      <c r="E940" s="868"/>
      <c r="F940" s="891" t="str">
        <f>'refer admin discharge'!H936</f>
        <v>00/00/0000</v>
      </c>
      <c r="G940" s="892"/>
      <c r="H940" s="894"/>
      <c r="I940" s="894"/>
      <c r="J940" s="918"/>
      <c r="K940" s="918"/>
      <c r="L940" s="894"/>
      <c r="M940" s="894"/>
      <c r="N940" s="916"/>
      <c r="O940" s="916"/>
      <c r="P940" s="894"/>
      <c r="Q940" s="894"/>
      <c r="R940" s="916"/>
      <c r="S940" s="916"/>
      <c r="T940" s="894"/>
      <c r="U940" s="894"/>
      <c r="V940" s="921" t="str">
        <f>'refer admin discharge'!H941</f>
        <v>00/00/0000</v>
      </c>
      <c r="W940" s="922"/>
      <c r="X940" s="920"/>
      <c r="Y940" s="920"/>
      <c r="Z940" s="919"/>
      <c r="AA940" s="919"/>
      <c r="AB940" s="920"/>
      <c r="AC940" s="920"/>
      <c r="AD940" s="912"/>
      <c r="AE940" s="912"/>
      <c r="AF940" s="920"/>
      <c r="AG940" s="920"/>
      <c r="AH940" s="912"/>
      <c r="AI940" s="912"/>
      <c r="AJ940" s="920"/>
      <c r="AK940" s="920"/>
      <c r="AL940" s="905"/>
      <c r="AM940" s="906"/>
      <c r="AN940" s="906"/>
      <c r="AO940" s="906"/>
      <c r="AP940" s="906"/>
      <c r="AQ940" s="906"/>
      <c r="AR940" s="906"/>
      <c r="AS940" s="906"/>
      <c r="AT940" s="906"/>
      <c r="AU940" s="906"/>
      <c r="AV940" s="906"/>
      <c r="AW940" s="906"/>
      <c r="AX940" s="906"/>
      <c r="AY940" s="906"/>
      <c r="AZ940" s="906"/>
      <c r="BA940" s="906"/>
      <c r="BB940" s="907"/>
    </row>
    <row r="941" spans="1:54" x14ac:dyDescent="0.25">
      <c r="A941" s="13">
        <f t="shared" si="14"/>
        <v>928</v>
      </c>
      <c r="B941" s="914" t="str">
        <f>'refer admin discharge'!B937</f>
        <v>x</v>
      </c>
      <c r="C941" s="914"/>
      <c r="D941" s="889" t="str">
        <f>'refer admin discharge'!D937</f>
        <v>xx</v>
      </c>
      <c r="E941" s="889"/>
      <c r="F941" s="915" t="str">
        <f>'refer admin discharge'!H937</f>
        <v>00/00/0000</v>
      </c>
      <c r="G941" s="890"/>
      <c r="H941" s="916"/>
      <c r="I941" s="916"/>
      <c r="J941" s="917"/>
      <c r="K941" s="917"/>
      <c r="L941" s="916"/>
      <c r="M941" s="916"/>
      <c r="N941" s="893"/>
      <c r="O941" s="893"/>
      <c r="P941" s="916"/>
      <c r="Q941" s="916"/>
      <c r="R941" s="893"/>
      <c r="S941" s="893"/>
      <c r="T941" s="916"/>
      <c r="U941" s="916"/>
      <c r="V941" s="921" t="str">
        <f>'refer admin discharge'!H942</f>
        <v>00/00/0000</v>
      </c>
      <c r="W941" s="922"/>
      <c r="X941" s="912"/>
      <c r="Y941" s="912"/>
      <c r="Z941" s="924"/>
      <c r="AA941" s="924"/>
      <c r="AB941" s="912"/>
      <c r="AC941" s="912"/>
      <c r="AD941" s="913"/>
      <c r="AE941" s="913"/>
      <c r="AF941" s="912"/>
      <c r="AG941" s="912"/>
      <c r="AH941" s="913"/>
      <c r="AI941" s="913"/>
      <c r="AJ941" s="912"/>
      <c r="AK941" s="912"/>
      <c r="AL941" s="925"/>
      <c r="AM941" s="926"/>
      <c r="AN941" s="926"/>
      <c r="AO941" s="926"/>
      <c r="AP941" s="926"/>
      <c r="AQ941" s="926"/>
      <c r="AR941" s="926"/>
      <c r="AS941" s="926"/>
      <c r="AT941" s="926"/>
      <c r="AU941" s="926"/>
      <c r="AV941" s="926"/>
      <c r="AW941" s="926"/>
      <c r="AX941" s="926"/>
      <c r="AY941" s="926"/>
      <c r="AZ941" s="926"/>
      <c r="BA941" s="926"/>
      <c r="BB941" s="927"/>
    </row>
    <row r="942" spans="1:54" x14ac:dyDescent="0.25">
      <c r="A942" s="13">
        <f t="shared" si="14"/>
        <v>929</v>
      </c>
      <c r="B942" s="888" t="str">
        <f>'refer admin discharge'!B938</f>
        <v>x</v>
      </c>
      <c r="C942" s="888"/>
      <c r="D942" s="868" t="str">
        <f>'refer admin discharge'!D938</f>
        <v>xx</v>
      </c>
      <c r="E942" s="868"/>
      <c r="F942" s="891" t="str">
        <f>'refer admin discharge'!H938</f>
        <v>00/00/0000</v>
      </c>
      <c r="G942" s="892"/>
      <c r="H942" s="894"/>
      <c r="I942" s="894"/>
      <c r="J942" s="918"/>
      <c r="K942" s="918"/>
      <c r="L942" s="894"/>
      <c r="M942" s="894"/>
      <c r="N942" s="916"/>
      <c r="O942" s="916"/>
      <c r="P942" s="894"/>
      <c r="Q942" s="894"/>
      <c r="R942" s="916"/>
      <c r="S942" s="916"/>
      <c r="T942" s="894"/>
      <c r="U942" s="894"/>
      <c r="V942" s="921" t="str">
        <f>'refer admin discharge'!H943</f>
        <v>00/00/0000</v>
      </c>
      <c r="W942" s="922"/>
      <c r="X942" s="920"/>
      <c r="Y942" s="920"/>
      <c r="Z942" s="919"/>
      <c r="AA942" s="919"/>
      <c r="AB942" s="920"/>
      <c r="AC942" s="920"/>
      <c r="AD942" s="912"/>
      <c r="AE942" s="912"/>
      <c r="AF942" s="920"/>
      <c r="AG942" s="920"/>
      <c r="AH942" s="912"/>
      <c r="AI942" s="912"/>
      <c r="AJ942" s="920"/>
      <c r="AK942" s="920"/>
      <c r="AL942" s="905"/>
      <c r="AM942" s="906"/>
      <c r="AN942" s="906"/>
      <c r="AO942" s="906"/>
      <c r="AP942" s="906"/>
      <c r="AQ942" s="906"/>
      <c r="AR942" s="906"/>
      <c r="AS942" s="906"/>
      <c r="AT942" s="906"/>
      <c r="AU942" s="906"/>
      <c r="AV942" s="906"/>
      <c r="AW942" s="906"/>
      <c r="AX942" s="906"/>
      <c r="AY942" s="906"/>
      <c r="AZ942" s="906"/>
      <c r="BA942" s="906"/>
      <c r="BB942" s="907"/>
    </row>
    <row r="943" spans="1:54" x14ac:dyDescent="0.25">
      <c r="A943" s="13">
        <f t="shared" si="14"/>
        <v>930</v>
      </c>
      <c r="B943" s="914" t="str">
        <f>'refer admin discharge'!B939</f>
        <v>x</v>
      </c>
      <c r="C943" s="914"/>
      <c r="D943" s="889" t="str">
        <f>'refer admin discharge'!D939</f>
        <v>xx</v>
      </c>
      <c r="E943" s="889"/>
      <c r="F943" s="915" t="str">
        <f>'refer admin discharge'!H939</f>
        <v>00/00/0000</v>
      </c>
      <c r="G943" s="890"/>
      <c r="H943" s="916"/>
      <c r="I943" s="916"/>
      <c r="J943" s="917"/>
      <c r="K943" s="917"/>
      <c r="L943" s="916"/>
      <c r="M943" s="916"/>
      <c r="N943" s="893"/>
      <c r="O943" s="893"/>
      <c r="P943" s="916"/>
      <c r="Q943" s="916"/>
      <c r="R943" s="893"/>
      <c r="S943" s="893"/>
      <c r="T943" s="916"/>
      <c r="U943" s="916"/>
      <c r="V943" s="921" t="str">
        <f>'refer admin discharge'!H944</f>
        <v>00/00/0000</v>
      </c>
      <c r="W943" s="922"/>
      <c r="X943" s="912"/>
      <c r="Y943" s="912"/>
      <c r="Z943" s="924"/>
      <c r="AA943" s="924"/>
      <c r="AB943" s="912"/>
      <c r="AC943" s="912"/>
      <c r="AD943" s="913"/>
      <c r="AE943" s="913"/>
      <c r="AF943" s="912"/>
      <c r="AG943" s="912"/>
      <c r="AH943" s="913"/>
      <c r="AI943" s="913"/>
      <c r="AJ943" s="912"/>
      <c r="AK943" s="912"/>
      <c r="AL943" s="925"/>
      <c r="AM943" s="926"/>
      <c r="AN943" s="926"/>
      <c r="AO943" s="926"/>
      <c r="AP943" s="926"/>
      <c r="AQ943" s="926"/>
      <c r="AR943" s="926"/>
      <c r="AS943" s="926"/>
      <c r="AT943" s="926"/>
      <c r="AU943" s="926"/>
      <c r="AV943" s="926"/>
      <c r="AW943" s="926"/>
      <c r="AX943" s="926"/>
      <c r="AY943" s="926"/>
      <c r="AZ943" s="926"/>
      <c r="BA943" s="926"/>
      <c r="BB943" s="927"/>
    </row>
    <row r="944" spans="1:54" x14ac:dyDescent="0.25">
      <c r="A944" s="13">
        <f t="shared" si="14"/>
        <v>931</v>
      </c>
      <c r="B944" s="888" t="str">
        <f>'refer admin discharge'!B940</f>
        <v>x</v>
      </c>
      <c r="C944" s="888"/>
      <c r="D944" s="868" t="str">
        <f>'refer admin discharge'!D940</f>
        <v>xx</v>
      </c>
      <c r="E944" s="868"/>
      <c r="F944" s="891" t="str">
        <f>'refer admin discharge'!H940</f>
        <v>00/00/0000</v>
      </c>
      <c r="G944" s="892"/>
      <c r="H944" s="894"/>
      <c r="I944" s="894"/>
      <c r="J944" s="918"/>
      <c r="K944" s="918"/>
      <c r="L944" s="894"/>
      <c r="M944" s="894"/>
      <c r="N944" s="916"/>
      <c r="O944" s="916"/>
      <c r="P944" s="894"/>
      <c r="Q944" s="894"/>
      <c r="R944" s="916"/>
      <c r="S944" s="916"/>
      <c r="T944" s="894"/>
      <c r="U944" s="894"/>
      <c r="V944" s="921" t="str">
        <f>'refer admin discharge'!H945</f>
        <v>00/00/0000</v>
      </c>
      <c r="W944" s="922"/>
      <c r="X944" s="920"/>
      <c r="Y944" s="920"/>
      <c r="Z944" s="919"/>
      <c r="AA944" s="919"/>
      <c r="AB944" s="920"/>
      <c r="AC944" s="920"/>
      <c r="AD944" s="912"/>
      <c r="AE944" s="912"/>
      <c r="AF944" s="920"/>
      <c r="AG944" s="920"/>
      <c r="AH944" s="912"/>
      <c r="AI944" s="912"/>
      <c r="AJ944" s="920"/>
      <c r="AK944" s="920"/>
      <c r="AL944" s="905"/>
      <c r="AM944" s="906"/>
      <c r="AN944" s="906"/>
      <c r="AO944" s="906"/>
      <c r="AP944" s="906"/>
      <c r="AQ944" s="906"/>
      <c r="AR944" s="906"/>
      <c r="AS944" s="906"/>
      <c r="AT944" s="906"/>
      <c r="AU944" s="906"/>
      <c r="AV944" s="906"/>
      <c r="AW944" s="906"/>
      <c r="AX944" s="906"/>
      <c r="AY944" s="906"/>
      <c r="AZ944" s="906"/>
      <c r="BA944" s="906"/>
      <c r="BB944" s="907"/>
    </row>
    <row r="945" spans="1:54" x14ac:dyDescent="0.25">
      <c r="A945" s="13">
        <f t="shared" si="14"/>
        <v>932</v>
      </c>
      <c r="B945" s="914" t="str">
        <f>'refer admin discharge'!B941</f>
        <v>x</v>
      </c>
      <c r="C945" s="914"/>
      <c r="D945" s="889" t="str">
        <f>'refer admin discharge'!D941</f>
        <v>xx</v>
      </c>
      <c r="E945" s="889"/>
      <c r="F945" s="915" t="str">
        <f>'refer admin discharge'!H941</f>
        <v>00/00/0000</v>
      </c>
      <c r="G945" s="890"/>
      <c r="H945" s="916"/>
      <c r="I945" s="916"/>
      <c r="J945" s="917"/>
      <c r="K945" s="917"/>
      <c r="L945" s="916"/>
      <c r="M945" s="916"/>
      <c r="N945" s="893"/>
      <c r="O945" s="893"/>
      <c r="P945" s="916"/>
      <c r="Q945" s="916"/>
      <c r="R945" s="893"/>
      <c r="S945" s="893"/>
      <c r="T945" s="916"/>
      <c r="U945" s="916"/>
      <c r="V945" s="921" t="str">
        <f>'refer admin discharge'!H946</f>
        <v>00/00/0000</v>
      </c>
      <c r="W945" s="922"/>
      <c r="X945" s="912"/>
      <c r="Y945" s="912"/>
      <c r="Z945" s="924"/>
      <c r="AA945" s="924"/>
      <c r="AB945" s="912"/>
      <c r="AC945" s="912"/>
      <c r="AD945" s="913"/>
      <c r="AE945" s="913"/>
      <c r="AF945" s="912"/>
      <c r="AG945" s="912"/>
      <c r="AH945" s="913"/>
      <c r="AI945" s="913"/>
      <c r="AJ945" s="912"/>
      <c r="AK945" s="912"/>
      <c r="AL945" s="925"/>
      <c r="AM945" s="926"/>
      <c r="AN945" s="926"/>
      <c r="AO945" s="926"/>
      <c r="AP945" s="926"/>
      <c r="AQ945" s="926"/>
      <c r="AR945" s="926"/>
      <c r="AS945" s="926"/>
      <c r="AT945" s="926"/>
      <c r="AU945" s="926"/>
      <c r="AV945" s="926"/>
      <c r="AW945" s="926"/>
      <c r="AX945" s="926"/>
      <c r="AY945" s="926"/>
      <c r="AZ945" s="926"/>
      <c r="BA945" s="926"/>
      <c r="BB945" s="927"/>
    </row>
    <row r="946" spans="1:54" x14ac:dyDescent="0.25">
      <c r="A946" s="13">
        <f t="shared" si="14"/>
        <v>933</v>
      </c>
      <c r="B946" s="888" t="str">
        <f>'refer admin discharge'!B942</f>
        <v>x</v>
      </c>
      <c r="C946" s="888"/>
      <c r="D946" s="868" t="str">
        <f>'refer admin discharge'!D942</f>
        <v>xx</v>
      </c>
      <c r="E946" s="868"/>
      <c r="F946" s="891" t="str">
        <f>'refer admin discharge'!H942</f>
        <v>00/00/0000</v>
      </c>
      <c r="G946" s="892"/>
      <c r="H946" s="894"/>
      <c r="I946" s="894"/>
      <c r="J946" s="918"/>
      <c r="K946" s="918"/>
      <c r="L946" s="894"/>
      <c r="M946" s="894"/>
      <c r="N946" s="916"/>
      <c r="O946" s="916"/>
      <c r="P946" s="894"/>
      <c r="Q946" s="894"/>
      <c r="R946" s="916"/>
      <c r="S946" s="916"/>
      <c r="T946" s="894"/>
      <c r="U946" s="894"/>
      <c r="V946" s="921" t="str">
        <f>'refer admin discharge'!H947</f>
        <v>00/00/0000</v>
      </c>
      <c r="W946" s="922"/>
      <c r="X946" s="920"/>
      <c r="Y946" s="920"/>
      <c r="Z946" s="919"/>
      <c r="AA946" s="919"/>
      <c r="AB946" s="920"/>
      <c r="AC946" s="920"/>
      <c r="AD946" s="912"/>
      <c r="AE946" s="912"/>
      <c r="AF946" s="920"/>
      <c r="AG946" s="920"/>
      <c r="AH946" s="912"/>
      <c r="AI946" s="912"/>
      <c r="AJ946" s="920"/>
      <c r="AK946" s="920"/>
      <c r="AL946" s="905"/>
      <c r="AM946" s="906"/>
      <c r="AN946" s="906"/>
      <c r="AO946" s="906"/>
      <c r="AP946" s="906"/>
      <c r="AQ946" s="906"/>
      <c r="AR946" s="906"/>
      <c r="AS946" s="906"/>
      <c r="AT946" s="906"/>
      <c r="AU946" s="906"/>
      <c r="AV946" s="906"/>
      <c r="AW946" s="906"/>
      <c r="AX946" s="906"/>
      <c r="AY946" s="906"/>
      <c r="AZ946" s="906"/>
      <c r="BA946" s="906"/>
      <c r="BB946" s="907"/>
    </row>
    <row r="947" spans="1:54" x14ac:dyDescent="0.25">
      <c r="A947" s="13">
        <f t="shared" si="14"/>
        <v>934</v>
      </c>
      <c r="B947" s="914" t="str">
        <f>'refer admin discharge'!B943</f>
        <v>x</v>
      </c>
      <c r="C947" s="914"/>
      <c r="D947" s="889" t="str">
        <f>'refer admin discharge'!D943</f>
        <v>xx</v>
      </c>
      <c r="E947" s="889"/>
      <c r="F947" s="915" t="str">
        <f>'refer admin discharge'!H943</f>
        <v>00/00/0000</v>
      </c>
      <c r="G947" s="890"/>
      <c r="H947" s="916"/>
      <c r="I947" s="916"/>
      <c r="J947" s="917"/>
      <c r="K947" s="917"/>
      <c r="L947" s="916"/>
      <c r="M947" s="916"/>
      <c r="N947" s="893"/>
      <c r="O947" s="893"/>
      <c r="P947" s="916"/>
      <c r="Q947" s="916"/>
      <c r="R947" s="893"/>
      <c r="S947" s="893"/>
      <c r="T947" s="916"/>
      <c r="U947" s="916"/>
      <c r="V947" s="921" t="str">
        <f>'refer admin discharge'!H948</f>
        <v>00/00/0000</v>
      </c>
      <c r="W947" s="922"/>
      <c r="X947" s="912"/>
      <c r="Y947" s="912"/>
      <c r="Z947" s="924"/>
      <c r="AA947" s="924"/>
      <c r="AB947" s="912"/>
      <c r="AC947" s="912"/>
      <c r="AD947" s="913"/>
      <c r="AE947" s="913"/>
      <c r="AF947" s="912"/>
      <c r="AG947" s="912"/>
      <c r="AH947" s="913"/>
      <c r="AI947" s="913"/>
      <c r="AJ947" s="912"/>
      <c r="AK947" s="912"/>
      <c r="AL947" s="925"/>
      <c r="AM947" s="926"/>
      <c r="AN947" s="926"/>
      <c r="AO947" s="926"/>
      <c r="AP947" s="926"/>
      <c r="AQ947" s="926"/>
      <c r="AR947" s="926"/>
      <c r="AS947" s="926"/>
      <c r="AT947" s="926"/>
      <c r="AU947" s="926"/>
      <c r="AV947" s="926"/>
      <c r="AW947" s="926"/>
      <c r="AX947" s="926"/>
      <c r="AY947" s="926"/>
      <c r="AZ947" s="926"/>
      <c r="BA947" s="926"/>
      <c r="BB947" s="927"/>
    </row>
    <row r="948" spans="1:54" x14ac:dyDescent="0.25">
      <c r="A948" s="13">
        <f t="shared" si="14"/>
        <v>935</v>
      </c>
      <c r="B948" s="888" t="str">
        <f>'refer admin discharge'!B944</f>
        <v>x</v>
      </c>
      <c r="C948" s="888"/>
      <c r="D948" s="868" t="str">
        <f>'refer admin discharge'!D944</f>
        <v>xx</v>
      </c>
      <c r="E948" s="868"/>
      <c r="F948" s="891" t="str">
        <f>'refer admin discharge'!H944</f>
        <v>00/00/0000</v>
      </c>
      <c r="G948" s="892"/>
      <c r="H948" s="894"/>
      <c r="I948" s="894"/>
      <c r="J948" s="918"/>
      <c r="K948" s="918"/>
      <c r="L948" s="894"/>
      <c r="M948" s="894"/>
      <c r="N948" s="916"/>
      <c r="O948" s="916"/>
      <c r="P948" s="894"/>
      <c r="Q948" s="894"/>
      <c r="R948" s="916"/>
      <c r="S948" s="916"/>
      <c r="T948" s="894"/>
      <c r="U948" s="894"/>
      <c r="V948" s="921" t="str">
        <f>'refer admin discharge'!H949</f>
        <v>00/00/0000</v>
      </c>
      <c r="W948" s="922"/>
      <c r="X948" s="920"/>
      <c r="Y948" s="920"/>
      <c r="Z948" s="919"/>
      <c r="AA948" s="919"/>
      <c r="AB948" s="920"/>
      <c r="AC948" s="920"/>
      <c r="AD948" s="912"/>
      <c r="AE948" s="912"/>
      <c r="AF948" s="920"/>
      <c r="AG948" s="920"/>
      <c r="AH948" s="912"/>
      <c r="AI948" s="912"/>
      <c r="AJ948" s="920"/>
      <c r="AK948" s="920"/>
      <c r="AL948" s="905"/>
      <c r="AM948" s="906"/>
      <c r="AN948" s="906"/>
      <c r="AO948" s="906"/>
      <c r="AP948" s="906"/>
      <c r="AQ948" s="906"/>
      <c r="AR948" s="906"/>
      <c r="AS948" s="906"/>
      <c r="AT948" s="906"/>
      <c r="AU948" s="906"/>
      <c r="AV948" s="906"/>
      <c r="AW948" s="906"/>
      <c r="AX948" s="906"/>
      <c r="AY948" s="906"/>
      <c r="AZ948" s="906"/>
      <c r="BA948" s="906"/>
      <c r="BB948" s="907"/>
    </row>
    <row r="949" spans="1:54" x14ac:dyDescent="0.25">
      <c r="A949" s="13">
        <f t="shared" si="14"/>
        <v>936</v>
      </c>
      <c r="B949" s="914" t="str">
        <f>'refer admin discharge'!B945</f>
        <v>x</v>
      </c>
      <c r="C949" s="914"/>
      <c r="D949" s="889" t="str">
        <f>'refer admin discharge'!D945</f>
        <v>xx</v>
      </c>
      <c r="E949" s="889"/>
      <c r="F949" s="915" t="str">
        <f>'refer admin discharge'!H945</f>
        <v>00/00/0000</v>
      </c>
      <c r="G949" s="890"/>
      <c r="H949" s="916"/>
      <c r="I949" s="916"/>
      <c r="J949" s="917"/>
      <c r="K949" s="917"/>
      <c r="L949" s="916"/>
      <c r="M949" s="916"/>
      <c r="N949" s="893"/>
      <c r="O949" s="893"/>
      <c r="P949" s="916"/>
      <c r="Q949" s="916"/>
      <c r="R949" s="893"/>
      <c r="S949" s="893"/>
      <c r="T949" s="916"/>
      <c r="U949" s="916"/>
      <c r="V949" s="921" t="str">
        <f>'refer admin discharge'!H950</f>
        <v>00/00/0000</v>
      </c>
      <c r="W949" s="922"/>
      <c r="X949" s="912"/>
      <c r="Y949" s="912"/>
      <c r="Z949" s="924"/>
      <c r="AA949" s="924"/>
      <c r="AB949" s="912"/>
      <c r="AC949" s="912"/>
      <c r="AD949" s="913"/>
      <c r="AE949" s="913"/>
      <c r="AF949" s="912"/>
      <c r="AG949" s="912"/>
      <c r="AH949" s="913"/>
      <c r="AI949" s="913"/>
      <c r="AJ949" s="912"/>
      <c r="AK949" s="912"/>
      <c r="AL949" s="925"/>
      <c r="AM949" s="926"/>
      <c r="AN949" s="926"/>
      <c r="AO949" s="926"/>
      <c r="AP949" s="926"/>
      <c r="AQ949" s="926"/>
      <c r="AR949" s="926"/>
      <c r="AS949" s="926"/>
      <c r="AT949" s="926"/>
      <c r="AU949" s="926"/>
      <c r="AV949" s="926"/>
      <c r="AW949" s="926"/>
      <c r="AX949" s="926"/>
      <c r="AY949" s="926"/>
      <c r="AZ949" s="926"/>
      <c r="BA949" s="926"/>
      <c r="BB949" s="927"/>
    </row>
    <row r="950" spans="1:54" x14ac:dyDescent="0.25">
      <c r="A950" s="13">
        <f t="shared" si="14"/>
        <v>937</v>
      </c>
      <c r="B950" s="888" t="str">
        <f>'refer admin discharge'!B946</f>
        <v>x</v>
      </c>
      <c r="C950" s="888"/>
      <c r="D950" s="868" t="str">
        <f>'refer admin discharge'!D946</f>
        <v>xx</v>
      </c>
      <c r="E950" s="868"/>
      <c r="F950" s="891" t="str">
        <f>'refer admin discharge'!H946</f>
        <v>00/00/0000</v>
      </c>
      <c r="G950" s="892"/>
      <c r="H950" s="894"/>
      <c r="I950" s="894"/>
      <c r="J950" s="918"/>
      <c r="K950" s="918"/>
      <c r="L950" s="894"/>
      <c r="M950" s="894"/>
      <c r="N950" s="916"/>
      <c r="O950" s="916"/>
      <c r="P950" s="894"/>
      <c r="Q950" s="894"/>
      <c r="R950" s="916"/>
      <c r="S950" s="916"/>
      <c r="T950" s="894"/>
      <c r="U950" s="894"/>
      <c r="V950" s="921" t="str">
        <f>'refer admin discharge'!H951</f>
        <v>00/00/0000</v>
      </c>
      <c r="W950" s="922"/>
      <c r="X950" s="920"/>
      <c r="Y950" s="920"/>
      <c r="Z950" s="919"/>
      <c r="AA950" s="919"/>
      <c r="AB950" s="920"/>
      <c r="AC950" s="920"/>
      <c r="AD950" s="912"/>
      <c r="AE950" s="912"/>
      <c r="AF950" s="920"/>
      <c r="AG950" s="920"/>
      <c r="AH950" s="912"/>
      <c r="AI950" s="912"/>
      <c r="AJ950" s="920"/>
      <c r="AK950" s="920"/>
      <c r="AL950" s="905"/>
      <c r="AM950" s="906"/>
      <c r="AN950" s="906"/>
      <c r="AO950" s="906"/>
      <c r="AP950" s="906"/>
      <c r="AQ950" s="906"/>
      <c r="AR950" s="906"/>
      <c r="AS950" s="906"/>
      <c r="AT950" s="906"/>
      <c r="AU950" s="906"/>
      <c r="AV950" s="906"/>
      <c r="AW950" s="906"/>
      <c r="AX950" s="906"/>
      <c r="AY950" s="906"/>
      <c r="AZ950" s="906"/>
      <c r="BA950" s="906"/>
      <c r="BB950" s="907"/>
    </row>
    <row r="951" spans="1:54" x14ac:dyDescent="0.25">
      <c r="A951" s="13">
        <f t="shared" si="14"/>
        <v>938</v>
      </c>
      <c r="B951" s="914" t="str">
        <f>'refer admin discharge'!B947</f>
        <v>x</v>
      </c>
      <c r="C951" s="914"/>
      <c r="D951" s="889" t="str">
        <f>'refer admin discharge'!D947</f>
        <v>xx</v>
      </c>
      <c r="E951" s="889"/>
      <c r="F951" s="915" t="str">
        <f>'refer admin discharge'!H947</f>
        <v>00/00/0000</v>
      </c>
      <c r="G951" s="890"/>
      <c r="H951" s="916"/>
      <c r="I951" s="916"/>
      <c r="J951" s="917"/>
      <c r="K951" s="917"/>
      <c r="L951" s="916"/>
      <c r="M951" s="916"/>
      <c r="N951" s="893"/>
      <c r="O951" s="893"/>
      <c r="P951" s="916"/>
      <c r="Q951" s="916"/>
      <c r="R951" s="893"/>
      <c r="S951" s="893"/>
      <c r="T951" s="916"/>
      <c r="U951" s="916"/>
      <c r="V951" s="921" t="str">
        <f>'refer admin discharge'!H952</f>
        <v>00/00/0000</v>
      </c>
      <c r="W951" s="922"/>
      <c r="X951" s="912"/>
      <c r="Y951" s="912"/>
      <c r="Z951" s="924"/>
      <c r="AA951" s="924"/>
      <c r="AB951" s="912"/>
      <c r="AC951" s="912"/>
      <c r="AD951" s="913"/>
      <c r="AE951" s="913"/>
      <c r="AF951" s="912"/>
      <c r="AG951" s="912"/>
      <c r="AH951" s="913"/>
      <c r="AI951" s="913"/>
      <c r="AJ951" s="912"/>
      <c r="AK951" s="912"/>
      <c r="AL951" s="925"/>
      <c r="AM951" s="926"/>
      <c r="AN951" s="926"/>
      <c r="AO951" s="926"/>
      <c r="AP951" s="926"/>
      <c r="AQ951" s="926"/>
      <c r="AR951" s="926"/>
      <c r="AS951" s="926"/>
      <c r="AT951" s="926"/>
      <c r="AU951" s="926"/>
      <c r="AV951" s="926"/>
      <c r="AW951" s="926"/>
      <c r="AX951" s="926"/>
      <c r="AY951" s="926"/>
      <c r="AZ951" s="926"/>
      <c r="BA951" s="926"/>
      <c r="BB951" s="927"/>
    </row>
    <row r="952" spans="1:54" x14ac:dyDescent="0.25">
      <c r="A952" s="13">
        <f t="shared" si="14"/>
        <v>939</v>
      </c>
      <c r="B952" s="888" t="str">
        <f>'refer admin discharge'!B948</f>
        <v>x</v>
      </c>
      <c r="C952" s="888"/>
      <c r="D952" s="868" t="str">
        <f>'refer admin discharge'!D948</f>
        <v>xx</v>
      </c>
      <c r="E952" s="868"/>
      <c r="F952" s="891" t="str">
        <f>'refer admin discharge'!H948</f>
        <v>00/00/0000</v>
      </c>
      <c r="G952" s="892"/>
      <c r="H952" s="894"/>
      <c r="I952" s="894"/>
      <c r="J952" s="918"/>
      <c r="K952" s="918"/>
      <c r="L952" s="894"/>
      <c r="M952" s="894"/>
      <c r="N952" s="916"/>
      <c r="O952" s="916"/>
      <c r="P952" s="894"/>
      <c r="Q952" s="894"/>
      <c r="R952" s="916"/>
      <c r="S952" s="916"/>
      <c r="T952" s="894"/>
      <c r="U952" s="894"/>
      <c r="V952" s="921" t="str">
        <f>'refer admin discharge'!H953</f>
        <v>00/00/0000</v>
      </c>
      <c r="W952" s="922"/>
      <c r="X952" s="920"/>
      <c r="Y952" s="920"/>
      <c r="Z952" s="919"/>
      <c r="AA952" s="919"/>
      <c r="AB952" s="920"/>
      <c r="AC952" s="920"/>
      <c r="AD952" s="912"/>
      <c r="AE952" s="912"/>
      <c r="AF952" s="920"/>
      <c r="AG952" s="920"/>
      <c r="AH952" s="912"/>
      <c r="AI952" s="912"/>
      <c r="AJ952" s="920"/>
      <c r="AK952" s="920"/>
      <c r="AL952" s="905"/>
      <c r="AM952" s="906"/>
      <c r="AN952" s="906"/>
      <c r="AO952" s="906"/>
      <c r="AP952" s="906"/>
      <c r="AQ952" s="906"/>
      <c r="AR952" s="906"/>
      <c r="AS952" s="906"/>
      <c r="AT952" s="906"/>
      <c r="AU952" s="906"/>
      <c r="AV952" s="906"/>
      <c r="AW952" s="906"/>
      <c r="AX952" s="906"/>
      <c r="AY952" s="906"/>
      <c r="AZ952" s="906"/>
      <c r="BA952" s="906"/>
      <c r="BB952" s="907"/>
    </row>
    <row r="953" spans="1:54" x14ac:dyDescent="0.25">
      <c r="A953" s="13">
        <f t="shared" si="14"/>
        <v>940</v>
      </c>
      <c r="B953" s="914" t="str">
        <f>'refer admin discharge'!B949</f>
        <v>x</v>
      </c>
      <c r="C953" s="914"/>
      <c r="D953" s="889" t="str">
        <f>'refer admin discharge'!D949</f>
        <v>xx</v>
      </c>
      <c r="E953" s="889"/>
      <c r="F953" s="915" t="str">
        <f>'refer admin discharge'!H949</f>
        <v>00/00/0000</v>
      </c>
      <c r="G953" s="890"/>
      <c r="H953" s="916"/>
      <c r="I953" s="916"/>
      <c r="J953" s="917"/>
      <c r="K953" s="917"/>
      <c r="L953" s="916"/>
      <c r="M953" s="916"/>
      <c r="N953" s="893"/>
      <c r="O953" s="893"/>
      <c r="P953" s="916"/>
      <c r="Q953" s="916"/>
      <c r="R953" s="893"/>
      <c r="S953" s="893"/>
      <c r="T953" s="916"/>
      <c r="U953" s="916"/>
      <c r="V953" s="921" t="str">
        <f>'refer admin discharge'!H954</f>
        <v>00/00/0000</v>
      </c>
      <c r="W953" s="922"/>
      <c r="X953" s="912"/>
      <c r="Y953" s="912"/>
      <c r="Z953" s="924"/>
      <c r="AA953" s="924"/>
      <c r="AB953" s="912"/>
      <c r="AC953" s="912"/>
      <c r="AD953" s="913"/>
      <c r="AE953" s="913"/>
      <c r="AF953" s="912"/>
      <c r="AG953" s="912"/>
      <c r="AH953" s="913"/>
      <c r="AI953" s="913"/>
      <c r="AJ953" s="912"/>
      <c r="AK953" s="912"/>
      <c r="AL953" s="925"/>
      <c r="AM953" s="926"/>
      <c r="AN953" s="926"/>
      <c r="AO953" s="926"/>
      <c r="AP953" s="926"/>
      <c r="AQ953" s="926"/>
      <c r="AR953" s="926"/>
      <c r="AS953" s="926"/>
      <c r="AT953" s="926"/>
      <c r="AU953" s="926"/>
      <c r="AV953" s="926"/>
      <c r="AW953" s="926"/>
      <c r="AX953" s="926"/>
      <c r="AY953" s="926"/>
      <c r="AZ953" s="926"/>
      <c r="BA953" s="926"/>
      <c r="BB953" s="927"/>
    </row>
    <row r="954" spans="1:54" x14ac:dyDescent="0.25">
      <c r="A954" s="13">
        <f t="shared" si="14"/>
        <v>941</v>
      </c>
      <c r="B954" s="888" t="str">
        <f>'refer admin discharge'!B950</f>
        <v>x</v>
      </c>
      <c r="C954" s="888"/>
      <c r="D954" s="868" t="str">
        <f>'refer admin discharge'!D950</f>
        <v>xx</v>
      </c>
      <c r="E954" s="868"/>
      <c r="F954" s="891" t="str">
        <f>'refer admin discharge'!H950</f>
        <v>00/00/0000</v>
      </c>
      <c r="G954" s="892"/>
      <c r="H954" s="894"/>
      <c r="I954" s="894"/>
      <c r="J954" s="918"/>
      <c r="K954" s="918"/>
      <c r="L954" s="894"/>
      <c r="M954" s="894"/>
      <c r="N954" s="916"/>
      <c r="O954" s="916"/>
      <c r="P954" s="894"/>
      <c r="Q954" s="894"/>
      <c r="R954" s="916"/>
      <c r="S954" s="916"/>
      <c r="T954" s="894"/>
      <c r="U954" s="894"/>
      <c r="V954" s="921" t="str">
        <f>'refer admin discharge'!H955</f>
        <v>00/00/0000</v>
      </c>
      <c r="W954" s="922"/>
      <c r="X954" s="920"/>
      <c r="Y954" s="920"/>
      <c r="Z954" s="919"/>
      <c r="AA954" s="919"/>
      <c r="AB954" s="920"/>
      <c r="AC954" s="920"/>
      <c r="AD954" s="912"/>
      <c r="AE954" s="912"/>
      <c r="AF954" s="920"/>
      <c r="AG954" s="920"/>
      <c r="AH954" s="912"/>
      <c r="AI954" s="912"/>
      <c r="AJ954" s="920"/>
      <c r="AK954" s="920"/>
      <c r="AL954" s="905"/>
      <c r="AM954" s="906"/>
      <c r="AN954" s="906"/>
      <c r="AO954" s="906"/>
      <c r="AP954" s="906"/>
      <c r="AQ954" s="906"/>
      <c r="AR954" s="906"/>
      <c r="AS954" s="906"/>
      <c r="AT954" s="906"/>
      <c r="AU954" s="906"/>
      <c r="AV954" s="906"/>
      <c r="AW954" s="906"/>
      <c r="AX954" s="906"/>
      <c r="AY954" s="906"/>
      <c r="AZ954" s="906"/>
      <c r="BA954" s="906"/>
      <c r="BB954" s="907"/>
    </row>
    <row r="955" spans="1:54" x14ac:dyDescent="0.25">
      <c r="A955" s="13">
        <f t="shared" si="14"/>
        <v>942</v>
      </c>
      <c r="B955" s="914" t="str">
        <f>'refer admin discharge'!B951</f>
        <v>x</v>
      </c>
      <c r="C955" s="914"/>
      <c r="D955" s="889" t="str">
        <f>'refer admin discharge'!D951</f>
        <v>xx</v>
      </c>
      <c r="E955" s="889"/>
      <c r="F955" s="915" t="str">
        <f>'refer admin discharge'!H951</f>
        <v>00/00/0000</v>
      </c>
      <c r="G955" s="890"/>
      <c r="H955" s="916"/>
      <c r="I955" s="916"/>
      <c r="J955" s="917"/>
      <c r="K955" s="917"/>
      <c r="L955" s="916"/>
      <c r="M955" s="916"/>
      <c r="N955" s="893"/>
      <c r="O955" s="893"/>
      <c r="P955" s="916"/>
      <c r="Q955" s="916"/>
      <c r="R955" s="893"/>
      <c r="S955" s="893"/>
      <c r="T955" s="916"/>
      <c r="U955" s="916"/>
      <c r="V955" s="921" t="str">
        <f>'refer admin discharge'!H956</f>
        <v>00/00/0000</v>
      </c>
      <c r="W955" s="922"/>
      <c r="X955" s="912"/>
      <c r="Y955" s="912"/>
      <c r="Z955" s="924"/>
      <c r="AA955" s="924"/>
      <c r="AB955" s="912"/>
      <c r="AC955" s="912"/>
      <c r="AD955" s="913"/>
      <c r="AE955" s="913"/>
      <c r="AF955" s="912"/>
      <c r="AG955" s="912"/>
      <c r="AH955" s="913"/>
      <c r="AI955" s="913"/>
      <c r="AJ955" s="912"/>
      <c r="AK955" s="912"/>
      <c r="AL955" s="925"/>
      <c r="AM955" s="926"/>
      <c r="AN955" s="926"/>
      <c r="AO955" s="926"/>
      <c r="AP955" s="926"/>
      <c r="AQ955" s="926"/>
      <c r="AR955" s="926"/>
      <c r="AS955" s="926"/>
      <c r="AT955" s="926"/>
      <c r="AU955" s="926"/>
      <c r="AV955" s="926"/>
      <c r="AW955" s="926"/>
      <c r="AX955" s="926"/>
      <c r="AY955" s="926"/>
      <c r="AZ955" s="926"/>
      <c r="BA955" s="926"/>
      <c r="BB955" s="927"/>
    </row>
    <row r="956" spans="1:54" x14ac:dyDescent="0.25">
      <c r="A956" s="13">
        <f t="shared" si="14"/>
        <v>943</v>
      </c>
      <c r="B956" s="888" t="str">
        <f>'refer admin discharge'!B952</f>
        <v>x</v>
      </c>
      <c r="C956" s="888"/>
      <c r="D956" s="868" t="str">
        <f>'refer admin discharge'!D952</f>
        <v>xx</v>
      </c>
      <c r="E956" s="868"/>
      <c r="F956" s="891" t="str">
        <f>'refer admin discharge'!H952</f>
        <v>00/00/0000</v>
      </c>
      <c r="G956" s="892"/>
      <c r="H956" s="894"/>
      <c r="I956" s="894"/>
      <c r="J956" s="918"/>
      <c r="K956" s="918"/>
      <c r="L956" s="894"/>
      <c r="M956" s="894"/>
      <c r="N956" s="916"/>
      <c r="O956" s="916"/>
      <c r="P956" s="894"/>
      <c r="Q956" s="894"/>
      <c r="R956" s="916"/>
      <c r="S956" s="916"/>
      <c r="T956" s="894"/>
      <c r="U956" s="894"/>
      <c r="V956" s="921" t="str">
        <f>'refer admin discharge'!H957</f>
        <v>00/00/0000</v>
      </c>
      <c r="W956" s="922"/>
      <c r="X956" s="920"/>
      <c r="Y956" s="920"/>
      <c r="Z956" s="919"/>
      <c r="AA956" s="919"/>
      <c r="AB956" s="920"/>
      <c r="AC956" s="920"/>
      <c r="AD956" s="912"/>
      <c r="AE956" s="912"/>
      <c r="AF956" s="920"/>
      <c r="AG956" s="920"/>
      <c r="AH956" s="912"/>
      <c r="AI956" s="912"/>
      <c r="AJ956" s="920"/>
      <c r="AK956" s="920"/>
      <c r="AL956" s="905"/>
      <c r="AM956" s="906"/>
      <c r="AN956" s="906"/>
      <c r="AO956" s="906"/>
      <c r="AP956" s="906"/>
      <c r="AQ956" s="906"/>
      <c r="AR956" s="906"/>
      <c r="AS956" s="906"/>
      <c r="AT956" s="906"/>
      <c r="AU956" s="906"/>
      <c r="AV956" s="906"/>
      <c r="AW956" s="906"/>
      <c r="AX956" s="906"/>
      <c r="AY956" s="906"/>
      <c r="AZ956" s="906"/>
      <c r="BA956" s="906"/>
      <c r="BB956" s="907"/>
    </row>
    <row r="957" spans="1:54" x14ac:dyDescent="0.25">
      <c r="A957" s="13">
        <f t="shared" si="14"/>
        <v>944</v>
      </c>
      <c r="B957" s="914" t="str">
        <f>'refer admin discharge'!B953</f>
        <v>x</v>
      </c>
      <c r="C957" s="914"/>
      <c r="D957" s="889" t="str">
        <f>'refer admin discharge'!D953</f>
        <v>xx</v>
      </c>
      <c r="E957" s="889"/>
      <c r="F957" s="915" t="str">
        <f>'refer admin discharge'!H953</f>
        <v>00/00/0000</v>
      </c>
      <c r="G957" s="890"/>
      <c r="H957" s="916"/>
      <c r="I957" s="916"/>
      <c r="J957" s="917"/>
      <c r="K957" s="917"/>
      <c r="L957" s="916"/>
      <c r="M957" s="916"/>
      <c r="N957" s="893"/>
      <c r="O957" s="893"/>
      <c r="P957" s="916"/>
      <c r="Q957" s="916"/>
      <c r="R957" s="893"/>
      <c r="S957" s="893"/>
      <c r="T957" s="916"/>
      <c r="U957" s="916"/>
      <c r="V957" s="921" t="str">
        <f>'refer admin discharge'!H958</f>
        <v>00/00/0000</v>
      </c>
      <c r="W957" s="922"/>
      <c r="X957" s="912"/>
      <c r="Y957" s="912"/>
      <c r="Z957" s="924"/>
      <c r="AA957" s="924"/>
      <c r="AB957" s="912"/>
      <c r="AC957" s="912"/>
      <c r="AD957" s="913"/>
      <c r="AE957" s="913"/>
      <c r="AF957" s="912"/>
      <c r="AG957" s="912"/>
      <c r="AH957" s="913"/>
      <c r="AI957" s="913"/>
      <c r="AJ957" s="912"/>
      <c r="AK957" s="912"/>
      <c r="AL957" s="925"/>
      <c r="AM957" s="926"/>
      <c r="AN957" s="926"/>
      <c r="AO957" s="926"/>
      <c r="AP957" s="926"/>
      <c r="AQ957" s="926"/>
      <c r="AR957" s="926"/>
      <c r="AS957" s="926"/>
      <c r="AT957" s="926"/>
      <c r="AU957" s="926"/>
      <c r="AV957" s="926"/>
      <c r="AW957" s="926"/>
      <c r="AX957" s="926"/>
      <c r="AY957" s="926"/>
      <c r="AZ957" s="926"/>
      <c r="BA957" s="926"/>
      <c r="BB957" s="927"/>
    </row>
    <row r="958" spans="1:54" x14ac:dyDescent="0.25">
      <c r="A958" s="13">
        <f t="shared" si="14"/>
        <v>945</v>
      </c>
      <c r="B958" s="888" t="str">
        <f>'refer admin discharge'!B954</f>
        <v>x</v>
      </c>
      <c r="C958" s="888"/>
      <c r="D958" s="868" t="str">
        <f>'refer admin discharge'!D954</f>
        <v>xx</v>
      </c>
      <c r="E958" s="868"/>
      <c r="F958" s="891" t="str">
        <f>'refer admin discharge'!H954</f>
        <v>00/00/0000</v>
      </c>
      <c r="G958" s="892"/>
      <c r="H958" s="894"/>
      <c r="I958" s="894"/>
      <c r="J958" s="918"/>
      <c r="K958" s="918"/>
      <c r="L958" s="894"/>
      <c r="M958" s="894"/>
      <c r="N958" s="916"/>
      <c r="O958" s="916"/>
      <c r="P958" s="894"/>
      <c r="Q958" s="894"/>
      <c r="R958" s="916"/>
      <c r="S958" s="916"/>
      <c r="T958" s="894"/>
      <c r="U958" s="894"/>
      <c r="V958" s="921" t="str">
        <f>'refer admin discharge'!H959</f>
        <v>00/00/0000</v>
      </c>
      <c r="W958" s="922"/>
      <c r="X958" s="920"/>
      <c r="Y958" s="920"/>
      <c r="Z958" s="919"/>
      <c r="AA958" s="919"/>
      <c r="AB958" s="920"/>
      <c r="AC958" s="920"/>
      <c r="AD958" s="912"/>
      <c r="AE958" s="912"/>
      <c r="AF958" s="920"/>
      <c r="AG958" s="920"/>
      <c r="AH958" s="912"/>
      <c r="AI958" s="912"/>
      <c r="AJ958" s="920"/>
      <c r="AK958" s="920"/>
      <c r="AL958" s="905"/>
      <c r="AM958" s="906"/>
      <c r="AN958" s="906"/>
      <c r="AO958" s="906"/>
      <c r="AP958" s="906"/>
      <c r="AQ958" s="906"/>
      <c r="AR958" s="906"/>
      <c r="AS958" s="906"/>
      <c r="AT958" s="906"/>
      <c r="AU958" s="906"/>
      <c r="AV958" s="906"/>
      <c r="AW958" s="906"/>
      <c r="AX958" s="906"/>
      <c r="AY958" s="906"/>
      <c r="AZ958" s="906"/>
      <c r="BA958" s="906"/>
      <c r="BB958" s="907"/>
    </row>
    <row r="959" spans="1:54" x14ac:dyDescent="0.25">
      <c r="A959" s="13">
        <f t="shared" si="14"/>
        <v>946</v>
      </c>
      <c r="B959" s="914" t="str">
        <f>'refer admin discharge'!B955</f>
        <v>x</v>
      </c>
      <c r="C959" s="914"/>
      <c r="D959" s="889" t="str">
        <f>'refer admin discharge'!D955</f>
        <v>xx</v>
      </c>
      <c r="E959" s="889"/>
      <c r="F959" s="915" t="str">
        <f>'refer admin discharge'!H955</f>
        <v>00/00/0000</v>
      </c>
      <c r="G959" s="890"/>
      <c r="H959" s="916"/>
      <c r="I959" s="916"/>
      <c r="J959" s="917"/>
      <c r="K959" s="917"/>
      <c r="L959" s="916"/>
      <c r="M959" s="916"/>
      <c r="N959" s="893"/>
      <c r="O959" s="893"/>
      <c r="P959" s="916"/>
      <c r="Q959" s="916"/>
      <c r="R959" s="893"/>
      <c r="S959" s="893"/>
      <c r="T959" s="916"/>
      <c r="U959" s="916"/>
      <c r="V959" s="921" t="str">
        <f>'refer admin discharge'!H960</f>
        <v>00/00/0000</v>
      </c>
      <c r="W959" s="922"/>
      <c r="X959" s="912"/>
      <c r="Y959" s="912"/>
      <c r="Z959" s="924"/>
      <c r="AA959" s="924"/>
      <c r="AB959" s="912"/>
      <c r="AC959" s="912"/>
      <c r="AD959" s="913"/>
      <c r="AE959" s="913"/>
      <c r="AF959" s="912"/>
      <c r="AG959" s="912"/>
      <c r="AH959" s="913"/>
      <c r="AI959" s="913"/>
      <c r="AJ959" s="912"/>
      <c r="AK959" s="912"/>
      <c r="AL959" s="925"/>
      <c r="AM959" s="926"/>
      <c r="AN959" s="926"/>
      <c r="AO959" s="926"/>
      <c r="AP959" s="926"/>
      <c r="AQ959" s="926"/>
      <c r="AR959" s="926"/>
      <c r="AS959" s="926"/>
      <c r="AT959" s="926"/>
      <c r="AU959" s="926"/>
      <c r="AV959" s="926"/>
      <c r="AW959" s="926"/>
      <c r="AX959" s="926"/>
      <c r="AY959" s="926"/>
      <c r="AZ959" s="926"/>
      <c r="BA959" s="926"/>
      <c r="BB959" s="927"/>
    </row>
    <row r="960" spans="1:54" x14ac:dyDescent="0.25">
      <c r="A960" s="13">
        <f t="shared" si="14"/>
        <v>947</v>
      </c>
      <c r="B960" s="888" t="str">
        <f>'refer admin discharge'!B956</f>
        <v>x</v>
      </c>
      <c r="C960" s="888"/>
      <c r="D960" s="868" t="str">
        <f>'refer admin discharge'!D956</f>
        <v>xx</v>
      </c>
      <c r="E960" s="868"/>
      <c r="F960" s="891" t="str">
        <f>'refer admin discharge'!H956</f>
        <v>00/00/0000</v>
      </c>
      <c r="G960" s="892"/>
      <c r="H960" s="894"/>
      <c r="I960" s="894"/>
      <c r="J960" s="918"/>
      <c r="K960" s="918"/>
      <c r="L960" s="894"/>
      <c r="M960" s="894"/>
      <c r="N960" s="916"/>
      <c r="O960" s="916"/>
      <c r="P960" s="894"/>
      <c r="Q960" s="894"/>
      <c r="R960" s="916"/>
      <c r="S960" s="916"/>
      <c r="T960" s="894"/>
      <c r="U960" s="894"/>
      <c r="V960" s="921" t="str">
        <f>'refer admin discharge'!H961</f>
        <v>00/00/0000</v>
      </c>
      <c r="W960" s="922"/>
      <c r="X960" s="920"/>
      <c r="Y960" s="920"/>
      <c r="Z960" s="919"/>
      <c r="AA960" s="919"/>
      <c r="AB960" s="920"/>
      <c r="AC960" s="920"/>
      <c r="AD960" s="912"/>
      <c r="AE960" s="912"/>
      <c r="AF960" s="920"/>
      <c r="AG960" s="920"/>
      <c r="AH960" s="912"/>
      <c r="AI960" s="912"/>
      <c r="AJ960" s="920"/>
      <c r="AK960" s="920"/>
      <c r="AL960" s="905"/>
      <c r="AM960" s="906"/>
      <c r="AN960" s="906"/>
      <c r="AO960" s="906"/>
      <c r="AP960" s="906"/>
      <c r="AQ960" s="906"/>
      <c r="AR960" s="906"/>
      <c r="AS960" s="906"/>
      <c r="AT960" s="906"/>
      <c r="AU960" s="906"/>
      <c r="AV960" s="906"/>
      <c r="AW960" s="906"/>
      <c r="AX960" s="906"/>
      <c r="AY960" s="906"/>
      <c r="AZ960" s="906"/>
      <c r="BA960" s="906"/>
      <c r="BB960" s="907"/>
    </row>
    <row r="961" spans="1:54" x14ac:dyDescent="0.25">
      <c r="A961" s="13">
        <f t="shared" si="14"/>
        <v>948</v>
      </c>
      <c r="B961" s="914" t="str">
        <f>'refer admin discharge'!B957</f>
        <v>x</v>
      </c>
      <c r="C961" s="914"/>
      <c r="D961" s="889" t="str">
        <f>'refer admin discharge'!D957</f>
        <v>xx</v>
      </c>
      <c r="E961" s="889"/>
      <c r="F961" s="915" t="str">
        <f>'refer admin discharge'!H957</f>
        <v>00/00/0000</v>
      </c>
      <c r="G961" s="890"/>
      <c r="H961" s="916"/>
      <c r="I961" s="916"/>
      <c r="J961" s="917"/>
      <c r="K961" s="917"/>
      <c r="L961" s="916"/>
      <c r="M961" s="916"/>
      <c r="N961" s="893"/>
      <c r="O961" s="893"/>
      <c r="P961" s="916"/>
      <c r="Q961" s="916"/>
      <c r="R961" s="893"/>
      <c r="S961" s="893"/>
      <c r="T961" s="916"/>
      <c r="U961" s="916"/>
      <c r="V961" s="921" t="str">
        <f>'refer admin discharge'!H962</f>
        <v>00/00/0000</v>
      </c>
      <c r="W961" s="922"/>
      <c r="X961" s="912"/>
      <c r="Y961" s="912"/>
      <c r="Z961" s="924"/>
      <c r="AA961" s="924"/>
      <c r="AB961" s="912"/>
      <c r="AC961" s="912"/>
      <c r="AD961" s="913"/>
      <c r="AE961" s="913"/>
      <c r="AF961" s="912"/>
      <c r="AG961" s="912"/>
      <c r="AH961" s="913"/>
      <c r="AI961" s="913"/>
      <c r="AJ961" s="912"/>
      <c r="AK961" s="912"/>
      <c r="AL961" s="925"/>
      <c r="AM961" s="926"/>
      <c r="AN961" s="926"/>
      <c r="AO961" s="926"/>
      <c r="AP961" s="926"/>
      <c r="AQ961" s="926"/>
      <c r="AR961" s="926"/>
      <c r="AS961" s="926"/>
      <c r="AT961" s="926"/>
      <c r="AU961" s="926"/>
      <c r="AV961" s="926"/>
      <c r="AW961" s="926"/>
      <c r="AX961" s="926"/>
      <c r="AY961" s="926"/>
      <c r="AZ961" s="926"/>
      <c r="BA961" s="926"/>
      <c r="BB961" s="927"/>
    </row>
    <row r="962" spans="1:54" x14ac:dyDescent="0.25">
      <c r="A962" s="13">
        <f t="shared" si="14"/>
        <v>949</v>
      </c>
      <c r="B962" s="888" t="str">
        <f>'refer admin discharge'!B958</f>
        <v>x</v>
      </c>
      <c r="C962" s="888"/>
      <c r="D962" s="868" t="str">
        <f>'refer admin discharge'!D958</f>
        <v>xx</v>
      </c>
      <c r="E962" s="868"/>
      <c r="F962" s="891" t="str">
        <f>'refer admin discharge'!H958</f>
        <v>00/00/0000</v>
      </c>
      <c r="G962" s="892"/>
      <c r="H962" s="894"/>
      <c r="I962" s="894"/>
      <c r="J962" s="918"/>
      <c r="K962" s="918"/>
      <c r="L962" s="894"/>
      <c r="M962" s="894"/>
      <c r="N962" s="916"/>
      <c r="O962" s="916"/>
      <c r="P962" s="894"/>
      <c r="Q962" s="894"/>
      <c r="R962" s="916"/>
      <c r="S962" s="916"/>
      <c r="T962" s="894"/>
      <c r="U962" s="894"/>
      <c r="V962" s="921" t="str">
        <f>'refer admin discharge'!H963</f>
        <v>00/00/0000</v>
      </c>
      <c r="W962" s="922"/>
      <c r="X962" s="920"/>
      <c r="Y962" s="920"/>
      <c r="Z962" s="919"/>
      <c r="AA962" s="919"/>
      <c r="AB962" s="920"/>
      <c r="AC962" s="920"/>
      <c r="AD962" s="912"/>
      <c r="AE962" s="912"/>
      <c r="AF962" s="920"/>
      <c r="AG962" s="920"/>
      <c r="AH962" s="912"/>
      <c r="AI962" s="912"/>
      <c r="AJ962" s="920"/>
      <c r="AK962" s="920"/>
      <c r="AL962" s="905"/>
      <c r="AM962" s="906"/>
      <c r="AN962" s="906"/>
      <c r="AO962" s="906"/>
      <c r="AP962" s="906"/>
      <c r="AQ962" s="906"/>
      <c r="AR962" s="906"/>
      <c r="AS962" s="906"/>
      <c r="AT962" s="906"/>
      <c r="AU962" s="906"/>
      <c r="AV962" s="906"/>
      <c r="AW962" s="906"/>
      <c r="AX962" s="906"/>
      <c r="AY962" s="906"/>
      <c r="AZ962" s="906"/>
      <c r="BA962" s="906"/>
      <c r="BB962" s="907"/>
    </row>
    <row r="963" spans="1:54" x14ac:dyDescent="0.25">
      <c r="A963" s="13">
        <f t="shared" si="14"/>
        <v>950</v>
      </c>
      <c r="B963" s="914" t="str">
        <f>'refer admin discharge'!B959</f>
        <v>x</v>
      </c>
      <c r="C963" s="914"/>
      <c r="D963" s="889" t="str">
        <f>'refer admin discharge'!D959</f>
        <v>xx</v>
      </c>
      <c r="E963" s="889"/>
      <c r="F963" s="915" t="str">
        <f>'refer admin discharge'!H959</f>
        <v>00/00/0000</v>
      </c>
      <c r="G963" s="890"/>
      <c r="H963" s="916"/>
      <c r="I963" s="916"/>
      <c r="J963" s="917"/>
      <c r="K963" s="917"/>
      <c r="L963" s="916"/>
      <c r="M963" s="916"/>
      <c r="N963" s="893"/>
      <c r="O963" s="893"/>
      <c r="P963" s="916"/>
      <c r="Q963" s="916"/>
      <c r="R963" s="893"/>
      <c r="S963" s="893"/>
      <c r="T963" s="916"/>
      <c r="U963" s="916"/>
      <c r="V963" s="921" t="str">
        <f>'refer admin discharge'!H964</f>
        <v>00/00/0000</v>
      </c>
      <c r="W963" s="922"/>
      <c r="X963" s="912"/>
      <c r="Y963" s="912"/>
      <c r="Z963" s="924"/>
      <c r="AA963" s="924"/>
      <c r="AB963" s="912"/>
      <c r="AC963" s="912"/>
      <c r="AD963" s="913"/>
      <c r="AE963" s="913"/>
      <c r="AF963" s="912"/>
      <c r="AG963" s="912"/>
      <c r="AH963" s="913"/>
      <c r="AI963" s="913"/>
      <c r="AJ963" s="912"/>
      <c r="AK963" s="912"/>
      <c r="AL963" s="925"/>
      <c r="AM963" s="926"/>
      <c r="AN963" s="926"/>
      <c r="AO963" s="926"/>
      <c r="AP963" s="926"/>
      <c r="AQ963" s="926"/>
      <c r="AR963" s="926"/>
      <c r="AS963" s="926"/>
      <c r="AT963" s="926"/>
      <c r="AU963" s="926"/>
      <c r="AV963" s="926"/>
      <c r="AW963" s="926"/>
      <c r="AX963" s="926"/>
      <c r="AY963" s="926"/>
      <c r="AZ963" s="926"/>
      <c r="BA963" s="926"/>
      <c r="BB963" s="927"/>
    </row>
    <row r="964" spans="1:54" x14ac:dyDescent="0.25">
      <c r="A964" s="13">
        <f t="shared" si="14"/>
        <v>951</v>
      </c>
      <c r="B964" s="888" t="str">
        <f>'refer admin discharge'!B960</f>
        <v>x</v>
      </c>
      <c r="C964" s="888"/>
      <c r="D964" s="868" t="str">
        <f>'refer admin discharge'!D960</f>
        <v>xx</v>
      </c>
      <c r="E964" s="868"/>
      <c r="F964" s="891" t="str">
        <f>'refer admin discharge'!H960</f>
        <v>00/00/0000</v>
      </c>
      <c r="G964" s="892"/>
      <c r="H964" s="894"/>
      <c r="I964" s="894"/>
      <c r="J964" s="918"/>
      <c r="K964" s="918"/>
      <c r="L964" s="894"/>
      <c r="M964" s="894"/>
      <c r="N964" s="916"/>
      <c r="O964" s="916"/>
      <c r="P964" s="894"/>
      <c r="Q964" s="894"/>
      <c r="R964" s="916"/>
      <c r="S964" s="916"/>
      <c r="T964" s="894"/>
      <c r="U964" s="894"/>
      <c r="V964" s="921" t="str">
        <f>'refer admin discharge'!H965</f>
        <v>00/00/0000</v>
      </c>
      <c r="W964" s="922"/>
      <c r="X964" s="920"/>
      <c r="Y964" s="920"/>
      <c r="Z964" s="919"/>
      <c r="AA964" s="919"/>
      <c r="AB964" s="920"/>
      <c r="AC964" s="920"/>
      <c r="AD964" s="912"/>
      <c r="AE964" s="912"/>
      <c r="AF964" s="920"/>
      <c r="AG964" s="920"/>
      <c r="AH964" s="912"/>
      <c r="AI964" s="912"/>
      <c r="AJ964" s="920"/>
      <c r="AK964" s="920"/>
      <c r="AL964" s="905"/>
      <c r="AM964" s="906"/>
      <c r="AN964" s="906"/>
      <c r="AO964" s="906"/>
      <c r="AP964" s="906"/>
      <c r="AQ964" s="906"/>
      <c r="AR964" s="906"/>
      <c r="AS964" s="906"/>
      <c r="AT964" s="906"/>
      <c r="AU964" s="906"/>
      <c r="AV964" s="906"/>
      <c r="AW964" s="906"/>
      <c r="AX964" s="906"/>
      <c r="AY964" s="906"/>
      <c r="AZ964" s="906"/>
      <c r="BA964" s="906"/>
      <c r="BB964" s="907"/>
    </row>
    <row r="965" spans="1:54" x14ac:dyDescent="0.25">
      <c r="A965" s="13">
        <f t="shared" si="14"/>
        <v>952</v>
      </c>
      <c r="B965" s="914" t="str">
        <f>'refer admin discharge'!B961</f>
        <v>x</v>
      </c>
      <c r="C965" s="914"/>
      <c r="D965" s="889" t="str">
        <f>'refer admin discharge'!D961</f>
        <v>xx</v>
      </c>
      <c r="E965" s="889"/>
      <c r="F965" s="915" t="str">
        <f>'refer admin discharge'!H961</f>
        <v>00/00/0000</v>
      </c>
      <c r="G965" s="890"/>
      <c r="H965" s="916"/>
      <c r="I965" s="916"/>
      <c r="J965" s="917"/>
      <c r="K965" s="917"/>
      <c r="L965" s="916"/>
      <c r="M965" s="916"/>
      <c r="N965" s="893"/>
      <c r="O965" s="893"/>
      <c r="P965" s="916"/>
      <c r="Q965" s="916"/>
      <c r="R965" s="893"/>
      <c r="S965" s="893"/>
      <c r="T965" s="916"/>
      <c r="U965" s="916"/>
      <c r="V965" s="921" t="str">
        <f>'refer admin discharge'!H966</f>
        <v>00/00/0000</v>
      </c>
      <c r="W965" s="922"/>
      <c r="X965" s="912"/>
      <c r="Y965" s="912"/>
      <c r="Z965" s="924"/>
      <c r="AA965" s="924"/>
      <c r="AB965" s="912"/>
      <c r="AC965" s="912"/>
      <c r="AD965" s="913"/>
      <c r="AE965" s="913"/>
      <c r="AF965" s="912"/>
      <c r="AG965" s="912"/>
      <c r="AH965" s="913"/>
      <c r="AI965" s="913"/>
      <c r="AJ965" s="912"/>
      <c r="AK965" s="912"/>
      <c r="AL965" s="925"/>
      <c r="AM965" s="926"/>
      <c r="AN965" s="926"/>
      <c r="AO965" s="926"/>
      <c r="AP965" s="926"/>
      <c r="AQ965" s="926"/>
      <c r="AR965" s="926"/>
      <c r="AS965" s="926"/>
      <c r="AT965" s="926"/>
      <c r="AU965" s="926"/>
      <c r="AV965" s="926"/>
      <c r="AW965" s="926"/>
      <c r="AX965" s="926"/>
      <c r="AY965" s="926"/>
      <c r="AZ965" s="926"/>
      <c r="BA965" s="926"/>
      <c r="BB965" s="927"/>
    </row>
    <row r="966" spans="1:54" x14ac:dyDescent="0.25">
      <c r="A966" s="13">
        <f t="shared" si="14"/>
        <v>953</v>
      </c>
      <c r="B966" s="888" t="str">
        <f>'refer admin discharge'!B962</f>
        <v>x</v>
      </c>
      <c r="C966" s="888"/>
      <c r="D966" s="868" t="str">
        <f>'refer admin discharge'!D962</f>
        <v>xx</v>
      </c>
      <c r="E966" s="868"/>
      <c r="F966" s="891" t="str">
        <f>'refer admin discharge'!H962</f>
        <v>00/00/0000</v>
      </c>
      <c r="G966" s="892"/>
      <c r="H966" s="894"/>
      <c r="I966" s="894"/>
      <c r="J966" s="918"/>
      <c r="K966" s="918"/>
      <c r="L966" s="894"/>
      <c r="M966" s="894"/>
      <c r="N966" s="916"/>
      <c r="O966" s="916"/>
      <c r="P966" s="894"/>
      <c r="Q966" s="894"/>
      <c r="R966" s="916"/>
      <c r="S966" s="916"/>
      <c r="T966" s="894"/>
      <c r="U966" s="894"/>
      <c r="V966" s="921" t="str">
        <f>'refer admin discharge'!H967</f>
        <v>00/00/0000</v>
      </c>
      <c r="W966" s="922"/>
      <c r="X966" s="920"/>
      <c r="Y966" s="920"/>
      <c r="Z966" s="919"/>
      <c r="AA966" s="919"/>
      <c r="AB966" s="920"/>
      <c r="AC966" s="920"/>
      <c r="AD966" s="912"/>
      <c r="AE966" s="912"/>
      <c r="AF966" s="920"/>
      <c r="AG966" s="920"/>
      <c r="AH966" s="912"/>
      <c r="AI966" s="912"/>
      <c r="AJ966" s="920"/>
      <c r="AK966" s="920"/>
      <c r="AL966" s="905"/>
      <c r="AM966" s="906"/>
      <c r="AN966" s="906"/>
      <c r="AO966" s="906"/>
      <c r="AP966" s="906"/>
      <c r="AQ966" s="906"/>
      <c r="AR966" s="906"/>
      <c r="AS966" s="906"/>
      <c r="AT966" s="906"/>
      <c r="AU966" s="906"/>
      <c r="AV966" s="906"/>
      <c r="AW966" s="906"/>
      <c r="AX966" s="906"/>
      <c r="AY966" s="906"/>
      <c r="AZ966" s="906"/>
      <c r="BA966" s="906"/>
      <c r="BB966" s="907"/>
    </row>
    <row r="967" spans="1:54" x14ac:dyDescent="0.25">
      <c r="A967" s="13">
        <f t="shared" si="14"/>
        <v>954</v>
      </c>
      <c r="B967" s="914" t="str">
        <f>'refer admin discharge'!B963</f>
        <v>x</v>
      </c>
      <c r="C967" s="914"/>
      <c r="D967" s="889" t="str">
        <f>'refer admin discharge'!D963</f>
        <v>xx</v>
      </c>
      <c r="E967" s="889"/>
      <c r="F967" s="915" t="str">
        <f>'refer admin discharge'!H963</f>
        <v>00/00/0000</v>
      </c>
      <c r="G967" s="890"/>
      <c r="H967" s="916"/>
      <c r="I967" s="916"/>
      <c r="J967" s="917"/>
      <c r="K967" s="917"/>
      <c r="L967" s="916"/>
      <c r="M967" s="916"/>
      <c r="N967" s="893"/>
      <c r="O967" s="893"/>
      <c r="P967" s="916"/>
      <c r="Q967" s="916"/>
      <c r="R967" s="893"/>
      <c r="S967" s="893"/>
      <c r="T967" s="916"/>
      <c r="U967" s="916"/>
      <c r="V967" s="921" t="str">
        <f>'refer admin discharge'!H968</f>
        <v>00/00/0000</v>
      </c>
      <c r="W967" s="922"/>
      <c r="X967" s="912"/>
      <c r="Y967" s="912"/>
      <c r="Z967" s="924"/>
      <c r="AA967" s="924"/>
      <c r="AB967" s="912"/>
      <c r="AC967" s="912"/>
      <c r="AD967" s="913"/>
      <c r="AE967" s="913"/>
      <c r="AF967" s="912"/>
      <c r="AG967" s="912"/>
      <c r="AH967" s="913"/>
      <c r="AI967" s="913"/>
      <c r="AJ967" s="912"/>
      <c r="AK967" s="912"/>
      <c r="AL967" s="925"/>
      <c r="AM967" s="926"/>
      <c r="AN967" s="926"/>
      <c r="AO967" s="926"/>
      <c r="AP967" s="926"/>
      <c r="AQ967" s="926"/>
      <c r="AR967" s="926"/>
      <c r="AS967" s="926"/>
      <c r="AT967" s="926"/>
      <c r="AU967" s="926"/>
      <c r="AV967" s="926"/>
      <c r="AW967" s="926"/>
      <c r="AX967" s="926"/>
      <c r="AY967" s="926"/>
      <c r="AZ967" s="926"/>
      <c r="BA967" s="926"/>
      <c r="BB967" s="927"/>
    </row>
    <row r="968" spans="1:54" x14ac:dyDescent="0.25">
      <c r="A968" s="13">
        <f t="shared" si="14"/>
        <v>955</v>
      </c>
      <c r="B968" s="888" t="str">
        <f>'refer admin discharge'!B964</f>
        <v>x</v>
      </c>
      <c r="C968" s="888"/>
      <c r="D968" s="868" t="str">
        <f>'refer admin discharge'!D964</f>
        <v>xx</v>
      </c>
      <c r="E968" s="868"/>
      <c r="F968" s="891" t="str">
        <f>'refer admin discharge'!H964</f>
        <v>00/00/0000</v>
      </c>
      <c r="G968" s="892"/>
      <c r="H968" s="894"/>
      <c r="I968" s="894"/>
      <c r="J968" s="918"/>
      <c r="K968" s="918"/>
      <c r="L968" s="894"/>
      <c r="M968" s="894"/>
      <c r="N968" s="916"/>
      <c r="O968" s="916"/>
      <c r="P968" s="894"/>
      <c r="Q968" s="894"/>
      <c r="R968" s="916"/>
      <c r="S968" s="916"/>
      <c r="T968" s="894"/>
      <c r="U968" s="894"/>
      <c r="V968" s="921" t="str">
        <f>'refer admin discharge'!H969</f>
        <v>00/00/0000</v>
      </c>
      <c r="W968" s="922"/>
      <c r="X968" s="920"/>
      <c r="Y968" s="920"/>
      <c r="Z968" s="919"/>
      <c r="AA968" s="919"/>
      <c r="AB968" s="920"/>
      <c r="AC968" s="920"/>
      <c r="AD968" s="912"/>
      <c r="AE968" s="912"/>
      <c r="AF968" s="920"/>
      <c r="AG968" s="920"/>
      <c r="AH968" s="912"/>
      <c r="AI968" s="912"/>
      <c r="AJ968" s="920"/>
      <c r="AK968" s="920"/>
      <c r="AL968" s="905"/>
      <c r="AM968" s="906"/>
      <c r="AN968" s="906"/>
      <c r="AO968" s="906"/>
      <c r="AP968" s="906"/>
      <c r="AQ968" s="906"/>
      <c r="AR968" s="906"/>
      <c r="AS968" s="906"/>
      <c r="AT968" s="906"/>
      <c r="AU968" s="906"/>
      <c r="AV968" s="906"/>
      <c r="AW968" s="906"/>
      <c r="AX968" s="906"/>
      <c r="AY968" s="906"/>
      <c r="AZ968" s="906"/>
      <c r="BA968" s="906"/>
      <c r="BB968" s="907"/>
    </row>
    <row r="969" spans="1:54" x14ac:dyDescent="0.25">
      <c r="A969" s="13">
        <f t="shared" si="14"/>
        <v>956</v>
      </c>
      <c r="B969" s="914" t="str">
        <f>'refer admin discharge'!B965</f>
        <v>x</v>
      </c>
      <c r="C969" s="914"/>
      <c r="D969" s="889" t="str">
        <f>'refer admin discharge'!D965</f>
        <v>xx</v>
      </c>
      <c r="E969" s="889"/>
      <c r="F969" s="915" t="str">
        <f>'refer admin discharge'!H965</f>
        <v>00/00/0000</v>
      </c>
      <c r="G969" s="890"/>
      <c r="H969" s="916"/>
      <c r="I969" s="916"/>
      <c r="J969" s="917"/>
      <c r="K969" s="917"/>
      <c r="L969" s="916"/>
      <c r="M969" s="916"/>
      <c r="N969" s="893"/>
      <c r="O969" s="893"/>
      <c r="P969" s="916"/>
      <c r="Q969" s="916"/>
      <c r="R969" s="893"/>
      <c r="S969" s="893"/>
      <c r="T969" s="916"/>
      <c r="U969" s="916"/>
      <c r="V969" s="921" t="str">
        <f>'refer admin discharge'!H970</f>
        <v>00/00/0000</v>
      </c>
      <c r="W969" s="922"/>
      <c r="X969" s="912"/>
      <c r="Y969" s="912"/>
      <c r="Z969" s="924"/>
      <c r="AA969" s="924"/>
      <c r="AB969" s="912"/>
      <c r="AC969" s="912"/>
      <c r="AD969" s="913"/>
      <c r="AE969" s="913"/>
      <c r="AF969" s="912"/>
      <c r="AG969" s="912"/>
      <c r="AH969" s="913"/>
      <c r="AI969" s="913"/>
      <c r="AJ969" s="912"/>
      <c r="AK969" s="912"/>
      <c r="AL969" s="925"/>
      <c r="AM969" s="926"/>
      <c r="AN969" s="926"/>
      <c r="AO969" s="926"/>
      <c r="AP969" s="926"/>
      <c r="AQ969" s="926"/>
      <c r="AR969" s="926"/>
      <c r="AS969" s="926"/>
      <c r="AT969" s="926"/>
      <c r="AU969" s="926"/>
      <c r="AV969" s="926"/>
      <c r="AW969" s="926"/>
      <c r="AX969" s="926"/>
      <c r="AY969" s="926"/>
      <c r="AZ969" s="926"/>
      <c r="BA969" s="926"/>
      <c r="BB969" s="927"/>
    </row>
    <row r="970" spans="1:54" x14ac:dyDescent="0.25">
      <c r="A970" s="13">
        <f t="shared" si="14"/>
        <v>957</v>
      </c>
      <c r="B970" s="888" t="str">
        <f>'refer admin discharge'!B966</f>
        <v>x</v>
      </c>
      <c r="C970" s="888"/>
      <c r="D970" s="868" t="str">
        <f>'refer admin discharge'!D966</f>
        <v>xx</v>
      </c>
      <c r="E970" s="868"/>
      <c r="F970" s="891" t="str">
        <f>'refer admin discharge'!H966</f>
        <v>00/00/0000</v>
      </c>
      <c r="G970" s="892"/>
      <c r="H970" s="894"/>
      <c r="I970" s="894"/>
      <c r="J970" s="918"/>
      <c r="K970" s="918"/>
      <c r="L970" s="894"/>
      <c r="M970" s="894"/>
      <c r="N970" s="916"/>
      <c r="O970" s="916"/>
      <c r="P970" s="894"/>
      <c r="Q970" s="894"/>
      <c r="R970" s="916"/>
      <c r="S970" s="916"/>
      <c r="T970" s="894"/>
      <c r="U970" s="894"/>
      <c r="V970" s="921" t="str">
        <f>'refer admin discharge'!H971</f>
        <v>00/00/0000</v>
      </c>
      <c r="W970" s="922"/>
      <c r="X970" s="920"/>
      <c r="Y970" s="920"/>
      <c r="Z970" s="919"/>
      <c r="AA970" s="919"/>
      <c r="AB970" s="920"/>
      <c r="AC970" s="920"/>
      <c r="AD970" s="912"/>
      <c r="AE970" s="912"/>
      <c r="AF970" s="920"/>
      <c r="AG970" s="920"/>
      <c r="AH970" s="912"/>
      <c r="AI970" s="912"/>
      <c r="AJ970" s="920"/>
      <c r="AK970" s="920"/>
      <c r="AL970" s="905"/>
      <c r="AM970" s="906"/>
      <c r="AN970" s="906"/>
      <c r="AO970" s="906"/>
      <c r="AP970" s="906"/>
      <c r="AQ970" s="906"/>
      <c r="AR970" s="906"/>
      <c r="AS970" s="906"/>
      <c r="AT970" s="906"/>
      <c r="AU970" s="906"/>
      <c r="AV970" s="906"/>
      <c r="AW970" s="906"/>
      <c r="AX970" s="906"/>
      <c r="AY970" s="906"/>
      <c r="AZ970" s="906"/>
      <c r="BA970" s="906"/>
      <c r="BB970" s="907"/>
    </row>
    <row r="971" spans="1:54" x14ac:dyDescent="0.25">
      <c r="A971" s="13">
        <f t="shared" si="14"/>
        <v>958</v>
      </c>
      <c r="B971" s="914" t="str">
        <f>'refer admin discharge'!B967</f>
        <v>x</v>
      </c>
      <c r="C971" s="914"/>
      <c r="D971" s="889" t="str">
        <f>'refer admin discharge'!D967</f>
        <v>xx</v>
      </c>
      <c r="E971" s="889"/>
      <c r="F971" s="915" t="str">
        <f>'refer admin discharge'!H967</f>
        <v>00/00/0000</v>
      </c>
      <c r="G971" s="890"/>
      <c r="H971" s="916"/>
      <c r="I971" s="916"/>
      <c r="J971" s="917"/>
      <c r="K971" s="917"/>
      <c r="L971" s="916"/>
      <c r="M971" s="916"/>
      <c r="N971" s="893"/>
      <c r="O971" s="893"/>
      <c r="P971" s="916"/>
      <c r="Q971" s="916"/>
      <c r="R971" s="893"/>
      <c r="S971" s="893"/>
      <c r="T971" s="916"/>
      <c r="U971" s="916"/>
      <c r="V971" s="921" t="str">
        <f>'refer admin discharge'!H972</f>
        <v>00/00/0000</v>
      </c>
      <c r="W971" s="922"/>
      <c r="X971" s="912"/>
      <c r="Y971" s="912"/>
      <c r="Z971" s="924"/>
      <c r="AA971" s="924"/>
      <c r="AB971" s="912"/>
      <c r="AC971" s="912"/>
      <c r="AD971" s="913"/>
      <c r="AE971" s="913"/>
      <c r="AF971" s="912"/>
      <c r="AG971" s="912"/>
      <c r="AH971" s="913"/>
      <c r="AI971" s="913"/>
      <c r="AJ971" s="912"/>
      <c r="AK971" s="912"/>
      <c r="AL971" s="925"/>
      <c r="AM971" s="926"/>
      <c r="AN971" s="926"/>
      <c r="AO971" s="926"/>
      <c r="AP971" s="926"/>
      <c r="AQ971" s="926"/>
      <c r="AR971" s="926"/>
      <c r="AS971" s="926"/>
      <c r="AT971" s="926"/>
      <c r="AU971" s="926"/>
      <c r="AV971" s="926"/>
      <c r="AW971" s="926"/>
      <c r="AX971" s="926"/>
      <c r="AY971" s="926"/>
      <c r="AZ971" s="926"/>
      <c r="BA971" s="926"/>
      <c r="BB971" s="927"/>
    </row>
    <row r="972" spans="1:54" x14ac:dyDescent="0.25">
      <c r="A972" s="13">
        <f t="shared" si="14"/>
        <v>959</v>
      </c>
      <c r="B972" s="888" t="str">
        <f>'refer admin discharge'!B968</f>
        <v>x</v>
      </c>
      <c r="C972" s="888"/>
      <c r="D972" s="868" t="str">
        <f>'refer admin discharge'!D968</f>
        <v>xx</v>
      </c>
      <c r="E972" s="868"/>
      <c r="F972" s="891" t="str">
        <f>'refer admin discharge'!H968</f>
        <v>00/00/0000</v>
      </c>
      <c r="G972" s="892"/>
      <c r="H972" s="894"/>
      <c r="I972" s="894"/>
      <c r="J972" s="918"/>
      <c r="K972" s="918"/>
      <c r="L972" s="894"/>
      <c r="M972" s="894"/>
      <c r="N972" s="916"/>
      <c r="O972" s="916"/>
      <c r="P972" s="894"/>
      <c r="Q972" s="894"/>
      <c r="R972" s="916"/>
      <c r="S972" s="916"/>
      <c r="T972" s="894"/>
      <c r="U972" s="894"/>
      <c r="V972" s="921" t="str">
        <f>'refer admin discharge'!H973</f>
        <v>00/00/0000</v>
      </c>
      <c r="W972" s="922"/>
      <c r="X972" s="920"/>
      <c r="Y972" s="920"/>
      <c r="Z972" s="919"/>
      <c r="AA972" s="919"/>
      <c r="AB972" s="920"/>
      <c r="AC972" s="920"/>
      <c r="AD972" s="912"/>
      <c r="AE972" s="912"/>
      <c r="AF972" s="920"/>
      <c r="AG972" s="920"/>
      <c r="AH972" s="912"/>
      <c r="AI972" s="912"/>
      <c r="AJ972" s="920"/>
      <c r="AK972" s="920"/>
      <c r="AL972" s="905"/>
      <c r="AM972" s="906"/>
      <c r="AN972" s="906"/>
      <c r="AO972" s="906"/>
      <c r="AP972" s="906"/>
      <c r="AQ972" s="906"/>
      <c r="AR972" s="906"/>
      <c r="AS972" s="906"/>
      <c r="AT972" s="906"/>
      <c r="AU972" s="906"/>
      <c r="AV972" s="906"/>
      <c r="AW972" s="906"/>
      <c r="AX972" s="906"/>
      <c r="AY972" s="906"/>
      <c r="AZ972" s="906"/>
      <c r="BA972" s="906"/>
      <c r="BB972" s="907"/>
    </row>
    <row r="973" spans="1:54" x14ac:dyDescent="0.25">
      <c r="A973" s="13">
        <f t="shared" si="14"/>
        <v>960</v>
      </c>
      <c r="B973" s="914" t="str">
        <f>'refer admin discharge'!B969</f>
        <v>x</v>
      </c>
      <c r="C973" s="914"/>
      <c r="D973" s="889" t="str">
        <f>'refer admin discharge'!D969</f>
        <v>xx</v>
      </c>
      <c r="E973" s="889"/>
      <c r="F973" s="915" t="str">
        <f>'refer admin discharge'!H969</f>
        <v>00/00/0000</v>
      </c>
      <c r="G973" s="890"/>
      <c r="H973" s="916"/>
      <c r="I973" s="916"/>
      <c r="J973" s="917"/>
      <c r="K973" s="917"/>
      <c r="L973" s="916"/>
      <c r="M973" s="916"/>
      <c r="N973" s="893"/>
      <c r="O973" s="893"/>
      <c r="P973" s="916"/>
      <c r="Q973" s="916"/>
      <c r="R973" s="893"/>
      <c r="S973" s="893"/>
      <c r="T973" s="916"/>
      <c r="U973" s="916"/>
      <c r="V973" s="921" t="str">
        <f>'refer admin discharge'!H974</f>
        <v>00/00/0000</v>
      </c>
      <c r="W973" s="922"/>
      <c r="X973" s="912"/>
      <c r="Y973" s="912"/>
      <c r="Z973" s="924"/>
      <c r="AA973" s="924"/>
      <c r="AB973" s="912"/>
      <c r="AC973" s="912"/>
      <c r="AD973" s="913"/>
      <c r="AE973" s="913"/>
      <c r="AF973" s="912"/>
      <c r="AG973" s="912"/>
      <c r="AH973" s="913"/>
      <c r="AI973" s="913"/>
      <c r="AJ973" s="912"/>
      <c r="AK973" s="912"/>
      <c r="AL973" s="925"/>
      <c r="AM973" s="926"/>
      <c r="AN973" s="926"/>
      <c r="AO973" s="926"/>
      <c r="AP973" s="926"/>
      <c r="AQ973" s="926"/>
      <c r="AR973" s="926"/>
      <c r="AS973" s="926"/>
      <c r="AT973" s="926"/>
      <c r="AU973" s="926"/>
      <c r="AV973" s="926"/>
      <c r="AW973" s="926"/>
      <c r="AX973" s="926"/>
      <c r="AY973" s="926"/>
      <c r="AZ973" s="926"/>
      <c r="BA973" s="926"/>
      <c r="BB973" s="927"/>
    </row>
    <row r="974" spans="1:54" x14ac:dyDescent="0.25">
      <c r="A974" s="13">
        <f t="shared" ref="A974:A1037" si="15">ROW(A961)</f>
        <v>961</v>
      </c>
      <c r="B974" s="888" t="str">
        <f>'refer admin discharge'!B970</f>
        <v>x</v>
      </c>
      <c r="C974" s="888"/>
      <c r="D974" s="868" t="str">
        <f>'refer admin discharge'!D970</f>
        <v>xx</v>
      </c>
      <c r="E974" s="868"/>
      <c r="F974" s="891" t="str">
        <f>'refer admin discharge'!H970</f>
        <v>00/00/0000</v>
      </c>
      <c r="G974" s="892"/>
      <c r="H974" s="894"/>
      <c r="I974" s="894"/>
      <c r="J974" s="918"/>
      <c r="K974" s="918"/>
      <c r="L974" s="894"/>
      <c r="M974" s="894"/>
      <c r="N974" s="916"/>
      <c r="O974" s="916"/>
      <c r="P974" s="894"/>
      <c r="Q974" s="894"/>
      <c r="R974" s="916"/>
      <c r="S974" s="916"/>
      <c r="T974" s="894"/>
      <c r="U974" s="894"/>
      <c r="V974" s="921" t="str">
        <f>'refer admin discharge'!H975</f>
        <v>00/00/0000</v>
      </c>
      <c r="W974" s="922"/>
      <c r="X974" s="920"/>
      <c r="Y974" s="920"/>
      <c r="Z974" s="919"/>
      <c r="AA974" s="919"/>
      <c r="AB974" s="920"/>
      <c r="AC974" s="920"/>
      <c r="AD974" s="912"/>
      <c r="AE974" s="912"/>
      <c r="AF974" s="920"/>
      <c r="AG974" s="920"/>
      <c r="AH974" s="912"/>
      <c r="AI974" s="912"/>
      <c r="AJ974" s="920"/>
      <c r="AK974" s="920"/>
      <c r="AL974" s="905"/>
      <c r="AM974" s="906"/>
      <c r="AN974" s="906"/>
      <c r="AO974" s="906"/>
      <c r="AP974" s="906"/>
      <c r="AQ974" s="906"/>
      <c r="AR974" s="906"/>
      <c r="AS974" s="906"/>
      <c r="AT974" s="906"/>
      <c r="AU974" s="906"/>
      <c r="AV974" s="906"/>
      <c r="AW974" s="906"/>
      <c r="AX974" s="906"/>
      <c r="AY974" s="906"/>
      <c r="AZ974" s="906"/>
      <c r="BA974" s="906"/>
      <c r="BB974" s="907"/>
    </row>
    <row r="975" spans="1:54" x14ac:dyDescent="0.25">
      <c r="A975" s="13">
        <f t="shared" si="15"/>
        <v>962</v>
      </c>
      <c r="B975" s="914" t="str">
        <f>'refer admin discharge'!B971</f>
        <v>x</v>
      </c>
      <c r="C975" s="914"/>
      <c r="D975" s="889" t="str">
        <f>'refer admin discharge'!D971</f>
        <v>xx</v>
      </c>
      <c r="E975" s="889"/>
      <c r="F975" s="915" t="str">
        <f>'refer admin discharge'!H971</f>
        <v>00/00/0000</v>
      </c>
      <c r="G975" s="890"/>
      <c r="H975" s="916"/>
      <c r="I975" s="916"/>
      <c r="J975" s="917"/>
      <c r="K975" s="917"/>
      <c r="L975" s="916"/>
      <c r="M975" s="916"/>
      <c r="N975" s="893"/>
      <c r="O975" s="893"/>
      <c r="P975" s="916"/>
      <c r="Q975" s="916"/>
      <c r="R975" s="893"/>
      <c r="S975" s="893"/>
      <c r="T975" s="916"/>
      <c r="U975" s="916"/>
      <c r="V975" s="921" t="str">
        <f>'refer admin discharge'!H976</f>
        <v>00/00/0000</v>
      </c>
      <c r="W975" s="922"/>
      <c r="X975" s="912"/>
      <c r="Y975" s="912"/>
      <c r="Z975" s="924"/>
      <c r="AA975" s="924"/>
      <c r="AB975" s="912"/>
      <c r="AC975" s="912"/>
      <c r="AD975" s="913"/>
      <c r="AE975" s="913"/>
      <c r="AF975" s="912"/>
      <c r="AG975" s="912"/>
      <c r="AH975" s="913"/>
      <c r="AI975" s="913"/>
      <c r="AJ975" s="912"/>
      <c r="AK975" s="912"/>
      <c r="AL975" s="925"/>
      <c r="AM975" s="926"/>
      <c r="AN975" s="926"/>
      <c r="AO975" s="926"/>
      <c r="AP975" s="926"/>
      <c r="AQ975" s="926"/>
      <c r="AR975" s="926"/>
      <c r="AS975" s="926"/>
      <c r="AT975" s="926"/>
      <c r="AU975" s="926"/>
      <c r="AV975" s="926"/>
      <c r="AW975" s="926"/>
      <c r="AX975" s="926"/>
      <c r="AY975" s="926"/>
      <c r="AZ975" s="926"/>
      <c r="BA975" s="926"/>
      <c r="BB975" s="927"/>
    </row>
    <row r="976" spans="1:54" x14ac:dyDescent="0.25">
      <c r="A976" s="13">
        <f t="shared" si="15"/>
        <v>963</v>
      </c>
      <c r="B976" s="888" t="str">
        <f>'refer admin discharge'!B972</f>
        <v>x</v>
      </c>
      <c r="C976" s="888"/>
      <c r="D976" s="868" t="str">
        <f>'refer admin discharge'!D972</f>
        <v>xx</v>
      </c>
      <c r="E976" s="868"/>
      <c r="F976" s="891" t="str">
        <f>'refer admin discharge'!H972</f>
        <v>00/00/0000</v>
      </c>
      <c r="G976" s="892"/>
      <c r="H976" s="894"/>
      <c r="I976" s="894"/>
      <c r="J976" s="918"/>
      <c r="K976" s="918"/>
      <c r="L976" s="894"/>
      <c r="M976" s="894"/>
      <c r="N976" s="916"/>
      <c r="O976" s="916"/>
      <c r="P976" s="894"/>
      <c r="Q976" s="894"/>
      <c r="R976" s="916"/>
      <c r="S976" s="916"/>
      <c r="T976" s="894"/>
      <c r="U976" s="894"/>
      <c r="V976" s="921" t="str">
        <f>'refer admin discharge'!H977</f>
        <v>00/00/0000</v>
      </c>
      <c r="W976" s="922"/>
      <c r="X976" s="920"/>
      <c r="Y976" s="920"/>
      <c r="Z976" s="919"/>
      <c r="AA976" s="919"/>
      <c r="AB976" s="920"/>
      <c r="AC976" s="920"/>
      <c r="AD976" s="912"/>
      <c r="AE976" s="912"/>
      <c r="AF976" s="920"/>
      <c r="AG976" s="920"/>
      <c r="AH976" s="912"/>
      <c r="AI976" s="912"/>
      <c r="AJ976" s="920"/>
      <c r="AK976" s="920"/>
      <c r="AL976" s="905"/>
      <c r="AM976" s="906"/>
      <c r="AN976" s="906"/>
      <c r="AO976" s="906"/>
      <c r="AP976" s="906"/>
      <c r="AQ976" s="906"/>
      <c r="AR976" s="906"/>
      <c r="AS976" s="906"/>
      <c r="AT976" s="906"/>
      <c r="AU976" s="906"/>
      <c r="AV976" s="906"/>
      <c r="AW976" s="906"/>
      <c r="AX976" s="906"/>
      <c r="AY976" s="906"/>
      <c r="AZ976" s="906"/>
      <c r="BA976" s="906"/>
      <c r="BB976" s="907"/>
    </row>
    <row r="977" spans="1:54" x14ac:dyDescent="0.25">
      <c r="A977" s="13">
        <f t="shared" si="15"/>
        <v>964</v>
      </c>
      <c r="B977" s="914" t="str">
        <f>'refer admin discharge'!B973</f>
        <v>x</v>
      </c>
      <c r="C977" s="914"/>
      <c r="D977" s="889" t="str">
        <f>'refer admin discharge'!D973</f>
        <v>xx</v>
      </c>
      <c r="E977" s="889"/>
      <c r="F977" s="915" t="str">
        <f>'refer admin discharge'!H973</f>
        <v>00/00/0000</v>
      </c>
      <c r="G977" s="890"/>
      <c r="H977" s="916"/>
      <c r="I977" s="916"/>
      <c r="J977" s="917"/>
      <c r="K977" s="917"/>
      <c r="L977" s="916"/>
      <c r="M977" s="916"/>
      <c r="N977" s="893"/>
      <c r="O977" s="893"/>
      <c r="P977" s="916"/>
      <c r="Q977" s="916"/>
      <c r="R977" s="893"/>
      <c r="S977" s="893"/>
      <c r="T977" s="916"/>
      <c r="U977" s="916"/>
      <c r="V977" s="921" t="str">
        <f>'refer admin discharge'!H978</f>
        <v>00/00/0000</v>
      </c>
      <c r="W977" s="922"/>
      <c r="X977" s="912"/>
      <c r="Y977" s="912"/>
      <c r="Z977" s="924"/>
      <c r="AA977" s="924"/>
      <c r="AB977" s="912"/>
      <c r="AC977" s="912"/>
      <c r="AD977" s="913"/>
      <c r="AE977" s="913"/>
      <c r="AF977" s="912"/>
      <c r="AG977" s="912"/>
      <c r="AH977" s="913"/>
      <c r="AI977" s="913"/>
      <c r="AJ977" s="912"/>
      <c r="AK977" s="912"/>
      <c r="AL977" s="925"/>
      <c r="AM977" s="926"/>
      <c r="AN977" s="926"/>
      <c r="AO977" s="926"/>
      <c r="AP977" s="926"/>
      <c r="AQ977" s="926"/>
      <c r="AR977" s="926"/>
      <c r="AS977" s="926"/>
      <c r="AT977" s="926"/>
      <c r="AU977" s="926"/>
      <c r="AV977" s="926"/>
      <c r="AW977" s="926"/>
      <c r="AX977" s="926"/>
      <c r="AY977" s="926"/>
      <c r="AZ977" s="926"/>
      <c r="BA977" s="926"/>
      <c r="BB977" s="927"/>
    </row>
    <row r="978" spans="1:54" x14ac:dyDescent="0.25">
      <c r="A978" s="13">
        <f t="shared" si="15"/>
        <v>965</v>
      </c>
      <c r="B978" s="888" t="str">
        <f>'refer admin discharge'!B974</f>
        <v>x</v>
      </c>
      <c r="C978" s="888"/>
      <c r="D978" s="868" t="str">
        <f>'refer admin discharge'!D974</f>
        <v>xx</v>
      </c>
      <c r="E978" s="868"/>
      <c r="F978" s="891" t="str">
        <f>'refer admin discharge'!H974</f>
        <v>00/00/0000</v>
      </c>
      <c r="G978" s="892"/>
      <c r="H978" s="894"/>
      <c r="I978" s="894"/>
      <c r="J978" s="918"/>
      <c r="K978" s="918"/>
      <c r="L978" s="894"/>
      <c r="M978" s="894"/>
      <c r="N978" s="916"/>
      <c r="O978" s="916"/>
      <c r="P978" s="894"/>
      <c r="Q978" s="894"/>
      <c r="R978" s="916"/>
      <c r="S978" s="916"/>
      <c r="T978" s="894"/>
      <c r="U978" s="894"/>
      <c r="V978" s="921" t="str">
        <f>'refer admin discharge'!H979</f>
        <v>00/00/0000</v>
      </c>
      <c r="W978" s="922"/>
      <c r="X978" s="920"/>
      <c r="Y978" s="920"/>
      <c r="Z978" s="919"/>
      <c r="AA978" s="919"/>
      <c r="AB978" s="920"/>
      <c r="AC978" s="920"/>
      <c r="AD978" s="912"/>
      <c r="AE978" s="912"/>
      <c r="AF978" s="920"/>
      <c r="AG978" s="920"/>
      <c r="AH978" s="912"/>
      <c r="AI978" s="912"/>
      <c r="AJ978" s="920"/>
      <c r="AK978" s="920"/>
      <c r="AL978" s="905"/>
      <c r="AM978" s="906"/>
      <c r="AN978" s="906"/>
      <c r="AO978" s="906"/>
      <c r="AP978" s="906"/>
      <c r="AQ978" s="906"/>
      <c r="AR978" s="906"/>
      <c r="AS978" s="906"/>
      <c r="AT978" s="906"/>
      <c r="AU978" s="906"/>
      <c r="AV978" s="906"/>
      <c r="AW978" s="906"/>
      <c r="AX978" s="906"/>
      <c r="AY978" s="906"/>
      <c r="AZ978" s="906"/>
      <c r="BA978" s="906"/>
      <c r="BB978" s="907"/>
    </row>
    <row r="979" spans="1:54" x14ac:dyDescent="0.25">
      <c r="A979" s="13">
        <f t="shared" si="15"/>
        <v>966</v>
      </c>
      <c r="B979" s="914" t="str">
        <f>'refer admin discharge'!B975</f>
        <v>x</v>
      </c>
      <c r="C979" s="914"/>
      <c r="D979" s="889" t="str">
        <f>'refer admin discharge'!D975</f>
        <v>xx</v>
      </c>
      <c r="E979" s="889"/>
      <c r="F979" s="915" t="str">
        <f>'refer admin discharge'!H975</f>
        <v>00/00/0000</v>
      </c>
      <c r="G979" s="890"/>
      <c r="H979" s="916"/>
      <c r="I979" s="916"/>
      <c r="J979" s="917"/>
      <c r="K979" s="917"/>
      <c r="L979" s="916"/>
      <c r="M979" s="916"/>
      <c r="N979" s="893"/>
      <c r="O979" s="893"/>
      <c r="P979" s="916"/>
      <c r="Q979" s="916"/>
      <c r="R979" s="893"/>
      <c r="S979" s="893"/>
      <c r="T979" s="916"/>
      <c r="U979" s="916"/>
      <c r="V979" s="921" t="str">
        <f>'refer admin discharge'!H980</f>
        <v>00/00/0000</v>
      </c>
      <c r="W979" s="922"/>
      <c r="X979" s="912"/>
      <c r="Y979" s="912"/>
      <c r="Z979" s="924"/>
      <c r="AA979" s="924"/>
      <c r="AB979" s="912"/>
      <c r="AC979" s="912"/>
      <c r="AD979" s="913"/>
      <c r="AE979" s="913"/>
      <c r="AF979" s="912"/>
      <c r="AG979" s="912"/>
      <c r="AH979" s="913"/>
      <c r="AI979" s="913"/>
      <c r="AJ979" s="912"/>
      <c r="AK979" s="912"/>
      <c r="AL979" s="925"/>
      <c r="AM979" s="926"/>
      <c r="AN979" s="926"/>
      <c r="AO979" s="926"/>
      <c r="AP979" s="926"/>
      <c r="AQ979" s="926"/>
      <c r="AR979" s="926"/>
      <c r="AS979" s="926"/>
      <c r="AT979" s="926"/>
      <c r="AU979" s="926"/>
      <c r="AV979" s="926"/>
      <c r="AW979" s="926"/>
      <c r="AX979" s="926"/>
      <c r="AY979" s="926"/>
      <c r="AZ979" s="926"/>
      <c r="BA979" s="926"/>
      <c r="BB979" s="927"/>
    </row>
    <row r="980" spans="1:54" x14ac:dyDescent="0.25">
      <c r="A980" s="13">
        <f t="shared" si="15"/>
        <v>967</v>
      </c>
      <c r="B980" s="888" t="str">
        <f>'refer admin discharge'!B976</f>
        <v>x</v>
      </c>
      <c r="C980" s="888"/>
      <c r="D980" s="868" t="str">
        <f>'refer admin discharge'!D976</f>
        <v>xx</v>
      </c>
      <c r="E980" s="868"/>
      <c r="F980" s="891" t="str">
        <f>'refer admin discharge'!H976</f>
        <v>00/00/0000</v>
      </c>
      <c r="G980" s="892"/>
      <c r="H980" s="894"/>
      <c r="I980" s="894"/>
      <c r="J980" s="918"/>
      <c r="K980" s="918"/>
      <c r="L980" s="894"/>
      <c r="M980" s="894"/>
      <c r="N980" s="916"/>
      <c r="O980" s="916"/>
      <c r="P980" s="894"/>
      <c r="Q980" s="894"/>
      <c r="R980" s="916"/>
      <c r="S980" s="916"/>
      <c r="T980" s="894"/>
      <c r="U980" s="894"/>
      <c r="V980" s="921" t="str">
        <f>'refer admin discharge'!H981</f>
        <v>00/00/0000</v>
      </c>
      <c r="W980" s="922"/>
      <c r="X980" s="920"/>
      <c r="Y980" s="920"/>
      <c r="Z980" s="919"/>
      <c r="AA980" s="919"/>
      <c r="AB980" s="920"/>
      <c r="AC980" s="920"/>
      <c r="AD980" s="912"/>
      <c r="AE980" s="912"/>
      <c r="AF980" s="920"/>
      <c r="AG980" s="920"/>
      <c r="AH980" s="912"/>
      <c r="AI980" s="912"/>
      <c r="AJ980" s="920"/>
      <c r="AK980" s="920"/>
      <c r="AL980" s="905"/>
      <c r="AM980" s="906"/>
      <c r="AN980" s="906"/>
      <c r="AO980" s="906"/>
      <c r="AP980" s="906"/>
      <c r="AQ980" s="906"/>
      <c r="AR980" s="906"/>
      <c r="AS980" s="906"/>
      <c r="AT980" s="906"/>
      <c r="AU980" s="906"/>
      <c r="AV980" s="906"/>
      <c r="AW980" s="906"/>
      <c r="AX980" s="906"/>
      <c r="AY980" s="906"/>
      <c r="AZ980" s="906"/>
      <c r="BA980" s="906"/>
      <c r="BB980" s="907"/>
    </row>
    <row r="981" spans="1:54" x14ac:dyDescent="0.25">
      <c r="A981" s="13">
        <f t="shared" si="15"/>
        <v>968</v>
      </c>
      <c r="B981" s="914" t="str">
        <f>'refer admin discharge'!B977</f>
        <v>x</v>
      </c>
      <c r="C981" s="914"/>
      <c r="D981" s="889" t="str">
        <f>'refer admin discharge'!D977</f>
        <v>xx</v>
      </c>
      <c r="E981" s="889"/>
      <c r="F981" s="915" t="str">
        <f>'refer admin discharge'!H977</f>
        <v>00/00/0000</v>
      </c>
      <c r="G981" s="890"/>
      <c r="H981" s="916"/>
      <c r="I981" s="916"/>
      <c r="J981" s="917"/>
      <c r="K981" s="917"/>
      <c r="L981" s="916"/>
      <c r="M981" s="916"/>
      <c r="N981" s="893"/>
      <c r="O981" s="893"/>
      <c r="P981" s="916"/>
      <c r="Q981" s="916"/>
      <c r="R981" s="893"/>
      <c r="S981" s="893"/>
      <c r="T981" s="916"/>
      <c r="U981" s="916"/>
      <c r="V981" s="921" t="str">
        <f>'refer admin discharge'!H982</f>
        <v>00/00/0000</v>
      </c>
      <c r="W981" s="922"/>
      <c r="X981" s="912"/>
      <c r="Y981" s="912"/>
      <c r="Z981" s="924"/>
      <c r="AA981" s="924"/>
      <c r="AB981" s="912"/>
      <c r="AC981" s="912"/>
      <c r="AD981" s="913"/>
      <c r="AE981" s="913"/>
      <c r="AF981" s="912"/>
      <c r="AG981" s="912"/>
      <c r="AH981" s="913"/>
      <c r="AI981" s="913"/>
      <c r="AJ981" s="912"/>
      <c r="AK981" s="912"/>
      <c r="AL981" s="925"/>
      <c r="AM981" s="926"/>
      <c r="AN981" s="926"/>
      <c r="AO981" s="926"/>
      <c r="AP981" s="926"/>
      <c r="AQ981" s="926"/>
      <c r="AR981" s="926"/>
      <c r="AS981" s="926"/>
      <c r="AT981" s="926"/>
      <c r="AU981" s="926"/>
      <c r="AV981" s="926"/>
      <c r="AW981" s="926"/>
      <c r="AX981" s="926"/>
      <c r="AY981" s="926"/>
      <c r="AZ981" s="926"/>
      <c r="BA981" s="926"/>
      <c r="BB981" s="927"/>
    </row>
    <row r="982" spans="1:54" x14ac:dyDescent="0.25">
      <c r="A982" s="13">
        <f t="shared" si="15"/>
        <v>969</v>
      </c>
      <c r="B982" s="888" t="str">
        <f>'refer admin discharge'!B978</f>
        <v>x</v>
      </c>
      <c r="C982" s="888"/>
      <c r="D982" s="868" t="str">
        <f>'refer admin discharge'!D978</f>
        <v>xx</v>
      </c>
      <c r="E982" s="868"/>
      <c r="F982" s="891" t="str">
        <f>'refer admin discharge'!H978</f>
        <v>00/00/0000</v>
      </c>
      <c r="G982" s="892"/>
      <c r="H982" s="894"/>
      <c r="I982" s="894"/>
      <c r="J982" s="918"/>
      <c r="K982" s="918"/>
      <c r="L982" s="894"/>
      <c r="M982" s="894"/>
      <c r="N982" s="916"/>
      <c r="O982" s="916"/>
      <c r="P982" s="894"/>
      <c r="Q982" s="894"/>
      <c r="R982" s="916"/>
      <c r="S982" s="916"/>
      <c r="T982" s="894"/>
      <c r="U982" s="894"/>
      <c r="V982" s="921" t="str">
        <f>'refer admin discharge'!H983</f>
        <v>00/00/0000</v>
      </c>
      <c r="W982" s="922"/>
      <c r="X982" s="920"/>
      <c r="Y982" s="920"/>
      <c r="Z982" s="919"/>
      <c r="AA982" s="919"/>
      <c r="AB982" s="920"/>
      <c r="AC982" s="920"/>
      <c r="AD982" s="912"/>
      <c r="AE982" s="912"/>
      <c r="AF982" s="920"/>
      <c r="AG982" s="920"/>
      <c r="AH982" s="912"/>
      <c r="AI982" s="912"/>
      <c r="AJ982" s="920"/>
      <c r="AK982" s="920"/>
      <c r="AL982" s="905"/>
      <c r="AM982" s="906"/>
      <c r="AN982" s="906"/>
      <c r="AO982" s="906"/>
      <c r="AP982" s="906"/>
      <c r="AQ982" s="906"/>
      <c r="AR982" s="906"/>
      <c r="AS982" s="906"/>
      <c r="AT982" s="906"/>
      <c r="AU982" s="906"/>
      <c r="AV982" s="906"/>
      <c r="AW982" s="906"/>
      <c r="AX982" s="906"/>
      <c r="AY982" s="906"/>
      <c r="AZ982" s="906"/>
      <c r="BA982" s="906"/>
      <c r="BB982" s="907"/>
    </row>
    <row r="983" spans="1:54" x14ac:dyDescent="0.25">
      <c r="A983" s="13">
        <f t="shared" si="15"/>
        <v>970</v>
      </c>
      <c r="B983" s="914" t="str">
        <f>'refer admin discharge'!B979</f>
        <v>x</v>
      </c>
      <c r="C983" s="914"/>
      <c r="D983" s="889" t="str">
        <f>'refer admin discharge'!D979</f>
        <v>xx</v>
      </c>
      <c r="E983" s="889"/>
      <c r="F983" s="915" t="str">
        <f>'refer admin discharge'!H979</f>
        <v>00/00/0000</v>
      </c>
      <c r="G983" s="890"/>
      <c r="H983" s="916"/>
      <c r="I983" s="916"/>
      <c r="J983" s="917"/>
      <c r="K983" s="917"/>
      <c r="L983" s="916"/>
      <c r="M983" s="916"/>
      <c r="N983" s="893"/>
      <c r="O983" s="893"/>
      <c r="P983" s="916"/>
      <c r="Q983" s="916"/>
      <c r="R983" s="893"/>
      <c r="S983" s="893"/>
      <c r="T983" s="916"/>
      <c r="U983" s="916"/>
      <c r="V983" s="921" t="str">
        <f>'refer admin discharge'!H984</f>
        <v>00/00/0000</v>
      </c>
      <c r="W983" s="922"/>
      <c r="X983" s="912"/>
      <c r="Y983" s="912"/>
      <c r="Z983" s="924"/>
      <c r="AA983" s="924"/>
      <c r="AB983" s="912"/>
      <c r="AC983" s="912"/>
      <c r="AD983" s="913"/>
      <c r="AE983" s="913"/>
      <c r="AF983" s="912"/>
      <c r="AG983" s="912"/>
      <c r="AH983" s="913"/>
      <c r="AI983" s="913"/>
      <c r="AJ983" s="912"/>
      <c r="AK983" s="912"/>
      <c r="AL983" s="925"/>
      <c r="AM983" s="926"/>
      <c r="AN983" s="926"/>
      <c r="AO983" s="926"/>
      <c r="AP983" s="926"/>
      <c r="AQ983" s="926"/>
      <c r="AR983" s="926"/>
      <c r="AS983" s="926"/>
      <c r="AT983" s="926"/>
      <c r="AU983" s="926"/>
      <c r="AV983" s="926"/>
      <c r="AW983" s="926"/>
      <c r="AX983" s="926"/>
      <c r="AY983" s="926"/>
      <c r="AZ983" s="926"/>
      <c r="BA983" s="926"/>
      <c r="BB983" s="927"/>
    </row>
    <row r="984" spans="1:54" x14ac:dyDescent="0.25">
      <c r="A984" s="13">
        <f t="shared" si="15"/>
        <v>971</v>
      </c>
      <c r="B984" s="888" t="str">
        <f>'refer admin discharge'!B980</f>
        <v>x</v>
      </c>
      <c r="C984" s="888"/>
      <c r="D984" s="868" t="str">
        <f>'refer admin discharge'!D980</f>
        <v>xx</v>
      </c>
      <c r="E984" s="868"/>
      <c r="F984" s="891" t="str">
        <f>'refer admin discharge'!H980</f>
        <v>00/00/0000</v>
      </c>
      <c r="G984" s="892"/>
      <c r="H984" s="894"/>
      <c r="I984" s="894"/>
      <c r="J984" s="918"/>
      <c r="K984" s="918"/>
      <c r="L984" s="894"/>
      <c r="M984" s="894"/>
      <c r="N984" s="916"/>
      <c r="O984" s="916"/>
      <c r="P984" s="894"/>
      <c r="Q984" s="894"/>
      <c r="R984" s="916"/>
      <c r="S984" s="916"/>
      <c r="T984" s="894"/>
      <c r="U984" s="894"/>
      <c r="V984" s="921" t="str">
        <f>'refer admin discharge'!H985</f>
        <v>00/00/0000</v>
      </c>
      <c r="W984" s="922"/>
      <c r="X984" s="920"/>
      <c r="Y984" s="920"/>
      <c r="Z984" s="919"/>
      <c r="AA984" s="919"/>
      <c r="AB984" s="920"/>
      <c r="AC984" s="920"/>
      <c r="AD984" s="912"/>
      <c r="AE984" s="912"/>
      <c r="AF984" s="920"/>
      <c r="AG984" s="920"/>
      <c r="AH984" s="912"/>
      <c r="AI984" s="912"/>
      <c r="AJ984" s="920"/>
      <c r="AK984" s="920"/>
      <c r="AL984" s="905"/>
      <c r="AM984" s="906"/>
      <c r="AN984" s="906"/>
      <c r="AO984" s="906"/>
      <c r="AP984" s="906"/>
      <c r="AQ984" s="906"/>
      <c r="AR984" s="906"/>
      <c r="AS984" s="906"/>
      <c r="AT984" s="906"/>
      <c r="AU984" s="906"/>
      <c r="AV984" s="906"/>
      <c r="AW984" s="906"/>
      <c r="AX984" s="906"/>
      <c r="AY984" s="906"/>
      <c r="AZ984" s="906"/>
      <c r="BA984" s="906"/>
      <c r="BB984" s="907"/>
    </row>
    <row r="985" spans="1:54" x14ac:dyDescent="0.25">
      <c r="A985" s="13">
        <f t="shared" si="15"/>
        <v>972</v>
      </c>
      <c r="B985" s="914" t="str">
        <f>'refer admin discharge'!B981</f>
        <v>x</v>
      </c>
      <c r="C985" s="914"/>
      <c r="D985" s="889" t="str">
        <f>'refer admin discharge'!D981</f>
        <v>xx</v>
      </c>
      <c r="E985" s="889"/>
      <c r="F985" s="915" t="str">
        <f>'refer admin discharge'!H981</f>
        <v>00/00/0000</v>
      </c>
      <c r="G985" s="890"/>
      <c r="H985" s="916"/>
      <c r="I985" s="916"/>
      <c r="J985" s="917"/>
      <c r="K985" s="917"/>
      <c r="L985" s="916"/>
      <c r="M985" s="916"/>
      <c r="N985" s="893"/>
      <c r="O985" s="893"/>
      <c r="P985" s="916"/>
      <c r="Q985" s="916"/>
      <c r="R985" s="893"/>
      <c r="S985" s="893"/>
      <c r="T985" s="916"/>
      <c r="U985" s="916"/>
      <c r="V985" s="921" t="str">
        <f>'refer admin discharge'!H986</f>
        <v>00/00/0000</v>
      </c>
      <c r="W985" s="922"/>
      <c r="X985" s="912"/>
      <c r="Y985" s="912"/>
      <c r="Z985" s="924"/>
      <c r="AA985" s="924"/>
      <c r="AB985" s="912"/>
      <c r="AC985" s="912"/>
      <c r="AD985" s="913"/>
      <c r="AE985" s="913"/>
      <c r="AF985" s="912"/>
      <c r="AG985" s="912"/>
      <c r="AH985" s="913"/>
      <c r="AI985" s="913"/>
      <c r="AJ985" s="912"/>
      <c r="AK985" s="912"/>
      <c r="AL985" s="925"/>
      <c r="AM985" s="926"/>
      <c r="AN985" s="926"/>
      <c r="AO985" s="926"/>
      <c r="AP985" s="926"/>
      <c r="AQ985" s="926"/>
      <c r="AR985" s="926"/>
      <c r="AS985" s="926"/>
      <c r="AT985" s="926"/>
      <c r="AU985" s="926"/>
      <c r="AV985" s="926"/>
      <c r="AW985" s="926"/>
      <c r="AX985" s="926"/>
      <c r="AY985" s="926"/>
      <c r="AZ985" s="926"/>
      <c r="BA985" s="926"/>
      <c r="BB985" s="927"/>
    </row>
    <row r="986" spans="1:54" x14ac:dyDescent="0.25">
      <c r="A986" s="13">
        <f t="shared" si="15"/>
        <v>973</v>
      </c>
      <c r="B986" s="888" t="str">
        <f>'refer admin discharge'!B982</f>
        <v>x</v>
      </c>
      <c r="C986" s="888"/>
      <c r="D986" s="868" t="str">
        <f>'refer admin discharge'!D982</f>
        <v>xx</v>
      </c>
      <c r="E986" s="868"/>
      <c r="F986" s="891" t="str">
        <f>'refer admin discharge'!H982</f>
        <v>00/00/0000</v>
      </c>
      <c r="G986" s="892"/>
      <c r="H986" s="894"/>
      <c r="I986" s="894"/>
      <c r="J986" s="918"/>
      <c r="K986" s="918"/>
      <c r="L986" s="894"/>
      <c r="M986" s="894"/>
      <c r="N986" s="916"/>
      <c r="O986" s="916"/>
      <c r="P986" s="894"/>
      <c r="Q986" s="894"/>
      <c r="R986" s="916"/>
      <c r="S986" s="916"/>
      <c r="T986" s="894"/>
      <c r="U986" s="894"/>
      <c r="V986" s="921" t="str">
        <f>'refer admin discharge'!H987</f>
        <v>00/00/0000</v>
      </c>
      <c r="W986" s="922"/>
      <c r="X986" s="920"/>
      <c r="Y986" s="920"/>
      <c r="Z986" s="919"/>
      <c r="AA986" s="919"/>
      <c r="AB986" s="920"/>
      <c r="AC986" s="920"/>
      <c r="AD986" s="912"/>
      <c r="AE986" s="912"/>
      <c r="AF986" s="920"/>
      <c r="AG986" s="920"/>
      <c r="AH986" s="912"/>
      <c r="AI986" s="912"/>
      <c r="AJ986" s="920"/>
      <c r="AK986" s="920"/>
      <c r="AL986" s="905"/>
      <c r="AM986" s="906"/>
      <c r="AN986" s="906"/>
      <c r="AO986" s="906"/>
      <c r="AP986" s="906"/>
      <c r="AQ986" s="906"/>
      <c r="AR986" s="906"/>
      <c r="AS986" s="906"/>
      <c r="AT986" s="906"/>
      <c r="AU986" s="906"/>
      <c r="AV986" s="906"/>
      <c r="AW986" s="906"/>
      <c r="AX986" s="906"/>
      <c r="AY986" s="906"/>
      <c r="AZ986" s="906"/>
      <c r="BA986" s="906"/>
      <c r="BB986" s="907"/>
    </row>
    <row r="987" spans="1:54" x14ac:dyDescent="0.25">
      <c r="A987" s="13">
        <f t="shared" si="15"/>
        <v>974</v>
      </c>
      <c r="B987" s="914" t="str">
        <f>'refer admin discharge'!B983</f>
        <v>x</v>
      </c>
      <c r="C987" s="914"/>
      <c r="D987" s="889" t="str">
        <f>'refer admin discharge'!D983</f>
        <v>xx</v>
      </c>
      <c r="E987" s="889"/>
      <c r="F987" s="915" t="str">
        <f>'refer admin discharge'!H983</f>
        <v>00/00/0000</v>
      </c>
      <c r="G987" s="890"/>
      <c r="H987" s="916"/>
      <c r="I987" s="916"/>
      <c r="J987" s="917"/>
      <c r="K987" s="917"/>
      <c r="L987" s="916"/>
      <c r="M987" s="916"/>
      <c r="N987" s="893"/>
      <c r="O987" s="893"/>
      <c r="P987" s="916"/>
      <c r="Q987" s="916"/>
      <c r="R987" s="893"/>
      <c r="S987" s="893"/>
      <c r="T987" s="916"/>
      <c r="U987" s="916"/>
      <c r="V987" s="921" t="str">
        <f>'refer admin discharge'!H988</f>
        <v>00/00/0000</v>
      </c>
      <c r="W987" s="922"/>
      <c r="X987" s="912"/>
      <c r="Y987" s="912"/>
      <c r="Z987" s="924"/>
      <c r="AA987" s="924"/>
      <c r="AB987" s="912"/>
      <c r="AC987" s="912"/>
      <c r="AD987" s="913"/>
      <c r="AE987" s="913"/>
      <c r="AF987" s="912"/>
      <c r="AG987" s="912"/>
      <c r="AH987" s="913"/>
      <c r="AI987" s="913"/>
      <c r="AJ987" s="912"/>
      <c r="AK987" s="912"/>
      <c r="AL987" s="925"/>
      <c r="AM987" s="926"/>
      <c r="AN987" s="926"/>
      <c r="AO987" s="926"/>
      <c r="AP987" s="926"/>
      <c r="AQ987" s="926"/>
      <c r="AR987" s="926"/>
      <c r="AS987" s="926"/>
      <c r="AT987" s="926"/>
      <c r="AU987" s="926"/>
      <c r="AV987" s="926"/>
      <c r="AW987" s="926"/>
      <c r="AX987" s="926"/>
      <c r="AY987" s="926"/>
      <c r="AZ987" s="926"/>
      <c r="BA987" s="926"/>
      <c r="BB987" s="927"/>
    </row>
    <row r="988" spans="1:54" x14ac:dyDescent="0.25">
      <c r="A988" s="13">
        <f t="shared" si="15"/>
        <v>975</v>
      </c>
      <c r="B988" s="888" t="str">
        <f>'refer admin discharge'!B984</f>
        <v>x</v>
      </c>
      <c r="C988" s="888"/>
      <c r="D988" s="868" t="str">
        <f>'refer admin discharge'!D984</f>
        <v>xx</v>
      </c>
      <c r="E988" s="868"/>
      <c r="F988" s="891" t="str">
        <f>'refer admin discharge'!H984</f>
        <v>00/00/0000</v>
      </c>
      <c r="G988" s="892"/>
      <c r="H988" s="894"/>
      <c r="I988" s="894"/>
      <c r="J988" s="918"/>
      <c r="K988" s="918"/>
      <c r="L988" s="894"/>
      <c r="M988" s="894"/>
      <c r="N988" s="916"/>
      <c r="O988" s="916"/>
      <c r="P988" s="894"/>
      <c r="Q988" s="894"/>
      <c r="R988" s="916"/>
      <c r="S988" s="916"/>
      <c r="T988" s="894"/>
      <c r="U988" s="894"/>
      <c r="V988" s="921" t="str">
        <f>'refer admin discharge'!H989</f>
        <v>00/00/0000</v>
      </c>
      <c r="W988" s="922"/>
      <c r="X988" s="920"/>
      <c r="Y988" s="920"/>
      <c r="Z988" s="919"/>
      <c r="AA988" s="919"/>
      <c r="AB988" s="920"/>
      <c r="AC988" s="920"/>
      <c r="AD988" s="912"/>
      <c r="AE988" s="912"/>
      <c r="AF988" s="920"/>
      <c r="AG988" s="920"/>
      <c r="AH988" s="912"/>
      <c r="AI988" s="912"/>
      <c r="AJ988" s="920"/>
      <c r="AK988" s="920"/>
      <c r="AL988" s="905"/>
      <c r="AM988" s="906"/>
      <c r="AN988" s="906"/>
      <c r="AO988" s="906"/>
      <c r="AP988" s="906"/>
      <c r="AQ988" s="906"/>
      <c r="AR988" s="906"/>
      <c r="AS988" s="906"/>
      <c r="AT988" s="906"/>
      <c r="AU988" s="906"/>
      <c r="AV988" s="906"/>
      <c r="AW988" s="906"/>
      <c r="AX988" s="906"/>
      <c r="AY988" s="906"/>
      <c r="AZ988" s="906"/>
      <c r="BA988" s="906"/>
      <c r="BB988" s="907"/>
    </row>
    <row r="989" spans="1:54" x14ac:dyDescent="0.25">
      <c r="A989" s="13">
        <f t="shared" si="15"/>
        <v>976</v>
      </c>
      <c r="B989" s="914" t="str">
        <f>'refer admin discharge'!B985</f>
        <v>x</v>
      </c>
      <c r="C989" s="914"/>
      <c r="D989" s="889" t="str">
        <f>'refer admin discharge'!D985</f>
        <v>xx</v>
      </c>
      <c r="E989" s="889"/>
      <c r="F989" s="915" t="str">
        <f>'refer admin discharge'!H985</f>
        <v>00/00/0000</v>
      </c>
      <c r="G989" s="890"/>
      <c r="H989" s="916"/>
      <c r="I989" s="916"/>
      <c r="J989" s="917"/>
      <c r="K989" s="917"/>
      <c r="L989" s="916"/>
      <c r="M989" s="916"/>
      <c r="N989" s="893"/>
      <c r="O989" s="893"/>
      <c r="P989" s="916"/>
      <c r="Q989" s="916"/>
      <c r="R989" s="893"/>
      <c r="S989" s="893"/>
      <c r="T989" s="916"/>
      <c r="U989" s="916"/>
      <c r="V989" s="921" t="str">
        <f>'refer admin discharge'!H990</f>
        <v>00/00/0000</v>
      </c>
      <c r="W989" s="922"/>
      <c r="X989" s="912"/>
      <c r="Y989" s="912"/>
      <c r="Z989" s="924"/>
      <c r="AA989" s="924"/>
      <c r="AB989" s="912"/>
      <c r="AC989" s="912"/>
      <c r="AD989" s="913"/>
      <c r="AE989" s="913"/>
      <c r="AF989" s="912"/>
      <c r="AG989" s="912"/>
      <c r="AH989" s="913"/>
      <c r="AI989" s="913"/>
      <c r="AJ989" s="912"/>
      <c r="AK989" s="912"/>
      <c r="AL989" s="925"/>
      <c r="AM989" s="926"/>
      <c r="AN989" s="926"/>
      <c r="AO989" s="926"/>
      <c r="AP989" s="926"/>
      <c r="AQ989" s="926"/>
      <c r="AR989" s="926"/>
      <c r="AS989" s="926"/>
      <c r="AT989" s="926"/>
      <c r="AU989" s="926"/>
      <c r="AV989" s="926"/>
      <c r="AW989" s="926"/>
      <c r="AX989" s="926"/>
      <c r="AY989" s="926"/>
      <c r="AZ989" s="926"/>
      <c r="BA989" s="926"/>
      <c r="BB989" s="927"/>
    </row>
    <row r="990" spans="1:54" x14ac:dyDescent="0.25">
      <c r="A990" s="13">
        <f t="shared" si="15"/>
        <v>977</v>
      </c>
      <c r="B990" s="888" t="str">
        <f>'refer admin discharge'!B986</f>
        <v>x</v>
      </c>
      <c r="C990" s="888"/>
      <c r="D990" s="868" t="str">
        <f>'refer admin discharge'!D986</f>
        <v>xx</v>
      </c>
      <c r="E990" s="868"/>
      <c r="F990" s="891" t="str">
        <f>'refer admin discharge'!H986</f>
        <v>00/00/0000</v>
      </c>
      <c r="G990" s="892"/>
      <c r="H990" s="894"/>
      <c r="I990" s="894"/>
      <c r="J990" s="918"/>
      <c r="K990" s="918"/>
      <c r="L990" s="894"/>
      <c r="M990" s="894"/>
      <c r="N990" s="916"/>
      <c r="O990" s="916"/>
      <c r="P990" s="894"/>
      <c r="Q990" s="894"/>
      <c r="R990" s="916"/>
      <c r="S990" s="916"/>
      <c r="T990" s="894"/>
      <c r="U990" s="894"/>
      <c r="V990" s="921" t="str">
        <f>'refer admin discharge'!H991</f>
        <v>00/00/0000</v>
      </c>
      <c r="W990" s="922"/>
      <c r="X990" s="920"/>
      <c r="Y990" s="920"/>
      <c r="Z990" s="919"/>
      <c r="AA990" s="919"/>
      <c r="AB990" s="920"/>
      <c r="AC990" s="920"/>
      <c r="AD990" s="912"/>
      <c r="AE990" s="912"/>
      <c r="AF990" s="920"/>
      <c r="AG990" s="920"/>
      <c r="AH990" s="912"/>
      <c r="AI990" s="912"/>
      <c r="AJ990" s="920"/>
      <c r="AK990" s="920"/>
      <c r="AL990" s="905"/>
      <c r="AM990" s="906"/>
      <c r="AN990" s="906"/>
      <c r="AO990" s="906"/>
      <c r="AP990" s="906"/>
      <c r="AQ990" s="906"/>
      <c r="AR990" s="906"/>
      <c r="AS990" s="906"/>
      <c r="AT990" s="906"/>
      <c r="AU990" s="906"/>
      <c r="AV990" s="906"/>
      <c r="AW990" s="906"/>
      <c r="AX990" s="906"/>
      <c r="AY990" s="906"/>
      <c r="AZ990" s="906"/>
      <c r="BA990" s="906"/>
      <c r="BB990" s="907"/>
    </row>
    <row r="991" spans="1:54" x14ac:dyDescent="0.25">
      <c r="A991" s="13">
        <f t="shared" si="15"/>
        <v>978</v>
      </c>
      <c r="B991" s="914" t="str">
        <f>'refer admin discharge'!B987</f>
        <v>x</v>
      </c>
      <c r="C991" s="914"/>
      <c r="D991" s="889" t="str">
        <f>'refer admin discharge'!D987</f>
        <v>xx</v>
      </c>
      <c r="E991" s="889"/>
      <c r="F991" s="915" t="str">
        <f>'refer admin discharge'!H987</f>
        <v>00/00/0000</v>
      </c>
      <c r="G991" s="890"/>
      <c r="H991" s="916"/>
      <c r="I991" s="916"/>
      <c r="J991" s="917"/>
      <c r="K991" s="917"/>
      <c r="L991" s="916"/>
      <c r="M991" s="916"/>
      <c r="N991" s="893"/>
      <c r="O991" s="893"/>
      <c r="P991" s="916"/>
      <c r="Q991" s="916"/>
      <c r="R991" s="893"/>
      <c r="S991" s="893"/>
      <c r="T991" s="916"/>
      <c r="U991" s="916"/>
      <c r="V991" s="921" t="str">
        <f>'refer admin discharge'!H992</f>
        <v>00/00/0000</v>
      </c>
      <c r="W991" s="922"/>
      <c r="X991" s="912"/>
      <c r="Y991" s="912"/>
      <c r="Z991" s="924"/>
      <c r="AA991" s="924"/>
      <c r="AB991" s="912"/>
      <c r="AC991" s="912"/>
      <c r="AD991" s="913"/>
      <c r="AE991" s="913"/>
      <c r="AF991" s="912"/>
      <c r="AG991" s="912"/>
      <c r="AH991" s="913"/>
      <c r="AI991" s="913"/>
      <c r="AJ991" s="912"/>
      <c r="AK991" s="912"/>
      <c r="AL991" s="925"/>
      <c r="AM991" s="926"/>
      <c r="AN991" s="926"/>
      <c r="AO991" s="926"/>
      <c r="AP991" s="926"/>
      <c r="AQ991" s="926"/>
      <c r="AR991" s="926"/>
      <c r="AS991" s="926"/>
      <c r="AT991" s="926"/>
      <c r="AU991" s="926"/>
      <c r="AV991" s="926"/>
      <c r="AW991" s="926"/>
      <c r="AX991" s="926"/>
      <c r="AY991" s="926"/>
      <c r="AZ991" s="926"/>
      <c r="BA991" s="926"/>
      <c r="BB991" s="927"/>
    </row>
    <row r="992" spans="1:54" x14ac:dyDescent="0.25">
      <c r="A992" s="13">
        <f t="shared" si="15"/>
        <v>979</v>
      </c>
      <c r="B992" s="888" t="str">
        <f>'refer admin discharge'!B988</f>
        <v>x</v>
      </c>
      <c r="C992" s="888"/>
      <c r="D992" s="868" t="str">
        <f>'refer admin discharge'!D988</f>
        <v>xx</v>
      </c>
      <c r="E992" s="868"/>
      <c r="F992" s="891" t="str">
        <f>'refer admin discharge'!H988</f>
        <v>00/00/0000</v>
      </c>
      <c r="G992" s="892"/>
      <c r="H992" s="894"/>
      <c r="I992" s="894"/>
      <c r="J992" s="918"/>
      <c r="K992" s="918"/>
      <c r="L992" s="894"/>
      <c r="M992" s="894"/>
      <c r="N992" s="916"/>
      <c r="O992" s="916"/>
      <c r="P992" s="894"/>
      <c r="Q992" s="894"/>
      <c r="R992" s="916"/>
      <c r="S992" s="916"/>
      <c r="T992" s="894"/>
      <c r="U992" s="894"/>
      <c r="V992" s="921" t="str">
        <f>'refer admin discharge'!H993</f>
        <v>00/00/0000</v>
      </c>
      <c r="W992" s="922"/>
      <c r="X992" s="920"/>
      <c r="Y992" s="920"/>
      <c r="Z992" s="919"/>
      <c r="AA992" s="919"/>
      <c r="AB992" s="920"/>
      <c r="AC992" s="920"/>
      <c r="AD992" s="912"/>
      <c r="AE992" s="912"/>
      <c r="AF992" s="920"/>
      <c r="AG992" s="920"/>
      <c r="AH992" s="912"/>
      <c r="AI992" s="912"/>
      <c r="AJ992" s="920"/>
      <c r="AK992" s="920"/>
      <c r="AL992" s="905"/>
      <c r="AM992" s="906"/>
      <c r="AN992" s="906"/>
      <c r="AO992" s="906"/>
      <c r="AP992" s="906"/>
      <c r="AQ992" s="906"/>
      <c r="AR992" s="906"/>
      <c r="AS992" s="906"/>
      <c r="AT992" s="906"/>
      <c r="AU992" s="906"/>
      <c r="AV992" s="906"/>
      <c r="AW992" s="906"/>
      <c r="AX992" s="906"/>
      <c r="AY992" s="906"/>
      <c r="AZ992" s="906"/>
      <c r="BA992" s="906"/>
      <c r="BB992" s="907"/>
    </row>
    <row r="993" spans="1:54" x14ac:dyDescent="0.25">
      <c r="A993" s="13">
        <f t="shared" si="15"/>
        <v>980</v>
      </c>
      <c r="B993" s="914" t="str">
        <f>'refer admin discharge'!B989</f>
        <v>x</v>
      </c>
      <c r="C993" s="914"/>
      <c r="D993" s="889" t="str">
        <f>'refer admin discharge'!D989</f>
        <v>xx</v>
      </c>
      <c r="E993" s="889"/>
      <c r="F993" s="915" t="str">
        <f>'refer admin discharge'!H989</f>
        <v>00/00/0000</v>
      </c>
      <c r="G993" s="890"/>
      <c r="H993" s="916"/>
      <c r="I993" s="916"/>
      <c r="J993" s="917"/>
      <c r="K993" s="917"/>
      <c r="L993" s="916"/>
      <c r="M993" s="916"/>
      <c r="N993" s="893"/>
      <c r="O993" s="893"/>
      <c r="P993" s="916"/>
      <c r="Q993" s="916"/>
      <c r="R993" s="893"/>
      <c r="S993" s="893"/>
      <c r="T993" s="916"/>
      <c r="U993" s="916"/>
      <c r="V993" s="921" t="str">
        <f>'refer admin discharge'!H994</f>
        <v>00/00/0000</v>
      </c>
      <c r="W993" s="922"/>
      <c r="X993" s="912"/>
      <c r="Y993" s="912"/>
      <c r="Z993" s="924"/>
      <c r="AA993" s="924"/>
      <c r="AB993" s="912"/>
      <c r="AC993" s="912"/>
      <c r="AD993" s="913"/>
      <c r="AE993" s="913"/>
      <c r="AF993" s="912"/>
      <c r="AG993" s="912"/>
      <c r="AH993" s="913"/>
      <c r="AI993" s="913"/>
      <c r="AJ993" s="912"/>
      <c r="AK993" s="912"/>
      <c r="AL993" s="925"/>
      <c r="AM993" s="926"/>
      <c r="AN993" s="926"/>
      <c r="AO993" s="926"/>
      <c r="AP993" s="926"/>
      <c r="AQ993" s="926"/>
      <c r="AR993" s="926"/>
      <c r="AS993" s="926"/>
      <c r="AT993" s="926"/>
      <c r="AU993" s="926"/>
      <c r="AV993" s="926"/>
      <c r="AW993" s="926"/>
      <c r="AX993" s="926"/>
      <c r="AY993" s="926"/>
      <c r="AZ993" s="926"/>
      <c r="BA993" s="926"/>
      <c r="BB993" s="927"/>
    </row>
    <row r="994" spans="1:54" x14ac:dyDescent="0.25">
      <c r="A994" s="13">
        <f t="shared" si="15"/>
        <v>981</v>
      </c>
      <c r="B994" s="888" t="str">
        <f>'refer admin discharge'!B990</f>
        <v>x</v>
      </c>
      <c r="C994" s="888"/>
      <c r="D994" s="868" t="str">
        <f>'refer admin discharge'!D990</f>
        <v>xx</v>
      </c>
      <c r="E994" s="868"/>
      <c r="F994" s="891" t="str">
        <f>'refer admin discharge'!H990</f>
        <v>00/00/0000</v>
      </c>
      <c r="G994" s="892"/>
      <c r="H994" s="894"/>
      <c r="I994" s="894"/>
      <c r="J994" s="918"/>
      <c r="K994" s="918"/>
      <c r="L994" s="894"/>
      <c r="M994" s="894"/>
      <c r="N994" s="916"/>
      <c r="O994" s="916"/>
      <c r="P994" s="894"/>
      <c r="Q994" s="894"/>
      <c r="R994" s="916"/>
      <c r="S994" s="916"/>
      <c r="T994" s="894"/>
      <c r="U994" s="894"/>
      <c r="V994" s="921" t="str">
        <f>'refer admin discharge'!H995</f>
        <v>00/00/0000</v>
      </c>
      <c r="W994" s="922"/>
      <c r="X994" s="920"/>
      <c r="Y994" s="920"/>
      <c r="Z994" s="919"/>
      <c r="AA994" s="919"/>
      <c r="AB994" s="920"/>
      <c r="AC994" s="920"/>
      <c r="AD994" s="912"/>
      <c r="AE994" s="912"/>
      <c r="AF994" s="920"/>
      <c r="AG994" s="920"/>
      <c r="AH994" s="912"/>
      <c r="AI994" s="912"/>
      <c r="AJ994" s="920"/>
      <c r="AK994" s="920"/>
      <c r="AL994" s="905"/>
      <c r="AM994" s="906"/>
      <c r="AN994" s="906"/>
      <c r="AO994" s="906"/>
      <c r="AP994" s="906"/>
      <c r="AQ994" s="906"/>
      <c r="AR994" s="906"/>
      <c r="AS994" s="906"/>
      <c r="AT994" s="906"/>
      <c r="AU994" s="906"/>
      <c r="AV994" s="906"/>
      <c r="AW994" s="906"/>
      <c r="AX994" s="906"/>
      <c r="AY994" s="906"/>
      <c r="AZ994" s="906"/>
      <c r="BA994" s="906"/>
      <c r="BB994" s="907"/>
    </row>
    <row r="995" spans="1:54" x14ac:dyDescent="0.25">
      <c r="A995" s="13">
        <f t="shared" si="15"/>
        <v>982</v>
      </c>
      <c r="B995" s="914" t="str">
        <f>'refer admin discharge'!B991</f>
        <v>x</v>
      </c>
      <c r="C995" s="914"/>
      <c r="D995" s="889" t="str">
        <f>'refer admin discharge'!D991</f>
        <v>xx</v>
      </c>
      <c r="E995" s="889"/>
      <c r="F995" s="915" t="str">
        <f>'refer admin discharge'!H991</f>
        <v>00/00/0000</v>
      </c>
      <c r="G995" s="890"/>
      <c r="H995" s="916"/>
      <c r="I995" s="916"/>
      <c r="J995" s="917"/>
      <c r="K995" s="917"/>
      <c r="L995" s="916"/>
      <c r="M995" s="916"/>
      <c r="N995" s="893"/>
      <c r="O995" s="893"/>
      <c r="P995" s="916"/>
      <c r="Q995" s="916"/>
      <c r="R995" s="893"/>
      <c r="S995" s="893"/>
      <c r="T995" s="916"/>
      <c r="U995" s="916"/>
      <c r="V995" s="921" t="str">
        <f>'refer admin discharge'!H996</f>
        <v>00/00/0000</v>
      </c>
      <c r="W995" s="922"/>
      <c r="X995" s="912"/>
      <c r="Y995" s="912"/>
      <c r="Z995" s="924"/>
      <c r="AA995" s="924"/>
      <c r="AB995" s="912"/>
      <c r="AC995" s="912"/>
      <c r="AD995" s="913"/>
      <c r="AE995" s="913"/>
      <c r="AF995" s="912"/>
      <c r="AG995" s="912"/>
      <c r="AH995" s="913"/>
      <c r="AI995" s="913"/>
      <c r="AJ995" s="912"/>
      <c r="AK995" s="912"/>
      <c r="AL995" s="925"/>
      <c r="AM995" s="926"/>
      <c r="AN995" s="926"/>
      <c r="AO995" s="926"/>
      <c r="AP995" s="926"/>
      <c r="AQ995" s="926"/>
      <c r="AR995" s="926"/>
      <c r="AS995" s="926"/>
      <c r="AT995" s="926"/>
      <c r="AU995" s="926"/>
      <c r="AV995" s="926"/>
      <c r="AW995" s="926"/>
      <c r="AX995" s="926"/>
      <c r="AY995" s="926"/>
      <c r="AZ995" s="926"/>
      <c r="BA995" s="926"/>
      <c r="BB995" s="927"/>
    </row>
    <row r="996" spans="1:54" x14ac:dyDescent="0.25">
      <c r="A996" s="13">
        <f t="shared" si="15"/>
        <v>983</v>
      </c>
      <c r="B996" s="888" t="str">
        <f>'refer admin discharge'!B992</f>
        <v>x</v>
      </c>
      <c r="C996" s="888"/>
      <c r="D996" s="868" t="str">
        <f>'refer admin discharge'!D992</f>
        <v>xx</v>
      </c>
      <c r="E996" s="868"/>
      <c r="F996" s="891" t="str">
        <f>'refer admin discharge'!H992</f>
        <v>00/00/0000</v>
      </c>
      <c r="G996" s="892"/>
      <c r="H996" s="894"/>
      <c r="I996" s="894"/>
      <c r="J996" s="918"/>
      <c r="K996" s="918"/>
      <c r="L996" s="894"/>
      <c r="M996" s="894"/>
      <c r="N996" s="916"/>
      <c r="O996" s="916"/>
      <c r="P996" s="894"/>
      <c r="Q996" s="894"/>
      <c r="R996" s="916"/>
      <c r="S996" s="916"/>
      <c r="T996" s="894"/>
      <c r="U996" s="894"/>
      <c r="V996" s="921" t="str">
        <f>'refer admin discharge'!H997</f>
        <v>00/00/0000</v>
      </c>
      <c r="W996" s="922"/>
      <c r="X996" s="920"/>
      <c r="Y996" s="920"/>
      <c r="Z996" s="919"/>
      <c r="AA996" s="919"/>
      <c r="AB996" s="920"/>
      <c r="AC996" s="920"/>
      <c r="AD996" s="912"/>
      <c r="AE996" s="912"/>
      <c r="AF996" s="920"/>
      <c r="AG996" s="920"/>
      <c r="AH996" s="912"/>
      <c r="AI996" s="912"/>
      <c r="AJ996" s="920"/>
      <c r="AK996" s="920"/>
      <c r="AL996" s="905"/>
      <c r="AM996" s="906"/>
      <c r="AN996" s="906"/>
      <c r="AO996" s="906"/>
      <c r="AP996" s="906"/>
      <c r="AQ996" s="906"/>
      <c r="AR996" s="906"/>
      <c r="AS996" s="906"/>
      <c r="AT996" s="906"/>
      <c r="AU996" s="906"/>
      <c r="AV996" s="906"/>
      <c r="AW996" s="906"/>
      <c r="AX996" s="906"/>
      <c r="AY996" s="906"/>
      <c r="AZ996" s="906"/>
      <c r="BA996" s="906"/>
      <c r="BB996" s="907"/>
    </row>
    <row r="997" spans="1:54" x14ac:dyDescent="0.25">
      <c r="A997" s="13">
        <f t="shared" si="15"/>
        <v>984</v>
      </c>
      <c r="B997" s="914" t="str">
        <f>'refer admin discharge'!B993</f>
        <v>x</v>
      </c>
      <c r="C997" s="914"/>
      <c r="D997" s="889" t="str">
        <f>'refer admin discharge'!D993</f>
        <v>xx</v>
      </c>
      <c r="E997" s="889"/>
      <c r="F997" s="915" t="str">
        <f>'refer admin discharge'!H993</f>
        <v>00/00/0000</v>
      </c>
      <c r="G997" s="890"/>
      <c r="H997" s="916"/>
      <c r="I997" s="916"/>
      <c r="J997" s="917"/>
      <c r="K997" s="917"/>
      <c r="L997" s="916"/>
      <c r="M997" s="916"/>
      <c r="N997" s="893"/>
      <c r="O997" s="893"/>
      <c r="P997" s="916"/>
      <c r="Q997" s="916"/>
      <c r="R997" s="893"/>
      <c r="S997" s="893"/>
      <c r="T997" s="916"/>
      <c r="U997" s="916"/>
      <c r="V997" s="921" t="str">
        <f>'refer admin discharge'!H998</f>
        <v>00/00/0000</v>
      </c>
      <c r="W997" s="922"/>
      <c r="X997" s="912"/>
      <c r="Y997" s="912"/>
      <c r="Z997" s="924"/>
      <c r="AA997" s="924"/>
      <c r="AB997" s="912"/>
      <c r="AC997" s="912"/>
      <c r="AD997" s="913"/>
      <c r="AE997" s="913"/>
      <c r="AF997" s="912"/>
      <c r="AG997" s="912"/>
      <c r="AH997" s="913"/>
      <c r="AI997" s="913"/>
      <c r="AJ997" s="912"/>
      <c r="AK997" s="912"/>
      <c r="AL997" s="925"/>
      <c r="AM997" s="926"/>
      <c r="AN997" s="926"/>
      <c r="AO997" s="926"/>
      <c r="AP997" s="926"/>
      <c r="AQ997" s="926"/>
      <c r="AR997" s="926"/>
      <c r="AS997" s="926"/>
      <c r="AT997" s="926"/>
      <c r="AU997" s="926"/>
      <c r="AV997" s="926"/>
      <c r="AW997" s="926"/>
      <c r="AX997" s="926"/>
      <c r="AY997" s="926"/>
      <c r="AZ997" s="926"/>
      <c r="BA997" s="926"/>
      <c r="BB997" s="927"/>
    </row>
    <row r="998" spans="1:54" x14ac:dyDescent="0.25">
      <c r="A998" s="13">
        <f t="shared" si="15"/>
        <v>985</v>
      </c>
      <c r="B998" s="888" t="str">
        <f>'refer admin discharge'!B994</f>
        <v>x</v>
      </c>
      <c r="C998" s="888"/>
      <c r="D998" s="868" t="str">
        <f>'refer admin discharge'!D994</f>
        <v>xx</v>
      </c>
      <c r="E998" s="868"/>
      <c r="F998" s="891" t="str">
        <f>'refer admin discharge'!H994</f>
        <v>00/00/0000</v>
      </c>
      <c r="G998" s="892"/>
      <c r="H998" s="894"/>
      <c r="I998" s="894"/>
      <c r="J998" s="918"/>
      <c r="K998" s="918"/>
      <c r="L998" s="894"/>
      <c r="M998" s="894"/>
      <c r="N998" s="916"/>
      <c r="O998" s="916"/>
      <c r="P998" s="894"/>
      <c r="Q998" s="894"/>
      <c r="R998" s="916"/>
      <c r="S998" s="916"/>
      <c r="T998" s="894"/>
      <c r="U998" s="894"/>
      <c r="V998" s="921" t="str">
        <f>'refer admin discharge'!H999</f>
        <v>00/00/0000</v>
      </c>
      <c r="W998" s="922"/>
      <c r="X998" s="920"/>
      <c r="Y998" s="920"/>
      <c r="Z998" s="919"/>
      <c r="AA998" s="919"/>
      <c r="AB998" s="920"/>
      <c r="AC998" s="920"/>
      <c r="AD998" s="912"/>
      <c r="AE998" s="912"/>
      <c r="AF998" s="920"/>
      <c r="AG998" s="920"/>
      <c r="AH998" s="912"/>
      <c r="AI998" s="912"/>
      <c r="AJ998" s="920"/>
      <c r="AK998" s="920"/>
      <c r="AL998" s="905"/>
      <c r="AM998" s="906"/>
      <c r="AN998" s="906"/>
      <c r="AO998" s="906"/>
      <c r="AP998" s="906"/>
      <c r="AQ998" s="906"/>
      <c r="AR998" s="906"/>
      <c r="AS998" s="906"/>
      <c r="AT998" s="906"/>
      <c r="AU998" s="906"/>
      <c r="AV998" s="906"/>
      <c r="AW998" s="906"/>
      <c r="AX998" s="906"/>
      <c r="AY998" s="906"/>
      <c r="AZ998" s="906"/>
      <c r="BA998" s="906"/>
      <c r="BB998" s="907"/>
    </row>
    <row r="999" spans="1:54" x14ac:dyDescent="0.25">
      <c r="A999" s="13">
        <f t="shared" si="15"/>
        <v>986</v>
      </c>
      <c r="B999" s="914" t="str">
        <f>'refer admin discharge'!B995</f>
        <v>x</v>
      </c>
      <c r="C999" s="914"/>
      <c r="D999" s="889" t="str">
        <f>'refer admin discharge'!D995</f>
        <v>xx</v>
      </c>
      <c r="E999" s="889"/>
      <c r="F999" s="915" t="str">
        <f>'refer admin discharge'!H995</f>
        <v>00/00/0000</v>
      </c>
      <c r="G999" s="890"/>
      <c r="H999" s="916"/>
      <c r="I999" s="916"/>
      <c r="J999" s="917"/>
      <c r="K999" s="917"/>
      <c r="L999" s="916"/>
      <c r="M999" s="916"/>
      <c r="N999" s="893"/>
      <c r="O999" s="893"/>
      <c r="P999" s="916"/>
      <c r="Q999" s="916"/>
      <c r="R999" s="893"/>
      <c r="S999" s="893"/>
      <c r="T999" s="916"/>
      <c r="U999" s="916"/>
      <c r="V999" s="921" t="str">
        <f>'refer admin discharge'!H1000</f>
        <v>00/00/0000</v>
      </c>
      <c r="W999" s="922"/>
      <c r="X999" s="912"/>
      <c r="Y999" s="912"/>
      <c r="Z999" s="924"/>
      <c r="AA999" s="924"/>
      <c r="AB999" s="912"/>
      <c r="AC999" s="912"/>
      <c r="AD999" s="913"/>
      <c r="AE999" s="913"/>
      <c r="AF999" s="912"/>
      <c r="AG999" s="912"/>
      <c r="AH999" s="913"/>
      <c r="AI999" s="913"/>
      <c r="AJ999" s="912"/>
      <c r="AK999" s="912"/>
      <c r="AL999" s="925"/>
      <c r="AM999" s="926"/>
      <c r="AN999" s="926"/>
      <c r="AO999" s="926"/>
      <c r="AP999" s="926"/>
      <c r="AQ999" s="926"/>
      <c r="AR999" s="926"/>
      <c r="AS999" s="926"/>
      <c r="AT999" s="926"/>
      <c r="AU999" s="926"/>
      <c r="AV999" s="926"/>
      <c r="AW999" s="926"/>
      <c r="AX999" s="926"/>
      <c r="AY999" s="926"/>
      <c r="AZ999" s="926"/>
      <c r="BA999" s="926"/>
      <c r="BB999" s="927"/>
    </row>
    <row r="1000" spans="1:54" x14ac:dyDescent="0.25">
      <c r="A1000" s="13">
        <f t="shared" si="15"/>
        <v>987</v>
      </c>
      <c r="B1000" s="888" t="str">
        <f>'refer admin discharge'!B996</f>
        <v>x</v>
      </c>
      <c r="C1000" s="888"/>
      <c r="D1000" s="868" t="str">
        <f>'refer admin discharge'!D996</f>
        <v>xx</v>
      </c>
      <c r="E1000" s="868"/>
      <c r="F1000" s="891" t="str">
        <f>'refer admin discharge'!H996</f>
        <v>00/00/0000</v>
      </c>
      <c r="G1000" s="892"/>
      <c r="H1000" s="894"/>
      <c r="I1000" s="894"/>
      <c r="J1000" s="918"/>
      <c r="K1000" s="918"/>
      <c r="L1000" s="894"/>
      <c r="M1000" s="894"/>
      <c r="N1000" s="916"/>
      <c r="O1000" s="916"/>
      <c r="P1000" s="894"/>
      <c r="Q1000" s="894"/>
      <c r="R1000" s="916"/>
      <c r="S1000" s="916"/>
      <c r="T1000" s="894"/>
      <c r="U1000" s="894"/>
      <c r="V1000" s="921" t="str">
        <f>'refer admin discharge'!H1001</f>
        <v>00/00/0000</v>
      </c>
      <c r="W1000" s="922"/>
      <c r="X1000" s="920"/>
      <c r="Y1000" s="920"/>
      <c r="Z1000" s="919"/>
      <c r="AA1000" s="919"/>
      <c r="AB1000" s="920"/>
      <c r="AC1000" s="920"/>
      <c r="AD1000" s="912"/>
      <c r="AE1000" s="912"/>
      <c r="AF1000" s="920"/>
      <c r="AG1000" s="920"/>
      <c r="AH1000" s="912"/>
      <c r="AI1000" s="912"/>
      <c r="AJ1000" s="920"/>
      <c r="AK1000" s="920"/>
      <c r="AL1000" s="905"/>
      <c r="AM1000" s="906"/>
      <c r="AN1000" s="906"/>
      <c r="AO1000" s="906"/>
      <c r="AP1000" s="906"/>
      <c r="AQ1000" s="906"/>
      <c r="AR1000" s="906"/>
      <c r="AS1000" s="906"/>
      <c r="AT1000" s="906"/>
      <c r="AU1000" s="906"/>
      <c r="AV1000" s="906"/>
      <c r="AW1000" s="906"/>
      <c r="AX1000" s="906"/>
      <c r="AY1000" s="906"/>
      <c r="AZ1000" s="906"/>
      <c r="BA1000" s="906"/>
      <c r="BB1000" s="907"/>
    </row>
    <row r="1001" spans="1:54" x14ac:dyDescent="0.25">
      <c r="A1001" s="13">
        <f t="shared" si="15"/>
        <v>988</v>
      </c>
      <c r="B1001" s="914" t="str">
        <f>'refer admin discharge'!B997</f>
        <v>x</v>
      </c>
      <c r="C1001" s="914"/>
      <c r="D1001" s="889" t="str">
        <f>'refer admin discharge'!D997</f>
        <v>xx</v>
      </c>
      <c r="E1001" s="889"/>
      <c r="F1001" s="915" t="str">
        <f>'refer admin discharge'!H997</f>
        <v>00/00/0000</v>
      </c>
      <c r="G1001" s="890"/>
      <c r="H1001" s="916"/>
      <c r="I1001" s="916"/>
      <c r="J1001" s="917"/>
      <c r="K1001" s="917"/>
      <c r="L1001" s="916"/>
      <c r="M1001" s="916"/>
      <c r="N1001" s="893"/>
      <c r="O1001" s="893"/>
      <c r="P1001" s="916"/>
      <c r="Q1001" s="916"/>
      <c r="R1001" s="893"/>
      <c r="S1001" s="893"/>
      <c r="T1001" s="916"/>
      <c r="U1001" s="916"/>
      <c r="V1001" s="921" t="str">
        <f>'refer admin discharge'!H1002</f>
        <v>00/00/0000</v>
      </c>
      <c r="W1001" s="922"/>
      <c r="X1001" s="912"/>
      <c r="Y1001" s="912"/>
      <c r="Z1001" s="924"/>
      <c r="AA1001" s="924"/>
      <c r="AB1001" s="912"/>
      <c r="AC1001" s="912"/>
      <c r="AD1001" s="913"/>
      <c r="AE1001" s="913"/>
      <c r="AF1001" s="912"/>
      <c r="AG1001" s="912"/>
      <c r="AH1001" s="913"/>
      <c r="AI1001" s="913"/>
      <c r="AJ1001" s="912"/>
      <c r="AK1001" s="912"/>
      <c r="AL1001" s="925"/>
      <c r="AM1001" s="926"/>
      <c r="AN1001" s="926"/>
      <c r="AO1001" s="926"/>
      <c r="AP1001" s="926"/>
      <c r="AQ1001" s="926"/>
      <c r="AR1001" s="926"/>
      <c r="AS1001" s="926"/>
      <c r="AT1001" s="926"/>
      <c r="AU1001" s="926"/>
      <c r="AV1001" s="926"/>
      <c r="AW1001" s="926"/>
      <c r="AX1001" s="926"/>
      <c r="AY1001" s="926"/>
      <c r="AZ1001" s="926"/>
      <c r="BA1001" s="926"/>
      <c r="BB1001" s="927"/>
    </row>
    <row r="1002" spans="1:54" x14ac:dyDescent="0.25">
      <c r="A1002" s="13">
        <f t="shared" si="15"/>
        <v>989</v>
      </c>
      <c r="B1002" s="888" t="str">
        <f>'refer admin discharge'!B998</f>
        <v>x</v>
      </c>
      <c r="C1002" s="888"/>
      <c r="D1002" s="868" t="str">
        <f>'refer admin discharge'!D998</f>
        <v>xx</v>
      </c>
      <c r="E1002" s="868"/>
      <c r="F1002" s="891" t="str">
        <f>'refer admin discharge'!H998</f>
        <v>00/00/0000</v>
      </c>
      <c r="G1002" s="892"/>
      <c r="H1002" s="894"/>
      <c r="I1002" s="894"/>
      <c r="J1002" s="918"/>
      <c r="K1002" s="918"/>
      <c r="L1002" s="894"/>
      <c r="M1002" s="894"/>
      <c r="N1002" s="916"/>
      <c r="O1002" s="916"/>
      <c r="P1002" s="894"/>
      <c r="Q1002" s="894"/>
      <c r="R1002" s="916"/>
      <c r="S1002" s="916"/>
      <c r="T1002" s="894"/>
      <c r="U1002" s="894"/>
      <c r="V1002" s="921" t="str">
        <f>'refer admin discharge'!H1003</f>
        <v>00/00/0000</v>
      </c>
      <c r="W1002" s="922"/>
      <c r="X1002" s="920"/>
      <c r="Y1002" s="920"/>
      <c r="Z1002" s="919"/>
      <c r="AA1002" s="919"/>
      <c r="AB1002" s="920"/>
      <c r="AC1002" s="920"/>
      <c r="AD1002" s="912"/>
      <c r="AE1002" s="912"/>
      <c r="AF1002" s="920"/>
      <c r="AG1002" s="920"/>
      <c r="AH1002" s="912"/>
      <c r="AI1002" s="912"/>
      <c r="AJ1002" s="920"/>
      <c r="AK1002" s="920"/>
      <c r="AL1002" s="905"/>
      <c r="AM1002" s="906"/>
      <c r="AN1002" s="906"/>
      <c r="AO1002" s="906"/>
      <c r="AP1002" s="906"/>
      <c r="AQ1002" s="906"/>
      <c r="AR1002" s="906"/>
      <c r="AS1002" s="906"/>
      <c r="AT1002" s="906"/>
      <c r="AU1002" s="906"/>
      <c r="AV1002" s="906"/>
      <c r="AW1002" s="906"/>
      <c r="AX1002" s="906"/>
      <c r="AY1002" s="906"/>
      <c r="AZ1002" s="906"/>
      <c r="BA1002" s="906"/>
      <c r="BB1002" s="907"/>
    </row>
    <row r="1003" spans="1:54" x14ac:dyDescent="0.25">
      <c r="A1003" s="13">
        <f t="shared" si="15"/>
        <v>990</v>
      </c>
      <c r="B1003" s="914" t="str">
        <f>'refer admin discharge'!B999</f>
        <v>x</v>
      </c>
      <c r="C1003" s="914"/>
      <c r="D1003" s="889" t="str">
        <f>'refer admin discharge'!D999</f>
        <v>xx</v>
      </c>
      <c r="E1003" s="889"/>
      <c r="F1003" s="915" t="str">
        <f>'refer admin discharge'!H999</f>
        <v>00/00/0000</v>
      </c>
      <c r="G1003" s="890"/>
      <c r="H1003" s="916"/>
      <c r="I1003" s="916"/>
      <c r="J1003" s="917"/>
      <c r="K1003" s="917"/>
      <c r="L1003" s="916"/>
      <c r="M1003" s="916"/>
      <c r="N1003" s="893"/>
      <c r="O1003" s="893"/>
      <c r="P1003" s="916"/>
      <c r="Q1003" s="916"/>
      <c r="R1003" s="893"/>
      <c r="S1003" s="893"/>
      <c r="T1003" s="916"/>
      <c r="U1003" s="916"/>
      <c r="V1003" s="921" t="str">
        <f>'refer admin discharge'!H1004</f>
        <v>00/00/0000</v>
      </c>
      <c r="W1003" s="922"/>
      <c r="X1003" s="912"/>
      <c r="Y1003" s="912"/>
      <c r="Z1003" s="924"/>
      <c r="AA1003" s="924"/>
      <c r="AB1003" s="912"/>
      <c r="AC1003" s="912"/>
      <c r="AD1003" s="913"/>
      <c r="AE1003" s="913"/>
      <c r="AF1003" s="912"/>
      <c r="AG1003" s="912"/>
      <c r="AH1003" s="913"/>
      <c r="AI1003" s="913"/>
      <c r="AJ1003" s="912"/>
      <c r="AK1003" s="912"/>
      <c r="AL1003" s="925"/>
      <c r="AM1003" s="926"/>
      <c r="AN1003" s="926"/>
      <c r="AO1003" s="926"/>
      <c r="AP1003" s="926"/>
      <c r="AQ1003" s="926"/>
      <c r="AR1003" s="926"/>
      <c r="AS1003" s="926"/>
      <c r="AT1003" s="926"/>
      <c r="AU1003" s="926"/>
      <c r="AV1003" s="926"/>
      <c r="AW1003" s="926"/>
      <c r="AX1003" s="926"/>
      <c r="AY1003" s="926"/>
      <c r="AZ1003" s="926"/>
      <c r="BA1003" s="926"/>
      <c r="BB1003" s="927"/>
    </row>
    <row r="1004" spans="1:54" x14ac:dyDescent="0.25">
      <c r="A1004" s="13">
        <f t="shared" si="15"/>
        <v>991</v>
      </c>
      <c r="B1004" s="888" t="str">
        <f>'refer admin discharge'!B1000</f>
        <v>x</v>
      </c>
      <c r="C1004" s="888"/>
      <c r="D1004" s="868" t="str">
        <f>'refer admin discharge'!D1000</f>
        <v>xx</v>
      </c>
      <c r="E1004" s="868"/>
      <c r="F1004" s="891" t="str">
        <f>'refer admin discharge'!H1000</f>
        <v>00/00/0000</v>
      </c>
      <c r="G1004" s="892"/>
      <c r="H1004" s="894"/>
      <c r="I1004" s="894"/>
      <c r="J1004" s="918"/>
      <c r="K1004" s="918"/>
      <c r="L1004" s="894"/>
      <c r="M1004" s="894"/>
      <c r="N1004" s="916"/>
      <c r="O1004" s="916"/>
      <c r="P1004" s="894"/>
      <c r="Q1004" s="894"/>
      <c r="R1004" s="916"/>
      <c r="S1004" s="916"/>
      <c r="T1004" s="894"/>
      <c r="U1004" s="894"/>
      <c r="V1004" s="921" t="str">
        <f>'refer admin discharge'!H1005</f>
        <v>00/00/0000</v>
      </c>
      <c r="W1004" s="922"/>
      <c r="X1004" s="920"/>
      <c r="Y1004" s="920"/>
      <c r="Z1004" s="919"/>
      <c r="AA1004" s="919"/>
      <c r="AB1004" s="920"/>
      <c r="AC1004" s="920"/>
      <c r="AD1004" s="912"/>
      <c r="AE1004" s="912"/>
      <c r="AF1004" s="920"/>
      <c r="AG1004" s="920"/>
      <c r="AH1004" s="912"/>
      <c r="AI1004" s="912"/>
      <c r="AJ1004" s="920"/>
      <c r="AK1004" s="920"/>
      <c r="AL1004" s="905"/>
      <c r="AM1004" s="906"/>
      <c r="AN1004" s="906"/>
      <c r="AO1004" s="906"/>
      <c r="AP1004" s="906"/>
      <c r="AQ1004" s="906"/>
      <c r="AR1004" s="906"/>
      <c r="AS1004" s="906"/>
      <c r="AT1004" s="906"/>
      <c r="AU1004" s="906"/>
      <c r="AV1004" s="906"/>
      <c r="AW1004" s="906"/>
      <c r="AX1004" s="906"/>
      <c r="AY1004" s="906"/>
      <c r="AZ1004" s="906"/>
      <c r="BA1004" s="906"/>
      <c r="BB1004" s="907"/>
    </row>
    <row r="1005" spans="1:54" x14ac:dyDescent="0.25">
      <c r="A1005" s="13">
        <f t="shared" si="15"/>
        <v>992</v>
      </c>
      <c r="B1005" s="914" t="str">
        <f>'refer admin discharge'!B1001</f>
        <v>x</v>
      </c>
      <c r="C1005" s="914"/>
      <c r="D1005" s="889" t="str">
        <f>'refer admin discharge'!D1001</f>
        <v>xx</v>
      </c>
      <c r="E1005" s="889"/>
      <c r="F1005" s="915" t="str">
        <f>'refer admin discharge'!H1001</f>
        <v>00/00/0000</v>
      </c>
      <c r="G1005" s="890"/>
      <c r="H1005" s="916"/>
      <c r="I1005" s="916"/>
      <c r="J1005" s="917"/>
      <c r="K1005" s="917"/>
      <c r="L1005" s="916"/>
      <c r="M1005" s="916"/>
      <c r="N1005" s="893"/>
      <c r="O1005" s="893"/>
      <c r="P1005" s="916"/>
      <c r="Q1005" s="916"/>
      <c r="R1005" s="893"/>
      <c r="S1005" s="893"/>
      <c r="T1005" s="916"/>
      <c r="U1005" s="916"/>
      <c r="V1005" s="921" t="str">
        <f>'refer admin discharge'!H1006</f>
        <v>00/00/0000</v>
      </c>
      <c r="W1005" s="922"/>
      <c r="X1005" s="912"/>
      <c r="Y1005" s="912"/>
      <c r="Z1005" s="924"/>
      <c r="AA1005" s="924"/>
      <c r="AB1005" s="912"/>
      <c r="AC1005" s="912"/>
      <c r="AD1005" s="913"/>
      <c r="AE1005" s="913"/>
      <c r="AF1005" s="912"/>
      <c r="AG1005" s="912"/>
      <c r="AH1005" s="913"/>
      <c r="AI1005" s="913"/>
      <c r="AJ1005" s="912"/>
      <c r="AK1005" s="912"/>
      <c r="AL1005" s="925"/>
      <c r="AM1005" s="926"/>
      <c r="AN1005" s="926"/>
      <c r="AO1005" s="926"/>
      <c r="AP1005" s="926"/>
      <c r="AQ1005" s="926"/>
      <c r="AR1005" s="926"/>
      <c r="AS1005" s="926"/>
      <c r="AT1005" s="926"/>
      <c r="AU1005" s="926"/>
      <c r="AV1005" s="926"/>
      <c r="AW1005" s="926"/>
      <c r="AX1005" s="926"/>
      <c r="AY1005" s="926"/>
      <c r="AZ1005" s="926"/>
      <c r="BA1005" s="926"/>
      <c r="BB1005" s="927"/>
    </row>
    <row r="1006" spans="1:54" x14ac:dyDescent="0.25">
      <c r="A1006" s="13">
        <f t="shared" si="15"/>
        <v>993</v>
      </c>
      <c r="B1006" s="888" t="str">
        <f>'refer admin discharge'!B1002</f>
        <v>x</v>
      </c>
      <c r="C1006" s="888"/>
      <c r="D1006" s="868" t="str">
        <f>'refer admin discharge'!D1002</f>
        <v>xx</v>
      </c>
      <c r="E1006" s="868"/>
      <c r="F1006" s="891" t="str">
        <f>'refer admin discharge'!H1002</f>
        <v>00/00/0000</v>
      </c>
      <c r="G1006" s="892"/>
      <c r="H1006" s="894"/>
      <c r="I1006" s="894"/>
      <c r="J1006" s="918"/>
      <c r="K1006" s="918"/>
      <c r="L1006" s="894"/>
      <c r="M1006" s="894"/>
      <c r="N1006" s="916"/>
      <c r="O1006" s="916"/>
      <c r="P1006" s="894"/>
      <c r="Q1006" s="894"/>
      <c r="R1006" s="916"/>
      <c r="S1006" s="916"/>
      <c r="T1006" s="894"/>
      <c r="U1006" s="894"/>
      <c r="V1006" s="921" t="str">
        <f>'refer admin discharge'!H1007</f>
        <v>00/00/0000</v>
      </c>
      <c r="W1006" s="922"/>
      <c r="X1006" s="920"/>
      <c r="Y1006" s="920"/>
      <c r="Z1006" s="919"/>
      <c r="AA1006" s="919"/>
      <c r="AB1006" s="920"/>
      <c r="AC1006" s="920"/>
      <c r="AD1006" s="912"/>
      <c r="AE1006" s="912"/>
      <c r="AF1006" s="920"/>
      <c r="AG1006" s="920"/>
      <c r="AH1006" s="912"/>
      <c r="AI1006" s="912"/>
      <c r="AJ1006" s="920"/>
      <c r="AK1006" s="920"/>
      <c r="AL1006" s="905"/>
      <c r="AM1006" s="906"/>
      <c r="AN1006" s="906"/>
      <c r="AO1006" s="906"/>
      <c r="AP1006" s="906"/>
      <c r="AQ1006" s="906"/>
      <c r="AR1006" s="906"/>
      <c r="AS1006" s="906"/>
      <c r="AT1006" s="906"/>
      <c r="AU1006" s="906"/>
      <c r="AV1006" s="906"/>
      <c r="AW1006" s="906"/>
      <c r="AX1006" s="906"/>
      <c r="AY1006" s="906"/>
      <c r="AZ1006" s="906"/>
      <c r="BA1006" s="906"/>
      <c r="BB1006" s="907"/>
    </row>
    <row r="1007" spans="1:54" x14ac:dyDescent="0.25">
      <c r="A1007" s="13">
        <f t="shared" si="15"/>
        <v>994</v>
      </c>
      <c r="B1007" s="914" t="str">
        <f>'refer admin discharge'!B1003</f>
        <v>x</v>
      </c>
      <c r="C1007" s="914"/>
      <c r="D1007" s="889" t="str">
        <f>'refer admin discharge'!D1003</f>
        <v>xx</v>
      </c>
      <c r="E1007" s="889"/>
      <c r="F1007" s="915" t="str">
        <f>'refer admin discharge'!H1003</f>
        <v>00/00/0000</v>
      </c>
      <c r="G1007" s="890"/>
      <c r="H1007" s="916"/>
      <c r="I1007" s="916"/>
      <c r="J1007" s="917"/>
      <c r="K1007" s="917"/>
      <c r="L1007" s="916"/>
      <c r="M1007" s="916"/>
      <c r="N1007" s="893"/>
      <c r="O1007" s="893"/>
      <c r="P1007" s="916"/>
      <c r="Q1007" s="916"/>
      <c r="R1007" s="893"/>
      <c r="S1007" s="893"/>
      <c r="T1007" s="916"/>
      <c r="U1007" s="916"/>
      <c r="V1007" s="921" t="str">
        <f>'refer admin discharge'!H1008</f>
        <v>00/00/0000</v>
      </c>
      <c r="W1007" s="922"/>
      <c r="X1007" s="912"/>
      <c r="Y1007" s="912"/>
      <c r="Z1007" s="924"/>
      <c r="AA1007" s="924"/>
      <c r="AB1007" s="912"/>
      <c r="AC1007" s="912"/>
      <c r="AD1007" s="913"/>
      <c r="AE1007" s="913"/>
      <c r="AF1007" s="912"/>
      <c r="AG1007" s="912"/>
      <c r="AH1007" s="913"/>
      <c r="AI1007" s="913"/>
      <c r="AJ1007" s="912"/>
      <c r="AK1007" s="912"/>
      <c r="AL1007" s="925"/>
      <c r="AM1007" s="926"/>
      <c r="AN1007" s="926"/>
      <c r="AO1007" s="926"/>
      <c r="AP1007" s="926"/>
      <c r="AQ1007" s="926"/>
      <c r="AR1007" s="926"/>
      <c r="AS1007" s="926"/>
      <c r="AT1007" s="926"/>
      <c r="AU1007" s="926"/>
      <c r="AV1007" s="926"/>
      <c r="AW1007" s="926"/>
      <c r="AX1007" s="926"/>
      <c r="AY1007" s="926"/>
      <c r="AZ1007" s="926"/>
      <c r="BA1007" s="926"/>
      <c r="BB1007" s="927"/>
    </row>
    <row r="1008" spans="1:54" x14ac:dyDescent="0.25">
      <c r="A1008" s="13">
        <f t="shared" si="15"/>
        <v>995</v>
      </c>
      <c r="B1008" s="888" t="str">
        <f>'refer admin discharge'!B1004</f>
        <v>x</v>
      </c>
      <c r="C1008" s="888"/>
      <c r="D1008" s="868" t="str">
        <f>'refer admin discharge'!D1004</f>
        <v>xx</v>
      </c>
      <c r="E1008" s="868"/>
      <c r="F1008" s="891" t="str">
        <f>'refer admin discharge'!H1004</f>
        <v>00/00/0000</v>
      </c>
      <c r="G1008" s="892"/>
      <c r="H1008" s="894"/>
      <c r="I1008" s="894"/>
      <c r="J1008" s="918"/>
      <c r="K1008" s="918"/>
      <c r="L1008" s="894"/>
      <c r="M1008" s="894"/>
      <c r="N1008" s="916"/>
      <c r="O1008" s="916"/>
      <c r="P1008" s="894"/>
      <c r="Q1008" s="894"/>
      <c r="R1008" s="916"/>
      <c r="S1008" s="916"/>
      <c r="T1008" s="894"/>
      <c r="U1008" s="894"/>
      <c r="V1008" s="921" t="str">
        <f>'refer admin discharge'!H1009</f>
        <v>00/00/0000</v>
      </c>
      <c r="W1008" s="922"/>
      <c r="X1008" s="920"/>
      <c r="Y1008" s="920"/>
      <c r="Z1008" s="919"/>
      <c r="AA1008" s="919"/>
      <c r="AB1008" s="920"/>
      <c r="AC1008" s="920"/>
      <c r="AD1008" s="912"/>
      <c r="AE1008" s="912"/>
      <c r="AF1008" s="920"/>
      <c r="AG1008" s="920"/>
      <c r="AH1008" s="912"/>
      <c r="AI1008" s="912"/>
      <c r="AJ1008" s="920"/>
      <c r="AK1008" s="920"/>
      <c r="AL1008" s="905"/>
      <c r="AM1008" s="906"/>
      <c r="AN1008" s="906"/>
      <c r="AO1008" s="906"/>
      <c r="AP1008" s="906"/>
      <c r="AQ1008" s="906"/>
      <c r="AR1008" s="906"/>
      <c r="AS1008" s="906"/>
      <c r="AT1008" s="906"/>
      <c r="AU1008" s="906"/>
      <c r="AV1008" s="906"/>
      <c r="AW1008" s="906"/>
      <c r="AX1008" s="906"/>
      <c r="AY1008" s="906"/>
      <c r="AZ1008" s="906"/>
      <c r="BA1008" s="906"/>
      <c r="BB1008" s="907"/>
    </row>
    <row r="1009" spans="1:54" x14ac:dyDescent="0.25">
      <c r="A1009" s="13">
        <f t="shared" si="15"/>
        <v>996</v>
      </c>
      <c r="B1009" s="914" t="str">
        <f>'refer admin discharge'!B1005</f>
        <v>x</v>
      </c>
      <c r="C1009" s="914"/>
      <c r="D1009" s="889" t="str">
        <f>'refer admin discharge'!D1005</f>
        <v>xx</v>
      </c>
      <c r="E1009" s="889"/>
      <c r="F1009" s="915" t="str">
        <f>'refer admin discharge'!H1005</f>
        <v>00/00/0000</v>
      </c>
      <c r="G1009" s="890"/>
      <c r="H1009" s="916"/>
      <c r="I1009" s="916"/>
      <c r="J1009" s="917"/>
      <c r="K1009" s="917"/>
      <c r="L1009" s="916"/>
      <c r="M1009" s="916"/>
      <c r="N1009" s="893"/>
      <c r="O1009" s="893"/>
      <c r="P1009" s="916"/>
      <c r="Q1009" s="916"/>
      <c r="R1009" s="893"/>
      <c r="S1009" s="893"/>
      <c r="T1009" s="916"/>
      <c r="U1009" s="916"/>
      <c r="V1009" s="921" t="str">
        <f>'refer admin discharge'!H1010</f>
        <v>00/00/0000</v>
      </c>
      <c r="W1009" s="922"/>
      <c r="X1009" s="912"/>
      <c r="Y1009" s="912"/>
      <c r="Z1009" s="924"/>
      <c r="AA1009" s="924"/>
      <c r="AB1009" s="912"/>
      <c r="AC1009" s="912"/>
      <c r="AD1009" s="913"/>
      <c r="AE1009" s="913"/>
      <c r="AF1009" s="912"/>
      <c r="AG1009" s="912"/>
      <c r="AH1009" s="913"/>
      <c r="AI1009" s="913"/>
      <c r="AJ1009" s="912"/>
      <c r="AK1009" s="912"/>
      <c r="AL1009" s="925"/>
      <c r="AM1009" s="926"/>
      <c r="AN1009" s="926"/>
      <c r="AO1009" s="926"/>
      <c r="AP1009" s="926"/>
      <c r="AQ1009" s="926"/>
      <c r="AR1009" s="926"/>
      <c r="AS1009" s="926"/>
      <c r="AT1009" s="926"/>
      <c r="AU1009" s="926"/>
      <c r="AV1009" s="926"/>
      <c r="AW1009" s="926"/>
      <c r="AX1009" s="926"/>
      <c r="AY1009" s="926"/>
      <c r="AZ1009" s="926"/>
      <c r="BA1009" s="926"/>
      <c r="BB1009" s="927"/>
    </row>
    <row r="1010" spans="1:54" x14ac:dyDescent="0.25">
      <c r="A1010" s="13">
        <f t="shared" si="15"/>
        <v>997</v>
      </c>
      <c r="B1010" s="888" t="str">
        <f>'refer admin discharge'!B1006</f>
        <v>x</v>
      </c>
      <c r="C1010" s="888"/>
      <c r="D1010" s="868" t="str">
        <f>'refer admin discharge'!D1006</f>
        <v>xx</v>
      </c>
      <c r="E1010" s="868"/>
      <c r="F1010" s="891" t="str">
        <f>'refer admin discharge'!H1006</f>
        <v>00/00/0000</v>
      </c>
      <c r="G1010" s="892"/>
      <c r="H1010" s="894"/>
      <c r="I1010" s="894"/>
      <c r="J1010" s="918"/>
      <c r="K1010" s="918"/>
      <c r="L1010" s="894"/>
      <c r="M1010" s="894"/>
      <c r="N1010" s="916"/>
      <c r="O1010" s="916"/>
      <c r="P1010" s="894"/>
      <c r="Q1010" s="894"/>
      <c r="R1010" s="916"/>
      <c r="S1010" s="916"/>
      <c r="T1010" s="894"/>
      <c r="U1010" s="894"/>
      <c r="V1010" s="921" t="str">
        <f>'refer admin discharge'!H1011</f>
        <v>00/00/0000</v>
      </c>
      <c r="W1010" s="922"/>
      <c r="X1010" s="920"/>
      <c r="Y1010" s="920"/>
      <c r="Z1010" s="919"/>
      <c r="AA1010" s="919"/>
      <c r="AB1010" s="920"/>
      <c r="AC1010" s="920"/>
      <c r="AD1010" s="912"/>
      <c r="AE1010" s="912"/>
      <c r="AF1010" s="920"/>
      <c r="AG1010" s="920"/>
      <c r="AH1010" s="912"/>
      <c r="AI1010" s="912"/>
      <c r="AJ1010" s="920"/>
      <c r="AK1010" s="920"/>
      <c r="AL1010" s="905"/>
      <c r="AM1010" s="906"/>
      <c r="AN1010" s="906"/>
      <c r="AO1010" s="906"/>
      <c r="AP1010" s="906"/>
      <c r="AQ1010" s="906"/>
      <c r="AR1010" s="906"/>
      <c r="AS1010" s="906"/>
      <c r="AT1010" s="906"/>
      <c r="AU1010" s="906"/>
      <c r="AV1010" s="906"/>
      <c r="AW1010" s="906"/>
      <c r="AX1010" s="906"/>
      <c r="AY1010" s="906"/>
      <c r="AZ1010" s="906"/>
      <c r="BA1010" s="906"/>
      <c r="BB1010" s="907"/>
    </row>
    <row r="1011" spans="1:54" x14ac:dyDescent="0.25">
      <c r="A1011" s="13">
        <f t="shared" si="15"/>
        <v>998</v>
      </c>
      <c r="B1011" s="914" t="str">
        <f>'refer admin discharge'!B1007</f>
        <v>x</v>
      </c>
      <c r="C1011" s="914"/>
      <c r="D1011" s="889" t="str">
        <f>'refer admin discharge'!D1007</f>
        <v>xx</v>
      </c>
      <c r="E1011" s="889"/>
      <c r="F1011" s="915" t="str">
        <f>'refer admin discharge'!H1007</f>
        <v>00/00/0000</v>
      </c>
      <c r="G1011" s="890"/>
      <c r="H1011" s="916"/>
      <c r="I1011" s="916"/>
      <c r="J1011" s="917"/>
      <c r="K1011" s="917"/>
      <c r="L1011" s="916"/>
      <c r="M1011" s="916"/>
      <c r="N1011" s="893"/>
      <c r="O1011" s="893"/>
      <c r="P1011" s="916"/>
      <c r="Q1011" s="916"/>
      <c r="R1011" s="893"/>
      <c r="S1011" s="893"/>
      <c r="T1011" s="916"/>
      <c r="U1011" s="916"/>
      <c r="V1011" s="921" t="str">
        <f>'refer admin discharge'!H1012</f>
        <v>00/00/0000</v>
      </c>
      <c r="W1011" s="922"/>
      <c r="X1011" s="912"/>
      <c r="Y1011" s="912"/>
      <c r="Z1011" s="924"/>
      <c r="AA1011" s="924"/>
      <c r="AB1011" s="912"/>
      <c r="AC1011" s="912"/>
      <c r="AD1011" s="913"/>
      <c r="AE1011" s="913"/>
      <c r="AF1011" s="912"/>
      <c r="AG1011" s="912"/>
      <c r="AH1011" s="913"/>
      <c r="AI1011" s="913"/>
      <c r="AJ1011" s="912"/>
      <c r="AK1011" s="912"/>
      <c r="AL1011" s="925"/>
      <c r="AM1011" s="926"/>
      <c r="AN1011" s="926"/>
      <c r="AO1011" s="926"/>
      <c r="AP1011" s="926"/>
      <c r="AQ1011" s="926"/>
      <c r="AR1011" s="926"/>
      <c r="AS1011" s="926"/>
      <c r="AT1011" s="926"/>
      <c r="AU1011" s="926"/>
      <c r="AV1011" s="926"/>
      <c r="AW1011" s="926"/>
      <c r="AX1011" s="926"/>
      <c r="AY1011" s="926"/>
      <c r="AZ1011" s="926"/>
      <c r="BA1011" s="926"/>
      <c r="BB1011" s="927"/>
    </row>
    <row r="1012" spans="1:54" x14ac:dyDescent="0.25">
      <c r="A1012" s="13">
        <f t="shared" si="15"/>
        <v>999</v>
      </c>
      <c r="B1012" s="888" t="str">
        <f>'refer admin discharge'!B1008</f>
        <v>x</v>
      </c>
      <c r="C1012" s="888"/>
      <c r="D1012" s="868" t="str">
        <f>'refer admin discharge'!D1008</f>
        <v>xx</v>
      </c>
      <c r="E1012" s="868"/>
      <c r="F1012" s="891" t="str">
        <f>'refer admin discharge'!H1008</f>
        <v>00/00/0000</v>
      </c>
      <c r="G1012" s="892"/>
      <c r="H1012" s="894"/>
      <c r="I1012" s="894"/>
      <c r="J1012" s="918"/>
      <c r="K1012" s="918"/>
      <c r="L1012" s="894"/>
      <c r="M1012" s="894"/>
      <c r="N1012" s="916"/>
      <c r="O1012" s="916"/>
      <c r="P1012" s="894"/>
      <c r="Q1012" s="894"/>
      <c r="R1012" s="916"/>
      <c r="S1012" s="916"/>
      <c r="T1012" s="894"/>
      <c r="U1012" s="894"/>
      <c r="V1012" s="921" t="str">
        <f>'refer admin discharge'!H1013</f>
        <v>00/00/0000</v>
      </c>
      <c r="W1012" s="922"/>
      <c r="X1012" s="920"/>
      <c r="Y1012" s="920"/>
      <c r="Z1012" s="919"/>
      <c r="AA1012" s="919"/>
      <c r="AB1012" s="920"/>
      <c r="AC1012" s="920"/>
      <c r="AD1012" s="912"/>
      <c r="AE1012" s="912"/>
      <c r="AF1012" s="920"/>
      <c r="AG1012" s="920"/>
      <c r="AH1012" s="912"/>
      <c r="AI1012" s="912"/>
      <c r="AJ1012" s="920"/>
      <c r="AK1012" s="920"/>
      <c r="AL1012" s="905"/>
      <c r="AM1012" s="906"/>
      <c r="AN1012" s="906"/>
      <c r="AO1012" s="906"/>
      <c r="AP1012" s="906"/>
      <c r="AQ1012" s="906"/>
      <c r="AR1012" s="906"/>
      <c r="AS1012" s="906"/>
      <c r="AT1012" s="906"/>
      <c r="AU1012" s="906"/>
      <c r="AV1012" s="906"/>
      <c r="AW1012" s="906"/>
      <c r="AX1012" s="906"/>
      <c r="AY1012" s="906"/>
      <c r="AZ1012" s="906"/>
      <c r="BA1012" s="906"/>
      <c r="BB1012" s="907"/>
    </row>
    <row r="1013" spans="1:54" x14ac:dyDescent="0.25">
      <c r="A1013" s="13">
        <f t="shared" si="15"/>
        <v>1000</v>
      </c>
      <c r="B1013" s="914" t="str">
        <f>'refer admin discharge'!B1009</f>
        <v>x</v>
      </c>
      <c r="C1013" s="914"/>
      <c r="D1013" s="889" t="str">
        <f>'refer admin discharge'!D1009</f>
        <v>xx</v>
      </c>
      <c r="E1013" s="889"/>
      <c r="F1013" s="915" t="str">
        <f>'refer admin discharge'!H1009</f>
        <v>00/00/0000</v>
      </c>
      <c r="G1013" s="890"/>
      <c r="H1013" s="916"/>
      <c r="I1013" s="916"/>
      <c r="J1013" s="917"/>
      <c r="K1013" s="917"/>
      <c r="L1013" s="916"/>
      <c r="M1013" s="916"/>
      <c r="N1013" s="893"/>
      <c r="O1013" s="893"/>
      <c r="P1013" s="916"/>
      <c r="Q1013" s="916"/>
      <c r="R1013" s="893"/>
      <c r="S1013" s="893"/>
      <c r="T1013" s="916"/>
      <c r="U1013" s="916"/>
      <c r="V1013" s="921" t="str">
        <f>'refer admin discharge'!H1014</f>
        <v>00/00/0000</v>
      </c>
      <c r="W1013" s="922"/>
      <c r="X1013" s="912"/>
      <c r="Y1013" s="912"/>
      <c r="Z1013" s="924"/>
      <c r="AA1013" s="924"/>
      <c r="AB1013" s="912"/>
      <c r="AC1013" s="912"/>
      <c r="AD1013" s="913"/>
      <c r="AE1013" s="913"/>
      <c r="AF1013" s="912"/>
      <c r="AG1013" s="912"/>
      <c r="AH1013" s="913"/>
      <c r="AI1013" s="913"/>
      <c r="AJ1013" s="912"/>
      <c r="AK1013" s="912"/>
      <c r="AL1013" s="925"/>
      <c r="AM1013" s="926"/>
      <c r="AN1013" s="926"/>
      <c r="AO1013" s="926"/>
      <c r="AP1013" s="926"/>
      <c r="AQ1013" s="926"/>
      <c r="AR1013" s="926"/>
      <c r="AS1013" s="926"/>
      <c r="AT1013" s="926"/>
      <c r="AU1013" s="926"/>
      <c r="AV1013" s="926"/>
      <c r="AW1013" s="926"/>
      <c r="AX1013" s="926"/>
      <c r="AY1013" s="926"/>
      <c r="AZ1013" s="926"/>
      <c r="BA1013" s="926"/>
      <c r="BB1013" s="927"/>
    </row>
    <row r="1014" spans="1:54" x14ac:dyDescent="0.25">
      <c r="A1014" s="13">
        <f t="shared" si="15"/>
        <v>1001</v>
      </c>
      <c r="B1014" s="888" t="str">
        <f>'refer admin discharge'!B1010</f>
        <v>x</v>
      </c>
      <c r="C1014" s="888"/>
      <c r="D1014" s="868" t="str">
        <f>'refer admin discharge'!D1010</f>
        <v>xx</v>
      </c>
      <c r="E1014" s="868"/>
      <c r="F1014" s="891" t="str">
        <f>'refer admin discharge'!H1010</f>
        <v>00/00/0000</v>
      </c>
      <c r="G1014" s="892"/>
      <c r="H1014" s="894"/>
      <c r="I1014" s="894"/>
      <c r="J1014" s="918"/>
      <c r="K1014" s="918"/>
      <c r="L1014" s="894"/>
      <c r="M1014" s="894"/>
      <c r="N1014" s="916"/>
      <c r="O1014" s="916"/>
      <c r="P1014" s="894"/>
      <c r="Q1014" s="894"/>
      <c r="R1014" s="916"/>
      <c r="S1014" s="916"/>
      <c r="T1014" s="894"/>
      <c r="U1014" s="894"/>
      <c r="V1014" s="921" t="str">
        <f>'refer admin discharge'!H1015</f>
        <v>00/00/0000</v>
      </c>
      <c r="W1014" s="922"/>
      <c r="X1014" s="920"/>
      <c r="Y1014" s="920"/>
      <c r="Z1014" s="919"/>
      <c r="AA1014" s="919"/>
      <c r="AB1014" s="920"/>
      <c r="AC1014" s="920"/>
      <c r="AD1014" s="912"/>
      <c r="AE1014" s="912"/>
      <c r="AF1014" s="920"/>
      <c r="AG1014" s="920"/>
      <c r="AH1014" s="912"/>
      <c r="AI1014" s="912"/>
      <c r="AJ1014" s="920"/>
      <c r="AK1014" s="920"/>
      <c r="AL1014" s="905"/>
      <c r="AM1014" s="906"/>
      <c r="AN1014" s="906"/>
      <c r="AO1014" s="906"/>
      <c r="AP1014" s="906"/>
      <c r="AQ1014" s="906"/>
      <c r="AR1014" s="906"/>
      <c r="AS1014" s="906"/>
      <c r="AT1014" s="906"/>
      <c r="AU1014" s="906"/>
      <c r="AV1014" s="906"/>
      <c r="AW1014" s="906"/>
      <c r="AX1014" s="906"/>
      <c r="AY1014" s="906"/>
      <c r="AZ1014" s="906"/>
      <c r="BA1014" s="906"/>
      <c r="BB1014" s="907"/>
    </row>
    <row r="1015" spans="1:54" x14ac:dyDescent="0.25">
      <c r="A1015" s="13">
        <f t="shared" si="15"/>
        <v>1002</v>
      </c>
      <c r="B1015" s="914" t="str">
        <f>'refer admin discharge'!B1011</f>
        <v>x</v>
      </c>
      <c r="C1015" s="914"/>
      <c r="D1015" s="889" t="str">
        <f>'refer admin discharge'!D1011</f>
        <v>xx</v>
      </c>
      <c r="E1015" s="889"/>
      <c r="F1015" s="915" t="str">
        <f>'refer admin discharge'!H1011</f>
        <v>00/00/0000</v>
      </c>
      <c r="G1015" s="890"/>
      <c r="H1015" s="916"/>
      <c r="I1015" s="916"/>
      <c r="J1015" s="917"/>
      <c r="K1015" s="917"/>
      <c r="L1015" s="916"/>
      <c r="M1015" s="916"/>
      <c r="N1015" s="893"/>
      <c r="O1015" s="893"/>
      <c r="P1015" s="916"/>
      <c r="Q1015" s="916"/>
      <c r="R1015" s="893"/>
      <c r="S1015" s="893"/>
      <c r="T1015" s="916"/>
      <c r="U1015" s="916"/>
      <c r="V1015" s="921" t="str">
        <f>'refer admin discharge'!H1016</f>
        <v>00/00/0000</v>
      </c>
      <c r="W1015" s="922"/>
      <c r="X1015" s="912"/>
      <c r="Y1015" s="912"/>
      <c r="Z1015" s="924"/>
      <c r="AA1015" s="924"/>
      <c r="AB1015" s="912"/>
      <c r="AC1015" s="912"/>
      <c r="AD1015" s="913"/>
      <c r="AE1015" s="913"/>
      <c r="AF1015" s="912"/>
      <c r="AG1015" s="912"/>
      <c r="AH1015" s="913"/>
      <c r="AI1015" s="913"/>
      <c r="AJ1015" s="912"/>
      <c r="AK1015" s="912"/>
      <c r="AL1015" s="925"/>
      <c r="AM1015" s="926"/>
      <c r="AN1015" s="926"/>
      <c r="AO1015" s="926"/>
      <c r="AP1015" s="926"/>
      <c r="AQ1015" s="926"/>
      <c r="AR1015" s="926"/>
      <c r="AS1015" s="926"/>
      <c r="AT1015" s="926"/>
      <c r="AU1015" s="926"/>
      <c r="AV1015" s="926"/>
      <c r="AW1015" s="926"/>
      <c r="AX1015" s="926"/>
      <c r="AY1015" s="926"/>
      <c r="AZ1015" s="926"/>
      <c r="BA1015" s="926"/>
      <c r="BB1015" s="927"/>
    </row>
    <row r="1016" spans="1:54" x14ac:dyDescent="0.25">
      <c r="A1016" s="13">
        <f t="shared" si="15"/>
        <v>1003</v>
      </c>
      <c r="B1016" s="888" t="str">
        <f>'refer admin discharge'!B1012</f>
        <v>x</v>
      </c>
      <c r="C1016" s="888"/>
      <c r="D1016" s="868" t="str">
        <f>'refer admin discharge'!D1012</f>
        <v>xx</v>
      </c>
      <c r="E1016" s="868"/>
      <c r="F1016" s="891" t="str">
        <f>'refer admin discharge'!H1012</f>
        <v>00/00/0000</v>
      </c>
      <c r="G1016" s="892"/>
      <c r="H1016" s="894"/>
      <c r="I1016" s="894"/>
      <c r="J1016" s="918"/>
      <c r="K1016" s="918"/>
      <c r="L1016" s="894"/>
      <c r="M1016" s="894"/>
      <c r="N1016" s="916"/>
      <c r="O1016" s="916"/>
      <c r="P1016" s="894"/>
      <c r="Q1016" s="894"/>
      <c r="R1016" s="916"/>
      <c r="S1016" s="916"/>
      <c r="T1016" s="894"/>
      <c r="U1016" s="894"/>
      <c r="V1016" s="921" t="str">
        <f>'refer admin discharge'!H1017</f>
        <v>00/00/0000</v>
      </c>
      <c r="W1016" s="922"/>
      <c r="X1016" s="920"/>
      <c r="Y1016" s="920"/>
      <c r="Z1016" s="919"/>
      <c r="AA1016" s="919"/>
      <c r="AB1016" s="920"/>
      <c r="AC1016" s="920"/>
      <c r="AD1016" s="912"/>
      <c r="AE1016" s="912"/>
      <c r="AF1016" s="920"/>
      <c r="AG1016" s="920"/>
      <c r="AH1016" s="912"/>
      <c r="AI1016" s="912"/>
      <c r="AJ1016" s="920"/>
      <c r="AK1016" s="920"/>
      <c r="AL1016" s="905"/>
      <c r="AM1016" s="906"/>
      <c r="AN1016" s="906"/>
      <c r="AO1016" s="906"/>
      <c r="AP1016" s="906"/>
      <c r="AQ1016" s="906"/>
      <c r="AR1016" s="906"/>
      <c r="AS1016" s="906"/>
      <c r="AT1016" s="906"/>
      <c r="AU1016" s="906"/>
      <c r="AV1016" s="906"/>
      <c r="AW1016" s="906"/>
      <c r="AX1016" s="906"/>
      <c r="AY1016" s="906"/>
      <c r="AZ1016" s="906"/>
      <c r="BA1016" s="906"/>
      <c r="BB1016" s="907"/>
    </row>
    <row r="1017" spans="1:54" x14ac:dyDescent="0.25">
      <c r="A1017" s="13">
        <f t="shared" si="15"/>
        <v>1004</v>
      </c>
      <c r="B1017" s="914" t="str">
        <f>'refer admin discharge'!B1013</f>
        <v>x</v>
      </c>
      <c r="C1017" s="914"/>
      <c r="D1017" s="889" t="str">
        <f>'refer admin discharge'!D1013</f>
        <v>xx</v>
      </c>
      <c r="E1017" s="889"/>
      <c r="F1017" s="915" t="str">
        <f>'refer admin discharge'!H1013</f>
        <v>00/00/0000</v>
      </c>
      <c r="G1017" s="890"/>
      <c r="H1017" s="916"/>
      <c r="I1017" s="916"/>
      <c r="J1017" s="917"/>
      <c r="K1017" s="917"/>
      <c r="L1017" s="916"/>
      <c r="M1017" s="916"/>
      <c r="N1017" s="893"/>
      <c r="O1017" s="893"/>
      <c r="P1017" s="916"/>
      <c r="Q1017" s="916"/>
      <c r="R1017" s="893"/>
      <c r="S1017" s="893"/>
      <c r="T1017" s="916"/>
      <c r="U1017" s="916"/>
      <c r="V1017" s="921" t="str">
        <f>'refer admin discharge'!H1018</f>
        <v>00/00/0000</v>
      </c>
      <c r="W1017" s="922"/>
      <c r="X1017" s="912"/>
      <c r="Y1017" s="912"/>
      <c r="Z1017" s="924"/>
      <c r="AA1017" s="924"/>
      <c r="AB1017" s="912"/>
      <c r="AC1017" s="912"/>
      <c r="AD1017" s="913"/>
      <c r="AE1017" s="913"/>
      <c r="AF1017" s="912"/>
      <c r="AG1017" s="912"/>
      <c r="AH1017" s="913"/>
      <c r="AI1017" s="913"/>
      <c r="AJ1017" s="912"/>
      <c r="AK1017" s="912"/>
      <c r="AL1017" s="925"/>
      <c r="AM1017" s="926"/>
      <c r="AN1017" s="926"/>
      <c r="AO1017" s="926"/>
      <c r="AP1017" s="926"/>
      <c r="AQ1017" s="926"/>
      <c r="AR1017" s="926"/>
      <c r="AS1017" s="926"/>
      <c r="AT1017" s="926"/>
      <c r="AU1017" s="926"/>
      <c r="AV1017" s="926"/>
      <c r="AW1017" s="926"/>
      <c r="AX1017" s="926"/>
      <c r="AY1017" s="926"/>
      <c r="AZ1017" s="926"/>
      <c r="BA1017" s="926"/>
      <c r="BB1017" s="927"/>
    </row>
    <row r="1018" spans="1:54" x14ac:dyDescent="0.25">
      <c r="A1018" s="13">
        <f t="shared" si="15"/>
        <v>1005</v>
      </c>
      <c r="B1018" s="888" t="str">
        <f>'refer admin discharge'!B1014</f>
        <v>x</v>
      </c>
      <c r="C1018" s="888"/>
      <c r="D1018" s="868" t="str">
        <f>'refer admin discharge'!D1014</f>
        <v>xx</v>
      </c>
      <c r="E1018" s="868"/>
      <c r="F1018" s="891" t="str">
        <f>'refer admin discharge'!H1014</f>
        <v>00/00/0000</v>
      </c>
      <c r="G1018" s="892"/>
      <c r="H1018" s="894"/>
      <c r="I1018" s="894"/>
      <c r="J1018" s="918"/>
      <c r="K1018" s="918"/>
      <c r="L1018" s="894"/>
      <c r="M1018" s="894"/>
      <c r="N1018" s="916"/>
      <c r="O1018" s="916"/>
      <c r="P1018" s="894"/>
      <c r="Q1018" s="894"/>
      <c r="R1018" s="916"/>
      <c r="S1018" s="916"/>
      <c r="T1018" s="894"/>
      <c r="U1018" s="894"/>
      <c r="V1018" s="921" t="str">
        <f>'refer admin discharge'!H1019</f>
        <v>00/00/0000</v>
      </c>
      <c r="W1018" s="922"/>
      <c r="X1018" s="920"/>
      <c r="Y1018" s="920"/>
      <c r="Z1018" s="919"/>
      <c r="AA1018" s="919"/>
      <c r="AB1018" s="920"/>
      <c r="AC1018" s="920"/>
      <c r="AD1018" s="912"/>
      <c r="AE1018" s="912"/>
      <c r="AF1018" s="920"/>
      <c r="AG1018" s="920"/>
      <c r="AH1018" s="912"/>
      <c r="AI1018" s="912"/>
      <c r="AJ1018" s="920"/>
      <c r="AK1018" s="920"/>
      <c r="AL1018" s="905"/>
      <c r="AM1018" s="906"/>
      <c r="AN1018" s="906"/>
      <c r="AO1018" s="906"/>
      <c r="AP1018" s="906"/>
      <c r="AQ1018" s="906"/>
      <c r="AR1018" s="906"/>
      <c r="AS1018" s="906"/>
      <c r="AT1018" s="906"/>
      <c r="AU1018" s="906"/>
      <c r="AV1018" s="906"/>
      <c r="AW1018" s="906"/>
      <c r="AX1018" s="906"/>
      <c r="AY1018" s="906"/>
      <c r="AZ1018" s="906"/>
      <c r="BA1018" s="906"/>
      <c r="BB1018" s="907"/>
    </row>
    <row r="1019" spans="1:54" x14ac:dyDescent="0.25">
      <c r="A1019" s="13">
        <f t="shared" si="15"/>
        <v>1006</v>
      </c>
      <c r="B1019" s="914" t="str">
        <f>'refer admin discharge'!B1015</f>
        <v>x</v>
      </c>
      <c r="C1019" s="914"/>
      <c r="D1019" s="889" t="str">
        <f>'refer admin discharge'!D1015</f>
        <v>xx</v>
      </c>
      <c r="E1019" s="889"/>
      <c r="F1019" s="915" t="str">
        <f>'refer admin discharge'!H1015</f>
        <v>00/00/0000</v>
      </c>
      <c r="G1019" s="890"/>
      <c r="H1019" s="916"/>
      <c r="I1019" s="916"/>
      <c r="J1019" s="917"/>
      <c r="K1019" s="917"/>
      <c r="L1019" s="916"/>
      <c r="M1019" s="916"/>
      <c r="N1019" s="893"/>
      <c r="O1019" s="893"/>
      <c r="P1019" s="916"/>
      <c r="Q1019" s="916"/>
      <c r="R1019" s="893"/>
      <c r="S1019" s="893"/>
      <c r="T1019" s="916"/>
      <c r="U1019" s="916"/>
      <c r="V1019" s="921" t="str">
        <f>'refer admin discharge'!H1020</f>
        <v>00/00/0000</v>
      </c>
      <c r="W1019" s="922"/>
      <c r="X1019" s="912"/>
      <c r="Y1019" s="912"/>
      <c r="Z1019" s="924"/>
      <c r="AA1019" s="924"/>
      <c r="AB1019" s="912"/>
      <c r="AC1019" s="912"/>
      <c r="AD1019" s="913"/>
      <c r="AE1019" s="913"/>
      <c r="AF1019" s="912"/>
      <c r="AG1019" s="912"/>
      <c r="AH1019" s="913"/>
      <c r="AI1019" s="913"/>
      <c r="AJ1019" s="912"/>
      <c r="AK1019" s="912"/>
      <c r="AL1019" s="925"/>
      <c r="AM1019" s="926"/>
      <c r="AN1019" s="926"/>
      <c r="AO1019" s="926"/>
      <c r="AP1019" s="926"/>
      <c r="AQ1019" s="926"/>
      <c r="AR1019" s="926"/>
      <c r="AS1019" s="926"/>
      <c r="AT1019" s="926"/>
      <c r="AU1019" s="926"/>
      <c r="AV1019" s="926"/>
      <c r="AW1019" s="926"/>
      <c r="AX1019" s="926"/>
      <c r="AY1019" s="926"/>
      <c r="AZ1019" s="926"/>
      <c r="BA1019" s="926"/>
      <c r="BB1019" s="927"/>
    </row>
    <row r="1020" spans="1:54" x14ac:dyDescent="0.25">
      <c r="A1020" s="13">
        <f t="shared" si="15"/>
        <v>1007</v>
      </c>
      <c r="B1020" s="888" t="str">
        <f>'refer admin discharge'!B1016</f>
        <v>x</v>
      </c>
      <c r="C1020" s="888"/>
      <c r="D1020" s="868" t="str">
        <f>'refer admin discharge'!D1016</f>
        <v>xx</v>
      </c>
      <c r="E1020" s="868"/>
      <c r="F1020" s="891" t="str">
        <f>'refer admin discharge'!H1016</f>
        <v>00/00/0000</v>
      </c>
      <c r="G1020" s="892"/>
      <c r="H1020" s="894"/>
      <c r="I1020" s="894"/>
      <c r="J1020" s="918"/>
      <c r="K1020" s="918"/>
      <c r="L1020" s="894"/>
      <c r="M1020" s="894"/>
      <c r="N1020" s="916"/>
      <c r="O1020" s="916"/>
      <c r="P1020" s="894"/>
      <c r="Q1020" s="894"/>
      <c r="R1020" s="916"/>
      <c r="S1020" s="916"/>
      <c r="T1020" s="894"/>
      <c r="U1020" s="894"/>
      <c r="V1020" s="921" t="str">
        <f>'refer admin discharge'!H1021</f>
        <v>00/00/0000</v>
      </c>
      <c r="W1020" s="922"/>
      <c r="X1020" s="920"/>
      <c r="Y1020" s="920"/>
      <c r="Z1020" s="919"/>
      <c r="AA1020" s="919"/>
      <c r="AB1020" s="920"/>
      <c r="AC1020" s="920"/>
      <c r="AD1020" s="912"/>
      <c r="AE1020" s="912"/>
      <c r="AF1020" s="920"/>
      <c r="AG1020" s="920"/>
      <c r="AH1020" s="912"/>
      <c r="AI1020" s="912"/>
      <c r="AJ1020" s="920"/>
      <c r="AK1020" s="920"/>
      <c r="AL1020" s="905"/>
      <c r="AM1020" s="906"/>
      <c r="AN1020" s="906"/>
      <c r="AO1020" s="906"/>
      <c r="AP1020" s="906"/>
      <c r="AQ1020" s="906"/>
      <c r="AR1020" s="906"/>
      <c r="AS1020" s="906"/>
      <c r="AT1020" s="906"/>
      <c r="AU1020" s="906"/>
      <c r="AV1020" s="906"/>
      <c r="AW1020" s="906"/>
      <c r="AX1020" s="906"/>
      <c r="AY1020" s="906"/>
      <c r="AZ1020" s="906"/>
      <c r="BA1020" s="906"/>
      <c r="BB1020" s="907"/>
    </row>
    <row r="1021" spans="1:54" x14ac:dyDescent="0.25">
      <c r="A1021" s="13">
        <f t="shared" si="15"/>
        <v>1008</v>
      </c>
      <c r="B1021" s="914" t="str">
        <f>'refer admin discharge'!B1017</f>
        <v>x</v>
      </c>
      <c r="C1021" s="914"/>
      <c r="D1021" s="889" t="str">
        <f>'refer admin discharge'!D1017</f>
        <v>xx</v>
      </c>
      <c r="E1021" s="889"/>
      <c r="F1021" s="915" t="str">
        <f>'refer admin discharge'!H1017</f>
        <v>00/00/0000</v>
      </c>
      <c r="G1021" s="890"/>
      <c r="H1021" s="916"/>
      <c r="I1021" s="916"/>
      <c r="J1021" s="917"/>
      <c r="K1021" s="917"/>
      <c r="L1021" s="916"/>
      <c r="M1021" s="916"/>
      <c r="N1021" s="893"/>
      <c r="O1021" s="893"/>
      <c r="P1021" s="916"/>
      <c r="Q1021" s="916"/>
      <c r="R1021" s="893"/>
      <c r="S1021" s="893"/>
      <c r="T1021" s="916"/>
      <c r="U1021" s="916"/>
      <c r="V1021" s="921" t="str">
        <f>'refer admin discharge'!H1022</f>
        <v>00/00/0000</v>
      </c>
      <c r="W1021" s="922"/>
      <c r="X1021" s="912"/>
      <c r="Y1021" s="912"/>
      <c r="Z1021" s="924"/>
      <c r="AA1021" s="924"/>
      <c r="AB1021" s="912"/>
      <c r="AC1021" s="912"/>
      <c r="AD1021" s="913"/>
      <c r="AE1021" s="913"/>
      <c r="AF1021" s="912"/>
      <c r="AG1021" s="912"/>
      <c r="AH1021" s="913"/>
      <c r="AI1021" s="913"/>
      <c r="AJ1021" s="912"/>
      <c r="AK1021" s="912"/>
      <c r="AL1021" s="925"/>
      <c r="AM1021" s="926"/>
      <c r="AN1021" s="926"/>
      <c r="AO1021" s="926"/>
      <c r="AP1021" s="926"/>
      <c r="AQ1021" s="926"/>
      <c r="AR1021" s="926"/>
      <c r="AS1021" s="926"/>
      <c r="AT1021" s="926"/>
      <c r="AU1021" s="926"/>
      <c r="AV1021" s="926"/>
      <c r="AW1021" s="926"/>
      <c r="AX1021" s="926"/>
      <c r="AY1021" s="926"/>
      <c r="AZ1021" s="926"/>
      <c r="BA1021" s="926"/>
      <c r="BB1021" s="927"/>
    </row>
    <row r="1022" spans="1:54" x14ac:dyDescent="0.25">
      <c r="A1022" s="13">
        <f t="shared" si="15"/>
        <v>1009</v>
      </c>
      <c r="B1022" s="888" t="str">
        <f>'refer admin discharge'!B1018</f>
        <v>x</v>
      </c>
      <c r="C1022" s="888"/>
      <c r="D1022" s="868" t="str">
        <f>'refer admin discharge'!D1018</f>
        <v>xx</v>
      </c>
      <c r="E1022" s="868"/>
      <c r="F1022" s="891" t="str">
        <f>'refer admin discharge'!H1018</f>
        <v>00/00/0000</v>
      </c>
      <c r="G1022" s="892"/>
      <c r="H1022" s="894"/>
      <c r="I1022" s="894"/>
      <c r="J1022" s="918"/>
      <c r="K1022" s="918"/>
      <c r="L1022" s="894"/>
      <c r="M1022" s="894"/>
      <c r="N1022" s="916"/>
      <c r="O1022" s="916"/>
      <c r="P1022" s="894"/>
      <c r="Q1022" s="894"/>
      <c r="R1022" s="916"/>
      <c r="S1022" s="916"/>
      <c r="T1022" s="894"/>
      <c r="U1022" s="894"/>
      <c r="V1022" s="921" t="str">
        <f>'refer admin discharge'!H1023</f>
        <v>00/00/0000</v>
      </c>
      <c r="W1022" s="922"/>
      <c r="X1022" s="920"/>
      <c r="Y1022" s="920"/>
      <c r="Z1022" s="919"/>
      <c r="AA1022" s="919"/>
      <c r="AB1022" s="920"/>
      <c r="AC1022" s="920"/>
      <c r="AD1022" s="912"/>
      <c r="AE1022" s="912"/>
      <c r="AF1022" s="920"/>
      <c r="AG1022" s="920"/>
      <c r="AH1022" s="912"/>
      <c r="AI1022" s="912"/>
      <c r="AJ1022" s="920"/>
      <c r="AK1022" s="920"/>
      <c r="AL1022" s="905"/>
      <c r="AM1022" s="906"/>
      <c r="AN1022" s="906"/>
      <c r="AO1022" s="906"/>
      <c r="AP1022" s="906"/>
      <c r="AQ1022" s="906"/>
      <c r="AR1022" s="906"/>
      <c r="AS1022" s="906"/>
      <c r="AT1022" s="906"/>
      <c r="AU1022" s="906"/>
      <c r="AV1022" s="906"/>
      <c r="AW1022" s="906"/>
      <c r="AX1022" s="906"/>
      <c r="AY1022" s="906"/>
      <c r="AZ1022" s="906"/>
      <c r="BA1022" s="906"/>
      <c r="BB1022" s="907"/>
    </row>
    <row r="1023" spans="1:54" x14ac:dyDescent="0.25">
      <c r="A1023" s="13">
        <f t="shared" si="15"/>
        <v>1010</v>
      </c>
      <c r="B1023" s="914" t="str">
        <f>'refer admin discharge'!B1019</f>
        <v>x</v>
      </c>
      <c r="C1023" s="914"/>
      <c r="D1023" s="889" t="str">
        <f>'refer admin discharge'!D1019</f>
        <v>xx</v>
      </c>
      <c r="E1023" s="889"/>
      <c r="F1023" s="915" t="str">
        <f>'refer admin discharge'!H1019</f>
        <v>00/00/0000</v>
      </c>
      <c r="G1023" s="890"/>
      <c r="H1023" s="916"/>
      <c r="I1023" s="916"/>
      <c r="J1023" s="917"/>
      <c r="K1023" s="917"/>
      <c r="L1023" s="916"/>
      <c r="M1023" s="916"/>
      <c r="N1023" s="893"/>
      <c r="O1023" s="893"/>
      <c r="P1023" s="916"/>
      <c r="Q1023" s="916"/>
      <c r="R1023" s="893"/>
      <c r="S1023" s="893"/>
      <c r="T1023" s="916"/>
      <c r="U1023" s="916"/>
      <c r="V1023" s="921" t="str">
        <f>'refer admin discharge'!H1024</f>
        <v>00/00/0000</v>
      </c>
      <c r="W1023" s="922"/>
      <c r="X1023" s="912"/>
      <c r="Y1023" s="912"/>
      <c r="Z1023" s="924"/>
      <c r="AA1023" s="924"/>
      <c r="AB1023" s="912"/>
      <c r="AC1023" s="912"/>
      <c r="AD1023" s="913"/>
      <c r="AE1023" s="913"/>
      <c r="AF1023" s="912"/>
      <c r="AG1023" s="912"/>
      <c r="AH1023" s="913"/>
      <c r="AI1023" s="913"/>
      <c r="AJ1023" s="912"/>
      <c r="AK1023" s="912"/>
      <c r="AL1023" s="925"/>
      <c r="AM1023" s="926"/>
      <c r="AN1023" s="926"/>
      <c r="AO1023" s="926"/>
      <c r="AP1023" s="926"/>
      <c r="AQ1023" s="926"/>
      <c r="AR1023" s="926"/>
      <c r="AS1023" s="926"/>
      <c r="AT1023" s="926"/>
      <c r="AU1023" s="926"/>
      <c r="AV1023" s="926"/>
      <c r="AW1023" s="926"/>
      <c r="AX1023" s="926"/>
      <c r="AY1023" s="926"/>
      <c r="AZ1023" s="926"/>
      <c r="BA1023" s="926"/>
      <c r="BB1023" s="927"/>
    </row>
    <row r="1024" spans="1:54" x14ac:dyDescent="0.25">
      <c r="A1024" s="13">
        <f t="shared" si="15"/>
        <v>1011</v>
      </c>
      <c r="B1024" s="888" t="str">
        <f>'refer admin discharge'!B1020</f>
        <v>x</v>
      </c>
      <c r="C1024" s="888"/>
      <c r="D1024" s="868" t="str">
        <f>'refer admin discharge'!D1020</f>
        <v>xx</v>
      </c>
      <c r="E1024" s="868"/>
      <c r="F1024" s="891" t="str">
        <f>'refer admin discharge'!H1020</f>
        <v>00/00/0000</v>
      </c>
      <c r="G1024" s="892"/>
      <c r="H1024" s="894"/>
      <c r="I1024" s="894"/>
      <c r="J1024" s="918"/>
      <c r="K1024" s="918"/>
      <c r="L1024" s="894"/>
      <c r="M1024" s="894"/>
      <c r="N1024" s="916"/>
      <c r="O1024" s="916"/>
      <c r="P1024" s="894"/>
      <c r="Q1024" s="894"/>
      <c r="R1024" s="916"/>
      <c r="S1024" s="916"/>
      <c r="T1024" s="894"/>
      <c r="U1024" s="894"/>
      <c r="V1024" s="921" t="str">
        <f>'refer admin discharge'!H1025</f>
        <v>00/00/0000</v>
      </c>
      <c r="W1024" s="922"/>
      <c r="X1024" s="920"/>
      <c r="Y1024" s="920"/>
      <c r="Z1024" s="919"/>
      <c r="AA1024" s="919"/>
      <c r="AB1024" s="920"/>
      <c r="AC1024" s="920"/>
      <c r="AD1024" s="912"/>
      <c r="AE1024" s="912"/>
      <c r="AF1024" s="920"/>
      <c r="AG1024" s="920"/>
      <c r="AH1024" s="912"/>
      <c r="AI1024" s="912"/>
      <c r="AJ1024" s="920"/>
      <c r="AK1024" s="920"/>
      <c r="AL1024" s="905"/>
      <c r="AM1024" s="906"/>
      <c r="AN1024" s="906"/>
      <c r="AO1024" s="906"/>
      <c r="AP1024" s="906"/>
      <c r="AQ1024" s="906"/>
      <c r="AR1024" s="906"/>
      <c r="AS1024" s="906"/>
      <c r="AT1024" s="906"/>
      <c r="AU1024" s="906"/>
      <c r="AV1024" s="906"/>
      <c r="AW1024" s="906"/>
      <c r="AX1024" s="906"/>
      <c r="AY1024" s="906"/>
      <c r="AZ1024" s="906"/>
      <c r="BA1024" s="906"/>
      <c r="BB1024" s="907"/>
    </row>
    <row r="1025" spans="1:54" x14ac:dyDescent="0.25">
      <c r="A1025" s="13">
        <f t="shared" si="15"/>
        <v>1012</v>
      </c>
      <c r="B1025" s="914" t="str">
        <f>'refer admin discharge'!B1021</f>
        <v>x</v>
      </c>
      <c r="C1025" s="914"/>
      <c r="D1025" s="889" t="str">
        <f>'refer admin discharge'!D1021</f>
        <v>xx</v>
      </c>
      <c r="E1025" s="889"/>
      <c r="F1025" s="915" t="str">
        <f>'refer admin discharge'!H1021</f>
        <v>00/00/0000</v>
      </c>
      <c r="G1025" s="890"/>
      <c r="H1025" s="916"/>
      <c r="I1025" s="916"/>
      <c r="J1025" s="917"/>
      <c r="K1025" s="917"/>
      <c r="L1025" s="916"/>
      <c r="M1025" s="916"/>
      <c r="N1025" s="893"/>
      <c r="O1025" s="893"/>
      <c r="P1025" s="916"/>
      <c r="Q1025" s="916"/>
      <c r="R1025" s="893"/>
      <c r="S1025" s="893"/>
      <c r="T1025" s="916"/>
      <c r="U1025" s="916"/>
      <c r="V1025" s="921" t="str">
        <f>'refer admin discharge'!H1026</f>
        <v>00/00/0000</v>
      </c>
      <c r="W1025" s="922"/>
      <c r="X1025" s="912"/>
      <c r="Y1025" s="912"/>
      <c r="Z1025" s="924"/>
      <c r="AA1025" s="924"/>
      <c r="AB1025" s="912"/>
      <c r="AC1025" s="912"/>
      <c r="AD1025" s="913"/>
      <c r="AE1025" s="913"/>
      <c r="AF1025" s="912"/>
      <c r="AG1025" s="912"/>
      <c r="AH1025" s="913"/>
      <c r="AI1025" s="913"/>
      <c r="AJ1025" s="912"/>
      <c r="AK1025" s="912"/>
      <c r="AL1025" s="925"/>
      <c r="AM1025" s="926"/>
      <c r="AN1025" s="926"/>
      <c r="AO1025" s="926"/>
      <c r="AP1025" s="926"/>
      <c r="AQ1025" s="926"/>
      <c r="AR1025" s="926"/>
      <c r="AS1025" s="926"/>
      <c r="AT1025" s="926"/>
      <c r="AU1025" s="926"/>
      <c r="AV1025" s="926"/>
      <c r="AW1025" s="926"/>
      <c r="AX1025" s="926"/>
      <c r="AY1025" s="926"/>
      <c r="AZ1025" s="926"/>
      <c r="BA1025" s="926"/>
      <c r="BB1025" s="927"/>
    </row>
    <row r="1026" spans="1:54" x14ac:dyDescent="0.25">
      <c r="A1026" s="13">
        <f t="shared" si="15"/>
        <v>1013</v>
      </c>
      <c r="B1026" s="888" t="str">
        <f>'refer admin discharge'!B1022</f>
        <v>x</v>
      </c>
      <c r="C1026" s="888"/>
      <c r="D1026" s="868" t="str">
        <f>'refer admin discharge'!D1022</f>
        <v>xx</v>
      </c>
      <c r="E1026" s="868"/>
      <c r="F1026" s="891" t="str">
        <f>'refer admin discharge'!H1022</f>
        <v>00/00/0000</v>
      </c>
      <c r="G1026" s="892"/>
      <c r="H1026" s="894"/>
      <c r="I1026" s="894"/>
      <c r="J1026" s="918"/>
      <c r="K1026" s="918"/>
      <c r="L1026" s="894"/>
      <c r="M1026" s="894"/>
      <c r="N1026" s="916"/>
      <c r="O1026" s="916"/>
      <c r="P1026" s="894"/>
      <c r="Q1026" s="894"/>
      <c r="R1026" s="916"/>
      <c r="S1026" s="916"/>
      <c r="T1026" s="894"/>
      <c r="U1026" s="894"/>
      <c r="V1026" s="921" t="str">
        <f>'refer admin discharge'!H1027</f>
        <v>00/00/0000</v>
      </c>
      <c r="W1026" s="922"/>
      <c r="X1026" s="920"/>
      <c r="Y1026" s="920"/>
      <c r="Z1026" s="919"/>
      <c r="AA1026" s="919"/>
      <c r="AB1026" s="920"/>
      <c r="AC1026" s="920"/>
      <c r="AD1026" s="912"/>
      <c r="AE1026" s="912"/>
      <c r="AF1026" s="920"/>
      <c r="AG1026" s="920"/>
      <c r="AH1026" s="912"/>
      <c r="AI1026" s="912"/>
      <c r="AJ1026" s="920"/>
      <c r="AK1026" s="920"/>
      <c r="AL1026" s="905"/>
      <c r="AM1026" s="906"/>
      <c r="AN1026" s="906"/>
      <c r="AO1026" s="906"/>
      <c r="AP1026" s="906"/>
      <c r="AQ1026" s="906"/>
      <c r="AR1026" s="906"/>
      <c r="AS1026" s="906"/>
      <c r="AT1026" s="906"/>
      <c r="AU1026" s="906"/>
      <c r="AV1026" s="906"/>
      <c r="AW1026" s="906"/>
      <c r="AX1026" s="906"/>
      <c r="AY1026" s="906"/>
      <c r="AZ1026" s="906"/>
      <c r="BA1026" s="906"/>
      <c r="BB1026" s="907"/>
    </row>
    <row r="1027" spans="1:54" x14ac:dyDescent="0.25">
      <c r="A1027" s="13">
        <f t="shared" si="15"/>
        <v>1014</v>
      </c>
      <c r="B1027" s="914" t="str">
        <f>'refer admin discharge'!B1023</f>
        <v>x</v>
      </c>
      <c r="C1027" s="914"/>
      <c r="D1027" s="889" t="str">
        <f>'refer admin discharge'!D1023</f>
        <v>xx</v>
      </c>
      <c r="E1027" s="889"/>
      <c r="F1027" s="915" t="str">
        <f>'refer admin discharge'!H1023</f>
        <v>00/00/0000</v>
      </c>
      <c r="G1027" s="890"/>
      <c r="H1027" s="916"/>
      <c r="I1027" s="916"/>
      <c r="J1027" s="917"/>
      <c r="K1027" s="917"/>
      <c r="L1027" s="916"/>
      <c r="M1027" s="916"/>
      <c r="N1027" s="893"/>
      <c r="O1027" s="893"/>
      <c r="P1027" s="916"/>
      <c r="Q1027" s="916"/>
      <c r="R1027" s="893"/>
      <c r="S1027" s="893"/>
      <c r="T1027" s="916"/>
      <c r="U1027" s="916"/>
      <c r="V1027" s="921" t="str">
        <f>'refer admin discharge'!H1028</f>
        <v>00/00/0000</v>
      </c>
      <c r="W1027" s="922"/>
      <c r="X1027" s="912"/>
      <c r="Y1027" s="912"/>
      <c r="Z1027" s="924"/>
      <c r="AA1027" s="924"/>
      <c r="AB1027" s="912"/>
      <c r="AC1027" s="912"/>
      <c r="AD1027" s="913"/>
      <c r="AE1027" s="913"/>
      <c r="AF1027" s="912"/>
      <c r="AG1027" s="912"/>
      <c r="AH1027" s="913"/>
      <c r="AI1027" s="913"/>
      <c r="AJ1027" s="912"/>
      <c r="AK1027" s="912"/>
      <c r="AL1027" s="925"/>
      <c r="AM1027" s="926"/>
      <c r="AN1027" s="926"/>
      <c r="AO1027" s="926"/>
      <c r="AP1027" s="926"/>
      <c r="AQ1027" s="926"/>
      <c r="AR1027" s="926"/>
      <c r="AS1027" s="926"/>
      <c r="AT1027" s="926"/>
      <c r="AU1027" s="926"/>
      <c r="AV1027" s="926"/>
      <c r="AW1027" s="926"/>
      <c r="AX1027" s="926"/>
      <c r="AY1027" s="926"/>
      <c r="AZ1027" s="926"/>
      <c r="BA1027" s="926"/>
      <c r="BB1027" s="927"/>
    </row>
    <row r="1028" spans="1:54" x14ac:dyDescent="0.25">
      <c r="A1028" s="13">
        <f t="shared" si="15"/>
        <v>1015</v>
      </c>
      <c r="B1028" s="888" t="str">
        <f>'refer admin discharge'!B1024</f>
        <v>x</v>
      </c>
      <c r="C1028" s="888"/>
      <c r="D1028" s="868" t="str">
        <f>'refer admin discharge'!D1024</f>
        <v>xx</v>
      </c>
      <c r="E1028" s="868"/>
      <c r="F1028" s="891" t="str">
        <f>'refer admin discharge'!H1024</f>
        <v>00/00/0000</v>
      </c>
      <c r="G1028" s="892"/>
      <c r="H1028" s="894"/>
      <c r="I1028" s="894"/>
      <c r="J1028" s="918"/>
      <c r="K1028" s="918"/>
      <c r="L1028" s="894"/>
      <c r="M1028" s="894"/>
      <c r="N1028" s="916"/>
      <c r="O1028" s="916"/>
      <c r="P1028" s="894"/>
      <c r="Q1028" s="894"/>
      <c r="R1028" s="916"/>
      <c r="S1028" s="916"/>
      <c r="T1028" s="894"/>
      <c r="U1028" s="894"/>
      <c r="V1028" s="921" t="str">
        <f>'refer admin discharge'!H1029</f>
        <v>00/00/0000</v>
      </c>
      <c r="W1028" s="922"/>
      <c r="X1028" s="920"/>
      <c r="Y1028" s="920"/>
      <c r="Z1028" s="919"/>
      <c r="AA1028" s="919"/>
      <c r="AB1028" s="920"/>
      <c r="AC1028" s="920"/>
      <c r="AD1028" s="912"/>
      <c r="AE1028" s="912"/>
      <c r="AF1028" s="920"/>
      <c r="AG1028" s="920"/>
      <c r="AH1028" s="912"/>
      <c r="AI1028" s="912"/>
      <c r="AJ1028" s="920"/>
      <c r="AK1028" s="920"/>
      <c r="AL1028" s="905"/>
      <c r="AM1028" s="906"/>
      <c r="AN1028" s="906"/>
      <c r="AO1028" s="906"/>
      <c r="AP1028" s="906"/>
      <c r="AQ1028" s="906"/>
      <c r="AR1028" s="906"/>
      <c r="AS1028" s="906"/>
      <c r="AT1028" s="906"/>
      <c r="AU1028" s="906"/>
      <c r="AV1028" s="906"/>
      <c r="AW1028" s="906"/>
      <c r="AX1028" s="906"/>
      <c r="AY1028" s="906"/>
      <c r="AZ1028" s="906"/>
      <c r="BA1028" s="906"/>
      <c r="BB1028" s="907"/>
    </row>
    <row r="1029" spans="1:54" x14ac:dyDescent="0.25">
      <c r="A1029" s="13">
        <f t="shared" si="15"/>
        <v>1016</v>
      </c>
      <c r="B1029" s="914" t="str">
        <f>'refer admin discharge'!B1025</f>
        <v>x</v>
      </c>
      <c r="C1029" s="914"/>
      <c r="D1029" s="889" t="str">
        <f>'refer admin discharge'!D1025</f>
        <v>xx</v>
      </c>
      <c r="E1029" s="889"/>
      <c r="F1029" s="915" t="str">
        <f>'refer admin discharge'!H1025</f>
        <v>00/00/0000</v>
      </c>
      <c r="G1029" s="890"/>
      <c r="H1029" s="916"/>
      <c r="I1029" s="916"/>
      <c r="J1029" s="917"/>
      <c r="K1029" s="917"/>
      <c r="L1029" s="916"/>
      <c r="M1029" s="916"/>
      <c r="N1029" s="893"/>
      <c r="O1029" s="893"/>
      <c r="P1029" s="916"/>
      <c r="Q1029" s="916"/>
      <c r="R1029" s="893"/>
      <c r="S1029" s="893"/>
      <c r="T1029" s="916"/>
      <c r="U1029" s="916"/>
      <c r="V1029" s="921" t="str">
        <f>'refer admin discharge'!H1030</f>
        <v>00/00/0000</v>
      </c>
      <c r="W1029" s="922"/>
      <c r="X1029" s="912"/>
      <c r="Y1029" s="912"/>
      <c r="Z1029" s="924"/>
      <c r="AA1029" s="924"/>
      <c r="AB1029" s="912"/>
      <c r="AC1029" s="912"/>
      <c r="AD1029" s="913"/>
      <c r="AE1029" s="913"/>
      <c r="AF1029" s="912"/>
      <c r="AG1029" s="912"/>
      <c r="AH1029" s="913"/>
      <c r="AI1029" s="913"/>
      <c r="AJ1029" s="912"/>
      <c r="AK1029" s="912"/>
      <c r="AL1029" s="925"/>
      <c r="AM1029" s="926"/>
      <c r="AN1029" s="926"/>
      <c r="AO1029" s="926"/>
      <c r="AP1029" s="926"/>
      <c r="AQ1029" s="926"/>
      <c r="AR1029" s="926"/>
      <c r="AS1029" s="926"/>
      <c r="AT1029" s="926"/>
      <c r="AU1029" s="926"/>
      <c r="AV1029" s="926"/>
      <c r="AW1029" s="926"/>
      <c r="AX1029" s="926"/>
      <c r="AY1029" s="926"/>
      <c r="AZ1029" s="926"/>
      <c r="BA1029" s="926"/>
      <c r="BB1029" s="927"/>
    </row>
    <row r="1030" spans="1:54" x14ac:dyDescent="0.25">
      <c r="A1030" s="13">
        <f t="shared" si="15"/>
        <v>1017</v>
      </c>
      <c r="B1030" s="888" t="str">
        <f>'refer admin discharge'!B1026</f>
        <v>x</v>
      </c>
      <c r="C1030" s="888"/>
      <c r="D1030" s="868" t="str">
        <f>'refer admin discharge'!D1026</f>
        <v>xx</v>
      </c>
      <c r="E1030" s="868"/>
      <c r="F1030" s="891" t="str">
        <f>'refer admin discharge'!H1026</f>
        <v>00/00/0000</v>
      </c>
      <c r="G1030" s="892"/>
      <c r="H1030" s="894"/>
      <c r="I1030" s="894"/>
      <c r="J1030" s="918"/>
      <c r="K1030" s="918"/>
      <c r="L1030" s="894"/>
      <c r="M1030" s="894"/>
      <c r="N1030" s="916"/>
      <c r="O1030" s="916"/>
      <c r="P1030" s="894"/>
      <c r="Q1030" s="894"/>
      <c r="R1030" s="916"/>
      <c r="S1030" s="916"/>
      <c r="T1030" s="894"/>
      <c r="U1030" s="894"/>
      <c r="V1030" s="921" t="str">
        <f>'refer admin discharge'!H1031</f>
        <v>00/00/0000</v>
      </c>
      <c r="W1030" s="922"/>
      <c r="X1030" s="920"/>
      <c r="Y1030" s="920"/>
      <c r="Z1030" s="919"/>
      <c r="AA1030" s="919"/>
      <c r="AB1030" s="920"/>
      <c r="AC1030" s="920"/>
      <c r="AD1030" s="912"/>
      <c r="AE1030" s="912"/>
      <c r="AF1030" s="920"/>
      <c r="AG1030" s="920"/>
      <c r="AH1030" s="912"/>
      <c r="AI1030" s="912"/>
      <c r="AJ1030" s="920"/>
      <c r="AK1030" s="920"/>
      <c r="AL1030" s="905"/>
      <c r="AM1030" s="906"/>
      <c r="AN1030" s="906"/>
      <c r="AO1030" s="906"/>
      <c r="AP1030" s="906"/>
      <c r="AQ1030" s="906"/>
      <c r="AR1030" s="906"/>
      <c r="AS1030" s="906"/>
      <c r="AT1030" s="906"/>
      <c r="AU1030" s="906"/>
      <c r="AV1030" s="906"/>
      <c r="AW1030" s="906"/>
      <c r="AX1030" s="906"/>
      <c r="AY1030" s="906"/>
      <c r="AZ1030" s="906"/>
      <c r="BA1030" s="906"/>
      <c r="BB1030" s="907"/>
    </row>
    <row r="1031" spans="1:54" x14ac:dyDescent="0.25">
      <c r="A1031" s="13">
        <f t="shared" si="15"/>
        <v>1018</v>
      </c>
      <c r="B1031" s="914" t="str">
        <f>'refer admin discharge'!B1027</f>
        <v>x</v>
      </c>
      <c r="C1031" s="914"/>
      <c r="D1031" s="889" t="str">
        <f>'refer admin discharge'!D1027</f>
        <v>xx</v>
      </c>
      <c r="E1031" s="889"/>
      <c r="F1031" s="915" t="str">
        <f>'refer admin discharge'!H1027</f>
        <v>00/00/0000</v>
      </c>
      <c r="G1031" s="890"/>
      <c r="H1031" s="916"/>
      <c r="I1031" s="916"/>
      <c r="J1031" s="917"/>
      <c r="K1031" s="917"/>
      <c r="L1031" s="916"/>
      <c r="M1031" s="916"/>
      <c r="N1031" s="893"/>
      <c r="O1031" s="893"/>
      <c r="P1031" s="916"/>
      <c r="Q1031" s="916"/>
      <c r="R1031" s="893"/>
      <c r="S1031" s="893"/>
      <c r="T1031" s="916"/>
      <c r="U1031" s="916"/>
      <c r="V1031" s="921" t="str">
        <f>'refer admin discharge'!H1032</f>
        <v>00/00/0000</v>
      </c>
      <c r="W1031" s="922"/>
      <c r="X1031" s="912"/>
      <c r="Y1031" s="912"/>
      <c r="Z1031" s="924"/>
      <c r="AA1031" s="924"/>
      <c r="AB1031" s="912"/>
      <c r="AC1031" s="912"/>
      <c r="AD1031" s="913"/>
      <c r="AE1031" s="913"/>
      <c r="AF1031" s="912"/>
      <c r="AG1031" s="912"/>
      <c r="AH1031" s="913"/>
      <c r="AI1031" s="913"/>
      <c r="AJ1031" s="912"/>
      <c r="AK1031" s="912"/>
      <c r="AL1031" s="925"/>
      <c r="AM1031" s="926"/>
      <c r="AN1031" s="926"/>
      <c r="AO1031" s="926"/>
      <c r="AP1031" s="926"/>
      <c r="AQ1031" s="926"/>
      <c r="AR1031" s="926"/>
      <c r="AS1031" s="926"/>
      <c r="AT1031" s="926"/>
      <c r="AU1031" s="926"/>
      <c r="AV1031" s="926"/>
      <c r="AW1031" s="926"/>
      <c r="AX1031" s="926"/>
      <c r="AY1031" s="926"/>
      <c r="AZ1031" s="926"/>
      <c r="BA1031" s="926"/>
      <c r="BB1031" s="927"/>
    </row>
    <row r="1032" spans="1:54" x14ac:dyDescent="0.25">
      <c r="A1032" s="13">
        <f t="shared" si="15"/>
        <v>1019</v>
      </c>
      <c r="B1032" s="888" t="str">
        <f>'refer admin discharge'!B1028</f>
        <v>x</v>
      </c>
      <c r="C1032" s="888"/>
      <c r="D1032" s="868" t="str">
        <f>'refer admin discharge'!D1028</f>
        <v>xx</v>
      </c>
      <c r="E1032" s="868"/>
      <c r="F1032" s="891" t="str">
        <f>'refer admin discharge'!H1028</f>
        <v>00/00/0000</v>
      </c>
      <c r="G1032" s="892"/>
      <c r="H1032" s="894"/>
      <c r="I1032" s="894"/>
      <c r="J1032" s="918"/>
      <c r="K1032" s="918"/>
      <c r="L1032" s="894"/>
      <c r="M1032" s="894"/>
      <c r="N1032" s="916"/>
      <c r="O1032" s="916"/>
      <c r="P1032" s="894"/>
      <c r="Q1032" s="894"/>
      <c r="R1032" s="916"/>
      <c r="S1032" s="916"/>
      <c r="T1032" s="894"/>
      <c r="U1032" s="894"/>
      <c r="V1032" s="921" t="str">
        <f>'refer admin discharge'!H1033</f>
        <v>00/00/0000</v>
      </c>
      <c r="W1032" s="922"/>
      <c r="X1032" s="920"/>
      <c r="Y1032" s="920"/>
      <c r="Z1032" s="919"/>
      <c r="AA1032" s="919"/>
      <c r="AB1032" s="920"/>
      <c r="AC1032" s="920"/>
      <c r="AD1032" s="912"/>
      <c r="AE1032" s="912"/>
      <c r="AF1032" s="920"/>
      <c r="AG1032" s="920"/>
      <c r="AH1032" s="912"/>
      <c r="AI1032" s="912"/>
      <c r="AJ1032" s="920"/>
      <c r="AK1032" s="920"/>
      <c r="AL1032" s="905"/>
      <c r="AM1032" s="906"/>
      <c r="AN1032" s="906"/>
      <c r="AO1032" s="906"/>
      <c r="AP1032" s="906"/>
      <c r="AQ1032" s="906"/>
      <c r="AR1032" s="906"/>
      <c r="AS1032" s="906"/>
      <c r="AT1032" s="906"/>
      <c r="AU1032" s="906"/>
      <c r="AV1032" s="906"/>
      <c r="AW1032" s="906"/>
      <c r="AX1032" s="906"/>
      <c r="AY1032" s="906"/>
      <c r="AZ1032" s="906"/>
      <c r="BA1032" s="906"/>
      <c r="BB1032" s="907"/>
    </row>
    <row r="1033" spans="1:54" x14ac:dyDescent="0.25">
      <c r="A1033" s="13">
        <f t="shared" si="15"/>
        <v>1020</v>
      </c>
      <c r="B1033" s="914" t="str">
        <f>'refer admin discharge'!B1029</f>
        <v>x</v>
      </c>
      <c r="C1033" s="914"/>
      <c r="D1033" s="889" t="str">
        <f>'refer admin discharge'!D1029</f>
        <v>xx</v>
      </c>
      <c r="E1033" s="889"/>
      <c r="F1033" s="915" t="str">
        <f>'refer admin discharge'!H1029</f>
        <v>00/00/0000</v>
      </c>
      <c r="G1033" s="890"/>
      <c r="H1033" s="916"/>
      <c r="I1033" s="916"/>
      <c r="J1033" s="917"/>
      <c r="K1033" s="917"/>
      <c r="L1033" s="916"/>
      <c r="M1033" s="916"/>
      <c r="N1033" s="893"/>
      <c r="O1033" s="893"/>
      <c r="P1033" s="916"/>
      <c r="Q1033" s="916"/>
      <c r="R1033" s="893"/>
      <c r="S1033" s="893"/>
      <c r="T1033" s="916"/>
      <c r="U1033" s="916"/>
      <c r="V1033" s="921" t="str">
        <f>'refer admin discharge'!H1034</f>
        <v>00/00/0000</v>
      </c>
      <c r="W1033" s="922"/>
      <c r="X1033" s="912"/>
      <c r="Y1033" s="912"/>
      <c r="Z1033" s="924"/>
      <c r="AA1033" s="924"/>
      <c r="AB1033" s="912"/>
      <c r="AC1033" s="912"/>
      <c r="AD1033" s="913"/>
      <c r="AE1033" s="913"/>
      <c r="AF1033" s="912"/>
      <c r="AG1033" s="912"/>
      <c r="AH1033" s="913"/>
      <c r="AI1033" s="913"/>
      <c r="AJ1033" s="912"/>
      <c r="AK1033" s="912"/>
      <c r="AL1033" s="925"/>
      <c r="AM1033" s="926"/>
      <c r="AN1033" s="926"/>
      <c r="AO1033" s="926"/>
      <c r="AP1033" s="926"/>
      <c r="AQ1033" s="926"/>
      <c r="AR1033" s="926"/>
      <c r="AS1033" s="926"/>
      <c r="AT1033" s="926"/>
      <c r="AU1033" s="926"/>
      <c r="AV1033" s="926"/>
      <c r="AW1033" s="926"/>
      <c r="AX1033" s="926"/>
      <c r="AY1033" s="926"/>
      <c r="AZ1033" s="926"/>
      <c r="BA1033" s="926"/>
      <c r="BB1033" s="927"/>
    </row>
    <row r="1034" spans="1:54" x14ac:dyDescent="0.25">
      <c r="A1034" s="13">
        <f t="shared" si="15"/>
        <v>1021</v>
      </c>
      <c r="B1034" s="888" t="str">
        <f>'refer admin discharge'!B1030</f>
        <v>x</v>
      </c>
      <c r="C1034" s="888"/>
      <c r="D1034" s="868" t="str">
        <f>'refer admin discharge'!D1030</f>
        <v>xx</v>
      </c>
      <c r="E1034" s="868"/>
      <c r="F1034" s="891" t="str">
        <f>'refer admin discharge'!H1030</f>
        <v>00/00/0000</v>
      </c>
      <c r="G1034" s="892"/>
      <c r="H1034" s="894"/>
      <c r="I1034" s="894"/>
      <c r="J1034" s="918"/>
      <c r="K1034" s="918"/>
      <c r="L1034" s="894"/>
      <c r="M1034" s="894"/>
      <c r="N1034" s="916"/>
      <c r="O1034" s="916"/>
      <c r="P1034" s="894"/>
      <c r="Q1034" s="894"/>
      <c r="R1034" s="916"/>
      <c r="S1034" s="916"/>
      <c r="T1034" s="894"/>
      <c r="U1034" s="894"/>
      <c r="V1034" s="921" t="str">
        <f>'refer admin discharge'!H1035</f>
        <v>00/00/0000</v>
      </c>
      <c r="W1034" s="922"/>
      <c r="X1034" s="920"/>
      <c r="Y1034" s="920"/>
      <c r="Z1034" s="919"/>
      <c r="AA1034" s="919"/>
      <c r="AB1034" s="920"/>
      <c r="AC1034" s="920"/>
      <c r="AD1034" s="912"/>
      <c r="AE1034" s="912"/>
      <c r="AF1034" s="920"/>
      <c r="AG1034" s="920"/>
      <c r="AH1034" s="912"/>
      <c r="AI1034" s="912"/>
      <c r="AJ1034" s="920"/>
      <c r="AK1034" s="920"/>
      <c r="AL1034" s="905"/>
      <c r="AM1034" s="906"/>
      <c r="AN1034" s="906"/>
      <c r="AO1034" s="906"/>
      <c r="AP1034" s="906"/>
      <c r="AQ1034" s="906"/>
      <c r="AR1034" s="906"/>
      <c r="AS1034" s="906"/>
      <c r="AT1034" s="906"/>
      <c r="AU1034" s="906"/>
      <c r="AV1034" s="906"/>
      <c r="AW1034" s="906"/>
      <c r="AX1034" s="906"/>
      <c r="AY1034" s="906"/>
      <c r="AZ1034" s="906"/>
      <c r="BA1034" s="906"/>
      <c r="BB1034" s="907"/>
    </row>
    <row r="1035" spans="1:54" x14ac:dyDescent="0.25">
      <c r="A1035" s="13">
        <f t="shared" si="15"/>
        <v>1022</v>
      </c>
      <c r="B1035" s="914" t="str">
        <f>'refer admin discharge'!B1031</f>
        <v>x</v>
      </c>
      <c r="C1035" s="914"/>
      <c r="D1035" s="889" t="str">
        <f>'refer admin discharge'!D1031</f>
        <v>xx</v>
      </c>
      <c r="E1035" s="889"/>
      <c r="F1035" s="915" t="str">
        <f>'refer admin discharge'!H1031</f>
        <v>00/00/0000</v>
      </c>
      <c r="G1035" s="890"/>
      <c r="H1035" s="916"/>
      <c r="I1035" s="916"/>
      <c r="J1035" s="917"/>
      <c r="K1035" s="917"/>
      <c r="L1035" s="916"/>
      <c r="M1035" s="916"/>
      <c r="N1035" s="893"/>
      <c r="O1035" s="893"/>
      <c r="P1035" s="916"/>
      <c r="Q1035" s="916"/>
      <c r="R1035" s="893"/>
      <c r="S1035" s="893"/>
      <c r="T1035" s="916"/>
      <c r="U1035" s="916"/>
      <c r="V1035" s="921" t="str">
        <f>'refer admin discharge'!H1036</f>
        <v>00/00/0000</v>
      </c>
      <c r="W1035" s="922"/>
      <c r="X1035" s="912"/>
      <c r="Y1035" s="912"/>
      <c r="Z1035" s="924"/>
      <c r="AA1035" s="924"/>
      <c r="AB1035" s="912"/>
      <c r="AC1035" s="912"/>
      <c r="AD1035" s="913"/>
      <c r="AE1035" s="913"/>
      <c r="AF1035" s="912"/>
      <c r="AG1035" s="912"/>
      <c r="AH1035" s="913"/>
      <c r="AI1035" s="913"/>
      <c r="AJ1035" s="912"/>
      <c r="AK1035" s="912"/>
      <c r="AL1035" s="925"/>
      <c r="AM1035" s="926"/>
      <c r="AN1035" s="926"/>
      <c r="AO1035" s="926"/>
      <c r="AP1035" s="926"/>
      <c r="AQ1035" s="926"/>
      <c r="AR1035" s="926"/>
      <c r="AS1035" s="926"/>
      <c r="AT1035" s="926"/>
      <c r="AU1035" s="926"/>
      <c r="AV1035" s="926"/>
      <c r="AW1035" s="926"/>
      <c r="AX1035" s="926"/>
      <c r="AY1035" s="926"/>
      <c r="AZ1035" s="926"/>
      <c r="BA1035" s="926"/>
      <c r="BB1035" s="927"/>
    </row>
    <row r="1036" spans="1:54" x14ac:dyDescent="0.25">
      <c r="A1036" s="13">
        <f t="shared" si="15"/>
        <v>1023</v>
      </c>
      <c r="B1036" s="888" t="str">
        <f>'refer admin discharge'!B1032</f>
        <v>x</v>
      </c>
      <c r="C1036" s="888"/>
      <c r="D1036" s="868" t="str">
        <f>'refer admin discharge'!D1032</f>
        <v>xx</v>
      </c>
      <c r="E1036" s="868"/>
      <c r="F1036" s="891" t="str">
        <f>'refer admin discharge'!H1032</f>
        <v>00/00/0000</v>
      </c>
      <c r="G1036" s="892"/>
      <c r="H1036" s="894"/>
      <c r="I1036" s="894"/>
      <c r="J1036" s="918"/>
      <c r="K1036" s="918"/>
      <c r="L1036" s="894"/>
      <c r="M1036" s="894"/>
      <c r="N1036" s="916"/>
      <c r="O1036" s="916"/>
      <c r="P1036" s="894"/>
      <c r="Q1036" s="894"/>
      <c r="R1036" s="916"/>
      <c r="S1036" s="916"/>
      <c r="T1036" s="894"/>
      <c r="U1036" s="894"/>
      <c r="V1036" s="921" t="str">
        <f>'refer admin discharge'!H1037</f>
        <v>00/00/0000</v>
      </c>
      <c r="W1036" s="922"/>
      <c r="X1036" s="920"/>
      <c r="Y1036" s="920"/>
      <c r="Z1036" s="919"/>
      <c r="AA1036" s="919"/>
      <c r="AB1036" s="920"/>
      <c r="AC1036" s="920"/>
      <c r="AD1036" s="912"/>
      <c r="AE1036" s="912"/>
      <c r="AF1036" s="920"/>
      <c r="AG1036" s="920"/>
      <c r="AH1036" s="912"/>
      <c r="AI1036" s="912"/>
      <c r="AJ1036" s="920"/>
      <c r="AK1036" s="920"/>
      <c r="AL1036" s="905"/>
      <c r="AM1036" s="906"/>
      <c r="AN1036" s="906"/>
      <c r="AO1036" s="906"/>
      <c r="AP1036" s="906"/>
      <c r="AQ1036" s="906"/>
      <c r="AR1036" s="906"/>
      <c r="AS1036" s="906"/>
      <c r="AT1036" s="906"/>
      <c r="AU1036" s="906"/>
      <c r="AV1036" s="906"/>
      <c r="AW1036" s="906"/>
      <c r="AX1036" s="906"/>
      <c r="AY1036" s="906"/>
      <c r="AZ1036" s="906"/>
      <c r="BA1036" s="906"/>
      <c r="BB1036" s="907"/>
    </row>
    <row r="1037" spans="1:54" x14ac:dyDescent="0.25">
      <c r="A1037" s="13">
        <f t="shared" si="15"/>
        <v>1024</v>
      </c>
      <c r="B1037" s="914" t="str">
        <f>'refer admin discharge'!B1033</f>
        <v>x</v>
      </c>
      <c r="C1037" s="914"/>
      <c r="D1037" s="889" t="str">
        <f>'refer admin discharge'!D1033</f>
        <v>xx</v>
      </c>
      <c r="E1037" s="889"/>
      <c r="F1037" s="915" t="str">
        <f>'refer admin discharge'!H1033</f>
        <v>00/00/0000</v>
      </c>
      <c r="G1037" s="890"/>
      <c r="H1037" s="916"/>
      <c r="I1037" s="916"/>
      <c r="J1037" s="917"/>
      <c r="K1037" s="917"/>
      <c r="L1037" s="916"/>
      <c r="M1037" s="916"/>
      <c r="N1037" s="893"/>
      <c r="O1037" s="893"/>
      <c r="P1037" s="916"/>
      <c r="Q1037" s="916"/>
      <c r="R1037" s="893"/>
      <c r="S1037" s="893"/>
      <c r="T1037" s="916"/>
      <c r="U1037" s="916"/>
      <c r="V1037" s="921" t="str">
        <f>'refer admin discharge'!H1038</f>
        <v>00/00/0000</v>
      </c>
      <c r="W1037" s="922"/>
      <c r="X1037" s="912"/>
      <c r="Y1037" s="912"/>
      <c r="Z1037" s="924"/>
      <c r="AA1037" s="924"/>
      <c r="AB1037" s="912"/>
      <c r="AC1037" s="912"/>
      <c r="AD1037" s="913"/>
      <c r="AE1037" s="913"/>
      <c r="AF1037" s="912"/>
      <c r="AG1037" s="912"/>
      <c r="AH1037" s="913"/>
      <c r="AI1037" s="913"/>
      <c r="AJ1037" s="912"/>
      <c r="AK1037" s="912"/>
      <c r="AL1037" s="925"/>
      <c r="AM1037" s="926"/>
      <c r="AN1037" s="926"/>
      <c r="AO1037" s="926"/>
      <c r="AP1037" s="926"/>
      <c r="AQ1037" s="926"/>
      <c r="AR1037" s="926"/>
      <c r="AS1037" s="926"/>
      <c r="AT1037" s="926"/>
      <c r="AU1037" s="926"/>
      <c r="AV1037" s="926"/>
      <c r="AW1037" s="926"/>
      <c r="AX1037" s="926"/>
      <c r="AY1037" s="926"/>
      <c r="AZ1037" s="926"/>
      <c r="BA1037" s="926"/>
      <c r="BB1037" s="927"/>
    </row>
    <row r="1038" spans="1:54" x14ac:dyDescent="0.25">
      <c r="A1038" s="13">
        <f t="shared" ref="A1038:A1101" si="16">ROW(A1025)</f>
        <v>1025</v>
      </c>
      <c r="B1038" s="888" t="str">
        <f>'refer admin discharge'!B1034</f>
        <v>x</v>
      </c>
      <c r="C1038" s="888"/>
      <c r="D1038" s="868" t="str">
        <f>'refer admin discharge'!D1034</f>
        <v>xx</v>
      </c>
      <c r="E1038" s="868"/>
      <c r="F1038" s="891" t="str">
        <f>'refer admin discharge'!H1034</f>
        <v>00/00/0000</v>
      </c>
      <c r="G1038" s="892"/>
      <c r="H1038" s="894"/>
      <c r="I1038" s="894"/>
      <c r="J1038" s="918"/>
      <c r="K1038" s="918"/>
      <c r="L1038" s="894"/>
      <c r="M1038" s="894"/>
      <c r="N1038" s="916"/>
      <c r="O1038" s="916"/>
      <c r="P1038" s="894"/>
      <c r="Q1038" s="894"/>
      <c r="R1038" s="916"/>
      <c r="S1038" s="916"/>
      <c r="T1038" s="894"/>
      <c r="U1038" s="894"/>
      <c r="V1038" s="921" t="str">
        <f>'refer admin discharge'!H1039</f>
        <v>00/00/0000</v>
      </c>
      <c r="W1038" s="922"/>
      <c r="X1038" s="920"/>
      <c r="Y1038" s="920"/>
      <c r="Z1038" s="919"/>
      <c r="AA1038" s="919"/>
      <c r="AB1038" s="920"/>
      <c r="AC1038" s="920"/>
      <c r="AD1038" s="912"/>
      <c r="AE1038" s="912"/>
      <c r="AF1038" s="920"/>
      <c r="AG1038" s="920"/>
      <c r="AH1038" s="912"/>
      <c r="AI1038" s="912"/>
      <c r="AJ1038" s="920"/>
      <c r="AK1038" s="920"/>
      <c r="AL1038" s="905"/>
      <c r="AM1038" s="906"/>
      <c r="AN1038" s="906"/>
      <c r="AO1038" s="906"/>
      <c r="AP1038" s="906"/>
      <c r="AQ1038" s="906"/>
      <c r="AR1038" s="906"/>
      <c r="AS1038" s="906"/>
      <c r="AT1038" s="906"/>
      <c r="AU1038" s="906"/>
      <c r="AV1038" s="906"/>
      <c r="AW1038" s="906"/>
      <c r="AX1038" s="906"/>
      <c r="AY1038" s="906"/>
      <c r="AZ1038" s="906"/>
      <c r="BA1038" s="906"/>
      <c r="BB1038" s="907"/>
    </row>
    <row r="1039" spans="1:54" x14ac:dyDescent="0.25">
      <c r="A1039" s="13">
        <f t="shared" si="16"/>
        <v>1026</v>
      </c>
      <c r="B1039" s="914" t="str">
        <f>'refer admin discharge'!B1035</f>
        <v>x</v>
      </c>
      <c r="C1039" s="914"/>
      <c r="D1039" s="889" t="str">
        <f>'refer admin discharge'!D1035</f>
        <v>xx</v>
      </c>
      <c r="E1039" s="889"/>
      <c r="F1039" s="915" t="str">
        <f>'refer admin discharge'!H1035</f>
        <v>00/00/0000</v>
      </c>
      <c r="G1039" s="890"/>
      <c r="H1039" s="916"/>
      <c r="I1039" s="916"/>
      <c r="J1039" s="917"/>
      <c r="K1039" s="917"/>
      <c r="L1039" s="916"/>
      <c r="M1039" s="916"/>
      <c r="N1039" s="893"/>
      <c r="O1039" s="893"/>
      <c r="P1039" s="916"/>
      <c r="Q1039" s="916"/>
      <c r="R1039" s="893"/>
      <c r="S1039" s="893"/>
      <c r="T1039" s="916"/>
      <c r="U1039" s="916"/>
      <c r="V1039" s="921" t="str">
        <f>'refer admin discharge'!H1040</f>
        <v>00/00/0000</v>
      </c>
      <c r="W1039" s="922"/>
      <c r="X1039" s="912"/>
      <c r="Y1039" s="912"/>
      <c r="Z1039" s="924"/>
      <c r="AA1039" s="924"/>
      <c r="AB1039" s="912"/>
      <c r="AC1039" s="912"/>
      <c r="AD1039" s="913"/>
      <c r="AE1039" s="913"/>
      <c r="AF1039" s="912"/>
      <c r="AG1039" s="912"/>
      <c r="AH1039" s="913"/>
      <c r="AI1039" s="913"/>
      <c r="AJ1039" s="912"/>
      <c r="AK1039" s="912"/>
      <c r="AL1039" s="925"/>
      <c r="AM1039" s="926"/>
      <c r="AN1039" s="926"/>
      <c r="AO1039" s="926"/>
      <c r="AP1039" s="926"/>
      <c r="AQ1039" s="926"/>
      <c r="AR1039" s="926"/>
      <c r="AS1039" s="926"/>
      <c r="AT1039" s="926"/>
      <c r="AU1039" s="926"/>
      <c r="AV1039" s="926"/>
      <c r="AW1039" s="926"/>
      <c r="AX1039" s="926"/>
      <c r="AY1039" s="926"/>
      <c r="AZ1039" s="926"/>
      <c r="BA1039" s="926"/>
      <c r="BB1039" s="927"/>
    </row>
    <row r="1040" spans="1:54" x14ac:dyDescent="0.25">
      <c r="A1040" s="13">
        <f t="shared" si="16"/>
        <v>1027</v>
      </c>
      <c r="B1040" s="888" t="str">
        <f>'refer admin discharge'!B1036</f>
        <v>x</v>
      </c>
      <c r="C1040" s="888"/>
      <c r="D1040" s="868" t="str">
        <f>'refer admin discharge'!D1036</f>
        <v>xx</v>
      </c>
      <c r="E1040" s="868"/>
      <c r="F1040" s="891" t="str">
        <f>'refer admin discharge'!H1036</f>
        <v>00/00/0000</v>
      </c>
      <c r="G1040" s="892"/>
      <c r="H1040" s="894"/>
      <c r="I1040" s="894"/>
      <c r="J1040" s="918"/>
      <c r="K1040" s="918"/>
      <c r="L1040" s="894"/>
      <c r="M1040" s="894"/>
      <c r="N1040" s="916"/>
      <c r="O1040" s="916"/>
      <c r="P1040" s="894"/>
      <c r="Q1040" s="894"/>
      <c r="R1040" s="916"/>
      <c r="S1040" s="916"/>
      <c r="T1040" s="894"/>
      <c r="U1040" s="894"/>
      <c r="V1040" s="921" t="str">
        <f>'refer admin discharge'!H1041</f>
        <v>00/00/0000</v>
      </c>
      <c r="W1040" s="922"/>
      <c r="X1040" s="920"/>
      <c r="Y1040" s="920"/>
      <c r="Z1040" s="919"/>
      <c r="AA1040" s="919"/>
      <c r="AB1040" s="920"/>
      <c r="AC1040" s="920"/>
      <c r="AD1040" s="912"/>
      <c r="AE1040" s="912"/>
      <c r="AF1040" s="920"/>
      <c r="AG1040" s="920"/>
      <c r="AH1040" s="912"/>
      <c r="AI1040" s="912"/>
      <c r="AJ1040" s="920"/>
      <c r="AK1040" s="920"/>
      <c r="AL1040" s="905"/>
      <c r="AM1040" s="906"/>
      <c r="AN1040" s="906"/>
      <c r="AO1040" s="906"/>
      <c r="AP1040" s="906"/>
      <c r="AQ1040" s="906"/>
      <c r="AR1040" s="906"/>
      <c r="AS1040" s="906"/>
      <c r="AT1040" s="906"/>
      <c r="AU1040" s="906"/>
      <c r="AV1040" s="906"/>
      <c r="AW1040" s="906"/>
      <c r="AX1040" s="906"/>
      <c r="AY1040" s="906"/>
      <c r="AZ1040" s="906"/>
      <c r="BA1040" s="906"/>
      <c r="BB1040" s="907"/>
    </row>
    <row r="1041" spans="1:54" x14ac:dyDescent="0.25">
      <c r="A1041" s="13">
        <f t="shared" si="16"/>
        <v>1028</v>
      </c>
      <c r="B1041" s="914" t="str">
        <f>'refer admin discharge'!B1037</f>
        <v>x</v>
      </c>
      <c r="C1041" s="914"/>
      <c r="D1041" s="889" t="str">
        <f>'refer admin discharge'!D1037</f>
        <v>xx</v>
      </c>
      <c r="E1041" s="889"/>
      <c r="F1041" s="915" t="str">
        <f>'refer admin discharge'!H1037</f>
        <v>00/00/0000</v>
      </c>
      <c r="G1041" s="890"/>
      <c r="H1041" s="916"/>
      <c r="I1041" s="916"/>
      <c r="J1041" s="917"/>
      <c r="K1041" s="917"/>
      <c r="L1041" s="916"/>
      <c r="M1041" s="916"/>
      <c r="N1041" s="893"/>
      <c r="O1041" s="893"/>
      <c r="P1041" s="916"/>
      <c r="Q1041" s="916"/>
      <c r="R1041" s="893"/>
      <c r="S1041" s="893"/>
      <c r="T1041" s="916"/>
      <c r="U1041" s="916"/>
      <c r="V1041" s="921" t="str">
        <f>'refer admin discharge'!H1042</f>
        <v>00/00/0000</v>
      </c>
      <c r="W1041" s="922"/>
      <c r="X1041" s="912"/>
      <c r="Y1041" s="912"/>
      <c r="Z1041" s="924"/>
      <c r="AA1041" s="924"/>
      <c r="AB1041" s="912"/>
      <c r="AC1041" s="912"/>
      <c r="AD1041" s="913"/>
      <c r="AE1041" s="913"/>
      <c r="AF1041" s="912"/>
      <c r="AG1041" s="912"/>
      <c r="AH1041" s="913"/>
      <c r="AI1041" s="913"/>
      <c r="AJ1041" s="912"/>
      <c r="AK1041" s="912"/>
      <c r="AL1041" s="925"/>
      <c r="AM1041" s="926"/>
      <c r="AN1041" s="926"/>
      <c r="AO1041" s="926"/>
      <c r="AP1041" s="926"/>
      <c r="AQ1041" s="926"/>
      <c r="AR1041" s="926"/>
      <c r="AS1041" s="926"/>
      <c r="AT1041" s="926"/>
      <c r="AU1041" s="926"/>
      <c r="AV1041" s="926"/>
      <c r="AW1041" s="926"/>
      <c r="AX1041" s="926"/>
      <c r="AY1041" s="926"/>
      <c r="AZ1041" s="926"/>
      <c r="BA1041" s="926"/>
      <c r="BB1041" s="927"/>
    </row>
    <row r="1042" spans="1:54" x14ac:dyDescent="0.25">
      <c r="A1042" s="13">
        <f t="shared" si="16"/>
        <v>1029</v>
      </c>
      <c r="B1042" s="888" t="str">
        <f>'refer admin discharge'!B1038</f>
        <v>x</v>
      </c>
      <c r="C1042" s="888"/>
      <c r="D1042" s="868" t="str">
        <f>'refer admin discharge'!D1038</f>
        <v>xx</v>
      </c>
      <c r="E1042" s="868"/>
      <c r="F1042" s="891" t="str">
        <f>'refer admin discharge'!H1038</f>
        <v>00/00/0000</v>
      </c>
      <c r="G1042" s="892"/>
      <c r="H1042" s="894"/>
      <c r="I1042" s="894"/>
      <c r="J1042" s="918"/>
      <c r="K1042" s="918"/>
      <c r="L1042" s="894"/>
      <c r="M1042" s="894"/>
      <c r="N1042" s="916"/>
      <c r="O1042" s="916"/>
      <c r="P1042" s="894"/>
      <c r="Q1042" s="894"/>
      <c r="R1042" s="916"/>
      <c r="S1042" s="916"/>
      <c r="T1042" s="894"/>
      <c r="U1042" s="894"/>
      <c r="V1042" s="921" t="str">
        <f>'refer admin discharge'!H1043</f>
        <v>00/00/0000</v>
      </c>
      <c r="W1042" s="922"/>
      <c r="X1042" s="920"/>
      <c r="Y1042" s="920"/>
      <c r="Z1042" s="919"/>
      <c r="AA1042" s="919"/>
      <c r="AB1042" s="920"/>
      <c r="AC1042" s="920"/>
      <c r="AD1042" s="912"/>
      <c r="AE1042" s="912"/>
      <c r="AF1042" s="920"/>
      <c r="AG1042" s="920"/>
      <c r="AH1042" s="912"/>
      <c r="AI1042" s="912"/>
      <c r="AJ1042" s="920"/>
      <c r="AK1042" s="920"/>
      <c r="AL1042" s="905"/>
      <c r="AM1042" s="906"/>
      <c r="AN1042" s="906"/>
      <c r="AO1042" s="906"/>
      <c r="AP1042" s="906"/>
      <c r="AQ1042" s="906"/>
      <c r="AR1042" s="906"/>
      <c r="AS1042" s="906"/>
      <c r="AT1042" s="906"/>
      <c r="AU1042" s="906"/>
      <c r="AV1042" s="906"/>
      <c r="AW1042" s="906"/>
      <c r="AX1042" s="906"/>
      <c r="AY1042" s="906"/>
      <c r="AZ1042" s="906"/>
      <c r="BA1042" s="906"/>
      <c r="BB1042" s="907"/>
    </row>
    <row r="1043" spans="1:54" x14ac:dyDescent="0.25">
      <c r="A1043" s="13">
        <f t="shared" si="16"/>
        <v>1030</v>
      </c>
      <c r="B1043" s="914" t="str">
        <f>'refer admin discharge'!B1039</f>
        <v>x</v>
      </c>
      <c r="C1043" s="914"/>
      <c r="D1043" s="889" t="str">
        <f>'refer admin discharge'!D1039</f>
        <v>xx</v>
      </c>
      <c r="E1043" s="889"/>
      <c r="F1043" s="915" t="str">
        <f>'refer admin discharge'!H1039</f>
        <v>00/00/0000</v>
      </c>
      <c r="G1043" s="890"/>
      <c r="H1043" s="916"/>
      <c r="I1043" s="916"/>
      <c r="J1043" s="917"/>
      <c r="K1043" s="917"/>
      <c r="L1043" s="916"/>
      <c r="M1043" s="916"/>
      <c r="N1043" s="893"/>
      <c r="O1043" s="893"/>
      <c r="P1043" s="916"/>
      <c r="Q1043" s="916"/>
      <c r="R1043" s="893"/>
      <c r="S1043" s="893"/>
      <c r="T1043" s="916"/>
      <c r="U1043" s="916"/>
      <c r="V1043" s="921" t="str">
        <f>'refer admin discharge'!H1044</f>
        <v>00/00/0000</v>
      </c>
      <c r="W1043" s="922"/>
      <c r="X1043" s="912"/>
      <c r="Y1043" s="912"/>
      <c r="Z1043" s="924"/>
      <c r="AA1043" s="924"/>
      <c r="AB1043" s="912"/>
      <c r="AC1043" s="912"/>
      <c r="AD1043" s="913"/>
      <c r="AE1043" s="913"/>
      <c r="AF1043" s="912"/>
      <c r="AG1043" s="912"/>
      <c r="AH1043" s="913"/>
      <c r="AI1043" s="913"/>
      <c r="AJ1043" s="912"/>
      <c r="AK1043" s="912"/>
      <c r="AL1043" s="925"/>
      <c r="AM1043" s="926"/>
      <c r="AN1043" s="926"/>
      <c r="AO1043" s="926"/>
      <c r="AP1043" s="926"/>
      <c r="AQ1043" s="926"/>
      <c r="AR1043" s="926"/>
      <c r="AS1043" s="926"/>
      <c r="AT1043" s="926"/>
      <c r="AU1043" s="926"/>
      <c r="AV1043" s="926"/>
      <c r="AW1043" s="926"/>
      <c r="AX1043" s="926"/>
      <c r="AY1043" s="926"/>
      <c r="AZ1043" s="926"/>
      <c r="BA1043" s="926"/>
      <c r="BB1043" s="927"/>
    </row>
    <row r="1044" spans="1:54" x14ac:dyDescent="0.25">
      <c r="A1044" s="13">
        <f t="shared" si="16"/>
        <v>1031</v>
      </c>
      <c r="B1044" s="888" t="str">
        <f>'refer admin discharge'!B1040</f>
        <v>x</v>
      </c>
      <c r="C1044" s="888"/>
      <c r="D1044" s="868" t="str">
        <f>'refer admin discharge'!D1040</f>
        <v>xx</v>
      </c>
      <c r="E1044" s="868"/>
      <c r="F1044" s="891" t="str">
        <f>'refer admin discharge'!H1040</f>
        <v>00/00/0000</v>
      </c>
      <c r="G1044" s="892"/>
      <c r="H1044" s="894"/>
      <c r="I1044" s="894"/>
      <c r="J1044" s="918"/>
      <c r="K1044" s="918"/>
      <c r="L1044" s="894"/>
      <c r="M1044" s="894"/>
      <c r="N1044" s="916"/>
      <c r="O1044" s="916"/>
      <c r="P1044" s="894"/>
      <c r="Q1044" s="894"/>
      <c r="R1044" s="916"/>
      <c r="S1044" s="916"/>
      <c r="T1044" s="894"/>
      <c r="U1044" s="894"/>
      <c r="V1044" s="921" t="str">
        <f>'refer admin discharge'!H1045</f>
        <v>00/00/0000</v>
      </c>
      <c r="W1044" s="922"/>
      <c r="X1044" s="920"/>
      <c r="Y1044" s="920"/>
      <c r="Z1044" s="919"/>
      <c r="AA1044" s="919"/>
      <c r="AB1044" s="920"/>
      <c r="AC1044" s="920"/>
      <c r="AD1044" s="912"/>
      <c r="AE1044" s="912"/>
      <c r="AF1044" s="920"/>
      <c r="AG1044" s="920"/>
      <c r="AH1044" s="912"/>
      <c r="AI1044" s="912"/>
      <c r="AJ1044" s="920"/>
      <c r="AK1044" s="920"/>
      <c r="AL1044" s="905"/>
      <c r="AM1044" s="906"/>
      <c r="AN1044" s="906"/>
      <c r="AO1044" s="906"/>
      <c r="AP1044" s="906"/>
      <c r="AQ1044" s="906"/>
      <c r="AR1044" s="906"/>
      <c r="AS1044" s="906"/>
      <c r="AT1044" s="906"/>
      <c r="AU1044" s="906"/>
      <c r="AV1044" s="906"/>
      <c r="AW1044" s="906"/>
      <c r="AX1044" s="906"/>
      <c r="AY1044" s="906"/>
      <c r="AZ1044" s="906"/>
      <c r="BA1044" s="906"/>
      <c r="BB1044" s="907"/>
    </row>
    <row r="1045" spans="1:54" x14ac:dyDescent="0.25">
      <c r="A1045" s="13">
        <f t="shared" si="16"/>
        <v>1032</v>
      </c>
      <c r="B1045" s="914" t="str">
        <f>'refer admin discharge'!B1041</f>
        <v>x</v>
      </c>
      <c r="C1045" s="914"/>
      <c r="D1045" s="889" t="str">
        <f>'refer admin discharge'!D1041</f>
        <v>xx</v>
      </c>
      <c r="E1045" s="889"/>
      <c r="F1045" s="915" t="str">
        <f>'refer admin discharge'!H1041</f>
        <v>00/00/0000</v>
      </c>
      <c r="G1045" s="890"/>
      <c r="H1045" s="916"/>
      <c r="I1045" s="916"/>
      <c r="J1045" s="917"/>
      <c r="K1045" s="917"/>
      <c r="L1045" s="916"/>
      <c r="M1045" s="916"/>
      <c r="N1045" s="893"/>
      <c r="O1045" s="893"/>
      <c r="P1045" s="916"/>
      <c r="Q1045" s="916"/>
      <c r="R1045" s="893"/>
      <c r="S1045" s="893"/>
      <c r="T1045" s="916"/>
      <c r="U1045" s="916"/>
      <c r="V1045" s="921" t="str">
        <f>'refer admin discharge'!H1046</f>
        <v>00/00/0000</v>
      </c>
      <c r="W1045" s="922"/>
      <c r="X1045" s="912"/>
      <c r="Y1045" s="912"/>
      <c r="Z1045" s="924"/>
      <c r="AA1045" s="924"/>
      <c r="AB1045" s="912"/>
      <c r="AC1045" s="912"/>
      <c r="AD1045" s="913"/>
      <c r="AE1045" s="913"/>
      <c r="AF1045" s="912"/>
      <c r="AG1045" s="912"/>
      <c r="AH1045" s="913"/>
      <c r="AI1045" s="913"/>
      <c r="AJ1045" s="912"/>
      <c r="AK1045" s="912"/>
      <c r="AL1045" s="925"/>
      <c r="AM1045" s="926"/>
      <c r="AN1045" s="926"/>
      <c r="AO1045" s="926"/>
      <c r="AP1045" s="926"/>
      <c r="AQ1045" s="926"/>
      <c r="AR1045" s="926"/>
      <c r="AS1045" s="926"/>
      <c r="AT1045" s="926"/>
      <c r="AU1045" s="926"/>
      <c r="AV1045" s="926"/>
      <c r="AW1045" s="926"/>
      <c r="AX1045" s="926"/>
      <c r="AY1045" s="926"/>
      <c r="AZ1045" s="926"/>
      <c r="BA1045" s="926"/>
      <c r="BB1045" s="927"/>
    </row>
    <row r="1046" spans="1:54" x14ac:dyDescent="0.25">
      <c r="A1046" s="13">
        <f t="shared" si="16"/>
        <v>1033</v>
      </c>
      <c r="B1046" s="888" t="str">
        <f>'refer admin discharge'!B1042</f>
        <v>x</v>
      </c>
      <c r="C1046" s="888"/>
      <c r="D1046" s="868" t="str">
        <f>'refer admin discharge'!D1042</f>
        <v>xx</v>
      </c>
      <c r="E1046" s="868"/>
      <c r="F1046" s="891" t="str">
        <f>'refer admin discharge'!H1042</f>
        <v>00/00/0000</v>
      </c>
      <c r="G1046" s="892"/>
      <c r="H1046" s="894"/>
      <c r="I1046" s="894"/>
      <c r="J1046" s="918"/>
      <c r="K1046" s="918"/>
      <c r="L1046" s="894"/>
      <c r="M1046" s="894"/>
      <c r="N1046" s="916"/>
      <c r="O1046" s="916"/>
      <c r="P1046" s="894"/>
      <c r="Q1046" s="894"/>
      <c r="R1046" s="916"/>
      <c r="S1046" s="916"/>
      <c r="T1046" s="894"/>
      <c r="U1046" s="894"/>
      <c r="V1046" s="921" t="str">
        <f>'refer admin discharge'!H1047</f>
        <v>00/00/0000</v>
      </c>
      <c r="W1046" s="922"/>
      <c r="X1046" s="920"/>
      <c r="Y1046" s="920"/>
      <c r="Z1046" s="919"/>
      <c r="AA1046" s="919"/>
      <c r="AB1046" s="920"/>
      <c r="AC1046" s="920"/>
      <c r="AD1046" s="912"/>
      <c r="AE1046" s="912"/>
      <c r="AF1046" s="920"/>
      <c r="AG1046" s="920"/>
      <c r="AH1046" s="912"/>
      <c r="AI1046" s="912"/>
      <c r="AJ1046" s="920"/>
      <c r="AK1046" s="920"/>
      <c r="AL1046" s="905"/>
      <c r="AM1046" s="906"/>
      <c r="AN1046" s="906"/>
      <c r="AO1046" s="906"/>
      <c r="AP1046" s="906"/>
      <c r="AQ1046" s="906"/>
      <c r="AR1046" s="906"/>
      <c r="AS1046" s="906"/>
      <c r="AT1046" s="906"/>
      <c r="AU1046" s="906"/>
      <c r="AV1046" s="906"/>
      <c r="AW1046" s="906"/>
      <c r="AX1046" s="906"/>
      <c r="AY1046" s="906"/>
      <c r="AZ1046" s="906"/>
      <c r="BA1046" s="906"/>
      <c r="BB1046" s="907"/>
    </row>
    <row r="1047" spans="1:54" x14ac:dyDescent="0.25">
      <c r="A1047" s="13">
        <f t="shared" si="16"/>
        <v>1034</v>
      </c>
      <c r="B1047" s="914" t="str">
        <f>'refer admin discharge'!B1043</f>
        <v>x</v>
      </c>
      <c r="C1047" s="914"/>
      <c r="D1047" s="889" t="str">
        <f>'refer admin discharge'!D1043</f>
        <v>xx</v>
      </c>
      <c r="E1047" s="889"/>
      <c r="F1047" s="915" t="str">
        <f>'refer admin discharge'!H1043</f>
        <v>00/00/0000</v>
      </c>
      <c r="G1047" s="890"/>
      <c r="H1047" s="916"/>
      <c r="I1047" s="916"/>
      <c r="J1047" s="917"/>
      <c r="K1047" s="917"/>
      <c r="L1047" s="916"/>
      <c r="M1047" s="916"/>
      <c r="N1047" s="893"/>
      <c r="O1047" s="893"/>
      <c r="P1047" s="916"/>
      <c r="Q1047" s="916"/>
      <c r="R1047" s="893"/>
      <c r="S1047" s="893"/>
      <c r="T1047" s="916"/>
      <c r="U1047" s="916"/>
      <c r="V1047" s="921" t="str">
        <f>'refer admin discharge'!H1048</f>
        <v>00/00/0000</v>
      </c>
      <c r="W1047" s="922"/>
      <c r="X1047" s="912"/>
      <c r="Y1047" s="912"/>
      <c r="Z1047" s="924"/>
      <c r="AA1047" s="924"/>
      <c r="AB1047" s="912"/>
      <c r="AC1047" s="912"/>
      <c r="AD1047" s="913"/>
      <c r="AE1047" s="913"/>
      <c r="AF1047" s="912"/>
      <c r="AG1047" s="912"/>
      <c r="AH1047" s="913"/>
      <c r="AI1047" s="913"/>
      <c r="AJ1047" s="912"/>
      <c r="AK1047" s="912"/>
      <c r="AL1047" s="925"/>
      <c r="AM1047" s="926"/>
      <c r="AN1047" s="926"/>
      <c r="AO1047" s="926"/>
      <c r="AP1047" s="926"/>
      <c r="AQ1047" s="926"/>
      <c r="AR1047" s="926"/>
      <c r="AS1047" s="926"/>
      <c r="AT1047" s="926"/>
      <c r="AU1047" s="926"/>
      <c r="AV1047" s="926"/>
      <c r="AW1047" s="926"/>
      <c r="AX1047" s="926"/>
      <c r="AY1047" s="926"/>
      <c r="AZ1047" s="926"/>
      <c r="BA1047" s="926"/>
      <c r="BB1047" s="927"/>
    </row>
    <row r="1048" spans="1:54" x14ac:dyDescent="0.25">
      <c r="A1048" s="13">
        <f t="shared" si="16"/>
        <v>1035</v>
      </c>
      <c r="B1048" s="888" t="str">
        <f>'refer admin discharge'!B1044</f>
        <v>x</v>
      </c>
      <c r="C1048" s="888"/>
      <c r="D1048" s="868" t="str">
        <f>'refer admin discharge'!D1044</f>
        <v>xx</v>
      </c>
      <c r="E1048" s="868"/>
      <c r="F1048" s="891" t="str">
        <f>'refer admin discharge'!H1044</f>
        <v>00/00/0000</v>
      </c>
      <c r="G1048" s="892"/>
      <c r="H1048" s="894"/>
      <c r="I1048" s="894"/>
      <c r="J1048" s="918"/>
      <c r="K1048" s="918"/>
      <c r="L1048" s="894"/>
      <c r="M1048" s="894"/>
      <c r="N1048" s="916"/>
      <c r="O1048" s="916"/>
      <c r="P1048" s="894"/>
      <c r="Q1048" s="894"/>
      <c r="R1048" s="916"/>
      <c r="S1048" s="916"/>
      <c r="T1048" s="894"/>
      <c r="U1048" s="894"/>
      <c r="V1048" s="921" t="str">
        <f>'refer admin discharge'!H1049</f>
        <v>00/00/0000</v>
      </c>
      <c r="W1048" s="922"/>
      <c r="X1048" s="920"/>
      <c r="Y1048" s="920"/>
      <c r="Z1048" s="919"/>
      <c r="AA1048" s="919"/>
      <c r="AB1048" s="920"/>
      <c r="AC1048" s="920"/>
      <c r="AD1048" s="912"/>
      <c r="AE1048" s="912"/>
      <c r="AF1048" s="920"/>
      <c r="AG1048" s="920"/>
      <c r="AH1048" s="912"/>
      <c r="AI1048" s="912"/>
      <c r="AJ1048" s="920"/>
      <c r="AK1048" s="920"/>
      <c r="AL1048" s="905"/>
      <c r="AM1048" s="906"/>
      <c r="AN1048" s="906"/>
      <c r="AO1048" s="906"/>
      <c r="AP1048" s="906"/>
      <c r="AQ1048" s="906"/>
      <c r="AR1048" s="906"/>
      <c r="AS1048" s="906"/>
      <c r="AT1048" s="906"/>
      <c r="AU1048" s="906"/>
      <c r="AV1048" s="906"/>
      <c r="AW1048" s="906"/>
      <c r="AX1048" s="906"/>
      <c r="AY1048" s="906"/>
      <c r="AZ1048" s="906"/>
      <c r="BA1048" s="906"/>
      <c r="BB1048" s="907"/>
    </row>
    <row r="1049" spans="1:54" x14ac:dyDescent="0.25">
      <c r="A1049" s="13">
        <f t="shared" si="16"/>
        <v>1036</v>
      </c>
      <c r="B1049" s="914" t="str">
        <f>'refer admin discharge'!B1045</f>
        <v>x</v>
      </c>
      <c r="C1049" s="914"/>
      <c r="D1049" s="889" t="str">
        <f>'refer admin discharge'!D1045</f>
        <v>xx</v>
      </c>
      <c r="E1049" s="889"/>
      <c r="F1049" s="915" t="str">
        <f>'refer admin discharge'!H1045</f>
        <v>00/00/0000</v>
      </c>
      <c r="G1049" s="890"/>
      <c r="H1049" s="916"/>
      <c r="I1049" s="916"/>
      <c r="J1049" s="917"/>
      <c r="K1049" s="917"/>
      <c r="L1049" s="916"/>
      <c r="M1049" s="916"/>
      <c r="N1049" s="893"/>
      <c r="O1049" s="893"/>
      <c r="P1049" s="916"/>
      <c r="Q1049" s="916"/>
      <c r="R1049" s="893"/>
      <c r="S1049" s="893"/>
      <c r="T1049" s="916"/>
      <c r="U1049" s="916"/>
      <c r="V1049" s="921" t="str">
        <f>'refer admin discharge'!H1050</f>
        <v>00/00/0000</v>
      </c>
      <c r="W1049" s="922"/>
      <c r="X1049" s="912"/>
      <c r="Y1049" s="912"/>
      <c r="Z1049" s="924"/>
      <c r="AA1049" s="924"/>
      <c r="AB1049" s="912"/>
      <c r="AC1049" s="912"/>
      <c r="AD1049" s="913"/>
      <c r="AE1049" s="913"/>
      <c r="AF1049" s="912"/>
      <c r="AG1049" s="912"/>
      <c r="AH1049" s="913"/>
      <c r="AI1049" s="913"/>
      <c r="AJ1049" s="912"/>
      <c r="AK1049" s="912"/>
      <c r="AL1049" s="925"/>
      <c r="AM1049" s="926"/>
      <c r="AN1049" s="926"/>
      <c r="AO1049" s="926"/>
      <c r="AP1049" s="926"/>
      <c r="AQ1049" s="926"/>
      <c r="AR1049" s="926"/>
      <c r="AS1049" s="926"/>
      <c r="AT1049" s="926"/>
      <c r="AU1049" s="926"/>
      <c r="AV1049" s="926"/>
      <c r="AW1049" s="926"/>
      <c r="AX1049" s="926"/>
      <c r="AY1049" s="926"/>
      <c r="AZ1049" s="926"/>
      <c r="BA1049" s="926"/>
      <c r="BB1049" s="927"/>
    </row>
    <row r="1050" spans="1:54" x14ac:dyDescent="0.25">
      <c r="A1050" s="13">
        <f t="shared" si="16"/>
        <v>1037</v>
      </c>
      <c r="B1050" s="888" t="str">
        <f>'refer admin discharge'!B1046</f>
        <v>x</v>
      </c>
      <c r="C1050" s="888"/>
      <c r="D1050" s="868" t="str">
        <f>'refer admin discharge'!D1046</f>
        <v>xx</v>
      </c>
      <c r="E1050" s="868"/>
      <c r="F1050" s="891" t="str">
        <f>'refer admin discharge'!H1046</f>
        <v>00/00/0000</v>
      </c>
      <c r="G1050" s="892"/>
      <c r="H1050" s="894"/>
      <c r="I1050" s="894"/>
      <c r="J1050" s="918"/>
      <c r="K1050" s="918"/>
      <c r="L1050" s="894"/>
      <c r="M1050" s="894"/>
      <c r="N1050" s="916"/>
      <c r="O1050" s="916"/>
      <c r="P1050" s="894"/>
      <c r="Q1050" s="894"/>
      <c r="R1050" s="916"/>
      <c r="S1050" s="916"/>
      <c r="T1050" s="894"/>
      <c r="U1050" s="894"/>
      <c r="V1050" s="921" t="str">
        <f>'refer admin discharge'!H1051</f>
        <v>00/00/0000</v>
      </c>
      <c r="W1050" s="922"/>
      <c r="X1050" s="920"/>
      <c r="Y1050" s="920"/>
      <c r="Z1050" s="919"/>
      <c r="AA1050" s="919"/>
      <c r="AB1050" s="920"/>
      <c r="AC1050" s="920"/>
      <c r="AD1050" s="912"/>
      <c r="AE1050" s="912"/>
      <c r="AF1050" s="920"/>
      <c r="AG1050" s="920"/>
      <c r="AH1050" s="912"/>
      <c r="AI1050" s="912"/>
      <c r="AJ1050" s="920"/>
      <c r="AK1050" s="920"/>
      <c r="AL1050" s="905"/>
      <c r="AM1050" s="906"/>
      <c r="AN1050" s="906"/>
      <c r="AO1050" s="906"/>
      <c r="AP1050" s="906"/>
      <c r="AQ1050" s="906"/>
      <c r="AR1050" s="906"/>
      <c r="AS1050" s="906"/>
      <c r="AT1050" s="906"/>
      <c r="AU1050" s="906"/>
      <c r="AV1050" s="906"/>
      <c r="AW1050" s="906"/>
      <c r="AX1050" s="906"/>
      <c r="AY1050" s="906"/>
      <c r="AZ1050" s="906"/>
      <c r="BA1050" s="906"/>
      <c r="BB1050" s="907"/>
    </row>
    <row r="1051" spans="1:54" x14ac:dyDescent="0.25">
      <c r="A1051" s="13">
        <f t="shared" si="16"/>
        <v>1038</v>
      </c>
      <c r="B1051" s="914" t="str">
        <f>'refer admin discharge'!B1047</f>
        <v>x</v>
      </c>
      <c r="C1051" s="914"/>
      <c r="D1051" s="889" t="str">
        <f>'refer admin discharge'!D1047</f>
        <v>xx</v>
      </c>
      <c r="E1051" s="889"/>
      <c r="F1051" s="915" t="str">
        <f>'refer admin discharge'!H1047</f>
        <v>00/00/0000</v>
      </c>
      <c r="G1051" s="890"/>
      <c r="H1051" s="916"/>
      <c r="I1051" s="916"/>
      <c r="J1051" s="917"/>
      <c r="K1051" s="917"/>
      <c r="L1051" s="916"/>
      <c r="M1051" s="916"/>
      <c r="N1051" s="893"/>
      <c r="O1051" s="893"/>
      <c r="P1051" s="916"/>
      <c r="Q1051" s="916"/>
      <c r="R1051" s="893"/>
      <c r="S1051" s="893"/>
      <c r="T1051" s="916"/>
      <c r="U1051" s="916"/>
      <c r="V1051" s="921" t="str">
        <f>'refer admin discharge'!H1052</f>
        <v>00/00/0000</v>
      </c>
      <c r="W1051" s="922"/>
      <c r="X1051" s="912"/>
      <c r="Y1051" s="912"/>
      <c r="Z1051" s="924"/>
      <c r="AA1051" s="924"/>
      <c r="AB1051" s="912"/>
      <c r="AC1051" s="912"/>
      <c r="AD1051" s="913"/>
      <c r="AE1051" s="913"/>
      <c r="AF1051" s="912"/>
      <c r="AG1051" s="912"/>
      <c r="AH1051" s="913"/>
      <c r="AI1051" s="913"/>
      <c r="AJ1051" s="912"/>
      <c r="AK1051" s="912"/>
      <c r="AL1051" s="925"/>
      <c r="AM1051" s="926"/>
      <c r="AN1051" s="926"/>
      <c r="AO1051" s="926"/>
      <c r="AP1051" s="926"/>
      <c r="AQ1051" s="926"/>
      <c r="AR1051" s="926"/>
      <c r="AS1051" s="926"/>
      <c r="AT1051" s="926"/>
      <c r="AU1051" s="926"/>
      <c r="AV1051" s="926"/>
      <c r="AW1051" s="926"/>
      <c r="AX1051" s="926"/>
      <c r="AY1051" s="926"/>
      <c r="AZ1051" s="926"/>
      <c r="BA1051" s="926"/>
      <c r="BB1051" s="927"/>
    </row>
    <row r="1052" spans="1:54" x14ac:dyDescent="0.25">
      <c r="A1052" s="13">
        <f t="shared" si="16"/>
        <v>1039</v>
      </c>
      <c r="B1052" s="888" t="str">
        <f>'refer admin discharge'!B1048</f>
        <v>x</v>
      </c>
      <c r="C1052" s="888"/>
      <c r="D1052" s="868" t="str">
        <f>'refer admin discharge'!D1048</f>
        <v>xx</v>
      </c>
      <c r="E1052" s="868"/>
      <c r="F1052" s="891" t="str">
        <f>'refer admin discharge'!H1048</f>
        <v>00/00/0000</v>
      </c>
      <c r="G1052" s="892"/>
      <c r="H1052" s="894"/>
      <c r="I1052" s="894"/>
      <c r="J1052" s="918"/>
      <c r="K1052" s="918"/>
      <c r="L1052" s="894"/>
      <c r="M1052" s="894"/>
      <c r="N1052" s="916"/>
      <c r="O1052" s="916"/>
      <c r="P1052" s="894"/>
      <c r="Q1052" s="894"/>
      <c r="R1052" s="916"/>
      <c r="S1052" s="916"/>
      <c r="T1052" s="894"/>
      <c r="U1052" s="894"/>
      <c r="V1052" s="921" t="str">
        <f>'refer admin discharge'!H1053</f>
        <v>00/00/0000</v>
      </c>
      <c r="W1052" s="922"/>
      <c r="X1052" s="920"/>
      <c r="Y1052" s="920"/>
      <c r="Z1052" s="919"/>
      <c r="AA1052" s="919"/>
      <c r="AB1052" s="920"/>
      <c r="AC1052" s="920"/>
      <c r="AD1052" s="912"/>
      <c r="AE1052" s="912"/>
      <c r="AF1052" s="920"/>
      <c r="AG1052" s="920"/>
      <c r="AH1052" s="912"/>
      <c r="AI1052" s="912"/>
      <c r="AJ1052" s="920"/>
      <c r="AK1052" s="920"/>
      <c r="AL1052" s="905"/>
      <c r="AM1052" s="906"/>
      <c r="AN1052" s="906"/>
      <c r="AO1052" s="906"/>
      <c r="AP1052" s="906"/>
      <c r="AQ1052" s="906"/>
      <c r="AR1052" s="906"/>
      <c r="AS1052" s="906"/>
      <c r="AT1052" s="906"/>
      <c r="AU1052" s="906"/>
      <c r="AV1052" s="906"/>
      <c r="AW1052" s="906"/>
      <c r="AX1052" s="906"/>
      <c r="AY1052" s="906"/>
      <c r="AZ1052" s="906"/>
      <c r="BA1052" s="906"/>
      <c r="BB1052" s="907"/>
    </row>
    <row r="1053" spans="1:54" x14ac:dyDescent="0.25">
      <c r="A1053" s="13">
        <f t="shared" si="16"/>
        <v>1040</v>
      </c>
      <c r="B1053" s="914" t="str">
        <f>'refer admin discharge'!B1049</f>
        <v>x</v>
      </c>
      <c r="C1053" s="914"/>
      <c r="D1053" s="889" t="str">
        <f>'refer admin discharge'!D1049</f>
        <v>xx</v>
      </c>
      <c r="E1053" s="889"/>
      <c r="F1053" s="915" t="str">
        <f>'refer admin discharge'!H1049</f>
        <v>00/00/0000</v>
      </c>
      <c r="G1053" s="890"/>
      <c r="H1053" s="916"/>
      <c r="I1053" s="916"/>
      <c r="J1053" s="917"/>
      <c r="K1053" s="917"/>
      <c r="L1053" s="916"/>
      <c r="M1053" s="916"/>
      <c r="N1053" s="893"/>
      <c r="O1053" s="893"/>
      <c r="P1053" s="916"/>
      <c r="Q1053" s="916"/>
      <c r="R1053" s="893"/>
      <c r="S1053" s="893"/>
      <c r="T1053" s="916"/>
      <c r="U1053" s="916"/>
      <c r="V1053" s="921" t="str">
        <f>'refer admin discharge'!H1054</f>
        <v>00/00/0000</v>
      </c>
      <c r="W1053" s="922"/>
      <c r="X1053" s="912"/>
      <c r="Y1053" s="912"/>
      <c r="Z1053" s="924"/>
      <c r="AA1053" s="924"/>
      <c r="AB1053" s="912"/>
      <c r="AC1053" s="912"/>
      <c r="AD1053" s="913"/>
      <c r="AE1053" s="913"/>
      <c r="AF1053" s="912"/>
      <c r="AG1053" s="912"/>
      <c r="AH1053" s="913"/>
      <c r="AI1053" s="913"/>
      <c r="AJ1053" s="912"/>
      <c r="AK1053" s="912"/>
      <c r="AL1053" s="925"/>
      <c r="AM1053" s="926"/>
      <c r="AN1053" s="926"/>
      <c r="AO1053" s="926"/>
      <c r="AP1053" s="926"/>
      <c r="AQ1053" s="926"/>
      <c r="AR1053" s="926"/>
      <c r="AS1053" s="926"/>
      <c r="AT1053" s="926"/>
      <c r="AU1053" s="926"/>
      <c r="AV1053" s="926"/>
      <c r="AW1053" s="926"/>
      <c r="AX1053" s="926"/>
      <c r="AY1053" s="926"/>
      <c r="AZ1053" s="926"/>
      <c r="BA1053" s="926"/>
      <c r="BB1053" s="927"/>
    </row>
    <row r="1054" spans="1:54" x14ac:dyDescent="0.25">
      <c r="A1054" s="13">
        <f t="shared" si="16"/>
        <v>1041</v>
      </c>
      <c r="B1054" s="888" t="str">
        <f>'refer admin discharge'!B1050</f>
        <v>x</v>
      </c>
      <c r="C1054" s="888"/>
      <c r="D1054" s="868" t="str">
        <f>'refer admin discharge'!D1050</f>
        <v>xx</v>
      </c>
      <c r="E1054" s="868"/>
      <c r="F1054" s="891" t="str">
        <f>'refer admin discharge'!H1050</f>
        <v>00/00/0000</v>
      </c>
      <c r="G1054" s="892"/>
      <c r="H1054" s="894"/>
      <c r="I1054" s="894"/>
      <c r="J1054" s="918"/>
      <c r="K1054" s="918"/>
      <c r="L1054" s="894"/>
      <c r="M1054" s="894"/>
      <c r="N1054" s="916"/>
      <c r="O1054" s="916"/>
      <c r="P1054" s="894"/>
      <c r="Q1054" s="894"/>
      <c r="R1054" s="916"/>
      <c r="S1054" s="916"/>
      <c r="T1054" s="894"/>
      <c r="U1054" s="894"/>
      <c r="V1054" s="921" t="str">
        <f>'refer admin discharge'!H1055</f>
        <v>00/00/0000</v>
      </c>
      <c r="W1054" s="922"/>
      <c r="X1054" s="920"/>
      <c r="Y1054" s="920"/>
      <c r="Z1054" s="919"/>
      <c r="AA1054" s="919"/>
      <c r="AB1054" s="920"/>
      <c r="AC1054" s="920"/>
      <c r="AD1054" s="912"/>
      <c r="AE1054" s="912"/>
      <c r="AF1054" s="920"/>
      <c r="AG1054" s="920"/>
      <c r="AH1054" s="912"/>
      <c r="AI1054" s="912"/>
      <c r="AJ1054" s="920"/>
      <c r="AK1054" s="920"/>
      <c r="AL1054" s="905"/>
      <c r="AM1054" s="906"/>
      <c r="AN1054" s="906"/>
      <c r="AO1054" s="906"/>
      <c r="AP1054" s="906"/>
      <c r="AQ1054" s="906"/>
      <c r="AR1054" s="906"/>
      <c r="AS1054" s="906"/>
      <c r="AT1054" s="906"/>
      <c r="AU1054" s="906"/>
      <c r="AV1054" s="906"/>
      <c r="AW1054" s="906"/>
      <c r="AX1054" s="906"/>
      <c r="AY1054" s="906"/>
      <c r="AZ1054" s="906"/>
      <c r="BA1054" s="906"/>
      <c r="BB1054" s="907"/>
    </row>
    <row r="1055" spans="1:54" x14ac:dyDescent="0.25">
      <c r="A1055" s="13">
        <f t="shared" si="16"/>
        <v>1042</v>
      </c>
      <c r="B1055" s="914" t="str">
        <f>'refer admin discharge'!B1051</f>
        <v>x</v>
      </c>
      <c r="C1055" s="914"/>
      <c r="D1055" s="889" t="str">
        <f>'refer admin discharge'!D1051</f>
        <v>xx</v>
      </c>
      <c r="E1055" s="889"/>
      <c r="F1055" s="915" t="str">
        <f>'refer admin discharge'!H1051</f>
        <v>00/00/0000</v>
      </c>
      <c r="G1055" s="890"/>
      <c r="H1055" s="916"/>
      <c r="I1055" s="916"/>
      <c r="J1055" s="917"/>
      <c r="K1055" s="917"/>
      <c r="L1055" s="916"/>
      <c r="M1055" s="916"/>
      <c r="N1055" s="893"/>
      <c r="O1055" s="893"/>
      <c r="P1055" s="916"/>
      <c r="Q1055" s="916"/>
      <c r="R1055" s="893"/>
      <c r="S1055" s="893"/>
      <c r="T1055" s="916"/>
      <c r="U1055" s="916"/>
      <c r="V1055" s="921" t="str">
        <f>'refer admin discharge'!H1056</f>
        <v>00/00/0000</v>
      </c>
      <c r="W1055" s="922"/>
      <c r="X1055" s="912"/>
      <c r="Y1055" s="912"/>
      <c r="Z1055" s="924"/>
      <c r="AA1055" s="924"/>
      <c r="AB1055" s="912"/>
      <c r="AC1055" s="912"/>
      <c r="AD1055" s="913"/>
      <c r="AE1055" s="913"/>
      <c r="AF1055" s="912"/>
      <c r="AG1055" s="912"/>
      <c r="AH1055" s="913"/>
      <c r="AI1055" s="913"/>
      <c r="AJ1055" s="912"/>
      <c r="AK1055" s="912"/>
      <c r="AL1055" s="925"/>
      <c r="AM1055" s="926"/>
      <c r="AN1055" s="926"/>
      <c r="AO1055" s="926"/>
      <c r="AP1055" s="926"/>
      <c r="AQ1055" s="926"/>
      <c r="AR1055" s="926"/>
      <c r="AS1055" s="926"/>
      <c r="AT1055" s="926"/>
      <c r="AU1055" s="926"/>
      <c r="AV1055" s="926"/>
      <c r="AW1055" s="926"/>
      <c r="AX1055" s="926"/>
      <c r="AY1055" s="926"/>
      <c r="AZ1055" s="926"/>
      <c r="BA1055" s="926"/>
      <c r="BB1055" s="927"/>
    </row>
    <row r="1056" spans="1:54" x14ac:dyDescent="0.25">
      <c r="A1056" s="13">
        <f t="shared" si="16"/>
        <v>1043</v>
      </c>
      <c r="B1056" s="888" t="str">
        <f>'refer admin discharge'!B1052</f>
        <v>x</v>
      </c>
      <c r="C1056" s="888"/>
      <c r="D1056" s="868" t="str">
        <f>'refer admin discharge'!D1052</f>
        <v>xx</v>
      </c>
      <c r="E1056" s="868"/>
      <c r="F1056" s="891" t="str">
        <f>'refer admin discharge'!H1052</f>
        <v>00/00/0000</v>
      </c>
      <c r="G1056" s="892"/>
      <c r="H1056" s="894"/>
      <c r="I1056" s="894"/>
      <c r="J1056" s="918"/>
      <c r="K1056" s="918"/>
      <c r="L1056" s="894"/>
      <c r="M1056" s="894"/>
      <c r="N1056" s="916"/>
      <c r="O1056" s="916"/>
      <c r="P1056" s="894"/>
      <c r="Q1056" s="894"/>
      <c r="R1056" s="916"/>
      <c r="S1056" s="916"/>
      <c r="T1056" s="894"/>
      <c r="U1056" s="894"/>
      <c r="V1056" s="921" t="str">
        <f>'refer admin discharge'!H1057</f>
        <v>00/00/0000</v>
      </c>
      <c r="W1056" s="922"/>
      <c r="X1056" s="920"/>
      <c r="Y1056" s="920"/>
      <c r="Z1056" s="919"/>
      <c r="AA1056" s="919"/>
      <c r="AB1056" s="920"/>
      <c r="AC1056" s="920"/>
      <c r="AD1056" s="912"/>
      <c r="AE1056" s="912"/>
      <c r="AF1056" s="920"/>
      <c r="AG1056" s="920"/>
      <c r="AH1056" s="912"/>
      <c r="AI1056" s="912"/>
      <c r="AJ1056" s="920"/>
      <c r="AK1056" s="920"/>
      <c r="AL1056" s="905"/>
      <c r="AM1056" s="906"/>
      <c r="AN1056" s="906"/>
      <c r="AO1056" s="906"/>
      <c r="AP1056" s="906"/>
      <c r="AQ1056" s="906"/>
      <c r="AR1056" s="906"/>
      <c r="AS1056" s="906"/>
      <c r="AT1056" s="906"/>
      <c r="AU1056" s="906"/>
      <c r="AV1056" s="906"/>
      <c r="AW1056" s="906"/>
      <c r="AX1056" s="906"/>
      <c r="AY1056" s="906"/>
      <c r="AZ1056" s="906"/>
      <c r="BA1056" s="906"/>
      <c r="BB1056" s="907"/>
    </row>
    <row r="1057" spans="1:54" x14ac:dyDescent="0.25">
      <c r="A1057" s="13">
        <f t="shared" si="16"/>
        <v>1044</v>
      </c>
      <c r="B1057" s="914" t="str">
        <f>'refer admin discharge'!B1053</f>
        <v>x</v>
      </c>
      <c r="C1057" s="914"/>
      <c r="D1057" s="889" t="str">
        <f>'refer admin discharge'!D1053</f>
        <v>xx</v>
      </c>
      <c r="E1057" s="889"/>
      <c r="F1057" s="915" t="str">
        <f>'refer admin discharge'!H1053</f>
        <v>00/00/0000</v>
      </c>
      <c r="G1057" s="890"/>
      <c r="H1057" s="916"/>
      <c r="I1057" s="916"/>
      <c r="J1057" s="917"/>
      <c r="K1057" s="917"/>
      <c r="L1057" s="916"/>
      <c r="M1057" s="916"/>
      <c r="N1057" s="893"/>
      <c r="O1057" s="893"/>
      <c r="P1057" s="916"/>
      <c r="Q1057" s="916"/>
      <c r="R1057" s="893"/>
      <c r="S1057" s="893"/>
      <c r="T1057" s="916"/>
      <c r="U1057" s="916"/>
      <c r="V1057" s="921" t="str">
        <f>'refer admin discharge'!H1058</f>
        <v>00/00/0000</v>
      </c>
      <c r="W1057" s="922"/>
      <c r="X1057" s="912"/>
      <c r="Y1057" s="912"/>
      <c r="Z1057" s="924"/>
      <c r="AA1057" s="924"/>
      <c r="AB1057" s="912"/>
      <c r="AC1057" s="912"/>
      <c r="AD1057" s="913"/>
      <c r="AE1057" s="913"/>
      <c r="AF1057" s="912"/>
      <c r="AG1057" s="912"/>
      <c r="AH1057" s="913"/>
      <c r="AI1057" s="913"/>
      <c r="AJ1057" s="912"/>
      <c r="AK1057" s="912"/>
      <c r="AL1057" s="925"/>
      <c r="AM1057" s="926"/>
      <c r="AN1057" s="926"/>
      <c r="AO1057" s="926"/>
      <c r="AP1057" s="926"/>
      <c r="AQ1057" s="926"/>
      <c r="AR1057" s="926"/>
      <c r="AS1057" s="926"/>
      <c r="AT1057" s="926"/>
      <c r="AU1057" s="926"/>
      <c r="AV1057" s="926"/>
      <c r="AW1057" s="926"/>
      <c r="AX1057" s="926"/>
      <c r="AY1057" s="926"/>
      <c r="AZ1057" s="926"/>
      <c r="BA1057" s="926"/>
      <c r="BB1057" s="927"/>
    </row>
    <row r="1058" spans="1:54" x14ac:dyDescent="0.25">
      <c r="A1058" s="13">
        <f t="shared" si="16"/>
        <v>1045</v>
      </c>
      <c r="B1058" s="888" t="str">
        <f>'refer admin discharge'!B1054</f>
        <v>x</v>
      </c>
      <c r="C1058" s="888"/>
      <c r="D1058" s="868" t="str">
        <f>'refer admin discharge'!D1054</f>
        <v>xx</v>
      </c>
      <c r="E1058" s="868"/>
      <c r="F1058" s="891" t="str">
        <f>'refer admin discharge'!H1054</f>
        <v>00/00/0000</v>
      </c>
      <c r="G1058" s="892"/>
      <c r="H1058" s="894"/>
      <c r="I1058" s="894"/>
      <c r="J1058" s="918"/>
      <c r="K1058" s="918"/>
      <c r="L1058" s="894"/>
      <c r="M1058" s="894"/>
      <c r="N1058" s="916"/>
      <c r="O1058" s="916"/>
      <c r="P1058" s="894"/>
      <c r="Q1058" s="894"/>
      <c r="R1058" s="916"/>
      <c r="S1058" s="916"/>
      <c r="T1058" s="894"/>
      <c r="U1058" s="894"/>
      <c r="V1058" s="921" t="str">
        <f>'refer admin discharge'!H1059</f>
        <v>00/00/0000</v>
      </c>
      <c r="W1058" s="922"/>
      <c r="X1058" s="920"/>
      <c r="Y1058" s="920"/>
      <c r="Z1058" s="919"/>
      <c r="AA1058" s="919"/>
      <c r="AB1058" s="920"/>
      <c r="AC1058" s="920"/>
      <c r="AD1058" s="912"/>
      <c r="AE1058" s="912"/>
      <c r="AF1058" s="920"/>
      <c r="AG1058" s="920"/>
      <c r="AH1058" s="912"/>
      <c r="AI1058" s="912"/>
      <c r="AJ1058" s="920"/>
      <c r="AK1058" s="920"/>
      <c r="AL1058" s="905"/>
      <c r="AM1058" s="906"/>
      <c r="AN1058" s="906"/>
      <c r="AO1058" s="906"/>
      <c r="AP1058" s="906"/>
      <c r="AQ1058" s="906"/>
      <c r="AR1058" s="906"/>
      <c r="AS1058" s="906"/>
      <c r="AT1058" s="906"/>
      <c r="AU1058" s="906"/>
      <c r="AV1058" s="906"/>
      <c r="AW1058" s="906"/>
      <c r="AX1058" s="906"/>
      <c r="AY1058" s="906"/>
      <c r="AZ1058" s="906"/>
      <c r="BA1058" s="906"/>
      <c r="BB1058" s="907"/>
    </row>
    <row r="1059" spans="1:54" x14ac:dyDescent="0.25">
      <c r="A1059" s="13">
        <f t="shared" si="16"/>
        <v>1046</v>
      </c>
      <c r="B1059" s="914" t="str">
        <f>'refer admin discharge'!B1055</f>
        <v>x</v>
      </c>
      <c r="C1059" s="914"/>
      <c r="D1059" s="889" t="str">
        <f>'refer admin discharge'!D1055</f>
        <v>xx</v>
      </c>
      <c r="E1059" s="889"/>
      <c r="F1059" s="915" t="str">
        <f>'refer admin discharge'!H1055</f>
        <v>00/00/0000</v>
      </c>
      <c r="G1059" s="890"/>
      <c r="H1059" s="916"/>
      <c r="I1059" s="916"/>
      <c r="J1059" s="917"/>
      <c r="K1059" s="917"/>
      <c r="L1059" s="916"/>
      <c r="M1059" s="916"/>
      <c r="N1059" s="893"/>
      <c r="O1059" s="893"/>
      <c r="P1059" s="916"/>
      <c r="Q1059" s="916"/>
      <c r="R1059" s="893"/>
      <c r="S1059" s="893"/>
      <c r="T1059" s="916"/>
      <c r="U1059" s="916"/>
      <c r="V1059" s="921" t="str">
        <f>'refer admin discharge'!H1060</f>
        <v>00/00/0000</v>
      </c>
      <c r="W1059" s="922"/>
      <c r="X1059" s="912"/>
      <c r="Y1059" s="912"/>
      <c r="Z1059" s="924"/>
      <c r="AA1059" s="924"/>
      <c r="AB1059" s="912"/>
      <c r="AC1059" s="912"/>
      <c r="AD1059" s="913"/>
      <c r="AE1059" s="913"/>
      <c r="AF1059" s="912"/>
      <c r="AG1059" s="912"/>
      <c r="AH1059" s="913"/>
      <c r="AI1059" s="913"/>
      <c r="AJ1059" s="912"/>
      <c r="AK1059" s="912"/>
      <c r="AL1059" s="925"/>
      <c r="AM1059" s="926"/>
      <c r="AN1059" s="926"/>
      <c r="AO1059" s="926"/>
      <c r="AP1059" s="926"/>
      <c r="AQ1059" s="926"/>
      <c r="AR1059" s="926"/>
      <c r="AS1059" s="926"/>
      <c r="AT1059" s="926"/>
      <c r="AU1059" s="926"/>
      <c r="AV1059" s="926"/>
      <c r="AW1059" s="926"/>
      <c r="AX1059" s="926"/>
      <c r="AY1059" s="926"/>
      <c r="AZ1059" s="926"/>
      <c r="BA1059" s="926"/>
      <c r="BB1059" s="927"/>
    </row>
    <row r="1060" spans="1:54" x14ac:dyDescent="0.25">
      <c r="A1060" s="13">
        <f t="shared" si="16"/>
        <v>1047</v>
      </c>
      <c r="B1060" s="888" t="str">
        <f>'refer admin discharge'!B1056</f>
        <v>x</v>
      </c>
      <c r="C1060" s="888"/>
      <c r="D1060" s="868" t="str">
        <f>'refer admin discharge'!D1056</f>
        <v>xx</v>
      </c>
      <c r="E1060" s="868"/>
      <c r="F1060" s="891" t="str">
        <f>'refer admin discharge'!H1056</f>
        <v>00/00/0000</v>
      </c>
      <c r="G1060" s="892"/>
      <c r="H1060" s="894"/>
      <c r="I1060" s="894"/>
      <c r="J1060" s="918"/>
      <c r="K1060" s="918"/>
      <c r="L1060" s="894"/>
      <c r="M1060" s="894"/>
      <c r="N1060" s="916"/>
      <c r="O1060" s="916"/>
      <c r="P1060" s="894"/>
      <c r="Q1060" s="894"/>
      <c r="R1060" s="916"/>
      <c r="S1060" s="916"/>
      <c r="T1060" s="894"/>
      <c r="U1060" s="894"/>
      <c r="V1060" s="921" t="str">
        <f>'refer admin discharge'!H1061</f>
        <v>00/00/0000</v>
      </c>
      <c r="W1060" s="922"/>
      <c r="X1060" s="920"/>
      <c r="Y1060" s="920"/>
      <c r="Z1060" s="919"/>
      <c r="AA1060" s="919"/>
      <c r="AB1060" s="920"/>
      <c r="AC1060" s="920"/>
      <c r="AD1060" s="912"/>
      <c r="AE1060" s="912"/>
      <c r="AF1060" s="920"/>
      <c r="AG1060" s="920"/>
      <c r="AH1060" s="912"/>
      <c r="AI1060" s="912"/>
      <c r="AJ1060" s="920"/>
      <c r="AK1060" s="920"/>
      <c r="AL1060" s="905"/>
      <c r="AM1060" s="906"/>
      <c r="AN1060" s="906"/>
      <c r="AO1060" s="906"/>
      <c r="AP1060" s="906"/>
      <c r="AQ1060" s="906"/>
      <c r="AR1060" s="906"/>
      <c r="AS1060" s="906"/>
      <c r="AT1060" s="906"/>
      <c r="AU1060" s="906"/>
      <c r="AV1060" s="906"/>
      <c r="AW1060" s="906"/>
      <c r="AX1060" s="906"/>
      <c r="AY1060" s="906"/>
      <c r="AZ1060" s="906"/>
      <c r="BA1060" s="906"/>
      <c r="BB1060" s="907"/>
    </row>
    <row r="1061" spans="1:54" x14ac:dyDescent="0.25">
      <c r="A1061" s="13">
        <f t="shared" si="16"/>
        <v>1048</v>
      </c>
      <c r="B1061" s="914" t="str">
        <f>'refer admin discharge'!B1057</f>
        <v>x</v>
      </c>
      <c r="C1061" s="914"/>
      <c r="D1061" s="889" t="str">
        <f>'refer admin discharge'!D1057</f>
        <v>xx</v>
      </c>
      <c r="E1061" s="889"/>
      <c r="F1061" s="915" t="str">
        <f>'refer admin discharge'!H1057</f>
        <v>00/00/0000</v>
      </c>
      <c r="G1061" s="890"/>
      <c r="H1061" s="916"/>
      <c r="I1061" s="916"/>
      <c r="J1061" s="917"/>
      <c r="K1061" s="917"/>
      <c r="L1061" s="916"/>
      <c r="M1061" s="916"/>
      <c r="N1061" s="893"/>
      <c r="O1061" s="893"/>
      <c r="P1061" s="916"/>
      <c r="Q1061" s="916"/>
      <c r="R1061" s="893"/>
      <c r="S1061" s="893"/>
      <c r="T1061" s="916"/>
      <c r="U1061" s="916"/>
      <c r="V1061" s="921" t="str">
        <f>'refer admin discharge'!H1062</f>
        <v>00/00/0000</v>
      </c>
      <c r="W1061" s="922"/>
      <c r="X1061" s="912"/>
      <c r="Y1061" s="912"/>
      <c r="Z1061" s="924"/>
      <c r="AA1061" s="924"/>
      <c r="AB1061" s="912"/>
      <c r="AC1061" s="912"/>
      <c r="AD1061" s="913"/>
      <c r="AE1061" s="913"/>
      <c r="AF1061" s="912"/>
      <c r="AG1061" s="912"/>
      <c r="AH1061" s="913"/>
      <c r="AI1061" s="913"/>
      <c r="AJ1061" s="912"/>
      <c r="AK1061" s="912"/>
      <c r="AL1061" s="925"/>
      <c r="AM1061" s="926"/>
      <c r="AN1061" s="926"/>
      <c r="AO1061" s="926"/>
      <c r="AP1061" s="926"/>
      <c r="AQ1061" s="926"/>
      <c r="AR1061" s="926"/>
      <c r="AS1061" s="926"/>
      <c r="AT1061" s="926"/>
      <c r="AU1061" s="926"/>
      <c r="AV1061" s="926"/>
      <c r="AW1061" s="926"/>
      <c r="AX1061" s="926"/>
      <c r="AY1061" s="926"/>
      <c r="AZ1061" s="926"/>
      <c r="BA1061" s="926"/>
      <c r="BB1061" s="927"/>
    </row>
    <row r="1062" spans="1:54" x14ac:dyDescent="0.25">
      <c r="A1062" s="13">
        <f t="shared" si="16"/>
        <v>1049</v>
      </c>
      <c r="B1062" s="888" t="str">
        <f>'refer admin discharge'!B1058</f>
        <v>x</v>
      </c>
      <c r="C1062" s="888"/>
      <c r="D1062" s="868" t="str">
        <f>'refer admin discharge'!D1058</f>
        <v>xx</v>
      </c>
      <c r="E1062" s="868"/>
      <c r="F1062" s="891" t="str">
        <f>'refer admin discharge'!H1058</f>
        <v>00/00/0000</v>
      </c>
      <c r="G1062" s="892"/>
      <c r="H1062" s="894"/>
      <c r="I1062" s="894"/>
      <c r="J1062" s="918"/>
      <c r="K1062" s="918"/>
      <c r="L1062" s="894"/>
      <c r="M1062" s="894"/>
      <c r="N1062" s="916"/>
      <c r="O1062" s="916"/>
      <c r="P1062" s="894"/>
      <c r="Q1062" s="894"/>
      <c r="R1062" s="916"/>
      <c r="S1062" s="916"/>
      <c r="T1062" s="894"/>
      <c r="U1062" s="894"/>
      <c r="V1062" s="921" t="str">
        <f>'refer admin discharge'!H1063</f>
        <v>00/00/0000</v>
      </c>
      <c r="W1062" s="922"/>
      <c r="X1062" s="920"/>
      <c r="Y1062" s="920"/>
      <c r="Z1062" s="919"/>
      <c r="AA1062" s="919"/>
      <c r="AB1062" s="920"/>
      <c r="AC1062" s="920"/>
      <c r="AD1062" s="912"/>
      <c r="AE1062" s="912"/>
      <c r="AF1062" s="920"/>
      <c r="AG1062" s="920"/>
      <c r="AH1062" s="912"/>
      <c r="AI1062" s="912"/>
      <c r="AJ1062" s="920"/>
      <c r="AK1062" s="920"/>
      <c r="AL1062" s="905"/>
      <c r="AM1062" s="906"/>
      <c r="AN1062" s="906"/>
      <c r="AO1062" s="906"/>
      <c r="AP1062" s="906"/>
      <c r="AQ1062" s="906"/>
      <c r="AR1062" s="906"/>
      <c r="AS1062" s="906"/>
      <c r="AT1062" s="906"/>
      <c r="AU1062" s="906"/>
      <c r="AV1062" s="906"/>
      <c r="AW1062" s="906"/>
      <c r="AX1062" s="906"/>
      <c r="AY1062" s="906"/>
      <c r="AZ1062" s="906"/>
      <c r="BA1062" s="906"/>
      <c r="BB1062" s="907"/>
    </row>
    <row r="1063" spans="1:54" x14ac:dyDescent="0.25">
      <c r="A1063" s="13">
        <f t="shared" si="16"/>
        <v>1050</v>
      </c>
      <c r="B1063" s="914" t="str">
        <f>'refer admin discharge'!B1059</f>
        <v>x</v>
      </c>
      <c r="C1063" s="914"/>
      <c r="D1063" s="889" t="str">
        <f>'refer admin discharge'!D1059</f>
        <v>xx</v>
      </c>
      <c r="E1063" s="889"/>
      <c r="F1063" s="915" t="str">
        <f>'refer admin discharge'!H1059</f>
        <v>00/00/0000</v>
      </c>
      <c r="G1063" s="890"/>
      <c r="H1063" s="916"/>
      <c r="I1063" s="916"/>
      <c r="J1063" s="917"/>
      <c r="K1063" s="917"/>
      <c r="L1063" s="916"/>
      <c r="M1063" s="916"/>
      <c r="N1063" s="893"/>
      <c r="O1063" s="893"/>
      <c r="P1063" s="916"/>
      <c r="Q1063" s="916"/>
      <c r="R1063" s="893"/>
      <c r="S1063" s="893"/>
      <c r="T1063" s="916"/>
      <c r="U1063" s="916"/>
      <c r="V1063" s="921" t="str">
        <f>'refer admin discharge'!H1064</f>
        <v>00/00/0000</v>
      </c>
      <c r="W1063" s="922"/>
      <c r="X1063" s="912"/>
      <c r="Y1063" s="912"/>
      <c r="Z1063" s="924"/>
      <c r="AA1063" s="924"/>
      <c r="AB1063" s="912"/>
      <c r="AC1063" s="912"/>
      <c r="AD1063" s="913"/>
      <c r="AE1063" s="913"/>
      <c r="AF1063" s="912"/>
      <c r="AG1063" s="912"/>
      <c r="AH1063" s="913"/>
      <c r="AI1063" s="913"/>
      <c r="AJ1063" s="912"/>
      <c r="AK1063" s="912"/>
      <c r="AL1063" s="925"/>
      <c r="AM1063" s="926"/>
      <c r="AN1063" s="926"/>
      <c r="AO1063" s="926"/>
      <c r="AP1063" s="926"/>
      <c r="AQ1063" s="926"/>
      <c r="AR1063" s="926"/>
      <c r="AS1063" s="926"/>
      <c r="AT1063" s="926"/>
      <c r="AU1063" s="926"/>
      <c r="AV1063" s="926"/>
      <c r="AW1063" s="926"/>
      <c r="AX1063" s="926"/>
      <c r="AY1063" s="926"/>
      <c r="AZ1063" s="926"/>
      <c r="BA1063" s="926"/>
      <c r="BB1063" s="927"/>
    </row>
    <row r="1064" spans="1:54" x14ac:dyDescent="0.25">
      <c r="A1064" s="13">
        <f t="shared" si="16"/>
        <v>1051</v>
      </c>
      <c r="B1064" s="888" t="str">
        <f>'refer admin discharge'!B1060</f>
        <v>x</v>
      </c>
      <c r="C1064" s="888"/>
      <c r="D1064" s="868" t="str">
        <f>'refer admin discharge'!D1060</f>
        <v>xx</v>
      </c>
      <c r="E1064" s="868"/>
      <c r="F1064" s="891" t="str">
        <f>'refer admin discharge'!H1060</f>
        <v>00/00/0000</v>
      </c>
      <c r="G1064" s="892"/>
      <c r="H1064" s="894"/>
      <c r="I1064" s="894"/>
      <c r="J1064" s="918"/>
      <c r="K1064" s="918"/>
      <c r="L1064" s="894"/>
      <c r="M1064" s="894"/>
      <c r="N1064" s="916"/>
      <c r="O1064" s="916"/>
      <c r="P1064" s="894"/>
      <c r="Q1064" s="894"/>
      <c r="R1064" s="916"/>
      <c r="S1064" s="916"/>
      <c r="T1064" s="894"/>
      <c r="U1064" s="894"/>
      <c r="V1064" s="921" t="str">
        <f>'refer admin discharge'!H1065</f>
        <v>00/00/0000</v>
      </c>
      <c r="W1064" s="922"/>
      <c r="X1064" s="920"/>
      <c r="Y1064" s="920"/>
      <c r="Z1064" s="919"/>
      <c r="AA1064" s="919"/>
      <c r="AB1064" s="920"/>
      <c r="AC1064" s="920"/>
      <c r="AD1064" s="912"/>
      <c r="AE1064" s="912"/>
      <c r="AF1064" s="920"/>
      <c r="AG1064" s="920"/>
      <c r="AH1064" s="912"/>
      <c r="AI1064" s="912"/>
      <c r="AJ1064" s="920"/>
      <c r="AK1064" s="920"/>
      <c r="AL1064" s="905"/>
      <c r="AM1064" s="906"/>
      <c r="AN1064" s="906"/>
      <c r="AO1064" s="906"/>
      <c r="AP1064" s="906"/>
      <c r="AQ1064" s="906"/>
      <c r="AR1064" s="906"/>
      <c r="AS1064" s="906"/>
      <c r="AT1064" s="906"/>
      <c r="AU1064" s="906"/>
      <c r="AV1064" s="906"/>
      <c r="AW1064" s="906"/>
      <c r="AX1064" s="906"/>
      <c r="AY1064" s="906"/>
      <c r="AZ1064" s="906"/>
      <c r="BA1064" s="906"/>
      <c r="BB1064" s="907"/>
    </row>
    <row r="1065" spans="1:54" x14ac:dyDescent="0.25">
      <c r="A1065" s="13">
        <f t="shared" si="16"/>
        <v>1052</v>
      </c>
      <c r="B1065" s="914" t="str">
        <f>'refer admin discharge'!B1061</f>
        <v>x</v>
      </c>
      <c r="C1065" s="914"/>
      <c r="D1065" s="889" t="str">
        <f>'refer admin discharge'!D1061</f>
        <v>xx</v>
      </c>
      <c r="E1065" s="889"/>
      <c r="F1065" s="915" t="str">
        <f>'refer admin discharge'!H1061</f>
        <v>00/00/0000</v>
      </c>
      <c r="G1065" s="890"/>
      <c r="H1065" s="916"/>
      <c r="I1065" s="916"/>
      <c r="J1065" s="917"/>
      <c r="K1065" s="917"/>
      <c r="L1065" s="916"/>
      <c r="M1065" s="916"/>
      <c r="N1065" s="893"/>
      <c r="O1065" s="893"/>
      <c r="P1065" s="916"/>
      <c r="Q1065" s="916"/>
      <c r="R1065" s="893"/>
      <c r="S1065" s="893"/>
      <c r="T1065" s="916"/>
      <c r="U1065" s="916"/>
      <c r="V1065" s="921" t="str">
        <f>'refer admin discharge'!H1066</f>
        <v>00/00/0000</v>
      </c>
      <c r="W1065" s="922"/>
      <c r="X1065" s="912"/>
      <c r="Y1065" s="912"/>
      <c r="Z1065" s="924"/>
      <c r="AA1065" s="924"/>
      <c r="AB1065" s="912"/>
      <c r="AC1065" s="912"/>
      <c r="AD1065" s="913"/>
      <c r="AE1065" s="913"/>
      <c r="AF1065" s="912"/>
      <c r="AG1065" s="912"/>
      <c r="AH1065" s="913"/>
      <c r="AI1065" s="913"/>
      <c r="AJ1065" s="912"/>
      <c r="AK1065" s="912"/>
      <c r="AL1065" s="925"/>
      <c r="AM1065" s="926"/>
      <c r="AN1065" s="926"/>
      <c r="AO1065" s="926"/>
      <c r="AP1065" s="926"/>
      <c r="AQ1065" s="926"/>
      <c r="AR1065" s="926"/>
      <c r="AS1065" s="926"/>
      <c r="AT1065" s="926"/>
      <c r="AU1065" s="926"/>
      <c r="AV1065" s="926"/>
      <c r="AW1065" s="926"/>
      <c r="AX1065" s="926"/>
      <c r="AY1065" s="926"/>
      <c r="AZ1065" s="926"/>
      <c r="BA1065" s="926"/>
      <c r="BB1065" s="927"/>
    </row>
    <row r="1066" spans="1:54" x14ac:dyDescent="0.25">
      <c r="A1066" s="13">
        <f t="shared" si="16"/>
        <v>1053</v>
      </c>
      <c r="B1066" s="888" t="str">
        <f>'refer admin discharge'!B1062</f>
        <v>x</v>
      </c>
      <c r="C1066" s="888"/>
      <c r="D1066" s="868" t="str">
        <f>'refer admin discharge'!D1062</f>
        <v>xx</v>
      </c>
      <c r="E1066" s="868"/>
      <c r="F1066" s="891" t="str">
        <f>'refer admin discharge'!H1062</f>
        <v>00/00/0000</v>
      </c>
      <c r="G1066" s="892"/>
      <c r="H1066" s="894"/>
      <c r="I1066" s="894"/>
      <c r="J1066" s="918"/>
      <c r="K1066" s="918"/>
      <c r="L1066" s="894"/>
      <c r="M1066" s="894"/>
      <c r="N1066" s="916"/>
      <c r="O1066" s="916"/>
      <c r="P1066" s="894"/>
      <c r="Q1066" s="894"/>
      <c r="R1066" s="916"/>
      <c r="S1066" s="916"/>
      <c r="T1066" s="894"/>
      <c r="U1066" s="894"/>
      <c r="V1066" s="921" t="str">
        <f>'refer admin discharge'!H1067</f>
        <v>00/00/0000</v>
      </c>
      <c r="W1066" s="922"/>
      <c r="X1066" s="920"/>
      <c r="Y1066" s="920"/>
      <c r="Z1066" s="919"/>
      <c r="AA1066" s="919"/>
      <c r="AB1066" s="920"/>
      <c r="AC1066" s="920"/>
      <c r="AD1066" s="912"/>
      <c r="AE1066" s="912"/>
      <c r="AF1066" s="920"/>
      <c r="AG1066" s="920"/>
      <c r="AH1066" s="912"/>
      <c r="AI1066" s="912"/>
      <c r="AJ1066" s="920"/>
      <c r="AK1066" s="920"/>
      <c r="AL1066" s="905"/>
      <c r="AM1066" s="906"/>
      <c r="AN1066" s="906"/>
      <c r="AO1066" s="906"/>
      <c r="AP1066" s="906"/>
      <c r="AQ1066" s="906"/>
      <c r="AR1066" s="906"/>
      <c r="AS1066" s="906"/>
      <c r="AT1066" s="906"/>
      <c r="AU1066" s="906"/>
      <c r="AV1066" s="906"/>
      <c r="AW1066" s="906"/>
      <c r="AX1066" s="906"/>
      <c r="AY1066" s="906"/>
      <c r="AZ1066" s="906"/>
      <c r="BA1066" s="906"/>
      <c r="BB1066" s="907"/>
    </row>
    <row r="1067" spans="1:54" x14ac:dyDescent="0.25">
      <c r="A1067" s="13">
        <f t="shared" si="16"/>
        <v>1054</v>
      </c>
      <c r="B1067" s="914" t="str">
        <f>'refer admin discharge'!B1063</f>
        <v>x</v>
      </c>
      <c r="C1067" s="914"/>
      <c r="D1067" s="889" t="str">
        <f>'refer admin discharge'!D1063</f>
        <v>xx</v>
      </c>
      <c r="E1067" s="889"/>
      <c r="F1067" s="915" t="str">
        <f>'refer admin discharge'!H1063</f>
        <v>00/00/0000</v>
      </c>
      <c r="G1067" s="890"/>
      <c r="H1067" s="916"/>
      <c r="I1067" s="916"/>
      <c r="J1067" s="917"/>
      <c r="K1067" s="917"/>
      <c r="L1067" s="916"/>
      <c r="M1067" s="916"/>
      <c r="N1067" s="893"/>
      <c r="O1067" s="893"/>
      <c r="P1067" s="916"/>
      <c r="Q1067" s="916"/>
      <c r="R1067" s="893"/>
      <c r="S1067" s="893"/>
      <c r="T1067" s="916"/>
      <c r="U1067" s="916"/>
      <c r="V1067" s="921" t="str">
        <f>'refer admin discharge'!H1068</f>
        <v>00/00/0000</v>
      </c>
      <c r="W1067" s="922"/>
      <c r="X1067" s="912"/>
      <c r="Y1067" s="912"/>
      <c r="Z1067" s="924"/>
      <c r="AA1067" s="924"/>
      <c r="AB1067" s="912"/>
      <c r="AC1067" s="912"/>
      <c r="AD1067" s="913"/>
      <c r="AE1067" s="913"/>
      <c r="AF1067" s="912"/>
      <c r="AG1067" s="912"/>
      <c r="AH1067" s="913"/>
      <c r="AI1067" s="913"/>
      <c r="AJ1067" s="912"/>
      <c r="AK1067" s="912"/>
      <c r="AL1067" s="925"/>
      <c r="AM1067" s="926"/>
      <c r="AN1067" s="926"/>
      <c r="AO1067" s="926"/>
      <c r="AP1067" s="926"/>
      <c r="AQ1067" s="926"/>
      <c r="AR1067" s="926"/>
      <c r="AS1067" s="926"/>
      <c r="AT1067" s="926"/>
      <c r="AU1067" s="926"/>
      <c r="AV1067" s="926"/>
      <c r="AW1067" s="926"/>
      <c r="AX1067" s="926"/>
      <c r="AY1067" s="926"/>
      <c r="AZ1067" s="926"/>
      <c r="BA1067" s="926"/>
      <c r="BB1067" s="927"/>
    </row>
    <row r="1068" spans="1:54" x14ac:dyDescent="0.25">
      <c r="A1068" s="13">
        <f t="shared" si="16"/>
        <v>1055</v>
      </c>
      <c r="B1068" s="888" t="str">
        <f>'refer admin discharge'!B1064</f>
        <v>x</v>
      </c>
      <c r="C1068" s="888"/>
      <c r="D1068" s="868" t="str">
        <f>'refer admin discharge'!D1064</f>
        <v>xx</v>
      </c>
      <c r="E1068" s="868"/>
      <c r="F1068" s="891" t="str">
        <f>'refer admin discharge'!H1064</f>
        <v>00/00/0000</v>
      </c>
      <c r="G1068" s="892"/>
      <c r="H1068" s="894"/>
      <c r="I1068" s="894"/>
      <c r="J1068" s="918"/>
      <c r="K1068" s="918"/>
      <c r="L1068" s="894"/>
      <c r="M1068" s="894"/>
      <c r="N1068" s="916"/>
      <c r="O1068" s="916"/>
      <c r="P1068" s="894"/>
      <c r="Q1068" s="894"/>
      <c r="R1068" s="916"/>
      <c r="S1068" s="916"/>
      <c r="T1068" s="894"/>
      <c r="U1068" s="894"/>
      <c r="V1068" s="921" t="str">
        <f>'refer admin discharge'!H1069</f>
        <v>00/00/0000</v>
      </c>
      <c r="W1068" s="922"/>
      <c r="X1068" s="920"/>
      <c r="Y1068" s="920"/>
      <c r="Z1068" s="919"/>
      <c r="AA1068" s="919"/>
      <c r="AB1068" s="920"/>
      <c r="AC1068" s="920"/>
      <c r="AD1068" s="912"/>
      <c r="AE1068" s="912"/>
      <c r="AF1068" s="920"/>
      <c r="AG1068" s="920"/>
      <c r="AH1068" s="912"/>
      <c r="AI1068" s="912"/>
      <c r="AJ1068" s="920"/>
      <c r="AK1068" s="920"/>
      <c r="AL1068" s="905"/>
      <c r="AM1068" s="906"/>
      <c r="AN1068" s="906"/>
      <c r="AO1068" s="906"/>
      <c r="AP1068" s="906"/>
      <c r="AQ1068" s="906"/>
      <c r="AR1068" s="906"/>
      <c r="AS1068" s="906"/>
      <c r="AT1068" s="906"/>
      <c r="AU1068" s="906"/>
      <c r="AV1068" s="906"/>
      <c r="AW1068" s="906"/>
      <c r="AX1068" s="906"/>
      <c r="AY1068" s="906"/>
      <c r="AZ1068" s="906"/>
      <c r="BA1068" s="906"/>
      <c r="BB1068" s="907"/>
    </row>
    <row r="1069" spans="1:54" x14ac:dyDescent="0.25">
      <c r="A1069" s="13">
        <f t="shared" si="16"/>
        <v>1056</v>
      </c>
      <c r="B1069" s="914" t="str">
        <f>'refer admin discharge'!B1065</f>
        <v>x</v>
      </c>
      <c r="C1069" s="914"/>
      <c r="D1069" s="889" t="str">
        <f>'refer admin discharge'!D1065</f>
        <v>xx</v>
      </c>
      <c r="E1069" s="889"/>
      <c r="F1069" s="915" t="str">
        <f>'refer admin discharge'!H1065</f>
        <v>00/00/0000</v>
      </c>
      <c r="G1069" s="890"/>
      <c r="H1069" s="916"/>
      <c r="I1069" s="916"/>
      <c r="J1069" s="917"/>
      <c r="K1069" s="917"/>
      <c r="L1069" s="916"/>
      <c r="M1069" s="916"/>
      <c r="N1069" s="893"/>
      <c r="O1069" s="893"/>
      <c r="P1069" s="916"/>
      <c r="Q1069" s="916"/>
      <c r="R1069" s="893"/>
      <c r="S1069" s="893"/>
      <c r="T1069" s="916"/>
      <c r="U1069" s="916"/>
      <c r="V1069" s="921" t="str">
        <f>'refer admin discharge'!H1070</f>
        <v>00/00/0000</v>
      </c>
      <c r="W1069" s="922"/>
      <c r="X1069" s="912"/>
      <c r="Y1069" s="912"/>
      <c r="Z1069" s="924"/>
      <c r="AA1069" s="924"/>
      <c r="AB1069" s="912"/>
      <c r="AC1069" s="912"/>
      <c r="AD1069" s="913"/>
      <c r="AE1069" s="913"/>
      <c r="AF1069" s="912"/>
      <c r="AG1069" s="912"/>
      <c r="AH1069" s="913"/>
      <c r="AI1069" s="913"/>
      <c r="AJ1069" s="912"/>
      <c r="AK1069" s="912"/>
      <c r="AL1069" s="925"/>
      <c r="AM1069" s="926"/>
      <c r="AN1069" s="926"/>
      <c r="AO1069" s="926"/>
      <c r="AP1069" s="926"/>
      <c r="AQ1069" s="926"/>
      <c r="AR1069" s="926"/>
      <c r="AS1069" s="926"/>
      <c r="AT1069" s="926"/>
      <c r="AU1069" s="926"/>
      <c r="AV1069" s="926"/>
      <c r="AW1069" s="926"/>
      <c r="AX1069" s="926"/>
      <c r="AY1069" s="926"/>
      <c r="AZ1069" s="926"/>
      <c r="BA1069" s="926"/>
      <c r="BB1069" s="927"/>
    </row>
    <row r="1070" spans="1:54" x14ac:dyDescent="0.25">
      <c r="A1070" s="13">
        <f t="shared" si="16"/>
        <v>1057</v>
      </c>
      <c r="B1070" s="888" t="str">
        <f>'refer admin discharge'!B1066</f>
        <v>x</v>
      </c>
      <c r="C1070" s="888"/>
      <c r="D1070" s="868" t="str">
        <f>'refer admin discharge'!D1066</f>
        <v>xx</v>
      </c>
      <c r="E1070" s="868"/>
      <c r="F1070" s="891" t="str">
        <f>'refer admin discharge'!H1066</f>
        <v>00/00/0000</v>
      </c>
      <c r="G1070" s="892"/>
      <c r="H1070" s="894"/>
      <c r="I1070" s="894"/>
      <c r="J1070" s="918"/>
      <c r="K1070" s="918"/>
      <c r="L1070" s="894"/>
      <c r="M1070" s="894"/>
      <c r="N1070" s="916"/>
      <c r="O1070" s="916"/>
      <c r="P1070" s="894"/>
      <c r="Q1070" s="894"/>
      <c r="R1070" s="916"/>
      <c r="S1070" s="916"/>
      <c r="T1070" s="894"/>
      <c r="U1070" s="894"/>
      <c r="V1070" s="921" t="str">
        <f>'refer admin discharge'!H1071</f>
        <v>00/00/0000</v>
      </c>
      <c r="W1070" s="922"/>
      <c r="X1070" s="920"/>
      <c r="Y1070" s="920"/>
      <c r="Z1070" s="919"/>
      <c r="AA1070" s="919"/>
      <c r="AB1070" s="920"/>
      <c r="AC1070" s="920"/>
      <c r="AD1070" s="912"/>
      <c r="AE1070" s="912"/>
      <c r="AF1070" s="920"/>
      <c r="AG1070" s="920"/>
      <c r="AH1070" s="912"/>
      <c r="AI1070" s="912"/>
      <c r="AJ1070" s="920"/>
      <c r="AK1070" s="920"/>
      <c r="AL1070" s="905"/>
      <c r="AM1070" s="906"/>
      <c r="AN1070" s="906"/>
      <c r="AO1070" s="906"/>
      <c r="AP1070" s="906"/>
      <c r="AQ1070" s="906"/>
      <c r="AR1070" s="906"/>
      <c r="AS1070" s="906"/>
      <c r="AT1070" s="906"/>
      <c r="AU1070" s="906"/>
      <c r="AV1070" s="906"/>
      <c r="AW1070" s="906"/>
      <c r="AX1070" s="906"/>
      <c r="AY1070" s="906"/>
      <c r="AZ1070" s="906"/>
      <c r="BA1070" s="906"/>
      <c r="BB1070" s="907"/>
    </row>
    <row r="1071" spans="1:54" x14ac:dyDescent="0.25">
      <c r="A1071" s="13">
        <f t="shared" si="16"/>
        <v>1058</v>
      </c>
      <c r="B1071" s="914" t="str">
        <f>'refer admin discharge'!B1067</f>
        <v>x</v>
      </c>
      <c r="C1071" s="914"/>
      <c r="D1071" s="889" t="str">
        <f>'refer admin discharge'!D1067</f>
        <v>xx</v>
      </c>
      <c r="E1071" s="889"/>
      <c r="F1071" s="915" t="str">
        <f>'refer admin discharge'!H1067</f>
        <v>00/00/0000</v>
      </c>
      <c r="G1071" s="890"/>
      <c r="H1071" s="916"/>
      <c r="I1071" s="916"/>
      <c r="J1071" s="917"/>
      <c r="K1071" s="917"/>
      <c r="L1071" s="916"/>
      <c r="M1071" s="916"/>
      <c r="N1071" s="893"/>
      <c r="O1071" s="893"/>
      <c r="P1071" s="916"/>
      <c r="Q1071" s="916"/>
      <c r="R1071" s="893"/>
      <c r="S1071" s="893"/>
      <c r="T1071" s="916"/>
      <c r="U1071" s="916"/>
      <c r="V1071" s="921" t="str">
        <f>'refer admin discharge'!H1072</f>
        <v>00/00/0000</v>
      </c>
      <c r="W1071" s="922"/>
      <c r="X1071" s="912"/>
      <c r="Y1071" s="912"/>
      <c r="Z1071" s="924"/>
      <c r="AA1071" s="924"/>
      <c r="AB1071" s="912"/>
      <c r="AC1071" s="912"/>
      <c r="AD1071" s="913"/>
      <c r="AE1071" s="913"/>
      <c r="AF1071" s="912"/>
      <c r="AG1071" s="912"/>
      <c r="AH1071" s="913"/>
      <c r="AI1071" s="913"/>
      <c r="AJ1071" s="912"/>
      <c r="AK1071" s="912"/>
      <c r="AL1071" s="925"/>
      <c r="AM1071" s="926"/>
      <c r="AN1071" s="926"/>
      <c r="AO1071" s="926"/>
      <c r="AP1071" s="926"/>
      <c r="AQ1071" s="926"/>
      <c r="AR1071" s="926"/>
      <c r="AS1071" s="926"/>
      <c r="AT1071" s="926"/>
      <c r="AU1071" s="926"/>
      <c r="AV1071" s="926"/>
      <c r="AW1071" s="926"/>
      <c r="AX1071" s="926"/>
      <c r="AY1071" s="926"/>
      <c r="AZ1071" s="926"/>
      <c r="BA1071" s="926"/>
      <c r="BB1071" s="927"/>
    </row>
    <row r="1072" spans="1:54" x14ac:dyDescent="0.25">
      <c r="A1072" s="13">
        <f t="shared" si="16"/>
        <v>1059</v>
      </c>
      <c r="B1072" s="888" t="str">
        <f>'refer admin discharge'!B1068</f>
        <v>x</v>
      </c>
      <c r="C1072" s="888"/>
      <c r="D1072" s="868" t="str">
        <f>'refer admin discharge'!D1068</f>
        <v>xx</v>
      </c>
      <c r="E1072" s="868"/>
      <c r="F1072" s="891" t="str">
        <f>'refer admin discharge'!H1068</f>
        <v>00/00/0000</v>
      </c>
      <c r="G1072" s="892"/>
      <c r="H1072" s="894"/>
      <c r="I1072" s="894"/>
      <c r="J1072" s="918"/>
      <c r="K1072" s="918"/>
      <c r="L1072" s="894"/>
      <c r="M1072" s="894"/>
      <c r="N1072" s="916"/>
      <c r="O1072" s="916"/>
      <c r="P1072" s="894"/>
      <c r="Q1072" s="894"/>
      <c r="R1072" s="916"/>
      <c r="S1072" s="916"/>
      <c r="T1072" s="894"/>
      <c r="U1072" s="894"/>
      <c r="V1072" s="921" t="str">
        <f>'refer admin discharge'!H1073</f>
        <v>00/00/0000</v>
      </c>
      <c r="W1072" s="922"/>
      <c r="X1072" s="920"/>
      <c r="Y1072" s="920"/>
      <c r="Z1072" s="919"/>
      <c r="AA1072" s="919"/>
      <c r="AB1072" s="920"/>
      <c r="AC1072" s="920"/>
      <c r="AD1072" s="912"/>
      <c r="AE1072" s="912"/>
      <c r="AF1072" s="920"/>
      <c r="AG1072" s="920"/>
      <c r="AH1072" s="912"/>
      <c r="AI1072" s="912"/>
      <c r="AJ1072" s="920"/>
      <c r="AK1072" s="920"/>
      <c r="AL1072" s="905"/>
      <c r="AM1072" s="906"/>
      <c r="AN1072" s="906"/>
      <c r="AO1072" s="906"/>
      <c r="AP1072" s="906"/>
      <c r="AQ1072" s="906"/>
      <c r="AR1072" s="906"/>
      <c r="AS1072" s="906"/>
      <c r="AT1072" s="906"/>
      <c r="AU1072" s="906"/>
      <c r="AV1072" s="906"/>
      <c r="AW1072" s="906"/>
      <c r="AX1072" s="906"/>
      <c r="AY1072" s="906"/>
      <c r="AZ1072" s="906"/>
      <c r="BA1072" s="906"/>
      <c r="BB1072" s="907"/>
    </row>
    <row r="1073" spans="1:54" x14ac:dyDescent="0.25">
      <c r="A1073" s="13">
        <f t="shared" si="16"/>
        <v>1060</v>
      </c>
      <c r="B1073" s="914" t="str">
        <f>'refer admin discharge'!B1069</f>
        <v>x</v>
      </c>
      <c r="C1073" s="914"/>
      <c r="D1073" s="889" t="str">
        <f>'refer admin discharge'!D1069</f>
        <v>xx</v>
      </c>
      <c r="E1073" s="889"/>
      <c r="F1073" s="915" t="str">
        <f>'refer admin discharge'!H1069</f>
        <v>00/00/0000</v>
      </c>
      <c r="G1073" s="890"/>
      <c r="H1073" s="916"/>
      <c r="I1073" s="916"/>
      <c r="J1073" s="917"/>
      <c r="K1073" s="917"/>
      <c r="L1073" s="916"/>
      <c r="M1073" s="916"/>
      <c r="N1073" s="893"/>
      <c r="O1073" s="893"/>
      <c r="P1073" s="916"/>
      <c r="Q1073" s="916"/>
      <c r="R1073" s="893"/>
      <c r="S1073" s="893"/>
      <c r="T1073" s="916"/>
      <c r="U1073" s="916"/>
      <c r="V1073" s="921" t="str">
        <f>'refer admin discharge'!H1074</f>
        <v>00/00/0000</v>
      </c>
      <c r="W1073" s="922"/>
      <c r="X1073" s="912"/>
      <c r="Y1073" s="912"/>
      <c r="Z1073" s="924"/>
      <c r="AA1073" s="924"/>
      <c r="AB1073" s="912"/>
      <c r="AC1073" s="912"/>
      <c r="AD1073" s="913"/>
      <c r="AE1073" s="913"/>
      <c r="AF1073" s="912"/>
      <c r="AG1073" s="912"/>
      <c r="AH1073" s="913"/>
      <c r="AI1073" s="913"/>
      <c r="AJ1073" s="912"/>
      <c r="AK1073" s="912"/>
      <c r="AL1073" s="925"/>
      <c r="AM1073" s="926"/>
      <c r="AN1073" s="926"/>
      <c r="AO1073" s="926"/>
      <c r="AP1073" s="926"/>
      <c r="AQ1073" s="926"/>
      <c r="AR1073" s="926"/>
      <c r="AS1073" s="926"/>
      <c r="AT1073" s="926"/>
      <c r="AU1073" s="926"/>
      <c r="AV1073" s="926"/>
      <c r="AW1073" s="926"/>
      <c r="AX1073" s="926"/>
      <c r="AY1073" s="926"/>
      <c r="AZ1073" s="926"/>
      <c r="BA1073" s="926"/>
      <c r="BB1073" s="927"/>
    </row>
    <row r="1074" spans="1:54" x14ac:dyDescent="0.25">
      <c r="A1074" s="13">
        <f t="shared" si="16"/>
        <v>1061</v>
      </c>
      <c r="B1074" s="888" t="str">
        <f>'refer admin discharge'!B1070</f>
        <v>x</v>
      </c>
      <c r="C1074" s="888"/>
      <c r="D1074" s="868" t="str">
        <f>'refer admin discharge'!D1070</f>
        <v>xx</v>
      </c>
      <c r="E1074" s="868"/>
      <c r="F1074" s="891" t="str">
        <f>'refer admin discharge'!H1070</f>
        <v>00/00/0000</v>
      </c>
      <c r="G1074" s="892"/>
      <c r="H1074" s="894"/>
      <c r="I1074" s="894"/>
      <c r="J1074" s="918"/>
      <c r="K1074" s="918"/>
      <c r="L1074" s="894"/>
      <c r="M1074" s="894"/>
      <c r="N1074" s="916"/>
      <c r="O1074" s="916"/>
      <c r="P1074" s="894"/>
      <c r="Q1074" s="894"/>
      <c r="R1074" s="916"/>
      <c r="S1074" s="916"/>
      <c r="T1074" s="894"/>
      <c r="U1074" s="894"/>
      <c r="V1074" s="921" t="str">
        <f>'refer admin discharge'!H1075</f>
        <v>00/00/0000</v>
      </c>
      <c r="W1074" s="922"/>
      <c r="X1074" s="920"/>
      <c r="Y1074" s="920"/>
      <c r="Z1074" s="919"/>
      <c r="AA1074" s="919"/>
      <c r="AB1074" s="920"/>
      <c r="AC1074" s="920"/>
      <c r="AD1074" s="912"/>
      <c r="AE1074" s="912"/>
      <c r="AF1074" s="920"/>
      <c r="AG1074" s="920"/>
      <c r="AH1074" s="912"/>
      <c r="AI1074" s="912"/>
      <c r="AJ1074" s="920"/>
      <c r="AK1074" s="920"/>
      <c r="AL1074" s="905"/>
      <c r="AM1074" s="906"/>
      <c r="AN1074" s="906"/>
      <c r="AO1074" s="906"/>
      <c r="AP1074" s="906"/>
      <c r="AQ1074" s="906"/>
      <c r="AR1074" s="906"/>
      <c r="AS1074" s="906"/>
      <c r="AT1074" s="906"/>
      <c r="AU1074" s="906"/>
      <c r="AV1074" s="906"/>
      <c r="AW1074" s="906"/>
      <c r="AX1074" s="906"/>
      <c r="AY1074" s="906"/>
      <c r="AZ1074" s="906"/>
      <c r="BA1074" s="906"/>
      <c r="BB1074" s="907"/>
    </row>
    <row r="1075" spans="1:54" x14ac:dyDescent="0.25">
      <c r="A1075" s="13">
        <f t="shared" si="16"/>
        <v>1062</v>
      </c>
      <c r="B1075" s="914" t="str">
        <f>'refer admin discharge'!B1071</f>
        <v>x</v>
      </c>
      <c r="C1075" s="914"/>
      <c r="D1075" s="889" t="str">
        <f>'refer admin discharge'!D1071</f>
        <v>xx</v>
      </c>
      <c r="E1075" s="889"/>
      <c r="F1075" s="915" t="str">
        <f>'refer admin discharge'!H1071</f>
        <v>00/00/0000</v>
      </c>
      <c r="G1075" s="890"/>
      <c r="H1075" s="916"/>
      <c r="I1075" s="916"/>
      <c r="J1075" s="917"/>
      <c r="K1075" s="917"/>
      <c r="L1075" s="916"/>
      <c r="M1075" s="916"/>
      <c r="N1075" s="893"/>
      <c r="O1075" s="893"/>
      <c r="P1075" s="916"/>
      <c r="Q1075" s="916"/>
      <c r="R1075" s="893"/>
      <c r="S1075" s="893"/>
      <c r="T1075" s="916"/>
      <c r="U1075" s="916"/>
      <c r="V1075" s="921" t="str">
        <f>'refer admin discharge'!H1076</f>
        <v>00/00/0000</v>
      </c>
      <c r="W1075" s="922"/>
      <c r="X1075" s="912"/>
      <c r="Y1075" s="912"/>
      <c r="Z1075" s="924"/>
      <c r="AA1075" s="924"/>
      <c r="AB1075" s="912"/>
      <c r="AC1075" s="912"/>
      <c r="AD1075" s="913"/>
      <c r="AE1075" s="913"/>
      <c r="AF1075" s="912"/>
      <c r="AG1075" s="912"/>
      <c r="AH1075" s="913"/>
      <c r="AI1075" s="913"/>
      <c r="AJ1075" s="912"/>
      <c r="AK1075" s="912"/>
      <c r="AL1075" s="925"/>
      <c r="AM1075" s="926"/>
      <c r="AN1075" s="926"/>
      <c r="AO1075" s="926"/>
      <c r="AP1075" s="926"/>
      <c r="AQ1075" s="926"/>
      <c r="AR1075" s="926"/>
      <c r="AS1075" s="926"/>
      <c r="AT1075" s="926"/>
      <c r="AU1075" s="926"/>
      <c r="AV1075" s="926"/>
      <c r="AW1075" s="926"/>
      <c r="AX1075" s="926"/>
      <c r="AY1075" s="926"/>
      <c r="AZ1075" s="926"/>
      <c r="BA1075" s="926"/>
      <c r="BB1075" s="927"/>
    </row>
    <row r="1076" spans="1:54" x14ac:dyDescent="0.25">
      <c r="A1076" s="13">
        <f t="shared" si="16"/>
        <v>1063</v>
      </c>
      <c r="B1076" s="888" t="str">
        <f>'refer admin discharge'!B1072</f>
        <v>x</v>
      </c>
      <c r="C1076" s="888"/>
      <c r="D1076" s="868" t="str">
        <f>'refer admin discharge'!D1072</f>
        <v>xx</v>
      </c>
      <c r="E1076" s="868"/>
      <c r="F1076" s="891" t="str">
        <f>'refer admin discharge'!H1072</f>
        <v>00/00/0000</v>
      </c>
      <c r="G1076" s="892"/>
      <c r="H1076" s="894"/>
      <c r="I1076" s="894"/>
      <c r="J1076" s="918"/>
      <c r="K1076" s="918"/>
      <c r="L1076" s="894"/>
      <c r="M1076" s="894"/>
      <c r="N1076" s="916"/>
      <c r="O1076" s="916"/>
      <c r="P1076" s="894"/>
      <c r="Q1076" s="894"/>
      <c r="R1076" s="916"/>
      <c r="S1076" s="916"/>
      <c r="T1076" s="894"/>
      <c r="U1076" s="894"/>
      <c r="V1076" s="921" t="str">
        <f>'refer admin discharge'!H1077</f>
        <v>00/00/0000</v>
      </c>
      <c r="W1076" s="922"/>
      <c r="X1076" s="920"/>
      <c r="Y1076" s="920"/>
      <c r="Z1076" s="919"/>
      <c r="AA1076" s="919"/>
      <c r="AB1076" s="920"/>
      <c r="AC1076" s="920"/>
      <c r="AD1076" s="912"/>
      <c r="AE1076" s="912"/>
      <c r="AF1076" s="920"/>
      <c r="AG1076" s="920"/>
      <c r="AH1076" s="912"/>
      <c r="AI1076" s="912"/>
      <c r="AJ1076" s="920"/>
      <c r="AK1076" s="920"/>
      <c r="AL1076" s="905"/>
      <c r="AM1076" s="906"/>
      <c r="AN1076" s="906"/>
      <c r="AO1076" s="906"/>
      <c r="AP1076" s="906"/>
      <c r="AQ1076" s="906"/>
      <c r="AR1076" s="906"/>
      <c r="AS1076" s="906"/>
      <c r="AT1076" s="906"/>
      <c r="AU1076" s="906"/>
      <c r="AV1076" s="906"/>
      <c r="AW1076" s="906"/>
      <c r="AX1076" s="906"/>
      <c r="AY1076" s="906"/>
      <c r="AZ1076" s="906"/>
      <c r="BA1076" s="906"/>
      <c r="BB1076" s="907"/>
    </row>
    <row r="1077" spans="1:54" x14ac:dyDescent="0.25">
      <c r="A1077" s="13">
        <f t="shared" si="16"/>
        <v>1064</v>
      </c>
      <c r="B1077" s="914" t="str">
        <f>'refer admin discharge'!B1073</f>
        <v>x</v>
      </c>
      <c r="C1077" s="914"/>
      <c r="D1077" s="889" t="str">
        <f>'refer admin discharge'!D1073</f>
        <v>xx</v>
      </c>
      <c r="E1077" s="889"/>
      <c r="F1077" s="915" t="str">
        <f>'refer admin discharge'!H1073</f>
        <v>00/00/0000</v>
      </c>
      <c r="G1077" s="890"/>
      <c r="H1077" s="916"/>
      <c r="I1077" s="916"/>
      <c r="J1077" s="917"/>
      <c r="K1077" s="917"/>
      <c r="L1077" s="916"/>
      <c r="M1077" s="916"/>
      <c r="N1077" s="893"/>
      <c r="O1077" s="893"/>
      <c r="P1077" s="916"/>
      <c r="Q1077" s="916"/>
      <c r="R1077" s="893"/>
      <c r="S1077" s="893"/>
      <c r="T1077" s="916"/>
      <c r="U1077" s="916"/>
      <c r="V1077" s="921" t="str">
        <f>'refer admin discharge'!H1078</f>
        <v>00/00/0000</v>
      </c>
      <c r="W1077" s="922"/>
      <c r="X1077" s="912"/>
      <c r="Y1077" s="912"/>
      <c r="Z1077" s="924"/>
      <c r="AA1077" s="924"/>
      <c r="AB1077" s="912"/>
      <c r="AC1077" s="912"/>
      <c r="AD1077" s="913"/>
      <c r="AE1077" s="913"/>
      <c r="AF1077" s="912"/>
      <c r="AG1077" s="912"/>
      <c r="AH1077" s="913"/>
      <c r="AI1077" s="913"/>
      <c r="AJ1077" s="912"/>
      <c r="AK1077" s="912"/>
      <c r="AL1077" s="925"/>
      <c r="AM1077" s="926"/>
      <c r="AN1077" s="926"/>
      <c r="AO1077" s="926"/>
      <c r="AP1077" s="926"/>
      <c r="AQ1077" s="926"/>
      <c r="AR1077" s="926"/>
      <c r="AS1077" s="926"/>
      <c r="AT1077" s="926"/>
      <c r="AU1077" s="926"/>
      <c r="AV1077" s="926"/>
      <c r="AW1077" s="926"/>
      <c r="AX1077" s="926"/>
      <c r="AY1077" s="926"/>
      <c r="AZ1077" s="926"/>
      <c r="BA1077" s="926"/>
      <c r="BB1077" s="927"/>
    </row>
    <row r="1078" spans="1:54" x14ac:dyDescent="0.25">
      <c r="A1078" s="13">
        <f t="shared" si="16"/>
        <v>1065</v>
      </c>
      <c r="B1078" s="888" t="str">
        <f>'refer admin discharge'!B1074</f>
        <v>x</v>
      </c>
      <c r="C1078" s="888"/>
      <c r="D1078" s="868" t="str">
        <f>'refer admin discharge'!D1074</f>
        <v>xx</v>
      </c>
      <c r="E1078" s="868"/>
      <c r="F1078" s="891" t="str">
        <f>'refer admin discharge'!H1074</f>
        <v>00/00/0000</v>
      </c>
      <c r="G1078" s="892"/>
      <c r="H1078" s="894"/>
      <c r="I1078" s="894"/>
      <c r="J1078" s="918"/>
      <c r="K1078" s="918"/>
      <c r="L1078" s="894"/>
      <c r="M1078" s="894"/>
      <c r="N1078" s="916"/>
      <c r="O1078" s="916"/>
      <c r="P1078" s="894"/>
      <c r="Q1078" s="894"/>
      <c r="R1078" s="916"/>
      <c r="S1078" s="916"/>
      <c r="T1078" s="894"/>
      <c r="U1078" s="894"/>
      <c r="V1078" s="921" t="str">
        <f>'refer admin discharge'!H1079</f>
        <v>00/00/0000</v>
      </c>
      <c r="W1078" s="922"/>
      <c r="X1078" s="920"/>
      <c r="Y1078" s="920"/>
      <c r="Z1078" s="919"/>
      <c r="AA1078" s="919"/>
      <c r="AB1078" s="920"/>
      <c r="AC1078" s="920"/>
      <c r="AD1078" s="912"/>
      <c r="AE1078" s="912"/>
      <c r="AF1078" s="920"/>
      <c r="AG1078" s="920"/>
      <c r="AH1078" s="912"/>
      <c r="AI1078" s="912"/>
      <c r="AJ1078" s="920"/>
      <c r="AK1078" s="920"/>
      <c r="AL1078" s="905"/>
      <c r="AM1078" s="906"/>
      <c r="AN1078" s="906"/>
      <c r="AO1078" s="906"/>
      <c r="AP1078" s="906"/>
      <c r="AQ1078" s="906"/>
      <c r="AR1078" s="906"/>
      <c r="AS1078" s="906"/>
      <c r="AT1078" s="906"/>
      <c r="AU1078" s="906"/>
      <c r="AV1078" s="906"/>
      <c r="AW1078" s="906"/>
      <c r="AX1078" s="906"/>
      <c r="AY1078" s="906"/>
      <c r="AZ1078" s="906"/>
      <c r="BA1078" s="906"/>
      <c r="BB1078" s="907"/>
    </row>
    <row r="1079" spans="1:54" x14ac:dyDescent="0.25">
      <c r="A1079" s="13">
        <f t="shared" si="16"/>
        <v>1066</v>
      </c>
      <c r="B1079" s="914" t="str">
        <f>'refer admin discharge'!B1075</f>
        <v>x</v>
      </c>
      <c r="C1079" s="914"/>
      <c r="D1079" s="889" t="str">
        <f>'refer admin discharge'!D1075</f>
        <v>xx</v>
      </c>
      <c r="E1079" s="889"/>
      <c r="F1079" s="915" t="str">
        <f>'refer admin discharge'!H1075</f>
        <v>00/00/0000</v>
      </c>
      <c r="G1079" s="890"/>
      <c r="H1079" s="916"/>
      <c r="I1079" s="916"/>
      <c r="J1079" s="917"/>
      <c r="K1079" s="917"/>
      <c r="L1079" s="916"/>
      <c r="M1079" s="916"/>
      <c r="N1079" s="893"/>
      <c r="O1079" s="893"/>
      <c r="P1079" s="916"/>
      <c r="Q1079" s="916"/>
      <c r="R1079" s="893"/>
      <c r="S1079" s="893"/>
      <c r="T1079" s="916"/>
      <c r="U1079" s="916"/>
      <c r="V1079" s="921" t="str">
        <f>'refer admin discharge'!H1080</f>
        <v>00/00/0000</v>
      </c>
      <c r="W1079" s="922"/>
      <c r="X1079" s="912"/>
      <c r="Y1079" s="912"/>
      <c r="Z1079" s="924"/>
      <c r="AA1079" s="924"/>
      <c r="AB1079" s="912"/>
      <c r="AC1079" s="912"/>
      <c r="AD1079" s="913"/>
      <c r="AE1079" s="913"/>
      <c r="AF1079" s="912"/>
      <c r="AG1079" s="912"/>
      <c r="AH1079" s="913"/>
      <c r="AI1079" s="913"/>
      <c r="AJ1079" s="912"/>
      <c r="AK1079" s="912"/>
      <c r="AL1079" s="925"/>
      <c r="AM1079" s="926"/>
      <c r="AN1079" s="926"/>
      <c r="AO1079" s="926"/>
      <c r="AP1079" s="926"/>
      <c r="AQ1079" s="926"/>
      <c r="AR1079" s="926"/>
      <c r="AS1079" s="926"/>
      <c r="AT1079" s="926"/>
      <c r="AU1079" s="926"/>
      <c r="AV1079" s="926"/>
      <c r="AW1079" s="926"/>
      <c r="AX1079" s="926"/>
      <c r="AY1079" s="926"/>
      <c r="AZ1079" s="926"/>
      <c r="BA1079" s="926"/>
      <c r="BB1079" s="927"/>
    </row>
    <row r="1080" spans="1:54" x14ac:dyDescent="0.25">
      <c r="A1080" s="13">
        <f t="shared" si="16"/>
        <v>1067</v>
      </c>
      <c r="B1080" s="888" t="str">
        <f>'refer admin discharge'!B1076</f>
        <v>x</v>
      </c>
      <c r="C1080" s="888"/>
      <c r="D1080" s="868" t="str">
        <f>'refer admin discharge'!D1076</f>
        <v>xx</v>
      </c>
      <c r="E1080" s="868"/>
      <c r="F1080" s="891" t="str">
        <f>'refer admin discharge'!H1076</f>
        <v>00/00/0000</v>
      </c>
      <c r="G1080" s="892"/>
      <c r="H1080" s="894"/>
      <c r="I1080" s="894"/>
      <c r="J1080" s="918"/>
      <c r="K1080" s="918"/>
      <c r="L1080" s="894"/>
      <c r="M1080" s="894"/>
      <c r="N1080" s="916"/>
      <c r="O1080" s="916"/>
      <c r="P1080" s="894"/>
      <c r="Q1080" s="894"/>
      <c r="R1080" s="916"/>
      <c r="S1080" s="916"/>
      <c r="T1080" s="894"/>
      <c r="U1080" s="894"/>
      <c r="V1080" s="921" t="str">
        <f>'refer admin discharge'!H1081</f>
        <v>00/00/0000</v>
      </c>
      <c r="W1080" s="922"/>
      <c r="X1080" s="920"/>
      <c r="Y1080" s="920"/>
      <c r="Z1080" s="919"/>
      <c r="AA1080" s="919"/>
      <c r="AB1080" s="920"/>
      <c r="AC1080" s="920"/>
      <c r="AD1080" s="912"/>
      <c r="AE1080" s="912"/>
      <c r="AF1080" s="920"/>
      <c r="AG1080" s="920"/>
      <c r="AH1080" s="912"/>
      <c r="AI1080" s="912"/>
      <c r="AJ1080" s="920"/>
      <c r="AK1080" s="920"/>
      <c r="AL1080" s="905"/>
      <c r="AM1080" s="906"/>
      <c r="AN1080" s="906"/>
      <c r="AO1080" s="906"/>
      <c r="AP1080" s="906"/>
      <c r="AQ1080" s="906"/>
      <c r="AR1080" s="906"/>
      <c r="AS1080" s="906"/>
      <c r="AT1080" s="906"/>
      <c r="AU1080" s="906"/>
      <c r="AV1080" s="906"/>
      <c r="AW1080" s="906"/>
      <c r="AX1080" s="906"/>
      <c r="AY1080" s="906"/>
      <c r="AZ1080" s="906"/>
      <c r="BA1080" s="906"/>
      <c r="BB1080" s="907"/>
    </row>
    <row r="1081" spans="1:54" x14ac:dyDescent="0.25">
      <c r="A1081" s="13">
        <f t="shared" si="16"/>
        <v>1068</v>
      </c>
      <c r="B1081" s="914" t="str">
        <f>'refer admin discharge'!B1077</f>
        <v>x</v>
      </c>
      <c r="C1081" s="914"/>
      <c r="D1081" s="889" t="str">
        <f>'refer admin discharge'!D1077</f>
        <v>xx</v>
      </c>
      <c r="E1081" s="889"/>
      <c r="F1081" s="915" t="str">
        <f>'refer admin discharge'!H1077</f>
        <v>00/00/0000</v>
      </c>
      <c r="G1081" s="890"/>
      <c r="H1081" s="916"/>
      <c r="I1081" s="916"/>
      <c r="J1081" s="917"/>
      <c r="K1081" s="917"/>
      <c r="L1081" s="916"/>
      <c r="M1081" s="916"/>
      <c r="N1081" s="893"/>
      <c r="O1081" s="893"/>
      <c r="P1081" s="916"/>
      <c r="Q1081" s="916"/>
      <c r="R1081" s="893"/>
      <c r="S1081" s="893"/>
      <c r="T1081" s="916"/>
      <c r="U1081" s="916"/>
      <c r="V1081" s="921" t="str">
        <f>'refer admin discharge'!H1082</f>
        <v>00/00/0000</v>
      </c>
      <c r="W1081" s="922"/>
      <c r="X1081" s="912"/>
      <c r="Y1081" s="912"/>
      <c r="Z1081" s="924"/>
      <c r="AA1081" s="924"/>
      <c r="AB1081" s="912"/>
      <c r="AC1081" s="912"/>
      <c r="AD1081" s="913"/>
      <c r="AE1081" s="913"/>
      <c r="AF1081" s="912"/>
      <c r="AG1081" s="912"/>
      <c r="AH1081" s="913"/>
      <c r="AI1081" s="913"/>
      <c r="AJ1081" s="912"/>
      <c r="AK1081" s="912"/>
      <c r="AL1081" s="925"/>
      <c r="AM1081" s="926"/>
      <c r="AN1081" s="926"/>
      <c r="AO1081" s="926"/>
      <c r="AP1081" s="926"/>
      <c r="AQ1081" s="926"/>
      <c r="AR1081" s="926"/>
      <c r="AS1081" s="926"/>
      <c r="AT1081" s="926"/>
      <c r="AU1081" s="926"/>
      <c r="AV1081" s="926"/>
      <c r="AW1081" s="926"/>
      <c r="AX1081" s="926"/>
      <c r="AY1081" s="926"/>
      <c r="AZ1081" s="926"/>
      <c r="BA1081" s="926"/>
      <c r="BB1081" s="927"/>
    </row>
    <row r="1082" spans="1:54" x14ac:dyDescent="0.25">
      <c r="A1082" s="13">
        <f t="shared" si="16"/>
        <v>1069</v>
      </c>
      <c r="B1082" s="888" t="str">
        <f>'refer admin discharge'!B1078</f>
        <v>x</v>
      </c>
      <c r="C1082" s="888"/>
      <c r="D1082" s="868" t="str">
        <f>'refer admin discharge'!D1078</f>
        <v>xx</v>
      </c>
      <c r="E1082" s="868"/>
      <c r="F1082" s="891" t="str">
        <f>'refer admin discharge'!H1078</f>
        <v>00/00/0000</v>
      </c>
      <c r="G1082" s="892"/>
      <c r="H1082" s="894"/>
      <c r="I1082" s="894"/>
      <c r="J1082" s="918"/>
      <c r="K1082" s="918"/>
      <c r="L1082" s="894"/>
      <c r="M1082" s="894"/>
      <c r="N1082" s="916"/>
      <c r="O1082" s="916"/>
      <c r="P1082" s="894"/>
      <c r="Q1082" s="894"/>
      <c r="R1082" s="916"/>
      <c r="S1082" s="916"/>
      <c r="T1082" s="894"/>
      <c r="U1082" s="894"/>
      <c r="V1082" s="921" t="str">
        <f>'refer admin discharge'!H1083</f>
        <v>00/00/0000</v>
      </c>
      <c r="W1082" s="922"/>
      <c r="X1082" s="920"/>
      <c r="Y1082" s="920"/>
      <c r="Z1082" s="919"/>
      <c r="AA1082" s="919"/>
      <c r="AB1082" s="920"/>
      <c r="AC1082" s="920"/>
      <c r="AD1082" s="912"/>
      <c r="AE1082" s="912"/>
      <c r="AF1082" s="920"/>
      <c r="AG1082" s="920"/>
      <c r="AH1082" s="912"/>
      <c r="AI1082" s="912"/>
      <c r="AJ1082" s="920"/>
      <c r="AK1082" s="920"/>
      <c r="AL1082" s="905"/>
      <c r="AM1082" s="906"/>
      <c r="AN1082" s="906"/>
      <c r="AO1082" s="906"/>
      <c r="AP1082" s="906"/>
      <c r="AQ1082" s="906"/>
      <c r="AR1082" s="906"/>
      <c r="AS1082" s="906"/>
      <c r="AT1082" s="906"/>
      <c r="AU1082" s="906"/>
      <c r="AV1082" s="906"/>
      <c r="AW1082" s="906"/>
      <c r="AX1082" s="906"/>
      <c r="AY1082" s="906"/>
      <c r="AZ1082" s="906"/>
      <c r="BA1082" s="906"/>
      <c r="BB1082" s="907"/>
    </row>
    <row r="1083" spans="1:54" x14ac:dyDescent="0.25">
      <c r="A1083" s="13">
        <f t="shared" si="16"/>
        <v>1070</v>
      </c>
      <c r="B1083" s="914" t="str">
        <f>'refer admin discharge'!B1079</f>
        <v>x</v>
      </c>
      <c r="C1083" s="914"/>
      <c r="D1083" s="889" t="str">
        <f>'refer admin discharge'!D1079</f>
        <v>xx</v>
      </c>
      <c r="E1083" s="889"/>
      <c r="F1083" s="915" t="str">
        <f>'refer admin discharge'!H1079</f>
        <v>00/00/0000</v>
      </c>
      <c r="G1083" s="890"/>
      <c r="H1083" s="916"/>
      <c r="I1083" s="916"/>
      <c r="J1083" s="917"/>
      <c r="K1083" s="917"/>
      <c r="L1083" s="916"/>
      <c r="M1083" s="916"/>
      <c r="N1083" s="893"/>
      <c r="O1083" s="893"/>
      <c r="P1083" s="916"/>
      <c r="Q1083" s="916"/>
      <c r="R1083" s="893"/>
      <c r="S1083" s="893"/>
      <c r="T1083" s="916"/>
      <c r="U1083" s="916"/>
      <c r="V1083" s="921" t="str">
        <f>'refer admin discharge'!H1084</f>
        <v>00/00/0000</v>
      </c>
      <c r="W1083" s="922"/>
      <c r="X1083" s="912"/>
      <c r="Y1083" s="912"/>
      <c r="Z1083" s="924"/>
      <c r="AA1083" s="924"/>
      <c r="AB1083" s="912"/>
      <c r="AC1083" s="912"/>
      <c r="AD1083" s="913"/>
      <c r="AE1083" s="913"/>
      <c r="AF1083" s="912"/>
      <c r="AG1083" s="912"/>
      <c r="AH1083" s="913"/>
      <c r="AI1083" s="913"/>
      <c r="AJ1083" s="912"/>
      <c r="AK1083" s="912"/>
      <c r="AL1083" s="925"/>
      <c r="AM1083" s="926"/>
      <c r="AN1083" s="926"/>
      <c r="AO1083" s="926"/>
      <c r="AP1083" s="926"/>
      <c r="AQ1083" s="926"/>
      <c r="AR1083" s="926"/>
      <c r="AS1083" s="926"/>
      <c r="AT1083" s="926"/>
      <c r="AU1083" s="926"/>
      <c r="AV1083" s="926"/>
      <c r="AW1083" s="926"/>
      <c r="AX1083" s="926"/>
      <c r="AY1083" s="926"/>
      <c r="AZ1083" s="926"/>
      <c r="BA1083" s="926"/>
      <c r="BB1083" s="927"/>
    </row>
    <row r="1084" spans="1:54" x14ac:dyDescent="0.25">
      <c r="A1084" s="13">
        <f t="shared" si="16"/>
        <v>1071</v>
      </c>
      <c r="B1084" s="888" t="str">
        <f>'refer admin discharge'!B1080</f>
        <v>x</v>
      </c>
      <c r="C1084" s="888"/>
      <c r="D1084" s="868" t="str">
        <f>'refer admin discharge'!D1080</f>
        <v>xx</v>
      </c>
      <c r="E1084" s="868"/>
      <c r="F1084" s="891" t="str">
        <f>'refer admin discharge'!H1080</f>
        <v>00/00/0000</v>
      </c>
      <c r="G1084" s="892"/>
      <c r="H1084" s="894"/>
      <c r="I1084" s="894"/>
      <c r="J1084" s="918"/>
      <c r="K1084" s="918"/>
      <c r="L1084" s="894"/>
      <c r="M1084" s="894"/>
      <c r="N1084" s="916"/>
      <c r="O1084" s="916"/>
      <c r="P1084" s="894"/>
      <c r="Q1084" s="894"/>
      <c r="R1084" s="916"/>
      <c r="S1084" s="916"/>
      <c r="T1084" s="894"/>
      <c r="U1084" s="894"/>
      <c r="V1084" s="921" t="str">
        <f>'refer admin discharge'!H1085</f>
        <v>00/00/0000</v>
      </c>
      <c r="W1084" s="922"/>
      <c r="X1084" s="920"/>
      <c r="Y1084" s="920"/>
      <c r="Z1084" s="919"/>
      <c r="AA1084" s="919"/>
      <c r="AB1084" s="920"/>
      <c r="AC1084" s="920"/>
      <c r="AD1084" s="912"/>
      <c r="AE1084" s="912"/>
      <c r="AF1084" s="920"/>
      <c r="AG1084" s="920"/>
      <c r="AH1084" s="912"/>
      <c r="AI1084" s="912"/>
      <c r="AJ1084" s="920"/>
      <c r="AK1084" s="920"/>
      <c r="AL1084" s="905"/>
      <c r="AM1084" s="906"/>
      <c r="AN1084" s="906"/>
      <c r="AO1084" s="906"/>
      <c r="AP1084" s="906"/>
      <c r="AQ1084" s="906"/>
      <c r="AR1084" s="906"/>
      <c r="AS1084" s="906"/>
      <c r="AT1084" s="906"/>
      <c r="AU1084" s="906"/>
      <c r="AV1084" s="906"/>
      <c r="AW1084" s="906"/>
      <c r="AX1084" s="906"/>
      <c r="AY1084" s="906"/>
      <c r="AZ1084" s="906"/>
      <c r="BA1084" s="906"/>
      <c r="BB1084" s="907"/>
    </row>
    <row r="1085" spans="1:54" x14ac:dyDescent="0.25">
      <c r="A1085" s="13">
        <f t="shared" si="16"/>
        <v>1072</v>
      </c>
      <c r="B1085" s="914" t="str">
        <f>'refer admin discharge'!B1081</f>
        <v>x</v>
      </c>
      <c r="C1085" s="914"/>
      <c r="D1085" s="889" t="str">
        <f>'refer admin discharge'!D1081</f>
        <v>xx</v>
      </c>
      <c r="E1085" s="889"/>
      <c r="F1085" s="915" t="str">
        <f>'refer admin discharge'!H1081</f>
        <v>00/00/0000</v>
      </c>
      <c r="G1085" s="890"/>
      <c r="H1085" s="916"/>
      <c r="I1085" s="916"/>
      <c r="J1085" s="917"/>
      <c r="K1085" s="917"/>
      <c r="L1085" s="916"/>
      <c r="M1085" s="916"/>
      <c r="N1085" s="893"/>
      <c r="O1085" s="893"/>
      <c r="P1085" s="916"/>
      <c r="Q1085" s="916"/>
      <c r="R1085" s="893"/>
      <c r="S1085" s="893"/>
      <c r="T1085" s="916"/>
      <c r="U1085" s="916"/>
      <c r="V1085" s="921" t="str">
        <f>'refer admin discharge'!H1086</f>
        <v>00/00/0000</v>
      </c>
      <c r="W1085" s="922"/>
      <c r="X1085" s="912"/>
      <c r="Y1085" s="912"/>
      <c r="Z1085" s="924"/>
      <c r="AA1085" s="924"/>
      <c r="AB1085" s="912"/>
      <c r="AC1085" s="912"/>
      <c r="AD1085" s="913"/>
      <c r="AE1085" s="913"/>
      <c r="AF1085" s="912"/>
      <c r="AG1085" s="912"/>
      <c r="AH1085" s="913"/>
      <c r="AI1085" s="913"/>
      <c r="AJ1085" s="912"/>
      <c r="AK1085" s="912"/>
      <c r="AL1085" s="925"/>
      <c r="AM1085" s="926"/>
      <c r="AN1085" s="926"/>
      <c r="AO1085" s="926"/>
      <c r="AP1085" s="926"/>
      <c r="AQ1085" s="926"/>
      <c r="AR1085" s="926"/>
      <c r="AS1085" s="926"/>
      <c r="AT1085" s="926"/>
      <c r="AU1085" s="926"/>
      <c r="AV1085" s="926"/>
      <c r="AW1085" s="926"/>
      <c r="AX1085" s="926"/>
      <c r="AY1085" s="926"/>
      <c r="AZ1085" s="926"/>
      <c r="BA1085" s="926"/>
      <c r="BB1085" s="927"/>
    </row>
    <row r="1086" spans="1:54" x14ac:dyDescent="0.25">
      <c r="A1086" s="13">
        <f t="shared" si="16"/>
        <v>1073</v>
      </c>
      <c r="B1086" s="888" t="str">
        <f>'refer admin discharge'!B1082</f>
        <v>x</v>
      </c>
      <c r="C1086" s="888"/>
      <c r="D1086" s="868" t="str">
        <f>'refer admin discharge'!D1082</f>
        <v>xx</v>
      </c>
      <c r="E1086" s="868"/>
      <c r="F1086" s="891" t="str">
        <f>'refer admin discharge'!H1082</f>
        <v>00/00/0000</v>
      </c>
      <c r="G1086" s="892"/>
      <c r="H1086" s="894"/>
      <c r="I1086" s="894"/>
      <c r="J1086" s="918"/>
      <c r="K1086" s="918"/>
      <c r="L1086" s="894"/>
      <c r="M1086" s="894"/>
      <c r="N1086" s="916"/>
      <c r="O1086" s="916"/>
      <c r="P1086" s="894"/>
      <c r="Q1086" s="894"/>
      <c r="R1086" s="916"/>
      <c r="S1086" s="916"/>
      <c r="T1086" s="894"/>
      <c r="U1086" s="894"/>
      <c r="V1086" s="921" t="str">
        <f>'refer admin discharge'!H1087</f>
        <v>00/00/0000</v>
      </c>
      <c r="W1086" s="922"/>
      <c r="X1086" s="920"/>
      <c r="Y1086" s="920"/>
      <c r="Z1086" s="919"/>
      <c r="AA1086" s="919"/>
      <c r="AB1086" s="920"/>
      <c r="AC1086" s="920"/>
      <c r="AD1086" s="912"/>
      <c r="AE1086" s="912"/>
      <c r="AF1086" s="920"/>
      <c r="AG1086" s="920"/>
      <c r="AH1086" s="912"/>
      <c r="AI1086" s="912"/>
      <c r="AJ1086" s="920"/>
      <c r="AK1086" s="920"/>
      <c r="AL1086" s="905"/>
      <c r="AM1086" s="906"/>
      <c r="AN1086" s="906"/>
      <c r="AO1086" s="906"/>
      <c r="AP1086" s="906"/>
      <c r="AQ1086" s="906"/>
      <c r="AR1086" s="906"/>
      <c r="AS1086" s="906"/>
      <c r="AT1086" s="906"/>
      <c r="AU1086" s="906"/>
      <c r="AV1086" s="906"/>
      <c r="AW1086" s="906"/>
      <c r="AX1086" s="906"/>
      <c r="AY1086" s="906"/>
      <c r="AZ1086" s="906"/>
      <c r="BA1086" s="906"/>
      <c r="BB1086" s="907"/>
    </row>
    <row r="1087" spans="1:54" x14ac:dyDescent="0.25">
      <c r="A1087" s="13">
        <f t="shared" si="16"/>
        <v>1074</v>
      </c>
      <c r="B1087" s="914" t="str">
        <f>'refer admin discharge'!B1083</f>
        <v>x</v>
      </c>
      <c r="C1087" s="914"/>
      <c r="D1087" s="889" t="str">
        <f>'refer admin discharge'!D1083</f>
        <v>xx</v>
      </c>
      <c r="E1087" s="889"/>
      <c r="F1087" s="915" t="str">
        <f>'refer admin discharge'!H1083</f>
        <v>00/00/0000</v>
      </c>
      <c r="G1087" s="890"/>
      <c r="H1087" s="916"/>
      <c r="I1087" s="916"/>
      <c r="J1087" s="917"/>
      <c r="K1087" s="917"/>
      <c r="L1087" s="916"/>
      <c r="M1087" s="916"/>
      <c r="N1087" s="893"/>
      <c r="O1087" s="893"/>
      <c r="P1087" s="916"/>
      <c r="Q1087" s="916"/>
      <c r="R1087" s="893"/>
      <c r="S1087" s="893"/>
      <c r="T1087" s="916"/>
      <c r="U1087" s="916"/>
      <c r="V1087" s="921" t="str">
        <f>'refer admin discharge'!H1088</f>
        <v>00/00/0000</v>
      </c>
      <c r="W1087" s="922"/>
      <c r="X1087" s="912"/>
      <c r="Y1087" s="912"/>
      <c r="Z1087" s="924"/>
      <c r="AA1087" s="924"/>
      <c r="AB1087" s="912"/>
      <c r="AC1087" s="912"/>
      <c r="AD1087" s="913"/>
      <c r="AE1087" s="913"/>
      <c r="AF1087" s="912"/>
      <c r="AG1087" s="912"/>
      <c r="AH1087" s="913"/>
      <c r="AI1087" s="913"/>
      <c r="AJ1087" s="912"/>
      <c r="AK1087" s="912"/>
      <c r="AL1087" s="925"/>
      <c r="AM1087" s="926"/>
      <c r="AN1087" s="926"/>
      <c r="AO1087" s="926"/>
      <c r="AP1087" s="926"/>
      <c r="AQ1087" s="926"/>
      <c r="AR1087" s="926"/>
      <c r="AS1087" s="926"/>
      <c r="AT1087" s="926"/>
      <c r="AU1087" s="926"/>
      <c r="AV1087" s="926"/>
      <c r="AW1087" s="926"/>
      <c r="AX1087" s="926"/>
      <c r="AY1087" s="926"/>
      <c r="AZ1087" s="926"/>
      <c r="BA1087" s="926"/>
      <c r="BB1087" s="927"/>
    </row>
    <row r="1088" spans="1:54" x14ac:dyDescent="0.25">
      <c r="A1088" s="13">
        <f t="shared" si="16"/>
        <v>1075</v>
      </c>
      <c r="B1088" s="888" t="str">
        <f>'refer admin discharge'!B1084</f>
        <v>x</v>
      </c>
      <c r="C1088" s="888"/>
      <c r="D1088" s="868" t="str">
        <f>'refer admin discharge'!D1084</f>
        <v>xx</v>
      </c>
      <c r="E1088" s="868"/>
      <c r="F1088" s="891" t="str">
        <f>'refer admin discharge'!H1084</f>
        <v>00/00/0000</v>
      </c>
      <c r="G1088" s="892"/>
      <c r="H1088" s="894"/>
      <c r="I1088" s="894"/>
      <c r="J1088" s="918"/>
      <c r="K1088" s="918"/>
      <c r="L1088" s="894"/>
      <c r="M1088" s="894"/>
      <c r="N1088" s="916"/>
      <c r="O1088" s="916"/>
      <c r="P1088" s="894"/>
      <c r="Q1088" s="894"/>
      <c r="R1088" s="916"/>
      <c r="S1088" s="916"/>
      <c r="T1088" s="894"/>
      <c r="U1088" s="894"/>
      <c r="V1088" s="921" t="str">
        <f>'refer admin discharge'!H1089</f>
        <v>00/00/0000</v>
      </c>
      <c r="W1088" s="922"/>
      <c r="X1088" s="920"/>
      <c r="Y1088" s="920"/>
      <c r="Z1088" s="919"/>
      <c r="AA1088" s="919"/>
      <c r="AB1088" s="920"/>
      <c r="AC1088" s="920"/>
      <c r="AD1088" s="912"/>
      <c r="AE1088" s="912"/>
      <c r="AF1088" s="920"/>
      <c r="AG1088" s="920"/>
      <c r="AH1088" s="912"/>
      <c r="AI1088" s="912"/>
      <c r="AJ1088" s="920"/>
      <c r="AK1088" s="920"/>
      <c r="AL1088" s="905"/>
      <c r="AM1088" s="906"/>
      <c r="AN1088" s="906"/>
      <c r="AO1088" s="906"/>
      <c r="AP1088" s="906"/>
      <c r="AQ1088" s="906"/>
      <c r="AR1088" s="906"/>
      <c r="AS1088" s="906"/>
      <c r="AT1088" s="906"/>
      <c r="AU1088" s="906"/>
      <c r="AV1088" s="906"/>
      <c r="AW1088" s="906"/>
      <c r="AX1088" s="906"/>
      <c r="AY1088" s="906"/>
      <c r="AZ1088" s="906"/>
      <c r="BA1088" s="906"/>
      <c r="BB1088" s="907"/>
    </row>
    <row r="1089" spans="1:54" x14ac:dyDescent="0.25">
      <c r="A1089" s="13">
        <f t="shared" si="16"/>
        <v>1076</v>
      </c>
      <c r="B1089" s="914" t="str">
        <f>'refer admin discharge'!B1085</f>
        <v>x</v>
      </c>
      <c r="C1089" s="914"/>
      <c r="D1089" s="889" t="str">
        <f>'refer admin discharge'!D1085</f>
        <v>xx</v>
      </c>
      <c r="E1089" s="889"/>
      <c r="F1089" s="915" t="str">
        <f>'refer admin discharge'!H1085</f>
        <v>00/00/0000</v>
      </c>
      <c r="G1089" s="890"/>
      <c r="H1089" s="916"/>
      <c r="I1089" s="916"/>
      <c r="J1089" s="917"/>
      <c r="K1089" s="917"/>
      <c r="L1089" s="916"/>
      <c r="M1089" s="916"/>
      <c r="N1089" s="893"/>
      <c r="O1089" s="893"/>
      <c r="P1089" s="916"/>
      <c r="Q1089" s="916"/>
      <c r="R1089" s="893"/>
      <c r="S1089" s="893"/>
      <c r="T1089" s="916"/>
      <c r="U1089" s="916"/>
      <c r="V1089" s="921" t="str">
        <f>'refer admin discharge'!H1090</f>
        <v>00/00/0000</v>
      </c>
      <c r="W1089" s="922"/>
      <c r="X1089" s="912"/>
      <c r="Y1089" s="912"/>
      <c r="Z1089" s="924"/>
      <c r="AA1089" s="924"/>
      <c r="AB1089" s="912"/>
      <c r="AC1089" s="912"/>
      <c r="AD1089" s="913"/>
      <c r="AE1089" s="913"/>
      <c r="AF1089" s="912"/>
      <c r="AG1089" s="912"/>
      <c r="AH1089" s="913"/>
      <c r="AI1089" s="913"/>
      <c r="AJ1089" s="912"/>
      <c r="AK1089" s="912"/>
      <c r="AL1089" s="925"/>
      <c r="AM1089" s="926"/>
      <c r="AN1089" s="926"/>
      <c r="AO1089" s="926"/>
      <c r="AP1089" s="926"/>
      <c r="AQ1089" s="926"/>
      <c r="AR1089" s="926"/>
      <c r="AS1089" s="926"/>
      <c r="AT1089" s="926"/>
      <c r="AU1089" s="926"/>
      <c r="AV1089" s="926"/>
      <c r="AW1089" s="926"/>
      <c r="AX1089" s="926"/>
      <c r="AY1089" s="926"/>
      <c r="AZ1089" s="926"/>
      <c r="BA1089" s="926"/>
      <c r="BB1089" s="927"/>
    </row>
    <row r="1090" spans="1:54" x14ac:dyDescent="0.25">
      <c r="A1090" s="13">
        <f t="shared" si="16"/>
        <v>1077</v>
      </c>
      <c r="B1090" s="888" t="str">
        <f>'refer admin discharge'!B1086</f>
        <v>x</v>
      </c>
      <c r="C1090" s="888"/>
      <c r="D1090" s="868" t="str">
        <f>'refer admin discharge'!D1086</f>
        <v>xx</v>
      </c>
      <c r="E1090" s="868"/>
      <c r="F1090" s="891" t="str">
        <f>'refer admin discharge'!H1086</f>
        <v>00/00/0000</v>
      </c>
      <c r="G1090" s="892"/>
      <c r="H1090" s="894"/>
      <c r="I1090" s="894"/>
      <c r="J1090" s="918"/>
      <c r="K1090" s="918"/>
      <c r="L1090" s="894"/>
      <c r="M1090" s="894"/>
      <c r="N1090" s="916"/>
      <c r="O1090" s="916"/>
      <c r="P1090" s="894"/>
      <c r="Q1090" s="894"/>
      <c r="R1090" s="916"/>
      <c r="S1090" s="916"/>
      <c r="T1090" s="894"/>
      <c r="U1090" s="894"/>
      <c r="V1090" s="921" t="str">
        <f>'refer admin discharge'!H1091</f>
        <v>00/00/0000</v>
      </c>
      <c r="W1090" s="922"/>
      <c r="X1090" s="920"/>
      <c r="Y1090" s="920"/>
      <c r="Z1090" s="919"/>
      <c r="AA1090" s="919"/>
      <c r="AB1090" s="920"/>
      <c r="AC1090" s="920"/>
      <c r="AD1090" s="912"/>
      <c r="AE1090" s="912"/>
      <c r="AF1090" s="920"/>
      <c r="AG1090" s="920"/>
      <c r="AH1090" s="912"/>
      <c r="AI1090" s="912"/>
      <c r="AJ1090" s="920"/>
      <c r="AK1090" s="920"/>
      <c r="AL1090" s="905"/>
      <c r="AM1090" s="906"/>
      <c r="AN1090" s="906"/>
      <c r="AO1090" s="906"/>
      <c r="AP1090" s="906"/>
      <c r="AQ1090" s="906"/>
      <c r="AR1090" s="906"/>
      <c r="AS1090" s="906"/>
      <c r="AT1090" s="906"/>
      <c r="AU1090" s="906"/>
      <c r="AV1090" s="906"/>
      <c r="AW1090" s="906"/>
      <c r="AX1090" s="906"/>
      <c r="AY1090" s="906"/>
      <c r="AZ1090" s="906"/>
      <c r="BA1090" s="906"/>
      <c r="BB1090" s="907"/>
    </row>
    <row r="1091" spans="1:54" x14ac:dyDescent="0.25">
      <c r="A1091" s="13">
        <f t="shared" si="16"/>
        <v>1078</v>
      </c>
      <c r="B1091" s="914" t="str">
        <f>'refer admin discharge'!B1087</f>
        <v>x</v>
      </c>
      <c r="C1091" s="914"/>
      <c r="D1091" s="889" t="str">
        <f>'refer admin discharge'!D1087</f>
        <v>xx</v>
      </c>
      <c r="E1091" s="889"/>
      <c r="F1091" s="915" t="str">
        <f>'refer admin discharge'!H1087</f>
        <v>00/00/0000</v>
      </c>
      <c r="G1091" s="890"/>
      <c r="H1091" s="916"/>
      <c r="I1091" s="916"/>
      <c r="J1091" s="917"/>
      <c r="K1091" s="917"/>
      <c r="L1091" s="916"/>
      <c r="M1091" s="916"/>
      <c r="N1091" s="893"/>
      <c r="O1091" s="893"/>
      <c r="P1091" s="916"/>
      <c r="Q1091" s="916"/>
      <c r="R1091" s="893"/>
      <c r="S1091" s="893"/>
      <c r="T1091" s="916"/>
      <c r="U1091" s="916"/>
      <c r="V1091" s="921" t="str">
        <f>'refer admin discharge'!H1092</f>
        <v>00/00/0000</v>
      </c>
      <c r="W1091" s="922"/>
      <c r="X1091" s="912"/>
      <c r="Y1091" s="912"/>
      <c r="Z1091" s="924"/>
      <c r="AA1091" s="924"/>
      <c r="AB1091" s="912"/>
      <c r="AC1091" s="912"/>
      <c r="AD1091" s="913"/>
      <c r="AE1091" s="913"/>
      <c r="AF1091" s="912"/>
      <c r="AG1091" s="912"/>
      <c r="AH1091" s="913"/>
      <c r="AI1091" s="913"/>
      <c r="AJ1091" s="912"/>
      <c r="AK1091" s="912"/>
      <c r="AL1091" s="925"/>
      <c r="AM1091" s="926"/>
      <c r="AN1091" s="926"/>
      <c r="AO1091" s="926"/>
      <c r="AP1091" s="926"/>
      <c r="AQ1091" s="926"/>
      <c r="AR1091" s="926"/>
      <c r="AS1091" s="926"/>
      <c r="AT1091" s="926"/>
      <c r="AU1091" s="926"/>
      <c r="AV1091" s="926"/>
      <c r="AW1091" s="926"/>
      <c r="AX1091" s="926"/>
      <c r="AY1091" s="926"/>
      <c r="AZ1091" s="926"/>
      <c r="BA1091" s="926"/>
      <c r="BB1091" s="927"/>
    </row>
    <row r="1092" spans="1:54" x14ac:dyDescent="0.25">
      <c r="A1092" s="13">
        <f t="shared" si="16"/>
        <v>1079</v>
      </c>
      <c r="B1092" s="888" t="str">
        <f>'refer admin discharge'!B1088</f>
        <v>x</v>
      </c>
      <c r="C1092" s="888"/>
      <c r="D1092" s="868" t="str">
        <f>'refer admin discharge'!D1088</f>
        <v>xx</v>
      </c>
      <c r="E1092" s="868"/>
      <c r="F1092" s="891" t="str">
        <f>'refer admin discharge'!H1088</f>
        <v>00/00/0000</v>
      </c>
      <c r="G1092" s="892"/>
      <c r="H1092" s="894"/>
      <c r="I1092" s="894"/>
      <c r="J1092" s="918"/>
      <c r="K1092" s="918"/>
      <c r="L1092" s="894"/>
      <c r="M1092" s="894"/>
      <c r="N1092" s="916"/>
      <c r="O1092" s="916"/>
      <c r="P1092" s="894"/>
      <c r="Q1092" s="894"/>
      <c r="R1092" s="916"/>
      <c r="S1092" s="916"/>
      <c r="T1092" s="894"/>
      <c r="U1092" s="894"/>
      <c r="V1092" s="921" t="str">
        <f>'refer admin discharge'!H1093</f>
        <v>00/00/0000</v>
      </c>
      <c r="W1092" s="922"/>
      <c r="X1092" s="920"/>
      <c r="Y1092" s="920"/>
      <c r="Z1092" s="919"/>
      <c r="AA1092" s="919"/>
      <c r="AB1092" s="920"/>
      <c r="AC1092" s="920"/>
      <c r="AD1092" s="912"/>
      <c r="AE1092" s="912"/>
      <c r="AF1092" s="920"/>
      <c r="AG1092" s="920"/>
      <c r="AH1092" s="912"/>
      <c r="AI1092" s="912"/>
      <c r="AJ1092" s="920"/>
      <c r="AK1092" s="920"/>
      <c r="AL1092" s="905"/>
      <c r="AM1092" s="906"/>
      <c r="AN1092" s="906"/>
      <c r="AO1092" s="906"/>
      <c r="AP1092" s="906"/>
      <c r="AQ1092" s="906"/>
      <c r="AR1092" s="906"/>
      <c r="AS1092" s="906"/>
      <c r="AT1092" s="906"/>
      <c r="AU1092" s="906"/>
      <c r="AV1092" s="906"/>
      <c r="AW1092" s="906"/>
      <c r="AX1092" s="906"/>
      <c r="AY1092" s="906"/>
      <c r="AZ1092" s="906"/>
      <c r="BA1092" s="906"/>
      <c r="BB1092" s="907"/>
    </row>
    <row r="1093" spans="1:54" x14ac:dyDescent="0.25">
      <c r="A1093" s="13">
        <f t="shared" si="16"/>
        <v>1080</v>
      </c>
      <c r="B1093" s="914" t="str">
        <f>'refer admin discharge'!B1089</f>
        <v>x</v>
      </c>
      <c r="C1093" s="914"/>
      <c r="D1093" s="889" t="str">
        <f>'refer admin discharge'!D1089</f>
        <v>xx</v>
      </c>
      <c r="E1093" s="889"/>
      <c r="F1093" s="915" t="str">
        <f>'refer admin discharge'!H1089</f>
        <v>00/00/0000</v>
      </c>
      <c r="G1093" s="890"/>
      <c r="H1093" s="916"/>
      <c r="I1093" s="916"/>
      <c r="J1093" s="917"/>
      <c r="K1093" s="917"/>
      <c r="L1093" s="916"/>
      <c r="M1093" s="916"/>
      <c r="N1093" s="893"/>
      <c r="O1093" s="893"/>
      <c r="P1093" s="916"/>
      <c r="Q1093" s="916"/>
      <c r="R1093" s="893"/>
      <c r="S1093" s="893"/>
      <c r="T1093" s="916"/>
      <c r="U1093" s="916"/>
      <c r="V1093" s="921" t="str">
        <f>'refer admin discharge'!H1094</f>
        <v>00/00/0000</v>
      </c>
      <c r="W1093" s="922"/>
      <c r="X1093" s="912"/>
      <c r="Y1093" s="912"/>
      <c r="Z1093" s="924"/>
      <c r="AA1093" s="924"/>
      <c r="AB1093" s="912"/>
      <c r="AC1093" s="912"/>
      <c r="AD1093" s="913"/>
      <c r="AE1093" s="913"/>
      <c r="AF1093" s="912"/>
      <c r="AG1093" s="912"/>
      <c r="AH1093" s="913"/>
      <c r="AI1093" s="913"/>
      <c r="AJ1093" s="912"/>
      <c r="AK1093" s="912"/>
      <c r="AL1093" s="925"/>
      <c r="AM1093" s="926"/>
      <c r="AN1093" s="926"/>
      <c r="AO1093" s="926"/>
      <c r="AP1093" s="926"/>
      <c r="AQ1093" s="926"/>
      <c r="AR1093" s="926"/>
      <c r="AS1093" s="926"/>
      <c r="AT1093" s="926"/>
      <c r="AU1093" s="926"/>
      <c r="AV1093" s="926"/>
      <c r="AW1093" s="926"/>
      <c r="AX1093" s="926"/>
      <c r="AY1093" s="926"/>
      <c r="AZ1093" s="926"/>
      <c r="BA1093" s="926"/>
      <c r="BB1093" s="927"/>
    </row>
    <row r="1094" spans="1:54" x14ac:dyDescent="0.25">
      <c r="A1094" s="13">
        <f t="shared" si="16"/>
        <v>1081</v>
      </c>
      <c r="B1094" s="888" t="str">
        <f>'refer admin discharge'!B1090</f>
        <v>x</v>
      </c>
      <c r="C1094" s="888"/>
      <c r="D1094" s="868" t="str">
        <f>'refer admin discharge'!D1090</f>
        <v>xx</v>
      </c>
      <c r="E1094" s="868"/>
      <c r="F1094" s="891" t="str">
        <f>'refer admin discharge'!H1090</f>
        <v>00/00/0000</v>
      </c>
      <c r="G1094" s="892"/>
      <c r="H1094" s="894"/>
      <c r="I1094" s="894"/>
      <c r="J1094" s="918"/>
      <c r="K1094" s="918"/>
      <c r="L1094" s="894"/>
      <c r="M1094" s="894"/>
      <c r="N1094" s="916"/>
      <c r="O1094" s="916"/>
      <c r="P1094" s="894"/>
      <c r="Q1094" s="894"/>
      <c r="R1094" s="916"/>
      <c r="S1094" s="916"/>
      <c r="T1094" s="894"/>
      <c r="U1094" s="894"/>
      <c r="V1094" s="921" t="str">
        <f>'refer admin discharge'!H1095</f>
        <v>00/00/0000</v>
      </c>
      <c r="W1094" s="922"/>
      <c r="X1094" s="920"/>
      <c r="Y1094" s="920"/>
      <c r="Z1094" s="919"/>
      <c r="AA1094" s="919"/>
      <c r="AB1094" s="920"/>
      <c r="AC1094" s="920"/>
      <c r="AD1094" s="912"/>
      <c r="AE1094" s="912"/>
      <c r="AF1094" s="920"/>
      <c r="AG1094" s="920"/>
      <c r="AH1094" s="912"/>
      <c r="AI1094" s="912"/>
      <c r="AJ1094" s="920"/>
      <c r="AK1094" s="920"/>
      <c r="AL1094" s="905"/>
      <c r="AM1094" s="906"/>
      <c r="AN1094" s="906"/>
      <c r="AO1094" s="906"/>
      <c r="AP1094" s="906"/>
      <c r="AQ1094" s="906"/>
      <c r="AR1094" s="906"/>
      <c r="AS1094" s="906"/>
      <c r="AT1094" s="906"/>
      <c r="AU1094" s="906"/>
      <c r="AV1094" s="906"/>
      <c r="AW1094" s="906"/>
      <c r="AX1094" s="906"/>
      <c r="AY1094" s="906"/>
      <c r="AZ1094" s="906"/>
      <c r="BA1094" s="906"/>
      <c r="BB1094" s="907"/>
    </row>
    <row r="1095" spans="1:54" x14ac:dyDescent="0.25">
      <c r="A1095" s="13">
        <f t="shared" si="16"/>
        <v>1082</v>
      </c>
      <c r="B1095" s="914" t="str">
        <f>'refer admin discharge'!B1091</f>
        <v>x</v>
      </c>
      <c r="C1095" s="914"/>
      <c r="D1095" s="889" t="str">
        <f>'refer admin discharge'!D1091</f>
        <v>xx</v>
      </c>
      <c r="E1095" s="889"/>
      <c r="F1095" s="915" t="str">
        <f>'refer admin discharge'!H1091</f>
        <v>00/00/0000</v>
      </c>
      <c r="G1095" s="890"/>
      <c r="H1095" s="916"/>
      <c r="I1095" s="916"/>
      <c r="J1095" s="917"/>
      <c r="K1095" s="917"/>
      <c r="L1095" s="916"/>
      <c r="M1095" s="916"/>
      <c r="N1095" s="893"/>
      <c r="O1095" s="893"/>
      <c r="P1095" s="916"/>
      <c r="Q1095" s="916"/>
      <c r="R1095" s="893"/>
      <c r="S1095" s="893"/>
      <c r="T1095" s="916"/>
      <c r="U1095" s="916"/>
      <c r="V1095" s="921" t="str">
        <f>'refer admin discharge'!H1096</f>
        <v>00/00/0000</v>
      </c>
      <c r="W1095" s="922"/>
      <c r="X1095" s="912"/>
      <c r="Y1095" s="912"/>
      <c r="Z1095" s="924"/>
      <c r="AA1095" s="924"/>
      <c r="AB1095" s="912"/>
      <c r="AC1095" s="912"/>
      <c r="AD1095" s="913"/>
      <c r="AE1095" s="913"/>
      <c r="AF1095" s="912"/>
      <c r="AG1095" s="912"/>
      <c r="AH1095" s="913"/>
      <c r="AI1095" s="913"/>
      <c r="AJ1095" s="912"/>
      <c r="AK1095" s="912"/>
      <c r="AL1095" s="925"/>
      <c r="AM1095" s="926"/>
      <c r="AN1095" s="926"/>
      <c r="AO1095" s="926"/>
      <c r="AP1095" s="926"/>
      <c r="AQ1095" s="926"/>
      <c r="AR1095" s="926"/>
      <c r="AS1095" s="926"/>
      <c r="AT1095" s="926"/>
      <c r="AU1095" s="926"/>
      <c r="AV1095" s="926"/>
      <c r="AW1095" s="926"/>
      <c r="AX1095" s="926"/>
      <c r="AY1095" s="926"/>
      <c r="AZ1095" s="926"/>
      <c r="BA1095" s="926"/>
      <c r="BB1095" s="927"/>
    </row>
    <row r="1096" spans="1:54" x14ac:dyDescent="0.25">
      <c r="A1096" s="13">
        <f t="shared" si="16"/>
        <v>1083</v>
      </c>
      <c r="B1096" s="888" t="str">
        <f>'refer admin discharge'!B1092</f>
        <v>x</v>
      </c>
      <c r="C1096" s="888"/>
      <c r="D1096" s="868" t="str">
        <f>'refer admin discharge'!D1092</f>
        <v>xx</v>
      </c>
      <c r="E1096" s="868"/>
      <c r="F1096" s="891" t="str">
        <f>'refer admin discharge'!H1092</f>
        <v>00/00/0000</v>
      </c>
      <c r="G1096" s="892"/>
      <c r="H1096" s="894"/>
      <c r="I1096" s="894"/>
      <c r="J1096" s="918"/>
      <c r="K1096" s="918"/>
      <c r="L1096" s="894"/>
      <c r="M1096" s="894"/>
      <c r="N1096" s="916"/>
      <c r="O1096" s="916"/>
      <c r="P1096" s="894"/>
      <c r="Q1096" s="894"/>
      <c r="R1096" s="916"/>
      <c r="S1096" s="916"/>
      <c r="T1096" s="894"/>
      <c r="U1096" s="894"/>
      <c r="V1096" s="921" t="str">
        <f>'refer admin discharge'!H1097</f>
        <v>00/00/0000</v>
      </c>
      <c r="W1096" s="922"/>
      <c r="X1096" s="920"/>
      <c r="Y1096" s="920"/>
      <c r="Z1096" s="919"/>
      <c r="AA1096" s="919"/>
      <c r="AB1096" s="920"/>
      <c r="AC1096" s="920"/>
      <c r="AD1096" s="912"/>
      <c r="AE1096" s="912"/>
      <c r="AF1096" s="920"/>
      <c r="AG1096" s="920"/>
      <c r="AH1096" s="912"/>
      <c r="AI1096" s="912"/>
      <c r="AJ1096" s="920"/>
      <c r="AK1096" s="920"/>
      <c r="AL1096" s="905"/>
      <c r="AM1096" s="906"/>
      <c r="AN1096" s="906"/>
      <c r="AO1096" s="906"/>
      <c r="AP1096" s="906"/>
      <c r="AQ1096" s="906"/>
      <c r="AR1096" s="906"/>
      <c r="AS1096" s="906"/>
      <c r="AT1096" s="906"/>
      <c r="AU1096" s="906"/>
      <c r="AV1096" s="906"/>
      <c r="AW1096" s="906"/>
      <c r="AX1096" s="906"/>
      <c r="AY1096" s="906"/>
      <c r="AZ1096" s="906"/>
      <c r="BA1096" s="906"/>
      <c r="BB1096" s="907"/>
    </row>
    <row r="1097" spans="1:54" x14ac:dyDescent="0.25">
      <c r="A1097" s="13">
        <f t="shared" si="16"/>
        <v>1084</v>
      </c>
      <c r="B1097" s="914" t="str">
        <f>'refer admin discharge'!B1093</f>
        <v>x</v>
      </c>
      <c r="C1097" s="914"/>
      <c r="D1097" s="889" t="str">
        <f>'refer admin discharge'!D1093</f>
        <v>xx</v>
      </c>
      <c r="E1097" s="889"/>
      <c r="F1097" s="915" t="str">
        <f>'refer admin discharge'!H1093</f>
        <v>00/00/0000</v>
      </c>
      <c r="G1097" s="890"/>
      <c r="H1097" s="916"/>
      <c r="I1097" s="916"/>
      <c r="J1097" s="917"/>
      <c r="K1097" s="917"/>
      <c r="L1097" s="916"/>
      <c r="M1097" s="916"/>
      <c r="N1097" s="893"/>
      <c r="O1097" s="893"/>
      <c r="P1097" s="916"/>
      <c r="Q1097" s="916"/>
      <c r="R1097" s="893"/>
      <c r="S1097" s="893"/>
      <c r="T1097" s="916"/>
      <c r="U1097" s="916"/>
      <c r="V1097" s="921" t="str">
        <f>'refer admin discharge'!H1098</f>
        <v>00/00/0000</v>
      </c>
      <c r="W1097" s="922"/>
      <c r="X1097" s="912"/>
      <c r="Y1097" s="912"/>
      <c r="Z1097" s="924"/>
      <c r="AA1097" s="924"/>
      <c r="AB1097" s="912"/>
      <c r="AC1097" s="912"/>
      <c r="AD1097" s="913"/>
      <c r="AE1097" s="913"/>
      <c r="AF1097" s="912"/>
      <c r="AG1097" s="912"/>
      <c r="AH1097" s="913"/>
      <c r="AI1097" s="913"/>
      <c r="AJ1097" s="912"/>
      <c r="AK1097" s="912"/>
      <c r="AL1097" s="925"/>
      <c r="AM1097" s="926"/>
      <c r="AN1097" s="926"/>
      <c r="AO1097" s="926"/>
      <c r="AP1097" s="926"/>
      <c r="AQ1097" s="926"/>
      <c r="AR1097" s="926"/>
      <c r="AS1097" s="926"/>
      <c r="AT1097" s="926"/>
      <c r="AU1097" s="926"/>
      <c r="AV1097" s="926"/>
      <c r="AW1097" s="926"/>
      <c r="AX1097" s="926"/>
      <c r="AY1097" s="926"/>
      <c r="AZ1097" s="926"/>
      <c r="BA1097" s="926"/>
      <c r="BB1097" s="927"/>
    </row>
    <row r="1098" spans="1:54" x14ac:dyDescent="0.25">
      <c r="A1098" s="13">
        <f t="shared" si="16"/>
        <v>1085</v>
      </c>
      <c r="B1098" s="888" t="str">
        <f>'refer admin discharge'!B1094</f>
        <v>x</v>
      </c>
      <c r="C1098" s="888"/>
      <c r="D1098" s="868" t="str">
        <f>'refer admin discharge'!D1094</f>
        <v>xx</v>
      </c>
      <c r="E1098" s="868"/>
      <c r="F1098" s="891" t="str">
        <f>'refer admin discharge'!H1094</f>
        <v>00/00/0000</v>
      </c>
      <c r="G1098" s="892"/>
      <c r="H1098" s="894"/>
      <c r="I1098" s="894"/>
      <c r="J1098" s="918"/>
      <c r="K1098" s="918"/>
      <c r="L1098" s="894"/>
      <c r="M1098" s="894"/>
      <c r="N1098" s="916"/>
      <c r="O1098" s="916"/>
      <c r="P1098" s="894"/>
      <c r="Q1098" s="894"/>
      <c r="R1098" s="916"/>
      <c r="S1098" s="916"/>
      <c r="T1098" s="894"/>
      <c r="U1098" s="894"/>
      <c r="V1098" s="921" t="str">
        <f>'refer admin discharge'!H1099</f>
        <v>00/00/0000</v>
      </c>
      <c r="W1098" s="922"/>
      <c r="X1098" s="920"/>
      <c r="Y1098" s="920"/>
      <c r="Z1098" s="919"/>
      <c r="AA1098" s="919"/>
      <c r="AB1098" s="920"/>
      <c r="AC1098" s="920"/>
      <c r="AD1098" s="912"/>
      <c r="AE1098" s="912"/>
      <c r="AF1098" s="920"/>
      <c r="AG1098" s="920"/>
      <c r="AH1098" s="912"/>
      <c r="AI1098" s="912"/>
      <c r="AJ1098" s="920"/>
      <c r="AK1098" s="920"/>
      <c r="AL1098" s="905"/>
      <c r="AM1098" s="906"/>
      <c r="AN1098" s="906"/>
      <c r="AO1098" s="906"/>
      <c r="AP1098" s="906"/>
      <c r="AQ1098" s="906"/>
      <c r="AR1098" s="906"/>
      <c r="AS1098" s="906"/>
      <c r="AT1098" s="906"/>
      <c r="AU1098" s="906"/>
      <c r="AV1098" s="906"/>
      <c r="AW1098" s="906"/>
      <c r="AX1098" s="906"/>
      <c r="AY1098" s="906"/>
      <c r="AZ1098" s="906"/>
      <c r="BA1098" s="906"/>
      <c r="BB1098" s="907"/>
    </row>
    <row r="1099" spans="1:54" x14ac:dyDescent="0.25">
      <c r="A1099" s="13">
        <f t="shared" si="16"/>
        <v>1086</v>
      </c>
      <c r="B1099" s="914" t="str">
        <f>'refer admin discharge'!B1095</f>
        <v>x</v>
      </c>
      <c r="C1099" s="914"/>
      <c r="D1099" s="889" t="str">
        <f>'refer admin discharge'!D1095</f>
        <v>xx</v>
      </c>
      <c r="E1099" s="889"/>
      <c r="F1099" s="915" t="str">
        <f>'refer admin discharge'!H1095</f>
        <v>00/00/0000</v>
      </c>
      <c r="G1099" s="890"/>
      <c r="H1099" s="916"/>
      <c r="I1099" s="916"/>
      <c r="J1099" s="917"/>
      <c r="K1099" s="917"/>
      <c r="L1099" s="916"/>
      <c r="M1099" s="916"/>
      <c r="N1099" s="893"/>
      <c r="O1099" s="893"/>
      <c r="P1099" s="916"/>
      <c r="Q1099" s="916"/>
      <c r="R1099" s="893"/>
      <c r="S1099" s="893"/>
      <c r="T1099" s="916"/>
      <c r="U1099" s="916"/>
      <c r="V1099" s="921" t="str">
        <f>'refer admin discharge'!H1100</f>
        <v>00/00/0000</v>
      </c>
      <c r="W1099" s="922"/>
      <c r="X1099" s="912"/>
      <c r="Y1099" s="912"/>
      <c r="Z1099" s="924"/>
      <c r="AA1099" s="924"/>
      <c r="AB1099" s="912"/>
      <c r="AC1099" s="912"/>
      <c r="AD1099" s="913"/>
      <c r="AE1099" s="913"/>
      <c r="AF1099" s="912"/>
      <c r="AG1099" s="912"/>
      <c r="AH1099" s="913"/>
      <c r="AI1099" s="913"/>
      <c r="AJ1099" s="912"/>
      <c r="AK1099" s="912"/>
      <c r="AL1099" s="925"/>
      <c r="AM1099" s="926"/>
      <c r="AN1099" s="926"/>
      <c r="AO1099" s="926"/>
      <c r="AP1099" s="926"/>
      <c r="AQ1099" s="926"/>
      <c r="AR1099" s="926"/>
      <c r="AS1099" s="926"/>
      <c r="AT1099" s="926"/>
      <c r="AU1099" s="926"/>
      <c r="AV1099" s="926"/>
      <c r="AW1099" s="926"/>
      <c r="AX1099" s="926"/>
      <c r="AY1099" s="926"/>
      <c r="AZ1099" s="926"/>
      <c r="BA1099" s="926"/>
      <c r="BB1099" s="927"/>
    </row>
    <row r="1100" spans="1:54" x14ac:dyDescent="0.25">
      <c r="A1100" s="13">
        <f t="shared" si="16"/>
        <v>1087</v>
      </c>
      <c r="B1100" s="888" t="str">
        <f>'refer admin discharge'!B1096</f>
        <v>x</v>
      </c>
      <c r="C1100" s="888"/>
      <c r="D1100" s="868" t="str">
        <f>'refer admin discharge'!D1096</f>
        <v>xx</v>
      </c>
      <c r="E1100" s="868"/>
      <c r="F1100" s="891" t="str">
        <f>'refer admin discharge'!H1096</f>
        <v>00/00/0000</v>
      </c>
      <c r="G1100" s="892"/>
      <c r="H1100" s="894"/>
      <c r="I1100" s="894"/>
      <c r="J1100" s="918"/>
      <c r="K1100" s="918"/>
      <c r="L1100" s="894"/>
      <c r="M1100" s="894"/>
      <c r="N1100" s="916"/>
      <c r="O1100" s="916"/>
      <c r="P1100" s="894"/>
      <c r="Q1100" s="894"/>
      <c r="R1100" s="916"/>
      <c r="S1100" s="916"/>
      <c r="T1100" s="894"/>
      <c r="U1100" s="894"/>
      <c r="V1100" s="921" t="str">
        <f>'refer admin discharge'!H1101</f>
        <v>00/00/0000</v>
      </c>
      <c r="W1100" s="922"/>
      <c r="X1100" s="920"/>
      <c r="Y1100" s="920"/>
      <c r="Z1100" s="919"/>
      <c r="AA1100" s="919"/>
      <c r="AB1100" s="920"/>
      <c r="AC1100" s="920"/>
      <c r="AD1100" s="912"/>
      <c r="AE1100" s="912"/>
      <c r="AF1100" s="920"/>
      <c r="AG1100" s="920"/>
      <c r="AH1100" s="912"/>
      <c r="AI1100" s="912"/>
      <c r="AJ1100" s="920"/>
      <c r="AK1100" s="920"/>
      <c r="AL1100" s="905"/>
      <c r="AM1100" s="906"/>
      <c r="AN1100" s="906"/>
      <c r="AO1100" s="906"/>
      <c r="AP1100" s="906"/>
      <c r="AQ1100" s="906"/>
      <c r="AR1100" s="906"/>
      <c r="AS1100" s="906"/>
      <c r="AT1100" s="906"/>
      <c r="AU1100" s="906"/>
      <c r="AV1100" s="906"/>
      <c r="AW1100" s="906"/>
      <c r="AX1100" s="906"/>
      <c r="AY1100" s="906"/>
      <c r="AZ1100" s="906"/>
      <c r="BA1100" s="906"/>
      <c r="BB1100" s="907"/>
    </row>
    <row r="1101" spans="1:54" x14ac:dyDescent="0.25">
      <c r="A1101" s="13">
        <f t="shared" si="16"/>
        <v>1088</v>
      </c>
      <c r="B1101" s="914" t="str">
        <f>'refer admin discharge'!B1097</f>
        <v>x</v>
      </c>
      <c r="C1101" s="914"/>
      <c r="D1101" s="889" t="str">
        <f>'refer admin discharge'!D1097</f>
        <v>xx</v>
      </c>
      <c r="E1101" s="889"/>
      <c r="F1101" s="915" t="str">
        <f>'refer admin discharge'!H1097</f>
        <v>00/00/0000</v>
      </c>
      <c r="G1101" s="890"/>
      <c r="H1101" s="916"/>
      <c r="I1101" s="916"/>
      <c r="J1101" s="917"/>
      <c r="K1101" s="917"/>
      <c r="L1101" s="916"/>
      <c r="M1101" s="916"/>
      <c r="N1101" s="893"/>
      <c r="O1101" s="893"/>
      <c r="P1101" s="916"/>
      <c r="Q1101" s="916"/>
      <c r="R1101" s="893"/>
      <c r="S1101" s="893"/>
      <c r="T1101" s="916"/>
      <c r="U1101" s="916"/>
      <c r="V1101" s="921" t="str">
        <f>'refer admin discharge'!H1102</f>
        <v>00/00/0000</v>
      </c>
      <c r="W1101" s="922"/>
      <c r="X1101" s="912"/>
      <c r="Y1101" s="912"/>
      <c r="Z1101" s="924"/>
      <c r="AA1101" s="924"/>
      <c r="AB1101" s="912"/>
      <c r="AC1101" s="912"/>
      <c r="AD1101" s="913"/>
      <c r="AE1101" s="913"/>
      <c r="AF1101" s="912"/>
      <c r="AG1101" s="912"/>
      <c r="AH1101" s="913"/>
      <c r="AI1101" s="913"/>
      <c r="AJ1101" s="912"/>
      <c r="AK1101" s="912"/>
      <c r="AL1101" s="925"/>
      <c r="AM1101" s="926"/>
      <c r="AN1101" s="926"/>
      <c r="AO1101" s="926"/>
      <c r="AP1101" s="926"/>
      <c r="AQ1101" s="926"/>
      <c r="AR1101" s="926"/>
      <c r="AS1101" s="926"/>
      <c r="AT1101" s="926"/>
      <c r="AU1101" s="926"/>
      <c r="AV1101" s="926"/>
      <c r="AW1101" s="926"/>
      <c r="AX1101" s="926"/>
      <c r="AY1101" s="926"/>
      <c r="AZ1101" s="926"/>
      <c r="BA1101" s="926"/>
      <c r="BB1101" s="927"/>
    </row>
    <row r="1102" spans="1:54" x14ac:dyDescent="0.25">
      <c r="A1102" s="13">
        <f t="shared" ref="A1102:A1165" si="17">ROW(A1089)</f>
        <v>1089</v>
      </c>
      <c r="B1102" s="888" t="str">
        <f>'refer admin discharge'!B1098</f>
        <v>x</v>
      </c>
      <c r="C1102" s="888"/>
      <c r="D1102" s="868" t="str">
        <f>'refer admin discharge'!D1098</f>
        <v>xx</v>
      </c>
      <c r="E1102" s="868"/>
      <c r="F1102" s="891" t="str">
        <f>'refer admin discharge'!H1098</f>
        <v>00/00/0000</v>
      </c>
      <c r="G1102" s="892"/>
      <c r="H1102" s="894"/>
      <c r="I1102" s="894"/>
      <c r="J1102" s="918"/>
      <c r="K1102" s="918"/>
      <c r="L1102" s="894"/>
      <c r="M1102" s="894"/>
      <c r="N1102" s="916"/>
      <c r="O1102" s="916"/>
      <c r="P1102" s="894"/>
      <c r="Q1102" s="894"/>
      <c r="R1102" s="916"/>
      <c r="S1102" s="916"/>
      <c r="T1102" s="894"/>
      <c r="U1102" s="894"/>
      <c r="V1102" s="921" t="str">
        <f>'refer admin discharge'!H1103</f>
        <v>00/00/0000</v>
      </c>
      <c r="W1102" s="922"/>
      <c r="X1102" s="920"/>
      <c r="Y1102" s="920"/>
      <c r="Z1102" s="919"/>
      <c r="AA1102" s="919"/>
      <c r="AB1102" s="920"/>
      <c r="AC1102" s="920"/>
      <c r="AD1102" s="912"/>
      <c r="AE1102" s="912"/>
      <c r="AF1102" s="920"/>
      <c r="AG1102" s="920"/>
      <c r="AH1102" s="912"/>
      <c r="AI1102" s="912"/>
      <c r="AJ1102" s="920"/>
      <c r="AK1102" s="920"/>
      <c r="AL1102" s="905"/>
      <c r="AM1102" s="906"/>
      <c r="AN1102" s="906"/>
      <c r="AO1102" s="906"/>
      <c r="AP1102" s="906"/>
      <c r="AQ1102" s="906"/>
      <c r="AR1102" s="906"/>
      <c r="AS1102" s="906"/>
      <c r="AT1102" s="906"/>
      <c r="AU1102" s="906"/>
      <c r="AV1102" s="906"/>
      <c r="AW1102" s="906"/>
      <c r="AX1102" s="906"/>
      <c r="AY1102" s="906"/>
      <c r="AZ1102" s="906"/>
      <c r="BA1102" s="906"/>
      <c r="BB1102" s="907"/>
    </row>
    <row r="1103" spans="1:54" x14ac:dyDescent="0.25">
      <c r="A1103" s="13">
        <f t="shared" si="17"/>
        <v>1090</v>
      </c>
      <c r="B1103" s="914" t="str">
        <f>'refer admin discharge'!B1099</f>
        <v>x</v>
      </c>
      <c r="C1103" s="914"/>
      <c r="D1103" s="889" t="str">
        <f>'refer admin discharge'!D1099</f>
        <v>xx</v>
      </c>
      <c r="E1103" s="889"/>
      <c r="F1103" s="915" t="str">
        <f>'refer admin discharge'!H1099</f>
        <v>00/00/0000</v>
      </c>
      <c r="G1103" s="890"/>
      <c r="H1103" s="916"/>
      <c r="I1103" s="916"/>
      <c r="J1103" s="917"/>
      <c r="K1103" s="917"/>
      <c r="L1103" s="916"/>
      <c r="M1103" s="916"/>
      <c r="N1103" s="893"/>
      <c r="O1103" s="893"/>
      <c r="P1103" s="916"/>
      <c r="Q1103" s="916"/>
      <c r="R1103" s="893"/>
      <c r="S1103" s="893"/>
      <c r="T1103" s="916"/>
      <c r="U1103" s="916"/>
      <c r="V1103" s="921" t="str">
        <f>'refer admin discharge'!H1104</f>
        <v>00/00/0000</v>
      </c>
      <c r="W1103" s="922"/>
      <c r="X1103" s="912"/>
      <c r="Y1103" s="912"/>
      <c r="Z1103" s="924"/>
      <c r="AA1103" s="924"/>
      <c r="AB1103" s="912"/>
      <c r="AC1103" s="912"/>
      <c r="AD1103" s="913"/>
      <c r="AE1103" s="913"/>
      <c r="AF1103" s="912"/>
      <c r="AG1103" s="912"/>
      <c r="AH1103" s="913"/>
      <c r="AI1103" s="913"/>
      <c r="AJ1103" s="912"/>
      <c r="AK1103" s="912"/>
      <c r="AL1103" s="925"/>
      <c r="AM1103" s="926"/>
      <c r="AN1103" s="926"/>
      <c r="AO1103" s="926"/>
      <c r="AP1103" s="926"/>
      <c r="AQ1103" s="926"/>
      <c r="AR1103" s="926"/>
      <c r="AS1103" s="926"/>
      <c r="AT1103" s="926"/>
      <c r="AU1103" s="926"/>
      <c r="AV1103" s="926"/>
      <c r="AW1103" s="926"/>
      <c r="AX1103" s="926"/>
      <c r="AY1103" s="926"/>
      <c r="AZ1103" s="926"/>
      <c r="BA1103" s="926"/>
      <c r="BB1103" s="927"/>
    </row>
    <row r="1104" spans="1:54" x14ac:dyDescent="0.25">
      <c r="A1104" s="13">
        <f t="shared" si="17"/>
        <v>1091</v>
      </c>
      <c r="B1104" s="888" t="str">
        <f>'refer admin discharge'!B1100</f>
        <v>x</v>
      </c>
      <c r="C1104" s="888"/>
      <c r="D1104" s="868" t="str">
        <f>'refer admin discharge'!D1100</f>
        <v>xx</v>
      </c>
      <c r="E1104" s="868"/>
      <c r="F1104" s="891" t="str">
        <f>'refer admin discharge'!H1100</f>
        <v>00/00/0000</v>
      </c>
      <c r="G1104" s="892"/>
      <c r="H1104" s="894"/>
      <c r="I1104" s="894"/>
      <c r="J1104" s="918"/>
      <c r="K1104" s="918"/>
      <c r="L1104" s="894"/>
      <c r="M1104" s="894"/>
      <c r="N1104" s="916"/>
      <c r="O1104" s="916"/>
      <c r="P1104" s="894"/>
      <c r="Q1104" s="894"/>
      <c r="R1104" s="916"/>
      <c r="S1104" s="916"/>
      <c r="T1104" s="894"/>
      <c r="U1104" s="894"/>
      <c r="V1104" s="921" t="str">
        <f>'refer admin discharge'!H1105</f>
        <v>00/00/0000</v>
      </c>
      <c r="W1104" s="922"/>
      <c r="X1104" s="920"/>
      <c r="Y1104" s="920"/>
      <c r="Z1104" s="919"/>
      <c r="AA1104" s="919"/>
      <c r="AB1104" s="920"/>
      <c r="AC1104" s="920"/>
      <c r="AD1104" s="912"/>
      <c r="AE1104" s="912"/>
      <c r="AF1104" s="920"/>
      <c r="AG1104" s="920"/>
      <c r="AH1104" s="912"/>
      <c r="AI1104" s="912"/>
      <c r="AJ1104" s="920"/>
      <c r="AK1104" s="920"/>
      <c r="AL1104" s="905"/>
      <c r="AM1104" s="906"/>
      <c r="AN1104" s="906"/>
      <c r="AO1104" s="906"/>
      <c r="AP1104" s="906"/>
      <c r="AQ1104" s="906"/>
      <c r="AR1104" s="906"/>
      <c r="AS1104" s="906"/>
      <c r="AT1104" s="906"/>
      <c r="AU1104" s="906"/>
      <c r="AV1104" s="906"/>
      <c r="AW1104" s="906"/>
      <c r="AX1104" s="906"/>
      <c r="AY1104" s="906"/>
      <c r="AZ1104" s="906"/>
      <c r="BA1104" s="906"/>
      <c r="BB1104" s="907"/>
    </row>
    <row r="1105" spans="1:54" x14ac:dyDescent="0.25">
      <c r="A1105" s="13">
        <f t="shared" si="17"/>
        <v>1092</v>
      </c>
      <c r="B1105" s="914" t="str">
        <f>'refer admin discharge'!B1101</f>
        <v>x</v>
      </c>
      <c r="C1105" s="914"/>
      <c r="D1105" s="889" t="str">
        <f>'refer admin discharge'!D1101</f>
        <v>xx</v>
      </c>
      <c r="E1105" s="889"/>
      <c r="F1105" s="915" t="str">
        <f>'refer admin discharge'!H1101</f>
        <v>00/00/0000</v>
      </c>
      <c r="G1105" s="890"/>
      <c r="H1105" s="916"/>
      <c r="I1105" s="916"/>
      <c r="J1105" s="917"/>
      <c r="K1105" s="917"/>
      <c r="L1105" s="916"/>
      <c r="M1105" s="916"/>
      <c r="N1105" s="893"/>
      <c r="O1105" s="893"/>
      <c r="P1105" s="916"/>
      <c r="Q1105" s="916"/>
      <c r="R1105" s="893"/>
      <c r="S1105" s="893"/>
      <c r="T1105" s="916"/>
      <c r="U1105" s="916"/>
      <c r="V1105" s="921" t="str">
        <f>'refer admin discharge'!H1106</f>
        <v>00/00/0000</v>
      </c>
      <c r="W1105" s="922"/>
      <c r="X1105" s="912"/>
      <c r="Y1105" s="912"/>
      <c r="Z1105" s="924"/>
      <c r="AA1105" s="924"/>
      <c r="AB1105" s="912"/>
      <c r="AC1105" s="912"/>
      <c r="AD1105" s="913"/>
      <c r="AE1105" s="913"/>
      <c r="AF1105" s="912"/>
      <c r="AG1105" s="912"/>
      <c r="AH1105" s="913"/>
      <c r="AI1105" s="913"/>
      <c r="AJ1105" s="912"/>
      <c r="AK1105" s="912"/>
      <c r="AL1105" s="925"/>
      <c r="AM1105" s="926"/>
      <c r="AN1105" s="926"/>
      <c r="AO1105" s="926"/>
      <c r="AP1105" s="926"/>
      <c r="AQ1105" s="926"/>
      <c r="AR1105" s="926"/>
      <c r="AS1105" s="926"/>
      <c r="AT1105" s="926"/>
      <c r="AU1105" s="926"/>
      <c r="AV1105" s="926"/>
      <c r="AW1105" s="926"/>
      <c r="AX1105" s="926"/>
      <c r="AY1105" s="926"/>
      <c r="AZ1105" s="926"/>
      <c r="BA1105" s="926"/>
      <c r="BB1105" s="927"/>
    </row>
    <row r="1106" spans="1:54" x14ac:dyDescent="0.25">
      <c r="A1106" s="13">
        <f t="shared" si="17"/>
        <v>1093</v>
      </c>
      <c r="B1106" s="888" t="str">
        <f>'refer admin discharge'!B1102</f>
        <v>x</v>
      </c>
      <c r="C1106" s="888"/>
      <c r="D1106" s="868" t="str">
        <f>'refer admin discharge'!D1102</f>
        <v>xx</v>
      </c>
      <c r="E1106" s="868"/>
      <c r="F1106" s="891" t="str">
        <f>'refer admin discharge'!H1102</f>
        <v>00/00/0000</v>
      </c>
      <c r="G1106" s="892"/>
      <c r="H1106" s="894"/>
      <c r="I1106" s="894"/>
      <c r="J1106" s="918"/>
      <c r="K1106" s="918"/>
      <c r="L1106" s="894"/>
      <c r="M1106" s="894"/>
      <c r="N1106" s="916"/>
      <c r="O1106" s="916"/>
      <c r="P1106" s="894"/>
      <c r="Q1106" s="894"/>
      <c r="R1106" s="916"/>
      <c r="S1106" s="916"/>
      <c r="T1106" s="894"/>
      <c r="U1106" s="894"/>
      <c r="V1106" s="921" t="str">
        <f>'refer admin discharge'!H1107</f>
        <v>00/00/0000</v>
      </c>
      <c r="W1106" s="922"/>
      <c r="X1106" s="920"/>
      <c r="Y1106" s="920"/>
      <c r="Z1106" s="919"/>
      <c r="AA1106" s="919"/>
      <c r="AB1106" s="920"/>
      <c r="AC1106" s="920"/>
      <c r="AD1106" s="912"/>
      <c r="AE1106" s="912"/>
      <c r="AF1106" s="920"/>
      <c r="AG1106" s="920"/>
      <c r="AH1106" s="912"/>
      <c r="AI1106" s="912"/>
      <c r="AJ1106" s="920"/>
      <c r="AK1106" s="920"/>
      <c r="AL1106" s="905"/>
      <c r="AM1106" s="906"/>
      <c r="AN1106" s="906"/>
      <c r="AO1106" s="906"/>
      <c r="AP1106" s="906"/>
      <c r="AQ1106" s="906"/>
      <c r="AR1106" s="906"/>
      <c r="AS1106" s="906"/>
      <c r="AT1106" s="906"/>
      <c r="AU1106" s="906"/>
      <c r="AV1106" s="906"/>
      <c r="AW1106" s="906"/>
      <c r="AX1106" s="906"/>
      <c r="AY1106" s="906"/>
      <c r="AZ1106" s="906"/>
      <c r="BA1106" s="906"/>
      <c r="BB1106" s="907"/>
    </row>
    <row r="1107" spans="1:54" x14ac:dyDescent="0.25">
      <c r="A1107" s="13">
        <f t="shared" si="17"/>
        <v>1094</v>
      </c>
      <c r="B1107" s="914" t="str">
        <f>'refer admin discharge'!B1103</f>
        <v>x</v>
      </c>
      <c r="C1107" s="914"/>
      <c r="D1107" s="889" t="str">
        <f>'refer admin discharge'!D1103</f>
        <v>xx</v>
      </c>
      <c r="E1107" s="889"/>
      <c r="F1107" s="915" t="str">
        <f>'refer admin discharge'!H1103</f>
        <v>00/00/0000</v>
      </c>
      <c r="G1107" s="890"/>
      <c r="H1107" s="916"/>
      <c r="I1107" s="916"/>
      <c r="J1107" s="917"/>
      <c r="K1107" s="917"/>
      <c r="L1107" s="916"/>
      <c r="M1107" s="916"/>
      <c r="N1107" s="893"/>
      <c r="O1107" s="893"/>
      <c r="P1107" s="916"/>
      <c r="Q1107" s="916"/>
      <c r="R1107" s="893"/>
      <c r="S1107" s="893"/>
      <c r="T1107" s="916"/>
      <c r="U1107" s="916"/>
      <c r="V1107" s="921" t="str">
        <f>'refer admin discharge'!H1108</f>
        <v>00/00/0000</v>
      </c>
      <c r="W1107" s="922"/>
      <c r="X1107" s="912"/>
      <c r="Y1107" s="912"/>
      <c r="Z1107" s="924"/>
      <c r="AA1107" s="924"/>
      <c r="AB1107" s="912"/>
      <c r="AC1107" s="912"/>
      <c r="AD1107" s="913"/>
      <c r="AE1107" s="913"/>
      <c r="AF1107" s="912"/>
      <c r="AG1107" s="912"/>
      <c r="AH1107" s="913"/>
      <c r="AI1107" s="913"/>
      <c r="AJ1107" s="912"/>
      <c r="AK1107" s="912"/>
      <c r="AL1107" s="925"/>
      <c r="AM1107" s="926"/>
      <c r="AN1107" s="926"/>
      <c r="AO1107" s="926"/>
      <c r="AP1107" s="926"/>
      <c r="AQ1107" s="926"/>
      <c r="AR1107" s="926"/>
      <c r="AS1107" s="926"/>
      <c r="AT1107" s="926"/>
      <c r="AU1107" s="926"/>
      <c r="AV1107" s="926"/>
      <c r="AW1107" s="926"/>
      <c r="AX1107" s="926"/>
      <c r="AY1107" s="926"/>
      <c r="AZ1107" s="926"/>
      <c r="BA1107" s="926"/>
      <c r="BB1107" s="927"/>
    </row>
    <row r="1108" spans="1:54" x14ac:dyDescent="0.25">
      <c r="A1108" s="13">
        <f t="shared" si="17"/>
        <v>1095</v>
      </c>
      <c r="B1108" s="888" t="str">
        <f>'refer admin discharge'!B1104</f>
        <v>x</v>
      </c>
      <c r="C1108" s="888"/>
      <c r="D1108" s="868" t="str">
        <f>'refer admin discharge'!D1104</f>
        <v>xx</v>
      </c>
      <c r="E1108" s="868"/>
      <c r="F1108" s="891" t="str">
        <f>'refer admin discharge'!H1104</f>
        <v>00/00/0000</v>
      </c>
      <c r="G1108" s="892"/>
      <c r="H1108" s="894"/>
      <c r="I1108" s="894"/>
      <c r="J1108" s="918"/>
      <c r="K1108" s="918"/>
      <c r="L1108" s="894"/>
      <c r="M1108" s="894"/>
      <c r="N1108" s="916"/>
      <c r="O1108" s="916"/>
      <c r="P1108" s="894"/>
      <c r="Q1108" s="894"/>
      <c r="R1108" s="916"/>
      <c r="S1108" s="916"/>
      <c r="T1108" s="894"/>
      <c r="U1108" s="894"/>
      <c r="V1108" s="921" t="str">
        <f>'refer admin discharge'!H1109</f>
        <v>00/00/0000</v>
      </c>
      <c r="W1108" s="922"/>
      <c r="X1108" s="920"/>
      <c r="Y1108" s="920"/>
      <c r="Z1108" s="919"/>
      <c r="AA1108" s="919"/>
      <c r="AB1108" s="920"/>
      <c r="AC1108" s="920"/>
      <c r="AD1108" s="912"/>
      <c r="AE1108" s="912"/>
      <c r="AF1108" s="920"/>
      <c r="AG1108" s="920"/>
      <c r="AH1108" s="912"/>
      <c r="AI1108" s="912"/>
      <c r="AJ1108" s="920"/>
      <c r="AK1108" s="920"/>
      <c r="AL1108" s="905"/>
      <c r="AM1108" s="906"/>
      <c r="AN1108" s="906"/>
      <c r="AO1108" s="906"/>
      <c r="AP1108" s="906"/>
      <c r="AQ1108" s="906"/>
      <c r="AR1108" s="906"/>
      <c r="AS1108" s="906"/>
      <c r="AT1108" s="906"/>
      <c r="AU1108" s="906"/>
      <c r="AV1108" s="906"/>
      <c r="AW1108" s="906"/>
      <c r="AX1108" s="906"/>
      <c r="AY1108" s="906"/>
      <c r="AZ1108" s="906"/>
      <c r="BA1108" s="906"/>
      <c r="BB1108" s="907"/>
    </row>
    <row r="1109" spans="1:54" x14ac:dyDescent="0.25">
      <c r="A1109" s="13">
        <f t="shared" si="17"/>
        <v>1096</v>
      </c>
      <c r="B1109" s="914" t="str">
        <f>'refer admin discharge'!B1105</f>
        <v>x</v>
      </c>
      <c r="C1109" s="914"/>
      <c r="D1109" s="889" t="str">
        <f>'refer admin discharge'!D1105</f>
        <v>xx</v>
      </c>
      <c r="E1109" s="889"/>
      <c r="F1109" s="915" t="str">
        <f>'refer admin discharge'!H1105</f>
        <v>00/00/0000</v>
      </c>
      <c r="G1109" s="890"/>
      <c r="H1109" s="916"/>
      <c r="I1109" s="916"/>
      <c r="J1109" s="917"/>
      <c r="K1109" s="917"/>
      <c r="L1109" s="916"/>
      <c r="M1109" s="916"/>
      <c r="N1109" s="893"/>
      <c r="O1109" s="893"/>
      <c r="P1109" s="916"/>
      <c r="Q1109" s="916"/>
      <c r="R1109" s="893"/>
      <c r="S1109" s="893"/>
      <c r="T1109" s="916"/>
      <c r="U1109" s="916"/>
      <c r="V1109" s="921" t="str">
        <f>'refer admin discharge'!H1110</f>
        <v>00/00/0000</v>
      </c>
      <c r="W1109" s="922"/>
      <c r="X1109" s="912"/>
      <c r="Y1109" s="912"/>
      <c r="Z1109" s="924"/>
      <c r="AA1109" s="924"/>
      <c r="AB1109" s="912"/>
      <c r="AC1109" s="912"/>
      <c r="AD1109" s="913"/>
      <c r="AE1109" s="913"/>
      <c r="AF1109" s="912"/>
      <c r="AG1109" s="912"/>
      <c r="AH1109" s="913"/>
      <c r="AI1109" s="913"/>
      <c r="AJ1109" s="912"/>
      <c r="AK1109" s="912"/>
      <c r="AL1109" s="925"/>
      <c r="AM1109" s="926"/>
      <c r="AN1109" s="926"/>
      <c r="AO1109" s="926"/>
      <c r="AP1109" s="926"/>
      <c r="AQ1109" s="926"/>
      <c r="AR1109" s="926"/>
      <c r="AS1109" s="926"/>
      <c r="AT1109" s="926"/>
      <c r="AU1109" s="926"/>
      <c r="AV1109" s="926"/>
      <c r="AW1109" s="926"/>
      <c r="AX1109" s="926"/>
      <c r="AY1109" s="926"/>
      <c r="AZ1109" s="926"/>
      <c r="BA1109" s="926"/>
      <c r="BB1109" s="927"/>
    </row>
    <row r="1110" spans="1:54" x14ac:dyDescent="0.25">
      <c r="A1110" s="13">
        <f t="shared" si="17"/>
        <v>1097</v>
      </c>
      <c r="B1110" s="888" t="str">
        <f>'refer admin discharge'!B1106</f>
        <v>x</v>
      </c>
      <c r="C1110" s="888"/>
      <c r="D1110" s="868" t="str">
        <f>'refer admin discharge'!D1106</f>
        <v>xx</v>
      </c>
      <c r="E1110" s="868"/>
      <c r="F1110" s="891" t="str">
        <f>'refer admin discharge'!H1106</f>
        <v>00/00/0000</v>
      </c>
      <c r="G1110" s="892"/>
      <c r="H1110" s="894"/>
      <c r="I1110" s="894"/>
      <c r="J1110" s="918"/>
      <c r="K1110" s="918"/>
      <c r="L1110" s="894"/>
      <c r="M1110" s="894"/>
      <c r="N1110" s="916"/>
      <c r="O1110" s="916"/>
      <c r="P1110" s="894"/>
      <c r="Q1110" s="894"/>
      <c r="R1110" s="916"/>
      <c r="S1110" s="916"/>
      <c r="T1110" s="894"/>
      <c r="U1110" s="894"/>
      <c r="V1110" s="921" t="str">
        <f>'refer admin discharge'!H1111</f>
        <v>00/00/0000</v>
      </c>
      <c r="W1110" s="922"/>
      <c r="X1110" s="920"/>
      <c r="Y1110" s="920"/>
      <c r="Z1110" s="919"/>
      <c r="AA1110" s="919"/>
      <c r="AB1110" s="920"/>
      <c r="AC1110" s="920"/>
      <c r="AD1110" s="912"/>
      <c r="AE1110" s="912"/>
      <c r="AF1110" s="920"/>
      <c r="AG1110" s="920"/>
      <c r="AH1110" s="912"/>
      <c r="AI1110" s="912"/>
      <c r="AJ1110" s="920"/>
      <c r="AK1110" s="920"/>
      <c r="AL1110" s="905"/>
      <c r="AM1110" s="906"/>
      <c r="AN1110" s="906"/>
      <c r="AO1110" s="906"/>
      <c r="AP1110" s="906"/>
      <c r="AQ1110" s="906"/>
      <c r="AR1110" s="906"/>
      <c r="AS1110" s="906"/>
      <c r="AT1110" s="906"/>
      <c r="AU1110" s="906"/>
      <c r="AV1110" s="906"/>
      <c r="AW1110" s="906"/>
      <c r="AX1110" s="906"/>
      <c r="AY1110" s="906"/>
      <c r="AZ1110" s="906"/>
      <c r="BA1110" s="906"/>
      <c r="BB1110" s="907"/>
    </row>
    <row r="1111" spans="1:54" x14ac:dyDescent="0.25">
      <c r="A1111" s="13">
        <f t="shared" si="17"/>
        <v>1098</v>
      </c>
      <c r="B1111" s="914" t="str">
        <f>'refer admin discharge'!B1107</f>
        <v>x</v>
      </c>
      <c r="C1111" s="914"/>
      <c r="D1111" s="889" t="str">
        <f>'refer admin discharge'!D1107</f>
        <v>xx</v>
      </c>
      <c r="E1111" s="889"/>
      <c r="F1111" s="915" t="str">
        <f>'refer admin discharge'!H1107</f>
        <v>00/00/0000</v>
      </c>
      <c r="G1111" s="890"/>
      <c r="H1111" s="916"/>
      <c r="I1111" s="916"/>
      <c r="J1111" s="917"/>
      <c r="K1111" s="917"/>
      <c r="L1111" s="916"/>
      <c r="M1111" s="916"/>
      <c r="N1111" s="893"/>
      <c r="O1111" s="893"/>
      <c r="P1111" s="916"/>
      <c r="Q1111" s="916"/>
      <c r="R1111" s="893"/>
      <c r="S1111" s="893"/>
      <c r="T1111" s="916"/>
      <c r="U1111" s="916"/>
      <c r="V1111" s="921" t="str">
        <f>'refer admin discharge'!H1112</f>
        <v>00/00/0000</v>
      </c>
      <c r="W1111" s="922"/>
      <c r="X1111" s="912"/>
      <c r="Y1111" s="912"/>
      <c r="Z1111" s="924"/>
      <c r="AA1111" s="924"/>
      <c r="AB1111" s="912"/>
      <c r="AC1111" s="912"/>
      <c r="AD1111" s="913"/>
      <c r="AE1111" s="913"/>
      <c r="AF1111" s="912"/>
      <c r="AG1111" s="912"/>
      <c r="AH1111" s="913"/>
      <c r="AI1111" s="913"/>
      <c r="AJ1111" s="912"/>
      <c r="AK1111" s="912"/>
      <c r="AL1111" s="925"/>
      <c r="AM1111" s="926"/>
      <c r="AN1111" s="926"/>
      <c r="AO1111" s="926"/>
      <c r="AP1111" s="926"/>
      <c r="AQ1111" s="926"/>
      <c r="AR1111" s="926"/>
      <c r="AS1111" s="926"/>
      <c r="AT1111" s="926"/>
      <c r="AU1111" s="926"/>
      <c r="AV1111" s="926"/>
      <c r="AW1111" s="926"/>
      <c r="AX1111" s="926"/>
      <c r="AY1111" s="926"/>
      <c r="AZ1111" s="926"/>
      <c r="BA1111" s="926"/>
      <c r="BB1111" s="927"/>
    </row>
    <row r="1112" spans="1:54" x14ac:dyDescent="0.25">
      <c r="A1112" s="13">
        <f t="shared" si="17"/>
        <v>1099</v>
      </c>
      <c r="B1112" s="888" t="str">
        <f>'refer admin discharge'!B1108</f>
        <v>x</v>
      </c>
      <c r="C1112" s="888"/>
      <c r="D1112" s="868" t="str">
        <f>'refer admin discharge'!D1108</f>
        <v>xx</v>
      </c>
      <c r="E1112" s="868"/>
      <c r="F1112" s="891" t="str">
        <f>'refer admin discharge'!H1108</f>
        <v>00/00/0000</v>
      </c>
      <c r="G1112" s="892"/>
      <c r="H1112" s="894"/>
      <c r="I1112" s="894"/>
      <c r="J1112" s="918"/>
      <c r="K1112" s="918"/>
      <c r="L1112" s="894"/>
      <c r="M1112" s="894"/>
      <c r="N1112" s="916"/>
      <c r="O1112" s="916"/>
      <c r="P1112" s="894"/>
      <c r="Q1112" s="894"/>
      <c r="R1112" s="916"/>
      <c r="S1112" s="916"/>
      <c r="T1112" s="894"/>
      <c r="U1112" s="894"/>
      <c r="V1112" s="921" t="str">
        <f>'refer admin discharge'!H1113</f>
        <v>00/00/0000</v>
      </c>
      <c r="W1112" s="922"/>
      <c r="X1112" s="920"/>
      <c r="Y1112" s="920"/>
      <c r="Z1112" s="919"/>
      <c r="AA1112" s="919"/>
      <c r="AB1112" s="920"/>
      <c r="AC1112" s="920"/>
      <c r="AD1112" s="912"/>
      <c r="AE1112" s="912"/>
      <c r="AF1112" s="920"/>
      <c r="AG1112" s="920"/>
      <c r="AH1112" s="912"/>
      <c r="AI1112" s="912"/>
      <c r="AJ1112" s="920"/>
      <c r="AK1112" s="920"/>
      <c r="AL1112" s="905"/>
      <c r="AM1112" s="906"/>
      <c r="AN1112" s="906"/>
      <c r="AO1112" s="906"/>
      <c r="AP1112" s="906"/>
      <c r="AQ1112" s="906"/>
      <c r="AR1112" s="906"/>
      <c r="AS1112" s="906"/>
      <c r="AT1112" s="906"/>
      <c r="AU1112" s="906"/>
      <c r="AV1112" s="906"/>
      <c r="AW1112" s="906"/>
      <c r="AX1112" s="906"/>
      <c r="AY1112" s="906"/>
      <c r="AZ1112" s="906"/>
      <c r="BA1112" s="906"/>
      <c r="BB1112" s="907"/>
    </row>
    <row r="1113" spans="1:54" x14ac:dyDescent="0.25">
      <c r="A1113" s="13">
        <f t="shared" si="17"/>
        <v>1100</v>
      </c>
      <c r="B1113" s="914" t="str">
        <f>'refer admin discharge'!B1109</f>
        <v>x</v>
      </c>
      <c r="C1113" s="914"/>
      <c r="D1113" s="889" t="str">
        <f>'refer admin discharge'!D1109</f>
        <v>xx</v>
      </c>
      <c r="E1113" s="889"/>
      <c r="F1113" s="915" t="str">
        <f>'refer admin discharge'!H1109</f>
        <v>00/00/0000</v>
      </c>
      <c r="G1113" s="890"/>
      <c r="H1113" s="916"/>
      <c r="I1113" s="916"/>
      <c r="J1113" s="917"/>
      <c r="K1113" s="917"/>
      <c r="L1113" s="916"/>
      <c r="M1113" s="916"/>
      <c r="N1113" s="893"/>
      <c r="O1113" s="893"/>
      <c r="P1113" s="916"/>
      <c r="Q1113" s="916"/>
      <c r="R1113" s="893"/>
      <c r="S1113" s="893"/>
      <c r="T1113" s="916"/>
      <c r="U1113" s="916"/>
      <c r="V1113" s="921" t="str">
        <f>'refer admin discharge'!H1114</f>
        <v>00/00/0000</v>
      </c>
      <c r="W1113" s="922"/>
      <c r="X1113" s="912"/>
      <c r="Y1113" s="912"/>
      <c r="Z1113" s="924"/>
      <c r="AA1113" s="924"/>
      <c r="AB1113" s="912"/>
      <c r="AC1113" s="912"/>
      <c r="AD1113" s="913"/>
      <c r="AE1113" s="913"/>
      <c r="AF1113" s="912"/>
      <c r="AG1113" s="912"/>
      <c r="AH1113" s="913"/>
      <c r="AI1113" s="913"/>
      <c r="AJ1113" s="912"/>
      <c r="AK1113" s="912"/>
      <c r="AL1113" s="925"/>
      <c r="AM1113" s="926"/>
      <c r="AN1113" s="926"/>
      <c r="AO1113" s="926"/>
      <c r="AP1113" s="926"/>
      <c r="AQ1113" s="926"/>
      <c r="AR1113" s="926"/>
      <c r="AS1113" s="926"/>
      <c r="AT1113" s="926"/>
      <c r="AU1113" s="926"/>
      <c r="AV1113" s="926"/>
      <c r="AW1113" s="926"/>
      <c r="AX1113" s="926"/>
      <c r="AY1113" s="926"/>
      <c r="AZ1113" s="926"/>
      <c r="BA1113" s="926"/>
      <c r="BB1113" s="927"/>
    </row>
    <row r="1114" spans="1:54" x14ac:dyDescent="0.25">
      <c r="A1114" s="13">
        <f t="shared" si="17"/>
        <v>1101</v>
      </c>
      <c r="B1114" s="888" t="str">
        <f>'refer admin discharge'!B1110</f>
        <v>x</v>
      </c>
      <c r="C1114" s="888"/>
      <c r="D1114" s="868" t="str">
        <f>'refer admin discharge'!D1110</f>
        <v>xx</v>
      </c>
      <c r="E1114" s="868"/>
      <c r="F1114" s="891" t="str">
        <f>'refer admin discharge'!H1110</f>
        <v>00/00/0000</v>
      </c>
      <c r="G1114" s="892"/>
      <c r="H1114" s="894"/>
      <c r="I1114" s="894"/>
      <c r="J1114" s="918"/>
      <c r="K1114" s="918"/>
      <c r="L1114" s="894"/>
      <c r="M1114" s="894"/>
      <c r="N1114" s="916"/>
      <c r="O1114" s="916"/>
      <c r="P1114" s="894"/>
      <c r="Q1114" s="894"/>
      <c r="R1114" s="916"/>
      <c r="S1114" s="916"/>
      <c r="T1114" s="894"/>
      <c r="U1114" s="894"/>
      <c r="V1114" s="921" t="str">
        <f>'refer admin discharge'!H1115</f>
        <v>00/00/0000</v>
      </c>
      <c r="W1114" s="922"/>
      <c r="X1114" s="920"/>
      <c r="Y1114" s="920"/>
      <c r="Z1114" s="919"/>
      <c r="AA1114" s="919"/>
      <c r="AB1114" s="920"/>
      <c r="AC1114" s="920"/>
      <c r="AD1114" s="912"/>
      <c r="AE1114" s="912"/>
      <c r="AF1114" s="920"/>
      <c r="AG1114" s="920"/>
      <c r="AH1114" s="912"/>
      <c r="AI1114" s="912"/>
      <c r="AJ1114" s="920"/>
      <c r="AK1114" s="920"/>
      <c r="AL1114" s="905"/>
      <c r="AM1114" s="906"/>
      <c r="AN1114" s="906"/>
      <c r="AO1114" s="906"/>
      <c r="AP1114" s="906"/>
      <c r="AQ1114" s="906"/>
      <c r="AR1114" s="906"/>
      <c r="AS1114" s="906"/>
      <c r="AT1114" s="906"/>
      <c r="AU1114" s="906"/>
      <c r="AV1114" s="906"/>
      <c r="AW1114" s="906"/>
      <c r="AX1114" s="906"/>
      <c r="AY1114" s="906"/>
      <c r="AZ1114" s="906"/>
      <c r="BA1114" s="906"/>
      <c r="BB1114" s="907"/>
    </row>
    <row r="1115" spans="1:54" x14ac:dyDescent="0.25">
      <c r="A1115" s="13">
        <f t="shared" si="17"/>
        <v>1102</v>
      </c>
      <c r="B1115" s="914" t="str">
        <f>'refer admin discharge'!B1111</f>
        <v>x</v>
      </c>
      <c r="C1115" s="914"/>
      <c r="D1115" s="889" t="str">
        <f>'refer admin discharge'!D1111</f>
        <v>xx</v>
      </c>
      <c r="E1115" s="889"/>
      <c r="F1115" s="915" t="str">
        <f>'refer admin discharge'!H1111</f>
        <v>00/00/0000</v>
      </c>
      <c r="G1115" s="890"/>
      <c r="H1115" s="916"/>
      <c r="I1115" s="916"/>
      <c r="J1115" s="917"/>
      <c r="K1115" s="917"/>
      <c r="L1115" s="916"/>
      <c r="M1115" s="916"/>
      <c r="N1115" s="893"/>
      <c r="O1115" s="893"/>
      <c r="P1115" s="916"/>
      <c r="Q1115" s="916"/>
      <c r="R1115" s="893"/>
      <c r="S1115" s="893"/>
      <c r="T1115" s="916"/>
      <c r="U1115" s="916"/>
      <c r="V1115" s="921" t="str">
        <f>'refer admin discharge'!H1116</f>
        <v>00/00/0000</v>
      </c>
      <c r="W1115" s="922"/>
      <c r="X1115" s="912"/>
      <c r="Y1115" s="912"/>
      <c r="Z1115" s="924"/>
      <c r="AA1115" s="924"/>
      <c r="AB1115" s="912"/>
      <c r="AC1115" s="912"/>
      <c r="AD1115" s="913"/>
      <c r="AE1115" s="913"/>
      <c r="AF1115" s="912"/>
      <c r="AG1115" s="912"/>
      <c r="AH1115" s="913"/>
      <c r="AI1115" s="913"/>
      <c r="AJ1115" s="912"/>
      <c r="AK1115" s="912"/>
      <c r="AL1115" s="925"/>
      <c r="AM1115" s="926"/>
      <c r="AN1115" s="926"/>
      <c r="AO1115" s="926"/>
      <c r="AP1115" s="926"/>
      <c r="AQ1115" s="926"/>
      <c r="AR1115" s="926"/>
      <c r="AS1115" s="926"/>
      <c r="AT1115" s="926"/>
      <c r="AU1115" s="926"/>
      <c r="AV1115" s="926"/>
      <c r="AW1115" s="926"/>
      <c r="AX1115" s="926"/>
      <c r="AY1115" s="926"/>
      <c r="AZ1115" s="926"/>
      <c r="BA1115" s="926"/>
      <c r="BB1115" s="927"/>
    </row>
    <row r="1116" spans="1:54" x14ac:dyDescent="0.25">
      <c r="A1116" s="13">
        <f t="shared" si="17"/>
        <v>1103</v>
      </c>
      <c r="B1116" s="888" t="str">
        <f>'refer admin discharge'!B1112</f>
        <v>x</v>
      </c>
      <c r="C1116" s="888"/>
      <c r="D1116" s="868" t="str">
        <f>'refer admin discharge'!D1112</f>
        <v>xx</v>
      </c>
      <c r="E1116" s="868"/>
      <c r="F1116" s="891" t="str">
        <f>'refer admin discharge'!H1112</f>
        <v>00/00/0000</v>
      </c>
      <c r="G1116" s="892"/>
      <c r="H1116" s="894"/>
      <c r="I1116" s="894"/>
      <c r="J1116" s="918"/>
      <c r="K1116" s="918"/>
      <c r="L1116" s="894"/>
      <c r="M1116" s="894"/>
      <c r="N1116" s="916"/>
      <c r="O1116" s="916"/>
      <c r="P1116" s="894"/>
      <c r="Q1116" s="894"/>
      <c r="R1116" s="916"/>
      <c r="S1116" s="916"/>
      <c r="T1116" s="894"/>
      <c r="U1116" s="894"/>
      <c r="V1116" s="921" t="str">
        <f>'refer admin discharge'!H1117</f>
        <v>00/00/0000</v>
      </c>
      <c r="W1116" s="922"/>
      <c r="X1116" s="920"/>
      <c r="Y1116" s="920"/>
      <c r="Z1116" s="919"/>
      <c r="AA1116" s="919"/>
      <c r="AB1116" s="920"/>
      <c r="AC1116" s="920"/>
      <c r="AD1116" s="912"/>
      <c r="AE1116" s="912"/>
      <c r="AF1116" s="920"/>
      <c r="AG1116" s="920"/>
      <c r="AH1116" s="912"/>
      <c r="AI1116" s="912"/>
      <c r="AJ1116" s="920"/>
      <c r="AK1116" s="920"/>
      <c r="AL1116" s="905"/>
      <c r="AM1116" s="906"/>
      <c r="AN1116" s="906"/>
      <c r="AO1116" s="906"/>
      <c r="AP1116" s="906"/>
      <c r="AQ1116" s="906"/>
      <c r="AR1116" s="906"/>
      <c r="AS1116" s="906"/>
      <c r="AT1116" s="906"/>
      <c r="AU1116" s="906"/>
      <c r="AV1116" s="906"/>
      <c r="AW1116" s="906"/>
      <c r="AX1116" s="906"/>
      <c r="AY1116" s="906"/>
      <c r="AZ1116" s="906"/>
      <c r="BA1116" s="906"/>
      <c r="BB1116" s="907"/>
    </row>
    <row r="1117" spans="1:54" x14ac:dyDescent="0.25">
      <c r="A1117" s="13">
        <f t="shared" si="17"/>
        <v>1104</v>
      </c>
      <c r="B1117" s="914" t="str">
        <f>'refer admin discharge'!B1113</f>
        <v>x</v>
      </c>
      <c r="C1117" s="914"/>
      <c r="D1117" s="889" t="str">
        <f>'refer admin discharge'!D1113</f>
        <v>xx</v>
      </c>
      <c r="E1117" s="889"/>
      <c r="F1117" s="915" t="str">
        <f>'refer admin discharge'!H1113</f>
        <v>00/00/0000</v>
      </c>
      <c r="G1117" s="890"/>
      <c r="H1117" s="916"/>
      <c r="I1117" s="916"/>
      <c r="J1117" s="917"/>
      <c r="K1117" s="917"/>
      <c r="L1117" s="916"/>
      <c r="M1117" s="916"/>
      <c r="N1117" s="893"/>
      <c r="O1117" s="893"/>
      <c r="P1117" s="916"/>
      <c r="Q1117" s="916"/>
      <c r="R1117" s="893"/>
      <c r="S1117" s="893"/>
      <c r="T1117" s="916"/>
      <c r="U1117" s="916"/>
      <c r="V1117" s="921" t="str">
        <f>'refer admin discharge'!H1118</f>
        <v>00/00/0000</v>
      </c>
      <c r="W1117" s="922"/>
      <c r="X1117" s="912"/>
      <c r="Y1117" s="912"/>
      <c r="Z1117" s="924"/>
      <c r="AA1117" s="924"/>
      <c r="AB1117" s="912"/>
      <c r="AC1117" s="912"/>
      <c r="AD1117" s="913"/>
      <c r="AE1117" s="913"/>
      <c r="AF1117" s="912"/>
      <c r="AG1117" s="912"/>
      <c r="AH1117" s="913"/>
      <c r="AI1117" s="913"/>
      <c r="AJ1117" s="912"/>
      <c r="AK1117" s="912"/>
      <c r="AL1117" s="925"/>
      <c r="AM1117" s="926"/>
      <c r="AN1117" s="926"/>
      <c r="AO1117" s="926"/>
      <c r="AP1117" s="926"/>
      <c r="AQ1117" s="926"/>
      <c r="AR1117" s="926"/>
      <c r="AS1117" s="926"/>
      <c r="AT1117" s="926"/>
      <c r="AU1117" s="926"/>
      <c r="AV1117" s="926"/>
      <c r="AW1117" s="926"/>
      <c r="AX1117" s="926"/>
      <c r="AY1117" s="926"/>
      <c r="AZ1117" s="926"/>
      <c r="BA1117" s="926"/>
      <c r="BB1117" s="927"/>
    </row>
    <row r="1118" spans="1:54" x14ac:dyDescent="0.25">
      <c r="A1118" s="13">
        <f t="shared" si="17"/>
        <v>1105</v>
      </c>
      <c r="B1118" s="888" t="str">
        <f>'refer admin discharge'!B1114</f>
        <v>x</v>
      </c>
      <c r="C1118" s="888"/>
      <c r="D1118" s="868" t="str">
        <f>'refer admin discharge'!D1114</f>
        <v>xx</v>
      </c>
      <c r="E1118" s="868"/>
      <c r="F1118" s="891" t="str">
        <f>'refer admin discharge'!H1114</f>
        <v>00/00/0000</v>
      </c>
      <c r="G1118" s="892"/>
      <c r="H1118" s="894"/>
      <c r="I1118" s="894"/>
      <c r="J1118" s="918"/>
      <c r="K1118" s="918"/>
      <c r="L1118" s="894"/>
      <c r="M1118" s="894"/>
      <c r="N1118" s="916"/>
      <c r="O1118" s="916"/>
      <c r="P1118" s="894"/>
      <c r="Q1118" s="894"/>
      <c r="R1118" s="916"/>
      <c r="S1118" s="916"/>
      <c r="T1118" s="894"/>
      <c r="U1118" s="894"/>
      <c r="V1118" s="921" t="str">
        <f>'refer admin discharge'!H1119</f>
        <v>00/00/0000</v>
      </c>
      <c r="W1118" s="922"/>
      <c r="X1118" s="920"/>
      <c r="Y1118" s="920"/>
      <c r="Z1118" s="919"/>
      <c r="AA1118" s="919"/>
      <c r="AB1118" s="920"/>
      <c r="AC1118" s="920"/>
      <c r="AD1118" s="912"/>
      <c r="AE1118" s="912"/>
      <c r="AF1118" s="920"/>
      <c r="AG1118" s="920"/>
      <c r="AH1118" s="912"/>
      <c r="AI1118" s="912"/>
      <c r="AJ1118" s="920"/>
      <c r="AK1118" s="920"/>
      <c r="AL1118" s="905"/>
      <c r="AM1118" s="906"/>
      <c r="AN1118" s="906"/>
      <c r="AO1118" s="906"/>
      <c r="AP1118" s="906"/>
      <c r="AQ1118" s="906"/>
      <c r="AR1118" s="906"/>
      <c r="AS1118" s="906"/>
      <c r="AT1118" s="906"/>
      <c r="AU1118" s="906"/>
      <c r="AV1118" s="906"/>
      <c r="AW1118" s="906"/>
      <c r="AX1118" s="906"/>
      <c r="AY1118" s="906"/>
      <c r="AZ1118" s="906"/>
      <c r="BA1118" s="906"/>
      <c r="BB1118" s="907"/>
    </row>
    <row r="1119" spans="1:54" x14ac:dyDescent="0.25">
      <c r="A1119" s="13">
        <f t="shared" si="17"/>
        <v>1106</v>
      </c>
      <c r="B1119" s="914" t="str">
        <f>'refer admin discharge'!B1115</f>
        <v>x</v>
      </c>
      <c r="C1119" s="914"/>
      <c r="D1119" s="889" t="str">
        <f>'refer admin discharge'!D1115</f>
        <v>xx</v>
      </c>
      <c r="E1119" s="889"/>
      <c r="F1119" s="915" t="str">
        <f>'refer admin discharge'!H1115</f>
        <v>00/00/0000</v>
      </c>
      <c r="G1119" s="890"/>
      <c r="H1119" s="916"/>
      <c r="I1119" s="916"/>
      <c r="J1119" s="917"/>
      <c r="K1119" s="917"/>
      <c r="L1119" s="916"/>
      <c r="M1119" s="916"/>
      <c r="N1119" s="893"/>
      <c r="O1119" s="893"/>
      <c r="P1119" s="916"/>
      <c r="Q1119" s="916"/>
      <c r="R1119" s="893"/>
      <c r="S1119" s="893"/>
      <c r="T1119" s="916"/>
      <c r="U1119" s="916"/>
      <c r="V1119" s="921" t="str">
        <f>'refer admin discharge'!H1120</f>
        <v>00/00/0000</v>
      </c>
      <c r="W1119" s="922"/>
      <c r="X1119" s="912"/>
      <c r="Y1119" s="912"/>
      <c r="Z1119" s="924"/>
      <c r="AA1119" s="924"/>
      <c r="AB1119" s="912"/>
      <c r="AC1119" s="912"/>
      <c r="AD1119" s="913"/>
      <c r="AE1119" s="913"/>
      <c r="AF1119" s="912"/>
      <c r="AG1119" s="912"/>
      <c r="AH1119" s="913"/>
      <c r="AI1119" s="913"/>
      <c r="AJ1119" s="912"/>
      <c r="AK1119" s="912"/>
      <c r="AL1119" s="925"/>
      <c r="AM1119" s="926"/>
      <c r="AN1119" s="926"/>
      <c r="AO1119" s="926"/>
      <c r="AP1119" s="926"/>
      <c r="AQ1119" s="926"/>
      <c r="AR1119" s="926"/>
      <c r="AS1119" s="926"/>
      <c r="AT1119" s="926"/>
      <c r="AU1119" s="926"/>
      <c r="AV1119" s="926"/>
      <c r="AW1119" s="926"/>
      <c r="AX1119" s="926"/>
      <c r="AY1119" s="926"/>
      <c r="AZ1119" s="926"/>
      <c r="BA1119" s="926"/>
      <c r="BB1119" s="927"/>
    </row>
    <row r="1120" spans="1:54" x14ac:dyDescent="0.25">
      <c r="A1120" s="13">
        <f t="shared" si="17"/>
        <v>1107</v>
      </c>
      <c r="B1120" s="888" t="str">
        <f>'refer admin discharge'!B1116</f>
        <v>x</v>
      </c>
      <c r="C1120" s="888"/>
      <c r="D1120" s="868" t="str">
        <f>'refer admin discharge'!D1116</f>
        <v>xx</v>
      </c>
      <c r="E1120" s="868"/>
      <c r="F1120" s="891" t="str">
        <f>'refer admin discharge'!H1116</f>
        <v>00/00/0000</v>
      </c>
      <c r="G1120" s="892"/>
      <c r="H1120" s="894"/>
      <c r="I1120" s="894"/>
      <c r="J1120" s="918"/>
      <c r="K1120" s="918"/>
      <c r="L1120" s="894"/>
      <c r="M1120" s="894"/>
      <c r="N1120" s="916"/>
      <c r="O1120" s="916"/>
      <c r="P1120" s="894"/>
      <c r="Q1120" s="894"/>
      <c r="R1120" s="916"/>
      <c r="S1120" s="916"/>
      <c r="T1120" s="894"/>
      <c r="U1120" s="894"/>
      <c r="V1120" s="921" t="str">
        <f>'refer admin discharge'!H1121</f>
        <v>00/00/0000</v>
      </c>
      <c r="W1120" s="922"/>
      <c r="X1120" s="920"/>
      <c r="Y1120" s="920"/>
      <c r="Z1120" s="919"/>
      <c r="AA1120" s="919"/>
      <c r="AB1120" s="920"/>
      <c r="AC1120" s="920"/>
      <c r="AD1120" s="912"/>
      <c r="AE1120" s="912"/>
      <c r="AF1120" s="920"/>
      <c r="AG1120" s="920"/>
      <c r="AH1120" s="912"/>
      <c r="AI1120" s="912"/>
      <c r="AJ1120" s="920"/>
      <c r="AK1120" s="920"/>
      <c r="AL1120" s="905"/>
      <c r="AM1120" s="906"/>
      <c r="AN1120" s="906"/>
      <c r="AO1120" s="906"/>
      <c r="AP1120" s="906"/>
      <c r="AQ1120" s="906"/>
      <c r="AR1120" s="906"/>
      <c r="AS1120" s="906"/>
      <c r="AT1120" s="906"/>
      <c r="AU1120" s="906"/>
      <c r="AV1120" s="906"/>
      <c r="AW1120" s="906"/>
      <c r="AX1120" s="906"/>
      <c r="AY1120" s="906"/>
      <c r="AZ1120" s="906"/>
      <c r="BA1120" s="906"/>
      <c r="BB1120" s="907"/>
    </row>
    <row r="1121" spans="1:54" x14ac:dyDescent="0.25">
      <c r="A1121" s="13">
        <f t="shared" si="17"/>
        <v>1108</v>
      </c>
      <c r="B1121" s="914" t="str">
        <f>'refer admin discharge'!B1117</f>
        <v>x</v>
      </c>
      <c r="C1121" s="914"/>
      <c r="D1121" s="889" t="str">
        <f>'refer admin discharge'!D1117</f>
        <v>xx</v>
      </c>
      <c r="E1121" s="889"/>
      <c r="F1121" s="915" t="str">
        <f>'refer admin discharge'!H1117</f>
        <v>00/00/0000</v>
      </c>
      <c r="G1121" s="890"/>
      <c r="H1121" s="916"/>
      <c r="I1121" s="916"/>
      <c r="J1121" s="917"/>
      <c r="K1121" s="917"/>
      <c r="L1121" s="916"/>
      <c r="M1121" s="916"/>
      <c r="N1121" s="893"/>
      <c r="O1121" s="893"/>
      <c r="P1121" s="916"/>
      <c r="Q1121" s="916"/>
      <c r="R1121" s="893"/>
      <c r="S1121" s="893"/>
      <c r="T1121" s="916"/>
      <c r="U1121" s="916"/>
      <c r="V1121" s="921" t="str">
        <f>'refer admin discharge'!H1122</f>
        <v>00/00/0000</v>
      </c>
      <c r="W1121" s="922"/>
      <c r="X1121" s="912"/>
      <c r="Y1121" s="912"/>
      <c r="Z1121" s="924"/>
      <c r="AA1121" s="924"/>
      <c r="AB1121" s="912"/>
      <c r="AC1121" s="912"/>
      <c r="AD1121" s="913"/>
      <c r="AE1121" s="913"/>
      <c r="AF1121" s="912"/>
      <c r="AG1121" s="912"/>
      <c r="AH1121" s="913"/>
      <c r="AI1121" s="913"/>
      <c r="AJ1121" s="912"/>
      <c r="AK1121" s="912"/>
      <c r="AL1121" s="925"/>
      <c r="AM1121" s="926"/>
      <c r="AN1121" s="926"/>
      <c r="AO1121" s="926"/>
      <c r="AP1121" s="926"/>
      <c r="AQ1121" s="926"/>
      <c r="AR1121" s="926"/>
      <c r="AS1121" s="926"/>
      <c r="AT1121" s="926"/>
      <c r="AU1121" s="926"/>
      <c r="AV1121" s="926"/>
      <c r="AW1121" s="926"/>
      <c r="AX1121" s="926"/>
      <c r="AY1121" s="926"/>
      <c r="AZ1121" s="926"/>
      <c r="BA1121" s="926"/>
      <c r="BB1121" s="927"/>
    </row>
    <row r="1122" spans="1:54" x14ac:dyDescent="0.25">
      <c r="A1122" s="13">
        <f t="shared" si="17"/>
        <v>1109</v>
      </c>
      <c r="B1122" s="888" t="str">
        <f>'refer admin discharge'!B1118</f>
        <v>x</v>
      </c>
      <c r="C1122" s="888"/>
      <c r="D1122" s="868" t="str">
        <f>'refer admin discharge'!D1118</f>
        <v>xx</v>
      </c>
      <c r="E1122" s="868"/>
      <c r="F1122" s="891" t="str">
        <f>'refer admin discharge'!H1118</f>
        <v>00/00/0000</v>
      </c>
      <c r="G1122" s="892"/>
      <c r="H1122" s="894"/>
      <c r="I1122" s="894"/>
      <c r="J1122" s="918"/>
      <c r="K1122" s="918"/>
      <c r="L1122" s="894"/>
      <c r="M1122" s="894"/>
      <c r="N1122" s="916"/>
      <c r="O1122" s="916"/>
      <c r="P1122" s="894"/>
      <c r="Q1122" s="894"/>
      <c r="R1122" s="916"/>
      <c r="S1122" s="916"/>
      <c r="T1122" s="894"/>
      <c r="U1122" s="894"/>
      <c r="V1122" s="921" t="str">
        <f>'refer admin discharge'!H1123</f>
        <v>00/00/0000</v>
      </c>
      <c r="W1122" s="922"/>
      <c r="X1122" s="920"/>
      <c r="Y1122" s="920"/>
      <c r="Z1122" s="919"/>
      <c r="AA1122" s="919"/>
      <c r="AB1122" s="920"/>
      <c r="AC1122" s="920"/>
      <c r="AD1122" s="912"/>
      <c r="AE1122" s="912"/>
      <c r="AF1122" s="920"/>
      <c r="AG1122" s="920"/>
      <c r="AH1122" s="912"/>
      <c r="AI1122" s="912"/>
      <c r="AJ1122" s="920"/>
      <c r="AK1122" s="920"/>
      <c r="AL1122" s="905"/>
      <c r="AM1122" s="906"/>
      <c r="AN1122" s="906"/>
      <c r="AO1122" s="906"/>
      <c r="AP1122" s="906"/>
      <c r="AQ1122" s="906"/>
      <c r="AR1122" s="906"/>
      <c r="AS1122" s="906"/>
      <c r="AT1122" s="906"/>
      <c r="AU1122" s="906"/>
      <c r="AV1122" s="906"/>
      <c r="AW1122" s="906"/>
      <c r="AX1122" s="906"/>
      <c r="AY1122" s="906"/>
      <c r="AZ1122" s="906"/>
      <c r="BA1122" s="906"/>
      <c r="BB1122" s="907"/>
    </row>
    <row r="1123" spans="1:54" x14ac:dyDescent="0.25">
      <c r="A1123" s="13">
        <f t="shared" si="17"/>
        <v>1110</v>
      </c>
      <c r="B1123" s="914" t="str">
        <f>'refer admin discharge'!B1119</f>
        <v>x</v>
      </c>
      <c r="C1123" s="914"/>
      <c r="D1123" s="889" t="str">
        <f>'refer admin discharge'!D1119</f>
        <v>xx</v>
      </c>
      <c r="E1123" s="889"/>
      <c r="F1123" s="915" t="str">
        <f>'refer admin discharge'!H1119</f>
        <v>00/00/0000</v>
      </c>
      <c r="G1123" s="890"/>
      <c r="H1123" s="916"/>
      <c r="I1123" s="916"/>
      <c r="J1123" s="917"/>
      <c r="K1123" s="917"/>
      <c r="L1123" s="916"/>
      <c r="M1123" s="916"/>
      <c r="N1123" s="893"/>
      <c r="O1123" s="893"/>
      <c r="P1123" s="916"/>
      <c r="Q1123" s="916"/>
      <c r="R1123" s="893"/>
      <c r="S1123" s="893"/>
      <c r="T1123" s="916"/>
      <c r="U1123" s="916"/>
      <c r="V1123" s="921" t="str">
        <f>'refer admin discharge'!H1124</f>
        <v>00/00/0000</v>
      </c>
      <c r="W1123" s="922"/>
      <c r="X1123" s="912"/>
      <c r="Y1123" s="912"/>
      <c r="Z1123" s="924"/>
      <c r="AA1123" s="924"/>
      <c r="AB1123" s="912"/>
      <c r="AC1123" s="912"/>
      <c r="AD1123" s="913"/>
      <c r="AE1123" s="913"/>
      <c r="AF1123" s="912"/>
      <c r="AG1123" s="912"/>
      <c r="AH1123" s="913"/>
      <c r="AI1123" s="913"/>
      <c r="AJ1123" s="912"/>
      <c r="AK1123" s="912"/>
      <c r="AL1123" s="925"/>
      <c r="AM1123" s="926"/>
      <c r="AN1123" s="926"/>
      <c r="AO1123" s="926"/>
      <c r="AP1123" s="926"/>
      <c r="AQ1123" s="926"/>
      <c r="AR1123" s="926"/>
      <c r="AS1123" s="926"/>
      <c r="AT1123" s="926"/>
      <c r="AU1123" s="926"/>
      <c r="AV1123" s="926"/>
      <c r="AW1123" s="926"/>
      <c r="AX1123" s="926"/>
      <c r="AY1123" s="926"/>
      <c r="AZ1123" s="926"/>
      <c r="BA1123" s="926"/>
      <c r="BB1123" s="927"/>
    </row>
    <row r="1124" spans="1:54" x14ac:dyDescent="0.25">
      <c r="A1124" s="13">
        <f t="shared" si="17"/>
        <v>1111</v>
      </c>
      <c r="B1124" s="888" t="str">
        <f>'refer admin discharge'!B1120</f>
        <v>x</v>
      </c>
      <c r="C1124" s="888"/>
      <c r="D1124" s="868" t="str">
        <f>'refer admin discharge'!D1120</f>
        <v>xx</v>
      </c>
      <c r="E1124" s="868"/>
      <c r="F1124" s="891" t="str">
        <f>'refer admin discharge'!H1120</f>
        <v>00/00/0000</v>
      </c>
      <c r="G1124" s="892"/>
      <c r="H1124" s="894"/>
      <c r="I1124" s="894"/>
      <c r="J1124" s="918"/>
      <c r="K1124" s="918"/>
      <c r="L1124" s="894"/>
      <c r="M1124" s="894"/>
      <c r="N1124" s="916"/>
      <c r="O1124" s="916"/>
      <c r="P1124" s="894"/>
      <c r="Q1124" s="894"/>
      <c r="R1124" s="916"/>
      <c r="S1124" s="916"/>
      <c r="T1124" s="894"/>
      <c r="U1124" s="894"/>
      <c r="V1124" s="921" t="str">
        <f>'refer admin discharge'!H1125</f>
        <v>00/00/0000</v>
      </c>
      <c r="W1124" s="922"/>
      <c r="X1124" s="920"/>
      <c r="Y1124" s="920"/>
      <c r="Z1124" s="919"/>
      <c r="AA1124" s="919"/>
      <c r="AB1124" s="920"/>
      <c r="AC1124" s="920"/>
      <c r="AD1124" s="912"/>
      <c r="AE1124" s="912"/>
      <c r="AF1124" s="920"/>
      <c r="AG1124" s="920"/>
      <c r="AH1124" s="912"/>
      <c r="AI1124" s="912"/>
      <c r="AJ1124" s="920"/>
      <c r="AK1124" s="920"/>
      <c r="AL1124" s="905"/>
      <c r="AM1124" s="906"/>
      <c r="AN1124" s="906"/>
      <c r="AO1124" s="906"/>
      <c r="AP1124" s="906"/>
      <c r="AQ1124" s="906"/>
      <c r="AR1124" s="906"/>
      <c r="AS1124" s="906"/>
      <c r="AT1124" s="906"/>
      <c r="AU1124" s="906"/>
      <c r="AV1124" s="906"/>
      <c r="AW1124" s="906"/>
      <c r="AX1124" s="906"/>
      <c r="AY1124" s="906"/>
      <c r="AZ1124" s="906"/>
      <c r="BA1124" s="906"/>
      <c r="BB1124" s="907"/>
    </row>
    <row r="1125" spans="1:54" x14ac:dyDescent="0.25">
      <c r="A1125" s="13">
        <f t="shared" si="17"/>
        <v>1112</v>
      </c>
      <c r="B1125" s="914" t="str">
        <f>'refer admin discharge'!B1121</f>
        <v>x</v>
      </c>
      <c r="C1125" s="914"/>
      <c r="D1125" s="889" t="str">
        <f>'refer admin discharge'!D1121</f>
        <v>xx</v>
      </c>
      <c r="E1125" s="889"/>
      <c r="F1125" s="915" t="str">
        <f>'refer admin discharge'!H1121</f>
        <v>00/00/0000</v>
      </c>
      <c r="G1125" s="890"/>
      <c r="H1125" s="916"/>
      <c r="I1125" s="916"/>
      <c r="J1125" s="917"/>
      <c r="K1125" s="917"/>
      <c r="L1125" s="916"/>
      <c r="M1125" s="916"/>
      <c r="N1125" s="893"/>
      <c r="O1125" s="893"/>
      <c r="P1125" s="916"/>
      <c r="Q1125" s="916"/>
      <c r="R1125" s="893"/>
      <c r="S1125" s="893"/>
      <c r="T1125" s="916"/>
      <c r="U1125" s="916"/>
      <c r="V1125" s="921" t="str">
        <f>'refer admin discharge'!H1126</f>
        <v>00/00/0000</v>
      </c>
      <c r="W1125" s="922"/>
      <c r="X1125" s="912"/>
      <c r="Y1125" s="912"/>
      <c r="Z1125" s="924"/>
      <c r="AA1125" s="924"/>
      <c r="AB1125" s="912"/>
      <c r="AC1125" s="912"/>
      <c r="AD1125" s="913"/>
      <c r="AE1125" s="913"/>
      <c r="AF1125" s="912"/>
      <c r="AG1125" s="912"/>
      <c r="AH1125" s="913"/>
      <c r="AI1125" s="913"/>
      <c r="AJ1125" s="912"/>
      <c r="AK1125" s="912"/>
      <c r="AL1125" s="925"/>
      <c r="AM1125" s="926"/>
      <c r="AN1125" s="926"/>
      <c r="AO1125" s="926"/>
      <c r="AP1125" s="926"/>
      <c r="AQ1125" s="926"/>
      <c r="AR1125" s="926"/>
      <c r="AS1125" s="926"/>
      <c r="AT1125" s="926"/>
      <c r="AU1125" s="926"/>
      <c r="AV1125" s="926"/>
      <c r="AW1125" s="926"/>
      <c r="AX1125" s="926"/>
      <c r="AY1125" s="926"/>
      <c r="AZ1125" s="926"/>
      <c r="BA1125" s="926"/>
      <c r="BB1125" s="927"/>
    </row>
    <row r="1126" spans="1:54" x14ac:dyDescent="0.25">
      <c r="A1126" s="13">
        <f t="shared" si="17"/>
        <v>1113</v>
      </c>
      <c r="B1126" s="888" t="str">
        <f>'refer admin discharge'!B1122</f>
        <v>x</v>
      </c>
      <c r="C1126" s="888"/>
      <c r="D1126" s="868" t="str">
        <f>'refer admin discharge'!D1122</f>
        <v>xx</v>
      </c>
      <c r="E1126" s="868"/>
      <c r="F1126" s="891" t="str">
        <f>'refer admin discharge'!H1122</f>
        <v>00/00/0000</v>
      </c>
      <c r="G1126" s="892"/>
      <c r="H1126" s="894"/>
      <c r="I1126" s="894"/>
      <c r="J1126" s="918"/>
      <c r="K1126" s="918"/>
      <c r="L1126" s="894"/>
      <c r="M1126" s="894"/>
      <c r="N1126" s="916"/>
      <c r="O1126" s="916"/>
      <c r="P1126" s="894"/>
      <c r="Q1126" s="894"/>
      <c r="R1126" s="916"/>
      <c r="S1126" s="916"/>
      <c r="T1126" s="894"/>
      <c r="U1126" s="894"/>
      <c r="V1126" s="921" t="str">
        <f>'refer admin discharge'!H1127</f>
        <v>00/00/0000</v>
      </c>
      <c r="W1126" s="922"/>
      <c r="X1126" s="920"/>
      <c r="Y1126" s="920"/>
      <c r="Z1126" s="919"/>
      <c r="AA1126" s="919"/>
      <c r="AB1126" s="920"/>
      <c r="AC1126" s="920"/>
      <c r="AD1126" s="912"/>
      <c r="AE1126" s="912"/>
      <c r="AF1126" s="920"/>
      <c r="AG1126" s="920"/>
      <c r="AH1126" s="912"/>
      <c r="AI1126" s="912"/>
      <c r="AJ1126" s="920"/>
      <c r="AK1126" s="920"/>
      <c r="AL1126" s="905"/>
      <c r="AM1126" s="906"/>
      <c r="AN1126" s="906"/>
      <c r="AO1126" s="906"/>
      <c r="AP1126" s="906"/>
      <c r="AQ1126" s="906"/>
      <c r="AR1126" s="906"/>
      <c r="AS1126" s="906"/>
      <c r="AT1126" s="906"/>
      <c r="AU1126" s="906"/>
      <c r="AV1126" s="906"/>
      <c r="AW1126" s="906"/>
      <c r="AX1126" s="906"/>
      <c r="AY1126" s="906"/>
      <c r="AZ1126" s="906"/>
      <c r="BA1126" s="906"/>
      <c r="BB1126" s="907"/>
    </row>
    <row r="1127" spans="1:54" x14ac:dyDescent="0.25">
      <c r="A1127" s="13">
        <f t="shared" si="17"/>
        <v>1114</v>
      </c>
      <c r="B1127" s="914" t="str">
        <f>'refer admin discharge'!B1123</f>
        <v>x</v>
      </c>
      <c r="C1127" s="914"/>
      <c r="D1127" s="889" t="str">
        <f>'refer admin discharge'!D1123</f>
        <v>xx</v>
      </c>
      <c r="E1127" s="889"/>
      <c r="F1127" s="915" t="str">
        <f>'refer admin discharge'!H1123</f>
        <v>00/00/0000</v>
      </c>
      <c r="G1127" s="890"/>
      <c r="H1127" s="916"/>
      <c r="I1127" s="916"/>
      <c r="J1127" s="917"/>
      <c r="K1127" s="917"/>
      <c r="L1127" s="916"/>
      <c r="M1127" s="916"/>
      <c r="N1127" s="893"/>
      <c r="O1127" s="893"/>
      <c r="P1127" s="916"/>
      <c r="Q1127" s="916"/>
      <c r="R1127" s="893"/>
      <c r="S1127" s="893"/>
      <c r="T1127" s="916"/>
      <c r="U1127" s="916"/>
      <c r="V1127" s="921" t="str">
        <f>'refer admin discharge'!H1128</f>
        <v>00/00/0000</v>
      </c>
      <c r="W1127" s="922"/>
      <c r="X1127" s="912"/>
      <c r="Y1127" s="912"/>
      <c r="Z1127" s="924"/>
      <c r="AA1127" s="924"/>
      <c r="AB1127" s="912"/>
      <c r="AC1127" s="912"/>
      <c r="AD1127" s="913"/>
      <c r="AE1127" s="913"/>
      <c r="AF1127" s="912"/>
      <c r="AG1127" s="912"/>
      <c r="AH1127" s="913"/>
      <c r="AI1127" s="913"/>
      <c r="AJ1127" s="912"/>
      <c r="AK1127" s="912"/>
      <c r="AL1127" s="925"/>
      <c r="AM1127" s="926"/>
      <c r="AN1127" s="926"/>
      <c r="AO1127" s="926"/>
      <c r="AP1127" s="926"/>
      <c r="AQ1127" s="926"/>
      <c r="AR1127" s="926"/>
      <c r="AS1127" s="926"/>
      <c r="AT1127" s="926"/>
      <c r="AU1127" s="926"/>
      <c r="AV1127" s="926"/>
      <c r="AW1127" s="926"/>
      <c r="AX1127" s="926"/>
      <c r="AY1127" s="926"/>
      <c r="AZ1127" s="926"/>
      <c r="BA1127" s="926"/>
      <c r="BB1127" s="927"/>
    </row>
    <row r="1128" spans="1:54" x14ac:dyDescent="0.25">
      <c r="A1128" s="13">
        <f t="shared" si="17"/>
        <v>1115</v>
      </c>
      <c r="B1128" s="888" t="str">
        <f>'refer admin discharge'!B1124</f>
        <v>x</v>
      </c>
      <c r="C1128" s="888"/>
      <c r="D1128" s="868" t="str">
        <f>'refer admin discharge'!D1124</f>
        <v>xx</v>
      </c>
      <c r="E1128" s="868"/>
      <c r="F1128" s="891" t="str">
        <f>'refer admin discharge'!H1124</f>
        <v>00/00/0000</v>
      </c>
      <c r="G1128" s="892"/>
      <c r="H1128" s="894"/>
      <c r="I1128" s="894"/>
      <c r="J1128" s="918"/>
      <c r="K1128" s="918"/>
      <c r="L1128" s="894"/>
      <c r="M1128" s="894"/>
      <c r="N1128" s="916"/>
      <c r="O1128" s="916"/>
      <c r="P1128" s="894"/>
      <c r="Q1128" s="894"/>
      <c r="R1128" s="916"/>
      <c r="S1128" s="916"/>
      <c r="T1128" s="894"/>
      <c r="U1128" s="894"/>
      <c r="V1128" s="921" t="str">
        <f>'refer admin discharge'!H1129</f>
        <v>00/00/0000</v>
      </c>
      <c r="W1128" s="922"/>
      <c r="X1128" s="920"/>
      <c r="Y1128" s="920"/>
      <c r="Z1128" s="919"/>
      <c r="AA1128" s="919"/>
      <c r="AB1128" s="920"/>
      <c r="AC1128" s="920"/>
      <c r="AD1128" s="912"/>
      <c r="AE1128" s="912"/>
      <c r="AF1128" s="920"/>
      <c r="AG1128" s="920"/>
      <c r="AH1128" s="912"/>
      <c r="AI1128" s="912"/>
      <c r="AJ1128" s="920"/>
      <c r="AK1128" s="920"/>
      <c r="AL1128" s="905"/>
      <c r="AM1128" s="906"/>
      <c r="AN1128" s="906"/>
      <c r="AO1128" s="906"/>
      <c r="AP1128" s="906"/>
      <c r="AQ1128" s="906"/>
      <c r="AR1128" s="906"/>
      <c r="AS1128" s="906"/>
      <c r="AT1128" s="906"/>
      <c r="AU1128" s="906"/>
      <c r="AV1128" s="906"/>
      <c r="AW1128" s="906"/>
      <c r="AX1128" s="906"/>
      <c r="AY1128" s="906"/>
      <c r="AZ1128" s="906"/>
      <c r="BA1128" s="906"/>
      <c r="BB1128" s="907"/>
    </row>
    <row r="1129" spans="1:54" x14ac:dyDescent="0.25">
      <c r="A1129" s="13">
        <f t="shared" si="17"/>
        <v>1116</v>
      </c>
      <c r="B1129" s="914" t="str">
        <f>'refer admin discharge'!B1125</f>
        <v>x</v>
      </c>
      <c r="C1129" s="914"/>
      <c r="D1129" s="889" t="str">
        <f>'refer admin discharge'!D1125</f>
        <v>xx</v>
      </c>
      <c r="E1129" s="889"/>
      <c r="F1129" s="915" t="str">
        <f>'refer admin discharge'!H1125</f>
        <v>00/00/0000</v>
      </c>
      <c r="G1129" s="890"/>
      <c r="H1129" s="916"/>
      <c r="I1129" s="916"/>
      <c r="J1129" s="917"/>
      <c r="K1129" s="917"/>
      <c r="L1129" s="916"/>
      <c r="M1129" s="916"/>
      <c r="N1129" s="893"/>
      <c r="O1129" s="893"/>
      <c r="P1129" s="916"/>
      <c r="Q1129" s="916"/>
      <c r="R1129" s="893"/>
      <c r="S1129" s="893"/>
      <c r="T1129" s="916"/>
      <c r="U1129" s="916"/>
      <c r="V1129" s="921" t="str">
        <f>'refer admin discharge'!H1130</f>
        <v>00/00/0000</v>
      </c>
      <c r="W1129" s="922"/>
      <c r="X1129" s="912"/>
      <c r="Y1129" s="912"/>
      <c r="Z1129" s="924"/>
      <c r="AA1129" s="924"/>
      <c r="AB1129" s="912"/>
      <c r="AC1129" s="912"/>
      <c r="AD1129" s="913"/>
      <c r="AE1129" s="913"/>
      <c r="AF1129" s="912"/>
      <c r="AG1129" s="912"/>
      <c r="AH1129" s="913"/>
      <c r="AI1129" s="913"/>
      <c r="AJ1129" s="912"/>
      <c r="AK1129" s="912"/>
      <c r="AL1129" s="925"/>
      <c r="AM1129" s="926"/>
      <c r="AN1129" s="926"/>
      <c r="AO1129" s="926"/>
      <c r="AP1129" s="926"/>
      <c r="AQ1129" s="926"/>
      <c r="AR1129" s="926"/>
      <c r="AS1129" s="926"/>
      <c r="AT1129" s="926"/>
      <c r="AU1129" s="926"/>
      <c r="AV1129" s="926"/>
      <c r="AW1129" s="926"/>
      <c r="AX1129" s="926"/>
      <c r="AY1129" s="926"/>
      <c r="AZ1129" s="926"/>
      <c r="BA1129" s="926"/>
      <c r="BB1129" s="927"/>
    </row>
    <row r="1130" spans="1:54" x14ac:dyDescent="0.25">
      <c r="A1130" s="13">
        <f t="shared" si="17"/>
        <v>1117</v>
      </c>
      <c r="B1130" s="888" t="str">
        <f>'refer admin discharge'!B1126</f>
        <v>x</v>
      </c>
      <c r="C1130" s="888"/>
      <c r="D1130" s="868" t="str">
        <f>'refer admin discharge'!D1126</f>
        <v>xx</v>
      </c>
      <c r="E1130" s="868"/>
      <c r="F1130" s="891" t="str">
        <f>'refer admin discharge'!H1126</f>
        <v>00/00/0000</v>
      </c>
      <c r="G1130" s="892"/>
      <c r="H1130" s="894"/>
      <c r="I1130" s="894"/>
      <c r="J1130" s="918"/>
      <c r="K1130" s="918"/>
      <c r="L1130" s="894"/>
      <c r="M1130" s="894"/>
      <c r="N1130" s="916"/>
      <c r="O1130" s="916"/>
      <c r="P1130" s="894"/>
      <c r="Q1130" s="894"/>
      <c r="R1130" s="916"/>
      <c r="S1130" s="916"/>
      <c r="T1130" s="894"/>
      <c r="U1130" s="894"/>
      <c r="V1130" s="921" t="str">
        <f>'refer admin discharge'!H1131</f>
        <v>00/00/0000</v>
      </c>
      <c r="W1130" s="922"/>
      <c r="X1130" s="920"/>
      <c r="Y1130" s="920"/>
      <c r="Z1130" s="919"/>
      <c r="AA1130" s="919"/>
      <c r="AB1130" s="920"/>
      <c r="AC1130" s="920"/>
      <c r="AD1130" s="912"/>
      <c r="AE1130" s="912"/>
      <c r="AF1130" s="920"/>
      <c r="AG1130" s="920"/>
      <c r="AH1130" s="912"/>
      <c r="AI1130" s="912"/>
      <c r="AJ1130" s="920"/>
      <c r="AK1130" s="920"/>
      <c r="AL1130" s="905"/>
      <c r="AM1130" s="906"/>
      <c r="AN1130" s="906"/>
      <c r="AO1130" s="906"/>
      <c r="AP1130" s="906"/>
      <c r="AQ1130" s="906"/>
      <c r="AR1130" s="906"/>
      <c r="AS1130" s="906"/>
      <c r="AT1130" s="906"/>
      <c r="AU1130" s="906"/>
      <c r="AV1130" s="906"/>
      <c r="AW1130" s="906"/>
      <c r="AX1130" s="906"/>
      <c r="AY1130" s="906"/>
      <c r="AZ1130" s="906"/>
      <c r="BA1130" s="906"/>
      <c r="BB1130" s="907"/>
    </row>
    <row r="1131" spans="1:54" x14ac:dyDescent="0.25">
      <c r="A1131" s="13">
        <f t="shared" si="17"/>
        <v>1118</v>
      </c>
      <c r="B1131" s="914" t="str">
        <f>'refer admin discharge'!B1127</f>
        <v>x</v>
      </c>
      <c r="C1131" s="914"/>
      <c r="D1131" s="889" t="str">
        <f>'refer admin discharge'!D1127</f>
        <v>xx</v>
      </c>
      <c r="E1131" s="889"/>
      <c r="F1131" s="915" t="str">
        <f>'refer admin discharge'!H1127</f>
        <v>00/00/0000</v>
      </c>
      <c r="G1131" s="890"/>
      <c r="H1131" s="916"/>
      <c r="I1131" s="916"/>
      <c r="J1131" s="917"/>
      <c r="K1131" s="917"/>
      <c r="L1131" s="916"/>
      <c r="M1131" s="916"/>
      <c r="N1131" s="893"/>
      <c r="O1131" s="893"/>
      <c r="P1131" s="916"/>
      <c r="Q1131" s="916"/>
      <c r="R1131" s="893"/>
      <c r="S1131" s="893"/>
      <c r="T1131" s="916"/>
      <c r="U1131" s="916"/>
      <c r="V1131" s="921" t="str">
        <f>'refer admin discharge'!H1132</f>
        <v>00/00/0000</v>
      </c>
      <c r="W1131" s="922"/>
      <c r="X1131" s="912"/>
      <c r="Y1131" s="912"/>
      <c r="Z1131" s="924"/>
      <c r="AA1131" s="924"/>
      <c r="AB1131" s="912"/>
      <c r="AC1131" s="912"/>
      <c r="AD1131" s="913"/>
      <c r="AE1131" s="913"/>
      <c r="AF1131" s="912"/>
      <c r="AG1131" s="912"/>
      <c r="AH1131" s="913"/>
      <c r="AI1131" s="913"/>
      <c r="AJ1131" s="912"/>
      <c r="AK1131" s="912"/>
      <c r="AL1131" s="925"/>
      <c r="AM1131" s="926"/>
      <c r="AN1131" s="926"/>
      <c r="AO1131" s="926"/>
      <c r="AP1131" s="926"/>
      <c r="AQ1131" s="926"/>
      <c r="AR1131" s="926"/>
      <c r="AS1131" s="926"/>
      <c r="AT1131" s="926"/>
      <c r="AU1131" s="926"/>
      <c r="AV1131" s="926"/>
      <c r="AW1131" s="926"/>
      <c r="AX1131" s="926"/>
      <c r="AY1131" s="926"/>
      <c r="AZ1131" s="926"/>
      <c r="BA1131" s="926"/>
      <c r="BB1131" s="927"/>
    </row>
    <row r="1132" spans="1:54" x14ac:dyDescent="0.25">
      <c r="A1132" s="13">
        <f t="shared" si="17"/>
        <v>1119</v>
      </c>
      <c r="B1132" s="888" t="str">
        <f>'refer admin discharge'!B1128</f>
        <v>x</v>
      </c>
      <c r="C1132" s="888"/>
      <c r="D1132" s="868" t="str">
        <f>'refer admin discharge'!D1128</f>
        <v>xx</v>
      </c>
      <c r="E1132" s="868"/>
      <c r="F1132" s="891" t="str">
        <f>'refer admin discharge'!H1128</f>
        <v>00/00/0000</v>
      </c>
      <c r="G1132" s="892"/>
      <c r="H1132" s="894"/>
      <c r="I1132" s="894"/>
      <c r="J1132" s="918"/>
      <c r="K1132" s="918"/>
      <c r="L1132" s="894"/>
      <c r="M1132" s="894"/>
      <c r="N1132" s="916"/>
      <c r="O1132" s="916"/>
      <c r="P1132" s="894"/>
      <c r="Q1132" s="894"/>
      <c r="R1132" s="916"/>
      <c r="S1132" s="916"/>
      <c r="T1132" s="894"/>
      <c r="U1132" s="894"/>
      <c r="V1132" s="921" t="str">
        <f>'refer admin discharge'!H1133</f>
        <v>00/00/0000</v>
      </c>
      <c r="W1132" s="922"/>
      <c r="X1132" s="920"/>
      <c r="Y1132" s="920"/>
      <c r="Z1132" s="919"/>
      <c r="AA1132" s="919"/>
      <c r="AB1132" s="920"/>
      <c r="AC1132" s="920"/>
      <c r="AD1132" s="912"/>
      <c r="AE1132" s="912"/>
      <c r="AF1132" s="920"/>
      <c r="AG1132" s="920"/>
      <c r="AH1132" s="912"/>
      <c r="AI1132" s="912"/>
      <c r="AJ1132" s="920"/>
      <c r="AK1132" s="920"/>
      <c r="AL1132" s="905"/>
      <c r="AM1132" s="906"/>
      <c r="AN1132" s="906"/>
      <c r="AO1132" s="906"/>
      <c r="AP1132" s="906"/>
      <c r="AQ1132" s="906"/>
      <c r="AR1132" s="906"/>
      <c r="AS1132" s="906"/>
      <c r="AT1132" s="906"/>
      <c r="AU1132" s="906"/>
      <c r="AV1132" s="906"/>
      <c r="AW1132" s="906"/>
      <c r="AX1132" s="906"/>
      <c r="AY1132" s="906"/>
      <c r="AZ1132" s="906"/>
      <c r="BA1132" s="906"/>
      <c r="BB1132" s="907"/>
    </row>
    <row r="1133" spans="1:54" x14ac:dyDescent="0.25">
      <c r="A1133" s="13">
        <f t="shared" si="17"/>
        <v>1120</v>
      </c>
      <c r="B1133" s="914" t="str">
        <f>'refer admin discharge'!B1129</f>
        <v>x</v>
      </c>
      <c r="C1133" s="914"/>
      <c r="D1133" s="889" t="str">
        <f>'refer admin discharge'!D1129</f>
        <v>xx</v>
      </c>
      <c r="E1133" s="889"/>
      <c r="F1133" s="915" t="str">
        <f>'refer admin discharge'!H1129</f>
        <v>00/00/0000</v>
      </c>
      <c r="G1133" s="890"/>
      <c r="H1133" s="916"/>
      <c r="I1133" s="916"/>
      <c r="J1133" s="917"/>
      <c r="K1133" s="917"/>
      <c r="L1133" s="916"/>
      <c r="M1133" s="916"/>
      <c r="N1133" s="893"/>
      <c r="O1133" s="893"/>
      <c r="P1133" s="916"/>
      <c r="Q1133" s="916"/>
      <c r="R1133" s="893"/>
      <c r="S1133" s="893"/>
      <c r="T1133" s="916"/>
      <c r="U1133" s="916"/>
      <c r="V1133" s="921" t="str">
        <f>'refer admin discharge'!H1134</f>
        <v>00/00/0000</v>
      </c>
      <c r="W1133" s="922"/>
      <c r="X1133" s="912"/>
      <c r="Y1133" s="912"/>
      <c r="Z1133" s="924"/>
      <c r="AA1133" s="924"/>
      <c r="AB1133" s="912"/>
      <c r="AC1133" s="912"/>
      <c r="AD1133" s="913"/>
      <c r="AE1133" s="913"/>
      <c r="AF1133" s="912"/>
      <c r="AG1133" s="912"/>
      <c r="AH1133" s="913"/>
      <c r="AI1133" s="913"/>
      <c r="AJ1133" s="912"/>
      <c r="AK1133" s="912"/>
      <c r="AL1133" s="925"/>
      <c r="AM1133" s="926"/>
      <c r="AN1133" s="926"/>
      <c r="AO1133" s="926"/>
      <c r="AP1133" s="926"/>
      <c r="AQ1133" s="926"/>
      <c r="AR1133" s="926"/>
      <c r="AS1133" s="926"/>
      <c r="AT1133" s="926"/>
      <c r="AU1133" s="926"/>
      <c r="AV1133" s="926"/>
      <c r="AW1133" s="926"/>
      <c r="AX1133" s="926"/>
      <c r="AY1133" s="926"/>
      <c r="AZ1133" s="926"/>
      <c r="BA1133" s="926"/>
      <c r="BB1133" s="927"/>
    </row>
    <row r="1134" spans="1:54" x14ac:dyDescent="0.25">
      <c r="A1134" s="13">
        <f t="shared" si="17"/>
        <v>1121</v>
      </c>
      <c r="B1134" s="888" t="str">
        <f>'refer admin discharge'!B1130</f>
        <v>x</v>
      </c>
      <c r="C1134" s="888"/>
      <c r="D1134" s="868" t="str">
        <f>'refer admin discharge'!D1130</f>
        <v>xx</v>
      </c>
      <c r="E1134" s="868"/>
      <c r="F1134" s="891" t="str">
        <f>'refer admin discharge'!H1130</f>
        <v>00/00/0000</v>
      </c>
      <c r="G1134" s="892"/>
      <c r="H1134" s="894"/>
      <c r="I1134" s="894"/>
      <c r="J1134" s="918"/>
      <c r="K1134" s="918"/>
      <c r="L1134" s="894"/>
      <c r="M1134" s="894"/>
      <c r="N1134" s="916"/>
      <c r="O1134" s="916"/>
      <c r="P1134" s="894"/>
      <c r="Q1134" s="894"/>
      <c r="R1134" s="916"/>
      <c r="S1134" s="916"/>
      <c r="T1134" s="894"/>
      <c r="U1134" s="894"/>
      <c r="V1134" s="921" t="str">
        <f>'refer admin discharge'!H1135</f>
        <v>00/00/0000</v>
      </c>
      <c r="W1134" s="922"/>
      <c r="X1134" s="920"/>
      <c r="Y1134" s="920"/>
      <c r="Z1134" s="919"/>
      <c r="AA1134" s="919"/>
      <c r="AB1134" s="920"/>
      <c r="AC1134" s="920"/>
      <c r="AD1134" s="912"/>
      <c r="AE1134" s="912"/>
      <c r="AF1134" s="920"/>
      <c r="AG1134" s="920"/>
      <c r="AH1134" s="912"/>
      <c r="AI1134" s="912"/>
      <c r="AJ1134" s="920"/>
      <c r="AK1134" s="920"/>
      <c r="AL1134" s="905"/>
      <c r="AM1134" s="906"/>
      <c r="AN1134" s="906"/>
      <c r="AO1134" s="906"/>
      <c r="AP1134" s="906"/>
      <c r="AQ1134" s="906"/>
      <c r="AR1134" s="906"/>
      <c r="AS1134" s="906"/>
      <c r="AT1134" s="906"/>
      <c r="AU1134" s="906"/>
      <c r="AV1134" s="906"/>
      <c r="AW1134" s="906"/>
      <c r="AX1134" s="906"/>
      <c r="AY1134" s="906"/>
      <c r="AZ1134" s="906"/>
      <c r="BA1134" s="906"/>
      <c r="BB1134" s="907"/>
    </row>
    <row r="1135" spans="1:54" x14ac:dyDescent="0.25">
      <c r="A1135" s="13">
        <f t="shared" si="17"/>
        <v>1122</v>
      </c>
      <c r="B1135" s="914" t="str">
        <f>'refer admin discharge'!B1131</f>
        <v>x</v>
      </c>
      <c r="C1135" s="914"/>
      <c r="D1135" s="889" t="str">
        <f>'refer admin discharge'!D1131</f>
        <v>xx</v>
      </c>
      <c r="E1135" s="889"/>
      <c r="F1135" s="915" t="str">
        <f>'refer admin discharge'!H1131</f>
        <v>00/00/0000</v>
      </c>
      <c r="G1135" s="890"/>
      <c r="H1135" s="916"/>
      <c r="I1135" s="916"/>
      <c r="J1135" s="917"/>
      <c r="K1135" s="917"/>
      <c r="L1135" s="916"/>
      <c r="M1135" s="916"/>
      <c r="N1135" s="893"/>
      <c r="O1135" s="893"/>
      <c r="P1135" s="916"/>
      <c r="Q1135" s="916"/>
      <c r="R1135" s="893"/>
      <c r="S1135" s="893"/>
      <c r="T1135" s="916"/>
      <c r="U1135" s="916"/>
      <c r="V1135" s="921" t="str">
        <f>'refer admin discharge'!H1136</f>
        <v>00/00/0000</v>
      </c>
      <c r="W1135" s="922"/>
      <c r="X1135" s="912"/>
      <c r="Y1135" s="912"/>
      <c r="Z1135" s="924"/>
      <c r="AA1135" s="924"/>
      <c r="AB1135" s="912"/>
      <c r="AC1135" s="912"/>
      <c r="AD1135" s="913"/>
      <c r="AE1135" s="913"/>
      <c r="AF1135" s="912"/>
      <c r="AG1135" s="912"/>
      <c r="AH1135" s="913"/>
      <c r="AI1135" s="913"/>
      <c r="AJ1135" s="912"/>
      <c r="AK1135" s="912"/>
      <c r="AL1135" s="925"/>
      <c r="AM1135" s="926"/>
      <c r="AN1135" s="926"/>
      <c r="AO1135" s="926"/>
      <c r="AP1135" s="926"/>
      <c r="AQ1135" s="926"/>
      <c r="AR1135" s="926"/>
      <c r="AS1135" s="926"/>
      <c r="AT1135" s="926"/>
      <c r="AU1135" s="926"/>
      <c r="AV1135" s="926"/>
      <c r="AW1135" s="926"/>
      <c r="AX1135" s="926"/>
      <c r="AY1135" s="926"/>
      <c r="AZ1135" s="926"/>
      <c r="BA1135" s="926"/>
      <c r="BB1135" s="927"/>
    </row>
    <row r="1136" spans="1:54" x14ac:dyDescent="0.25">
      <c r="A1136" s="13">
        <f t="shared" si="17"/>
        <v>1123</v>
      </c>
      <c r="B1136" s="888" t="str">
        <f>'refer admin discharge'!B1132</f>
        <v>x</v>
      </c>
      <c r="C1136" s="888"/>
      <c r="D1136" s="868" t="str">
        <f>'refer admin discharge'!D1132</f>
        <v>xx</v>
      </c>
      <c r="E1136" s="868"/>
      <c r="F1136" s="891" t="str">
        <f>'refer admin discharge'!H1132</f>
        <v>00/00/0000</v>
      </c>
      <c r="G1136" s="892"/>
      <c r="H1136" s="894"/>
      <c r="I1136" s="894"/>
      <c r="J1136" s="918"/>
      <c r="K1136" s="918"/>
      <c r="L1136" s="894"/>
      <c r="M1136" s="894"/>
      <c r="N1136" s="916"/>
      <c r="O1136" s="916"/>
      <c r="P1136" s="894"/>
      <c r="Q1136" s="894"/>
      <c r="R1136" s="916"/>
      <c r="S1136" s="916"/>
      <c r="T1136" s="894"/>
      <c r="U1136" s="894"/>
      <c r="V1136" s="921" t="str">
        <f>'refer admin discharge'!H1137</f>
        <v>00/00/0000</v>
      </c>
      <c r="W1136" s="922"/>
      <c r="X1136" s="920"/>
      <c r="Y1136" s="920"/>
      <c r="Z1136" s="919"/>
      <c r="AA1136" s="919"/>
      <c r="AB1136" s="920"/>
      <c r="AC1136" s="920"/>
      <c r="AD1136" s="912"/>
      <c r="AE1136" s="912"/>
      <c r="AF1136" s="920"/>
      <c r="AG1136" s="920"/>
      <c r="AH1136" s="912"/>
      <c r="AI1136" s="912"/>
      <c r="AJ1136" s="920"/>
      <c r="AK1136" s="920"/>
      <c r="AL1136" s="905"/>
      <c r="AM1136" s="906"/>
      <c r="AN1136" s="906"/>
      <c r="AO1136" s="906"/>
      <c r="AP1136" s="906"/>
      <c r="AQ1136" s="906"/>
      <c r="AR1136" s="906"/>
      <c r="AS1136" s="906"/>
      <c r="AT1136" s="906"/>
      <c r="AU1136" s="906"/>
      <c r="AV1136" s="906"/>
      <c r="AW1136" s="906"/>
      <c r="AX1136" s="906"/>
      <c r="AY1136" s="906"/>
      <c r="AZ1136" s="906"/>
      <c r="BA1136" s="906"/>
      <c r="BB1136" s="907"/>
    </row>
    <row r="1137" spans="1:54" x14ac:dyDescent="0.25">
      <c r="A1137" s="13">
        <f t="shared" si="17"/>
        <v>1124</v>
      </c>
      <c r="B1137" s="914" t="str">
        <f>'refer admin discharge'!B1133</f>
        <v>x</v>
      </c>
      <c r="C1137" s="914"/>
      <c r="D1137" s="889" t="str">
        <f>'refer admin discharge'!D1133</f>
        <v>xx</v>
      </c>
      <c r="E1137" s="889"/>
      <c r="F1137" s="915" t="str">
        <f>'refer admin discharge'!H1133</f>
        <v>00/00/0000</v>
      </c>
      <c r="G1137" s="890"/>
      <c r="H1137" s="916"/>
      <c r="I1137" s="916"/>
      <c r="J1137" s="917"/>
      <c r="K1137" s="917"/>
      <c r="L1137" s="916"/>
      <c r="M1137" s="916"/>
      <c r="N1137" s="893"/>
      <c r="O1137" s="893"/>
      <c r="P1137" s="916"/>
      <c r="Q1137" s="916"/>
      <c r="R1137" s="893"/>
      <c r="S1137" s="893"/>
      <c r="T1137" s="916"/>
      <c r="U1137" s="916"/>
      <c r="V1137" s="921" t="str">
        <f>'refer admin discharge'!H1138</f>
        <v>00/00/0000</v>
      </c>
      <c r="W1137" s="922"/>
      <c r="X1137" s="912"/>
      <c r="Y1137" s="912"/>
      <c r="Z1137" s="924"/>
      <c r="AA1137" s="924"/>
      <c r="AB1137" s="912"/>
      <c r="AC1137" s="912"/>
      <c r="AD1137" s="913"/>
      <c r="AE1137" s="913"/>
      <c r="AF1137" s="912"/>
      <c r="AG1137" s="912"/>
      <c r="AH1137" s="913"/>
      <c r="AI1137" s="913"/>
      <c r="AJ1137" s="912"/>
      <c r="AK1137" s="912"/>
      <c r="AL1137" s="925"/>
      <c r="AM1137" s="926"/>
      <c r="AN1137" s="926"/>
      <c r="AO1137" s="926"/>
      <c r="AP1137" s="926"/>
      <c r="AQ1137" s="926"/>
      <c r="AR1137" s="926"/>
      <c r="AS1137" s="926"/>
      <c r="AT1137" s="926"/>
      <c r="AU1137" s="926"/>
      <c r="AV1137" s="926"/>
      <c r="AW1137" s="926"/>
      <c r="AX1137" s="926"/>
      <c r="AY1137" s="926"/>
      <c r="AZ1137" s="926"/>
      <c r="BA1137" s="926"/>
      <c r="BB1137" s="927"/>
    </row>
    <row r="1138" spans="1:54" x14ac:dyDescent="0.25">
      <c r="A1138" s="13">
        <f t="shared" si="17"/>
        <v>1125</v>
      </c>
      <c r="B1138" s="888" t="str">
        <f>'refer admin discharge'!B1134</f>
        <v>x</v>
      </c>
      <c r="C1138" s="888"/>
      <c r="D1138" s="868" t="str">
        <f>'refer admin discharge'!D1134</f>
        <v>xx</v>
      </c>
      <c r="E1138" s="868"/>
      <c r="F1138" s="891" t="str">
        <f>'refer admin discharge'!H1134</f>
        <v>00/00/0000</v>
      </c>
      <c r="G1138" s="892"/>
      <c r="H1138" s="894"/>
      <c r="I1138" s="894"/>
      <c r="J1138" s="918"/>
      <c r="K1138" s="918"/>
      <c r="L1138" s="894"/>
      <c r="M1138" s="894"/>
      <c r="N1138" s="916"/>
      <c r="O1138" s="916"/>
      <c r="P1138" s="894"/>
      <c r="Q1138" s="894"/>
      <c r="R1138" s="916"/>
      <c r="S1138" s="916"/>
      <c r="T1138" s="894"/>
      <c r="U1138" s="894"/>
      <c r="V1138" s="921" t="str">
        <f>'refer admin discharge'!H1139</f>
        <v>00/00/0000</v>
      </c>
      <c r="W1138" s="922"/>
      <c r="X1138" s="920"/>
      <c r="Y1138" s="920"/>
      <c r="Z1138" s="919"/>
      <c r="AA1138" s="919"/>
      <c r="AB1138" s="920"/>
      <c r="AC1138" s="920"/>
      <c r="AD1138" s="912"/>
      <c r="AE1138" s="912"/>
      <c r="AF1138" s="920"/>
      <c r="AG1138" s="920"/>
      <c r="AH1138" s="912"/>
      <c r="AI1138" s="912"/>
      <c r="AJ1138" s="920"/>
      <c r="AK1138" s="920"/>
      <c r="AL1138" s="905"/>
      <c r="AM1138" s="906"/>
      <c r="AN1138" s="906"/>
      <c r="AO1138" s="906"/>
      <c r="AP1138" s="906"/>
      <c r="AQ1138" s="906"/>
      <c r="AR1138" s="906"/>
      <c r="AS1138" s="906"/>
      <c r="AT1138" s="906"/>
      <c r="AU1138" s="906"/>
      <c r="AV1138" s="906"/>
      <c r="AW1138" s="906"/>
      <c r="AX1138" s="906"/>
      <c r="AY1138" s="906"/>
      <c r="AZ1138" s="906"/>
      <c r="BA1138" s="906"/>
      <c r="BB1138" s="907"/>
    </row>
    <row r="1139" spans="1:54" x14ac:dyDescent="0.25">
      <c r="A1139" s="13">
        <f t="shared" si="17"/>
        <v>1126</v>
      </c>
      <c r="B1139" s="914" t="str">
        <f>'refer admin discharge'!B1135</f>
        <v>x</v>
      </c>
      <c r="C1139" s="914"/>
      <c r="D1139" s="889" t="str">
        <f>'refer admin discharge'!D1135</f>
        <v>xx</v>
      </c>
      <c r="E1139" s="889"/>
      <c r="F1139" s="915" t="str">
        <f>'refer admin discharge'!H1135</f>
        <v>00/00/0000</v>
      </c>
      <c r="G1139" s="890"/>
      <c r="H1139" s="916"/>
      <c r="I1139" s="916"/>
      <c r="J1139" s="917"/>
      <c r="K1139" s="917"/>
      <c r="L1139" s="916"/>
      <c r="M1139" s="916"/>
      <c r="N1139" s="893"/>
      <c r="O1139" s="893"/>
      <c r="P1139" s="916"/>
      <c r="Q1139" s="916"/>
      <c r="R1139" s="893"/>
      <c r="S1139" s="893"/>
      <c r="T1139" s="916"/>
      <c r="U1139" s="916"/>
      <c r="V1139" s="921" t="str">
        <f>'refer admin discharge'!H1140</f>
        <v>00/00/0000</v>
      </c>
      <c r="W1139" s="922"/>
      <c r="X1139" s="912"/>
      <c r="Y1139" s="912"/>
      <c r="Z1139" s="924"/>
      <c r="AA1139" s="924"/>
      <c r="AB1139" s="912"/>
      <c r="AC1139" s="912"/>
      <c r="AD1139" s="913"/>
      <c r="AE1139" s="913"/>
      <c r="AF1139" s="912"/>
      <c r="AG1139" s="912"/>
      <c r="AH1139" s="913"/>
      <c r="AI1139" s="913"/>
      <c r="AJ1139" s="912"/>
      <c r="AK1139" s="912"/>
      <c r="AL1139" s="925"/>
      <c r="AM1139" s="926"/>
      <c r="AN1139" s="926"/>
      <c r="AO1139" s="926"/>
      <c r="AP1139" s="926"/>
      <c r="AQ1139" s="926"/>
      <c r="AR1139" s="926"/>
      <c r="AS1139" s="926"/>
      <c r="AT1139" s="926"/>
      <c r="AU1139" s="926"/>
      <c r="AV1139" s="926"/>
      <c r="AW1139" s="926"/>
      <c r="AX1139" s="926"/>
      <c r="AY1139" s="926"/>
      <c r="AZ1139" s="926"/>
      <c r="BA1139" s="926"/>
      <c r="BB1139" s="927"/>
    </row>
    <row r="1140" spans="1:54" x14ac:dyDescent="0.25">
      <c r="A1140" s="13">
        <f t="shared" si="17"/>
        <v>1127</v>
      </c>
      <c r="B1140" s="888" t="str">
        <f>'refer admin discharge'!B1136</f>
        <v>x</v>
      </c>
      <c r="C1140" s="888"/>
      <c r="D1140" s="868" t="str">
        <f>'refer admin discharge'!D1136</f>
        <v>xx</v>
      </c>
      <c r="E1140" s="868"/>
      <c r="F1140" s="891" t="str">
        <f>'refer admin discharge'!H1136</f>
        <v>00/00/0000</v>
      </c>
      <c r="G1140" s="892"/>
      <c r="H1140" s="894"/>
      <c r="I1140" s="894"/>
      <c r="J1140" s="918"/>
      <c r="K1140" s="918"/>
      <c r="L1140" s="894"/>
      <c r="M1140" s="894"/>
      <c r="N1140" s="916"/>
      <c r="O1140" s="916"/>
      <c r="P1140" s="894"/>
      <c r="Q1140" s="894"/>
      <c r="R1140" s="916"/>
      <c r="S1140" s="916"/>
      <c r="T1140" s="894"/>
      <c r="U1140" s="894"/>
      <c r="V1140" s="921" t="str">
        <f>'refer admin discharge'!H1141</f>
        <v>00/00/0000</v>
      </c>
      <c r="W1140" s="922"/>
      <c r="X1140" s="920"/>
      <c r="Y1140" s="920"/>
      <c r="Z1140" s="919"/>
      <c r="AA1140" s="919"/>
      <c r="AB1140" s="920"/>
      <c r="AC1140" s="920"/>
      <c r="AD1140" s="912"/>
      <c r="AE1140" s="912"/>
      <c r="AF1140" s="920"/>
      <c r="AG1140" s="920"/>
      <c r="AH1140" s="912"/>
      <c r="AI1140" s="912"/>
      <c r="AJ1140" s="920"/>
      <c r="AK1140" s="920"/>
      <c r="AL1140" s="905"/>
      <c r="AM1140" s="906"/>
      <c r="AN1140" s="906"/>
      <c r="AO1140" s="906"/>
      <c r="AP1140" s="906"/>
      <c r="AQ1140" s="906"/>
      <c r="AR1140" s="906"/>
      <c r="AS1140" s="906"/>
      <c r="AT1140" s="906"/>
      <c r="AU1140" s="906"/>
      <c r="AV1140" s="906"/>
      <c r="AW1140" s="906"/>
      <c r="AX1140" s="906"/>
      <c r="AY1140" s="906"/>
      <c r="AZ1140" s="906"/>
      <c r="BA1140" s="906"/>
      <c r="BB1140" s="907"/>
    </row>
    <row r="1141" spans="1:54" x14ac:dyDescent="0.25">
      <c r="A1141" s="13">
        <f t="shared" si="17"/>
        <v>1128</v>
      </c>
      <c r="B1141" s="914" t="str">
        <f>'refer admin discharge'!B1137</f>
        <v>x</v>
      </c>
      <c r="C1141" s="914"/>
      <c r="D1141" s="889" t="str">
        <f>'refer admin discharge'!D1137</f>
        <v>xx</v>
      </c>
      <c r="E1141" s="889"/>
      <c r="F1141" s="915" t="str">
        <f>'refer admin discharge'!H1137</f>
        <v>00/00/0000</v>
      </c>
      <c r="G1141" s="890"/>
      <c r="H1141" s="916"/>
      <c r="I1141" s="916"/>
      <c r="J1141" s="917"/>
      <c r="K1141" s="917"/>
      <c r="L1141" s="916"/>
      <c r="M1141" s="916"/>
      <c r="N1141" s="893"/>
      <c r="O1141" s="893"/>
      <c r="P1141" s="916"/>
      <c r="Q1141" s="916"/>
      <c r="R1141" s="893"/>
      <c r="S1141" s="893"/>
      <c r="T1141" s="916"/>
      <c r="U1141" s="916"/>
      <c r="V1141" s="921" t="str">
        <f>'refer admin discharge'!H1142</f>
        <v>00/00/0000</v>
      </c>
      <c r="W1141" s="922"/>
      <c r="X1141" s="912"/>
      <c r="Y1141" s="912"/>
      <c r="Z1141" s="924"/>
      <c r="AA1141" s="924"/>
      <c r="AB1141" s="912"/>
      <c r="AC1141" s="912"/>
      <c r="AD1141" s="913"/>
      <c r="AE1141" s="913"/>
      <c r="AF1141" s="912"/>
      <c r="AG1141" s="912"/>
      <c r="AH1141" s="913"/>
      <c r="AI1141" s="913"/>
      <c r="AJ1141" s="912"/>
      <c r="AK1141" s="912"/>
      <c r="AL1141" s="925"/>
      <c r="AM1141" s="926"/>
      <c r="AN1141" s="926"/>
      <c r="AO1141" s="926"/>
      <c r="AP1141" s="926"/>
      <c r="AQ1141" s="926"/>
      <c r="AR1141" s="926"/>
      <c r="AS1141" s="926"/>
      <c r="AT1141" s="926"/>
      <c r="AU1141" s="926"/>
      <c r="AV1141" s="926"/>
      <c r="AW1141" s="926"/>
      <c r="AX1141" s="926"/>
      <c r="AY1141" s="926"/>
      <c r="AZ1141" s="926"/>
      <c r="BA1141" s="926"/>
      <c r="BB1141" s="927"/>
    </row>
    <row r="1142" spans="1:54" x14ac:dyDescent="0.25">
      <c r="A1142" s="13">
        <f t="shared" si="17"/>
        <v>1129</v>
      </c>
      <c r="B1142" s="888" t="str">
        <f>'refer admin discharge'!B1138</f>
        <v>x</v>
      </c>
      <c r="C1142" s="888"/>
      <c r="D1142" s="868" t="str">
        <f>'refer admin discharge'!D1138</f>
        <v>xx</v>
      </c>
      <c r="E1142" s="868"/>
      <c r="F1142" s="891" t="str">
        <f>'refer admin discharge'!H1138</f>
        <v>00/00/0000</v>
      </c>
      <c r="G1142" s="892"/>
      <c r="H1142" s="894"/>
      <c r="I1142" s="894"/>
      <c r="J1142" s="918"/>
      <c r="K1142" s="918"/>
      <c r="L1142" s="894"/>
      <c r="M1142" s="894"/>
      <c r="N1142" s="916"/>
      <c r="O1142" s="916"/>
      <c r="P1142" s="894"/>
      <c r="Q1142" s="894"/>
      <c r="R1142" s="916"/>
      <c r="S1142" s="916"/>
      <c r="T1142" s="894"/>
      <c r="U1142" s="894"/>
      <c r="V1142" s="921" t="str">
        <f>'refer admin discharge'!H1143</f>
        <v>00/00/0000</v>
      </c>
      <c r="W1142" s="922"/>
      <c r="X1142" s="920"/>
      <c r="Y1142" s="920"/>
      <c r="Z1142" s="919"/>
      <c r="AA1142" s="919"/>
      <c r="AB1142" s="920"/>
      <c r="AC1142" s="920"/>
      <c r="AD1142" s="912"/>
      <c r="AE1142" s="912"/>
      <c r="AF1142" s="920"/>
      <c r="AG1142" s="920"/>
      <c r="AH1142" s="912"/>
      <c r="AI1142" s="912"/>
      <c r="AJ1142" s="920"/>
      <c r="AK1142" s="920"/>
      <c r="AL1142" s="905"/>
      <c r="AM1142" s="906"/>
      <c r="AN1142" s="906"/>
      <c r="AO1142" s="906"/>
      <c r="AP1142" s="906"/>
      <c r="AQ1142" s="906"/>
      <c r="AR1142" s="906"/>
      <c r="AS1142" s="906"/>
      <c r="AT1142" s="906"/>
      <c r="AU1142" s="906"/>
      <c r="AV1142" s="906"/>
      <c r="AW1142" s="906"/>
      <c r="AX1142" s="906"/>
      <c r="AY1142" s="906"/>
      <c r="AZ1142" s="906"/>
      <c r="BA1142" s="906"/>
      <c r="BB1142" s="907"/>
    </row>
    <row r="1143" spans="1:54" x14ac:dyDescent="0.25">
      <c r="A1143" s="13">
        <f t="shared" si="17"/>
        <v>1130</v>
      </c>
      <c r="B1143" s="914" t="str">
        <f>'refer admin discharge'!B1139</f>
        <v>x</v>
      </c>
      <c r="C1143" s="914"/>
      <c r="D1143" s="889" t="str">
        <f>'refer admin discharge'!D1139</f>
        <v>xx</v>
      </c>
      <c r="E1143" s="889"/>
      <c r="F1143" s="915" t="str">
        <f>'refer admin discharge'!H1139</f>
        <v>00/00/0000</v>
      </c>
      <c r="G1143" s="890"/>
      <c r="H1143" s="916"/>
      <c r="I1143" s="916"/>
      <c r="J1143" s="917"/>
      <c r="K1143" s="917"/>
      <c r="L1143" s="916"/>
      <c r="M1143" s="916"/>
      <c r="N1143" s="893"/>
      <c r="O1143" s="893"/>
      <c r="P1143" s="916"/>
      <c r="Q1143" s="916"/>
      <c r="R1143" s="893"/>
      <c r="S1143" s="893"/>
      <c r="T1143" s="916"/>
      <c r="U1143" s="916"/>
      <c r="V1143" s="921" t="str">
        <f>'refer admin discharge'!H1144</f>
        <v>00/00/0000</v>
      </c>
      <c r="W1143" s="922"/>
      <c r="X1143" s="912"/>
      <c r="Y1143" s="912"/>
      <c r="Z1143" s="924"/>
      <c r="AA1143" s="924"/>
      <c r="AB1143" s="912"/>
      <c r="AC1143" s="912"/>
      <c r="AD1143" s="913"/>
      <c r="AE1143" s="913"/>
      <c r="AF1143" s="912"/>
      <c r="AG1143" s="912"/>
      <c r="AH1143" s="913"/>
      <c r="AI1143" s="913"/>
      <c r="AJ1143" s="912"/>
      <c r="AK1143" s="912"/>
      <c r="AL1143" s="925"/>
      <c r="AM1143" s="926"/>
      <c r="AN1143" s="926"/>
      <c r="AO1143" s="926"/>
      <c r="AP1143" s="926"/>
      <c r="AQ1143" s="926"/>
      <c r="AR1143" s="926"/>
      <c r="AS1143" s="926"/>
      <c r="AT1143" s="926"/>
      <c r="AU1143" s="926"/>
      <c r="AV1143" s="926"/>
      <c r="AW1143" s="926"/>
      <c r="AX1143" s="926"/>
      <c r="AY1143" s="926"/>
      <c r="AZ1143" s="926"/>
      <c r="BA1143" s="926"/>
      <c r="BB1143" s="927"/>
    </row>
    <row r="1144" spans="1:54" x14ac:dyDescent="0.25">
      <c r="A1144" s="13">
        <f t="shared" si="17"/>
        <v>1131</v>
      </c>
      <c r="B1144" s="888" t="str">
        <f>'refer admin discharge'!B1140</f>
        <v>x</v>
      </c>
      <c r="C1144" s="888"/>
      <c r="D1144" s="868" t="str">
        <f>'refer admin discharge'!D1140</f>
        <v>xx</v>
      </c>
      <c r="E1144" s="868"/>
      <c r="F1144" s="891" t="str">
        <f>'refer admin discharge'!H1140</f>
        <v>00/00/0000</v>
      </c>
      <c r="G1144" s="892"/>
      <c r="H1144" s="894"/>
      <c r="I1144" s="894"/>
      <c r="J1144" s="918"/>
      <c r="K1144" s="918"/>
      <c r="L1144" s="894"/>
      <c r="M1144" s="894"/>
      <c r="N1144" s="916"/>
      <c r="O1144" s="916"/>
      <c r="P1144" s="894"/>
      <c r="Q1144" s="894"/>
      <c r="R1144" s="916"/>
      <c r="S1144" s="916"/>
      <c r="T1144" s="894"/>
      <c r="U1144" s="894"/>
      <c r="V1144" s="921" t="str">
        <f>'refer admin discharge'!H1145</f>
        <v>00/00/0000</v>
      </c>
      <c r="W1144" s="922"/>
      <c r="X1144" s="920"/>
      <c r="Y1144" s="920"/>
      <c r="Z1144" s="919"/>
      <c r="AA1144" s="919"/>
      <c r="AB1144" s="920"/>
      <c r="AC1144" s="920"/>
      <c r="AD1144" s="912"/>
      <c r="AE1144" s="912"/>
      <c r="AF1144" s="920"/>
      <c r="AG1144" s="920"/>
      <c r="AH1144" s="912"/>
      <c r="AI1144" s="912"/>
      <c r="AJ1144" s="920"/>
      <c r="AK1144" s="920"/>
      <c r="AL1144" s="905"/>
      <c r="AM1144" s="906"/>
      <c r="AN1144" s="906"/>
      <c r="AO1144" s="906"/>
      <c r="AP1144" s="906"/>
      <c r="AQ1144" s="906"/>
      <c r="AR1144" s="906"/>
      <c r="AS1144" s="906"/>
      <c r="AT1144" s="906"/>
      <c r="AU1144" s="906"/>
      <c r="AV1144" s="906"/>
      <c r="AW1144" s="906"/>
      <c r="AX1144" s="906"/>
      <c r="AY1144" s="906"/>
      <c r="AZ1144" s="906"/>
      <c r="BA1144" s="906"/>
      <c r="BB1144" s="907"/>
    </row>
    <row r="1145" spans="1:54" x14ac:dyDescent="0.25">
      <c r="A1145" s="13">
        <f t="shared" si="17"/>
        <v>1132</v>
      </c>
      <c r="B1145" s="914" t="str">
        <f>'refer admin discharge'!B1141</f>
        <v>x</v>
      </c>
      <c r="C1145" s="914"/>
      <c r="D1145" s="889" t="str">
        <f>'refer admin discharge'!D1141</f>
        <v>xx</v>
      </c>
      <c r="E1145" s="889"/>
      <c r="F1145" s="915" t="str">
        <f>'refer admin discharge'!H1141</f>
        <v>00/00/0000</v>
      </c>
      <c r="G1145" s="890"/>
      <c r="H1145" s="916"/>
      <c r="I1145" s="916"/>
      <c r="J1145" s="917"/>
      <c r="K1145" s="917"/>
      <c r="L1145" s="916"/>
      <c r="M1145" s="916"/>
      <c r="N1145" s="893"/>
      <c r="O1145" s="893"/>
      <c r="P1145" s="916"/>
      <c r="Q1145" s="916"/>
      <c r="R1145" s="893"/>
      <c r="S1145" s="893"/>
      <c r="T1145" s="916"/>
      <c r="U1145" s="916"/>
      <c r="V1145" s="921" t="str">
        <f>'refer admin discharge'!H1146</f>
        <v>00/00/0000</v>
      </c>
      <c r="W1145" s="922"/>
      <c r="X1145" s="912"/>
      <c r="Y1145" s="912"/>
      <c r="Z1145" s="924"/>
      <c r="AA1145" s="924"/>
      <c r="AB1145" s="912"/>
      <c r="AC1145" s="912"/>
      <c r="AD1145" s="913"/>
      <c r="AE1145" s="913"/>
      <c r="AF1145" s="912"/>
      <c r="AG1145" s="912"/>
      <c r="AH1145" s="913"/>
      <c r="AI1145" s="913"/>
      <c r="AJ1145" s="912"/>
      <c r="AK1145" s="912"/>
      <c r="AL1145" s="925"/>
      <c r="AM1145" s="926"/>
      <c r="AN1145" s="926"/>
      <c r="AO1145" s="926"/>
      <c r="AP1145" s="926"/>
      <c r="AQ1145" s="926"/>
      <c r="AR1145" s="926"/>
      <c r="AS1145" s="926"/>
      <c r="AT1145" s="926"/>
      <c r="AU1145" s="926"/>
      <c r="AV1145" s="926"/>
      <c r="AW1145" s="926"/>
      <c r="AX1145" s="926"/>
      <c r="AY1145" s="926"/>
      <c r="AZ1145" s="926"/>
      <c r="BA1145" s="926"/>
      <c r="BB1145" s="927"/>
    </row>
    <row r="1146" spans="1:54" x14ac:dyDescent="0.25">
      <c r="A1146" s="13">
        <f t="shared" si="17"/>
        <v>1133</v>
      </c>
      <c r="B1146" s="888" t="str">
        <f>'refer admin discharge'!B1142</f>
        <v>x</v>
      </c>
      <c r="C1146" s="888"/>
      <c r="D1146" s="868" t="str">
        <f>'refer admin discharge'!D1142</f>
        <v>xx</v>
      </c>
      <c r="E1146" s="868"/>
      <c r="F1146" s="891" t="str">
        <f>'refer admin discharge'!H1142</f>
        <v>00/00/0000</v>
      </c>
      <c r="G1146" s="892"/>
      <c r="H1146" s="894"/>
      <c r="I1146" s="894"/>
      <c r="J1146" s="918"/>
      <c r="K1146" s="918"/>
      <c r="L1146" s="894"/>
      <c r="M1146" s="894"/>
      <c r="N1146" s="916"/>
      <c r="O1146" s="916"/>
      <c r="P1146" s="894"/>
      <c r="Q1146" s="894"/>
      <c r="R1146" s="916"/>
      <c r="S1146" s="916"/>
      <c r="T1146" s="894"/>
      <c r="U1146" s="894"/>
      <c r="V1146" s="921" t="str">
        <f>'refer admin discharge'!H1147</f>
        <v>00/00/0000</v>
      </c>
      <c r="W1146" s="922"/>
      <c r="X1146" s="920"/>
      <c r="Y1146" s="920"/>
      <c r="Z1146" s="919"/>
      <c r="AA1146" s="919"/>
      <c r="AB1146" s="920"/>
      <c r="AC1146" s="920"/>
      <c r="AD1146" s="912"/>
      <c r="AE1146" s="912"/>
      <c r="AF1146" s="920"/>
      <c r="AG1146" s="920"/>
      <c r="AH1146" s="912"/>
      <c r="AI1146" s="912"/>
      <c r="AJ1146" s="920"/>
      <c r="AK1146" s="920"/>
      <c r="AL1146" s="905"/>
      <c r="AM1146" s="906"/>
      <c r="AN1146" s="906"/>
      <c r="AO1146" s="906"/>
      <c r="AP1146" s="906"/>
      <c r="AQ1146" s="906"/>
      <c r="AR1146" s="906"/>
      <c r="AS1146" s="906"/>
      <c r="AT1146" s="906"/>
      <c r="AU1146" s="906"/>
      <c r="AV1146" s="906"/>
      <c r="AW1146" s="906"/>
      <c r="AX1146" s="906"/>
      <c r="AY1146" s="906"/>
      <c r="AZ1146" s="906"/>
      <c r="BA1146" s="906"/>
      <c r="BB1146" s="907"/>
    </row>
    <row r="1147" spans="1:54" x14ac:dyDescent="0.25">
      <c r="A1147" s="13">
        <f t="shared" si="17"/>
        <v>1134</v>
      </c>
      <c r="B1147" s="914" t="str">
        <f>'refer admin discharge'!B1143</f>
        <v>x</v>
      </c>
      <c r="C1147" s="914"/>
      <c r="D1147" s="889" t="str">
        <f>'refer admin discharge'!D1143</f>
        <v>xx</v>
      </c>
      <c r="E1147" s="889"/>
      <c r="F1147" s="915" t="str">
        <f>'refer admin discharge'!H1143</f>
        <v>00/00/0000</v>
      </c>
      <c r="G1147" s="890"/>
      <c r="H1147" s="916"/>
      <c r="I1147" s="916"/>
      <c r="J1147" s="917"/>
      <c r="K1147" s="917"/>
      <c r="L1147" s="916"/>
      <c r="M1147" s="916"/>
      <c r="N1147" s="893"/>
      <c r="O1147" s="893"/>
      <c r="P1147" s="916"/>
      <c r="Q1147" s="916"/>
      <c r="R1147" s="893"/>
      <c r="S1147" s="893"/>
      <c r="T1147" s="916"/>
      <c r="U1147" s="916"/>
      <c r="V1147" s="921" t="str">
        <f>'refer admin discharge'!H1148</f>
        <v>00/00/0000</v>
      </c>
      <c r="W1147" s="922"/>
      <c r="X1147" s="912"/>
      <c r="Y1147" s="912"/>
      <c r="Z1147" s="924"/>
      <c r="AA1147" s="924"/>
      <c r="AB1147" s="912"/>
      <c r="AC1147" s="912"/>
      <c r="AD1147" s="913"/>
      <c r="AE1147" s="913"/>
      <c r="AF1147" s="912"/>
      <c r="AG1147" s="912"/>
      <c r="AH1147" s="913"/>
      <c r="AI1147" s="913"/>
      <c r="AJ1147" s="912"/>
      <c r="AK1147" s="912"/>
      <c r="AL1147" s="925"/>
      <c r="AM1147" s="926"/>
      <c r="AN1147" s="926"/>
      <c r="AO1147" s="926"/>
      <c r="AP1147" s="926"/>
      <c r="AQ1147" s="926"/>
      <c r="AR1147" s="926"/>
      <c r="AS1147" s="926"/>
      <c r="AT1147" s="926"/>
      <c r="AU1147" s="926"/>
      <c r="AV1147" s="926"/>
      <c r="AW1147" s="926"/>
      <c r="AX1147" s="926"/>
      <c r="AY1147" s="926"/>
      <c r="AZ1147" s="926"/>
      <c r="BA1147" s="926"/>
      <c r="BB1147" s="927"/>
    </row>
    <row r="1148" spans="1:54" x14ac:dyDescent="0.25">
      <c r="A1148" s="13">
        <f t="shared" si="17"/>
        <v>1135</v>
      </c>
      <c r="B1148" s="888" t="str">
        <f>'refer admin discharge'!B1144</f>
        <v>x</v>
      </c>
      <c r="C1148" s="888"/>
      <c r="D1148" s="868" t="str">
        <f>'refer admin discharge'!D1144</f>
        <v>xx</v>
      </c>
      <c r="E1148" s="868"/>
      <c r="F1148" s="891" t="str">
        <f>'refer admin discharge'!H1144</f>
        <v>00/00/0000</v>
      </c>
      <c r="G1148" s="892"/>
      <c r="H1148" s="894"/>
      <c r="I1148" s="894"/>
      <c r="J1148" s="918"/>
      <c r="K1148" s="918"/>
      <c r="L1148" s="894"/>
      <c r="M1148" s="894"/>
      <c r="N1148" s="916"/>
      <c r="O1148" s="916"/>
      <c r="P1148" s="894"/>
      <c r="Q1148" s="894"/>
      <c r="R1148" s="916"/>
      <c r="S1148" s="916"/>
      <c r="T1148" s="894"/>
      <c r="U1148" s="894"/>
      <c r="V1148" s="921" t="str">
        <f>'refer admin discharge'!H1149</f>
        <v>00/00/0000</v>
      </c>
      <c r="W1148" s="922"/>
      <c r="X1148" s="920"/>
      <c r="Y1148" s="920"/>
      <c r="Z1148" s="919"/>
      <c r="AA1148" s="919"/>
      <c r="AB1148" s="920"/>
      <c r="AC1148" s="920"/>
      <c r="AD1148" s="912"/>
      <c r="AE1148" s="912"/>
      <c r="AF1148" s="920"/>
      <c r="AG1148" s="920"/>
      <c r="AH1148" s="912"/>
      <c r="AI1148" s="912"/>
      <c r="AJ1148" s="920"/>
      <c r="AK1148" s="920"/>
      <c r="AL1148" s="905"/>
      <c r="AM1148" s="906"/>
      <c r="AN1148" s="906"/>
      <c r="AO1148" s="906"/>
      <c r="AP1148" s="906"/>
      <c r="AQ1148" s="906"/>
      <c r="AR1148" s="906"/>
      <c r="AS1148" s="906"/>
      <c r="AT1148" s="906"/>
      <c r="AU1148" s="906"/>
      <c r="AV1148" s="906"/>
      <c r="AW1148" s="906"/>
      <c r="AX1148" s="906"/>
      <c r="AY1148" s="906"/>
      <c r="AZ1148" s="906"/>
      <c r="BA1148" s="906"/>
      <c r="BB1148" s="907"/>
    </row>
    <row r="1149" spans="1:54" x14ac:dyDescent="0.25">
      <c r="A1149" s="13">
        <f t="shared" si="17"/>
        <v>1136</v>
      </c>
      <c r="B1149" s="914" t="str">
        <f>'refer admin discharge'!B1145</f>
        <v>x</v>
      </c>
      <c r="C1149" s="914"/>
      <c r="D1149" s="889" t="str">
        <f>'refer admin discharge'!D1145</f>
        <v>xx</v>
      </c>
      <c r="E1149" s="889"/>
      <c r="F1149" s="915" t="str">
        <f>'refer admin discharge'!H1145</f>
        <v>00/00/0000</v>
      </c>
      <c r="G1149" s="890"/>
      <c r="H1149" s="916"/>
      <c r="I1149" s="916"/>
      <c r="J1149" s="917"/>
      <c r="K1149" s="917"/>
      <c r="L1149" s="916"/>
      <c r="M1149" s="916"/>
      <c r="N1149" s="893"/>
      <c r="O1149" s="893"/>
      <c r="P1149" s="916"/>
      <c r="Q1149" s="916"/>
      <c r="R1149" s="893"/>
      <c r="S1149" s="893"/>
      <c r="T1149" s="916"/>
      <c r="U1149" s="916"/>
      <c r="V1149" s="921" t="str">
        <f>'refer admin discharge'!H1150</f>
        <v>00/00/0000</v>
      </c>
      <c r="W1149" s="922"/>
      <c r="X1149" s="912"/>
      <c r="Y1149" s="912"/>
      <c r="Z1149" s="924"/>
      <c r="AA1149" s="924"/>
      <c r="AB1149" s="912"/>
      <c r="AC1149" s="912"/>
      <c r="AD1149" s="913"/>
      <c r="AE1149" s="913"/>
      <c r="AF1149" s="912"/>
      <c r="AG1149" s="912"/>
      <c r="AH1149" s="913"/>
      <c r="AI1149" s="913"/>
      <c r="AJ1149" s="912"/>
      <c r="AK1149" s="912"/>
      <c r="AL1149" s="925"/>
      <c r="AM1149" s="926"/>
      <c r="AN1149" s="926"/>
      <c r="AO1149" s="926"/>
      <c r="AP1149" s="926"/>
      <c r="AQ1149" s="926"/>
      <c r="AR1149" s="926"/>
      <c r="AS1149" s="926"/>
      <c r="AT1149" s="926"/>
      <c r="AU1149" s="926"/>
      <c r="AV1149" s="926"/>
      <c r="AW1149" s="926"/>
      <c r="AX1149" s="926"/>
      <c r="AY1149" s="926"/>
      <c r="AZ1149" s="926"/>
      <c r="BA1149" s="926"/>
      <c r="BB1149" s="927"/>
    </row>
    <row r="1150" spans="1:54" x14ac:dyDescent="0.25">
      <c r="A1150" s="13">
        <f t="shared" si="17"/>
        <v>1137</v>
      </c>
      <c r="B1150" s="888" t="str">
        <f>'refer admin discharge'!B1146</f>
        <v>x</v>
      </c>
      <c r="C1150" s="888"/>
      <c r="D1150" s="868" t="str">
        <f>'refer admin discharge'!D1146</f>
        <v>xx</v>
      </c>
      <c r="E1150" s="868"/>
      <c r="F1150" s="891" t="str">
        <f>'refer admin discharge'!H1146</f>
        <v>00/00/0000</v>
      </c>
      <c r="G1150" s="892"/>
      <c r="H1150" s="894"/>
      <c r="I1150" s="894"/>
      <c r="J1150" s="918"/>
      <c r="K1150" s="918"/>
      <c r="L1150" s="894"/>
      <c r="M1150" s="894"/>
      <c r="N1150" s="916"/>
      <c r="O1150" s="916"/>
      <c r="P1150" s="894"/>
      <c r="Q1150" s="894"/>
      <c r="R1150" s="916"/>
      <c r="S1150" s="916"/>
      <c r="T1150" s="894"/>
      <c r="U1150" s="894"/>
      <c r="V1150" s="921" t="str">
        <f>'refer admin discharge'!H1151</f>
        <v>00/00/0000</v>
      </c>
      <c r="W1150" s="922"/>
      <c r="X1150" s="920"/>
      <c r="Y1150" s="920"/>
      <c r="Z1150" s="919"/>
      <c r="AA1150" s="919"/>
      <c r="AB1150" s="920"/>
      <c r="AC1150" s="920"/>
      <c r="AD1150" s="912"/>
      <c r="AE1150" s="912"/>
      <c r="AF1150" s="920"/>
      <c r="AG1150" s="920"/>
      <c r="AH1150" s="912"/>
      <c r="AI1150" s="912"/>
      <c r="AJ1150" s="920"/>
      <c r="AK1150" s="920"/>
      <c r="AL1150" s="905"/>
      <c r="AM1150" s="906"/>
      <c r="AN1150" s="906"/>
      <c r="AO1150" s="906"/>
      <c r="AP1150" s="906"/>
      <c r="AQ1150" s="906"/>
      <c r="AR1150" s="906"/>
      <c r="AS1150" s="906"/>
      <c r="AT1150" s="906"/>
      <c r="AU1150" s="906"/>
      <c r="AV1150" s="906"/>
      <c r="AW1150" s="906"/>
      <c r="AX1150" s="906"/>
      <c r="AY1150" s="906"/>
      <c r="AZ1150" s="906"/>
      <c r="BA1150" s="906"/>
      <c r="BB1150" s="907"/>
    </row>
    <row r="1151" spans="1:54" x14ac:dyDescent="0.25">
      <c r="A1151" s="13">
        <f t="shared" si="17"/>
        <v>1138</v>
      </c>
      <c r="B1151" s="914" t="str">
        <f>'refer admin discharge'!B1147</f>
        <v>x</v>
      </c>
      <c r="C1151" s="914"/>
      <c r="D1151" s="889" t="str">
        <f>'refer admin discharge'!D1147</f>
        <v>xx</v>
      </c>
      <c r="E1151" s="889"/>
      <c r="F1151" s="915" t="str">
        <f>'refer admin discharge'!H1147</f>
        <v>00/00/0000</v>
      </c>
      <c r="G1151" s="890"/>
      <c r="H1151" s="916"/>
      <c r="I1151" s="916"/>
      <c r="J1151" s="917"/>
      <c r="K1151" s="917"/>
      <c r="L1151" s="916"/>
      <c r="M1151" s="916"/>
      <c r="N1151" s="893"/>
      <c r="O1151" s="893"/>
      <c r="P1151" s="916"/>
      <c r="Q1151" s="916"/>
      <c r="R1151" s="893"/>
      <c r="S1151" s="893"/>
      <c r="T1151" s="916"/>
      <c r="U1151" s="916"/>
      <c r="V1151" s="921" t="str">
        <f>'refer admin discharge'!H1152</f>
        <v>00/00/0000</v>
      </c>
      <c r="W1151" s="922"/>
      <c r="X1151" s="912"/>
      <c r="Y1151" s="912"/>
      <c r="Z1151" s="924"/>
      <c r="AA1151" s="924"/>
      <c r="AB1151" s="912"/>
      <c r="AC1151" s="912"/>
      <c r="AD1151" s="913"/>
      <c r="AE1151" s="913"/>
      <c r="AF1151" s="912"/>
      <c r="AG1151" s="912"/>
      <c r="AH1151" s="913"/>
      <c r="AI1151" s="913"/>
      <c r="AJ1151" s="912"/>
      <c r="AK1151" s="912"/>
      <c r="AL1151" s="925"/>
      <c r="AM1151" s="926"/>
      <c r="AN1151" s="926"/>
      <c r="AO1151" s="926"/>
      <c r="AP1151" s="926"/>
      <c r="AQ1151" s="926"/>
      <c r="AR1151" s="926"/>
      <c r="AS1151" s="926"/>
      <c r="AT1151" s="926"/>
      <c r="AU1151" s="926"/>
      <c r="AV1151" s="926"/>
      <c r="AW1151" s="926"/>
      <c r="AX1151" s="926"/>
      <c r="AY1151" s="926"/>
      <c r="AZ1151" s="926"/>
      <c r="BA1151" s="926"/>
      <c r="BB1151" s="927"/>
    </row>
    <row r="1152" spans="1:54" x14ac:dyDescent="0.25">
      <c r="A1152" s="13">
        <f t="shared" si="17"/>
        <v>1139</v>
      </c>
      <c r="B1152" s="888" t="str">
        <f>'refer admin discharge'!B1148</f>
        <v>x</v>
      </c>
      <c r="C1152" s="888"/>
      <c r="D1152" s="868" t="str">
        <f>'refer admin discharge'!D1148</f>
        <v>xx</v>
      </c>
      <c r="E1152" s="868"/>
      <c r="F1152" s="891" t="str">
        <f>'refer admin discharge'!H1148</f>
        <v>00/00/0000</v>
      </c>
      <c r="G1152" s="892"/>
      <c r="H1152" s="894"/>
      <c r="I1152" s="894"/>
      <c r="J1152" s="918"/>
      <c r="K1152" s="918"/>
      <c r="L1152" s="894"/>
      <c r="M1152" s="894"/>
      <c r="N1152" s="916"/>
      <c r="O1152" s="916"/>
      <c r="P1152" s="894"/>
      <c r="Q1152" s="894"/>
      <c r="R1152" s="916"/>
      <c r="S1152" s="916"/>
      <c r="T1152" s="894"/>
      <c r="U1152" s="894"/>
      <c r="V1152" s="921" t="str">
        <f>'refer admin discharge'!H1153</f>
        <v>00/00/0000</v>
      </c>
      <c r="W1152" s="922"/>
      <c r="X1152" s="920"/>
      <c r="Y1152" s="920"/>
      <c r="Z1152" s="919"/>
      <c r="AA1152" s="919"/>
      <c r="AB1152" s="920"/>
      <c r="AC1152" s="920"/>
      <c r="AD1152" s="912"/>
      <c r="AE1152" s="912"/>
      <c r="AF1152" s="920"/>
      <c r="AG1152" s="920"/>
      <c r="AH1152" s="912"/>
      <c r="AI1152" s="912"/>
      <c r="AJ1152" s="920"/>
      <c r="AK1152" s="920"/>
      <c r="AL1152" s="905"/>
      <c r="AM1152" s="906"/>
      <c r="AN1152" s="906"/>
      <c r="AO1152" s="906"/>
      <c r="AP1152" s="906"/>
      <c r="AQ1152" s="906"/>
      <c r="AR1152" s="906"/>
      <c r="AS1152" s="906"/>
      <c r="AT1152" s="906"/>
      <c r="AU1152" s="906"/>
      <c r="AV1152" s="906"/>
      <c r="AW1152" s="906"/>
      <c r="AX1152" s="906"/>
      <c r="AY1152" s="906"/>
      <c r="AZ1152" s="906"/>
      <c r="BA1152" s="906"/>
      <c r="BB1152" s="907"/>
    </row>
    <row r="1153" spans="1:54" x14ac:dyDescent="0.25">
      <c r="A1153" s="13">
        <f t="shared" si="17"/>
        <v>1140</v>
      </c>
      <c r="B1153" s="914" t="str">
        <f>'refer admin discharge'!B1149</f>
        <v>x</v>
      </c>
      <c r="C1153" s="914"/>
      <c r="D1153" s="889" t="str">
        <f>'refer admin discharge'!D1149</f>
        <v>xx</v>
      </c>
      <c r="E1153" s="889"/>
      <c r="F1153" s="915" t="str">
        <f>'refer admin discharge'!H1149</f>
        <v>00/00/0000</v>
      </c>
      <c r="G1153" s="890"/>
      <c r="H1153" s="916"/>
      <c r="I1153" s="916"/>
      <c r="J1153" s="917"/>
      <c r="K1153" s="917"/>
      <c r="L1153" s="916"/>
      <c r="M1153" s="916"/>
      <c r="N1153" s="893"/>
      <c r="O1153" s="893"/>
      <c r="P1153" s="916"/>
      <c r="Q1153" s="916"/>
      <c r="R1153" s="893"/>
      <c r="S1153" s="893"/>
      <c r="T1153" s="916"/>
      <c r="U1153" s="916"/>
      <c r="V1153" s="921" t="str">
        <f>'refer admin discharge'!H1154</f>
        <v>00/00/0000</v>
      </c>
      <c r="W1153" s="922"/>
      <c r="X1153" s="912"/>
      <c r="Y1153" s="912"/>
      <c r="Z1153" s="924"/>
      <c r="AA1153" s="924"/>
      <c r="AB1153" s="912"/>
      <c r="AC1153" s="912"/>
      <c r="AD1153" s="913"/>
      <c r="AE1153" s="913"/>
      <c r="AF1153" s="912"/>
      <c r="AG1153" s="912"/>
      <c r="AH1153" s="913"/>
      <c r="AI1153" s="913"/>
      <c r="AJ1153" s="912"/>
      <c r="AK1153" s="912"/>
      <c r="AL1153" s="925"/>
      <c r="AM1153" s="926"/>
      <c r="AN1153" s="926"/>
      <c r="AO1153" s="926"/>
      <c r="AP1153" s="926"/>
      <c r="AQ1153" s="926"/>
      <c r="AR1153" s="926"/>
      <c r="AS1153" s="926"/>
      <c r="AT1153" s="926"/>
      <c r="AU1153" s="926"/>
      <c r="AV1153" s="926"/>
      <c r="AW1153" s="926"/>
      <c r="AX1153" s="926"/>
      <c r="AY1153" s="926"/>
      <c r="AZ1153" s="926"/>
      <c r="BA1153" s="926"/>
      <c r="BB1153" s="927"/>
    </row>
    <row r="1154" spans="1:54" x14ac:dyDescent="0.25">
      <c r="A1154" s="13">
        <f t="shared" si="17"/>
        <v>1141</v>
      </c>
      <c r="B1154" s="888" t="str">
        <f>'refer admin discharge'!B1150</f>
        <v>x</v>
      </c>
      <c r="C1154" s="888"/>
      <c r="D1154" s="868" t="str">
        <f>'refer admin discharge'!D1150</f>
        <v>xx</v>
      </c>
      <c r="E1154" s="868"/>
      <c r="F1154" s="891" t="str">
        <f>'refer admin discharge'!H1150</f>
        <v>00/00/0000</v>
      </c>
      <c r="G1154" s="892"/>
      <c r="H1154" s="894"/>
      <c r="I1154" s="894"/>
      <c r="J1154" s="918"/>
      <c r="K1154" s="918"/>
      <c r="L1154" s="894"/>
      <c r="M1154" s="894"/>
      <c r="N1154" s="916"/>
      <c r="O1154" s="916"/>
      <c r="P1154" s="894"/>
      <c r="Q1154" s="894"/>
      <c r="R1154" s="916"/>
      <c r="S1154" s="916"/>
      <c r="T1154" s="894"/>
      <c r="U1154" s="894"/>
      <c r="V1154" s="921" t="str">
        <f>'refer admin discharge'!H1155</f>
        <v>00/00/0000</v>
      </c>
      <c r="W1154" s="922"/>
      <c r="X1154" s="920"/>
      <c r="Y1154" s="920"/>
      <c r="Z1154" s="919"/>
      <c r="AA1154" s="919"/>
      <c r="AB1154" s="920"/>
      <c r="AC1154" s="920"/>
      <c r="AD1154" s="912"/>
      <c r="AE1154" s="912"/>
      <c r="AF1154" s="920"/>
      <c r="AG1154" s="920"/>
      <c r="AH1154" s="912"/>
      <c r="AI1154" s="912"/>
      <c r="AJ1154" s="920"/>
      <c r="AK1154" s="920"/>
      <c r="AL1154" s="905"/>
      <c r="AM1154" s="906"/>
      <c r="AN1154" s="906"/>
      <c r="AO1154" s="906"/>
      <c r="AP1154" s="906"/>
      <c r="AQ1154" s="906"/>
      <c r="AR1154" s="906"/>
      <c r="AS1154" s="906"/>
      <c r="AT1154" s="906"/>
      <c r="AU1154" s="906"/>
      <c r="AV1154" s="906"/>
      <c r="AW1154" s="906"/>
      <c r="AX1154" s="906"/>
      <c r="AY1154" s="906"/>
      <c r="AZ1154" s="906"/>
      <c r="BA1154" s="906"/>
      <c r="BB1154" s="907"/>
    </row>
    <row r="1155" spans="1:54" x14ac:dyDescent="0.25">
      <c r="A1155" s="13">
        <f t="shared" si="17"/>
        <v>1142</v>
      </c>
      <c r="B1155" s="914" t="str">
        <f>'refer admin discharge'!B1151</f>
        <v>x</v>
      </c>
      <c r="C1155" s="914"/>
      <c r="D1155" s="889" t="str">
        <f>'refer admin discharge'!D1151</f>
        <v>xx</v>
      </c>
      <c r="E1155" s="889"/>
      <c r="F1155" s="915" t="str">
        <f>'refer admin discharge'!H1151</f>
        <v>00/00/0000</v>
      </c>
      <c r="G1155" s="890"/>
      <c r="H1155" s="916"/>
      <c r="I1155" s="916"/>
      <c r="J1155" s="917"/>
      <c r="K1155" s="917"/>
      <c r="L1155" s="916"/>
      <c r="M1155" s="916"/>
      <c r="N1155" s="893"/>
      <c r="O1155" s="893"/>
      <c r="P1155" s="916"/>
      <c r="Q1155" s="916"/>
      <c r="R1155" s="893"/>
      <c r="S1155" s="893"/>
      <c r="T1155" s="916"/>
      <c r="U1155" s="916"/>
      <c r="V1155" s="921" t="str">
        <f>'refer admin discharge'!H1156</f>
        <v>00/00/0000</v>
      </c>
      <c r="W1155" s="922"/>
      <c r="X1155" s="912"/>
      <c r="Y1155" s="912"/>
      <c r="Z1155" s="924"/>
      <c r="AA1155" s="924"/>
      <c r="AB1155" s="912"/>
      <c r="AC1155" s="912"/>
      <c r="AD1155" s="913"/>
      <c r="AE1155" s="913"/>
      <c r="AF1155" s="912"/>
      <c r="AG1155" s="912"/>
      <c r="AH1155" s="913"/>
      <c r="AI1155" s="913"/>
      <c r="AJ1155" s="912"/>
      <c r="AK1155" s="912"/>
      <c r="AL1155" s="925"/>
      <c r="AM1155" s="926"/>
      <c r="AN1155" s="926"/>
      <c r="AO1155" s="926"/>
      <c r="AP1155" s="926"/>
      <c r="AQ1155" s="926"/>
      <c r="AR1155" s="926"/>
      <c r="AS1155" s="926"/>
      <c r="AT1155" s="926"/>
      <c r="AU1155" s="926"/>
      <c r="AV1155" s="926"/>
      <c r="AW1155" s="926"/>
      <c r="AX1155" s="926"/>
      <c r="AY1155" s="926"/>
      <c r="AZ1155" s="926"/>
      <c r="BA1155" s="926"/>
      <c r="BB1155" s="927"/>
    </row>
    <row r="1156" spans="1:54" x14ac:dyDescent="0.25">
      <c r="A1156" s="13">
        <f t="shared" si="17"/>
        <v>1143</v>
      </c>
      <c r="B1156" s="888" t="str">
        <f>'refer admin discharge'!B1152</f>
        <v>x</v>
      </c>
      <c r="C1156" s="888"/>
      <c r="D1156" s="868" t="str">
        <f>'refer admin discharge'!D1152</f>
        <v>xx</v>
      </c>
      <c r="E1156" s="868"/>
      <c r="F1156" s="891" t="str">
        <f>'refer admin discharge'!H1152</f>
        <v>00/00/0000</v>
      </c>
      <c r="G1156" s="892"/>
      <c r="H1156" s="894"/>
      <c r="I1156" s="894"/>
      <c r="J1156" s="918"/>
      <c r="K1156" s="918"/>
      <c r="L1156" s="894"/>
      <c r="M1156" s="894"/>
      <c r="N1156" s="916"/>
      <c r="O1156" s="916"/>
      <c r="P1156" s="894"/>
      <c r="Q1156" s="894"/>
      <c r="R1156" s="916"/>
      <c r="S1156" s="916"/>
      <c r="T1156" s="894"/>
      <c r="U1156" s="894"/>
      <c r="V1156" s="921" t="str">
        <f>'refer admin discharge'!H1157</f>
        <v>00/00/0000</v>
      </c>
      <c r="W1156" s="922"/>
      <c r="X1156" s="920"/>
      <c r="Y1156" s="920"/>
      <c r="Z1156" s="919"/>
      <c r="AA1156" s="919"/>
      <c r="AB1156" s="920"/>
      <c r="AC1156" s="920"/>
      <c r="AD1156" s="912"/>
      <c r="AE1156" s="912"/>
      <c r="AF1156" s="920"/>
      <c r="AG1156" s="920"/>
      <c r="AH1156" s="912"/>
      <c r="AI1156" s="912"/>
      <c r="AJ1156" s="920"/>
      <c r="AK1156" s="920"/>
      <c r="AL1156" s="905"/>
      <c r="AM1156" s="906"/>
      <c r="AN1156" s="906"/>
      <c r="AO1156" s="906"/>
      <c r="AP1156" s="906"/>
      <c r="AQ1156" s="906"/>
      <c r="AR1156" s="906"/>
      <c r="AS1156" s="906"/>
      <c r="AT1156" s="906"/>
      <c r="AU1156" s="906"/>
      <c r="AV1156" s="906"/>
      <c r="AW1156" s="906"/>
      <c r="AX1156" s="906"/>
      <c r="AY1156" s="906"/>
      <c r="AZ1156" s="906"/>
      <c r="BA1156" s="906"/>
      <c r="BB1156" s="907"/>
    </row>
    <row r="1157" spans="1:54" x14ac:dyDescent="0.25">
      <c r="A1157" s="13">
        <f t="shared" si="17"/>
        <v>1144</v>
      </c>
      <c r="B1157" s="914" t="str">
        <f>'refer admin discharge'!B1153</f>
        <v>x</v>
      </c>
      <c r="C1157" s="914"/>
      <c r="D1157" s="889" t="str">
        <f>'refer admin discharge'!D1153</f>
        <v>xx</v>
      </c>
      <c r="E1157" s="889"/>
      <c r="F1157" s="915" t="str">
        <f>'refer admin discharge'!H1153</f>
        <v>00/00/0000</v>
      </c>
      <c r="G1157" s="890"/>
      <c r="H1157" s="916"/>
      <c r="I1157" s="916"/>
      <c r="J1157" s="917"/>
      <c r="K1157" s="917"/>
      <c r="L1157" s="916"/>
      <c r="M1157" s="916"/>
      <c r="N1157" s="893"/>
      <c r="O1157" s="893"/>
      <c r="P1157" s="916"/>
      <c r="Q1157" s="916"/>
      <c r="R1157" s="893"/>
      <c r="S1157" s="893"/>
      <c r="T1157" s="916"/>
      <c r="U1157" s="916"/>
      <c r="V1157" s="921" t="str">
        <f>'refer admin discharge'!H1158</f>
        <v>00/00/0000</v>
      </c>
      <c r="W1157" s="922"/>
      <c r="X1157" s="912"/>
      <c r="Y1157" s="912"/>
      <c r="Z1157" s="924"/>
      <c r="AA1157" s="924"/>
      <c r="AB1157" s="912"/>
      <c r="AC1157" s="912"/>
      <c r="AD1157" s="913"/>
      <c r="AE1157" s="913"/>
      <c r="AF1157" s="912"/>
      <c r="AG1157" s="912"/>
      <c r="AH1157" s="913"/>
      <c r="AI1157" s="913"/>
      <c r="AJ1157" s="912"/>
      <c r="AK1157" s="912"/>
      <c r="AL1157" s="925"/>
      <c r="AM1157" s="926"/>
      <c r="AN1157" s="926"/>
      <c r="AO1157" s="926"/>
      <c r="AP1157" s="926"/>
      <c r="AQ1157" s="926"/>
      <c r="AR1157" s="926"/>
      <c r="AS1157" s="926"/>
      <c r="AT1157" s="926"/>
      <c r="AU1157" s="926"/>
      <c r="AV1157" s="926"/>
      <c r="AW1157" s="926"/>
      <c r="AX1157" s="926"/>
      <c r="AY1157" s="926"/>
      <c r="AZ1157" s="926"/>
      <c r="BA1157" s="926"/>
      <c r="BB1157" s="927"/>
    </row>
    <row r="1158" spans="1:54" x14ac:dyDescent="0.25">
      <c r="A1158" s="13">
        <f t="shared" si="17"/>
        <v>1145</v>
      </c>
      <c r="B1158" s="888" t="str">
        <f>'refer admin discharge'!B1154</f>
        <v>x</v>
      </c>
      <c r="C1158" s="888"/>
      <c r="D1158" s="868" t="str">
        <f>'refer admin discharge'!D1154</f>
        <v>xx</v>
      </c>
      <c r="E1158" s="868"/>
      <c r="F1158" s="891" t="str">
        <f>'refer admin discharge'!H1154</f>
        <v>00/00/0000</v>
      </c>
      <c r="G1158" s="892"/>
      <c r="H1158" s="894"/>
      <c r="I1158" s="894"/>
      <c r="J1158" s="918"/>
      <c r="K1158" s="918"/>
      <c r="L1158" s="894"/>
      <c r="M1158" s="894"/>
      <c r="N1158" s="916"/>
      <c r="O1158" s="916"/>
      <c r="P1158" s="894"/>
      <c r="Q1158" s="894"/>
      <c r="R1158" s="916"/>
      <c r="S1158" s="916"/>
      <c r="T1158" s="894"/>
      <c r="U1158" s="894"/>
      <c r="V1158" s="921" t="str">
        <f>'refer admin discharge'!H1159</f>
        <v>00/00/0000</v>
      </c>
      <c r="W1158" s="922"/>
      <c r="X1158" s="920"/>
      <c r="Y1158" s="920"/>
      <c r="Z1158" s="919"/>
      <c r="AA1158" s="919"/>
      <c r="AB1158" s="920"/>
      <c r="AC1158" s="920"/>
      <c r="AD1158" s="912"/>
      <c r="AE1158" s="912"/>
      <c r="AF1158" s="920"/>
      <c r="AG1158" s="920"/>
      <c r="AH1158" s="912"/>
      <c r="AI1158" s="912"/>
      <c r="AJ1158" s="920"/>
      <c r="AK1158" s="920"/>
      <c r="AL1158" s="905"/>
      <c r="AM1158" s="906"/>
      <c r="AN1158" s="906"/>
      <c r="AO1158" s="906"/>
      <c r="AP1158" s="906"/>
      <c r="AQ1158" s="906"/>
      <c r="AR1158" s="906"/>
      <c r="AS1158" s="906"/>
      <c r="AT1158" s="906"/>
      <c r="AU1158" s="906"/>
      <c r="AV1158" s="906"/>
      <c r="AW1158" s="906"/>
      <c r="AX1158" s="906"/>
      <c r="AY1158" s="906"/>
      <c r="AZ1158" s="906"/>
      <c r="BA1158" s="906"/>
      <c r="BB1158" s="907"/>
    </row>
    <row r="1159" spans="1:54" x14ac:dyDescent="0.25">
      <c r="A1159" s="13">
        <f t="shared" si="17"/>
        <v>1146</v>
      </c>
      <c r="B1159" s="914" t="str">
        <f>'refer admin discharge'!B1155</f>
        <v>x</v>
      </c>
      <c r="C1159" s="914"/>
      <c r="D1159" s="889" t="str">
        <f>'refer admin discharge'!D1155</f>
        <v>xx</v>
      </c>
      <c r="E1159" s="889"/>
      <c r="F1159" s="915" t="str">
        <f>'refer admin discharge'!H1155</f>
        <v>00/00/0000</v>
      </c>
      <c r="G1159" s="890"/>
      <c r="H1159" s="916"/>
      <c r="I1159" s="916"/>
      <c r="J1159" s="917"/>
      <c r="K1159" s="917"/>
      <c r="L1159" s="916"/>
      <c r="M1159" s="916"/>
      <c r="N1159" s="893"/>
      <c r="O1159" s="893"/>
      <c r="P1159" s="916"/>
      <c r="Q1159" s="916"/>
      <c r="R1159" s="893"/>
      <c r="S1159" s="893"/>
      <c r="T1159" s="916"/>
      <c r="U1159" s="916"/>
      <c r="V1159" s="921" t="str">
        <f>'refer admin discharge'!H1160</f>
        <v>00/00/0000</v>
      </c>
      <c r="W1159" s="922"/>
      <c r="X1159" s="912"/>
      <c r="Y1159" s="912"/>
      <c r="Z1159" s="924"/>
      <c r="AA1159" s="924"/>
      <c r="AB1159" s="912"/>
      <c r="AC1159" s="912"/>
      <c r="AD1159" s="913"/>
      <c r="AE1159" s="913"/>
      <c r="AF1159" s="912"/>
      <c r="AG1159" s="912"/>
      <c r="AH1159" s="913"/>
      <c r="AI1159" s="913"/>
      <c r="AJ1159" s="912"/>
      <c r="AK1159" s="912"/>
      <c r="AL1159" s="925"/>
      <c r="AM1159" s="926"/>
      <c r="AN1159" s="926"/>
      <c r="AO1159" s="926"/>
      <c r="AP1159" s="926"/>
      <c r="AQ1159" s="926"/>
      <c r="AR1159" s="926"/>
      <c r="AS1159" s="926"/>
      <c r="AT1159" s="926"/>
      <c r="AU1159" s="926"/>
      <c r="AV1159" s="926"/>
      <c r="AW1159" s="926"/>
      <c r="AX1159" s="926"/>
      <c r="AY1159" s="926"/>
      <c r="AZ1159" s="926"/>
      <c r="BA1159" s="926"/>
      <c r="BB1159" s="927"/>
    </row>
    <row r="1160" spans="1:54" x14ac:dyDescent="0.25">
      <c r="A1160" s="13">
        <f t="shared" si="17"/>
        <v>1147</v>
      </c>
      <c r="B1160" s="888" t="str">
        <f>'refer admin discharge'!B1156</f>
        <v>x</v>
      </c>
      <c r="C1160" s="888"/>
      <c r="D1160" s="868" t="str">
        <f>'refer admin discharge'!D1156</f>
        <v>xx</v>
      </c>
      <c r="E1160" s="868"/>
      <c r="F1160" s="891" t="str">
        <f>'refer admin discharge'!H1156</f>
        <v>00/00/0000</v>
      </c>
      <c r="G1160" s="892"/>
      <c r="H1160" s="894"/>
      <c r="I1160" s="894"/>
      <c r="J1160" s="918"/>
      <c r="K1160" s="918"/>
      <c r="L1160" s="894"/>
      <c r="M1160" s="894"/>
      <c r="N1160" s="916"/>
      <c r="O1160" s="916"/>
      <c r="P1160" s="894"/>
      <c r="Q1160" s="894"/>
      <c r="R1160" s="916"/>
      <c r="S1160" s="916"/>
      <c r="T1160" s="894"/>
      <c r="U1160" s="894"/>
      <c r="V1160" s="921" t="str">
        <f>'refer admin discharge'!H1161</f>
        <v>00/00/0000</v>
      </c>
      <c r="W1160" s="922"/>
      <c r="X1160" s="920"/>
      <c r="Y1160" s="920"/>
      <c r="Z1160" s="919"/>
      <c r="AA1160" s="919"/>
      <c r="AB1160" s="920"/>
      <c r="AC1160" s="920"/>
      <c r="AD1160" s="912"/>
      <c r="AE1160" s="912"/>
      <c r="AF1160" s="920"/>
      <c r="AG1160" s="920"/>
      <c r="AH1160" s="912"/>
      <c r="AI1160" s="912"/>
      <c r="AJ1160" s="920"/>
      <c r="AK1160" s="920"/>
      <c r="AL1160" s="905"/>
      <c r="AM1160" s="906"/>
      <c r="AN1160" s="906"/>
      <c r="AO1160" s="906"/>
      <c r="AP1160" s="906"/>
      <c r="AQ1160" s="906"/>
      <c r="AR1160" s="906"/>
      <c r="AS1160" s="906"/>
      <c r="AT1160" s="906"/>
      <c r="AU1160" s="906"/>
      <c r="AV1160" s="906"/>
      <c r="AW1160" s="906"/>
      <c r="AX1160" s="906"/>
      <c r="AY1160" s="906"/>
      <c r="AZ1160" s="906"/>
      <c r="BA1160" s="906"/>
      <c r="BB1160" s="907"/>
    </row>
    <row r="1161" spans="1:54" x14ac:dyDescent="0.25">
      <c r="A1161" s="13">
        <f t="shared" si="17"/>
        <v>1148</v>
      </c>
      <c r="B1161" s="914" t="str">
        <f>'refer admin discharge'!B1157</f>
        <v>x</v>
      </c>
      <c r="C1161" s="914"/>
      <c r="D1161" s="889" t="str">
        <f>'refer admin discharge'!D1157</f>
        <v>xx</v>
      </c>
      <c r="E1161" s="889"/>
      <c r="F1161" s="915" t="str">
        <f>'refer admin discharge'!H1157</f>
        <v>00/00/0000</v>
      </c>
      <c r="G1161" s="890"/>
      <c r="H1161" s="916"/>
      <c r="I1161" s="916"/>
      <c r="J1161" s="917"/>
      <c r="K1161" s="917"/>
      <c r="L1161" s="916"/>
      <c r="M1161" s="916"/>
      <c r="N1161" s="893"/>
      <c r="O1161" s="893"/>
      <c r="P1161" s="916"/>
      <c r="Q1161" s="916"/>
      <c r="R1161" s="893"/>
      <c r="S1161" s="893"/>
      <c r="T1161" s="916"/>
      <c r="U1161" s="916"/>
      <c r="V1161" s="921" t="str">
        <f>'refer admin discharge'!H1162</f>
        <v>00/00/0000</v>
      </c>
      <c r="W1161" s="922"/>
      <c r="X1161" s="912"/>
      <c r="Y1161" s="912"/>
      <c r="Z1161" s="924"/>
      <c r="AA1161" s="924"/>
      <c r="AB1161" s="912"/>
      <c r="AC1161" s="912"/>
      <c r="AD1161" s="913"/>
      <c r="AE1161" s="913"/>
      <c r="AF1161" s="912"/>
      <c r="AG1161" s="912"/>
      <c r="AH1161" s="913"/>
      <c r="AI1161" s="913"/>
      <c r="AJ1161" s="912"/>
      <c r="AK1161" s="912"/>
      <c r="AL1161" s="925"/>
      <c r="AM1161" s="926"/>
      <c r="AN1161" s="926"/>
      <c r="AO1161" s="926"/>
      <c r="AP1161" s="926"/>
      <c r="AQ1161" s="926"/>
      <c r="AR1161" s="926"/>
      <c r="AS1161" s="926"/>
      <c r="AT1161" s="926"/>
      <c r="AU1161" s="926"/>
      <c r="AV1161" s="926"/>
      <c r="AW1161" s="926"/>
      <c r="AX1161" s="926"/>
      <c r="AY1161" s="926"/>
      <c r="AZ1161" s="926"/>
      <c r="BA1161" s="926"/>
      <c r="BB1161" s="927"/>
    </row>
    <row r="1162" spans="1:54" x14ac:dyDescent="0.25">
      <c r="A1162" s="13">
        <f t="shared" si="17"/>
        <v>1149</v>
      </c>
      <c r="B1162" s="888" t="str">
        <f>'refer admin discharge'!B1158</f>
        <v>x</v>
      </c>
      <c r="C1162" s="888"/>
      <c r="D1162" s="868" t="str">
        <f>'refer admin discharge'!D1158</f>
        <v>xx</v>
      </c>
      <c r="E1162" s="868"/>
      <c r="F1162" s="891" t="str">
        <f>'refer admin discharge'!H1158</f>
        <v>00/00/0000</v>
      </c>
      <c r="G1162" s="892"/>
      <c r="H1162" s="894"/>
      <c r="I1162" s="894"/>
      <c r="J1162" s="918"/>
      <c r="K1162" s="918"/>
      <c r="L1162" s="894"/>
      <c r="M1162" s="894"/>
      <c r="N1162" s="916"/>
      <c r="O1162" s="916"/>
      <c r="P1162" s="894"/>
      <c r="Q1162" s="894"/>
      <c r="R1162" s="916"/>
      <c r="S1162" s="916"/>
      <c r="T1162" s="894"/>
      <c r="U1162" s="894"/>
      <c r="V1162" s="921" t="str">
        <f>'refer admin discharge'!H1163</f>
        <v>00/00/0000</v>
      </c>
      <c r="W1162" s="922"/>
      <c r="X1162" s="920"/>
      <c r="Y1162" s="920"/>
      <c r="Z1162" s="919"/>
      <c r="AA1162" s="919"/>
      <c r="AB1162" s="920"/>
      <c r="AC1162" s="920"/>
      <c r="AD1162" s="912"/>
      <c r="AE1162" s="912"/>
      <c r="AF1162" s="920"/>
      <c r="AG1162" s="920"/>
      <c r="AH1162" s="912"/>
      <c r="AI1162" s="912"/>
      <c r="AJ1162" s="920"/>
      <c r="AK1162" s="920"/>
      <c r="AL1162" s="905"/>
      <c r="AM1162" s="906"/>
      <c r="AN1162" s="906"/>
      <c r="AO1162" s="906"/>
      <c r="AP1162" s="906"/>
      <c r="AQ1162" s="906"/>
      <c r="AR1162" s="906"/>
      <c r="AS1162" s="906"/>
      <c r="AT1162" s="906"/>
      <c r="AU1162" s="906"/>
      <c r="AV1162" s="906"/>
      <c r="AW1162" s="906"/>
      <c r="AX1162" s="906"/>
      <c r="AY1162" s="906"/>
      <c r="AZ1162" s="906"/>
      <c r="BA1162" s="906"/>
      <c r="BB1162" s="907"/>
    </row>
    <row r="1163" spans="1:54" x14ac:dyDescent="0.25">
      <c r="A1163" s="13">
        <f t="shared" si="17"/>
        <v>1150</v>
      </c>
      <c r="B1163" s="914" t="str">
        <f>'refer admin discharge'!B1159</f>
        <v>x</v>
      </c>
      <c r="C1163" s="914"/>
      <c r="D1163" s="889" t="str">
        <f>'refer admin discharge'!D1159</f>
        <v>xx</v>
      </c>
      <c r="E1163" s="889"/>
      <c r="F1163" s="915" t="str">
        <f>'refer admin discharge'!H1159</f>
        <v>00/00/0000</v>
      </c>
      <c r="G1163" s="890"/>
      <c r="H1163" s="916"/>
      <c r="I1163" s="916"/>
      <c r="J1163" s="917"/>
      <c r="K1163" s="917"/>
      <c r="L1163" s="916"/>
      <c r="M1163" s="916"/>
      <c r="N1163" s="893"/>
      <c r="O1163" s="893"/>
      <c r="P1163" s="916"/>
      <c r="Q1163" s="916"/>
      <c r="R1163" s="893"/>
      <c r="S1163" s="893"/>
      <c r="T1163" s="916"/>
      <c r="U1163" s="916"/>
      <c r="V1163" s="921" t="str">
        <f>'refer admin discharge'!H1164</f>
        <v>00/00/0000</v>
      </c>
      <c r="W1163" s="922"/>
      <c r="X1163" s="912"/>
      <c r="Y1163" s="912"/>
      <c r="Z1163" s="924"/>
      <c r="AA1163" s="924"/>
      <c r="AB1163" s="912"/>
      <c r="AC1163" s="912"/>
      <c r="AD1163" s="913"/>
      <c r="AE1163" s="913"/>
      <c r="AF1163" s="912"/>
      <c r="AG1163" s="912"/>
      <c r="AH1163" s="913"/>
      <c r="AI1163" s="913"/>
      <c r="AJ1163" s="912"/>
      <c r="AK1163" s="912"/>
      <c r="AL1163" s="925"/>
      <c r="AM1163" s="926"/>
      <c r="AN1163" s="926"/>
      <c r="AO1163" s="926"/>
      <c r="AP1163" s="926"/>
      <c r="AQ1163" s="926"/>
      <c r="AR1163" s="926"/>
      <c r="AS1163" s="926"/>
      <c r="AT1163" s="926"/>
      <c r="AU1163" s="926"/>
      <c r="AV1163" s="926"/>
      <c r="AW1163" s="926"/>
      <c r="AX1163" s="926"/>
      <c r="AY1163" s="926"/>
      <c r="AZ1163" s="926"/>
      <c r="BA1163" s="926"/>
      <c r="BB1163" s="927"/>
    </row>
    <row r="1164" spans="1:54" x14ac:dyDescent="0.25">
      <c r="A1164" s="13">
        <f t="shared" si="17"/>
        <v>1151</v>
      </c>
      <c r="B1164" s="888" t="str">
        <f>'refer admin discharge'!B1160</f>
        <v>x</v>
      </c>
      <c r="C1164" s="888"/>
      <c r="D1164" s="868" t="str">
        <f>'refer admin discharge'!D1160</f>
        <v>xx</v>
      </c>
      <c r="E1164" s="868"/>
      <c r="F1164" s="891" t="str">
        <f>'refer admin discharge'!H1160</f>
        <v>00/00/0000</v>
      </c>
      <c r="G1164" s="892"/>
      <c r="H1164" s="894"/>
      <c r="I1164" s="894"/>
      <c r="J1164" s="918"/>
      <c r="K1164" s="918"/>
      <c r="L1164" s="894"/>
      <c r="M1164" s="894"/>
      <c r="N1164" s="916"/>
      <c r="O1164" s="916"/>
      <c r="P1164" s="894"/>
      <c r="Q1164" s="894"/>
      <c r="R1164" s="916"/>
      <c r="S1164" s="916"/>
      <c r="T1164" s="894"/>
      <c r="U1164" s="894"/>
      <c r="V1164" s="921" t="str">
        <f>'refer admin discharge'!H1165</f>
        <v>00/00/0000</v>
      </c>
      <c r="W1164" s="922"/>
      <c r="X1164" s="920"/>
      <c r="Y1164" s="920"/>
      <c r="Z1164" s="919"/>
      <c r="AA1164" s="919"/>
      <c r="AB1164" s="920"/>
      <c r="AC1164" s="920"/>
      <c r="AD1164" s="912"/>
      <c r="AE1164" s="912"/>
      <c r="AF1164" s="920"/>
      <c r="AG1164" s="920"/>
      <c r="AH1164" s="912"/>
      <c r="AI1164" s="912"/>
      <c r="AJ1164" s="920"/>
      <c r="AK1164" s="920"/>
      <c r="AL1164" s="905"/>
      <c r="AM1164" s="906"/>
      <c r="AN1164" s="906"/>
      <c r="AO1164" s="906"/>
      <c r="AP1164" s="906"/>
      <c r="AQ1164" s="906"/>
      <c r="AR1164" s="906"/>
      <c r="AS1164" s="906"/>
      <c r="AT1164" s="906"/>
      <c r="AU1164" s="906"/>
      <c r="AV1164" s="906"/>
      <c r="AW1164" s="906"/>
      <c r="AX1164" s="906"/>
      <c r="AY1164" s="906"/>
      <c r="AZ1164" s="906"/>
      <c r="BA1164" s="906"/>
      <c r="BB1164" s="907"/>
    </row>
    <row r="1165" spans="1:54" x14ac:dyDescent="0.25">
      <c r="A1165" s="13">
        <f t="shared" si="17"/>
        <v>1152</v>
      </c>
      <c r="B1165" s="914" t="str">
        <f>'refer admin discharge'!B1161</f>
        <v>x</v>
      </c>
      <c r="C1165" s="914"/>
      <c r="D1165" s="889" t="str">
        <f>'refer admin discharge'!D1161</f>
        <v>xx</v>
      </c>
      <c r="E1165" s="889"/>
      <c r="F1165" s="915" t="str">
        <f>'refer admin discharge'!H1161</f>
        <v>00/00/0000</v>
      </c>
      <c r="G1165" s="890"/>
      <c r="H1165" s="916"/>
      <c r="I1165" s="916"/>
      <c r="J1165" s="917"/>
      <c r="K1165" s="917"/>
      <c r="L1165" s="916"/>
      <c r="M1165" s="916"/>
      <c r="N1165" s="893"/>
      <c r="O1165" s="893"/>
      <c r="P1165" s="916"/>
      <c r="Q1165" s="916"/>
      <c r="R1165" s="893"/>
      <c r="S1165" s="893"/>
      <c r="T1165" s="916"/>
      <c r="U1165" s="916"/>
      <c r="V1165" s="921" t="str">
        <f>'refer admin discharge'!H1166</f>
        <v>00/00/0000</v>
      </c>
      <c r="W1165" s="922"/>
      <c r="X1165" s="912"/>
      <c r="Y1165" s="912"/>
      <c r="Z1165" s="924"/>
      <c r="AA1165" s="924"/>
      <c r="AB1165" s="912"/>
      <c r="AC1165" s="912"/>
      <c r="AD1165" s="913"/>
      <c r="AE1165" s="913"/>
      <c r="AF1165" s="912"/>
      <c r="AG1165" s="912"/>
      <c r="AH1165" s="913"/>
      <c r="AI1165" s="913"/>
      <c r="AJ1165" s="912"/>
      <c r="AK1165" s="912"/>
      <c r="AL1165" s="925"/>
      <c r="AM1165" s="926"/>
      <c r="AN1165" s="926"/>
      <c r="AO1165" s="926"/>
      <c r="AP1165" s="926"/>
      <c r="AQ1165" s="926"/>
      <c r="AR1165" s="926"/>
      <c r="AS1165" s="926"/>
      <c r="AT1165" s="926"/>
      <c r="AU1165" s="926"/>
      <c r="AV1165" s="926"/>
      <c r="AW1165" s="926"/>
      <c r="AX1165" s="926"/>
      <c r="AY1165" s="926"/>
      <c r="AZ1165" s="926"/>
      <c r="BA1165" s="926"/>
      <c r="BB1165" s="927"/>
    </row>
    <row r="1166" spans="1:54" x14ac:dyDescent="0.25">
      <c r="A1166" s="13">
        <f t="shared" ref="A1166:A1229" si="18">ROW(A1153)</f>
        <v>1153</v>
      </c>
      <c r="B1166" s="888" t="str">
        <f>'refer admin discharge'!B1162</f>
        <v>x</v>
      </c>
      <c r="C1166" s="888"/>
      <c r="D1166" s="868" t="str">
        <f>'refer admin discharge'!D1162</f>
        <v>xx</v>
      </c>
      <c r="E1166" s="868"/>
      <c r="F1166" s="891" t="str">
        <f>'refer admin discharge'!H1162</f>
        <v>00/00/0000</v>
      </c>
      <c r="G1166" s="892"/>
      <c r="H1166" s="894"/>
      <c r="I1166" s="894"/>
      <c r="J1166" s="918"/>
      <c r="K1166" s="918"/>
      <c r="L1166" s="894"/>
      <c r="M1166" s="894"/>
      <c r="N1166" s="916"/>
      <c r="O1166" s="916"/>
      <c r="P1166" s="894"/>
      <c r="Q1166" s="894"/>
      <c r="R1166" s="916"/>
      <c r="S1166" s="916"/>
      <c r="T1166" s="894"/>
      <c r="U1166" s="894"/>
      <c r="V1166" s="921" t="str">
        <f>'refer admin discharge'!H1167</f>
        <v>00/00/0000</v>
      </c>
      <c r="W1166" s="922"/>
      <c r="X1166" s="920"/>
      <c r="Y1166" s="920"/>
      <c r="Z1166" s="919"/>
      <c r="AA1166" s="919"/>
      <c r="AB1166" s="920"/>
      <c r="AC1166" s="920"/>
      <c r="AD1166" s="912"/>
      <c r="AE1166" s="912"/>
      <c r="AF1166" s="920"/>
      <c r="AG1166" s="920"/>
      <c r="AH1166" s="912"/>
      <c r="AI1166" s="912"/>
      <c r="AJ1166" s="920"/>
      <c r="AK1166" s="920"/>
      <c r="AL1166" s="905"/>
      <c r="AM1166" s="906"/>
      <c r="AN1166" s="906"/>
      <c r="AO1166" s="906"/>
      <c r="AP1166" s="906"/>
      <c r="AQ1166" s="906"/>
      <c r="AR1166" s="906"/>
      <c r="AS1166" s="906"/>
      <c r="AT1166" s="906"/>
      <c r="AU1166" s="906"/>
      <c r="AV1166" s="906"/>
      <c r="AW1166" s="906"/>
      <c r="AX1166" s="906"/>
      <c r="AY1166" s="906"/>
      <c r="AZ1166" s="906"/>
      <c r="BA1166" s="906"/>
      <c r="BB1166" s="907"/>
    </row>
    <row r="1167" spans="1:54" x14ac:dyDescent="0.25">
      <c r="A1167" s="13">
        <f t="shared" si="18"/>
        <v>1154</v>
      </c>
      <c r="B1167" s="914" t="str">
        <f>'refer admin discharge'!B1163</f>
        <v>x</v>
      </c>
      <c r="C1167" s="914"/>
      <c r="D1167" s="889" t="str">
        <f>'refer admin discharge'!D1163</f>
        <v>xx</v>
      </c>
      <c r="E1167" s="889"/>
      <c r="F1167" s="915" t="str">
        <f>'refer admin discharge'!H1163</f>
        <v>00/00/0000</v>
      </c>
      <c r="G1167" s="890"/>
      <c r="H1167" s="916"/>
      <c r="I1167" s="916"/>
      <c r="J1167" s="917"/>
      <c r="K1167" s="917"/>
      <c r="L1167" s="916"/>
      <c r="M1167" s="916"/>
      <c r="N1167" s="893"/>
      <c r="O1167" s="893"/>
      <c r="P1167" s="916"/>
      <c r="Q1167" s="916"/>
      <c r="R1167" s="893"/>
      <c r="S1167" s="893"/>
      <c r="T1167" s="916"/>
      <c r="U1167" s="916"/>
      <c r="V1167" s="921" t="str">
        <f>'refer admin discharge'!H1168</f>
        <v>00/00/0000</v>
      </c>
      <c r="W1167" s="922"/>
      <c r="X1167" s="912"/>
      <c r="Y1167" s="912"/>
      <c r="Z1167" s="924"/>
      <c r="AA1167" s="924"/>
      <c r="AB1167" s="912"/>
      <c r="AC1167" s="912"/>
      <c r="AD1167" s="913"/>
      <c r="AE1167" s="913"/>
      <c r="AF1167" s="912"/>
      <c r="AG1167" s="912"/>
      <c r="AH1167" s="913"/>
      <c r="AI1167" s="913"/>
      <c r="AJ1167" s="912"/>
      <c r="AK1167" s="912"/>
      <c r="AL1167" s="925"/>
      <c r="AM1167" s="926"/>
      <c r="AN1167" s="926"/>
      <c r="AO1167" s="926"/>
      <c r="AP1167" s="926"/>
      <c r="AQ1167" s="926"/>
      <c r="AR1167" s="926"/>
      <c r="AS1167" s="926"/>
      <c r="AT1167" s="926"/>
      <c r="AU1167" s="926"/>
      <c r="AV1167" s="926"/>
      <c r="AW1167" s="926"/>
      <c r="AX1167" s="926"/>
      <c r="AY1167" s="926"/>
      <c r="AZ1167" s="926"/>
      <c r="BA1167" s="926"/>
      <c r="BB1167" s="927"/>
    </row>
    <row r="1168" spans="1:54" x14ac:dyDescent="0.25">
      <c r="A1168" s="13">
        <f t="shared" si="18"/>
        <v>1155</v>
      </c>
      <c r="B1168" s="888" t="str">
        <f>'refer admin discharge'!B1164</f>
        <v>x</v>
      </c>
      <c r="C1168" s="888"/>
      <c r="D1168" s="868" t="str">
        <f>'refer admin discharge'!D1164</f>
        <v>xx</v>
      </c>
      <c r="E1168" s="868"/>
      <c r="F1168" s="891" t="str">
        <f>'refer admin discharge'!H1164</f>
        <v>00/00/0000</v>
      </c>
      <c r="G1168" s="892"/>
      <c r="H1168" s="894"/>
      <c r="I1168" s="894"/>
      <c r="J1168" s="918"/>
      <c r="K1168" s="918"/>
      <c r="L1168" s="894"/>
      <c r="M1168" s="894"/>
      <c r="N1168" s="916"/>
      <c r="O1168" s="916"/>
      <c r="P1168" s="894"/>
      <c r="Q1168" s="894"/>
      <c r="R1168" s="916"/>
      <c r="S1168" s="916"/>
      <c r="T1168" s="894"/>
      <c r="U1168" s="894"/>
      <c r="V1168" s="921" t="str">
        <f>'refer admin discharge'!H1169</f>
        <v>00/00/0000</v>
      </c>
      <c r="W1168" s="922"/>
      <c r="X1168" s="920"/>
      <c r="Y1168" s="920"/>
      <c r="Z1168" s="919"/>
      <c r="AA1168" s="919"/>
      <c r="AB1168" s="920"/>
      <c r="AC1168" s="920"/>
      <c r="AD1168" s="912"/>
      <c r="AE1168" s="912"/>
      <c r="AF1168" s="920"/>
      <c r="AG1168" s="920"/>
      <c r="AH1168" s="912"/>
      <c r="AI1168" s="912"/>
      <c r="AJ1168" s="920"/>
      <c r="AK1168" s="920"/>
      <c r="AL1168" s="905"/>
      <c r="AM1168" s="906"/>
      <c r="AN1168" s="906"/>
      <c r="AO1168" s="906"/>
      <c r="AP1168" s="906"/>
      <c r="AQ1168" s="906"/>
      <c r="AR1168" s="906"/>
      <c r="AS1168" s="906"/>
      <c r="AT1168" s="906"/>
      <c r="AU1168" s="906"/>
      <c r="AV1168" s="906"/>
      <c r="AW1168" s="906"/>
      <c r="AX1168" s="906"/>
      <c r="AY1168" s="906"/>
      <c r="AZ1168" s="906"/>
      <c r="BA1168" s="906"/>
      <c r="BB1168" s="907"/>
    </row>
    <row r="1169" spans="1:54" x14ac:dyDescent="0.25">
      <c r="A1169" s="13">
        <f t="shared" si="18"/>
        <v>1156</v>
      </c>
      <c r="B1169" s="914" t="str">
        <f>'refer admin discharge'!B1165</f>
        <v>x</v>
      </c>
      <c r="C1169" s="914"/>
      <c r="D1169" s="889" t="str">
        <f>'refer admin discharge'!D1165</f>
        <v>xx</v>
      </c>
      <c r="E1169" s="889"/>
      <c r="F1169" s="915" t="str">
        <f>'refer admin discharge'!H1165</f>
        <v>00/00/0000</v>
      </c>
      <c r="G1169" s="890"/>
      <c r="H1169" s="916"/>
      <c r="I1169" s="916"/>
      <c r="J1169" s="917"/>
      <c r="K1169" s="917"/>
      <c r="L1169" s="916"/>
      <c r="M1169" s="916"/>
      <c r="N1169" s="893"/>
      <c r="O1169" s="893"/>
      <c r="P1169" s="916"/>
      <c r="Q1169" s="916"/>
      <c r="R1169" s="893"/>
      <c r="S1169" s="893"/>
      <c r="T1169" s="916"/>
      <c r="U1169" s="916"/>
      <c r="V1169" s="921" t="str">
        <f>'refer admin discharge'!H1170</f>
        <v>00/00/0000</v>
      </c>
      <c r="W1169" s="922"/>
      <c r="X1169" s="912"/>
      <c r="Y1169" s="912"/>
      <c r="Z1169" s="924"/>
      <c r="AA1169" s="924"/>
      <c r="AB1169" s="912"/>
      <c r="AC1169" s="912"/>
      <c r="AD1169" s="913"/>
      <c r="AE1169" s="913"/>
      <c r="AF1169" s="912"/>
      <c r="AG1169" s="912"/>
      <c r="AH1169" s="913"/>
      <c r="AI1169" s="913"/>
      <c r="AJ1169" s="912"/>
      <c r="AK1169" s="912"/>
      <c r="AL1169" s="925"/>
      <c r="AM1169" s="926"/>
      <c r="AN1169" s="926"/>
      <c r="AO1169" s="926"/>
      <c r="AP1169" s="926"/>
      <c r="AQ1169" s="926"/>
      <c r="AR1169" s="926"/>
      <c r="AS1169" s="926"/>
      <c r="AT1169" s="926"/>
      <c r="AU1169" s="926"/>
      <c r="AV1169" s="926"/>
      <c r="AW1169" s="926"/>
      <c r="AX1169" s="926"/>
      <c r="AY1169" s="926"/>
      <c r="AZ1169" s="926"/>
      <c r="BA1169" s="926"/>
      <c r="BB1169" s="927"/>
    </row>
    <row r="1170" spans="1:54" x14ac:dyDescent="0.25">
      <c r="A1170" s="13">
        <f t="shared" si="18"/>
        <v>1157</v>
      </c>
      <c r="B1170" s="888" t="str">
        <f>'refer admin discharge'!B1166</f>
        <v>x</v>
      </c>
      <c r="C1170" s="888"/>
      <c r="D1170" s="868" t="str">
        <f>'refer admin discharge'!D1166</f>
        <v>xx</v>
      </c>
      <c r="E1170" s="868"/>
      <c r="F1170" s="891" t="str">
        <f>'refer admin discharge'!H1166</f>
        <v>00/00/0000</v>
      </c>
      <c r="G1170" s="892"/>
      <c r="H1170" s="894"/>
      <c r="I1170" s="894"/>
      <c r="J1170" s="918"/>
      <c r="K1170" s="918"/>
      <c r="L1170" s="894"/>
      <c r="M1170" s="894"/>
      <c r="N1170" s="916"/>
      <c r="O1170" s="916"/>
      <c r="P1170" s="894"/>
      <c r="Q1170" s="894"/>
      <c r="R1170" s="916"/>
      <c r="S1170" s="916"/>
      <c r="T1170" s="894"/>
      <c r="U1170" s="894"/>
      <c r="V1170" s="921" t="str">
        <f>'refer admin discharge'!H1171</f>
        <v>00/00/0000</v>
      </c>
      <c r="W1170" s="922"/>
      <c r="X1170" s="920"/>
      <c r="Y1170" s="920"/>
      <c r="Z1170" s="919"/>
      <c r="AA1170" s="919"/>
      <c r="AB1170" s="920"/>
      <c r="AC1170" s="920"/>
      <c r="AD1170" s="912"/>
      <c r="AE1170" s="912"/>
      <c r="AF1170" s="920"/>
      <c r="AG1170" s="920"/>
      <c r="AH1170" s="912"/>
      <c r="AI1170" s="912"/>
      <c r="AJ1170" s="920"/>
      <c r="AK1170" s="920"/>
      <c r="AL1170" s="905"/>
      <c r="AM1170" s="906"/>
      <c r="AN1170" s="906"/>
      <c r="AO1170" s="906"/>
      <c r="AP1170" s="906"/>
      <c r="AQ1170" s="906"/>
      <c r="AR1170" s="906"/>
      <c r="AS1170" s="906"/>
      <c r="AT1170" s="906"/>
      <c r="AU1170" s="906"/>
      <c r="AV1170" s="906"/>
      <c r="AW1170" s="906"/>
      <c r="AX1170" s="906"/>
      <c r="AY1170" s="906"/>
      <c r="AZ1170" s="906"/>
      <c r="BA1170" s="906"/>
      <c r="BB1170" s="907"/>
    </row>
    <row r="1171" spans="1:54" x14ac:dyDescent="0.25">
      <c r="A1171" s="13">
        <f t="shared" si="18"/>
        <v>1158</v>
      </c>
      <c r="B1171" s="914" t="str">
        <f>'refer admin discharge'!B1167</f>
        <v>x</v>
      </c>
      <c r="C1171" s="914"/>
      <c r="D1171" s="889" t="str">
        <f>'refer admin discharge'!D1167</f>
        <v>xx</v>
      </c>
      <c r="E1171" s="889"/>
      <c r="F1171" s="915" t="str">
        <f>'refer admin discharge'!H1167</f>
        <v>00/00/0000</v>
      </c>
      <c r="G1171" s="890"/>
      <c r="H1171" s="916"/>
      <c r="I1171" s="916"/>
      <c r="J1171" s="917"/>
      <c r="K1171" s="917"/>
      <c r="L1171" s="916"/>
      <c r="M1171" s="916"/>
      <c r="N1171" s="893"/>
      <c r="O1171" s="893"/>
      <c r="P1171" s="916"/>
      <c r="Q1171" s="916"/>
      <c r="R1171" s="893"/>
      <c r="S1171" s="893"/>
      <c r="T1171" s="916"/>
      <c r="U1171" s="916"/>
      <c r="V1171" s="921" t="str">
        <f>'refer admin discharge'!H1172</f>
        <v>00/00/0000</v>
      </c>
      <c r="W1171" s="922"/>
      <c r="X1171" s="912"/>
      <c r="Y1171" s="912"/>
      <c r="Z1171" s="924"/>
      <c r="AA1171" s="924"/>
      <c r="AB1171" s="912"/>
      <c r="AC1171" s="912"/>
      <c r="AD1171" s="913"/>
      <c r="AE1171" s="913"/>
      <c r="AF1171" s="912"/>
      <c r="AG1171" s="912"/>
      <c r="AH1171" s="913"/>
      <c r="AI1171" s="913"/>
      <c r="AJ1171" s="912"/>
      <c r="AK1171" s="912"/>
      <c r="AL1171" s="925"/>
      <c r="AM1171" s="926"/>
      <c r="AN1171" s="926"/>
      <c r="AO1171" s="926"/>
      <c r="AP1171" s="926"/>
      <c r="AQ1171" s="926"/>
      <c r="AR1171" s="926"/>
      <c r="AS1171" s="926"/>
      <c r="AT1171" s="926"/>
      <c r="AU1171" s="926"/>
      <c r="AV1171" s="926"/>
      <c r="AW1171" s="926"/>
      <c r="AX1171" s="926"/>
      <c r="AY1171" s="926"/>
      <c r="AZ1171" s="926"/>
      <c r="BA1171" s="926"/>
      <c r="BB1171" s="927"/>
    </row>
    <row r="1172" spans="1:54" x14ac:dyDescent="0.25">
      <c r="A1172" s="13">
        <f t="shared" si="18"/>
        <v>1159</v>
      </c>
      <c r="B1172" s="888" t="str">
        <f>'refer admin discharge'!B1168</f>
        <v>x</v>
      </c>
      <c r="C1172" s="888"/>
      <c r="D1172" s="868" t="str">
        <f>'refer admin discharge'!D1168</f>
        <v>xx</v>
      </c>
      <c r="E1172" s="868"/>
      <c r="F1172" s="891" t="str">
        <f>'refer admin discharge'!H1168</f>
        <v>00/00/0000</v>
      </c>
      <c r="G1172" s="892"/>
      <c r="H1172" s="894"/>
      <c r="I1172" s="894"/>
      <c r="J1172" s="918"/>
      <c r="K1172" s="918"/>
      <c r="L1172" s="894"/>
      <c r="M1172" s="894"/>
      <c r="N1172" s="916"/>
      <c r="O1172" s="916"/>
      <c r="P1172" s="894"/>
      <c r="Q1172" s="894"/>
      <c r="R1172" s="916"/>
      <c r="S1172" s="916"/>
      <c r="T1172" s="894"/>
      <c r="U1172" s="894"/>
      <c r="V1172" s="921" t="str">
        <f>'refer admin discharge'!H1173</f>
        <v>00/00/0000</v>
      </c>
      <c r="W1172" s="922"/>
      <c r="X1172" s="920"/>
      <c r="Y1172" s="920"/>
      <c r="Z1172" s="919"/>
      <c r="AA1172" s="919"/>
      <c r="AB1172" s="920"/>
      <c r="AC1172" s="920"/>
      <c r="AD1172" s="912"/>
      <c r="AE1172" s="912"/>
      <c r="AF1172" s="920"/>
      <c r="AG1172" s="920"/>
      <c r="AH1172" s="912"/>
      <c r="AI1172" s="912"/>
      <c r="AJ1172" s="920"/>
      <c r="AK1172" s="920"/>
      <c r="AL1172" s="905"/>
      <c r="AM1172" s="906"/>
      <c r="AN1172" s="906"/>
      <c r="AO1172" s="906"/>
      <c r="AP1172" s="906"/>
      <c r="AQ1172" s="906"/>
      <c r="AR1172" s="906"/>
      <c r="AS1172" s="906"/>
      <c r="AT1172" s="906"/>
      <c r="AU1172" s="906"/>
      <c r="AV1172" s="906"/>
      <c r="AW1172" s="906"/>
      <c r="AX1172" s="906"/>
      <c r="AY1172" s="906"/>
      <c r="AZ1172" s="906"/>
      <c r="BA1172" s="906"/>
      <c r="BB1172" s="907"/>
    </row>
    <row r="1173" spans="1:54" x14ac:dyDescent="0.25">
      <c r="A1173" s="13">
        <f t="shared" si="18"/>
        <v>1160</v>
      </c>
      <c r="B1173" s="914" t="str">
        <f>'refer admin discharge'!B1169</f>
        <v>x</v>
      </c>
      <c r="C1173" s="914"/>
      <c r="D1173" s="889" t="str">
        <f>'refer admin discharge'!D1169</f>
        <v>xx</v>
      </c>
      <c r="E1173" s="889"/>
      <c r="F1173" s="915" t="str">
        <f>'refer admin discharge'!H1169</f>
        <v>00/00/0000</v>
      </c>
      <c r="G1173" s="890"/>
      <c r="H1173" s="916"/>
      <c r="I1173" s="916"/>
      <c r="J1173" s="917"/>
      <c r="K1173" s="917"/>
      <c r="L1173" s="916"/>
      <c r="M1173" s="916"/>
      <c r="N1173" s="893"/>
      <c r="O1173" s="893"/>
      <c r="P1173" s="916"/>
      <c r="Q1173" s="916"/>
      <c r="R1173" s="893"/>
      <c r="S1173" s="893"/>
      <c r="T1173" s="916"/>
      <c r="U1173" s="916"/>
      <c r="V1173" s="921" t="str">
        <f>'refer admin discharge'!H1174</f>
        <v>00/00/0000</v>
      </c>
      <c r="W1173" s="922"/>
      <c r="X1173" s="912"/>
      <c r="Y1173" s="912"/>
      <c r="Z1173" s="924"/>
      <c r="AA1173" s="924"/>
      <c r="AB1173" s="912"/>
      <c r="AC1173" s="912"/>
      <c r="AD1173" s="913"/>
      <c r="AE1173" s="913"/>
      <c r="AF1173" s="912"/>
      <c r="AG1173" s="912"/>
      <c r="AH1173" s="913"/>
      <c r="AI1173" s="913"/>
      <c r="AJ1173" s="912"/>
      <c r="AK1173" s="912"/>
      <c r="AL1173" s="925"/>
      <c r="AM1173" s="926"/>
      <c r="AN1173" s="926"/>
      <c r="AO1173" s="926"/>
      <c r="AP1173" s="926"/>
      <c r="AQ1173" s="926"/>
      <c r="AR1173" s="926"/>
      <c r="AS1173" s="926"/>
      <c r="AT1173" s="926"/>
      <c r="AU1173" s="926"/>
      <c r="AV1173" s="926"/>
      <c r="AW1173" s="926"/>
      <c r="AX1173" s="926"/>
      <c r="AY1173" s="926"/>
      <c r="AZ1173" s="926"/>
      <c r="BA1173" s="926"/>
      <c r="BB1173" s="927"/>
    </row>
    <row r="1174" spans="1:54" x14ac:dyDescent="0.25">
      <c r="A1174" s="13">
        <f t="shared" si="18"/>
        <v>1161</v>
      </c>
      <c r="B1174" s="888" t="str">
        <f>'refer admin discharge'!B1170</f>
        <v>x</v>
      </c>
      <c r="C1174" s="888"/>
      <c r="D1174" s="868" t="str">
        <f>'refer admin discharge'!D1170</f>
        <v>xx</v>
      </c>
      <c r="E1174" s="868"/>
      <c r="F1174" s="891" t="str">
        <f>'refer admin discharge'!H1170</f>
        <v>00/00/0000</v>
      </c>
      <c r="G1174" s="892"/>
      <c r="H1174" s="894"/>
      <c r="I1174" s="894"/>
      <c r="J1174" s="918"/>
      <c r="K1174" s="918"/>
      <c r="L1174" s="894"/>
      <c r="M1174" s="894"/>
      <c r="N1174" s="916"/>
      <c r="O1174" s="916"/>
      <c r="P1174" s="894"/>
      <c r="Q1174" s="894"/>
      <c r="R1174" s="916"/>
      <c r="S1174" s="916"/>
      <c r="T1174" s="894"/>
      <c r="U1174" s="894"/>
      <c r="V1174" s="921" t="str">
        <f>'refer admin discharge'!H1175</f>
        <v>00/00/0000</v>
      </c>
      <c r="W1174" s="922"/>
      <c r="X1174" s="920"/>
      <c r="Y1174" s="920"/>
      <c r="Z1174" s="919"/>
      <c r="AA1174" s="919"/>
      <c r="AB1174" s="920"/>
      <c r="AC1174" s="920"/>
      <c r="AD1174" s="912"/>
      <c r="AE1174" s="912"/>
      <c r="AF1174" s="920"/>
      <c r="AG1174" s="920"/>
      <c r="AH1174" s="912"/>
      <c r="AI1174" s="912"/>
      <c r="AJ1174" s="920"/>
      <c r="AK1174" s="920"/>
      <c r="AL1174" s="905"/>
      <c r="AM1174" s="906"/>
      <c r="AN1174" s="906"/>
      <c r="AO1174" s="906"/>
      <c r="AP1174" s="906"/>
      <c r="AQ1174" s="906"/>
      <c r="AR1174" s="906"/>
      <c r="AS1174" s="906"/>
      <c r="AT1174" s="906"/>
      <c r="AU1174" s="906"/>
      <c r="AV1174" s="906"/>
      <c r="AW1174" s="906"/>
      <c r="AX1174" s="906"/>
      <c r="AY1174" s="906"/>
      <c r="AZ1174" s="906"/>
      <c r="BA1174" s="906"/>
      <c r="BB1174" s="907"/>
    </row>
    <row r="1175" spans="1:54" x14ac:dyDescent="0.25">
      <c r="A1175" s="13">
        <f t="shared" si="18"/>
        <v>1162</v>
      </c>
      <c r="B1175" s="914" t="str">
        <f>'refer admin discharge'!B1171</f>
        <v>x</v>
      </c>
      <c r="C1175" s="914"/>
      <c r="D1175" s="889" t="str">
        <f>'refer admin discharge'!D1171</f>
        <v>xx</v>
      </c>
      <c r="E1175" s="889"/>
      <c r="F1175" s="915" t="str">
        <f>'refer admin discharge'!H1171</f>
        <v>00/00/0000</v>
      </c>
      <c r="G1175" s="890"/>
      <c r="H1175" s="916"/>
      <c r="I1175" s="916"/>
      <c r="J1175" s="917"/>
      <c r="K1175" s="917"/>
      <c r="L1175" s="916"/>
      <c r="M1175" s="916"/>
      <c r="N1175" s="893"/>
      <c r="O1175" s="893"/>
      <c r="P1175" s="916"/>
      <c r="Q1175" s="916"/>
      <c r="R1175" s="893"/>
      <c r="S1175" s="893"/>
      <c r="T1175" s="916"/>
      <c r="U1175" s="916"/>
      <c r="V1175" s="921" t="str">
        <f>'refer admin discharge'!H1176</f>
        <v>00/00/0000</v>
      </c>
      <c r="W1175" s="922"/>
      <c r="X1175" s="912"/>
      <c r="Y1175" s="912"/>
      <c r="Z1175" s="924"/>
      <c r="AA1175" s="924"/>
      <c r="AB1175" s="912"/>
      <c r="AC1175" s="912"/>
      <c r="AD1175" s="913"/>
      <c r="AE1175" s="913"/>
      <c r="AF1175" s="912"/>
      <c r="AG1175" s="912"/>
      <c r="AH1175" s="913"/>
      <c r="AI1175" s="913"/>
      <c r="AJ1175" s="912"/>
      <c r="AK1175" s="912"/>
      <c r="AL1175" s="925"/>
      <c r="AM1175" s="926"/>
      <c r="AN1175" s="926"/>
      <c r="AO1175" s="926"/>
      <c r="AP1175" s="926"/>
      <c r="AQ1175" s="926"/>
      <c r="AR1175" s="926"/>
      <c r="AS1175" s="926"/>
      <c r="AT1175" s="926"/>
      <c r="AU1175" s="926"/>
      <c r="AV1175" s="926"/>
      <c r="AW1175" s="926"/>
      <c r="AX1175" s="926"/>
      <c r="AY1175" s="926"/>
      <c r="AZ1175" s="926"/>
      <c r="BA1175" s="926"/>
      <c r="BB1175" s="927"/>
    </row>
    <row r="1176" spans="1:54" x14ac:dyDescent="0.25">
      <c r="A1176" s="13">
        <f t="shared" si="18"/>
        <v>1163</v>
      </c>
      <c r="B1176" s="888" t="str">
        <f>'refer admin discharge'!B1172</f>
        <v>x</v>
      </c>
      <c r="C1176" s="888"/>
      <c r="D1176" s="868" t="str">
        <f>'refer admin discharge'!D1172</f>
        <v>xx</v>
      </c>
      <c r="E1176" s="868"/>
      <c r="F1176" s="891" t="str">
        <f>'refer admin discharge'!H1172</f>
        <v>00/00/0000</v>
      </c>
      <c r="G1176" s="892"/>
      <c r="H1176" s="894"/>
      <c r="I1176" s="894"/>
      <c r="J1176" s="918"/>
      <c r="K1176" s="918"/>
      <c r="L1176" s="894"/>
      <c r="M1176" s="894"/>
      <c r="N1176" s="916"/>
      <c r="O1176" s="916"/>
      <c r="P1176" s="894"/>
      <c r="Q1176" s="894"/>
      <c r="R1176" s="916"/>
      <c r="S1176" s="916"/>
      <c r="T1176" s="894"/>
      <c r="U1176" s="894"/>
      <c r="V1176" s="921" t="str">
        <f>'refer admin discharge'!H1177</f>
        <v>00/00/0000</v>
      </c>
      <c r="W1176" s="922"/>
      <c r="X1176" s="920"/>
      <c r="Y1176" s="920"/>
      <c r="Z1176" s="919"/>
      <c r="AA1176" s="919"/>
      <c r="AB1176" s="920"/>
      <c r="AC1176" s="920"/>
      <c r="AD1176" s="912"/>
      <c r="AE1176" s="912"/>
      <c r="AF1176" s="920"/>
      <c r="AG1176" s="920"/>
      <c r="AH1176" s="912"/>
      <c r="AI1176" s="912"/>
      <c r="AJ1176" s="920"/>
      <c r="AK1176" s="920"/>
      <c r="AL1176" s="905"/>
      <c r="AM1176" s="906"/>
      <c r="AN1176" s="906"/>
      <c r="AO1176" s="906"/>
      <c r="AP1176" s="906"/>
      <c r="AQ1176" s="906"/>
      <c r="AR1176" s="906"/>
      <c r="AS1176" s="906"/>
      <c r="AT1176" s="906"/>
      <c r="AU1176" s="906"/>
      <c r="AV1176" s="906"/>
      <c r="AW1176" s="906"/>
      <c r="AX1176" s="906"/>
      <c r="AY1176" s="906"/>
      <c r="AZ1176" s="906"/>
      <c r="BA1176" s="906"/>
      <c r="BB1176" s="907"/>
    </row>
    <row r="1177" spans="1:54" x14ac:dyDescent="0.25">
      <c r="A1177" s="13">
        <f t="shared" si="18"/>
        <v>1164</v>
      </c>
      <c r="B1177" s="914" t="str">
        <f>'refer admin discharge'!B1173</f>
        <v>x</v>
      </c>
      <c r="C1177" s="914"/>
      <c r="D1177" s="889" t="str">
        <f>'refer admin discharge'!D1173</f>
        <v>xx</v>
      </c>
      <c r="E1177" s="889"/>
      <c r="F1177" s="915" t="str">
        <f>'refer admin discharge'!H1173</f>
        <v>00/00/0000</v>
      </c>
      <c r="G1177" s="890"/>
      <c r="H1177" s="916"/>
      <c r="I1177" s="916"/>
      <c r="J1177" s="917"/>
      <c r="K1177" s="917"/>
      <c r="L1177" s="916"/>
      <c r="M1177" s="916"/>
      <c r="N1177" s="893"/>
      <c r="O1177" s="893"/>
      <c r="P1177" s="916"/>
      <c r="Q1177" s="916"/>
      <c r="R1177" s="893"/>
      <c r="S1177" s="893"/>
      <c r="T1177" s="916"/>
      <c r="U1177" s="916"/>
      <c r="V1177" s="921" t="str">
        <f>'refer admin discharge'!H1178</f>
        <v>00/00/0000</v>
      </c>
      <c r="W1177" s="922"/>
      <c r="X1177" s="912"/>
      <c r="Y1177" s="912"/>
      <c r="Z1177" s="924"/>
      <c r="AA1177" s="924"/>
      <c r="AB1177" s="912"/>
      <c r="AC1177" s="912"/>
      <c r="AD1177" s="913"/>
      <c r="AE1177" s="913"/>
      <c r="AF1177" s="912"/>
      <c r="AG1177" s="912"/>
      <c r="AH1177" s="913"/>
      <c r="AI1177" s="913"/>
      <c r="AJ1177" s="912"/>
      <c r="AK1177" s="912"/>
      <c r="AL1177" s="925"/>
      <c r="AM1177" s="926"/>
      <c r="AN1177" s="926"/>
      <c r="AO1177" s="926"/>
      <c r="AP1177" s="926"/>
      <c r="AQ1177" s="926"/>
      <c r="AR1177" s="926"/>
      <c r="AS1177" s="926"/>
      <c r="AT1177" s="926"/>
      <c r="AU1177" s="926"/>
      <c r="AV1177" s="926"/>
      <c r="AW1177" s="926"/>
      <c r="AX1177" s="926"/>
      <c r="AY1177" s="926"/>
      <c r="AZ1177" s="926"/>
      <c r="BA1177" s="926"/>
      <c r="BB1177" s="927"/>
    </row>
    <row r="1178" spans="1:54" x14ac:dyDescent="0.25">
      <c r="A1178" s="13">
        <f t="shared" si="18"/>
        <v>1165</v>
      </c>
      <c r="B1178" s="888" t="str">
        <f>'refer admin discharge'!B1174</f>
        <v>x</v>
      </c>
      <c r="C1178" s="888"/>
      <c r="D1178" s="868" t="str">
        <f>'refer admin discharge'!D1174</f>
        <v>xx</v>
      </c>
      <c r="E1178" s="868"/>
      <c r="F1178" s="891" t="str">
        <f>'refer admin discharge'!H1174</f>
        <v>00/00/0000</v>
      </c>
      <c r="G1178" s="892"/>
      <c r="H1178" s="894"/>
      <c r="I1178" s="894"/>
      <c r="J1178" s="918"/>
      <c r="K1178" s="918"/>
      <c r="L1178" s="894"/>
      <c r="M1178" s="894"/>
      <c r="N1178" s="916"/>
      <c r="O1178" s="916"/>
      <c r="P1178" s="894"/>
      <c r="Q1178" s="894"/>
      <c r="R1178" s="916"/>
      <c r="S1178" s="916"/>
      <c r="T1178" s="894"/>
      <c r="U1178" s="894"/>
      <c r="V1178" s="921" t="str">
        <f>'refer admin discharge'!H1179</f>
        <v>00/00/0000</v>
      </c>
      <c r="W1178" s="922"/>
      <c r="X1178" s="920"/>
      <c r="Y1178" s="920"/>
      <c r="Z1178" s="919"/>
      <c r="AA1178" s="919"/>
      <c r="AB1178" s="920"/>
      <c r="AC1178" s="920"/>
      <c r="AD1178" s="912"/>
      <c r="AE1178" s="912"/>
      <c r="AF1178" s="920"/>
      <c r="AG1178" s="920"/>
      <c r="AH1178" s="912"/>
      <c r="AI1178" s="912"/>
      <c r="AJ1178" s="920"/>
      <c r="AK1178" s="920"/>
      <c r="AL1178" s="905"/>
      <c r="AM1178" s="906"/>
      <c r="AN1178" s="906"/>
      <c r="AO1178" s="906"/>
      <c r="AP1178" s="906"/>
      <c r="AQ1178" s="906"/>
      <c r="AR1178" s="906"/>
      <c r="AS1178" s="906"/>
      <c r="AT1178" s="906"/>
      <c r="AU1178" s="906"/>
      <c r="AV1178" s="906"/>
      <c r="AW1178" s="906"/>
      <c r="AX1178" s="906"/>
      <c r="AY1178" s="906"/>
      <c r="AZ1178" s="906"/>
      <c r="BA1178" s="906"/>
      <c r="BB1178" s="907"/>
    </row>
    <row r="1179" spans="1:54" x14ac:dyDescent="0.25">
      <c r="A1179" s="13">
        <f t="shared" si="18"/>
        <v>1166</v>
      </c>
      <c r="B1179" s="914" t="str">
        <f>'refer admin discharge'!B1175</f>
        <v>x</v>
      </c>
      <c r="C1179" s="914"/>
      <c r="D1179" s="889" t="str">
        <f>'refer admin discharge'!D1175</f>
        <v>xx</v>
      </c>
      <c r="E1179" s="889"/>
      <c r="F1179" s="915" t="str">
        <f>'refer admin discharge'!H1175</f>
        <v>00/00/0000</v>
      </c>
      <c r="G1179" s="890"/>
      <c r="H1179" s="916"/>
      <c r="I1179" s="916"/>
      <c r="J1179" s="917"/>
      <c r="K1179" s="917"/>
      <c r="L1179" s="916"/>
      <c r="M1179" s="916"/>
      <c r="N1179" s="893"/>
      <c r="O1179" s="893"/>
      <c r="P1179" s="916"/>
      <c r="Q1179" s="916"/>
      <c r="R1179" s="893"/>
      <c r="S1179" s="893"/>
      <c r="T1179" s="916"/>
      <c r="U1179" s="916"/>
      <c r="V1179" s="921" t="str">
        <f>'refer admin discharge'!H1180</f>
        <v>00/00/0000</v>
      </c>
      <c r="W1179" s="922"/>
      <c r="X1179" s="912"/>
      <c r="Y1179" s="912"/>
      <c r="Z1179" s="924"/>
      <c r="AA1179" s="924"/>
      <c r="AB1179" s="912"/>
      <c r="AC1179" s="912"/>
      <c r="AD1179" s="913"/>
      <c r="AE1179" s="913"/>
      <c r="AF1179" s="912"/>
      <c r="AG1179" s="912"/>
      <c r="AH1179" s="913"/>
      <c r="AI1179" s="913"/>
      <c r="AJ1179" s="912"/>
      <c r="AK1179" s="912"/>
      <c r="AL1179" s="925"/>
      <c r="AM1179" s="926"/>
      <c r="AN1179" s="926"/>
      <c r="AO1179" s="926"/>
      <c r="AP1179" s="926"/>
      <c r="AQ1179" s="926"/>
      <c r="AR1179" s="926"/>
      <c r="AS1179" s="926"/>
      <c r="AT1179" s="926"/>
      <c r="AU1179" s="926"/>
      <c r="AV1179" s="926"/>
      <c r="AW1179" s="926"/>
      <c r="AX1179" s="926"/>
      <c r="AY1179" s="926"/>
      <c r="AZ1179" s="926"/>
      <c r="BA1179" s="926"/>
      <c r="BB1179" s="927"/>
    </row>
    <row r="1180" spans="1:54" x14ac:dyDescent="0.25">
      <c r="A1180" s="13">
        <f t="shared" si="18"/>
        <v>1167</v>
      </c>
      <c r="B1180" s="888" t="str">
        <f>'refer admin discharge'!B1176</f>
        <v>x</v>
      </c>
      <c r="C1180" s="888"/>
      <c r="D1180" s="868" t="str">
        <f>'refer admin discharge'!D1176</f>
        <v>xx</v>
      </c>
      <c r="E1180" s="868"/>
      <c r="F1180" s="891" t="str">
        <f>'refer admin discharge'!H1176</f>
        <v>00/00/0000</v>
      </c>
      <c r="G1180" s="892"/>
      <c r="H1180" s="894"/>
      <c r="I1180" s="894"/>
      <c r="J1180" s="918"/>
      <c r="K1180" s="918"/>
      <c r="L1180" s="894"/>
      <c r="M1180" s="894"/>
      <c r="N1180" s="916"/>
      <c r="O1180" s="916"/>
      <c r="P1180" s="894"/>
      <c r="Q1180" s="894"/>
      <c r="R1180" s="916"/>
      <c r="S1180" s="916"/>
      <c r="T1180" s="894"/>
      <c r="U1180" s="894"/>
      <c r="V1180" s="921" t="str">
        <f>'refer admin discharge'!H1181</f>
        <v>00/00/0000</v>
      </c>
      <c r="W1180" s="922"/>
      <c r="X1180" s="920"/>
      <c r="Y1180" s="920"/>
      <c r="Z1180" s="919"/>
      <c r="AA1180" s="919"/>
      <c r="AB1180" s="920"/>
      <c r="AC1180" s="920"/>
      <c r="AD1180" s="912"/>
      <c r="AE1180" s="912"/>
      <c r="AF1180" s="920"/>
      <c r="AG1180" s="920"/>
      <c r="AH1180" s="912"/>
      <c r="AI1180" s="912"/>
      <c r="AJ1180" s="920"/>
      <c r="AK1180" s="920"/>
      <c r="AL1180" s="905"/>
      <c r="AM1180" s="906"/>
      <c r="AN1180" s="906"/>
      <c r="AO1180" s="906"/>
      <c r="AP1180" s="906"/>
      <c r="AQ1180" s="906"/>
      <c r="AR1180" s="906"/>
      <c r="AS1180" s="906"/>
      <c r="AT1180" s="906"/>
      <c r="AU1180" s="906"/>
      <c r="AV1180" s="906"/>
      <c r="AW1180" s="906"/>
      <c r="AX1180" s="906"/>
      <c r="AY1180" s="906"/>
      <c r="AZ1180" s="906"/>
      <c r="BA1180" s="906"/>
      <c r="BB1180" s="907"/>
    </row>
    <row r="1181" spans="1:54" x14ac:dyDescent="0.25">
      <c r="A1181" s="13">
        <f t="shared" si="18"/>
        <v>1168</v>
      </c>
      <c r="B1181" s="914" t="str">
        <f>'refer admin discharge'!B1177</f>
        <v>x</v>
      </c>
      <c r="C1181" s="914"/>
      <c r="D1181" s="889" t="str">
        <f>'refer admin discharge'!D1177</f>
        <v>xx</v>
      </c>
      <c r="E1181" s="889"/>
      <c r="F1181" s="915" t="str">
        <f>'refer admin discharge'!H1177</f>
        <v>00/00/0000</v>
      </c>
      <c r="G1181" s="890"/>
      <c r="H1181" s="916"/>
      <c r="I1181" s="916"/>
      <c r="J1181" s="917"/>
      <c r="K1181" s="917"/>
      <c r="L1181" s="916"/>
      <c r="M1181" s="916"/>
      <c r="N1181" s="893"/>
      <c r="O1181" s="893"/>
      <c r="P1181" s="916"/>
      <c r="Q1181" s="916"/>
      <c r="R1181" s="893"/>
      <c r="S1181" s="893"/>
      <c r="T1181" s="916"/>
      <c r="U1181" s="916"/>
      <c r="V1181" s="921" t="str">
        <f>'refer admin discharge'!H1182</f>
        <v>00/00/0000</v>
      </c>
      <c r="W1181" s="922"/>
      <c r="X1181" s="912"/>
      <c r="Y1181" s="912"/>
      <c r="Z1181" s="924"/>
      <c r="AA1181" s="924"/>
      <c r="AB1181" s="912"/>
      <c r="AC1181" s="912"/>
      <c r="AD1181" s="913"/>
      <c r="AE1181" s="913"/>
      <c r="AF1181" s="912"/>
      <c r="AG1181" s="912"/>
      <c r="AH1181" s="913"/>
      <c r="AI1181" s="913"/>
      <c r="AJ1181" s="912"/>
      <c r="AK1181" s="912"/>
      <c r="AL1181" s="925"/>
      <c r="AM1181" s="926"/>
      <c r="AN1181" s="926"/>
      <c r="AO1181" s="926"/>
      <c r="AP1181" s="926"/>
      <c r="AQ1181" s="926"/>
      <c r="AR1181" s="926"/>
      <c r="AS1181" s="926"/>
      <c r="AT1181" s="926"/>
      <c r="AU1181" s="926"/>
      <c r="AV1181" s="926"/>
      <c r="AW1181" s="926"/>
      <c r="AX1181" s="926"/>
      <c r="AY1181" s="926"/>
      <c r="AZ1181" s="926"/>
      <c r="BA1181" s="926"/>
      <c r="BB1181" s="927"/>
    </row>
    <row r="1182" spans="1:54" x14ac:dyDescent="0.25">
      <c r="A1182" s="13">
        <f t="shared" si="18"/>
        <v>1169</v>
      </c>
      <c r="B1182" s="888" t="str">
        <f>'refer admin discharge'!B1178</f>
        <v>x</v>
      </c>
      <c r="C1182" s="888"/>
      <c r="D1182" s="868" t="str">
        <f>'refer admin discharge'!D1178</f>
        <v>xx</v>
      </c>
      <c r="E1182" s="868"/>
      <c r="F1182" s="891" t="str">
        <f>'refer admin discharge'!H1178</f>
        <v>00/00/0000</v>
      </c>
      <c r="G1182" s="892"/>
      <c r="H1182" s="894"/>
      <c r="I1182" s="894"/>
      <c r="J1182" s="918"/>
      <c r="K1182" s="918"/>
      <c r="L1182" s="894"/>
      <c r="M1182" s="894"/>
      <c r="N1182" s="916"/>
      <c r="O1182" s="916"/>
      <c r="P1182" s="894"/>
      <c r="Q1182" s="894"/>
      <c r="R1182" s="916"/>
      <c r="S1182" s="916"/>
      <c r="T1182" s="894"/>
      <c r="U1182" s="894"/>
      <c r="V1182" s="921" t="str">
        <f>'refer admin discharge'!H1183</f>
        <v>00/00/0000</v>
      </c>
      <c r="W1182" s="922"/>
      <c r="X1182" s="920"/>
      <c r="Y1182" s="920"/>
      <c r="Z1182" s="919"/>
      <c r="AA1182" s="919"/>
      <c r="AB1182" s="920"/>
      <c r="AC1182" s="920"/>
      <c r="AD1182" s="912"/>
      <c r="AE1182" s="912"/>
      <c r="AF1182" s="920"/>
      <c r="AG1182" s="920"/>
      <c r="AH1182" s="912"/>
      <c r="AI1182" s="912"/>
      <c r="AJ1182" s="920"/>
      <c r="AK1182" s="920"/>
      <c r="AL1182" s="905"/>
      <c r="AM1182" s="906"/>
      <c r="AN1182" s="906"/>
      <c r="AO1182" s="906"/>
      <c r="AP1182" s="906"/>
      <c r="AQ1182" s="906"/>
      <c r="AR1182" s="906"/>
      <c r="AS1182" s="906"/>
      <c r="AT1182" s="906"/>
      <c r="AU1182" s="906"/>
      <c r="AV1182" s="906"/>
      <c r="AW1182" s="906"/>
      <c r="AX1182" s="906"/>
      <c r="AY1182" s="906"/>
      <c r="AZ1182" s="906"/>
      <c r="BA1182" s="906"/>
      <c r="BB1182" s="907"/>
    </row>
    <row r="1183" spans="1:54" x14ac:dyDescent="0.25">
      <c r="A1183" s="13">
        <f t="shared" si="18"/>
        <v>1170</v>
      </c>
      <c r="B1183" s="914" t="str">
        <f>'refer admin discharge'!B1179</f>
        <v>x</v>
      </c>
      <c r="C1183" s="914"/>
      <c r="D1183" s="889" t="str">
        <f>'refer admin discharge'!D1179</f>
        <v>xx</v>
      </c>
      <c r="E1183" s="889"/>
      <c r="F1183" s="915" t="str">
        <f>'refer admin discharge'!H1179</f>
        <v>00/00/0000</v>
      </c>
      <c r="G1183" s="890"/>
      <c r="H1183" s="916"/>
      <c r="I1183" s="916"/>
      <c r="J1183" s="917"/>
      <c r="K1183" s="917"/>
      <c r="L1183" s="916"/>
      <c r="M1183" s="916"/>
      <c r="N1183" s="893"/>
      <c r="O1183" s="893"/>
      <c r="P1183" s="916"/>
      <c r="Q1183" s="916"/>
      <c r="R1183" s="893"/>
      <c r="S1183" s="893"/>
      <c r="T1183" s="916"/>
      <c r="U1183" s="916"/>
      <c r="V1183" s="921" t="str">
        <f>'refer admin discharge'!H1184</f>
        <v>00/00/0000</v>
      </c>
      <c r="W1183" s="922"/>
      <c r="X1183" s="912"/>
      <c r="Y1183" s="912"/>
      <c r="Z1183" s="924"/>
      <c r="AA1183" s="924"/>
      <c r="AB1183" s="912"/>
      <c r="AC1183" s="912"/>
      <c r="AD1183" s="913"/>
      <c r="AE1183" s="913"/>
      <c r="AF1183" s="912"/>
      <c r="AG1183" s="912"/>
      <c r="AH1183" s="913"/>
      <c r="AI1183" s="913"/>
      <c r="AJ1183" s="912"/>
      <c r="AK1183" s="912"/>
      <c r="AL1183" s="925"/>
      <c r="AM1183" s="926"/>
      <c r="AN1183" s="926"/>
      <c r="AO1183" s="926"/>
      <c r="AP1183" s="926"/>
      <c r="AQ1183" s="926"/>
      <c r="AR1183" s="926"/>
      <c r="AS1183" s="926"/>
      <c r="AT1183" s="926"/>
      <c r="AU1183" s="926"/>
      <c r="AV1183" s="926"/>
      <c r="AW1183" s="926"/>
      <c r="AX1183" s="926"/>
      <c r="AY1183" s="926"/>
      <c r="AZ1183" s="926"/>
      <c r="BA1183" s="926"/>
      <c r="BB1183" s="927"/>
    </row>
    <row r="1184" spans="1:54" x14ac:dyDescent="0.25">
      <c r="A1184" s="13">
        <f t="shared" si="18"/>
        <v>1171</v>
      </c>
      <c r="B1184" s="888" t="str">
        <f>'refer admin discharge'!B1180</f>
        <v>x</v>
      </c>
      <c r="C1184" s="888"/>
      <c r="D1184" s="868" t="str">
        <f>'refer admin discharge'!D1180</f>
        <v>xx</v>
      </c>
      <c r="E1184" s="868"/>
      <c r="F1184" s="891" t="str">
        <f>'refer admin discharge'!H1180</f>
        <v>00/00/0000</v>
      </c>
      <c r="G1184" s="892"/>
      <c r="H1184" s="894"/>
      <c r="I1184" s="894"/>
      <c r="J1184" s="918"/>
      <c r="K1184" s="918"/>
      <c r="L1184" s="894"/>
      <c r="M1184" s="894"/>
      <c r="N1184" s="916"/>
      <c r="O1184" s="916"/>
      <c r="P1184" s="894"/>
      <c r="Q1184" s="894"/>
      <c r="R1184" s="916"/>
      <c r="S1184" s="916"/>
      <c r="T1184" s="894"/>
      <c r="U1184" s="894"/>
      <c r="V1184" s="921" t="str">
        <f>'refer admin discharge'!H1185</f>
        <v>00/00/0000</v>
      </c>
      <c r="W1184" s="922"/>
      <c r="X1184" s="920"/>
      <c r="Y1184" s="920"/>
      <c r="Z1184" s="919"/>
      <c r="AA1184" s="919"/>
      <c r="AB1184" s="920"/>
      <c r="AC1184" s="920"/>
      <c r="AD1184" s="912"/>
      <c r="AE1184" s="912"/>
      <c r="AF1184" s="920"/>
      <c r="AG1184" s="920"/>
      <c r="AH1184" s="912"/>
      <c r="AI1184" s="912"/>
      <c r="AJ1184" s="920"/>
      <c r="AK1184" s="920"/>
      <c r="AL1184" s="905"/>
      <c r="AM1184" s="906"/>
      <c r="AN1184" s="906"/>
      <c r="AO1184" s="906"/>
      <c r="AP1184" s="906"/>
      <c r="AQ1184" s="906"/>
      <c r="AR1184" s="906"/>
      <c r="AS1184" s="906"/>
      <c r="AT1184" s="906"/>
      <c r="AU1184" s="906"/>
      <c r="AV1184" s="906"/>
      <c r="AW1184" s="906"/>
      <c r="AX1184" s="906"/>
      <c r="AY1184" s="906"/>
      <c r="AZ1184" s="906"/>
      <c r="BA1184" s="906"/>
      <c r="BB1184" s="907"/>
    </row>
    <row r="1185" spans="1:54" x14ac:dyDescent="0.25">
      <c r="A1185" s="13">
        <f t="shared" si="18"/>
        <v>1172</v>
      </c>
      <c r="B1185" s="914" t="str">
        <f>'refer admin discharge'!B1181</f>
        <v>x</v>
      </c>
      <c r="C1185" s="914"/>
      <c r="D1185" s="889" t="str">
        <f>'refer admin discharge'!D1181</f>
        <v>xx</v>
      </c>
      <c r="E1185" s="889"/>
      <c r="F1185" s="915" t="str">
        <f>'refer admin discharge'!H1181</f>
        <v>00/00/0000</v>
      </c>
      <c r="G1185" s="890"/>
      <c r="H1185" s="916"/>
      <c r="I1185" s="916"/>
      <c r="J1185" s="917"/>
      <c r="K1185" s="917"/>
      <c r="L1185" s="916"/>
      <c r="M1185" s="916"/>
      <c r="N1185" s="893"/>
      <c r="O1185" s="893"/>
      <c r="P1185" s="916"/>
      <c r="Q1185" s="916"/>
      <c r="R1185" s="893"/>
      <c r="S1185" s="893"/>
      <c r="T1185" s="916"/>
      <c r="U1185" s="916"/>
      <c r="V1185" s="921" t="str">
        <f>'refer admin discharge'!H1186</f>
        <v>00/00/0000</v>
      </c>
      <c r="W1185" s="922"/>
      <c r="X1185" s="912"/>
      <c r="Y1185" s="912"/>
      <c r="Z1185" s="924"/>
      <c r="AA1185" s="924"/>
      <c r="AB1185" s="912"/>
      <c r="AC1185" s="912"/>
      <c r="AD1185" s="913"/>
      <c r="AE1185" s="913"/>
      <c r="AF1185" s="912"/>
      <c r="AG1185" s="912"/>
      <c r="AH1185" s="913"/>
      <c r="AI1185" s="913"/>
      <c r="AJ1185" s="912"/>
      <c r="AK1185" s="912"/>
      <c r="AL1185" s="925"/>
      <c r="AM1185" s="926"/>
      <c r="AN1185" s="926"/>
      <c r="AO1185" s="926"/>
      <c r="AP1185" s="926"/>
      <c r="AQ1185" s="926"/>
      <c r="AR1185" s="926"/>
      <c r="AS1185" s="926"/>
      <c r="AT1185" s="926"/>
      <c r="AU1185" s="926"/>
      <c r="AV1185" s="926"/>
      <c r="AW1185" s="926"/>
      <c r="AX1185" s="926"/>
      <c r="AY1185" s="926"/>
      <c r="AZ1185" s="926"/>
      <c r="BA1185" s="926"/>
      <c r="BB1185" s="927"/>
    </row>
    <row r="1186" spans="1:54" x14ac:dyDescent="0.25">
      <c r="A1186" s="13">
        <f t="shared" si="18"/>
        <v>1173</v>
      </c>
      <c r="B1186" s="888" t="str">
        <f>'refer admin discharge'!B1182</f>
        <v>x</v>
      </c>
      <c r="C1186" s="888"/>
      <c r="D1186" s="868" t="str">
        <f>'refer admin discharge'!D1182</f>
        <v>xx</v>
      </c>
      <c r="E1186" s="868"/>
      <c r="F1186" s="891" t="str">
        <f>'refer admin discharge'!H1182</f>
        <v>00/00/0000</v>
      </c>
      <c r="G1186" s="892"/>
      <c r="H1186" s="894"/>
      <c r="I1186" s="894"/>
      <c r="J1186" s="918"/>
      <c r="K1186" s="918"/>
      <c r="L1186" s="894"/>
      <c r="M1186" s="894"/>
      <c r="N1186" s="916"/>
      <c r="O1186" s="916"/>
      <c r="P1186" s="894"/>
      <c r="Q1186" s="894"/>
      <c r="R1186" s="916"/>
      <c r="S1186" s="916"/>
      <c r="T1186" s="894"/>
      <c r="U1186" s="894"/>
      <c r="V1186" s="921" t="str">
        <f>'refer admin discharge'!H1187</f>
        <v>00/00/0000</v>
      </c>
      <c r="W1186" s="922"/>
      <c r="X1186" s="920"/>
      <c r="Y1186" s="920"/>
      <c r="Z1186" s="919"/>
      <c r="AA1186" s="919"/>
      <c r="AB1186" s="920"/>
      <c r="AC1186" s="920"/>
      <c r="AD1186" s="912"/>
      <c r="AE1186" s="912"/>
      <c r="AF1186" s="920"/>
      <c r="AG1186" s="920"/>
      <c r="AH1186" s="912"/>
      <c r="AI1186" s="912"/>
      <c r="AJ1186" s="920"/>
      <c r="AK1186" s="920"/>
      <c r="AL1186" s="905"/>
      <c r="AM1186" s="906"/>
      <c r="AN1186" s="906"/>
      <c r="AO1186" s="906"/>
      <c r="AP1186" s="906"/>
      <c r="AQ1186" s="906"/>
      <c r="AR1186" s="906"/>
      <c r="AS1186" s="906"/>
      <c r="AT1186" s="906"/>
      <c r="AU1186" s="906"/>
      <c r="AV1186" s="906"/>
      <c r="AW1186" s="906"/>
      <c r="AX1186" s="906"/>
      <c r="AY1186" s="906"/>
      <c r="AZ1186" s="906"/>
      <c r="BA1186" s="906"/>
      <c r="BB1186" s="907"/>
    </row>
    <row r="1187" spans="1:54" x14ac:dyDescent="0.25">
      <c r="A1187" s="13">
        <f t="shared" si="18"/>
        <v>1174</v>
      </c>
      <c r="B1187" s="914" t="str">
        <f>'refer admin discharge'!B1183</f>
        <v>x</v>
      </c>
      <c r="C1187" s="914"/>
      <c r="D1187" s="889" t="str">
        <f>'refer admin discharge'!D1183</f>
        <v>xx</v>
      </c>
      <c r="E1187" s="889"/>
      <c r="F1187" s="915" t="str">
        <f>'refer admin discharge'!H1183</f>
        <v>00/00/0000</v>
      </c>
      <c r="G1187" s="890"/>
      <c r="H1187" s="916"/>
      <c r="I1187" s="916"/>
      <c r="J1187" s="917"/>
      <c r="K1187" s="917"/>
      <c r="L1187" s="916"/>
      <c r="M1187" s="916"/>
      <c r="N1187" s="893"/>
      <c r="O1187" s="893"/>
      <c r="P1187" s="916"/>
      <c r="Q1187" s="916"/>
      <c r="R1187" s="893"/>
      <c r="S1187" s="893"/>
      <c r="T1187" s="916"/>
      <c r="U1187" s="916"/>
      <c r="V1187" s="921" t="str">
        <f>'refer admin discharge'!H1188</f>
        <v>00/00/0000</v>
      </c>
      <c r="W1187" s="922"/>
      <c r="X1187" s="912"/>
      <c r="Y1187" s="912"/>
      <c r="Z1187" s="924"/>
      <c r="AA1187" s="924"/>
      <c r="AB1187" s="912"/>
      <c r="AC1187" s="912"/>
      <c r="AD1187" s="913"/>
      <c r="AE1187" s="913"/>
      <c r="AF1187" s="912"/>
      <c r="AG1187" s="912"/>
      <c r="AH1187" s="913"/>
      <c r="AI1187" s="913"/>
      <c r="AJ1187" s="912"/>
      <c r="AK1187" s="912"/>
      <c r="AL1187" s="925"/>
      <c r="AM1187" s="926"/>
      <c r="AN1187" s="926"/>
      <c r="AO1187" s="926"/>
      <c r="AP1187" s="926"/>
      <c r="AQ1187" s="926"/>
      <c r="AR1187" s="926"/>
      <c r="AS1187" s="926"/>
      <c r="AT1187" s="926"/>
      <c r="AU1187" s="926"/>
      <c r="AV1187" s="926"/>
      <c r="AW1187" s="926"/>
      <c r="AX1187" s="926"/>
      <c r="AY1187" s="926"/>
      <c r="AZ1187" s="926"/>
      <c r="BA1187" s="926"/>
      <c r="BB1187" s="927"/>
    </row>
    <row r="1188" spans="1:54" x14ac:dyDescent="0.25">
      <c r="A1188" s="13">
        <f t="shared" si="18"/>
        <v>1175</v>
      </c>
      <c r="B1188" s="888" t="str">
        <f>'refer admin discharge'!B1184</f>
        <v>x</v>
      </c>
      <c r="C1188" s="888"/>
      <c r="D1188" s="868" t="str">
        <f>'refer admin discharge'!D1184</f>
        <v>xx</v>
      </c>
      <c r="E1188" s="868"/>
      <c r="F1188" s="891" t="str">
        <f>'refer admin discharge'!H1184</f>
        <v>00/00/0000</v>
      </c>
      <c r="G1188" s="892"/>
      <c r="H1188" s="894"/>
      <c r="I1188" s="894"/>
      <c r="J1188" s="918"/>
      <c r="K1188" s="918"/>
      <c r="L1188" s="894"/>
      <c r="M1188" s="894"/>
      <c r="N1188" s="916"/>
      <c r="O1188" s="916"/>
      <c r="P1188" s="894"/>
      <c r="Q1188" s="894"/>
      <c r="R1188" s="916"/>
      <c r="S1188" s="916"/>
      <c r="T1188" s="894"/>
      <c r="U1188" s="894"/>
      <c r="V1188" s="921" t="str">
        <f>'refer admin discharge'!H1189</f>
        <v>00/00/0000</v>
      </c>
      <c r="W1188" s="922"/>
      <c r="X1188" s="920"/>
      <c r="Y1188" s="920"/>
      <c r="Z1188" s="919"/>
      <c r="AA1188" s="919"/>
      <c r="AB1188" s="920"/>
      <c r="AC1188" s="920"/>
      <c r="AD1188" s="912"/>
      <c r="AE1188" s="912"/>
      <c r="AF1188" s="920"/>
      <c r="AG1188" s="920"/>
      <c r="AH1188" s="912"/>
      <c r="AI1188" s="912"/>
      <c r="AJ1188" s="920"/>
      <c r="AK1188" s="920"/>
      <c r="AL1188" s="905"/>
      <c r="AM1188" s="906"/>
      <c r="AN1188" s="906"/>
      <c r="AO1188" s="906"/>
      <c r="AP1188" s="906"/>
      <c r="AQ1188" s="906"/>
      <c r="AR1188" s="906"/>
      <c r="AS1188" s="906"/>
      <c r="AT1188" s="906"/>
      <c r="AU1188" s="906"/>
      <c r="AV1188" s="906"/>
      <c r="AW1188" s="906"/>
      <c r="AX1188" s="906"/>
      <c r="AY1188" s="906"/>
      <c r="AZ1188" s="906"/>
      <c r="BA1188" s="906"/>
      <c r="BB1188" s="907"/>
    </row>
    <row r="1189" spans="1:54" x14ac:dyDescent="0.25">
      <c r="A1189" s="13">
        <f t="shared" si="18"/>
        <v>1176</v>
      </c>
      <c r="B1189" s="914" t="str">
        <f>'refer admin discharge'!B1185</f>
        <v>x</v>
      </c>
      <c r="C1189" s="914"/>
      <c r="D1189" s="889" t="str">
        <f>'refer admin discharge'!D1185</f>
        <v>xx</v>
      </c>
      <c r="E1189" s="889"/>
      <c r="F1189" s="915" t="str">
        <f>'refer admin discharge'!H1185</f>
        <v>00/00/0000</v>
      </c>
      <c r="G1189" s="890"/>
      <c r="H1189" s="916"/>
      <c r="I1189" s="916"/>
      <c r="J1189" s="917"/>
      <c r="K1189" s="917"/>
      <c r="L1189" s="916"/>
      <c r="M1189" s="916"/>
      <c r="N1189" s="893"/>
      <c r="O1189" s="893"/>
      <c r="P1189" s="916"/>
      <c r="Q1189" s="916"/>
      <c r="R1189" s="893"/>
      <c r="S1189" s="893"/>
      <c r="T1189" s="916"/>
      <c r="U1189" s="916"/>
      <c r="V1189" s="921" t="str">
        <f>'refer admin discharge'!H1190</f>
        <v>00/00/0000</v>
      </c>
      <c r="W1189" s="922"/>
      <c r="X1189" s="912"/>
      <c r="Y1189" s="912"/>
      <c r="Z1189" s="924"/>
      <c r="AA1189" s="924"/>
      <c r="AB1189" s="912"/>
      <c r="AC1189" s="912"/>
      <c r="AD1189" s="913"/>
      <c r="AE1189" s="913"/>
      <c r="AF1189" s="912"/>
      <c r="AG1189" s="912"/>
      <c r="AH1189" s="913"/>
      <c r="AI1189" s="913"/>
      <c r="AJ1189" s="912"/>
      <c r="AK1189" s="912"/>
      <c r="AL1189" s="925"/>
      <c r="AM1189" s="926"/>
      <c r="AN1189" s="926"/>
      <c r="AO1189" s="926"/>
      <c r="AP1189" s="926"/>
      <c r="AQ1189" s="926"/>
      <c r="AR1189" s="926"/>
      <c r="AS1189" s="926"/>
      <c r="AT1189" s="926"/>
      <c r="AU1189" s="926"/>
      <c r="AV1189" s="926"/>
      <c r="AW1189" s="926"/>
      <c r="AX1189" s="926"/>
      <c r="AY1189" s="926"/>
      <c r="AZ1189" s="926"/>
      <c r="BA1189" s="926"/>
      <c r="BB1189" s="927"/>
    </row>
    <row r="1190" spans="1:54" x14ac:dyDescent="0.25">
      <c r="A1190" s="13">
        <f t="shared" si="18"/>
        <v>1177</v>
      </c>
      <c r="B1190" s="888" t="str">
        <f>'refer admin discharge'!B1186</f>
        <v>x</v>
      </c>
      <c r="C1190" s="888"/>
      <c r="D1190" s="868" t="str">
        <f>'refer admin discharge'!D1186</f>
        <v>xx</v>
      </c>
      <c r="E1190" s="868"/>
      <c r="F1190" s="891" t="str">
        <f>'refer admin discharge'!H1186</f>
        <v>00/00/0000</v>
      </c>
      <c r="G1190" s="892"/>
      <c r="H1190" s="894"/>
      <c r="I1190" s="894"/>
      <c r="J1190" s="918"/>
      <c r="K1190" s="918"/>
      <c r="L1190" s="894"/>
      <c r="M1190" s="894"/>
      <c r="N1190" s="916"/>
      <c r="O1190" s="916"/>
      <c r="P1190" s="894"/>
      <c r="Q1190" s="894"/>
      <c r="R1190" s="916"/>
      <c r="S1190" s="916"/>
      <c r="T1190" s="894"/>
      <c r="U1190" s="894"/>
      <c r="V1190" s="921" t="str">
        <f>'refer admin discharge'!H1191</f>
        <v>00/00/0000</v>
      </c>
      <c r="W1190" s="922"/>
      <c r="X1190" s="920"/>
      <c r="Y1190" s="920"/>
      <c r="Z1190" s="919"/>
      <c r="AA1190" s="919"/>
      <c r="AB1190" s="920"/>
      <c r="AC1190" s="920"/>
      <c r="AD1190" s="912"/>
      <c r="AE1190" s="912"/>
      <c r="AF1190" s="920"/>
      <c r="AG1190" s="920"/>
      <c r="AH1190" s="912"/>
      <c r="AI1190" s="912"/>
      <c r="AJ1190" s="920"/>
      <c r="AK1190" s="920"/>
      <c r="AL1190" s="905"/>
      <c r="AM1190" s="906"/>
      <c r="AN1190" s="906"/>
      <c r="AO1190" s="906"/>
      <c r="AP1190" s="906"/>
      <c r="AQ1190" s="906"/>
      <c r="AR1190" s="906"/>
      <c r="AS1190" s="906"/>
      <c r="AT1190" s="906"/>
      <c r="AU1190" s="906"/>
      <c r="AV1190" s="906"/>
      <c r="AW1190" s="906"/>
      <c r="AX1190" s="906"/>
      <c r="AY1190" s="906"/>
      <c r="AZ1190" s="906"/>
      <c r="BA1190" s="906"/>
      <c r="BB1190" s="907"/>
    </row>
    <row r="1191" spans="1:54" x14ac:dyDescent="0.25">
      <c r="A1191" s="13">
        <f t="shared" si="18"/>
        <v>1178</v>
      </c>
      <c r="B1191" s="914" t="str">
        <f>'refer admin discharge'!B1187</f>
        <v>x</v>
      </c>
      <c r="C1191" s="914"/>
      <c r="D1191" s="889" t="str">
        <f>'refer admin discharge'!D1187</f>
        <v>xx</v>
      </c>
      <c r="E1191" s="889"/>
      <c r="F1191" s="915" t="str">
        <f>'refer admin discharge'!H1187</f>
        <v>00/00/0000</v>
      </c>
      <c r="G1191" s="890"/>
      <c r="H1191" s="916"/>
      <c r="I1191" s="916"/>
      <c r="J1191" s="917"/>
      <c r="K1191" s="917"/>
      <c r="L1191" s="916"/>
      <c r="M1191" s="916"/>
      <c r="N1191" s="893"/>
      <c r="O1191" s="893"/>
      <c r="P1191" s="916"/>
      <c r="Q1191" s="916"/>
      <c r="R1191" s="893"/>
      <c r="S1191" s="893"/>
      <c r="T1191" s="916"/>
      <c r="U1191" s="916"/>
      <c r="V1191" s="921" t="str">
        <f>'refer admin discharge'!H1192</f>
        <v>00/00/0000</v>
      </c>
      <c r="W1191" s="922"/>
      <c r="X1191" s="912"/>
      <c r="Y1191" s="912"/>
      <c r="Z1191" s="924"/>
      <c r="AA1191" s="924"/>
      <c r="AB1191" s="912"/>
      <c r="AC1191" s="912"/>
      <c r="AD1191" s="913"/>
      <c r="AE1191" s="913"/>
      <c r="AF1191" s="912"/>
      <c r="AG1191" s="912"/>
      <c r="AH1191" s="913"/>
      <c r="AI1191" s="913"/>
      <c r="AJ1191" s="912"/>
      <c r="AK1191" s="912"/>
      <c r="AL1191" s="925"/>
      <c r="AM1191" s="926"/>
      <c r="AN1191" s="926"/>
      <c r="AO1191" s="926"/>
      <c r="AP1191" s="926"/>
      <c r="AQ1191" s="926"/>
      <c r="AR1191" s="926"/>
      <c r="AS1191" s="926"/>
      <c r="AT1191" s="926"/>
      <c r="AU1191" s="926"/>
      <c r="AV1191" s="926"/>
      <c r="AW1191" s="926"/>
      <c r="AX1191" s="926"/>
      <c r="AY1191" s="926"/>
      <c r="AZ1191" s="926"/>
      <c r="BA1191" s="926"/>
      <c r="BB1191" s="927"/>
    </row>
    <row r="1192" spans="1:54" x14ac:dyDescent="0.25">
      <c r="A1192" s="13">
        <f t="shared" si="18"/>
        <v>1179</v>
      </c>
      <c r="B1192" s="888" t="str">
        <f>'refer admin discharge'!B1188</f>
        <v>x</v>
      </c>
      <c r="C1192" s="888"/>
      <c r="D1192" s="868" t="str">
        <f>'refer admin discharge'!D1188</f>
        <v>xx</v>
      </c>
      <c r="E1192" s="868"/>
      <c r="F1192" s="891" t="str">
        <f>'refer admin discharge'!H1188</f>
        <v>00/00/0000</v>
      </c>
      <c r="G1192" s="892"/>
      <c r="H1192" s="894"/>
      <c r="I1192" s="894"/>
      <c r="J1192" s="918"/>
      <c r="K1192" s="918"/>
      <c r="L1192" s="894"/>
      <c r="M1192" s="894"/>
      <c r="N1192" s="916"/>
      <c r="O1192" s="916"/>
      <c r="P1192" s="894"/>
      <c r="Q1192" s="894"/>
      <c r="R1192" s="916"/>
      <c r="S1192" s="916"/>
      <c r="T1192" s="894"/>
      <c r="U1192" s="894"/>
      <c r="V1192" s="921" t="str">
        <f>'refer admin discharge'!H1193</f>
        <v>00/00/0000</v>
      </c>
      <c r="W1192" s="922"/>
      <c r="X1192" s="920"/>
      <c r="Y1192" s="920"/>
      <c r="Z1192" s="919"/>
      <c r="AA1192" s="919"/>
      <c r="AB1192" s="920"/>
      <c r="AC1192" s="920"/>
      <c r="AD1192" s="912"/>
      <c r="AE1192" s="912"/>
      <c r="AF1192" s="920"/>
      <c r="AG1192" s="920"/>
      <c r="AH1192" s="912"/>
      <c r="AI1192" s="912"/>
      <c r="AJ1192" s="920"/>
      <c r="AK1192" s="920"/>
      <c r="AL1192" s="905"/>
      <c r="AM1192" s="906"/>
      <c r="AN1192" s="906"/>
      <c r="AO1192" s="906"/>
      <c r="AP1192" s="906"/>
      <c r="AQ1192" s="906"/>
      <c r="AR1192" s="906"/>
      <c r="AS1192" s="906"/>
      <c r="AT1192" s="906"/>
      <c r="AU1192" s="906"/>
      <c r="AV1192" s="906"/>
      <c r="AW1192" s="906"/>
      <c r="AX1192" s="906"/>
      <c r="AY1192" s="906"/>
      <c r="AZ1192" s="906"/>
      <c r="BA1192" s="906"/>
      <c r="BB1192" s="907"/>
    </row>
    <row r="1193" spans="1:54" x14ac:dyDescent="0.25">
      <c r="A1193" s="13">
        <f t="shared" si="18"/>
        <v>1180</v>
      </c>
      <c r="B1193" s="914" t="str">
        <f>'refer admin discharge'!B1189</f>
        <v>x</v>
      </c>
      <c r="C1193" s="914"/>
      <c r="D1193" s="889" t="str">
        <f>'refer admin discharge'!D1189</f>
        <v>xx</v>
      </c>
      <c r="E1193" s="889"/>
      <c r="F1193" s="915" t="str">
        <f>'refer admin discharge'!H1189</f>
        <v>00/00/0000</v>
      </c>
      <c r="G1193" s="890"/>
      <c r="H1193" s="916"/>
      <c r="I1193" s="916"/>
      <c r="J1193" s="917"/>
      <c r="K1193" s="917"/>
      <c r="L1193" s="916"/>
      <c r="M1193" s="916"/>
      <c r="N1193" s="893"/>
      <c r="O1193" s="893"/>
      <c r="P1193" s="916"/>
      <c r="Q1193" s="916"/>
      <c r="R1193" s="893"/>
      <c r="S1193" s="893"/>
      <c r="T1193" s="916"/>
      <c r="U1193" s="916"/>
      <c r="V1193" s="921" t="str">
        <f>'refer admin discharge'!H1194</f>
        <v>00/00/0000</v>
      </c>
      <c r="W1193" s="922"/>
      <c r="X1193" s="912"/>
      <c r="Y1193" s="912"/>
      <c r="Z1193" s="924"/>
      <c r="AA1193" s="924"/>
      <c r="AB1193" s="912"/>
      <c r="AC1193" s="912"/>
      <c r="AD1193" s="913"/>
      <c r="AE1193" s="913"/>
      <c r="AF1193" s="912"/>
      <c r="AG1193" s="912"/>
      <c r="AH1193" s="913"/>
      <c r="AI1193" s="913"/>
      <c r="AJ1193" s="912"/>
      <c r="AK1193" s="912"/>
      <c r="AL1193" s="925"/>
      <c r="AM1193" s="926"/>
      <c r="AN1193" s="926"/>
      <c r="AO1193" s="926"/>
      <c r="AP1193" s="926"/>
      <c r="AQ1193" s="926"/>
      <c r="AR1193" s="926"/>
      <c r="AS1193" s="926"/>
      <c r="AT1193" s="926"/>
      <c r="AU1193" s="926"/>
      <c r="AV1193" s="926"/>
      <c r="AW1193" s="926"/>
      <c r="AX1193" s="926"/>
      <c r="AY1193" s="926"/>
      <c r="AZ1193" s="926"/>
      <c r="BA1193" s="926"/>
      <c r="BB1193" s="927"/>
    </row>
    <row r="1194" spans="1:54" x14ac:dyDescent="0.25">
      <c r="A1194" s="13">
        <f t="shared" si="18"/>
        <v>1181</v>
      </c>
      <c r="B1194" s="888" t="str">
        <f>'refer admin discharge'!B1190</f>
        <v>x</v>
      </c>
      <c r="C1194" s="888"/>
      <c r="D1194" s="868" t="str">
        <f>'refer admin discharge'!D1190</f>
        <v>xx</v>
      </c>
      <c r="E1194" s="868"/>
      <c r="F1194" s="891" t="str">
        <f>'refer admin discharge'!H1190</f>
        <v>00/00/0000</v>
      </c>
      <c r="G1194" s="892"/>
      <c r="H1194" s="894"/>
      <c r="I1194" s="894"/>
      <c r="J1194" s="918"/>
      <c r="K1194" s="918"/>
      <c r="L1194" s="894"/>
      <c r="M1194" s="894"/>
      <c r="N1194" s="916"/>
      <c r="O1194" s="916"/>
      <c r="P1194" s="894"/>
      <c r="Q1194" s="894"/>
      <c r="R1194" s="916"/>
      <c r="S1194" s="916"/>
      <c r="T1194" s="894"/>
      <c r="U1194" s="894"/>
      <c r="V1194" s="921" t="str">
        <f>'refer admin discharge'!H1195</f>
        <v>00/00/0000</v>
      </c>
      <c r="W1194" s="922"/>
      <c r="X1194" s="920"/>
      <c r="Y1194" s="920"/>
      <c r="Z1194" s="919"/>
      <c r="AA1194" s="919"/>
      <c r="AB1194" s="920"/>
      <c r="AC1194" s="920"/>
      <c r="AD1194" s="912"/>
      <c r="AE1194" s="912"/>
      <c r="AF1194" s="920"/>
      <c r="AG1194" s="920"/>
      <c r="AH1194" s="912"/>
      <c r="AI1194" s="912"/>
      <c r="AJ1194" s="920"/>
      <c r="AK1194" s="920"/>
      <c r="AL1194" s="905"/>
      <c r="AM1194" s="906"/>
      <c r="AN1194" s="906"/>
      <c r="AO1194" s="906"/>
      <c r="AP1194" s="906"/>
      <c r="AQ1194" s="906"/>
      <c r="AR1194" s="906"/>
      <c r="AS1194" s="906"/>
      <c r="AT1194" s="906"/>
      <c r="AU1194" s="906"/>
      <c r="AV1194" s="906"/>
      <c r="AW1194" s="906"/>
      <c r="AX1194" s="906"/>
      <c r="AY1194" s="906"/>
      <c r="AZ1194" s="906"/>
      <c r="BA1194" s="906"/>
      <c r="BB1194" s="907"/>
    </row>
    <row r="1195" spans="1:54" x14ac:dyDescent="0.25">
      <c r="A1195" s="13">
        <f t="shared" si="18"/>
        <v>1182</v>
      </c>
      <c r="B1195" s="914" t="str">
        <f>'refer admin discharge'!B1191</f>
        <v>x</v>
      </c>
      <c r="C1195" s="914"/>
      <c r="D1195" s="889" t="str">
        <f>'refer admin discharge'!D1191</f>
        <v>xx</v>
      </c>
      <c r="E1195" s="889"/>
      <c r="F1195" s="915" t="str">
        <f>'refer admin discharge'!H1191</f>
        <v>00/00/0000</v>
      </c>
      <c r="G1195" s="890"/>
      <c r="H1195" s="916"/>
      <c r="I1195" s="916"/>
      <c r="J1195" s="917"/>
      <c r="K1195" s="917"/>
      <c r="L1195" s="916"/>
      <c r="M1195" s="916"/>
      <c r="N1195" s="893"/>
      <c r="O1195" s="893"/>
      <c r="P1195" s="916"/>
      <c r="Q1195" s="916"/>
      <c r="R1195" s="893"/>
      <c r="S1195" s="893"/>
      <c r="T1195" s="916"/>
      <c r="U1195" s="916"/>
      <c r="V1195" s="921" t="str">
        <f>'refer admin discharge'!H1196</f>
        <v>00/00/0000</v>
      </c>
      <c r="W1195" s="922"/>
      <c r="X1195" s="912"/>
      <c r="Y1195" s="912"/>
      <c r="Z1195" s="924"/>
      <c r="AA1195" s="924"/>
      <c r="AB1195" s="912"/>
      <c r="AC1195" s="912"/>
      <c r="AD1195" s="913"/>
      <c r="AE1195" s="913"/>
      <c r="AF1195" s="912"/>
      <c r="AG1195" s="912"/>
      <c r="AH1195" s="913"/>
      <c r="AI1195" s="913"/>
      <c r="AJ1195" s="912"/>
      <c r="AK1195" s="912"/>
      <c r="AL1195" s="925"/>
      <c r="AM1195" s="926"/>
      <c r="AN1195" s="926"/>
      <c r="AO1195" s="926"/>
      <c r="AP1195" s="926"/>
      <c r="AQ1195" s="926"/>
      <c r="AR1195" s="926"/>
      <c r="AS1195" s="926"/>
      <c r="AT1195" s="926"/>
      <c r="AU1195" s="926"/>
      <c r="AV1195" s="926"/>
      <c r="AW1195" s="926"/>
      <c r="AX1195" s="926"/>
      <c r="AY1195" s="926"/>
      <c r="AZ1195" s="926"/>
      <c r="BA1195" s="926"/>
      <c r="BB1195" s="927"/>
    </row>
    <row r="1196" spans="1:54" x14ac:dyDescent="0.25">
      <c r="A1196" s="13">
        <f t="shared" si="18"/>
        <v>1183</v>
      </c>
      <c r="B1196" s="888" t="str">
        <f>'refer admin discharge'!B1192</f>
        <v>x</v>
      </c>
      <c r="C1196" s="888"/>
      <c r="D1196" s="868" t="str">
        <f>'refer admin discharge'!D1192</f>
        <v>xx</v>
      </c>
      <c r="E1196" s="868"/>
      <c r="F1196" s="891" t="str">
        <f>'refer admin discharge'!H1192</f>
        <v>00/00/0000</v>
      </c>
      <c r="G1196" s="892"/>
      <c r="H1196" s="894"/>
      <c r="I1196" s="894"/>
      <c r="J1196" s="918"/>
      <c r="K1196" s="918"/>
      <c r="L1196" s="894"/>
      <c r="M1196" s="894"/>
      <c r="N1196" s="916"/>
      <c r="O1196" s="916"/>
      <c r="P1196" s="894"/>
      <c r="Q1196" s="894"/>
      <c r="R1196" s="916"/>
      <c r="S1196" s="916"/>
      <c r="T1196" s="894"/>
      <c r="U1196" s="894"/>
      <c r="V1196" s="921" t="str">
        <f>'refer admin discharge'!H1197</f>
        <v>00/00/0000</v>
      </c>
      <c r="W1196" s="922"/>
      <c r="X1196" s="920"/>
      <c r="Y1196" s="920"/>
      <c r="Z1196" s="919"/>
      <c r="AA1196" s="919"/>
      <c r="AB1196" s="920"/>
      <c r="AC1196" s="920"/>
      <c r="AD1196" s="912"/>
      <c r="AE1196" s="912"/>
      <c r="AF1196" s="920"/>
      <c r="AG1196" s="920"/>
      <c r="AH1196" s="912"/>
      <c r="AI1196" s="912"/>
      <c r="AJ1196" s="920"/>
      <c r="AK1196" s="920"/>
      <c r="AL1196" s="905"/>
      <c r="AM1196" s="906"/>
      <c r="AN1196" s="906"/>
      <c r="AO1196" s="906"/>
      <c r="AP1196" s="906"/>
      <c r="AQ1196" s="906"/>
      <c r="AR1196" s="906"/>
      <c r="AS1196" s="906"/>
      <c r="AT1196" s="906"/>
      <c r="AU1196" s="906"/>
      <c r="AV1196" s="906"/>
      <c r="AW1196" s="906"/>
      <c r="AX1196" s="906"/>
      <c r="AY1196" s="906"/>
      <c r="AZ1196" s="906"/>
      <c r="BA1196" s="906"/>
      <c r="BB1196" s="907"/>
    </row>
    <row r="1197" spans="1:54" x14ac:dyDescent="0.25">
      <c r="A1197" s="13">
        <f t="shared" si="18"/>
        <v>1184</v>
      </c>
      <c r="B1197" s="914" t="str">
        <f>'refer admin discharge'!B1193</f>
        <v>x</v>
      </c>
      <c r="C1197" s="914"/>
      <c r="D1197" s="889" t="str">
        <f>'refer admin discharge'!D1193</f>
        <v>xx</v>
      </c>
      <c r="E1197" s="889"/>
      <c r="F1197" s="915" t="str">
        <f>'refer admin discharge'!H1193</f>
        <v>00/00/0000</v>
      </c>
      <c r="G1197" s="890"/>
      <c r="H1197" s="916"/>
      <c r="I1197" s="916"/>
      <c r="J1197" s="917"/>
      <c r="K1197" s="917"/>
      <c r="L1197" s="916"/>
      <c r="M1197" s="916"/>
      <c r="N1197" s="893"/>
      <c r="O1197" s="893"/>
      <c r="P1197" s="916"/>
      <c r="Q1197" s="916"/>
      <c r="R1197" s="893"/>
      <c r="S1197" s="893"/>
      <c r="T1197" s="916"/>
      <c r="U1197" s="916"/>
      <c r="V1197" s="921" t="str">
        <f>'refer admin discharge'!H1198</f>
        <v>00/00/0000</v>
      </c>
      <c r="W1197" s="922"/>
      <c r="X1197" s="912"/>
      <c r="Y1197" s="912"/>
      <c r="Z1197" s="924"/>
      <c r="AA1197" s="924"/>
      <c r="AB1197" s="912"/>
      <c r="AC1197" s="912"/>
      <c r="AD1197" s="913"/>
      <c r="AE1197" s="913"/>
      <c r="AF1197" s="912"/>
      <c r="AG1197" s="912"/>
      <c r="AH1197" s="913"/>
      <c r="AI1197" s="913"/>
      <c r="AJ1197" s="912"/>
      <c r="AK1197" s="912"/>
      <c r="AL1197" s="925"/>
      <c r="AM1197" s="926"/>
      <c r="AN1197" s="926"/>
      <c r="AO1197" s="926"/>
      <c r="AP1197" s="926"/>
      <c r="AQ1197" s="926"/>
      <c r="AR1197" s="926"/>
      <c r="AS1197" s="926"/>
      <c r="AT1197" s="926"/>
      <c r="AU1197" s="926"/>
      <c r="AV1197" s="926"/>
      <c r="AW1197" s="926"/>
      <c r="AX1197" s="926"/>
      <c r="AY1197" s="926"/>
      <c r="AZ1197" s="926"/>
      <c r="BA1197" s="926"/>
      <c r="BB1197" s="927"/>
    </row>
    <row r="1198" spans="1:54" x14ac:dyDescent="0.25">
      <c r="A1198" s="13">
        <f t="shared" si="18"/>
        <v>1185</v>
      </c>
      <c r="B1198" s="888" t="str">
        <f>'refer admin discharge'!B1194</f>
        <v>x</v>
      </c>
      <c r="C1198" s="888"/>
      <c r="D1198" s="868" t="str">
        <f>'refer admin discharge'!D1194</f>
        <v>xx</v>
      </c>
      <c r="E1198" s="868"/>
      <c r="F1198" s="891" t="str">
        <f>'refer admin discharge'!H1194</f>
        <v>00/00/0000</v>
      </c>
      <c r="G1198" s="892"/>
      <c r="H1198" s="894"/>
      <c r="I1198" s="894"/>
      <c r="J1198" s="918"/>
      <c r="K1198" s="918"/>
      <c r="L1198" s="894"/>
      <c r="M1198" s="894"/>
      <c r="N1198" s="916"/>
      <c r="O1198" s="916"/>
      <c r="P1198" s="894"/>
      <c r="Q1198" s="894"/>
      <c r="R1198" s="916"/>
      <c r="S1198" s="916"/>
      <c r="T1198" s="894"/>
      <c r="U1198" s="894"/>
      <c r="V1198" s="921" t="str">
        <f>'refer admin discharge'!H1199</f>
        <v>00/00/0000</v>
      </c>
      <c r="W1198" s="922"/>
      <c r="X1198" s="920"/>
      <c r="Y1198" s="920"/>
      <c r="Z1198" s="919"/>
      <c r="AA1198" s="919"/>
      <c r="AB1198" s="920"/>
      <c r="AC1198" s="920"/>
      <c r="AD1198" s="912"/>
      <c r="AE1198" s="912"/>
      <c r="AF1198" s="920"/>
      <c r="AG1198" s="920"/>
      <c r="AH1198" s="912"/>
      <c r="AI1198" s="912"/>
      <c r="AJ1198" s="920"/>
      <c r="AK1198" s="920"/>
      <c r="AL1198" s="905"/>
      <c r="AM1198" s="906"/>
      <c r="AN1198" s="906"/>
      <c r="AO1198" s="906"/>
      <c r="AP1198" s="906"/>
      <c r="AQ1198" s="906"/>
      <c r="AR1198" s="906"/>
      <c r="AS1198" s="906"/>
      <c r="AT1198" s="906"/>
      <c r="AU1198" s="906"/>
      <c r="AV1198" s="906"/>
      <c r="AW1198" s="906"/>
      <c r="AX1198" s="906"/>
      <c r="AY1198" s="906"/>
      <c r="AZ1198" s="906"/>
      <c r="BA1198" s="906"/>
      <c r="BB1198" s="907"/>
    </row>
    <row r="1199" spans="1:54" x14ac:dyDescent="0.25">
      <c r="A1199" s="13">
        <f t="shared" si="18"/>
        <v>1186</v>
      </c>
      <c r="B1199" s="914" t="str">
        <f>'refer admin discharge'!B1195</f>
        <v>x</v>
      </c>
      <c r="C1199" s="914"/>
      <c r="D1199" s="889" t="str">
        <f>'refer admin discharge'!D1195</f>
        <v>xx</v>
      </c>
      <c r="E1199" s="889"/>
      <c r="F1199" s="915" t="str">
        <f>'refer admin discharge'!H1195</f>
        <v>00/00/0000</v>
      </c>
      <c r="G1199" s="890"/>
      <c r="H1199" s="916"/>
      <c r="I1199" s="916"/>
      <c r="J1199" s="917"/>
      <c r="K1199" s="917"/>
      <c r="L1199" s="916"/>
      <c r="M1199" s="916"/>
      <c r="N1199" s="893"/>
      <c r="O1199" s="893"/>
      <c r="P1199" s="916"/>
      <c r="Q1199" s="916"/>
      <c r="R1199" s="893"/>
      <c r="S1199" s="893"/>
      <c r="T1199" s="916"/>
      <c r="U1199" s="916"/>
      <c r="V1199" s="921" t="str">
        <f>'refer admin discharge'!H1200</f>
        <v>00/00/0000</v>
      </c>
      <c r="W1199" s="922"/>
      <c r="X1199" s="912"/>
      <c r="Y1199" s="912"/>
      <c r="Z1199" s="924"/>
      <c r="AA1199" s="924"/>
      <c r="AB1199" s="912"/>
      <c r="AC1199" s="912"/>
      <c r="AD1199" s="913"/>
      <c r="AE1199" s="913"/>
      <c r="AF1199" s="912"/>
      <c r="AG1199" s="912"/>
      <c r="AH1199" s="913"/>
      <c r="AI1199" s="913"/>
      <c r="AJ1199" s="912"/>
      <c r="AK1199" s="912"/>
      <c r="AL1199" s="925"/>
      <c r="AM1199" s="926"/>
      <c r="AN1199" s="926"/>
      <c r="AO1199" s="926"/>
      <c r="AP1199" s="926"/>
      <c r="AQ1199" s="926"/>
      <c r="AR1199" s="926"/>
      <c r="AS1199" s="926"/>
      <c r="AT1199" s="926"/>
      <c r="AU1199" s="926"/>
      <c r="AV1199" s="926"/>
      <c r="AW1199" s="926"/>
      <c r="AX1199" s="926"/>
      <c r="AY1199" s="926"/>
      <c r="AZ1199" s="926"/>
      <c r="BA1199" s="926"/>
      <c r="BB1199" s="927"/>
    </row>
    <row r="1200" spans="1:54" x14ac:dyDescent="0.25">
      <c r="A1200" s="13">
        <f t="shared" si="18"/>
        <v>1187</v>
      </c>
      <c r="B1200" s="888" t="str">
        <f>'refer admin discharge'!B1196</f>
        <v>x</v>
      </c>
      <c r="C1200" s="888"/>
      <c r="D1200" s="868" t="str">
        <f>'refer admin discharge'!D1196</f>
        <v>xx</v>
      </c>
      <c r="E1200" s="868"/>
      <c r="F1200" s="891" t="str">
        <f>'refer admin discharge'!H1196</f>
        <v>00/00/0000</v>
      </c>
      <c r="G1200" s="892"/>
      <c r="H1200" s="894"/>
      <c r="I1200" s="894"/>
      <c r="J1200" s="918"/>
      <c r="K1200" s="918"/>
      <c r="L1200" s="894"/>
      <c r="M1200" s="894"/>
      <c r="N1200" s="916"/>
      <c r="O1200" s="916"/>
      <c r="P1200" s="894"/>
      <c r="Q1200" s="894"/>
      <c r="R1200" s="916"/>
      <c r="S1200" s="916"/>
      <c r="T1200" s="894"/>
      <c r="U1200" s="894"/>
      <c r="V1200" s="921" t="str">
        <f>'refer admin discharge'!H1201</f>
        <v>00/00/0000</v>
      </c>
      <c r="W1200" s="922"/>
      <c r="X1200" s="920"/>
      <c r="Y1200" s="920"/>
      <c r="Z1200" s="919"/>
      <c r="AA1200" s="919"/>
      <c r="AB1200" s="920"/>
      <c r="AC1200" s="920"/>
      <c r="AD1200" s="912"/>
      <c r="AE1200" s="912"/>
      <c r="AF1200" s="920"/>
      <c r="AG1200" s="920"/>
      <c r="AH1200" s="912"/>
      <c r="AI1200" s="912"/>
      <c r="AJ1200" s="920"/>
      <c r="AK1200" s="920"/>
      <c r="AL1200" s="905"/>
      <c r="AM1200" s="906"/>
      <c r="AN1200" s="906"/>
      <c r="AO1200" s="906"/>
      <c r="AP1200" s="906"/>
      <c r="AQ1200" s="906"/>
      <c r="AR1200" s="906"/>
      <c r="AS1200" s="906"/>
      <c r="AT1200" s="906"/>
      <c r="AU1200" s="906"/>
      <c r="AV1200" s="906"/>
      <c r="AW1200" s="906"/>
      <c r="AX1200" s="906"/>
      <c r="AY1200" s="906"/>
      <c r="AZ1200" s="906"/>
      <c r="BA1200" s="906"/>
      <c r="BB1200" s="907"/>
    </row>
    <row r="1201" spans="1:54" x14ac:dyDescent="0.25">
      <c r="A1201" s="13">
        <f t="shared" si="18"/>
        <v>1188</v>
      </c>
      <c r="B1201" s="914" t="str">
        <f>'refer admin discharge'!B1197</f>
        <v>x</v>
      </c>
      <c r="C1201" s="914"/>
      <c r="D1201" s="889" t="str">
        <f>'refer admin discharge'!D1197</f>
        <v>xx</v>
      </c>
      <c r="E1201" s="889"/>
      <c r="F1201" s="915" t="str">
        <f>'refer admin discharge'!H1197</f>
        <v>00/00/0000</v>
      </c>
      <c r="G1201" s="890"/>
      <c r="H1201" s="916"/>
      <c r="I1201" s="916"/>
      <c r="J1201" s="917"/>
      <c r="K1201" s="917"/>
      <c r="L1201" s="916"/>
      <c r="M1201" s="916"/>
      <c r="N1201" s="893"/>
      <c r="O1201" s="893"/>
      <c r="P1201" s="916"/>
      <c r="Q1201" s="916"/>
      <c r="R1201" s="893"/>
      <c r="S1201" s="893"/>
      <c r="T1201" s="916"/>
      <c r="U1201" s="916"/>
      <c r="V1201" s="921" t="str">
        <f>'refer admin discharge'!H1202</f>
        <v>00/00/0000</v>
      </c>
      <c r="W1201" s="922"/>
      <c r="X1201" s="912"/>
      <c r="Y1201" s="912"/>
      <c r="Z1201" s="924"/>
      <c r="AA1201" s="924"/>
      <c r="AB1201" s="912"/>
      <c r="AC1201" s="912"/>
      <c r="AD1201" s="913"/>
      <c r="AE1201" s="913"/>
      <c r="AF1201" s="912"/>
      <c r="AG1201" s="912"/>
      <c r="AH1201" s="913"/>
      <c r="AI1201" s="913"/>
      <c r="AJ1201" s="912"/>
      <c r="AK1201" s="912"/>
      <c r="AL1201" s="925"/>
      <c r="AM1201" s="926"/>
      <c r="AN1201" s="926"/>
      <c r="AO1201" s="926"/>
      <c r="AP1201" s="926"/>
      <c r="AQ1201" s="926"/>
      <c r="AR1201" s="926"/>
      <c r="AS1201" s="926"/>
      <c r="AT1201" s="926"/>
      <c r="AU1201" s="926"/>
      <c r="AV1201" s="926"/>
      <c r="AW1201" s="926"/>
      <c r="AX1201" s="926"/>
      <c r="AY1201" s="926"/>
      <c r="AZ1201" s="926"/>
      <c r="BA1201" s="926"/>
      <c r="BB1201" s="927"/>
    </row>
    <row r="1202" spans="1:54" x14ac:dyDescent="0.25">
      <c r="A1202" s="13">
        <f t="shared" si="18"/>
        <v>1189</v>
      </c>
      <c r="B1202" s="888" t="str">
        <f>'refer admin discharge'!B1198</f>
        <v>x</v>
      </c>
      <c r="C1202" s="888"/>
      <c r="D1202" s="868" t="str">
        <f>'refer admin discharge'!D1198</f>
        <v>xx</v>
      </c>
      <c r="E1202" s="868"/>
      <c r="F1202" s="891" t="str">
        <f>'refer admin discharge'!H1198</f>
        <v>00/00/0000</v>
      </c>
      <c r="G1202" s="892"/>
      <c r="H1202" s="894"/>
      <c r="I1202" s="894"/>
      <c r="J1202" s="918"/>
      <c r="K1202" s="918"/>
      <c r="L1202" s="894"/>
      <c r="M1202" s="894"/>
      <c r="N1202" s="916"/>
      <c r="O1202" s="916"/>
      <c r="P1202" s="894"/>
      <c r="Q1202" s="894"/>
      <c r="R1202" s="916"/>
      <c r="S1202" s="916"/>
      <c r="T1202" s="894"/>
      <c r="U1202" s="894"/>
      <c r="V1202" s="921" t="str">
        <f>'refer admin discharge'!H1203</f>
        <v>00/00/0000</v>
      </c>
      <c r="W1202" s="922"/>
      <c r="X1202" s="920"/>
      <c r="Y1202" s="920"/>
      <c r="Z1202" s="919"/>
      <c r="AA1202" s="919"/>
      <c r="AB1202" s="920"/>
      <c r="AC1202" s="920"/>
      <c r="AD1202" s="912"/>
      <c r="AE1202" s="912"/>
      <c r="AF1202" s="920"/>
      <c r="AG1202" s="920"/>
      <c r="AH1202" s="912"/>
      <c r="AI1202" s="912"/>
      <c r="AJ1202" s="920"/>
      <c r="AK1202" s="920"/>
      <c r="AL1202" s="905"/>
      <c r="AM1202" s="906"/>
      <c r="AN1202" s="906"/>
      <c r="AO1202" s="906"/>
      <c r="AP1202" s="906"/>
      <c r="AQ1202" s="906"/>
      <c r="AR1202" s="906"/>
      <c r="AS1202" s="906"/>
      <c r="AT1202" s="906"/>
      <c r="AU1202" s="906"/>
      <c r="AV1202" s="906"/>
      <c r="AW1202" s="906"/>
      <c r="AX1202" s="906"/>
      <c r="AY1202" s="906"/>
      <c r="AZ1202" s="906"/>
      <c r="BA1202" s="906"/>
      <c r="BB1202" s="907"/>
    </row>
    <row r="1203" spans="1:54" x14ac:dyDescent="0.25">
      <c r="A1203" s="13">
        <f t="shared" si="18"/>
        <v>1190</v>
      </c>
      <c r="B1203" s="914" t="str">
        <f>'refer admin discharge'!B1199</f>
        <v>x</v>
      </c>
      <c r="C1203" s="914"/>
      <c r="D1203" s="889" t="str">
        <f>'refer admin discharge'!D1199</f>
        <v>xx</v>
      </c>
      <c r="E1203" s="889"/>
      <c r="F1203" s="915" t="str">
        <f>'refer admin discharge'!H1199</f>
        <v>00/00/0000</v>
      </c>
      <c r="G1203" s="890"/>
      <c r="H1203" s="916"/>
      <c r="I1203" s="916"/>
      <c r="J1203" s="917"/>
      <c r="K1203" s="917"/>
      <c r="L1203" s="916"/>
      <c r="M1203" s="916"/>
      <c r="N1203" s="893"/>
      <c r="O1203" s="893"/>
      <c r="P1203" s="916"/>
      <c r="Q1203" s="916"/>
      <c r="R1203" s="893"/>
      <c r="S1203" s="893"/>
      <c r="T1203" s="916"/>
      <c r="U1203" s="916"/>
      <c r="V1203" s="921" t="str">
        <f>'refer admin discharge'!H1204</f>
        <v>00/00/0000</v>
      </c>
      <c r="W1203" s="922"/>
      <c r="X1203" s="912"/>
      <c r="Y1203" s="912"/>
      <c r="Z1203" s="924"/>
      <c r="AA1203" s="924"/>
      <c r="AB1203" s="912"/>
      <c r="AC1203" s="912"/>
      <c r="AD1203" s="913"/>
      <c r="AE1203" s="913"/>
      <c r="AF1203" s="912"/>
      <c r="AG1203" s="912"/>
      <c r="AH1203" s="913"/>
      <c r="AI1203" s="913"/>
      <c r="AJ1203" s="912"/>
      <c r="AK1203" s="912"/>
      <c r="AL1203" s="925"/>
      <c r="AM1203" s="926"/>
      <c r="AN1203" s="926"/>
      <c r="AO1203" s="926"/>
      <c r="AP1203" s="926"/>
      <c r="AQ1203" s="926"/>
      <c r="AR1203" s="926"/>
      <c r="AS1203" s="926"/>
      <c r="AT1203" s="926"/>
      <c r="AU1203" s="926"/>
      <c r="AV1203" s="926"/>
      <c r="AW1203" s="926"/>
      <c r="AX1203" s="926"/>
      <c r="AY1203" s="926"/>
      <c r="AZ1203" s="926"/>
      <c r="BA1203" s="926"/>
      <c r="BB1203" s="927"/>
    </row>
    <row r="1204" spans="1:54" x14ac:dyDescent="0.25">
      <c r="A1204" s="13">
        <f t="shared" si="18"/>
        <v>1191</v>
      </c>
      <c r="B1204" s="888" t="str">
        <f>'refer admin discharge'!B1200</f>
        <v>x</v>
      </c>
      <c r="C1204" s="888"/>
      <c r="D1204" s="868" t="str">
        <f>'refer admin discharge'!D1200</f>
        <v>xx</v>
      </c>
      <c r="E1204" s="868"/>
      <c r="F1204" s="891" t="str">
        <f>'refer admin discharge'!H1200</f>
        <v>00/00/0000</v>
      </c>
      <c r="G1204" s="892"/>
      <c r="H1204" s="894"/>
      <c r="I1204" s="894"/>
      <c r="J1204" s="918"/>
      <c r="K1204" s="918"/>
      <c r="L1204" s="894"/>
      <c r="M1204" s="894"/>
      <c r="N1204" s="916"/>
      <c r="O1204" s="916"/>
      <c r="P1204" s="894"/>
      <c r="Q1204" s="894"/>
      <c r="R1204" s="916"/>
      <c r="S1204" s="916"/>
      <c r="T1204" s="894"/>
      <c r="U1204" s="894"/>
      <c r="V1204" s="921" t="str">
        <f>'refer admin discharge'!H1205</f>
        <v>00/00/0000</v>
      </c>
      <c r="W1204" s="922"/>
      <c r="X1204" s="920"/>
      <c r="Y1204" s="920"/>
      <c r="Z1204" s="919"/>
      <c r="AA1204" s="919"/>
      <c r="AB1204" s="920"/>
      <c r="AC1204" s="920"/>
      <c r="AD1204" s="912"/>
      <c r="AE1204" s="912"/>
      <c r="AF1204" s="920"/>
      <c r="AG1204" s="920"/>
      <c r="AH1204" s="912"/>
      <c r="AI1204" s="912"/>
      <c r="AJ1204" s="920"/>
      <c r="AK1204" s="920"/>
      <c r="AL1204" s="905"/>
      <c r="AM1204" s="906"/>
      <c r="AN1204" s="906"/>
      <c r="AO1204" s="906"/>
      <c r="AP1204" s="906"/>
      <c r="AQ1204" s="906"/>
      <c r="AR1204" s="906"/>
      <c r="AS1204" s="906"/>
      <c r="AT1204" s="906"/>
      <c r="AU1204" s="906"/>
      <c r="AV1204" s="906"/>
      <c r="AW1204" s="906"/>
      <c r="AX1204" s="906"/>
      <c r="AY1204" s="906"/>
      <c r="AZ1204" s="906"/>
      <c r="BA1204" s="906"/>
      <c r="BB1204" s="907"/>
    </row>
    <row r="1205" spans="1:54" x14ac:dyDescent="0.25">
      <c r="A1205" s="13">
        <f t="shared" si="18"/>
        <v>1192</v>
      </c>
      <c r="B1205" s="914" t="str">
        <f>'refer admin discharge'!B1201</f>
        <v>x</v>
      </c>
      <c r="C1205" s="914"/>
      <c r="D1205" s="889" t="str">
        <f>'refer admin discharge'!D1201</f>
        <v>xx</v>
      </c>
      <c r="E1205" s="889"/>
      <c r="F1205" s="915" t="str">
        <f>'refer admin discharge'!H1201</f>
        <v>00/00/0000</v>
      </c>
      <c r="G1205" s="890"/>
      <c r="H1205" s="916"/>
      <c r="I1205" s="916"/>
      <c r="J1205" s="917"/>
      <c r="K1205" s="917"/>
      <c r="L1205" s="916"/>
      <c r="M1205" s="916"/>
      <c r="N1205" s="893"/>
      <c r="O1205" s="893"/>
      <c r="P1205" s="916"/>
      <c r="Q1205" s="916"/>
      <c r="R1205" s="893"/>
      <c r="S1205" s="893"/>
      <c r="T1205" s="916"/>
      <c r="U1205" s="916"/>
      <c r="V1205" s="921" t="str">
        <f>'refer admin discharge'!H1206</f>
        <v>00/00/0000</v>
      </c>
      <c r="W1205" s="922"/>
      <c r="X1205" s="912"/>
      <c r="Y1205" s="912"/>
      <c r="Z1205" s="924"/>
      <c r="AA1205" s="924"/>
      <c r="AB1205" s="912"/>
      <c r="AC1205" s="912"/>
      <c r="AD1205" s="913"/>
      <c r="AE1205" s="913"/>
      <c r="AF1205" s="912"/>
      <c r="AG1205" s="912"/>
      <c r="AH1205" s="913"/>
      <c r="AI1205" s="913"/>
      <c r="AJ1205" s="912"/>
      <c r="AK1205" s="912"/>
      <c r="AL1205" s="925"/>
      <c r="AM1205" s="926"/>
      <c r="AN1205" s="926"/>
      <c r="AO1205" s="926"/>
      <c r="AP1205" s="926"/>
      <c r="AQ1205" s="926"/>
      <c r="AR1205" s="926"/>
      <c r="AS1205" s="926"/>
      <c r="AT1205" s="926"/>
      <c r="AU1205" s="926"/>
      <c r="AV1205" s="926"/>
      <c r="AW1205" s="926"/>
      <c r="AX1205" s="926"/>
      <c r="AY1205" s="926"/>
      <c r="AZ1205" s="926"/>
      <c r="BA1205" s="926"/>
      <c r="BB1205" s="927"/>
    </row>
    <row r="1206" spans="1:54" x14ac:dyDescent="0.25">
      <c r="A1206" s="13">
        <f t="shared" si="18"/>
        <v>1193</v>
      </c>
      <c r="B1206" s="888" t="str">
        <f>'refer admin discharge'!B1202</f>
        <v>x</v>
      </c>
      <c r="C1206" s="888"/>
      <c r="D1206" s="868" t="str">
        <f>'refer admin discharge'!D1202</f>
        <v>xx</v>
      </c>
      <c r="E1206" s="868"/>
      <c r="F1206" s="891" t="str">
        <f>'refer admin discharge'!H1202</f>
        <v>00/00/0000</v>
      </c>
      <c r="G1206" s="892"/>
      <c r="H1206" s="894"/>
      <c r="I1206" s="894"/>
      <c r="J1206" s="918"/>
      <c r="K1206" s="918"/>
      <c r="L1206" s="894"/>
      <c r="M1206" s="894"/>
      <c r="N1206" s="916"/>
      <c r="O1206" s="916"/>
      <c r="P1206" s="894"/>
      <c r="Q1206" s="894"/>
      <c r="R1206" s="916"/>
      <c r="S1206" s="916"/>
      <c r="T1206" s="894"/>
      <c r="U1206" s="894"/>
      <c r="V1206" s="921" t="str">
        <f>'refer admin discharge'!H1207</f>
        <v>00/00/0000</v>
      </c>
      <c r="W1206" s="922"/>
      <c r="X1206" s="920"/>
      <c r="Y1206" s="920"/>
      <c r="Z1206" s="919"/>
      <c r="AA1206" s="919"/>
      <c r="AB1206" s="920"/>
      <c r="AC1206" s="920"/>
      <c r="AD1206" s="912"/>
      <c r="AE1206" s="912"/>
      <c r="AF1206" s="920"/>
      <c r="AG1206" s="920"/>
      <c r="AH1206" s="912"/>
      <c r="AI1206" s="912"/>
      <c r="AJ1206" s="920"/>
      <c r="AK1206" s="920"/>
      <c r="AL1206" s="905"/>
      <c r="AM1206" s="906"/>
      <c r="AN1206" s="906"/>
      <c r="AO1206" s="906"/>
      <c r="AP1206" s="906"/>
      <c r="AQ1206" s="906"/>
      <c r="AR1206" s="906"/>
      <c r="AS1206" s="906"/>
      <c r="AT1206" s="906"/>
      <c r="AU1206" s="906"/>
      <c r="AV1206" s="906"/>
      <c r="AW1206" s="906"/>
      <c r="AX1206" s="906"/>
      <c r="AY1206" s="906"/>
      <c r="AZ1206" s="906"/>
      <c r="BA1206" s="906"/>
      <c r="BB1206" s="907"/>
    </row>
    <row r="1207" spans="1:54" x14ac:dyDescent="0.25">
      <c r="A1207" s="13">
        <f t="shared" si="18"/>
        <v>1194</v>
      </c>
      <c r="B1207" s="914" t="str">
        <f>'refer admin discharge'!B1203</f>
        <v>x</v>
      </c>
      <c r="C1207" s="914"/>
      <c r="D1207" s="889" t="str">
        <f>'refer admin discharge'!D1203</f>
        <v>xx</v>
      </c>
      <c r="E1207" s="889"/>
      <c r="F1207" s="915" t="str">
        <f>'refer admin discharge'!H1203</f>
        <v>00/00/0000</v>
      </c>
      <c r="G1207" s="890"/>
      <c r="H1207" s="916"/>
      <c r="I1207" s="916"/>
      <c r="J1207" s="917"/>
      <c r="K1207" s="917"/>
      <c r="L1207" s="916"/>
      <c r="M1207" s="916"/>
      <c r="N1207" s="893"/>
      <c r="O1207" s="893"/>
      <c r="P1207" s="916"/>
      <c r="Q1207" s="916"/>
      <c r="R1207" s="893"/>
      <c r="S1207" s="893"/>
      <c r="T1207" s="916"/>
      <c r="U1207" s="916"/>
      <c r="V1207" s="921" t="str">
        <f>'refer admin discharge'!H1208</f>
        <v>00/00/0000</v>
      </c>
      <c r="W1207" s="922"/>
      <c r="X1207" s="912"/>
      <c r="Y1207" s="912"/>
      <c r="Z1207" s="924"/>
      <c r="AA1207" s="924"/>
      <c r="AB1207" s="912"/>
      <c r="AC1207" s="912"/>
      <c r="AD1207" s="913"/>
      <c r="AE1207" s="913"/>
      <c r="AF1207" s="912"/>
      <c r="AG1207" s="912"/>
      <c r="AH1207" s="913"/>
      <c r="AI1207" s="913"/>
      <c r="AJ1207" s="912"/>
      <c r="AK1207" s="912"/>
      <c r="AL1207" s="925"/>
      <c r="AM1207" s="926"/>
      <c r="AN1207" s="926"/>
      <c r="AO1207" s="926"/>
      <c r="AP1207" s="926"/>
      <c r="AQ1207" s="926"/>
      <c r="AR1207" s="926"/>
      <c r="AS1207" s="926"/>
      <c r="AT1207" s="926"/>
      <c r="AU1207" s="926"/>
      <c r="AV1207" s="926"/>
      <c r="AW1207" s="926"/>
      <c r="AX1207" s="926"/>
      <c r="AY1207" s="926"/>
      <c r="AZ1207" s="926"/>
      <c r="BA1207" s="926"/>
      <c r="BB1207" s="927"/>
    </row>
    <row r="1208" spans="1:54" x14ac:dyDescent="0.25">
      <c r="A1208" s="13">
        <f t="shared" si="18"/>
        <v>1195</v>
      </c>
      <c r="B1208" s="888" t="str">
        <f>'refer admin discharge'!B1204</f>
        <v>x</v>
      </c>
      <c r="C1208" s="888"/>
      <c r="D1208" s="868" t="str">
        <f>'refer admin discharge'!D1204</f>
        <v>xx</v>
      </c>
      <c r="E1208" s="868"/>
      <c r="F1208" s="891" t="str">
        <f>'refer admin discharge'!H1204</f>
        <v>00/00/0000</v>
      </c>
      <c r="G1208" s="892"/>
      <c r="H1208" s="894"/>
      <c r="I1208" s="894"/>
      <c r="J1208" s="918"/>
      <c r="K1208" s="918"/>
      <c r="L1208" s="894"/>
      <c r="M1208" s="894"/>
      <c r="N1208" s="916"/>
      <c r="O1208" s="916"/>
      <c r="P1208" s="894"/>
      <c r="Q1208" s="894"/>
      <c r="R1208" s="916"/>
      <c r="S1208" s="916"/>
      <c r="T1208" s="894"/>
      <c r="U1208" s="894"/>
      <c r="V1208" s="921" t="str">
        <f>'refer admin discharge'!H1209</f>
        <v>00/00/0000</v>
      </c>
      <c r="W1208" s="922"/>
      <c r="X1208" s="920"/>
      <c r="Y1208" s="920"/>
      <c r="Z1208" s="919"/>
      <c r="AA1208" s="919"/>
      <c r="AB1208" s="920"/>
      <c r="AC1208" s="920"/>
      <c r="AD1208" s="912"/>
      <c r="AE1208" s="912"/>
      <c r="AF1208" s="920"/>
      <c r="AG1208" s="920"/>
      <c r="AH1208" s="912"/>
      <c r="AI1208" s="912"/>
      <c r="AJ1208" s="920"/>
      <c r="AK1208" s="920"/>
      <c r="AL1208" s="905"/>
      <c r="AM1208" s="906"/>
      <c r="AN1208" s="906"/>
      <c r="AO1208" s="906"/>
      <c r="AP1208" s="906"/>
      <c r="AQ1208" s="906"/>
      <c r="AR1208" s="906"/>
      <c r="AS1208" s="906"/>
      <c r="AT1208" s="906"/>
      <c r="AU1208" s="906"/>
      <c r="AV1208" s="906"/>
      <c r="AW1208" s="906"/>
      <c r="AX1208" s="906"/>
      <c r="AY1208" s="906"/>
      <c r="AZ1208" s="906"/>
      <c r="BA1208" s="906"/>
      <c r="BB1208" s="907"/>
    </row>
    <row r="1209" spans="1:54" x14ac:dyDescent="0.25">
      <c r="A1209" s="13">
        <f t="shared" si="18"/>
        <v>1196</v>
      </c>
      <c r="B1209" s="914" t="str">
        <f>'refer admin discharge'!B1205</f>
        <v>x</v>
      </c>
      <c r="C1209" s="914"/>
      <c r="D1209" s="889" t="str">
        <f>'refer admin discharge'!D1205</f>
        <v>xx</v>
      </c>
      <c r="E1209" s="889"/>
      <c r="F1209" s="915" t="str">
        <f>'refer admin discharge'!H1205</f>
        <v>00/00/0000</v>
      </c>
      <c r="G1209" s="890"/>
      <c r="H1209" s="916"/>
      <c r="I1209" s="916"/>
      <c r="J1209" s="917"/>
      <c r="K1209" s="917"/>
      <c r="L1209" s="916"/>
      <c r="M1209" s="916"/>
      <c r="N1209" s="893"/>
      <c r="O1209" s="893"/>
      <c r="P1209" s="916"/>
      <c r="Q1209" s="916"/>
      <c r="R1209" s="893"/>
      <c r="S1209" s="893"/>
      <c r="T1209" s="916"/>
      <c r="U1209" s="916"/>
      <c r="V1209" s="921" t="str">
        <f>'refer admin discharge'!H1210</f>
        <v>00/00/0000</v>
      </c>
      <c r="W1209" s="922"/>
      <c r="X1209" s="912"/>
      <c r="Y1209" s="912"/>
      <c r="Z1209" s="924"/>
      <c r="AA1209" s="924"/>
      <c r="AB1209" s="912"/>
      <c r="AC1209" s="912"/>
      <c r="AD1209" s="913"/>
      <c r="AE1209" s="913"/>
      <c r="AF1209" s="912"/>
      <c r="AG1209" s="912"/>
      <c r="AH1209" s="913"/>
      <c r="AI1209" s="913"/>
      <c r="AJ1209" s="912"/>
      <c r="AK1209" s="912"/>
      <c r="AL1209" s="925"/>
      <c r="AM1209" s="926"/>
      <c r="AN1209" s="926"/>
      <c r="AO1209" s="926"/>
      <c r="AP1209" s="926"/>
      <c r="AQ1209" s="926"/>
      <c r="AR1209" s="926"/>
      <c r="AS1209" s="926"/>
      <c r="AT1209" s="926"/>
      <c r="AU1209" s="926"/>
      <c r="AV1209" s="926"/>
      <c r="AW1209" s="926"/>
      <c r="AX1209" s="926"/>
      <c r="AY1209" s="926"/>
      <c r="AZ1209" s="926"/>
      <c r="BA1209" s="926"/>
      <c r="BB1209" s="927"/>
    </row>
    <row r="1210" spans="1:54" x14ac:dyDescent="0.25">
      <c r="A1210" s="13">
        <f t="shared" si="18"/>
        <v>1197</v>
      </c>
      <c r="B1210" s="888" t="str">
        <f>'refer admin discharge'!B1206</f>
        <v>x</v>
      </c>
      <c r="C1210" s="888"/>
      <c r="D1210" s="868" t="str">
        <f>'refer admin discharge'!D1206</f>
        <v>xx</v>
      </c>
      <c r="E1210" s="868"/>
      <c r="F1210" s="891" t="str">
        <f>'refer admin discharge'!H1206</f>
        <v>00/00/0000</v>
      </c>
      <c r="G1210" s="892"/>
      <c r="H1210" s="894"/>
      <c r="I1210" s="894"/>
      <c r="J1210" s="918"/>
      <c r="K1210" s="918"/>
      <c r="L1210" s="894"/>
      <c r="M1210" s="894"/>
      <c r="N1210" s="916"/>
      <c r="O1210" s="916"/>
      <c r="P1210" s="894"/>
      <c r="Q1210" s="894"/>
      <c r="R1210" s="916"/>
      <c r="S1210" s="916"/>
      <c r="T1210" s="894"/>
      <c r="U1210" s="894"/>
      <c r="V1210" s="921" t="str">
        <f>'refer admin discharge'!H1211</f>
        <v>00/00/0000</v>
      </c>
      <c r="W1210" s="922"/>
      <c r="X1210" s="920"/>
      <c r="Y1210" s="920"/>
      <c r="Z1210" s="919"/>
      <c r="AA1210" s="919"/>
      <c r="AB1210" s="920"/>
      <c r="AC1210" s="920"/>
      <c r="AD1210" s="912"/>
      <c r="AE1210" s="912"/>
      <c r="AF1210" s="920"/>
      <c r="AG1210" s="920"/>
      <c r="AH1210" s="912"/>
      <c r="AI1210" s="912"/>
      <c r="AJ1210" s="920"/>
      <c r="AK1210" s="920"/>
      <c r="AL1210" s="905"/>
      <c r="AM1210" s="906"/>
      <c r="AN1210" s="906"/>
      <c r="AO1210" s="906"/>
      <c r="AP1210" s="906"/>
      <c r="AQ1210" s="906"/>
      <c r="AR1210" s="906"/>
      <c r="AS1210" s="906"/>
      <c r="AT1210" s="906"/>
      <c r="AU1210" s="906"/>
      <c r="AV1210" s="906"/>
      <c r="AW1210" s="906"/>
      <c r="AX1210" s="906"/>
      <c r="AY1210" s="906"/>
      <c r="AZ1210" s="906"/>
      <c r="BA1210" s="906"/>
      <c r="BB1210" s="907"/>
    </row>
    <row r="1211" spans="1:54" x14ac:dyDescent="0.25">
      <c r="A1211" s="13">
        <f t="shared" si="18"/>
        <v>1198</v>
      </c>
      <c r="B1211" s="914" t="str">
        <f>'refer admin discharge'!B1207</f>
        <v>x</v>
      </c>
      <c r="C1211" s="914"/>
      <c r="D1211" s="889" t="str">
        <f>'refer admin discharge'!D1207</f>
        <v>xx</v>
      </c>
      <c r="E1211" s="889"/>
      <c r="F1211" s="915" t="str">
        <f>'refer admin discharge'!H1207</f>
        <v>00/00/0000</v>
      </c>
      <c r="G1211" s="890"/>
      <c r="H1211" s="916"/>
      <c r="I1211" s="916"/>
      <c r="J1211" s="917"/>
      <c r="K1211" s="917"/>
      <c r="L1211" s="916"/>
      <c r="M1211" s="916"/>
      <c r="N1211" s="893"/>
      <c r="O1211" s="893"/>
      <c r="P1211" s="916"/>
      <c r="Q1211" s="916"/>
      <c r="R1211" s="893"/>
      <c r="S1211" s="893"/>
      <c r="T1211" s="916"/>
      <c r="U1211" s="916"/>
      <c r="V1211" s="921" t="str">
        <f>'refer admin discharge'!H1212</f>
        <v>00/00/0000</v>
      </c>
      <c r="W1211" s="922"/>
      <c r="X1211" s="912"/>
      <c r="Y1211" s="912"/>
      <c r="Z1211" s="924"/>
      <c r="AA1211" s="924"/>
      <c r="AB1211" s="912"/>
      <c r="AC1211" s="912"/>
      <c r="AD1211" s="913"/>
      <c r="AE1211" s="913"/>
      <c r="AF1211" s="912"/>
      <c r="AG1211" s="912"/>
      <c r="AH1211" s="913"/>
      <c r="AI1211" s="913"/>
      <c r="AJ1211" s="912"/>
      <c r="AK1211" s="912"/>
      <c r="AL1211" s="925"/>
      <c r="AM1211" s="926"/>
      <c r="AN1211" s="926"/>
      <c r="AO1211" s="926"/>
      <c r="AP1211" s="926"/>
      <c r="AQ1211" s="926"/>
      <c r="AR1211" s="926"/>
      <c r="AS1211" s="926"/>
      <c r="AT1211" s="926"/>
      <c r="AU1211" s="926"/>
      <c r="AV1211" s="926"/>
      <c r="AW1211" s="926"/>
      <c r="AX1211" s="926"/>
      <c r="AY1211" s="926"/>
      <c r="AZ1211" s="926"/>
      <c r="BA1211" s="926"/>
      <c r="BB1211" s="927"/>
    </row>
    <row r="1212" spans="1:54" x14ac:dyDescent="0.25">
      <c r="A1212" s="13">
        <f t="shared" si="18"/>
        <v>1199</v>
      </c>
      <c r="B1212" s="888" t="str">
        <f>'refer admin discharge'!B1208</f>
        <v>x</v>
      </c>
      <c r="C1212" s="888"/>
      <c r="D1212" s="868" t="str">
        <f>'refer admin discharge'!D1208</f>
        <v>xx</v>
      </c>
      <c r="E1212" s="868"/>
      <c r="F1212" s="891" t="str">
        <f>'refer admin discharge'!H1208</f>
        <v>00/00/0000</v>
      </c>
      <c r="G1212" s="892"/>
      <c r="H1212" s="894"/>
      <c r="I1212" s="894"/>
      <c r="J1212" s="918"/>
      <c r="K1212" s="918"/>
      <c r="L1212" s="894"/>
      <c r="M1212" s="894"/>
      <c r="N1212" s="916"/>
      <c r="O1212" s="916"/>
      <c r="P1212" s="894"/>
      <c r="Q1212" s="894"/>
      <c r="R1212" s="916"/>
      <c r="S1212" s="916"/>
      <c r="T1212" s="894"/>
      <c r="U1212" s="894"/>
      <c r="V1212" s="921" t="str">
        <f>'refer admin discharge'!H1213</f>
        <v>00/00/0000</v>
      </c>
      <c r="W1212" s="922"/>
      <c r="X1212" s="920"/>
      <c r="Y1212" s="920"/>
      <c r="Z1212" s="919"/>
      <c r="AA1212" s="919"/>
      <c r="AB1212" s="920"/>
      <c r="AC1212" s="920"/>
      <c r="AD1212" s="912"/>
      <c r="AE1212" s="912"/>
      <c r="AF1212" s="920"/>
      <c r="AG1212" s="920"/>
      <c r="AH1212" s="912"/>
      <c r="AI1212" s="912"/>
      <c r="AJ1212" s="920"/>
      <c r="AK1212" s="920"/>
      <c r="AL1212" s="905"/>
      <c r="AM1212" s="906"/>
      <c r="AN1212" s="906"/>
      <c r="AO1212" s="906"/>
      <c r="AP1212" s="906"/>
      <c r="AQ1212" s="906"/>
      <c r="AR1212" s="906"/>
      <c r="AS1212" s="906"/>
      <c r="AT1212" s="906"/>
      <c r="AU1212" s="906"/>
      <c r="AV1212" s="906"/>
      <c r="AW1212" s="906"/>
      <c r="AX1212" s="906"/>
      <c r="AY1212" s="906"/>
      <c r="AZ1212" s="906"/>
      <c r="BA1212" s="906"/>
      <c r="BB1212" s="907"/>
    </row>
    <row r="1213" spans="1:54" x14ac:dyDescent="0.25">
      <c r="A1213" s="13">
        <f t="shared" si="18"/>
        <v>1200</v>
      </c>
      <c r="B1213" s="914" t="str">
        <f>'refer admin discharge'!B1209</f>
        <v>x</v>
      </c>
      <c r="C1213" s="914"/>
      <c r="D1213" s="889" t="str">
        <f>'refer admin discharge'!D1209</f>
        <v>xx</v>
      </c>
      <c r="E1213" s="889"/>
      <c r="F1213" s="915" t="str">
        <f>'refer admin discharge'!H1209</f>
        <v>00/00/0000</v>
      </c>
      <c r="G1213" s="890"/>
      <c r="H1213" s="916"/>
      <c r="I1213" s="916"/>
      <c r="J1213" s="917"/>
      <c r="K1213" s="917"/>
      <c r="L1213" s="916"/>
      <c r="M1213" s="916"/>
      <c r="N1213" s="893"/>
      <c r="O1213" s="893"/>
      <c r="P1213" s="916"/>
      <c r="Q1213" s="916"/>
      <c r="R1213" s="893"/>
      <c r="S1213" s="893"/>
      <c r="T1213" s="916"/>
      <c r="U1213" s="916"/>
      <c r="V1213" s="921" t="str">
        <f>'refer admin discharge'!H1214</f>
        <v>00/00/0000</v>
      </c>
      <c r="W1213" s="922"/>
      <c r="X1213" s="912"/>
      <c r="Y1213" s="912"/>
      <c r="Z1213" s="924"/>
      <c r="AA1213" s="924"/>
      <c r="AB1213" s="912"/>
      <c r="AC1213" s="912"/>
      <c r="AD1213" s="913"/>
      <c r="AE1213" s="913"/>
      <c r="AF1213" s="912"/>
      <c r="AG1213" s="912"/>
      <c r="AH1213" s="913"/>
      <c r="AI1213" s="913"/>
      <c r="AJ1213" s="912"/>
      <c r="AK1213" s="912"/>
      <c r="AL1213" s="925"/>
      <c r="AM1213" s="926"/>
      <c r="AN1213" s="926"/>
      <c r="AO1213" s="926"/>
      <c r="AP1213" s="926"/>
      <c r="AQ1213" s="926"/>
      <c r="AR1213" s="926"/>
      <c r="AS1213" s="926"/>
      <c r="AT1213" s="926"/>
      <c r="AU1213" s="926"/>
      <c r="AV1213" s="926"/>
      <c r="AW1213" s="926"/>
      <c r="AX1213" s="926"/>
      <c r="AY1213" s="926"/>
      <c r="AZ1213" s="926"/>
      <c r="BA1213" s="926"/>
      <c r="BB1213" s="927"/>
    </row>
    <row r="1214" spans="1:54" x14ac:dyDescent="0.25">
      <c r="A1214" s="13">
        <f t="shared" si="18"/>
        <v>1201</v>
      </c>
      <c r="B1214" s="888" t="str">
        <f>'refer admin discharge'!B1210</f>
        <v>x</v>
      </c>
      <c r="C1214" s="888"/>
      <c r="D1214" s="868" t="str">
        <f>'refer admin discharge'!D1210</f>
        <v>xx</v>
      </c>
      <c r="E1214" s="868"/>
      <c r="F1214" s="891" t="str">
        <f>'refer admin discharge'!H1210</f>
        <v>00/00/0000</v>
      </c>
      <c r="G1214" s="892"/>
      <c r="H1214" s="894"/>
      <c r="I1214" s="894"/>
      <c r="J1214" s="918"/>
      <c r="K1214" s="918"/>
      <c r="L1214" s="894"/>
      <c r="M1214" s="894"/>
      <c r="N1214" s="916"/>
      <c r="O1214" s="916"/>
      <c r="P1214" s="894"/>
      <c r="Q1214" s="894"/>
      <c r="R1214" s="916"/>
      <c r="S1214" s="916"/>
      <c r="T1214" s="894"/>
      <c r="U1214" s="894"/>
      <c r="V1214" s="921" t="str">
        <f>'refer admin discharge'!H1215</f>
        <v>00/00/0000</v>
      </c>
      <c r="W1214" s="922"/>
      <c r="X1214" s="920"/>
      <c r="Y1214" s="920"/>
      <c r="Z1214" s="919"/>
      <c r="AA1214" s="919"/>
      <c r="AB1214" s="920"/>
      <c r="AC1214" s="920"/>
      <c r="AD1214" s="912"/>
      <c r="AE1214" s="912"/>
      <c r="AF1214" s="920"/>
      <c r="AG1214" s="920"/>
      <c r="AH1214" s="912"/>
      <c r="AI1214" s="912"/>
      <c r="AJ1214" s="920"/>
      <c r="AK1214" s="920"/>
      <c r="AL1214" s="905"/>
      <c r="AM1214" s="906"/>
      <c r="AN1214" s="906"/>
      <c r="AO1214" s="906"/>
      <c r="AP1214" s="906"/>
      <c r="AQ1214" s="906"/>
      <c r="AR1214" s="906"/>
      <c r="AS1214" s="906"/>
      <c r="AT1214" s="906"/>
      <c r="AU1214" s="906"/>
      <c r="AV1214" s="906"/>
      <c r="AW1214" s="906"/>
      <c r="AX1214" s="906"/>
      <c r="AY1214" s="906"/>
      <c r="AZ1214" s="906"/>
      <c r="BA1214" s="906"/>
      <c r="BB1214" s="907"/>
    </row>
    <row r="1215" spans="1:54" x14ac:dyDescent="0.25">
      <c r="A1215" s="13">
        <f t="shared" si="18"/>
        <v>1202</v>
      </c>
      <c r="B1215" s="914" t="str">
        <f>'refer admin discharge'!B1211</f>
        <v>x</v>
      </c>
      <c r="C1215" s="914"/>
      <c r="D1215" s="889" t="str">
        <f>'refer admin discharge'!D1211</f>
        <v>xx</v>
      </c>
      <c r="E1215" s="889"/>
      <c r="F1215" s="915" t="str">
        <f>'refer admin discharge'!H1211</f>
        <v>00/00/0000</v>
      </c>
      <c r="G1215" s="890"/>
      <c r="H1215" s="916"/>
      <c r="I1215" s="916"/>
      <c r="J1215" s="917"/>
      <c r="K1215" s="917"/>
      <c r="L1215" s="916"/>
      <c r="M1215" s="916"/>
      <c r="N1215" s="893"/>
      <c r="O1215" s="893"/>
      <c r="P1215" s="916"/>
      <c r="Q1215" s="916"/>
      <c r="R1215" s="893"/>
      <c r="S1215" s="893"/>
      <c r="T1215" s="916"/>
      <c r="U1215" s="916"/>
      <c r="V1215" s="921" t="str">
        <f>'refer admin discharge'!H1216</f>
        <v>00/00/0000</v>
      </c>
      <c r="W1215" s="922"/>
      <c r="X1215" s="912"/>
      <c r="Y1215" s="912"/>
      <c r="Z1215" s="924"/>
      <c r="AA1215" s="924"/>
      <c r="AB1215" s="912"/>
      <c r="AC1215" s="912"/>
      <c r="AD1215" s="913"/>
      <c r="AE1215" s="913"/>
      <c r="AF1215" s="912"/>
      <c r="AG1215" s="912"/>
      <c r="AH1215" s="913"/>
      <c r="AI1215" s="913"/>
      <c r="AJ1215" s="912"/>
      <c r="AK1215" s="912"/>
      <c r="AL1215" s="925"/>
      <c r="AM1215" s="926"/>
      <c r="AN1215" s="926"/>
      <c r="AO1215" s="926"/>
      <c r="AP1215" s="926"/>
      <c r="AQ1215" s="926"/>
      <c r="AR1215" s="926"/>
      <c r="AS1215" s="926"/>
      <c r="AT1215" s="926"/>
      <c r="AU1215" s="926"/>
      <c r="AV1215" s="926"/>
      <c r="AW1215" s="926"/>
      <c r="AX1215" s="926"/>
      <c r="AY1215" s="926"/>
      <c r="AZ1215" s="926"/>
      <c r="BA1215" s="926"/>
      <c r="BB1215" s="927"/>
    </row>
    <row r="1216" spans="1:54" x14ac:dyDescent="0.25">
      <c r="A1216" s="13">
        <f t="shared" si="18"/>
        <v>1203</v>
      </c>
      <c r="B1216" s="888" t="str">
        <f>'refer admin discharge'!B1212</f>
        <v>x</v>
      </c>
      <c r="C1216" s="888"/>
      <c r="D1216" s="868" t="str">
        <f>'refer admin discharge'!D1212</f>
        <v>xx</v>
      </c>
      <c r="E1216" s="868"/>
      <c r="F1216" s="891" t="str">
        <f>'refer admin discharge'!H1212</f>
        <v>00/00/0000</v>
      </c>
      <c r="G1216" s="892"/>
      <c r="H1216" s="894"/>
      <c r="I1216" s="894"/>
      <c r="J1216" s="918"/>
      <c r="K1216" s="918"/>
      <c r="L1216" s="894"/>
      <c r="M1216" s="894"/>
      <c r="N1216" s="916"/>
      <c r="O1216" s="916"/>
      <c r="P1216" s="894"/>
      <c r="Q1216" s="894"/>
      <c r="R1216" s="916"/>
      <c r="S1216" s="916"/>
      <c r="T1216" s="894"/>
      <c r="U1216" s="894"/>
      <c r="V1216" s="921" t="str">
        <f>'refer admin discharge'!H1217</f>
        <v>00/00/0000</v>
      </c>
      <c r="W1216" s="922"/>
      <c r="X1216" s="920"/>
      <c r="Y1216" s="920"/>
      <c r="Z1216" s="919"/>
      <c r="AA1216" s="919"/>
      <c r="AB1216" s="920"/>
      <c r="AC1216" s="920"/>
      <c r="AD1216" s="912"/>
      <c r="AE1216" s="912"/>
      <c r="AF1216" s="920"/>
      <c r="AG1216" s="920"/>
      <c r="AH1216" s="912"/>
      <c r="AI1216" s="912"/>
      <c r="AJ1216" s="920"/>
      <c r="AK1216" s="920"/>
      <c r="AL1216" s="905"/>
      <c r="AM1216" s="906"/>
      <c r="AN1216" s="906"/>
      <c r="AO1216" s="906"/>
      <c r="AP1216" s="906"/>
      <c r="AQ1216" s="906"/>
      <c r="AR1216" s="906"/>
      <c r="AS1216" s="906"/>
      <c r="AT1216" s="906"/>
      <c r="AU1216" s="906"/>
      <c r="AV1216" s="906"/>
      <c r="AW1216" s="906"/>
      <c r="AX1216" s="906"/>
      <c r="AY1216" s="906"/>
      <c r="AZ1216" s="906"/>
      <c r="BA1216" s="906"/>
      <c r="BB1216" s="907"/>
    </row>
    <row r="1217" spans="1:54" x14ac:dyDescent="0.25">
      <c r="A1217" s="13">
        <f t="shared" si="18"/>
        <v>1204</v>
      </c>
      <c r="B1217" s="914" t="str">
        <f>'refer admin discharge'!B1213</f>
        <v>x</v>
      </c>
      <c r="C1217" s="914"/>
      <c r="D1217" s="889" t="str">
        <f>'refer admin discharge'!D1213</f>
        <v>xx</v>
      </c>
      <c r="E1217" s="889"/>
      <c r="F1217" s="915" t="str">
        <f>'refer admin discharge'!H1213</f>
        <v>00/00/0000</v>
      </c>
      <c r="G1217" s="890"/>
      <c r="H1217" s="916"/>
      <c r="I1217" s="916"/>
      <c r="J1217" s="917"/>
      <c r="K1217" s="917"/>
      <c r="L1217" s="916"/>
      <c r="M1217" s="916"/>
      <c r="N1217" s="893"/>
      <c r="O1217" s="893"/>
      <c r="P1217" s="916"/>
      <c r="Q1217" s="916"/>
      <c r="R1217" s="893"/>
      <c r="S1217" s="893"/>
      <c r="T1217" s="916"/>
      <c r="U1217" s="916"/>
      <c r="V1217" s="921" t="str">
        <f>'refer admin discharge'!H1218</f>
        <v>00/00/0000</v>
      </c>
      <c r="W1217" s="922"/>
      <c r="X1217" s="912"/>
      <c r="Y1217" s="912"/>
      <c r="Z1217" s="924"/>
      <c r="AA1217" s="924"/>
      <c r="AB1217" s="912"/>
      <c r="AC1217" s="912"/>
      <c r="AD1217" s="913"/>
      <c r="AE1217" s="913"/>
      <c r="AF1217" s="912"/>
      <c r="AG1217" s="912"/>
      <c r="AH1217" s="913"/>
      <c r="AI1217" s="913"/>
      <c r="AJ1217" s="912"/>
      <c r="AK1217" s="912"/>
      <c r="AL1217" s="925"/>
      <c r="AM1217" s="926"/>
      <c r="AN1217" s="926"/>
      <c r="AO1217" s="926"/>
      <c r="AP1217" s="926"/>
      <c r="AQ1217" s="926"/>
      <c r="AR1217" s="926"/>
      <c r="AS1217" s="926"/>
      <c r="AT1217" s="926"/>
      <c r="AU1217" s="926"/>
      <c r="AV1217" s="926"/>
      <c r="AW1217" s="926"/>
      <c r="AX1217" s="926"/>
      <c r="AY1217" s="926"/>
      <c r="AZ1217" s="926"/>
      <c r="BA1217" s="926"/>
      <c r="BB1217" s="927"/>
    </row>
    <row r="1218" spans="1:54" x14ac:dyDescent="0.25">
      <c r="A1218" s="13">
        <f t="shared" si="18"/>
        <v>1205</v>
      </c>
      <c r="B1218" s="888" t="str">
        <f>'refer admin discharge'!B1214</f>
        <v>x</v>
      </c>
      <c r="C1218" s="888"/>
      <c r="D1218" s="868" t="str">
        <f>'refer admin discharge'!D1214</f>
        <v>xx</v>
      </c>
      <c r="E1218" s="868"/>
      <c r="F1218" s="891" t="str">
        <f>'refer admin discharge'!H1214</f>
        <v>00/00/0000</v>
      </c>
      <c r="G1218" s="892"/>
      <c r="H1218" s="894"/>
      <c r="I1218" s="894"/>
      <c r="J1218" s="918"/>
      <c r="K1218" s="918"/>
      <c r="L1218" s="894"/>
      <c r="M1218" s="894"/>
      <c r="N1218" s="916"/>
      <c r="O1218" s="916"/>
      <c r="P1218" s="894"/>
      <c r="Q1218" s="894"/>
      <c r="R1218" s="916"/>
      <c r="S1218" s="916"/>
      <c r="T1218" s="894"/>
      <c r="U1218" s="894"/>
      <c r="V1218" s="921" t="str">
        <f>'refer admin discharge'!H1219</f>
        <v>00/00/0000</v>
      </c>
      <c r="W1218" s="922"/>
      <c r="X1218" s="920"/>
      <c r="Y1218" s="920"/>
      <c r="Z1218" s="919"/>
      <c r="AA1218" s="919"/>
      <c r="AB1218" s="920"/>
      <c r="AC1218" s="920"/>
      <c r="AD1218" s="912"/>
      <c r="AE1218" s="912"/>
      <c r="AF1218" s="920"/>
      <c r="AG1218" s="920"/>
      <c r="AH1218" s="912"/>
      <c r="AI1218" s="912"/>
      <c r="AJ1218" s="920"/>
      <c r="AK1218" s="920"/>
      <c r="AL1218" s="905"/>
      <c r="AM1218" s="906"/>
      <c r="AN1218" s="906"/>
      <c r="AO1218" s="906"/>
      <c r="AP1218" s="906"/>
      <c r="AQ1218" s="906"/>
      <c r="AR1218" s="906"/>
      <c r="AS1218" s="906"/>
      <c r="AT1218" s="906"/>
      <c r="AU1218" s="906"/>
      <c r="AV1218" s="906"/>
      <c r="AW1218" s="906"/>
      <c r="AX1218" s="906"/>
      <c r="AY1218" s="906"/>
      <c r="AZ1218" s="906"/>
      <c r="BA1218" s="906"/>
      <c r="BB1218" s="907"/>
    </row>
    <row r="1219" spans="1:54" x14ac:dyDescent="0.25">
      <c r="A1219" s="13">
        <f t="shared" si="18"/>
        <v>1206</v>
      </c>
      <c r="B1219" s="914" t="str">
        <f>'refer admin discharge'!B1215</f>
        <v>x</v>
      </c>
      <c r="C1219" s="914"/>
      <c r="D1219" s="889" t="str">
        <f>'refer admin discharge'!D1215</f>
        <v>xx</v>
      </c>
      <c r="E1219" s="889"/>
      <c r="F1219" s="915" t="str">
        <f>'refer admin discharge'!H1215</f>
        <v>00/00/0000</v>
      </c>
      <c r="G1219" s="890"/>
      <c r="H1219" s="916"/>
      <c r="I1219" s="916"/>
      <c r="J1219" s="917"/>
      <c r="K1219" s="917"/>
      <c r="L1219" s="916"/>
      <c r="M1219" s="916"/>
      <c r="N1219" s="893"/>
      <c r="O1219" s="893"/>
      <c r="P1219" s="916"/>
      <c r="Q1219" s="916"/>
      <c r="R1219" s="893"/>
      <c r="S1219" s="893"/>
      <c r="T1219" s="916"/>
      <c r="U1219" s="916"/>
      <c r="V1219" s="921" t="str">
        <f>'refer admin discharge'!H1220</f>
        <v>00/00/0000</v>
      </c>
      <c r="W1219" s="922"/>
      <c r="X1219" s="912"/>
      <c r="Y1219" s="912"/>
      <c r="Z1219" s="924"/>
      <c r="AA1219" s="924"/>
      <c r="AB1219" s="912"/>
      <c r="AC1219" s="912"/>
      <c r="AD1219" s="913"/>
      <c r="AE1219" s="913"/>
      <c r="AF1219" s="912"/>
      <c r="AG1219" s="912"/>
      <c r="AH1219" s="913"/>
      <c r="AI1219" s="913"/>
      <c r="AJ1219" s="912"/>
      <c r="AK1219" s="912"/>
      <c r="AL1219" s="925"/>
      <c r="AM1219" s="926"/>
      <c r="AN1219" s="926"/>
      <c r="AO1219" s="926"/>
      <c r="AP1219" s="926"/>
      <c r="AQ1219" s="926"/>
      <c r="AR1219" s="926"/>
      <c r="AS1219" s="926"/>
      <c r="AT1219" s="926"/>
      <c r="AU1219" s="926"/>
      <c r="AV1219" s="926"/>
      <c r="AW1219" s="926"/>
      <c r="AX1219" s="926"/>
      <c r="AY1219" s="926"/>
      <c r="AZ1219" s="926"/>
      <c r="BA1219" s="926"/>
      <c r="BB1219" s="927"/>
    </row>
    <row r="1220" spans="1:54" x14ac:dyDescent="0.25">
      <c r="A1220" s="13">
        <f t="shared" si="18"/>
        <v>1207</v>
      </c>
      <c r="B1220" s="888" t="str">
        <f>'refer admin discharge'!B1216</f>
        <v>x</v>
      </c>
      <c r="C1220" s="888"/>
      <c r="D1220" s="868" t="str">
        <f>'refer admin discharge'!D1216</f>
        <v>xx</v>
      </c>
      <c r="E1220" s="868"/>
      <c r="F1220" s="891" t="str">
        <f>'refer admin discharge'!H1216</f>
        <v>00/00/0000</v>
      </c>
      <c r="G1220" s="892"/>
      <c r="H1220" s="894"/>
      <c r="I1220" s="894"/>
      <c r="J1220" s="918"/>
      <c r="K1220" s="918"/>
      <c r="L1220" s="894"/>
      <c r="M1220" s="894"/>
      <c r="N1220" s="916"/>
      <c r="O1220" s="916"/>
      <c r="P1220" s="894"/>
      <c r="Q1220" s="894"/>
      <c r="R1220" s="916"/>
      <c r="S1220" s="916"/>
      <c r="T1220" s="894"/>
      <c r="U1220" s="894"/>
      <c r="V1220" s="921" t="str">
        <f>'refer admin discharge'!H1221</f>
        <v>00/00/0000</v>
      </c>
      <c r="W1220" s="922"/>
      <c r="X1220" s="920"/>
      <c r="Y1220" s="920"/>
      <c r="Z1220" s="919"/>
      <c r="AA1220" s="919"/>
      <c r="AB1220" s="920"/>
      <c r="AC1220" s="920"/>
      <c r="AD1220" s="912"/>
      <c r="AE1220" s="912"/>
      <c r="AF1220" s="920"/>
      <c r="AG1220" s="920"/>
      <c r="AH1220" s="912"/>
      <c r="AI1220" s="912"/>
      <c r="AJ1220" s="920"/>
      <c r="AK1220" s="920"/>
      <c r="AL1220" s="905"/>
      <c r="AM1220" s="906"/>
      <c r="AN1220" s="906"/>
      <c r="AO1220" s="906"/>
      <c r="AP1220" s="906"/>
      <c r="AQ1220" s="906"/>
      <c r="AR1220" s="906"/>
      <c r="AS1220" s="906"/>
      <c r="AT1220" s="906"/>
      <c r="AU1220" s="906"/>
      <c r="AV1220" s="906"/>
      <c r="AW1220" s="906"/>
      <c r="AX1220" s="906"/>
      <c r="AY1220" s="906"/>
      <c r="AZ1220" s="906"/>
      <c r="BA1220" s="906"/>
      <c r="BB1220" s="907"/>
    </row>
    <row r="1221" spans="1:54" x14ac:dyDescent="0.25">
      <c r="A1221" s="13">
        <f t="shared" si="18"/>
        <v>1208</v>
      </c>
      <c r="B1221" s="914" t="str">
        <f>'refer admin discharge'!B1217</f>
        <v>x</v>
      </c>
      <c r="C1221" s="914"/>
      <c r="D1221" s="889" t="str">
        <f>'refer admin discharge'!D1217</f>
        <v>xx</v>
      </c>
      <c r="E1221" s="889"/>
      <c r="F1221" s="915" t="str">
        <f>'refer admin discharge'!H1217</f>
        <v>00/00/0000</v>
      </c>
      <c r="G1221" s="890"/>
      <c r="H1221" s="916"/>
      <c r="I1221" s="916"/>
      <c r="J1221" s="917"/>
      <c r="K1221" s="917"/>
      <c r="L1221" s="916"/>
      <c r="M1221" s="916"/>
      <c r="N1221" s="893"/>
      <c r="O1221" s="893"/>
      <c r="P1221" s="916"/>
      <c r="Q1221" s="916"/>
      <c r="R1221" s="893"/>
      <c r="S1221" s="893"/>
      <c r="T1221" s="916"/>
      <c r="U1221" s="916"/>
      <c r="V1221" s="921" t="str">
        <f>'refer admin discharge'!H1222</f>
        <v>00/00/0000</v>
      </c>
      <c r="W1221" s="922"/>
      <c r="X1221" s="912"/>
      <c r="Y1221" s="912"/>
      <c r="Z1221" s="924"/>
      <c r="AA1221" s="924"/>
      <c r="AB1221" s="912"/>
      <c r="AC1221" s="912"/>
      <c r="AD1221" s="913"/>
      <c r="AE1221" s="913"/>
      <c r="AF1221" s="912"/>
      <c r="AG1221" s="912"/>
      <c r="AH1221" s="913"/>
      <c r="AI1221" s="913"/>
      <c r="AJ1221" s="912"/>
      <c r="AK1221" s="912"/>
      <c r="AL1221" s="925"/>
      <c r="AM1221" s="926"/>
      <c r="AN1221" s="926"/>
      <c r="AO1221" s="926"/>
      <c r="AP1221" s="926"/>
      <c r="AQ1221" s="926"/>
      <c r="AR1221" s="926"/>
      <c r="AS1221" s="926"/>
      <c r="AT1221" s="926"/>
      <c r="AU1221" s="926"/>
      <c r="AV1221" s="926"/>
      <c r="AW1221" s="926"/>
      <c r="AX1221" s="926"/>
      <c r="AY1221" s="926"/>
      <c r="AZ1221" s="926"/>
      <c r="BA1221" s="926"/>
      <c r="BB1221" s="927"/>
    </row>
    <row r="1222" spans="1:54" x14ac:dyDescent="0.25">
      <c r="A1222" s="13">
        <f t="shared" si="18"/>
        <v>1209</v>
      </c>
      <c r="B1222" s="888" t="str">
        <f>'refer admin discharge'!B1218</f>
        <v>x</v>
      </c>
      <c r="C1222" s="888"/>
      <c r="D1222" s="868" t="str">
        <f>'refer admin discharge'!D1218</f>
        <v>xx</v>
      </c>
      <c r="E1222" s="868"/>
      <c r="F1222" s="891" t="str">
        <f>'refer admin discharge'!H1218</f>
        <v>00/00/0000</v>
      </c>
      <c r="G1222" s="892"/>
      <c r="H1222" s="894"/>
      <c r="I1222" s="894"/>
      <c r="J1222" s="918"/>
      <c r="K1222" s="918"/>
      <c r="L1222" s="894"/>
      <c r="M1222" s="894"/>
      <c r="N1222" s="916"/>
      <c r="O1222" s="916"/>
      <c r="P1222" s="894"/>
      <c r="Q1222" s="894"/>
      <c r="R1222" s="916"/>
      <c r="S1222" s="916"/>
      <c r="T1222" s="894"/>
      <c r="U1222" s="894"/>
      <c r="V1222" s="921" t="str">
        <f>'refer admin discharge'!H1223</f>
        <v>00/00/0000</v>
      </c>
      <c r="W1222" s="922"/>
      <c r="X1222" s="920"/>
      <c r="Y1222" s="920"/>
      <c r="Z1222" s="919"/>
      <c r="AA1222" s="919"/>
      <c r="AB1222" s="920"/>
      <c r="AC1222" s="920"/>
      <c r="AD1222" s="912"/>
      <c r="AE1222" s="912"/>
      <c r="AF1222" s="920"/>
      <c r="AG1222" s="920"/>
      <c r="AH1222" s="912"/>
      <c r="AI1222" s="912"/>
      <c r="AJ1222" s="920"/>
      <c r="AK1222" s="920"/>
      <c r="AL1222" s="905"/>
      <c r="AM1222" s="906"/>
      <c r="AN1222" s="906"/>
      <c r="AO1222" s="906"/>
      <c r="AP1222" s="906"/>
      <c r="AQ1222" s="906"/>
      <c r="AR1222" s="906"/>
      <c r="AS1222" s="906"/>
      <c r="AT1222" s="906"/>
      <c r="AU1222" s="906"/>
      <c r="AV1222" s="906"/>
      <c r="AW1222" s="906"/>
      <c r="AX1222" s="906"/>
      <c r="AY1222" s="906"/>
      <c r="AZ1222" s="906"/>
      <c r="BA1222" s="906"/>
      <c r="BB1222" s="907"/>
    </row>
    <row r="1223" spans="1:54" x14ac:dyDescent="0.25">
      <c r="A1223" s="13">
        <f t="shared" si="18"/>
        <v>1210</v>
      </c>
      <c r="B1223" s="914" t="str">
        <f>'refer admin discharge'!B1219</f>
        <v>x</v>
      </c>
      <c r="C1223" s="914"/>
      <c r="D1223" s="889" t="str">
        <f>'refer admin discharge'!D1219</f>
        <v>xx</v>
      </c>
      <c r="E1223" s="889"/>
      <c r="F1223" s="915" t="str">
        <f>'refer admin discharge'!H1219</f>
        <v>00/00/0000</v>
      </c>
      <c r="G1223" s="890"/>
      <c r="H1223" s="916"/>
      <c r="I1223" s="916"/>
      <c r="J1223" s="917"/>
      <c r="K1223" s="917"/>
      <c r="L1223" s="916"/>
      <c r="M1223" s="916"/>
      <c r="N1223" s="893"/>
      <c r="O1223" s="893"/>
      <c r="P1223" s="916"/>
      <c r="Q1223" s="916"/>
      <c r="R1223" s="893"/>
      <c r="S1223" s="893"/>
      <c r="T1223" s="916"/>
      <c r="U1223" s="916"/>
      <c r="V1223" s="921" t="str">
        <f>'refer admin discharge'!H1224</f>
        <v>00/00/0000</v>
      </c>
      <c r="W1223" s="922"/>
      <c r="X1223" s="912"/>
      <c r="Y1223" s="912"/>
      <c r="Z1223" s="924"/>
      <c r="AA1223" s="924"/>
      <c r="AB1223" s="912"/>
      <c r="AC1223" s="912"/>
      <c r="AD1223" s="913"/>
      <c r="AE1223" s="913"/>
      <c r="AF1223" s="912"/>
      <c r="AG1223" s="912"/>
      <c r="AH1223" s="913"/>
      <c r="AI1223" s="913"/>
      <c r="AJ1223" s="912"/>
      <c r="AK1223" s="912"/>
      <c r="AL1223" s="925"/>
      <c r="AM1223" s="926"/>
      <c r="AN1223" s="926"/>
      <c r="AO1223" s="926"/>
      <c r="AP1223" s="926"/>
      <c r="AQ1223" s="926"/>
      <c r="AR1223" s="926"/>
      <c r="AS1223" s="926"/>
      <c r="AT1223" s="926"/>
      <c r="AU1223" s="926"/>
      <c r="AV1223" s="926"/>
      <c r="AW1223" s="926"/>
      <c r="AX1223" s="926"/>
      <c r="AY1223" s="926"/>
      <c r="AZ1223" s="926"/>
      <c r="BA1223" s="926"/>
      <c r="BB1223" s="927"/>
    </row>
    <row r="1224" spans="1:54" x14ac:dyDescent="0.25">
      <c r="A1224" s="13">
        <f t="shared" si="18"/>
        <v>1211</v>
      </c>
      <c r="B1224" s="888" t="str">
        <f>'refer admin discharge'!B1220</f>
        <v>x</v>
      </c>
      <c r="C1224" s="888"/>
      <c r="D1224" s="868" t="str">
        <f>'refer admin discharge'!D1220</f>
        <v>xx</v>
      </c>
      <c r="E1224" s="868"/>
      <c r="F1224" s="891" t="str">
        <f>'refer admin discharge'!H1220</f>
        <v>00/00/0000</v>
      </c>
      <c r="G1224" s="892"/>
      <c r="H1224" s="894"/>
      <c r="I1224" s="894"/>
      <c r="J1224" s="918"/>
      <c r="K1224" s="918"/>
      <c r="L1224" s="894"/>
      <c r="M1224" s="894"/>
      <c r="N1224" s="916"/>
      <c r="O1224" s="916"/>
      <c r="P1224" s="894"/>
      <c r="Q1224" s="894"/>
      <c r="R1224" s="916"/>
      <c r="S1224" s="916"/>
      <c r="T1224" s="894"/>
      <c r="U1224" s="894"/>
      <c r="V1224" s="921" t="str">
        <f>'refer admin discharge'!H1225</f>
        <v>00/00/0000</v>
      </c>
      <c r="W1224" s="922"/>
      <c r="X1224" s="920"/>
      <c r="Y1224" s="920"/>
      <c r="Z1224" s="919"/>
      <c r="AA1224" s="919"/>
      <c r="AB1224" s="920"/>
      <c r="AC1224" s="920"/>
      <c r="AD1224" s="912"/>
      <c r="AE1224" s="912"/>
      <c r="AF1224" s="920"/>
      <c r="AG1224" s="920"/>
      <c r="AH1224" s="912"/>
      <c r="AI1224" s="912"/>
      <c r="AJ1224" s="920"/>
      <c r="AK1224" s="920"/>
      <c r="AL1224" s="905"/>
      <c r="AM1224" s="906"/>
      <c r="AN1224" s="906"/>
      <c r="AO1224" s="906"/>
      <c r="AP1224" s="906"/>
      <c r="AQ1224" s="906"/>
      <c r="AR1224" s="906"/>
      <c r="AS1224" s="906"/>
      <c r="AT1224" s="906"/>
      <c r="AU1224" s="906"/>
      <c r="AV1224" s="906"/>
      <c r="AW1224" s="906"/>
      <c r="AX1224" s="906"/>
      <c r="AY1224" s="906"/>
      <c r="AZ1224" s="906"/>
      <c r="BA1224" s="906"/>
      <c r="BB1224" s="907"/>
    </row>
    <row r="1225" spans="1:54" x14ac:dyDescent="0.25">
      <c r="A1225" s="13">
        <f t="shared" si="18"/>
        <v>1212</v>
      </c>
      <c r="B1225" s="914" t="str">
        <f>'refer admin discharge'!B1221</f>
        <v>x</v>
      </c>
      <c r="C1225" s="914"/>
      <c r="D1225" s="889" t="str">
        <f>'refer admin discharge'!D1221</f>
        <v>xx</v>
      </c>
      <c r="E1225" s="889"/>
      <c r="F1225" s="915" t="str">
        <f>'refer admin discharge'!H1221</f>
        <v>00/00/0000</v>
      </c>
      <c r="G1225" s="890"/>
      <c r="H1225" s="916"/>
      <c r="I1225" s="916"/>
      <c r="J1225" s="917"/>
      <c r="K1225" s="917"/>
      <c r="L1225" s="916"/>
      <c r="M1225" s="916"/>
      <c r="N1225" s="893"/>
      <c r="O1225" s="893"/>
      <c r="P1225" s="916"/>
      <c r="Q1225" s="916"/>
      <c r="R1225" s="893"/>
      <c r="S1225" s="893"/>
      <c r="T1225" s="916"/>
      <c r="U1225" s="916"/>
      <c r="V1225" s="921" t="str">
        <f>'refer admin discharge'!H1226</f>
        <v>00/00/0000</v>
      </c>
      <c r="W1225" s="922"/>
      <c r="X1225" s="912"/>
      <c r="Y1225" s="912"/>
      <c r="Z1225" s="924"/>
      <c r="AA1225" s="924"/>
      <c r="AB1225" s="912"/>
      <c r="AC1225" s="912"/>
      <c r="AD1225" s="913"/>
      <c r="AE1225" s="913"/>
      <c r="AF1225" s="912"/>
      <c r="AG1225" s="912"/>
      <c r="AH1225" s="913"/>
      <c r="AI1225" s="913"/>
      <c r="AJ1225" s="912"/>
      <c r="AK1225" s="912"/>
      <c r="AL1225" s="925"/>
      <c r="AM1225" s="926"/>
      <c r="AN1225" s="926"/>
      <c r="AO1225" s="926"/>
      <c r="AP1225" s="926"/>
      <c r="AQ1225" s="926"/>
      <c r="AR1225" s="926"/>
      <c r="AS1225" s="926"/>
      <c r="AT1225" s="926"/>
      <c r="AU1225" s="926"/>
      <c r="AV1225" s="926"/>
      <c r="AW1225" s="926"/>
      <c r="AX1225" s="926"/>
      <c r="AY1225" s="926"/>
      <c r="AZ1225" s="926"/>
      <c r="BA1225" s="926"/>
      <c r="BB1225" s="927"/>
    </row>
    <row r="1226" spans="1:54" x14ac:dyDescent="0.25">
      <c r="A1226" s="13">
        <f t="shared" si="18"/>
        <v>1213</v>
      </c>
      <c r="B1226" s="888" t="str">
        <f>'refer admin discharge'!B1222</f>
        <v>x</v>
      </c>
      <c r="C1226" s="888"/>
      <c r="D1226" s="868" t="str">
        <f>'refer admin discharge'!D1222</f>
        <v>xx</v>
      </c>
      <c r="E1226" s="868"/>
      <c r="F1226" s="891" t="str">
        <f>'refer admin discharge'!H1222</f>
        <v>00/00/0000</v>
      </c>
      <c r="G1226" s="892"/>
      <c r="H1226" s="894"/>
      <c r="I1226" s="894"/>
      <c r="J1226" s="918"/>
      <c r="K1226" s="918"/>
      <c r="L1226" s="894"/>
      <c r="M1226" s="894"/>
      <c r="N1226" s="916"/>
      <c r="O1226" s="916"/>
      <c r="P1226" s="894"/>
      <c r="Q1226" s="894"/>
      <c r="R1226" s="916"/>
      <c r="S1226" s="916"/>
      <c r="T1226" s="894"/>
      <c r="U1226" s="894"/>
      <c r="V1226" s="921" t="str">
        <f>'refer admin discharge'!H1227</f>
        <v>00/00/0000</v>
      </c>
      <c r="W1226" s="922"/>
      <c r="X1226" s="920"/>
      <c r="Y1226" s="920"/>
      <c r="Z1226" s="919"/>
      <c r="AA1226" s="919"/>
      <c r="AB1226" s="920"/>
      <c r="AC1226" s="920"/>
      <c r="AD1226" s="912"/>
      <c r="AE1226" s="912"/>
      <c r="AF1226" s="920"/>
      <c r="AG1226" s="920"/>
      <c r="AH1226" s="912"/>
      <c r="AI1226" s="912"/>
      <c r="AJ1226" s="920"/>
      <c r="AK1226" s="920"/>
      <c r="AL1226" s="905"/>
      <c r="AM1226" s="906"/>
      <c r="AN1226" s="906"/>
      <c r="AO1226" s="906"/>
      <c r="AP1226" s="906"/>
      <c r="AQ1226" s="906"/>
      <c r="AR1226" s="906"/>
      <c r="AS1226" s="906"/>
      <c r="AT1226" s="906"/>
      <c r="AU1226" s="906"/>
      <c r="AV1226" s="906"/>
      <c r="AW1226" s="906"/>
      <c r="AX1226" s="906"/>
      <c r="AY1226" s="906"/>
      <c r="AZ1226" s="906"/>
      <c r="BA1226" s="906"/>
      <c r="BB1226" s="907"/>
    </row>
    <row r="1227" spans="1:54" x14ac:dyDescent="0.25">
      <c r="A1227" s="13">
        <f t="shared" si="18"/>
        <v>1214</v>
      </c>
      <c r="B1227" s="914" t="str">
        <f>'refer admin discharge'!B1223</f>
        <v>x</v>
      </c>
      <c r="C1227" s="914"/>
      <c r="D1227" s="889" t="str">
        <f>'refer admin discharge'!D1223</f>
        <v>xx</v>
      </c>
      <c r="E1227" s="889"/>
      <c r="F1227" s="915" t="str">
        <f>'refer admin discharge'!H1223</f>
        <v>00/00/0000</v>
      </c>
      <c r="G1227" s="890"/>
      <c r="H1227" s="916"/>
      <c r="I1227" s="916"/>
      <c r="J1227" s="917"/>
      <c r="K1227" s="917"/>
      <c r="L1227" s="916"/>
      <c r="M1227" s="916"/>
      <c r="N1227" s="893"/>
      <c r="O1227" s="893"/>
      <c r="P1227" s="916"/>
      <c r="Q1227" s="916"/>
      <c r="R1227" s="893"/>
      <c r="S1227" s="893"/>
      <c r="T1227" s="916"/>
      <c r="U1227" s="916"/>
      <c r="V1227" s="921" t="str">
        <f>'refer admin discharge'!H1228</f>
        <v>00/00/0000</v>
      </c>
      <c r="W1227" s="922"/>
      <c r="X1227" s="912"/>
      <c r="Y1227" s="912"/>
      <c r="Z1227" s="924"/>
      <c r="AA1227" s="924"/>
      <c r="AB1227" s="912"/>
      <c r="AC1227" s="912"/>
      <c r="AD1227" s="913"/>
      <c r="AE1227" s="913"/>
      <c r="AF1227" s="912"/>
      <c r="AG1227" s="912"/>
      <c r="AH1227" s="913"/>
      <c r="AI1227" s="913"/>
      <c r="AJ1227" s="912"/>
      <c r="AK1227" s="912"/>
      <c r="AL1227" s="925"/>
      <c r="AM1227" s="926"/>
      <c r="AN1227" s="926"/>
      <c r="AO1227" s="926"/>
      <c r="AP1227" s="926"/>
      <c r="AQ1227" s="926"/>
      <c r="AR1227" s="926"/>
      <c r="AS1227" s="926"/>
      <c r="AT1227" s="926"/>
      <c r="AU1227" s="926"/>
      <c r="AV1227" s="926"/>
      <c r="AW1227" s="926"/>
      <c r="AX1227" s="926"/>
      <c r="AY1227" s="926"/>
      <c r="AZ1227" s="926"/>
      <c r="BA1227" s="926"/>
      <c r="BB1227" s="927"/>
    </row>
    <row r="1228" spans="1:54" x14ac:dyDescent="0.25">
      <c r="A1228" s="13">
        <f t="shared" si="18"/>
        <v>1215</v>
      </c>
      <c r="B1228" s="888" t="str">
        <f>'refer admin discharge'!B1224</f>
        <v>x</v>
      </c>
      <c r="C1228" s="888"/>
      <c r="D1228" s="868" t="str">
        <f>'refer admin discharge'!D1224</f>
        <v>xx</v>
      </c>
      <c r="E1228" s="868"/>
      <c r="F1228" s="891" t="str">
        <f>'refer admin discharge'!H1224</f>
        <v>00/00/0000</v>
      </c>
      <c r="G1228" s="892"/>
      <c r="H1228" s="894"/>
      <c r="I1228" s="894"/>
      <c r="J1228" s="918"/>
      <c r="K1228" s="918"/>
      <c r="L1228" s="894"/>
      <c r="M1228" s="894"/>
      <c r="N1228" s="916"/>
      <c r="O1228" s="916"/>
      <c r="P1228" s="894"/>
      <c r="Q1228" s="894"/>
      <c r="R1228" s="916"/>
      <c r="S1228" s="916"/>
      <c r="T1228" s="894"/>
      <c r="U1228" s="894"/>
      <c r="V1228" s="921" t="str">
        <f>'refer admin discharge'!H1229</f>
        <v>00/00/0000</v>
      </c>
      <c r="W1228" s="922"/>
      <c r="X1228" s="920"/>
      <c r="Y1228" s="920"/>
      <c r="Z1228" s="919"/>
      <c r="AA1228" s="919"/>
      <c r="AB1228" s="920"/>
      <c r="AC1228" s="920"/>
      <c r="AD1228" s="912"/>
      <c r="AE1228" s="912"/>
      <c r="AF1228" s="920"/>
      <c r="AG1228" s="920"/>
      <c r="AH1228" s="912"/>
      <c r="AI1228" s="912"/>
      <c r="AJ1228" s="920"/>
      <c r="AK1228" s="920"/>
      <c r="AL1228" s="905"/>
      <c r="AM1228" s="906"/>
      <c r="AN1228" s="906"/>
      <c r="AO1228" s="906"/>
      <c r="AP1228" s="906"/>
      <c r="AQ1228" s="906"/>
      <c r="AR1228" s="906"/>
      <c r="AS1228" s="906"/>
      <c r="AT1228" s="906"/>
      <c r="AU1228" s="906"/>
      <c r="AV1228" s="906"/>
      <c r="AW1228" s="906"/>
      <c r="AX1228" s="906"/>
      <c r="AY1228" s="906"/>
      <c r="AZ1228" s="906"/>
      <c r="BA1228" s="906"/>
      <c r="BB1228" s="907"/>
    </row>
    <row r="1229" spans="1:54" x14ac:dyDescent="0.25">
      <c r="A1229" s="13">
        <f t="shared" si="18"/>
        <v>1216</v>
      </c>
      <c r="B1229" s="914" t="str">
        <f>'refer admin discharge'!B1225</f>
        <v>x</v>
      </c>
      <c r="C1229" s="914"/>
      <c r="D1229" s="889" t="str">
        <f>'refer admin discharge'!D1225</f>
        <v>xx</v>
      </c>
      <c r="E1229" s="889"/>
      <c r="F1229" s="915" t="str">
        <f>'refer admin discharge'!H1225</f>
        <v>00/00/0000</v>
      </c>
      <c r="G1229" s="890"/>
      <c r="H1229" s="916"/>
      <c r="I1229" s="916"/>
      <c r="J1229" s="917"/>
      <c r="K1229" s="917"/>
      <c r="L1229" s="916"/>
      <c r="M1229" s="916"/>
      <c r="N1229" s="893"/>
      <c r="O1229" s="893"/>
      <c r="P1229" s="916"/>
      <c r="Q1229" s="916"/>
      <c r="R1229" s="893"/>
      <c r="S1229" s="893"/>
      <c r="T1229" s="916"/>
      <c r="U1229" s="916"/>
      <c r="V1229" s="921" t="str">
        <f>'refer admin discharge'!H1230</f>
        <v>00/00/0000</v>
      </c>
      <c r="W1229" s="922"/>
      <c r="X1229" s="912"/>
      <c r="Y1229" s="912"/>
      <c r="Z1229" s="924"/>
      <c r="AA1229" s="924"/>
      <c r="AB1229" s="912"/>
      <c r="AC1229" s="912"/>
      <c r="AD1229" s="913"/>
      <c r="AE1229" s="913"/>
      <c r="AF1229" s="912"/>
      <c r="AG1229" s="912"/>
      <c r="AH1229" s="913"/>
      <c r="AI1229" s="913"/>
      <c r="AJ1229" s="912"/>
      <c r="AK1229" s="912"/>
      <c r="AL1229" s="925"/>
      <c r="AM1229" s="926"/>
      <c r="AN1229" s="926"/>
      <c r="AO1229" s="926"/>
      <c r="AP1229" s="926"/>
      <c r="AQ1229" s="926"/>
      <c r="AR1229" s="926"/>
      <c r="AS1229" s="926"/>
      <c r="AT1229" s="926"/>
      <c r="AU1229" s="926"/>
      <c r="AV1229" s="926"/>
      <c r="AW1229" s="926"/>
      <c r="AX1229" s="926"/>
      <c r="AY1229" s="926"/>
      <c r="AZ1229" s="926"/>
      <c r="BA1229" s="926"/>
      <c r="BB1229" s="927"/>
    </row>
    <row r="1230" spans="1:54" x14ac:dyDescent="0.25">
      <c r="A1230" s="13">
        <f t="shared" ref="A1230:A1293" si="19">ROW(A1217)</f>
        <v>1217</v>
      </c>
      <c r="B1230" s="888" t="str">
        <f>'refer admin discharge'!B1226</f>
        <v>x</v>
      </c>
      <c r="C1230" s="888"/>
      <c r="D1230" s="868" t="str">
        <f>'refer admin discharge'!D1226</f>
        <v>xx</v>
      </c>
      <c r="E1230" s="868"/>
      <c r="F1230" s="891" t="str">
        <f>'refer admin discharge'!H1226</f>
        <v>00/00/0000</v>
      </c>
      <c r="G1230" s="892"/>
      <c r="H1230" s="894"/>
      <c r="I1230" s="894"/>
      <c r="J1230" s="918"/>
      <c r="K1230" s="918"/>
      <c r="L1230" s="894"/>
      <c r="M1230" s="894"/>
      <c r="N1230" s="916"/>
      <c r="O1230" s="916"/>
      <c r="P1230" s="894"/>
      <c r="Q1230" s="894"/>
      <c r="R1230" s="916"/>
      <c r="S1230" s="916"/>
      <c r="T1230" s="894"/>
      <c r="U1230" s="894"/>
      <c r="V1230" s="921" t="str">
        <f>'refer admin discharge'!H1231</f>
        <v>00/00/0000</v>
      </c>
      <c r="W1230" s="922"/>
      <c r="X1230" s="920"/>
      <c r="Y1230" s="920"/>
      <c r="Z1230" s="919"/>
      <c r="AA1230" s="919"/>
      <c r="AB1230" s="920"/>
      <c r="AC1230" s="920"/>
      <c r="AD1230" s="912"/>
      <c r="AE1230" s="912"/>
      <c r="AF1230" s="920"/>
      <c r="AG1230" s="920"/>
      <c r="AH1230" s="912"/>
      <c r="AI1230" s="912"/>
      <c r="AJ1230" s="920"/>
      <c r="AK1230" s="920"/>
      <c r="AL1230" s="905"/>
      <c r="AM1230" s="906"/>
      <c r="AN1230" s="906"/>
      <c r="AO1230" s="906"/>
      <c r="AP1230" s="906"/>
      <c r="AQ1230" s="906"/>
      <c r="AR1230" s="906"/>
      <c r="AS1230" s="906"/>
      <c r="AT1230" s="906"/>
      <c r="AU1230" s="906"/>
      <c r="AV1230" s="906"/>
      <c r="AW1230" s="906"/>
      <c r="AX1230" s="906"/>
      <c r="AY1230" s="906"/>
      <c r="AZ1230" s="906"/>
      <c r="BA1230" s="906"/>
      <c r="BB1230" s="907"/>
    </row>
    <row r="1231" spans="1:54" x14ac:dyDescent="0.25">
      <c r="A1231" s="13">
        <f t="shared" si="19"/>
        <v>1218</v>
      </c>
      <c r="B1231" s="914" t="str">
        <f>'refer admin discharge'!B1227</f>
        <v>x</v>
      </c>
      <c r="C1231" s="914"/>
      <c r="D1231" s="889" t="str">
        <f>'refer admin discharge'!D1227</f>
        <v>xx</v>
      </c>
      <c r="E1231" s="889"/>
      <c r="F1231" s="915" t="str">
        <f>'refer admin discharge'!H1227</f>
        <v>00/00/0000</v>
      </c>
      <c r="G1231" s="890"/>
      <c r="H1231" s="916"/>
      <c r="I1231" s="916"/>
      <c r="J1231" s="917"/>
      <c r="K1231" s="917"/>
      <c r="L1231" s="916"/>
      <c r="M1231" s="916"/>
      <c r="N1231" s="893"/>
      <c r="O1231" s="893"/>
      <c r="P1231" s="916"/>
      <c r="Q1231" s="916"/>
      <c r="R1231" s="893"/>
      <c r="S1231" s="893"/>
      <c r="T1231" s="916"/>
      <c r="U1231" s="916"/>
      <c r="V1231" s="921" t="str">
        <f>'refer admin discharge'!H1232</f>
        <v>00/00/0000</v>
      </c>
      <c r="W1231" s="922"/>
      <c r="X1231" s="912"/>
      <c r="Y1231" s="912"/>
      <c r="Z1231" s="924"/>
      <c r="AA1231" s="924"/>
      <c r="AB1231" s="912"/>
      <c r="AC1231" s="912"/>
      <c r="AD1231" s="913"/>
      <c r="AE1231" s="913"/>
      <c r="AF1231" s="912"/>
      <c r="AG1231" s="912"/>
      <c r="AH1231" s="913"/>
      <c r="AI1231" s="913"/>
      <c r="AJ1231" s="912"/>
      <c r="AK1231" s="912"/>
      <c r="AL1231" s="925"/>
      <c r="AM1231" s="926"/>
      <c r="AN1231" s="926"/>
      <c r="AO1231" s="926"/>
      <c r="AP1231" s="926"/>
      <c r="AQ1231" s="926"/>
      <c r="AR1231" s="926"/>
      <c r="AS1231" s="926"/>
      <c r="AT1231" s="926"/>
      <c r="AU1231" s="926"/>
      <c r="AV1231" s="926"/>
      <c r="AW1231" s="926"/>
      <c r="AX1231" s="926"/>
      <c r="AY1231" s="926"/>
      <c r="AZ1231" s="926"/>
      <c r="BA1231" s="926"/>
      <c r="BB1231" s="927"/>
    </row>
    <row r="1232" spans="1:54" x14ac:dyDescent="0.25">
      <c r="A1232" s="13">
        <f t="shared" si="19"/>
        <v>1219</v>
      </c>
      <c r="B1232" s="888" t="str">
        <f>'refer admin discharge'!B1228</f>
        <v>x</v>
      </c>
      <c r="C1232" s="888"/>
      <c r="D1232" s="868" t="str">
        <f>'refer admin discharge'!D1228</f>
        <v>xx</v>
      </c>
      <c r="E1232" s="868"/>
      <c r="F1232" s="891" t="str">
        <f>'refer admin discharge'!H1228</f>
        <v>00/00/0000</v>
      </c>
      <c r="G1232" s="892"/>
      <c r="H1232" s="894"/>
      <c r="I1232" s="894"/>
      <c r="J1232" s="918"/>
      <c r="K1232" s="918"/>
      <c r="L1232" s="894"/>
      <c r="M1232" s="894"/>
      <c r="N1232" s="916"/>
      <c r="O1232" s="916"/>
      <c r="P1232" s="894"/>
      <c r="Q1232" s="894"/>
      <c r="R1232" s="916"/>
      <c r="S1232" s="916"/>
      <c r="T1232" s="894"/>
      <c r="U1232" s="894"/>
      <c r="V1232" s="921" t="str">
        <f>'refer admin discharge'!H1233</f>
        <v>00/00/0000</v>
      </c>
      <c r="W1232" s="922"/>
      <c r="X1232" s="920"/>
      <c r="Y1232" s="920"/>
      <c r="Z1232" s="919"/>
      <c r="AA1232" s="919"/>
      <c r="AB1232" s="920"/>
      <c r="AC1232" s="920"/>
      <c r="AD1232" s="912"/>
      <c r="AE1232" s="912"/>
      <c r="AF1232" s="920"/>
      <c r="AG1232" s="920"/>
      <c r="AH1232" s="912"/>
      <c r="AI1232" s="912"/>
      <c r="AJ1232" s="920"/>
      <c r="AK1232" s="920"/>
      <c r="AL1232" s="905"/>
      <c r="AM1232" s="906"/>
      <c r="AN1232" s="906"/>
      <c r="AO1232" s="906"/>
      <c r="AP1232" s="906"/>
      <c r="AQ1232" s="906"/>
      <c r="AR1232" s="906"/>
      <c r="AS1232" s="906"/>
      <c r="AT1232" s="906"/>
      <c r="AU1232" s="906"/>
      <c r="AV1232" s="906"/>
      <c r="AW1232" s="906"/>
      <c r="AX1232" s="906"/>
      <c r="AY1232" s="906"/>
      <c r="AZ1232" s="906"/>
      <c r="BA1232" s="906"/>
      <c r="BB1232" s="907"/>
    </row>
    <row r="1233" spans="1:54" x14ac:dyDescent="0.25">
      <c r="A1233" s="13">
        <f t="shared" si="19"/>
        <v>1220</v>
      </c>
      <c r="B1233" s="914" t="str">
        <f>'refer admin discharge'!B1229</f>
        <v>x</v>
      </c>
      <c r="C1233" s="914"/>
      <c r="D1233" s="889" t="str">
        <f>'refer admin discharge'!D1229</f>
        <v>xx</v>
      </c>
      <c r="E1233" s="889"/>
      <c r="F1233" s="915" t="str">
        <f>'refer admin discharge'!H1229</f>
        <v>00/00/0000</v>
      </c>
      <c r="G1233" s="890"/>
      <c r="H1233" s="916"/>
      <c r="I1233" s="916"/>
      <c r="J1233" s="917"/>
      <c r="K1233" s="917"/>
      <c r="L1233" s="916"/>
      <c r="M1233" s="916"/>
      <c r="N1233" s="893"/>
      <c r="O1233" s="893"/>
      <c r="P1233" s="916"/>
      <c r="Q1233" s="916"/>
      <c r="R1233" s="893"/>
      <c r="S1233" s="893"/>
      <c r="T1233" s="916"/>
      <c r="U1233" s="916"/>
      <c r="V1233" s="921" t="str">
        <f>'refer admin discharge'!H1234</f>
        <v>00/00/0000</v>
      </c>
      <c r="W1233" s="922"/>
      <c r="X1233" s="912"/>
      <c r="Y1233" s="912"/>
      <c r="Z1233" s="924"/>
      <c r="AA1233" s="924"/>
      <c r="AB1233" s="912"/>
      <c r="AC1233" s="912"/>
      <c r="AD1233" s="913"/>
      <c r="AE1233" s="913"/>
      <c r="AF1233" s="912"/>
      <c r="AG1233" s="912"/>
      <c r="AH1233" s="913"/>
      <c r="AI1233" s="913"/>
      <c r="AJ1233" s="912"/>
      <c r="AK1233" s="912"/>
      <c r="AL1233" s="925"/>
      <c r="AM1233" s="926"/>
      <c r="AN1233" s="926"/>
      <c r="AO1233" s="926"/>
      <c r="AP1233" s="926"/>
      <c r="AQ1233" s="926"/>
      <c r="AR1233" s="926"/>
      <c r="AS1233" s="926"/>
      <c r="AT1233" s="926"/>
      <c r="AU1233" s="926"/>
      <c r="AV1233" s="926"/>
      <c r="AW1233" s="926"/>
      <c r="AX1233" s="926"/>
      <c r="AY1233" s="926"/>
      <c r="AZ1233" s="926"/>
      <c r="BA1233" s="926"/>
      <c r="BB1233" s="927"/>
    </row>
    <row r="1234" spans="1:54" x14ac:dyDescent="0.25">
      <c r="A1234" s="13">
        <f t="shared" si="19"/>
        <v>1221</v>
      </c>
      <c r="B1234" s="888" t="str">
        <f>'refer admin discharge'!B1230</f>
        <v>x</v>
      </c>
      <c r="C1234" s="888"/>
      <c r="D1234" s="868" t="str">
        <f>'refer admin discharge'!D1230</f>
        <v>xx</v>
      </c>
      <c r="E1234" s="868"/>
      <c r="F1234" s="891" t="str">
        <f>'refer admin discharge'!H1230</f>
        <v>00/00/0000</v>
      </c>
      <c r="G1234" s="892"/>
      <c r="H1234" s="894"/>
      <c r="I1234" s="894"/>
      <c r="J1234" s="918"/>
      <c r="K1234" s="918"/>
      <c r="L1234" s="894"/>
      <c r="M1234" s="894"/>
      <c r="N1234" s="916"/>
      <c r="O1234" s="916"/>
      <c r="P1234" s="894"/>
      <c r="Q1234" s="894"/>
      <c r="R1234" s="916"/>
      <c r="S1234" s="916"/>
      <c r="T1234" s="894"/>
      <c r="U1234" s="894"/>
      <c r="V1234" s="921" t="str">
        <f>'refer admin discharge'!H1235</f>
        <v>00/00/0000</v>
      </c>
      <c r="W1234" s="922"/>
      <c r="X1234" s="920"/>
      <c r="Y1234" s="920"/>
      <c r="Z1234" s="919"/>
      <c r="AA1234" s="919"/>
      <c r="AB1234" s="920"/>
      <c r="AC1234" s="920"/>
      <c r="AD1234" s="912"/>
      <c r="AE1234" s="912"/>
      <c r="AF1234" s="920"/>
      <c r="AG1234" s="920"/>
      <c r="AH1234" s="912"/>
      <c r="AI1234" s="912"/>
      <c r="AJ1234" s="920"/>
      <c r="AK1234" s="920"/>
      <c r="AL1234" s="905"/>
      <c r="AM1234" s="906"/>
      <c r="AN1234" s="906"/>
      <c r="AO1234" s="906"/>
      <c r="AP1234" s="906"/>
      <c r="AQ1234" s="906"/>
      <c r="AR1234" s="906"/>
      <c r="AS1234" s="906"/>
      <c r="AT1234" s="906"/>
      <c r="AU1234" s="906"/>
      <c r="AV1234" s="906"/>
      <c r="AW1234" s="906"/>
      <c r="AX1234" s="906"/>
      <c r="AY1234" s="906"/>
      <c r="AZ1234" s="906"/>
      <c r="BA1234" s="906"/>
      <c r="BB1234" s="907"/>
    </row>
    <row r="1235" spans="1:54" x14ac:dyDescent="0.25">
      <c r="A1235" s="13">
        <f t="shared" si="19"/>
        <v>1222</v>
      </c>
      <c r="B1235" s="914" t="str">
        <f>'refer admin discharge'!B1231</f>
        <v>x</v>
      </c>
      <c r="C1235" s="914"/>
      <c r="D1235" s="889" t="str">
        <f>'refer admin discharge'!D1231</f>
        <v>xx</v>
      </c>
      <c r="E1235" s="889"/>
      <c r="F1235" s="915" t="str">
        <f>'refer admin discharge'!H1231</f>
        <v>00/00/0000</v>
      </c>
      <c r="G1235" s="890"/>
      <c r="H1235" s="916"/>
      <c r="I1235" s="916"/>
      <c r="J1235" s="917"/>
      <c r="K1235" s="917"/>
      <c r="L1235" s="916"/>
      <c r="M1235" s="916"/>
      <c r="N1235" s="893"/>
      <c r="O1235" s="893"/>
      <c r="P1235" s="916"/>
      <c r="Q1235" s="916"/>
      <c r="R1235" s="893"/>
      <c r="S1235" s="893"/>
      <c r="T1235" s="916"/>
      <c r="U1235" s="916"/>
      <c r="V1235" s="921" t="str">
        <f>'refer admin discharge'!H1236</f>
        <v>00/00/0000</v>
      </c>
      <c r="W1235" s="922"/>
      <c r="X1235" s="912"/>
      <c r="Y1235" s="912"/>
      <c r="Z1235" s="924"/>
      <c r="AA1235" s="924"/>
      <c r="AB1235" s="912"/>
      <c r="AC1235" s="912"/>
      <c r="AD1235" s="913"/>
      <c r="AE1235" s="913"/>
      <c r="AF1235" s="912"/>
      <c r="AG1235" s="912"/>
      <c r="AH1235" s="913"/>
      <c r="AI1235" s="913"/>
      <c r="AJ1235" s="912"/>
      <c r="AK1235" s="912"/>
      <c r="AL1235" s="925"/>
      <c r="AM1235" s="926"/>
      <c r="AN1235" s="926"/>
      <c r="AO1235" s="926"/>
      <c r="AP1235" s="926"/>
      <c r="AQ1235" s="926"/>
      <c r="AR1235" s="926"/>
      <c r="AS1235" s="926"/>
      <c r="AT1235" s="926"/>
      <c r="AU1235" s="926"/>
      <c r="AV1235" s="926"/>
      <c r="AW1235" s="926"/>
      <c r="AX1235" s="926"/>
      <c r="AY1235" s="926"/>
      <c r="AZ1235" s="926"/>
      <c r="BA1235" s="926"/>
      <c r="BB1235" s="927"/>
    </row>
    <row r="1236" spans="1:54" x14ac:dyDescent="0.25">
      <c r="A1236" s="13">
        <f t="shared" si="19"/>
        <v>1223</v>
      </c>
      <c r="B1236" s="888" t="str">
        <f>'refer admin discharge'!B1232</f>
        <v>x</v>
      </c>
      <c r="C1236" s="888"/>
      <c r="D1236" s="868" t="str">
        <f>'refer admin discharge'!D1232</f>
        <v>xx</v>
      </c>
      <c r="E1236" s="868"/>
      <c r="F1236" s="891" t="str">
        <f>'refer admin discharge'!H1232</f>
        <v>00/00/0000</v>
      </c>
      <c r="G1236" s="892"/>
      <c r="H1236" s="894"/>
      <c r="I1236" s="894"/>
      <c r="J1236" s="918"/>
      <c r="K1236" s="918"/>
      <c r="L1236" s="894"/>
      <c r="M1236" s="894"/>
      <c r="N1236" s="916"/>
      <c r="O1236" s="916"/>
      <c r="P1236" s="894"/>
      <c r="Q1236" s="894"/>
      <c r="R1236" s="916"/>
      <c r="S1236" s="916"/>
      <c r="T1236" s="894"/>
      <c r="U1236" s="894"/>
      <c r="V1236" s="921" t="str">
        <f>'refer admin discharge'!H1237</f>
        <v>00/00/0000</v>
      </c>
      <c r="W1236" s="922"/>
      <c r="X1236" s="920"/>
      <c r="Y1236" s="920"/>
      <c r="Z1236" s="919"/>
      <c r="AA1236" s="919"/>
      <c r="AB1236" s="920"/>
      <c r="AC1236" s="920"/>
      <c r="AD1236" s="912"/>
      <c r="AE1236" s="912"/>
      <c r="AF1236" s="920"/>
      <c r="AG1236" s="920"/>
      <c r="AH1236" s="912"/>
      <c r="AI1236" s="912"/>
      <c r="AJ1236" s="920"/>
      <c r="AK1236" s="920"/>
      <c r="AL1236" s="905"/>
      <c r="AM1236" s="906"/>
      <c r="AN1236" s="906"/>
      <c r="AO1236" s="906"/>
      <c r="AP1236" s="906"/>
      <c r="AQ1236" s="906"/>
      <c r="AR1236" s="906"/>
      <c r="AS1236" s="906"/>
      <c r="AT1236" s="906"/>
      <c r="AU1236" s="906"/>
      <c r="AV1236" s="906"/>
      <c r="AW1236" s="906"/>
      <c r="AX1236" s="906"/>
      <c r="AY1236" s="906"/>
      <c r="AZ1236" s="906"/>
      <c r="BA1236" s="906"/>
      <c r="BB1236" s="907"/>
    </row>
    <row r="1237" spans="1:54" x14ac:dyDescent="0.25">
      <c r="A1237" s="13">
        <f t="shared" si="19"/>
        <v>1224</v>
      </c>
      <c r="B1237" s="914" t="str">
        <f>'refer admin discharge'!B1233</f>
        <v>x</v>
      </c>
      <c r="C1237" s="914"/>
      <c r="D1237" s="889" t="str">
        <f>'refer admin discharge'!D1233</f>
        <v>xx</v>
      </c>
      <c r="E1237" s="889"/>
      <c r="F1237" s="915" t="str">
        <f>'refer admin discharge'!H1233</f>
        <v>00/00/0000</v>
      </c>
      <c r="G1237" s="890"/>
      <c r="H1237" s="916"/>
      <c r="I1237" s="916"/>
      <c r="J1237" s="917"/>
      <c r="K1237" s="917"/>
      <c r="L1237" s="916"/>
      <c r="M1237" s="916"/>
      <c r="N1237" s="893"/>
      <c r="O1237" s="893"/>
      <c r="P1237" s="916"/>
      <c r="Q1237" s="916"/>
      <c r="R1237" s="893"/>
      <c r="S1237" s="893"/>
      <c r="T1237" s="916"/>
      <c r="U1237" s="916"/>
      <c r="V1237" s="921" t="str">
        <f>'refer admin discharge'!H1238</f>
        <v>00/00/0000</v>
      </c>
      <c r="W1237" s="922"/>
      <c r="X1237" s="912"/>
      <c r="Y1237" s="912"/>
      <c r="Z1237" s="924"/>
      <c r="AA1237" s="924"/>
      <c r="AB1237" s="912"/>
      <c r="AC1237" s="912"/>
      <c r="AD1237" s="913"/>
      <c r="AE1237" s="913"/>
      <c r="AF1237" s="912"/>
      <c r="AG1237" s="912"/>
      <c r="AH1237" s="913"/>
      <c r="AI1237" s="913"/>
      <c r="AJ1237" s="912"/>
      <c r="AK1237" s="912"/>
      <c r="AL1237" s="925"/>
      <c r="AM1237" s="926"/>
      <c r="AN1237" s="926"/>
      <c r="AO1237" s="926"/>
      <c r="AP1237" s="926"/>
      <c r="AQ1237" s="926"/>
      <c r="AR1237" s="926"/>
      <c r="AS1237" s="926"/>
      <c r="AT1237" s="926"/>
      <c r="AU1237" s="926"/>
      <c r="AV1237" s="926"/>
      <c r="AW1237" s="926"/>
      <c r="AX1237" s="926"/>
      <c r="AY1237" s="926"/>
      <c r="AZ1237" s="926"/>
      <c r="BA1237" s="926"/>
      <c r="BB1237" s="927"/>
    </row>
    <row r="1238" spans="1:54" x14ac:dyDescent="0.25">
      <c r="A1238" s="13">
        <f t="shared" si="19"/>
        <v>1225</v>
      </c>
      <c r="B1238" s="888" t="str">
        <f>'refer admin discharge'!B1234</f>
        <v>x</v>
      </c>
      <c r="C1238" s="888"/>
      <c r="D1238" s="868" t="str">
        <f>'refer admin discharge'!D1234</f>
        <v>xx</v>
      </c>
      <c r="E1238" s="868"/>
      <c r="F1238" s="891" t="str">
        <f>'refer admin discharge'!H1234</f>
        <v>00/00/0000</v>
      </c>
      <c r="G1238" s="892"/>
      <c r="H1238" s="894"/>
      <c r="I1238" s="894"/>
      <c r="J1238" s="918"/>
      <c r="K1238" s="918"/>
      <c r="L1238" s="894"/>
      <c r="M1238" s="894"/>
      <c r="N1238" s="916"/>
      <c r="O1238" s="916"/>
      <c r="P1238" s="894"/>
      <c r="Q1238" s="894"/>
      <c r="R1238" s="916"/>
      <c r="S1238" s="916"/>
      <c r="T1238" s="894"/>
      <c r="U1238" s="894"/>
      <c r="V1238" s="921" t="str">
        <f>'refer admin discharge'!H1239</f>
        <v>00/00/0000</v>
      </c>
      <c r="W1238" s="922"/>
      <c r="X1238" s="920"/>
      <c r="Y1238" s="920"/>
      <c r="Z1238" s="919"/>
      <c r="AA1238" s="919"/>
      <c r="AB1238" s="920"/>
      <c r="AC1238" s="920"/>
      <c r="AD1238" s="912"/>
      <c r="AE1238" s="912"/>
      <c r="AF1238" s="920"/>
      <c r="AG1238" s="920"/>
      <c r="AH1238" s="912"/>
      <c r="AI1238" s="912"/>
      <c r="AJ1238" s="920"/>
      <c r="AK1238" s="920"/>
      <c r="AL1238" s="905"/>
      <c r="AM1238" s="906"/>
      <c r="AN1238" s="906"/>
      <c r="AO1238" s="906"/>
      <c r="AP1238" s="906"/>
      <c r="AQ1238" s="906"/>
      <c r="AR1238" s="906"/>
      <c r="AS1238" s="906"/>
      <c r="AT1238" s="906"/>
      <c r="AU1238" s="906"/>
      <c r="AV1238" s="906"/>
      <c r="AW1238" s="906"/>
      <c r="AX1238" s="906"/>
      <c r="AY1238" s="906"/>
      <c r="AZ1238" s="906"/>
      <c r="BA1238" s="906"/>
      <c r="BB1238" s="907"/>
    </row>
    <row r="1239" spans="1:54" x14ac:dyDescent="0.25">
      <c r="A1239" s="13">
        <f t="shared" si="19"/>
        <v>1226</v>
      </c>
      <c r="B1239" s="914" t="str">
        <f>'refer admin discharge'!B1235</f>
        <v>x</v>
      </c>
      <c r="C1239" s="914"/>
      <c r="D1239" s="889" t="str">
        <f>'refer admin discharge'!D1235</f>
        <v>xx</v>
      </c>
      <c r="E1239" s="889"/>
      <c r="F1239" s="915" t="str">
        <f>'refer admin discharge'!H1235</f>
        <v>00/00/0000</v>
      </c>
      <c r="G1239" s="890"/>
      <c r="H1239" s="916"/>
      <c r="I1239" s="916"/>
      <c r="J1239" s="917"/>
      <c r="K1239" s="917"/>
      <c r="L1239" s="916"/>
      <c r="M1239" s="916"/>
      <c r="N1239" s="893"/>
      <c r="O1239" s="893"/>
      <c r="P1239" s="916"/>
      <c r="Q1239" s="916"/>
      <c r="R1239" s="893"/>
      <c r="S1239" s="893"/>
      <c r="T1239" s="916"/>
      <c r="U1239" s="916"/>
      <c r="V1239" s="921" t="str">
        <f>'refer admin discharge'!H1240</f>
        <v>00/00/0000</v>
      </c>
      <c r="W1239" s="922"/>
      <c r="X1239" s="912"/>
      <c r="Y1239" s="912"/>
      <c r="Z1239" s="924"/>
      <c r="AA1239" s="924"/>
      <c r="AB1239" s="912"/>
      <c r="AC1239" s="912"/>
      <c r="AD1239" s="913"/>
      <c r="AE1239" s="913"/>
      <c r="AF1239" s="912"/>
      <c r="AG1239" s="912"/>
      <c r="AH1239" s="913"/>
      <c r="AI1239" s="913"/>
      <c r="AJ1239" s="912"/>
      <c r="AK1239" s="912"/>
      <c r="AL1239" s="925"/>
      <c r="AM1239" s="926"/>
      <c r="AN1239" s="926"/>
      <c r="AO1239" s="926"/>
      <c r="AP1239" s="926"/>
      <c r="AQ1239" s="926"/>
      <c r="AR1239" s="926"/>
      <c r="AS1239" s="926"/>
      <c r="AT1239" s="926"/>
      <c r="AU1239" s="926"/>
      <c r="AV1239" s="926"/>
      <c r="AW1239" s="926"/>
      <c r="AX1239" s="926"/>
      <c r="AY1239" s="926"/>
      <c r="AZ1239" s="926"/>
      <c r="BA1239" s="926"/>
      <c r="BB1239" s="927"/>
    </row>
    <row r="1240" spans="1:54" x14ac:dyDescent="0.25">
      <c r="A1240" s="13">
        <f t="shared" si="19"/>
        <v>1227</v>
      </c>
      <c r="B1240" s="888" t="str">
        <f>'refer admin discharge'!B1236</f>
        <v>x</v>
      </c>
      <c r="C1240" s="888"/>
      <c r="D1240" s="868" t="str">
        <f>'refer admin discharge'!D1236</f>
        <v>xx</v>
      </c>
      <c r="E1240" s="868"/>
      <c r="F1240" s="891" t="str">
        <f>'refer admin discharge'!H1236</f>
        <v>00/00/0000</v>
      </c>
      <c r="G1240" s="892"/>
      <c r="H1240" s="894"/>
      <c r="I1240" s="894"/>
      <c r="J1240" s="918"/>
      <c r="K1240" s="918"/>
      <c r="L1240" s="894"/>
      <c r="M1240" s="894"/>
      <c r="N1240" s="916"/>
      <c r="O1240" s="916"/>
      <c r="P1240" s="894"/>
      <c r="Q1240" s="894"/>
      <c r="R1240" s="916"/>
      <c r="S1240" s="916"/>
      <c r="T1240" s="894"/>
      <c r="U1240" s="894"/>
      <c r="V1240" s="921" t="str">
        <f>'refer admin discharge'!H1241</f>
        <v>00/00/0000</v>
      </c>
      <c r="W1240" s="922"/>
      <c r="X1240" s="920"/>
      <c r="Y1240" s="920"/>
      <c r="Z1240" s="919"/>
      <c r="AA1240" s="919"/>
      <c r="AB1240" s="920"/>
      <c r="AC1240" s="920"/>
      <c r="AD1240" s="912"/>
      <c r="AE1240" s="912"/>
      <c r="AF1240" s="920"/>
      <c r="AG1240" s="920"/>
      <c r="AH1240" s="912"/>
      <c r="AI1240" s="912"/>
      <c r="AJ1240" s="920"/>
      <c r="AK1240" s="920"/>
      <c r="AL1240" s="905"/>
      <c r="AM1240" s="906"/>
      <c r="AN1240" s="906"/>
      <c r="AO1240" s="906"/>
      <c r="AP1240" s="906"/>
      <c r="AQ1240" s="906"/>
      <c r="AR1240" s="906"/>
      <c r="AS1240" s="906"/>
      <c r="AT1240" s="906"/>
      <c r="AU1240" s="906"/>
      <c r="AV1240" s="906"/>
      <c r="AW1240" s="906"/>
      <c r="AX1240" s="906"/>
      <c r="AY1240" s="906"/>
      <c r="AZ1240" s="906"/>
      <c r="BA1240" s="906"/>
      <c r="BB1240" s="907"/>
    </row>
    <row r="1241" spans="1:54" x14ac:dyDescent="0.25">
      <c r="A1241" s="13">
        <f t="shared" si="19"/>
        <v>1228</v>
      </c>
      <c r="B1241" s="914" t="str">
        <f>'refer admin discharge'!B1237</f>
        <v>x</v>
      </c>
      <c r="C1241" s="914"/>
      <c r="D1241" s="889" t="str">
        <f>'refer admin discharge'!D1237</f>
        <v>xx</v>
      </c>
      <c r="E1241" s="889"/>
      <c r="F1241" s="915" t="str">
        <f>'refer admin discharge'!H1237</f>
        <v>00/00/0000</v>
      </c>
      <c r="G1241" s="890"/>
      <c r="H1241" s="916"/>
      <c r="I1241" s="916"/>
      <c r="J1241" s="917"/>
      <c r="K1241" s="917"/>
      <c r="L1241" s="916"/>
      <c r="M1241" s="916"/>
      <c r="N1241" s="893"/>
      <c r="O1241" s="893"/>
      <c r="P1241" s="916"/>
      <c r="Q1241" s="916"/>
      <c r="R1241" s="893"/>
      <c r="S1241" s="893"/>
      <c r="T1241" s="916"/>
      <c r="U1241" s="916"/>
      <c r="V1241" s="921" t="str">
        <f>'refer admin discharge'!H1242</f>
        <v>00/00/0000</v>
      </c>
      <c r="W1241" s="922"/>
      <c r="X1241" s="912"/>
      <c r="Y1241" s="912"/>
      <c r="Z1241" s="924"/>
      <c r="AA1241" s="924"/>
      <c r="AB1241" s="912"/>
      <c r="AC1241" s="912"/>
      <c r="AD1241" s="913"/>
      <c r="AE1241" s="913"/>
      <c r="AF1241" s="912"/>
      <c r="AG1241" s="912"/>
      <c r="AH1241" s="913"/>
      <c r="AI1241" s="913"/>
      <c r="AJ1241" s="912"/>
      <c r="AK1241" s="912"/>
      <c r="AL1241" s="925"/>
      <c r="AM1241" s="926"/>
      <c r="AN1241" s="926"/>
      <c r="AO1241" s="926"/>
      <c r="AP1241" s="926"/>
      <c r="AQ1241" s="926"/>
      <c r="AR1241" s="926"/>
      <c r="AS1241" s="926"/>
      <c r="AT1241" s="926"/>
      <c r="AU1241" s="926"/>
      <c r="AV1241" s="926"/>
      <c r="AW1241" s="926"/>
      <c r="AX1241" s="926"/>
      <c r="AY1241" s="926"/>
      <c r="AZ1241" s="926"/>
      <c r="BA1241" s="926"/>
      <c r="BB1241" s="927"/>
    </row>
    <row r="1242" spans="1:54" x14ac:dyDescent="0.25">
      <c r="A1242" s="13">
        <f t="shared" si="19"/>
        <v>1229</v>
      </c>
      <c r="B1242" s="888" t="str">
        <f>'refer admin discharge'!B1238</f>
        <v>x</v>
      </c>
      <c r="C1242" s="888"/>
      <c r="D1242" s="868" t="str">
        <f>'refer admin discharge'!D1238</f>
        <v>xx</v>
      </c>
      <c r="E1242" s="868"/>
      <c r="F1242" s="891" t="str">
        <f>'refer admin discharge'!H1238</f>
        <v>00/00/0000</v>
      </c>
      <c r="G1242" s="892"/>
      <c r="H1242" s="894"/>
      <c r="I1242" s="894"/>
      <c r="J1242" s="918"/>
      <c r="K1242" s="918"/>
      <c r="L1242" s="894"/>
      <c r="M1242" s="894"/>
      <c r="N1242" s="916"/>
      <c r="O1242" s="916"/>
      <c r="P1242" s="894"/>
      <c r="Q1242" s="894"/>
      <c r="R1242" s="916"/>
      <c r="S1242" s="916"/>
      <c r="T1242" s="894"/>
      <c r="U1242" s="894"/>
      <c r="V1242" s="921" t="str">
        <f>'refer admin discharge'!H1243</f>
        <v>00/00/0000</v>
      </c>
      <c r="W1242" s="922"/>
      <c r="X1242" s="920"/>
      <c r="Y1242" s="920"/>
      <c r="Z1242" s="919"/>
      <c r="AA1242" s="919"/>
      <c r="AB1242" s="920"/>
      <c r="AC1242" s="920"/>
      <c r="AD1242" s="912"/>
      <c r="AE1242" s="912"/>
      <c r="AF1242" s="920"/>
      <c r="AG1242" s="920"/>
      <c r="AH1242" s="912"/>
      <c r="AI1242" s="912"/>
      <c r="AJ1242" s="920"/>
      <c r="AK1242" s="920"/>
      <c r="AL1242" s="905"/>
      <c r="AM1242" s="906"/>
      <c r="AN1242" s="906"/>
      <c r="AO1242" s="906"/>
      <c r="AP1242" s="906"/>
      <c r="AQ1242" s="906"/>
      <c r="AR1242" s="906"/>
      <c r="AS1242" s="906"/>
      <c r="AT1242" s="906"/>
      <c r="AU1242" s="906"/>
      <c r="AV1242" s="906"/>
      <c r="AW1242" s="906"/>
      <c r="AX1242" s="906"/>
      <c r="AY1242" s="906"/>
      <c r="AZ1242" s="906"/>
      <c r="BA1242" s="906"/>
      <c r="BB1242" s="907"/>
    </row>
    <row r="1243" spans="1:54" x14ac:dyDescent="0.25">
      <c r="A1243" s="13">
        <f t="shared" si="19"/>
        <v>1230</v>
      </c>
      <c r="B1243" s="914" t="str">
        <f>'refer admin discharge'!B1239</f>
        <v>x</v>
      </c>
      <c r="C1243" s="914"/>
      <c r="D1243" s="889" t="str">
        <f>'refer admin discharge'!D1239</f>
        <v>xx</v>
      </c>
      <c r="E1243" s="889"/>
      <c r="F1243" s="915" t="str">
        <f>'refer admin discharge'!H1239</f>
        <v>00/00/0000</v>
      </c>
      <c r="G1243" s="890"/>
      <c r="H1243" s="916"/>
      <c r="I1243" s="916"/>
      <c r="J1243" s="917"/>
      <c r="K1243" s="917"/>
      <c r="L1243" s="916"/>
      <c r="M1243" s="916"/>
      <c r="N1243" s="893"/>
      <c r="O1243" s="893"/>
      <c r="P1243" s="916"/>
      <c r="Q1243" s="916"/>
      <c r="R1243" s="893"/>
      <c r="S1243" s="893"/>
      <c r="T1243" s="916"/>
      <c r="U1243" s="916"/>
      <c r="V1243" s="921" t="str">
        <f>'refer admin discharge'!H1244</f>
        <v>00/00/0000</v>
      </c>
      <c r="W1243" s="922"/>
      <c r="X1243" s="912"/>
      <c r="Y1243" s="912"/>
      <c r="Z1243" s="924"/>
      <c r="AA1243" s="924"/>
      <c r="AB1243" s="912"/>
      <c r="AC1243" s="912"/>
      <c r="AD1243" s="913"/>
      <c r="AE1243" s="913"/>
      <c r="AF1243" s="912"/>
      <c r="AG1243" s="912"/>
      <c r="AH1243" s="913"/>
      <c r="AI1243" s="913"/>
      <c r="AJ1243" s="912"/>
      <c r="AK1243" s="912"/>
      <c r="AL1243" s="925"/>
      <c r="AM1243" s="926"/>
      <c r="AN1243" s="926"/>
      <c r="AO1243" s="926"/>
      <c r="AP1243" s="926"/>
      <c r="AQ1243" s="926"/>
      <c r="AR1243" s="926"/>
      <c r="AS1243" s="926"/>
      <c r="AT1243" s="926"/>
      <c r="AU1243" s="926"/>
      <c r="AV1243" s="926"/>
      <c r="AW1243" s="926"/>
      <c r="AX1243" s="926"/>
      <c r="AY1243" s="926"/>
      <c r="AZ1243" s="926"/>
      <c r="BA1243" s="926"/>
      <c r="BB1243" s="927"/>
    </row>
    <row r="1244" spans="1:54" x14ac:dyDescent="0.25">
      <c r="A1244" s="13">
        <f t="shared" si="19"/>
        <v>1231</v>
      </c>
      <c r="B1244" s="888" t="str">
        <f>'refer admin discharge'!B1240</f>
        <v>x</v>
      </c>
      <c r="C1244" s="888"/>
      <c r="D1244" s="868" t="str">
        <f>'refer admin discharge'!D1240</f>
        <v>xx</v>
      </c>
      <c r="E1244" s="868"/>
      <c r="F1244" s="891" t="str">
        <f>'refer admin discharge'!H1240</f>
        <v>00/00/0000</v>
      </c>
      <c r="G1244" s="892"/>
      <c r="H1244" s="894"/>
      <c r="I1244" s="894"/>
      <c r="J1244" s="918"/>
      <c r="K1244" s="918"/>
      <c r="L1244" s="894"/>
      <c r="M1244" s="894"/>
      <c r="N1244" s="916"/>
      <c r="O1244" s="916"/>
      <c r="P1244" s="894"/>
      <c r="Q1244" s="894"/>
      <c r="R1244" s="916"/>
      <c r="S1244" s="916"/>
      <c r="T1244" s="894"/>
      <c r="U1244" s="894"/>
      <c r="V1244" s="921" t="str">
        <f>'refer admin discharge'!H1245</f>
        <v>00/00/0000</v>
      </c>
      <c r="W1244" s="922"/>
      <c r="X1244" s="920"/>
      <c r="Y1244" s="920"/>
      <c r="Z1244" s="919"/>
      <c r="AA1244" s="919"/>
      <c r="AB1244" s="920"/>
      <c r="AC1244" s="920"/>
      <c r="AD1244" s="912"/>
      <c r="AE1244" s="912"/>
      <c r="AF1244" s="920"/>
      <c r="AG1244" s="920"/>
      <c r="AH1244" s="912"/>
      <c r="AI1244" s="912"/>
      <c r="AJ1244" s="920"/>
      <c r="AK1244" s="920"/>
      <c r="AL1244" s="905"/>
      <c r="AM1244" s="906"/>
      <c r="AN1244" s="906"/>
      <c r="AO1244" s="906"/>
      <c r="AP1244" s="906"/>
      <c r="AQ1244" s="906"/>
      <c r="AR1244" s="906"/>
      <c r="AS1244" s="906"/>
      <c r="AT1244" s="906"/>
      <c r="AU1244" s="906"/>
      <c r="AV1244" s="906"/>
      <c r="AW1244" s="906"/>
      <c r="AX1244" s="906"/>
      <c r="AY1244" s="906"/>
      <c r="AZ1244" s="906"/>
      <c r="BA1244" s="906"/>
      <c r="BB1244" s="907"/>
    </row>
    <row r="1245" spans="1:54" x14ac:dyDescent="0.25">
      <c r="A1245" s="13">
        <f t="shared" si="19"/>
        <v>1232</v>
      </c>
      <c r="B1245" s="914" t="str">
        <f>'refer admin discharge'!B1241</f>
        <v>x</v>
      </c>
      <c r="C1245" s="914"/>
      <c r="D1245" s="889" t="str">
        <f>'refer admin discharge'!D1241</f>
        <v>xx</v>
      </c>
      <c r="E1245" s="889"/>
      <c r="F1245" s="915" t="str">
        <f>'refer admin discharge'!H1241</f>
        <v>00/00/0000</v>
      </c>
      <c r="G1245" s="890"/>
      <c r="H1245" s="916"/>
      <c r="I1245" s="916"/>
      <c r="J1245" s="917"/>
      <c r="K1245" s="917"/>
      <c r="L1245" s="916"/>
      <c r="M1245" s="916"/>
      <c r="N1245" s="893"/>
      <c r="O1245" s="893"/>
      <c r="P1245" s="916"/>
      <c r="Q1245" s="916"/>
      <c r="R1245" s="893"/>
      <c r="S1245" s="893"/>
      <c r="T1245" s="916"/>
      <c r="U1245" s="916"/>
      <c r="V1245" s="921" t="str">
        <f>'refer admin discharge'!H1246</f>
        <v>00/00/0000</v>
      </c>
      <c r="W1245" s="922"/>
      <c r="X1245" s="912"/>
      <c r="Y1245" s="912"/>
      <c r="Z1245" s="924"/>
      <c r="AA1245" s="924"/>
      <c r="AB1245" s="912"/>
      <c r="AC1245" s="912"/>
      <c r="AD1245" s="913"/>
      <c r="AE1245" s="913"/>
      <c r="AF1245" s="912"/>
      <c r="AG1245" s="912"/>
      <c r="AH1245" s="913"/>
      <c r="AI1245" s="913"/>
      <c r="AJ1245" s="912"/>
      <c r="AK1245" s="912"/>
      <c r="AL1245" s="925"/>
      <c r="AM1245" s="926"/>
      <c r="AN1245" s="926"/>
      <c r="AO1245" s="926"/>
      <c r="AP1245" s="926"/>
      <c r="AQ1245" s="926"/>
      <c r="AR1245" s="926"/>
      <c r="AS1245" s="926"/>
      <c r="AT1245" s="926"/>
      <c r="AU1245" s="926"/>
      <c r="AV1245" s="926"/>
      <c r="AW1245" s="926"/>
      <c r="AX1245" s="926"/>
      <c r="AY1245" s="926"/>
      <c r="AZ1245" s="926"/>
      <c r="BA1245" s="926"/>
      <c r="BB1245" s="927"/>
    </row>
    <row r="1246" spans="1:54" x14ac:dyDescent="0.25">
      <c r="A1246" s="13">
        <f t="shared" si="19"/>
        <v>1233</v>
      </c>
      <c r="B1246" s="888" t="str">
        <f>'refer admin discharge'!B1242</f>
        <v>x</v>
      </c>
      <c r="C1246" s="888"/>
      <c r="D1246" s="868" t="str">
        <f>'refer admin discharge'!D1242</f>
        <v>xx</v>
      </c>
      <c r="E1246" s="868"/>
      <c r="F1246" s="891" t="str">
        <f>'refer admin discharge'!H1242</f>
        <v>00/00/0000</v>
      </c>
      <c r="G1246" s="892"/>
      <c r="H1246" s="894"/>
      <c r="I1246" s="894"/>
      <c r="J1246" s="918"/>
      <c r="K1246" s="918"/>
      <c r="L1246" s="894"/>
      <c r="M1246" s="894"/>
      <c r="N1246" s="916"/>
      <c r="O1246" s="916"/>
      <c r="P1246" s="894"/>
      <c r="Q1246" s="894"/>
      <c r="R1246" s="916"/>
      <c r="S1246" s="916"/>
      <c r="T1246" s="894"/>
      <c r="U1246" s="894"/>
      <c r="V1246" s="921" t="str">
        <f>'refer admin discharge'!H1247</f>
        <v>00/00/0000</v>
      </c>
      <c r="W1246" s="922"/>
      <c r="X1246" s="920"/>
      <c r="Y1246" s="920"/>
      <c r="Z1246" s="919"/>
      <c r="AA1246" s="919"/>
      <c r="AB1246" s="920"/>
      <c r="AC1246" s="920"/>
      <c r="AD1246" s="912"/>
      <c r="AE1246" s="912"/>
      <c r="AF1246" s="920"/>
      <c r="AG1246" s="920"/>
      <c r="AH1246" s="912"/>
      <c r="AI1246" s="912"/>
      <c r="AJ1246" s="920"/>
      <c r="AK1246" s="920"/>
      <c r="AL1246" s="905"/>
      <c r="AM1246" s="906"/>
      <c r="AN1246" s="906"/>
      <c r="AO1246" s="906"/>
      <c r="AP1246" s="906"/>
      <c r="AQ1246" s="906"/>
      <c r="AR1246" s="906"/>
      <c r="AS1246" s="906"/>
      <c r="AT1246" s="906"/>
      <c r="AU1246" s="906"/>
      <c r="AV1246" s="906"/>
      <c r="AW1246" s="906"/>
      <c r="AX1246" s="906"/>
      <c r="AY1246" s="906"/>
      <c r="AZ1246" s="906"/>
      <c r="BA1246" s="906"/>
      <c r="BB1246" s="907"/>
    </row>
    <row r="1247" spans="1:54" x14ac:dyDescent="0.25">
      <c r="A1247" s="13">
        <f t="shared" si="19"/>
        <v>1234</v>
      </c>
      <c r="B1247" s="914" t="str">
        <f>'refer admin discharge'!B1243</f>
        <v>x</v>
      </c>
      <c r="C1247" s="914"/>
      <c r="D1247" s="889" t="str">
        <f>'refer admin discharge'!D1243</f>
        <v>xx</v>
      </c>
      <c r="E1247" s="889"/>
      <c r="F1247" s="915" t="str">
        <f>'refer admin discharge'!H1243</f>
        <v>00/00/0000</v>
      </c>
      <c r="G1247" s="890"/>
      <c r="H1247" s="916"/>
      <c r="I1247" s="916"/>
      <c r="J1247" s="917"/>
      <c r="K1247" s="917"/>
      <c r="L1247" s="916"/>
      <c r="M1247" s="916"/>
      <c r="N1247" s="893"/>
      <c r="O1247" s="893"/>
      <c r="P1247" s="916"/>
      <c r="Q1247" s="916"/>
      <c r="R1247" s="893"/>
      <c r="S1247" s="893"/>
      <c r="T1247" s="916"/>
      <c r="U1247" s="916"/>
      <c r="V1247" s="921" t="str">
        <f>'refer admin discharge'!H1248</f>
        <v>00/00/0000</v>
      </c>
      <c r="W1247" s="922"/>
      <c r="X1247" s="912"/>
      <c r="Y1247" s="912"/>
      <c r="Z1247" s="924"/>
      <c r="AA1247" s="924"/>
      <c r="AB1247" s="912"/>
      <c r="AC1247" s="912"/>
      <c r="AD1247" s="913"/>
      <c r="AE1247" s="913"/>
      <c r="AF1247" s="912"/>
      <c r="AG1247" s="912"/>
      <c r="AH1247" s="913"/>
      <c r="AI1247" s="913"/>
      <c r="AJ1247" s="912"/>
      <c r="AK1247" s="912"/>
      <c r="AL1247" s="925"/>
      <c r="AM1247" s="926"/>
      <c r="AN1247" s="926"/>
      <c r="AO1247" s="926"/>
      <c r="AP1247" s="926"/>
      <c r="AQ1247" s="926"/>
      <c r="AR1247" s="926"/>
      <c r="AS1247" s="926"/>
      <c r="AT1247" s="926"/>
      <c r="AU1247" s="926"/>
      <c r="AV1247" s="926"/>
      <c r="AW1247" s="926"/>
      <c r="AX1247" s="926"/>
      <c r="AY1247" s="926"/>
      <c r="AZ1247" s="926"/>
      <c r="BA1247" s="926"/>
      <c r="BB1247" s="927"/>
    </row>
    <row r="1248" spans="1:54" x14ac:dyDescent="0.25">
      <c r="A1248" s="13">
        <f t="shared" si="19"/>
        <v>1235</v>
      </c>
      <c r="B1248" s="888" t="str">
        <f>'refer admin discharge'!B1244</f>
        <v>x</v>
      </c>
      <c r="C1248" s="888"/>
      <c r="D1248" s="868" t="str">
        <f>'refer admin discharge'!D1244</f>
        <v>xx</v>
      </c>
      <c r="E1248" s="868"/>
      <c r="F1248" s="891" t="str">
        <f>'refer admin discharge'!H1244</f>
        <v>00/00/0000</v>
      </c>
      <c r="G1248" s="892"/>
      <c r="H1248" s="894"/>
      <c r="I1248" s="894"/>
      <c r="J1248" s="918"/>
      <c r="K1248" s="918"/>
      <c r="L1248" s="894"/>
      <c r="M1248" s="894"/>
      <c r="N1248" s="916"/>
      <c r="O1248" s="916"/>
      <c r="P1248" s="894"/>
      <c r="Q1248" s="894"/>
      <c r="R1248" s="916"/>
      <c r="S1248" s="916"/>
      <c r="T1248" s="894"/>
      <c r="U1248" s="894"/>
      <c r="V1248" s="921" t="str">
        <f>'refer admin discharge'!H1249</f>
        <v>00/00/0000</v>
      </c>
      <c r="W1248" s="922"/>
      <c r="X1248" s="920"/>
      <c r="Y1248" s="920"/>
      <c r="Z1248" s="919"/>
      <c r="AA1248" s="919"/>
      <c r="AB1248" s="920"/>
      <c r="AC1248" s="920"/>
      <c r="AD1248" s="912"/>
      <c r="AE1248" s="912"/>
      <c r="AF1248" s="920"/>
      <c r="AG1248" s="920"/>
      <c r="AH1248" s="912"/>
      <c r="AI1248" s="912"/>
      <c r="AJ1248" s="920"/>
      <c r="AK1248" s="920"/>
      <c r="AL1248" s="905"/>
      <c r="AM1248" s="906"/>
      <c r="AN1248" s="906"/>
      <c r="AO1248" s="906"/>
      <c r="AP1248" s="906"/>
      <c r="AQ1248" s="906"/>
      <c r="AR1248" s="906"/>
      <c r="AS1248" s="906"/>
      <c r="AT1248" s="906"/>
      <c r="AU1248" s="906"/>
      <c r="AV1248" s="906"/>
      <c r="AW1248" s="906"/>
      <c r="AX1248" s="906"/>
      <c r="AY1248" s="906"/>
      <c r="AZ1248" s="906"/>
      <c r="BA1248" s="906"/>
      <c r="BB1248" s="907"/>
    </row>
    <row r="1249" spans="1:54" x14ac:dyDescent="0.25">
      <c r="A1249" s="13">
        <f t="shared" si="19"/>
        <v>1236</v>
      </c>
      <c r="B1249" s="914" t="str">
        <f>'refer admin discharge'!B1245</f>
        <v>x</v>
      </c>
      <c r="C1249" s="914"/>
      <c r="D1249" s="889" t="str">
        <f>'refer admin discharge'!D1245</f>
        <v>xx</v>
      </c>
      <c r="E1249" s="889"/>
      <c r="F1249" s="915" t="str">
        <f>'refer admin discharge'!H1245</f>
        <v>00/00/0000</v>
      </c>
      <c r="G1249" s="890"/>
      <c r="H1249" s="916"/>
      <c r="I1249" s="916"/>
      <c r="J1249" s="917"/>
      <c r="K1249" s="917"/>
      <c r="L1249" s="916"/>
      <c r="M1249" s="916"/>
      <c r="N1249" s="893"/>
      <c r="O1249" s="893"/>
      <c r="P1249" s="916"/>
      <c r="Q1249" s="916"/>
      <c r="R1249" s="893"/>
      <c r="S1249" s="893"/>
      <c r="T1249" s="916"/>
      <c r="U1249" s="916"/>
      <c r="V1249" s="921" t="str">
        <f>'refer admin discharge'!H1250</f>
        <v>00/00/0000</v>
      </c>
      <c r="W1249" s="922"/>
      <c r="X1249" s="912"/>
      <c r="Y1249" s="912"/>
      <c r="Z1249" s="924"/>
      <c r="AA1249" s="924"/>
      <c r="AB1249" s="912"/>
      <c r="AC1249" s="912"/>
      <c r="AD1249" s="913"/>
      <c r="AE1249" s="913"/>
      <c r="AF1249" s="912"/>
      <c r="AG1249" s="912"/>
      <c r="AH1249" s="913"/>
      <c r="AI1249" s="913"/>
      <c r="AJ1249" s="912"/>
      <c r="AK1249" s="912"/>
      <c r="AL1249" s="925"/>
      <c r="AM1249" s="926"/>
      <c r="AN1249" s="926"/>
      <c r="AO1249" s="926"/>
      <c r="AP1249" s="926"/>
      <c r="AQ1249" s="926"/>
      <c r="AR1249" s="926"/>
      <c r="AS1249" s="926"/>
      <c r="AT1249" s="926"/>
      <c r="AU1249" s="926"/>
      <c r="AV1249" s="926"/>
      <c r="AW1249" s="926"/>
      <c r="AX1249" s="926"/>
      <c r="AY1249" s="926"/>
      <c r="AZ1249" s="926"/>
      <c r="BA1249" s="926"/>
      <c r="BB1249" s="927"/>
    </row>
    <row r="1250" spans="1:54" x14ac:dyDescent="0.25">
      <c r="A1250" s="13">
        <f t="shared" si="19"/>
        <v>1237</v>
      </c>
      <c r="B1250" s="888" t="str">
        <f>'refer admin discharge'!B1246</f>
        <v>x</v>
      </c>
      <c r="C1250" s="888"/>
      <c r="D1250" s="868" t="str">
        <f>'refer admin discharge'!D1246</f>
        <v>xx</v>
      </c>
      <c r="E1250" s="868"/>
      <c r="F1250" s="891" t="str">
        <f>'refer admin discharge'!H1246</f>
        <v>00/00/0000</v>
      </c>
      <c r="G1250" s="892"/>
      <c r="H1250" s="894"/>
      <c r="I1250" s="894"/>
      <c r="J1250" s="918"/>
      <c r="K1250" s="918"/>
      <c r="L1250" s="894"/>
      <c r="M1250" s="894"/>
      <c r="N1250" s="916"/>
      <c r="O1250" s="916"/>
      <c r="P1250" s="894"/>
      <c r="Q1250" s="894"/>
      <c r="R1250" s="916"/>
      <c r="S1250" s="916"/>
      <c r="T1250" s="894"/>
      <c r="U1250" s="894"/>
      <c r="V1250" s="921" t="str">
        <f>'refer admin discharge'!H1251</f>
        <v>00/00/0000</v>
      </c>
      <c r="W1250" s="922"/>
      <c r="X1250" s="920"/>
      <c r="Y1250" s="920"/>
      <c r="Z1250" s="919"/>
      <c r="AA1250" s="919"/>
      <c r="AB1250" s="920"/>
      <c r="AC1250" s="920"/>
      <c r="AD1250" s="912"/>
      <c r="AE1250" s="912"/>
      <c r="AF1250" s="920"/>
      <c r="AG1250" s="920"/>
      <c r="AH1250" s="912"/>
      <c r="AI1250" s="912"/>
      <c r="AJ1250" s="920"/>
      <c r="AK1250" s="920"/>
      <c r="AL1250" s="905"/>
      <c r="AM1250" s="906"/>
      <c r="AN1250" s="906"/>
      <c r="AO1250" s="906"/>
      <c r="AP1250" s="906"/>
      <c r="AQ1250" s="906"/>
      <c r="AR1250" s="906"/>
      <c r="AS1250" s="906"/>
      <c r="AT1250" s="906"/>
      <c r="AU1250" s="906"/>
      <c r="AV1250" s="906"/>
      <c r="AW1250" s="906"/>
      <c r="AX1250" s="906"/>
      <c r="AY1250" s="906"/>
      <c r="AZ1250" s="906"/>
      <c r="BA1250" s="906"/>
      <c r="BB1250" s="907"/>
    </row>
    <row r="1251" spans="1:54" x14ac:dyDescent="0.25">
      <c r="A1251" s="13">
        <f t="shared" si="19"/>
        <v>1238</v>
      </c>
      <c r="B1251" s="914" t="str">
        <f>'refer admin discharge'!B1247</f>
        <v>x</v>
      </c>
      <c r="C1251" s="914"/>
      <c r="D1251" s="889" t="str">
        <f>'refer admin discharge'!D1247</f>
        <v>xx</v>
      </c>
      <c r="E1251" s="889"/>
      <c r="F1251" s="915" t="str">
        <f>'refer admin discharge'!H1247</f>
        <v>00/00/0000</v>
      </c>
      <c r="G1251" s="890"/>
      <c r="H1251" s="916"/>
      <c r="I1251" s="916"/>
      <c r="J1251" s="917"/>
      <c r="K1251" s="917"/>
      <c r="L1251" s="916"/>
      <c r="M1251" s="916"/>
      <c r="N1251" s="893"/>
      <c r="O1251" s="893"/>
      <c r="P1251" s="916"/>
      <c r="Q1251" s="916"/>
      <c r="R1251" s="893"/>
      <c r="S1251" s="893"/>
      <c r="T1251" s="916"/>
      <c r="U1251" s="916"/>
      <c r="V1251" s="921" t="str">
        <f>'refer admin discharge'!H1252</f>
        <v>00/00/0000</v>
      </c>
      <c r="W1251" s="922"/>
      <c r="X1251" s="912"/>
      <c r="Y1251" s="912"/>
      <c r="Z1251" s="924"/>
      <c r="AA1251" s="924"/>
      <c r="AB1251" s="912"/>
      <c r="AC1251" s="912"/>
      <c r="AD1251" s="913"/>
      <c r="AE1251" s="913"/>
      <c r="AF1251" s="912"/>
      <c r="AG1251" s="912"/>
      <c r="AH1251" s="913"/>
      <c r="AI1251" s="913"/>
      <c r="AJ1251" s="912"/>
      <c r="AK1251" s="912"/>
      <c r="AL1251" s="925"/>
      <c r="AM1251" s="926"/>
      <c r="AN1251" s="926"/>
      <c r="AO1251" s="926"/>
      <c r="AP1251" s="926"/>
      <c r="AQ1251" s="926"/>
      <c r="AR1251" s="926"/>
      <c r="AS1251" s="926"/>
      <c r="AT1251" s="926"/>
      <c r="AU1251" s="926"/>
      <c r="AV1251" s="926"/>
      <c r="AW1251" s="926"/>
      <c r="AX1251" s="926"/>
      <c r="AY1251" s="926"/>
      <c r="AZ1251" s="926"/>
      <c r="BA1251" s="926"/>
      <c r="BB1251" s="927"/>
    </row>
    <row r="1252" spans="1:54" x14ac:dyDescent="0.25">
      <c r="A1252" s="13">
        <f t="shared" si="19"/>
        <v>1239</v>
      </c>
      <c r="B1252" s="888" t="str">
        <f>'refer admin discharge'!B1248</f>
        <v>x</v>
      </c>
      <c r="C1252" s="888"/>
      <c r="D1252" s="868" t="str">
        <f>'refer admin discharge'!D1248</f>
        <v>xx</v>
      </c>
      <c r="E1252" s="868"/>
      <c r="F1252" s="891" t="str">
        <f>'refer admin discharge'!H1248</f>
        <v>00/00/0000</v>
      </c>
      <c r="G1252" s="892"/>
      <c r="H1252" s="894"/>
      <c r="I1252" s="894"/>
      <c r="J1252" s="918"/>
      <c r="K1252" s="918"/>
      <c r="L1252" s="894"/>
      <c r="M1252" s="894"/>
      <c r="N1252" s="916"/>
      <c r="O1252" s="916"/>
      <c r="P1252" s="894"/>
      <c r="Q1252" s="894"/>
      <c r="R1252" s="916"/>
      <c r="S1252" s="916"/>
      <c r="T1252" s="894"/>
      <c r="U1252" s="894"/>
      <c r="V1252" s="921" t="str">
        <f>'refer admin discharge'!H1253</f>
        <v>00/00/0000</v>
      </c>
      <c r="W1252" s="922"/>
      <c r="X1252" s="920"/>
      <c r="Y1252" s="920"/>
      <c r="Z1252" s="919"/>
      <c r="AA1252" s="919"/>
      <c r="AB1252" s="920"/>
      <c r="AC1252" s="920"/>
      <c r="AD1252" s="912"/>
      <c r="AE1252" s="912"/>
      <c r="AF1252" s="920"/>
      <c r="AG1252" s="920"/>
      <c r="AH1252" s="912"/>
      <c r="AI1252" s="912"/>
      <c r="AJ1252" s="920"/>
      <c r="AK1252" s="920"/>
      <c r="AL1252" s="905"/>
      <c r="AM1252" s="906"/>
      <c r="AN1252" s="906"/>
      <c r="AO1252" s="906"/>
      <c r="AP1252" s="906"/>
      <c r="AQ1252" s="906"/>
      <c r="AR1252" s="906"/>
      <c r="AS1252" s="906"/>
      <c r="AT1252" s="906"/>
      <c r="AU1252" s="906"/>
      <c r="AV1252" s="906"/>
      <c r="AW1252" s="906"/>
      <c r="AX1252" s="906"/>
      <c r="AY1252" s="906"/>
      <c r="AZ1252" s="906"/>
      <c r="BA1252" s="906"/>
      <c r="BB1252" s="907"/>
    </row>
    <row r="1253" spans="1:54" x14ac:dyDescent="0.25">
      <c r="A1253" s="13">
        <f t="shared" si="19"/>
        <v>1240</v>
      </c>
      <c r="B1253" s="914" t="str">
        <f>'refer admin discharge'!B1249</f>
        <v>x</v>
      </c>
      <c r="C1253" s="914"/>
      <c r="D1253" s="889" t="str">
        <f>'refer admin discharge'!D1249</f>
        <v>xx</v>
      </c>
      <c r="E1253" s="889"/>
      <c r="F1253" s="915" t="str">
        <f>'refer admin discharge'!H1249</f>
        <v>00/00/0000</v>
      </c>
      <c r="G1253" s="890"/>
      <c r="H1253" s="916"/>
      <c r="I1253" s="916"/>
      <c r="J1253" s="917"/>
      <c r="K1253" s="917"/>
      <c r="L1253" s="916"/>
      <c r="M1253" s="916"/>
      <c r="N1253" s="893"/>
      <c r="O1253" s="893"/>
      <c r="P1253" s="916"/>
      <c r="Q1253" s="916"/>
      <c r="R1253" s="893"/>
      <c r="S1253" s="893"/>
      <c r="T1253" s="916"/>
      <c r="U1253" s="916"/>
      <c r="V1253" s="921" t="str">
        <f>'refer admin discharge'!H1254</f>
        <v>00/00/0000</v>
      </c>
      <c r="W1253" s="922"/>
      <c r="X1253" s="912"/>
      <c r="Y1253" s="912"/>
      <c r="Z1253" s="924"/>
      <c r="AA1253" s="924"/>
      <c r="AB1253" s="912"/>
      <c r="AC1253" s="912"/>
      <c r="AD1253" s="913"/>
      <c r="AE1253" s="913"/>
      <c r="AF1253" s="912"/>
      <c r="AG1253" s="912"/>
      <c r="AH1253" s="913"/>
      <c r="AI1253" s="913"/>
      <c r="AJ1253" s="912"/>
      <c r="AK1253" s="912"/>
      <c r="AL1253" s="925"/>
      <c r="AM1253" s="926"/>
      <c r="AN1253" s="926"/>
      <c r="AO1253" s="926"/>
      <c r="AP1253" s="926"/>
      <c r="AQ1253" s="926"/>
      <c r="AR1253" s="926"/>
      <c r="AS1253" s="926"/>
      <c r="AT1253" s="926"/>
      <c r="AU1253" s="926"/>
      <c r="AV1253" s="926"/>
      <c r="AW1253" s="926"/>
      <c r="AX1253" s="926"/>
      <c r="AY1253" s="926"/>
      <c r="AZ1253" s="926"/>
      <c r="BA1253" s="926"/>
      <c r="BB1253" s="927"/>
    </row>
    <row r="1254" spans="1:54" x14ac:dyDescent="0.25">
      <c r="A1254" s="13">
        <f t="shared" si="19"/>
        <v>1241</v>
      </c>
      <c r="B1254" s="888" t="str">
        <f>'refer admin discharge'!B1250</f>
        <v>x</v>
      </c>
      <c r="C1254" s="888"/>
      <c r="D1254" s="868" t="str">
        <f>'refer admin discharge'!D1250</f>
        <v>xx</v>
      </c>
      <c r="E1254" s="868"/>
      <c r="F1254" s="891" t="str">
        <f>'refer admin discharge'!H1250</f>
        <v>00/00/0000</v>
      </c>
      <c r="G1254" s="892"/>
      <c r="H1254" s="894"/>
      <c r="I1254" s="894"/>
      <c r="J1254" s="918"/>
      <c r="K1254" s="918"/>
      <c r="L1254" s="894"/>
      <c r="M1254" s="894"/>
      <c r="N1254" s="916"/>
      <c r="O1254" s="916"/>
      <c r="P1254" s="894"/>
      <c r="Q1254" s="894"/>
      <c r="R1254" s="916"/>
      <c r="S1254" s="916"/>
      <c r="T1254" s="894"/>
      <c r="U1254" s="894"/>
      <c r="V1254" s="921" t="str">
        <f>'refer admin discharge'!H1255</f>
        <v>00/00/0000</v>
      </c>
      <c r="W1254" s="922"/>
      <c r="X1254" s="920"/>
      <c r="Y1254" s="920"/>
      <c r="Z1254" s="919"/>
      <c r="AA1254" s="919"/>
      <c r="AB1254" s="920"/>
      <c r="AC1254" s="920"/>
      <c r="AD1254" s="912"/>
      <c r="AE1254" s="912"/>
      <c r="AF1254" s="920"/>
      <c r="AG1254" s="920"/>
      <c r="AH1254" s="912"/>
      <c r="AI1254" s="912"/>
      <c r="AJ1254" s="920"/>
      <c r="AK1254" s="920"/>
      <c r="AL1254" s="905"/>
      <c r="AM1254" s="906"/>
      <c r="AN1254" s="906"/>
      <c r="AO1254" s="906"/>
      <c r="AP1254" s="906"/>
      <c r="AQ1254" s="906"/>
      <c r="AR1254" s="906"/>
      <c r="AS1254" s="906"/>
      <c r="AT1254" s="906"/>
      <c r="AU1254" s="906"/>
      <c r="AV1254" s="906"/>
      <c r="AW1254" s="906"/>
      <c r="AX1254" s="906"/>
      <c r="AY1254" s="906"/>
      <c r="AZ1254" s="906"/>
      <c r="BA1254" s="906"/>
      <c r="BB1254" s="907"/>
    </row>
    <row r="1255" spans="1:54" x14ac:dyDescent="0.25">
      <c r="A1255" s="13">
        <f t="shared" si="19"/>
        <v>1242</v>
      </c>
      <c r="B1255" s="914" t="str">
        <f>'refer admin discharge'!B1251</f>
        <v>x</v>
      </c>
      <c r="C1255" s="914"/>
      <c r="D1255" s="889" t="str">
        <f>'refer admin discharge'!D1251</f>
        <v>xx</v>
      </c>
      <c r="E1255" s="889"/>
      <c r="F1255" s="915" t="str">
        <f>'refer admin discharge'!H1251</f>
        <v>00/00/0000</v>
      </c>
      <c r="G1255" s="890"/>
      <c r="H1255" s="916"/>
      <c r="I1255" s="916"/>
      <c r="J1255" s="917"/>
      <c r="K1255" s="917"/>
      <c r="L1255" s="916"/>
      <c r="M1255" s="916"/>
      <c r="N1255" s="893"/>
      <c r="O1255" s="893"/>
      <c r="P1255" s="916"/>
      <c r="Q1255" s="916"/>
      <c r="R1255" s="893"/>
      <c r="S1255" s="893"/>
      <c r="T1255" s="916"/>
      <c r="U1255" s="916"/>
      <c r="V1255" s="921" t="str">
        <f>'refer admin discharge'!H1256</f>
        <v>00/00/0000</v>
      </c>
      <c r="W1255" s="922"/>
      <c r="X1255" s="912"/>
      <c r="Y1255" s="912"/>
      <c r="Z1255" s="924"/>
      <c r="AA1255" s="924"/>
      <c r="AB1255" s="912"/>
      <c r="AC1255" s="912"/>
      <c r="AD1255" s="913"/>
      <c r="AE1255" s="913"/>
      <c r="AF1255" s="912"/>
      <c r="AG1255" s="912"/>
      <c r="AH1255" s="913"/>
      <c r="AI1255" s="913"/>
      <c r="AJ1255" s="912"/>
      <c r="AK1255" s="912"/>
      <c r="AL1255" s="925"/>
      <c r="AM1255" s="926"/>
      <c r="AN1255" s="926"/>
      <c r="AO1255" s="926"/>
      <c r="AP1255" s="926"/>
      <c r="AQ1255" s="926"/>
      <c r="AR1255" s="926"/>
      <c r="AS1255" s="926"/>
      <c r="AT1255" s="926"/>
      <c r="AU1255" s="926"/>
      <c r="AV1255" s="926"/>
      <c r="AW1255" s="926"/>
      <c r="AX1255" s="926"/>
      <c r="AY1255" s="926"/>
      <c r="AZ1255" s="926"/>
      <c r="BA1255" s="926"/>
      <c r="BB1255" s="927"/>
    </row>
    <row r="1256" spans="1:54" x14ac:dyDescent="0.25">
      <c r="A1256" s="13">
        <f t="shared" si="19"/>
        <v>1243</v>
      </c>
      <c r="B1256" s="888" t="str">
        <f>'refer admin discharge'!B1252</f>
        <v>x</v>
      </c>
      <c r="C1256" s="888"/>
      <c r="D1256" s="868" t="str">
        <f>'refer admin discharge'!D1252</f>
        <v>xx</v>
      </c>
      <c r="E1256" s="868"/>
      <c r="F1256" s="891" t="str">
        <f>'refer admin discharge'!H1252</f>
        <v>00/00/0000</v>
      </c>
      <c r="G1256" s="892"/>
      <c r="H1256" s="894"/>
      <c r="I1256" s="894"/>
      <c r="J1256" s="918"/>
      <c r="K1256" s="918"/>
      <c r="L1256" s="894"/>
      <c r="M1256" s="894"/>
      <c r="N1256" s="916"/>
      <c r="O1256" s="916"/>
      <c r="P1256" s="894"/>
      <c r="Q1256" s="894"/>
      <c r="R1256" s="916"/>
      <c r="S1256" s="916"/>
      <c r="T1256" s="894"/>
      <c r="U1256" s="894"/>
      <c r="V1256" s="921" t="str">
        <f>'refer admin discharge'!H1257</f>
        <v>00/00/0000</v>
      </c>
      <c r="W1256" s="922"/>
      <c r="X1256" s="920"/>
      <c r="Y1256" s="920"/>
      <c r="Z1256" s="919"/>
      <c r="AA1256" s="919"/>
      <c r="AB1256" s="920"/>
      <c r="AC1256" s="920"/>
      <c r="AD1256" s="912"/>
      <c r="AE1256" s="912"/>
      <c r="AF1256" s="920"/>
      <c r="AG1256" s="920"/>
      <c r="AH1256" s="912"/>
      <c r="AI1256" s="912"/>
      <c r="AJ1256" s="920"/>
      <c r="AK1256" s="920"/>
      <c r="AL1256" s="905"/>
      <c r="AM1256" s="906"/>
      <c r="AN1256" s="906"/>
      <c r="AO1256" s="906"/>
      <c r="AP1256" s="906"/>
      <c r="AQ1256" s="906"/>
      <c r="AR1256" s="906"/>
      <c r="AS1256" s="906"/>
      <c r="AT1256" s="906"/>
      <c r="AU1256" s="906"/>
      <c r="AV1256" s="906"/>
      <c r="AW1256" s="906"/>
      <c r="AX1256" s="906"/>
      <c r="AY1256" s="906"/>
      <c r="AZ1256" s="906"/>
      <c r="BA1256" s="906"/>
      <c r="BB1256" s="907"/>
    </row>
    <row r="1257" spans="1:54" x14ac:dyDescent="0.25">
      <c r="A1257" s="13">
        <f t="shared" si="19"/>
        <v>1244</v>
      </c>
      <c r="B1257" s="914" t="str">
        <f>'refer admin discharge'!B1253</f>
        <v>x</v>
      </c>
      <c r="C1257" s="914"/>
      <c r="D1257" s="889" t="str">
        <f>'refer admin discharge'!D1253</f>
        <v>xx</v>
      </c>
      <c r="E1257" s="889"/>
      <c r="F1257" s="915" t="str">
        <f>'refer admin discharge'!H1253</f>
        <v>00/00/0000</v>
      </c>
      <c r="G1257" s="890"/>
      <c r="H1257" s="916"/>
      <c r="I1257" s="916"/>
      <c r="J1257" s="917"/>
      <c r="K1257" s="917"/>
      <c r="L1257" s="916"/>
      <c r="M1257" s="916"/>
      <c r="N1257" s="893"/>
      <c r="O1257" s="893"/>
      <c r="P1257" s="916"/>
      <c r="Q1257" s="916"/>
      <c r="R1257" s="893"/>
      <c r="S1257" s="893"/>
      <c r="T1257" s="916"/>
      <c r="U1257" s="916"/>
      <c r="V1257" s="921" t="str">
        <f>'refer admin discharge'!H1258</f>
        <v>00/00/0000</v>
      </c>
      <c r="W1257" s="922"/>
      <c r="X1257" s="912"/>
      <c r="Y1257" s="912"/>
      <c r="Z1257" s="924"/>
      <c r="AA1257" s="924"/>
      <c r="AB1257" s="912"/>
      <c r="AC1257" s="912"/>
      <c r="AD1257" s="913"/>
      <c r="AE1257" s="913"/>
      <c r="AF1257" s="912"/>
      <c r="AG1257" s="912"/>
      <c r="AH1257" s="913"/>
      <c r="AI1257" s="913"/>
      <c r="AJ1257" s="912"/>
      <c r="AK1257" s="912"/>
      <c r="AL1257" s="925"/>
      <c r="AM1257" s="926"/>
      <c r="AN1257" s="926"/>
      <c r="AO1257" s="926"/>
      <c r="AP1257" s="926"/>
      <c r="AQ1257" s="926"/>
      <c r="AR1257" s="926"/>
      <c r="AS1257" s="926"/>
      <c r="AT1257" s="926"/>
      <c r="AU1257" s="926"/>
      <c r="AV1257" s="926"/>
      <c r="AW1257" s="926"/>
      <c r="AX1257" s="926"/>
      <c r="AY1257" s="926"/>
      <c r="AZ1257" s="926"/>
      <c r="BA1257" s="926"/>
      <c r="BB1257" s="927"/>
    </row>
    <row r="1258" spans="1:54" x14ac:dyDescent="0.25">
      <c r="A1258" s="13">
        <f t="shared" si="19"/>
        <v>1245</v>
      </c>
      <c r="B1258" s="888" t="str">
        <f>'refer admin discharge'!B1254</f>
        <v>x</v>
      </c>
      <c r="C1258" s="888"/>
      <c r="D1258" s="868" t="str">
        <f>'refer admin discharge'!D1254</f>
        <v>xx</v>
      </c>
      <c r="E1258" s="868"/>
      <c r="F1258" s="891" t="str">
        <f>'refer admin discharge'!H1254</f>
        <v>00/00/0000</v>
      </c>
      <c r="G1258" s="892"/>
      <c r="H1258" s="894"/>
      <c r="I1258" s="894"/>
      <c r="J1258" s="918"/>
      <c r="K1258" s="918"/>
      <c r="L1258" s="894"/>
      <c r="M1258" s="894"/>
      <c r="N1258" s="916"/>
      <c r="O1258" s="916"/>
      <c r="P1258" s="894"/>
      <c r="Q1258" s="894"/>
      <c r="R1258" s="916"/>
      <c r="S1258" s="916"/>
      <c r="T1258" s="894"/>
      <c r="U1258" s="894"/>
      <c r="V1258" s="921" t="str">
        <f>'refer admin discharge'!H1259</f>
        <v>00/00/0000</v>
      </c>
      <c r="W1258" s="922"/>
      <c r="X1258" s="920"/>
      <c r="Y1258" s="920"/>
      <c r="Z1258" s="919"/>
      <c r="AA1258" s="919"/>
      <c r="AB1258" s="920"/>
      <c r="AC1258" s="920"/>
      <c r="AD1258" s="912"/>
      <c r="AE1258" s="912"/>
      <c r="AF1258" s="920"/>
      <c r="AG1258" s="920"/>
      <c r="AH1258" s="912"/>
      <c r="AI1258" s="912"/>
      <c r="AJ1258" s="920"/>
      <c r="AK1258" s="920"/>
      <c r="AL1258" s="905"/>
      <c r="AM1258" s="906"/>
      <c r="AN1258" s="906"/>
      <c r="AO1258" s="906"/>
      <c r="AP1258" s="906"/>
      <c r="AQ1258" s="906"/>
      <c r="AR1258" s="906"/>
      <c r="AS1258" s="906"/>
      <c r="AT1258" s="906"/>
      <c r="AU1258" s="906"/>
      <c r="AV1258" s="906"/>
      <c r="AW1258" s="906"/>
      <c r="AX1258" s="906"/>
      <c r="AY1258" s="906"/>
      <c r="AZ1258" s="906"/>
      <c r="BA1258" s="906"/>
      <c r="BB1258" s="907"/>
    </row>
    <row r="1259" spans="1:54" x14ac:dyDescent="0.25">
      <c r="A1259" s="13">
        <f t="shared" si="19"/>
        <v>1246</v>
      </c>
      <c r="B1259" s="914" t="str">
        <f>'refer admin discharge'!B1255</f>
        <v>x</v>
      </c>
      <c r="C1259" s="914"/>
      <c r="D1259" s="889" t="str">
        <f>'refer admin discharge'!D1255</f>
        <v>xx</v>
      </c>
      <c r="E1259" s="889"/>
      <c r="F1259" s="915" t="str">
        <f>'refer admin discharge'!H1255</f>
        <v>00/00/0000</v>
      </c>
      <c r="G1259" s="890"/>
      <c r="H1259" s="916"/>
      <c r="I1259" s="916"/>
      <c r="J1259" s="917"/>
      <c r="K1259" s="917"/>
      <c r="L1259" s="916"/>
      <c r="M1259" s="916"/>
      <c r="N1259" s="893"/>
      <c r="O1259" s="893"/>
      <c r="P1259" s="916"/>
      <c r="Q1259" s="916"/>
      <c r="R1259" s="893"/>
      <c r="S1259" s="893"/>
      <c r="T1259" s="916"/>
      <c r="U1259" s="916"/>
      <c r="V1259" s="921" t="str">
        <f>'refer admin discharge'!H1260</f>
        <v>00/00/0000</v>
      </c>
      <c r="W1259" s="922"/>
      <c r="X1259" s="912"/>
      <c r="Y1259" s="912"/>
      <c r="Z1259" s="924"/>
      <c r="AA1259" s="924"/>
      <c r="AB1259" s="912"/>
      <c r="AC1259" s="912"/>
      <c r="AD1259" s="913"/>
      <c r="AE1259" s="913"/>
      <c r="AF1259" s="912"/>
      <c r="AG1259" s="912"/>
      <c r="AH1259" s="913"/>
      <c r="AI1259" s="913"/>
      <c r="AJ1259" s="912"/>
      <c r="AK1259" s="912"/>
      <c r="AL1259" s="925"/>
      <c r="AM1259" s="926"/>
      <c r="AN1259" s="926"/>
      <c r="AO1259" s="926"/>
      <c r="AP1259" s="926"/>
      <c r="AQ1259" s="926"/>
      <c r="AR1259" s="926"/>
      <c r="AS1259" s="926"/>
      <c r="AT1259" s="926"/>
      <c r="AU1259" s="926"/>
      <c r="AV1259" s="926"/>
      <c r="AW1259" s="926"/>
      <c r="AX1259" s="926"/>
      <c r="AY1259" s="926"/>
      <c r="AZ1259" s="926"/>
      <c r="BA1259" s="926"/>
      <c r="BB1259" s="927"/>
    </row>
    <row r="1260" spans="1:54" x14ac:dyDescent="0.25">
      <c r="A1260" s="13">
        <f t="shared" si="19"/>
        <v>1247</v>
      </c>
      <c r="B1260" s="888" t="str">
        <f>'refer admin discharge'!B1256</f>
        <v>x</v>
      </c>
      <c r="C1260" s="888"/>
      <c r="D1260" s="868" t="str">
        <f>'refer admin discharge'!D1256</f>
        <v>xx</v>
      </c>
      <c r="E1260" s="868"/>
      <c r="F1260" s="891" t="str">
        <f>'refer admin discharge'!H1256</f>
        <v>00/00/0000</v>
      </c>
      <c r="G1260" s="892"/>
      <c r="H1260" s="894"/>
      <c r="I1260" s="894"/>
      <c r="J1260" s="918"/>
      <c r="K1260" s="918"/>
      <c r="L1260" s="894"/>
      <c r="M1260" s="894"/>
      <c r="N1260" s="916"/>
      <c r="O1260" s="916"/>
      <c r="P1260" s="894"/>
      <c r="Q1260" s="894"/>
      <c r="R1260" s="916"/>
      <c r="S1260" s="916"/>
      <c r="T1260" s="894"/>
      <c r="U1260" s="894"/>
      <c r="V1260" s="921" t="str">
        <f>'refer admin discharge'!H1261</f>
        <v>00/00/0000</v>
      </c>
      <c r="W1260" s="922"/>
      <c r="X1260" s="920"/>
      <c r="Y1260" s="920"/>
      <c r="Z1260" s="919"/>
      <c r="AA1260" s="919"/>
      <c r="AB1260" s="920"/>
      <c r="AC1260" s="920"/>
      <c r="AD1260" s="912"/>
      <c r="AE1260" s="912"/>
      <c r="AF1260" s="920"/>
      <c r="AG1260" s="920"/>
      <c r="AH1260" s="912"/>
      <c r="AI1260" s="912"/>
      <c r="AJ1260" s="920"/>
      <c r="AK1260" s="920"/>
      <c r="AL1260" s="905"/>
      <c r="AM1260" s="906"/>
      <c r="AN1260" s="906"/>
      <c r="AO1260" s="906"/>
      <c r="AP1260" s="906"/>
      <c r="AQ1260" s="906"/>
      <c r="AR1260" s="906"/>
      <c r="AS1260" s="906"/>
      <c r="AT1260" s="906"/>
      <c r="AU1260" s="906"/>
      <c r="AV1260" s="906"/>
      <c r="AW1260" s="906"/>
      <c r="AX1260" s="906"/>
      <c r="AY1260" s="906"/>
      <c r="AZ1260" s="906"/>
      <c r="BA1260" s="906"/>
      <c r="BB1260" s="907"/>
    </row>
    <row r="1261" spans="1:54" x14ac:dyDescent="0.25">
      <c r="A1261" s="13">
        <f t="shared" si="19"/>
        <v>1248</v>
      </c>
      <c r="B1261" s="914" t="str">
        <f>'refer admin discharge'!B1257</f>
        <v>x</v>
      </c>
      <c r="C1261" s="914"/>
      <c r="D1261" s="889" t="str">
        <f>'refer admin discharge'!D1257</f>
        <v>xx</v>
      </c>
      <c r="E1261" s="889"/>
      <c r="F1261" s="915" t="str">
        <f>'refer admin discharge'!H1257</f>
        <v>00/00/0000</v>
      </c>
      <c r="G1261" s="890"/>
      <c r="H1261" s="916"/>
      <c r="I1261" s="916"/>
      <c r="J1261" s="917"/>
      <c r="K1261" s="917"/>
      <c r="L1261" s="916"/>
      <c r="M1261" s="916"/>
      <c r="N1261" s="893"/>
      <c r="O1261" s="893"/>
      <c r="P1261" s="916"/>
      <c r="Q1261" s="916"/>
      <c r="R1261" s="893"/>
      <c r="S1261" s="893"/>
      <c r="T1261" s="916"/>
      <c r="U1261" s="916"/>
      <c r="V1261" s="921" t="str">
        <f>'refer admin discharge'!H1262</f>
        <v>00/00/0000</v>
      </c>
      <c r="W1261" s="922"/>
      <c r="X1261" s="912"/>
      <c r="Y1261" s="912"/>
      <c r="Z1261" s="924"/>
      <c r="AA1261" s="924"/>
      <c r="AB1261" s="912"/>
      <c r="AC1261" s="912"/>
      <c r="AD1261" s="913"/>
      <c r="AE1261" s="913"/>
      <c r="AF1261" s="912"/>
      <c r="AG1261" s="912"/>
      <c r="AH1261" s="913"/>
      <c r="AI1261" s="913"/>
      <c r="AJ1261" s="912"/>
      <c r="AK1261" s="912"/>
      <c r="AL1261" s="925"/>
      <c r="AM1261" s="926"/>
      <c r="AN1261" s="926"/>
      <c r="AO1261" s="926"/>
      <c r="AP1261" s="926"/>
      <c r="AQ1261" s="926"/>
      <c r="AR1261" s="926"/>
      <c r="AS1261" s="926"/>
      <c r="AT1261" s="926"/>
      <c r="AU1261" s="926"/>
      <c r="AV1261" s="926"/>
      <c r="AW1261" s="926"/>
      <c r="AX1261" s="926"/>
      <c r="AY1261" s="926"/>
      <c r="AZ1261" s="926"/>
      <c r="BA1261" s="926"/>
      <c r="BB1261" s="927"/>
    </row>
    <row r="1262" spans="1:54" x14ac:dyDescent="0.25">
      <c r="A1262" s="13">
        <f t="shared" si="19"/>
        <v>1249</v>
      </c>
      <c r="B1262" s="888" t="str">
        <f>'refer admin discharge'!B1258</f>
        <v>x</v>
      </c>
      <c r="C1262" s="888"/>
      <c r="D1262" s="868" t="str">
        <f>'refer admin discharge'!D1258</f>
        <v>xx</v>
      </c>
      <c r="E1262" s="868"/>
      <c r="F1262" s="891" t="str">
        <f>'refer admin discharge'!H1258</f>
        <v>00/00/0000</v>
      </c>
      <c r="G1262" s="892"/>
      <c r="H1262" s="894"/>
      <c r="I1262" s="894"/>
      <c r="J1262" s="918"/>
      <c r="K1262" s="918"/>
      <c r="L1262" s="894"/>
      <c r="M1262" s="894"/>
      <c r="N1262" s="916"/>
      <c r="O1262" s="916"/>
      <c r="P1262" s="894"/>
      <c r="Q1262" s="894"/>
      <c r="R1262" s="916"/>
      <c r="S1262" s="916"/>
      <c r="T1262" s="894"/>
      <c r="U1262" s="894"/>
      <c r="V1262" s="921" t="str">
        <f>'refer admin discharge'!H1263</f>
        <v>00/00/0000</v>
      </c>
      <c r="W1262" s="922"/>
      <c r="X1262" s="920"/>
      <c r="Y1262" s="920"/>
      <c r="Z1262" s="919"/>
      <c r="AA1262" s="919"/>
      <c r="AB1262" s="920"/>
      <c r="AC1262" s="920"/>
      <c r="AD1262" s="912"/>
      <c r="AE1262" s="912"/>
      <c r="AF1262" s="920"/>
      <c r="AG1262" s="920"/>
      <c r="AH1262" s="912"/>
      <c r="AI1262" s="912"/>
      <c r="AJ1262" s="920"/>
      <c r="AK1262" s="920"/>
      <c r="AL1262" s="905"/>
      <c r="AM1262" s="906"/>
      <c r="AN1262" s="906"/>
      <c r="AO1262" s="906"/>
      <c r="AP1262" s="906"/>
      <c r="AQ1262" s="906"/>
      <c r="AR1262" s="906"/>
      <c r="AS1262" s="906"/>
      <c r="AT1262" s="906"/>
      <c r="AU1262" s="906"/>
      <c r="AV1262" s="906"/>
      <c r="AW1262" s="906"/>
      <c r="AX1262" s="906"/>
      <c r="AY1262" s="906"/>
      <c r="AZ1262" s="906"/>
      <c r="BA1262" s="906"/>
      <c r="BB1262" s="907"/>
    </row>
    <row r="1263" spans="1:54" x14ac:dyDescent="0.25">
      <c r="A1263" s="13">
        <f t="shared" si="19"/>
        <v>1250</v>
      </c>
      <c r="B1263" s="914" t="str">
        <f>'refer admin discharge'!B1259</f>
        <v>x</v>
      </c>
      <c r="C1263" s="914"/>
      <c r="D1263" s="889" t="str">
        <f>'refer admin discharge'!D1259</f>
        <v>xx</v>
      </c>
      <c r="E1263" s="889"/>
      <c r="F1263" s="915" t="str">
        <f>'refer admin discharge'!H1259</f>
        <v>00/00/0000</v>
      </c>
      <c r="G1263" s="890"/>
      <c r="H1263" s="916"/>
      <c r="I1263" s="916"/>
      <c r="J1263" s="917"/>
      <c r="K1263" s="917"/>
      <c r="L1263" s="916"/>
      <c r="M1263" s="916"/>
      <c r="N1263" s="893"/>
      <c r="O1263" s="893"/>
      <c r="P1263" s="916"/>
      <c r="Q1263" s="916"/>
      <c r="R1263" s="893"/>
      <c r="S1263" s="893"/>
      <c r="T1263" s="916"/>
      <c r="U1263" s="916"/>
      <c r="V1263" s="921" t="str">
        <f>'refer admin discharge'!H1264</f>
        <v>00/00/0000</v>
      </c>
      <c r="W1263" s="922"/>
      <c r="X1263" s="912"/>
      <c r="Y1263" s="912"/>
      <c r="Z1263" s="924"/>
      <c r="AA1263" s="924"/>
      <c r="AB1263" s="912"/>
      <c r="AC1263" s="912"/>
      <c r="AD1263" s="913"/>
      <c r="AE1263" s="913"/>
      <c r="AF1263" s="912"/>
      <c r="AG1263" s="912"/>
      <c r="AH1263" s="913"/>
      <c r="AI1263" s="913"/>
      <c r="AJ1263" s="912"/>
      <c r="AK1263" s="912"/>
      <c r="AL1263" s="925"/>
      <c r="AM1263" s="926"/>
      <c r="AN1263" s="926"/>
      <c r="AO1263" s="926"/>
      <c r="AP1263" s="926"/>
      <c r="AQ1263" s="926"/>
      <c r="AR1263" s="926"/>
      <c r="AS1263" s="926"/>
      <c r="AT1263" s="926"/>
      <c r="AU1263" s="926"/>
      <c r="AV1263" s="926"/>
      <c r="AW1263" s="926"/>
      <c r="AX1263" s="926"/>
      <c r="AY1263" s="926"/>
      <c r="AZ1263" s="926"/>
      <c r="BA1263" s="926"/>
      <c r="BB1263" s="927"/>
    </row>
    <row r="1264" spans="1:54" x14ac:dyDescent="0.25">
      <c r="A1264" s="13">
        <f t="shared" si="19"/>
        <v>1251</v>
      </c>
      <c r="B1264" s="888" t="str">
        <f>'refer admin discharge'!B1260</f>
        <v>x</v>
      </c>
      <c r="C1264" s="888"/>
      <c r="D1264" s="868" t="str">
        <f>'refer admin discharge'!D1260</f>
        <v>xx</v>
      </c>
      <c r="E1264" s="868"/>
      <c r="F1264" s="891" t="str">
        <f>'refer admin discharge'!H1260</f>
        <v>00/00/0000</v>
      </c>
      <c r="G1264" s="892"/>
      <c r="H1264" s="894"/>
      <c r="I1264" s="894"/>
      <c r="J1264" s="918"/>
      <c r="K1264" s="918"/>
      <c r="L1264" s="894"/>
      <c r="M1264" s="894"/>
      <c r="N1264" s="916"/>
      <c r="O1264" s="916"/>
      <c r="P1264" s="894"/>
      <c r="Q1264" s="894"/>
      <c r="R1264" s="916"/>
      <c r="S1264" s="916"/>
      <c r="T1264" s="894"/>
      <c r="U1264" s="894"/>
      <c r="V1264" s="921" t="str">
        <f>'refer admin discharge'!H1265</f>
        <v>00/00/0000</v>
      </c>
      <c r="W1264" s="922"/>
      <c r="X1264" s="920"/>
      <c r="Y1264" s="920"/>
      <c r="Z1264" s="919"/>
      <c r="AA1264" s="919"/>
      <c r="AB1264" s="920"/>
      <c r="AC1264" s="920"/>
      <c r="AD1264" s="912"/>
      <c r="AE1264" s="912"/>
      <c r="AF1264" s="920"/>
      <c r="AG1264" s="920"/>
      <c r="AH1264" s="912"/>
      <c r="AI1264" s="912"/>
      <c r="AJ1264" s="920"/>
      <c r="AK1264" s="920"/>
      <c r="AL1264" s="905"/>
      <c r="AM1264" s="906"/>
      <c r="AN1264" s="906"/>
      <c r="AO1264" s="906"/>
      <c r="AP1264" s="906"/>
      <c r="AQ1264" s="906"/>
      <c r="AR1264" s="906"/>
      <c r="AS1264" s="906"/>
      <c r="AT1264" s="906"/>
      <c r="AU1264" s="906"/>
      <c r="AV1264" s="906"/>
      <c r="AW1264" s="906"/>
      <c r="AX1264" s="906"/>
      <c r="AY1264" s="906"/>
      <c r="AZ1264" s="906"/>
      <c r="BA1264" s="906"/>
      <c r="BB1264" s="907"/>
    </row>
    <row r="1265" spans="1:54" x14ac:dyDescent="0.25">
      <c r="A1265" s="13">
        <f t="shared" si="19"/>
        <v>1252</v>
      </c>
      <c r="B1265" s="914" t="str">
        <f>'refer admin discharge'!B1261</f>
        <v>x</v>
      </c>
      <c r="C1265" s="914"/>
      <c r="D1265" s="889" t="str">
        <f>'refer admin discharge'!D1261</f>
        <v>xx</v>
      </c>
      <c r="E1265" s="889"/>
      <c r="F1265" s="915" t="str">
        <f>'refer admin discharge'!H1261</f>
        <v>00/00/0000</v>
      </c>
      <c r="G1265" s="890"/>
      <c r="H1265" s="916"/>
      <c r="I1265" s="916"/>
      <c r="J1265" s="917"/>
      <c r="K1265" s="917"/>
      <c r="L1265" s="916"/>
      <c r="M1265" s="916"/>
      <c r="N1265" s="893"/>
      <c r="O1265" s="893"/>
      <c r="P1265" s="916"/>
      <c r="Q1265" s="916"/>
      <c r="R1265" s="893"/>
      <c r="S1265" s="893"/>
      <c r="T1265" s="916"/>
      <c r="U1265" s="916"/>
      <c r="V1265" s="921" t="str">
        <f>'refer admin discharge'!H1266</f>
        <v>00/00/0000</v>
      </c>
      <c r="W1265" s="922"/>
      <c r="X1265" s="912"/>
      <c r="Y1265" s="912"/>
      <c r="Z1265" s="924"/>
      <c r="AA1265" s="924"/>
      <c r="AB1265" s="912"/>
      <c r="AC1265" s="912"/>
      <c r="AD1265" s="913"/>
      <c r="AE1265" s="913"/>
      <c r="AF1265" s="912"/>
      <c r="AG1265" s="912"/>
      <c r="AH1265" s="913"/>
      <c r="AI1265" s="913"/>
      <c r="AJ1265" s="912"/>
      <c r="AK1265" s="912"/>
      <c r="AL1265" s="925"/>
      <c r="AM1265" s="926"/>
      <c r="AN1265" s="926"/>
      <c r="AO1265" s="926"/>
      <c r="AP1265" s="926"/>
      <c r="AQ1265" s="926"/>
      <c r="AR1265" s="926"/>
      <c r="AS1265" s="926"/>
      <c r="AT1265" s="926"/>
      <c r="AU1265" s="926"/>
      <c r="AV1265" s="926"/>
      <c r="AW1265" s="926"/>
      <c r="AX1265" s="926"/>
      <c r="AY1265" s="926"/>
      <c r="AZ1265" s="926"/>
      <c r="BA1265" s="926"/>
      <c r="BB1265" s="927"/>
    </row>
    <row r="1266" spans="1:54" x14ac:dyDescent="0.25">
      <c r="A1266" s="13">
        <f t="shared" si="19"/>
        <v>1253</v>
      </c>
      <c r="B1266" s="888" t="str">
        <f>'refer admin discharge'!B1262</f>
        <v>x</v>
      </c>
      <c r="C1266" s="888"/>
      <c r="D1266" s="868" t="str">
        <f>'refer admin discharge'!D1262</f>
        <v>xx</v>
      </c>
      <c r="E1266" s="868"/>
      <c r="F1266" s="891" t="str">
        <f>'refer admin discharge'!H1262</f>
        <v>00/00/0000</v>
      </c>
      <c r="G1266" s="892"/>
      <c r="H1266" s="894"/>
      <c r="I1266" s="894"/>
      <c r="J1266" s="918"/>
      <c r="K1266" s="918"/>
      <c r="L1266" s="894"/>
      <c r="M1266" s="894"/>
      <c r="N1266" s="916"/>
      <c r="O1266" s="916"/>
      <c r="P1266" s="894"/>
      <c r="Q1266" s="894"/>
      <c r="R1266" s="916"/>
      <c r="S1266" s="916"/>
      <c r="T1266" s="894"/>
      <c r="U1266" s="894"/>
      <c r="V1266" s="921" t="str">
        <f>'refer admin discharge'!H1267</f>
        <v>00/00/0000</v>
      </c>
      <c r="W1266" s="922"/>
      <c r="X1266" s="920"/>
      <c r="Y1266" s="920"/>
      <c r="Z1266" s="919"/>
      <c r="AA1266" s="919"/>
      <c r="AB1266" s="920"/>
      <c r="AC1266" s="920"/>
      <c r="AD1266" s="912"/>
      <c r="AE1266" s="912"/>
      <c r="AF1266" s="920"/>
      <c r="AG1266" s="920"/>
      <c r="AH1266" s="912"/>
      <c r="AI1266" s="912"/>
      <c r="AJ1266" s="920"/>
      <c r="AK1266" s="920"/>
      <c r="AL1266" s="905"/>
      <c r="AM1266" s="906"/>
      <c r="AN1266" s="906"/>
      <c r="AO1266" s="906"/>
      <c r="AP1266" s="906"/>
      <c r="AQ1266" s="906"/>
      <c r="AR1266" s="906"/>
      <c r="AS1266" s="906"/>
      <c r="AT1266" s="906"/>
      <c r="AU1266" s="906"/>
      <c r="AV1266" s="906"/>
      <c r="AW1266" s="906"/>
      <c r="AX1266" s="906"/>
      <c r="AY1266" s="906"/>
      <c r="AZ1266" s="906"/>
      <c r="BA1266" s="906"/>
      <c r="BB1266" s="907"/>
    </row>
    <row r="1267" spans="1:54" x14ac:dyDescent="0.25">
      <c r="A1267" s="13">
        <f t="shared" si="19"/>
        <v>1254</v>
      </c>
      <c r="B1267" s="914" t="str">
        <f>'refer admin discharge'!B1263</f>
        <v>x</v>
      </c>
      <c r="C1267" s="914"/>
      <c r="D1267" s="889" t="str">
        <f>'refer admin discharge'!D1263</f>
        <v>xx</v>
      </c>
      <c r="E1267" s="889"/>
      <c r="F1267" s="915" t="str">
        <f>'refer admin discharge'!H1263</f>
        <v>00/00/0000</v>
      </c>
      <c r="G1267" s="890"/>
      <c r="H1267" s="916"/>
      <c r="I1267" s="916"/>
      <c r="J1267" s="917"/>
      <c r="K1267" s="917"/>
      <c r="L1267" s="916"/>
      <c r="M1267" s="916"/>
      <c r="N1267" s="893"/>
      <c r="O1267" s="893"/>
      <c r="P1267" s="916"/>
      <c r="Q1267" s="916"/>
      <c r="R1267" s="893"/>
      <c r="S1267" s="893"/>
      <c r="T1267" s="916"/>
      <c r="U1267" s="916"/>
      <c r="V1267" s="921" t="str">
        <f>'refer admin discharge'!H1268</f>
        <v>00/00/0000</v>
      </c>
      <c r="W1267" s="922"/>
      <c r="X1267" s="912"/>
      <c r="Y1267" s="912"/>
      <c r="Z1267" s="924"/>
      <c r="AA1267" s="924"/>
      <c r="AB1267" s="912"/>
      <c r="AC1267" s="912"/>
      <c r="AD1267" s="913"/>
      <c r="AE1267" s="913"/>
      <c r="AF1267" s="912"/>
      <c r="AG1267" s="912"/>
      <c r="AH1267" s="913"/>
      <c r="AI1267" s="913"/>
      <c r="AJ1267" s="912"/>
      <c r="AK1267" s="912"/>
      <c r="AL1267" s="925"/>
      <c r="AM1267" s="926"/>
      <c r="AN1267" s="926"/>
      <c r="AO1267" s="926"/>
      <c r="AP1267" s="926"/>
      <c r="AQ1267" s="926"/>
      <c r="AR1267" s="926"/>
      <c r="AS1267" s="926"/>
      <c r="AT1267" s="926"/>
      <c r="AU1267" s="926"/>
      <c r="AV1267" s="926"/>
      <c r="AW1267" s="926"/>
      <c r="AX1267" s="926"/>
      <c r="AY1267" s="926"/>
      <c r="AZ1267" s="926"/>
      <c r="BA1267" s="926"/>
      <c r="BB1267" s="927"/>
    </row>
    <row r="1268" spans="1:54" x14ac:dyDescent="0.25">
      <c r="A1268" s="13">
        <f t="shared" si="19"/>
        <v>1255</v>
      </c>
      <c r="B1268" s="888" t="str">
        <f>'refer admin discharge'!B1264</f>
        <v>x</v>
      </c>
      <c r="C1268" s="888"/>
      <c r="D1268" s="868" t="str">
        <f>'refer admin discharge'!D1264</f>
        <v>xx</v>
      </c>
      <c r="E1268" s="868"/>
      <c r="F1268" s="891" t="str">
        <f>'refer admin discharge'!H1264</f>
        <v>00/00/0000</v>
      </c>
      <c r="G1268" s="892"/>
      <c r="H1268" s="894"/>
      <c r="I1268" s="894"/>
      <c r="J1268" s="918"/>
      <c r="K1268" s="918"/>
      <c r="L1268" s="894"/>
      <c r="M1268" s="894"/>
      <c r="N1268" s="916"/>
      <c r="O1268" s="916"/>
      <c r="P1268" s="894"/>
      <c r="Q1268" s="894"/>
      <c r="R1268" s="916"/>
      <c r="S1268" s="916"/>
      <c r="T1268" s="894"/>
      <c r="U1268" s="894"/>
      <c r="V1268" s="921" t="str">
        <f>'refer admin discharge'!H1269</f>
        <v>00/00/0000</v>
      </c>
      <c r="W1268" s="922"/>
      <c r="X1268" s="920"/>
      <c r="Y1268" s="920"/>
      <c r="Z1268" s="919"/>
      <c r="AA1268" s="919"/>
      <c r="AB1268" s="920"/>
      <c r="AC1268" s="920"/>
      <c r="AD1268" s="912"/>
      <c r="AE1268" s="912"/>
      <c r="AF1268" s="920"/>
      <c r="AG1268" s="920"/>
      <c r="AH1268" s="912"/>
      <c r="AI1268" s="912"/>
      <c r="AJ1268" s="920"/>
      <c r="AK1268" s="920"/>
      <c r="AL1268" s="905"/>
      <c r="AM1268" s="906"/>
      <c r="AN1268" s="906"/>
      <c r="AO1268" s="906"/>
      <c r="AP1268" s="906"/>
      <c r="AQ1268" s="906"/>
      <c r="AR1268" s="906"/>
      <c r="AS1268" s="906"/>
      <c r="AT1268" s="906"/>
      <c r="AU1268" s="906"/>
      <c r="AV1268" s="906"/>
      <c r="AW1268" s="906"/>
      <c r="AX1268" s="906"/>
      <c r="AY1268" s="906"/>
      <c r="AZ1268" s="906"/>
      <c r="BA1268" s="906"/>
      <c r="BB1268" s="907"/>
    </row>
    <row r="1269" spans="1:54" x14ac:dyDescent="0.25">
      <c r="A1269" s="13">
        <f t="shared" si="19"/>
        <v>1256</v>
      </c>
      <c r="B1269" s="914" t="str">
        <f>'refer admin discharge'!B1265</f>
        <v>x</v>
      </c>
      <c r="C1269" s="914"/>
      <c r="D1269" s="889" t="str">
        <f>'refer admin discharge'!D1265</f>
        <v>xx</v>
      </c>
      <c r="E1269" s="889"/>
      <c r="F1269" s="915" t="str">
        <f>'refer admin discharge'!H1265</f>
        <v>00/00/0000</v>
      </c>
      <c r="G1269" s="890"/>
      <c r="H1269" s="916"/>
      <c r="I1269" s="916"/>
      <c r="J1269" s="917"/>
      <c r="K1269" s="917"/>
      <c r="L1269" s="916"/>
      <c r="M1269" s="916"/>
      <c r="N1269" s="893"/>
      <c r="O1269" s="893"/>
      <c r="P1269" s="916"/>
      <c r="Q1269" s="916"/>
      <c r="R1269" s="893"/>
      <c r="S1269" s="893"/>
      <c r="T1269" s="916"/>
      <c r="U1269" s="916"/>
      <c r="V1269" s="921" t="str">
        <f>'refer admin discharge'!H1270</f>
        <v>00/00/0000</v>
      </c>
      <c r="W1269" s="922"/>
      <c r="X1269" s="912"/>
      <c r="Y1269" s="912"/>
      <c r="Z1269" s="924"/>
      <c r="AA1269" s="924"/>
      <c r="AB1269" s="912"/>
      <c r="AC1269" s="912"/>
      <c r="AD1269" s="913"/>
      <c r="AE1269" s="913"/>
      <c r="AF1269" s="912"/>
      <c r="AG1269" s="912"/>
      <c r="AH1269" s="913"/>
      <c r="AI1269" s="913"/>
      <c r="AJ1269" s="912"/>
      <c r="AK1269" s="912"/>
      <c r="AL1269" s="925"/>
      <c r="AM1269" s="926"/>
      <c r="AN1269" s="926"/>
      <c r="AO1269" s="926"/>
      <c r="AP1269" s="926"/>
      <c r="AQ1269" s="926"/>
      <c r="AR1269" s="926"/>
      <c r="AS1269" s="926"/>
      <c r="AT1269" s="926"/>
      <c r="AU1269" s="926"/>
      <c r="AV1269" s="926"/>
      <c r="AW1269" s="926"/>
      <c r="AX1269" s="926"/>
      <c r="AY1269" s="926"/>
      <c r="AZ1269" s="926"/>
      <c r="BA1269" s="926"/>
      <c r="BB1269" s="927"/>
    </row>
    <row r="1270" spans="1:54" x14ac:dyDescent="0.25">
      <c r="A1270" s="13">
        <f t="shared" si="19"/>
        <v>1257</v>
      </c>
      <c r="B1270" s="888" t="str">
        <f>'refer admin discharge'!B1266</f>
        <v>x</v>
      </c>
      <c r="C1270" s="888"/>
      <c r="D1270" s="868" t="str">
        <f>'refer admin discharge'!D1266</f>
        <v>xx</v>
      </c>
      <c r="E1270" s="868"/>
      <c r="F1270" s="891" t="str">
        <f>'refer admin discharge'!H1266</f>
        <v>00/00/0000</v>
      </c>
      <c r="G1270" s="892"/>
      <c r="H1270" s="894"/>
      <c r="I1270" s="894"/>
      <c r="J1270" s="918"/>
      <c r="K1270" s="918"/>
      <c r="L1270" s="894"/>
      <c r="M1270" s="894"/>
      <c r="N1270" s="916"/>
      <c r="O1270" s="916"/>
      <c r="P1270" s="894"/>
      <c r="Q1270" s="894"/>
      <c r="R1270" s="916"/>
      <c r="S1270" s="916"/>
      <c r="T1270" s="894"/>
      <c r="U1270" s="894"/>
      <c r="V1270" s="921" t="str">
        <f>'refer admin discharge'!H1271</f>
        <v>00/00/0000</v>
      </c>
      <c r="W1270" s="922"/>
      <c r="X1270" s="920"/>
      <c r="Y1270" s="920"/>
      <c r="Z1270" s="919"/>
      <c r="AA1270" s="919"/>
      <c r="AB1270" s="920"/>
      <c r="AC1270" s="920"/>
      <c r="AD1270" s="912"/>
      <c r="AE1270" s="912"/>
      <c r="AF1270" s="920"/>
      <c r="AG1270" s="920"/>
      <c r="AH1270" s="912"/>
      <c r="AI1270" s="912"/>
      <c r="AJ1270" s="920"/>
      <c r="AK1270" s="920"/>
      <c r="AL1270" s="905"/>
      <c r="AM1270" s="906"/>
      <c r="AN1270" s="906"/>
      <c r="AO1270" s="906"/>
      <c r="AP1270" s="906"/>
      <c r="AQ1270" s="906"/>
      <c r="AR1270" s="906"/>
      <c r="AS1270" s="906"/>
      <c r="AT1270" s="906"/>
      <c r="AU1270" s="906"/>
      <c r="AV1270" s="906"/>
      <c r="AW1270" s="906"/>
      <c r="AX1270" s="906"/>
      <c r="AY1270" s="906"/>
      <c r="AZ1270" s="906"/>
      <c r="BA1270" s="906"/>
      <c r="BB1270" s="907"/>
    </row>
    <row r="1271" spans="1:54" x14ac:dyDescent="0.25">
      <c r="A1271" s="13">
        <f t="shared" si="19"/>
        <v>1258</v>
      </c>
      <c r="B1271" s="914" t="str">
        <f>'refer admin discharge'!B1267</f>
        <v>x</v>
      </c>
      <c r="C1271" s="914"/>
      <c r="D1271" s="889" t="str">
        <f>'refer admin discharge'!D1267</f>
        <v>xx</v>
      </c>
      <c r="E1271" s="889"/>
      <c r="F1271" s="915" t="str">
        <f>'refer admin discharge'!H1267</f>
        <v>00/00/0000</v>
      </c>
      <c r="G1271" s="890"/>
      <c r="H1271" s="916"/>
      <c r="I1271" s="916"/>
      <c r="J1271" s="917"/>
      <c r="K1271" s="917"/>
      <c r="L1271" s="916"/>
      <c r="M1271" s="916"/>
      <c r="N1271" s="893"/>
      <c r="O1271" s="893"/>
      <c r="P1271" s="916"/>
      <c r="Q1271" s="916"/>
      <c r="R1271" s="893"/>
      <c r="S1271" s="893"/>
      <c r="T1271" s="916"/>
      <c r="U1271" s="916"/>
      <c r="V1271" s="921" t="str">
        <f>'refer admin discharge'!H1272</f>
        <v>00/00/0000</v>
      </c>
      <c r="W1271" s="922"/>
      <c r="X1271" s="912"/>
      <c r="Y1271" s="912"/>
      <c r="Z1271" s="924"/>
      <c r="AA1271" s="924"/>
      <c r="AB1271" s="912"/>
      <c r="AC1271" s="912"/>
      <c r="AD1271" s="913"/>
      <c r="AE1271" s="913"/>
      <c r="AF1271" s="912"/>
      <c r="AG1271" s="912"/>
      <c r="AH1271" s="913"/>
      <c r="AI1271" s="913"/>
      <c r="AJ1271" s="912"/>
      <c r="AK1271" s="912"/>
      <c r="AL1271" s="925"/>
      <c r="AM1271" s="926"/>
      <c r="AN1271" s="926"/>
      <c r="AO1271" s="926"/>
      <c r="AP1271" s="926"/>
      <c r="AQ1271" s="926"/>
      <c r="AR1271" s="926"/>
      <c r="AS1271" s="926"/>
      <c r="AT1271" s="926"/>
      <c r="AU1271" s="926"/>
      <c r="AV1271" s="926"/>
      <c r="AW1271" s="926"/>
      <c r="AX1271" s="926"/>
      <c r="AY1271" s="926"/>
      <c r="AZ1271" s="926"/>
      <c r="BA1271" s="926"/>
      <c r="BB1271" s="927"/>
    </row>
    <row r="1272" spans="1:54" x14ac:dyDescent="0.25">
      <c r="A1272" s="13">
        <f t="shared" si="19"/>
        <v>1259</v>
      </c>
      <c r="B1272" s="888" t="str">
        <f>'refer admin discharge'!B1268</f>
        <v>x</v>
      </c>
      <c r="C1272" s="888"/>
      <c r="D1272" s="868" t="str">
        <f>'refer admin discharge'!D1268</f>
        <v>xx</v>
      </c>
      <c r="E1272" s="868"/>
      <c r="F1272" s="891" t="str">
        <f>'refer admin discharge'!H1268</f>
        <v>00/00/0000</v>
      </c>
      <c r="G1272" s="892"/>
      <c r="H1272" s="894"/>
      <c r="I1272" s="894"/>
      <c r="J1272" s="918"/>
      <c r="K1272" s="918"/>
      <c r="L1272" s="894"/>
      <c r="M1272" s="894"/>
      <c r="N1272" s="916"/>
      <c r="O1272" s="916"/>
      <c r="P1272" s="894"/>
      <c r="Q1272" s="894"/>
      <c r="R1272" s="916"/>
      <c r="S1272" s="916"/>
      <c r="T1272" s="894"/>
      <c r="U1272" s="894"/>
      <c r="V1272" s="921" t="str">
        <f>'refer admin discharge'!H1273</f>
        <v>00/00/0000</v>
      </c>
      <c r="W1272" s="922"/>
      <c r="X1272" s="920"/>
      <c r="Y1272" s="920"/>
      <c r="Z1272" s="919"/>
      <c r="AA1272" s="919"/>
      <c r="AB1272" s="920"/>
      <c r="AC1272" s="920"/>
      <c r="AD1272" s="912"/>
      <c r="AE1272" s="912"/>
      <c r="AF1272" s="920"/>
      <c r="AG1272" s="920"/>
      <c r="AH1272" s="912"/>
      <c r="AI1272" s="912"/>
      <c r="AJ1272" s="920"/>
      <c r="AK1272" s="920"/>
      <c r="AL1272" s="905"/>
      <c r="AM1272" s="906"/>
      <c r="AN1272" s="906"/>
      <c r="AO1272" s="906"/>
      <c r="AP1272" s="906"/>
      <c r="AQ1272" s="906"/>
      <c r="AR1272" s="906"/>
      <c r="AS1272" s="906"/>
      <c r="AT1272" s="906"/>
      <c r="AU1272" s="906"/>
      <c r="AV1272" s="906"/>
      <c r="AW1272" s="906"/>
      <c r="AX1272" s="906"/>
      <c r="AY1272" s="906"/>
      <c r="AZ1272" s="906"/>
      <c r="BA1272" s="906"/>
      <c r="BB1272" s="907"/>
    </row>
    <row r="1273" spans="1:54" x14ac:dyDescent="0.25">
      <c r="A1273" s="13">
        <f t="shared" si="19"/>
        <v>1260</v>
      </c>
      <c r="B1273" s="914" t="str">
        <f>'refer admin discharge'!B1269</f>
        <v>x</v>
      </c>
      <c r="C1273" s="914"/>
      <c r="D1273" s="889" t="str">
        <f>'refer admin discharge'!D1269</f>
        <v>xx</v>
      </c>
      <c r="E1273" s="889"/>
      <c r="F1273" s="915" t="str">
        <f>'refer admin discharge'!H1269</f>
        <v>00/00/0000</v>
      </c>
      <c r="G1273" s="890"/>
      <c r="H1273" s="916"/>
      <c r="I1273" s="916"/>
      <c r="J1273" s="917"/>
      <c r="K1273" s="917"/>
      <c r="L1273" s="916"/>
      <c r="M1273" s="916"/>
      <c r="N1273" s="893"/>
      <c r="O1273" s="893"/>
      <c r="P1273" s="916"/>
      <c r="Q1273" s="916"/>
      <c r="R1273" s="893"/>
      <c r="S1273" s="893"/>
      <c r="T1273" s="916"/>
      <c r="U1273" s="916"/>
      <c r="V1273" s="921" t="str">
        <f>'refer admin discharge'!H1274</f>
        <v>00/00/0000</v>
      </c>
      <c r="W1273" s="922"/>
      <c r="X1273" s="912"/>
      <c r="Y1273" s="912"/>
      <c r="Z1273" s="924"/>
      <c r="AA1273" s="924"/>
      <c r="AB1273" s="912"/>
      <c r="AC1273" s="912"/>
      <c r="AD1273" s="913"/>
      <c r="AE1273" s="913"/>
      <c r="AF1273" s="912"/>
      <c r="AG1273" s="912"/>
      <c r="AH1273" s="913"/>
      <c r="AI1273" s="913"/>
      <c r="AJ1273" s="912"/>
      <c r="AK1273" s="912"/>
      <c r="AL1273" s="925"/>
      <c r="AM1273" s="926"/>
      <c r="AN1273" s="926"/>
      <c r="AO1273" s="926"/>
      <c r="AP1273" s="926"/>
      <c r="AQ1273" s="926"/>
      <c r="AR1273" s="926"/>
      <c r="AS1273" s="926"/>
      <c r="AT1273" s="926"/>
      <c r="AU1273" s="926"/>
      <c r="AV1273" s="926"/>
      <c r="AW1273" s="926"/>
      <c r="AX1273" s="926"/>
      <c r="AY1273" s="926"/>
      <c r="AZ1273" s="926"/>
      <c r="BA1273" s="926"/>
      <c r="BB1273" s="927"/>
    </row>
    <row r="1274" spans="1:54" x14ac:dyDescent="0.25">
      <c r="A1274" s="13">
        <f t="shared" si="19"/>
        <v>1261</v>
      </c>
      <c r="B1274" s="888" t="str">
        <f>'refer admin discharge'!B1270</f>
        <v>x</v>
      </c>
      <c r="C1274" s="888"/>
      <c r="D1274" s="868" t="str">
        <f>'refer admin discharge'!D1270</f>
        <v>xx</v>
      </c>
      <c r="E1274" s="868"/>
      <c r="F1274" s="891" t="str">
        <f>'refer admin discharge'!H1270</f>
        <v>00/00/0000</v>
      </c>
      <c r="G1274" s="892"/>
      <c r="H1274" s="894"/>
      <c r="I1274" s="894"/>
      <c r="J1274" s="918"/>
      <c r="K1274" s="918"/>
      <c r="L1274" s="894"/>
      <c r="M1274" s="894"/>
      <c r="N1274" s="916"/>
      <c r="O1274" s="916"/>
      <c r="P1274" s="894"/>
      <c r="Q1274" s="894"/>
      <c r="R1274" s="916"/>
      <c r="S1274" s="916"/>
      <c r="T1274" s="894"/>
      <c r="U1274" s="894"/>
      <c r="V1274" s="921" t="str">
        <f>'refer admin discharge'!H1275</f>
        <v>00/00/0000</v>
      </c>
      <c r="W1274" s="922"/>
      <c r="X1274" s="920"/>
      <c r="Y1274" s="920"/>
      <c r="Z1274" s="919"/>
      <c r="AA1274" s="919"/>
      <c r="AB1274" s="920"/>
      <c r="AC1274" s="920"/>
      <c r="AD1274" s="912"/>
      <c r="AE1274" s="912"/>
      <c r="AF1274" s="920"/>
      <c r="AG1274" s="920"/>
      <c r="AH1274" s="912"/>
      <c r="AI1274" s="912"/>
      <c r="AJ1274" s="920"/>
      <c r="AK1274" s="920"/>
      <c r="AL1274" s="905"/>
      <c r="AM1274" s="906"/>
      <c r="AN1274" s="906"/>
      <c r="AO1274" s="906"/>
      <c r="AP1274" s="906"/>
      <c r="AQ1274" s="906"/>
      <c r="AR1274" s="906"/>
      <c r="AS1274" s="906"/>
      <c r="AT1274" s="906"/>
      <c r="AU1274" s="906"/>
      <c r="AV1274" s="906"/>
      <c r="AW1274" s="906"/>
      <c r="AX1274" s="906"/>
      <c r="AY1274" s="906"/>
      <c r="AZ1274" s="906"/>
      <c r="BA1274" s="906"/>
      <c r="BB1274" s="907"/>
    </row>
    <row r="1275" spans="1:54" x14ac:dyDescent="0.25">
      <c r="A1275" s="13">
        <f t="shared" si="19"/>
        <v>1262</v>
      </c>
      <c r="B1275" s="914" t="str">
        <f>'refer admin discharge'!B1271</f>
        <v>x</v>
      </c>
      <c r="C1275" s="914"/>
      <c r="D1275" s="889" t="str">
        <f>'refer admin discharge'!D1271</f>
        <v>xx</v>
      </c>
      <c r="E1275" s="889"/>
      <c r="F1275" s="915" t="str">
        <f>'refer admin discharge'!H1271</f>
        <v>00/00/0000</v>
      </c>
      <c r="G1275" s="890"/>
      <c r="H1275" s="916"/>
      <c r="I1275" s="916"/>
      <c r="J1275" s="917"/>
      <c r="K1275" s="917"/>
      <c r="L1275" s="916"/>
      <c r="M1275" s="916"/>
      <c r="N1275" s="893"/>
      <c r="O1275" s="893"/>
      <c r="P1275" s="916"/>
      <c r="Q1275" s="916"/>
      <c r="R1275" s="893"/>
      <c r="S1275" s="893"/>
      <c r="T1275" s="916"/>
      <c r="U1275" s="916"/>
      <c r="V1275" s="921" t="str">
        <f>'refer admin discharge'!H1276</f>
        <v>00/00/0000</v>
      </c>
      <c r="W1275" s="922"/>
      <c r="X1275" s="912"/>
      <c r="Y1275" s="912"/>
      <c r="Z1275" s="924"/>
      <c r="AA1275" s="924"/>
      <c r="AB1275" s="912"/>
      <c r="AC1275" s="912"/>
      <c r="AD1275" s="913"/>
      <c r="AE1275" s="913"/>
      <c r="AF1275" s="912"/>
      <c r="AG1275" s="912"/>
      <c r="AH1275" s="913"/>
      <c r="AI1275" s="913"/>
      <c r="AJ1275" s="912"/>
      <c r="AK1275" s="912"/>
      <c r="AL1275" s="925"/>
      <c r="AM1275" s="926"/>
      <c r="AN1275" s="926"/>
      <c r="AO1275" s="926"/>
      <c r="AP1275" s="926"/>
      <c r="AQ1275" s="926"/>
      <c r="AR1275" s="926"/>
      <c r="AS1275" s="926"/>
      <c r="AT1275" s="926"/>
      <c r="AU1275" s="926"/>
      <c r="AV1275" s="926"/>
      <c r="AW1275" s="926"/>
      <c r="AX1275" s="926"/>
      <c r="AY1275" s="926"/>
      <c r="AZ1275" s="926"/>
      <c r="BA1275" s="926"/>
      <c r="BB1275" s="927"/>
    </row>
    <row r="1276" spans="1:54" x14ac:dyDescent="0.25">
      <c r="A1276" s="13">
        <f t="shared" si="19"/>
        <v>1263</v>
      </c>
      <c r="B1276" s="888" t="str">
        <f>'refer admin discharge'!B1272</f>
        <v>x</v>
      </c>
      <c r="C1276" s="888"/>
      <c r="D1276" s="868" t="str">
        <f>'refer admin discharge'!D1272</f>
        <v>xx</v>
      </c>
      <c r="E1276" s="868"/>
      <c r="F1276" s="891" t="str">
        <f>'refer admin discharge'!H1272</f>
        <v>00/00/0000</v>
      </c>
      <c r="G1276" s="892"/>
      <c r="H1276" s="894"/>
      <c r="I1276" s="894"/>
      <c r="J1276" s="918"/>
      <c r="K1276" s="918"/>
      <c r="L1276" s="894"/>
      <c r="M1276" s="894"/>
      <c r="N1276" s="916"/>
      <c r="O1276" s="916"/>
      <c r="P1276" s="894"/>
      <c r="Q1276" s="894"/>
      <c r="R1276" s="916"/>
      <c r="S1276" s="916"/>
      <c r="T1276" s="894"/>
      <c r="U1276" s="894"/>
      <c r="V1276" s="921" t="str">
        <f>'refer admin discharge'!H1277</f>
        <v>00/00/0000</v>
      </c>
      <c r="W1276" s="922"/>
      <c r="X1276" s="920"/>
      <c r="Y1276" s="920"/>
      <c r="Z1276" s="919"/>
      <c r="AA1276" s="919"/>
      <c r="AB1276" s="920"/>
      <c r="AC1276" s="920"/>
      <c r="AD1276" s="912"/>
      <c r="AE1276" s="912"/>
      <c r="AF1276" s="920"/>
      <c r="AG1276" s="920"/>
      <c r="AH1276" s="912"/>
      <c r="AI1276" s="912"/>
      <c r="AJ1276" s="920"/>
      <c r="AK1276" s="920"/>
      <c r="AL1276" s="905"/>
      <c r="AM1276" s="906"/>
      <c r="AN1276" s="906"/>
      <c r="AO1276" s="906"/>
      <c r="AP1276" s="906"/>
      <c r="AQ1276" s="906"/>
      <c r="AR1276" s="906"/>
      <c r="AS1276" s="906"/>
      <c r="AT1276" s="906"/>
      <c r="AU1276" s="906"/>
      <c r="AV1276" s="906"/>
      <c r="AW1276" s="906"/>
      <c r="AX1276" s="906"/>
      <c r="AY1276" s="906"/>
      <c r="AZ1276" s="906"/>
      <c r="BA1276" s="906"/>
      <c r="BB1276" s="907"/>
    </row>
    <row r="1277" spans="1:54" x14ac:dyDescent="0.25">
      <c r="A1277" s="13">
        <f t="shared" si="19"/>
        <v>1264</v>
      </c>
      <c r="B1277" s="914" t="str">
        <f>'refer admin discharge'!B1273</f>
        <v>x</v>
      </c>
      <c r="C1277" s="914"/>
      <c r="D1277" s="889" t="str">
        <f>'refer admin discharge'!D1273</f>
        <v>xx</v>
      </c>
      <c r="E1277" s="889"/>
      <c r="F1277" s="915" t="str">
        <f>'refer admin discharge'!H1273</f>
        <v>00/00/0000</v>
      </c>
      <c r="G1277" s="890"/>
      <c r="H1277" s="916"/>
      <c r="I1277" s="916"/>
      <c r="J1277" s="917"/>
      <c r="K1277" s="917"/>
      <c r="L1277" s="916"/>
      <c r="M1277" s="916"/>
      <c r="N1277" s="893"/>
      <c r="O1277" s="893"/>
      <c r="P1277" s="916"/>
      <c r="Q1277" s="916"/>
      <c r="R1277" s="893"/>
      <c r="S1277" s="893"/>
      <c r="T1277" s="916"/>
      <c r="U1277" s="916"/>
      <c r="V1277" s="921" t="str">
        <f>'refer admin discharge'!H1278</f>
        <v>00/00/0000</v>
      </c>
      <c r="W1277" s="922"/>
      <c r="X1277" s="912"/>
      <c r="Y1277" s="912"/>
      <c r="Z1277" s="924"/>
      <c r="AA1277" s="924"/>
      <c r="AB1277" s="912"/>
      <c r="AC1277" s="912"/>
      <c r="AD1277" s="913"/>
      <c r="AE1277" s="913"/>
      <c r="AF1277" s="912"/>
      <c r="AG1277" s="912"/>
      <c r="AH1277" s="913"/>
      <c r="AI1277" s="913"/>
      <c r="AJ1277" s="912"/>
      <c r="AK1277" s="912"/>
      <c r="AL1277" s="925"/>
      <c r="AM1277" s="926"/>
      <c r="AN1277" s="926"/>
      <c r="AO1277" s="926"/>
      <c r="AP1277" s="926"/>
      <c r="AQ1277" s="926"/>
      <c r="AR1277" s="926"/>
      <c r="AS1277" s="926"/>
      <c r="AT1277" s="926"/>
      <c r="AU1277" s="926"/>
      <c r="AV1277" s="926"/>
      <c r="AW1277" s="926"/>
      <c r="AX1277" s="926"/>
      <c r="AY1277" s="926"/>
      <c r="AZ1277" s="926"/>
      <c r="BA1277" s="926"/>
      <c r="BB1277" s="927"/>
    </row>
    <row r="1278" spans="1:54" x14ac:dyDescent="0.25">
      <c r="A1278" s="13">
        <f t="shared" si="19"/>
        <v>1265</v>
      </c>
      <c r="B1278" s="888" t="str">
        <f>'refer admin discharge'!B1274</f>
        <v>x</v>
      </c>
      <c r="C1278" s="888"/>
      <c r="D1278" s="868" t="str">
        <f>'refer admin discharge'!D1274</f>
        <v>xx</v>
      </c>
      <c r="E1278" s="868"/>
      <c r="F1278" s="891" t="str">
        <f>'refer admin discharge'!H1274</f>
        <v>00/00/0000</v>
      </c>
      <c r="G1278" s="892"/>
      <c r="H1278" s="894"/>
      <c r="I1278" s="894"/>
      <c r="J1278" s="918"/>
      <c r="K1278" s="918"/>
      <c r="L1278" s="894"/>
      <c r="M1278" s="894"/>
      <c r="N1278" s="916"/>
      <c r="O1278" s="916"/>
      <c r="P1278" s="894"/>
      <c r="Q1278" s="894"/>
      <c r="R1278" s="916"/>
      <c r="S1278" s="916"/>
      <c r="T1278" s="894"/>
      <c r="U1278" s="894"/>
      <c r="V1278" s="921" t="str">
        <f>'refer admin discharge'!H1279</f>
        <v>00/00/0000</v>
      </c>
      <c r="W1278" s="922"/>
      <c r="X1278" s="920"/>
      <c r="Y1278" s="920"/>
      <c r="Z1278" s="919"/>
      <c r="AA1278" s="919"/>
      <c r="AB1278" s="920"/>
      <c r="AC1278" s="920"/>
      <c r="AD1278" s="912"/>
      <c r="AE1278" s="912"/>
      <c r="AF1278" s="920"/>
      <c r="AG1278" s="920"/>
      <c r="AH1278" s="912"/>
      <c r="AI1278" s="912"/>
      <c r="AJ1278" s="920"/>
      <c r="AK1278" s="920"/>
      <c r="AL1278" s="905"/>
      <c r="AM1278" s="906"/>
      <c r="AN1278" s="906"/>
      <c r="AO1278" s="906"/>
      <c r="AP1278" s="906"/>
      <c r="AQ1278" s="906"/>
      <c r="AR1278" s="906"/>
      <c r="AS1278" s="906"/>
      <c r="AT1278" s="906"/>
      <c r="AU1278" s="906"/>
      <c r="AV1278" s="906"/>
      <c r="AW1278" s="906"/>
      <c r="AX1278" s="906"/>
      <c r="AY1278" s="906"/>
      <c r="AZ1278" s="906"/>
      <c r="BA1278" s="906"/>
      <c r="BB1278" s="907"/>
    </row>
    <row r="1279" spans="1:54" x14ac:dyDescent="0.25">
      <c r="A1279" s="13">
        <f t="shared" si="19"/>
        <v>1266</v>
      </c>
      <c r="B1279" s="914" t="str">
        <f>'refer admin discharge'!B1275</f>
        <v>x</v>
      </c>
      <c r="C1279" s="914"/>
      <c r="D1279" s="889" t="str">
        <f>'refer admin discharge'!D1275</f>
        <v>xx</v>
      </c>
      <c r="E1279" s="889"/>
      <c r="F1279" s="915" t="str">
        <f>'refer admin discharge'!H1275</f>
        <v>00/00/0000</v>
      </c>
      <c r="G1279" s="890"/>
      <c r="H1279" s="916"/>
      <c r="I1279" s="916"/>
      <c r="J1279" s="917"/>
      <c r="K1279" s="917"/>
      <c r="L1279" s="916"/>
      <c r="M1279" s="916"/>
      <c r="N1279" s="893"/>
      <c r="O1279" s="893"/>
      <c r="P1279" s="916"/>
      <c r="Q1279" s="916"/>
      <c r="R1279" s="893"/>
      <c r="S1279" s="893"/>
      <c r="T1279" s="916"/>
      <c r="U1279" s="916"/>
      <c r="V1279" s="921" t="str">
        <f>'refer admin discharge'!H1280</f>
        <v>00/00/0000</v>
      </c>
      <c r="W1279" s="922"/>
      <c r="X1279" s="912"/>
      <c r="Y1279" s="912"/>
      <c r="Z1279" s="924"/>
      <c r="AA1279" s="924"/>
      <c r="AB1279" s="912"/>
      <c r="AC1279" s="912"/>
      <c r="AD1279" s="913"/>
      <c r="AE1279" s="913"/>
      <c r="AF1279" s="912"/>
      <c r="AG1279" s="912"/>
      <c r="AH1279" s="913"/>
      <c r="AI1279" s="913"/>
      <c r="AJ1279" s="912"/>
      <c r="AK1279" s="912"/>
      <c r="AL1279" s="925"/>
      <c r="AM1279" s="926"/>
      <c r="AN1279" s="926"/>
      <c r="AO1279" s="926"/>
      <c r="AP1279" s="926"/>
      <c r="AQ1279" s="926"/>
      <c r="AR1279" s="926"/>
      <c r="AS1279" s="926"/>
      <c r="AT1279" s="926"/>
      <c r="AU1279" s="926"/>
      <c r="AV1279" s="926"/>
      <c r="AW1279" s="926"/>
      <c r="AX1279" s="926"/>
      <c r="AY1279" s="926"/>
      <c r="AZ1279" s="926"/>
      <c r="BA1279" s="926"/>
      <c r="BB1279" s="927"/>
    </row>
    <row r="1280" spans="1:54" x14ac:dyDescent="0.25">
      <c r="A1280" s="13">
        <f t="shared" si="19"/>
        <v>1267</v>
      </c>
      <c r="B1280" s="888" t="str">
        <f>'refer admin discharge'!B1276</f>
        <v>x</v>
      </c>
      <c r="C1280" s="888"/>
      <c r="D1280" s="868" t="str">
        <f>'refer admin discharge'!D1276</f>
        <v>xx</v>
      </c>
      <c r="E1280" s="868"/>
      <c r="F1280" s="891" t="str">
        <f>'refer admin discharge'!H1276</f>
        <v>00/00/0000</v>
      </c>
      <c r="G1280" s="892"/>
      <c r="H1280" s="894"/>
      <c r="I1280" s="894"/>
      <c r="J1280" s="918"/>
      <c r="K1280" s="918"/>
      <c r="L1280" s="894"/>
      <c r="M1280" s="894"/>
      <c r="N1280" s="916"/>
      <c r="O1280" s="916"/>
      <c r="P1280" s="894"/>
      <c r="Q1280" s="894"/>
      <c r="R1280" s="916"/>
      <c r="S1280" s="916"/>
      <c r="T1280" s="894"/>
      <c r="U1280" s="894"/>
      <c r="V1280" s="921" t="str">
        <f>'refer admin discharge'!H1281</f>
        <v>00/00/0000</v>
      </c>
      <c r="W1280" s="922"/>
      <c r="X1280" s="920"/>
      <c r="Y1280" s="920"/>
      <c r="Z1280" s="919"/>
      <c r="AA1280" s="919"/>
      <c r="AB1280" s="920"/>
      <c r="AC1280" s="920"/>
      <c r="AD1280" s="912"/>
      <c r="AE1280" s="912"/>
      <c r="AF1280" s="920"/>
      <c r="AG1280" s="920"/>
      <c r="AH1280" s="912"/>
      <c r="AI1280" s="912"/>
      <c r="AJ1280" s="920"/>
      <c r="AK1280" s="920"/>
      <c r="AL1280" s="905"/>
      <c r="AM1280" s="906"/>
      <c r="AN1280" s="906"/>
      <c r="AO1280" s="906"/>
      <c r="AP1280" s="906"/>
      <c r="AQ1280" s="906"/>
      <c r="AR1280" s="906"/>
      <c r="AS1280" s="906"/>
      <c r="AT1280" s="906"/>
      <c r="AU1280" s="906"/>
      <c r="AV1280" s="906"/>
      <c r="AW1280" s="906"/>
      <c r="AX1280" s="906"/>
      <c r="AY1280" s="906"/>
      <c r="AZ1280" s="906"/>
      <c r="BA1280" s="906"/>
      <c r="BB1280" s="907"/>
    </row>
    <row r="1281" spans="1:54" x14ac:dyDescent="0.25">
      <c r="A1281" s="13">
        <f t="shared" si="19"/>
        <v>1268</v>
      </c>
      <c r="B1281" s="914" t="str">
        <f>'refer admin discharge'!B1277</f>
        <v>x</v>
      </c>
      <c r="C1281" s="914"/>
      <c r="D1281" s="889" t="str">
        <f>'refer admin discharge'!D1277</f>
        <v>xx</v>
      </c>
      <c r="E1281" s="889"/>
      <c r="F1281" s="915" t="str">
        <f>'refer admin discharge'!H1277</f>
        <v>00/00/0000</v>
      </c>
      <c r="G1281" s="890"/>
      <c r="H1281" s="916"/>
      <c r="I1281" s="916"/>
      <c r="J1281" s="917"/>
      <c r="K1281" s="917"/>
      <c r="L1281" s="916"/>
      <c r="M1281" s="916"/>
      <c r="N1281" s="893"/>
      <c r="O1281" s="893"/>
      <c r="P1281" s="916"/>
      <c r="Q1281" s="916"/>
      <c r="R1281" s="893"/>
      <c r="S1281" s="893"/>
      <c r="T1281" s="916"/>
      <c r="U1281" s="916"/>
      <c r="V1281" s="921" t="str">
        <f>'refer admin discharge'!H1282</f>
        <v>00/00/0000</v>
      </c>
      <c r="W1281" s="922"/>
      <c r="X1281" s="912"/>
      <c r="Y1281" s="912"/>
      <c r="Z1281" s="924"/>
      <c r="AA1281" s="924"/>
      <c r="AB1281" s="912"/>
      <c r="AC1281" s="912"/>
      <c r="AD1281" s="913"/>
      <c r="AE1281" s="913"/>
      <c r="AF1281" s="912"/>
      <c r="AG1281" s="912"/>
      <c r="AH1281" s="913"/>
      <c r="AI1281" s="913"/>
      <c r="AJ1281" s="912"/>
      <c r="AK1281" s="912"/>
      <c r="AL1281" s="925"/>
      <c r="AM1281" s="926"/>
      <c r="AN1281" s="926"/>
      <c r="AO1281" s="926"/>
      <c r="AP1281" s="926"/>
      <c r="AQ1281" s="926"/>
      <c r="AR1281" s="926"/>
      <c r="AS1281" s="926"/>
      <c r="AT1281" s="926"/>
      <c r="AU1281" s="926"/>
      <c r="AV1281" s="926"/>
      <c r="AW1281" s="926"/>
      <c r="AX1281" s="926"/>
      <c r="AY1281" s="926"/>
      <c r="AZ1281" s="926"/>
      <c r="BA1281" s="926"/>
      <c r="BB1281" s="927"/>
    </row>
    <row r="1282" spans="1:54" x14ac:dyDescent="0.25">
      <c r="A1282" s="13">
        <f t="shared" si="19"/>
        <v>1269</v>
      </c>
      <c r="B1282" s="888" t="str">
        <f>'refer admin discharge'!B1278</f>
        <v>x</v>
      </c>
      <c r="C1282" s="888"/>
      <c r="D1282" s="868" t="str">
        <f>'refer admin discharge'!D1278</f>
        <v>xx</v>
      </c>
      <c r="E1282" s="868"/>
      <c r="F1282" s="891" t="str">
        <f>'refer admin discharge'!H1278</f>
        <v>00/00/0000</v>
      </c>
      <c r="G1282" s="892"/>
      <c r="H1282" s="894"/>
      <c r="I1282" s="894"/>
      <c r="J1282" s="918"/>
      <c r="K1282" s="918"/>
      <c r="L1282" s="894"/>
      <c r="M1282" s="894"/>
      <c r="N1282" s="916"/>
      <c r="O1282" s="916"/>
      <c r="P1282" s="894"/>
      <c r="Q1282" s="894"/>
      <c r="R1282" s="916"/>
      <c r="S1282" s="916"/>
      <c r="T1282" s="894"/>
      <c r="U1282" s="894"/>
      <c r="V1282" s="921" t="str">
        <f>'refer admin discharge'!H1283</f>
        <v>00/00/0000</v>
      </c>
      <c r="W1282" s="922"/>
      <c r="X1282" s="920"/>
      <c r="Y1282" s="920"/>
      <c r="Z1282" s="919"/>
      <c r="AA1282" s="919"/>
      <c r="AB1282" s="920"/>
      <c r="AC1282" s="920"/>
      <c r="AD1282" s="912"/>
      <c r="AE1282" s="912"/>
      <c r="AF1282" s="920"/>
      <c r="AG1282" s="920"/>
      <c r="AH1282" s="912"/>
      <c r="AI1282" s="912"/>
      <c r="AJ1282" s="920"/>
      <c r="AK1282" s="920"/>
      <c r="AL1282" s="905"/>
      <c r="AM1282" s="906"/>
      <c r="AN1282" s="906"/>
      <c r="AO1282" s="906"/>
      <c r="AP1282" s="906"/>
      <c r="AQ1282" s="906"/>
      <c r="AR1282" s="906"/>
      <c r="AS1282" s="906"/>
      <c r="AT1282" s="906"/>
      <c r="AU1282" s="906"/>
      <c r="AV1282" s="906"/>
      <c r="AW1282" s="906"/>
      <c r="AX1282" s="906"/>
      <c r="AY1282" s="906"/>
      <c r="AZ1282" s="906"/>
      <c r="BA1282" s="906"/>
      <c r="BB1282" s="907"/>
    </row>
    <row r="1283" spans="1:54" x14ac:dyDescent="0.25">
      <c r="A1283" s="13">
        <f t="shared" si="19"/>
        <v>1270</v>
      </c>
      <c r="B1283" s="914" t="str">
        <f>'refer admin discharge'!B1279</f>
        <v>x</v>
      </c>
      <c r="C1283" s="914"/>
      <c r="D1283" s="889" t="str">
        <f>'refer admin discharge'!D1279</f>
        <v>xx</v>
      </c>
      <c r="E1283" s="889"/>
      <c r="F1283" s="915" t="str">
        <f>'refer admin discharge'!H1279</f>
        <v>00/00/0000</v>
      </c>
      <c r="G1283" s="890"/>
      <c r="H1283" s="916"/>
      <c r="I1283" s="916"/>
      <c r="J1283" s="917"/>
      <c r="K1283" s="917"/>
      <c r="L1283" s="916"/>
      <c r="M1283" s="916"/>
      <c r="N1283" s="893"/>
      <c r="O1283" s="893"/>
      <c r="P1283" s="916"/>
      <c r="Q1283" s="916"/>
      <c r="R1283" s="893"/>
      <c r="S1283" s="893"/>
      <c r="T1283" s="916"/>
      <c r="U1283" s="916"/>
      <c r="V1283" s="921" t="str">
        <f>'refer admin discharge'!H1284</f>
        <v>00/00/0000</v>
      </c>
      <c r="W1283" s="922"/>
      <c r="X1283" s="912"/>
      <c r="Y1283" s="912"/>
      <c r="Z1283" s="924"/>
      <c r="AA1283" s="924"/>
      <c r="AB1283" s="912"/>
      <c r="AC1283" s="912"/>
      <c r="AD1283" s="913"/>
      <c r="AE1283" s="913"/>
      <c r="AF1283" s="912"/>
      <c r="AG1283" s="912"/>
      <c r="AH1283" s="913"/>
      <c r="AI1283" s="913"/>
      <c r="AJ1283" s="912"/>
      <c r="AK1283" s="912"/>
      <c r="AL1283" s="925"/>
      <c r="AM1283" s="926"/>
      <c r="AN1283" s="926"/>
      <c r="AO1283" s="926"/>
      <c r="AP1283" s="926"/>
      <c r="AQ1283" s="926"/>
      <c r="AR1283" s="926"/>
      <c r="AS1283" s="926"/>
      <c r="AT1283" s="926"/>
      <c r="AU1283" s="926"/>
      <c r="AV1283" s="926"/>
      <c r="AW1283" s="926"/>
      <c r="AX1283" s="926"/>
      <c r="AY1283" s="926"/>
      <c r="AZ1283" s="926"/>
      <c r="BA1283" s="926"/>
      <c r="BB1283" s="927"/>
    </row>
    <row r="1284" spans="1:54" x14ac:dyDescent="0.25">
      <c r="A1284" s="13">
        <f t="shared" si="19"/>
        <v>1271</v>
      </c>
      <c r="B1284" s="888" t="str">
        <f>'refer admin discharge'!B1280</f>
        <v>x</v>
      </c>
      <c r="C1284" s="888"/>
      <c r="D1284" s="868" t="str">
        <f>'refer admin discharge'!D1280</f>
        <v>xx</v>
      </c>
      <c r="E1284" s="868"/>
      <c r="F1284" s="891" t="str">
        <f>'refer admin discharge'!H1280</f>
        <v>00/00/0000</v>
      </c>
      <c r="G1284" s="892"/>
      <c r="H1284" s="894"/>
      <c r="I1284" s="894"/>
      <c r="J1284" s="918"/>
      <c r="K1284" s="918"/>
      <c r="L1284" s="894"/>
      <c r="M1284" s="894"/>
      <c r="N1284" s="916"/>
      <c r="O1284" s="916"/>
      <c r="P1284" s="894"/>
      <c r="Q1284" s="894"/>
      <c r="R1284" s="916"/>
      <c r="S1284" s="916"/>
      <c r="T1284" s="894"/>
      <c r="U1284" s="894"/>
      <c r="V1284" s="921" t="str">
        <f>'refer admin discharge'!H1285</f>
        <v>00/00/0000</v>
      </c>
      <c r="W1284" s="922"/>
      <c r="X1284" s="920"/>
      <c r="Y1284" s="920"/>
      <c r="Z1284" s="919"/>
      <c r="AA1284" s="919"/>
      <c r="AB1284" s="920"/>
      <c r="AC1284" s="920"/>
      <c r="AD1284" s="912"/>
      <c r="AE1284" s="912"/>
      <c r="AF1284" s="920"/>
      <c r="AG1284" s="920"/>
      <c r="AH1284" s="912"/>
      <c r="AI1284" s="912"/>
      <c r="AJ1284" s="920"/>
      <c r="AK1284" s="920"/>
      <c r="AL1284" s="905"/>
      <c r="AM1284" s="906"/>
      <c r="AN1284" s="906"/>
      <c r="AO1284" s="906"/>
      <c r="AP1284" s="906"/>
      <c r="AQ1284" s="906"/>
      <c r="AR1284" s="906"/>
      <c r="AS1284" s="906"/>
      <c r="AT1284" s="906"/>
      <c r="AU1284" s="906"/>
      <c r="AV1284" s="906"/>
      <c r="AW1284" s="906"/>
      <c r="AX1284" s="906"/>
      <c r="AY1284" s="906"/>
      <c r="AZ1284" s="906"/>
      <c r="BA1284" s="906"/>
      <c r="BB1284" s="907"/>
    </row>
    <row r="1285" spans="1:54" x14ac:dyDescent="0.25">
      <c r="A1285" s="13">
        <f t="shared" si="19"/>
        <v>1272</v>
      </c>
      <c r="B1285" s="914" t="str">
        <f>'refer admin discharge'!B1281</f>
        <v>x</v>
      </c>
      <c r="C1285" s="914"/>
      <c r="D1285" s="889" t="str">
        <f>'refer admin discharge'!D1281</f>
        <v>xx</v>
      </c>
      <c r="E1285" s="889"/>
      <c r="F1285" s="915" t="str">
        <f>'refer admin discharge'!H1281</f>
        <v>00/00/0000</v>
      </c>
      <c r="G1285" s="890"/>
      <c r="H1285" s="916"/>
      <c r="I1285" s="916"/>
      <c r="J1285" s="917"/>
      <c r="K1285" s="917"/>
      <c r="L1285" s="916"/>
      <c r="M1285" s="916"/>
      <c r="N1285" s="893"/>
      <c r="O1285" s="893"/>
      <c r="P1285" s="916"/>
      <c r="Q1285" s="916"/>
      <c r="R1285" s="893"/>
      <c r="S1285" s="893"/>
      <c r="T1285" s="916"/>
      <c r="U1285" s="916"/>
      <c r="V1285" s="921" t="str">
        <f>'refer admin discharge'!H1286</f>
        <v>00/00/0000</v>
      </c>
      <c r="W1285" s="922"/>
      <c r="X1285" s="912"/>
      <c r="Y1285" s="912"/>
      <c r="Z1285" s="924"/>
      <c r="AA1285" s="924"/>
      <c r="AB1285" s="912"/>
      <c r="AC1285" s="912"/>
      <c r="AD1285" s="913"/>
      <c r="AE1285" s="913"/>
      <c r="AF1285" s="912"/>
      <c r="AG1285" s="912"/>
      <c r="AH1285" s="913"/>
      <c r="AI1285" s="913"/>
      <c r="AJ1285" s="912"/>
      <c r="AK1285" s="912"/>
      <c r="AL1285" s="925"/>
      <c r="AM1285" s="926"/>
      <c r="AN1285" s="926"/>
      <c r="AO1285" s="926"/>
      <c r="AP1285" s="926"/>
      <c r="AQ1285" s="926"/>
      <c r="AR1285" s="926"/>
      <c r="AS1285" s="926"/>
      <c r="AT1285" s="926"/>
      <c r="AU1285" s="926"/>
      <c r="AV1285" s="926"/>
      <c r="AW1285" s="926"/>
      <c r="AX1285" s="926"/>
      <c r="AY1285" s="926"/>
      <c r="AZ1285" s="926"/>
      <c r="BA1285" s="926"/>
      <c r="BB1285" s="927"/>
    </row>
    <row r="1286" spans="1:54" x14ac:dyDescent="0.25">
      <c r="A1286" s="13">
        <f t="shared" si="19"/>
        <v>1273</v>
      </c>
      <c r="B1286" s="888" t="str">
        <f>'refer admin discharge'!B1282</f>
        <v>x</v>
      </c>
      <c r="C1286" s="888"/>
      <c r="D1286" s="868" t="str">
        <f>'refer admin discharge'!D1282</f>
        <v>xx</v>
      </c>
      <c r="E1286" s="868"/>
      <c r="F1286" s="891" t="str">
        <f>'refer admin discharge'!H1282</f>
        <v>00/00/0000</v>
      </c>
      <c r="G1286" s="892"/>
      <c r="H1286" s="894"/>
      <c r="I1286" s="894"/>
      <c r="J1286" s="918"/>
      <c r="K1286" s="918"/>
      <c r="L1286" s="894"/>
      <c r="M1286" s="894"/>
      <c r="N1286" s="916"/>
      <c r="O1286" s="916"/>
      <c r="P1286" s="894"/>
      <c r="Q1286" s="894"/>
      <c r="R1286" s="916"/>
      <c r="S1286" s="916"/>
      <c r="T1286" s="894"/>
      <c r="U1286" s="894"/>
      <c r="V1286" s="921" t="str">
        <f>'refer admin discharge'!H1287</f>
        <v>00/00/0000</v>
      </c>
      <c r="W1286" s="922"/>
      <c r="X1286" s="920"/>
      <c r="Y1286" s="920"/>
      <c r="Z1286" s="919"/>
      <c r="AA1286" s="919"/>
      <c r="AB1286" s="920"/>
      <c r="AC1286" s="920"/>
      <c r="AD1286" s="912"/>
      <c r="AE1286" s="912"/>
      <c r="AF1286" s="920"/>
      <c r="AG1286" s="920"/>
      <c r="AH1286" s="912"/>
      <c r="AI1286" s="912"/>
      <c r="AJ1286" s="920"/>
      <c r="AK1286" s="920"/>
      <c r="AL1286" s="905"/>
      <c r="AM1286" s="906"/>
      <c r="AN1286" s="906"/>
      <c r="AO1286" s="906"/>
      <c r="AP1286" s="906"/>
      <c r="AQ1286" s="906"/>
      <c r="AR1286" s="906"/>
      <c r="AS1286" s="906"/>
      <c r="AT1286" s="906"/>
      <c r="AU1286" s="906"/>
      <c r="AV1286" s="906"/>
      <c r="AW1286" s="906"/>
      <c r="AX1286" s="906"/>
      <c r="AY1286" s="906"/>
      <c r="AZ1286" s="906"/>
      <c r="BA1286" s="906"/>
      <c r="BB1286" s="907"/>
    </row>
    <row r="1287" spans="1:54" x14ac:dyDescent="0.25">
      <c r="A1287" s="13">
        <f t="shared" si="19"/>
        <v>1274</v>
      </c>
      <c r="B1287" s="914" t="str">
        <f>'refer admin discharge'!B1283</f>
        <v>x</v>
      </c>
      <c r="C1287" s="914"/>
      <c r="D1287" s="889" t="str">
        <f>'refer admin discharge'!D1283</f>
        <v>xx</v>
      </c>
      <c r="E1287" s="889"/>
      <c r="F1287" s="915" t="str">
        <f>'refer admin discharge'!H1283</f>
        <v>00/00/0000</v>
      </c>
      <c r="G1287" s="890"/>
      <c r="H1287" s="916"/>
      <c r="I1287" s="916"/>
      <c r="J1287" s="917"/>
      <c r="K1287" s="917"/>
      <c r="L1287" s="916"/>
      <c r="M1287" s="916"/>
      <c r="N1287" s="893"/>
      <c r="O1287" s="893"/>
      <c r="P1287" s="916"/>
      <c r="Q1287" s="916"/>
      <c r="R1287" s="893"/>
      <c r="S1287" s="893"/>
      <c r="T1287" s="916"/>
      <c r="U1287" s="916"/>
      <c r="V1287" s="921" t="str">
        <f>'refer admin discharge'!H1288</f>
        <v>00/00/0000</v>
      </c>
      <c r="W1287" s="922"/>
      <c r="X1287" s="912"/>
      <c r="Y1287" s="912"/>
      <c r="Z1287" s="924"/>
      <c r="AA1287" s="924"/>
      <c r="AB1287" s="912"/>
      <c r="AC1287" s="912"/>
      <c r="AD1287" s="913"/>
      <c r="AE1287" s="913"/>
      <c r="AF1287" s="912"/>
      <c r="AG1287" s="912"/>
      <c r="AH1287" s="913"/>
      <c r="AI1287" s="913"/>
      <c r="AJ1287" s="912"/>
      <c r="AK1287" s="912"/>
      <c r="AL1287" s="925"/>
      <c r="AM1287" s="926"/>
      <c r="AN1287" s="926"/>
      <c r="AO1287" s="926"/>
      <c r="AP1287" s="926"/>
      <c r="AQ1287" s="926"/>
      <c r="AR1287" s="926"/>
      <c r="AS1287" s="926"/>
      <c r="AT1287" s="926"/>
      <c r="AU1287" s="926"/>
      <c r="AV1287" s="926"/>
      <c r="AW1287" s="926"/>
      <c r="AX1287" s="926"/>
      <c r="AY1287" s="926"/>
      <c r="AZ1287" s="926"/>
      <c r="BA1287" s="926"/>
      <c r="BB1287" s="927"/>
    </row>
    <row r="1288" spans="1:54" x14ac:dyDescent="0.25">
      <c r="A1288" s="13">
        <f t="shared" si="19"/>
        <v>1275</v>
      </c>
      <c r="B1288" s="888" t="str">
        <f>'refer admin discharge'!B1284</f>
        <v>x</v>
      </c>
      <c r="C1288" s="888"/>
      <c r="D1288" s="868" t="str">
        <f>'refer admin discharge'!D1284</f>
        <v>xx</v>
      </c>
      <c r="E1288" s="868"/>
      <c r="F1288" s="891" t="str">
        <f>'refer admin discharge'!H1284</f>
        <v>00/00/0000</v>
      </c>
      <c r="G1288" s="892"/>
      <c r="H1288" s="894"/>
      <c r="I1288" s="894"/>
      <c r="J1288" s="918"/>
      <c r="K1288" s="918"/>
      <c r="L1288" s="894"/>
      <c r="M1288" s="894"/>
      <c r="N1288" s="916"/>
      <c r="O1288" s="916"/>
      <c r="P1288" s="894"/>
      <c r="Q1288" s="894"/>
      <c r="R1288" s="916"/>
      <c r="S1288" s="916"/>
      <c r="T1288" s="894"/>
      <c r="U1288" s="894"/>
      <c r="V1288" s="921" t="str">
        <f>'refer admin discharge'!H1289</f>
        <v>00/00/0000</v>
      </c>
      <c r="W1288" s="922"/>
      <c r="X1288" s="920"/>
      <c r="Y1288" s="920"/>
      <c r="Z1288" s="919"/>
      <c r="AA1288" s="919"/>
      <c r="AB1288" s="920"/>
      <c r="AC1288" s="920"/>
      <c r="AD1288" s="912"/>
      <c r="AE1288" s="912"/>
      <c r="AF1288" s="920"/>
      <c r="AG1288" s="920"/>
      <c r="AH1288" s="912"/>
      <c r="AI1288" s="912"/>
      <c r="AJ1288" s="920"/>
      <c r="AK1288" s="920"/>
      <c r="AL1288" s="905"/>
      <c r="AM1288" s="906"/>
      <c r="AN1288" s="906"/>
      <c r="AO1288" s="906"/>
      <c r="AP1288" s="906"/>
      <c r="AQ1288" s="906"/>
      <c r="AR1288" s="906"/>
      <c r="AS1288" s="906"/>
      <c r="AT1288" s="906"/>
      <c r="AU1288" s="906"/>
      <c r="AV1288" s="906"/>
      <c r="AW1288" s="906"/>
      <c r="AX1288" s="906"/>
      <c r="AY1288" s="906"/>
      <c r="AZ1288" s="906"/>
      <c r="BA1288" s="906"/>
      <c r="BB1288" s="907"/>
    </row>
    <row r="1289" spans="1:54" x14ac:dyDescent="0.25">
      <c r="A1289" s="13">
        <f t="shared" si="19"/>
        <v>1276</v>
      </c>
      <c r="B1289" s="914" t="str">
        <f>'refer admin discharge'!B1285</f>
        <v>x</v>
      </c>
      <c r="C1289" s="914"/>
      <c r="D1289" s="889" t="str">
        <f>'refer admin discharge'!D1285</f>
        <v>xx</v>
      </c>
      <c r="E1289" s="889"/>
      <c r="F1289" s="915" t="str">
        <f>'refer admin discharge'!H1285</f>
        <v>00/00/0000</v>
      </c>
      <c r="G1289" s="890"/>
      <c r="H1289" s="916"/>
      <c r="I1289" s="916"/>
      <c r="J1289" s="917"/>
      <c r="K1289" s="917"/>
      <c r="L1289" s="916"/>
      <c r="M1289" s="916"/>
      <c r="N1289" s="893"/>
      <c r="O1289" s="893"/>
      <c r="P1289" s="916"/>
      <c r="Q1289" s="916"/>
      <c r="R1289" s="893"/>
      <c r="S1289" s="893"/>
      <c r="T1289" s="916"/>
      <c r="U1289" s="916"/>
      <c r="V1289" s="921" t="str">
        <f>'refer admin discharge'!H1290</f>
        <v>00/00/0000</v>
      </c>
      <c r="W1289" s="922"/>
      <c r="X1289" s="912"/>
      <c r="Y1289" s="912"/>
      <c r="Z1289" s="924"/>
      <c r="AA1289" s="924"/>
      <c r="AB1289" s="912"/>
      <c r="AC1289" s="912"/>
      <c r="AD1289" s="913"/>
      <c r="AE1289" s="913"/>
      <c r="AF1289" s="912"/>
      <c r="AG1289" s="912"/>
      <c r="AH1289" s="913"/>
      <c r="AI1289" s="913"/>
      <c r="AJ1289" s="912"/>
      <c r="AK1289" s="912"/>
      <c r="AL1289" s="925"/>
      <c r="AM1289" s="926"/>
      <c r="AN1289" s="926"/>
      <c r="AO1289" s="926"/>
      <c r="AP1289" s="926"/>
      <c r="AQ1289" s="926"/>
      <c r="AR1289" s="926"/>
      <c r="AS1289" s="926"/>
      <c r="AT1289" s="926"/>
      <c r="AU1289" s="926"/>
      <c r="AV1289" s="926"/>
      <c r="AW1289" s="926"/>
      <c r="AX1289" s="926"/>
      <c r="AY1289" s="926"/>
      <c r="AZ1289" s="926"/>
      <c r="BA1289" s="926"/>
      <c r="BB1289" s="927"/>
    </row>
    <row r="1290" spans="1:54" x14ac:dyDescent="0.25">
      <c r="A1290" s="13">
        <f t="shared" si="19"/>
        <v>1277</v>
      </c>
      <c r="B1290" s="888" t="str">
        <f>'refer admin discharge'!B1286</f>
        <v>x</v>
      </c>
      <c r="C1290" s="888"/>
      <c r="D1290" s="868" t="str">
        <f>'refer admin discharge'!D1286</f>
        <v>xx</v>
      </c>
      <c r="E1290" s="868"/>
      <c r="F1290" s="891" t="str">
        <f>'refer admin discharge'!H1286</f>
        <v>00/00/0000</v>
      </c>
      <c r="G1290" s="892"/>
      <c r="H1290" s="894"/>
      <c r="I1290" s="894"/>
      <c r="J1290" s="918"/>
      <c r="K1290" s="918"/>
      <c r="L1290" s="894"/>
      <c r="M1290" s="894"/>
      <c r="N1290" s="916"/>
      <c r="O1290" s="916"/>
      <c r="P1290" s="894"/>
      <c r="Q1290" s="894"/>
      <c r="R1290" s="916"/>
      <c r="S1290" s="916"/>
      <c r="T1290" s="894"/>
      <c r="U1290" s="894"/>
      <c r="V1290" s="921" t="str">
        <f>'refer admin discharge'!H1291</f>
        <v>00/00/0000</v>
      </c>
      <c r="W1290" s="922"/>
      <c r="X1290" s="920"/>
      <c r="Y1290" s="920"/>
      <c r="Z1290" s="919"/>
      <c r="AA1290" s="919"/>
      <c r="AB1290" s="920"/>
      <c r="AC1290" s="920"/>
      <c r="AD1290" s="912"/>
      <c r="AE1290" s="912"/>
      <c r="AF1290" s="920"/>
      <c r="AG1290" s="920"/>
      <c r="AH1290" s="912"/>
      <c r="AI1290" s="912"/>
      <c r="AJ1290" s="920"/>
      <c r="AK1290" s="920"/>
      <c r="AL1290" s="905"/>
      <c r="AM1290" s="906"/>
      <c r="AN1290" s="906"/>
      <c r="AO1290" s="906"/>
      <c r="AP1290" s="906"/>
      <c r="AQ1290" s="906"/>
      <c r="AR1290" s="906"/>
      <c r="AS1290" s="906"/>
      <c r="AT1290" s="906"/>
      <c r="AU1290" s="906"/>
      <c r="AV1290" s="906"/>
      <c r="AW1290" s="906"/>
      <c r="AX1290" s="906"/>
      <c r="AY1290" s="906"/>
      <c r="AZ1290" s="906"/>
      <c r="BA1290" s="906"/>
      <c r="BB1290" s="907"/>
    </row>
    <row r="1291" spans="1:54" x14ac:dyDescent="0.25">
      <c r="A1291" s="13">
        <f t="shared" si="19"/>
        <v>1278</v>
      </c>
      <c r="B1291" s="914" t="str">
        <f>'refer admin discharge'!B1287</f>
        <v>x</v>
      </c>
      <c r="C1291" s="914"/>
      <c r="D1291" s="889" t="str">
        <f>'refer admin discharge'!D1287</f>
        <v>xx</v>
      </c>
      <c r="E1291" s="889"/>
      <c r="F1291" s="915" t="str">
        <f>'refer admin discharge'!H1287</f>
        <v>00/00/0000</v>
      </c>
      <c r="G1291" s="890"/>
      <c r="H1291" s="916"/>
      <c r="I1291" s="916"/>
      <c r="J1291" s="917"/>
      <c r="K1291" s="917"/>
      <c r="L1291" s="916"/>
      <c r="M1291" s="916"/>
      <c r="N1291" s="893"/>
      <c r="O1291" s="893"/>
      <c r="P1291" s="916"/>
      <c r="Q1291" s="916"/>
      <c r="R1291" s="893"/>
      <c r="S1291" s="893"/>
      <c r="T1291" s="916"/>
      <c r="U1291" s="916"/>
      <c r="V1291" s="921" t="str">
        <f>'refer admin discharge'!H1292</f>
        <v>00/00/0000</v>
      </c>
      <c r="W1291" s="922"/>
      <c r="X1291" s="912"/>
      <c r="Y1291" s="912"/>
      <c r="Z1291" s="924"/>
      <c r="AA1291" s="924"/>
      <c r="AB1291" s="912"/>
      <c r="AC1291" s="912"/>
      <c r="AD1291" s="913"/>
      <c r="AE1291" s="913"/>
      <c r="AF1291" s="912"/>
      <c r="AG1291" s="912"/>
      <c r="AH1291" s="913"/>
      <c r="AI1291" s="913"/>
      <c r="AJ1291" s="912"/>
      <c r="AK1291" s="912"/>
      <c r="AL1291" s="925"/>
      <c r="AM1291" s="926"/>
      <c r="AN1291" s="926"/>
      <c r="AO1291" s="926"/>
      <c r="AP1291" s="926"/>
      <c r="AQ1291" s="926"/>
      <c r="AR1291" s="926"/>
      <c r="AS1291" s="926"/>
      <c r="AT1291" s="926"/>
      <c r="AU1291" s="926"/>
      <c r="AV1291" s="926"/>
      <c r="AW1291" s="926"/>
      <c r="AX1291" s="926"/>
      <c r="AY1291" s="926"/>
      <c r="AZ1291" s="926"/>
      <c r="BA1291" s="926"/>
      <c r="BB1291" s="927"/>
    </row>
    <row r="1292" spans="1:54" x14ac:dyDescent="0.25">
      <c r="A1292" s="13">
        <f t="shared" si="19"/>
        <v>1279</v>
      </c>
      <c r="B1292" s="888" t="str">
        <f>'refer admin discharge'!B1288</f>
        <v>x</v>
      </c>
      <c r="C1292" s="888"/>
      <c r="D1292" s="868" t="str">
        <f>'refer admin discharge'!D1288</f>
        <v>xx</v>
      </c>
      <c r="E1292" s="868"/>
      <c r="F1292" s="891" t="str">
        <f>'refer admin discharge'!H1288</f>
        <v>00/00/0000</v>
      </c>
      <c r="G1292" s="892"/>
      <c r="H1292" s="894"/>
      <c r="I1292" s="894"/>
      <c r="J1292" s="918"/>
      <c r="K1292" s="918"/>
      <c r="L1292" s="894"/>
      <c r="M1292" s="894"/>
      <c r="N1292" s="916"/>
      <c r="O1292" s="916"/>
      <c r="P1292" s="894"/>
      <c r="Q1292" s="894"/>
      <c r="R1292" s="916"/>
      <c r="S1292" s="916"/>
      <c r="T1292" s="894"/>
      <c r="U1292" s="894"/>
      <c r="V1292" s="921" t="str">
        <f>'refer admin discharge'!H1293</f>
        <v>00/00/0000</v>
      </c>
      <c r="W1292" s="922"/>
      <c r="X1292" s="920"/>
      <c r="Y1292" s="920"/>
      <c r="Z1292" s="919"/>
      <c r="AA1292" s="919"/>
      <c r="AB1292" s="920"/>
      <c r="AC1292" s="920"/>
      <c r="AD1292" s="912"/>
      <c r="AE1292" s="912"/>
      <c r="AF1292" s="920"/>
      <c r="AG1292" s="920"/>
      <c r="AH1292" s="912"/>
      <c r="AI1292" s="912"/>
      <c r="AJ1292" s="920"/>
      <c r="AK1292" s="920"/>
      <c r="AL1292" s="905"/>
      <c r="AM1292" s="906"/>
      <c r="AN1292" s="906"/>
      <c r="AO1292" s="906"/>
      <c r="AP1292" s="906"/>
      <c r="AQ1292" s="906"/>
      <c r="AR1292" s="906"/>
      <c r="AS1292" s="906"/>
      <c r="AT1292" s="906"/>
      <c r="AU1292" s="906"/>
      <c r="AV1292" s="906"/>
      <c r="AW1292" s="906"/>
      <c r="AX1292" s="906"/>
      <c r="AY1292" s="906"/>
      <c r="AZ1292" s="906"/>
      <c r="BA1292" s="906"/>
      <c r="BB1292" s="907"/>
    </row>
    <row r="1293" spans="1:54" x14ac:dyDescent="0.25">
      <c r="A1293" s="13">
        <f t="shared" si="19"/>
        <v>1280</v>
      </c>
      <c r="B1293" s="914" t="str">
        <f>'refer admin discharge'!B1289</f>
        <v>x</v>
      </c>
      <c r="C1293" s="914"/>
      <c r="D1293" s="889" t="str">
        <f>'refer admin discharge'!D1289</f>
        <v>xx</v>
      </c>
      <c r="E1293" s="889"/>
      <c r="F1293" s="915" t="str">
        <f>'refer admin discharge'!H1289</f>
        <v>00/00/0000</v>
      </c>
      <c r="G1293" s="890"/>
      <c r="H1293" s="916"/>
      <c r="I1293" s="916"/>
      <c r="J1293" s="917"/>
      <c r="K1293" s="917"/>
      <c r="L1293" s="916"/>
      <c r="M1293" s="916"/>
      <c r="N1293" s="893"/>
      <c r="O1293" s="893"/>
      <c r="P1293" s="916"/>
      <c r="Q1293" s="916"/>
      <c r="R1293" s="893"/>
      <c r="S1293" s="893"/>
      <c r="T1293" s="916"/>
      <c r="U1293" s="916"/>
      <c r="V1293" s="921" t="str">
        <f>'refer admin discharge'!H1294</f>
        <v>00/00/0000</v>
      </c>
      <c r="W1293" s="922"/>
      <c r="X1293" s="912"/>
      <c r="Y1293" s="912"/>
      <c r="Z1293" s="924"/>
      <c r="AA1293" s="924"/>
      <c r="AB1293" s="912"/>
      <c r="AC1293" s="912"/>
      <c r="AD1293" s="913"/>
      <c r="AE1293" s="913"/>
      <c r="AF1293" s="912"/>
      <c r="AG1293" s="912"/>
      <c r="AH1293" s="913"/>
      <c r="AI1293" s="913"/>
      <c r="AJ1293" s="912"/>
      <c r="AK1293" s="912"/>
      <c r="AL1293" s="925"/>
      <c r="AM1293" s="926"/>
      <c r="AN1293" s="926"/>
      <c r="AO1293" s="926"/>
      <c r="AP1293" s="926"/>
      <c r="AQ1293" s="926"/>
      <c r="AR1293" s="926"/>
      <c r="AS1293" s="926"/>
      <c r="AT1293" s="926"/>
      <c r="AU1293" s="926"/>
      <c r="AV1293" s="926"/>
      <c r="AW1293" s="926"/>
      <c r="AX1293" s="926"/>
      <c r="AY1293" s="926"/>
      <c r="AZ1293" s="926"/>
      <c r="BA1293" s="926"/>
      <c r="BB1293" s="927"/>
    </row>
    <row r="1294" spans="1:54" x14ac:dyDescent="0.25">
      <c r="A1294" s="13">
        <f t="shared" ref="A1294:A1357" si="20">ROW(A1281)</f>
        <v>1281</v>
      </c>
      <c r="B1294" s="888" t="str">
        <f>'refer admin discharge'!B1290</f>
        <v>x</v>
      </c>
      <c r="C1294" s="888"/>
      <c r="D1294" s="868" t="str">
        <f>'refer admin discharge'!D1290</f>
        <v>xx</v>
      </c>
      <c r="E1294" s="868"/>
      <c r="F1294" s="891" t="str">
        <f>'refer admin discharge'!H1290</f>
        <v>00/00/0000</v>
      </c>
      <c r="G1294" s="892"/>
      <c r="H1294" s="894"/>
      <c r="I1294" s="894"/>
      <c r="J1294" s="918"/>
      <c r="K1294" s="918"/>
      <c r="L1294" s="894"/>
      <c r="M1294" s="894"/>
      <c r="N1294" s="916"/>
      <c r="O1294" s="916"/>
      <c r="P1294" s="894"/>
      <c r="Q1294" s="894"/>
      <c r="R1294" s="916"/>
      <c r="S1294" s="916"/>
      <c r="T1294" s="894"/>
      <c r="U1294" s="894"/>
      <c r="V1294" s="921" t="str">
        <f>'refer admin discharge'!H1295</f>
        <v>00/00/0000</v>
      </c>
      <c r="W1294" s="922"/>
      <c r="X1294" s="920"/>
      <c r="Y1294" s="920"/>
      <c r="Z1294" s="919"/>
      <c r="AA1294" s="919"/>
      <c r="AB1294" s="920"/>
      <c r="AC1294" s="920"/>
      <c r="AD1294" s="912"/>
      <c r="AE1294" s="912"/>
      <c r="AF1294" s="920"/>
      <c r="AG1294" s="920"/>
      <c r="AH1294" s="912"/>
      <c r="AI1294" s="912"/>
      <c r="AJ1294" s="920"/>
      <c r="AK1294" s="920"/>
      <c r="AL1294" s="905"/>
      <c r="AM1294" s="906"/>
      <c r="AN1294" s="906"/>
      <c r="AO1294" s="906"/>
      <c r="AP1294" s="906"/>
      <c r="AQ1294" s="906"/>
      <c r="AR1294" s="906"/>
      <c r="AS1294" s="906"/>
      <c r="AT1294" s="906"/>
      <c r="AU1294" s="906"/>
      <c r="AV1294" s="906"/>
      <c r="AW1294" s="906"/>
      <c r="AX1294" s="906"/>
      <c r="AY1294" s="906"/>
      <c r="AZ1294" s="906"/>
      <c r="BA1294" s="906"/>
      <c r="BB1294" s="907"/>
    </row>
    <row r="1295" spans="1:54" x14ac:dyDescent="0.25">
      <c r="A1295" s="13">
        <f t="shared" si="20"/>
        <v>1282</v>
      </c>
      <c r="B1295" s="914" t="str">
        <f>'refer admin discharge'!B1291</f>
        <v>x</v>
      </c>
      <c r="C1295" s="914"/>
      <c r="D1295" s="889" t="str">
        <f>'refer admin discharge'!D1291</f>
        <v>xx</v>
      </c>
      <c r="E1295" s="889"/>
      <c r="F1295" s="915" t="str">
        <f>'refer admin discharge'!H1291</f>
        <v>00/00/0000</v>
      </c>
      <c r="G1295" s="890"/>
      <c r="H1295" s="916"/>
      <c r="I1295" s="916"/>
      <c r="J1295" s="917"/>
      <c r="K1295" s="917"/>
      <c r="L1295" s="916"/>
      <c r="M1295" s="916"/>
      <c r="N1295" s="893"/>
      <c r="O1295" s="893"/>
      <c r="P1295" s="916"/>
      <c r="Q1295" s="916"/>
      <c r="R1295" s="893"/>
      <c r="S1295" s="893"/>
      <c r="T1295" s="916"/>
      <c r="U1295" s="916"/>
      <c r="V1295" s="921" t="str">
        <f>'refer admin discharge'!H1296</f>
        <v>00/00/0000</v>
      </c>
      <c r="W1295" s="922"/>
      <c r="X1295" s="912"/>
      <c r="Y1295" s="912"/>
      <c r="Z1295" s="924"/>
      <c r="AA1295" s="924"/>
      <c r="AB1295" s="912"/>
      <c r="AC1295" s="912"/>
      <c r="AD1295" s="913"/>
      <c r="AE1295" s="913"/>
      <c r="AF1295" s="912"/>
      <c r="AG1295" s="912"/>
      <c r="AH1295" s="913"/>
      <c r="AI1295" s="913"/>
      <c r="AJ1295" s="912"/>
      <c r="AK1295" s="912"/>
      <c r="AL1295" s="925"/>
      <c r="AM1295" s="926"/>
      <c r="AN1295" s="926"/>
      <c r="AO1295" s="926"/>
      <c r="AP1295" s="926"/>
      <c r="AQ1295" s="926"/>
      <c r="AR1295" s="926"/>
      <c r="AS1295" s="926"/>
      <c r="AT1295" s="926"/>
      <c r="AU1295" s="926"/>
      <c r="AV1295" s="926"/>
      <c r="AW1295" s="926"/>
      <c r="AX1295" s="926"/>
      <c r="AY1295" s="926"/>
      <c r="AZ1295" s="926"/>
      <c r="BA1295" s="926"/>
      <c r="BB1295" s="927"/>
    </row>
    <row r="1296" spans="1:54" x14ac:dyDescent="0.25">
      <c r="A1296" s="13">
        <f t="shared" si="20"/>
        <v>1283</v>
      </c>
      <c r="B1296" s="888" t="str">
        <f>'refer admin discharge'!B1292</f>
        <v>x</v>
      </c>
      <c r="C1296" s="888"/>
      <c r="D1296" s="868" t="str">
        <f>'refer admin discharge'!D1292</f>
        <v>xx</v>
      </c>
      <c r="E1296" s="868"/>
      <c r="F1296" s="891" t="str">
        <f>'refer admin discharge'!H1292</f>
        <v>00/00/0000</v>
      </c>
      <c r="G1296" s="892"/>
      <c r="H1296" s="894"/>
      <c r="I1296" s="894"/>
      <c r="J1296" s="918"/>
      <c r="K1296" s="918"/>
      <c r="L1296" s="894"/>
      <c r="M1296" s="894"/>
      <c r="N1296" s="916"/>
      <c r="O1296" s="916"/>
      <c r="P1296" s="894"/>
      <c r="Q1296" s="894"/>
      <c r="R1296" s="916"/>
      <c r="S1296" s="916"/>
      <c r="T1296" s="894"/>
      <c r="U1296" s="894"/>
      <c r="V1296" s="921" t="str">
        <f>'refer admin discharge'!H1297</f>
        <v>00/00/0000</v>
      </c>
      <c r="W1296" s="922"/>
      <c r="X1296" s="920"/>
      <c r="Y1296" s="920"/>
      <c r="Z1296" s="919"/>
      <c r="AA1296" s="919"/>
      <c r="AB1296" s="920"/>
      <c r="AC1296" s="920"/>
      <c r="AD1296" s="912"/>
      <c r="AE1296" s="912"/>
      <c r="AF1296" s="920"/>
      <c r="AG1296" s="920"/>
      <c r="AH1296" s="912"/>
      <c r="AI1296" s="912"/>
      <c r="AJ1296" s="920"/>
      <c r="AK1296" s="920"/>
      <c r="AL1296" s="905"/>
      <c r="AM1296" s="906"/>
      <c r="AN1296" s="906"/>
      <c r="AO1296" s="906"/>
      <c r="AP1296" s="906"/>
      <c r="AQ1296" s="906"/>
      <c r="AR1296" s="906"/>
      <c r="AS1296" s="906"/>
      <c r="AT1296" s="906"/>
      <c r="AU1296" s="906"/>
      <c r="AV1296" s="906"/>
      <c r="AW1296" s="906"/>
      <c r="AX1296" s="906"/>
      <c r="AY1296" s="906"/>
      <c r="AZ1296" s="906"/>
      <c r="BA1296" s="906"/>
      <c r="BB1296" s="907"/>
    </row>
    <row r="1297" spans="1:54" x14ac:dyDescent="0.25">
      <c r="A1297" s="13">
        <f t="shared" si="20"/>
        <v>1284</v>
      </c>
      <c r="B1297" s="914" t="str">
        <f>'refer admin discharge'!B1293</f>
        <v>x</v>
      </c>
      <c r="C1297" s="914"/>
      <c r="D1297" s="889" t="str">
        <f>'refer admin discharge'!D1293</f>
        <v>xx</v>
      </c>
      <c r="E1297" s="889"/>
      <c r="F1297" s="915" t="str">
        <f>'refer admin discharge'!H1293</f>
        <v>00/00/0000</v>
      </c>
      <c r="G1297" s="890"/>
      <c r="H1297" s="916"/>
      <c r="I1297" s="916"/>
      <c r="J1297" s="917"/>
      <c r="K1297" s="917"/>
      <c r="L1297" s="916"/>
      <c r="M1297" s="916"/>
      <c r="N1297" s="893"/>
      <c r="O1297" s="893"/>
      <c r="P1297" s="916"/>
      <c r="Q1297" s="916"/>
      <c r="R1297" s="893"/>
      <c r="S1297" s="893"/>
      <c r="T1297" s="916"/>
      <c r="U1297" s="916"/>
      <c r="V1297" s="921" t="str">
        <f>'refer admin discharge'!H1298</f>
        <v>00/00/0000</v>
      </c>
      <c r="W1297" s="922"/>
      <c r="X1297" s="912"/>
      <c r="Y1297" s="912"/>
      <c r="Z1297" s="924"/>
      <c r="AA1297" s="924"/>
      <c r="AB1297" s="912"/>
      <c r="AC1297" s="912"/>
      <c r="AD1297" s="913"/>
      <c r="AE1297" s="913"/>
      <c r="AF1297" s="912"/>
      <c r="AG1297" s="912"/>
      <c r="AH1297" s="913"/>
      <c r="AI1297" s="913"/>
      <c r="AJ1297" s="912"/>
      <c r="AK1297" s="912"/>
      <c r="AL1297" s="925"/>
      <c r="AM1297" s="926"/>
      <c r="AN1297" s="926"/>
      <c r="AO1297" s="926"/>
      <c r="AP1297" s="926"/>
      <c r="AQ1297" s="926"/>
      <c r="AR1297" s="926"/>
      <c r="AS1297" s="926"/>
      <c r="AT1297" s="926"/>
      <c r="AU1297" s="926"/>
      <c r="AV1297" s="926"/>
      <c r="AW1297" s="926"/>
      <c r="AX1297" s="926"/>
      <c r="AY1297" s="926"/>
      <c r="AZ1297" s="926"/>
      <c r="BA1297" s="926"/>
      <c r="BB1297" s="927"/>
    </row>
    <row r="1298" spans="1:54" x14ac:dyDescent="0.25">
      <c r="A1298" s="13">
        <f t="shared" si="20"/>
        <v>1285</v>
      </c>
      <c r="B1298" s="888" t="str">
        <f>'refer admin discharge'!B1294</f>
        <v>x</v>
      </c>
      <c r="C1298" s="888"/>
      <c r="D1298" s="868" t="str">
        <f>'refer admin discharge'!D1294</f>
        <v>xx</v>
      </c>
      <c r="E1298" s="868"/>
      <c r="F1298" s="891" t="str">
        <f>'refer admin discharge'!H1294</f>
        <v>00/00/0000</v>
      </c>
      <c r="G1298" s="892"/>
      <c r="H1298" s="894"/>
      <c r="I1298" s="894"/>
      <c r="J1298" s="918"/>
      <c r="K1298" s="918"/>
      <c r="L1298" s="894"/>
      <c r="M1298" s="894"/>
      <c r="N1298" s="916"/>
      <c r="O1298" s="916"/>
      <c r="P1298" s="894"/>
      <c r="Q1298" s="894"/>
      <c r="R1298" s="916"/>
      <c r="S1298" s="916"/>
      <c r="T1298" s="894"/>
      <c r="U1298" s="894"/>
      <c r="V1298" s="921" t="str">
        <f>'refer admin discharge'!H1299</f>
        <v>00/00/0000</v>
      </c>
      <c r="W1298" s="922"/>
      <c r="X1298" s="920"/>
      <c r="Y1298" s="920"/>
      <c r="Z1298" s="919"/>
      <c r="AA1298" s="919"/>
      <c r="AB1298" s="920"/>
      <c r="AC1298" s="920"/>
      <c r="AD1298" s="912"/>
      <c r="AE1298" s="912"/>
      <c r="AF1298" s="920"/>
      <c r="AG1298" s="920"/>
      <c r="AH1298" s="912"/>
      <c r="AI1298" s="912"/>
      <c r="AJ1298" s="920"/>
      <c r="AK1298" s="920"/>
      <c r="AL1298" s="905"/>
      <c r="AM1298" s="906"/>
      <c r="AN1298" s="906"/>
      <c r="AO1298" s="906"/>
      <c r="AP1298" s="906"/>
      <c r="AQ1298" s="906"/>
      <c r="AR1298" s="906"/>
      <c r="AS1298" s="906"/>
      <c r="AT1298" s="906"/>
      <c r="AU1298" s="906"/>
      <c r="AV1298" s="906"/>
      <c r="AW1298" s="906"/>
      <c r="AX1298" s="906"/>
      <c r="AY1298" s="906"/>
      <c r="AZ1298" s="906"/>
      <c r="BA1298" s="906"/>
      <c r="BB1298" s="907"/>
    </row>
    <row r="1299" spans="1:54" x14ac:dyDescent="0.25">
      <c r="A1299" s="13">
        <f t="shared" si="20"/>
        <v>1286</v>
      </c>
      <c r="B1299" s="914" t="str">
        <f>'refer admin discharge'!B1295</f>
        <v>x</v>
      </c>
      <c r="C1299" s="914"/>
      <c r="D1299" s="889" t="str">
        <f>'refer admin discharge'!D1295</f>
        <v>xx</v>
      </c>
      <c r="E1299" s="889"/>
      <c r="F1299" s="915" t="str">
        <f>'refer admin discharge'!H1295</f>
        <v>00/00/0000</v>
      </c>
      <c r="G1299" s="890"/>
      <c r="H1299" s="916"/>
      <c r="I1299" s="916"/>
      <c r="J1299" s="917"/>
      <c r="K1299" s="917"/>
      <c r="L1299" s="916"/>
      <c r="M1299" s="916"/>
      <c r="N1299" s="893"/>
      <c r="O1299" s="893"/>
      <c r="P1299" s="916"/>
      <c r="Q1299" s="916"/>
      <c r="R1299" s="893"/>
      <c r="S1299" s="893"/>
      <c r="T1299" s="916"/>
      <c r="U1299" s="916"/>
      <c r="V1299" s="921" t="str">
        <f>'refer admin discharge'!H1300</f>
        <v>00/00/0000</v>
      </c>
      <c r="W1299" s="922"/>
      <c r="X1299" s="912"/>
      <c r="Y1299" s="912"/>
      <c r="Z1299" s="924"/>
      <c r="AA1299" s="924"/>
      <c r="AB1299" s="912"/>
      <c r="AC1299" s="912"/>
      <c r="AD1299" s="913"/>
      <c r="AE1299" s="913"/>
      <c r="AF1299" s="912"/>
      <c r="AG1299" s="912"/>
      <c r="AH1299" s="913"/>
      <c r="AI1299" s="913"/>
      <c r="AJ1299" s="912"/>
      <c r="AK1299" s="912"/>
      <c r="AL1299" s="925"/>
      <c r="AM1299" s="926"/>
      <c r="AN1299" s="926"/>
      <c r="AO1299" s="926"/>
      <c r="AP1299" s="926"/>
      <c r="AQ1299" s="926"/>
      <c r="AR1299" s="926"/>
      <c r="AS1299" s="926"/>
      <c r="AT1299" s="926"/>
      <c r="AU1299" s="926"/>
      <c r="AV1299" s="926"/>
      <c r="AW1299" s="926"/>
      <c r="AX1299" s="926"/>
      <c r="AY1299" s="926"/>
      <c r="AZ1299" s="926"/>
      <c r="BA1299" s="926"/>
      <c r="BB1299" s="927"/>
    </row>
    <row r="1300" spans="1:54" x14ac:dyDescent="0.25">
      <c r="A1300" s="13">
        <f t="shared" si="20"/>
        <v>1287</v>
      </c>
      <c r="B1300" s="888" t="str">
        <f>'refer admin discharge'!B1296</f>
        <v>x</v>
      </c>
      <c r="C1300" s="888"/>
      <c r="D1300" s="868" t="str">
        <f>'refer admin discharge'!D1296</f>
        <v>xx</v>
      </c>
      <c r="E1300" s="868"/>
      <c r="F1300" s="891" t="str">
        <f>'refer admin discharge'!H1296</f>
        <v>00/00/0000</v>
      </c>
      <c r="G1300" s="892"/>
      <c r="H1300" s="894"/>
      <c r="I1300" s="894"/>
      <c r="J1300" s="918"/>
      <c r="K1300" s="918"/>
      <c r="L1300" s="894"/>
      <c r="M1300" s="894"/>
      <c r="N1300" s="916"/>
      <c r="O1300" s="916"/>
      <c r="P1300" s="894"/>
      <c r="Q1300" s="894"/>
      <c r="R1300" s="916"/>
      <c r="S1300" s="916"/>
      <c r="T1300" s="894"/>
      <c r="U1300" s="894"/>
      <c r="V1300" s="921" t="str">
        <f>'refer admin discharge'!H1301</f>
        <v>00/00/0000</v>
      </c>
      <c r="W1300" s="922"/>
      <c r="X1300" s="920"/>
      <c r="Y1300" s="920"/>
      <c r="Z1300" s="919"/>
      <c r="AA1300" s="919"/>
      <c r="AB1300" s="920"/>
      <c r="AC1300" s="920"/>
      <c r="AD1300" s="912"/>
      <c r="AE1300" s="912"/>
      <c r="AF1300" s="920"/>
      <c r="AG1300" s="920"/>
      <c r="AH1300" s="912"/>
      <c r="AI1300" s="912"/>
      <c r="AJ1300" s="920"/>
      <c r="AK1300" s="920"/>
      <c r="AL1300" s="905"/>
      <c r="AM1300" s="906"/>
      <c r="AN1300" s="906"/>
      <c r="AO1300" s="906"/>
      <c r="AP1300" s="906"/>
      <c r="AQ1300" s="906"/>
      <c r="AR1300" s="906"/>
      <c r="AS1300" s="906"/>
      <c r="AT1300" s="906"/>
      <c r="AU1300" s="906"/>
      <c r="AV1300" s="906"/>
      <c r="AW1300" s="906"/>
      <c r="AX1300" s="906"/>
      <c r="AY1300" s="906"/>
      <c r="AZ1300" s="906"/>
      <c r="BA1300" s="906"/>
      <c r="BB1300" s="907"/>
    </row>
    <row r="1301" spans="1:54" x14ac:dyDescent="0.25">
      <c r="A1301" s="13">
        <f t="shared" si="20"/>
        <v>1288</v>
      </c>
      <c r="B1301" s="914" t="str">
        <f>'refer admin discharge'!B1297</f>
        <v>x</v>
      </c>
      <c r="C1301" s="914"/>
      <c r="D1301" s="889" t="str">
        <f>'refer admin discharge'!D1297</f>
        <v>xx</v>
      </c>
      <c r="E1301" s="889"/>
      <c r="F1301" s="915" t="str">
        <f>'refer admin discharge'!H1297</f>
        <v>00/00/0000</v>
      </c>
      <c r="G1301" s="890"/>
      <c r="H1301" s="916"/>
      <c r="I1301" s="916"/>
      <c r="J1301" s="917"/>
      <c r="K1301" s="917"/>
      <c r="L1301" s="916"/>
      <c r="M1301" s="916"/>
      <c r="N1301" s="893"/>
      <c r="O1301" s="893"/>
      <c r="P1301" s="916"/>
      <c r="Q1301" s="916"/>
      <c r="R1301" s="893"/>
      <c r="S1301" s="893"/>
      <c r="T1301" s="916"/>
      <c r="U1301" s="916"/>
      <c r="V1301" s="921" t="str">
        <f>'refer admin discharge'!H1302</f>
        <v>00/00/0000</v>
      </c>
      <c r="W1301" s="922"/>
      <c r="X1301" s="912"/>
      <c r="Y1301" s="912"/>
      <c r="Z1301" s="924"/>
      <c r="AA1301" s="924"/>
      <c r="AB1301" s="912"/>
      <c r="AC1301" s="912"/>
      <c r="AD1301" s="913"/>
      <c r="AE1301" s="913"/>
      <c r="AF1301" s="912"/>
      <c r="AG1301" s="912"/>
      <c r="AH1301" s="913"/>
      <c r="AI1301" s="913"/>
      <c r="AJ1301" s="912"/>
      <c r="AK1301" s="912"/>
      <c r="AL1301" s="925"/>
      <c r="AM1301" s="926"/>
      <c r="AN1301" s="926"/>
      <c r="AO1301" s="926"/>
      <c r="AP1301" s="926"/>
      <c r="AQ1301" s="926"/>
      <c r="AR1301" s="926"/>
      <c r="AS1301" s="926"/>
      <c r="AT1301" s="926"/>
      <c r="AU1301" s="926"/>
      <c r="AV1301" s="926"/>
      <c r="AW1301" s="926"/>
      <c r="AX1301" s="926"/>
      <c r="AY1301" s="926"/>
      <c r="AZ1301" s="926"/>
      <c r="BA1301" s="926"/>
      <c r="BB1301" s="927"/>
    </row>
    <row r="1302" spans="1:54" x14ac:dyDescent="0.25">
      <c r="A1302" s="13">
        <f t="shared" si="20"/>
        <v>1289</v>
      </c>
      <c r="B1302" s="888" t="str">
        <f>'refer admin discharge'!B1298</f>
        <v>x</v>
      </c>
      <c r="C1302" s="888"/>
      <c r="D1302" s="868" t="str">
        <f>'refer admin discharge'!D1298</f>
        <v>xx</v>
      </c>
      <c r="E1302" s="868"/>
      <c r="F1302" s="891" t="str">
        <f>'refer admin discharge'!H1298</f>
        <v>00/00/0000</v>
      </c>
      <c r="G1302" s="892"/>
      <c r="H1302" s="894"/>
      <c r="I1302" s="894"/>
      <c r="J1302" s="918"/>
      <c r="K1302" s="918"/>
      <c r="L1302" s="894"/>
      <c r="M1302" s="894"/>
      <c r="N1302" s="916"/>
      <c r="O1302" s="916"/>
      <c r="P1302" s="894"/>
      <c r="Q1302" s="894"/>
      <c r="R1302" s="916"/>
      <c r="S1302" s="916"/>
      <c r="T1302" s="894"/>
      <c r="U1302" s="894"/>
      <c r="V1302" s="921" t="str">
        <f>'refer admin discharge'!H1303</f>
        <v>00/00/0000</v>
      </c>
      <c r="W1302" s="922"/>
      <c r="X1302" s="920"/>
      <c r="Y1302" s="920"/>
      <c r="Z1302" s="919"/>
      <c r="AA1302" s="919"/>
      <c r="AB1302" s="920"/>
      <c r="AC1302" s="920"/>
      <c r="AD1302" s="912"/>
      <c r="AE1302" s="912"/>
      <c r="AF1302" s="920"/>
      <c r="AG1302" s="920"/>
      <c r="AH1302" s="912"/>
      <c r="AI1302" s="912"/>
      <c r="AJ1302" s="920"/>
      <c r="AK1302" s="920"/>
      <c r="AL1302" s="905"/>
      <c r="AM1302" s="906"/>
      <c r="AN1302" s="906"/>
      <c r="AO1302" s="906"/>
      <c r="AP1302" s="906"/>
      <c r="AQ1302" s="906"/>
      <c r="AR1302" s="906"/>
      <c r="AS1302" s="906"/>
      <c r="AT1302" s="906"/>
      <c r="AU1302" s="906"/>
      <c r="AV1302" s="906"/>
      <c r="AW1302" s="906"/>
      <c r="AX1302" s="906"/>
      <c r="AY1302" s="906"/>
      <c r="AZ1302" s="906"/>
      <c r="BA1302" s="906"/>
      <c r="BB1302" s="907"/>
    </row>
    <row r="1303" spans="1:54" x14ac:dyDescent="0.25">
      <c r="A1303" s="13">
        <f t="shared" si="20"/>
        <v>1290</v>
      </c>
      <c r="B1303" s="914" t="str">
        <f>'refer admin discharge'!B1299</f>
        <v>x</v>
      </c>
      <c r="C1303" s="914"/>
      <c r="D1303" s="889" t="str">
        <f>'refer admin discharge'!D1299</f>
        <v>xx</v>
      </c>
      <c r="E1303" s="889"/>
      <c r="F1303" s="915" t="str">
        <f>'refer admin discharge'!H1299</f>
        <v>00/00/0000</v>
      </c>
      <c r="G1303" s="890"/>
      <c r="H1303" s="916"/>
      <c r="I1303" s="916"/>
      <c r="J1303" s="917"/>
      <c r="K1303" s="917"/>
      <c r="L1303" s="916"/>
      <c r="M1303" s="916"/>
      <c r="N1303" s="893"/>
      <c r="O1303" s="893"/>
      <c r="P1303" s="916"/>
      <c r="Q1303" s="916"/>
      <c r="R1303" s="893"/>
      <c r="S1303" s="893"/>
      <c r="T1303" s="916"/>
      <c r="U1303" s="916"/>
      <c r="V1303" s="921" t="str">
        <f>'refer admin discharge'!H1304</f>
        <v>00/00/0000</v>
      </c>
      <c r="W1303" s="922"/>
      <c r="X1303" s="912"/>
      <c r="Y1303" s="912"/>
      <c r="Z1303" s="924"/>
      <c r="AA1303" s="924"/>
      <c r="AB1303" s="912"/>
      <c r="AC1303" s="912"/>
      <c r="AD1303" s="913"/>
      <c r="AE1303" s="913"/>
      <c r="AF1303" s="912"/>
      <c r="AG1303" s="912"/>
      <c r="AH1303" s="913"/>
      <c r="AI1303" s="913"/>
      <c r="AJ1303" s="912"/>
      <c r="AK1303" s="912"/>
      <c r="AL1303" s="925"/>
      <c r="AM1303" s="926"/>
      <c r="AN1303" s="926"/>
      <c r="AO1303" s="926"/>
      <c r="AP1303" s="926"/>
      <c r="AQ1303" s="926"/>
      <c r="AR1303" s="926"/>
      <c r="AS1303" s="926"/>
      <c r="AT1303" s="926"/>
      <c r="AU1303" s="926"/>
      <c r="AV1303" s="926"/>
      <c r="AW1303" s="926"/>
      <c r="AX1303" s="926"/>
      <c r="AY1303" s="926"/>
      <c r="AZ1303" s="926"/>
      <c r="BA1303" s="926"/>
      <c r="BB1303" s="927"/>
    </row>
    <row r="1304" spans="1:54" x14ac:dyDescent="0.25">
      <c r="A1304" s="13">
        <f t="shared" si="20"/>
        <v>1291</v>
      </c>
      <c r="B1304" s="888" t="str">
        <f>'refer admin discharge'!B1300</f>
        <v>x</v>
      </c>
      <c r="C1304" s="888"/>
      <c r="D1304" s="868" t="str">
        <f>'refer admin discharge'!D1300</f>
        <v>xx</v>
      </c>
      <c r="E1304" s="868"/>
      <c r="F1304" s="891" t="str">
        <f>'refer admin discharge'!H1300</f>
        <v>00/00/0000</v>
      </c>
      <c r="G1304" s="892"/>
      <c r="H1304" s="894"/>
      <c r="I1304" s="894"/>
      <c r="J1304" s="918"/>
      <c r="K1304" s="918"/>
      <c r="L1304" s="894"/>
      <c r="M1304" s="894"/>
      <c r="N1304" s="916"/>
      <c r="O1304" s="916"/>
      <c r="P1304" s="894"/>
      <c r="Q1304" s="894"/>
      <c r="R1304" s="916"/>
      <c r="S1304" s="916"/>
      <c r="T1304" s="894"/>
      <c r="U1304" s="894"/>
      <c r="V1304" s="921" t="str">
        <f>'refer admin discharge'!H1305</f>
        <v>00/00/0000</v>
      </c>
      <c r="W1304" s="922"/>
      <c r="X1304" s="920"/>
      <c r="Y1304" s="920"/>
      <c r="Z1304" s="919"/>
      <c r="AA1304" s="919"/>
      <c r="AB1304" s="920"/>
      <c r="AC1304" s="920"/>
      <c r="AD1304" s="912"/>
      <c r="AE1304" s="912"/>
      <c r="AF1304" s="920"/>
      <c r="AG1304" s="920"/>
      <c r="AH1304" s="912"/>
      <c r="AI1304" s="912"/>
      <c r="AJ1304" s="920"/>
      <c r="AK1304" s="920"/>
      <c r="AL1304" s="905"/>
      <c r="AM1304" s="906"/>
      <c r="AN1304" s="906"/>
      <c r="AO1304" s="906"/>
      <c r="AP1304" s="906"/>
      <c r="AQ1304" s="906"/>
      <c r="AR1304" s="906"/>
      <c r="AS1304" s="906"/>
      <c r="AT1304" s="906"/>
      <c r="AU1304" s="906"/>
      <c r="AV1304" s="906"/>
      <c r="AW1304" s="906"/>
      <c r="AX1304" s="906"/>
      <c r="AY1304" s="906"/>
      <c r="AZ1304" s="906"/>
      <c r="BA1304" s="906"/>
      <c r="BB1304" s="907"/>
    </row>
    <row r="1305" spans="1:54" x14ac:dyDescent="0.25">
      <c r="A1305" s="13">
        <f t="shared" si="20"/>
        <v>1292</v>
      </c>
      <c r="B1305" s="914" t="str">
        <f>'refer admin discharge'!B1301</f>
        <v>x</v>
      </c>
      <c r="C1305" s="914"/>
      <c r="D1305" s="889" t="str">
        <f>'refer admin discharge'!D1301</f>
        <v>xx</v>
      </c>
      <c r="E1305" s="889"/>
      <c r="F1305" s="915" t="str">
        <f>'refer admin discharge'!H1301</f>
        <v>00/00/0000</v>
      </c>
      <c r="G1305" s="890"/>
      <c r="H1305" s="916"/>
      <c r="I1305" s="916"/>
      <c r="J1305" s="917"/>
      <c r="K1305" s="917"/>
      <c r="L1305" s="916"/>
      <c r="M1305" s="916"/>
      <c r="N1305" s="893"/>
      <c r="O1305" s="893"/>
      <c r="P1305" s="916"/>
      <c r="Q1305" s="916"/>
      <c r="R1305" s="893"/>
      <c r="S1305" s="893"/>
      <c r="T1305" s="916"/>
      <c r="U1305" s="916"/>
      <c r="V1305" s="921" t="str">
        <f>'refer admin discharge'!H1306</f>
        <v>00/00/0000</v>
      </c>
      <c r="W1305" s="922"/>
      <c r="X1305" s="912"/>
      <c r="Y1305" s="912"/>
      <c r="Z1305" s="924"/>
      <c r="AA1305" s="924"/>
      <c r="AB1305" s="912"/>
      <c r="AC1305" s="912"/>
      <c r="AD1305" s="913"/>
      <c r="AE1305" s="913"/>
      <c r="AF1305" s="912"/>
      <c r="AG1305" s="912"/>
      <c r="AH1305" s="913"/>
      <c r="AI1305" s="913"/>
      <c r="AJ1305" s="912"/>
      <c r="AK1305" s="912"/>
      <c r="AL1305" s="925"/>
      <c r="AM1305" s="926"/>
      <c r="AN1305" s="926"/>
      <c r="AO1305" s="926"/>
      <c r="AP1305" s="926"/>
      <c r="AQ1305" s="926"/>
      <c r="AR1305" s="926"/>
      <c r="AS1305" s="926"/>
      <c r="AT1305" s="926"/>
      <c r="AU1305" s="926"/>
      <c r="AV1305" s="926"/>
      <c r="AW1305" s="926"/>
      <c r="AX1305" s="926"/>
      <c r="AY1305" s="926"/>
      <c r="AZ1305" s="926"/>
      <c r="BA1305" s="926"/>
      <c r="BB1305" s="927"/>
    </row>
    <row r="1306" spans="1:54" x14ac:dyDescent="0.25">
      <c r="A1306" s="13">
        <f t="shared" si="20"/>
        <v>1293</v>
      </c>
      <c r="B1306" s="888" t="str">
        <f>'refer admin discharge'!B1302</f>
        <v>x</v>
      </c>
      <c r="C1306" s="888"/>
      <c r="D1306" s="868" t="str">
        <f>'refer admin discharge'!D1302</f>
        <v>xx</v>
      </c>
      <c r="E1306" s="868"/>
      <c r="F1306" s="891" t="str">
        <f>'refer admin discharge'!H1302</f>
        <v>00/00/0000</v>
      </c>
      <c r="G1306" s="892"/>
      <c r="H1306" s="894"/>
      <c r="I1306" s="894"/>
      <c r="J1306" s="918"/>
      <c r="K1306" s="918"/>
      <c r="L1306" s="894"/>
      <c r="M1306" s="894"/>
      <c r="N1306" s="916"/>
      <c r="O1306" s="916"/>
      <c r="P1306" s="894"/>
      <c r="Q1306" s="894"/>
      <c r="R1306" s="916"/>
      <c r="S1306" s="916"/>
      <c r="T1306" s="894"/>
      <c r="U1306" s="894"/>
      <c r="V1306" s="921" t="str">
        <f>'refer admin discharge'!H1307</f>
        <v>00/00/0000</v>
      </c>
      <c r="W1306" s="922"/>
      <c r="X1306" s="920"/>
      <c r="Y1306" s="920"/>
      <c r="Z1306" s="919"/>
      <c r="AA1306" s="919"/>
      <c r="AB1306" s="920"/>
      <c r="AC1306" s="920"/>
      <c r="AD1306" s="912"/>
      <c r="AE1306" s="912"/>
      <c r="AF1306" s="920"/>
      <c r="AG1306" s="920"/>
      <c r="AH1306" s="912"/>
      <c r="AI1306" s="912"/>
      <c r="AJ1306" s="920"/>
      <c r="AK1306" s="920"/>
      <c r="AL1306" s="905"/>
      <c r="AM1306" s="906"/>
      <c r="AN1306" s="906"/>
      <c r="AO1306" s="906"/>
      <c r="AP1306" s="906"/>
      <c r="AQ1306" s="906"/>
      <c r="AR1306" s="906"/>
      <c r="AS1306" s="906"/>
      <c r="AT1306" s="906"/>
      <c r="AU1306" s="906"/>
      <c r="AV1306" s="906"/>
      <c r="AW1306" s="906"/>
      <c r="AX1306" s="906"/>
      <c r="AY1306" s="906"/>
      <c r="AZ1306" s="906"/>
      <c r="BA1306" s="906"/>
      <c r="BB1306" s="907"/>
    </row>
    <row r="1307" spans="1:54" x14ac:dyDescent="0.25">
      <c r="A1307" s="13">
        <f t="shared" si="20"/>
        <v>1294</v>
      </c>
      <c r="B1307" s="914" t="str">
        <f>'refer admin discharge'!B1303</f>
        <v>x</v>
      </c>
      <c r="C1307" s="914"/>
      <c r="D1307" s="889" t="str">
        <f>'refer admin discharge'!D1303</f>
        <v>xx</v>
      </c>
      <c r="E1307" s="889"/>
      <c r="F1307" s="915" t="str">
        <f>'refer admin discharge'!H1303</f>
        <v>00/00/0000</v>
      </c>
      <c r="G1307" s="890"/>
      <c r="H1307" s="916"/>
      <c r="I1307" s="916"/>
      <c r="J1307" s="917"/>
      <c r="K1307" s="917"/>
      <c r="L1307" s="916"/>
      <c r="M1307" s="916"/>
      <c r="N1307" s="893"/>
      <c r="O1307" s="893"/>
      <c r="P1307" s="916"/>
      <c r="Q1307" s="916"/>
      <c r="R1307" s="893"/>
      <c r="S1307" s="893"/>
      <c r="T1307" s="916"/>
      <c r="U1307" s="916"/>
      <c r="V1307" s="921" t="str">
        <f>'refer admin discharge'!H1308</f>
        <v>00/00/0000</v>
      </c>
      <c r="W1307" s="922"/>
      <c r="X1307" s="912"/>
      <c r="Y1307" s="912"/>
      <c r="Z1307" s="924"/>
      <c r="AA1307" s="924"/>
      <c r="AB1307" s="912"/>
      <c r="AC1307" s="912"/>
      <c r="AD1307" s="913"/>
      <c r="AE1307" s="913"/>
      <c r="AF1307" s="912"/>
      <c r="AG1307" s="912"/>
      <c r="AH1307" s="913"/>
      <c r="AI1307" s="913"/>
      <c r="AJ1307" s="912"/>
      <c r="AK1307" s="912"/>
      <c r="AL1307" s="925"/>
      <c r="AM1307" s="926"/>
      <c r="AN1307" s="926"/>
      <c r="AO1307" s="926"/>
      <c r="AP1307" s="926"/>
      <c r="AQ1307" s="926"/>
      <c r="AR1307" s="926"/>
      <c r="AS1307" s="926"/>
      <c r="AT1307" s="926"/>
      <c r="AU1307" s="926"/>
      <c r="AV1307" s="926"/>
      <c r="AW1307" s="926"/>
      <c r="AX1307" s="926"/>
      <c r="AY1307" s="926"/>
      <c r="AZ1307" s="926"/>
      <c r="BA1307" s="926"/>
      <c r="BB1307" s="927"/>
    </row>
    <row r="1308" spans="1:54" x14ac:dyDescent="0.25">
      <c r="A1308" s="13">
        <f t="shared" si="20"/>
        <v>1295</v>
      </c>
      <c r="B1308" s="888" t="str">
        <f>'refer admin discharge'!B1304</f>
        <v>x</v>
      </c>
      <c r="C1308" s="888"/>
      <c r="D1308" s="868" t="str">
        <f>'refer admin discharge'!D1304</f>
        <v>xx</v>
      </c>
      <c r="E1308" s="868"/>
      <c r="F1308" s="891" t="str">
        <f>'refer admin discharge'!H1304</f>
        <v>00/00/0000</v>
      </c>
      <c r="G1308" s="892"/>
      <c r="H1308" s="894"/>
      <c r="I1308" s="894"/>
      <c r="J1308" s="918"/>
      <c r="K1308" s="918"/>
      <c r="L1308" s="894"/>
      <c r="M1308" s="894"/>
      <c r="N1308" s="916"/>
      <c r="O1308" s="916"/>
      <c r="P1308" s="894"/>
      <c r="Q1308" s="894"/>
      <c r="R1308" s="916"/>
      <c r="S1308" s="916"/>
      <c r="T1308" s="894"/>
      <c r="U1308" s="894"/>
      <c r="V1308" s="921" t="str">
        <f>'refer admin discharge'!H1309</f>
        <v>00/00/0000</v>
      </c>
      <c r="W1308" s="922"/>
      <c r="X1308" s="920"/>
      <c r="Y1308" s="920"/>
      <c r="Z1308" s="919"/>
      <c r="AA1308" s="919"/>
      <c r="AB1308" s="920"/>
      <c r="AC1308" s="920"/>
      <c r="AD1308" s="912"/>
      <c r="AE1308" s="912"/>
      <c r="AF1308" s="920"/>
      <c r="AG1308" s="920"/>
      <c r="AH1308" s="912"/>
      <c r="AI1308" s="912"/>
      <c r="AJ1308" s="920"/>
      <c r="AK1308" s="920"/>
      <c r="AL1308" s="905"/>
      <c r="AM1308" s="906"/>
      <c r="AN1308" s="906"/>
      <c r="AO1308" s="906"/>
      <c r="AP1308" s="906"/>
      <c r="AQ1308" s="906"/>
      <c r="AR1308" s="906"/>
      <c r="AS1308" s="906"/>
      <c r="AT1308" s="906"/>
      <c r="AU1308" s="906"/>
      <c r="AV1308" s="906"/>
      <c r="AW1308" s="906"/>
      <c r="AX1308" s="906"/>
      <c r="AY1308" s="906"/>
      <c r="AZ1308" s="906"/>
      <c r="BA1308" s="906"/>
      <c r="BB1308" s="907"/>
    </row>
    <row r="1309" spans="1:54" x14ac:dyDescent="0.25">
      <c r="A1309" s="13">
        <f t="shared" si="20"/>
        <v>1296</v>
      </c>
      <c r="B1309" s="914" t="str">
        <f>'refer admin discharge'!B1305</f>
        <v>x</v>
      </c>
      <c r="C1309" s="914"/>
      <c r="D1309" s="889" t="str">
        <f>'refer admin discharge'!D1305</f>
        <v>xx</v>
      </c>
      <c r="E1309" s="889"/>
      <c r="F1309" s="915" t="str">
        <f>'refer admin discharge'!H1305</f>
        <v>00/00/0000</v>
      </c>
      <c r="G1309" s="890"/>
      <c r="H1309" s="916"/>
      <c r="I1309" s="916"/>
      <c r="J1309" s="917"/>
      <c r="K1309" s="917"/>
      <c r="L1309" s="916"/>
      <c r="M1309" s="916"/>
      <c r="N1309" s="893"/>
      <c r="O1309" s="893"/>
      <c r="P1309" s="916"/>
      <c r="Q1309" s="916"/>
      <c r="R1309" s="893"/>
      <c r="S1309" s="893"/>
      <c r="T1309" s="916"/>
      <c r="U1309" s="916"/>
      <c r="V1309" s="921" t="str">
        <f>'refer admin discharge'!H1310</f>
        <v>00/00/0000</v>
      </c>
      <c r="W1309" s="922"/>
      <c r="X1309" s="912"/>
      <c r="Y1309" s="912"/>
      <c r="Z1309" s="924"/>
      <c r="AA1309" s="924"/>
      <c r="AB1309" s="912"/>
      <c r="AC1309" s="912"/>
      <c r="AD1309" s="913"/>
      <c r="AE1309" s="913"/>
      <c r="AF1309" s="912"/>
      <c r="AG1309" s="912"/>
      <c r="AH1309" s="913"/>
      <c r="AI1309" s="913"/>
      <c r="AJ1309" s="912"/>
      <c r="AK1309" s="912"/>
      <c r="AL1309" s="925"/>
      <c r="AM1309" s="926"/>
      <c r="AN1309" s="926"/>
      <c r="AO1309" s="926"/>
      <c r="AP1309" s="926"/>
      <c r="AQ1309" s="926"/>
      <c r="AR1309" s="926"/>
      <c r="AS1309" s="926"/>
      <c r="AT1309" s="926"/>
      <c r="AU1309" s="926"/>
      <c r="AV1309" s="926"/>
      <c r="AW1309" s="926"/>
      <c r="AX1309" s="926"/>
      <c r="AY1309" s="926"/>
      <c r="AZ1309" s="926"/>
      <c r="BA1309" s="926"/>
      <c r="BB1309" s="927"/>
    </row>
    <row r="1310" spans="1:54" x14ac:dyDescent="0.25">
      <c r="A1310" s="13">
        <f t="shared" si="20"/>
        <v>1297</v>
      </c>
      <c r="B1310" s="888" t="str">
        <f>'refer admin discharge'!B1306</f>
        <v>x</v>
      </c>
      <c r="C1310" s="888"/>
      <c r="D1310" s="868" t="str">
        <f>'refer admin discharge'!D1306</f>
        <v>xx</v>
      </c>
      <c r="E1310" s="868"/>
      <c r="F1310" s="891" t="str">
        <f>'refer admin discharge'!H1306</f>
        <v>00/00/0000</v>
      </c>
      <c r="G1310" s="892"/>
      <c r="H1310" s="894"/>
      <c r="I1310" s="894"/>
      <c r="J1310" s="918"/>
      <c r="K1310" s="918"/>
      <c r="L1310" s="894"/>
      <c r="M1310" s="894"/>
      <c r="N1310" s="916"/>
      <c r="O1310" s="916"/>
      <c r="P1310" s="894"/>
      <c r="Q1310" s="894"/>
      <c r="R1310" s="916"/>
      <c r="S1310" s="916"/>
      <c r="T1310" s="894"/>
      <c r="U1310" s="894"/>
      <c r="V1310" s="921" t="str">
        <f>'refer admin discharge'!H1311</f>
        <v>00/00/0000</v>
      </c>
      <c r="W1310" s="922"/>
      <c r="X1310" s="920"/>
      <c r="Y1310" s="920"/>
      <c r="Z1310" s="919"/>
      <c r="AA1310" s="919"/>
      <c r="AB1310" s="920"/>
      <c r="AC1310" s="920"/>
      <c r="AD1310" s="912"/>
      <c r="AE1310" s="912"/>
      <c r="AF1310" s="920"/>
      <c r="AG1310" s="920"/>
      <c r="AH1310" s="912"/>
      <c r="AI1310" s="912"/>
      <c r="AJ1310" s="920"/>
      <c r="AK1310" s="920"/>
      <c r="AL1310" s="905"/>
      <c r="AM1310" s="906"/>
      <c r="AN1310" s="906"/>
      <c r="AO1310" s="906"/>
      <c r="AP1310" s="906"/>
      <c r="AQ1310" s="906"/>
      <c r="AR1310" s="906"/>
      <c r="AS1310" s="906"/>
      <c r="AT1310" s="906"/>
      <c r="AU1310" s="906"/>
      <c r="AV1310" s="906"/>
      <c r="AW1310" s="906"/>
      <c r="AX1310" s="906"/>
      <c r="AY1310" s="906"/>
      <c r="AZ1310" s="906"/>
      <c r="BA1310" s="906"/>
      <c r="BB1310" s="907"/>
    </row>
    <row r="1311" spans="1:54" x14ac:dyDescent="0.25">
      <c r="A1311" s="13">
        <f t="shared" si="20"/>
        <v>1298</v>
      </c>
      <c r="B1311" s="914" t="str">
        <f>'refer admin discharge'!B1307</f>
        <v>x</v>
      </c>
      <c r="C1311" s="914"/>
      <c r="D1311" s="889" t="str">
        <f>'refer admin discharge'!D1307</f>
        <v>xx</v>
      </c>
      <c r="E1311" s="889"/>
      <c r="F1311" s="915" t="str">
        <f>'refer admin discharge'!H1307</f>
        <v>00/00/0000</v>
      </c>
      <c r="G1311" s="890"/>
      <c r="H1311" s="916"/>
      <c r="I1311" s="916"/>
      <c r="J1311" s="917"/>
      <c r="K1311" s="917"/>
      <c r="L1311" s="916"/>
      <c r="M1311" s="916"/>
      <c r="N1311" s="893"/>
      <c r="O1311" s="893"/>
      <c r="P1311" s="916"/>
      <c r="Q1311" s="916"/>
      <c r="R1311" s="893"/>
      <c r="S1311" s="893"/>
      <c r="T1311" s="916"/>
      <c r="U1311" s="916"/>
      <c r="V1311" s="921" t="str">
        <f>'refer admin discharge'!H1312</f>
        <v>00/00/0000</v>
      </c>
      <c r="W1311" s="922"/>
      <c r="X1311" s="912"/>
      <c r="Y1311" s="912"/>
      <c r="Z1311" s="924"/>
      <c r="AA1311" s="924"/>
      <c r="AB1311" s="912"/>
      <c r="AC1311" s="912"/>
      <c r="AD1311" s="913"/>
      <c r="AE1311" s="913"/>
      <c r="AF1311" s="912"/>
      <c r="AG1311" s="912"/>
      <c r="AH1311" s="913"/>
      <c r="AI1311" s="913"/>
      <c r="AJ1311" s="912"/>
      <c r="AK1311" s="912"/>
      <c r="AL1311" s="925"/>
      <c r="AM1311" s="926"/>
      <c r="AN1311" s="926"/>
      <c r="AO1311" s="926"/>
      <c r="AP1311" s="926"/>
      <c r="AQ1311" s="926"/>
      <c r="AR1311" s="926"/>
      <c r="AS1311" s="926"/>
      <c r="AT1311" s="926"/>
      <c r="AU1311" s="926"/>
      <c r="AV1311" s="926"/>
      <c r="AW1311" s="926"/>
      <c r="AX1311" s="926"/>
      <c r="AY1311" s="926"/>
      <c r="AZ1311" s="926"/>
      <c r="BA1311" s="926"/>
      <c r="BB1311" s="927"/>
    </row>
    <row r="1312" spans="1:54" x14ac:dyDescent="0.25">
      <c r="A1312" s="13">
        <f t="shared" si="20"/>
        <v>1299</v>
      </c>
      <c r="B1312" s="888" t="str">
        <f>'refer admin discharge'!B1308</f>
        <v>x</v>
      </c>
      <c r="C1312" s="888"/>
      <c r="D1312" s="868" t="str">
        <f>'refer admin discharge'!D1308</f>
        <v>xx</v>
      </c>
      <c r="E1312" s="868"/>
      <c r="F1312" s="891" t="str">
        <f>'refer admin discharge'!H1308</f>
        <v>00/00/0000</v>
      </c>
      <c r="G1312" s="892"/>
      <c r="H1312" s="894"/>
      <c r="I1312" s="894"/>
      <c r="J1312" s="918"/>
      <c r="K1312" s="918"/>
      <c r="L1312" s="894"/>
      <c r="M1312" s="894"/>
      <c r="N1312" s="916"/>
      <c r="O1312" s="916"/>
      <c r="P1312" s="894"/>
      <c r="Q1312" s="894"/>
      <c r="R1312" s="916"/>
      <c r="S1312" s="916"/>
      <c r="T1312" s="894"/>
      <c r="U1312" s="894"/>
      <c r="V1312" s="921" t="str">
        <f>'refer admin discharge'!H1313</f>
        <v>00/00/0000</v>
      </c>
      <c r="W1312" s="922"/>
      <c r="X1312" s="920"/>
      <c r="Y1312" s="920"/>
      <c r="Z1312" s="919"/>
      <c r="AA1312" s="919"/>
      <c r="AB1312" s="920"/>
      <c r="AC1312" s="920"/>
      <c r="AD1312" s="912"/>
      <c r="AE1312" s="912"/>
      <c r="AF1312" s="920"/>
      <c r="AG1312" s="920"/>
      <c r="AH1312" s="912"/>
      <c r="AI1312" s="912"/>
      <c r="AJ1312" s="920"/>
      <c r="AK1312" s="920"/>
      <c r="AL1312" s="905"/>
      <c r="AM1312" s="906"/>
      <c r="AN1312" s="906"/>
      <c r="AO1312" s="906"/>
      <c r="AP1312" s="906"/>
      <c r="AQ1312" s="906"/>
      <c r="AR1312" s="906"/>
      <c r="AS1312" s="906"/>
      <c r="AT1312" s="906"/>
      <c r="AU1312" s="906"/>
      <c r="AV1312" s="906"/>
      <c r="AW1312" s="906"/>
      <c r="AX1312" s="906"/>
      <c r="AY1312" s="906"/>
      <c r="AZ1312" s="906"/>
      <c r="BA1312" s="906"/>
      <c r="BB1312" s="907"/>
    </row>
    <row r="1313" spans="1:54" x14ac:dyDescent="0.25">
      <c r="A1313" s="13">
        <f t="shared" si="20"/>
        <v>1300</v>
      </c>
      <c r="B1313" s="914" t="str">
        <f>'refer admin discharge'!B1309</f>
        <v>x</v>
      </c>
      <c r="C1313" s="914"/>
      <c r="D1313" s="889" t="str">
        <f>'refer admin discharge'!D1309</f>
        <v>xx</v>
      </c>
      <c r="E1313" s="889"/>
      <c r="F1313" s="915" t="str">
        <f>'refer admin discharge'!H1309</f>
        <v>00/00/0000</v>
      </c>
      <c r="G1313" s="890"/>
      <c r="H1313" s="916"/>
      <c r="I1313" s="916"/>
      <c r="J1313" s="917"/>
      <c r="K1313" s="917"/>
      <c r="L1313" s="916"/>
      <c r="M1313" s="916"/>
      <c r="N1313" s="893"/>
      <c r="O1313" s="893"/>
      <c r="P1313" s="916"/>
      <c r="Q1313" s="916"/>
      <c r="R1313" s="893"/>
      <c r="S1313" s="893"/>
      <c r="T1313" s="916"/>
      <c r="U1313" s="916"/>
      <c r="V1313" s="921" t="str">
        <f>'refer admin discharge'!H1314</f>
        <v>00/00/0000</v>
      </c>
      <c r="W1313" s="922"/>
      <c r="X1313" s="912"/>
      <c r="Y1313" s="912"/>
      <c r="Z1313" s="924"/>
      <c r="AA1313" s="924"/>
      <c r="AB1313" s="912"/>
      <c r="AC1313" s="912"/>
      <c r="AD1313" s="913"/>
      <c r="AE1313" s="913"/>
      <c r="AF1313" s="912"/>
      <c r="AG1313" s="912"/>
      <c r="AH1313" s="913"/>
      <c r="AI1313" s="913"/>
      <c r="AJ1313" s="912"/>
      <c r="AK1313" s="912"/>
      <c r="AL1313" s="925"/>
      <c r="AM1313" s="926"/>
      <c r="AN1313" s="926"/>
      <c r="AO1313" s="926"/>
      <c r="AP1313" s="926"/>
      <c r="AQ1313" s="926"/>
      <c r="AR1313" s="926"/>
      <c r="AS1313" s="926"/>
      <c r="AT1313" s="926"/>
      <c r="AU1313" s="926"/>
      <c r="AV1313" s="926"/>
      <c r="AW1313" s="926"/>
      <c r="AX1313" s="926"/>
      <c r="AY1313" s="926"/>
      <c r="AZ1313" s="926"/>
      <c r="BA1313" s="926"/>
      <c r="BB1313" s="927"/>
    </row>
    <row r="1314" spans="1:54" x14ac:dyDescent="0.25">
      <c r="A1314" s="13">
        <f t="shared" si="20"/>
        <v>1301</v>
      </c>
      <c r="B1314" s="888" t="str">
        <f>'refer admin discharge'!B1310</f>
        <v>x</v>
      </c>
      <c r="C1314" s="888"/>
      <c r="D1314" s="868" t="str">
        <f>'refer admin discharge'!D1310</f>
        <v>xx</v>
      </c>
      <c r="E1314" s="868"/>
      <c r="F1314" s="891" t="str">
        <f>'refer admin discharge'!H1310</f>
        <v>00/00/0000</v>
      </c>
      <c r="G1314" s="892"/>
      <c r="H1314" s="894"/>
      <c r="I1314" s="894"/>
      <c r="J1314" s="918"/>
      <c r="K1314" s="918"/>
      <c r="L1314" s="894"/>
      <c r="M1314" s="894"/>
      <c r="N1314" s="916"/>
      <c r="O1314" s="916"/>
      <c r="P1314" s="894"/>
      <c r="Q1314" s="894"/>
      <c r="R1314" s="916"/>
      <c r="S1314" s="916"/>
      <c r="T1314" s="894"/>
      <c r="U1314" s="894"/>
      <c r="V1314" s="921" t="str">
        <f>'refer admin discharge'!H1315</f>
        <v>00/00/0000</v>
      </c>
      <c r="W1314" s="922"/>
      <c r="X1314" s="920"/>
      <c r="Y1314" s="920"/>
      <c r="Z1314" s="919"/>
      <c r="AA1314" s="919"/>
      <c r="AB1314" s="920"/>
      <c r="AC1314" s="920"/>
      <c r="AD1314" s="912"/>
      <c r="AE1314" s="912"/>
      <c r="AF1314" s="920"/>
      <c r="AG1314" s="920"/>
      <c r="AH1314" s="912"/>
      <c r="AI1314" s="912"/>
      <c r="AJ1314" s="920"/>
      <c r="AK1314" s="920"/>
      <c r="AL1314" s="905"/>
      <c r="AM1314" s="906"/>
      <c r="AN1314" s="906"/>
      <c r="AO1314" s="906"/>
      <c r="AP1314" s="906"/>
      <c r="AQ1314" s="906"/>
      <c r="AR1314" s="906"/>
      <c r="AS1314" s="906"/>
      <c r="AT1314" s="906"/>
      <c r="AU1314" s="906"/>
      <c r="AV1314" s="906"/>
      <c r="AW1314" s="906"/>
      <c r="AX1314" s="906"/>
      <c r="AY1314" s="906"/>
      <c r="AZ1314" s="906"/>
      <c r="BA1314" s="906"/>
      <c r="BB1314" s="907"/>
    </row>
    <row r="1315" spans="1:54" x14ac:dyDescent="0.25">
      <c r="A1315" s="13">
        <f t="shared" si="20"/>
        <v>1302</v>
      </c>
      <c r="B1315" s="914" t="str">
        <f>'refer admin discharge'!B1311</f>
        <v>x</v>
      </c>
      <c r="C1315" s="914"/>
      <c r="D1315" s="889" t="str">
        <f>'refer admin discharge'!D1311</f>
        <v>xx</v>
      </c>
      <c r="E1315" s="889"/>
      <c r="F1315" s="915" t="str">
        <f>'refer admin discharge'!H1311</f>
        <v>00/00/0000</v>
      </c>
      <c r="G1315" s="890"/>
      <c r="H1315" s="916"/>
      <c r="I1315" s="916"/>
      <c r="J1315" s="917"/>
      <c r="K1315" s="917"/>
      <c r="L1315" s="916"/>
      <c r="M1315" s="916"/>
      <c r="N1315" s="893"/>
      <c r="O1315" s="893"/>
      <c r="P1315" s="916"/>
      <c r="Q1315" s="916"/>
      <c r="R1315" s="893"/>
      <c r="S1315" s="893"/>
      <c r="T1315" s="916"/>
      <c r="U1315" s="916"/>
      <c r="V1315" s="921" t="str">
        <f>'refer admin discharge'!H1316</f>
        <v>00/00/0000</v>
      </c>
      <c r="W1315" s="922"/>
      <c r="X1315" s="912"/>
      <c r="Y1315" s="912"/>
      <c r="Z1315" s="924"/>
      <c r="AA1315" s="924"/>
      <c r="AB1315" s="912"/>
      <c r="AC1315" s="912"/>
      <c r="AD1315" s="913"/>
      <c r="AE1315" s="913"/>
      <c r="AF1315" s="912"/>
      <c r="AG1315" s="912"/>
      <c r="AH1315" s="913"/>
      <c r="AI1315" s="913"/>
      <c r="AJ1315" s="912"/>
      <c r="AK1315" s="912"/>
      <c r="AL1315" s="925"/>
      <c r="AM1315" s="926"/>
      <c r="AN1315" s="926"/>
      <c r="AO1315" s="926"/>
      <c r="AP1315" s="926"/>
      <c r="AQ1315" s="926"/>
      <c r="AR1315" s="926"/>
      <c r="AS1315" s="926"/>
      <c r="AT1315" s="926"/>
      <c r="AU1315" s="926"/>
      <c r="AV1315" s="926"/>
      <c r="AW1315" s="926"/>
      <c r="AX1315" s="926"/>
      <c r="AY1315" s="926"/>
      <c r="AZ1315" s="926"/>
      <c r="BA1315" s="926"/>
      <c r="BB1315" s="927"/>
    </row>
    <row r="1316" spans="1:54" x14ac:dyDescent="0.25">
      <c r="A1316" s="13">
        <f t="shared" si="20"/>
        <v>1303</v>
      </c>
      <c r="B1316" s="888" t="str">
        <f>'refer admin discharge'!B1312</f>
        <v>x</v>
      </c>
      <c r="C1316" s="888"/>
      <c r="D1316" s="868" t="str">
        <f>'refer admin discharge'!D1312</f>
        <v>xx</v>
      </c>
      <c r="E1316" s="868"/>
      <c r="F1316" s="891" t="str">
        <f>'refer admin discharge'!H1312</f>
        <v>00/00/0000</v>
      </c>
      <c r="G1316" s="892"/>
      <c r="H1316" s="894"/>
      <c r="I1316" s="894"/>
      <c r="J1316" s="918"/>
      <c r="K1316" s="918"/>
      <c r="L1316" s="894"/>
      <c r="M1316" s="894"/>
      <c r="N1316" s="916"/>
      <c r="O1316" s="916"/>
      <c r="P1316" s="894"/>
      <c r="Q1316" s="894"/>
      <c r="R1316" s="916"/>
      <c r="S1316" s="916"/>
      <c r="T1316" s="894"/>
      <c r="U1316" s="894"/>
      <c r="V1316" s="921" t="str">
        <f>'refer admin discharge'!H1317</f>
        <v>00/00/0000</v>
      </c>
      <c r="W1316" s="922"/>
      <c r="X1316" s="920"/>
      <c r="Y1316" s="920"/>
      <c r="Z1316" s="919"/>
      <c r="AA1316" s="919"/>
      <c r="AB1316" s="920"/>
      <c r="AC1316" s="920"/>
      <c r="AD1316" s="912"/>
      <c r="AE1316" s="912"/>
      <c r="AF1316" s="920"/>
      <c r="AG1316" s="920"/>
      <c r="AH1316" s="912"/>
      <c r="AI1316" s="912"/>
      <c r="AJ1316" s="920"/>
      <c r="AK1316" s="920"/>
      <c r="AL1316" s="905"/>
      <c r="AM1316" s="906"/>
      <c r="AN1316" s="906"/>
      <c r="AO1316" s="906"/>
      <c r="AP1316" s="906"/>
      <c r="AQ1316" s="906"/>
      <c r="AR1316" s="906"/>
      <c r="AS1316" s="906"/>
      <c r="AT1316" s="906"/>
      <c r="AU1316" s="906"/>
      <c r="AV1316" s="906"/>
      <c r="AW1316" s="906"/>
      <c r="AX1316" s="906"/>
      <c r="AY1316" s="906"/>
      <c r="AZ1316" s="906"/>
      <c r="BA1316" s="906"/>
      <c r="BB1316" s="907"/>
    </row>
    <row r="1317" spans="1:54" x14ac:dyDescent="0.25">
      <c r="A1317" s="13">
        <f t="shared" si="20"/>
        <v>1304</v>
      </c>
      <c r="B1317" s="914" t="str">
        <f>'refer admin discharge'!B1313</f>
        <v>x</v>
      </c>
      <c r="C1317" s="914"/>
      <c r="D1317" s="889" t="str">
        <f>'refer admin discharge'!D1313</f>
        <v>xx</v>
      </c>
      <c r="E1317" s="889"/>
      <c r="F1317" s="915" t="str">
        <f>'refer admin discharge'!H1313</f>
        <v>00/00/0000</v>
      </c>
      <c r="G1317" s="890"/>
      <c r="H1317" s="916"/>
      <c r="I1317" s="916"/>
      <c r="J1317" s="917"/>
      <c r="K1317" s="917"/>
      <c r="L1317" s="916"/>
      <c r="M1317" s="916"/>
      <c r="N1317" s="893"/>
      <c r="O1317" s="893"/>
      <c r="P1317" s="916"/>
      <c r="Q1317" s="916"/>
      <c r="R1317" s="893"/>
      <c r="S1317" s="893"/>
      <c r="T1317" s="916"/>
      <c r="U1317" s="916"/>
      <c r="V1317" s="921" t="str">
        <f>'refer admin discharge'!H1318</f>
        <v>00/00/0000</v>
      </c>
      <c r="W1317" s="922"/>
      <c r="X1317" s="912"/>
      <c r="Y1317" s="912"/>
      <c r="Z1317" s="924"/>
      <c r="AA1317" s="924"/>
      <c r="AB1317" s="912"/>
      <c r="AC1317" s="912"/>
      <c r="AD1317" s="913"/>
      <c r="AE1317" s="913"/>
      <c r="AF1317" s="912"/>
      <c r="AG1317" s="912"/>
      <c r="AH1317" s="913"/>
      <c r="AI1317" s="913"/>
      <c r="AJ1317" s="912"/>
      <c r="AK1317" s="912"/>
      <c r="AL1317" s="925"/>
      <c r="AM1317" s="926"/>
      <c r="AN1317" s="926"/>
      <c r="AO1317" s="926"/>
      <c r="AP1317" s="926"/>
      <c r="AQ1317" s="926"/>
      <c r="AR1317" s="926"/>
      <c r="AS1317" s="926"/>
      <c r="AT1317" s="926"/>
      <c r="AU1317" s="926"/>
      <c r="AV1317" s="926"/>
      <c r="AW1317" s="926"/>
      <c r="AX1317" s="926"/>
      <c r="AY1317" s="926"/>
      <c r="AZ1317" s="926"/>
      <c r="BA1317" s="926"/>
      <c r="BB1317" s="927"/>
    </row>
    <row r="1318" spans="1:54" x14ac:dyDescent="0.25">
      <c r="A1318" s="13">
        <f t="shared" si="20"/>
        <v>1305</v>
      </c>
      <c r="B1318" s="888" t="str">
        <f>'refer admin discharge'!B1314</f>
        <v>x</v>
      </c>
      <c r="C1318" s="888"/>
      <c r="D1318" s="868" t="str">
        <f>'refer admin discharge'!D1314</f>
        <v>xx</v>
      </c>
      <c r="E1318" s="868"/>
      <c r="F1318" s="891" t="str">
        <f>'refer admin discharge'!H1314</f>
        <v>00/00/0000</v>
      </c>
      <c r="G1318" s="892"/>
      <c r="H1318" s="894"/>
      <c r="I1318" s="894"/>
      <c r="J1318" s="918"/>
      <c r="K1318" s="918"/>
      <c r="L1318" s="894"/>
      <c r="M1318" s="894"/>
      <c r="N1318" s="916"/>
      <c r="O1318" s="916"/>
      <c r="P1318" s="894"/>
      <c r="Q1318" s="894"/>
      <c r="R1318" s="916"/>
      <c r="S1318" s="916"/>
      <c r="T1318" s="894"/>
      <c r="U1318" s="894"/>
      <c r="V1318" s="921" t="str">
        <f>'refer admin discharge'!H1319</f>
        <v>00/00/0000</v>
      </c>
      <c r="W1318" s="922"/>
      <c r="X1318" s="920"/>
      <c r="Y1318" s="920"/>
      <c r="Z1318" s="919"/>
      <c r="AA1318" s="919"/>
      <c r="AB1318" s="920"/>
      <c r="AC1318" s="920"/>
      <c r="AD1318" s="912"/>
      <c r="AE1318" s="912"/>
      <c r="AF1318" s="920"/>
      <c r="AG1318" s="920"/>
      <c r="AH1318" s="912"/>
      <c r="AI1318" s="912"/>
      <c r="AJ1318" s="920"/>
      <c r="AK1318" s="920"/>
      <c r="AL1318" s="905"/>
      <c r="AM1318" s="906"/>
      <c r="AN1318" s="906"/>
      <c r="AO1318" s="906"/>
      <c r="AP1318" s="906"/>
      <c r="AQ1318" s="906"/>
      <c r="AR1318" s="906"/>
      <c r="AS1318" s="906"/>
      <c r="AT1318" s="906"/>
      <c r="AU1318" s="906"/>
      <c r="AV1318" s="906"/>
      <c r="AW1318" s="906"/>
      <c r="AX1318" s="906"/>
      <c r="AY1318" s="906"/>
      <c r="AZ1318" s="906"/>
      <c r="BA1318" s="906"/>
      <c r="BB1318" s="907"/>
    </row>
    <row r="1319" spans="1:54" x14ac:dyDescent="0.25">
      <c r="A1319" s="13">
        <f t="shared" si="20"/>
        <v>1306</v>
      </c>
      <c r="B1319" s="914" t="str">
        <f>'refer admin discharge'!B1315</f>
        <v>x</v>
      </c>
      <c r="C1319" s="914"/>
      <c r="D1319" s="889" t="str">
        <f>'refer admin discharge'!D1315</f>
        <v>xx</v>
      </c>
      <c r="E1319" s="889"/>
      <c r="F1319" s="915" t="str">
        <f>'refer admin discharge'!H1315</f>
        <v>00/00/0000</v>
      </c>
      <c r="G1319" s="890"/>
      <c r="H1319" s="916"/>
      <c r="I1319" s="916"/>
      <c r="J1319" s="917"/>
      <c r="K1319" s="917"/>
      <c r="L1319" s="916"/>
      <c r="M1319" s="916"/>
      <c r="N1319" s="893"/>
      <c r="O1319" s="893"/>
      <c r="P1319" s="916"/>
      <c r="Q1319" s="916"/>
      <c r="R1319" s="893"/>
      <c r="S1319" s="893"/>
      <c r="T1319" s="916"/>
      <c r="U1319" s="916"/>
      <c r="V1319" s="921" t="str">
        <f>'refer admin discharge'!H1320</f>
        <v>00/00/0000</v>
      </c>
      <c r="W1319" s="922"/>
      <c r="X1319" s="912"/>
      <c r="Y1319" s="912"/>
      <c r="Z1319" s="924"/>
      <c r="AA1319" s="924"/>
      <c r="AB1319" s="912"/>
      <c r="AC1319" s="912"/>
      <c r="AD1319" s="913"/>
      <c r="AE1319" s="913"/>
      <c r="AF1319" s="912"/>
      <c r="AG1319" s="912"/>
      <c r="AH1319" s="913"/>
      <c r="AI1319" s="913"/>
      <c r="AJ1319" s="912"/>
      <c r="AK1319" s="912"/>
      <c r="AL1319" s="925"/>
      <c r="AM1319" s="926"/>
      <c r="AN1319" s="926"/>
      <c r="AO1319" s="926"/>
      <c r="AP1319" s="926"/>
      <c r="AQ1319" s="926"/>
      <c r="AR1319" s="926"/>
      <c r="AS1319" s="926"/>
      <c r="AT1319" s="926"/>
      <c r="AU1319" s="926"/>
      <c r="AV1319" s="926"/>
      <c r="AW1319" s="926"/>
      <c r="AX1319" s="926"/>
      <c r="AY1319" s="926"/>
      <c r="AZ1319" s="926"/>
      <c r="BA1319" s="926"/>
      <c r="BB1319" s="927"/>
    </row>
    <row r="1320" spans="1:54" x14ac:dyDescent="0.25">
      <c r="A1320" s="13">
        <f t="shared" si="20"/>
        <v>1307</v>
      </c>
      <c r="B1320" s="888" t="str">
        <f>'refer admin discharge'!B1316</f>
        <v>x</v>
      </c>
      <c r="C1320" s="888"/>
      <c r="D1320" s="868" t="str">
        <f>'refer admin discharge'!D1316</f>
        <v>xx</v>
      </c>
      <c r="E1320" s="868"/>
      <c r="F1320" s="891" t="str">
        <f>'refer admin discharge'!H1316</f>
        <v>00/00/0000</v>
      </c>
      <c r="G1320" s="892"/>
      <c r="H1320" s="894"/>
      <c r="I1320" s="894"/>
      <c r="J1320" s="918"/>
      <c r="K1320" s="918"/>
      <c r="L1320" s="894"/>
      <c r="M1320" s="894"/>
      <c r="N1320" s="916"/>
      <c r="O1320" s="916"/>
      <c r="P1320" s="894"/>
      <c r="Q1320" s="894"/>
      <c r="R1320" s="916"/>
      <c r="S1320" s="916"/>
      <c r="T1320" s="894"/>
      <c r="U1320" s="894"/>
      <c r="V1320" s="921" t="str">
        <f>'refer admin discharge'!H1321</f>
        <v>00/00/0000</v>
      </c>
      <c r="W1320" s="922"/>
      <c r="X1320" s="920"/>
      <c r="Y1320" s="920"/>
      <c r="Z1320" s="919"/>
      <c r="AA1320" s="919"/>
      <c r="AB1320" s="920"/>
      <c r="AC1320" s="920"/>
      <c r="AD1320" s="912"/>
      <c r="AE1320" s="912"/>
      <c r="AF1320" s="920"/>
      <c r="AG1320" s="920"/>
      <c r="AH1320" s="912"/>
      <c r="AI1320" s="912"/>
      <c r="AJ1320" s="920"/>
      <c r="AK1320" s="920"/>
      <c r="AL1320" s="905"/>
      <c r="AM1320" s="906"/>
      <c r="AN1320" s="906"/>
      <c r="AO1320" s="906"/>
      <c r="AP1320" s="906"/>
      <c r="AQ1320" s="906"/>
      <c r="AR1320" s="906"/>
      <c r="AS1320" s="906"/>
      <c r="AT1320" s="906"/>
      <c r="AU1320" s="906"/>
      <c r="AV1320" s="906"/>
      <c r="AW1320" s="906"/>
      <c r="AX1320" s="906"/>
      <c r="AY1320" s="906"/>
      <c r="AZ1320" s="906"/>
      <c r="BA1320" s="906"/>
      <c r="BB1320" s="907"/>
    </row>
    <row r="1321" spans="1:54" x14ac:dyDescent="0.25">
      <c r="A1321" s="13">
        <f t="shared" si="20"/>
        <v>1308</v>
      </c>
      <c r="B1321" s="914" t="str">
        <f>'refer admin discharge'!B1317</f>
        <v>x</v>
      </c>
      <c r="C1321" s="914"/>
      <c r="D1321" s="889" t="str">
        <f>'refer admin discharge'!D1317</f>
        <v>xx</v>
      </c>
      <c r="E1321" s="889"/>
      <c r="F1321" s="915" t="str">
        <f>'refer admin discharge'!H1317</f>
        <v>00/00/0000</v>
      </c>
      <c r="G1321" s="890"/>
      <c r="H1321" s="916"/>
      <c r="I1321" s="916"/>
      <c r="J1321" s="917"/>
      <c r="K1321" s="917"/>
      <c r="L1321" s="916"/>
      <c r="M1321" s="916"/>
      <c r="N1321" s="893"/>
      <c r="O1321" s="893"/>
      <c r="P1321" s="916"/>
      <c r="Q1321" s="916"/>
      <c r="R1321" s="893"/>
      <c r="S1321" s="893"/>
      <c r="T1321" s="916"/>
      <c r="U1321" s="916"/>
      <c r="V1321" s="921" t="str">
        <f>'refer admin discharge'!H1322</f>
        <v>00/00/0000</v>
      </c>
      <c r="W1321" s="922"/>
      <c r="X1321" s="912"/>
      <c r="Y1321" s="912"/>
      <c r="Z1321" s="924"/>
      <c r="AA1321" s="924"/>
      <c r="AB1321" s="912"/>
      <c r="AC1321" s="912"/>
      <c r="AD1321" s="913"/>
      <c r="AE1321" s="913"/>
      <c r="AF1321" s="912"/>
      <c r="AG1321" s="912"/>
      <c r="AH1321" s="913"/>
      <c r="AI1321" s="913"/>
      <c r="AJ1321" s="912"/>
      <c r="AK1321" s="912"/>
      <c r="AL1321" s="925"/>
      <c r="AM1321" s="926"/>
      <c r="AN1321" s="926"/>
      <c r="AO1321" s="926"/>
      <c r="AP1321" s="926"/>
      <c r="AQ1321" s="926"/>
      <c r="AR1321" s="926"/>
      <c r="AS1321" s="926"/>
      <c r="AT1321" s="926"/>
      <c r="AU1321" s="926"/>
      <c r="AV1321" s="926"/>
      <c r="AW1321" s="926"/>
      <c r="AX1321" s="926"/>
      <c r="AY1321" s="926"/>
      <c r="AZ1321" s="926"/>
      <c r="BA1321" s="926"/>
      <c r="BB1321" s="927"/>
    </row>
    <row r="1322" spans="1:54" x14ac:dyDescent="0.25">
      <c r="A1322" s="13">
        <f t="shared" si="20"/>
        <v>1309</v>
      </c>
      <c r="B1322" s="888" t="str">
        <f>'refer admin discharge'!B1318</f>
        <v>x</v>
      </c>
      <c r="C1322" s="888"/>
      <c r="D1322" s="868" t="str">
        <f>'refer admin discharge'!D1318</f>
        <v>xx</v>
      </c>
      <c r="E1322" s="868"/>
      <c r="F1322" s="891" t="str">
        <f>'refer admin discharge'!H1318</f>
        <v>00/00/0000</v>
      </c>
      <c r="G1322" s="892"/>
      <c r="H1322" s="894"/>
      <c r="I1322" s="894"/>
      <c r="J1322" s="918"/>
      <c r="K1322" s="918"/>
      <c r="L1322" s="894"/>
      <c r="M1322" s="894"/>
      <c r="N1322" s="916"/>
      <c r="O1322" s="916"/>
      <c r="P1322" s="894"/>
      <c r="Q1322" s="894"/>
      <c r="R1322" s="916"/>
      <c r="S1322" s="916"/>
      <c r="T1322" s="894"/>
      <c r="U1322" s="894"/>
      <c r="V1322" s="921" t="str">
        <f>'refer admin discharge'!H1323</f>
        <v>00/00/0000</v>
      </c>
      <c r="W1322" s="922"/>
      <c r="X1322" s="920"/>
      <c r="Y1322" s="920"/>
      <c r="Z1322" s="919"/>
      <c r="AA1322" s="919"/>
      <c r="AB1322" s="920"/>
      <c r="AC1322" s="920"/>
      <c r="AD1322" s="912"/>
      <c r="AE1322" s="912"/>
      <c r="AF1322" s="920"/>
      <c r="AG1322" s="920"/>
      <c r="AH1322" s="912"/>
      <c r="AI1322" s="912"/>
      <c r="AJ1322" s="920"/>
      <c r="AK1322" s="920"/>
      <c r="AL1322" s="905"/>
      <c r="AM1322" s="906"/>
      <c r="AN1322" s="906"/>
      <c r="AO1322" s="906"/>
      <c r="AP1322" s="906"/>
      <c r="AQ1322" s="906"/>
      <c r="AR1322" s="906"/>
      <c r="AS1322" s="906"/>
      <c r="AT1322" s="906"/>
      <c r="AU1322" s="906"/>
      <c r="AV1322" s="906"/>
      <c r="AW1322" s="906"/>
      <c r="AX1322" s="906"/>
      <c r="AY1322" s="906"/>
      <c r="AZ1322" s="906"/>
      <c r="BA1322" s="906"/>
      <c r="BB1322" s="907"/>
    </row>
    <row r="1323" spans="1:54" x14ac:dyDescent="0.25">
      <c r="A1323" s="13">
        <f t="shared" si="20"/>
        <v>1310</v>
      </c>
      <c r="B1323" s="914" t="str">
        <f>'refer admin discharge'!B1319</f>
        <v>x</v>
      </c>
      <c r="C1323" s="914"/>
      <c r="D1323" s="889" t="str">
        <f>'refer admin discharge'!D1319</f>
        <v>xx</v>
      </c>
      <c r="E1323" s="889"/>
      <c r="F1323" s="915" t="str">
        <f>'refer admin discharge'!H1319</f>
        <v>00/00/0000</v>
      </c>
      <c r="G1323" s="890"/>
      <c r="H1323" s="916"/>
      <c r="I1323" s="916"/>
      <c r="J1323" s="917"/>
      <c r="K1323" s="917"/>
      <c r="L1323" s="916"/>
      <c r="M1323" s="916"/>
      <c r="N1323" s="893"/>
      <c r="O1323" s="893"/>
      <c r="P1323" s="916"/>
      <c r="Q1323" s="916"/>
      <c r="R1323" s="893"/>
      <c r="S1323" s="893"/>
      <c r="T1323" s="916"/>
      <c r="U1323" s="916"/>
      <c r="V1323" s="921" t="str">
        <f>'refer admin discharge'!H1324</f>
        <v>00/00/0000</v>
      </c>
      <c r="W1323" s="922"/>
      <c r="X1323" s="912"/>
      <c r="Y1323" s="912"/>
      <c r="Z1323" s="924"/>
      <c r="AA1323" s="924"/>
      <c r="AB1323" s="912"/>
      <c r="AC1323" s="912"/>
      <c r="AD1323" s="913"/>
      <c r="AE1323" s="913"/>
      <c r="AF1323" s="912"/>
      <c r="AG1323" s="912"/>
      <c r="AH1323" s="913"/>
      <c r="AI1323" s="913"/>
      <c r="AJ1323" s="912"/>
      <c r="AK1323" s="912"/>
      <c r="AL1323" s="925"/>
      <c r="AM1323" s="926"/>
      <c r="AN1323" s="926"/>
      <c r="AO1323" s="926"/>
      <c r="AP1323" s="926"/>
      <c r="AQ1323" s="926"/>
      <c r="AR1323" s="926"/>
      <c r="AS1323" s="926"/>
      <c r="AT1323" s="926"/>
      <c r="AU1323" s="926"/>
      <c r="AV1323" s="926"/>
      <c r="AW1323" s="926"/>
      <c r="AX1323" s="926"/>
      <c r="AY1323" s="926"/>
      <c r="AZ1323" s="926"/>
      <c r="BA1323" s="926"/>
      <c r="BB1323" s="927"/>
    </row>
    <row r="1324" spans="1:54" x14ac:dyDescent="0.25">
      <c r="A1324" s="13">
        <f t="shared" si="20"/>
        <v>1311</v>
      </c>
      <c r="B1324" s="888" t="str">
        <f>'refer admin discharge'!B1320</f>
        <v>x</v>
      </c>
      <c r="C1324" s="888"/>
      <c r="D1324" s="868" t="str">
        <f>'refer admin discharge'!D1320</f>
        <v>xx</v>
      </c>
      <c r="E1324" s="868"/>
      <c r="F1324" s="891" t="str">
        <f>'refer admin discharge'!H1320</f>
        <v>00/00/0000</v>
      </c>
      <c r="G1324" s="892"/>
      <c r="H1324" s="894"/>
      <c r="I1324" s="894"/>
      <c r="J1324" s="918"/>
      <c r="K1324" s="918"/>
      <c r="L1324" s="894"/>
      <c r="M1324" s="894"/>
      <c r="N1324" s="916"/>
      <c r="O1324" s="916"/>
      <c r="P1324" s="894"/>
      <c r="Q1324" s="894"/>
      <c r="R1324" s="916"/>
      <c r="S1324" s="916"/>
      <c r="T1324" s="894"/>
      <c r="U1324" s="894"/>
      <c r="V1324" s="921" t="str">
        <f>'refer admin discharge'!H1325</f>
        <v>00/00/0000</v>
      </c>
      <c r="W1324" s="922"/>
      <c r="X1324" s="920"/>
      <c r="Y1324" s="920"/>
      <c r="Z1324" s="919"/>
      <c r="AA1324" s="919"/>
      <c r="AB1324" s="920"/>
      <c r="AC1324" s="920"/>
      <c r="AD1324" s="912"/>
      <c r="AE1324" s="912"/>
      <c r="AF1324" s="920"/>
      <c r="AG1324" s="920"/>
      <c r="AH1324" s="912"/>
      <c r="AI1324" s="912"/>
      <c r="AJ1324" s="920"/>
      <c r="AK1324" s="920"/>
      <c r="AL1324" s="905"/>
      <c r="AM1324" s="906"/>
      <c r="AN1324" s="906"/>
      <c r="AO1324" s="906"/>
      <c r="AP1324" s="906"/>
      <c r="AQ1324" s="906"/>
      <c r="AR1324" s="906"/>
      <c r="AS1324" s="906"/>
      <c r="AT1324" s="906"/>
      <c r="AU1324" s="906"/>
      <c r="AV1324" s="906"/>
      <c r="AW1324" s="906"/>
      <c r="AX1324" s="906"/>
      <c r="AY1324" s="906"/>
      <c r="AZ1324" s="906"/>
      <c r="BA1324" s="906"/>
      <c r="BB1324" s="907"/>
    </row>
    <row r="1325" spans="1:54" x14ac:dyDescent="0.25">
      <c r="A1325" s="13">
        <f t="shared" si="20"/>
        <v>1312</v>
      </c>
      <c r="B1325" s="914" t="str">
        <f>'refer admin discharge'!B1321</f>
        <v>x</v>
      </c>
      <c r="C1325" s="914"/>
      <c r="D1325" s="889" t="str">
        <f>'refer admin discharge'!D1321</f>
        <v>xx</v>
      </c>
      <c r="E1325" s="889"/>
      <c r="F1325" s="915" t="str">
        <f>'refer admin discharge'!H1321</f>
        <v>00/00/0000</v>
      </c>
      <c r="G1325" s="890"/>
      <c r="H1325" s="916"/>
      <c r="I1325" s="916"/>
      <c r="J1325" s="917"/>
      <c r="K1325" s="917"/>
      <c r="L1325" s="916"/>
      <c r="M1325" s="916"/>
      <c r="N1325" s="893"/>
      <c r="O1325" s="893"/>
      <c r="P1325" s="916"/>
      <c r="Q1325" s="916"/>
      <c r="R1325" s="893"/>
      <c r="S1325" s="893"/>
      <c r="T1325" s="916"/>
      <c r="U1325" s="916"/>
      <c r="V1325" s="921" t="str">
        <f>'refer admin discharge'!H1326</f>
        <v>00/00/0000</v>
      </c>
      <c r="W1325" s="922"/>
      <c r="X1325" s="912"/>
      <c r="Y1325" s="912"/>
      <c r="Z1325" s="924"/>
      <c r="AA1325" s="924"/>
      <c r="AB1325" s="912"/>
      <c r="AC1325" s="912"/>
      <c r="AD1325" s="913"/>
      <c r="AE1325" s="913"/>
      <c r="AF1325" s="912"/>
      <c r="AG1325" s="912"/>
      <c r="AH1325" s="913"/>
      <c r="AI1325" s="913"/>
      <c r="AJ1325" s="912"/>
      <c r="AK1325" s="912"/>
      <c r="AL1325" s="925"/>
      <c r="AM1325" s="926"/>
      <c r="AN1325" s="926"/>
      <c r="AO1325" s="926"/>
      <c r="AP1325" s="926"/>
      <c r="AQ1325" s="926"/>
      <c r="AR1325" s="926"/>
      <c r="AS1325" s="926"/>
      <c r="AT1325" s="926"/>
      <c r="AU1325" s="926"/>
      <c r="AV1325" s="926"/>
      <c r="AW1325" s="926"/>
      <c r="AX1325" s="926"/>
      <c r="AY1325" s="926"/>
      <c r="AZ1325" s="926"/>
      <c r="BA1325" s="926"/>
      <c r="BB1325" s="927"/>
    </row>
    <row r="1326" spans="1:54" x14ac:dyDescent="0.25">
      <c r="A1326" s="13">
        <f t="shared" si="20"/>
        <v>1313</v>
      </c>
      <c r="B1326" s="888" t="str">
        <f>'refer admin discharge'!B1322</f>
        <v>x</v>
      </c>
      <c r="C1326" s="888"/>
      <c r="D1326" s="868" t="str">
        <f>'refer admin discharge'!D1322</f>
        <v>xx</v>
      </c>
      <c r="E1326" s="868"/>
      <c r="F1326" s="891" t="str">
        <f>'refer admin discharge'!H1322</f>
        <v>00/00/0000</v>
      </c>
      <c r="G1326" s="892"/>
      <c r="H1326" s="894"/>
      <c r="I1326" s="894"/>
      <c r="J1326" s="918"/>
      <c r="K1326" s="918"/>
      <c r="L1326" s="894"/>
      <c r="M1326" s="894"/>
      <c r="N1326" s="916"/>
      <c r="O1326" s="916"/>
      <c r="P1326" s="894"/>
      <c r="Q1326" s="894"/>
      <c r="R1326" s="916"/>
      <c r="S1326" s="916"/>
      <c r="T1326" s="894"/>
      <c r="U1326" s="894"/>
      <c r="V1326" s="921" t="str">
        <f>'refer admin discharge'!H1327</f>
        <v>00/00/0000</v>
      </c>
      <c r="W1326" s="922"/>
      <c r="X1326" s="920"/>
      <c r="Y1326" s="920"/>
      <c r="Z1326" s="919"/>
      <c r="AA1326" s="919"/>
      <c r="AB1326" s="920"/>
      <c r="AC1326" s="920"/>
      <c r="AD1326" s="912"/>
      <c r="AE1326" s="912"/>
      <c r="AF1326" s="920"/>
      <c r="AG1326" s="920"/>
      <c r="AH1326" s="912"/>
      <c r="AI1326" s="912"/>
      <c r="AJ1326" s="920"/>
      <c r="AK1326" s="920"/>
      <c r="AL1326" s="905"/>
      <c r="AM1326" s="906"/>
      <c r="AN1326" s="906"/>
      <c r="AO1326" s="906"/>
      <c r="AP1326" s="906"/>
      <c r="AQ1326" s="906"/>
      <c r="AR1326" s="906"/>
      <c r="AS1326" s="906"/>
      <c r="AT1326" s="906"/>
      <c r="AU1326" s="906"/>
      <c r="AV1326" s="906"/>
      <c r="AW1326" s="906"/>
      <c r="AX1326" s="906"/>
      <c r="AY1326" s="906"/>
      <c r="AZ1326" s="906"/>
      <c r="BA1326" s="906"/>
      <c r="BB1326" s="907"/>
    </row>
    <row r="1327" spans="1:54" x14ac:dyDescent="0.25">
      <c r="A1327" s="13">
        <f t="shared" si="20"/>
        <v>1314</v>
      </c>
      <c r="B1327" s="914" t="str">
        <f>'refer admin discharge'!B1323</f>
        <v>x</v>
      </c>
      <c r="C1327" s="914"/>
      <c r="D1327" s="889" t="str">
        <f>'refer admin discharge'!D1323</f>
        <v>xx</v>
      </c>
      <c r="E1327" s="889"/>
      <c r="F1327" s="915" t="str">
        <f>'refer admin discharge'!H1323</f>
        <v>00/00/0000</v>
      </c>
      <c r="G1327" s="890"/>
      <c r="H1327" s="916"/>
      <c r="I1327" s="916"/>
      <c r="J1327" s="917"/>
      <c r="K1327" s="917"/>
      <c r="L1327" s="916"/>
      <c r="M1327" s="916"/>
      <c r="N1327" s="893"/>
      <c r="O1327" s="893"/>
      <c r="P1327" s="916"/>
      <c r="Q1327" s="916"/>
      <c r="R1327" s="893"/>
      <c r="S1327" s="893"/>
      <c r="T1327" s="916"/>
      <c r="U1327" s="916"/>
      <c r="V1327" s="921" t="str">
        <f>'refer admin discharge'!H1328</f>
        <v>00/00/0000</v>
      </c>
      <c r="W1327" s="922"/>
      <c r="X1327" s="912"/>
      <c r="Y1327" s="912"/>
      <c r="Z1327" s="924"/>
      <c r="AA1327" s="924"/>
      <c r="AB1327" s="912"/>
      <c r="AC1327" s="912"/>
      <c r="AD1327" s="913"/>
      <c r="AE1327" s="913"/>
      <c r="AF1327" s="912"/>
      <c r="AG1327" s="912"/>
      <c r="AH1327" s="913"/>
      <c r="AI1327" s="913"/>
      <c r="AJ1327" s="912"/>
      <c r="AK1327" s="912"/>
      <c r="AL1327" s="925"/>
      <c r="AM1327" s="926"/>
      <c r="AN1327" s="926"/>
      <c r="AO1327" s="926"/>
      <c r="AP1327" s="926"/>
      <c r="AQ1327" s="926"/>
      <c r="AR1327" s="926"/>
      <c r="AS1327" s="926"/>
      <c r="AT1327" s="926"/>
      <c r="AU1327" s="926"/>
      <c r="AV1327" s="926"/>
      <c r="AW1327" s="926"/>
      <c r="AX1327" s="926"/>
      <c r="AY1327" s="926"/>
      <c r="AZ1327" s="926"/>
      <c r="BA1327" s="926"/>
      <c r="BB1327" s="927"/>
    </row>
    <row r="1328" spans="1:54" x14ac:dyDescent="0.25">
      <c r="A1328" s="13">
        <f t="shared" si="20"/>
        <v>1315</v>
      </c>
      <c r="B1328" s="888" t="str">
        <f>'refer admin discharge'!B1324</f>
        <v>x</v>
      </c>
      <c r="C1328" s="888"/>
      <c r="D1328" s="868" t="str">
        <f>'refer admin discharge'!D1324</f>
        <v>xx</v>
      </c>
      <c r="E1328" s="868"/>
      <c r="F1328" s="891" t="str">
        <f>'refer admin discharge'!H1324</f>
        <v>00/00/0000</v>
      </c>
      <c r="G1328" s="892"/>
      <c r="H1328" s="894"/>
      <c r="I1328" s="894"/>
      <c r="J1328" s="918"/>
      <c r="K1328" s="918"/>
      <c r="L1328" s="894"/>
      <c r="M1328" s="894"/>
      <c r="N1328" s="916"/>
      <c r="O1328" s="916"/>
      <c r="P1328" s="894"/>
      <c r="Q1328" s="894"/>
      <c r="R1328" s="916"/>
      <c r="S1328" s="916"/>
      <c r="T1328" s="894"/>
      <c r="U1328" s="894"/>
      <c r="V1328" s="921" t="str">
        <f>'refer admin discharge'!H1329</f>
        <v>00/00/0000</v>
      </c>
      <c r="W1328" s="922"/>
      <c r="X1328" s="920"/>
      <c r="Y1328" s="920"/>
      <c r="Z1328" s="919"/>
      <c r="AA1328" s="919"/>
      <c r="AB1328" s="920"/>
      <c r="AC1328" s="920"/>
      <c r="AD1328" s="912"/>
      <c r="AE1328" s="912"/>
      <c r="AF1328" s="920"/>
      <c r="AG1328" s="920"/>
      <c r="AH1328" s="912"/>
      <c r="AI1328" s="912"/>
      <c r="AJ1328" s="920"/>
      <c r="AK1328" s="920"/>
      <c r="AL1328" s="905"/>
      <c r="AM1328" s="906"/>
      <c r="AN1328" s="906"/>
      <c r="AO1328" s="906"/>
      <c r="AP1328" s="906"/>
      <c r="AQ1328" s="906"/>
      <c r="AR1328" s="906"/>
      <c r="AS1328" s="906"/>
      <c r="AT1328" s="906"/>
      <c r="AU1328" s="906"/>
      <c r="AV1328" s="906"/>
      <c r="AW1328" s="906"/>
      <c r="AX1328" s="906"/>
      <c r="AY1328" s="906"/>
      <c r="AZ1328" s="906"/>
      <c r="BA1328" s="906"/>
      <c r="BB1328" s="907"/>
    </row>
    <row r="1329" spans="1:54" x14ac:dyDescent="0.25">
      <c r="A1329" s="13">
        <f t="shared" si="20"/>
        <v>1316</v>
      </c>
      <c r="B1329" s="914" t="str">
        <f>'refer admin discharge'!B1325</f>
        <v>x</v>
      </c>
      <c r="C1329" s="914"/>
      <c r="D1329" s="889" t="str">
        <f>'refer admin discharge'!D1325</f>
        <v>xx</v>
      </c>
      <c r="E1329" s="889"/>
      <c r="F1329" s="915" t="str">
        <f>'refer admin discharge'!H1325</f>
        <v>00/00/0000</v>
      </c>
      <c r="G1329" s="890"/>
      <c r="H1329" s="916"/>
      <c r="I1329" s="916"/>
      <c r="J1329" s="917"/>
      <c r="K1329" s="917"/>
      <c r="L1329" s="916"/>
      <c r="M1329" s="916"/>
      <c r="N1329" s="893"/>
      <c r="O1329" s="893"/>
      <c r="P1329" s="916"/>
      <c r="Q1329" s="916"/>
      <c r="R1329" s="893"/>
      <c r="S1329" s="893"/>
      <c r="T1329" s="916"/>
      <c r="U1329" s="916"/>
      <c r="V1329" s="921" t="str">
        <f>'refer admin discharge'!H1330</f>
        <v>00/00/0000</v>
      </c>
      <c r="W1329" s="922"/>
      <c r="X1329" s="912"/>
      <c r="Y1329" s="912"/>
      <c r="Z1329" s="924"/>
      <c r="AA1329" s="924"/>
      <c r="AB1329" s="912"/>
      <c r="AC1329" s="912"/>
      <c r="AD1329" s="913"/>
      <c r="AE1329" s="913"/>
      <c r="AF1329" s="912"/>
      <c r="AG1329" s="912"/>
      <c r="AH1329" s="913"/>
      <c r="AI1329" s="913"/>
      <c r="AJ1329" s="912"/>
      <c r="AK1329" s="912"/>
      <c r="AL1329" s="925"/>
      <c r="AM1329" s="926"/>
      <c r="AN1329" s="926"/>
      <c r="AO1329" s="926"/>
      <c r="AP1329" s="926"/>
      <c r="AQ1329" s="926"/>
      <c r="AR1329" s="926"/>
      <c r="AS1329" s="926"/>
      <c r="AT1329" s="926"/>
      <c r="AU1329" s="926"/>
      <c r="AV1329" s="926"/>
      <c r="AW1329" s="926"/>
      <c r="AX1329" s="926"/>
      <c r="AY1329" s="926"/>
      <c r="AZ1329" s="926"/>
      <c r="BA1329" s="926"/>
      <c r="BB1329" s="927"/>
    </row>
    <row r="1330" spans="1:54" x14ac:dyDescent="0.25">
      <c r="A1330" s="13">
        <f t="shared" si="20"/>
        <v>1317</v>
      </c>
      <c r="B1330" s="888" t="str">
        <f>'refer admin discharge'!B1326</f>
        <v>x</v>
      </c>
      <c r="C1330" s="888"/>
      <c r="D1330" s="868" t="str">
        <f>'refer admin discharge'!D1326</f>
        <v>xx</v>
      </c>
      <c r="E1330" s="868"/>
      <c r="F1330" s="891" t="str">
        <f>'refer admin discharge'!H1326</f>
        <v>00/00/0000</v>
      </c>
      <c r="G1330" s="892"/>
      <c r="H1330" s="894"/>
      <c r="I1330" s="894"/>
      <c r="J1330" s="918"/>
      <c r="K1330" s="918"/>
      <c r="L1330" s="894"/>
      <c r="M1330" s="894"/>
      <c r="N1330" s="916"/>
      <c r="O1330" s="916"/>
      <c r="P1330" s="894"/>
      <c r="Q1330" s="894"/>
      <c r="R1330" s="916"/>
      <c r="S1330" s="916"/>
      <c r="T1330" s="894"/>
      <c r="U1330" s="894"/>
      <c r="V1330" s="921" t="str">
        <f>'refer admin discharge'!H1331</f>
        <v>00/00/0000</v>
      </c>
      <c r="W1330" s="922"/>
      <c r="X1330" s="920"/>
      <c r="Y1330" s="920"/>
      <c r="Z1330" s="919"/>
      <c r="AA1330" s="919"/>
      <c r="AB1330" s="920"/>
      <c r="AC1330" s="920"/>
      <c r="AD1330" s="912"/>
      <c r="AE1330" s="912"/>
      <c r="AF1330" s="920"/>
      <c r="AG1330" s="920"/>
      <c r="AH1330" s="912"/>
      <c r="AI1330" s="912"/>
      <c r="AJ1330" s="920"/>
      <c r="AK1330" s="920"/>
      <c r="AL1330" s="905"/>
      <c r="AM1330" s="906"/>
      <c r="AN1330" s="906"/>
      <c r="AO1330" s="906"/>
      <c r="AP1330" s="906"/>
      <c r="AQ1330" s="906"/>
      <c r="AR1330" s="906"/>
      <c r="AS1330" s="906"/>
      <c r="AT1330" s="906"/>
      <c r="AU1330" s="906"/>
      <c r="AV1330" s="906"/>
      <c r="AW1330" s="906"/>
      <c r="AX1330" s="906"/>
      <c r="AY1330" s="906"/>
      <c r="AZ1330" s="906"/>
      <c r="BA1330" s="906"/>
      <c r="BB1330" s="907"/>
    </row>
    <row r="1331" spans="1:54" x14ac:dyDescent="0.25">
      <c r="A1331" s="13">
        <f t="shared" si="20"/>
        <v>1318</v>
      </c>
      <c r="B1331" s="914" t="str">
        <f>'refer admin discharge'!B1327</f>
        <v>x</v>
      </c>
      <c r="C1331" s="914"/>
      <c r="D1331" s="889" t="str">
        <f>'refer admin discharge'!D1327</f>
        <v>xx</v>
      </c>
      <c r="E1331" s="889"/>
      <c r="F1331" s="915" t="str">
        <f>'refer admin discharge'!H1327</f>
        <v>00/00/0000</v>
      </c>
      <c r="G1331" s="890"/>
      <c r="H1331" s="916"/>
      <c r="I1331" s="916"/>
      <c r="J1331" s="917"/>
      <c r="K1331" s="917"/>
      <c r="L1331" s="916"/>
      <c r="M1331" s="916"/>
      <c r="N1331" s="893"/>
      <c r="O1331" s="893"/>
      <c r="P1331" s="916"/>
      <c r="Q1331" s="916"/>
      <c r="R1331" s="893"/>
      <c r="S1331" s="893"/>
      <c r="T1331" s="916"/>
      <c r="U1331" s="916"/>
      <c r="V1331" s="921" t="str">
        <f>'refer admin discharge'!H1332</f>
        <v>00/00/0000</v>
      </c>
      <c r="W1331" s="922"/>
      <c r="X1331" s="912"/>
      <c r="Y1331" s="912"/>
      <c r="Z1331" s="924"/>
      <c r="AA1331" s="924"/>
      <c r="AB1331" s="912"/>
      <c r="AC1331" s="912"/>
      <c r="AD1331" s="913"/>
      <c r="AE1331" s="913"/>
      <c r="AF1331" s="912"/>
      <c r="AG1331" s="912"/>
      <c r="AH1331" s="913"/>
      <c r="AI1331" s="913"/>
      <c r="AJ1331" s="912"/>
      <c r="AK1331" s="912"/>
      <c r="AL1331" s="925"/>
      <c r="AM1331" s="926"/>
      <c r="AN1331" s="926"/>
      <c r="AO1331" s="926"/>
      <c r="AP1331" s="926"/>
      <c r="AQ1331" s="926"/>
      <c r="AR1331" s="926"/>
      <c r="AS1331" s="926"/>
      <c r="AT1331" s="926"/>
      <c r="AU1331" s="926"/>
      <c r="AV1331" s="926"/>
      <c r="AW1331" s="926"/>
      <c r="AX1331" s="926"/>
      <c r="AY1331" s="926"/>
      <c r="AZ1331" s="926"/>
      <c r="BA1331" s="926"/>
      <c r="BB1331" s="927"/>
    </row>
    <row r="1332" spans="1:54" x14ac:dyDescent="0.25">
      <c r="A1332" s="13">
        <f t="shared" si="20"/>
        <v>1319</v>
      </c>
      <c r="B1332" s="888" t="str">
        <f>'refer admin discharge'!B1328</f>
        <v>x</v>
      </c>
      <c r="C1332" s="888"/>
      <c r="D1332" s="868" t="str">
        <f>'refer admin discharge'!D1328</f>
        <v>xx</v>
      </c>
      <c r="E1332" s="868"/>
      <c r="F1332" s="891" t="str">
        <f>'refer admin discharge'!H1328</f>
        <v>00/00/0000</v>
      </c>
      <c r="G1332" s="892"/>
      <c r="H1332" s="894"/>
      <c r="I1332" s="894"/>
      <c r="J1332" s="918"/>
      <c r="K1332" s="918"/>
      <c r="L1332" s="894"/>
      <c r="M1332" s="894"/>
      <c r="N1332" s="916"/>
      <c r="O1332" s="916"/>
      <c r="P1332" s="894"/>
      <c r="Q1332" s="894"/>
      <c r="R1332" s="916"/>
      <c r="S1332" s="916"/>
      <c r="T1332" s="894"/>
      <c r="U1332" s="894"/>
      <c r="V1332" s="921" t="str">
        <f>'refer admin discharge'!H1333</f>
        <v>00/00/0000</v>
      </c>
      <c r="W1332" s="922"/>
      <c r="X1332" s="920"/>
      <c r="Y1332" s="920"/>
      <c r="Z1332" s="919"/>
      <c r="AA1332" s="919"/>
      <c r="AB1332" s="920"/>
      <c r="AC1332" s="920"/>
      <c r="AD1332" s="912"/>
      <c r="AE1332" s="912"/>
      <c r="AF1332" s="920"/>
      <c r="AG1332" s="920"/>
      <c r="AH1332" s="912"/>
      <c r="AI1332" s="912"/>
      <c r="AJ1332" s="920"/>
      <c r="AK1332" s="920"/>
      <c r="AL1332" s="905"/>
      <c r="AM1332" s="906"/>
      <c r="AN1332" s="906"/>
      <c r="AO1332" s="906"/>
      <c r="AP1332" s="906"/>
      <c r="AQ1332" s="906"/>
      <c r="AR1332" s="906"/>
      <c r="AS1332" s="906"/>
      <c r="AT1332" s="906"/>
      <c r="AU1332" s="906"/>
      <c r="AV1332" s="906"/>
      <c r="AW1332" s="906"/>
      <c r="AX1332" s="906"/>
      <c r="AY1332" s="906"/>
      <c r="AZ1332" s="906"/>
      <c r="BA1332" s="906"/>
      <c r="BB1332" s="907"/>
    </row>
    <row r="1333" spans="1:54" x14ac:dyDescent="0.25">
      <c r="A1333" s="13">
        <f t="shared" si="20"/>
        <v>1320</v>
      </c>
      <c r="B1333" s="914" t="str">
        <f>'refer admin discharge'!B1329</f>
        <v>x</v>
      </c>
      <c r="C1333" s="914"/>
      <c r="D1333" s="889" t="str">
        <f>'refer admin discharge'!D1329</f>
        <v>xx</v>
      </c>
      <c r="E1333" s="889"/>
      <c r="F1333" s="915" t="str">
        <f>'refer admin discharge'!H1329</f>
        <v>00/00/0000</v>
      </c>
      <c r="G1333" s="890"/>
      <c r="H1333" s="916"/>
      <c r="I1333" s="916"/>
      <c r="J1333" s="917"/>
      <c r="K1333" s="917"/>
      <c r="L1333" s="916"/>
      <c r="M1333" s="916"/>
      <c r="N1333" s="893"/>
      <c r="O1333" s="893"/>
      <c r="P1333" s="916"/>
      <c r="Q1333" s="916"/>
      <c r="R1333" s="893"/>
      <c r="S1333" s="893"/>
      <c r="T1333" s="916"/>
      <c r="U1333" s="916"/>
      <c r="V1333" s="921" t="str">
        <f>'refer admin discharge'!H1334</f>
        <v>00/00/0000</v>
      </c>
      <c r="W1333" s="922"/>
      <c r="X1333" s="912"/>
      <c r="Y1333" s="912"/>
      <c r="Z1333" s="924"/>
      <c r="AA1333" s="924"/>
      <c r="AB1333" s="912"/>
      <c r="AC1333" s="912"/>
      <c r="AD1333" s="913"/>
      <c r="AE1333" s="913"/>
      <c r="AF1333" s="912"/>
      <c r="AG1333" s="912"/>
      <c r="AH1333" s="913"/>
      <c r="AI1333" s="913"/>
      <c r="AJ1333" s="912"/>
      <c r="AK1333" s="912"/>
      <c r="AL1333" s="925"/>
      <c r="AM1333" s="926"/>
      <c r="AN1333" s="926"/>
      <c r="AO1333" s="926"/>
      <c r="AP1333" s="926"/>
      <c r="AQ1333" s="926"/>
      <c r="AR1333" s="926"/>
      <c r="AS1333" s="926"/>
      <c r="AT1333" s="926"/>
      <c r="AU1333" s="926"/>
      <c r="AV1333" s="926"/>
      <c r="AW1333" s="926"/>
      <c r="AX1333" s="926"/>
      <c r="AY1333" s="926"/>
      <c r="AZ1333" s="926"/>
      <c r="BA1333" s="926"/>
      <c r="BB1333" s="927"/>
    </row>
    <row r="1334" spans="1:54" x14ac:dyDescent="0.25">
      <c r="A1334" s="13">
        <f t="shared" si="20"/>
        <v>1321</v>
      </c>
      <c r="B1334" s="888" t="str">
        <f>'refer admin discharge'!B1330</f>
        <v>x</v>
      </c>
      <c r="C1334" s="888"/>
      <c r="D1334" s="868" t="str">
        <f>'refer admin discharge'!D1330</f>
        <v>xx</v>
      </c>
      <c r="E1334" s="868"/>
      <c r="F1334" s="891" t="str">
        <f>'refer admin discharge'!H1330</f>
        <v>00/00/0000</v>
      </c>
      <c r="G1334" s="892"/>
      <c r="H1334" s="894"/>
      <c r="I1334" s="894"/>
      <c r="J1334" s="918"/>
      <c r="K1334" s="918"/>
      <c r="L1334" s="894"/>
      <c r="M1334" s="894"/>
      <c r="N1334" s="916"/>
      <c r="O1334" s="916"/>
      <c r="P1334" s="894"/>
      <c r="Q1334" s="894"/>
      <c r="R1334" s="916"/>
      <c r="S1334" s="916"/>
      <c r="T1334" s="894"/>
      <c r="U1334" s="894"/>
      <c r="V1334" s="921" t="str">
        <f>'refer admin discharge'!H1335</f>
        <v>00/00/0000</v>
      </c>
      <c r="W1334" s="922"/>
      <c r="X1334" s="920"/>
      <c r="Y1334" s="920"/>
      <c r="Z1334" s="919"/>
      <c r="AA1334" s="919"/>
      <c r="AB1334" s="920"/>
      <c r="AC1334" s="920"/>
      <c r="AD1334" s="912"/>
      <c r="AE1334" s="912"/>
      <c r="AF1334" s="920"/>
      <c r="AG1334" s="920"/>
      <c r="AH1334" s="912"/>
      <c r="AI1334" s="912"/>
      <c r="AJ1334" s="920"/>
      <c r="AK1334" s="920"/>
      <c r="AL1334" s="905"/>
      <c r="AM1334" s="906"/>
      <c r="AN1334" s="906"/>
      <c r="AO1334" s="906"/>
      <c r="AP1334" s="906"/>
      <c r="AQ1334" s="906"/>
      <c r="AR1334" s="906"/>
      <c r="AS1334" s="906"/>
      <c r="AT1334" s="906"/>
      <c r="AU1334" s="906"/>
      <c r="AV1334" s="906"/>
      <c r="AW1334" s="906"/>
      <c r="AX1334" s="906"/>
      <c r="AY1334" s="906"/>
      <c r="AZ1334" s="906"/>
      <c r="BA1334" s="906"/>
      <c r="BB1334" s="907"/>
    </row>
    <row r="1335" spans="1:54" x14ac:dyDescent="0.25">
      <c r="A1335" s="13">
        <f t="shared" si="20"/>
        <v>1322</v>
      </c>
      <c r="B1335" s="914" t="str">
        <f>'refer admin discharge'!B1331</f>
        <v>x</v>
      </c>
      <c r="C1335" s="914"/>
      <c r="D1335" s="889" t="str">
        <f>'refer admin discharge'!D1331</f>
        <v>xx</v>
      </c>
      <c r="E1335" s="889"/>
      <c r="F1335" s="915" t="str">
        <f>'refer admin discharge'!H1331</f>
        <v>00/00/0000</v>
      </c>
      <c r="G1335" s="890"/>
      <c r="H1335" s="916"/>
      <c r="I1335" s="916"/>
      <c r="J1335" s="917"/>
      <c r="K1335" s="917"/>
      <c r="L1335" s="916"/>
      <c r="M1335" s="916"/>
      <c r="N1335" s="893"/>
      <c r="O1335" s="893"/>
      <c r="P1335" s="916"/>
      <c r="Q1335" s="916"/>
      <c r="R1335" s="893"/>
      <c r="S1335" s="893"/>
      <c r="T1335" s="916"/>
      <c r="U1335" s="916"/>
      <c r="V1335" s="921" t="str">
        <f>'refer admin discharge'!H1336</f>
        <v>00/00/0000</v>
      </c>
      <c r="W1335" s="922"/>
      <c r="X1335" s="912"/>
      <c r="Y1335" s="912"/>
      <c r="Z1335" s="924"/>
      <c r="AA1335" s="924"/>
      <c r="AB1335" s="912"/>
      <c r="AC1335" s="912"/>
      <c r="AD1335" s="913"/>
      <c r="AE1335" s="913"/>
      <c r="AF1335" s="912"/>
      <c r="AG1335" s="912"/>
      <c r="AH1335" s="913"/>
      <c r="AI1335" s="913"/>
      <c r="AJ1335" s="912"/>
      <c r="AK1335" s="912"/>
      <c r="AL1335" s="925"/>
      <c r="AM1335" s="926"/>
      <c r="AN1335" s="926"/>
      <c r="AO1335" s="926"/>
      <c r="AP1335" s="926"/>
      <c r="AQ1335" s="926"/>
      <c r="AR1335" s="926"/>
      <c r="AS1335" s="926"/>
      <c r="AT1335" s="926"/>
      <c r="AU1335" s="926"/>
      <c r="AV1335" s="926"/>
      <c r="AW1335" s="926"/>
      <c r="AX1335" s="926"/>
      <c r="AY1335" s="926"/>
      <c r="AZ1335" s="926"/>
      <c r="BA1335" s="926"/>
      <c r="BB1335" s="927"/>
    </row>
    <row r="1336" spans="1:54" x14ac:dyDescent="0.25">
      <c r="A1336" s="13">
        <f t="shared" si="20"/>
        <v>1323</v>
      </c>
      <c r="B1336" s="888" t="str">
        <f>'refer admin discharge'!B1332</f>
        <v>x</v>
      </c>
      <c r="C1336" s="888"/>
      <c r="D1336" s="868" t="str">
        <f>'refer admin discharge'!D1332</f>
        <v>xx</v>
      </c>
      <c r="E1336" s="868"/>
      <c r="F1336" s="891" t="str">
        <f>'refer admin discharge'!H1332</f>
        <v>00/00/0000</v>
      </c>
      <c r="G1336" s="892"/>
      <c r="H1336" s="894"/>
      <c r="I1336" s="894"/>
      <c r="J1336" s="918"/>
      <c r="K1336" s="918"/>
      <c r="L1336" s="894"/>
      <c r="M1336" s="894"/>
      <c r="N1336" s="916"/>
      <c r="O1336" s="916"/>
      <c r="P1336" s="894"/>
      <c r="Q1336" s="894"/>
      <c r="R1336" s="916"/>
      <c r="S1336" s="916"/>
      <c r="T1336" s="894"/>
      <c r="U1336" s="894"/>
      <c r="V1336" s="921" t="str">
        <f>'refer admin discharge'!H1337</f>
        <v>00/00/0000</v>
      </c>
      <c r="W1336" s="922"/>
      <c r="X1336" s="920"/>
      <c r="Y1336" s="920"/>
      <c r="Z1336" s="919"/>
      <c r="AA1336" s="919"/>
      <c r="AB1336" s="920"/>
      <c r="AC1336" s="920"/>
      <c r="AD1336" s="912"/>
      <c r="AE1336" s="912"/>
      <c r="AF1336" s="920"/>
      <c r="AG1336" s="920"/>
      <c r="AH1336" s="912"/>
      <c r="AI1336" s="912"/>
      <c r="AJ1336" s="920"/>
      <c r="AK1336" s="920"/>
      <c r="AL1336" s="905"/>
      <c r="AM1336" s="906"/>
      <c r="AN1336" s="906"/>
      <c r="AO1336" s="906"/>
      <c r="AP1336" s="906"/>
      <c r="AQ1336" s="906"/>
      <c r="AR1336" s="906"/>
      <c r="AS1336" s="906"/>
      <c r="AT1336" s="906"/>
      <c r="AU1336" s="906"/>
      <c r="AV1336" s="906"/>
      <c r="AW1336" s="906"/>
      <c r="AX1336" s="906"/>
      <c r="AY1336" s="906"/>
      <c r="AZ1336" s="906"/>
      <c r="BA1336" s="906"/>
      <c r="BB1336" s="907"/>
    </row>
    <row r="1337" spans="1:54" x14ac:dyDescent="0.25">
      <c r="A1337" s="13">
        <f t="shared" si="20"/>
        <v>1324</v>
      </c>
      <c r="B1337" s="914" t="str">
        <f>'refer admin discharge'!B1333</f>
        <v>x</v>
      </c>
      <c r="C1337" s="914"/>
      <c r="D1337" s="889" t="str">
        <f>'refer admin discharge'!D1333</f>
        <v>xx</v>
      </c>
      <c r="E1337" s="889"/>
      <c r="F1337" s="915" t="str">
        <f>'refer admin discharge'!H1333</f>
        <v>00/00/0000</v>
      </c>
      <c r="G1337" s="890"/>
      <c r="H1337" s="916"/>
      <c r="I1337" s="916"/>
      <c r="J1337" s="917"/>
      <c r="K1337" s="917"/>
      <c r="L1337" s="916"/>
      <c r="M1337" s="916"/>
      <c r="N1337" s="893"/>
      <c r="O1337" s="893"/>
      <c r="P1337" s="916"/>
      <c r="Q1337" s="916"/>
      <c r="R1337" s="893"/>
      <c r="S1337" s="893"/>
      <c r="T1337" s="916"/>
      <c r="U1337" s="916"/>
      <c r="V1337" s="921" t="str">
        <f>'refer admin discharge'!H1338</f>
        <v>00/00/0000</v>
      </c>
      <c r="W1337" s="922"/>
      <c r="X1337" s="912"/>
      <c r="Y1337" s="912"/>
      <c r="Z1337" s="924"/>
      <c r="AA1337" s="924"/>
      <c r="AB1337" s="912"/>
      <c r="AC1337" s="912"/>
      <c r="AD1337" s="913"/>
      <c r="AE1337" s="913"/>
      <c r="AF1337" s="912"/>
      <c r="AG1337" s="912"/>
      <c r="AH1337" s="913"/>
      <c r="AI1337" s="913"/>
      <c r="AJ1337" s="912"/>
      <c r="AK1337" s="912"/>
      <c r="AL1337" s="925"/>
      <c r="AM1337" s="926"/>
      <c r="AN1337" s="926"/>
      <c r="AO1337" s="926"/>
      <c r="AP1337" s="926"/>
      <c r="AQ1337" s="926"/>
      <c r="AR1337" s="926"/>
      <c r="AS1337" s="926"/>
      <c r="AT1337" s="926"/>
      <c r="AU1337" s="926"/>
      <c r="AV1337" s="926"/>
      <c r="AW1337" s="926"/>
      <c r="AX1337" s="926"/>
      <c r="AY1337" s="926"/>
      <c r="AZ1337" s="926"/>
      <c r="BA1337" s="926"/>
      <c r="BB1337" s="927"/>
    </row>
    <row r="1338" spans="1:54" x14ac:dyDescent="0.25">
      <c r="A1338" s="13">
        <f t="shared" si="20"/>
        <v>1325</v>
      </c>
      <c r="B1338" s="888" t="str">
        <f>'refer admin discharge'!B1334</f>
        <v>x</v>
      </c>
      <c r="C1338" s="888"/>
      <c r="D1338" s="868" t="str">
        <f>'refer admin discharge'!D1334</f>
        <v>xx</v>
      </c>
      <c r="E1338" s="868"/>
      <c r="F1338" s="891" t="str">
        <f>'refer admin discharge'!H1334</f>
        <v>00/00/0000</v>
      </c>
      <c r="G1338" s="892"/>
      <c r="H1338" s="894"/>
      <c r="I1338" s="894"/>
      <c r="J1338" s="918"/>
      <c r="K1338" s="918"/>
      <c r="L1338" s="894"/>
      <c r="M1338" s="894"/>
      <c r="N1338" s="916"/>
      <c r="O1338" s="916"/>
      <c r="P1338" s="894"/>
      <c r="Q1338" s="894"/>
      <c r="R1338" s="916"/>
      <c r="S1338" s="916"/>
      <c r="T1338" s="894"/>
      <c r="U1338" s="894"/>
      <c r="V1338" s="921" t="str">
        <f>'refer admin discharge'!H1339</f>
        <v>00/00/0000</v>
      </c>
      <c r="W1338" s="922"/>
      <c r="X1338" s="920"/>
      <c r="Y1338" s="920"/>
      <c r="Z1338" s="919"/>
      <c r="AA1338" s="919"/>
      <c r="AB1338" s="920"/>
      <c r="AC1338" s="920"/>
      <c r="AD1338" s="912"/>
      <c r="AE1338" s="912"/>
      <c r="AF1338" s="920"/>
      <c r="AG1338" s="920"/>
      <c r="AH1338" s="912"/>
      <c r="AI1338" s="912"/>
      <c r="AJ1338" s="920"/>
      <c r="AK1338" s="920"/>
      <c r="AL1338" s="905"/>
      <c r="AM1338" s="906"/>
      <c r="AN1338" s="906"/>
      <c r="AO1338" s="906"/>
      <c r="AP1338" s="906"/>
      <c r="AQ1338" s="906"/>
      <c r="AR1338" s="906"/>
      <c r="AS1338" s="906"/>
      <c r="AT1338" s="906"/>
      <c r="AU1338" s="906"/>
      <c r="AV1338" s="906"/>
      <c r="AW1338" s="906"/>
      <c r="AX1338" s="906"/>
      <c r="AY1338" s="906"/>
      <c r="AZ1338" s="906"/>
      <c r="BA1338" s="906"/>
      <c r="BB1338" s="907"/>
    </row>
    <row r="1339" spans="1:54" x14ac:dyDescent="0.25">
      <c r="A1339" s="13">
        <f t="shared" si="20"/>
        <v>1326</v>
      </c>
      <c r="B1339" s="914" t="str">
        <f>'refer admin discharge'!B1335</f>
        <v>x</v>
      </c>
      <c r="C1339" s="914"/>
      <c r="D1339" s="889" t="str">
        <f>'refer admin discharge'!D1335</f>
        <v>xx</v>
      </c>
      <c r="E1339" s="889"/>
      <c r="F1339" s="915" t="str">
        <f>'refer admin discharge'!H1335</f>
        <v>00/00/0000</v>
      </c>
      <c r="G1339" s="890"/>
      <c r="H1339" s="916"/>
      <c r="I1339" s="916"/>
      <c r="J1339" s="917"/>
      <c r="K1339" s="917"/>
      <c r="L1339" s="916"/>
      <c r="M1339" s="916"/>
      <c r="N1339" s="893"/>
      <c r="O1339" s="893"/>
      <c r="P1339" s="916"/>
      <c r="Q1339" s="916"/>
      <c r="R1339" s="893"/>
      <c r="S1339" s="893"/>
      <c r="T1339" s="916"/>
      <c r="U1339" s="916"/>
      <c r="V1339" s="921" t="str">
        <f>'refer admin discharge'!H1340</f>
        <v>00/00/0000</v>
      </c>
      <c r="W1339" s="922"/>
      <c r="X1339" s="912"/>
      <c r="Y1339" s="912"/>
      <c r="Z1339" s="924"/>
      <c r="AA1339" s="924"/>
      <c r="AB1339" s="912"/>
      <c r="AC1339" s="912"/>
      <c r="AD1339" s="913"/>
      <c r="AE1339" s="913"/>
      <c r="AF1339" s="912"/>
      <c r="AG1339" s="912"/>
      <c r="AH1339" s="913"/>
      <c r="AI1339" s="913"/>
      <c r="AJ1339" s="912"/>
      <c r="AK1339" s="912"/>
      <c r="AL1339" s="925"/>
      <c r="AM1339" s="926"/>
      <c r="AN1339" s="926"/>
      <c r="AO1339" s="926"/>
      <c r="AP1339" s="926"/>
      <c r="AQ1339" s="926"/>
      <c r="AR1339" s="926"/>
      <c r="AS1339" s="926"/>
      <c r="AT1339" s="926"/>
      <c r="AU1339" s="926"/>
      <c r="AV1339" s="926"/>
      <c r="AW1339" s="926"/>
      <c r="AX1339" s="926"/>
      <c r="AY1339" s="926"/>
      <c r="AZ1339" s="926"/>
      <c r="BA1339" s="926"/>
      <c r="BB1339" s="927"/>
    </row>
    <row r="1340" spans="1:54" x14ac:dyDescent="0.25">
      <c r="A1340" s="13">
        <f t="shared" si="20"/>
        <v>1327</v>
      </c>
      <c r="B1340" s="888" t="str">
        <f>'refer admin discharge'!B1336</f>
        <v>x</v>
      </c>
      <c r="C1340" s="888"/>
      <c r="D1340" s="868" t="str">
        <f>'refer admin discharge'!D1336</f>
        <v>xx</v>
      </c>
      <c r="E1340" s="868"/>
      <c r="F1340" s="891" t="str">
        <f>'refer admin discharge'!H1336</f>
        <v>00/00/0000</v>
      </c>
      <c r="G1340" s="892"/>
      <c r="H1340" s="894"/>
      <c r="I1340" s="894"/>
      <c r="J1340" s="918"/>
      <c r="K1340" s="918"/>
      <c r="L1340" s="894"/>
      <c r="M1340" s="894"/>
      <c r="N1340" s="916"/>
      <c r="O1340" s="916"/>
      <c r="P1340" s="894"/>
      <c r="Q1340" s="894"/>
      <c r="R1340" s="916"/>
      <c r="S1340" s="916"/>
      <c r="T1340" s="894"/>
      <c r="U1340" s="894"/>
      <c r="V1340" s="921" t="str">
        <f>'refer admin discharge'!H1341</f>
        <v>00/00/0000</v>
      </c>
      <c r="W1340" s="922"/>
      <c r="X1340" s="920"/>
      <c r="Y1340" s="920"/>
      <c r="Z1340" s="919"/>
      <c r="AA1340" s="919"/>
      <c r="AB1340" s="920"/>
      <c r="AC1340" s="920"/>
      <c r="AD1340" s="912"/>
      <c r="AE1340" s="912"/>
      <c r="AF1340" s="920"/>
      <c r="AG1340" s="920"/>
      <c r="AH1340" s="912"/>
      <c r="AI1340" s="912"/>
      <c r="AJ1340" s="920"/>
      <c r="AK1340" s="920"/>
      <c r="AL1340" s="905"/>
      <c r="AM1340" s="906"/>
      <c r="AN1340" s="906"/>
      <c r="AO1340" s="906"/>
      <c r="AP1340" s="906"/>
      <c r="AQ1340" s="906"/>
      <c r="AR1340" s="906"/>
      <c r="AS1340" s="906"/>
      <c r="AT1340" s="906"/>
      <c r="AU1340" s="906"/>
      <c r="AV1340" s="906"/>
      <c r="AW1340" s="906"/>
      <c r="AX1340" s="906"/>
      <c r="AY1340" s="906"/>
      <c r="AZ1340" s="906"/>
      <c r="BA1340" s="906"/>
      <c r="BB1340" s="907"/>
    </row>
    <row r="1341" spans="1:54" x14ac:dyDescent="0.25">
      <c r="A1341" s="13">
        <f t="shared" si="20"/>
        <v>1328</v>
      </c>
      <c r="B1341" s="914" t="str">
        <f>'refer admin discharge'!B1337</f>
        <v>x</v>
      </c>
      <c r="C1341" s="914"/>
      <c r="D1341" s="889" t="str">
        <f>'refer admin discharge'!D1337</f>
        <v>xx</v>
      </c>
      <c r="E1341" s="889"/>
      <c r="F1341" s="915" t="str">
        <f>'refer admin discharge'!H1337</f>
        <v>00/00/0000</v>
      </c>
      <c r="G1341" s="890"/>
      <c r="H1341" s="916"/>
      <c r="I1341" s="916"/>
      <c r="J1341" s="917"/>
      <c r="K1341" s="917"/>
      <c r="L1341" s="916"/>
      <c r="M1341" s="916"/>
      <c r="N1341" s="893"/>
      <c r="O1341" s="893"/>
      <c r="P1341" s="916"/>
      <c r="Q1341" s="916"/>
      <c r="R1341" s="893"/>
      <c r="S1341" s="893"/>
      <c r="T1341" s="916"/>
      <c r="U1341" s="916"/>
      <c r="V1341" s="921" t="str">
        <f>'refer admin discharge'!H1342</f>
        <v>00/00/0000</v>
      </c>
      <c r="W1341" s="922"/>
      <c r="X1341" s="912"/>
      <c r="Y1341" s="912"/>
      <c r="Z1341" s="924"/>
      <c r="AA1341" s="924"/>
      <c r="AB1341" s="912"/>
      <c r="AC1341" s="912"/>
      <c r="AD1341" s="913"/>
      <c r="AE1341" s="913"/>
      <c r="AF1341" s="912"/>
      <c r="AG1341" s="912"/>
      <c r="AH1341" s="913"/>
      <c r="AI1341" s="913"/>
      <c r="AJ1341" s="912"/>
      <c r="AK1341" s="912"/>
      <c r="AL1341" s="925"/>
      <c r="AM1341" s="926"/>
      <c r="AN1341" s="926"/>
      <c r="AO1341" s="926"/>
      <c r="AP1341" s="926"/>
      <c r="AQ1341" s="926"/>
      <c r="AR1341" s="926"/>
      <c r="AS1341" s="926"/>
      <c r="AT1341" s="926"/>
      <c r="AU1341" s="926"/>
      <c r="AV1341" s="926"/>
      <c r="AW1341" s="926"/>
      <c r="AX1341" s="926"/>
      <c r="AY1341" s="926"/>
      <c r="AZ1341" s="926"/>
      <c r="BA1341" s="926"/>
      <c r="BB1341" s="927"/>
    </row>
    <row r="1342" spans="1:54" x14ac:dyDescent="0.25">
      <c r="A1342" s="13">
        <f t="shared" si="20"/>
        <v>1329</v>
      </c>
      <c r="B1342" s="888" t="str">
        <f>'refer admin discharge'!B1338</f>
        <v>x</v>
      </c>
      <c r="C1342" s="888"/>
      <c r="D1342" s="868" t="str">
        <f>'refer admin discharge'!D1338</f>
        <v>xx</v>
      </c>
      <c r="E1342" s="868"/>
      <c r="F1342" s="891" t="str">
        <f>'refer admin discharge'!H1338</f>
        <v>00/00/0000</v>
      </c>
      <c r="G1342" s="892"/>
      <c r="H1342" s="894"/>
      <c r="I1342" s="894"/>
      <c r="J1342" s="918"/>
      <c r="K1342" s="918"/>
      <c r="L1342" s="894"/>
      <c r="M1342" s="894"/>
      <c r="N1342" s="916"/>
      <c r="O1342" s="916"/>
      <c r="P1342" s="894"/>
      <c r="Q1342" s="894"/>
      <c r="R1342" s="916"/>
      <c r="S1342" s="916"/>
      <c r="T1342" s="894"/>
      <c r="U1342" s="894"/>
      <c r="V1342" s="921" t="str">
        <f>'refer admin discharge'!H1343</f>
        <v>00/00/0000</v>
      </c>
      <c r="W1342" s="922"/>
      <c r="X1342" s="920"/>
      <c r="Y1342" s="920"/>
      <c r="Z1342" s="919"/>
      <c r="AA1342" s="919"/>
      <c r="AB1342" s="920"/>
      <c r="AC1342" s="920"/>
      <c r="AD1342" s="912"/>
      <c r="AE1342" s="912"/>
      <c r="AF1342" s="920"/>
      <c r="AG1342" s="920"/>
      <c r="AH1342" s="912"/>
      <c r="AI1342" s="912"/>
      <c r="AJ1342" s="920"/>
      <c r="AK1342" s="920"/>
      <c r="AL1342" s="905"/>
      <c r="AM1342" s="906"/>
      <c r="AN1342" s="906"/>
      <c r="AO1342" s="906"/>
      <c r="AP1342" s="906"/>
      <c r="AQ1342" s="906"/>
      <c r="AR1342" s="906"/>
      <c r="AS1342" s="906"/>
      <c r="AT1342" s="906"/>
      <c r="AU1342" s="906"/>
      <c r="AV1342" s="906"/>
      <c r="AW1342" s="906"/>
      <c r="AX1342" s="906"/>
      <c r="AY1342" s="906"/>
      <c r="AZ1342" s="906"/>
      <c r="BA1342" s="906"/>
      <c r="BB1342" s="907"/>
    </row>
    <row r="1343" spans="1:54" x14ac:dyDescent="0.25">
      <c r="A1343" s="13">
        <f t="shared" si="20"/>
        <v>1330</v>
      </c>
      <c r="B1343" s="914" t="str">
        <f>'refer admin discharge'!B1339</f>
        <v>x</v>
      </c>
      <c r="C1343" s="914"/>
      <c r="D1343" s="889" t="str">
        <f>'refer admin discharge'!D1339</f>
        <v>xx</v>
      </c>
      <c r="E1343" s="889"/>
      <c r="F1343" s="915" t="str">
        <f>'refer admin discharge'!H1339</f>
        <v>00/00/0000</v>
      </c>
      <c r="G1343" s="890"/>
      <c r="H1343" s="916"/>
      <c r="I1343" s="916"/>
      <c r="J1343" s="917"/>
      <c r="K1343" s="917"/>
      <c r="L1343" s="916"/>
      <c r="M1343" s="916"/>
      <c r="N1343" s="893"/>
      <c r="O1343" s="893"/>
      <c r="P1343" s="916"/>
      <c r="Q1343" s="916"/>
      <c r="R1343" s="893"/>
      <c r="S1343" s="893"/>
      <c r="T1343" s="916"/>
      <c r="U1343" s="916"/>
      <c r="V1343" s="921" t="str">
        <f>'refer admin discharge'!H1344</f>
        <v>00/00/0000</v>
      </c>
      <c r="W1343" s="922"/>
      <c r="X1343" s="912"/>
      <c r="Y1343" s="912"/>
      <c r="Z1343" s="924"/>
      <c r="AA1343" s="924"/>
      <c r="AB1343" s="912"/>
      <c r="AC1343" s="912"/>
      <c r="AD1343" s="913"/>
      <c r="AE1343" s="913"/>
      <c r="AF1343" s="912"/>
      <c r="AG1343" s="912"/>
      <c r="AH1343" s="913"/>
      <c r="AI1343" s="913"/>
      <c r="AJ1343" s="912"/>
      <c r="AK1343" s="912"/>
      <c r="AL1343" s="925"/>
      <c r="AM1343" s="926"/>
      <c r="AN1343" s="926"/>
      <c r="AO1343" s="926"/>
      <c r="AP1343" s="926"/>
      <c r="AQ1343" s="926"/>
      <c r="AR1343" s="926"/>
      <c r="AS1343" s="926"/>
      <c r="AT1343" s="926"/>
      <c r="AU1343" s="926"/>
      <c r="AV1343" s="926"/>
      <c r="AW1343" s="926"/>
      <c r="AX1343" s="926"/>
      <c r="AY1343" s="926"/>
      <c r="AZ1343" s="926"/>
      <c r="BA1343" s="926"/>
      <c r="BB1343" s="927"/>
    </row>
    <row r="1344" spans="1:54" x14ac:dyDescent="0.25">
      <c r="A1344" s="13">
        <f t="shared" si="20"/>
        <v>1331</v>
      </c>
      <c r="B1344" s="888" t="str">
        <f>'refer admin discharge'!B1340</f>
        <v>x</v>
      </c>
      <c r="C1344" s="888"/>
      <c r="D1344" s="868" t="str">
        <f>'refer admin discharge'!D1340</f>
        <v>xx</v>
      </c>
      <c r="E1344" s="868"/>
      <c r="F1344" s="891" t="str">
        <f>'refer admin discharge'!H1340</f>
        <v>00/00/0000</v>
      </c>
      <c r="G1344" s="892"/>
      <c r="H1344" s="894"/>
      <c r="I1344" s="894"/>
      <c r="J1344" s="918"/>
      <c r="K1344" s="918"/>
      <c r="L1344" s="894"/>
      <c r="M1344" s="894"/>
      <c r="N1344" s="916"/>
      <c r="O1344" s="916"/>
      <c r="P1344" s="894"/>
      <c r="Q1344" s="894"/>
      <c r="R1344" s="916"/>
      <c r="S1344" s="916"/>
      <c r="T1344" s="894"/>
      <c r="U1344" s="894"/>
      <c r="V1344" s="921" t="str">
        <f>'refer admin discharge'!H1345</f>
        <v>00/00/0000</v>
      </c>
      <c r="W1344" s="922"/>
      <c r="X1344" s="920"/>
      <c r="Y1344" s="920"/>
      <c r="Z1344" s="919"/>
      <c r="AA1344" s="919"/>
      <c r="AB1344" s="920"/>
      <c r="AC1344" s="920"/>
      <c r="AD1344" s="912"/>
      <c r="AE1344" s="912"/>
      <c r="AF1344" s="920"/>
      <c r="AG1344" s="920"/>
      <c r="AH1344" s="912"/>
      <c r="AI1344" s="912"/>
      <c r="AJ1344" s="920"/>
      <c r="AK1344" s="920"/>
      <c r="AL1344" s="905"/>
      <c r="AM1344" s="906"/>
      <c r="AN1344" s="906"/>
      <c r="AO1344" s="906"/>
      <c r="AP1344" s="906"/>
      <c r="AQ1344" s="906"/>
      <c r="AR1344" s="906"/>
      <c r="AS1344" s="906"/>
      <c r="AT1344" s="906"/>
      <c r="AU1344" s="906"/>
      <c r="AV1344" s="906"/>
      <c r="AW1344" s="906"/>
      <c r="AX1344" s="906"/>
      <c r="AY1344" s="906"/>
      <c r="AZ1344" s="906"/>
      <c r="BA1344" s="906"/>
      <c r="BB1344" s="907"/>
    </row>
    <row r="1345" spans="1:54" x14ac:dyDescent="0.25">
      <c r="A1345" s="13">
        <f t="shared" si="20"/>
        <v>1332</v>
      </c>
      <c r="B1345" s="914" t="str">
        <f>'refer admin discharge'!B1341</f>
        <v>x</v>
      </c>
      <c r="C1345" s="914"/>
      <c r="D1345" s="889" t="str">
        <f>'refer admin discharge'!D1341</f>
        <v>xx</v>
      </c>
      <c r="E1345" s="889"/>
      <c r="F1345" s="915" t="str">
        <f>'refer admin discharge'!H1341</f>
        <v>00/00/0000</v>
      </c>
      <c r="G1345" s="890"/>
      <c r="H1345" s="916"/>
      <c r="I1345" s="916"/>
      <c r="J1345" s="917"/>
      <c r="K1345" s="917"/>
      <c r="L1345" s="916"/>
      <c r="M1345" s="916"/>
      <c r="N1345" s="893"/>
      <c r="O1345" s="893"/>
      <c r="P1345" s="916"/>
      <c r="Q1345" s="916"/>
      <c r="R1345" s="893"/>
      <c r="S1345" s="893"/>
      <c r="T1345" s="916"/>
      <c r="U1345" s="916"/>
      <c r="V1345" s="921" t="str">
        <f>'refer admin discharge'!H1346</f>
        <v>00/00/0000</v>
      </c>
      <c r="W1345" s="922"/>
      <c r="X1345" s="912"/>
      <c r="Y1345" s="912"/>
      <c r="Z1345" s="924"/>
      <c r="AA1345" s="924"/>
      <c r="AB1345" s="912"/>
      <c r="AC1345" s="912"/>
      <c r="AD1345" s="913"/>
      <c r="AE1345" s="913"/>
      <c r="AF1345" s="912"/>
      <c r="AG1345" s="912"/>
      <c r="AH1345" s="913"/>
      <c r="AI1345" s="913"/>
      <c r="AJ1345" s="912"/>
      <c r="AK1345" s="912"/>
      <c r="AL1345" s="925"/>
      <c r="AM1345" s="926"/>
      <c r="AN1345" s="926"/>
      <c r="AO1345" s="926"/>
      <c r="AP1345" s="926"/>
      <c r="AQ1345" s="926"/>
      <c r="AR1345" s="926"/>
      <c r="AS1345" s="926"/>
      <c r="AT1345" s="926"/>
      <c r="AU1345" s="926"/>
      <c r="AV1345" s="926"/>
      <c r="AW1345" s="926"/>
      <c r="AX1345" s="926"/>
      <c r="AY1345" s="926"/>
      <c r="AZ1345" s="926"/>
      <c r="BA1345" s="926"/>
      <c r="BB1345" s="927"/>
    </row>
    <row r="1346" spans="1:54" x14ac:dyDescent="0.25">
      <c r="A1346" s="13">
        <f t="shared" si="20"/>
        <v>1333</v>
      </c>
      <c r="B1346" s="888" t="str">
        <f>'refer admin discharge'!B1342</f>
        <v>x</v>
      </c>
      <c r="C1346" s="888"/>
      <c r="D1346" s="868" t="str">
        <f>'refer admin discharge'!D1342</f>
        <v>xx</v>
      </c>
      <c r="E1346" s="868"/>
      <c r="F1346" s="891" t="str">
        <f>'refer admin discharge'!H1342</f>
        <v>00/00/0000</v>
      </c>
      <c r="G1346" s="892"/>
      <c r="H1346" s="894"/>
      <c r="I1346" s="894"/>
      <c r="J1346" s="918"/>
      <c r="K1346" s="918"/>
      <c r="L1346" s="894"/>
      <c r="M1346" s="894"/>
      <c r="N1346" s="916"/>
      <c r="O1346" s="916"/>
      <c r="P1346" s="894"/>
      <c r="Q1346" s="894"/>
      <c r="R1346" s="916"/>
      <c r="S1346" s="916"/>
      <c r="T1346" s="894"/>
      <c r="U1346" s="894"/>
      <c r="V1346" s="921" t="str">
        <f>'refer admin discharge'!H1347</f>
        <v>00/00/0000</v>
      </c>
      <c r="W1346" s="922"/>
      <c r="X1346" s="920"/>
      <c r="Y1346" s="920"/>
      <c r="Z1346" s="919"/>
      <c r="AA1346" s="919"/>
      <c r="AB1346" s="920"/>
      <c r="AC1346" s="920"/>
      <c r="AD1346" s="912"/>
      <c r="AE1346" s="912"/>
      <c r="AF1346" s="920"/>
      <c r="AG1346" s="920"/>
      <c r="AH1346" s="912"/>
      <c r="AI1346" s="912"/>
      <c r="AJ1346" s="920"/>
      <c r="AK1346" s="920"/>
      <c r="AL1346" s="905"/>
      <c r="AM1346" s="906"/>
      <c r="AN1346" s="906"/>
      <c r="AO1346" s="906"/>
      <c r="AP1346" s="906"/>
      <c r="AQ1346" s="906"/>
      <c r="AR1346" s="906"/>
      <c r="AS1346" s="906"/>
      <c r="AT1346" s="906"/>
      <c r="AU1346" s="906"/>
      <c r="AV1346" s="906"/>
      <c r="AW1346" s="906"/>
      <c r="AX1346" s="906"/>
      <c r="AY1346" s="906"/>
      <c r="AZ1346" s="906"/>
      <c r="BA1346" s="906"/>
      <c r="BB1346" s="907"/>
    </row>
    <row r="1347" spans="1:54" x14ac:dyDescent="0.25">
      <c r="A1347" s="13">
        <f t="shared" si="20"/>
        <v>1334</v>
      </c>
      <c r="B1347" s="914" t="str">
        <f>'refer admin discharge'!B1343</f>
        <v>x</v>
      </c>
      <c r="C1347" s="914"/>
      <c r="D1347" s="889" t="str">
        <f>'refer admin discharge'!D1343</f>
        <v>xx</v>
      </c>
      <c r="E1347" s="889"/>
      <c r="F1347" s="915" t="str">
        <f>'refer admin discharge'!H1343</f>
        <v>00/00/0000</v>
      </c>
      <c r="G1347" s="890"/>
      <c r="H1347" s="916"/>
      <c r="I1347" s="916"/>
      <c r="J1347" s="917"/>
      <c r="K1347" s="917"/>
      <c r="L1347" s="916"/>
      <c r="M1347" s="916"/>
      <c r="N1347" s="893"/>
      <c r="O1347" s="893"/>
      <c r="P1347" s="916"/>
      <c r="Q1347" s="916"/>
      <c r="R1347" s="893"/>
      <c r="S1347" s="893"/>
      <c r="T1347" s="916"/>
      <c r="U1347" s="916"/>
      <c r="V1347" s="921" t="str">
        <f>'refer admin discharge'!H1348</f>
        <v>00/00/0000</v>
      </c>
      <c r="W1347" s="922"/>
      <c r="X1347" s="912"/>
      <c r="Y1347" s="912"/>
      <c r="Z1347" s="924"/>
      <c r="AA1347" s="924"/>
      <c r="AB1347" s="912"/>
      <c r="AC1347" s="912"/>
      <c r="AD1347" s="913"/>
      <c r="AE1347" s="913"/>
      <c r="AF1347" s="912"/>
      <c r="AG1347" s="912"/>
      <c r="AH1347" s="913"/>
      <c r="AI1347" s="913"/>
      <c r="AJ1347" s="912"/>
      <c r="AK1347" s="912"/>
      <c r="AL1347" s="925"/>
      <c r="AM1347" s="926"/>
      <c r="AN1347" s="926"/>
      <c r="AO1347" s="926"/>
      <c r="AP1347" s="926"/>
      <c r="AQ1347" s="926"/>
      <c r="AR1347" s="926"/>
      <c r="AS1347" s="926"/>
      <c r="AT1347" s="926"/>
      <c r="AU1347" s="926"/>
      <c r="AV1347" s="926"/>
      <c r="AW1347" s="926"/>
      <c r="AX1347" s="926"/>
      <c r="AY1347" s="926"/>
      <c r="AZ1347" s="926"/>
      <c r="BA1347" s="926"/>
      <c r="BB1347" s="927"/>
    </row>
    <row r="1348" spans="1:54" x14ac:dyDescent="0.25">
      <c r="A1348" s="13">
        <f t="shared" si="20"/>
        <v>1335</v>
      </c>
      <c r="B1348" s="888" t="str">
        <f>'refer admin discharge'!B1344</f>
        <v>x</v>
      </c>
      <c r="C1348" s="888"/>
      <c r="D1348" s="868" t="str">
        <f>'refer admin discharge'!D1344</f>
        <v>xx</v>
      </c>
      <c r="E1348" s="868"/>
      <c r="F1348" s="891" t="str">
        <f>'refer admin discharge'!H1344</f>
        <v>00/00/0000</v>
      </c>
      <c r="G1348" s="892"/>
      <c r="H1348" s="894"/>
      <c r="I1348" s="894"/>
      <c r="J1348" s="918"/>
      <c r="K1348" s="918"/>
      <c r="L1348" s="894"/>
      <c r="M1348" s="894"/>
      <c r="N1348" s="916"/>
      <c r="O1348" s="916"/>
      <c r="P1348" s="894"/>
      <c r="Q1348" s="894"/>
      <c r="R1348" s="916"/>
      <c r="S1348" s="916"/>
      <c r="T1348" s="894"/>
      <c r="U1348" s="894"/>
      <c r="V1348" s="921" t="str">
        <f>'refer admin discharge'!H1349</f>
        <v>00/00/0000</v>
      </c>
      <c r="W1348" s="922"/>
      <c r="X1348" s="920"/>
      <c r="Y1348" s="920"/>
      <c r="Z1348" s="919"/>
      <c r="AA1348" s="919"/>
      <c r="AB1348" s="920"/>
      <c r="AC1348" s="920"/>
      <c r="AD1348" s="912"/>
      <c r="AE1348" s="912"/>
      <c r="AF1348" s="920"/>
      <c r="AG1348" s="920"/>
      <c r="AH1348" s="912"/>
      <c r="AI1348" s="912"/>
      <c r="AJ1348" s="920"/>
      <c r="AK1348" s="920"/>
      <c r="AL1348" s="905"/>
      <c r="AM1348" s="906"/>
      <c r="AN1348" s="906"/>
      <c r="AO1348" s="906"/>
      <c r="AP1348" s="906"/>
      <c r="AQ1348" s="906"/>
      <c r="AR1348" s="906"/>
      <c r="AS1348" s="906"/>
      <c r="AT1348" s="906"/>
      <c r="AU1348" s="906"/>
      <c r="AV1348" s="906"/>
      <c r="AW1348" s="906"/>
      <c r="AX1348" s="906"/>
      <c r="AY1348" s="906"/>
      <c r="AZ1348" s="906"/>
      <c r="BA1348" s="906"/>
      <c r="BB1348" s="907"/>
    </row>
    <row r="1349" spans="1:54" x14ac:dyDescent="0.25">
      <c r="A1349" s="13">
        <f t="shared" si="20"/>
        <v>1336</v>
      </c>
      <c r="B1349" s="914" t="str">
        <f>'refer admin discharge'!B1345</f>
        <v>x</v>
      </c>
      <c r="C1349" s="914"/>
      <c r="D1349" s="889" t="str">
        <f>'refer admin discharge'!D1345</f>
        <v>xx</v>
      </c>
      <c r="E1349" s="889"/>
      <c r="F1349" s="915" t="str">
        <f>'refer admin discharge'!H1345</f>
        <v>00/00/0000</v>
      </c>
      <c r="G1349" s="890"/>
      <c r="H1349" s="916"/>
      <c r="I1349" s="916"/>
      <c r="J1349" s="917"/>
      <c r="K1349" s="917"/>
      <c r="L1349" s="916"/>
      <c r="M1349" s="916"/>
      <c r="N1349" s="893"/>
      <c r="O1349" s="893"/>
      <c r="P1349" s="916"/>
      <c r="Q1349" s="916"/>
      <c r="R1349" s="893"/>
      <c r="S1349" s="893"/>
      <c r="T1349" s="916"/>
      <c r="U1349" s="916"/>
      <c r="V1349" s="921" t="str">
        <f>'refer admin discharge'!H1350</f>
        <v>00/00/0000</v>
      </c>
      <c r="W1349" s="922"/>
      <c r="X1349" s="912"/>
      <c r="Y1349" s="912"/>
      <c r="Z1349" s="924"/>
      <c r="AA1349" s="924"/>
      <c r="AB1349" s="912"/>
      <c r="AC1349" s="912"/>
      <c r="AD1349" s="913"/>
      <c r="AE1349" s="913"/>
      <c r="AF1349" s="912"/>
      <c r="AG1349" s="912"/>
      <c r="AH1349" s="913"/>
      <c r="AI1349" s="913"/>
      <c r="AJ1349" s="912"/>
      <c r="AK1349" s="912"/>
      <c r="AL1349" s="925"/>
      <c r="AM1349" s="926"/>
      <c r="AN1349" s="926"/>
      <c r="AO1349" s="926"/>
      <c r="AP1349" s="926"/>
      <c r="AQ1349" s="926"/>
      <c r="AR1349" s="926"/>
      <c r="AS1349" s="926"/>
      <c r="AT1349" s="926"/>
      <c r="AU1349" s="926"/>
      <c r="AV1349" s="926"/>
      <c r="AW1349" s="926"/>
      <c r="AX1349" s="926"/>
      <c r="AY1349" s="926"/>
      <c r="AZ1349" s="926"/>
      <c r="BA1349" s="926"/>
      <c r="BB1349" s="927"/>
    </row>
    <row r="1350" spans="1:54" x14ac:dyDescent="0.25">
      <c r="A1350" s="13">
        <f t="shared" si="20"/>
        <v>1337</v>
      </c>
      <c r="B1350" s="888" t="str">
        <f>'refer admin discharge'!B1346</f>
        <v>x</v>
      </c>
      <c r="C1350" s="888"/>
      <c r="D1350" s="868" t="str">
        <f>'refer admin discharge'!D1346</f>
        <v>xx</v>
      </c>
      <c r="E1350" s="868"/>
      <c r="F1350" s="891" t="str">
        <f>'refer admin discharge'!H1346</f>
        <v>00/00/0000</v>
      </c>
      <c r="G1350" s="892"/>
      <c r="H1350" s="894"/>
      <c r="I1350" s="894"/>
      <c r="J1350" s="918"/>
      <c r="K1350" s="918"/>
      <c r="L1350" s="894"/>
      <c r="M1350" s="894"/>
      <c r="N1350" s="916"/>
      <c r="O1350" s="916"/>
      <c r="P1350" s="894"/>
      <c r="Q1350" s="894"/>
      <c r="R1350" s="916"/>
      <c r="S1350" s="916"/>
      <c r="T1350" s="894"/>
      <c r="U1350" s="894"/>
      <c r="V1350" s="921" t="str">
        <f>'refer admin discharge'!H1351</f>
        <v>00/00/0000</v>
      </c>
      <c r="W1350" s="922"/>
      <c r="X1350" s="920"/>
      <c r="Y1350" s="920"/>
      <c r="Z1350" s="919"/>
      <c r="AA1350" s="919"/>
      <c r="AB1350" s="920"/>
      <c r="AC1350" s="920"/>
      <c r="AD1350" s="912"/>
      <c r="AE1350" s="912"/>
      <c r="AF1350" s="920"/>
      <c r="AG1350" s="920"/>
      <c r="AH1350" s="912"/>
      <c r="AI1350" s="912"/>
      <c r="AJ1350" s="920"/>
      <c r="AK1350" s="920"/>
      <c r="AL1350" s="905"/>
      <c r="AM1350" s="906"/>
      <c r="AN1350" s="906"/>
      <c r="AO1350" s="906"/>
      <c r="AP1350" s="906"/>
      <c r="AQ1350" s="906"/>
      <c r="AR1350" s="906"/>
      <c r="AS1350" s="906"/>
      <c r="AT1350" s="906"/>
      <c r="AU1350" s="906"/>
      <c r="AV1350" s="906"/>
      <c r="AW1350" s="906"/>
      <c r="AX1350" s="906"/>
      <c r="AY1350" s="906"/>
      <c r="AZ1350" s="906"/>
      <c r="BA1350" s="906"/>
      <c r="BB1350" s="907"/>
    </row>
    <row r="1351" spans="1:54" x14ac:dyDescent="0.25">
      <c r="A1351" s="13">
        <f t="shared" si="20"/>
        <v>1338</v>
      </c>
      <c r="B1351" s="914" t="str">
        <f>'refer admin discharge'!B1347</f>
        <v>x</v>
      </c>
      <c r="C1351" s="914"/>
      <c r="D1351" s="889" t="str">
        <f>'refer admin discharge'!D1347</f>
        <v>xx</v>
      </c>
      <c r="E1351" s="889"/>
      <c r="F1351" s="915" t="str">
        <f>'refer admin discharge'!H1347</f>
        <v>00/00/0000</v>
      </c>
      <c r="G1351" s="890"/>
      <c r="H1351" s="916"/>
      <c r="I1351" s="916"/>
      <c r="J1351" s="917"/>
      <c r="K1351" s="917"/>
      <c r="L1351" s="916"/>
      <c r="M1351" s="916"/>
      <c r="N1351" s="893"/>
      <c r="O1351" s="893"/>
      <c r="P1351" s="916"/>
      <c r="Q1351" s="916"/>
      <c r="R1351" s="893"/>
      <c r="S1351" s="893"/>
      <c r="T1351" s="916"/>
      <c r="U1351" s="916"/>
      <c r="V1351" s="921" t="str">
        <f>'refer admin discharge'!H1352</f>
        <v>00/00/0000</v>
      </c>
      <c r="W1351" s="922"/>
      <c r="X1351" s="912"/>
      <c r="Y1351" s="912"/>
      <c r="Z1351" s="924"/>
      <c r="AA1351" s="924"/>
      <c r="AB1351" s="912"/>
      <c r="AC1351" s="912"/>
      <c r="AD1351" s="913"/>
      <c r="AE1351" s="913"/>
      <c r="AF1351" s="912"/>
      <c r="AG1351" s="912"/>
      <c r="AH1351" s="913"/>
      <c r="AI1351" s="913"/>
      <c r="AJ1351" s="912"/>
      <c r="AK1351" s="912"/>
      <c r="AL1351" s="925"/>
      <c r="AM1351" s="926"/>
      <c r="AN1351" s="926"/>
      <c r="AO1351" s="926"/>
      <c r="AP1351" s="926"/>
      <c r="AQ1351" s="926"/>
      <c r="AR1351" s="926"/>
      <c r="AS1351" s="926"/>
      <c r="AT1351" s="926"/>
      <c r="AU1351" s="926"/>
      <c r="AV1351" s="926"/>
      <c r="AW1351" s="926"/>
      <c r="AX1351" s="926"/>
      <c r="AY1351" s="926"/>
      <c r="AZ1351" s="926"/>
      <c r="BA1351" s="926"/>
      <c r="BB1351" s="927"/>
    </row>
    <row r="1352" spans="1:54" x14ac:dyDescent="0.25">
      <c r="A1352" s="13">
        <f t="shared" si="20"/>
        <v>1339</v>
      </c>
      <c r="B1352" s="888" t="str">
        <f>'refer admin discharge'!B1348</f>
        <v>x</v>
      </c>
      <c r="C1352" s="888"/>
      <c r="D1352" s="868" t="str">
        <f>'refer admin discharge'!D1348</f>
        <v>xx</v>
      </c>
      <c r="E1352" s="868"/>
      <c r="F1352" s="891" t="str">
        <f>'refer admin discharge'!H1348</f>
        <v>00/00/0000</v>
      </c>
      <c r="G1352" s="892"/>
      <c r="H1352" s="894"/>
      <c r="I1352" s="894"/>
      <c r="J1352" s="918"/>
      <c r="K1352" s="918"/>
      <c r="L1352" s="894"/>
      <c r="M1352" s="894"/>
      <c r="N1352" s="916"/>
      <c r="O1352" s="916"/>
      <c r="P1352" s="894"/>
      <c r="Q1352" s="894"/>
      <c r="R1352" s="916"/>
      <c r="S1352" s="916"/>
      <c r="T1352" s="894"/>
      <c r="U1352" s="894"/>
      <c r="V1352" s="921" t="str">
        <f>'refer admin discharge'!H1353</f>
        <v>00/00/0000</v>
      </c>
      <c r="W1352" s="922"/>
      <c r="X1352" s="920"/>
      <c r="Y1352" s="920"/>
      <c r="Z1352" s="919"/>
      <c r="AA1352" s="919"/>
      <c r="AB1352" s="920"/>
      <c r="AC1352" s="920"/>
      <c r="AD1352" s="912"/>
      <c r="AE1352" s="912"/>
      <c r="AF1352" s="920"/>
      <c r="AG1352" s="920"/>
      <c r="AH1352" s="912"/>
      <c r="AI1352" s="912"/>
      <c r="AJ1352" s="920"/>
      <c r="AK1352" s="920"/>
      <c r="AL1352" s="905"/>
      <c r="AM1352" s="906"/>
      <c r="AN1352" s="906"/>
      <c r="AO1352" s="906"/>
      <c r="AP1352" s="906"/>
      <c r="AQ1352" s="906"/>
      <c r="AR1352" s="906"/>
      <c r="AS1352" s="906"/>
      <c r="AT1352" s="906"/>
      <c r="AU1352" s="906"/>
      <c r="AV1352" s="906"/>
      <c r="AW1352" s="906"/>
      <c r="AX1352" s="906"/>
      <c r="AY1352" s="906"/>
      <c r="AZ1352" s="906"/>
      <c r="BA1352" s="906"/>
      <c r="BB1352" s="907"/>
    </row>
    <row r="1353" spans="1:54" x14ac:dyDescent="0.25">
      <c r="A1353" s="13">
        <f t="shared" si="20"/>
        <v>1340</v>
      </c>
      <c r="B1353" s="914" t="str">
        <f>'refer admin discharge'!B1349</f>
        <v>x</v>
      </c>
      <c r="C1353" s="914"/>
      <c r="D1353" s="889" t="str">
        <f>'refer admin discharge'!D1349</f>
        <v>xx</v>
      </c>
      <c r="E1353" s="889"/>
      <c r="F1353" s="915" t="str">
        <f>'refer admin discharge'!H1349</f>
        <v>00/00/0000</v>
      </c>
      <c r="G1353" s="890"/>
      <c r="H1353" s="916"/>
      <c r="I1353" s="916"/>
      <c r="J1353" s="917"/>
      <c r="K1353" s="917"/>
      <c r="L1353" s="916"/>
      <c r="M1353" s="916"/>
      <c r="N1353" s="893"/>
      <c r="O1353" s="893"/>
      <c r="P1353" s="916"/>
      <c r="Q1353" s="916"/>
      <c r="R1353" s="893"/>
      <c r="S1353" s="893"/>
      <c r="T1353" s="916"/>
      <c r="U1353" s="916"/>
      <c r="V1353" s="921" t="str">
        <f>'refer admin discharge'!H1354</f>
        <v>00/00/0000</v>
      </c>
      <c r="W1353" s="922"/>
      <c r="X1353" s="912"/>
      <c r="Y1353" s="912"/>
      <c r="Z1353" s="924"/>
      <c r="AA1353" s="924"/>
      <c r="AB1353" s="912"/>
      <c r="AC1353" s="912"/>
      <c r="AD1353" s="913"/>
      <c r="AE1353" s="913"/>
      <c r="AF1353" s="912"/>
      <c r="AG1353" s="912"/>
      <c r="AH1353" s="913"/>
      <c r="AI1353" s="913"/>
      <c r="AJ1353" s="912"/>
      <c r="AK1353" s="912"/>
      <c r="AL1353" s="925"/>
      <c r="AM1353" s="926"/>
      <c r="AN1353" s="926"/>
      <c r="AO1353" s="926"/>
      <c r="AP1353" s="926"/>
      <c r="AQ1353" s="926"/>
      <c r="AR1353" s="926"/>
      <c r="AS1353" s="926"/>
      <c r="AT1353" s="926"/>
      <c r="AU1353" s="926"/>
      <c r="AV1353" s="926"/>
      <c r="AW1353" s="926"/>
      <c r="AX1353" s="926"/>
      <c r="AY1353" s="926"/>
      <c r="AZ1353" s="926"/>
      <c r="BA1353" s="926"/>
      <c r="BB1353" s="927"/>
    </row>
    <row r="1354" spans="1:54" x14ac:dyDescent="0.25">
      <c r="A1354" s="13">
        <f t="shared" si="20"/>
        <v>1341</v>
      </c>
      <c r="B1354" s="888" t="str">
        <f>'refer admin discharge'!B1350</f>
        <v>x</v>
      </c>
      <c r="C1354" s="888"/>
      <c r="D1354" s="868" t="str">
        <f>'refer admin discharge'!D1350</f>
        <v>xx</v>
      </c>
      <c r="E1354" s="868"/>
      <c r="F1354" s="891" t="str">
        <f>'refer admin discharge'!H1350</f>
        <v>00/00/0000</v>
      </c>
      <c r="G1354" s="892"/>
      <c r="H1354" s="894"/>
      <c r="I1354" s="894"/>
      <c r="J1354" s="918"/>
      <c r="K1354" s="918"/>
      <c r="L1354" s="894"/>
      <c r="M1354" s="894"/>
      <c r="N1354" s="916"/>
      <c r="O1354" s="916"/>
      <c r="P1354" s="894"/>
      <c r="Q1354" s="894"/>
      <c r="R1354" s="916"/>
      <c r="S1354" s="916"/>
      <c r="T1354" s="894"/>
      <c r="U1354" s="894"/>
      <c r="V1354" s="921" t="str">
        <f>'refer admin discharge'!H1355</f>
        <v>00/00/0000</v>
      </c>
      <c r="W1354" s="922"/>
      <c r="X1354" s="920"/>
      <c r="Y1354" s="920"/>
      <c r="Z1354" s="919"/>
      <c r="AA1354" s="919"/>
      <c r="AB1354" s="920"/>
      <c r="AC1354" s="920"/>
      <c r="AD1354" s="912"/>
      <c r="AE1354" s="912"/>
      <c r="AF1354" s="920"/>
      <c r="AG1354" s="920"/>
      <c r="AH1354" s="912"/>
      <c r="AI1354" s="912"/>
      <c r="AJ1354" s="920"/>
      <c r="AK1354" s="920"/>
      <c r="AL1354" s="905"/>
      <c r="AM1354" s="906"/>
      <c r="AN1354" s="906"/>
      <c r="AO1354" s="906"/>
      <c r="AP1354" s="906"/>
      <c r="AQ1354" s="906"/>
      <c r="AR1354" s="906"/>
      <c r="AS1354" s="906"/>
      <c r="AT1354" s="906"/>
      <c r="AU1354" s="906"/>
      <c r="AV1354" s="906"/>
      <c r="AW1354" s="906"/>
      <c r="AX1354" s="906"/>
      <c r="AY1354" s="906"/>
      <c r="AZ1354" s="906"/>
      <c r="BA1354" s="906"/>
      <c r="BB1354" s="907"/>
    </row>
    <row r="1355" spans="1:54" x14ac:dyDescent="0.25">
      <c r="A1355" s="13">
        <f t="shared" si="20"/>
        <v>1342</v>
      </c>
      <c r="B1355" s="914" t="str">
        <f>'refer admin discharge'!B1351</f>
        <v>x</v>
      </c>
      <c r="C1355" s="914"/>
      <c r="D1355" s="889" t="str">
        <f>'refer admin discharge'!D1351</f>
        <v>xx</v>
      </c>
      <c r="E1355" s="889"/>
      <c r="F1355" s="915" t="str">
        <f>'refer admin discharge'!H1351</f>
        <v>00/00/0000</v>
      </c>
      <c r="G1355" s="890"/>
      <c r="H1355" s="916"/>
      <c r="I1355" s="916"/>
      <c r="J1355" s="917"/>
      <c r="K1355" s="917"/>
      <c r="L1355" s="916"/>
      <c r="M1355" s="916"/>
      <c r="N1355" s="893"/>
      <c r="O1355" s="893"/>
      <c r="P1355" s="916"/>
      <c r="Q1355" s="916"/>
      <c r="R1355" s="893"/>
      <c r="S1355" s="893"/>
      <c r="T1355" s="916"/>
      <c r="U1355" s="916"/>
      <c r="V1355" s="921" t="str">
        <f>'refer admin discharge'!H1356</f>
        <v>00/00/0000</v>
      </c>
      <c r="W1355" s="922"/>
      <c r="X1355" s="912"/>
      <c r="Y1355" s="912"/>
      <c r="Z1355" s="924"/>
      <c r="AA1355" s="924"/>
      <c r="AB1355" s="912"/>
      <c r="AC1355" s="912"/>
      <c r="AD1355" s="913"/>
      <c r="AE1355" s="913"/>
      <c r="AF1355" s="912"/>
      <c r="AG1355" s="912"/>
      <c r="AH1355" s="913"/>
      <c r="AI1355" s="913"/>
      <c r="AJ1355" s="912"/>
      <c r="AK1355" s="912"/>
      <c r="AL1355" s="925"/>
      <c r="AM1355" s="926"/>
      <c r="AN1355" s="926"/>
      <c r="AO1355" s="926"/>
      <c r="AP1355" s="926"/>
      <c r="AQ1355" s="926"/>
      <c r="AR1355" s="926"/>
      <c r="AS1355" s="926"/>
      <c r="AT1355" s="926"/>
      <c r="AU1355" s="926"/>
      <c r="AV1355" s="926"/>
      <c r="AW1355" s="926"/>
      <c r="AX1355" s="926"/>
      <c r="AY1355" s="926"/>
      <c r="AZ1355" s="926"/>
      <c r="BA1355" s="926"/>
      <c r="BB1355" s="927"/>
    </row>
    <row r="1356" spans="1:54" x14ac:dyDescent="0.25">
      <c r="A1356" s="13">
        <f t="shared" si="20"/>
        <v>1343</v>
      </c>
      <c r="B1356" s="888" t="str">
        <f>'refer admin discharge'!B1352</f>
        <v>x</v>
      </c>
      <c r="C1356" s="888"/>
      <c r="D1356" s="868" t="str">
        <f>'refer admin discharge'!D1352</f>
        <v>xx</v>
      </c>
      <c r="E1356" s="868"/>
      <c r="F1356" s="891" t="str">
        <f>'refer admin discharge'!H1352</f>
        <v>00/00/0000</v>
      </c>
      <c r="G1356" s="892"/>
      <c r="H1356" s="894"/>
      <c r="I1356" s="894"/>
      <c r="J1356" s="918"/>
      <c r="K1356" s="918"/>
      <c r="L1356" s="894"/>
      <c r="M1356" s="894"/>
      <c r="N1356" s="916"/>
      <c r="O1356" s="916"/>
      <c r="P1356" s="894"/>
      <c r="Q1356" s="894"/>
      <c r="R1356" s="916"/>
      <c r="S1356" s="916"/>
      <c r="T1356" s="894"/>
      <c r="U1356" s="894"/>
      <c r="V1356" s="921" t="str">
        <f>'refer admin discharge'!H1357</f>
        <v>00/00/0000</v>
      </c>
      <c r="W1356" s="922"/>
      <c r="X1356" s="920"/>
      <c r="Y1356" s="920"/>
      <c r="Z1356" s="919"/>
      <c r="AA1356" s="919"/>
      <c r="AB1356" s="920"/>
      <c r="AC1356" s="920"/>
      <c r="AD1356" s="912"/>
      <c r="AE1356" s="912"/>
      <c r="AF1356" s="920"/>
      <c r="AG1356" s="920"/>
      <c r="AH1356" s="912"/>
      <c r="AI1356" s="912"/>
      <c r="AJ1356" s="920"/>
      <c r="AK1356" s="920"/>
      <c r="AL1356" s="905"/>
      <c r="AM1356" s="906"/>
      <c r="AN1356" s="906"/>
      <c r="AO1356" s="906"/>
      <c r="AP1356" s="906"/>
      <c r="AQ1356" s="906"/>
      <c r="AR1356" s="906"/>
      <c r="AS1356" s="906"/>
      <c r="AT1356" s="906"/>
      <c r="AU1356" s="906"/>
      <c r="AV1356" s="906"/>
      <c r="AW1356" s="906"/>
      <c r="AX1356" s="906"/>
      <c r="AY1356" s="906"/>
      <c r="AZ1356" s="906"/>
      <c r="BA1356" s="906"/>
      <c r="BB1356" s="907"/>
    </row>
    <row r="1357" spans="1:54" x14ac:dyDescent="0.25">
      <c r="A1357" s="13">
        <f t="shared" si="20"/>
        <v>1344</v>
      </c>
      <c r="B1357" s="914" t="str">
        <f>'refer admin discharge'!B1353</f>
        <v>x</v>
      </c>
      <c r="C1357" s="914"/>
      <c r="D1357" s="889" t="str">
        <f>'refer admin discharge'!D1353</f>
        <v>xx</v>
      </c>
      <c r="E1357" s="889"/>
      <c r="F1357" s="915" t="str">
        <f>'refer admin discharge'!H1353</f>
        <v>00/00/0000</v>
      </c>
      <c r="G1357" s="890"/>
      <c r="H1357" s="916"/>
      <c r="I1357" s="916"/>
      <c r="J1357" s="917"/>
      <c r="K1357" s="917"/>
      <c r="L1357" s="916"/>
      <c r="M1357" s="916"/>
      <c r="N1357" s="893"/>
      <c r="O1357" s="893"/>
      <c r="P1357" s="916"/>
      <c r="Q1357" s="916"/>
      <c r="R1357" s="893"/>
      <c r="S1357" s="893"/>
      <c r="T1357" s="916"/>
      <c r="U1357" s="916"/>
      <c r="V1357" s="921" t="str">
        <f>'refer admin discharge'!H1358</f>
        <v>00/00/0000</v>
      </c>
      <c r="W1357" s="922"/>
      <c r="X1357" s="912"/>
      <c r="Y1357" s="912"/>
      <c r="Z1357" s="924"/>
      <c r="AA1357" s="924"/>
      <c r="AB1357" s="912"/>
      <c r="AC1357" s="912"/>
      <c r="AD1357" s="913"/>
      <c r="AE1357" s="913"/>
      <c r="AF1357" s="912"/>
      <c r="AG1357" s="912"/>
      <c r="AH1357" s="913"/>
      <c r="AI1357" s="913"/>
      <c r="AJ1357" s="912"/>
      <c r="AK1357" s="912"/>
      <c r="AL1357" s="925"/>
      <c r="AM1357" s="926"/>
      <c r="AN1357" s="926"/>
      <c r="AO1357" s="926"/>
      <c r="AP1357" s="926"/>
      <c r="AQ1357" s="926"/>
      <c r="AR1357" s="926"/>
      <c r="AS1357" s="926"/>
      <c r="AT1357" s="926"/>
      <c r="AU1357" s="926"/>
      <c r="AV1357" s="926"/>
      <c r="AW1357" s="926"/>
      <c r="AX1357" s="926"/>
      <c r="AY1357" s="926"/>
      <c r="AZ1357" s="926"/>
      <c r="BA1357" s="926"/>
      <c r="BB1357" s="927"/>
    </row>
    <row r="1358" spans="1:54" x14ac:dyDescent="0.25">
      <c r="A1358" s="13">
        <f t="shared" ref="A1358:A1421" si="21">ROW(A1345)</f>
        <v>1345</v>
      </c>
      <c r="B1358" s="888" t="str">
        <f>'refer admin discharge'!B1354</f>
        <v>x</v>
      </c>
      <c r="C1358" s="888"/>
      <c r="D1358" s="868" t="str">
        <f>'refer admin discharge'!D1354</f>
        <v>xx</v>
      </c>
      <c r="E1358" s="868"/>
      <c r="F1358" s="891" t="str">
        <f>'refer admin discharge'!H1354</f>
        <v>00/00/0000</v>
      </c>
      <c r="G1358" s="892"/>
      <c r="H1358" s="894"/>
      <c r="I1358" s="894"/>
      <c r="J1358" s="918"/>
      <c r="K1358" s="918"/>
      <c r="L1358" s="894"/>
      <c r="M1358" s="894"/>
      <c r="N1358" s="916"/>
      <c r="O1358" s="916"/>
      <c r="P1358" s="894"/>
      <c r="Q1358" s="894"/>
      <c r="R1358" s="916"/>
      <c r="S1358" s="916"/>
      <c r="T1358" s="894"/>
      <c r="U1358" s="894"/>
      <c r="V1358" s="921" t="str">
        <f>'refer admin discharge'!H1359</f>
        <v>00/00/0000</v>
      </c>
      <c r="W1358" s="922"/>
      <c r="X1358" s="920"/>
      <c r="Y1358" s="920"/>
      <c r="Z1358" s="919"/>
      <c r="AA1358" s="919"/>
      <c r="AB1358" s="920"/>
      <c r="AC1358" s="920"/>
      <c r="AD1358" s="912"/>
      <c r="AE1358" s="912"/>
      <c r="AF1358" s="920"/>
      <c r="AG1358" s="920"/>
      <c r="AH1358" s="912"/>
      <c r="AI1358" s="912"/>
      <c r="AJ1358" s="920"/>
      <c r="AK1358" s="920"/>
      <c r="AL1358" s="905"/>
      <c r="AM1358" s="906"/>
      <c r="AN1358" s="906"/>
      <c r="AO1358" s="906"/>
      <c r="AP1358" s="906"/>
      <c r="AQ1358" s="906"/>
      <c r="AR1358" s="906"/>
      <c r="AS1358" s="906"/>
      <c r="AT1358" s="906"/>
      <c r="AU1358" s="906"/>
      <c r="AV1358" s="906"/>
      <c r="AW1358" s="906"/>
      <c r="AX1358" s="906"/>
      <c r="AY1358" s="906"/>
      <c r="AZ1358" s="906"/>
      <c r="BA1358" s="906"/>
      <c r="BB1358" s="907"/>
    </row>
    <row r="1359" spans="1:54" x14ac:dyDescent="0.25">
      <c r="A1359" s="13">
        <f t="shared" si="21"/>
        <v>1346</v>
      </c>
      <c r="B1359" s="914" t="str">
        <f>'refer admin discharge'!B1355</f>
        <v>x</v>
      </c>
      <c r="C1359" s="914"/>
      <c r="D1359" s="889" t="str">
        <f>'refer admin discharge'!D1355</f>
        <v>xx</v>
      </c>
      <c r="E1359" s="889"/>
      <c r="F1359" s="915" t="str">
        <f>'refer admin discharge'!H1355</f>
        <v>00/00/0000</v>
      </c>
      <c r="G1359" s="890"/>
      <c r="H1359" s="916"/>
      <c r="I1359" s="916"/>
      <c r="J1359" s="917"/>
      <c r="K1359" s="917"/>
      <c r="L1359" s="916"/>
      <c r="M1359" s="916"/>
      <c r="N1359" s="893"/>
      <c r="O1359" s="893"/>
      <c r="P1359" s="916"/>
      <c r="Q1359" s="916"/>
      <c r="R1359" s="893"/>
      <c r="S1359" s="893"/>
      <c r="T1359" s="916"/>
      <c r="U1359" s="916"/>
      <c r="V1359" s="921" t="str">
        <f>'refer admin discharge'!H1360</f>
        <v>00/00/0000</v>
      </c>
      <c r="W1359" s="922"/>
      <c r="X1359" s="912"/>
      <c r="Y1359" s="912"/>
      <c r="Z1359" s="924"/>
      <c r="AA1359" s="924"/>
      <c r="AB1359" s="912"/>
      <c r="AC1359" s="912"/>
      <c r="AD1359" s="913"/>
      <c r="AE1359" s="913"/>
      <c r="AF1359" s="912"/>
      <c r="AG1359" s="912"/>
      <c r="AH1359" s="913"/>
      <c r="AI1359" s="913"/>
      <c r="AJ1359" s="912"/>
      <c r="AK1359" s="912"/>
      <c r="AL1359" s="925"/>
      <c r="AM1359" s="926"/>
      <c r="AN1359" s="926"/>
      <c r="AO1359" s="926"/>
      <c r="AP1359" s="926"/>
      <c r="AQ1359" s="926"/>
      <c r="AR1359" s="926"/>
      <c r="AS1359" s="926"/>
      <c r="AT1359" s="926"/>
      <c r="AU1359" s="926"/>
      <c r="AV1359" s="926"/>
      <c r="AW1359" s="926"/>
      <c r="AX1359" s="926"/>
      <c r="AY1359" s="926"/>
      <c r="AZ1359" s="926"/>
      <c r="BA1359" s="926"/>
      <c r="BB1359" s="927"/>
    </row>
    <row r="1360" spans="1:54" x14ac:dyDescent="0.25">
      <c r="A1360" s="13">
        <f t="shared" si="21"/>
        <v>1347</v>
      </c>
      <c r="B1360" s="888" t="str">
        <f>'refer admin discharge'!B1356</f>
        <v>x</v>
      </c>
      <c r="C1360" s="888"/>
      <c r="D1360" s="868" t="str">
        <f>'refer admin discharge'!D1356</f>
        <v>xx</v>
      </c>
      <c r="E1360" s="868"/>
      <c r="F1360" s="891" t="str">
        <f>'refer admin discharge'!H1356</f>
        <v>00/00/0000</v>
      </c>
      <c r="G1360" s="892"/>
      <c r="H1360" s="894"/>
      <c r="I1360" s="894"/>
      <c r="J1360" s="918"/>
      <c r="K1360" s="918"/>
      <c r="L1360" s="894"/>
      <c r="M1360" s="894"/>
      <c r="N1360" s="916"/>
      <c r="O1360" s="916"/>
      <c r="P1360" s="894"/>
      <c r="Q1360" s="894"/>
      <c r="R1360" s="916"/>
      <c r="S1360" s="916"/>
      <c r="T1360" s="894"/>
      <c r="U1360" s="894"/>
      <c r="V1360" s="921" t="str">
        <f>'refer admin discharge'!H1361</f>
        <v>00/00/0000</v>
      </c>
      <c r="W1360" s="922"/>
      <c r="X1360" s="920"/>
      <c r="Y1360" s="920"/>
      <c r="Z1360" s="919"/>
      <c r="AA1360" s="919"/>
      <c r="AB1360" s="920"/>
      <c r="AC1360" s="920"/>
      <c r="AD1360" s="912"/>
      <c r="AE1360" s="912"/>
      <c r="AF1360" s="920"/>
      <c r="AG1360" s="920"/>
      <c r="AH1360" s="912"/>
      <c r="AI1360" s="912"/>
      <c r="AJ1360" s="920"/>
      <c r="AK1360" s="920"/>
      <c r="AL1360" s="905"/>
      <c r="AM1360" s="906"/>
      <c r="AN1360" s="906"/>
      <c r="AO1360" s="906"/>
      <c r="AP1360" s="906"/>
      <c r="AQ1360" s="906"/>
      <c r="AR1360" s="906"/>
      <c r="AS1360" s="906"/>
      <c r="AT1360" s="906"/>
      <c r="AU1360" s="906"/>
      <c r="AV1360" s="906"/>
      <c r="AW1360" s="906"/>
      <c r="AX1360" s="906"/>
      <c r="AY1360" s="906"/>
      <c r="AZ1360" s="906"/>
      <c r="BA1360" s="906"/>
      <c r="BB1360" s="907"/>
    </row>
    <row r="1361" spans="1:54" x14ac:dyDescent="0.25">
      <c r="A1361" s="13">
        <f t="shared" si="21"/>
        <v>1348</v>
      </c>
      <c r="B1361" s="914" t="str">
        <f>'refer admin discharge'!B1357</f>
        <v>x</v>
      </c>
      <c r="C1361" s="914"/>
      <c r="D1361" s="889" t="str">
        <f>'refer admin discharge'!D1357</f>
        <v>xx</v>
      </c>
      <c r="E1361" s="889"/>
      <c r="F1361" s="915" t="str">
        <f>'refer admin discharge'!H1357</f>
        <v>00/00/0000</v>
      </c>
      <c r="G1361" s="890"/>
      <c r="H1361" s="916"/>
      <c r="I1361" s="916"/>
      <c r="J1361" s="917"/>
      <c r="K1361" s="917"/>
      <c r="L1361" s="916"/>
      <c r="M1361" s="916"/>
      <c r="N1361" s="893"/>
      <c r="O1361" s="893"/>
      <c r="P1361" s="916"/>
      <c r="Q1361" s="916"/>
      <c r="R1361" s="893"/>
      <c r="S1361" s="893"/>
      <c r="T1361" s="916"/>
      <c r="U1361" s="916"/>
      <c r="V1361" s="921" t="str">
        <f>'refer admin discharge'!H1362</f>
        <v>00/00/0000</v>
      </c>
      <c r="W1361" s="922"/>
      <c r="X1361" s="912"/>
      <c r="Y1361" s="912"/>
      <c r="Z1361" s="924"/>
      <c r="AA1361" s="924"/>
      <c r="AB1361" s="912"/>
      <c r="AC1361" s="912"/>
      <c r="AD1361" s="913"/>
      <c r="AE1361" s="913"/>
      <c r="AF1361" s="912"/>
      <c r="AG1361" s="912"/>
      <c r="AH1361" s="913"/>
      <c r="AI1361" s="913"/>
      <c r="AJ1361" s="912"/>
      <c r="AK1361" s="912"/>
      <c r="AL1361" s="925"/>
      <c r="AM1361" s="926"/>
      <c r="AN1361" s="926"/>
      <c r="AO1361" s="926"/>
      <c r="AP1361" s="926"/>
      <c r="AQ1361" s="926"/>
      <c r="AR1361" s="926"/>
      <c r="AS1361" s="926"/>
      <c r="AT1361" s="926"/>
      <c r="AU1361" s="926"/>
      <c r="AV1361" s="926"/>
      <c r="AW1361" s="926"/>
      <c r="AX1361" s="926"/>
      <c r="AY1361" s="926"/>
      <c r="AZ1361" s="926"/>
      <c r="BA1361" s="926"/>
      <c r="BB1361" s="927"/>
    </row>
    <row r="1362" spans="1:54" x14ac:dyDescent="0.25">
      <c r="A1362" s="13">
        <f t="shared" si="21"/>
        <v>1349</v>
      </c>
      <c r="B1362" s="888" t="str">
        <f>'refer admin discharge'!B1358</f>
        <v>x</v>
      </c>
      <c r="C1362" s="888"/>
      <c r="D1362" s="868" t="str">
        <f>'refer admin discharge'!D1358</f>
        <v>xx</v>
      </c>
      <c r="E1362" s="868"/>
      <c r="F1362" s="891" t="str">
        <f>'refer admin discharge'!H1358</f>
        <v>00/00/0000</v>
      </c>
      <c r="G1362" s="892"/>
      <c r="H1362" s="894"/>
      <c r="I1362" s="894"/>
      <c r="J1362" s="918"/>
      <c r="K1362" s="918"/>
      <c r="L1362" s="894"/>
      <c r="M1362" s="894"/>
      <c r="N1362" s="916"/>
      <c r="O1362" s="916"/>
      <c r="P1362" s="894"/>
      <c r="Q1362" s="894"/>
      <c r="R1362" s="916"/>
      <c r="S1362" s="916"/>
      <c r="T1362" s="894"/>
      <c r="U1362" s="894"/>
      <c r="V1362" s="921" t="str">
        <f>'refer admin discharge'!H1363</f>
        <v>00/00/0000</v>
      </c>
      <c r="W1362" s="922"/>
      <c r="X1362" s="920"/>
      <c r="Y1362" s="920"/>
      <c r="Z1362" s="919"/>
      <c r="AA1362" s="919"/>
      <c r="AB1362" s="920"/>
      <c r="AC1362" s="920"/>
      <c r="AD1362" s="912"/>
      <c r="AE1362" s="912"/>
      <c r="AF1362" s="920"/>
      <c r="AG1362" s="920"/>
      <c r="AH1362" s="912"/>
      <c r="AI1362" s="912"/>
      <c r="AJ1362" s="920"/>
      <c r="AK1362" s="920"/>
      <c r="AL1362" s="905"/>
      <c r="AM1362" s="906"/>
      <c r="AN1362" s="906"/>
      <c r="AO1362" s="906"/>
      <c r="AP1362" s="906"/>
      <c r="AQ1362" s="906"/>
      <c r="AR1362" s="906"/>
      <c r="AS1362" s="906"/>
      <c r="AT1362" s="906"/>
      <c r="AU1362" s="906"/>
      <c r="AV1362" s="906"/>
      <c r="AW1362" s="906"/>
      <c r="AX1362" s="906"/>
      <c r="AY1362" s="906"/>
      <c r="AZ1362" s="906"/>
      <c r="BA1362" s="906"/>
      <c r="BB1362" s="907"/>
    </row>
    <row r="1363" spans="1:54" x14ac:dyDescent="0.25">
      <c r="A1363" s="13">
        <f t="shared" si="21"/>
        <v>1350</v>
      </c>
      <c r="B1363" s="914" t="str">
        <f>'refer admin discharge'!B1359</f>
        <v>x</v>
      </c>
      <c r="C1363" s="914"/>
      <c r="D1363" s="889" t="str">
        <f>'refer admin discharge'!D1359</f>
        <v>xx</v>
      </c>
      <c r="E1363" s="889"/>
      <c r="F1363" s="915" t="str">
        <f>'refer admin discharge'!H1359</f>
        <v>00/00/0000</v>
      </c>
      <c r="G1363" s="890"/>
      <c r="H1363" s="916"/>
      <c r="I1363" s="916"/>
      <c r="J1363" s="917"/>
      <c r="K1363" s="917"/>
      <c r="L1363" s="916"/>
      <c r="M1363" s="916"/>
      <c r="N1363" s="893"/>
      <c r="O1363" s="893"/>
      <c r="P1363" s="916"/>
      <c r="Q1363" s="916"/>
      <c r="R1363" s="893"/>
      <c r="S1363" s="893"/>
      <c r="T1363" s="916"/>
      <c r="U1363" s="916"/>
      <c r="V1363" s="921" t="str">
        <f>'refer admin discharge'!H1364</f>
        <v>00/00/0000</v>
      </c>
      <c r="W1363" s="922"/>
      <c r="X1363" s="912"/>
      <c r="Y1363" s="912"/>
      <c r="Z1363" s="924"/>
      <c r="AA1363" s="924"/>
      <c r="AB1363" s="912"/>
      <c r="AC1363" s="912"/>
      <c r="AD1363" s="913"/>
      <c r="AE1363" s="913"/>
      <c r="AF1363" s="912"/>
      <c r="AG1363" s="912"/>
      <c r="AH1363" s="913"/>
      <c r="AI1363" s="913"/>
      <c r="AJ1363" s="912"/>
      <c r="AK1363" s="912"/>
      <c r="AL1363" s="925"/>
      <c r="AM1363" s="926"/>
      <c r="AN1363" s="926"/>
      <c r="AO1363" s="926"/>
      <c r="AP1363" s="926"/>
      <c r="AQ1363" s="926"/>
      <c r="AR1363" s="926"/>
      <c r="AS1363" s="926"/>
      <c r="AT1363" s="926"/>
      <c r="AU1363" s="926"/>
      <c r="AV1363" s="926"/>
      <c r="AW1363" s="926"/>
      <c r="AX1363" s="926"/>
      <c r="AY1363" s="926"/>
      <c r="AZ1363" s="926"/>
      <c r="BA1363" s="926"/>
      <c r="BB1363" s="927"/>
    </row>
    <row r="1364" spans="1:54" x14ac:dyDescent="0.25">
      <c r="A1364" s="13">
        <f t="shared" si="21"/>
        <v>1351</v>
      </c>
      <c r="B1364" s="888" t="str">
        <f>'refer admin discharge'!B1360</f>
        <v>x</v>
      </c>
      <c r="C1364" s="888"/>
      <c r="D1364" s="868" t="str">
        <f>'refer admin discharge'!D1360</f>
        <v>xx</v>
      </c>
      <c r="E1364" s="868"/>
      <c r="F1364" s="891" t="str">
        <f>'refer admin discharge'!H1360</f>
        <v>00/00/0000</v>
      </c>
      <c r="G1364" s="892"/>
      <c r="H1364" s="894"/>
      <c r="I1364" s="894"/>
      <c r="J1364" s="918"/>
      <c r="K1364" s="918"/>
      <c r="L1364" s="894"/>
      <c r="M1364" s="894"/>
      <c r="N1364" s="916"/>
      <c r="O1364" s="916"/>
      <c r="P1364" s="894"/>
      <c r="Q1364" s="894"/>
      <c r="R1364" s="916"/>
      <c r="S1364" s="916"/>
      <c r="T1364" s="894"/>
      <c r="U1364" s="894"/>
      <c r="V1364" s="921" t="str">
        <f>'refer admin discharge'!H1365</f>
        <v>00/00/0000</v>
      </c>
      <c r="W1364" s="922"/>
      <c r="X1364" s="920"/>
      <c r="Y1364" s="920"/>
      <c r="Z1364" s="919"/>
      <c r="AA1364" s="919"/>
      <c r="AB1364" s="920"/>
      <c r="AC1364" s="920"/>
      <c r="AD1364" s="912"/>
      <c r="AE1364" s="912"/>
      <c r="AF1364" s="920"/>
      <c r="AG1364" s="920"/>
      <c r="AH1364" s="912"/>
      <c r="AI1364" s="912"/>
      <c r="AJ1364" s="920"/>
      <c r="AK1364" s="920"/>
      <c r="AL1364" s="905"/>
      <c r="AM1364" s="906"/>
      <c r="AN1364" s="906"/>
      <c r="AO1364" s="906"/>
      <c r="AP1364" s="906"/>
      <c r="AQ1364" s="906"/>
      <c r="AR1364" s="906"/>
      <c r="AS1364" s="906"/>
      <c r="AT1364" s="906"/>
      <c r="AU1364" s="906"/>
      <c r="AV1364" s="906"/>
      <c r="AW1364" s="906"/>
      <c r="AX1364" s="906"/>
      <c r="AY1364" s="906"/>
      <c r="AZ1364" s="906"/>
      <c r="BA1364" s="906"/>
      <c r="BB1364" s="907"/>
    </row>
    <row r="1365" spans="1:54" x14ac:dyDescent="0.25">
      <c r="A1365" s="13">
        <f t="shared" si="21"/>
        <v>1352</v>
      </c>
      <c r="B1365" s="914" t="str">
        <f>'refer admin discharge'!B1361</f>
        <v>x</v>
      </c>
      <c r="C1365" s="914"/>
      <c r="D1365" s="889" t="str">
        <f>'refer admin discharge'!D1361</f>
        <v>xx</v>
      </c>
      <c r="E1365" s="889"/>
      <c r="F1365" s="915" t="str">
        <f>'refer admin discharge'!H1361</f>
        <v>00/00/0000</v>
      </c>
      <c r="G1365" s="890"/>
      <c r="H1365" s="916"/>
      <c r="I1365" s="916"/>
      <c r="J1365" s="917"/>
      <c r="K1365" s="917"/>
      <c r="L1365" s="916"/>
      <c r="M1365" s="916"/>
      <c r="N1365" s="893"/>
      <c r="O1365" s="893"/>
      <c r="P1365" s="916"/>
      <c r="Q1365" s="916"/>
      <c r="R1365" s="893"/>
      <c r="S1365" s="893"/>
      <c r="T1365" s="916"/>
      <c r="U1365" s="916"/>
      <c r="V1365" s="921" t="str">
        <f>'refer admin discharge'!H1366</f>
        <v>00/00/0000</v>
      </c>
      <c r="W1365" s="922"/>
      <c r="X1365" s="912"/>
      <c r="Y1365" s="912"/>
      <c r="Z1365" s="924"/>
      <c r="AA1365" s="924"/>
      <c r="AB1365" s="912"/>
      <c r="AC1365" s="912"/>
      <c r="AD1365" s="913"/>
      <c r="AE1365" s="913"/>
      <c r="AF1365" s="912"/>
      <c r="AG1365" s="912"/>
      <c r="AH1365" s="913"/>
      <c r="AI1365" s="913"/>
      <c r="AJ1365" s="912"/>
      <c r="AK1365" s="912"/>
      <c r="AL1365" s="925"/>
      <c r="AM1365" s="926"/>
      <c r="AN1365" s="926"/>
      <c r="AO1365" s="926"/>
      <c r="AP1365" s="926"/>
      <c r="AQ1365" s="926"/>
      <c r="AR1365" s="926"/>
      <c r="AS1365" s="926"/>
      <c r="AT1365" s="926"/>
      <c r="AU1365" s="926"/>
      <c r="AV1365" s="926"/>
      <c r="AW1365" s="926"/>
      <c r="AX1365" s="926"/>
      <c r="AY1365" s="926"/>
      <c r="AZ1365" s="926"/>
      <c r="BA1365" s="926"/>
      <c r="BB1365" s="927"/>
    </row>
    <row r="1366" spans="1:54" x14ac:dyDescent="0.25">
      <c r="A1366" s="13">
        <f t="shared" si="21"/>
        <v>1353</v>
      </c>
      <c r="B1366" s="888" t="str">
        <f>'refer admin discharge'!B1362</f>
        <v>x</v>
      </c>
      <c r="C1366" s="888"/>
      <c r="D1366" s="868" t="str">
        <f>'refer admin discharge'!D1362</f>
        <v>xx</v>
      </c>
      <c r="E1366" s="868"/>
      <c r="F1366" s="891" t="str">
        <f>'refer admin discharge'!H1362</f>
        <v>00/00/0000</v>
      </c>
      <c r="G1366" s="892"/>
      <c r="H1366" s="894"/>
      <c r="I1366" s="894"/>
      <c r="J1366" s="918"/>
      <c r="K1366" s="918"/>
      <c r="L1366" s="894"/>
      <c r="M1366" s="894"/>
      <c r="N1366" s="916"/>
      <c r="O1366" s="916"/>
      <c r="P1366" s="894"/>
      <c r="Q1366" s="894"/>
      <c r="R1366" s="916"/>
      <c r="S1366" s="916"/>
      <c r="T1366" s="894"/>
      <c r="U1366" s="894"/>
      <c r="V1366" s="921" t="str">
        <f>'refer admin discharge'!H1367</f>
        <v>00/00/0000</v>
      </c>
      <c r="W1366" s="922"/>
      <c r="X1366" s="920"/>
      <c r="Y1366" s="920"/>
      <c r="Z1366" s="919"/>
      <c r="AA1366" s="919"/>
      <c r="AB1366" s="920"/>
      <c r="AC1366" s="920"/>
      <c r="AD1366" s="912"/>
      <c r="AE1366" s="912"/>
      <c r="AF1366" s="920"/>
      <c r="AG1366" s="920"/>
      <c r="AH1366" s="912"/>
      <c r="AI1366" s="912"/>
      <c r="AJ1366" s="920"/>
      <c r="AK1366" s="920"/>
      <c r="AL1366" s="905"/>
      <c r="AM1366" s="906"/>
      <c r="AN1366" s="906"/>
      <c r="AO1366" s="906"/>
      <c r="AP1366" s="906"/>
      <c r="AQ1366" s="906"/>
      <c r="AR1366" s="906"/>
      <c r="AS1366" s="906"/>
      <c r="AT1366" s="906"/>
      <c r="AU1366" s="906"/>
      <c r="AV1366" s="906"/>
      <c r="AW1366" s="906"/>
      <c r="AX1366" s="906"/>
      <c r="AY1366" s="906"/>
      <c r="AZ1366" s="906"/>
      <c r="BA1366" s="906"/>
      <c r="BB1366" s="907"/>
    </row>
    <row r="1367" spans="1:54" x14ac:dyDescent="0.25">
      <c r="A1367" s="13">
        <f t="shared" si="21"/>
        <v>1354</v>
      </c>
      <c r="B1367" s="914" t="str">
        <f>'refer admin discharge'!B1363</f>
        <v>x</v>
      </c>
      <c r="C1367" s="914"/>
      <c r="D1367" s="889" t="str">
        <f>'refer admin discharge'!D1363</f>
        <v>xx</v>
      </c>
      <c r="E1367" s="889"/>
      <c r="F1367" s="915" t="str">
        <f>'refer admin discharge'!H1363</f>
        <v>00/00/0000</v>
      </c>
      <c r="G1367" s="890"/>
      <c r="H1367" s="916"/>
      <c r="I1367" s="916"/>
      <c r="J1367" s="917"/>
      <c r="K1367" s="917"/>
      <c r="L1367" s="916"/>
      <c r="M1367" s="916"/>
      <c r="N1367" s="893"/>
      <c r="O1367" s="893"/>
      <c r="P1367" s="916"/>
      <c r="Q1367" s="916"/>
      <c r="R1367" s="893"/>
      <c r="S1367" s="893"/>
      <c r="T1367" s="916"/>
      <c r="U1367" s="916"/>
      <c r="V1367" s="921" t="str">
        <f>'refer admin discharge'!H1368</f>
        <v>00/00/0000</v>
      </c>
      <c r="W1367" s="922"/>
      <c r="X1367" s="912"/>
      <c r="Y1367" s="912"/>
      <c r="Z1367" s="924"/>
      <c r="AA1367" s="924"/>
      <c r="AB1367" s="912"/>
      <c r="AC1367" s="912"/>
      <c r="AD1367" s="913"/>
      <c r="AE1367" s="913"/>
      <c r="AF1367" s="912"/>
      <c r="AG1367" s="912"/>
      <c r="AH1367" s="913"/>
      <c r="AI1367" s="913"/>
      <c r="AJ1367" s="912"/>
      <c r="AK1367" s="912"/>
      <c r="AL1367" s="925"/>
      <c r="AM1367" s="926"/>
      <c r="AN1367" s="926"/>
      <c r="AO1367" s="926"/>
      <c r="AP1367" s="926"/>
      <c r="AQ1367" s="926"/>
      <c r="AR1367" s="926"/>
      <c r="AS1367" s="926"/>
      <c r="AT1367" s="926"/>
      <c r="AU1367" s="926"/>
      <c r="AV1367" s="926"/>
      <c r="AW1367" s="926"/>
      <c r="AX1367" s="926"/>
      <c r="AY1367" s="926"/>
      <c r="AZ1367" s="926"/>
      <c r="BA1367" s="926"/>
      <c r="BB1367" s="927"/>
    </row>
    <row r="1368" spans="1:54" x14ac:dyDescent="0.25">
      <c r="A1368" s="13">
        <f t="shared" si="21"/>
        <v>1355</v>
      </c>
      <c r="B1368" s="888" t="str">
        <f>'refer admin discharge'!B1364</f>
        <v>x</v>
      </c>
      <c r="C1368" s="888"/>
      <c r="D1368" s="868" t="str">
        <f>'refer admin discharge'!D1364</f>
        <v>xx</v>
      </c>
      <c r="E1368" s="868"/>
      <c r="F1368" s="891" t="str">
        <f>'refer admin discharge'!H1364</f>
        <v>00/00/0000</v>
      </c>
      <c r="G1368" s="892"/>
      <c r="H1368" s="894"/>
      <c r="I1368" s="894"/>
      <c r="J1368" s="918"/>
      <c r="K1368" s="918"/>
      <c r="L1368" s="894"/>
      <c r="M1368" s="894"/>
      <c r="N1368" s="916"/>
      <c r="O1368" s="916"/>
      <c r="P1368" s="894"/>
      <c r="Q1368" s="894"/>
      <c r="R1368" s="916"/>
      <c r="S1368" s="916"/>
      <c r="T1368" s="894"/>
      <c r="U1368" s="894"/>
      <c r="V1368" s="921" t="str">
        <f>'refer admin discharge'!H1369</f>
        <v>00/00/0000</v>
      </c>
      <c r="W1368" s="922"/>
      <c r="X1368" s="920"/>
      <c r="Y1368" s="920"/>
      <c r="Z1368" s="919"/>
      <c r="AA1368" s="919"/>
      <c r="AB1368" s="920"/>
      <c r="AC1368" s="920"/>
      <c r="AD1368" s="912"/>
      <c r="AE1368" s="912"/>
      <c r="AF1368" s="920"/>
      <c r="AG1368" s="920"/>
      <c r="AH1368" s="912"/>
      <c r="AI1368" s="912"/>
      <c r="AJ1368" s="920"/>
      <c r="AK1368" s="920"/>
      <c r="AL1368" s="905"/>
      <c r="AM1368" s="906"/>
      <c r="AN1368" s="906"/>
      <c r="AO1368" s="906"/>
      <c r="AP1368" s="906"/>
      <c r="AQ1368" s="906"/>
      <c r="AR1368" s="906"/>
      <c r="AS1368" s="906"/>
      <c r="AT1368" s="906"/>
      <c r="AU1368" s="906"/>
      <c r="AV1368" s="906"/>
      <c r="AW1368" s="906"/>
      <c r="AX1368" s="906"/>
      <c r="AY1368" s="906"/>
      <c r="AZ1368" s="906"/>
      <c r="BA1368" s="906"/>
      <c r="BB1368" s="907"/>
    </row>
    <row r="1369" spans="1:54" x14ac:dyDescent="0.25">
      <c r="A1369" s="13">
        <f t="shared" si="21"/>
        <v>1356</v>
      </c>
      <c r="B1369" s="914" t="str">
        <f>'refer admin discharge'!B1365</f>
        <v>x</v>
      </c>
      <c r="C1369" s="914"/>
      <c r="D1369" s="889" t="str">
        <f>'refer admin discharge'!D1365</f>
        <v>xx</v>
      </c>
      <c r="E1369" s="889"/>
      <c r="F1369" s="915" t="str">
        <f>'refer admin discharge'!H1365</f>
        <v>00/00/0000</v>
      </c>
      <c r="G1369" s="890"/>
      <c r="H1369" s="916"/>
      <c r="I1369" s="916"/>
      <c r="J1369" s="917"/>
      <c r="K1369" s="917"/>
      <c r="L1369" s="916"/>
      <c r="M1369" s="916"/>
      <c r="N1369" s="893"/>
      <c r="O1369" s="893"/>
      <c r="P1369" s="916"/>
      <c r="Q1369" s="916"/>
      <c r="R1369" s="893"/>
      <c r="S1369" s="893"/>
      <c r="T1369" s="916"/>
      <c r="U1369" s="916"/>
      <c r="V1369" s="921" t="str">
        <f>'refer admin discharge'!H1370</f>
        <v>00/00/0000</v>
      </c>
      <c r="W1369" s="922"/>
      <c r="X1369" s="912"/>
      <c r="Y1369" s="912"/>
      <c r="Z1369" s="924"/>
      <c r="AA1369" s="924"/>
      <c r="AB1369" s="912"/>
      <c r="AC1369" s="912"/>
      <c r="AD1369" s="913"/>
      <c r="AE1369" s="913"/>
      <c r="AF1369" s="912"/>
      <c r="AG1369" s="912"/>
      <c r="AH1369" s="913"/>
      <c r="AI1369" s="913"/>
      <c r="AJ1369" s="912"/>
      <c r="AK1369" s="912"/>
      <c r="AL1369" s="925"/>
      <c r="AM1369" s="926"/>
      <c r="AN1369" s="926"/>
      <c r="AO1369" s="926"/>
      <c r="AP1369" s="926"/>
      <c r="AQ1369" s="926"/>
      <c r="AR1369" s="926"/>
      <c r="AS1369" s="926"/>
      <c r="AT1369" s="926"/>
      <c r="AU1369" s="926"/>
      <c r="AV1369" s="926"/>
      <c r="AW1369" s="926"/>
      <c r="AX1369" s="926"/>
      <c r="AY1369" s="926"/>
      <c r="AZ1369" s="926"/>
      <c r="BA1369" s="926"/>
      <c r="BB1369" s="927"/>
    </row>
    <row r="1370" spans="1:54" x14ac:dyDescent="0.25">
      <c r="A1370" s="13">
        <f t="shared" si="21"/>
        <v>1357</v>
      </c>
      <c r="B1370" s="888" t="str">
        <f>'refer admin discharge'!B1366</f>
        <v>x</v>
      </c>
      <c r="C1370" s="888"/>
      <c r="D1370" s="868" t="str">
        <f>'refer admin discharge'!D1366</f>
        <v>xx</v>
      </c>
      <c r="E1370" s="868"/>
      <c r="F1370" s="891" t="str">
        <f>'refer admin discharge'!H1366</f>
        <v>00/00/0000</v>
      </c>
      <c r="G1370" s="892"/>
      <c r="H1370" s="894"/>
      <c r="I1370" s="894"/>
      <c r="J1370" s="918"/>
      <c r="K1370" s="918"/>
      <c r="L1370" s="894"/>
      <c r="M1370" s="894"/>
      <c r="N1370" s="916"/>
      <c r="O1370" s="916"/>
      <c r="P1370" s="894"/>
      <c r="Q1370" s="894"/>
      <c r="R1370" s="916"/>
      <c r="S1370" s="916"/>
      <c r="T1370" s="894"/>
      <c r="U1370" s="894"/>
      <c r="V1370" s="921" t="str">
        <f>'refer admin discharge'!H1371</f>
        <v>00/00/0000</v>
      </c>
      <c r="W1370" s="922"/>
      <c r="X1370" s="920"/>
      <c r="Y1370" s="920"/>
      <c r="Z1370" s="919"/>
      <c r="AA1370" s="919"/>
      <c r="AB1370" s="920"/>
      <c r="AC1370" s="920"/>
      <c r="AD1370" s="912"/>
      <c r="AE1370" s="912"/>
      <c r="AF1370" s="920"/>
      <c r="AG1370" s="920"/>
      <c r="AH1370" s="912"/>
      <c r="AI1370" s="912"/>
      <c r="AJ1370" s="920"/>
      <c r="AK1370" s="920"/>
      <c r="AL1370" s="905"/>
      <c r="AM1370" s="906"/>
      <c r="AN1370" s="906"/>
      <c r="AO1370" s="906"/>
      <c r="AP1370" s="906"/>
      <c r="AQ1370" s="906"/>
      <c r="AR1370" s="906"/>
      <c r="AS1370" s="906"/>
      <c r="AT1370" s="906"/>
      <c r="AU1370" s="906"/>
      <c r="AV1370" s="906"/>
      <c r="AW1370" s="906"/>
      <c r="AX1370" s="906"/>
      <c r="AY1370" s="906"/>
      <c r="AZ1370" s="906"/>
      <c r="BA1370" s="906"/>
      <c r="BB1370" s="907"/>
    </row>
    <row r="1371" spans="1:54" x14ac:dyDescent="0.25">
      <c r="A1371" s="13">
        <f t="shared" si="21"/>
        <v>1358</v>
      </c>
      <c r="B1371" s="914" t="str">
        <f>'refer admin discharge'!B1367</f>
        <v>x</v>
      </c>
      <c r="C1371" s="914"/>
      <c r="D1371" s="889" t="str">
        <f>'refer admin discharge'!D1367</f>
        <v>xx</v>
      </c>
      <c r="E1371" s="889"/>
      <c r="F1371" s="915" t="str">
        <f>'refer admin discharge'!H1367</f>
        <v>00/00/0000</v>
      </c>
      <c r="G1371" s="890"/>
      <c r="H1371" s="916"/>
      <c r="I1371" s="916"/>
      <c r="J1371" s="917"/>
      <c r="K1371" s="917"/>
      <c r="L1371" s="916"/>
      <c r="M1371" s="916"/>
      <c r="N1371" s="893"/>
      <c r="O1371" s="893"/>
      <c r="P1371" s="916"/>
      <c r="Q1371" s="916"/>
      <c r="R1371" s="893"/>
      <c r="S1371" s="893"/>
      <c r="T1371" s="916"/>
      <c r="U1371" s="916"/>
      <c r="V1371" s="921" t="str">
        <f>'refer admin discharge'!H1372</f>
        <v>00/00/0000</v>
      </c>
      <c r="W1371" s="922"/>
      <c r="X1371" s="912"/>
      <c r="Y1371" s="912"/>
      <c r="Z1371" s="924"/>
      <c r="AA1371" s="924"/>
      <c r="AB1371" s="912"/>
      <c r="AC1371" s="912"/>
      <c r="AD1371" s="913"/>
      <c r="AE1371" s="913"/>
      <c r="AF1371" s="912"/>
      <c r="AG1371" s="912"/>
      <c r="AH1371" s="913"/>
      <c r="AI1371" s="913"/>
      <c r="AJ1371" s="912"/>
      <c r="AK1371" s="912"/>
      <c r="AL1371" s="925"/>
      <c r="AM1371" s="926"/>
      <c r="AN1371" s="926"/>
      <c r="AO1371" s="926"/>
      <c r="AP1371" s="926"/>
      <c r="AQ1371" s="926"/>
      <c r="AR1371" s="926"/>
      <c r="AS1371" s="926"/>
      <c r="AT1371" s="926"/>
      <c r="AU1371" s="926"/>
      <c r="AV1371" s="926"/>
      <c r="AW1371" s="926"/>
      <c r="AX1371" s="926"/>
      <c r="AY1371" s="926"/>
      <c r="AZ1371" s="926"/>
      <c r="BA1371" s="926"/>
      <c r="BB1371" s="927"/>
    </row>
    <row r="1372" spans="1:54" x14ac:dyDescent="0.25">
      <c r="A1372" s="13">
        <f t="shared" si="21"/>
        <v>1359</v>
      </c>
      <c r="B1372" s="888" t="str">
        <f>'refer admin discharge'!B1368</f>
        <v>x</v>
      </c>
      <c r="C1372" s="888"/>
      <c r="D1372" s="868" t="str">
        <f>'refer admin discharge'!D1368</f>
        <v>xx</v>
      </c>
      <c r="E1372" s="868"/>
      <c r="F1372" s="891" t="str">
        <f>'refer admin discharge'!H1368</f>
        <v>00/00/0000</v>
      </c>
      <c r="G1372" s="892"/>
      <c r="H1372" s="894"/>
      <c r="I1372" s="894"/>
      <c r="J1372" s="918"/>
      <c r="K1372" s="918"/>
      <c r="L1372" s="894"/>
      <c r="M1372" s="894"/>
      <c r="N1372" s="916"/>
      <c r="O1372" s="916"/>
      <c r="P1372" s="894"/>
      <c r="Q1372" s="894"/>
      <c r="R1372" s="916"/>
      <c r="S1372" s="916"/>
      <c r="T1372" s="894"/>
      <c r="U1372" s="894"/>
      <c r="V1372" s="921" t="str">
        <f>'refer admin discharge'!H1373</f>
        <v>00/00/0000</v>
      </c>
      <c r="W1372" s="922"/>
      <c r="X1372" s="920"/>
      <c r="Y1372" s="920"/>
      <c r="Z1372" s="919"/>
      <c r="AA1372" s="919"/>
      <c r="AB1372" s="920"/>
      <c r="AC1372" s="920"/>
      <c r="AD1372" s="912"/>
      <c r="AE1372" s="912"/>
      <c r="AF1372" s="920"/>
      <c r="AG1372" s="920"/>
      <c r="AH1372" s="912"/>
      <c r="AI1372" s="912"/>
      <c r="AJ1372" s="920"/>
      <c r="AK1372" s="920"/>
      <c r="AL1372" s="905"/>
      <c r="AM1372" s="906"/>
      <c r="AN1372" s="906"/>
      <c r="AO1372" s="906"/>
      <c r="AP1372" s="906"/>
      <c r="AQ1372" s="906"/>
      <c r="AR1372" s="906"/>
      <c r="AS1372" s="906"/>
      <c r="AT1372" s="906"/>
      <c r="AU1372" s="906"/>
      <c r="AV1372" s="906"/>
      <c r="AW1372" s="906"/>
      <c r="AX1372" s="906"/>
      <c r="AY1372" s="906"/>
      <c r="AZ1372" s="906"/>
      <c r="BA1372" s="906"/>
      <c r="BB1372" s="907"/>
    </row>
    <row r="1373" spans="1:54" x14ac:dyDescent="0.25">
      <c r="A1373" s="13">
        <f t="shared" si="21"/>
        <v>1360</v>
      </c>
      <c r="B1373" s="914" t="str">
        <f>'refer admin discharge'!B1369</f>
        <v>x</v>
      </c>
      <c r="C1373" s="914"/>
      <c r="D1373" s="889" t="str">
        <f>'refer admin discharge'!D1369</f>
        <v>xx</v>
      </c>
      <c r="E1373" s="889"/>
      <c r="F1373" s="915" t="str">
        <f>'refer admin discharge'!H1369</f>
        <v>00/00/0000</v>
      </c>
      <c r="G1373" s="890"/>
      <c r="H1373" s="916"/>
      <c r="I1373" s="916"/>
      <c r="J1373" s="917"/>
      <c r="K1373" s="917"/>
      <c r="L1373" s="916"/>
      <c r="M1373" s="916"/>
      <c r="N1373" s="893"/>
      <c r="O1373" s="893"/>
      <c r="P1373" s="916"/>
      <c r="Q1373" s="916"/>
      <c r="R1373" s="893"/>
      <c r="S1373" s="893"/>
      <c r="T1373" s="916"/>
      <c r="U1373" s="916"/>
      <c r="V1373" s="921" t="str">
        <f>'refer admin discharge'!H1374</f>
        <v>00/00/0000</v>
      </c>
      <c r="W1373" s="922"/>
      <c r="X1373" s="912"/>
      <c r="Y1373" s="912"/>
      <c r="Z1373" s="924"/>
      <c r="AA1373" s="924"/>
      <c r="AB1373" s="912"/>
      <c r="AC1373" s="912"/>
      <c r="AD1373" s="913"/>
      <c r="AE1373" s="913"/>
      <c r="AF1373" s="912"/>
      <c r="AG1373" s="912"/>
      <c r="AH1373" s="913"/>
      <c r="AI1373" s="913"/>
      <c r="AJ1373" s="912"/>
      <c r="AK1373" s="912"/>
      <c r="AL1373" s="925"/>
      <c r="AM1373" s="926"/>
      <c r="AN1373" s="926"/>
      <c r="AO1373" s="926"/>
      <c r="AP1373" s="926"/>
      <c r="AQ1373" s="926"/>
      <c r="AR1373" s="926"/>
      <c r="AS1373" s="926"/>
      <c r="AT1373" s="926"/>
      <c r="AU1373" s="926"/>
      <c r="AV1373" s="926"/>
      <c r="AW1373" s="926"/>
      <c r="AX1373" s="926"/>
      <c r="AY1373" s="926"/>
      <c r="AZ1373" s="926"/>
      <c r="BA1373" s="926"/>
      <c r="BB1373" s="927"/>
    </row>
    <row r="1374" spans="1:54" x14ac:dyDescent="0.25">
      <c r="A1374" s="13">
        <f t="shared" si="21"/>
        <v>1361</v>
      </c>
      <c r="B1374" s="888" t="str">
        <f>'refer admin discharge'!B1370</f>
        <v>x</v>
      </c>
      <c r="C1374" s="888"/>
      <c r="D1374" s="868" t="str">
        <f>'refer admin discharge'!D1370</f>
        <v>xx</v>
      </c>
      <c r="E1374" s="868"/>
      <c r="F1374" s="891" t="str">
        <f>'refer admin discharge'!H1370</f>
        <v>00/00/0000</v>
      </c>
      <c r="G1374" s="892"/>
      <c r="H1374" s="894"/>
      <c r="I1374" s="894"/>
      <c r="J1374" s="918"/>
      <c r="K1374" s="918"/>
      <c r="L1374" s="894"/>
      <c r="M1374" s="894"/>
      <c r="N1374" s="916"/>
      <c r="O1374" s="916"/>
      <c r="P1374" s="894"/>
      <c r="Q1374" s="894"/>
      <c r="R1374" s="916"/>
      <c r="S1374" s="916"/>
      <c r="T1374" s="894"/>
      <c r="U1374" s="894"/>
      <c r="V1374" s="921" t="str">
        <f>'refer admin discharge'!H1375</f>
        <v>00/00/0000</v>
      </c>
      <c r="W1374" s="922"/>
      <c r="X1374" s="920"/>
      <c r="Y1374" s="920"/>
      <c r="Z1374" s="919"/>
      <c r="AA1374" s="919"/>
      <c r="AB1374" s="920"/>
      <c r="AC1374" s="920"/>
      <c r="AD1374" s="912"/>
      <c r="AE1374" s="912"/>
      <c r="AF1374" s="920"/>
      <c r="AG1374" s="920"/>
      <c r="AH1374" s="912"/>
      <c r="AI1374" s="912"/>
      <c r="AJ1374" s="920"/>
      <c r="AK1374" s="920"/>
      <c r="AL1374" s="905"/>
      <c r="AM1374" s="906"/>
      <c r="AN1374" s="906"/>
      <c r="AO1374" s="906"/>
      <c r="AP1374" s="906"/>
      <c r="AQ1374" s="906"/>
      <c r="AR1374" s="906"/>
      <c r="AS1374" s="906"/>
      <c r="AT1374" s="906"/>
      <c r="AU1374" s="906"/>
      <c r="AV1374" s="906"/>
      <c r="AW1374" s="906"/>
      <c r="AX1374" s="906"/>
      <c r="AY1374" s="906"/>
      <c r="AZ1374" s="906"/>
      <c r="BA1374" s="906"/>
      <c r="BB1374" s="907"/>
    </row>
    <row r="1375" spans="1:54" x14ac:dyDescent="0.25">
      <c r="A1375" s="13">
        <f t="shared" si="21"/>
        <v>1362</v>
      </c>
      <c r="B1375" s="914" t="str">
        <f>'refer admin discharge'!B1371</f>
        <v>x</v>
      </c>
      <c r="C1375" s="914"/>
      <c r="D1375" s="889" t="str">
        <f>'refer admin discharge'!D1371</f>
        <v>xx</v>
      </c>
      <c r="E1375" s="889"/>
      <c r="F1375" s="915" t="str">
        <f>'refer admin discharge'!H1371</f>
        <v>00/00/0000</v>
      </c>
      <c r="G1375" s="890"/>
      <c r="H1375" s="916"/>
      <c r="I1375" s="916"/>
      <c r="J1375" s="917"/>
      <c r="K1375" s="917"/>
      <c r="L1375" s="916"/>
      <c r="M1375" s="916"/>
      <c r="N1375" s="893"/>
      <c r="O1375" s="893"/>
      <c r="P1375" s="916"/>
      <c r="Q1375" s="916"/>
      <c r="R1375" s="893"/>
      <c r="S1375" s="893"/>
      <c r="T1375" s="916"/>
      <c r="U1375" s="916"/>
      <c r="V1375" s="921" t="str">
        <f>'refer admin discharge'!H1376</f>
        <v>00/00/0000</v>
      </c>
      <c r="W1375" s="922"/>
      <c r="X1375" s="912"/>
      <c r="Y1375" s="912"/>
      <c r="Z1375" s="924"/>
      <c r="AA1375" s="924"/>
      <c r="AB1375" s="912"/>
      <c r="AC1375" s="912"/>
      <c r="AD1375" s="913"/>
      <c r="AE1375" s="913"/>
      <c r="AF1375" s="912"/>
      <c r="AG1375" s="912"/>
      <c r="AH1375" s="913"/>
      <c r="AI1375" s="913"/>
      <c r="AJ1375" s="912"/>
      <c r="AK1375" s="912"/>
      <c r="AL1375" s="925"/>
      <c r="AM1375" s="926"/>
      <c r="AN1375" s="926"/>
      <c r="AO1375" s="926"/>
      <c r="AP1375" s="926"/>
      <c r="AQ1375" s="926"/>
      <c r="AR1375" s="926"/>
      <c r="AS1375" s="926"/>
      <c r="AT1375" s="926"/>
      <c r="AU1375" s="926"/>
      <c r="AV1375" s="926"/>
      <c r="AW1375" s="926"/>
      <c r="AX1375" s="926"/>
      <c r="AY1375" s="926"/>
      <c r="AZ1375" s="926"/>
      <c r="BA1375" s="926"/>
      <c r="BB1375" s="927"/>
    </row>
    <row r="1376" spans="1:54" x14ac:dyDescent="0.25">
      <c r="A1376" s="13">
        <f t="shared" si="21"/>
        <v>1363</v>
      </c>
      <c r="B1376" s="888" t="str">
        <f>'refer admin discharge'!B1372</f>
        <v>x</v>
      </c>
      <c r="C1376" s="888"/>
      <c r="D1376" s="868" t="str">
        <f>'refer admin discharge'!D1372</f>
        <v>xx</v>
      </c>
      <c r="E1376" s="868"/>
      <c r="F1376" s="891" t="str">
        <f>'refer admin discharge'!H1372</f>
        <v>00/00/0000</v>
      </c>
      <c r="G1376" s="892"/>
      <c r="H1376" s="894"/>
      <c r="I1376" s="894"/>
      <c r="J1376" s="918"/>
      <c r="K1376" s="918"/>
      <c r="L1376" s="894"/>
      <c r="M1376" s="894"/>
      <c r="N1376" s="916"/>
      <c r="O1376" s="916"/>
      <c r="P1376" s="894"/>
      <c r="Q1376" s="894"/>
      <c r="R1376" s="916"/>
      <c r="S1376" s="916"/>
      <c r="T1376" s="894"/>
      <c r="U1376" s="894"/>
      <c r="V1376" s="921" t="str">
        <f>'refer admin discharge'!H1377</f>
        <v>00/00/0000</v>
      </c>
      <c r="W1376" s="922"/>
      <c r="X1376" s="920"/>
      <c r="Y1376" s="920"/>
      <c r="Z1376" s="919"/>
      <c r="AA1376" s="919"/>
      <c r="AB1376" s="920"/>
      <c r="AC1376" s="920"/>
      <c r="AD1376" s="912"/>
      <c r="AE1376" s="912"/>
      <c r="AF1376" s="920"/>
      <c r="AG1376" s="920"/>
      <c r="AH1376" s="912"/>
      <c r="AI1376" s="912"/>
      <c r="AJ1376" s="920"/>
      <c r="AK1376" s="920"/>
      <c r="AL1376" s="905"/>
      <c r="AM1376" s="906"/>
      <c r="AN1376" s="906"/>
      <c r="AO1376" s="906"/>
      <c r="AP1376" s="906"/>
      <c r="AQ1376" s="906"/>
      <c r="AR1376" s="906"/>
      <c r="AS1376" s="906"/>
      <c r="AT1376" s="906"/>
      <c r="AU1376" s="906"/>
      <c r="AV1376" s="906"/>
      <c r="AW1376" s="906"/>
      <c r="AX1376" s="906"/>
      <c r="AY1376" s="906"/>
      <c r="AZ1376" s="906"/>
      <c r="BA1376" s="906"/>
      <c r="BB1376" s="907"/>
    </row>
    <row r="1377" spans="1:54" x14ac:dyDescent="0.25">
      <c r="A1377" s="13">
        <f t="shared" si="21"/>
        <v>1364</v>
      </c>
      <c r="B1377" s="914" t="str">
        <f>'refer admin discharge'!B1373</f>
        <v>x</v>
      </c>
      <c r="C1377" s="914"/>
      <c r="D1377" s="889" t="str">
        <f>'refer admin discharge'!D1373</f>
        <v>xx</v>
      </c>
      <c r="E1377" s="889"/>
      <c r="F1377" s="915" t="str">
        <f>'refer admin discharge'!H1373</f>
        <v>00/00/0000</v>
      </c>
      <c r="G1377" s="890"/>
      <c r="H1377" s="916"/>
      <c r="I1377" s="916"/>
      <c r="J1377" s="917"/>
      <c r="K1377" s="917"/>
      <c r="L1377" s="916"/>
      <c r="M1377" s="916"/>
      <c r="N1377" s="893"/>
      <c r="O1377" s="893"/>
      <c r="P1377" s="916"/>
      <c r="Q1377" s="916"/>
      <c r="R1377" s="893"/>
      <c r="S1377" s="893"/>
      <c r="T1377" s="916"/>
      <c r="U1377" s="916"/>
      <c r="V1377" s="921" t="str">
        <f>'refer admin discharge'!H1378</f>
        <v>00/00/0000</v>
      </c>
      <c r="W1377" s="922"/>
      <c r="X1377" s="912"/>
      <c r="Y1377" s="912"/>
      <c r="Z1377" s="924"/>
      <c r="AA1377" s="924"/>
      <c r="AB1377" s="912"/>
      <c r="AC1377" s="912"/>
      <c r="AD1377" s="913"/>
      <c r="AE1377" s="913"/>
      <c r="AF1377" s="912"/>
      <c r="AG1377" s="912"/>
      <c r="AH1377" s="913"/>
      <c r="AI1377" s="913"/>
      <c r="AJ1377" s="912"/>
      <c r="AK1377" s="912"/>
      <c r="AL1377" s="925"/>
      <c r="AM1377" s="926"/>
      <c r="AN1377" s="926"/>
      <c r="AO1377" s="926"/>
      <c r="AP1377" s="926"/>
      <c r="AQ1377" s="926"/>
      <c r="AR1377" s="926"/>
      <c r="AS1377" s="926"/>
      <c r="AT1377" s="926"/>
      <c r="AU1377" s="926"/>
      <c r="AV1377" s="926"/>
      <c r="AW1377" s="926"/>
      <c r="AX1377" s="926"/>
      <c r="AY1377" s="926"/>
      <c r="AZ1377" s="926"/>
      <c r="BA1377" s="926"/>
      <c r="BB1377" s="927"/>
    </row>
    <row r="1378" spans="1:54" x14ac:dyDescent="0.25">
      <c r="A1378" s="13">
        <f t="shared" si="21"/>
        <v>1365</v>
      </c>
      <c r="B1378" s="888" t="str">
        <f>'refer admin discharge'!B1374</f>
        <v>x</v>
      </c>
      <c r="C1378" s="888"/>
      <c r="D1378" s="868" t="str">
        <f>'refer admin discharge'!D1374</f>
        <v>xx</v>
      </c>
      <c r="E1378" s="868"/>
      <c r="F1378" s="891" t="str">
        <f>'refer admin discharge'!H1374</f>
        <v>00/00/0000</v>
      </c>
      <c r="G1378" s="892"/>
      <c r="H1378" s="894"/>
      <c r="I1378" s="894"/>
      <c r="J1378" s="918"/>
      <c r="K1378" s="918"/>
      <c r="L1378" s="894"/>
      <c r="M1378" s="894"/>
      <c r="N1378" s="916"/>
      <c r="O1378" s="916"/>
      <c r="P1378" s="894"/>
      <c r="Q1378" s="894"/>
      <c r="R1378" s="916"/>
      <c r="S1378" s="916"/>
      <c r="T1378" s="894"/>
      <c r="U1378" s="894"/>
      <c r="V1378" s="921" t="str">
        <f>'refer admin discharge'!H1379</f>
        <v>00/00/0000</v>
      </c>
      <c r="W1378" s="922"/>
      <c r="X1378" s="920"/>
      <c r="Y1378" s="920"/>
      <c r="Z1378" s="919"/>
      <c r="AA1378" s="919"/>
      <c r="AB1378" s="920"/>
      <c r="AC1378" s="920"/>
      <c r="AD1378" s="912"/>
      <c r="AE1378" s="912"/>
      <c r="AF1378" s="920"/>
      <c r="AG1378" s="920"/>
      <c r="AH1378" s="912"/>
      <c r="AI1378" s="912"/>
      <c r="AJ1378" s="920"/>
      <c r="AK1378" s="920"/>
      <c r="AL1378" s="905"/>
      <c r="AM1378" s="906"/>
      <c r="AN1378" s="906"/>
      <c r="AO1378" s="906"/>
      <c r="AP1378" s="906"/>
      <c r="AQ1378" s="906"/>
      <c r="AR1378" s="906"/>
      <c r="AS1378" s="906"/>
      <c r="AT1378" s="906"/>
      <c r="AU1378" s="906"/>
      <c r="AV1378" s="906"/>
      <c r="AW1378" s="906"/>
      <c r="AX1378" s="906"/>
      <c r="AY1378" s="906"/>
      <c r="AZ1378" s="906"/>
      <c r="BA1378" s="906"/>
      <c r="BB1378" s="907"/>
    </row>
    <row r="1379" spans="1:54" x14ac:dyDescent="0.25">
      <c r="A1379" s="13">
        <f t="shared" si="21"/>
        <v>1366</v>
      </c>
      <c r="B1379" s="914" t="str">
        <f>'refer admin discharge'!B1375</f>
        <v>x</v>
      </c>
      <c r="C1379" s="914"/>
      <c r="D1379" s="889" t="str">
        <f>'refer admin discharge'!D1375</f>
        <v>xx</v>
      </c>
      <c r="E1379" s="889"/>
      <c r="F1379" s="915" t="str">
        <f>'refer admin discharge'!H1375</f>
        <v>00/00/0000</v>
      </c>
      <c r="G1379" s="890"/>
      <c r="H1379" s="916"/>
      <c r="I1379" s="916"/>
      <c r="J1379" s="917"/>
      <c r="K1379" s="917"/>
      <c r="L1379" s="916"/>
      <c r="M1379" s="916"/>
      <c r="N1379" s="893"/>
      <c r="O1379" s="893"/>
      <c r="P1379" s="916"/>
      <c r="Q1379" s="916"/>
      <c r="R1379" s="893"/>
      <c r="S1379" s="893"/>
      <c r="T1379" s="916"/>
      <c r="U1379" s="916"/>
      <c r="V1379" s="921" t="str">
        <f>'refer admin discharge'!H1380</f>
        <v>00/00/0000</v>
      </c>
      <c r="W1379" s="922"/>
      <c r="X1379" s="912"/>
      <c r="Y1379" s="912"/>
      <c r="Z1379" s="924"/>
      <c r="AA1379" s="924"/>
      <c r="AB1379" s="912"/>
      <c r="AC1379" s="912"/>
      <c r="AD1379" s="913"/>
      <c r="AE1379" s="913"/>
      <c r="AF1379" s="912"/>
      <c r="AG1379" s="912"/>
      <c r="AH1379" s="913"/>
      <c r="AI1379" s="913"/>
      <c r="AJ1379" s="912"/>
      <c r="AK1379" s="912"/>
      <c r="AL1379" s="925"/>
      <c r="AM1379" s="926"/>
      <c r="AN1379" s="926"/>
      <c r="AO1379" s="926"/>
      <c r="AP1379" s="926"/>
      <c r="AQ1379" s="926"/>
      <c r="AR1379" s="926"/>
      <c r="AS1379" s="926"/>
      <c r="AT1379" s="926"/>
      <c r="AU1379" s="926"/>
      <c r="AV1379" s="926"/>
      <c r="AW1379" s="926"/>
      <c r="AX1379" s="926"/>
      <c r="AY1379" s="926"/>
      <c r="AZ1379" s="926"/>
      <c r="BA1379" s="926"/>
      <c r="BB1379" s="927"/>
    </row>
    <row r="1380" spans="1:54" x14ac:dyDescent="0.25">
      <c r="A1380" s="13">
        <f t="shared" si="21"/>
        <v>1367</v>
      </c>
      <c r="B1380" s="888" t="str">
        <f>'refer admin discharge'!B1376</f>
        <v>x</v>
      </c>
      <c r="C1380" s="888"/>
      <c r="D1380" s="868" t="str">
        <f>'refer admin discharge'!D1376</f>
        <v>xx</v>
      </c>
      <c r="E1380" s="868"/>
      <c r="F1380" s="891" t="str">
        <f>'refer admin discharge'!H1376</f>
        <v>00/00/0000</v>
      </c>
      <c r="G1380" s="892"/>
      <c r="H1380" s="894"/>
      <c r="I1380" s="894"/>
      <c r="J1380" s="918"/>
      <c r="K1380" s="918"/>
      <c r="L1380" s="894"/>
      <c r="M1380" s="894"/>
      <c r="N1380" s="916"/>
      <c r="O1380" s="916"/>
      <c r="P1380" s="894"/>
      <c r="Q1380" s="894"/>
      <c r="R1380" s="916"/>
      <c r="S1380" s="916"/>
      <c r="T1380" s="894"/>
      <c r="U1380" s="894"/>
      <c r="V1380" s="921" t="str">
        <f>'refer admin discharge'!H1381</f>
        <v>00/00/0000</v>
      </c>
      <c r="W1380" s="922"/>
      <c r="X1380" s="920"/>
      <c r="Y1380" s="920"/>
      <c r="Z1380" s="919"/>
      <c r="AA1380" s="919"/>
      <c r="AB1380" s="920"/>
      <c r="AC1380" s="920"/>
      <c r="AD1380" s="912"/>
      <c r="AE1380" s="912"/>
      <c r="AF1380" s="920"/>
      <c r="AG1380" s="920"/>
      <c r="AH1380" s="912"/>
      <c r="AI1380" s="912"/>
      <c r="AJ1380" s="920"/>
      <c r="AK1380" s="920"/>
      <c r="AL1380" s="905"/>
      <c r="AM1380" s="906"/>
      <c r="AN1380" s="906"/>
      <c r="AO1380" s="906"/>
      <c r="AP1380" s="906"/>
      <c r="AQ1380" s="906"/>
      <c r="AR1380" s="906"/>
      <c r="AS1380" s="906"/>
      <c r="AT1380" s="906"/>
      <c r="AU1380" s="906"/>
      <c r="AV1380" s="906"/>
      <c r="AW1380" s="906"/>
      <c r="AX1380" s="906"/>
      <c r="AY1380" s="906"/>
      <c r="AZ1380" s="906"/>
      <c r="BA1380" s="906"/>
      <c r="BB1380" s="907"/>
    </row>
    <row r="1381" spans="1:54" x14ac:dyDescent="0.25">
      <c r="A1381" s="13">
        <f t="shared" si="21"/>
        <v>1368</v>
      </c>
      <c r="B1381" s="914" t="str">
        <f>'refer admin discharge'!B1377</f>
        <v>x</v>
      </c>
      <c r="C1381" s="914"/>
      <c r="D1381" s="889" t="str">
        <f>'refer admin discharge'!D1377</f>
        <v>xx</v>
      </c>
      <c r="E1381" s="889"/>
      <c r="F1381" s="915" t="str">
        <f>'refer admin discharge'!H1377</f>
        <v>00/00/0000</v>
      </c>
      <c r="G1381" s="890"/>
      <c r="H1381" s="916"/>
      <c r="I1381" s="916"/>
      <c r="J1381" s="917"/>
      <c r="K1381" s="917"/>
      <c r="L1381" s="916"/>
      <c r="M1381" s="916"/>
      <c r="N1381" s="893"/>
      <c r="O1381" s="893"/>
      <c r="P1381" s="916"/>
      <c r="Q1381" s="916"/>
      <c r="R1381" s="893"/>
      <c r="S1381" s="893"/>
      <c r="T1381" s="916"/>
      <c r="U1381" s="916"/>
      <c r="V1381" s="921" t="str">
        <f>'refer admin discharge'!H1382</f>
        <v>00/00/0000</v>
      </c>
      <c r="W1381" s="922"/>
      <c r="X1381" s="912"/>
      <c r="Y1381" s="912"/>
      <c r="Z1381" s="924"/>
      <c r="AA1381" s="924"/>
      <c r="AB1381" s="912"/>
      <c r="AC1381" s="912"/>
      <c r="AD1381" s="913"/>
      <c r="AE1381" s="913"/>
      <c r="AF1381" s="912"/>
      <c r="AG1381" s="912"/>
      <c r="AH1381" s="913"/>
      <c r="AI1381" s="913"/>
      <c r="AJ1381" s="912"/>
      <c r="AK1381" s="912"/>
      <c r="AL1381" s="925"/>
      <c r="AM1381" s="926"/>
      <c r="AN1381" s="926"/>
      <c r="AO1381" s="926"/>
      <c r="AP1381" s="926"/>
      <c r="AQ1381" s="926"/>
      <c r="AR1381" s="926"/>
      <c r="AS1381" s="926"/>
      <c r="AT1381" s="926"/>
      <c r="AU1381" s="926"/>
      <c r="AV1381" s="926"/>
      <c r="AW1381" s="926"/>
      <c r="AX1381" s="926"/>
      <c r="AY1381" s="926"/>
      <c r="AZ1381" s="926"/>
      <c r="BA1381" s="926"/>
      <c r="BB1381" s="927"/>
    </row>
    <row r="1382" spans="1:54" x14ac:dyDescent="0.25">
      <c r="A1382" s="13">
        <f t="shared" si="21"/>
        <v>1369</v>
      </c>
      <c r="B1382" s="888" t="str">
        <f>'refer admin discharge'!B1378</f>
        <v>x</v>
      </c>
      <c r="C1382" s="888"/>
      <c r="D1382" s="868" t="str">
        <f>'refer admin discharge'!D1378</f>
        <v>xx</v>
      </c>
      <c r="E1382" s="868"/>
      <c r="F1382" s="891" t="str">
        <f>'refer admin discharge'!H1378</f>
        <v>00/00/0000</v>
      </c>
      <c r="G1382" s="892"/>
      <c r="H1382" s="894"/>
      <c r="I1382" s="894"/>
      <c r="J1382" s="918"/>
      <c r="K1382" s="918"/>
      <c r="L1382" s="894"/>
      <c r="M1382" s="894"/>
      <c r="N1382" s="916"/>
      <c r="O1382" s="916"/>
      <c r="P1382" s="894"/>
      <c r="Q1382" s="894"/>
      <c r="R1382" s="916"/>
      <c r="S1382" s="916"/>
      <c r="T1382" s="894"/>
      <c r="U1382" s="894"/>
      <c r="V1382" s="921" t="str">
        <f>'refer admin discharge'!H1383</f>
        <v>00/00/0000</v>
      </c>
      <c r="W1382" s="922"/>
      <c r="X1382" s="920"/>
      <c r="Y1382" s="920"/>
      <c r="Z1382" s="919"/>
      <c r="AA1382" s="919"/>
      <c r="AB1382" s="920"/>
      <c r="AC1382" s="920"/>
      <c r="AD1382" s="912"/>
      <c r="AE1382" s="912"/>
      <c r="AF1382" s="920"/>
      <c r="AG1382" s="920"/>
      <c r="AH1382" s="912"/>
      <c r="AI1382" s="912"/>
      <c r="AJ1382" s="920"/>
      <c r="AK1382" s="920"/>
      <c r="AL1382" s="905"/>
      <c r="AM1382" s="906"/>
      <c r="AN1382" s="906"/>
      <c r="AO1382" s="906"/>
      <c r="AP1382" s="906"/>
      <c r="AQ1382" s="906"/>
      <c r="AR1382" s="906"/>
      <c r="AS1382" s="906"/>
      <c r="AT1382" s="906"/>
      <c r="AU1382" s="906"/>
      <c r="AV1382" s="906"/>
      <c r="AW1382" s="906"/>
      <c r="AX1382" s="906"/>
      <c r="AY1382" s="906"/>
      <c r="AZ1382" s="906"/>
      <c r="BA1382" s="906"/>
      <c r="BB1382" s="907"/>
    </row>
    <row r="1383" spans="1:54" x14ac:dyDescent="0.25">
      <c r="A1383" s="13">
        <f t="shared" si="21"/>
        <v>1370</v>
      </c>
      <c r="B1383" s="914" t="str">
        <f>'refer admin discharge'!B1379</f>
        <v>x</v>
      </c>
      <c r="C1383" s="914"/>
      <c r="D1383" s="889" t="str">
        <f>'refer admin discharge'!D1379</f>
        <v>xx</v>
      </c>
      <c r="E1383" s="889"/>
      <c r="F1383" s="915" t="str">
        <f>'refer admin discharge'!H1379</f>
        <v>00/00/0000</v>
      </c>
      <c r="G1383" s="890"/>
      <c r="H1383" s="916"/>
      <c r="I1383" s="916"/>
      <c r="J1383" s="917"/>
      <c r="K1383" s="917"/>
      <c r="L1383" s="916"/>
      <c r="M1383" s="916"/>
      <c r="N1383" s="893"/>
      <c r="O1383" s="893"/>
      <c r="P1383" s="916"/>
      <c r="Q1383" s="916"/>
      <c r="R1383" s="893"/>
      <c r="S1383" s="893"/>
      <c r="T1383" s="916"/>
      <c r="U1383" s="916"/>
      <c r="V1383" s="921" t="str">
        <f>'refer admin discharge'!H1384</f>
        <v>00/00/0000</v>
      </c>
      <c r="W1383" s="922"/>
      <c r="X1383" s="912"/>
      <c r="Y1383" s="912"/>
      <c r="Z1383" s="924"/>
      <c r="AA1383" s="924"/>
      <c r="AB1383" s="912"/>
      <c r="AC1383" s="912"/>
      <c r="AD1383" s="913"/>
      <c r="AE1383" s="913"/>
      <c r="AF1383" s="912"/>
      <c r="AG1383" s="912"/>
      <c r="AH1383" s="913"/>
      <c r="AI1383" s="913"/>
      <c r="AJ1383" s="912"/>
      <c r="AK1383" s="912"/>
      <c r="AL1383" s="925"/>
      <c r="AM1383" s="926"/>
      <c r="AN1383" s="926"/>
      <c r="AO1383" s="926"/>
      <c r="AP1383" s="926"/>
      <c r="AQ1383" s="926"/>
      <c r="AR1383" s="926"/>
      <c r="AS1383" s="926"/>
      <c r="AT1383" s="926"/>
      <c r="AU1383" s="926"/>
      <c r="AV1383" s="926"/>
      <c r="AW1383" s="926"/>
      <c r="AX1383" s="926"/>
      <c r="AY1383" s="926"/>
      <c r="AZ1383" s="926"/>
      <c r="BA1383" s="926"/>
      <c r="BB1383" s="927"/>
    </row>
    <row r="1384" spans="1:54" x14ac:dyDescent="0.25">
      <c r="A1384" s="13">
        <f t="shared" si="21"/>
        <v>1371</v>
      </c>
      <c r="B1384" s="888" t="str">
        <f>'refer admin discharge'!B1380</f>
        <v>x</v>
      </c>
      <c r="C1384" s="888"/>
      <c r="D1384" s="868" t="str">
        <f>'refer admin discharge'!D1380</f>
        <v>xx</v>
      </c>
      <c r="E1384" s="868"/>
      <c r="F1384" s="891" t="str">
        <f>'refer admin discharge'!H1380</f>
        <v>00/00/0000</v>
      </c>
      <c r="G1384" s="892"/>
      <c r="H1384" s="894"/>
      <c r="I1384" s="894"/>
      <c r="J1384" s="918"/>
      <c r="K1384" s="918"/>
      <c r="L1384" s="894"/>
      <c r="M1384" s="894"/>
      <c r="N1384" s="916"/>
      <c r="O1384" s="916"/>
      <c r="P1384" s="894"/>
      <c r="Q1384" s="894"/>
      <c r="R1384" s="916"/>
      <c r="S1384" s="916"/>
      <c r="T1384" s="894"/>
      <c r="U1384" s="894"/>
      <c r="V1384" s="921" t="str">
        <f>'refer admin discharge'!H1385</f>
        <v>00/00/0000</v>
      </c>
      <c r="W1384" s="922"/>
      <c r="X1384" s="920"/>
      <c r="Y1384" s="920"/>
      <c r="Z1384" s="919"/>
      <c r="AA1384" s="919"/>
      <c r="AB1384" s="920"/>
      <c r="AC1384" s="920"/>
      <c r="AD1384" s="912"/>
      <c r="AE1384" s="912"/>
      <c r="AF1384" s="920"/>
      <c r="AG1384" s="920"/>
      <c r="AH1384" s="912"/>
      <c r="AI1384" s="912"/>
      <c r="AJ1384" s="920"/>
      <c r="AK1384" s="920"/>
      <c r="AL1384" s="905"/>
      <c r="AM1384" s="906"/>
      <c r="AN1384" s="906"/>
      <c r="AO1384" s="906"/>
      <c r="AP1384" s="906"/>
      <c r="AQ1384" s="906"/>
      <c r="AR1384" s="906"/>
      <c r="AS1384" s="906"/>
      <c r="AT1384" s="906"/>
      <c r="AU1384" s="906"/>
      <c r="AV1384" s="906"/>
      <c r="AW1384" s="906"/>
      <c r="AX1384" s="906"/>
      <c r="AY1384" s="906"/>
      <c r="AZ1384" s="906"/>
      <c r="BA1384" s="906"/>
      <c r="BB1384" s="907"/>
    </row>
    <row r="1385" spans="1:54" x14ac:dyDescent="0.25">
      <c r="A1385" s="13">
        <f t="shared" si="21"/>
        <v>1372</v>
      </c>
      <c r="B1385" s="914" t="str">
        <f>'refer admin discharge'!B1381</f>
        <v>x</v>
      </c>
      <c r="C1385" s="914"/>
      <c r="D1385" s="889" t="str">
        <f>'refer admin discharge'!D1381</f>
        <v>xx</v>
      </c>
      <c r="E1385" s="889"/>
      <c r="F1385" s="915" t="str">
        <f>'refer admin discharge'!H1381</f>
        <v>00/00/0000</v>
      </c>
      <c r="G1385" s="890"/>
      <c r="H1385" s="916"/>
      <c r="I1385" s="916"/>
      <c r="J1385" s="917"/>
      <c r="K1385" s="917"/>
      <c r="L1385" s="916"/>
      <c r="M1385" s="916"/>
      <c r="N1385" s="893"/>
      <c r="O1385" s="893"/>
      <c r="P1385" s="916"/>
      <c r="Q1385" s="916"/>
      <c r="R1385" s="893"/>
      <c r="S1385" s="893"/>
      <c r="T1385" s="916"/>
      <c r="U1385" s="916"/>
      <c r="V1385" s="921" t="str">
        <f>'refer admin discharge'!H1386</f>
        <v>00/00/0000</v>
      </c>
      <c r="W1385" s="922"/>
      <c r="X1385" s="912"/>
      <c r="Y1385" s="912"/>
      <c r="Z1385" s="924"/>
      <c r="AA1385" s="924"/>
      <c r="AB1385" s="912"/>
      <c r="AC1385" s="912"/>
      <c r="AD1385" s="913"/>
      <c r="AE1385" s="913"/>
      <c r="AF1385" s="912"/>
      <c r="AG1385" s="912"/>
      <c r="AH1385" s="913"/>
      <c r="AI1385" s="913"/>
      <c r="AJ1385" s="912"/>
      <c r="AK1385" s="912"/>
      <c r="AL1385" s="925"/>
      <c r="AM1385" s="926"/>
      <c r="AN1385" s="926"/>
      <c r="AO1385" s="926"/>
      <c r="AP1385" s="926"/>
      <c r="AQ1385" s="926"/>
      <c r="AR1385" s="926"/>
      <c r="AS1385" s="926"/>
      <c r="AT1385" s="926"/>
      <c r="AU1385" s="926"/>
      <c r="AV1385" s="926"/>
      <c r="AW1385" s="926"/>
      <c r="AX1385" s="926"/>
      <c r="AY1385" s="926"/>
      <c r="AZ1385" s="926"/>
      <c r="BA1385" s="926"/>
      <c r="BB1385" s="927"/>
    </row>
    <row r="1386" spans="1:54" x14ac:dyDescent="0.25">
      <c r="A1386" s="13">
        <f t="shared" si="21"/>
        <v>1373</v>
      </c>
      <c r="B1386" s="888" t="str">
        <f>'refer admin discharge'!B1382</f>
        <v>x</v>
      </c>
      <c r="C1386" s="888"/>
      <c r="D1386" s="868" t="str">
        <f>'refer admin discharge'!D1382</f>
        <v>xx</v>
      </c>
      <c r="E1386" s="868"/>
      <c r="F1386" s="891" t="str">
        <f>'refer admin discharge'!H1382</f>
        <v>00/00/0000</v>
      </c>
      <c r="G1386" s="892"/>
      <c r="H1386" s="894"/>
      <c r="I1386" s="894"/>
      <c r="J1386" s="918"/>
      <c r="K1386" s="918"/>
      <c r="L1386" s="894"/>
      <c r="M1386" s="894"/>
      <c r="N1386" s="916"/>
      <c r="O1386" s="916"/>
      <c r="P1386" s="894"/>
      <c r="Q1386" s="894"/>
      <c r="R1386" s="916"/>
      <c r="S1386" s="916"/>
      <c r="T1386" s="894"/>
      <c r="U1386" s="894"/>
      <c r="V1386" s="921" t="str">
        <f>'refer admin discharge'!H1387</f>
        <v>00/00/0000</v>
      </c>
      <c r="W1386" s="922"/>
      <c r="X1386" s="920"/>
      <c r="Y1386" s="920"/>
      <c r="Z1386" s="919"/>
      <c r="AA1386" s="919"/>
      <c r="AB1386" s="920"/>
      <c r="AC1386" s="920"/>
      <c r="AD1386" s="912"/>
      <c r="AE1386" s="912"/>
      <c r="AF1386" s="920"/>
      <c r="AG1386" s="920"/>
      <c r="AH1386" s="912"/>
      <c r="AI1386" s="912"/>
      <c r="AJ1386" s="920"/>
      <c r="AK1386" s="920"/>
      <c r="AL1386" s="905"/>
      <c r="AM1386" s="906"/>
      <c r="AN1386" s="906"/>
      <c r="AO1386" s="906"/>
      <c r="AP1386" s="906"/>
      <c r="AQ1386" s="906"/>
      <c r="AR1386" s="906"/>
      <c r="AS1386" s="906"/>
      <c r="AT1386" s="906"/>
      <c r="AU1386" s="906"/>
      <c r="AV1386" s="906"/>
      <c r="AW1386" s="906"/>
      <c r="AX1386" s="906"/>
      <c r="AY1386" s="906"/>
      <c r="AZ1386" s="906"/>
      <c r="BA1386" s="906"/>
      <c r="BB1386" s="907"/>
    </row>
    <row r="1387" spans="1:54" x14ac:dyDescent="0.25">
      <c r="A1387" s="13">
        <f t="shared" si="21"/>
        <v>1374</v>
      </c>
      <c r="B1387" s="914" t="str">
        <f>'refer admin discharge'!B1383</f>
        <v>x</v>
      </c>
      <c r="C1387" s="914"/>
      <c r="D1387" s="889" t="str">
        <f>'refer admin discharge'!D1383</f>
        <v>xx</v>
      </c>
      <c r="E1387" s="889"/>
      <c r="F1387" s="915" t="str">
        <f>'refer admin discharge'!H1383</f>
        <v>00/00/0000</v>
      </c>
      <c r="G1387" s="890"/>
      <c r="H1387" s="916"/>
      <c r="I1387" s="916"/>
      <c r="J1387" s="917"/>
      <c r="K1387" s="917"/>
      <c r="L1387" s="916"/>
      <c r="M1387" s="916"/>
      <c r="N1387" s="893"/>
      <c r="O1387" s="893"/>
      <c r="P1387" s="916"/>
      <c r="Q1387" s="916"/>
      <c r="R1387" s="893"/>
      <c r="S1387" s="893"/>
      <c r="T1387" s="916"/>
      <c r="U1387" s="916"/>
      <c r="V1387" s="921" t="str">
        <f>'refer admin discharge'!H1388</f>
        <v>00/00/0000</v>
      </c>
      <c r="W1387" s="922"/>
      <c r="X1387" s="912"/>
      <c r="Y1387" s="912"/>
      <c r="Z1387" s="924"/>
      <c r="AA1387" s="924"/>
      <c r="AB1387" s="912"/>
      <c r="AC1387" s="912"/>
      <c r="AD1387" s="913"/>
      <c r="AE1387" s="913"/>
      <c r="AF1387" s="912"/>
      <c r="AG1387" s="912"/>
      <c r="AH1387" s="913"/>
      <c r="AI1387" s="913"/>
      <c r="AJ1387" s="912"/>
      <c r="AK1387" s="912"/>
      <c r="AL1387" s="925"/>
      <c r="AM1387" s="926"/>
      <c r="AN1387" s="926"/>
      <c r="AO1387" s="926"/>
      <c r="AP1387" s="926"/>
      <c r="AQ1387" s="926"/>
      <c r="AR1387" s="926"/>
      <c r="AS1387" s="926"/>
      <c r="AT1387" s="926"/>
      <c r="AU1387" s="926"/>
      <c r="AV1387" s="926"/>
      <c r="AW1387" s="926"/>
      <c r="AX1387" s="926"/>
      <c r="AY1387" s="926"/>
      <c r="AZ1387" s="926"/>
      <c r="BA1387" s="926"/>
      <c r="BB1387" s="927"/>
    </row>
    <row r="1388" spans="1:54" x14ac:dyDescent="0.25">
      <c r="A1388" s="13">
        <f t="shared" si="21"/>
        <v>1375</v>
      </c>
      <c r="B1388" s="888" t="str">
        <f>'refer admin discharge'!B1384</f>
        <v>x</v>
      </c>
      <c r="C1388" s="888"/>
      <c r="D1388" s="868" t="str">
        <f>'refer admin discharge'!D1384</f>
        <v>xx</v>
      </c>
      <c r="E1388" s="868"/>
      <c r="F1388" s="891" t="str">
        <f>'refer admin discharge'!H1384</f>
        <v>00/00/0000</v>
      </c>
      <c r="G1388" s="892"/>
      <c r="H1388" s="894"/>
      <c r="I1388" s="894"/>
      <c r="J1388" s="918"/>
      <c r="K1388" s="918"/>
      <c r="L1388" s="894"/>
      <c r="M1388" s="894"/>
      <c r="N1388" s="916"/>
      <c r="O1388" s="916"/>
      <c r="P1388" s="894"/>
      <c r="Q1388" s="894"/>
      <c r="R1388" s="916"/>
      <c r="S1388" s="916"/>
      <c r="T1388" s="894"/>
      <c r="U1388" s="894"/>
      <c r="V1388" s="921" t="str">
        <f>'refer admin discharge'!H1389</f>
        <v>00/00/0000</v>
      </c>
      <c r="W1388" s="922"/>
      <c r="X1388" s="920"/>
      <c r="Y1388" s="920"/>
      <c r="Z1388" s="919"/>
      <c r="AA1388" s="919"/>
      <c r="AB1388" s="920"/>
      <c r="AC1388" s="920"/>
      <c r="AD1388" s="912"/>
      <c r="AE1388" s="912"/>
      <c r="AF1388" s="920"/>
      <c r="AG1388" s="920"/>
      <c r="AH1388" s="912"/>
      <c r="AI1388" s="912"/>
      <c r="AJ1388" s="920"/>
      <c r="AK1388" s="920"/>
      <c r="AL1388" s="905"/>
      <c r="AM1388" s="906"/>
      <c r="AN1388" s="906"/>
      <c r="AO1388" s="906"/>
      <c r="AP1388" s="906"/>
      <c r="AQ1388" s="906"/>
      <c r="AR1388" s="906"/>
      <c r="AS1388" s="906"/>
      <c r="AT1388" s="906"/>
      <c r="AU1388" s="906"/>
      <c r="AV1388" s="906"/>
      <c r="AW1388" s="906"/>
      <c r="AX1388" s="906"/>
      <c r="AY1388" s="906"/>
      <c r="AZ1388" s="906"/>
      <c r="BA1388" s="906"/>
      <c r="BB1388" s="907"/>
    </row>
    <row r="1389" spans="1:54" x14ac:dyDescent="0.25">
      <c r="A1389" s="13">
        <f t="shared" si="21"/>
        <v>1376</v>
      </c>
      <c r="B1389" s="914" t="str">
        <f>'refer admin discharge'!B1385</f>
        <v>x</v>
      </c>
      <c r="C1389" s="914"/>
      <c r="D1389" s="889" t="str">
        <f>'refer admin discharge'!D1385</f>
        <v>xx</v>
      </c>
      <c r="E1389" s="889"/>
      <c r="F1389" s="915" t="str">
        <f>'refer admin discharge'!H1385</f>
        <v>00/00/0000</v>
      </c>
      <c r="G1389" s="890"/>
      <c r="H1389" s="916"/>
      <c r="I1389" s="916"/>
      <c r="J1389" s="917"/>
      <c r="K1389" s="917"/>
      <c r="L1389" s="916"/>
      <c r="M1389" s="916"/>
      <c r="N1389" s="893"/>
      <c r="O1389" s="893"/>
      <c r="P1389" s="916"/>
      <c r="Q1389" s="916"/>
      <c r="R1389" s="893"/>
      <c r="S1389" s="893"/>
      <c r="T1389" s="916"/>
      <c r="U1389" s="916"/>
      <c r="V1389" s="921" t="str">
        <f>'refer admin discharge'!H1390</f>
        <v>00/00/0000</v>
      </c>
      <c r="W1389" s="922"/>
      <c r="X1389" s="912"/>
      <c r="Y1389" s="912"/>
      <c r="Z1389" s="924"/>
      <c r="AA1389" s="924"/>
      <c r="AB1389" s="912"/>
      <c r="AC1389" s="912"/>
      <c r="AD1389" s="913"/>
      <c r="AE1389" s="913"/>
      <c r="AF1389" s="912"/>
      <c r="AG1389" s="912"/>
      <c r="AH1389" s="913"/>
      <c r="AI1389" s="913"/>
      <c r="AJ1389" s="912"/>
      <c r="AK1389" s="912"/>
      <c r="AL1389" s="925"/>
      <c r="AM1389" s="926"/>
      <c r="AN1389" s="926"/>
      <c r="AO1389" s="926"/>
      <c r="AP1389" s="926"/>
      <c r="AQ1389" s="926"/>
      <c r="AR1389" s="926"/>
      <c r="AS1389" s="926"/>
      <c r="AT1389" s="926"/>
      <c r="AU1389" s="926"/>
      <c r="AV1389" s="926"/>
      <c r="AW1389" s="926"/>
      <c r="AX1389" s="926"/>
      <c r="AY1389" s="926"/>
      <c r="AZ1389" s="926"/>
      <c r="BA1389" s="926"/>
      <c r="BB1389" s="927"/>
    </row>
    <row r="1390" spans="1:54" x14ac:dyDescent="0.25">
      <c r="A1390" s="13">
        <f t="shared" si="21"/>
        <v>1377</v>
      </c>
      <c r="B1390" s="888" t="str">
        <f>'refer admin discharge'!B1386</f>
        <v>x</v>
      </c>
      <c r="C1390" s="888"/>
      <c r="D1390" s="868" t="str">
        <f>'refer admin discharge'!D1386</f>
        <v>xx</v>
      </c>
      <c r="E1390" s="868"/>
      <c r="F1390" s="891" t="str">
        <f>'refer admin discharge'!H1386</f>
        <v>00/00/0000</v>
      </c>
      <c r="G1390" s="892"/>
      <c r="H1390" s="894"/>
      <c r="I1390" s="894"/>
      <c r="J1390" s="918"/>
      <c r="K1390" s="918"/>
      <c r="L1390" s="894"/>
      <c r="M1390" s="894"/>
      <c r="N1390" s="916"/>
      <c r="O1390" s="916"/>
      <c r="P1390" s="894"/>
      <c r="Q1390" s="894"/>
      <c r="R1390" s="916"/>
      <c r="S1390" s="916"/>
      <c r="T1390" s="894"/>
      <c r="U1390" s="894"/>
      <c r="V1390" s="921" t="str">
        <f>'refer admin discharge'!H1391</f>
        <v>00/00/0000</v>
      </c>
      <c r="W1390" s="922"/>
      <c r="X1390" s="920"/>
      <c r="Y1390" s="920"/>
      <c r="Z1390" s="919"/>
      <c r="AA1390" s="919"/>
      <c r="AB1390" s="920"/>
      <c r="AC1390" s="920"/>
      <c r="AD1390" s="912"/>
      <c r="AE1390" s="912"/>
      <c r="AF1390" s="920"/>
      <c r="AG1390" s="920"/>
      <c r="AH1390" s="912"/>
      <c r="AI1390" s="912"/>
      <c r="AJ1390" s="920"/>
      <c r="AK1390" s="920"/>
      <c r="AL1390" s="905"/>
      <c r="AM1390" s="906"/>
      <c r="AN1390" s="906"/>
      <c r="AO1390" s="906"/>
      <c r="AP1390" s="906"/>
      <c r="AQ1390" s="906"/>
      <c r="AR1390" s="906"/>
      <c r="AS1390" s="906"/>
      <c r="AT1390" s="906"/>
      <c r="AU1390" s="906"/>
      <c r="AV1390" s="906"/>
      <c r="AW1390" s="906"/>
      <c r="AX1390" s="906"/>
      <c r="AY1390" s="906"/>
      <c r="AZ1390" s="906"/>
      <c r="BA1390" s="906"/>
      <c r="BB1390" s="907"/>
    </row>
    <row r="1391" spans="1:54" x14ac:dyDescent="0.25">
      <c r="A1391" s="13">
        <f t="shared" si="21"/>
        <v>1378</v>
      </c>
      <c r="B1391" s="914" t="str">
        <f>'refer admin discharge'!B1387</f>
        <v>x</v>
      </c>
      <c r="C1391" s="914"/>
      <c r="D1391" s="889" t="str">
        <f>'refer admin discharge'!D1387</f>
        <v>xx</v>
      </c>
      <c r="E1391" s="889"/>
      <c r="F1391" s="915" t="str">
        <f>'refer admin discharge'!H1387</f>
        <v>00/00/0000</v>
      </c>
      <c r="G1391" s="890"/>
      <c r="H1391" s="916"/>
      <c r="I1391" s="916"/>
      <c r="J1391" s="917"/>
      <c r="K1391" s="917"/>
      <c r="L1391" s="916"/>
      <c r="M1391" s="916"/>
      <c r="N1391" s="893"/>
      <c r="O1391" s="893"/>
      <c r="P1391" s="916"/>
      <c r="Q1391" s="916"/>
      <c r="R1391" s="893"/>
      <c r="S1391" s="893"/>
      <c r="T1391" s="916"/>
      <c r="U1391" s="916"/>
      <c r="V1391" s="921" t="str">
        <f>'refer admin discharge'!H1392</f>
        <v>00/00/0000</v>
      </c>
      <c r="W1391" s="922"/>
      <c r="X1391" s="912"/>
      <c r="Y1391" s="912"/>
      <c r="Z1391" s="924"/>
      <c r="AA1391" s="924"/>
      <c r="AB1391" s="912"/>
      <c r="AC1391" s="912"/>
      <c r="AD1391" s="913"/>
      <c r="AE1391" s="913"/>
      <c r="AF1391" s="912"/>
      <c r="AG1391" s="912"/>
      <c r="AH1391" s="913"/>
      <c r="AI1391" s="913"/>
      <c r="AJ1391" s="912"/>
      <c r="AK1391" s="912"/>
      <c r="AL1391" s="925"/>
      <c r="AM1391" s="926"/>
      <c r="AN1391" s="926"/>
      <c r="AO1391" s="926"/>
      <c r="AP1391" s="926"/>
      <c r="AQ1391" s="926"/>
      <c r="AR1391" s="926"/>
      <c r="AS1391" s="926"/>
      <c r="AT1391" s="926"/>
      <c r="AU1391" s="926"/>
      <c r="AV1391" s="926"/>
      <c r="AW1391" s="926"/>
      <c r="AX1391" s="926"/>
      <c r="AY1391" s="926"/>
      <c r="AZ1391" s="926"/>
      <c r="BA1391" s="926"/>
      <c r="BB1391" s="927"/>
    </row>
    <row r="1392" spans="1:54" x14ac:dyDescent="0.25">
      <c r="A1392" s="13">
        <f t="shared" si="21"/>
        <v>1379</v>
      </c>
      <c r="B1392" s="888" t="str">
        <f>'refer admin discharge'!B1388</f>
        <v>x</v>
      </c>
      <c r="C1392" s="888"/>
      <c r="D1392" s="868" t="str">
        <f>'refer admin discharge'!D1388</f>
        <v>xx</v>
      </c>
      <c r="E1392" s="868"/>
      <c r="F1392" s="891" t="str">
        <f>'refer admin discharge'!H1388</f>
        <v>00/00/0000</v>
      </c>
      <c r="G1392" s="892"/>
      <c r="H1392" s="894"/>
      <c r="I1392" s="894"/>
      <c r="J1392" s="918"/>
      <c r="K1392" s="918"/>
      <c r="L1392" s="894"/>
      <c r="M1392" s="894"/>
      <c r="N1392" s="916"/>
      <c r="O1392" s="916"/>
      <c r="P1392" s="894"/>
      <c r="Q1392" s="894"/>
      <c r="R1392" s="916"/>
      <c r="S1392" s="916"/>
      <c r="T1392" s="894"/>
      <c r="U1392" s="894"/>
      <c r="V1392" s="921" t="str">
        <f>'refer admin discharge'!H1393</f>
        <v>00/00/0000</v>
      </c>
      <c r="W1392" s="922"/>
      <c r="X1392" s="920"/>
      <c r="Y1392" s="920"/>
      <c r="Z1392" s="919"/>
      <c r="AA1392" s="919"/>
      <c r="AB1392" s="920"/>
      <c r="AC1392" s="920"/>
      <c r="AD1392" s="912"/>
      <c r="AE1392" s="912"/>
      <c r="AF1392" s="920"/>
      <c r="AG1392" s="920"/>
      <c r="AH1392" s="912"/>
      <c r="AI1392" s="912"/>
      <c r="AJ1392" s="920"/>
      <c r="AK1392" s="920"/>
      <c r="AL1392" s="905"/>
      <c r="AM1392" s="906"/>
      <c r="AN1392" s="906"/>
      <c r="AO1392" s="906"/>
      <c r="AP1392" s="906"/>
      <c r="AQ1392" s="906"/>
      <c r="AR1392" s="906"/>
      <c r="AS1392" s="906"/>
      <c r="AT1392" s="906"/>
      <c r="AU1392" s="906"/>
      <c r="AV1392" s="906"/>
      <c r="AW1392" s="906"/>
      <c r="AX1392" s="906"/>
      <c r="AY1392" s="906"/>
      <c r="AZ1392" s="906"/>
      <c r="BA1392" s="906"/>
      <c r="BB1392" s="907"/>
    </row>
    <row r="1393" spans="1:54" x14ac:dyDescent="0.25">
      <c r="A1393" s="13">
        <f t="shared" si="21"/>
        <v>1380</v>
      </c>
      <c r="B1393" s="914" t="str">
        <f>'refer admin discharge'!B1389</f>
        <v>x</v>
      </c>
      <c r="C1393" s="914"/>
      <c r="D1393" s="889" t="str">
        <f>'refer admin discharge'!D1389</f>
        <v>xx</v>
      </c>
      <c r="E1393" s="889"/>
      <c r="F1393" s="915" t="str">
        <f>'refer admin discharge'!H1389</f>
        <v>00/00/0000</v>
      </c>
      <c r="G1393" s="890"/>
      <c r="H1393" s="916"/>
      <c r="I1393" s="916"/>
      <c r="J1393" s="917"/>
      <c r="K1393" s="917"/>
      <c r="L1393" s="916"/>
      <c r="M1393" s="916"/>
      <c r="N1393" s="893"/>
      <c r="O1393" s="893"/>
      <c r="P1393" s="916"/>
      <c r="Q1393" s="916"/>
      <c r="R1393" s="893"/>
      <c r="S1393" s="893"/>
      <c r="T1393" s="916"/>
      <c r="U1393" s="916"/>
      <c r="V1393" s="921" t="str">
        <f>'refer admin discharge'!H1394</f>
        <v>00/00/0000</v>
      </c>
      <c r="W1393" s="922"/>
      <c r="X1393" s="912"/>
      <c r="Y1393" s="912"/>
      <c r="Z1393" s="924"/>
      <c r="AA1393" s="924"/>
      <c r="AB1393" s="912"/>
      <c r="AC1393" s="912"/>
      <c r="AD1393" s="913"/>
      <c r="AE1393" s="913"/>
      <c r="AF1393" s="912"/>
      <c r="AG1393" s="912"/>
      <c r="AH1393" s="913"/>
      <c r="AI1393" s="913"/>
      <c r="AJ1393" s="912"/>
      <c r="AK1393" s="912"/>
      <c r="AL1393" s="925"/>
      <c r="AM1393" s="926"/>
      <c r="AN1393" s="926"/>
      <c r="AO1393" s="926"/>
      <c r="AP1393" s="926"/>
      <c r="AQ1393" s="926"/>
      <c r="AR1393" s="926"/>
      <c r="AS1393" s="926"/>
      <c r="AT1393" s="926"/>
      <c r="AU1393" s="926"/>
      <c r="AV1393" s="926"/>
      <c r="AW1393" s="926"/>
      <c r="AX1393" s="926"/>
      <c r="AY1393" s="926"/>
      <c r="AZ1393" s="926"/>
      <c r="BA1393" s="926"/>
      <c r="BB1393" s="927"/>
    </row>
    <row r="1394" spans="1:54" x14ac:dyDescent="0.25">
      <c r="A1394" s="13">
        <f t="shared" si="21"/>
        <v>1381</v>
      </c>
      <c r="B1394" s="888" t="str">
        <f>'refer admin discharge'!B1390</f>
        <v>x</v>
      </c>
      <c r="C1394" s="888"/>
      <c r="D1394" s="868" t="str">
        <f>'refer admin discharge'!D1390</f>
        <v>xx</v>
      </c>
      <c r="E1394" s="868"/>
      <c r="F1394" s="891" t="str">
        <f>'refer admin discharge'!H1390</f>
        <v>00/00/0000</v>
      </c>
      <c r="G1394" s="892"/>
      <c r="H1394" s="894"/>
      <c r="I1394" s="894"/>
      <c r="J1394" s="918"/>
      <c r="K1394" s="918"/>
      <c r="L1394" s="894"/>
      <c r="M1394" s="894"/>
      <c r="N1394" s="916"/>
      <c r="O1394" s="916"/>
      <c r="P1394" s="894"/>
      <c r="Q1394" s="894"/>
      <c r="R1394" s="916"/>
      <c r="S1394" s="916"/>
      <c r="T1394" s="894"/>
      <c r="U1394" s="894"/>
      <c r="V1394" s="921" t="str">
        <f>'refer admin discharge'!H1395</f>
        <v>00/00/0000</v>
      </c>
      <c r="W1394" s="922"/>
      <c r="X1394" s="920"/>
      <c r="Y1394" s="920"/>
      <c r="Z1394" s="919"/>
      <c r="AA1394" s="919"/>
      <c r="AB1394" s="920"/>
      <c r="AC1394" s="920"/>
      <c r="AD1394" s="912"/>
      <c r="AE1394" s="912"/>
      <c r="AF1394" s="920"/>
      <c r="AG1394" s="920"/>
      <c r="AH1394" s="912"/>
      <c r="AI1394" s="912"/>
      <c r="AJ1394" s="920"/>
      <c r="AK1394" s="920"/>
      <c r="AL1394" s="905"/>
      <c r="AM1394" s="906"/>
      <c r="AN1394" s="906"/>
      <c r="AO1394" s="906"/>
      <c r="AP1394" s="906"/>
      <c r="AQ1394" s="906"/>
      <c r="AR1394" s="906"/>
      <c r="AS1394" s="906"/>
      <c r="AT1394" s="906"/>
      <c r="AU1394" s="906"/>
      <c r="AV1394" s="906"/>
      <c r="AW1394" s="906"/>
      <c r="AX1394" s="906"/>
      <c r="AY1394" s="906"/>
      <c r="AZ1394" s="906"/>
      <c r="BA1394" s="906"/>
      <c r="BB1394" s="907"/>
    </row>
    <row r="1395" spans="1:54" x14ac:dyDescent="0.25">
      <c r="A1395" s="13">
        <f t="shared" si="21"/>
        <v>1382</v>
      </c>
      <c r="B1395" s="914" t="str">
        <f>'refer admin discharge'!B1391</f>
        <v>x</v>
      </c>
      <c r="C1395" s="914"/>
      <c r="D1395" s="889" t="str">
        <f>'refer admin discharge'!D1391</f>
        <v>xx</v>
      </c>
      <c r="E1395" s="889"/>
      <c r="F1395" s="915" t="str">
        <f>'refer admin discharge'!H1391</f>
        <v>00/00/0000</v>
      </c>
      <c r="G1395" s="890"/>
      <c r="H1395" s="916"/>
      <c r="I1395" s="916"/>
      <c r="J1395" s="917"/>
      <c r="K1395" s="917"/>
      <c r="L1395" s="916"/>
      <c r="M1395" s="916"/>
      <c r="N1395" s="893"/>
      <c r="O1395" s="893"/>
      <c r="P1395" s="916"/>
      <c r="Q1395" s="916"/>
      <c r="R1395" s="893"/>
      <c r="S1395" s="893"/>
      <c r="T1395" s="916"/>
      <c r="U1395" s="916"/>
      <c r="V1395" s="921" t="str">
        <f>'refer admin discharge'!H1396</f>
        <v>00/00/0000</v>
      </c>
      <c r="W1395" s="922"/>
      <c r="X1395" s="912"/>
      <c r="Y1395" s="912"/>
      <c r="Z1395" s="924"/>
      <c r="AA1395" s="924"/>
      <c r="AB1395" s="912"/>
      <c r="AC1395" s="912"/>
      <c r="AD1395" s="913"/>
      <c r="AE1395" s="913"/>
      <c r="AF1395" s="912"/>
      <c r="AG1395" s="912"/>
      <c r="AH1395" s="913"/>
      <c r="AI1395" s="913"/>
      <c r="AJ1395" s="912"/>
      <c r="AK1395" s="912"/>
      <c r="AL1395" s="925"/>
      <c r="AM1395" s="926"/>
      <c r="AN1395" s="926"/>
      <c r="AO1395" s="926"/>
      <c r="AP1395" s="926"/>
      <c r="AQ1395" s="926"/>
      <c r="AR1395" s="926"/>
      <c r="AS1395" s="926"/>
      <c r="AT1395" s="926"/>
      <c r="AU1395" s="926"/>
      <c r="AV1395" s="926"/>
      <c r="AW1395" s="926"/>
      <c r="AX1395" s="926"/>
      <c r="AY1395" s="926"/>
      <c r="AZ1395" s="926"/>
      <c r="BA1395" s="926"/>
      <c r="BB1395" s="927"/>
    </row>
    <row r="1396" spans="1:54" x14ac:dyDescent="0.25">
      <c r="A1396" s="13">
        <f t="shared" si="21"/>
        <v>1383</v>
      </c>
      <c r="B1396" s="888" t="str">
        <f>'refer admin discharge'!B1392</f>
        <v>x</v>
      </c>
      <c r="C1396" s="888"/>
      <c r="D1396" s="868" t="str">
        <f>'refer admin discharge'!D1392</f>
        <v>xx</v>
      </c>
      <c r="E1396" s="868"/>
      <c r="F1396" s="891" t="str">
        <f>'refer admin discharge'!H1392</f>
        <v>00/00/0000</v>
      </c>
      <c r="G1396" s="892"/>
      <c r="H1396" s="894"/>
      <c r="I1396" s="894"/>
      <c r="J1396" s="918"/>
      <c r="K1396" s="918"/>
      <c r="L1396" s="894"/>
      <c r="M1396" s="894"/>
      <c r="N1396" s="916"/>
      <c r="O1396" s="916"/>
      <c r="P1396" s="894"/>
      <c r="Q1396" s="894"/>
      <c r="R1396" s="916"/>
      <c r="S1396" s="916"/>
      <c r="T1396" s="894"/>
      <c r="U1396" s="894"/>
      <c r="V1396" s="921" t="str">
        <f>'refer admin discharge'!H1397</f>
        <v>00/00/0000</v>
      </c>
      <c r="W1396" s="922"/>
      <c r="X1396" s="920"/>
      <c r="Y1396" s="920"/>
      <c r="Z1396" s="919"/>
      <c r="AA1396" s="919"/>
      <c r="AB1396" s="920"/>
      <c r="AC1396" s="920"/>
      <c r="AD1396" s="912"/>
      <c r="AE1396" s="912"/>
      <c r="AF1396" s="920"/>
      <c r="AG1396" s="920"/>
      <c r="AH1396" s="912"/>
      <c r="AI1396" s="912"/>
      <c r="AJ1396" s="920"/>
      <c r="AK1396" s="920"/>
      <c r="AL1396" s="905"/>
      <c r="AM1396" s="906"/>
      <c r="AN1396" s="906"/>
      <c r="AO1396" s="906"/>
      <c r="AP1396" s="906"/>
      <c r="AQ1396" s="906"/>
      <c r="AR1396" s="906"/>
      <c r="AS1396" s="906"/>
      <c r="AT1396" s="906"/>
      <c r="AU1396" s="906"/>
      <c r="AV1396" s="906"/>
      <c r="AW1396" s="906"/>
      <c r="AX1396" s="906"/>
      <c r="AY1396" s="906"/>
      <c r="AZ1396" s="906"/>
      <c r="BA1396" s="906"/>
      <c r="BB1396" s="907"/>
    </row>
    <row r="1397" spans="1:54" x14ac:dyDescent="0.25">
      <c r="A1397" s="13">
        <f t="shared" si="21"/>
        <v>1384</v>
      </c>
      <c r="B1397" s="914" t="str">
        <f>'refer admin discharge'!B1393</f>
        <v>x</v>
      </c>
      <c r="C1397" s="914"/>
      <c r="D1397" s="889" t="str">
        <f>'refer admin discharge'!D1393</f>
        <v>xx</v>
      </c>
      <c r="E1397" s="889"/>
      <c r="F1397" s="915" t="str">
        <f>'refer admin discharge'!H1393</f>
        <v>00/00/0000</v>
      </c>
      <c r="G1397" s="890"/>
      <c r="H1397" s="916"/>
      <c r="I1397" s="916"/>
      <c r="J1397" s="917"/>
      <c r="K1397" s="917"/>
      <c r="L1397" s="916"/>
      <c r="M1397" s="916"/>
      <c r="N1397" s="893"/>
      <c r="O1397" s="893"/>
      <c r="P1397" s="916"/>
      <c r="Q1397" s="916"/>
      <c r="R1397" s="893"/>
      <c r="S1397" s="893"/>
      <c r="T1397" s="916"/>
      <c r="U1397" s="916"/>
      <c r="V1397" s="921" t="str">
        <f>'refer admin discharge'!H1398</f>
        <v>00/00/0000</v>
      </c>
      <c r="W1397" s="922"/>
      <c r="X1397" s="912"/>
      <c r="Y1397" s="912"/>
      <c r="Z1397" s="924"/>
      <c r="AA1397" s="924"/>
      <c r="AB1397" s="912"/>
      <c r="AC1397" s="912"/>
      <c r="AD1397" s="913"/>
      <c r="AE1397" s="913"/>
      <c r="AF1397" s="912"/>
      <c r="AG1397" s="912"/>
      <c r="AH1397" s="913"/>
      <c r="AI1397" s="913"/>
      <c r="AJ1397" s="912"/>
      <c r="AK1397" s="912"/>
      <c r="AL1397" s="925"/>
      <c r="AM1397" s="926"/>
      <c r="AN1397" s="926"/>
      <c r="AO1397" s="926"/>
      <c r="AP1397" s="926"/>
      <c r="AQ1397" s="926"/>
      <c r="AR1397" s="926"/>
      <c r="AS1397" s="926"/>
      <c r="AT1397" s="926"/>
      <c r="AU1397" s="926"/>
      <c r="AV1397" s="926"/>
      <c r="AW1397" s="926"/>
      <c r="AX1397" s="926"/>
      <c r="AY1397" s="926"/>
      <c r="AZ1397" s="926"/>
      <c r="BA1397" s="926"/>
      <c r="BB1397" s="927"/>
    </row>
    <row r="1398" spans="1:54" x14ac:dyDescent="0.25">
      <c r="A1398" s="13">
        <f t="shared" si="21"/>
        <v>1385</v>
      </c>
      <c r="B1398" s="888" t="str">
        <f>'refer admin discharge'!B1394</f>
        <v>x</v>
      </c>
      <c r="C1398" s="888"/>
      <c r="D1398" s="868" t="str">
        <f>'refer admin discharge'!D1394</f>
        <v>xx</v>
      </c>
      <c r="E1398" s="868"/>
      <c r="F1398" s="891" t="str">
        <f>'refer admin discharge'!H1394</f>
        <v>00/00/0000</v>
      </c>
      <c r="G1398" s="892"/>
      <c r="H1398" s="894"/>
      <c r="I1398" s="894"/>
      <c r="J1398" s="918"/>
      <c r="K1398" s="918"/>
      <c r="L1398" s="894"/>
      <c r="M1398" s="894"/>
      <c r="N1398" s="916"/>
      <c r="O1398" s="916"/>
      <c r="P1398" s="894"/>
      <c r="Q1398" s="894"/>
      <c r="R1398" s="916"/>
      <c r="S1398" s="916"/>
      <c r="T1398" s="894"/>
      <c r="U1398" s="894"/>
      <c r="V1398" s="921" t="str">
        <f>'refer admin discharge'!H1399</f>
        <v>00/00/0000</v>
      </c>
      <c r="W1398" s="922"/>
      <c r="X1398" s="920"/>
      <c r="Y1398" s="920"/>
      <c r="Z1398" s="919"/>
      <c r="AA1398" s="919"/>
      <c r="AB1398" s="920"/>
      <c r="AC1398" s="920"/>
      <c r="AD1398" s="912"/>
      <c r="AE1398" s="912"/>
      <c r="AF1398" s="920"/>
      <c r="AG1398" s="920"/>
      <c r="AH1398" s="912"/>
      <c r="AI1398" s="912"/>
      <c r="AJ1398" s="920"/>
      <c r="AK1398" s="920"/>
      <c r="AL1398" s="905"/>
      <c r="AM1398" s="906"/>
      <c r="AN1398" s="906"/>
      <c r="AO1398" s="906"/>
      <c r="AP1398" s="906"/>
      <c r="AQ1398" s="906"/>
      <c r="AR1398" s="906"/>
      <c r="AS1398" s="906"/>
      <c r="AT1398" s="906"/>
      <c r="AU1398" s="906"/>
      <c r="AV1398" s="906"/>
      <c r="AW1398" s="906"/>
      <c r="AX1398" s="906"/>
      <c r="AY1398" s="906"/>
      <c r="AZ1398" s="906"/>
      <c r="BA1398" s="906"/>
      <c r="BB1398" s="907"/>
    </row>
    <row r="1399" spans="1:54" x14ac:dyDescent="0.25">
      <c r="A1399" s="13">
        <f t="shared" si="21"/>
        <v>1386</v>
      </c>
      <c r="B1399" s="914" t="str">
        <f>'refer admin discharge'!B1395</f>
        <v>x</v>
      </c>
      <c r="C1399" s="914"/>
      <c r="D1399" s="889" t="str">
        <f>'refer admin discharge'!D1395</f>
        <v>xx</v>
      </c>
      <c r="E1399" s="889"/>
      <c r="F1399" s="915" t="str">
        <f>'refer admin discharge'!H1395</f>
        <v>00/00/0000</v>
      </c>
      <c r="G1399" s="890"/>
      <c r="H1399" s="916"/>
      <c r="I1399" s="916"/>
      <c r="J1399" s="917"/>
      <c r="K1399" s="917"/>
      <c r="L1399" s="916"/>
      <c r="M1399" s="916"/>
      <c r="N1399" s="893"/>
      <c r="O1399" s="893"/>
      <c r="P1399" s="916"/>
      <c r="Q1399" s="916"/>
      <c r="R1399" s="893"/>
      <c r="S1399" s="893"/>
      <c r="T1399" s="916"/>
      <c r="U1399" s="916"/>
      <c r="V1399" s="921" t="str">
        <f>'refer admin discharge'!H1400</f>
        <v>00/00/0000</v>
      </c>
      <c r="W1399" s="922"/>
      <c r="X1399" s="912"/>
      <c r="Y1399" s="912"/>
      <c r="Z1399" s="924"/>
      <c r="AA1399" s="924"/>
      <c r="AB1399" s="912"/>
      <c r="AC1399" s="912"/>
      <c r="AD1399" s="913"/>
      <c r="AE1399" s="913"/>
      <c r="AF1399" s="912"/>
      <c r="AG1399" s="912"/>
      <c r="AH1399" s="913"/>
      <c r="AI1399" s="913"/>
      <c r="AJ1399" s="912"/>
      <c r="AK1399" s="912"/>
      <c r="AL1399" s="925"/>
      <c r="AM1399" s="926"/>
      <c r="AN1399" s="926"/>
      <c r="AO1399" s="926"/>
      <c r="AP1399" s="926"/>
      <c r="AQ1399" s="926"/>
      <c r="AR1399" s="926"/>
      <c r="AS1399" s="926"/>
      <c r="AT1399" s="926"/>
      <c r="AU1399" s="926"/>
      <c r="AV1399" s="926"/>
      <c r="AW1399" s="926"/>
      <c r="AX1399" s="926"/>
      <c r="AY1399" s="926"/>
      <c r="AZ1399" s="926"/>
      <c r="BA1399" s="926"/>
      <c r="BB1399" s="927"/>
    </row>
    <row r="1400" spans="1:54" x14ac:dyDescent="0.25">
      <c r="A1400" s="13">
        <f t="shared" si="21"/>
        <v>1387</v>
      </c>
      <c r="B1400" s="888" t="str">
        <f>'refer admin discharge'!B1396</f>
        <v>x</v>
      </c>
      <c r="C1400" s="888"/>
      <c r="D1400" s="868" t="str">
        <f>'refer admin discharge'!D1396</f>
        <v>xx</v>
      </c>
      <c r="E1400" s="868"/>
      <c r="F1400" s="891" t="str">
        <f>'refer admin discharge'!H1396</f>
        <v>00/00/0000</v>
      </c>
      <c r="G1400" s="892"/>
      <c r="H1400" s="894"/>
      <c r="I1400" s="894"/>
      <c r="J1400" s="918"/>
      <c r="K1400" s="918"/>
      <c r="L1400" s="894"/>
      <c r="M1400" s="894"/>
      <c r="N1400" s="916"/>
      <c r="O1400" s="916"/>
      <c r="P1400" s="894"/>
      <c r="Q1400" s="894"/>
      <c r="R1400" s="916"/>
      <c r="S1400" s="916"/>
      <c r="T1400" s="894"/>
      <c r="U1400" s="894"/>
      <c r="V1400" s="921" t="str">
        <f>'refer admin discharge'!H1401</f>
        <v>00/00/0000</v>
      </c>
      <c r="W1400" s="922"/>
      <c r="X1400" s="920"/>
      <c r="Y1400" s="920"/>
      <c r="Z1400" s="919"/>
      <c r="AA1400" s="919"/>
      <c r="AB1400" s="920"/>
      <c r="AC1400" s="920"/>
      <c r="AD1400" s="912"/>
      <c r="AE1400" s="912"/>
      <c r="AF1400" s="920"/>
      <c r="AG1400" s="920"/>
      <c r="AH1400" s="912"/>
      <c r="AI1400" s="912"/>
      <c r="AJ1400" s="920"/>
      <c r="AK1400" s="920"/>
      <c r="AL1400" s="905"/>
      <c r="AM1400" s="906"/>
      <c r="AN1400" s="906"/>
      <c r="AO1400" s="906"/>
      <c r="AP1400" s="906"/>
      <c r="AQ1400" s="906"/>
      <c r="AR1400" s="906"/>
      <c r="AS1400" s="906"/>
      <c r="AT1400" s="906"/>
      <c r="AU1400" s="906"/>
      <c r="AV1400" s="906"/>
      <c r="AW1400" s="906"/>
      <c r="AX1400" s="906"/>
      <c r="AY1400" s="906"/>
      <c r="AZ1400" s="906"/>
      <c r="BA1400" s="906"/>
      <c r="BB1400" s="907"/>
    </row>
    <row r="1401" spans="1:54" x14ac:dyDescent="0.25">
      <c r="A1401" s="13">
        <f t="shared" si="21"/>
        <v>1388</v>
      </c>
      <c r="B1401" s="914" t="str">
        <f>'refer admin discharge'!B1397</f>
        <v>x</v>
      </c>
      <c r="C1401" s="914"/>
      <c r="D1401" s="889" t="str">
        <f>'refer admin discharge'!D1397</f>
        <v>xx</v>
      </c>
      <c r="E1401" s="889"/>
      <c r="F1401" s="915" t="str">
        <f>'refer admin discharge'!H1397</f>
        <v>00/00/0000</v>
      </c>
      <c r="G1401" s="890"/>
      <c r="H1401" s="916"/>
      <c r="I1401" s="916"/>
      <c r="J1401" s="917"/>
      <c r="K1401" s="917"/>
      <c r="L1401" s="916"/>
      <c r="M1401" s="916"/>
      <c r="N1401" s="893"/>
      <c r="O1401" s="893"/>
      <c r="P1401" s="916"/>
      <c r="Q1401" s="916"/>
      <c r="R1401" s="893"/>
      <c r="S1401" s="893"/>
      <c r="T1401" s="916"/>
      <c r="U1401" s="916"/>
      <c r="V1401" s="921" t="str">
        <f>'refer admin discharge'!H1402</f>
        <v>00/00/0000</v>
      </c>
      <c r="W1401" s="922"/>
      <c r="X1401" s="912"/>
      <c r="Y1401" s="912"/>
      <c r="Z1401" s="924"/>
      <c r="AA1401" s="924"/>
      <c r="AB1401" s="912"/>
      <c r="AC1401" s="912"/>
      <c r="AD1401" s="913"/>
      <c r="AE1401" s="913"/>
      <c r="AF1401" s="912"/>
      <c r="AG1401" s="912"/>
      <c r="AH1401" s="913"/>
      <c r="AI1401" s="913"/>
      <c r="AJ1401" s="912"/>
      <c r="AK1401" s="912"/>
      <c r="AL1401" s="925"/>
      <c r="AM1401" s="926"/>
      <c r="AN1401" s="926"/>
      <c r="AO1401" s="926"/>
      <c r="AP1401" s="926"/>
      <c r="AQ1401" s="926"/>
      <c r="AR1401" s="926"/>
      <c r="AS1401" s="926"/>
      <c r="AT1401" s="926"/>
      <c r="AU1401" s="926"/>
      <c r="AV1401" s="926"/>
      <c r="AW1401" s="926"/>
      <c r="AX1401" s="926"/>
      <c r="AY1401" s="926"/>
      <c r="AZ1401" s="926"/>
      <c r="BA1401" s="926"/>
      <c r="BB1401" s="927"/>
    </row>
    <row r="1402" spans="1:54" x14ac:dyDescent="0.25">
      <c r="A1402" s="13">
        <f t="shared" si="21"/>
        <v>1389</v>
      </c>
      <c r="B1402" s="888" t="str">
        <f>'refer admin discharge'!B1398</f>
        <v>x</v>
      </c>
      <c r="C1402" s="888"/>
      <c r="D1402" s="868" t="str">
        <f>'refer admin discharge'!D1398</f>
        <v>xx</v>
      </c>
      <c r="E1402" s="868"/>
      <c r="F1402" s="891" t="str">
        <f>'refer admin discharge'!H1398</f>
        <v>00/00/0000</v>
      </c>
      <c r="G1402" s="892"/>
      <c r="H1402" s="894"/>
      <c r="I1402" s="894"/>
      <c r="J1402" s="918"/>
      <c r="K1402" s="918"/>
      <c r="L1402" s="894"/>
      <c r="M1402" s="894"/>
      <c r="N1402" s="916"/>
      <c r="O1402" s="916"/>
      <c r="P1402" s="894"/>
      <c r="Q1402" s="894"/>
      <c r="R1402" s="916"/>
      <c r="S1402" s="916"/>
      <c r="T1402" s="894"/>
      <c r="U1402" s="894"/>
      <c r="V1402" s="921" t="str">
        <f>'refer admin discharge'!H1403</f>
        <v>00/00/0000</v>
      </c>
      <c r="W1402" s="922"/>
      <c r="X1402" s="920"/>
      <c r="Y1402" s="920"/>
      <c r="Z1402" s="919"/>
      <c r="AA1402" s="919"/>
      <c r="AB1402" s="920"/>
      <c r="AC1402" s="920"/>
      <c r="AD1402" s="912"/>
      <c r="AE1402" s="912"/>
      <c r="AF1402" s="920"/>
      <c r="AG1402" s="920"/>
      <c r="AH1402" s="912"/>
      <c r="AI1402" s="912"/>
      <c r="AJ1402" s="920"/>
      <c r="AK1402" s="920"/>
      <c r="AL1402" s="905"/>
      <c r="AM1402" s="906"/>
      <c r="AN1402" s="906"/>
      <c r="AO1402" s="906"/>
      <c r="AP1402" s="906"/>
      <c r="AQ1402" s="906"/>
      <c r="AR1402" s="906"/>
      <c r="AS1402" s="906"/>
      <c r="AT1402" s="906"/>
      <c r="AU1402" s="906"/>
      <c r="AV1402" s="906"/>
      <c r="AW1402" s="906"/>
      <c r="AX1402" s="906"/>
      <c r="AY1402" s="906"/>
      <c r="AZ1402" s="906"/>
      <c r="BA1402" s="906"/>
      <c r="BB1402" s="907"/>
    </row>
    <row r="1403" spans="1:54" x14ac:dyDescent="0.25">
      <c r="A1403" s="13">
        <f t="shared" si="21"/>
        <v>1390</v>
      </c>
      <c r="B1403" s="914" t="str">
        <f>'refer admin discharge'!B1399</f>
        <v>x</v>
      </c>
      <c r="C1403" s="914"/>
      <c r="D1403" s="889" t="str">
        <f>'refer admin discharge'!D1399</f>
        <v>xx</v>
      </c>
      <c r="E1403" s="889"/>
      <c r="F1403" s="915" t="str">
        <f>'refer admin discharge'!H1399</f>
        <v>00/00/0000</v>
      </c>
      <c r="G1403" s="890"/>
      <c r="H1403" s="916"/>
      <c r="I1403" s="916"/>
      <c r="J1403" s="917"/>
      <c r="K1403" s="917"/>
      <c r="L1403" s="916"/>
      <c r="M1403" s="916"/>
      <c r="N1403" s="893"/>
      <c r="O1403" s="893"/>
      <c r="P1403" s="916"/>
      <c r="Q1403" s="916"/>
      <c r="R1403" s="893"/>
      <c r="S1403" s="893"/>
      <c r="T1403" s="916"/>
      <c r="U1403" s="916"/>
      <c r="V1403" s="921" t="str">
        <f>'refer admin discharge'!H1404</f>
        <v>00/00/0000</v>
      </c>
      <c r="W1403" s="922"/>
      <c r="X1403" s="912"/>
      <c r="Y1403" s="912"/>
      <c r="Z1403" s="924"/>
      <c r="AA1403" s="924"/>
      <c r="AB1403" s="912"/>
      <c r="AC1403" s="912"/>
      <c r="AD1403" s="913"/>
      <c r="AE1403" s="913"/>
      <c r="AF1403" s="912"/>
      <c r="AG1403" s="912"/>
      <c r="AH1403" s="913"/>
      <c r="AI1403" s="913"/>
      <c r="AJ1403" s="912"/>
      <c r="AK1403" s="912"/>
      <c r="AL1403" s="925"/>
      <c r="AM1403" s="926"/>
      <c r="AN1403" s="926"/>
      <c r="AO1403" s="926"/>
      <c r="AP1403" s="926"/>
      <c r="AQ1403" s="926"/>
      <c r="AR1403" s="926"/>
      <c r="AS1403" s="926"/>
      <c r="AT1403" s="926"/>
      <c r="AU1403" s="926"/>
      <c r="AV1403" s="926"/>
      <c r="AW1403" s="926"/>
      <c r="AX1403" s="926"/>
      <c r="AY1403" s="926"/>
      <c r="AZ1403" s="926"/>
      <c r="BA1403" s="926"/>
      <c r="BB1403" s="927"/>
    </row>
    <row r="1404" spans="1:54" x14ac:dyDescent="0.25">
      <c r="A1404" s="13">
        <f t="shared" si="21"/>
        <v>1391</v>
      </c>
      <c r="B1404" s="888" t="str">
        <f>'refer admin discharge'!B1400</f>
        <v>x</v>
      </c>
      <c r="C1404" s="888"/>
      <c r="D1404" s="868" t="str">
        <f>'refer admin discharge'!D1400</f>
        <v>xx</v>
      </c>
      <c r="E1404" s="868"/>
      <c r="F1404" s="891" t="str">
        <f>'refer admin discharge'!H1400</f>
        <v>00/00/0000</v>
      </c>
      <c r="G1404" s="892"/>
      <c r="H1404" s="894"/>
      <c r="I1404" s="894"/>
      <c r="J1404" s="918"/>
      <c r="K1404" s="918"/>
      <c r="L1404" s="894"/>
      <c r="M1404" s="894"/>
      <c r="N1404" s="916"/>
      <c r="O1404" s="916"/>
      <c r="P1404" s="894"/>
      <c r="Q1404" s="894"/>
      <c r="R1404" s="916"/>
      <c r="S1404" s="916"/>
      <c r="T1404" s="894"/>
      <c r="U1404" s="894"/>
      <c r="V1404" s="921" t="str">
        <f>'refer admin discharge'!H1405</f>
        <v>00/00/0000</v>
      </c>
      <c r="W1404" s="922"/>
      <c r="X1404" s="920"/>
      <c r="Y1404" s="920"/>
      <c r="Z1404" s="919"/>
      <c r="AA1404" s="919"/>
      <c r="AB1404" s="920"/>
      <c r="AC1404" s="920"/>
      <c r="AD1404" s="912"/>
      <c r="AE1404" s="912"/>
      <c r="AF1404" s="920"/>
      <c r="AG1404" s="920"/>
      <c r="AH1404" s="912"/>
      <c r="AI1404" s="912"/>
      <c r="AJ1404" s="920"/>
      <c r="AK1404" s="920"/>
      <c r="AL1404" s="905"/>
      <c r="AM1404" s="906"/>
      <c r="AN1404" s="906"/>
      <c r="AO1404" s="906"/>
      <c r="AP1404" s="906"/>
      <c r="AQ1404" s="906"/>
      <c r="AR1404" s="906"/>
      <c r="AS1404" s="906"/>
      <c r="AT1404" s="906"/>
      <c r="AU1404" s="906"/>
      <c r="AV1404" s="906"/>
      <c r="AW1404" s="906"/>
      <c r="AX1404" s="906"/>
      <c r="AY1404" s="906"/>
      <c r="AZ1404" s="906"/>
      <c r="BA1404" s="906"/>
      <c r="BB1404" s="907"/>
    </row>
    <row r="1405" spans="1:54" x14ac:dyDescent="0.25">
      <c r="A1405" s="13">
        <f t="shared" si="21"/>
        <v>1392</v>
      </c>
      <c r="B1405" s="914" t="str">
        <f>'refer admin discharge'!B1401</f>
        <v>x</v>
      </c>
      <c r="C1405" s="914"/>
      <c r="D1405" s="889" t="str">
        <f>'refer admin discharge'!D1401</f>
        <v>xx</v>
      </c>
      <c r="E1405" s="889"/>
      <c r="F1405" s="915" t="str">
        <f>'refer admin discharge'!H1401</f>
        <v>00/00/0000</v>
      </c>
      <c r="G1405" s="890"/>
      <c r="H1405" s="916"/>
      <c r="I1405" s="916"/>
      <c r="J1405" s="917"/>
      <c r="K1405" s="917"/>
      <c r="L1405" s="916"/>
      <c r="M1405" s="916"/>
      <c r="N1405" s="893"/>
      <c r="O1405" s="893"/>
      <c r="P1405" s="916"/>
      <c r="Q1405" s="916"/>
      <c r="R1405" s="893"/>
      <c r="S1405" s="893"/>
      <c r="T1405" s="916"/>
      <c r="U1405" s="916"/>
      <c r="V1405" s="921" t="str">
        <f>'refer admin discharge'!H1406</f>
        <v>00/00/0000</v>
      </c>
      <c r="W1405" s="922"/>
      <c r="X1405" s="912"/>
      <c r="Y1405" s="912"/>
      <c r="Z1405" s="924"/>
      <c r="AA1405" s="924"/>
      <c r="AB1405" s="912"/>
      <c r="AC1405" s="912"/>
      <c r="AD1405" s="913"/>
      <c r="AE1405" s="913"/>
      <c r="AF1405" s="912"/>
      <c r="AG1405" s="912"/>
      <c r="AH1405" s="913"/>
      <c r="AI1405" s="913"/>
      <c r="AJ1405" s="912"/>
      <c r="AK1405" s="912"/>
      <c r="AL1405" s="925"/>
      <c r="AM1405" s="926"/>
      <c r="AN1405" s="926"/>
      <c r="AO1405" s="926"/>
      <c r="AP1405" s="926"/>
      <c r="AQ1405" s="926"/>
      <c r="AR1405" s="926"/>
      <c r="AS1405" s="926"/>
      <c r="AT1405" s="926"/>
      <c r="AU1405" s="926"/>
      <c r="AV1405" s="926"/>
      <c r="AW1405" s="926"/>
      <c r="AX1405" s="926"/>
      <c r="AY1405" s="926"/>
      <c r="AZ1405" s="926"/>
      <c r="BA1405" s="926"/>
      <c r="BB1405" s="927"/>
    </row>
    <row r="1406" spans="1:54" x14ac:dyDescent="0.25">
      <c r="A1406" s="13">
        <f t="shared" si="21"/>
        <v>1393</v>
      </c>
      <c r="B1406" s="888" t="str">
        <f>'refer admin discharge'!B1402</f>
        <v>x</v>
      </c>
      <c r="C1406" s="888"/>
      <c r="D1406" s="868" t="str">
        <f>'refer admin discharge'!D1402</f>
        <v>xx</v>
      </c>
      <c r="E1406" s="868"/>
      <c r="F1406" s="891" t="str">
        <f>'refer admin discharge'!H1402</f>
        <v>00/00/0000</v>
      </c>
      <c r="G1406" s="892"/>
      <c r="H1406" s="894"/>
      <c r="I1406" s="894"/>
      <c r="J1406" s="918"/>
      <c r="K1406" s="918"/>
      <c r="L1406" s="894"/>
      <c r="M1406" s="894"/>
      <c r="N1406" s="916"/>
      <c r="O1406" s="916"/>
      <c r="P1406" s="894"/>
      <c r="Q1406" s="894"/>
      <c r="R1406" s="916"/>
      <c r="S1406" s="916"/>
      <c r="T1406" s="894"/>
      <c r="U1406" s="894"/>
      <c r="V1406" s="921" t="str">
        <f>'refer admin discharge'!H1407</f>
        <v>00/00/0000</v>
      </c>
      <c r="W1406" s="922"/>
      <c r="X1406" s="920"/>
      <c r="Y1406" s="920"/>
      <c r="Z1406" s="919"/>
      <c r="AA1406" s="919"/>
      <c r="AB1406" s="920"/>
      <c r="AC1406" s="920"/>
      <c r="AD1406" s="912"/>
      <c r="AE1406" s="912"/>
      <c r="AF1406" s="920"/>
      <c r="AG1406" s="920"/>
      <c r="AH1406" s="912"/>
      <c r="AI1406" s="912"/>
      <c r="AJ1406" s="920"/>
      <c r="AK1406" s="920"/>
      <c r="AL1406" s="905"/>
      <c r="AM1406" s="906"/>
      <c r="AN1406" s="906"/>
      <c r="AO1406" s="906"/>
      <c r="AP1406" s="906"/>
      <c r="AQ1406" s="906"/>
      <c r="AR1406" s="906"/>
      <c r="AS1406" s="906"/>
      <c r="AT1406" s="906"/>
      <c r="AU1406" s="906"/>
      <c r="AV1406" s="906"/>
      <c r="AW1406" s="906"/>
      <c r="AX1406" s="906"/>
      <c r="AY1406" s="906"/>
      <c r="AZ1406" s="906"/>
      <c r="BA1406" s="906"/>
      <c r="BB1406" s="907"/>
    </row>
    <row r="1407" spans="1:54" x14ac:dyDescent="0.25">
      <c r="A1407" s="13">
        <f t="shared" si="21"/>
        <v>1394</v>
      </c>
      <c r="B1407" s="914" t="str">
        <f>'refer admin discharge'!B1403</f>
        <v>x</v>
      </c>
      <c r="C1407" s="914"/>
      <c r="D1407" s="889" t="str">
        <f>'refer admin discharge'!D1403</f>
        <v>xx</v>
      </c>
      <c r="E1407" s="889"/>
      <c r="F1407" s="915" t="str">
        <f>'refer admin discharge'!H1403</f>
        <v>00/00/0000</v>
      </c>
      <c r="G1407" s="890"/>
      <c r="H1407" s="916"/>
      <c r="I1407" s="916"/>
      <c r="J1407" s="917"/>
      <c r="K1407" s="917"/>
      <c r="L1407" s="916"/>
      <c r="M1407" s="916"/>
      <c r="N1407" s="893"/>
      <c r="O1407" s="893"/>
      <c r="P1407" s="916"/>
      <c r="Q1407" s="916"/>
      <c r="R1407" s="893"/>
      <c r="S1407" s="893"/>
      <c r="T1407" s="916"/>
      <c r="U1407" s="916"/>
      <c r="V1407" s="921" t="str">
        <f>'refer admin discharge'!H1408</f>
        <v>00/00/0000</v>
      </c>
      <c r="W1407" s="922"/>
      <c r="X1407" s="912"/>
      <c r="Y1407" s="912"/>
      <c r="Z1407" s="924"/>
      <c r="AA1407" s="924"/>
      <c r="AB1407" s="912"/>
      <c r="AC1407" s="912"/>
      <c r="AD1407" s="913"/>
      <c r="AE1407" s="913"/>
      <c r="AF1407" s="912"/>
      <c r="AG1407" s="912"/>
      <c r="AH1407" s="913"/>
      <c r="AI1407" s="913"/>
      <c r="AJ1407" s="912"/>
      <c r="AK1407" s="912"/>
      <c r="AL1407" s="925"/>
      <c r="AM1407" s="926"/>
      <c r="AN1407" s="926"/>
      <c r="AO1407" s="926"/>
      <c r="AP1407" s="926"/>
      <c r="AQ1407" s="926"/>
      <c r="AR1407" s="926"/>
      <c r="AS1407" s="926"/>
      <c r="AT1407" s="926"/>
      <c r="AU1407" s="926"/>
      <c r="AV1407" s="926"/>
      <c r="AW1407" s="926"/>
      <c r="AX1407" s="926"/>
      <c r="AY1407" s="926"/>
      <c r="AZ1407" s="926"/>
      <c r="BA1407" s="926"/>
      <c r="BB1407" s="927"/>
    </row>
    <row r="1408" spans="1:54" x14ac:dyDescent="0.25">
      <c r="A1408" s="13">
        <f t="shared" si="21"/>
        <v>1395</v>
      </c>
      <c r="B1408" s="888" t="str">
        <f>'refer admin discharge'!B1404</f>
        <v>x</v>
      </c>
      <c r="C1408" s="888"/>
      <c r="D1408" s="868" t="str">
        <f>'refer admin discharge'!D1404</f>
        <v>xx</v>
      </c>
      <c r="E1408" s="868"/>
      <c r="F1408" s="891" t="str">
        <f>'refer admin discharge'!H1404</f>
        <v>00/00/0000</v>
      </c>
      <c r="G1408" s="892"/>
      <c r="H1408" s="894"/>
      <c r="I1408" s="894"/>
      <c r="J1408" s="918"/>
      <c r="K1408" s="918"/>
      <c r="L1408" s="894"/>
      <c r="M1408" s="894"/>
      <c r="N1408" s="916"/>
      <c r="O1408" s="916"/>
      <c r="P1408" s="894"/>
      <c r="Q1408" s="894"/>
      <c r="R1408" s="916"/>
      <c r="S1408" s="916"/>
      <c r="T1408" s="894"/>
      <c r="U1408" s="894"/>
      <c r="V1408" s="921" t="str">
        <f>'refer admin discharge'!H1409</f>
        <v>00/00/0000</v>
      </c>
      <c r="W1408" s="922"/>
      <c r="X1408" s="920"/>
      <c r="Y1408" s="920"/>
      <c r="Z1408" s="919"/>
      <c r="AA1408" s="919"/>
      <c r="AB1408" s="920"/>
      <c r="AC1408" s="920"/>
      <c r="AD1408" s="912"/>
      <c r="AE1408" s="912"/>
      <c r="AF1408" s="920"/>
      <c r="AG1408" s="920"/>
      <c r="AH1408" s="912"/>
      <c r="AI1408" s="912"/>
      <c r="AJ1408" s="920"/>
      <c r="AK1408" s="920"/>
      <c r="AL1408" s="905"/>
      <c r="AM1408" s="906"/>
      <c r="AN1408" s="906"/>
      <c r="AO1408" s="906"/>
      <c r="AP1408" s="906"/>
      <c r="AQ1408" s="906"/>
      <c r="AR1408" s="906"/>
      <c r="AS1408" s="906"/>
      <c r="AT1408" s="906"/>
      <c r="AU1408" s="906"/>
      <c r="AV1408" s="906"/>
      <c r="AW1408" s="906"/>
      <c r="AX1408" s="906"/>
      <c r="AY1408" s="906"/>
      <c r="AZ1408" s="906"/>
      <c r="BA1408" s="906"/>
      <c r="BB1408" s="907"/>
    </row>
    <row r="1409" spans="1:54" x14ac:dyDescent="0.25">
      <c r="A1409" s="13">
        <f t="shared" si="21"/>
        <v>1396</v>
      </c>
      <c r="B1409" s="914" t="str">
        <f>'refer admin discharge'!B1405</f>
        <v>x</v>
      </c>
      <c r="C1409" s="914"/>
      <c r="D1409" s="889" t="str">
        <f>'refer admin discharge'!D1405</f>
        <v>xx</v>
      </c>
      <c r="E1409" s="889"/>
      <c r="F1409" s="915" t="str">
        <f>'refer admin discharge'!H1405</f>
        <v>00/00/0000</v>
      </c>
      <c r="G1409" s="890"/>
      <c r="H1409" s="916"/>
      <c r="I1409" s="916"/>
      <c r="J1409" s="917"/>
      <c r="K1409" s="917"/>
      <c r="L1409" s="916"/>
      <c r="M1409" s="916"/>
      <c r="N1409" s="893"/>
      <c r="O1409" s="893"/>
      <c r="P1409" s="916"/>
      <c r="Q1409" s="916"/>
      <c r="R1409" s="893"/>
      <c r="S1409" s="893"/>
      <c r="T1409" s="916"/>
      <c r="U1409" s="916"/>
      <c r="V1409" s="921" t="str">
        <f>'refer admin discharge'!H1410</f>
        <v>00/00/0000</v>
      </c>
      <c r="W1409" s="922"/>
      <c r="X1409" s="912"/>
      <c r="Y1409" s="912"/>
      <c r="Z1409" s="924"/>
      <c r="AA1409" s="924"/>
      <c r="AB1409" s="912"/>
      <c r="AC1409" s="912"/>
      <c r="AD1409" s="913"/>
      <c r="AE1409" s="913"/>
      <c r="AF1409" s="912"/>
      <c r="AG1409" s="912"/>
      <c r="AH1409" s="913"/>
      <c r="AI1409" s="913"/>
      <c r="AJ1409" s="912"/>
      <c r="AK1409" s="912"/>
      <c r="AL1409" s="925"/>
      <c r="AM1409" s="926"/>
      <c r="AN1409" s="926"/>
      <c r="AO1409" s="926"/>
      <c r="AP1409" s="926"/>
      <c r="AQ1409" s="926"/>
      <c r="AR1409" s="926"/>
      <c r="AS1409" s="926"/>
      <c r="AT1409" s="926"/>
      <c r="AU1409" s="926"/>
      <c r="AV1409" s="926"/>
      <c r="AW1409" s="926"/>
      <c r="AX1409" s="926"/>
      <c r="AY1409" s="926"/>
      <c r="AZ1409" s="926"/>
      <c r="BA1409" s="926"/>
      <c r="BB1409" s="927"/>
    </row>
    <row r="1410" spans="1:54" x14ac:dyDescent="0.25">
      <c r="A1410" s="13">
        <f t="shared" si="21"/>
        <v>1397</v>
      </c>
      <c r="B1410" s="888" t="str">
        <f>'refer admin discharge'!B1406</f>
        <v>x</v>
      </c>
      <c r="C1410" s="888"/>
      <c r="D1410" s="868" t="str">
        <f>'refer admin discharge'!D1406</f>
        <v>xx</v>
      </c>
      <c r="E1410" s="868"/>
      <c r="F1410" s="891" t="str">
        <f>'refer admin discharge'!H1406</f>
        <v>00/00/0000</v>
      </c>
      <c r="G1410" s="892"/>
      <c r="H1410" s="894"/>
      <c r="I1410" s="894"/>
      <c r="J1410" s="918"/>
      <c r="K1410" s="918"/>
      <c r="L1410" s="894"/>
      <c r="M1410" s="894"/>
      <c r="N1410" s="916"/>
      <c r="O1410" s="916"/>
      <c r="P1410" s="894"/>
      <c r="Q1410" s="894"/>
      <c r="R1410" s="916"/>
      <c r="S1410" s="916"/>
      <c r="T1410" s="894"/>
      <c r="U1410" s="894"/>
      <c r="V1410" s="921" t="str">
        <f>'refer admin discharge'!H1411</f>
        <v>00/00/0000</v>
      </c>
      <c r="W1410" s="922"/>
      <c r="X1410" s="920"/>
      <c r="Y1410" s="920"/>
      <c r="Z1410" s="919"/>
      <c r="AA1410" s="919"/>
      <c r="AB1410" s="920"/>
      <c r="AC1410" s="920"/>
      <c r="AD1410" s="912"/>
      <c r="AE1410" s="912"/>
      <c r="AF1410" s="920"/>
      <c r="AG1410" s="920"/>
      <c r="AH1410" s="912"/>
      <c r="AI1410" s="912"/>
      <c r="AJ1410" s="920"/>
      <c r="AK1410" s="920"/>
      <c r="AL1410" s="905"/>
      <c r="AM1410" s="906"/>
      <c r="AN1410" s="906"/>
      <c r="AO1410" s="906"/>
      <c r="AP1410" s="906"/>
      <c r="AQ1410" s="906"/>
      <c r="AR1410" s="906"/>
      <c r="AS1410" s="906"/>
      <c r="AT1410" s="906"/>
      <c r="AU1410" s="906"/>
      <c r="AV1410" s="906"/>
      <c r="AW1410" s="906"/>
      <c r="AX1410" s="906"/>
      <c r="AY1410" s="906"/>
      <c r="AZ1410" s="906"/>
      <c r="BA1410" s="906"/>
      <c r="BB1410" s="907"/>
    </row>
    <row r="1411" spans="1:54" x14ac:dyDescent="0.25">
      <c r="A1411" s="13">
        <f t="shared" si="21"/>
        <v>1398</v>
      </c>
      <c r="B1411" s="914" t="str">
        <f>'refer admin discharge'!B1407</f>
        <v>x</v>
      </c>
      <c r="C1411" s="914"/>
      <c r="D1411" s="889" t="str">
        <f>'refer admin discharge'!D1407</f>
        <v>xx</v>
      </c>
      <c r="E1411" s="889"/>
      <c r="F1411" s="915" t="str">
        <f>'refer admin discharge'!H1407</f>
        <v>00/00/0000</v>
      </c>
      <c r="G1411" s="890"/>
      <c r="H1411" s="916"/>
      <c r="I1411" s="916"/>
      <c r="J1411" s="917"/>
      <c r="K1411" s="917"/>
      <c r="L1411" s="916"/>
      <c r="M1411" s="916"/>
      <c r="N1411" s="893"/>
      <c r="O1411" s="893"/>
      <c r="P1411" s="916"/>
      <c r="Q1411" s="916"/>
      <c r="R1411" s="893"/>
      <c r="S1411" s="893"/>
      <c r="T1411" s="916"/>
      <c r="U1411" s="916"/>
      <c r="V1411" s="921" t="str">
        <f>'refer admin discharge'!H1412</f>
        <v>00/00/0000</v>
      </c>
      <c r="W1411" s="922"/>
      <c r="X1411" s="912"/>
      <c r="Y1411" s="912"/>
      <c r="Z1411" s="924"/>
      <c r="AA1411" s="924"/>
      <c r="AB1411" s="912"/>
      <c r="AC1411" s="912"/>
      <c r="AD1411" s="913"/>
      <c r="AE1411" s="913"/>
      <c r="AF1411" s="912"/>
      <c r="AG1411" s="912"/>
      <c r="AH1411" s="913"/>
      <c r="AI1411" s="913"/>
      <c r="AJ1411" s="912"/>
      <c r="AK1411" s="912"/>
      <c r="AL1411" s="925"/>
      <c r="AM1411" s="926"/>
      <c r="AN1411" s="926"/>
      <c r="AO1411" s="926"/>
      <c r="AP1411" s="926"/>
      <c r="AQ1411" s="926"/>
      <c r="AR1411" s="926"/>
      <c r="AS1411" s="926"/>
      <c r="AT1411" s="926"/>
      <c r="AU1411" s="926"/>
      <c r="AV1411" s="926"/>
      <c r="AW1411" s="926"/>
      <c r="AX1411" s="926"/>
      <c r="AY1411" s="926"/>
      <c r="AZ1411" s="926"/>
      <c r="BA1411" s="926"/>
      <c r="BB1411" s="927"/>
    </row>
    <row r="1412" spans="1:54" x14ac:dyDescent="0.25">
      <c r="A1412" s="13">
        <f t="shared" si="21"/>
        <v>1399</v>
      </c>
      <c r="B1412" s="888" t="str">
        <f>'refer admin discharge'!B1408</f>
        <v>x</v>
      </c>
      <c r="C1412" s="888"/>
      <c r="D1412" s="868" t="str">
        <f>'refer admin discharge'!D1408</f>
        <v>xx</v>
      </c>
      <c r="E1412" s="868"/>
      <c r="F1412" s="891" t="str">
        <f>'refer admin discharge'!H1408</f>
        <v>00/00/0000</v>
      </c>
      <c r="G1412" s="892"/>
      <c r="H1412" s="894"/>
      <c r="I1412" s="894"/>
      <c r="J1412" s="918"/>
      <c r="K1412" s="918"/>
      <c r="L1412" s="894"/>
      <c r="M1412" s="894"/>
      <c r="N1412" s="916"/>
      <c r="O1412" s="916"/>
      <c r="P1412" s="894"/>
      <c r="Q1412" s="894"/>
      <c r="R1412" s="916"/>
      <c r="S1412" s="916"/>
      <c r="T1412" s="894"/>
      <c r="U1412" s="894"/>
      <c r="V1412" s="921" t="str">
        <f>'refer admin discharge'!H1413</f>
        <v>00/00/0000</v>
      </c>
      <c r="W1412" s="922"/>
      <c r="X1412" s="920"/>
      <c r="Y1412" s="920"/>
      <c r="Z1412" s="919"/>
      <c r="AA1412" s="919"/>
      <c r="AB1412" s="920"/>
      <c r="AC1412" s="920"/>
      <c r="AD1412" s="912"/>
      <c r="AE1412" s="912"/>
      <c r="AF1412" s="920"/>
      <c r="AG1412" s="920"/>
      <c r="AH1412" s="912"/>
      <c r="AI1412" s="912"/>
      <c r="AJ1412" s="920"/>
      <c r="AK1412" s="920"/>
      <c r="AL1412" s="905"/>
      <c r="AM1412" s="906"/>
      <c r="AN1412" s="906"/>
      <c r="AO1412" s="906"/>
      <c r="AP1412" s="906"/>
      <c r="AQ1412" s="906"/>
      <c r="AR1412" s="906"/>
      <c r="AS1412" s="906"/>
      <c r="AT1412" s="906"/>
      <c r="AU1412" s="906"/>
      <c r="AV1412" s="906"/>
      <c r="AW1412" s="906"/>
      <c r="AX1412" s="906"/>
      <c r="AY1412" s="906"/>
      <c r="AZ1412" s="906"/>
      <c r="BA1412" s="906"/>
      <c r="BB1412" s="907"/>
    </row>
    <row r="1413" spans="1:54" x14ac:dyDescent="0.25">
      <c r="A1413" s="13">
        <f t="shared" si="21"/>
        <v>1400</v>
      </c>
      <c r="B1413" s="914" t="str">
        <f>'refer admin discharge'!B1409</f>
        <v>x</v>
      </c>
      <c r="C1413" s="914"/>
      <c r="D1413" s="889" t="str">
        <f>'refer admin discharge'!D1409</f>
        <v>xx</v>
      </c>
      <c r="E1413" s="889"/>
      <c r="F1413" s="915" t="str">
        <f>'refer admin discharge'!H1409</f>
        <v>00/00/0000</v>
      </c>
      <c r="G1413" s="890"/>
      <c r="H1413" s="916"/>
      <c r="I1413" s="916"/>
      <c r="J1413" s="917"/>
      <c r="K1413" s="917"/>
      <c r="L1413" s="916"/>
      <c r="M1413" s="916"/>
      <c r="N1413" s="893"/>
      <c r="O1413" s="893"/>
      <c r="P1413" s="916"/>
      <c r="Q1413" s="916"/>
      <c r="R1413" s="893"/>
      <c r="S1413" s="893"/>
      <c r="T1413" s="916"/>
      <c r="U1413" s="916"/>
      <c r="V1413" s="921" t="str">
        <f>'refer admin discharge'!H1414</f>
        <v>00/00/0000</v>
      </c>
      <c r="W1413" s="922"/>
      <c r="X1413" s="912"/>
      <c r="Y1413" s="912"/>
      <c r="Z1413" s="924"/>
      <c r="AA1413" s="924"/>
      <c r="AB1413" s="912"/>
      <c r="AC1413" s="912"/>
      <c r="AD1413" s="913"/>
      <c r="AE1413" s="913"/>
      <c r="AF1413" s="912"/>
      <c r="AG1413" s="912"/>
      <c r="AH1413" s="913"/>
      <c r="AI1413" s="913"/>
      <c r="AJ1413" s="912"/>
      <c r="AK1413" s="912"/>
      <c r="AL1413" s="925"/>
      <c r="AM1413" s="926"/>
      <c r="AN1413" s="926"/>
      <c r="AO1413" s="926"/>
      <c r="AP1413" s="926"/>
      <c r="AQ1413" s="926"/>
      <c r="AR1413" s="926"/>
      <c r="AS1413" s="926"/>
      <c r="AT1413" s="926"/>
      <c r="AU1413" s="926"/>
      <c r="AV1413" s="926"/>
      <c r="AW1413" s="926"/>
      <c r="AX1413" s="926"/>
      <c r="AY1413" s="926"/>
      <c r="AZ1413" s="926"/>
      <c r="BA1413" s="926"/>
      <c r="BB1413" s="927"/>
    </row>
    <row r="1414" spans="1:54" x14ac:dyDescent="0.25">
      <c r="A1414" s="13">
        <f t="shared" si="21"/>
        <v>1401</v>
      </c>
      <c r="B1414" s="888" t="str">
        <f>'refer admin discharge'!B1410</f>
        <v>x</v>
      </c>
      <c r="C1414" s="888"/>
      <c r="D1414" s="868" t="str">
        <f>'refer admin discharge'!D1410</f>
        <v>xx</v>
      </c>
      <c r="E1414" s="868"/>
      <c r="F1414" s="891" t="str">
        <f>'refer admin discharge'!H1410</f>
        <v>00/00/0000</v>
      </c>
      <c r="G1414" s="892"/>
      <c r="H1414" s="894"/>
      <c r="I1414" s="894"/>
      <c r="J1414" s="918"/>
      <c r="K1414" s="918"/>
      <c r="L1414" s="894"/>
      <c r="M1414" s="894"/>
      <c r="N1414" s="916"/>
      <c r="O1414" s="916"/>
      <c r="P1414" s="894"/>
      <c r="Q1414" s="894"/>
      <c r="R1414" s="916"/>
      <c r="S1414" s="916"/>
      <c r="T1414" s="894"/>
      <c r="U1414" s="894"/>
      <c r="V1414" s="921" t="str">
        <f>'refer admin discharge'!H1415</f>
        <v>00/00/0000</v>
      </c>
      <c r="W1414" s="922"/>
      <c r="X1414" s="920"/>
      <c r="Y1414" s="920"/>
      <c r="Z1414" s="919"/>
      <c r="AA1414" s="919"/>
      <c r="AB1414" s="920"/>
      <c r="AC1414" s="920"/>
      <c r="AD1414" s="912"/>
      <c r="AE1414" s="912"/>
      <c r="AF1414" s="920"/>
      <c r="AG1414" s="920"/>
      <c r="AH1414" s="912"/>
      <c r="AI1414" s="912"/>
      <c r="AJ1414" s="920"/>
      <c r="AK1414" s="920"/>
      <c r="AL1414" s="905"/>
      <c r="AM1414" s="906"/>
      <c r="AN1414" s="906"/>
      <c r="AO1414" s="906"/>
      <c r="AP1414" s="906"/>
      <c r="AQ1414" s="906"/>
      <c r="AR1414" s="906"/>
      <c r="AS1414" s="906"/>
      <c r="AT1414" s="906"/>
      <c r="AU1414" s="906"/>
      <c r="AV1414" s="906"/>
      <c r="AW1414" s="906"/>
      <c r="AX1414" s="906"/>
      <c r="AY1414" s="906"/>
      <c r="AZ1414" s="906"/>
      <c r="BA1414" s="906"/>
      <c r="BB1414" s="907"/>
    </row>
    <row r="1415" spans="1:54" x14ac:dyDescent="0.25">
      <c r="A1415" s="13">
        <f t="shared" si="21"/>
        <v>1402</v>
      </c>
      <c r="B1415" s="914" t="str">
        <f>'refer admin discharge'!B1411</f>
        <v>x</v>
      </c>
      <c r="C1415" s="914"/>
      <c r="D1415" s="889" t="str">
        <f>'refer admin discharge'!D1411</f>
        <v>xx</v>
      </c>
      <c r="E1415" s="889"/>
      <c r="F1415" s="915" t="str">
        <f>'refer admin discharge'!H1411</f>
        <v>00/00/0000</v>
      </c>
      <c r="G1415" s="890"/>
      <c r="H1415" s="916"/>
      <c r="I1415" s="916"/>
      <c r="J1415" s="917"/>
      <c r="K1415" s="917"/>
      <c r="L1415" s="916"/>
      <c r="M1415" s="916"/>
      <c r="N1415" s="893"/>
      <c r="O1415" s="893"/>
      <c r="P1415" s="916"/>
      <c r="Q1415" s="916"/>
      <c r="R1415" s="893"/>
      <c r="S1415" s="893"/>
      <c r="T1415" s="916"/>
      <c r="U1415" s="916"/>
      <c r="V1415" s="921" t="str">
        <f>'refer admin discharge'!H1416</f>
        <v>00/00/0000</v>
      </c>
      <c r="W1415" s="922"/>
      <c r="X1415" s="912"/>
      <c r="Y1415" s="912"/>
      <c r="Z1415" s="924"/>
      <c r="AA1415" s="924"/>
      <c r="AB1415" s="912"/>
      <c r="AC1415" s="912"/>
      <c r="AD1415" s="913"/>
      <c r="AE1415" s="913"/>
      <c r="AF1415" s="912"/>
      <c r="AG1415" s="912"/>
      <c r="AH1415" s="913"/>
      <c r="AI1415" s="913"/>
      <c r="AJ1415" s="912"/>
      <c r="AK1415" s="912"/>
      <c r="AL1415" s="925"/>
      <c r="AM1415" s="926"/>
      <c r="AN1415" s="926"/>
      <c r="AO1415" s="926"/>
      <c r="AP1415" s="926"/>
      <c r="AQ1415" s="926"/>
      <c r="AR1415" s="926"/>
      <c r="AS1415" s="926"/>
      <c r="AT1415" s="926"/>
      <c r="AU1415" s="926"/>
      <c r="AV1415" s="926"/>
      <c r="AW1415" s="926"/>
      <c r="AX1415" s="926"/>
      <c r="AY1415" s="926"/>
      <c r="AZ1415" s="926"/>
      <c r="BA1415" s="926"/>
      <c r="BB1415" s="927"/>
    </row>
    <row r="1416" spans="1:54" x14ac:dyDescent="0.25">
      <c r="A1416" s="13">
        <f t="shared" si="21"/>
        <v>1403</v>
      </c>
      <c r="B1416" s="888" t="str">
        <f>'refer admin discharge'!B1412</f>
        <v>x</v>
      </c>
      <c r="C1416" s="888"/>
      <c r="D1416" s="868" t="str">
        <f>'refer admin discharge'!D1412</f>
        <v>xx</v>
      </c>
      <c r="E1416" s="868"/>
      <c r="F1416" s="891" t="str">
        <f>'refer admin discharge'!H1412</f>
        <v>00/00/0000</v>
      </c>
      <c r="G1416" s="892"/>
      <c r="H1416" s="894"/>
      <c r="I1416" s="894"/>
      <c r="J1416" s="918"/>
      <c r="K1416" s="918"/>
      <c r="L1416" s="894"/>
      <c r="M1416" s="894"/>
      <c r="N1416" s="916"/>
      <c r="O1416" s="916"/>
      <c r="P1416" s="894"/>
      <c r="Q1416" s="894"/>
      <c r="R1416" s="916"/>
      <c r="S1416" s="916"/>
      <c r="T1416" s="894"/>
      <c r="U1416" s="894"/>
      <c r="V1416" s="921" t="str">
        <f>'refer admin discharge'!H1417</f>
        <v>00/00/0000</v>
      </c>
      <c r="W1416" s="922"/>
      <c r="X1416" s="920"/>
      <c r="Y1416" s="920"/>
      <c r="Z1416" s="919"/>
      <c r="AA1416" s="919"/>
      <c r="AB1416" s="920"/>
      <c r="AC1416" s="920"/>
      <c r="AD1416" s="912"/>
      <c r="AE1416" s="912"/>
      <c r="AF1416" s="920"/>
      <c r="AG1416" s="920"/>
      <c r="AH1416" s="912"/>
      <c r="AI1416" s="912"/>
      <c r="AJ1416" s="920"/>
      <c r="AK1416" s="920"/>
      <c r="AL1416" s="905"/>
      <c r="AM1416" s="906"/>
      <c r="AN1416" s="906"/>
      <c r="AO1416" s="906"/>
      <c r="AP1416" s="906"/>
      <c r="AQ1416" s="906"/>
      <c r="AR1416" s="906"/>
      <c r="AS1416" s="906"/>
      <c r="AT1416" s="906"/>
      <c r="AU1416" s="906"/>
      <c r="AV1416" s="906"/>
      <c r="AW1416" s="906"/>
      <c r="AX1416" s="906"/>
      <c r="AY1416" s="906"/>
      <c r="AZ1416" s="906"/>
      <c r="BA1416" s="906"/>
      <c r="BB1416" s="907"/>
    </row>
    <row r="1417" spans="1:54" x14ac:dyDescent="0.25">
      <c r="A1417" s="13">
        <f t="shared" si="21"/>
        <v>1404</v>
      </c>
      <c r="B1417" s="914" t="str">
        <f>'refer admin discharge'!B1413</f>
        <v>x</v>
      </c>
      <c r="C1417" s="914"/>
      <c r="D1417" s="889" t="str">
        <f>'refer admin discharge'!D1413</f>
        <v>xx</v>
      </c>
      <c r="E1417" s="889"/>
      <c r="F1417" s="915" t="str">
        <f>'refer admin discharge'!H1413</f>
        <v>00/00/0000</v>
      </c>
      <c r="G1417" s="890"/>
      <c r="H1417" s="916"/>
      <c r="I1417" s="916"/>
      <c r="J1417" s="917"/>
      <c r="K1417" s="917"/>
      <c r="L1417" s="916"/>
      <c r="M1417" s="916"/>
      <c r="N1417" s="893"/>
      <c r="O1417" s="893"/>
      <c r="P1417" s="916"/>
      <c r="Q1417" s="916"/>
      <c r="R1417" s="893"/>
      <c r="S1417" s="893"/>
      <c r="T1417" s="916"/>
      <c r="U1417" s="916"/>
      <c r="V1417" s="921" t="str">
        <f>'refer admin discharge'!H1418</f>
        <v>00/00/0000</v>
      </c>
      <c r="W1417" s="922"/>
      <c r="X1417" s="912"/>
      <c r="Y1417" s="912"/>
      <c r="Z1417" s="924"/>
      <c r="AA1417" s="924"/>
      <c r="AB1417" s="912"/>
      <c r="AC1417" s="912"/>
      <c r="AD1417" s="913"/>
      <c r="AE1417" s="913"/>
      <c r="AF1417" s="912"/>
      <c r="AG1417" s="912"/>
      <c r="AH1417" s="913"/>
      <c r="AI1417" s="913"/>
      <c r="AJ1417" s="912"/>
      <c r="AK1417" s="912"/>
      <c r="AL1417" s="925"/>
      <c r="AM1417" s="926"/>
      <c r="AN1417" s="926"/>
      <c r="AO1417" s="926"/>
      <c r="AP1417" s="926"/>
      <c r="AQ1417" s="926"/>
      <c r="AR1417" s="926"/>
      <c r="AS1417" s="926"/>
      <c r="AT1417" s="926"/>
      <c r="AU1417" s="926"/>
      <c r="AV1417" s="926"/>
      <c r="AW1417" s="926"/>
      <c r="AX1417" s="926"/>
      <c r="AY1417" s="926"/>
      <c r="AZ1417" s="926"/>
      <c r="BA1417" s="926"/>
      <c r="BB1417" s="927"/>
    </row>
    <row r="1418" spans="1:54" x14ac:dyDescent="0.25">
      <c r="A1418" s="13">
        <f t="shared" si="21"/>
        <v>1405</v>
      </c>
      <c r="B1418" s="888" t="str">
        <f>'refer admin discharge'!B1414</f>
        <v>x</v>
      </c>
      <c r="C1418" s="888"/>
      <c r="D1418" s="868" t="str">
        <f>'refer admin discharge'!D1414</f>
        <v>xx</v>
      </c>
      <c r="E1418" s="868"/>
      <c r="F1418" s="891" t="str">
        <f>'refer admin discharge'!H1414</f>
        <v>00/00/0000</v>
      </c>
      <c r="G1418" s="892"/>
      <c r="H1418" s="894"/>
      <c r="I1418" s="894"/>
      <c r="J1418" s="918"/>
      <c r="K1418" s="918"/>
      <c r="L1418" s="894"/>
      <c r="M1418" s="894"/>
      <c r="N1418" s="916"/>
      <c r="O1418" s="916"/>
      <c r="P1418" s="894"/>
      <c r="Q1418" s="894"/>
      <c r="R1418" s="916"/>
      <c r="S1418" s="916"/>
      <c r="T1418" s="894"/>
      <c r="U1418" s="894"/>
      <c r="V1418" s="921" t="str">
        <f>'refer admin discharge'!H1419</f>
        <v>00/00/0000</v>
      </c>
      <c r="W1418" s="922"/>
      <c r="X1418" s="920"/>
      <c r="Y1418" s="920"/>
      <c r="Z1418" s="919"/>
      <c r="AA1418" s="919"/>
      <c r="AB1418" s="920"/>
      <c r="AC1418" s="920"/>
      <c r="AD1418" s="912"/>
      <c r="AE1418" s="912"/>
      <c r="AF1418" s="920"/>
      <c r="AG1418" s="920"/>
      <c r="AH1418" s="912"/>
      <c r="AI1418" s="912"/>
      <c r="AJ1418" s="920"/>
      <c r="AK1418" s="920"/>
      <c r="AL1418" s="905"/>
      <c r="AM1418" s="906"/>
      <c r="AN1418" s="906"/>
      <c r="AO1418" s="906"/>
      <c r="AP1418" s="906"/>
      <c r="AQ1418" s="906"/>
      <c r="AR1418" s="906"/>
      <c r="AS1418" s="906"/>
      <c r="AT1418" s="906"/>
      <c r="AU1418" s="906"/>
      <c r="AV1418" s="906"/>
      <c r="AW1418" s="906"/>
      <c r="AX1418" s="906"/>
      <c r="AY1418" s="906"/>
      <c r="AZ1418" s="906"/>
      <c r="BA1418" s="906"/>
      <c r="BB1418" s="907"/>
    </row>
    <row r="1419" spans="1:54" x14ac:dyDescent="0.25">
      <c r="A1419" s="13">
        <f t="shared" si="21"/>
        <v>1406</v>
      </c>
      <c r="B1419" s="914" t="str">
        <f>'refer admin discharge'!B1415</f>
        <v>x</v>
      </c>
      <c r="C1419" s="914"/>
      <c r="D1419" s="889" t="str">
        <f>'refer admin discharge'!D1415</f>
        <v>xx</v>
      </c>
      <c r="E1419" s="889"/>
      <c r="F1419" s="915" t="str">
        <f>'refer admin discharge'!H1415</f>
        <v>00/00/0000</v>
      </c>
      <c r="G1419" s="890"/>
      <c r="H1419" s="916"/>
      <c r="I1419" s="916"/>
      <c r="J1419" s="917"/>
      <c r="K1419" s="917"/>
      <c r="L1419" s="916"/>
      <c r="M1419" s="916"/>
      <c r="N1419" s="893"/>
      <c r="O1419" s="893"/>
      <c r="P1419" s="916"/>
      <c r="Q1419" s="916"/>
      <c r="R1419" s="893"/>
      <c r="S1419" s="893"/>
      <c r="T1419" s="916"/>
      <c r="U1419" s="916"/>
      <c r="V1419" s="921" t="str">
        <f>'refer admin discharge'!H1420</f>
        <v>00/00/0000</v>
      </c>
      <c r="W1419" s="922"/>
      <c r="X1419" s="912"/>
      <c r="Y1419" s="912"/>
      <c r="Z1419" s="924"/>
      <c r="AA1419" s="924"/>
      <c r="AB1419" s="912"/>
      <c r="AC1419" s="912"/>
      <c r="AD1419" s="913"/>
      <c r="AE1419" s="913"/>
      <c r="AF1419" s="912"/>
      <c r="AG1419" s="912"/>
      <c r="AH1419" s="913"/>
      <c r="AI1419" s="913"/>
      <c r="AJ1419" s="912"/>
      <c r="AK1419" s="912"/>
      <c r="AL1419" s="925"/>
      <c r="AM1419" s="926"/>
      <c r="AN1419" s="926"/>
      <c r="AO1419" s="926"/>
      <c r="AP1419" s="926"/>
      <c r="AQ1419" s="926"/>
      <c r="AR1419" s="926"/>
      <c r="AS1419" s="926"/>
      <c r="AT1419" s="926"/>
      <c r="AU1419" s="926"/>
      <c r="AV1419" s="926"/>
      <c r="AW1419" s="926"/>
      <c r="AX1419" s="926"/>
      <c r="AY1419" s="926"/>
      <c r="AZ1419" s="926"/>
      <c r="BA1419" s="926"/>
      <c r="BB1419" s="927"/>
    </row>
    <row r="1420" spans="1:54" x14ac:dyDescent="0.25">
      <c r="A1420" s="13">
        <f t="shared" si="21"/>
        <v>1407</v>
      </c>
      <c r="B1420" s="888" t="str">
        <f>'refer admin discharge'!B1416</f>
        <v>x</v>
      </c>
      <c r="C1420" s="888"/>
      <c r="D1420" s="868" t="str">
        <f>'refer admin discharge'!D1416</f>
        <v>xx</v>
      </c>
      <c r="E1420" s="868"/>
      <c r="F1420" s="891" t="str">
        <f>'refer admin discharge'!H1416</f>
        <v>00/00/0000</v>
      </c>
      <c r="G1420" s="892"/>
      <c r="H1420" s="894"/>
      <c r="I1420" s="894"/>
      <c r="J1420" s="918"/>
      <c r="K1420" s="918"/>
      <c r="L1420" s="894"/>
      <c r="M1420" s="894"/>
      <c r="N1420" s="916"/>
      <c r="O1420" s="916"/>
      <c r="P1420" s="894"/>
      <c r="Q1420" s="894"/>
      <c r="R1420" s="916"/>
      <c r="S1420" s="916"/>
      <c r="T1420" s="894"/>
      <c r="U1420" s="894"/>
      <c r="V1420" s="921" t="str">
        <f>'refer admin discharge'!H1421</f>
        <v>00/00/0000</v>
      </c>
      <c r="W1420" s="922"/>
      <c r="X1420" s="920"/>
      <c r="Y1420" s="920"/>
      <c r="Z1420" s="919"/>
      <c r="AA1420" s="919"/>
      <c r="AB1420" s="920"/>
      <c r="AC1420" s="920"/>
      <c r="AD1420" s="912"/>
      <c r="AE1420" s="912"/>
      <c r="AF1420" s="920"/>
      <c r="AG1420" s="920"/>
      <c r="AH1420" s="912"/>
      <c r="AI1420" s="912"/>
      <c r="AJ1420" s="920"/>
      <c r="AK1420" s="920"/>
      <c r="AL1420" s="905"/>
      <c r="AM1420" s="906"/>
      <c r="AN1420" s="906"/>
      <c r="AO1420" s="906"/>
      <c r="AP1420" s="906"/>
      <c r="AQ1420" s="906"/>
      <c r="AR1420" s="906"/>
      <c r="AS1420" s="906"/>
      <c r="AT1420" s="906"/>
      <c r="AU1420" s="906"/>
      <c r="AV1420" s="906"/>
      <c r="AW1420" s="906"/>
      <c r="AX1420" s="906"/>
      <c r="AY1420" s="906"/>
      <c r="AZ1420" s="906"/>
      <c r="BA1420" s="906"/>
      <c r="BB1420" s="907"/>
    </row>
    <row r="1421" spans="1:54" x14ac:dyDescent="0.25">
      <c r="A1421" s="13">
        <f t="shared" si="21"/>
        <v>1408</v>
      </c>
      <c r="B1421" s="914" t="str">
        <f>'refer admin discharge'!B1417</f>
        <v>x</v>
      </c>
      <c r="C1421" s="914"/>
      <c r="D1421" s="889" t="str">
        <f>'refer admin discharge'!D1417</f>
        <v>xx</v>
      </c>
      <c r="E1421" s="889"/>
      <c r="F1421" s="915" t="str">
        <f>'refer admin discharge'!H1417</f>
        <v>00/00/0000</v>
      </c>
      <c r="G1421" s="890"/>
      <c r="H1421" s="916"/>
      <c r="I1421" s="916"/>
      <c r="J1421" s="917"/>
      <c r="K1421" s="917"/>
      <c r="L1421" s="916"/>
      <c r="M1421" s="916"/>
      <c r="N1421" s="893"/>
      <c r="O1421" s="893"/>
      <c r="P1421" s="916"/>
      <c r="Q1421" s="916"/>
      <c r="R1421" s="893"/>
      <c r="S1421" s="893"/>
      <c r="T1421" s="916"/>
      <c r="U1421" s="916"/>
      <c r="V1421" s="921" t="str">
        <f>'refer admin discharge'!H1422</f>
        <v>00/00/0000</v>
      </c>
      <c r="W1421" s="922"/>
      <c r="X1421" s="912"/>
      <c r="Y1421" s="912"/>
      <c r="Z1421" s="924"/>
      <c r="AA1421" s="924"/>
      <c r="AB1421" s="912"/>
      <c r="AC1421" s="912"/>
      <c r="AD1421" s="913"/>
      <c r="AE1421" s="913"/>
      <c r="AF1421" s="912"/>
      <c r="AG1421" s="912"/>
      <c r="AH1421" s="913"/>
      <c r="AI1421" s="913"/>
      <c r="AJ1421" s="912"/>
      <c r="AK1421" s="912"/>
      <c r="AL1421" s="925"/>
      <c r="AM1421" s="926"/>
      <c r="AN1421" s="926"/>
      <c r="AO1421" s="926"/>
      <c r="AP1421" s="926"/>
      <c r="AQ1421" s="926"/>
      <c r="AR1421" s="926"/>
      <c r="AS1421" s="926"/>
      <c r="AT1421" s="926"/>
      <c r="AU1421" s="926"/>
      <c r="AV1421" s="926"/>
      <c r="AW1421" s="926"/>
      <c r="AX1421" s="926"/>
      <c r="AY1421" s="926"/>
      <c r="AZ1421" s="926"/>
      <c r="BA1421" s="926"/>
      <c r="BB1421" s="927"/>
    </row>
    <row r="1422" spans="1:54" x14ac:dyDescent="0.25">
      <c r="A1422" s="13">
        <f t="shared" ref="A1422:A1485" si="22">ROW(A1409)</f>
        <v>1409</v>
      </c>
      <c r="B1422" s="888" t="str">
        <f>'refer admin discharge'!B1418</f>
        <v>x</v>
      </c>
      <c r="C1422" s="888"/>
      <c r="D1422" s="868" t="str">
        <f>'refer admin discharge'!D1418</f>
        <v>xx</v>
      </c>
      <c r="E1422" s="868"/>
      <c r="F1422" s="891" t="str">
        <f>'refer admin discharge'!H1418</f>
        <v>00/00/0000</v>
      </c>
      <c r="G1422" s="892"/>
      <c r="H1422" s="894"/>
      <c r="I1422" s="894"/>
      <c r="J1422" s="918"/>
      <c r="K1422" s="918"/>
      <c r="L1422" s="894"/>
      <c r="M1422" s="894"/>
      <c r="N1422" s="916"/>
      <c r="O1422" s="916"/>
      <c r="P1422" s="894"/>
      <c r="Q1422" s="894"/>
      <c r="R1422" s="916"/>
      <c r="S1422" s="916"/>
      <c r="T1422" s="894"/>
      <c r="U1422" s="894"/>
      <c r="V1422" s="921" t="str">
        <f>'refer admin discharge'!H1423</f>
        <v>00/00/0000</v>
      </c>
      <c r="W1422" s="922"/>
      <c r="X1422" s="920"/>
      <c r="Y1422" s="920"/>
      <c r="Z1422" s="919"/>
      <c r="AA1422" s="919"/>
      <c r="AB1422" s="920"/>
      <c r="AC1422" s="920"/>
      <c r="AD1422" s="912"/>
      <c r="AE1422" s="912"/>
      <c r="AF1422" s="920"/>
      <c r="AG1422" s="920"/>
      <c r="AH1422" s="912"/>
      <c r="AI1422" s="912"/>
      <c r="AJ1422" s="920"/>
      <c r="AK1422" s="920"/>
      <c r="AL1422" s="905"/>
      <c r="AM1422" s="906"/>
      <c r="AN1422" s="906"/>
      <c r="AO1422" s="906"/>
      <c r="AP1422" s="906"/>
      <c r="AQ1422" s="906"/>
      <c r="AR1422" s="906"/>
      <c r="AS1422" s="906"/>
      <c r="AT1422" s="906"/>
      <c r="AU1422" s="906"/>
      <c r="AV1422" s="906"/>
      <c r="AW1422" s="906"/>
      <c r="AX1422" s="906"/>
      <c r="AY1422" s="906"/>
      <c r="AZ1422" s="906"/>
      <c r="BA1422" s="906"/>
      <c r="BB1422" s="907"/>
    </row>
    <row r="1423" spans="1:54" x14ac:dyDescent="0.25">
      <c r="A1423" s="13">
        <f t="shared" si="22"/>
        <v>1410</v>
      </c>
      <c r="B1423" s="914" t="str">
        <f>'refer admin discharge'!B1419</f>
        <v>x</v>
      </c>
      <c r="C1423" s="914"/>
      <c r="D1423" s="889" t="str">
        <f>'refer admin discharge'!D1419</f>
        <v>xx</v>
      </c>
      <c r="E1423" s="889"/>
      <c r="F1423" s="915" t="str">
        <f>'refer admin discharge'!H1419</f>
        <v>00/00/0000</v>
      </c>
      <c r="G1423" s="890"/>
      <c r="H1423" s="916"/>
      <c r="I1423" s="916"/>
      <c r="J1423" s="917"/>
      <c r="K1423" s="917"/>
      <c r="L1423" s="916"/>
      <c r="M1423" s="916"/>
      <c r="N1423" s="893"/>
      <c r="O1423" s="893"/>
      <c r="P1423" s="916"/>
      <c r="Q1423" s="916"/>
      <c r="R1423" s="893"/>
      <c r="S1423" s="893"/>
      <c r="T1423" s="916"/>
      <c r="U1423" s="916"/>
      <c r="V1423" s="921" t="str">
        <f>'refer admin discharge'!H1424</f>
        <v>00/00/0000</v>
      </c>
      <c r="W1423" s="922"/>
      <c r="X1423" s="912"/>
      <c r="Y1423" s="912"/>
      <c r="Z1423" s="924"/>
      <c r="AA1423" s="924"/>
      <c r="AB1423" s="912"/>
      <c r="AC1423" s="912"/>
      <c r="AD1423" s="913"/>
      <c r="AE1423" s="913"/>
      <c r="AF1423" s="912"/>
      <c r="AG1423" s="912"/>
      <c r="AH1423" s="913"/>
      <c r="AI1423" s="913"/>
      <c r="AJ1423" s="912"/>
      <c r="AK1423" s="912"/>
      <c r="AL1423" s="925"/>
      <c r="AM1423" s="926"/>
      <c r="AN1423" s="926"/>
      <c r="AO1423" s="926"/>
      <c r="AP1423" s="926"/>
      <c r="AQ1423" s="926"/>
      <c r="AR1423" s="926"/>
      <c r="AS1423" s="926"/>
      <c r="AT1423" s="926"/>
      <c r="AU1423" s="926"/>
      <c r="AV1423" s="926"/>
      <c r="AW1423" s="926"/>
      <c r="AX1423" s="926"/>
      <c r="AY1423" s="926"/>
      <c r="AZ1423" s="926"/>
      <c r="BA1423" s="926"/>
      <c r="BB1423" s="927"/>
    </row>
    <row r="1424" spans="1:54" x14ac:dyDescent="0.25">
      <c r="A1424" s="13">
        <f t="shared" si="22"/>
        <v>1411</v>
      </c>
      <c r="B1424" s="888" t="str">
        <f>'refer admin discharge'!B1420</f>
        <v>x</v>
      </c>
      <c r="C1424" s="888"/>
      <c r="D1424" s="868" t="str">
        <f>'refer admin discharge'!D1420</f>
        <v>xx</v>
      </c>
      <c r="E1424" s="868"/>
      <c r="F1424" s="891" t="str">
        <f>'refer admin discharge'!H1420</f>
        <v>00/00/0000</v>
      </c>
      <c r="G1424" s="892"/>
      <c r="H1424" s="894"/>
      <c r="I1424" s="894"/>
      <c r="J1424" s="918"/>
      <c r="K1424" s="918"/>
      <c r="L1424" s="894"/>
      <c r="M1424" s="894"/>
      <c r="N1424" s="916"/>
      <c r="O1424" s="916"/>
      <c r="P1424" s="894"/>
      <c r="Q1424" s="894"/>
      <c r="R1424" s="916"/>
      <c r="S1424" s="916"/>
      <c r="T1424" s="894"/>
      <c r="U1424" s="894"/>
      <c r="V1424" s="921" t="str">
        <f>'refer admin discharge'!H1425</f>
        <v>00/00/0000</v>
      </c>
      <c r="W1424" s="922"/>
      <c r="X1424" s="920"/>
      <c r="Y1424" s="920"/>
      <c r="Z1424" s="919"/>
      <c r="AA1424" s="919"/>
      <c r="AB1424" s="920"/>
      <c r="AC1424" s="920"/>
      <c r="AD1424" s="912"/>
      <c r="AE1424" s="912"/>
      <c r="AF1424" s="920"/>
      <c r="AG1424" s="920"/>
      <c r="AH1424" s="912"/>
      <c r="AI1424" s="912"/>
      <c r="AJ1424" s="920"/>
      <c r="AK1424" s="920"/>
      <c r="AL1424" s="905"/>
      <c r="AM1424" s="906"/>
      <c r="AN1424" s="906"/>
      <c r="AO1424" s="906"/>
      <c r="AP1424" s="906"/>
      <c r="AQ1424" s="906"/>
      <c r="AR1424" s="906"/>
      <c r="AS1424" s="906"/>
      <c r="AT1424" s="906"/>
      <c r="AU1424" s="906"/>
      <c r="AV1424" s="906"/>
      <c r="AW1424" s="906"/>
      <c r="AX1424" s="906"/>
      <c r="AY1424" s="906"/>
      <c r="AZ1424" s="906"/>
      <c r="BA1424" s="906"/>
      <c r="BB1424" s="907"/>
    </row>
    <row r="1425" spans="1:54" x14ac:dyDescent="0.25">
      <c r="A1425" s="13">
        <f t="shared" si="22"/>
        <v>1412</v>
      </c>
      <c r="B1425" s="914" t="str">
        <f>'refer admin discharge'!B1421</f>
        <v>x</v>
      </c>
      <c r="C1425" s="914"/>
      <c r="D1425" s="889" t="str">
        <f>'refer admin discharge'!D1421</f>
        <v>xx</v>
      </c>
      <c r="E1425" s="889"/>
      <c r="F1425" s="915" t="str">
        <f>'refer admin discharge'!H1421</f>
        <v>00/00/0000</v>
      </c>
      <c r="G1425" s="890"/>
      <c r="H1425" s="916"/>
      <c r="I1425" s="916"/>
      <c r="J1425" s="917"/>
      <c r="K1425" s="917"/>
      <c r="L1425" s="916"/>
      <c r="M1425" s="916"/>
      <c r="N1425" s="893"/>
      <c r="O1425" s="893"/>
      <c r="P1425" s="916"/>
      <c r="Q1425" s="916"/>
      <c r="R1425" s="893"/>
      <c r="S1425" s="893"/>
      <c r="T1425" s="916"/>
      <c r="U1425" s="916"/>
      <c r="V1425" s="921" t="str">
        <f>'refer admin discharge'!H1426</f>
        <v>00/00/0000</v>
      </c>
      <c r="W1425" s="922"/>
      <c r="X1425" s="912"/>
      <c r="Y1425" s="912"/>
      <c r="Z1425" s="924"/>
      <c r="AA1425" s="924"/>
      <c r="AB1425" s="912"/>
      <c r="AC1425" s="912"/>
      <c r="AD1425" s="913"/>
      <c r="AE1425" s="913"/>
      <c r="AF1425" s="912"/>
      <c r="AG1425" s="912"/>
      <c r="AH1425" s="913"/>
      <c r="AI1425" s="913"/>
      <c r="AJ1425" s="912"/>
      <c r="AK1425" s="912"/>
      <c r="AL1425" s="925"/>
      <c r="AM1425" s="926"/>
      <c r="AN1425" s="926"/>
      <c r="AO1425" s="926"/>
      <c r="AP1425" s="926"/>
      <c r="AQ1425" s="926"/>
      <c r="AR1425" s="926"/>
      <c r="AS1425" s="926"/>
      <c r="AT1425" s="926"/>
      <c r="AU1425" s="926"/>
      <c r="AV1425" s="926"/>
      <c r="AW1425" s="926"/>
      <c r="AX1425" s="926"/>
      <c r="AY1425" s="926"/>
      <c r="AZ1425" s="926"/>
      <c r="BA1425" s="926"/>
      <c r="BB1425" s="927"/>
    </row>
    <row r="1426" spans="1:54" x14ac:dyDescent="0.25">
      <c r="A1426" s="13">
        <f t="shared" si="22"/>
        <v>1413</v>
      </c>
      <c r="B1426" s="888" t="str">
        <f>'refer admin discharge'!B1422</f>
        <v>x</v>
      </c>
      <c r="C1426" s="888"/>
      <c r="D1426" s="868" t="str">
        <f>'refer admin discharge'!D1422</f>
        <v>xx</v>
      </c>
      <c r="E1426" s="868"/>
      <c r="F1426" s="891" t="str">
        <f>'refer admin discharge'!H1422</f>
        <v>00/00/0000</v>
      </c>
      <c r="G1426" s="892"/>
      <c r="H1426" s="894"/>
      <c r="I1426" s="894"/>
      <c r="J1426" s="918"/>
      <c r="K1426" s="918"/>
      <c r="L1426" s="894"/>
      <c r="M1426" s="894"/>
      <c r="N1426" s="916"/>
      <c r="O1426" s="916"/>
      <c r="P1426" s="894"/>
      <c r="Q1426" s="894"/>
      <c r="R1426" s="916"/>
      <c r="S1426" s="916"/>
      <c r="T1426" s="894"/>
      <c r="U1426" s="894"/>
      <c r="V1426" s="921" t="str">
        <f>'refer admin discharge'!H1427</f>
        <v>00/00/0000</v>
      </c>
      <c r="W1426" s="922"/>
      <c r="X1426" s="920"/>
      <c r="Y1426" s="920"/>
      <c r="Z1426" s="919"/>
      <c r="AA1426" s="919"/>
      <c r="AB1426" s="920"/>
      <c r="AC1426" s="920"/>
      <c r="AD1426" s="912"/>
      <c r="AE1426" s="912"/>
      <c r="AF1426" s="920"/>
      <c r="AG1426" s="920"/>
      <c r="AH1426" s="912"/>
      <c r="AI1426" s="912"/>
      <c r="AJ1426" s="920"/>
      <c r="AK1426" s="920"/>
      <c r="AL1426" s="905"/>
      <c r="AM1426" s="906"/>
      <c r="AN1426" s="906"/>
      <c r="AO1426" s="906"/>
      <c r="AP1426" s="906"/>
      <c r="AQ1426" s="906"/>
      <c r="AR1426" s="906"/>
      <c r="AS1426" s="906"/>
      <c r="AT1426" s="906"/>
      <c r="AU1426" s="906"/>
      <c r="AV1426" s="906"/>
      <c r="AW1426" s="906"/>
      <c r="AX1426" s="906"/>
      <c r="AY1426" s="906"/>
      <c r="AZ1426" s="906"/>
      <c r="BA1426" s="906"/>
      <c r="BB1426" s="907"/>
    </row>
    <row r="1427" spans="1:54" x14ac:dyDescent="0.25">
      <c r="A1427" s="13">
        <f t="shared" si="22"/>
        <v>1414</v>
      </c>
      <c r="B1427" s="914" t="str">
        <f>'refer admin discharge'!B1423</f>
        <v>x</v>
      </c>
      <c r="C1427" s="914"/>
      <c r="D1427" s="889" t="str">
        <f>'refer admin discharge'!D1423</f>
        <v>xx</v>
      </c>
      <c r="E1427" s="889"/>
      <c r="F1427" s="915" t="str">
        <f>'refer admin discharge'!H1423</f>
        <v>00/00/0000</v>
      </c>
      <c r="G1427" s="890"/>
      <c r="H1427" s="916"/>
      <c r="I1427" s="916"/>
      <c r="J1427" s="917"/>
      <c r="K1427" s="917"/>
      <c r="L1427" s="916"/>
      <c r="M1427" s="916"/>
      <c r="N1427" s="893"/>
      <c r="O1427" s="893"/>
      <c r="P1427" s="916"/>
      <c r="Q1427" s="916"/>
      <c r="R1427" s="893"/>
      <c r="S1427" s="893"/>
      <c r="T1427" s="916"/>
      <c r="U1427" s="916"/>
      <c r="V1427" s="921" t="str">
        <f>'refer admin discharge'!H1428</f>
        <v>00/00/0000</v>
      </c>
      <c r="W1427" s="922"/>
      <c r="X1427" s="912"/>
      <c r="Y1427" s="912"/>
      <c r="Z1427" s="924"/>
      <c r="AA1427" s="924"/>
      <c r="AB1427" s="912"/>
      <c r="AC1427" s="912"/>
      <c r="AD1427" s="913"/>
      <c r="AE1427" s="913"/>
      <c r="AF1427" s="912"/>
      <c r="AG1427" s="912"/>
      <c r="AH1427" s="913"/>
      <c r="AI1427" s="913"/>
      <c r="AJ1427" s="912"/>
      <c r="AK1427" s="912"/>
      <c r="AL1427" s="925"/>
      <c r="AM1427" s="926"/>
      <c r="AN1427" s="926"/>
      <c r="AO1427" s="926"/>
      <c r="AP1427" s="926"/>
      <c r="AQ1427" s="926"/>
      <c r="AR1427" s="926"/>
      <c r="AS1427" s="926"/>
      <c r="AT1427" s="926"/>
      <c r="AU1427" s="926"/>
      <c r="AV1427" s="926"/>
      <c r="AW1427" s="926"/>
      <c r="AX1427" s="926"/>
      <c r="AY1427" s="926"/>
      <c r="AZ1427" s="926"/>
      <c r="BA1427" s="926"/>
      <c r="BB1427" s="927"/>
    </row>
    <row r="1428" spans="1:54" x14ac:dyDescent="0.25">
      <c r="A1428" s="13">
        <f t="shared" si="22"/>
        <v>1415</v>
      </c>
      <c r="B1428" s="888" t="str">
        <f>'refer admin discharge'!B1424</f>
        <v>x</v>
      </c>
      <c r="C1428" s="888"/>
      <c r="D1428" s="868" t="str">
        <f>'refer admin discharge'!D1424</f>
        <v>xx</v>
      </c>
      <c r="E1428" s="868"/>
      <c r="F1428" s="891" t="str">
        <f>'refer admin discharge'!H1424</f>
        <v>00/00/0000</v>
      </c>
      <c r="G1428" s="892"/>
      <c r="H1428" s="894"/>
      <c r="I1428" s="894"/>
      <c r="J1428" s="918"/>
      <c r="K1428" s="918"/>
      <c r="L1428" s="894"/>
      <c r="M1428" s="894"/>
      <c r="N1428" s="916"/>
      <c r="O1428" s="916"/>
      <c r="P1428" s="894"/>
      <c r="Q1428" s="894"/>
      <c r="R1428" s="916"/>
      <c r="S1428" s="916"/>
      <c r="T1428" s="894"/>
      <c r="U1428" s="894"/>
      <c r="V1428" s="921" t="str">
        <f>'refer admin discharge'!H1429</f>
        <v>00/00/0000</v>
      </c>
      <c r="W1428" s="922"/>
      <c r="X1428" s="920"/>
      <c r="Y1428" s="920"/>
      <c r="Z1428" s="919"/>
      <c r="AA1428" s="919"/>
      <c r="AB1428" s="920"/>
      <c r="AC1428" s="920"/>
      <c r="AD1428" s="912"/>
      <c r="AE1428" s="912"/>
      <c r="AF1428" s="920"/>
      <c r="AG1428" s="920"/>
      <c r="AH1428" s="912"/>
      <c r="AI1428" s="912"/>
      <c r="AJ1428" s="920"/>
      <c r="AK1428" s="920"/>
      <c r="AL1428" s="905"/>
      <c r="AM1428" s="906"/>
      <c r="AN1428" s="906"/>
      <c r="AO1428" s="906"/>
      <c r="AP1428" s="906"/>
      <c r="AQ1428" s="906"/>
      <c r="AR1428" s="906"/>
      <c r="AS1428" s="906"/>
      <c r="AT1428" s="906"/>
      <c r="AU1428" s="906"/>
      <c r="AV1428" s="906"/>
      <c r="AW1428" s="906"/>
      <c r="AX1428" s="906"/>
      <c r="AY1428" s="906"/>
      <c r="AZ1428" s="906"/>
      <c r="BA1428" s="906"/>
      <c r="BB1428" s="907"/>
    </row>
    <row r="1429" spans="1:54" x14ac:dyDescent="0.25">
      <c r="A1429" s="13">
        <f t="shared" si="22"/>
        <v>1416</v>
      </c>
      <c r="B1429" s="914" t="str">
        <f>'refer admin discharge'!B1425</f>
        <v>x</v>
      </c>
      <c r="C1429" s="914"/>
      <c r="D1429" s="889" t="str">
        <f>'refer admin discharge'!D1425</f>
        <v>xx</v>
      </c>
      <c r="E1429" s="889"/>
      <c r="F1429" s="915" t="str">
        <f>'refer admin discharge'!H1425</f>
        <v>00/00/0000</v>
      </c>
      <c r="G1429" s="890"/>
      <c r="H1429" s="916"/>
      <c r="I1429" s="916"/>
      <c r="J1429" s="917"/>
      <c r="K1429" s="917"/>
      <c r="L1429" s="916"/>
      <c r="M1429" s="916"/>
      <c r="N1429" s="893"/>
      <c r="O1429" s="893"/>
      <c r="P1429" s="916"/>
      <c r="Q1429" s="916"/>
      <c r="R1429" s="893"/>
      <c r="S1429" s="893"/>
      <c r="T1429" s="916"/>
      <c r="U1429" s="916"/>
      <c r="V1429" s="921" t="str">
        <f>'refer admin discharge'!H1430</f>
        <v>00/00/0000</v>
      </c>
      <c r="W1429" s="922"/>
      <c r="X1429" s="912"/>
      <c r="Y1429" s="912"/>
      <c r="Z1429" s="924"/>
      <c r="AA1429" s="924"/>
      <c r="AB1429" s="912"/>
      <c r="AC1429" s="912"/>
      <c r="AD1429" s="913"/>
      <c r="AE1429" s="913"/>
      <c r="AF1429" s="912"/>
      <c r="AG1429" s="912"/>
      <c r="AH1429" s="913"/>
      <c r="AI1429" s="913"/>
      <c r="AJ1429" s="912"/>
      <c r="AK1429" s="912"/>
      <c r="AL1429" s="925"/>
      <c r="AM1429" s="926"/>
      <c r="AN1429" s="926"/>
      <c r="AO1429" s="926"/>
      <c r="AP1429" s="926"/>
      <c r="AQ1429" s="926"/>
      <c r="AR1429" s="926"/>
      <c r="AS1429" s="926"/>
      <c r="AT1429" s="926"/>
      <c r="AU1429" s="926"/>
      <c r="AV1429" s="926"/>
      <c r="AW1429" s="926"/>
      <c r="AX1429" s="926"/>
      <c r="AY1429" s="926"/>
      <c r="AZ1429" s="926"/>
      <c r="BA1429" s="926"/>
      <c r="BB1429" s="927"/>
    </row>
    <row r="1430" spans="1:54" x14ac:dyDescent="0.25">
      <c r="A1430" s="13">
        <f t="shared" si="22"/>
        <v>1417</v>
      </c>
      <c r="B1430" s="888" t="str">
        <f>'refer admin discharge'!B1426</f>
        <v>x</v>
      </c>
      <c r="C1430" s="888"/>
      <c r="D1430" s="868" t="str">
        <f>'refer admin discharge'!D1426</f>
        <v>xx</v>
      </c>
      <c r="E1430" s="868"/>
      <c r="F1430" s="891" t="str">
        <f>'refer admin discharge'!H1426</f>
        <v>00/00/0000</v>
      </c>
      <c r="G1430" s="892"/>
      <c r="H1430" s="894"/>
      <c r="I1430" s="894"/>
      <c r="J1430" s="918"/>
      <c r="K1430" s="918"/>
      <c r="L1430" s="894"/>
      <c r="M1430" s="894"/>
      <c r="N1430" s="916"/>
      <c r="O1430" s="916"/>
      <c r="P1430" s="894"/>
      <c r="Q1430" s="894"/>
      <c r="R1430" s="916"/>
      <c r="S1430" s="916"/>
      <c r="T1430" s="894"/>
      <c r="U1430" s="894"/>
      <c r="V1430" s="921" t="str">
        <f>'refer admin discharge'!H1431</f>
        <v>00/00/0000</v>
      </c>
      <c r="W1430" s="922"/>
      <c r="X1430" s="920"/>
      <c r="Y1430" s="920"/>
      <c r="Z1430" s="919"/>
      <c r="AA1430" s="919"/>
      <c r="AB1430" s="920"/>
      <c r="AC1430" s="920"/>
      <c r="AD1430" s="912"/>
      <c r="AE1430" s="912"/>
      <c r="AF1430" s="920"/>
      <c r="AG1430" s="920"/>
      <c r="AH1430" s="912"/>
      <c r="AI1430" s="912"/>
      <c r="AJ1430" s="920"/>
      <c r="AK1430" s="920"/>
      <c r="AL1430" s="905"/>
      <c r="AM1430" s="906"/>
      <c r="AN1430" s="906"/>
      <c r="AO1430" s="906"/>
      <c r="AP1430" s="906"/>
      <c r="AQ1430" s="906"/>
      <c r="AR1430" s="906"/>
      <c r="AS1430" s="906"/>
      <c r="AT1430" s="906"/>
      <c r="AU1430" s="906"/>
      <c r="AV1430" s="906"/>
      <c r="AW1430" s="906"/>
      <c r="AX1430" s="906"/>
      <c r="AY1430" s="906"/>
      <c r="AZ1430" s="906"/>
      <c r="BA1430" s="906"/>
      <c r="BB1430" s="907"/>
    </row>
    <row r="1431" spans="1:54" x14ac:dyDescent="0.25">
      <c r="A1431" s="13">
        <f t="shared" si="22"/>
        <v>1418</v>
      </c>
      <c r="B1431" s="914" t="str">
        <f>'refer admin discharge'!B1427</f>
        <v>x</v>
      </c>
      <c r="C1431" s="914"/>
      <c r="D1431" s="889" t="str">
        <f>'refer admin discharge'!D1427</f>
        <v>xx</v>
      </c>
      <c r="E1431" s="889"/>
      <c r="F1431" s="915" t="str">
        <f>'refer admin discharge'!H1427</f>
        <v>00/00/0000</v>
      </c>
      <c r="G1431" s="890"/>
      <c r="H1431" s="916"/>
      <c r="I1431" s="916"/>
      <c r="J1431" s="917"/>
      <c r="K1431" s="917"/>
      <c r="L1431" s="916"/>
      <c r="M1431" s="916"/>
      <c r="N1431" s="893"/>
      <c r="O1431" s="893"/>
      <c r="P1431" s="916"/>
      <c r="Q1431" s="916"/>
      <c r="R1431" s="893"/>
      <c r="S1431" s="893"/>
      <c r="T1431" s="916"/>
      <c r="U1431" s="916"/>
      <c r="V1431" s="921" t="str">
        <f>'refer admin discharge'!H1432</f>
        <v>00/00/0000</v>
      </c>
      <c r="W1431" s="922"/>
      <c r="X1431" s="912"/>
      <c r="Y1431" s="912"/>
      <c r="Z1431" s="924"/>
      <c r="AA1431" s="924"/>
      <c r="AB1431" s="912"/>
      <c r="AC1431" s="912"/>
      <c r="AD1431" s="913"/>
      <c r="AE1431" s="913"/>
      <c r="AF1431" s="912"/>
      <c r="AG1431" s="912"/>
      <c r="AH1431" s="913"/>
      <c r="AI1431" s="913"/>
      <c r="AJ1431" s="912"/>
      <c r="AK1431" s="912"/>
      <c r="AL1431" s="925"/>
      <c r="AM1431" s="926"/>
      <c r="AN1431" s="926"/>
      <c r="AO1431" s="926"/>
      <c r="AP1431" s="926"/>
      <c r="AQ1431" s="926"/>
      <c r="AR1431" s="926"/>
      <c r="AS1431" s="926"/>
      <c r="AT1431" s="926"/>
      <c r="AU1431" s="926"/>
      <c r="AV1431" s="926"/>
      <c r="AW1431" s="926"/>
      <c r="AX1431" s="926"/>
      <c r="AY1431" s="926"/>
      <c r="AZ1431" s="926"/>
      <c r="BA1431" s="926"/>
      <c r="BB1431" s="927"/>
    </row>
    <row r="1432" spans="1:54" x14ac:dyDescent="0.25">
      <c r="A1432" s="13">
        <f t="shared" si="22"/>
        <v>1419</v>
      </c>
      <c r="B1432" s="888" t="str">
        <f>'refer admin discharge'!B1428</f>
        <v>x</v>
      </c>
      <c r="C1432" s="888"/>
      <c r="D1432" s="868" t="str">
        <f>'refer admin discharge'!D1428</f>
        <v>xx</v>
      </c>
      <c r="E1432" s="868"/>
      <c r="F1432" s="891" t="str">
        <f>'refer admin discharge'!H1428</f>
        <v>00/00/0000</v>
      </c>
      <c r="G1432" s="892"/>
      <c r="H1432" s="894"/>
      <c r="I1432" s="894"/>
      <c r="J1432" s="918"/>
      <c r="K1432" s="918"/>
      <c r="L1432" s="894"/>
      <c r="M1432" s="894"/>
      <c r="N1432" s="916"/>
      <c r="O1432" s="916"/>
      <c r="P1432" s="894"/>
      <c r="Q1432" s="894"/>
      <c r="R1432" s="916"/>
      <c r="S1432" s="916"/>
      <c r="T1432" s="894"/>
      <c r="U1432" s="894"/>
      <c r="V1432" s="921" t="str">
        <f>'refer admin discharge'!H1433</f>
        <v>00/00/0000</v>
      </c>
      <c r="W1432" s="922"/>
      <c r="X1432" s="920"/>
      <c r="Y1432" s="920"/>
      <c r="Z1432" s="919"/>
      <c r="AA1432" s="919"/>
      <c r="AB1432" s="920"/>
      <c r="AC1432" s="920"/>
      <c r="AD1432" s="912"/>
      <c r="AE1432" s="912"/>
      <c r="AF1432" s="920"/>
      <c r="AG1432" s="920"/>
      <c r="AH1432" s="912"/>
      <c r="AI1432" s="912"/>
      <c r="AJ1432" s="920"/>
      <c r="AK1432" s="920"/>
      <c r="AL1432" s="905"/>
      <c r="AM1432" s="906"/>
      <c r="AN1432" s="906"/>
      <c r="AO1432" s="906"/>
      <c r="AP1432" s="906"/>
      <c r="AQ1432" s="906"/>
      <c r="AR1432" s="906"/>
      <c r="AS1432" s="906"/>
      <c r="AT1432" s="906"/>
      <c r="AU1432" s="906"/>
      <c r="AV1432" s="906"/>
      <c r="AW1432" s="906"/>
      <c r="AX1432" s="906"/>
      <c r="AY1432" s="906"/>
      <c r="AZ1432" s="906"/>
      <c r="BA1432" s="906"/>
      <c r="BB1432" s="907"/>
    </row>
    <row r="1433" spans="1:54" x14ac:dyDescent="0.25">
      <c r="A1433" s="13">
        <f t="shared" si="22"/>
        <v>1420</v>
      </c>
      <c r="B1433" s="914" t="str">
        <f>'refer admin discharge'!B1429</f>
        <v>x</v>
      </c>
      <c r="C1433" s="914"/>
      <c r="D1433" s="889" t="str">
        <f>'refer admin discharge'!D1429</f>
        <v>xx</v>
      </c>
      <c r="E1433" s="889"/>
      <c r="F1433" s="915" t="str">
        <f>'refer admin discharge'!H1429</f>
        <v>00/00/0000</v>
      </c>
      <c r="G1433" s="890"/>
      <c r="H1433" s="916"/>
      <c r="I1433" s="916"/>
      <c r="J1433" s="917"/>
      <c r="K1433" s="917"/>
      <c r="L1433" s="916"/>
      <c r="M1433" s="916"/>
      <c r="N1433" s="893"/>
      <c r="O1433" s="893"/>
      <c r="P1433" s="916"/>
      <c r="Q1433" s="916"/>
      <c r="R1433" s="893"/>
      <c r="S1433" s="893"/>
      <c r="T1433" s="916"/>
      <c r="U1433" s="916"/>
      <c r="V1433" s="921" t="str">
        <f>'refer admin discharge'!H1434</f>
        <v>00/00/0000</v>
      </c>
      <c r="W1433" s="922"/>
      <c r="X1433" s="912"/>
      <c r="Y1433" s="912"/>
      <c r="Z1433" s="924"/>
      <c r="AA1433" s="924"/>
      <c r="AB1433" s="912"/>
      <c r="AC1433" s="912"/>
      <c r="AD1433" s="913"/>
      <c r="AE1433" s="913"/>
      <c r="AF1433" s="912"/>
      <c r="AG1433" s="912"/>
      <c r="AH1433" s="913"/>
      <c r="AI1433" s="913"/>
      <c r="AJ1433" s="912"/>
      <c r="AK1433" s="912"/>
      <c r="AL1433" s="925"/>
      <c r="AM1433" s="926"/>
      <c r="AN1433" s="926"/>
      <c r="AO1433" s="926"/>
      <c r="AP1433" s="926"/>
      <c r="AQ1433" s="926"/>
      <c r="AR1433" s="926"/>
      <c r="AS1433" s="926"/>
      <c r="AT1433" s="926"/>
      <c r="AU1433" s="926"/>
      <c r="AV1433" s="926"/>
      <c r="AW1433" s="926"/>
      <c r="AX1433" s="926"/>
      <c r="AY1433" s="926"/>
      <c r="AZ1433" s="926"/>
      <c r="BA1433" s="926"/>
      <c r="BB1433" s="927"/>
    </row>
    <row r="1434" spans="1:54" x14ac:dyDescent="0.25">
      <c r="A1434" s="13">
        <f t="shared" si="22"/>
        <v>1421</v>
      </c>
      <c r="B1434" s="888" t="str">
        <f>'refer admin discharge'!B1430</f>
        <v>x</v>
      </c>
      <c r="C1434" s="888"/>
      <c r="D1434" s="868" t="str">
        <f>'refer admin discharge'!D1430</f>
        <v>xx</v>
      </c>
      <c r="E1434" s="868"/>
      <c r="F1434" s="891" t="str">
        <f>'refer admin discharge'!H1430</f>
        <v>00/00/0000</v>
      </c>
      <c r="G1434" s="892"/>
      <c r="H1434" s="894"/>
      <c r="I1434" s="894"/>
      <c r="J1434" s="918"/>
      <c r="K1434" s="918"/>
      <c r="L1434" s="894"/>
      <c r="M1434" s="894"/>
      <c r="N1434" s="916"/>
      <c r="O1434" s="916"/>
      <c r="P1434" s="894"/>
      <c r="Q1434" s="894"/>
      <c r="R1434" s="916"/>
      <c r="S1434" s="916"/>
      <c r="T1434" s="894"/>
      <c r="U1434" s="894"/>
      <c r="V1434" s="921" t="str">
        <f>'refer admin discharge'!H1435</f>
        <v>00/00/0000</v>
      </c>
      <c r="W1434" s="922"/>
      <c r="X1434" s="920"/>
      <c r="Y1434" s="920"/>
      <c r="Z1434" s="919"/>
      <c r="AA1434" s="919"/>
      <c r="AB1434" s="920"/>
      <c r="AC1434" s="920"/>
      <c r="AD1434" s="912"/>
      <c r="AE1434" s="912"/>
      <c r="AF1434" s="920"/>
      <c r="AG1434" s="920"/>
      <c r="AH1434" s="912"/>
      <c r="AI1434" s="912"/>
      <c r="AJ1434" s="920"/>
      <c r="AK1434" s="920"/>
      <c r="AL1434" s="905"/>
      <c r="AM1434" s="906"/>
      <c r="AN1434" s="906"/>
      <c r="AO1434" s="906"/>
      <c r="AP1434" s="906"/>
      <c r="AQ1434" s="906"/>
      <c r="AR1434" s="906"/>
      <c r="AS1434" s="906"/>
      <c r="AT1434" s="906"/>
      <c r="AU1434" s="906"/>
      <c r="AV1434" s="906"/>
      <c r="AW1434" s="906"/>
      <c r="AX1434" s="906"/>
      <c r="AY1434" s="906"/>
      <c r="AZ1434" s="906"/>
      <c r="BA1434" s="906"/>
      <c r="BB1434" s="907"/>
    </row>
    <row r="1435" spans="1:54" x14ac:dyDescent="0.25">
      <c r="A1435" s="13">
        <f t="shared" si="22"/>
        <v>1422</v>
      </c>
      <c r="B1435" s="914" t="str">
        <f>'refer admin discharge'!B1431</f>
        <v>x</v>
      </c>
      <c r="C1435" s="914"/>
      <c r="D1435" s="889" t="str">
        <f>'refer admin discharge'!D1431</f>
        <v>xx</v>
      </c>
      <c r="E1435" s="889"/>
      <c r="F1435" s="915" t="str">
        <f>'refer admin discharge'!H1431</f>
        <v>00/00/0000</v>
      </c>
      <c r="G1435" s="890"/>
      <c r="H1435" s="916"/>
      <c r="I1435" s="916"/>
      <c r="J1435" s="917"/>
      <c r="K1435" s="917"/>
      <c r="L1435" s="916"/>
      <c r="M1435" s="916"/>
      <c r="N1435" s="893"/>
      <c r="O1435" s="893"/>
      <c r="P1435" s="916"/>
      <c r="Q1435" s="916"/>
      <c r="R1435" s="893"/>
      <c r="S1435" s="893"/>
      <c r="T1435" s="916"/>
      <c r="U1435" s="916"/>
      <c r="V1435" s="921" t="str">
        <f>'refer admin discharge'!H1436</f>
        <v>00/00/0000</v>
      </c>
      <c r="W1435" s="922"/>
      <c r="X1435" s="912"/>
      <c r="Y1435" s="912"/>
      <c r="Z1435" s="924"/>
      <c r="AA1435" s="924"/>
      <c r="AB1435" s="912"/>
      <c r="AC1435" s="912"/>
      <c r="AD1435" s="913"/>
      <c r="AE1435" s="913"/>
      <c r="AF1435" s="912"/>
      <c r="AG1435" s="912"/>
      <c r="AH1435" s="913"/>
      <c r="AI1435" s="913"/>
      <c r="AJ1435" s="912"/>
      <c r="AK1435" s="912"/>
      <c r="AL1435" s="925"/>
      <c r="AM1435" s="926"/>
      <c r="AN1435" s="926"/>
      <c r="AO1435" s="926"/>
      <c r="AP1435" s="926"/>
      <c r="AQ1435" s="926"/>
      <c r="AR1435" s="926"/>
      <c r="AS1435" s="926"/>
      <c r="AT1435" s="926"/>
      <c r="AU1435" s="926"/>
      <c r="AV1435" s="926"/>
      <c r="AW1435" s="926"/>
      <c r="AX1435" s="926"/>
      <c r="AY1435" s="926"/>
      <c r="AZ1435" s="926"/>
      <c r="BA1435" s="926"/>
      <c r="BB1435" s="927"/>
    </row>
    <row r="1436" spans="1:54" x14ac:dyDescent="0.25">
      <c r="A1436" s="13">
        <f t="shared" si="22"/>
        <v>1423</v>
      </c>
      <c r="B1436" s="888" t="str">
        <f>'refer admin discharge'!B1432</f>
        <v>x</v>
      </c>
      <c r="C1436" s="888"/>
      <c r="D1436" s="868" t="str">
        <f>'refer admin discharge'!D1432</f>
        <v>xx</v>
      </c>
      <c r="E1436" s="868"/>
      <c r="F1436" s="891" t="str">
        <f>'refer admin discharge'!H1432</f>
        <v>00/00/0000</v>
      </c>
      <c r="G1436" s="892"/>
      <c r="H1436" s="894"/>
      <c r="I1436" s="894"/>
      <c r="J1436" s="918"/>
      <c r="K1436" s="918"/>
      <c r="L1436" s="894"/>
      <c r="M1436" s="894"/>
      <c r="N1436" s="916"/>
      <c r="O1436" s="916"/>
      <c r="P1436" s="894"/>
      <c r="Q1436" s="894"/>
      <c r="R1436" s="916"/>
      <c r="S1436" s="916"/>
      <c r="T1436" s="894"/>
      <c r="U1436" s="894"/>
      <c r="V1436" s="921" t="str">
        <f>'refer admin discharge'!H1437</f>
        <v>00/00/0000</v>
      </c>
      <c r="W1436" s="922"/>
      <c r="X1436" s="920"/>
      <c r="Y1436" s="920"/>
      <c r="Z1436" s="919"/>
      <c r="AA1436" s="919"/>
      <c r="AB1436" s="920"/>
      <c r="AC1436" s="920"/>
      <c r="AD1436" s="912"/>
      <c r="AE1436" s="912"/>
      <c r="AF1436" s="920"/>
      <c r="AG1436" s="920"/>
      <c r="AH1436" s="912"/>
      <c r="AI1436" s="912"/>
      <c r="AJ1436" s="920"/>
      <c r="AK1436" s="920"/>
      <c r="AL1436" s="905"/>
      <c r="AM1436" s="906"/>
      <c r="AN1436" s="906"/>
      <c r="AO1436" s="906"/>
      <c r="AP1436" s="906"/>
      <c r="AQ1436" s="906"/>
      <c r="AR1436" s="906"/>
      <c r="AS1436" s="906"/>
      <c r="AT1436" s="906"/>
      <c r="AU1436" s="906"/>
      <c r="AV1436" s="906"/>
      <c r="AW1436" s="906"/>
      <c r="AX1436" s="906"/>
      <c r="AY1436" s="906"/>
      <c r="AZ1436" s="906"/>
      <c r="BA1436" s="906"/>
      <c r="BB1436" s="907"/>
    </row>
    <row r="1437" spans="1:54" x14ac:dyDescent="0.25">
      <c r="A1437" s="13">
        <f t="shared" si="22"/>
        <v>1424</v>
      </c>
      <c r="B1437" s="914" t="str">
        <f>'refer admin discharge'!B1433</f>
        <v>x</v>
      </c>
      <c r="C1437" s="914"/>
      <c r="D1437" s="889" t="str">
        <f>'refer admin discharge'!D1433</f>
        <v>xx</v>
      </c>
      <c r="E1437" s="889"/>
      <c r="F1437" s="915" t="str">
        <f>'refer admin discharge'!H1433</f>
        <v>00/00/0000</v>
      </c>
      <c r="G1437" s="890"/>
      <c r="H1437" s="916"/>
      <c r="I1437" s="916"/>
      <c r="J1437" s="917"/>
      <c r="K1437" s="917"/>
      <c r="L1437" s="916"/>
      <c r="M1437" s="916"/>
      <c r="N1437" s="893"/>
      <c r="O1437" s="893"/>
      <c r="P1437" s="916"/>
      <c r="Q1437" s="916"/>
      <c r="R1437" s="893"/>
      <c r="S1437" s="893"/>
      <c r="T1437" s="916"/>
      <c r="U1437" s="916"/>
      <c r="V1437" s="921" t="str">
        <f>'refer admin discharge'!H1438</f>
        <v>00/00/0000</v>
      </c>
      <c r="W1437" s="922"/>
      <c r="X1437" s="912"/>
      <c r="Y1437" s="912"/>
      <c r="Z1437" s="924"/>
      <c r="AA1437" s="924"/>
      <c r="AB1437" s="912"/>
      <c r="AC1437" s="912"/>
      <c r="AD1437" s="913"/>
      <c r="AE1437" s="913"/>
      <c r="AF1437" s="912"/>
      <c r="AG1437" s="912"/>
      <c r="AH1437" s="913"/>
      <c r="AI1437" s="913"/>
      <c r="AJ1437" s="912"/>
      <c r="AK1437" s="912"/>
      <c r="AL1437" s="925"/>
      <c r="AM1437" s="926"/>
      <c r="AN1437" s="926"/>
      <c r="AO1437" s="926"/>
      <c r="AP1437" s="926"/>
      <c r="AQ1437" s="926"/>
      <c r="AR1437" s="926"/>
      <c r="AS1437" s="926"/>
      <c r="AT1437" s="926"/>
      <c r="AU1437" s="926"/>
      <c r="AV1437" s="926"/>
      <c r="AW1437" s="926"/>
      <c r="AX1437" s="926"/>
      <c r="AY1437" s="926"/>
      <c r="AZ1437" s="926"/>
      <c r="BA1437" s="926"/>
      <c r="BB1437" s="927"/>
    </row>
    <row r="1438" spans="1:54" x14ac:dyDescent="0.25">
      <c r="A1438" s="13">
        <f t="shared" si="22"/>
        <v>1425</v>
      </c>
      <c r="B1438" s="888" t="str">
        <f>'refer admin discharge'!B1434</f>
        <v>x</v>
      </c>
      <c r="C1438" s="888"/>
      <c r="D1438" s="868" t="str">
        <f>'refer admin discharge'!D1434</f>
        <v>xx</v>
      </c>
      <c r="E1438" s="868"/>
      <c r="F1438" s="891" t="str">
        <f>'refer admin discharge'!H1434</f>
        <v>00/00/0000</v>
      </c>
      <c r="G1438" s="892"/>
      <c r="H1438" s="894"/>
      <c r="I1438" s="894"/>
      <c r="J1438" s="918"/>
      <c r="K1438" s="918"/>
      <c r="L1438" s="894"/>
      <c r="M1438" s="894"/>
      <c r="N1438" s="916"/>
      <c r="O1438" s="916"/>
      <c r="P1438" s="894"/>
      <c r="Q1438" s="894"/>
      <c r="R1438" s="916"/>
      <c r="S1438" s="916"/>
      <c r="T1438" s="894"/>
      <c r="U1438" s="894"/>
      <c r="V1438" s="921" t="str">
        <f>'refer admin discharge'!H1439</f>
        <v>00/00/0000</v>
      </c>
      <c r="W1438" s="922"/>
      <c r="X1438" s="920"/>
      <c r="Y1438" s="920"/>
      <c r="Z1438" s="919"/>
      <c r="AA1438" s="919"/>
      <c r="AB1438" s="920"/>
      <c r="AC1438" s="920"/>
      <c r="AD1438" s="912"/>
      <c r="AE1438" s="912"/>
      <c r="AF1438" s="920"/>
      <c r="AG1438" s="920"/>
      <c r="AH1438" s="912"/>
      <c r="AI1438" s="912"/>
      <c r="AJ1438" s="920"/>
      <c r="AK1438" s="920"/>
      <c r="AL1438" s="905"/>
      <c r="AM1438" s="906"/>
      <c r="AN1438" s="906"/>
      <c r="AO1438" s="906"/>
      <c r="AP1438" s="906"/>
      <c r="AQ1438" s="906"/>
      <c r="AR1438" s="906"/>
      <c r="AS1438" s="906"/>
      <c r="AT1438" s="906"/>
      <c r="AU1438" s="906"/>
      <c r="AV1438" s="906"/>
      <c r="AW1438" s="906"/>
      <c r="AX1438" s="906"/>
      <c r="AY1438" s="906"/>
      <c r="AZ1438" s="906"/>
      <c r="BA1438" s="906"/>
      <c r="BB1438" s="907"/>
    </row>
    <row r="1439" spans="1:54" x14ac:dyDescent="0.25">
      <c r="A1439" s="13">
        <f t="shared" si="22"/>
        <v>1426</v>
      </c>
      <c r="B1439" s="914" t="str">
        <f>'refer admin discharge'!B1435</f>
        <v>x</v>
      </c>
      <c r="C1439" s="914"/>
      <c r="D1439" s="889" t="str">
        <f>'refer admin discharge'!D1435</f>
        <v>xx</v>
      </c>
      <c r="E1439" s="889"/>
      <c r="F1439" s="915" t="str">
        <f>'refer admin discharge'!H1435</f>
        <v>00/00/0000</v>
      </c>
      <c r="G1439" s="890"/>
      <c r="H1439" s="916"/>
      <c r="I1439" s="916"/>
      <c r="J1439" s="917"/>
      <c r="K1439" s="917"/>
      <c r="L1439" s="916"/>
      <c r="M1439" s="916"/>
      <c r="N1439" s="893"/>
      <c r="O1439" s="893"/>
      <c r="P1439" s="916"/>
      <c r="Q1439" s="916"/>
      <c r="R1439" s="893"/>
      <c r="S1439" s="893"/>
      <c r="T1439" s="916"/>
      <c r="U1439" s="916"/>
      <c r="V1439" s="921" t="str">
        <f>'refer admin discharge'!H1440</f>
        <v>00/00/0000</v>
      </c>
      <c r="W1439" s="922"/>
      <c r="X1439" s="912"/>
      <c r="Y1439" s="912"/>
      <c r="Z1439" s="924"/>
      <c r="AA1439" s="924"/>
      <c r="AB1439" s="912"/>
      <c r="AC1439" s="912"/>
      <c r="AD1439" s="913"/>
      <c r="AE1439" s="913"/>
      <c r="AF1439" s="912"/>
      <c r="AG1439" s="912"/>
      <c r="AH1439" s="913"/>
      <c r="AI1439" s="913"/>
      <c r="AJ1439" s="912"/>
      <c r="AK1439" s="912"/>
      <c r="AL1439" s="925"/>
      <c r="AM1439" s="926"/>
      <c r="AN1439" s="926"/>
      <c r="AO1439" s="926"/>
      <c r="AP1439" s="926"/>
      <c r="AQ1439" s="926"/>
      <c r="AR1439" s="926"/>
      <c r="AS1439" s="926"/>
      <c r="AT1439" s="926"/>
      <c r="AU1439" s="926"/>
      <c r="AV1439" s="926"/>
      <c r="AW1439" s="926"/>
      <c r="AX1439" s="926"/>
      <c r="AY1439" s="926"/>
      <c r="AZ1439" s="926"/>
      <c r="BA1439" s="926"/>
      <c r="BB1439" s="927"/>
    </row>
    <row r="1440" spans="1:54" x14ac:dyDescent="0.25">
      <c r="A1440" s="13">
        <f t="shared" si="22"/>
        <v>1427</v>
      </c>
      <c r="B1440" s="888" t="str">
        <f>'refer admin discharge'!B1436</f>
        <v>x</v>
      </c>
      <c r="C1440" s="888"/>
      <c r="D1440" s="868" t="str">
        <f>'refer admin discharge'!D1436</f>
        <v>xx</v>
      </c>
      <c r="E1440" s="868"/>
      <c r="F1440" s="891" t="str">
        <f>'refer admin discharge'!H1436</f>
        <v>00/00/0000</v>
      </c>
      <c r="G1440" s="892"/>
      <c r="H1440" s="894"/>
      <c r="I1440" s="894"/>
      <c r="J1440" s="918"/>
      <c r="K1440" s="918"/>
      <c r="L1440" s="894"/>
      <c r="M1440" s="894"/>
      <c r="N1440" s="916"/>
      <c r="O1440" s="916"/>
      <c r="P1440" s="894"/>
      <c r="Q1440" s="894"/>
      <c r="R1440" s="916"/>
      <c r="S1440" s="916"/>
      <c r="T1440" s="894"/>
      <c r="U1440" s="894"/>
      <c r="V1440" s="921" t="str">
        <f>'refer admin discharge'!H1441</f>
        <v>00/00/0000</v>
      </c>
      <c r="W1440" s="922"/>
      <c r="X1440" s="920"/>
      <c r="Y1440" s="920"/>
      <c r="Z1440" s="919"/>
      <c r="AA1440" s="919"/>
      <c r="AB1440" s="920"/>
      <c r="AC1440" s="920"/>
      <c r="AD1440" s="912"/>
      <c r="AE1440" s="912"/>
      <c r="AF1440" s="920"/>
      <c r="AG1440" s="920"/>
      <c r="AH1440" s="912"/>
      <c r="AI1440" s="912"/>
      <c r="AJ1440" s="920"/>
      <c r="AK1440" s="920"/>
      <c r="AL1440" s="905"/>
      <c r="AM1440" s="906"/>
      <c r="AN1440" s="906"/>
      <c r="AO1440" s="906"/>
      <c r="AP1440" s="906"/>
      <c r="AQ1440" s="906"/>
      <c r="AR1440" s="906"/>
      <c r="AS1440" s="906"/>
      <c r="AT1440" s="906"/>
      <c r="AU1440" s="906"/>
      <c r="AV1440" s="906"/>
      <c r="AW1440" s="906"/>
      <c r="AX1440" s="906"/>
      <c r="AY1440" s="906"/>
      <c r="AZ1440" s="906"/>
      <c r="BA1440" s="906"/>
      <c r="BB1440" s="907"/>
    </row>
    <row r="1441" spans="1:54" x14ac:dyDescent="0.25">
      <c r="A1441" s="13">
        <f t="shared" si="22"/>
        <v>1428</v>
      </c>
      <c r="B1441" s="914" t="str">
        <f>'refer admin discharge'!B1437</f>
        <v>x</v>
      </c>
      <c r="C1441" s="914"/>
      <c r="D1441" s="889" t="str">
        <f>'refer admin discharge'!D1437</f>
        <v>xx</v>
      </c>
      <c r="E1441" s="889"/>
      <c r="F1441" s="915" t="str">
        <f>'refer admin discharge'!H1437</f>
        <v>00/00/0000</v>
      </c>
      <c r="G1441" s="890"/>
      <c r="H1441" s="916"/>
      <c r="I1441" s="916"/>
      <c r="J1441" s="917"/>
      <c r="K1441" s="917"/>
      <c r="L1441" s="916"/>
      <c r="M1441" s="916"/>
      <c r="N1441" s="893"/>
      <c r="O1441" s="893"/>
      <c r="P1441" s="916"/>
      <c r="Q1441" s="916"/>
      <c r="R1441" s="893"/>
      <c r="S1441" s="893"/>
      <c r="T1441" s="916"/>
      <c r="U1441" s="916"/>
      <c r="V1441" s="921" t="str">
        <f>'refer admin discharge'!H1442</f>
        <v>00/00/0000</v>
      </c>
      <c r="W1441" s="922"/>
      <c r="X1441" s="912"/>
      <c r="Y1441" s="912"/>
      <c r="Z1441" s="924"/>
      <c r="AA1441" s="924"/>
      <c r="AB1441" s="912"/>
      <c r="AC1441" s="912"/>
      <c r="AD1441" s="913"/>
      <c r="AE1441" s="913"/>
      <c r="AF1441" s="912"/>
      <c r="AG1441" s="912"/>
      <c r="AH1441" s="913"/>
      <c r="AI1441" s="913"/>
      <c r="AJ1441" s="912"/>
      <c r="AK1441" s="912"/>
      <c r="AL1441" s="925"/>
      <c r="AM1441" s="926"/>
      <c r="AN1441" s="926"/>
      <c r="AO1441" s="926"/>
      <c r="AP1441" s="926"/>
      <c r="AQ1441" s="926"/>
      <c r="AR1441" s="926"/>
      <c r="AS1441" s="926"/>
      <c r="AT1441" s="926"/>
      <c r="AU1441" s="926"/>
      <c r="AV1441" s="926"/>
      <c r="AW1441" s="926"/>
      <c r="AX1441" s="926"/>
      <c r="AY1441" s="926"/>
      <c r="AZ1441" s="926"/>
      <c r="BA1441" s="926"/>
      <c r="BB1441" s="927"/>
    </row>
    <row r="1442" spans="1:54" x14ac:dyDescent="0.25">
      <c r="A1442" s="13">
        <f t="shared" si="22"/>
        <v>1429</v>
      </c>
      <c r="B1442" s="888" t="str">
        <f>'refer admin discharge'!B1438</f>
        <v>x</v>
      </c>
      <c r="C1442" s="888"/>
      <c r="D1442" s="868" t="str">
        <f>'refer admin discharge'!D1438</f>
        <v>xx</v>
      </c>
      <c r="E1442" s="868"/>
      <c r="F1442" s="891" t="str">
        <f>'refer admin discharge'!H1438</f>
        <v>00/00/0000</v>
      </c>
      <c r="G1442" s="892"/>
      <c r="H1442" s="894"/>
      <c r="I1442" s="894"/>
      <c r="J1442" s="918"/>
      <c r="K1442" s="918"/>
      <c r="L1442" s="894"/>
      <c r="M1442" s="894"/>
      <c r="N1442" s="916"/>
      <c r="O1442" s="916"/>
      <c r="P1442" s="894"/>
      <c r="Q1442" s="894"/>
      <c r="R1442" s="916"/>
      <c r="S1442" s="916"/>
      <c r="T1442" s="894"/>
      <c r="U1442" s="894"/>
      <c r="V1442" s="921" t="str">
        <f>'refer admin discharge'!H1443</f>
        <v>00/00/0000</v>
      </c>
      <c r="W1442" s="922"/>
      <c r="X1442" s="920"/>
      <c r="Y1442" s="920"/>
      <c r="Z1442" s="919"/>
      <c r="AA1442" s="919"/>
      <c r="AB1442" s="920"/>
      <c r="AC1442" s="920"/>
      <c r="AD1442" s="912"/>
      <c r="AE1442" s="912"/>
      <c r="AF1442" s="920"/>
      <c r="AG1442" s="920"/>
      <c r="AH1442" s="912"/>
      <c r="AI1442" s="912"/>
      <c r="AJ1442" s="920"/>
      <c r="AK1442" s="920"/>
      <c r="AL1442" s="905"/>
      <c r="AM1442" s="906"/>
      <c r="AN1442" s="906"/>
      <c r="AO1442" s="906"/>
      <c r="AP1442" s="906"/>
      <c r="AQ1442" s="906"/>
      <c r="AR1442" s="906"/>
      <c r="AS1442" s="906"/>
      <c r="AT1442" s="906"/>
      <c r="AU1442" s="906"/>
      <c r="AV1442" s="906"/>
      <c r="AW1442" s="906"/>
      <c r="AX1442" s="906"/>
      <c r="AY1442" s="906"/>
      <c r="AZ1442" s="906"/>
      <c r="BA1442" s="906"/>
      <c r="BB1442" s="907"/>
    </row>
    <row r="1443" spans="1:54" x14ac:dyDescent="0.25">
      <c r="A1443" s="13">
        <f t="shared" si="22"/>
        <v>1430</v>
      </c>
      <c r="B1443" s="914" t="str">
        <f>'refer admin discharge'!B1439</f>
        <v>x</v>
      </c>
      <c r="C1443" s="914"/>
      <c r="D1443" s="889" t="str">
        <f>'refer admin discharge'!D1439</f>
        <v>xx</v>
      </c>
      <c r="E1443" s="889"/>
      <c r="F1443" s="915" t="str">
        <f>'refer admin discharge'!H1439</f>
        <v>00/00/0000</v>
      </c>
      <c r="G1443" s="890"/>
      <c r="H1443" s="916"/>
      <c r="I1443" s="916"/>
      <c r="J1443" s="917"/>
      <c r="K1443" s="917"/>
      <c r="L1443" s="916"/>
      <c r="M1443" s="916"/>
      <c r="N1443" s="893"/>
      <c r="O1443" s="893"/>
      <c r="P1443" s="916"/>
      <c r="Q1443" s="916"/>
      <c r="R1443" s="893"/>
      <c r="S1443" s="893"/>
      <c r="T1443" s="916"/>
      <c r="U1443" s="916"/>
      <c r="V1443" s="921" t="str">
        <f>'refer admin discharge'!H1444</f>
        <v>00/00/0000</v>
      </c>
      <c r="W1443" s="922"/>
      <c r="X1443" s="912"/>
      <c r="Y1443" s="912"/>
      <c r="Z1443" s="924"/>
      <c r="AA1443" s="924"/>
      <c r="AB1443" s="912"/>
      <c r="AC1443" s="912"/>
      <c r="AD1443" s="913"/>
      <c r="AE1443" s="913"/>
      <c r="AF1443" s="912"/>
      <c r="AG1443" s="912"/>
      <c r="AH1443" s="913"/>
      <c r="AI1443" s="913"/>
      <c r="AJ1443" s="912"/>
      <c r="AK1443" s="912"/>
      <c r="AL1443" s="925"/>
      <c r="AM1443" s="926"/>
      <c r="AN1443" s="926"/>
      <c r="AO1443" s="926"/>
      <c r="AP1443" s="926"/>
      <c r="AQ1443" s="926"/>
      <c r="AR1443" s="926"/>
      <c r="AS1443" s="926"/>
      <c r="AT1443" s="926"/>
      <c r="AU1443" s="926"/>
      <c r="AV1443" s="926"/>
      <c r="AW1443" s="926"/>
      <c r="AX1443" s="926"/>
      <c r="AY1443" s="926"/>
      <c r="AZ1443" s="926"/>
      <c r="BA1443" s="926"/>
      <c r="BB1443" s="927"/>
    </row>
    <row r="1444" spans="1:54" x14ac:dyDescent="0.25">
      <c r="A1444" s="13">
        <f t="shared" si="22"/>
        <v>1431</v>
      </c>
      <c r="B1444" s="888" t="str">
        <f>'refer admin discharge'!B1440</f>
        <v>x</v>
      </c>
      <c r="C1444" s="888"/>
      <c r="D1444" s="868" t="str">
        <f>'refer admin discharge'!D1440</f>
        <v>xx</v>
      </c>
      <c r="E1444" s="868"/>
      <c r="F1444" s="891" t="str">
        <f>'refer admin discharge'!H1440</f>
        <v>00/00/0000</v>
      </c>
      <c r="G1444" s="892"/>
      <c r="H1444" s="894"/>
      <c r="I1444" s="894"/>
      <c r="J1444" s="918"/>
      <c r="K1444" s="918"/>
      <c r="L1444" s="894"/>
      <c r="M1444" s="894"/>
      <c r="N1444" s="916"/>
      <c r="O1444" s="916"/>
      <c r="P1444" s="894"/>
      <c r="Q1444" s="894"/>
      <c r="R1444" s="916"/>
      <c r="S1444" s="916"/>
      <c r="T1444" s="894"/>
      <c r="U1444" s="894"/>
      <c r="V1444" s="921" t="str">
        <f>'refer admin discharge'!H1445</f>
        <v>00/00/0000</v>
      </c>
      <c r="W1444" s="922"/>
      <c r="X1444" s="920"/>
      <c r="Y1444" s="920"/>
      <c r="Z1444" s="919"/>
      <c r="AA1444" s="919"/>
      <c r="AB1444" s="920"/>
      <c r="AC1444" s="920"/>
      <c r="AD1444" s="912"/>
      <c r="AE1444" s="912"/>
      <c r="AF1444" s="920"/>
      <c r="AG1444" s="920"/>
      <c r="AH1444" s="912"/>
      <c r="AI1444" s="912"/>
      <c r="AJ1444" s="920"/>
      <c r="AK1444" s="920"/>
      <c r="AL1444" s="905"/>
      <c r="AM1444" s="906"/>
      <c r="AN1444" s="906"/>
      <c r="AO1444" s="906"/>
      <c r="AP1444" s="906"/>
      <c r="AQ1444" s="906"/>
      <c r="AR1444" s="906"/>
      <c r="AS1444" s="906"/>
      <c r="AT1444" s="906"/>
      <c r="AU1444" s="906"/>
      <c r="AV1444" s="906"/>
      <c r="AW1444" s="906"/>
      <c r="AX1444" s="906"/>
      <c r="AY1444" s="906"/>
      <c r="AZ1444" s="906"/>
      <c r="BA1444" s="906"/>
      <c r="BB1444" s="907"/>
    </row>
    <row r="1445" spans="1:54" x14ac:dyDescent="0.25">
      <c r="A1445" s="13">
        <f t="shared" si="22"/>
        <v>1432</v>
      </c>
      <c r="B1445" s="914" t="str">
        <f>'refer admin discharge'!B1441</f>
        <v>x</v>
      </c>
      <c r="C1445" s="914"/>
      <c r="D1445" s="889" t="str">
        <f>'refer admin discharge'!D1441</f>
        <v>xx</v>
      </c>
      <c r="E1445" s="889"/>
      <c r="F1445" s="915" t="str">
        <f>'refer admin discharge'!H1441</f>
        <v>00/00/0000</v>
      </c>
      <c r="G1445" s="890"/>
      <c r="H1445" s="916"/>
      <c r="I1445" s="916"/>
      <c r="J1445" s="917"/>
      <c r="K1445" s="917"/>
      <c r="L1445" s="916"/>
      <c r="M1445" s="916"/>
      <c r="N1445" s="893"/>
      <c r="O1445" s="893"/>
      <c r="P1445" s="916"/>
      <c r="Q1445" s="916"/>
      <c r="R1445" s="893"/>
      <c r="S1445" s="893"/>
      <c r="T1445" s="916"/>
      <c r="U1445" s="916"/>
      <c r="V1445" s="921" t="str">
        <f>'refer admin discharge'!H1446</f>
        <v>00/00/0000</v>
      </c>
      <c r="W1445" s="922"/>
      <c r="X1445" s="912"/>
      <c r="Y1445" s="912"/>
      <c r="Z1445" s="924"/>
      <c r="AA1445" s="924"/>
      <c r="AB1445" s="912"/>
      <c r="AC1445" s="912"/>
      <c r="AD1445" s="913"/>
      <c r="AE1445" s="913"/>
      <c r="AF1445" s="912"/>
      <c r="AG1445" s="912"/>
      <c r="AH1445" s="913"/>
      <c r="AI1445" s="913"/>
      <c r="AJ1445" s="912"/>
      <c r="AK1445" s="912"/>
      <c r="AL1445" s="925"/>
      <c r="AM1445" s="926"/>
      <c r="AN1445" s="926"/>
      <c r="AO1445" s="926"/>
      <c r="AP1445" s="926"/>
      <c r="AQ1445" s="926"/>
      <c r="AR1445" s="926"/>
      <c r="AS1445" s="926"/>
      <c r="AT1445" s="926"/>
      <c r="AU1445" s="926"/>
      <c r="AV1445" s="926"/>
      <c r="AW1445" s="926"/>
      <c r="AX1445" s="926"/>
      <c r="AY1445" s="926"/>
      <c r="AZ1445" s="926"/>
      <c r="BA1445" s="926"/>
      <c r="BB1445" s="927"/>
    </row>
    <row r="1446" spans="1:54" x14ac:dyDescent="0.25">
      <c r="A1446" s="13">
        <f t="shared" si="22"/>
        <v>1433</v>
      </c>
      <c r="B1446" s="888" t="str">
        <f>'refer admin discharge'!B1442</f>
        <v>x</v>
      </c>
      <c r="C1446" s="888"/>
      <c r="D1446" s="868" t="str">
        <f>'refer admin discharge'!D1442</f>
        <v>xx</v>
      </c>
      <c r="E1446" s="868"/>
      <c r="F1446" s="891" t="str">
        <f>'refer admin discharge'!H1442</f>
        <v>00/00/0000</v>
      </c>
      <c r="G1446" s="892"/>
      <c r="H1446" s="894"/>
      <c r="I1446" s="894"/>
      <c r="J1446" s="918"/>
      <c r="K1446" s="918"/>
      <c r="L1446" s="894"/>
      <c r="M1446" s="894"/>
      <c r="N1446" s="916"/>
      <c r="O1446" s="916"/>
      <c r="P1446" s="894"/>
      <c r="Q1446" s="894"/>
      <c r="R1446" s="916"/>
      <c r="S1446" s="916"/>
      <c r="T1446" s="894"/>
      <c r="U1446" s="894"/>
      <c r="V1446" s="921" t="str">
        <f>'refer admin discharge'!H1447</f>
        <v>00/00/0000</v>
      </c>
      <c r="W1446" s="922"/>
      <c r="X1446" s="920"/>
      <c r="Y1446" s="920"/>
      <c r="Z1446" s="919"/>
      <c r="AA1446" s="919"/>
      <c r="AB1446" s="920"/>
      <c r="AC1446" s="920"/>
      <c r="AD1446" s="912"/>
      <c r="AE1446" s="912"/>
      <c r="AF1446" s="920"/>
      <c r="AG1446" s="920"/>
      <c r="AH1446" s="912"/>
      <c r="AI1446" s="912"/>
      <c r="AJ1446" s="920"/>
      <c r="AK1446" s="920"/>
      <c r="AL1446" s="905"/>
      <c r="AM1446" s="906"/>
      <c r="AN1446" s="906"/>
      <c r="AO1446" s="906"/>
      <c r="AP1446" s="906"/>
      <c r="AQ1446" s="906"/>
      <c r="AR1446" s="906"/>
      <c r="AS1446" s="906"/>
      <c r="AT1446" s="906"/>
      <c r="AU1446" s="906"/>
      <c r="AV1446" s="906"/>
      <c r="AW1446" s="906"/>
      <c r="AX1446" s="906"/>
      <c r="AY1446" s="906"/>
      <c r="AZ1446" s="906"/>
      <c r="BA1446" s="906"/>
      <c r="BB1446" s="907"/>
    </row>
    <row r="1447" spans="1:54" x14ac:dyDescent="0.25">
      <c r="A1447" s="13">
        <f t="shared" si="22"/>
        <v>1434</v>
      </c>
      <c r="B1447" s="914" t="str">
        <f>'refer admin discharge'!B1443</f>
        <v>x</v>
      </c>
      <c r="C1447" s="914"/>
      <c r="D1447" s="889" t="str">
        <f>'refer admin discharge'!D1443</f>
        <v>xx</v>
      </c>
      <c r="E1447" s="889"/>
      <c r="F1447" s="915" t="str">
        <f>'refer admin discharge'!H1443</f>
        <v>00/00/0000</v>
      </c>
      <c r="G1447" s="890"/>
      <c r="H1447" s="916"/>
      <c r="I1447" s="916"/>
      <c r="J1447" s="917"/>
      <c r="K1447" s="917"/>
      <c r="L1447" s="916"/>
      <c r="M1447" s="916"/>
      <c r="N1447" s="893"/>
      <c r="O1447" s="893"/>
      <c r="P1447" s="916"/>
      <c r="Q1447" s="916"/>
      <c r="R1447" s="893"/>
      <c r="S1447" s="893"/>
      <c r="T1447" s="916"/>
      <c r="U1447" s="916"/>
      <c r="V1447" s="921" t="str">
        <f>'refer admin discharge'!H1448</f>
        <v>00/00/0000</v>
      </c>
      <c r="W1447" s="922"/>
      <c r="X1447" s="912"/>
      <c r="Y1447" s="912"/>
      <c r="Z1447" s="924"/>
      <c r="AA1447" s="924"/>
      <c r="AB1447" s="912"/>
      <c r="AC1447" s="912"/>
      <c r="AD1447" s="913"/>
      <c r="AE1447" s="913"/>
      <c r="AF1447" s="912"/>
      <c r="AG1447" s="912"/>
      <c r="AH1447" s="913"/>
      <c r="AI1447" s="913"/>
      <c r="AJ1447" s="912"/>
      <c r="AK1447" s="912"/>
      <c r="AL1447" s="925"/>
      <c r="AM1447" s="926"/>
      <c r="AN1447" s="926"/>
      <c r="AO1447" s="926"/>
      <c r="AP1447" s="926"/>
      <c r="AQ1447" s="926"/>
      <c r="AR1447" s="926"/>
      <c r="AS1447" s="926"/>
      <c r="AT1447" s="926"/>
      <c r="AU1447" s="926"/>
      <c r="AV1447" s="926"/>
      <c r="AW1447" s="926"/>
      <c r="AX1447" s="926"/>
      <c r="AY1447" s="926"/>
      <c r="AZ1447" s="926"/>
      <c r="BA1447" s="926"/>
      <c r="BB1447" s="927"/>
    </row>
    <row r="1448" spans="1:54" x14ac:dyDescent="0.25">
      <c r="A1448" s="13">
        <f t="shared" si="22"/>
        <v>1435</v>
      </c>
      <c r="B1448" s="888" t="str">
        <f>'refer admin discharge'!B1444</f>
        <v>x</v>
      </c>
      <c r="C1448" s="888"/>
      <c r="D1448" s="868" t="str">
        <f>'refer admin discharge'!D1444</f>
        <v>xx</v>
      </c>
      <c r="E1448" s="868"/>
      <c r="F1448" s="891" t="str">
        <f>'refer admin discharge'!H1444</f>
        <v>00/00/0000</v>
      </c>
      <c r="G1448" s="892"/>
      <c r="H1448" s="894"/>
      <c r="I1448" s="894"/>
      <c r="J1448" s="918"/>
      <c r="K1448" s="918"/>
      <c r="L1448" s="894"/>
      <c r="M1448" s="894"/>
      <c r="N1448" s="916"/>
      <c r="O1448" s="916"/>
      <c r="P1448" s="894"/>
      <c r="Q1448" s="894"/>
      <c r="R1448" s="916"/>
      <c r="S1448" s="916"/>
      <c r="T1448" s="894"/>
      <c r="U1448" s="894"/>
      <c r="V1448" s="921" t="str">
        <f>'refer admin discharge'!H1449</f>
        <v>00/00/0000</v>
      </c>
      <c r="W1448" s="922"/>
      <c r="X1448" s="920"/>
      <c r="Y1448" s="920"/>
      <c r="Z1448" s="919"/>
      <c r="AA1448" s="919"/>
      <c r="AB1448" s="920"/>
      <c r="AC1448" s="920"/>
      <c r="AD1448" s="912"/>
      <c r="AE1448" s="912"/>
      <c r="AF1448" s="920"/>
      <c r="AG1448" s="920"/>
      <c r="AH1448" s="912"/>
      <c r="AI1448" s="912"/>
      <c r="AJ1448" s="920"/>
      <c r="AK1448" s="920"/>
      <c r="AL1448" s="905"/>
      <c r="AM1448" s="906"/>
      <c r="AN1448" s="906"/>
      <c r="AO1448" s="906"/>
      <c r="AP1448" s="906"/>
      <c r="AQ1448" s="906"/>
      <c r="AR1448" s="906"/>
      <c r="AS1448" s="906"/>
      <c r="AT1448" s="906"/>
      <c r="AU1448" s="906"/>
      <c r="AV1448" s="906"/>
      <c r="AW1448" s="906"/>
      <c r="AX1448" s="906"/>
      <c r="AY1448" s="906"/>
      <c r="AZ1448" s="906"/>
      <c r="BA1448" s="906"/>
      <c r="BB1448" s="907"/>
    </row>
    <row r="1449" spans="1:54" x14ac:dyDescent="0.25">
      <c r="A1449" s="13">
        <f t="shared" si="22"/>
        <v>1436</v>
      </c>
      <c r="B1449" s="914" t="str">
        <f>'refer admin discharge'!B1445</f>
        <v>x</v>
      </c>
      <c r="C1449" s="914"/>
      <c r="D1449" s="889" t="str">
        <f>'refer admin discharge'!D1445</f>
        <v>xx</v>
      </c>
      <c r="E1449" s="889"/>
      <c r="F1449" s="915" t="str">
        <f>'refer admin discharge'!H1445</f>
        <v>00/00/0000</v>
      </c>
      <c r="G1449" s="890"/>
      <c r="H1449" s="916"/>
      <c r="I1449" s="916"/>
      <c r="J1449" s="917"/>
      <c r="K1449" s="917"/>
      <c r="L1449" s="916"/>
      <c r="M1449" s="916"/>
      <c r="N1449" s="893"/>
      <c r="O1449" s="893"/>
      <c r="P1449" s="916"/>
      <c r="Q1449" s="916"/>
      <c r="R1449" s="893"/>
      <c r="S1449" s="893"/>
      <c r="T1449" s="916"/>
      <c r="U1449" s="916"/>
      <c r="V1449" s="921" t="str">
        <f>'refer admin discharge'!H1450</f>
        <v>00/00/0000</v>
      </c>
      <c r="W1449" s="922"/>
      <c r="X1449" s="912"/>
      <c r="Y1449" s="912"/>
      <c r="Z1449" s="924"/>
      <c r="AA1449" s="924"/>
      <c r="AB1449" s="912"/>
      <c r="AC1449" s="912"/>
      <c r="AD1449" s="913"/>
      <c r="AE1449" s="913"/>
      <c r="AF1449" s="912"/>
      <c r="AG1449" s="912"/>
      <c r="AH1449" s="913"/>
      <c r="AI1449" s="913"/>
      <c r="AJ1449" s="912"/>
      <c r="AK1449" s="912"/>
      <c r="AL1449" s="925"/>
      <c r="AM1449" s="926"/>
      <c r="AN1449" s="926"/>
      <c r="AO1449" s="926"/>
      <c r="AP1449" s="926"/>
      <c r="AQ1449" s="926"/>
      <c r="AR1449" s="926"/>
      <c r="AS1449" s="926"/>
      <c r="AT1449" s="926"/>
      <c r="AU1449" s="926"/>
      <c r="AV1449" s="926"/>
      <c r="AW1449" s="926"/>
      <c r="AX1449" s="926"/>
      <c r="AY1449" s="926"/>
      <c r="AZ1449" s="926"/>
      <c r="BA1449" s="926"/>
      <c r="BB1449" s="927"/>
    </row>
    <row r="1450" spans="1:54" x14ac:dyDescent="0.25">
      <c r="A1450" s="13">
        <f t="shared" si="22"/>
        <v>1437</v>
      </c>
      <c r="B1450" s="888" t="str">
        <f>'refer admin discharge'!B1446</f>
        <v>x</v>
      </c>
      <c r="C1450" s="888"/>
      <c r="D1450" s="868" t="str">
        <f>'refer admin discharge'!D1446</f>
        <v>xx</v>
      </c>
      <c r="E1450" s="868"/>
      <c r="F1450" s="891" t="str">
        <f>'refer admin discharge'!H1446</f>
        <v>00/00/0000</v>
      </c>
      <c r="G1450" s="892"/>
      <c r="H1450" s="894"/>
      <c r="I1450" s="894"/>
      <c r="J1450" s="918"/>
      <c r="K1450" s="918"/>
      <c r="L1450" s="894"/>
      <c r="M1450" s="894"/>
      <c r="N1450" s="916"/>
      <c r="O1450" s="916"/>
      <c r="P1450" s="894"/>
      <c r="Q1450" s="894"/>
      <c r="R1450" s="916"/>
      <c r="S1450" s="916"/>
      <c r="T1450" s="894"/>
      <c r="U1450" s="894"/>
      <c r="V1450" s="921" t="str">
        <f>'refer admin discharge'!H1451</f>
        <v>00/00/0000</v>
      </c>
      <c r="W1450" s="922"/>
      <c r="X1450" s="920"/>
      <c r="Y1450" s="920"/>
      <c r="Z1450" s="919"/>
      <c r="AA1450" s="919"/>
      <c r="AB1450" s="920"/>
      <c r="AC1450" s="920"/>
      <c r="AD1450" s="912"/>
      <c r="AE1450" s="912"/>
      <c r="AF1450" s="920"/>
      <c r="AG1450" s="920"/>
      <c r="AH1450" s="912"/>
      <c r="AI1450" s="912"/>
      <c r="AJ1450" s="920"/>
      <c r="AK1450" s="920"/>
      <c r="AL1450" s="905"/>
      <c r="AM1450" s="906"/>
      <c r="AN1450" s="906"/>
      <c r="AO1450" s="906"/>
      <c r="AP1450" s="906"/>
      <c r="AQ1450" s="906"/>
      <c r="AR1450" s="906"/>
      <c r="AS1450" s="906"/>
      <c r="AT1450" s="906"/>
      <c r="AU1450" s="906"/>
      <c r="AV1450" s="906"/>
      <c r="AW1450" s="906"/>
      <c r="AX1450" s="906"/>
      <c r="AY1450" s="906"/>
      <c r="AZ1450" s="906"/>
      <c r="BA1450" s="906"/>
      <c r="BB1450" s="907"/>
    </row>
    <row r="1451" spans="1:54" x14ac:dyDescent="0.25">
      <c r="A1451" s="13">
        <f t="shared" si="22"/>
        <v>1438</v>
      </c>
      <c r="B1451" s="914" t="str">
        <f>'refer admin discharge'!B1447</f>
        <v>x</v>
      </c>
      <c r="C1451" s="914"/>
      <c r="D1451" s="889" t="str">
        <f>'refer admin discharge'!D1447</f>
        <v>xx</v>
      </c>
      <c r="E1451" s="889"/>
      <c r="F1451" s="915" t="str">
        <f>'refer admin discharge'!H1447</f>
        <v>00/00/0000</v>
      </c>
      <c r="G1451" s="890"/>
      <c r="H1451" s="916"/>
      <c r="I1451" s="916"/>
      <c r="J1451" s="917"/>
      <c r="K1451" s="917"/>
      <c r="L1451" s="916"/>
      <c r="M1451" s="916"/>
      <c r="N1451" s="893"/>
      <c r="O1451" s="893"/>
      <c r="P1451" s="916"/>
      <c r="Q1451" s="916"/>
      <c r="R1451" s="893"/>
      <c r="S1451" s="893"/>
      <c r="T1451" s="916"/>
      <c r="U1451" s="916"/>
      <c r="V1451" s="921" t="str">
        <f>'refer admin discharge'!H1452</f>
        <v>00/00/0000</v>
      </c>
      <c r="W1451" s="922"/>
      <c r="X1451" s="912"/>
      <c r="Y1451" s="912"/>
      <c r="Z1451" s="924"/>
      <c r="AA1451" s="924"/>
      <c r="AB1451" s="912"/>
      <c r="AC1451" s="912"/>
      <c r="AD1451" s="913"/>
      <c r="AE1451" s="913"/>
      <c r="AF1451" s="912"/>
      <c r="AG1451" s="912"/>
      <c r="AH1451" s="913"/>
      <c r="AI1451" s="913"/>
      <c r="AJ1451" s="912"/>
      <c r="AK1451" s="912"/>
      <c r="AL1451" s="925"/>
      <c r="AM1451" s="926"/>
      <c r="AN1451" s="926"/>
      <c r="AO1451" s="926"/>
      <c r="AP1451" s="926"/>
      <c r="AQ1451" s="926"/>
      <c r="AR1451" s="926"/>
      <c r="AS1451" s="926"/>
      <c r="AT1451" s="926"/>
      <c r="AU1451" s="926"/>
      <c r="AV1451" s="926"/>
      <c r="AW1451" s="926"/>
      <c r="AX1451" s="926"/>
      <c r="AY1451" s="926"/>
      <c r="AZ1451" s="926"/>
      <c r="BA1451" s="926"/>
      <c r="BB1451" s="927"/>
    </row>
    <row r="1452" spans="1:54" x14ac:dyDescent="0.25">
      <c r="A1452" s="13">
        <f t="shared" si="22"/>
        <v>1439</v>
      </c>
      <c r="B1452" s="888" t="str">
        <f>'refer admin discharge'!B1448</f>
        <v>x</v>
      </c>
      <c r="C1452" s="888"/>
      <c r="D1452" s="868" t="str">
        <f>'refer admin discharge'!D1448</f>
        <v>xx</v>
      </c>
      <c r="E1452" s="868"/>
      <c r="F1452" s="891" t="str">
        <f>'refer admin discharge'!H1448</f>
        <v>00/00/0000</v>
      </c>
      <c r="G1452" s="892"/>
      <c r="H1452" s="894"/>
      <c r="I1452" s="894"/>
      <c r="J1452" s="918"/>
      <c r="K1452" s="918"/>
      <c r="L1452" s="894"/>
      <c r="M1452" s="894"/>
      <c r="N1452" s="916"/>
      <c r="O1452" s="916"/>
      <c r="P1452" s="894"/>
      <c r="Q1452" s="894"/>
      <c r="R1452" s="916"/>
      <c r="S1452" s="916"/>
      <c r="T1452" s="894"/>
      <c r="U1452" s="894"/>
      <c r="V1452" s="921" t="str">
        <f>'refer admin discharge'!H1453</f>
        <v>00/00/0000</v>
      </c>
      <c r="W1452" s="922"/>
      <c r="X1452" s="920"/>
      <c r="Y1452" s="920"/>
      <c r="Z1452" s="919"/>
      <c r="AA1452" s="919"/>
      <c r="AB1452" s="920"/>
      <c r="AC1452" s="920"/>
      <c r="AD1452" s="912"/>
      <c r="AE1452" s="912"/>
      <c r="AF1452" s="920"/>
      <c r="AG1452" s="920"/>
      <c r="AH1452" s="912"/>
      <c r="AI1452" s="912"/>
      <c r="AJ1452" s="920"/>
      <c r="AK1452" s="920"/>
      <c r="AL1452" s="905"/>
      <c r="AM1452" s="906"/>
      <c r="AN1452" s="906"/>
      <c r="AO1452" s="906"/>
      <c r="AP1452" s="906"/>
      <c r="AQ1452" s="906"/>
      <c r="AR1452" s="906"/>
      <c r="AS1452" s="906"/>
      <c r="AT1452" s="906"/>
      <c r="AU1452" s="906"/>
      <c r="AV1452" s="906"/>
      <c r="AW1452" s="906"/>
      <c r="AX1452" s="906"/>
      <c r="AY1452" s="906"/>
      <c r="AZ1452" s="906"/>
      <c r="BA1452" s="906"/>
      <c r="BB1452" s="907"/>
    </row>
    <row r="1453" spans="1:54" x14ac:dyDescent="0.25">
      <c r="A1453" s="13">
        <f t="shared" si="22"/>
        <v>1440</v>
      </c>
      <c r="B1453" s="914" t="str">
        <f>'refer admin discharge'!B1449</f>
        <v>x</v>
      </c>
      <c r="C1453" s="914"/>
      <c r="D1453" s="889" t="str">
        <f>'refer admin discharge'!D1449</f>
        <v>xx</v>
      </c>
      <c r="E1453" s="889"/>
      <c r="F1453" s="915" t="str">
        <f>'refer admin discharge'!H1449</f>
        <v>00/00/0000</v>
      </c>
      <c r="G1453" s="890"/>
      <c r="H1453" s="916"/>
      <c r="I1453" s="916"/>
      <c r="J1453" s="917"/>
      <c r="K1453" s="917"/>
      <c r="L1453" s="916"/>
      <c r="M1453" s="916"/>
      <c r="N1453" s="893"/>
      <c r="O1453" s="893"/>
      <c r="P1453" s="916"/>
      <c r="Q1453" s="916"/>
      <c r="R1453" s="893"/>
      <c r="S1453" s="893"/>
      <c r="T1453" s="916"/>
      <c r="U1453" s="916"/>
      <c r="V1453" s="921" t="str">
        <f>'refer admin discharge'!H1454</f>
        <v>00/00/0000</v>
      </c>
      <c r="W1453" s="922"/>
      <c r="X1453" s="912"/>
      <c r="Y1453" s="912"/>
      <c r="Z1453" s="924"/>
      <c r="AA1453" s="924"/>
      <c r="AB1453" s="912"/>
      <c r="AC1453" s="912"/>
      <c r="AD1453" s="913"/>
      <c r="AE1453" s="913"/>
      <c r="AF1453" s="912"/>
      <c r="AG1453" s="912"/>
      <c r="AH1453" s="913"/>
      <c r="AI1453" s="913"/>
      <c r="AJ1453" s="912"/>
      <c r="AK1453" s="912"/>
      <c r="AL1453" s="925"/>
      <c r="AM1453" s="926"/>
      <c r="AN1453" s="926"/>
      <c r="AO1453" s="926"/>
      <c r="AP1453" s="926"/>
      <c r="AQ1453" s="926"/>
      <c r="AR1453" s="926"/>
      <c r="AS1453" s="926"/>
      <c r="AT1453" s="926"/>
      <c r="AU1453" s="926"/>
      <c r="AV1453" s="926"/>
      <c r="AW1453" s="926"/>
      <c r="AX1453" s="926"/>
      <c r="AY1453" s="926"/>
      <c r="AZ1453" s="926"/>
      <c r="BA1453" s="926"/>
      <c r="BB1453" s="927"/>
    </row>
    <row r="1454" spans="1:54" x14ac:dyDescent="0.25">
      <c r="A1454" s="13">
        <f t="shared" si="22"/>
        <v>1441</v>
      </c>
      <c r="B1454" s="888" t="str">
        <f>'refer admin discharge'!B1450</f>
        <v>x</v>
      </c>
      <c r="C1454" s="888"/>
      <c r="D1454" s="868" t="str">
        <f>'refer admin discharge'!D1450</f>
        <v>xx</v>
      </c>
      <c r="E1454" s="868"/>
      <c r="F1454" s="891" t="str">
        <f>'refer admin discharge'!H1450</f>
        <v>00/00/0000</v>
      </c>
      <c r="G1454" s="892"/>
      <c r="H1454" s="894"/>
      <c r="I1454" s="894"/>
      <c r="J1454" s="918"/>
      <c r="K1454" s="918"/>
      <c r="L1454" s="894"/>
      <c r="M1454" s="894"/>
      <c r="N1454" s="916"/>
      <c r="O1454" s="916"/>
      <c r="P1454" s="894"/>
      <c r="Q1454" s="894"/>
      <c r="R1454" s="916"/>
      <c r="S1454" s="916"/>
      <c r="T1454" s="894"/>
      <c r="U1454" s="894"/>
      <c r="V1454" s="921" t="str">
        <f>'refer admin discharge'!H1455</f>
        <v>00/00/0000</v>
      </c>
      <c r="W1454" s="922"/>
      <c r="X1454" s="920"/>
      <c r="Y1454" s="920"/>
      <c r="Z1454" s="919"/>
      <c r="AA1454" s="919"/>
      <c r="AB1454" s="920"/>
      <c r="AC1454" s="920"/>
      <c r="AD1454" s="912"/>
      <c r="AE1454" s="912"/>
      <c r="AF1454" s="920"/>
      <c r="AG1454" s="920"/>
      <c r="AH1454" s="912"/>
      <c r="AI1454" s="912"/>
      <c r="AJ1454" s="920"/>
      <c r="AK1454" s="920"/>
      <c r="AL1454" s="905"/>
      <c r="AM1454" s="906"/>
      <c r="AN1454" s="906"/>
      <c r="AO1454" s="906"/>
      <c r="AP1454" s="906"/>
      <c r="AQ1454" s="906"/>
      <c r="AR1454" s="906"/>
      <c r="AS1454" s="906"/>
      <c r="AT1454" s="906"/>
      <c r="AU1454" s="906"/>
      <c r="AV1454" s="906"/>
      <c r="AW1454" s="906"/>
      <c r="AX1454" s="906"/>
      <c r="AY1454" s="906"/>
      <c r="AZ1454" s="906"/>
      <c r="BA1454" s="906"/>
      <c r="BB1454" s="907"/>
    </row>
    <row r="1455" spans="1:54" x14ac:dyDescent="0.25">
      <c r="A1455" s="13">
        <f t="shared" si="22"/>
        <v>1442</v>
      </c>
      <c r="B1455" s="914" t="str">
        <f>'refer admin discharge'!B1451</f>
        <v>x</v>
      </c>
      <c r="C1455" s="914"/>
      <c r="D1455" s="889" t="str">
        <f>'refer admin discharge'!D1451</f>
        <v>xx</v>
      </c>
      <c r="E1455" s="889"/>
      <c r="F1455" s="915" t="str">
        <f>'refer admin discharge'!H1451</f>
        <v>00/00/0000</v>
      </c>
      <c r="G1455" s="890"/>
      <c r="H1455" s="916"/>
      <c r="I1455" s="916"/>
      <c r="J1455" s="917"/>
      <c r="K1455" s="917"/>
      <c r="L1455" s="916"/>
      <c r="M1455" s="916"/>
      <c r="N1455" s="893"/>
      <c r="O1455" s="893"/>
      <c r="P1455" s="916"/>
      <c r="Q1455" s="916"/>
      <c r="R1455" s="893"/>
      <c r="S1455" s="893"/>
      <c r="T1455" s="916"/>
      <c r="U1455" s="916"/>
      <c r="V1455" s="921" t="str">
        <f>'refer admin discharge'!H1456</f>
        <v>00/00/0000</v>
      </c>
      <c r="W1455" s="922"/>
      <c r="X1455" s="912"/>
      <c r="Y1455" s="912"/>
      <c r="Z1455" s="924"/>
      <c r="AA1455" s="924"/>
      <c r="AB1455" s="912"/>
      <c r="AC1455" s="912"/>
      <c r="AD1455" s="913"/>
      <c r="AE1455" s="913"/>
      <c r="AF1455" s="912"/>
      <c r="AG1455" s="912"/>
      <c r="AH1455" s="913"/>
      <c r="AI1455" s="913"/>
      <c r="AJ1455" s="912"/>
      <c r="AK1455" s="912"/>
      <c r="AL1455" s="925"/>
      <c r="AM1455" s="926"/>
      <c r="AN1455" s="926"/>
      <c r="AO1455" s="926"/>
      <c r="AP1455" s="926"/>
      <c r="AQ1455" s="926"/>
      <c r="AR1455" s="926"/>
      <c r="AS1455" s="926"/>
      <c r="AT1455" s="926"/>
      <c r="AU1455" s="926"/>
      <c r="AV1455" s="926"/>
      <c r="AW1455" s="926"/>
      <c r="AX1455" s="926"/>
      <c r="AY1455" s="926"/>
      <c r="AZ1455" s="926"/>
      <c r="BA1455" s="926"/>
      <c r="BB1455" s="927"/>
    </row>
    <row r="1456" spans="1:54" x14ac:dyDescent="0.25">
      <c r="A1456" s="13">
        <f t="shared" si="22"/>
        <v>1443</v>
      </c>
      <c r="B1456" s="888" t="str">
        <f>'refer admin discharge'!B1452</f>
        <v>x</v>
      </c>
      <c r="C1456" s="888"/>
      <c r="D1456" s="868" t="str">
        <f>'refer admin discharge'!D1452</f>
        <v>xx</v>
      </c>
      <c r="E1456" s="868"/>
      <c r="F1456" s="891" t="str">
        <f>'refer admin discharge'!H1452</f>
        <v>00/00/0000</v>
      </c>
      <c r="G1456" s="892"/>
      <c r="H1456" s="894"/>
      <c r="I1456" s="894"/>
      <c r="J1456" s="918"/>
      <c r="K1456" s="918"/>
      <c r="L1456" s="894"/>
      <c r="M1456" s="894"/>
      <c r="N1456" s="916"/>
      <c r="O1456" s="916"/>
      <c r="P1456" s="894"/>
      <c r="Q1456" s="894"/>
      <c r="R1456" s="916"/>
      <c r="S1456" s="916"/>
      <c r="T1456" s="894"/>
      <c r="U1456" s="894"/>
      <c r="V1456" s="921" t="str">
        <f>'refer admin discharge'!H1457</f>
        <v>00/00/0000</v>
      </c>
      <c r="W1456" s="922"/>
      <c r="X1456" s="920"/>
      <c r="Y1456" s="920"/>
      <c r="Z1456" s="919"/>
      <c r="AA1456" s="919"/>
      <c r="AB1456" s="920"/>
      <c r="AC1456" s="920"/>
      <c r="AD1456" s="912"/>
      <c r="AE1456" s="912"/>
      <c r="AF1456" s="920"/>
      <c r="AG1456" s="920"/>
      <c r="AH1456" s="912"/>
      <c r="AI1456" s="912"/>
      <c r="AJ1456" s="920"/>
      <c r="AK1456" s="920"/>
      <c r="AL1456" s="905"/>
      <c r="AM1456" s="906"/>
      <c r="AN1456" s="906"/>
      <c r="AO1456" s="906"/>
      <c r="AP1456" s="906"/>
      <c r="AQ1456" s="906"/>
      <c r="AR1456" s="906"/>
      <c r="AS1456" s="906"/>
      <c r="AT1456" s="906"/>
      <c r="AU1456" s="906"/>
      <c r="AV1456" s="906"/>
      <c r="AW1456" s="906"/>
      <c r="AX1456" s="906"/>
      <c r="AY1456" s="906"/>
      <c r="AZ1456" s="906"/>
      <c r="BA1456" s="906"/>
      <c r="BB1456" s="907"/>
    </row>
    <row r="1457" spans="1:54" x14ac:dyDescent="0.25">
      <c r="A1457" s="13">
        <f t="shared" si="22"/>
        <v>1444</v>
      </c>
      <c r="B1457" s="914" t="str">
        <f>'refer admin discharge'!B1453</f>
        <v>x</v>
      </c>
      <c r="C1457" s="914"/>
      <c r="D1457" s="889" t="str">
        <f>'refer admin discharge'!D1453</f>
        <v>xx</v>
      </c>
      <c r="E1457" s="889"/>
      <c r="F1457" s="915" t="str">
        <f>'refer admin discharge'!H1453</f>
        <v>00/00/0000</v>
      </c>
      <c r="G1457" s="890"/>
      <c r="H1457" s="916"/>
      <c r="I1457" s="916"/>
      <c r="J1457" s="917"/>
      <c r="K1457" s="917"/>
      <c r="L1457" s="916"/>
      <c r="M1457" s="916"/>
      <c r="N1457" s="893"/>
      <c r="O1457" s="893"/>
      <c r="P1457" s="916"/>
      <c r="Q1457" s="916"/>
      <c r="R1457" s="893"/>
      <c r="S1457" s="893"/>
      <c r="T1457" s="916"/>
      <c r="U1457" s="916"/>
      <c r="V1457" s="921" t="str">
        <f>'refer admin discharge'!H1458</f>
        <v>00/00/0000</v>
      </c>
      <c r="W1457" s="922"/>
      <c r="X1457" s="912"/>
      <c r="Y1457" s="912"/>
      <c r="Z1457" s="924"/>
      <c r="AA1457" s="924"/>
      <c r="AB1457" s="912"/>
      <c r="AC1457" s="912"/>
      <c r="AD1457" s="913"/>
      <c r="AE1457" s="913"/>
      <c r="AF1457" s="912"/>
      <c r="AG1457" s="912"/>
      <c r="AH1457" s="913"/>
      <c r="AI1457" s="913"/>
      <c r="AJ1457" s="912"/>
      <c r="AK1457" s="912"/>
      <c r="AL1457" s="925"/>
      <c r="AM1457" s="926"/>
      <c r="AN1457" s="926"/>
      <c r="AO1457" s="926"/>
      <c r="AP1457" s="926"/>
      <c r="AQ1457" s="926"/>
      <c r="AR1457" s="926"/>
      <c r="AS1457" s="926"/>
      <c r="AT1457" s="926"/>
      <c r="AU1457" s="926"/>
      <c r="AV1457" s="926"/>
      <c r="AW1457" s="926"/>
      <c r="AX1457" s="926"/>
      <c r="AY1457" s="926"/>
      <c r="AZ1457" s="926"/>
      <c r="BA1457" s="926"/>
      <c r="BB1457" s="927"/>
    </row>
    <row r="1458" spans="1:54" x14ac:dyDescent="0.25">
      <c r="A1458" s="13">
        <f t="shared" si="22"/>
        <v>1445</v>
      </c>
      <c r="B1458" s="888" t="str">
        <f>'refer admin discharge'!B1454</f>
        <v>x</v>
      </c>
      <c r="C1458" s="888"/>
      <c r="D1458" s="868" t="str">
        <f>'refer admin discharge'!D1454</f>
        <v>xx</v>
      </c>
      <c r="E1458" s="868"/>
      <c r="F1458" s="891" t="str">
        <f>'refer admin discharge'!H1454</f>
        <v>00/00/0000</v>
      </c>
      <c r="G1458" s="892"/>
      <c r="H1458" s="894"/>
      <c r="I1458" s="894"/>
      <c r="J1458" s="918"/>
      <c r="K1458" s="918"/>
      <c r="L1458" s="894"/>
      <c r="M1458" s="894"/>
      <c r="N1458" s="916"/>
      <c r="O1458" s="916"/>
      <c r="P1458" s="894"/>
      <c r="Q1458" s="894"/>
      <c r="R1458" s="916"/>
      <c r="S1458" s="916"/>
      <c r="T1458" s="894"/>
      <c r="U1458" s="894"/>
      <c r="V1458" s="921" t="str">
        <f>'refer admin discharge'!H1459</f>
        <v>00/00/0000</v>
      </c>
      <c r="W1458" s="922"/>
      <c r="X1458" s="920"/>
      <c r="Y1458" s="920"/>
      <c r="Z1458" s="919"/>
      <c r="AA1458" s="919"/>
      <c r="AB1458" s="920"/>
      <c r="AC1458" s="920"/>
      <c r="AD1458" s="912"/>
      <c r="AE1458" s="912"/>
      <c r="AF1458" s="920"/>
      <c r="AG1458" s="920"/>
      <c r="AH1458" s="912"/>
      <c r="AI1458" s="912"/>
      <c r="AJ1458" s="920"/>
      <c r="AK1458" s="920"/>
      <c r="AL1458" s="905"/>
      <c r="AM1458" s="906"/>
      <c r="AN1458" s="906"/>
      <c r="AO1458" s="906"/>
      <c r="AP1458" s="906"/>
      <c r="AQ1458" s="906"/>
      <c r="AR1458" s="906"/>
      <c r="AS1458" s="906"/>
      <c r="AT1458" s="906"/>
      <c r="AU1458" s="906"/>
      <c r="AV1458" s="906"/>
      <c r="AW1458" s="906"/>
      <c r="AX1458" s="906"/>
      <c r="AY1458" s="906"/>
      <c r="AZ1458" s="906"/>
      <c r="BA1458" s="906"/>
      <c r="BB1458" s="907"/>
    </row>
    <row r="1459" spans="1:54" x14ac:dyDescent="0.25">
      <c r="A1459" s="13">
        <f t="shared" si="22"/>
        <v>1446</v>
      </c>
      <c r="B1459" s="914" t="str">
        <f>'refer admin discharge'!B1455</f>
        <v>x</v>
      </c>
      <c r="C1459" s="914"/>
      <c r="D1459" s="889" t="str">
        <f>'refer admin discharge'!D1455</f>
        <v>xx</v>
      </c>
      <c r="E1459" s="889"/>
      <c r="F1459" s="915" t="str">
        <f>'refer admin discharge'!H1455</f>
        <v>00/00/0000</v>
      </c>
      <c r="G1459" s="890"/>
      <c r="H1459" s="916"/>
      <c r="I1459" s="916"/>
      <c r="J1459" s="917"/>
      <c r="K1459" s="917"/>
      <c r="L1459" s="916"/>
      <c r="M1459" s="916"/>
      <c r="N1459" s="893"/>
      <c r="O1459" s="893"/>
      <c r="P1459" s="916"/>
      <c r="Q1459" s="916"/>
      <c r="R1459" s="893"/>
      <c r="S1459" s="893"/>
      <c r="T1459" s="916"/>
      <c r="U1459" s="916"/>
      <c r="V1459" s="921" t="str">
        <f>'refer admin discharge'!H1460</f>
        <v>00/00/0000</v>
      </c>
      <c r="W1459" s="922"/>
      <c r="X1459" s="912"/>
      <c r="Y1459" s="912"/>
      <c r="Z1459" s="924"/>
      <c r="AA1459" s="924"/>
      <c r="AB1459" s="912"/>
      <c r="AC1459" s="912"/>
      <c r="AD1459" s="913"/>
      <c r="AE1459" s="913"/>
      <c r="AF1459" s="912"/>
      <c r="AG1459" s="912"/>
      <c r="AH1459" s="913"/>
      <c r="AI1459" s="913"/>
      <c r="AJ1459" s="912"/>
      <c r="AK1459" s="912"/>
      <c r="AL1459" s="925"/>
      <c r="AM1459" s="926"/>
      <c r="AN1459" s="926"/>
      <c r="AO1459" s="926"/>
      <c r="AP1459" s="926"/>
      <c r="AQ1459" s="926"/>
      <c r="AR1459" s="926"/>
      <c r="AS1459" s="926"/>
      <c r="AT1459" s="926"/>
      <c r="AU1459" s="926"/>
      <c r="AV1459" s="926"/>
      <c r="AW1459" s="926"/>
      <c r="AX1459" s="926"/>
      <c r="AY1459" s="926"/>
      <c r="AZ1459" s="926"/>
      <c r="BA1459" s="926"/>
      <c r="BB1459" s="927"/>
    </row>
    <row r="1460" spans="1:54" x14ac:dyDescent="0.25">
      <c r="A1460" s="13">
        <f t="shared" si="22"/>
        <v>1447</v>
      </c>
      <c r="B1460" s="888" t="str">
        <f>'refer admin discharge'!B1456</f>
        <v>x</v>
      </c>
      <c r="C1460" s="888"/>
      <c r="D1460" s="868" t="str">
        <f>'refer admin discharge'!D1456</f>
        <v>xx</v>
      </c>
      <c r="E1460" s="868"/>
      <c r="F1460" s="891" t="str">
        <f>'refer admin discharge'!H1456</f>
        <v>00/00/0000</v>
      </c>
      <c r="G1460" s="892"/>
      <c r="H1460" s="894"/>
      <c r="I1460" s="894"/>
      <c r="J1460" s="918"/>
      <c r="K1460" s="918"/>
      <c r="L1460" s="894"/>
      <c r="M1460" s="894"/>
      <c r="N1460" s="916"/>
      <c r="O1460" s="916"/>
      <c r="P1460" s="894"/>
      <c r="Q1460" s="894"/>
      <c r="R1460" s="916"/>
      <c r="S1460" s="916"/>
      <c r="T1460" s="894"/>
      <c r="U1460" s="894"/>
      <c r="V1460" s="921" t="str">
        <f>'refer admin discharge'!H1461</f>
        <v>00/00/0000</v>
      </c>
      <c r="W1460" s="922"/>
      <c r="X1460" s="920"/>
      <c r="Y1460" s="920"/>
      <c r="Z1460" s="919"/>
      <c r="AA1460" s="919"/>
      <c r="AB1460" s="920"/>
      <c r="AC1460" s="920"/>
      <c r="AD1460" s="912"/>
      <c r="AE1460" s="912"/>
      <c r="AF1460" s="920"/>
      <c r="AG1460" s="920"/>
      <c r="AH1460" s="912"/>
      <c r="AI1460" s="912"/>
      <c r="AJ1460" s="920"/>
      <c r="AK1460" s="920"/>
      <c r="AL1460" s="905"/>
      <c r="AM1460" s="906"/>
      <c r="AN1460" s="906"/>
      <c r="AO1460" s="906"/>
      <c r="AP1460" s="906"/>
      <c r="AQ1460" s="906"/>
      <c r="AR1460" s="906"/>
      <c r="AS1460" s="906"/>
      <c r="AT1460" s="906"/>
      <c r="AU1460" s="906"/>
      <c r="AV1460" s="906"/>
      <c r="AW1460" s="906"/>
      <c r="AX1460" s="906"/>
      <c r="AY1460" s="906"/>
      <c r="AZ1460" s="906"/>
      <c r="BA1460" s="906"/>
      <c r="BB1460" s="907"/>
    </row>
    <row r="1461" spans="1:54" x14ac:dyDescent="0.25">
      <c r="A1461" s="13">
        <f t="shared" si="22"/>
        <v>1448</v>
      </c>
      <c r="B1461" s="914" t="str">
        <f>'refer admin discharge'!B1457</f>
        <v>x</v>
      </c>
      <c r="C1461" s="914"/>
      <c r="D1461" s="889" t="str">
        <f>'refer admin discharge'!D1457</f>
        <v>xx</v>
      </c>
      <c r="E1461" s="889"/>
      <c r="F1461" s="915" t="str">
        <f>'refer admin discharge'!H1457</f>
        <v>00/00/0000</v>
      </c>
      <c r="G1461" s="890"/>
      <c r="H1461" s="916"/>
      <c r="I1461" s="916"/>
      <c r="J1461" s="917"/>
      <c r="K1461" s="917"/>
      <c r="L1461" s="916"/>
      <c r="M1461" s="916"/>
      <c r="N1461" s="893"/>
      <c r="O1461" s="893"/>
      <c r="P1461" s="916"/>
      <c r="Q1461" s="916"/>
      <c r="R1461" s="893"/>
      <c r="S1461" s="893"/>
      <c r="T1461" s="916"/>
      <c r="U1461" s="916"/>
      <c r="V1461" s="921" t="str">
        <f>'refer admin discharge'!H1462</f>
        <v>00/00/0000</v>
      </c>
      <c r="W1461" s="922"/>
      <c r="X1461" s="912"/>
      <c r="Y1461" s="912"/>
      <c r="Z1461" s="924"/>
      <c r="AA1461" s="924"/>
      <c r="AB1461" s="912"/>
      <c r="AC1461" s="912"/>
      <c r="AD1461" s="913"/>
      <c r="AE1461" s="913"/>
      <c r="AF1461" s="912"/>
      <c r="AG1461" s="912"/>
      <c r="AH1461" s="913"/>
      <c r="AI1461" s="913"/>
      <c r="AJ1461" s="912"/>
      <c r="AK1461" s="912"/>
      <c r="AL1461" s="925"/>
      <c r="AM1461" s="926"/>
      <c r="AN1461" s="926"/>
      <c r="AO1461" s="926"/>
      <c r="AP1461" s="926"/>
      <c r="AQ1461" s="926"/>
      <c r="AR1461" s="926"/>
      <c r="AS1461" s="926"/>
      <c r="AT1461" s="926"/>
      <c r="AU1461" s="926"/>
      <c r="AV1461" s="926"/>
      <c r="AW1461" s="926"/>
      <c r="AX1461" s="926"/>
      <c r="AY1461" s="926"/>
      <c r="AZ1461" s="926"/>
      <c r="BA1461" s="926"/>
      <c r="BB1461" s="927"/>
    </row>
    <row r="1462" spans="1:54" x14ac:dyDescent="0.25">
      <c r="A1462" s="13">
        <f t="shared" si="22"/>
        <v>1449</v>
      </c>
      <c r="B1462" s="888" t="str">
        <f>'refer admin discharge'!B1458</f>
        <v>x</v>
      </c>
      <c r="C1462" s="888"/>
      <c r="D1462" s="868" t="str">
        <f>'refer admin discharge'!D1458</f>
        <v>xx</v>
      </c>
      <c r="E1462" s="868"/>
      <c r="F1462" s="891" t="str">
        <f>'refer admin discharge'!H1458</f>
        <v>00/00/0000</v>
      </c>
      <c r="G1462" s="892"/>
      <c r="H1462" s="894"/>
      <c r="I1462" s="894"/>
      <c r="J1462" s="918"/>
      <c r="K1462" s="918"/>
      <c r="L1462" s="894"/>
      <c r="M1462" s="894"/>
      <c r="N1462" s="916"/>
      <c r="O1462" s="916"/>
      <c r="P1462" s="894"/>
      <c r="Q1462" s="894"/>
      <c r="R1462" s="916"/>
      <c r="S1462" s="916"/>
      <c r="T1462" s="894"/>
      <c r="U1462" s="894"/>
      <c r="V1462" s="921" t="str">
        <f>'refer admin discharge'!H1463</f>
        <v>00/00/0000</v>
      </c>
      <c r="W1462" s="922"/>
      <c r="X1462" s="920"/>
      <c r="Y1462" s="920"/>
      <c r="Z1462" s="919"/>
      <c r="AA1462" s="919"/>
      <c r="AB1462" s="920"/>
      <c r="AC1462" s="920"/>
      <c r="AD1462" s="912"/>
      <c r="AE1462" s="912"/>
      <c r="AF1462" s="920"/>
      <c r="AG1462" s="920"/>
      <c r="AH1462" s="912"/>
      <c r="AI1462" s="912"/>
      <c r="AJ1462" s="920"/>
      <c r="AK1462" s="920"/>
      <c r="AL1462" s="905"/>
      <c r="AM1462" s="906"/>
      <c r="AN1462" s="906"/>
      <c r="AO1462" s="906"/>
      <c r="AP1462" s="906"/>
      <c r="AQ1462" s="906"/>
      <c r="AR1462" s="906"/>
      <c r="AS1462" s="906"/>
      <c r="AT1462" s="906"/>
      <c r="AU1462" s="906"/>
      <c r="AV1462" s="906"/>
      <c r="AW1462" s="906"/>
      <c r="AX1462" s="906"/>
      <c r="AY1462" s="906"/>
      <c r="AZ1462" s="906"/>
      <c r="BA1462" s="906"/>
      <c r="BB1462" s="907"/>
    </row>
    <row r="1463" spans="1:54" x14ac:dyDescent="0.25">
      <c r="A1463" s="13">
        <f t="shared" si="22"/>
        <v>1450</v>
      </c>
      <c r="B1463" s="914" t="str">
        <f>'refer admin discharge'!B1459</f>
        <v>x</v>
      </c>
      <c r="C1463" s="914"/>
      <c r="D1463" s="889" t="str">
        <f>'refer admin discharge'!D1459</f>
        <v>xx</v>
      </c>
      <c r="E1463" s="889"/>
      <c r="F1463" s="915" t="str">
        <f>'refer admin discharge'!H1459</f>
        <v>00/00/0000</v>
      </c>
      <c r="G1463" s="890"/>
      <c r="H1463" s="916"/>
      <c r="I1463" s="916"/>
      <c r="J1463" s="917"/>
      <c r="K1463" s="917"/>
      <c r="L1463" s="916"/>
      <c r="M1463" s="916"/>
      <c r="N1463" s="893"/>
      <c r="O1463" s="893"/>
      <c r="P1463" s="916"/>
      <c r="Q1463" s="916"/>
      <c r="R1463" s="893"/>
      <c r="S1463" s="893"/>
      <c r="T1463" s="916"/>
      <c r="U1463" s="916"/>
      <c r="V1463" s="921" t="str">
        <f>'refer admin discharge'!H1464</f>
        <v>00/00/0000</v>
      </c>
      <c r="W1463" s="922"/>
      <c r="X1463" s="912"/>
      <c r="Y1463" s="912"/>
      <c r="Z1463" s="924"/>
      <c r="AA1463" s="924"/>
      <c r="AB1463" s="912"/>
      <c r="AC1463" s="912"/>
      <c r="AD1463" s="913"/>
      <c r="AE1463" s="913"/>
      <c r="AF1463" s="912"/>
      <c r="AG1463" s="912"/>
      <c r="AH1463" s="913"/>
      <c r="AI1463" s="913"/>
      <c r="AJ1463" s="912"/>
      <c r="AK1463" s="912"/>
      <c r="AL1463" s="925"/>
      <c r="AM1463" s="926"/>
      <c r="AN1463" s="926"/>
      <c r="AO1463" s="926"/>
      <c r="AP1463" s="926"/>
      <c r="AQ1463" s="926"/>
      <c r="AR1463" s="926"/>
      <c r="AS1463" s="926"/>
      <c r="AT1463" s="926"/>
      <c r="AU1463" s="926"/>
      <c r="AV1463" s="926"/>
      <c r="AW1463" s="926"/>
      <c r="AX1463" s="926"/>
      <c r="AY1463" s="926"/>
      <c r="AZ1463" s="926"/>
      <c r="BA1463" s="926"/>
      <c r="BB1463" s="927"/>
    </row>
    <row r="1464" spans="1:54" x14ac:dyDescent="0.25">
      <c r="A1464" s="13">
        <f t="shared" si="22"/>
        <v>1451</v>
      </c>
      <c r="B1464" s="888" t="str">
        <f>'refer admin discharge'!B1460</f>
        <v>x</v>
      </c>
      <c r="C1464" s="888"/>
      <c r="D1464" s="868" t="str">
        <f>'refer admin discharge'!D1460</f>
        <v>xx</v>
      </c>
      <c r="E1464" s="868"/>
      <c r="F1464" s="891" t="str">
        <f>'refer admin discharge'!H1460</f>
        <v>00/00/0000</v>
      </c>
      <c r="G1464" s="892"/>
      <c r="H1464" s="894"/>
      <c r="I1464" s="894"/>
      <c r="J1464" s="918"/>
      <c r="K1464" s="918"/>
      <c r="L1464" s="894"/>
      <c r="M1464" s="894"/>
      <c r="N1464" s="916"/>
      <c r="O1464" s="916"/>
      <c r="P1464" s="894"/>
      <c r="Q1464" s="894"/>
      <c r="R1464" s="916"/>
      <c r="S1464" s="916"/>
      <c r="T1464" s="894"/>
      <c r="U1464" s="894"/>
      <c r="V1464" s="921" t="str">
        <f>'refer admin discharge'!H1465</f>
        <v>00/00/0000</v>
      </c>
      <c r="W1464" s="922"/>
      <c r="X1464" s="920"/>
      <c r="Y1464" s="920"/>
      <c r="Z1464" s="919"/>
      <c r="AA1464" s="919"/>
      <c r="AB1464" s="920"/>
      <c r="AC1464" s="920"/>
      <c r="AD1464" s="912"/>
      <c r="AE1464" s="912"/>
      <c r="AF1464" s="920"/>
      <c r="AG1464" s="920"/>
      <c r="AH1464" s="912"/>
      <c r="AI1464" s="912"/>
      <c r="AJ1464" s="920"/>
      <c r="AK1464" s="920"/>
      <c r="AL1464" s="905"/>
      <c r="AM1464" s="906"/>
      <c r="AN1464" s="906"/>
      <c r="AO1464" s="906"/>
      <c r="AP1464" s="906"/>
      <c r="AQ1464" s="906"/>
      <c r="AR1464" s="906"/>
      <c r="AS1464" s="906"/>
      <c r="AT1464" s="906"/>
      <c r="AU1464" s="906"/>
      <c r="AV1464" s="906"/>
      <c r="AW1464" s="906"/>
      <c r="AX1464" s="906"/>
      <c r="AY1464" s="906"/>
      <c r="AZ1464" s="906"/>
      <c r="BA1464" s="906"/>
      <c r="BB1464" s="907"/>
    </row>
    <row r="1465" spans="1:54" x14ac:dyDescent="0.25">
      <c r="A1465" s="13">
        <f t="shared" si="22"/>
        <v>1452</v>
      </c>
      <c r="B1465" s="914" t="str">
        <f>'refer admin discharge'!B1461</f>
        <v>x</v>
      </c>
      <c r="C1465" s="914"/>
      <c r="D1465" s="889" t="str">
        <f>'refer admin discharge'!D1461</f>
        <v>xx</v>
      </c>
      <c r="E1465" s="889"/>
      <c r="F1465" s="915" t="str">
        <f>'refer admin discharge'!H1461</f>
        <v>00/00/0000</v>
      </c>
      <c r="G1465" s="890"/>
      <c r="H1465" s="916"/>
      <c r="I1465" s="916"/>
      <c r="J1465" s="917"/>
      <c r="K1465" s="917"/>
      <c r="L1465" s="916"/>
      <c r="M1465" s="916"/>
      <c r="N1465" s="893"/>
      <c r="O1465" s="893"/>
      <c r="P1465" s="916"/>
      <c r="Q1465" s="916"/>
      <c r="R1465" s="893"/>
      <c r="S1465" s="893"/>
      <c r="T1465" s="916"/>
      <c r="U1465" s="916"/>
      <c r="V1465" s="921" t="str">
        <f>'refer admin discharge'!H1466</f>
        <v>00/00/0000</v>
      </c>
      <c r="W1465" s="922"/>
      <c r="X1465" s="912"/>
      <c r="Y1465" s="912"/>
      <c r="Z1465" s="924"/>
      <c r="AA1465" s="924"/>
      <c r="AB1465" s="912"/>
      <c r="AC1465" s="912"/>
      <c r="AD1465" s="913"/>
      <c r="AE1465" s="913"/>
      <c r="AF1465" s="912"/>
      <c r="AG1465" s="912"/>
      <c r="AH1465" s="913"/>
      <c r="AI1465" s="913"/>
      <c r="AJ1465" s="912"/>
      <c r="AK1465" s="912"/>
      <c r="AL1465" s="925"/>
      <c r="AM1465" s="926"/>
      <c r="AN1465" s="926"/>
      <c r="AO1465" s="926"/>
      <c r="AP1465" s="926"/>
      <c r="AQ1465" s="926"/>
      <c r="AR1465" s="926"/>
      <c r="AS1465" s="926"/>
      <c r="AT1465" s="926"/>
      <c r="AU1465" s="926"/>
      <c r="AV1465" s="926"/>
      <c r="AW1465" s="926"/>
      <c r="AX1465" s="926"/>
      <c r="AY1465" s="926"/>
      <c r="AZ1465" s="926"/>
      <c r="BA1465" s="926"/>
      <c r="BB1465" s="927"/>
    </row>
    <row r="1466" spans="1:54" x14ac:dyDescent="0.25">
      <c r="A1466" s="13">
        <f t="shared" si="22"/>
        <v>1453</v>
      </c>
      <c r="B1466" s="888" t="str">
        <f>'refer admin discharge'!B1462</f>
        <v>x</v>
      </c>
      <c r="C1466" s="888"/>
      <c r="D1466" s="868" t="str">
        <f>'refer admin discharge'!D1462</f>
        <v>xx</v>
      </c>
      <c r="E1466" s="868"/>
      <c r="F1466" s="891" t="str">
        <f>'refer admin discharge'!H1462</f>
        <v>00/00/0000</v>
      </c>
      <c r="G1466" s="892"/>
      <c r="H1466" s="894"/>
      <c r="I1466" s="894"/>
      <c r="J1466" s="918"/>
      <c r="K1466" s="918"/>
      <c r="L1466" s="894"/>
      <c r="M1466" s="894"/>
      <c r="N1466" s="916"/>
      <c r="O1466" s="916"/>
      <c r="P1466" s="894"/>
      <c r="Q1466" s="894"/>
      <c r="R1466" s="916"/>
      <c r="S1466" s="916"/>
      <c r="T1466" s="894"/>
      <c r="U1466" s="894"/>
      <c r="V1466" s="921" t="str">
        <f>'refer admin discharge'!H1467</f>
        <v>00/00/0000</v>
      </c>
      <c r="W1466" s="922"/>
      <c r="X1466" s="920"/>
      <c r="Y1466" s="920"/>
      <c r="Z1466" s="919"/>
      <c r="AA1466" s="919"/>
      <c r="AB1466" s="920"/>
      <c r="AC1466" s="920"/>
      <c r="AD1466" s="912"/>
      <c r="AE1466" s="912"/>
      <c r="AF1466" s="920"/>
      <c r="AG1466" s="920"/>
      <c r="AH1466" s="912"/>
      <c r="AI1466" s="912"/>
      <c r="AJ1466" s="920"/>
      <c r="AK1466" s="920"/>
      <c r="AL1466" s="905"/>
      <c r="AM1466" s="906"/>
      <c r="AN1466" s="906"/>
      <c r="AO1466" s="906"/>
      <c r="AP1466" s="906"/>
      <c r="AQ1466" s="906"/>
      <c r="AR1466" s="906"/>
      <c r="AS1466" s="906"/>
      <c r="AT1466" s="906"/>
      <c r="AU1466" s="906"/>
      <c r="AV1466" s="906"/>
      <c r="AW1466" s="906"/>
      <c r="AX1466" s="906"/>
      <c r="AY1466" s="906"/>
      <c r="AZ1466" s="906"/>
      <c r="BA1466" s="906"/>
      <c r="BB1466" s="907"/>
    </row>
    <row r="1467" spans="1:54" x14ac:dyDescent="0.25">
      <c r="A1467" s="13">
        <f t="shared" si="22"/>
        <v>1454</v>
      </c>
      <c r="B1467" s="914" t="str">
        <f>'refer admin discharge'!B1463</f>
        <v>x</v>
      </c>
      <c r="C1467" s="914"/>
      <c r="D1467" s="889" t="str">
        <f>'refer admin discharge'!D1463</f>
        <v>xx</v>
      </c>
      <c r="E1467" s="889"/>
      <c r="F1467" s="915" t="str">
        <f>'refer admin discharge'!H1463</f>
        <v>00/00/0000</v>
      </c>
      <c r="G1467" s="890"/>
      <c r="H1467" s="916"/>
      <c r="I1467" s="916"/>
      <c r="J1467" s="917"/>
      <c r="K1467" s="917"/>
      <c r="L1467" s="916"/>
      <c r="M1467" s="916"/>
      <c r="N1467" s="893"/>
      <c r="O1467" s="893"/>
      <c r="P1467" s="916"/>
      <c r="Q1467" s="916"/>
      <c r="R1467" s="893"/>
      <c r="S1467" s="893"/>
      <c r="T1467" s="916"/>
      <c r="U1467" s="916"/>
      <c r="V1467" s="921" t="str">
        <f>'refer admin discharge'!H1468</f>
        <v>00/00/0000</v>
      </c>
      <c r="W1467" s="922"/>
      <c r="X1467" s="912"/>
      <c r="Y1467" s="912"/>
      <c r="Z1467" s="924"/>
      <c r="AA1467" s="924"/>
      <c r="AB1467" s="912"/>
      <c r="AC1467" s="912"/>
      <c r="AD1467" s="913"/>
      <c r="AE1467" s="913"/>
      <c r="AF1467" s="912"/>
      <c r="AG1467" s="912"/>
      <c r="AH1467" s="913"/>
      <c r="AI1467" s="913"/>
      <c r="AJ1467" s="912"/>
      <c r="AK1467" s="912"/>
      <c r="AL1467" s="925"/>
      <c r="AM1467" s="926"/>
      <c r="AN1467" s="926"/>
      <c r="AO1467" s="926"/>
      <c r="AP1467" s="926"/>
      <c r="AQ1467" s="926"/>
      <c r="AR1467" s="926"/>
      <c r="AS1467" s="926"/>
      <c r="AT1467" s="926"/>
      <c r="AU1467" s="926"/>
      <c r="AV1467" s="926"/>
      <c r="AW1467" s="926"/>
      <c r="AX1467" s="926"/>
      <c r="AY1467" s="926"/>
      <c r="AZ1467" s="926"/>
      <c r="BA1467" s="926"/>
      <c r="BB1467" s="927"/>
    </row>
    <row r="1468" spans="1:54" x14ac:dyDescent="0.25">
      <c r="A1468" s="13">
        <f t="shared" si="22"/>
        <v>1455</v>
      </c>
      <c r="B1468" s="888" t="str">
        <f>'refer admin discharge'!B1464</f>
        <v>x</v>
      </c>
      <c r="C1468" s="888"/>
      <c r="D1468" s="868" t="str">
        <f>'refer admin discharge'!D1464</f>
        <v>xx</v>
      </c>
      <c r="E1468" s="868"/>
      <c r="F1468" s="891" t="str">
        <f>'refer admin discharge'!H1464</f>
        <v>00/00/0000</v>
      </c>
      <c r="G1468" s="892"/>
      <c r="H1468" s="894"/>
      <c r="I1468" s="894"/>
      <c r="J1468" s="918"/>
      <c r="K1468" s="918"/>
      <c r="L1468" s="894"/>
      <c r="M1468" s="894"/>
      <c r="N1468" s="916"/>
      <c r="O1468" s="916"/>
      <c r="P1468" s="894"/>
      <c r="Q1468" s="894"/>
      <c r="R1468" s="916"/>
      <c r="S1468" s="916"/>
      <c r="T1468" s="894"/>
      <c r="U1468" s="894"/>
      <c r="V1468" s="921" t="str">
        <f>'refer admin discharge'!H1469</f>
        <v>00/00/0000</v>
      </c>
      <c r="W1468" s="922"/>
      <c r="X1468" s="920"/>
      <c r="Y1468" s="920"/>
      <c r="Z1468" s="919"/>
      <c r="AA1468" s="919"/>
      <c r="AB1468" s="920"/>
      <c r="AC1468" s="920"/>
      <c r="AD1468" s="912"/>
      <c r="AE1468" s="912"/>
      <c r="AF1468" s="920"/>
      <c r="AG1468" s="920"/>
      <c r="AH1468" s="912"/>
      <c r="AI1468" s="912"/>
      <c r="AJ1468" s="920"/>
      <c r="AK1468" s="920"/>
      <c r="AL1468" s="905"/>
      <c r="AM1468" s="906"/>
      <c r="AN1468" s="906"/>
      <c r="AO1468" s="906"/>
      <c r="AP1468" s="906"/>
      <c r="AQ1468" s="906"/>
      <c r="AR1468" s="906"/>
      <c r="AS1468" s="906"/>
      <c r="AT1468" s="906"/>
      <c r="AU1468" s="906"/>
      <c r="AV1468" s="906"/>
      <c r="AW1468" s="906"/>
      <c r="AX1468" s="906"/>
      <c r="AY1468" s="906"/>
      <c r="AZ1468" s="906"/>
      <c r="BA1468" s="906"/>
      <c r="BB1468" s="907"/>
    </row>
    <row r="1469" spans="1:54" x14ac:dyDescent="0.25">
      <c r="A1469" s="13">
        <f t="shared" si="22"/>
        <v>1456</v>
      </c>
      <c r="B1469" s="914" t="str">
        <f>'refer admin discharge'!B1465</f>
        <v>x</v>
      </c>
      <c r="C1469" s="914"/>
      <c r="D1469" s="889" t="str">
        <f>'refer admin discharge'!D1465</f>
        <v>xx</v>
      </c>
      <c r="E1469" s="889"/>
      <c r="F1469" s="915" t="str">
        <f>'refer admin discharge'!H1465</f>
        <v>00/00/0000</v>
      </c>
      <c r="G1469" s="890"/>
      <c r="H1469" s="916"/>
      <c r="I1469" s="916"/>
      <c r="J1469" s="917"/>
      <c r="K1469" s="917"/>
      <c r="L1469" s="916"/>
      <c r="M1469" s="916"/>
      <c r="N1469" s="893"/>
      <c r="O1469" s="893"/>
      <c r="P1469" s="916"/>
      <c r="Q1469" s="916"/>
      <c r="R1469" s="893"/>
      <c r="S1469" s="893"/>
      <c r="T1469" s="916"/>
      <c r="U1469" s="916"/>
      <c r="V1469" s="921" t="str">
        <f>'refer admin discharge'!H1470</f>
        <v>00/00/0000</v>
      </c>
      <c r="W1469" s="922"/>
      <c r="X1469" s="912"/>
      <c r="Y1469" s="912"/>
      <c r="Z1469" s="924"/>
      <c r="AA1469" s="924"/>
      <c r="AB1469" s="912"/>
      <c r="AC1469" s="912"/>
      <c r="AD1469" s="913"/>
      <c r="AE1469" s="913"/>
      <c r="AF1469" s="912"/>
      <c r="AG1469" s="912"/>
      <c r="AH1469" s="913"/>
      <c r="AI1469" s="913"/>
      <c r="AJ1469" s="912"/>
      <c r="AK1469" s="912"/>
      <c r="AL1469" s="925"/>
      <c r="AM1469" s="926"/>
      <c r="AN1469" s="926"/>
      <c r="AO1469" s="926"/>
      <c r="AP1469" s="926"/>
      <c r="AQ1469" s="926"/>
      <c r="AR1469" s="926"/>
      <c r="AS1469" s="926"/>
      <c r="AT1469" s="926"/>
      <c r="AU1469" s="926"/>
      <c r="AV1469" s="926"/>
      <c r="AW1469" s="926"/>
      <c r="AX1469" s="926"/>
      <c r="AY1469" s="926"/>
      <c r="AZ1469" s="926"/>
      <c r="BA1469" s="926"/>
      <c r="BB1469" s="927"/>
    </row>
    <row r="1470" spans="1:54" x14ac:dyDescent="0.25">
      <c r="A1470" s="13">
        <f t="shared" si="22"/>
        <v>1457</v>
      </c>
      <c r="B1470" s="888" t="str">
        <f>'refer admin discharge'!B1466</f>
        <v>x</v>
      </c>
      <c r="C1470" s="888"/>
      <c r="D1470" s="868" t="str">
        <f>'refer admin discharge'!D1466</f>
        <v>xx</v>
      </c>
      <c r="E1470" s="868"/>
      <c r="F1470" s="891" t="str">
        <f>'refer admin discharge'!H1466</f>
        <v>00/00/0000</v>
      </c>
      <c r="G1470" s="892"/>
      <c r="H1470" s="894"/>
      <c r="I1470" s="894"/>
      <c r="J1470" s="918"/>
      <c r="K1470" s="918"/>
      <c r="L1470" s="894"/>
      <c r="M1470" s="894"/>
      <c r="N1470" s="916"/>
      <c r="O1470" s="916"/>
      <c r="P1470" s="894"/>
      <c r="Q1470" s="894"/>
      <c r="R1470" s="916"/>
      <c r="S1470" s="916"/>
      <c r="T1470" s="894"/>
      <c r="U1470" s="894"/>
      <c r="V1470" s="921" t="str">
        <f>'refer admin discharge'!H1471</f>
        <v>00/00/0000</v>
      </c>
      <c r="W1470" s="922"/>
      <c r="X1470" s="920"/>
      <c r="Y1470" s="920"/>
      <c r="Z1470" s="919"/>
      <c r="AA1470" s="919"/>
      <c r="AB1470" s="920"/>
      <c r="AC1470" s="920"/>
      <c r="AD1470" s="912"/>
      <c r="AE1470" s="912"/>
      <c r="AF1470" s="920"/>
      <c r="AG1470" s="920"/>
      <c r="AH1470" s="912"/>
      <c r="AI1470" s="912"/>
      <c r="AJ1470" s="920"/>
      <c r="AK1470" s="920"/>
      <c r="AL1470" s="905"/>
      <c r="AM1470" s="906"/>
      <c r="AN1470" s="906"/>
      <c r="AO1470" s="906"/>
      <c r="AP1470" s="906"/>
      <c r="AQ1470" s="906"/>
      <c r="AR1470" s="906"/>
      <c r="AS1470" s="906"/>
      <c r="AT1470" s="906"/>
      <c r="AU1470" s="906"/>
      <c r="AV1470" s="906"/>
      <c r="AW1470" s="906"/>
      <c r="AX1470" s="906"/>
      <c r="AY1470" s="906"/>
      <c r="AZ1470" s="906"/>
      <c r="BA1470" s="906"/>
      <c r="BB1470" s="907"/>
    </row>
    <row r="1471" spans="1:54" x14ac:dyDescent="0.25">
      <c r="A1471" s="13">
        <f t="shared" si="22"/>
        <v>1458</v>
      </c>
      <c r="B1471" s="914" t="str">
        <f>'refer admin discharge'!B1467</f>
        <v>x</v>
      </c>
      <c r="C1471" s="914"/>
      <c r="D1471" s="889" t="str">
        <f>'refer admin discharge'!D1467</f>
        <v>xx</v>
      </c>
      <c r="E1471" s="889"/>
      <c r="F1471" s="915" t="str">
        <f>'refer admin discharge'!H1467</f>
        <v>00/00/0000</v>
      </c>
      <c r="G1471" s="890"/>
      <c r="H1471" s="916"/>
      <c r="I1471" s="916"/>
      <c r="J1471" s="917"/>
      <c r="K1471" s="917"/>
      <c r="L1471" s="916"/>
      <c r="M1471" s="916"/>
      <c r="N1471" s="893"/>
      <c r="O1471" s="893"/>
      <c r="P1471" s="916"/>
      <c r="Q1471" s="916"/>
      <c r="R1471" s="893"/>
      <c r="S1471" s="893"/>
      <c r="T1471" s="916"/>
      <c r="U1471" s="916"/>
      <c r="V1471" s="921" t="str">
        <f>'refer admin discharge'!H1472</f>
        <v>00/00/0000</v>
      </c>
      <c r="W1471" s="922"/>
      <c r="X1471" s="912"/>
      <c r="Y1471" s="912"/>
      <c r="Z1471" s="924"/>
      <c r="AA1471" s="924"/>
      <c r="AB1471" s="912"/>
      <c r="AC1471" s="912"/>
      <c r="AD1471" s="913"/>
      <c r="AE1471" s="913"/>
      <c r="AF1471" s="912"/>
      <c r="AG1471" s="912"/>
      <c r="AH1471" s="913"/>
      <c r="AI1471" s="913"/>
      <c r="AJ1471" s="912"/>
      <c r="AK1471" s="912"/>
      <c r="AL1471" s="925"/>
      <c r="AM1471" s="926"/>
      <c r="AN1471" s="926"/>
      <c r="AO1471" s="926"/>
      <c r="AP1471" s="926"/>
      <c r="AQ1471" s="926"/>
      <c r="AR1471" s="926"/>
      <c r="AS1471" s="926"/>
      <c r="AT1471" s="926"/>
      <c r="AU1471" s="926"/>
      <c r="AV1471" s="926"/>
      <c r="AW1471" s="926"/>
      <c r="AX1471" s="926"/>
      <c r="AY1471" s="926"/>
      <c r="AZ1471" s="926"/>
      <c r="BA1471" s="926"/>
      <c r="BB1471" s="927"/>
    </row>
    <row r="1472" spans="1:54" x14ac:dyDescent="0.25">
      <c r="A1472" s="13">
        <f t="shared" si="22"/>
        <v>1459</v>
      </c>
      <c r="B1472" s="888" t="str">
        <f>'refer admin discharge'!B1468</f>
        <v>x</v>
      </c>
      <c r="C1472" s="888"/>
      <c r="D1472" s="868" t="str">
        <f>'refer admin discharge'!D1468</f>
        <v>xx</v>
      </c>
      <c r="E1472" s="868"/>
      <c r="F1472" s="891" t="str">
        <f>'refer admin discharge'!H1468</f>
        <v>00/00/0000</v>
      </c>
      <c r="G1472" s="892"/>
      <c r="H1472" s="894"/>
      <c r="I1472" s="894"/>
      <c r="J1472" s="918"/>
      <c r="K1472" s="918"/>
      <c r="L1472" s="894"/>
      <c r="M1472" s="894"/>
      <c r="N1472" s="916"/>
      <c r="O1472" s="916"/>
      <c r="P1472" s="894"/>
      <c r="Q1472" s="894"/>
      <c r="R1472" s="916"/>
      <c r="S1472" s="916"/>
      <c r="T1472" s="894"/>
      <c r="U1472" s="894"/>
      <c r="V1472" s="921" t="str">
        <f>'refer admin discharge'!H1473</f>
        <v>00/00/0000</v>
      </c>
      <c r="W1472" s="922"/>
      <c r="X1472" s="920"/>
      <c r="Y1472" s="920"/>
      <c r="Z1472" s="919"/>
      <c r="AA1472" s="919"/>
      <c r="AB1472" s="920"/>
      <c r="AC1472" s="920"/>
      <c r="AD1472" s="912"/>
      <c r="AE1472" s="912"/>
      <c r="AF1472" s="920"/>
      <c r="AG1472" s="920"/>
      <c r="AH1472" s="912"/>
      <c r="AI1472" s="912"/>
      <c r="AJ1472" s="920"/>
      <c r="AK1472" s="920"/>
      <c r="AL1472" s="905"/>
      <c r="AM1472" s="906"/>
      <c r="AN1472" s="906"/>
      <c r="AO1472" s="906"/>
      <c r="AP1472" s="906"/>
      <c r="AQ1472" s="906"/>
      <c r="AR1472" s="906"/>
      <c r="AS1472" s="906"/>
      <c r="AT1472" s="906"/>
      <c r="AU1472" s="906"/>
      <c r="AV1472" s="906"/>
      <c r="AW1472" s="906"/>
      <c r="AX1472" s="906"/>
      <c r="AY1472" s="906"/>
      <c r="AZ1472" s="906"/>
      <c r="BA1472" s="906"/>
      <c r="BB1472" s="907"/>
    </row>
    <row r="1473" spans="1:54" x14ac:dyDescent="0.25">
      <c r="A1473" s="13">
        <f t="shared" si="22"/>
        <v>1460</v>
      </c>
      <c r="B1473" s="914" t="str">
        <f>'refer admin discharge'!B1469</f>
        <v>x</v>
      </c>
      <c r="C1473" s="914"/>
      <c r="D1473" s="889" t="str">
        <f>'refer admin discharge'!D1469</f>
        <v>xx</v>
      </c>
      <c r="E1473" s="889"/>
      <c r="F1473" s="915" t="str">
        <f>'refer admin discharge'!H1469</f>
        <v>00/00/0000</v>
      </c>
      <c r="G1473" s="890"/>
      <c r="H1473" s="916"/>
      <c r="I1473" s="916"/>
      <c r="J1473" s="917"/>
      <c r="K1473" s="917"/>
      <c r="L1473" s="916"/>
      <c r="M1473" s="916"/>
      <c r="N1473" s="893"/>
      <c r="O1473" s="893"/>
      <c r="P1473" s="916"/>
      <c r="Q1473" s="916"/>
      <c r="R1473" s="893"/>
      <c r="S1473" s="893"/>
      <c r="T1473" s="916"/>
      <c r="U1473" s="916"/>
      <c r="V1473" s="921" t="str">
        <f>'refer admin discharge'!H1474</f>
        <v>00/00/0000</v>
      </c>
      <c r="W1473" s="922"/>
      <c r="X1473" s="912"/>
      <c r="Y1473" s="912"/>
      <c r="Z1473" s="924"/>
      <c r="AA1473" s="924"/>
      <c r="AB1473" s="912"/>
      <c r="AC1473" s="912"/>
      <c r="AD1473" s="913"/>
      <c r="AE1473" s="913"/>
      <c r="AF1473" s="912"/>
      <c r="AG1473" s="912"/>
      <c r="AH1473" s="913"/>
      <c r="AI1473" s="913"/>
      <c r="AJ1473" s="912"/>
      <c r="AK1473" s="912"/>
      <c r="AL1473" s="925"/>
      <c r="AM1473" s="926"/>
      <c r="AN1473" s="926"/>
      <c r="AO1473" s="926"/>
      <c r="AP1473" s="926"/>
      <c r="AQ1473" s="926"/>
      <c r="AR1473" s="926"/>
      <c r="AS1473" s="926"/>
      <c r="AT1473" s="926"/>
      <c r="AU1473" s="926"/>
      <c r="AV1473" s="926"/>
      <c r="AW1473" s="926"/>
      <c r="AX1473" s="926"/>
      <c r="AY1473" s="926"/>
      <c r="AZ1473" s="926"/>
      <c r="BA1473" s="926"/>
      <c r="BB1473" s="927"/>
    </row>
    <row r="1474" spans="1:54" x14ac:dyDescent="0.25">
      <c r="A1474" s="13">
        <f t="shared" si="22"/>
        <v>1461</v>
      </c>
      <c r="B1474" s="888" t="str">
        <f>'refer admin discharge'!B1470</f>
        <v>x</v>
      </c>
      <c r="C1474" s="888"/>
      <c r="D1474" s="868" t="str">
        <f>'refer admin discharge'!D1470</f>
        <v>xx</v>
      </c>
      <c r="E1474" s="868"/>
      <c r="F1474" s="891" t="str">
        <f>'refer admin discharge'!H1470</f>
        <v>00/00/0000</v>
      </c>
      <c r="G1474" s="892"/>
      <c r="H1474" s="894"/>
      <c r="I1474" s="894"/>
      <c r="J1474" s="918"/>
      <c r="K1474" s="918"/>
      <c r="L1474" s="894"/>
      <c r="M1474" s="894"/>
      <c r="N1474" s="916"/>
      <c r="O1474" s="916"/>
      <c r="P1474" s="894"/>
      <c r="Q1474" s="894"/>
      <c r="R1474" s="916"/>
      <c r="S1474" s="916"/>
      <c r="T1474" s="894"/>
      <c r="U1474" s="894"/>
      <c r="V1474" s="921" t="str">
        <f>'refer admin discharge'!H1475</f>
        <v>00/00/0000</v>
      </c>
      <c r="W1474" s="922"/>
      <c r="X1474" s="920"/>
      <c r="Y1474" s="920"/>
      <c r="Z1474" s="919"/>
      <c r="AA1474" s="919"/>
      <c r="AB1474" s="920"/>
      <c r="AC1474" s="920"/>
      <c r="AD1474" s="912"/>
      <c r="AE1474" s="912"/>
      <c r="AF1474" s="920"/>
      <c r="AG1474" s="920"/>
      <c r="AH1474" s="912"/>
      <c r="AI1474" s="912"/>
      <c r="AJ1474" s="920"/>
      <c r="AK1474" s="920"/>
      <c r="AL1474" s="905"/>
      <c r="AM1474" s="906"/>
      <c r="AN1474" s="906"/>
      <c r="AO1474" s="906"/>
      <c r="AP1474" s="906"/>
      <c r="AQ1474" s="906"/>
      <c r="AR1474" s="906"/>
      <c r="AS1474" s="906"/>
      <c r="AT1474" s="906"/>
      <c r="AU1474" s="906"/>
      <c r="AV1474" s="906"/>
      <c r="AW1474" s="906"/>
      <c r="AX1474" s="906"/>
      <c r="AY1474" s="906"/>
      <c r="AZ1474" s="906"/>
      <c r="BA1474" s="906"/>
      <c r="BB1474" s="907"/>
    </row>
    <row r="1475" spans="1:54" x14ac:dyDescent="0.25">
      <c r="A1475" s="13">
        <f t="shared" si="22"/>
        <v>1462</v>
      </c>
      <c r="B1475" s="914" t="str">
        <f>'refer admin discharge'!B1471</f>
        <v>x</v>
      </c>
      <c r="C1475" s="914"/>
      <c r="D1475" s="889" t="str">
        <f>'refer admin discharge'!D1471</f>
        <v>xx</v>
      </c>
      <c r="E1475" s="889"/>
      <c r="F1475" s="915" t="str">
        <f>'refer admin discharge'!H1471</f>
        <v>00/00/0000</v>
      </c>
      <c r="G1475" s="890"/>
      <c r="H1475" s="916"/>
      <c r="I1475" s="916"/>
      <c r="J1475" s="917"/>
      <c r="K1475" s="917"/>
      <c r="L1475" s="916"/>
      <c r="M1475" s="916"/>
      <c r="N1475" s="893"/>
      <c r="O1475" s="893"/>
      <c r="P1475" s="916"/>
      <c r="Q1475" s="916"/>
      <c r="R1475" s="893"/>
      <c r="S1475" s="893"/>
      <c r="T1475" s="916"/>
      <c r="U1475" s="916"/>
      <c r="V1475" s="921" t="str">
        <f>'refer admin discharge'!H1476</f>
        <v>00/00/0000</v>
      </c>
      <c r="W1475" s="922"/>
      <c r="X1475" s="912"/>
      <c r="Y1475" s="912"/>
      <c r="Z1475" s="924"/>
      <c r="AA1475" s="924"/>
      <c r="AB1475" s="912"/>
      <c r="AC1475" s="912"/>
      <c r="AD1475" s="913"/>
      <c r="AE1475" s="913"/>
      <c r="AF1475" s="912"/>
      <c r="AG1475" s="912"/>
      <c r="AH1475" s="913"/>
      <c r="AI1475" s="913"/>
      <c r="AJ1475" s="912"/>
      <c r="AK1475" s="912"/>
      <c r="AL1475" s="925"/>
      <c r="AM1475" s="926"/>
      <c r="AN1475" s="926"/>
      <c r="AO1475" s="926"/>
      <c r="AP1475" s="926"/>
      <c r="AQ1475" s="926"/>
      <c r="AR1475" s="926"/>
      <c r="AS1475" s="926"/>
      <c r="AT1475" s="926"/>
      <c r="AU1475" s="926"/>
      <c r="AV1475" s="926"/>
      <c r="AW1475" s="926"/>
      <c r="AX1475" s="926"/>
      <c r="AY1475" s="926"/>
      <c r="AZ1475" s="926"/>
      <c r="BA1475" s="926"/>
      <c r="BB1475" s="927"/>
    </row>
    <row r="1476" spans="1:54" x14ac:dyDescent="0.25">
      <c r="A1476" s="13">
        <f t="shared" si="22"/>
        <v>1463</v>
      </c>
      <c r="B1476" s="888" t="str">
        <f>'refer admin discharge'!B1472</f>
        <v>x</v>
      </c>
      <c r="C1476" s="888"/>
      <c r="D1476" s="868" t="str">
        <f>'refer admin discharge'!D1472</f>
        <v>xx</v>
      </c>
      <c r="E1476" s="868"/>
      <c r="F1476" s="891" t="str">
        <f>'refer admin discharge'!H1472</f>
        <v>00/00/0000</v>
      </c>
      <c r="G1476" s="892"/>
      <c r="H1476" s="894"/>
      <c r="I1476" s="894"/>
      <c r="J1476" s="918"/>
      <c r="K1476" s="918"/>
      <c r="L1476" s="894"/>
      <c r="M1476" s="894"/>
      <c r="N1476" s="916"/>
      <c r="O1476" s="916"/>
      <c r="P1476" s="894"/>
      <c r="Q1476" s="894"/>
      <c r="R1476" s="916"/>
      <c r="S1476" s="916"/>
      <c r="T1476" s="894"/>
      <c r="U1476" s="894"/>
      <c r="V1476" s="921" t="str">
        <f>'refer admin discharge'!H1477</f>
        <v>00/00/0000</v>
      </c>
      <c r="W1476" s="922"/>
      <c r="X1476" s="920"/>
      <c r="Y1476" s="920"/>
      <c r="Z1476" s="919"/>
      <c r="AA1476" s="919"/>
      <c r="AB1476" s="920"/>
      <c r="AC1476" s="920"/>
      <c r="AD1476" s="912"/>
      <c r="AE1476" s="912"/>
      <c r="AF1476" s="920"/>
      <c r="AG1476" s="920"/>
      <c r="AH1476" s="912"/>
      <c r="AI1476" s="912"/>
      <c r="AJ1476" s="920"/>
      <c r="AK1476" s="920"/>
      <c r="AL1476" s="905"/>
      <c r="AM1476" s="906"/>
      <c r="AN1476" s="906"/>
      <c r="AO1476" s="906"/>
      <c r="AP1476" s="906"/>
      <c r="AQ1476" s="906"/>
      <c r="AR1476" s="906"/>
      <c r="AS1476" s="906"/>
      <c r="AT1476" s="906"/>
      <c r="AU1476" s="906"/>
      <c r="AV1476" s="906"/>
      <c r="AW1476" s="906"/>
      <c r="AX1476" s="906"/>
      <c r="AY1476" s="906"/>
      <c r="AZ1476" s="906"/>
      <c r="BA1476" s="906"/>
      <c r="BB1476" s="907"/>
    </row>
    <row r="1477" spans="1:54" x14ac:dyDescent="0.25">
      <c r="A1477" s="13">
        <f t="shared" si="22"/>
        <v>1464</v>
      </c>
      <c r="B1477" s="914" t="str">
        <f>'refer admin discharge'!B1473</f>
        <v>x</v>
      </c>
      <c r="C1477" s="914"/>
      <c r="D1477" s="889" t="str">
        <f>'refer admin discharge'!D1473</f>
        <v>xx</v>
      </c>
      <c r="E1477" s="889"/>
      <c r="F1477" s="915" t="str">
        <f>'refer admin discharge'!H1473</f>
        <v>00/00/0000</v>
      </c>
      <c r="G1477" s="890"/>
      <c r="H1477" s="916"/>
      <c r="I1477" s="916"/>
      <c r="J1477" s="917"/>
      <c r="K1477" s="917"/>
      <c r="L1477" s="916"/>
      <c r="M1477" s="916"/>
      <c r="N1477" s="893"/>
      <c r="O1477" s="893"/>
      <c r="P1477" s="916"/>
      <c r="Q1477" s="916"/>
      <c r="R1477" s="893"/>
      <c r="S1477" s="893"/>
      <c r="T1477" s="916"/>
      <c r="U1477" s="916"/>
      <c r="V1477" s="921" t="str">
        <f>'refer admin discharge'!H1478</f>
        <v>00/00/0000</v>
      </c>
      <c r="W1477" s="922"/>
      <c r="X1477" s="912"/>
      <c r="Y1477" s="912"/>
      <c r="Z1477" s="924"/>
      <c r="AA1477" s="924"/>
      <c r="AB1477" s="912"/>
      <c r="AC1477" s="912"/>
      <c r="AD1477" s="913"/>
      <c r="AE1477" s="913"/>
      <c r="AF1477" s="912"/>
      <c r="AG1477" s="912"/>
      <c r="AH1477" s="913"/>
      <c r="AI1477" s="913"/>
      <c r="AJ1477" s="912"/>
      <c r="AK1477" s="912"/>
      <c r="AL1477" s="925"/>
      <c r="AM1477" s="926"/>
      <c r="AN1477" s="926"/>
      <c r="AO1477" s="926"/>
      <c r="AP1477" s="926"/>
      <c r="AQ1477" s="926"/>
      <c r="AR1477" s="926"/>
      <c r="AS1477" s="926"/>
      <c r="AT1477" s="926"/>
      <c r="AU1477" s="926"/>
      <c r="AV1477" s="926"/>
      <c r="AW1477" s="926"/>
      <c r="AX1477" s="926"/>
      <c r="AY1477" s="926"/>
      <c r="AZ1477" s="926"/>
      <c r="BA1477" s="926"/>
      <c r="BB1477" s="927"/>
    </row>
    <row r="1478" spans="1:54" x14ac:dyDescent="0.25">
      <c r="A1478" s="13">
        <f t="shared" si="22"/>
        <v>1465</v>
      </c>
      <c r="B1478" s="888" t="str">
        <f>'refer admin discharge'!B1474</f>
        <v>x</v>
      </c>
      <c r="C1478" s="888"/>
      <c r="D1478" s="868" t="str">
        <f>'refer admin discharge'!D1474</f>
        <v>xx</v>
      </c>
      <c r="E1478" s="868"/>
      <c r="F1478" s="891" t="str">
        <f>'refer admin discharge'!H1474</f>
        <v>00/00/0000</v>
      </c>
      <c r="G1478" s="892"/>
      <c r="H1478" s="894"/>
      <c r="I1478" s="894"/>
      <c r="J1478" s="918"/>
      <c r="K1478" s="918"/>
      <c r="L1478" s="894"/>
      <c r="M1478" s="894"/>
      <c r="N1478" s="916"/>
      <c r="O1478" s="916"/>
      <c r="P1478" s="894"/>
      <c r="Q1478" s="894"/>
      <c r="R1478" s="916"/>
      <c r="S1478" s="916"/>
      <c r="T1478" s="894"/>
      <c r="U1478" s="894"/>
      <c r="V1478" s="921" t="str">
        <f>'refer admin discharge'!H1479</f>
        <v>00/00/0000</v>
      </c>
      <c r="W1478" s="922"/>
      <c r="X1478" s="920"/>
      <c r="Y1478" s="920"/>
      <c r="Z1478" s="919"/>
      <c r="AA1478" s="919"/>
      <c r="AB1478" s="920"/>
      <c r="AC1478" s="920"/>
      <c r="AD1478" s="912"/>
      <c r="AE1478" s="912"/>
      <c r="AF1478" s="920"/>
      <c r="AG1478" s="920"/>
      <c r="AH1478" s="912"/>
      <c r="AI1478" s="912"/>
      <c r="AJ1478" s="920"/>
      <c r="AK1478" s="920"/>
      <c r="AL1478" s="905"/>
      <c r="AM1478" s="906"/>
      <c r="AN1478" s="906"/>
      <c r="AO1478" s="906"/>
      <c r="AP1478" s="906"/>
      <c r="AQ1478" s="906"/>
      <c r="AR1478" s="906"/>
      <c r="AS1478" s="906"/>
      <c r="AT1478" s="906"/>
      <c r="AU1478" s="906"/>
      <c r="AV1478" s="906"/>
      <c r="AW1478" s="906"/>
      <c r="AX1478" s="906"/>
      <c r="AY1478" s="906"/>
      <c r="AZ1478" s="906"/>
      <c r="BA1478" s="906"/>
      <c r="BB1478" s="907"/>
    </row>
    <row r="1479" spans="1:54" x14ac:dyDescent="0.25">
      <c r="A1479" s="13">
        <f t="shared" si="22"/>
        <v>1466</v>
      </c>
      <c r="B1479" s="914" t="str">
        <f>'refer admin discharge'!B1475</f>
        <v>x</v>
      </c>
      <c r="C1479" s="914"/>
      <c r="D1479" s="889" t="str">
        <f>'refer admin discharge'!D1475</f>
        <v>xx</v>
      </c>
      <c r="E1479" s="889"/>
      <c r="F1479" s="915" t="str">
        <f>'refer admin discharge'!H1475</f>
        <v>00/00/0000</v>
      </c>
      <c r="G1479" s="890"/>
      <c r="H1479" s="916"/>
      <c r="I1479" s="916"/>
      <c r="J1479" s="917"/>
      <c r="K1479" s="917"/>
      <c r="L1479" s="916"/>
      <c r="M1479" s="916"/>
      <c r="N1479" s="893"/>
      <c r="O1479" s="893"/>
      <c r="P1479" s="916"/>
      <c r="Q1479" s="916"/>
      <c r="R1479" s="893"/>
      <c r="S1479" s="893"/>
      <c r="T1479" s="916"/>
      <c r="U1479" s="916"/>
      <c r="V1479" s="921" t="str">
        <f>'refer admin discharge'!H1480</f>
        <v>00/00/0000</v>
      </c>
      <c r="W1479" s="922"/>
      <c r="X1479" s="912"/>
      <c r="Y1479" s="912"/>
      <c r="Z1479" s="924"/>
      <c r="AA1479" s="924"/>
      <c r="AB1479" s="912"/>
      <c r="AC1479" s="912"/>
      <c r="AD1479" s="913"/>
      <c r="AE1479" s="913"/>
      <c r="AF1479" s="912"/>
      <c r="AG1479" s="912"/>
      <c r="AH1479" s="913"/>
      <c r="AI1479" s="913"/>
      <c r="AJ1479" s="912"/>
      <c r="AK1479" s="912"/>
      <c r="AL1479" s="925"/>
      <c r="AM1479" s="926"/>
      <c r="AN1479" s="926"/>
      <c r="AO1479" s="926"/>
      <c r="AP1479" s="926"/>
      <c r="AQ1479" s="926"/>
      <c r="AR1479" s="926"/>
      <c r="AS1479" s="926"/>
      <c r="AT1479" s="926"/>
      <c r="AU1479" s="926"/>
      <c r="AV1479" s="926"/>
      <c r="AW1479" s="926"/>
      <c r="AX1479" s="926"/>
      <c r="AY1479" s="926"/>
      <c r="AZ1479" s="926"/>
      <c r="BA1479" s="926"/>
      <c r="BB1479" s="927"/>
    </row>
    <row r="1480" spans="1:54" x14ac:dyDescent="0.25">
      <c r="A1480" s="13">
        <f t="shared" si="22"/>
        <v>1467</v>
      </c>
      <c r="B1480" s="888" t="str">
        <f>'refer admin discharge'!B1476</f>
        <v>x</v>
      </c>
      <c r="C1480" s="888"/>
      <c r="D1480" s="868" t="str">
        <f>'refer admin discharge'!D1476</f>
        <v>xx</v>
      </c>
      <c r="E1480" s="868"/>
      <c r="F1480" s="891" t="str">
        <f>'refer admin discharge'!H1476</f>
        <v>00/00/0000</v>
      </c>
      <c r="G1480" s="892"/>
      <c r="H1480" s="894"/>
      <c r="I1480" s="894"/>
      <c r="J1480" s="918"/>
      <c r="K1480" s="918"/>
      <c r="L1480" s="894"/>
      <c r="M1480" s="894"/>
      <c r="N1480" s="916"/>
      <c r="O1480" s="916"/>
      <c r="P1480" s="894"/>
      <c r="Q1480" s="894"/>
      <c r="R1480" s="916"/>
      <c r="S1480" s="916"/>
      <c r="T1480" s="894"/>
      <c r="U1480" s="894"/>
      <c r="V1480" s="921" t="str">
        <f>'refer admin discharge'!H1481</f>
        <v>00/00/0000</v>
      </c>
      <c r="W1480" s="922"/>
      <c r="X1480" s="920"/>
      <c r="Y1480" s="920"/>
      <c r="Z1480" s="919"/>
      <c r="AA1480" s="919"/>
      <c r="AB1480" s="920"/>
      <c r="AC1480" s="920"/>
      <c r="AD1480" s="912"/>
      <c r="AE1480" s="912"/>
      <c r="AF1480" s="920"/>
      <c r="AG1480" s="920"/>
      <c r="AH1480" s="912"/>
      <c r="AI1480" s="912"/>
      <c r="AJ1480" s="920"/>
      <c r="AK1480" s="920"/>
      <c r="AL1480" s="905"/>
      <c r="AM1480" s="906"/>
      <c r="AN1480" s="906"/>
      <c r="AO1480" s="906"/>
      <c r="AP1480" s="906"/>
      <c r="AQ1480" s="906"/>
      <c r="AR1480" s="906"/>
      <c r="AS1480" s="906"/>
      <c r="AT1480" s="906"/>
      <c r="AU1480" s="906"/>
      <c r="AV1480" s="906"/>
      <c r="AW1480" s="906"/>
      <c r="AX1480" s="906"/>
      <c r="AY1480" s="906"/>
      <c r="AZ1480" s="906"/>
      <c r="BA1480" s="906"/>
      <c r="BB1480" s="907"/>
    </row>
    <row r="1481" spans="1:54" x14ac:dyDescent="0.25">
      <c r="A1481" s="13">
        <f t="shared" si="22"/>
        <v>1468</v>
      </c>
      <c r="B1481" s="914" t="str">
        <f>'refer admin discharge'!B1477</f>
        <v>x</v>
      </c>
      <c r="C1481" s="914"/>
      <c r="D1481" s="889" t="str">
        <f>'refer admin discharge'!D1477</f>
        <v>xx</v>
      </c>
      <c r="E1481" s="889"/>
      <c r="F1481" s="915" t="str">
        <f>'refer admin discharge'!H1477</f>
        <v>00/00/0000</v>
      </c>
      <c r="G1481" s="890"/>
      <c r="H1481" s="916"/>
      <c r="I1481" s="916"/>
      <c r="J1481" s="917"/>
      <c r="K1481" s="917"/>
      <c r="L1481" s="916"/>
      <c r="M1481" s="916"/>
      <c r="N1481" s="893"/>
      <c r="O1481" s="893"/>
      <c r="P1481" s="916"/>
      <c r="Q1481" s="916"/>
      <c r="R1481" s="893"/>
      <c r="S1481" s="893"/>
      <c r="T1481" s="916"/>
      <c r="U1481" s="916"/>
      <c r="V1481" s="921" t="str">
        <f>'refer admin discharge'!H1482</f>
        <v>00/00/0000</v>
      </c>
      <c r="W1481" s="922"/>
      <c r="X1481" s="912"/>
      <c r="Y1481" s="912"/>
      <c r="Z1481" s="924"/>
      <c r="AA1481" s="924"/>
      <c r="AB1481" s="912"/>
      <c r="AC1481" s="912"/>
      <c r="AD1481" s="913"/>
      <c r="AE1481" s="913"/>
      <c r="AF1481" s="912"/>
      <c r="AG1481" s="912"/>
      <c r="AH1481" s="913"/>
      <c r="AI1481" s="913"/>
      <c r="AJ1481" s="912"/>
      <c r="AK1481" s="912"/>
      <c r="AL1481" s="925"/>
      <c r="AM1481" s="926"/>
      <c r="AN1481" s="926"/>
      <c r="AO1481" s="926"/>
      <c r="AP1481" s="926"/>
      <c r="AQ1481" s="926"/>
      <c r="AR1481" s="926"/>
      <c r="AS1481" s="926"/>
      <c r="AT1481" s="926"/>
      <c r="AU1481" s="926"/>
      <c r="AV1481" s="926"/>
      <c r="AW1481" s="926"/>
      <c r="AX1481" s="926"/>
      <c r="AY1481" s="926"/>
      <c r="AZ1481" s="926"/>
      <c r="BA1481" s="926"/>
      <c r="BB1481" s="927"/>
    </row>
    <row r="1482" spans="1:54" x14ac:dyDescent="0.25">
      <c r="A1482" s="13">
        <f t="shared" si="22"/>
        <v>1469</v>
      </c>
      <c r="B1482" s="888" t="str">
        <f>'refer admin discharge'!B1478</f>
        <v>x</v>
      </c>
      <c r="C1482" s="888"/>
      <c r="D1482" s="868" t="str">
        <f>'refer admin discharge'!D1478</f>
        <v>xx</v>
      </c>
      <c r="E1482" s="868"/>
      <c r="F1482" s="891" t="str">
        <f>'refer admin discharge'!H1478</f>
        <v>00/00/0000</v>
      </c>
      <c r="G1482" s="892"/>
      <c r="H1482" s="894"/>
      <c r="I1482" s="894"/>
      <c r="J1482" s="918"/>
      <c r="K1482" s="918"/>
      <c r="L1482" s="894"/>
      <c r="M1482" s="894"/>
      <c r="N1482" s="916"/>
      <c r="O1482" s="916"/>
      <c r="P1482" s="894"/>
      <c r="Q1482" s="894"/>
      <c r="R1482" s="916"/>
      <c r="S1482" s="916"/>
      <c r="T1482" s="894"/>
      <c r="U1482" s="894"/>
      <c r="V1482" s="921" t="str">
        <f>'refer admin discharge'!H1483</f>
        <v>00/00/0000</v>
      </c>
      <c r="W1482" s="922"/>
      <c r="X1482" s="920"/>
      <c r="Y1482" s="920"/>
      <c r="Z1482" s="919"/>
      <c r="AA1482" s="919"/>
      <c r="AB1482" s="920"/>
      <c r="AC1482" s="920"/>
      <c r="AD1482" s="912"/>
      <c r="AE1482" s="912"/>
      <c r="AF1482" s="920"/>
      <c r="AG1482" s="920"/>
      <c r="AH1482" s="912"/>
      <c r="AI1482" s="912"/>
      <c r="AJ1482" s="920"/>
      <c r="AK1482" s="920"/>
      <c r="AL1482" s="905"/>
      <c r="AM1482" s="906"/>
      <c r="AN1482" s="906"/>
      <c r="AO1482" s="906"/>
      <c r="AP1482" s="906"/>
      <c r="AQ1482" s="906"/>
      <c r="AR1482" s="906"/>
      <c r="AS1482" s="906"/>
      <c r="AT1482" s="906"/>
      <c r="AU1482" s="906"/>
      <c r="AV1482" s="906"/>
      <c r="AW1482" s="906"/>
      <c r="AX1482" s="906"/>
      <c r="AY1482" s="906"/>
      <c r="AZ1482" s="906"/>
      <c r="BA1482" s="906"/>
      <c r="BB1482" s="907"/>
    </row>
    <row r="1483" spans="1:54" x14ac:dyDescent="0.25">
      <c r="A1483" s="13">
        <f t="shared" si="22"/>
        <v>1470</v>
      </c>
      <c r="B1483" s="914" t="str">
        <f>'refer admin discharge'!B1479</f>
        <v>x</v>
      </c>
      <c r="C1483" s="914"/>
      <c r="D1483" s="889" t="str">
        <f>'refer admin discharge'!D1479</f>
        <v>xx</v>
      </c>
      <c r="E1483" s="889"/>
      <c r="F1483" s="915" t="str">
        <f>'refer admin discharge'!H1479</f>
        <v>00/00/0000</v>
      </c>
      <c r="G1483" s="890"/>
      <c r="H1483" s="916"/>
      <c r="I1483" s="916"/>
      <c r="J1483" s="917"/>
      <c r="K1483" s="917"/>
      <c r="L1483" s="916"/>
      <c r="M1483" s="916"/>
      <c r="N1483" s="893"/>
      <c r="O1483" s="893"/>
      <c r="P1483" s="916"/>
      <c r="Q1483" s="916"/>
      <c r="R1483" s="893"/>
      <c r="S1483" s="893"/>
      <c r="T1483" s="916"/>
      <c r="U1483" s="916"/>
      <c r="V1483" s="921" t="str">
        <f>'refer admin discharge'!H1484</f>
        <v>00/00/0000</v>
      </c>
      <c r="W1483" s="922"/>
      <c r="X1483" s="912"/>
      <c r="Y1483" s="912"/>
      <c r="Z1483" s="924"/>
      <c r="AA1483" s="924"/>
      <c r="AB1483" s="912"/>
      <c r="AC1483" s="912"/>
      <c r="AD1483" s="913"/>
      <c r="AE1483" s="913"/>
      <c r="AF1483" s="912"/>
      <c r="AG1483" s="912"/>
      <c r="AH1483" s="913"/>
      <c r="AI1483" s="913"/>
      <c r="AJ1483" s="912"/>
      <c r="AK1483" s="912"/>
      <c r="AL1483" s="925"/>
      <c r="AM1483" s="926"/>
      <c r="AN1483" s="926"/>
      <c r="AO1483" s="926"/>
      <c r="AP1483" s="926"/>
      <c r="AQ1483" s="926"/>
      <c r="AR1483" s="926"/>
      <c r="AS1483" s="926"/>
      <c r="AT1483" s="926"/>
      <c r="AU1483" s="926"/>
      <c r="AV1483" s="926"/>
      <c r="AW1483" s="926"/>
      <c r="AX1483" s="926"/>
      <c r="AY1483" s="926"/>
      <c r="AZ1483" s="926"/>
      <c r="BA1483" s="926"/>
      <c r="BB1483" s="927"/>
    </row>
    <row r="1484" spans="1:54" x14ac:dyDescent="0.25">
      <c r="A1484" s="13">
        <f t="shared" si="22"/>
        <v>1471</v>
      </c>
      <c r="B1484" s="888" t="str">
        <f>'refer admin discharge'!B1480</f>
        <v>x</v>
      </c>
      <c r="C1484" s="888"/>
      <c r="D1484" s="868" t="str">
        <f>'refer admin discharge'!D1480</f>
        <v>xx</v>
      </c>
      <c r="E1484" s="868"/>
      <c r="F1484" s="891" t="str">
        <f>'refer admin discharge'!H1480</f>
        <v>00/00/0000</v>
      </c>
      <c r="G1484" s="892"/>
      <c r="H1484" s="894"/>
      <c r="I1484" s="894"/>
      <c r="J1484" s="918"/>
      <c r="K1484" s="918"/>
      <c r="L1484" s="894"/>
      <c r="M1484" s="894"/>
      <c r="N1484" s="916"/>
      <c r="O1484" s="916"/>
      <c r="P1484" s="894"/>
      <c r="Q1484" s="894"/>
      <c r="R1484" s="916"/>
      <c r="S1484" s="916"/>
      <c r="T1484" s="894"/>
      <c r="U1484" s="894"/>
      <c r="V1484" s="921" t="str">
        <f>'refer admin discharge'!H1485</f>
        <v>00/00/0000</v>
      </c>
      <c r="W1484" s="922"/>
      <c r="X1484" s="920"/>
      <c r="Y1484" s="920"/>
      <c r="Z1484" s="919"/>
      <c r="AA1484" s="919"/>
      <c r="AB1484" s="920"/>
      <c r="AC1484" s="920"/>
      <c r="AD1484" s="912"/>
      <c r="AE1484" s="912"/>
      <c r="AF1484" s="920"/>
      <c r="AG1484" s="920"/>
      <c r="AH1484" s="912"/>
      <c r="AI1484" s="912"/>
      <c r="AJ1484" s="920"/>
      <c r="AK1484" s="920"/>
      <c r="AL1484" s="905"/>
      <c r="AM1484" s="906"/>
      <c r="AN1484" s="906"/>
      <c r="AO1484" s="906"/>
      <c r="AP1484" s="906"/>
      <c r="AQ1484" s="906"/>
      <c r="AR1484" s="906"/>
      <c r="AS1484" s="906"/>
      <c r="AT1484" s="906"/>
      <c r="AU1484" s="906"/>
      <c r="AV1484" s="906"/>
      <c r="AW1484" s="906"/>
      <c r="AX1484" s="906"/>
      <c r="AY1484" s="906"/>
      <c r="AZ1484" s="906"/>
      <c r="BA1484" s="906"/>
      <c r="BB1484" s="907"/>
    </row>
    <row r="1485" spans="1:54" x14ac:dyDescent="0.25">
      <c r="A1485" s="13">
        <f t="shared" si="22"/>
        <v>1472</v>
      </c>
      <c r="B1485" s="914" t="str">
        <f>'refer admin discharge'!B1481</f>
        <v>x</v>
      </c>
      <c r="C1485" s="914"/>
      <c r="D1485" s="889" t="str">
        <f>'refer admin discharge'!D1481</f>
        <v>xx</v>
      </c>
      <c r="E1485" s="889"/>
      <c r="F1485" s="915" t="str">
        <f>'refer admin discharge'!H1481</f>
        <v>00/00/0000</v>
      </c>
      <c r="G1485" s="890"/>
      <c r="H1485" s="916"/>
      <c r="I1485" s="916"/>
      <c r="J1485" s="917"/>
      <c r="K1485" s="917"/>
      <c r="L1485" s="916"/>
      <c r="M1485" s="916"/>
      <c r="N1485" s="893"/>
      <c r="O1485" s="893"/>
      <c r="P1485" s="916"/>
      <c r="Q1485" s="916"/>
      <c r="R1485" s="893"/>
      <c r="S1485" s="893"/>
      <c r="T1485" s="916"/>
      <c r="U1485" s="916"/>
      <c r="V1485" s="921" t="str">
        <f>'refer admin discharge'!H1486</f>
        <v>00/00/0000</v>
      </c>
      <c r="W1485" s="922"/>
      <c r="X1485" s="912"/>
      <c r="Y1485" s="912"/>
      <c r="Z1485" s="924"/>
      <c r="AA1485" s="924"/>
      <c r="AB1485" s="912"/>
      <c r="AC1485" s="912"/>
      <c r="AD1485" s="913"/>
      <c r="AE1485" s="913"/>
      <c r="AF1485" s="912"/>
      <c r="AG1485" s="912"/>
      <c r="AH1485" s="913"/>
      <c r="AI1485" s="913"/>
      <c r="AJ1485" s="912"/>
      <c r="AK1485" s="912"/>
      <c r="AL1485" s="925"/>
      <c r="AM1485" s="926"/>
      <c r="AN1485" s="926"/>
      <c r="AO1485" s="926"/>
      <c r="AP1485" s="926"/>
      <c r="AQ1485" s="926"/>
      <c r="AR1485" s="926"/>
      <c r="AS1485" s="926"/>
      <c r="AT1485" s="926"/>
      <c r="AU1485" s="926"/>
      <c r="AV1485" s="926"/>
      <c r="AW1485" s="926"/>
      <c r="AX1485" s="926"/>
      <c r="AY1485" s="926"/>
      <c r="AZ1485" s="926"/>
      <c r="BA1485" s="926"/>
      <c r="BB1485" s="927"/>
    </row>
    <row r="1486" spans="1:54" x14ac:dyDescent="0.25">
      <c r="A1486" s="13">
        <f t="shared" ref="A1486:A1549" si="23">ROW(A1473)</f>
        <v>1473</v>
      </c>
      <c r="B1486" s="888" t="str">
        <f>'refer admin discharge'!B1482</f>
        <v>x</v>
      </c>
      <c r="C1486" s="888"/>
      <c r="D1486" s="868" t="str">
        <f>'refer admin discharge'!D1482</f>
        <v>xx</v>
      </c>
      <c r="E1486" s="868"/>
      <c r="F1486" s="891" t="str">
        <f>'refer admin discharge'!H1482</f>
        <v>00/00/0000</v>
      </c>
      <c r="G1486" s="892"/>
      <c r="H1486" s="894"/>
      <c r="I1486" s="894"/>
      <c r="J1486" s="918"/>
      <c r="K1486" s="918"/>
      <c r="L1486" s="894"/>
      <c r="M1486" s="894"/>
      <c r="N1486" s="916"/>
      <c r="O1486" s="916"/>
      <c r="P1486" s="894"/>
      <c r="Q1486" s="894"/>
      <c r="R1486" s="916"/>
      <c r="S1486" s="916"/>
      <c r="T1486" s="894"/>
      <c r="U1486" s="894"/>
      <c r="V1486" s="921" t="str">
        <f>'refer admin discharge'!H1487</f>
        <v>00/00/0000</v>
      </c>
      <c r="W1486" s="922"/>
      <c r="X1486" s="920"/>
      <c r="Y1486" s="920"/>
      <c r="Z1486" s="919"/>
      <c r="AA1486" s="919"/>
      <c r="AB1486" s="920"/>
      <c r="AC1486" s="920"/>
      <c r="AD1486" s="912"/>
      <c r="AE1486" s="912"/>
      <c r="AF1486" s="920"/>
      <c r="AG1486" s="920"/>
      <c r="AH1486" s="912"/>
      <c r="AI1486" s="912"/>
      <c r="AJ1486" s="920"/>
      <c r="AK1486" s="920"/>
      <c r="AL1486" s="905"/>
      <c r="AM1486" s="906"/>
      <c r="AN1486" s="906"/>
      <c r="AO1486" s="906"/>
      <c r="AP1486" s="906"/>
      <c r="AQ1486" s="906"/>
      <c r="AR1486" s="906"/>
      <c r="AS1486" s="906"/>
      <c r="AT1486" s="906"/>
      <c r="AU1486" s="906"/>
      <c r="AV1486" s="906"/>
      <c r="AW1486" s="906"/>
      <c r="AX1486" s="906"/>
      <c r="AY1486" s="906"/>
      <c r="AZ1486" s="906"/>
      <c r="BA1486" s="906"/>
      <c r="BB1486" s="907"/>
    </row>
    <row r="1487" spans="1:54" x14ac:dyDescent="0.25">
      <c r="A1487" s="13">
        <f t="shared" si="23"/>
        <v>1474</v>
      </c>
      <c r="B1487" s="914" t="str">
        <f>'refer admin discharge'!B1483</f>
        <v>x</v>
      </c>
      <c r="C1487" s="914"/>
      <c r="D1487" s="889" t="str">
        <f>'refer admin discharge'!D1483</f>
        <v>xx</v>
      </c>
      <c r="E1487" s="889"/>
      <c r="F1487" s="915" t="str">
        <f>'refer admin discharge'!H1483</f>
        <v>00/00/0000</v>
      </c>
      <c r="G1487" s="890"/>
      <c r="H1487" s="916"/>
      <c r="I1487" s="916"/>
      <c r="J1487" s="917"/>
      <c r="K1487" s="917"/>
      <c r="L1487" s="916"/>
      <c r="M1487" s="916"/>
      <c r="N1487" s="893"/>
      <c r="O1487" s="893"/>
      <c r="P1487" s="916"/>
      <c r="Q1487" s="916"/>
      <c r="R1487" s="893"/>
      <c r="S1487" s="893"/>
      <c r="T1487" s="916"/>
      <c r="U1487" s="916"/>
      <c r="V1487" s="921" t="str">
        <f>'refer admin discharge'!H1488</f>
        <v>00/00/0000</v>
      </c>
      <c r="W1487" s="922"/>
      <c r="X1487" s="912"/>
      <c r="Y1487" s="912"/>
      <c r="Z1487" s="924"/>
      <c r="AA1487" s="924"/>
      <c r="AB1487" s="912"/>
      <c r="AC1487" s="912"/>
      <c r="AD1487" s="913"/>
      <c r="AE1487" s="913"/>
      <c r="AF1487" s="912"/>
      <c r="AG1487" s="912"/>
      <c r="AH1487" s="913"/>
      <c r="AI1487" s="913"/>
      <c r="AJ1487" s="912"/>
      <c r="AK1487" s="912"/>
      <c r="AL1487" s="925"/>
      <c r="AM1487" s="926"/>
      <c r="AN1487" s="926"/>
      <c r="AO1487" s="926"/>
      <c r="AP1487" s="926"/>
      <c r="AQ1487" s="926"/>
      <c r="AR1487" s="926"/>
      <c r="AS1487" s="926"/>
      <c r="AT1487" s="926"/>
      <c r="AU1487" s="926"/>
      <c r="AV1487" s="926"/>
      <c r="AW1487" s="926"/>
      <c r="AX1487" s="926"/>
      <c r="AY1487" s="926"/>
      <c r="AZ1487" s="926"/>
      <c r="BA1487" s="926"/>
      <c r="BB1487" s="927"/>
    </row>
    <row r="1488" spans="1:54" x14ac:dyDescent="0.25">
      <c r="A1488" s="13">
        <f t="shared" si="23"/>
        <v>1475</v>
      </c>
      <c r="B1488" s="888" t="str">
        <f>'refer admin discharge'!B1484</f>
        <v>x</v>
      </c>
      <c r="C1488" s="888"/>
      <c r="D1488" s="868" t="str">
        <f>'refer admin discharge'!D1484</f>
        <v>xx</v>
      </c>
      <c r="E1488" s="868"/>
      <c r="F1488" s="891" t="str">
        <f>'refer admin discharge'!H1484</f>
        <v>00/00/0000</v>
      </c>
      <c r="G1488" s="892"/>
      <c r="H1488" s="894"/>
      <c r="I1488" s="894"/>
      <c r="J1488" s="918"/>
      <c r="K1488" s="918"/>
      <c r="L1488" s="894"/>
      <c r="M1488" s="894"/>
      <c r="N1488" s="916"/>
      <c r="O1488" s="916"/>
      <c r="P1488" s="894"/>
      <c r="Q1488" s="894"/>
      <c r="R1488" s="916"/>
      <c r="S1488" s="916"/>
      <c r="T1488" s="894"/>
      <c r="U1488" s="894"/>
      <c r="V1488" s="921" t="str">
        <f>'refer admin discharge'!H1489</f>
        <v>00/00/0000</v>
      </c>
      <c r="W1488" s="922"/>
      <c r="X1488" s="920"/>
      <c r="Y1488" s="920"/>
      <c r="Z1488" s="919"/>
      <c r="AA1488" s="919"/>
      <c r="AB1488" s="920"/>
      <c r="AC1488" s="920"/>
      <c r="AD1488" s="912"/>
      <c r="AE1488" s="912"/>
      <c r="AF1488" s="920"/>
      <c r="AG1488" s="920"/>
      <c r="AH1488" s="912"/>
      <c r="AI1488" s="912"/>
      <c r="AJ1488" s="920"/>
      <c r="AK1488" s="920"/>
      <c r="AL1488" s="905"/>
      <c r="AM1488" s="906"/>
      <c r="AN1488" s="906"/>
      <c r="AO1488" s="906"/>
      <c r="AP1488" s="906"/>
      <c r="AQ1488" s="906"/>
      <c r="AR1488" s="906"/>
      <c r="AS1488" s="906"/>
      <c r="AT1488" s="906"/>
      <c r="AU1488" s="906"/>
      <c r="AV1488" s="906"/>
      <c r="AW1488" s="906"/>
      <c r="AX1488" s="906"/>
      <c r="AY1488" s="906"/>
      <c r="AZ1488" s="906"/>
      <c r="BA1488" s="906"/>
      <c r="BB1488" s="907"/>
    </row>
    <row r="1489" spans="1:54" x14ac:dyDescent="0.25">
      <c r="A1489" s="13">
        <f t="shared" si="23"/>
        <v>1476</v>
      </c>
      <c r="B1489" s="914" t="str">
        <f>'refer admin discharge'!B1485</f>
        <v>x</v>
      </c>
      <c r="C1489" s="914"/>
      <c r="D1489" s="889" t="str">
        <f>'refer admin discharge'!D1485</f>
        <v>xx</v>
      </c>
      <c r="E1489" s="889"/>
      <c r="F1489" s="915" t="str">
        <f>'refer admin discharge'!H1485</f>
        <v>00/00/0000</v>
      </c>
      <c r="G1489" s="890"/>
      <c r="H1489" s="916"/>
      <c r="I1489" s="916"/>
      <c r="J1489" s="917"/>
      <c r="K1489" s="917"/>
      <c r="L1489" s="916"/>
      <c r="M1489" s="916"/>
      <c r="N1489" s="893"/>
      <c r="O1489" s="893"/>
      <c r="P1489" s="916"/>
      <c r="Q1489" s="916"/>
      <c r="R1489" s="893"/>
      <c r="S1489" s="893"/>
      <c r="T1489" s="916"/>
      <c r="U1489" s="916"/>
      <c r="V1489" s="921" t="str">
        <f>'refer admin discharge'!H1490</f>
        <v>00/00/0000</v>
      </c>
      <c r="W1489" s="922"/>
      <c r="X1489" s="912"/>
      <c r="Y1489" s="912"/>
      <c r="Z1489" s="924"/>
      <c r="AA1489" s="924"/>
      <c r="AB1489" s="912"/>
      <c r="AC1489" s="912"/>
      <c r="AD1489" s="913"/>
      <c r="AE1489" s="913"/>
      <c r="AF1489" s="912"/>
      <c r="AG1489" s="912"/>
      <c r="AH1489" s="913"/>
      <c r="AI1489" s="913"/>
      <c r="AJ1489" s="912"/>
      <c r="AK1489" s="912"/>
      <c r="AL1489" s="925"/>
      <c r="AM1489" s="926"/>
      <c r="AN1489" s="926"/>
      <c r="AO1489" s="926"/>
      <c r="AP1489" s="926"/>
      <c r="AQ1489" s="926"/>
      <c r="AR1489" s="926"/>
      <c r="AS1489" s="926"/>
      <c r="AT1489" s="926"/>
      <c r="AU1489" s="926"/>
      <c r="AV1489" s="926"/>
      <c r="AW1489" s="926"/>
      <c r="AX1489" s="926"/>
      <c r="AY1489" s="926"/>
      <c r="AZ1489" s="926"/>
      <c r="BA1489" s="926"/>
      <c r="BB1489" s="927"/>
    </row>
    <row r="1490" spans="1:54" x14ac:dyDescent="0.25">
      <c r="A1490" s="13">
        <f t="shared" si="23"/>
        <v>1477</v>
      </c>
      <c r="B1490" s="888" t="str">
        <f>'refer admin discharge'!B1486</f>
        <v>x</v>
      </c>
      <c r="C1490" s="888"/>
      <c r="D1490" s="868" t="str">
        <f>'refer admin discharge'!D1486</f>
        <v>xx</v>
      </c>
      <c r="E1490" s="868"/>
      <c r="F1490" s="891" t="str">
        <f>'refer admin discharge'!H1486</f>
        <v>00/00/0000</v>
      </c>
      <c r="G1490" s="892"/>
      <c r="H1490" s="894"/>
      <c r="I1490" s="894"/>
      <c r="J1490" s="918"/>
      <c r="K1490" s="918"/>
      <c r="L1490" s="894"/>
      <c r="M1490" s="894"/>
      <c r="N1490" s="916"/>
      <c r="O1490" s="916"/>
      <c r="P1490" s="894"/>
      <c r="Q1490" s="894"/>
      <c r="R1490" s="916"/>
      <c r="S1490" s="916"/>
      <c r="T1490" s="894"/>
      <c r="U1490" s="894"/>
      <c r="V1490" s="921" t="str">
        <f>'refer admin discharge'!H1491</f>
        <v>00/00/0000</v>
      </c>
      <c r="W1490" s="922"/>
      <c r="X1490" s="920"/>
      <c r="Y1490" s="920"/>
      <c r="Z1490" s="919"/>
      <c r="AA1490" s="919"/>
      <c r="AB1490" s="920"/>
      <c r="AC1490" s="920"/>
      <c r="AD1490" s="912"/>
      <c r="AE1490" s="912"/>
      <c r="AF1490" s="920"/>
      <c r="AG1490" s="920"/>
      <c r="AH1490" s="912"/>
      <c r="AI1490" s="912"/>
      <c r="AJ1490" s="920"/>
      <c r="AK1490" s="920"/>
      <c r="AL1490" s="905"/>
      <c r="AM1490" s="906"/>
      <c r="AN1490" s="906"/>
      <c r="AO1490" s="906"/>
      <c r="AP1490" s="906"/>
      <c r="AQ1490" s="906"/>
      <c r="AR1490" s="906"/>
      <c r="AS1490" s="906"/>
      <c r="AT1490" s="906"/>
      <c r="AU1490" s="906"/>
      <c r="AV1490" s="906"/>
      <c r="AW1490" s="906"/>
      <c r="AX1490" s="906"/>
      <c r="AY1490" s="906"/>
      <c r="AZ1490" s="906"/>
      <c r="BA1490" s="906"/>
      <c r="BB1490" s="907"/>
    </row>
    <row r="1491" spans="1:54" x14ac:dyDescent="0.25">
      <c r="A1491" s="13">
        <f t="shared" si="23"/>
        <v>1478</v>
      </c>
      <c r="B1491" s="914" t="str">
        <f>'refer admin discharge'!B1487</f>
        <v>x</v>
      </c>
      <c r="C1491" s="914"/>
      <c r="D1491" s="889" t="str">
        <f>'refer admin discharge'!D1487</f>
        <v>xx</v>
      </c>
      <c r="E1491" s="889"/>
      <c r="F1491" s="915" t="str">
        <f>'refer admin discharge'!H1487</f>
        <v>00/00/0000</v>
      </c>
      <c r="G1491" s="890"/>
      <c r="H1491" s="916"/>
      <c r="I1491" s="916"/>
      <c r="J1491" s="917"/>
      <c r="K1491" s="917"/>
      <c r="L1491" s="916"/>
      <c r="M1491" s="916"/>
      <c r="N1491" s="893"/>
      <c r="O1491" s="893"/>
      <c r="P1491" s="916"/>
      <c r="Q1491" s="916"/>
      <c r="R1491" s="893"/>
      <c r="S1491" s="893"/>
      <c r="T1491" s="916"/>
      <c r="U1491" s="916"/>
      <c r="V1491" s="921" t="str">
        <f>'refer admin discharge'!H1492</f>
        <v>00/00/0000</v>
      </c>
      <c r="W1491" s="922"/>
      <c r="X1491" s="912"/>
      <c r="Y1491" s="912"/>
      <c r="Z1491" s="924"/>
      <c r="AA1491" s="924"/>
      <c r="AB1491" s="912"/>
      <c r="AC1491" s="912"/>
      <c r="AD1491" s="913"/>
      <c r="AE1491" s="913"/>
      <c r="AF1491" s="912"/>
      <c r="AG1491" s="912"/>
      <c r="AH1491" s="913"/>
      <c r="AI1491" s="913"/>
      <c r="AJ1491" s="912"/>
      <c r="AK1491" s="912"/>
      <c r="AL1491" s="925"/>
      <c r="AM1491" s="926"/>
      <c r="AN1491" s="926"/>
      <c r="AO1491" s="926"/>
      <c r="AP1491" s="926"/>
      <c r="AQ1491" s="926"/>
      <c r="AR1491" s="926"/>
      <c r="AS1491" s="926"/>
      <c r="AT1491" s="926"/>
      <c r="AU1491" s="926"/>
      <c r="AV1491" s="926"/>
      <c r="AW1491" s="926"/>
      <c r="AX1491" s="926"/>
      <c r="AY1491" s="926"/>
      <c r="AZ1491" s="926"/>
      <c r="BA1491" s="926"/>
      <c r="BB1491" s="927"/>
    </row>
    <row r="1492" spans="1:54" x14ac:dyDescent="0.25">
      <c r="A1492" s="13">
        <f t="shared" si="23"/>
        <v>1479</v>
      </c>
      <c r="B1492" s="888" t="str">
        <f>'refer admin discharge'!B1488</f>
        <v>x</v>
      </c>
      <c r="C1492" s="888"/>
      <c r="D1492" s="868" t="str">
        <f>'refer admin discharge'!D1488</f>
        <v>xx</v>
      </c>
      <c r="E1492" s="868"/>
      <c r="F1492" s="891" t="str">
        <f>'refer admin discharge'!H1488</f>
        <v>00/00/0000</v>
      </c>
      <c r="G1492" s="892"/>
      <c r="H1492" s="894"/>
      <c r="I1492" s="894"/>
      <c r="J1492" s="918"/>
      <c r="K1492" s="918"/>
      <c r="L1492" s="894"/>
      <c r="M1492" s="894"/>
      <c r="N1492" s="916"/>
      <c r="O1492" s="916"/>
      <c r="P1492" s="894"/>
      <c r="Q1492" s="894"/>
      <c r="R1492" s="916"/>
      <c r="S1492" s="916"/>
      <c r="T1492" s="894"/>
      <c r="U1492" s="894"/>
      <c r="V1492" s="921" t="str">
        <f>'refer admin discharge'!H1493</f>
        <v>00/00/0000</v>
      </c>
      <c r="W1492" s="922"/>
      <c r="X1492" s="920"/>
      <c r="Y1492" s="920"/>
      <c r="Z1492" s="919"/>
      <c r="AA1492" s="919"/>
      <c r="AB1492" s="920"/>
      <c r="AC1492" s="920"/>
      <c r="AD1492" s="912"/>
      <c r="AE1492" s="912"/>
      <c r="AF1492" s="920"/>
      <c r="AG1492" s="920"/>
      <c r="AH1492" s="912"/>
      <c r="AI1492" s="912"/>
      <c r="AJ1492" s="920"/>
      <c r="AK1492" s="920"/>
      <c r="AL1492" s="905"/>
      <c r="AM1492" s="906"/>
      <c r="AN1492" s="906"/>
      <c r="AO1492" s="906"/>
      <c r="AP1492" s="906"/>
      <c r="AQ1492" s="906"/>
      <c r="AR1492" s="906"/>
      <c r="AS1492" s="906"/>
      <c r="AT1492" s="906"/>
      <c r="AU1492" s="906"/>
      <c r="AV1492" s="906"/>
      <c r="AW1492" s="906"/>
      <c r="AX1492" s="906"/>
      <c r="AY1492" s="906"/>
      <c r="AZ1492" s="906"/>
      <c r="BA1492" s="906"/>
      <c r="BB1492" s="907"/>
    </row>
    <row r="1493" spans="1:54" x14ac:dyDescent="0.25">
      <c r="A1493" s="13">
        <f t="shared" si="23"/>
        <v>1480</v>
      </c>
      <c r="B1493" s="914" t="str">
        <f>'refer admin discharge'!B1489</f>
        <v>x</v>
      </c>
      <c r="C1493" s="914"/>
      <c r="D1493" s="889" t="str">
        <f>'refer admin discharge'!D1489</f>
        <v>xx</v>
      </c>
      <c r="E1493" s="889"/>
      <c r="F1493" s="915" t="str">
        <f>'refer admin discharge'!H1489</f>
        <v>00/00/0000</v>
      </c>
      <c r="G1493" s="890"/>
      <c r="H1493" s="916"/>
      <c r="I1493" s="916"/>
      <c r="J1493" s="917"/>
      <c r="K1493" s="917"/>
      <c r="L1493" s="916"/>
      <c r="M1493" s="916"/>
      <c r="N1493" s="893"/>
      <c r="O1493" s="893"/>
      <c r="P1493" s="916"/>
      <c r="Q1493" s="916"/>
      <c r="R1493" s="893"/>
      <c r="S1493" s="893"/>
      <c r="T1493" s="916"/>
      <c r="U1493" s="916"/>
      <c r="V1493" s="921" t="str">
        <f>'refer admin discharge'!H1494</f>
        <v>00/00/0000</v>
      </c>
      <c r="W1493" s="922"/>
      <c r="X1493" s="912"/>
      <c r="Y1493" s="912"/>
      <c r="Z1493" s="924"/>
      <c r="AA1493" s="924"/>
      <c r="AB1493" s="912"/>
      <c r="AC1493" s="912"/>
      <c r="AD1493" s="913"/>
      <c r="AE1493" s="913"/>
      <c r="AF1493" s="912"/>
      <c r="AG1493" s="912"/>
      <c r="AH1493" s="913"/>
      <c r="AI1493" s="913"/>
      <c r="AJ1493" s="912"/>
      <c r="AK1493" s="912"/>
      <c r="AL1493" s="925"/>
      <c r="AM1493" s="926"/>
      <c r="AN1493" s="926"/>
      <c r="AO1493" s="926"/>
      <c r="AP1493" s="926"/>
      <c r="AQ1493" s="926"/>
      <c r="AR1493" s="926"/>
      <c r="AS1493" s="926"/>
      <c r="AT1493" s="926"/>
      <c r="AU1493" s="926"/>
      <c r="AV1493" s="926"/>
      <c r="AW1493" s="926"/>
      <c r="AX1493" s="926"/>
      <c r="AY1493" s="926"/>
      <c r="AZ1493" s="926"/>
      <c r="BA1493" s="926"/>
      <c r="BB1493" s="927"/>
    </row>
    <row r="1494" spans="1:54" x14ac:dyDescent="0.25">
      <c r="A1494" s="13">
        <f t="shared" si="23"/>
        <v>1481</v>
      </c>
      <c r="B1494" s="888" t="str">
        <f>'refer admin discharge'!B1490</f>
        <v>x</v>
      </c>
      <c r="C1494" s="888"/>
      <c r="D1494" s="868" t="str">
        <f>'refer admin discharge'!D1490</f>
        <v>xx</v>
      </c>
      <c r="E1494" s="868"/>
      <c r="F1494" s="891" t="str">
        <f>'refer admin discharge'!H1490</f>
        <v>00/00/0000</v>
      </c>
      <c r="G1494" s="892"/>
      <c r="H1494" s="894"/>
      <c r="I1494" s="894"/>
      <c r="J1494" s="918"/>
      <c r="K1494" s="918"/>
      <c r="L1494" s="894"/>
      <c r="M1494" s="894"/>
      <c r="N1494" s="916"/>
      <c r="O1494" s="916"/>
      <c r="P1494" s="894"/>
      <c r="Q1494" s="894"/>
      <c r="R1494" s="916"/>
      <c r="S1494" s="916"/>
      <c r="T1494" s="894"/>
      <c r="U1494" s="894"/>
      <c r="V1494" s="921" t="str">
        <f>'refer admin discharge'!H1495</f>
        <v>00/00/0000</v>
      </c>
      <c r="W1494" s="922"/>
      <c r="X1494" s="920"/>
      <c r="Y1494" s="920"/>
      <c r="Z1494" s="919"/>
      <c r="AA1494" s="919"/>
      <c r="AB1494" s="920"/>
      <c r="AC1494" s="920"/>
      <c r="AD1494" s="912"/>
      <c r="AE1494" s="912"/>
      <c r="AF1494" s="920"/>
      <c r="AG1494" s="920"/>
      <c r="AH1494" s="912"/>
      <c r="AI1494" s="912"/>
      <c r="AJ1494" s="920"/>
      <c r="AK1494" s="920"/>
      <c r="AL1494" s="905"/>
      <c r="AM1494" s="906"/>
      <c r="AN1494" s="906"/>
      <c r="AO1494" s="906"/>
      <c r="AP1494" s="906"/>
      <c r="AQ1494" s="906"/>
      <c r="AR1494" s="906"/>
      <c r="AS1494" s="906"/>
      <c r="AT1494" s="906"/>
      <c r="AU1494" s="906"/>
      <c r="AV1494" s="906"/>
      <c r="AW1494" s="906"/>
      <c r="AX1494" s="906"/>
      <c r="AY1494" s="906"/>
      <c r="AZ1494" s="906"/>
      <c r="BA1494" s="906"/>
      <c r="BB1494" s="907"/>
    </row>
    <row r="1495" spans="1:54" x14ac:dyDescent="0.25">
      <c r="A1495" s="13">
        <f t="shared" si="23"/>
        <v>1482</v>
      </c>
      <c r="B1495" s="914" t="str">
        <f>'refer admin discharge'!B1491</f>
        <v>x</v>
      </c>
      <c r="C1495" s="914"/>
      <c r="D1495" s="889" t="str">
        <f>'refer admin discharge'!D1491</f>
        <v>xx</v>
      </c>
      <c r="E1495" s="889"/>
      <c r="F1495" s="915" t="str">
        <f>'refer admin discharge'!H1491</f>
        <v>00/00/0000</v>
      </c>
      <c r="G1495" s="890"/>
      <c r="H1495" s="916"/>
      <c r="I1495" s="916"/>
      <c r="J1495" s="917"/>
      <c r="K1495" s="917"/>
      <c r="L1495" s="916"/>
      <c r="M1495" s="916"/>
      <c r="N1495" s="893"/>
      <c r="O1495" s="893"/>
      <c r="P1495" s="916"/>
      <c r="Q1495" s="916"/>
      <c r="R1495" s="893"/>
      <c r="S1495" s="893"/>
      <c r="T1495" s="916"/>
      <c r="U1495" s="916"/>
      <c r="V1495" s="921" t="str">
        <f>'refer admin discharge'!H1496</f>
        <v>00/00/0000</v>
      </c>
      <c r="W1495" s="922"/>
      <c r="X1495" s="912"/>
      <c r="Y1495" s="912"/>
      <c r="Z1495" s="924"/>
      <c r="AA1495" s="924"/>
      <c r="AB1495" s="912"/>
      <c r="AC1495" s="912"/>
      <c r="AD1495" s="913"/>
      <c r="AE1495" s="913"/>
      <c r="AF1495" s="912"/>
      <c r="AG1495" s="912"/>
      <c r="AH1495" s="913"/>
      <c r="AI1495" s="913"/>
      <c r="AJ1495" s="912"/>
      <c r="AK1495" s="912"/>
      <c r="AL1495" s="925"/>
      <c r="AM1495" s="926"/>
      <c r="AN1495" s="926"/>
      <c r="AO1495" s="926"/>
      <c r="AP1495" s="926"/>
      <c r="AQ1495" s="926"/>
      <c r="AR1495" s="926"/>
      <c r="AS1495" s="926"/>
      <c r="AT1495" s="926"/>
      <c r="AU1495" s="926"/>
      <c r="AV1495" s="926"/>
      <c r="AW1495" s="926"/>
      <c r="AX1495" s="926"/>
      <c r="AY1495" s="926"/>
      <c r="AZ1495" s="926"/>
      <c r="BA1495" s="926"/>
      <c r="BB1495" s="927"/>
    </row>
    <row r="1496" spans="1:54" x14ac:dyDescent="0.25">
      <c r="A1496" s="13">
        <f t="shared" si="23"/>
        <v>1483</v>
      </c>
      <c r="B1496" s="888" t="str">
        <f>'refer admin discharge'!B1492</f>
        <v>x</v>
      </c>
      <c r="C1496" s="888"/>
      <c r="D1496" s="868" t="str">
        <f>'refer admin discharge'!D1492</f>
        <v>xx</v>
      </c>
      <c r="E1496" s="868"/>
      <c r="F1496" s="891" t="str">
        <f>'refer admin discharge'!H1492</f>
        <v>00/00/0000</v>
      </c>
      <c r="G1496" s="892"/>
      <c r="H1496" s="894"/>
      <c r="I1496" s="894"/>
      <c r="J1496" s="918"/>
      <c r="K1496" s="918"/>
      <c r="L1496" s="894"/>
      <c r="M1496" s="894"/>
      <c r="N1496" s="916"/>
      <c r="O1496" s="916"/>
      <c r="P1496" s="894"/>
      <c r="Q1496" s="894"/>
      <c r="R1496" s="916"/>
      <c r="S1496" s="916"/>
      <c r="T1496" s="894"/>
      <c r="U1496" s="894"/>
      <c r="V1496" s="921" t="str">
        <f>'refer admin discharge'!H1497</f>
        <v>00/00/0000</v>
      </c>
      <c r="W1496" s="922"/>
      <c r="X1496" s="920"/>
      <c r="Y1496" s="920"/>
      <c r="Z1496" s="919"/>
      <c r="AA1496" s="919"/>
      <c r="AB1496" s="920"/>
      <c r="AC1496" s="920"/>
      <c r="AD1496" s="912"/>
      <c r="AE1496" s="912"/>
      <c r="AF1496" s="920"/>
      <c r="AG1496" s="920"/>
      <c r="AH1496" s="912"/>
      <c r="AI1496" s="912"/>
      <c r="AJ1496" s="920"/>
      <c r="AK1496" s="920"/>
      <c r="AL1496" s="905"/>
      <c r="AM1496" s="906"/>
      <c r="AN1496" s="906"/>
      <c r="AO1496" s="906"/>
      <c r="AP1496" s="906"/>
      <c r="AQ1496" s="906"/>
      <c r="AR1496" s="906"/>
      <c r="AS1496" s="906"/>
      <c r="AT1496" s="906"/>
      <c r="AU1496" s="906"/>
      <c r="AV1496" s="906"/>
      <c r="AW1496" s="906"/>
      <c r="AX1496" s="906"/>
      <c r="AY1496" s="906"/>
      <c r="AZ1496" s="906"/>
      <c r="BA1496" s="906"/>
      <c r="BB1496" s="907"/>
    </row>
    <row r="1497" spans="1:54" x14ac:dyDescent="0.25">
      <c r="A1497" s="13">
        <f t="shared" si="23"/>
        <v>1484</v>
      </c>
      <c r="B1497" s="914" t="str">
        <f>'refer admin discharge'!B1493</f>
        <v>x</v>
      </c>
      <c r="C1497" s="914"/>
      <c r="D1497" s="889" t="str">
        <f>'refer admin discharge'!D1493</f>
        <v>xx</v>
      </c>
      <c r="E1497" s="889"/>
      <c r="F1497" s="915" t="str">
        <f>'refer admin discharge'!H1493</f>
        <v>00/00/0000</v>
      </c>
      <c r="G1497" s="890"/>
      <c r="H1497" s="916"/>
      <c r="I1497" s="916"/>
      <c r="J1497" s="917"/>
      <c r="K1497" s="917"/>
      <c r="L1497" s="916"/>
      <c r="M1497" s="916"/>
      <c r="N1497" s="893"/>
      <c r="O1497" s="893"/>
      <c r="P1497" s="916"/>
      <c r="Q1497" s="916"/>
      <c r="R1497" s="893"/>
      <c r="S1497" s="893"/>
      <c r="T1497" s="916"/>
      <c r="U1497" s="916"/>
      <c r="V1497" s="921" t="str">
        <f>'refer admin discharge'!H1498</f>
        <v>00/00/0000</v>
      </c>
      <c r="W1497" s="922"/>
      <c r="X1497" s="912"/>
      <c r="Y1497" s="912"/>
      <c r="Z1497" s="924"/>
      <c r="AA1497" s="924"/>
      <c r="AB1497" s="912"/>
      <c r="AC1497" s="912"/>
      <c r="AD1497" s="913"/>
      <c r="AE1497" s="913"/>
      <c r="AF1497" s="912"/>
      <c r="AG1497" s="912"/>
      <c r="AH1497" s="913"/>
      <c r="AI1497" s="913"/>
      <c r="AJ1497" s="912"/>
      <c r="AK1497" s="912"/>
      <c r="AL1497" s="925"/>
      <c r="AM1497" s="926"/>
      <c r="AN1497" s="926"/>
      <c r="AO1497" s="926"/>
      <c r="AP1497" s="926"/>
      <c r="AQ1497" s="926"/>
      <c r="AR1497" s="926"/>
      <c r="AS1497" s="926"/>
      <c r="AT1497" s="926"/>
      <c r="AU1497" s="926"/>
      <c r="AV1497" s="926"/>
      <c r="AW1497" s="926"/>
      <c r="AX1497" s="926"/>
      <c r="AY1497" s="926"/>
      <c r="AZ1497" s="926"/>
      <c r="BA1497" s="926"/>
      <c r="BB1497" s="927"/>
    </row>
    <row r="1498" spans="1:54" x14ac:dyDescent="0.25">
      <c r="A1498" s="13">
        <f t="shared" si="23"/>
        <v>1485</v>
      </c>
      <c r="B1498" s="888" t="str">
        <f>'refer admin discharge'!B1494</f>
        <v>x</v>
      </c>
      <c r="C1498" s="888"/>
      <c r="D1498" s="868" t="str">
        <f>'refer admin discharge'!D1494</f>
        <v>xx</v>
      </c>
      <c r="E1498" s="868"/>
      <c r="F1498" s="891" t="str">
        <f>'refer admin discharge'!H1494</f>
        <v>00/00/0000</v>
      </c>
      <c r="G1498" s="892"/>
      <c r="H1498" s="894"/>
      <c r="I1498" s="894"/>
      <c r="J1498" s="918"/>
      <c r="K1498" s="918"/>
      <c r="L1498" s="894"/>
      <c r="M1498" s="894"/>
      <c r="N1498" s="916"/>
      <c r="O1498" s="916"/>
      <c r="P1498" s="894"/>
      <c r="Q1498" s="894"/>
      <c r="R1498" s="916"/>
      <c r="S1498" s="916"/>
      <c r="T1498" s="894"/>
      <c r="U1498" s="894"/>
      <c r="V1498" s="921" t="str">
        <f>'refer admin discharge'!H1499</f>
        <v>00/00/0000</v>
      </c>
      <c r="W1498" s="922"/>
      <c r="X1498" s="920"/>
      <c r="Y1498" s="920"/>
      <c r="Z1498" s="919"/>
      <c r="AA1498" s="919"/>
      <c r="AB1498" s="920"/>
      <c r="AC1498" s="920"/>
      <c r="AD1498" s="912"/>
      <c r="AE1498" s="912"/>
      <c r="AF1498" s="920"/>
      <c r="AG1498" s="920"/>
      <c r="AH1498" s="912"/>
      <c r="AI1498" s="912"/>
      <c r="AJ1498" s="920"/>
      <c r="AK1498" s="920"/>
      <c r="AL1498" s="905"/>
      <c r="AM1498" s="906"/>
      <c r="AN1498" s="906"/>
      <c r="AO1498" s="906"/>
      <c r="AP1498" s="906"/>
      <c r="AQ1498" s="906"/>
      <c r="AR1498" s="906"/>
      <c r="AS1498" s="906"/>
      <c r="AT1498" s="906"/>
      <c r="AU1498" s="906"/>
      <c r="AV1498" s="906"/>
      <c r="AW1498" s="906"/>
      <c r="AX1498" s="906"/>
      <c r="AY1498" s="906"/>
      <c r="AZ1498" s="906"/>
      <c r="BA1498" s="906"/>
      <c r="BB1498" s="907"/>
    </row>
    <row r="1499" spans="1:54" x14ac:dyDescent="0.25">
      <c r="A1499" s="13">
        <f t="shared" si="23"/>
        <v>1486</v>
      </c>
      <c r="B1499" s="914" t="str">
        <f>'refer admin discharge'!B1495</f>
        <v>x</v>
      </c>
      <c r="C1499" s="914"/>
      <c r="D1499" s="889" t="str">
        <f>'refer admin discharge'!D1495</f>
        <v>xx</v>
      </c>
      <c r="E1499" s="889"/>
      <c r="F1499" s="915" t="str">
        <f>'refer admin discharge'!H1495</f>
        <v>00/00/0000</v>
      </c>
      <c r="G1499" s="890"/>
      <c r="H1499" s="916"/>
      <c r="I1499" s="916"/>
      <c r="J1499" s="917"/>
      <c r="K1499" s="917"/>
      <c r="L1499" s="916"/>
      <c r="M1499" s="916"/>
      <c r="N1499" s="893"/>
      <c r="O1499" s="893"/>
      <c r="P1499" s="916"/>
      <c r="Q1499" s="916"/>
      <c r="R1499" s="893"/>
      <c r="S1499" s="893"/>
      <c r="T1499" s="916"/>
      <c r="U1499" s="916"/>
      <c r="V1499" s="921" t="str">
        <f>'refer admin discharge'!H1500</f>
        <v>00/00/0000</v>
      </c>
      <c r="W1499" s="922"/>
      <c r="X1499" s="912"/>
      <c r="Y1499" s="912"/>
      <c r="Z1499" s="924"/>
      <c r="AA1499" s="924"/>
      <c r="AB1499" s="912"/>
      <c r="AC1499" s="912"/>
      <c r="AD1499" s="913"/>
      <c r="AE1499" s="913"/>
      <c r="AF1499" s="912"/>
      <c r="AG1499" s="912"/>
      <c r="AH1499" s="913"/>
      <c r="AI1499" s="913"/>
      <c r="AJ1499" s="912"/>
      <c r="AK1499" s="912"/>
      <c r="AL1499" s="925"/>
      <c r="AM1499" s="926"/>
      <c r="AN1499" s="926"/>
      <c r="AO1499" s="926"/>
      <c r="AP1499" s="926"/>
      <c r="AQ1499" s="926"/>
      <c r="AR1499" s="926"/>
      <c r="AS1499" s="926"/>
      <c r="AT1499" s="926"/>
      <c r="AU1499" s="926"/>
      <c r="AV1499" s="926"/>
      <c r="AW1499" s="926"/>
      <c r="AX1499" s="926"/>
      <c r="AY1499" s="926"/>
      <c r="AZ1499" s="926"/>
      <c r="BA1499" s="926"/>
      <c r="BB1499" s="927"/>
    </row>
    <row r="1500" spans="1:54" x14ac:dyDescent="0.25">
      <c r="A1500" s="13">
        <f t="shared" si="23"/>
        <v>1487</v>
      </c>
      <c r="B1500" s="888" t="str">
        <f>'refer admin discharge'!B1496</f>
        <v>x</v>
      </c>
      <c r="C1500" s="888"/>
      <c r="D1500" s="868" t="str">
        <f>'refer admin discharge'!D1496</f>
        <v>xx</v>
      </c>
      <c r="E1500" s="868"/>
      <c r="F1500" s="891" t="str">
        <f>'refer admin discharge'!H1496</f>
        <v>00/00/0000</v>
      </c>
      <c r="G1500" s="892"/>
      <c r="H1500" s="894"/>
      <c r="I1500" s="894"/>
      <c r="J1500" s="918"/>
      <c r="K1500" s="918"/>
      <c r="L1500" s="894"/>
      <c r="M1500" s="894"/>
      <c r="N1500" s="916"/>
      <c r="O1500" s="916"/>
      <c r="P1500" s="894"/>
      <c r="Q1500" s="894"/>
      <c r="R1500" s="916"/>
      <c r="S1500" s="916"/>
      <c r="T1500" s="894"/>
      <c r="U1500" s="894"/>
      <c r="V1500" s="921" t="str">
        <f>'refer admin discharge'!H1501</f>
        <v>00/00/0000</v>
      </c>
      <c r="W1500" s="922"/>
      <c r="X1500" s="920"/>
      <c r="Y1500" s="920"/>
      <c r="Z1500" s="919"/>
      <c r="AA1500" s="919"/>
      <c r="AB1500" s="920"/>
      <c r="AC1500" s="920"/>
      <c r="AD1500" s="912"/>
      <c r="AE1500" s="912"/>
      <c r="AF1500" s="920"/>
      <c r="AG1500" s="920"/>
      <c r="AH1500" s="912"/>
      <c r="AI1500" s="912"/>
      <c r="AJ1500" s="920"/>
      <c r="AK1500" s="920"/>
      <c r="AL1500" s="905"/>
      <c r="AM1500" s="906"/>
      <c r="AN1500" s="906"/>
      <c r="AO1500" s="906"/>
      <c r="AP1500" s="906"/>
      <c r="AQ1500" s="906"/>
      <c r="AR1500" s="906"/>
      <c r="AS1500" s="906"/>
      <c r="AT1500" s="906"/>
      <c r="AU1500" s="906"/>
      <c r="AV1500" s="906"/>
      <c r="AW1500" s="906"/>
      <c r="AX1500" s="906"/>
      <c r="AY1500" s="906"/>
      <c r="AZ1500" s="906"/>
      <c r="BA1500" s="906"/>
      <c r="BB1500" s="907"/>
    </row>
    <row r="1501" spans="1:54" x14ac:dyDescent="0.25">
      <c r="A1501" s="13">
        <f t="shared" si="23"/>
        <v>1488</v>
      </c>
      <c r="B1501" s="914" t="str">
        <f>'refer admin discharge'!B1497</f>
        <v>x</v>
      </c>
      <c r="C1501" s="914"/>
      <c r="D1501" s="889" t="str">
        <f>'refer admin discharge'!D1497</f>
        <v>xx</v>
      </c>
      <c r="E1501" s="889"/>
      <c r="F1501" s="915" t="str">
        <f>'refer admin discharge'!H1497</f>
        <v>00/00/0000</v>
      </c>
      <c r="G1501" s="890"/>
      <c r="H1501" s="916"/>
      <c r="I1501" s="916"/>
      <c r="J1501" s="917"/>
      <c r="K1501" s="917"/>
      <c r="L1501" s="916"/>
      <c r="M1501" s="916"/>
      <c r="N1501" s="893"/>
      <c r="O1501" s="893"/>
      <c r="P1501" s="916"/>
      <c r="Q1501" s="916"/>
      <c r="R1501" s="893"/>
      <c r="S1501" s="893"/>
      <c r="T1501" s="916"/>
      <c r="U1501" s="916"/>
      <c r="V1501" s="921" t="str">
        <f>'refer admin discharge'!H1502</f>
        <v>00/00/0000</v>
      </c>
      <c r="W1501" s="922"/>
      <c r="X1501" s="912"/>
      <c r="Y1501" s="912"/>
      <c r="Z1501" s="924"/>
      <c r="AA1501" s="924"/>
      <c r="AB1501" s="912"/>
      <c r="AC1501" s="912"/>
      <c r="AD1501" s="913"/>
      <c r="AE1501" s="913"/>
      <c r="AF1501" s="912"/>
      <c r="AG1501" s="912"/>
      <c r="AH1501" s="913"/>
      <c r="AI1501" s="913"/>
      <c r="AJ1501" s="912"/>
      <c r="AK1501" s="912"/>
      <c r="AL1501" s="925"/>
      <c r="AM1501" s="926"/>
      <c r="AN1501" s="926"/>
      <c r="AO1501" s="926"/>
      <c r="AP1501" s="926"/>
      <c r="AQ1501" s="926"/>
      <c r="AR1501" s="926"/>
      <c r="AS1501" s="926"/>
      <c r="AT1501" s="926"/>
      <c r="AU1501" s="926"/>
      <c r="AV1501" s="926"/>
      <c r="AW1501" s="926"/>
      <c r="AX1501" s="926"/>
      <c r="AY1501" s="926"/>
      <c r="AZ1501" s="926"/>
      <c r="BA1501" s="926"/>
      <c r="BB1501" s="927"/>
    </row>
    <row r="1502" spans="1:54" x14ac:dyDescent="0.25">
      <c r="A1502" s="13">
        <f t="shared" si="23"/>
        <v>1489</v>
      </c>
      <c r="B1502" s="888" t="str">
        <f>'refer admin discharge'!B1498</f>
        <v>x</v>
      </c>
      <c r="C1502" s="888"/>
      <c r="D1502" s="868" t="str">
        <f>'refer admin discharge'!D1498</f>
        <v>xx</v>
      </c>
      <c r="E1502" s="868"/>
      <c r="F1502" s="891" t="str">
        <f>'refer admin discharge'!H1498</f>
        <v>00/00/0000</v>
      </c>
      <c r="G1502" s="892"/>
      <c r="H1502" s="894"/>
      <c r="I1502" s="894"/>
      <c r="J1502" s="918"/>
      <c r="K1502" s="918"/>
      <c r="L1502" s="894"/>
      <c r="M1502" s="894"/>
      <c r="N1502" s="916"/>
      <c r="O1502" s="916"/>
      <c r="P1502" s="894"/>
      <c r="Q1502" s="894"/>
      <c r="R1502" s="916"/>
      <c r="S1502" s="916"/>
      <c r="T1502" s="894"/>
      <c r="U1502" s="894"/>
      <c r="V1502" s="921" t="str">
        <f>'refer admin discharge'!H1503</f>
        <v>00/00/0000</v>
      </c>
      <c r="W1502" s="922"/>
      <c r="X1502" s="920"/>
      <c r="Y1502" s="920"/>
      <c r="Z1502" s="919"/>
      <c r="AA1502" s="919"/>
      <c r="AB1502" s="920"/>
      <c r="AC1502" s="920"/>
      <c r="AD1502" s="912"/>
      <c r="AE1502" s="912"/>
      <c r="AF1502" s="920"/>
      <c r="AG1502" s="920"/>
      <c r="AH1502" s="912"/>
      <c r="AI1502" s="912"/>
      <c r="AJ1502" s="920"/>
      <c r="AK1502" s="920"/>
      <c r="AL1502" s="905"/>
      <c r="AM1502" s="906"/>
      <c r="AN1502" s="906"/>
      <c r="AO1502" s="906"/>
      <c r="AP1502" s="906"/>
      <c r="AQ1502" s="906"/>
      <c r="AR1502" s="906"/>
      <c r="AS1502" s="906"/>
      <c r="AT1502" s="906"/>
      <c r="AU1502" s="906"/>
      <c r="AV1502" s="906"/>
      <c r="AW1502" s="906"/>
      <c r="AX1502" s="906"/>
      <c r="AY1502" s="906"/>
      <c r="AZ1502" s="906"/>
      <c r="BA1502" s="906"/>
      <c r="BB1502" s="907"/>
    </row>
    <row r="1503" spans="1:54" x14ac:dyDescent="0.25">
      <c r="A1503" s="13">
        <f t="shared" si="23"/>
        <v>1490</v>
      </c>
      <c r="B1503" s="914" t="str">
        <f>'refer admin discharge'!B1499</f>
        <v>x</v>
      </c>
      <c r="C1503" s="914"/>
      <c r="D1503" s="889" t="str">
        <f>'refer admin discharge'!D1499</f>
        <v>xx</v>
      </c>
      <c r="E1503" s="889"/>
      <c r="F1503" s="915" t="str">
        <f>'refer admin discharge'!H1499</f>
        <v>00/00/0000</v>
      </c>
      <c r="G1503" s="890"/>
      <c r="H1503" s="916"/>
      <c r="I1503" s="916"/>
      <c r="J1503" s="917"/>
      <c r="K1503" s="917"/>
      <c r="L1503" s="916"/>
      <c r="M1503" s="916"/>
      <c r="N1503" s="893"/>
      <c r="O1503" s="893"/>
      <c r="P1503" s="916"/>
      <c r="Q1503" s="916"/>
      <c r="R1503" s="893"/>
      <c r="S1503" s="893"/>
      <c r="T1503" s="916"/>
      <c r="U1503" s="916"/>
      <c r="V1503" s="921" t="str">
        <f>'refer admin discharge'!H1504</f>
        <v>00/00/0000</v>
      </c>
      <c r="W1503" s="922"/>
      <c r="X1503" s="912"/>
      <c r="Y1503" s="912"/>
      <c r="Z1503" s="924"/>
      <c r="AA1503" s="924"/>
      <c r="AB1503" s="912"/>
      <c r="AC1503" s="912"/>
      <c r="AD1503" s="913"/>
      <c r="AE1503" s="913"/>
      <c r="AF1503" s="912"/>
      <c r="AG1503" s="912"/>
      <c r="AH1503" s="913"/>
      <c r="AI1503" s="913"/>
      <c r="AJ1503" s="912"/>
      <c r="AK1503" s="912"/>
      <c r="AL1503" s="925"/>
      <c r="AM1503" s="926"/>
      <c r="AN1503" s="926"/>
      <c r="AO1503" s="926"/>
      <c r="AP1503" s="926"/>
      <c r="AQ1503" s="926"/>
      <c r="AR1503" s="926"/>
      <c r="AS1503" s="926"/>
      <c r="AT1503" s="926"/>
      <c r="AU1503" s="926"/>
      <c r="AV1503" s="926"/>
      <c r="AW1503" s="926"/>
      <c r="AX1503" s="926"/>
      <c r="AY1503" s="926"/>
      <c r="AZ1503" s="926"/>
      <c r="BA1503" s="926"/>
      <c r="BB1503" s="927"/>
    </row>
    <row r="1504" spans="1:54" x14ac:dyDescent="0.25">
      <c r="A1504" s="13">
        <f t="shared" si="23"/>
        <v>1491</v>
      </c>
      <c r="B1504" s="888" t="str">
        <f>'refer admin discharge'!B1500</f>
        <v>x</v>
      </c>
      <c r="C1504" s="888"/>
      <c r="D1504" s="868" t="str">
        <f>'refer admin discharge'!D1500</f>
        <v>xx</v>
      </c>
      <c r="E1504" s="868"/>
      <c r="F1504" s="891" t="str">
        <f>'refer admin discharge'!H1500</f>
        <v>00/00/0000</v>
      </c>
      <c r="G1504" s="892"/>
      <c r="H1504" s="894"/>
      <c r="I1504" s="894"/>
      <c r="J1504" s="918"/>
      <c r="K1504" s="918"/>
      <c r="L1504" s="894"/>
      <c r="M1504" s="894"/>
      <c r="N1504" s="916"/>
      <c r="O1504" s="916"/>
      <c r="P1504" s="894"/>
      <c r="Q1504" s="894"/>
      <c r="R1504" s="916"/>
      <c r="S1504" s="916"/>
      <c r="T1504" s="894"/>
      <c r="U1504" s="894"/>
      <c r="V1504" s="921" t="str">
        <f>'refer admin discharge'!H1505</f>
        <v>00/00/0000</v>
      </c>
      <c r="W1504" s="922"/>
      <c r="X1504" s="920"/>
      <c r="Y1504" s="920"/>
      <c r="Z1504" s="919"/>
      <c r="AA1504" s="919"/>
      <c r="AB1504" s="920"/>
      <c r="AC1504" s="920"/>
      <c r="AD1504" s="912"/>
      <c r="AE1504" s="912"/>
      <c r="AF1504" s="920"/>
      <c r="AG1504" s="920"/>
      <c r="AH1504" s="912"/>
      <c r="AI1504" s="912"/>
      <c r="AJ1504" s="920"/>
      <c r="AK1504" s="920"/>
      <c r="AL1504" s="905"/>
      <c r="AM1504" s="906"/>
      <c r="AN1504" s="906"/>
      <c r="AO1504" s="906"/>
      <c r="AP1504" s="906"/>
      <c r="AQ1504" s="906"/>
      <c r="AR1504" s="906"/>
      <c r="AS1504" s="906"/>
      <c r="AT1504" s="906"/>
      <c r="AU1504" s="906"/>
      <c r="AV1504" s="906"/>
      <c r="AW1504" s="906"/>
      <c r="AX1504" s="906"/>
      <c r="AY1504" s="906"/>
      <c r="AZ1504" s="906"/>
      <c r="BA1504" s="906"/>
      <c r="BB1504" s="907"/>
    </row>
    <row r="1505" spans="1:54" x14ac:dyDescent="0.25">
      <c r="A1505" s="13">
        <f t="shared" si="23"/>
        <v>1492</v>
      </c>
      <c r="B1505" s="914" t="str">
        <f>'refer admin discharge'!B1501</f>
        <v>x</v>
      </c>
      <c r="C1505" s="914"/>
      <c r="D1505" s="889" t="str">
        <f>'refer admin discharge'!D1501</f>
        <v>xx</v>
      </c>
      <c r="E1505" s="889"/>
      <c r="F1505" s="915" t="str">
        <f>'refer admin discharge'!H1501</f>
        <v>00/00/0000</v>
      </c>
      <c r="G1505" s="890"/>
      <c r="H1505" s="916"/>
      <c r="I1505" s="916"/>
      <c r="J1505" s="917"/>
      <c r="K1505" s="917"/>
      <c r="L1505" s="916"/>
      <c r="M1505" s="916"/>
      <c r="N1505" s="893"/>
      <c r="O1505" s="893"/>
      <c r="P1505" s="916"/>
      <c r="Q1505" s="916"/>
      <c r="R1505" s="893"/>
      <c r="S1505" s="893"/>
      <c r="T1505" s="916"/>
      <c r="U1505" s="916"/>
      <c r="V1505" s="921" t="str">
        <f>'refer admin discharge'!H1506</f>
        <v>00/00/0000</v>
      </c>
      <c r="W1505" s="922"/>
      <c r="X1505" s="912"/>
      <c r="Y1505" s="912"/>
      <c r="Z1505" s="924"/>
      <c r="AA1505" s="924"/>
      <c r="AB1505" s="912"/>
      <c r="AC1505" s="912"/>
      <c r="AD1505" s="913"/>
      <c r="AE1505" s="913"/>
      <c r="AF1505" s="912"/>
      <c r="AG1505" s="912"/>
      <c r="AH1505" s="913"/>
      <c r="AI1505" s="913"/>
      <c r="AJ1505" s="912"/>
      <c r="AK1505" s="912"/>
      <c r="AL1505" s="925"/>
      <c r="AM1505" s="926"/>
      <c r="AN1505" s="926"/>
      <c r="AO1505" s="926"/>
      <c r="AP1505" s="926"/>
      <c r="AQ1505" s="926"/>
      <c r="AR1505" s="926"/>
      <c r="AS1505" s="926"/>
      <c r="AT1505" s="926"/>
      <c r="AU1505" s="926"/>
      <c r="AV1505" s="926"/>
      <c r="AW1505" s="926"/>
      <c r="AX1505" s="926"/>
      <c r="AY1505" s="926"/>
      <c r="AZ1505" s="926"/>
      <c r="BA1505" s="926"/>
      <c r="BB1505" s="927"/>
    </row>
    <row r="1506" spans="1:54" x14ac:dyDescent="0.25">
      <c r="A1506" s="13">
        <f t="shared" si="23"/>
        <v>1493</v>
      </c>
      <c r="B1506" s="888" t="str">
        <f>'refer admin discharge'!B1502</f>
        <v>x</v>
      </c>
      <c r="C1506" s="888"/>
      <c r="D1506" s="868" t="str">
        <f>'refer admin discharge'!D1502</f>
        <v>xx</v>
      </c>
      <c r="E1506" s="868"/>
      <c r="F1506" s="891" t="str">
        <f>'refer admin discharge'!H1502</f>
        <v>00/00/0000</v>
      </c>
      <c r="G1506" s="892"/>
      <c r="H1506" s="894"/>
      <c r="I1506" s="894"/>
      <c r="J1506" s="918"/>
      <c r="K1506" s="918"/>
      <c r="L1506" s="894"/>
      <c r="M1506" s="894"/>
      <c r="N1506" s="916"/>
      <c r="O1506" s="916"/>
      <c r="P1506" s="894"/>
      <c r="Q1506" s="894"/>
      <c r="R1506" s="916"/>
      <c r="S1506" s="916"/>
      <c r="T1506" s="894"/>
      <c r="U1506" s="894"/>
      <c r="V1506" s="921" t="str">
        <f>'refer admin discharge'!H1507</f>
        <v>00/00/0000</v>
      </c>
      <c r="W1506" s="922"/>
      <c r="X1506" s="920"/>
      <c r="Y1506" s="920"/>
      <c r="Z1506" s="919"/>
      <c r="AA1506" s="919"/>
      <c r="AB1506" s="920"/>
      <c r="AC1506" s="920"/>
      <c r="AD1506" s="912"/>
      <c r="AE1506" s="912"/>
      <c r="AF1506" s="920"/>
      <c r="AG1506" s="920"/>
      <c r="AH1506" s="912"/>
      <c r="AI1506" s="912"/>
      <c r="AJ1506" s="920"/>
      <c r="AK1506" s="920"/>
      <c r="AL1506" s="905"/>
      <c r="AM1506" s="906"/>
      <c r="AN1506" s="906"/>
      <c r="AO1506" s="906"/>
      <c r="AP1506" s="906"/>
      <c r="AQ1506" s="906"/>
      <c r="AR1506" s="906"/>
      <c r="AS1506" s="906"/>
      <c r="AT1506" s="906"/>
      <c r="AU1506" s="906"/>
      <c r="AV1506" s="906"/>
      <c r="AW1506" s="906"/>
      <c r="AX1506" s="906"/>
      <c r="AY1506" s="906"/>
      <c r="AZ1506" s="906"/>
      <c r="BA1506" s="906"/>
      <c r="BB1506" s="907"/>
    </row>
    <row r="1507" spans="1:54" x14ac:dyDescent="0.25">
      <c r="A1507" s="13">
        <f t="shared" si="23"/>
        <v>1494</v>
      </c>
      <c r="B1507" s="914" t="str">
        <f>'refer admin discharge'!B1503</f>
        <v>x</v>
      </c>
      <c r="C1507" s="914"/>
      <c r="D1507" s="889" t="str">
        <f>'refer admin discharge'!D1503</f>
        <v>xx</v>
      </c>
      <c r="E1507" s="889"/>
      <c r="F1507" s="915" t="str">
        <f>'refer admin discharge'!H1503</f>
        <v>00/00/0000</v>
      </c>
      <c r="G1507" s="890"/>
      <c r="H1507" s="916"/>
      <c r="I1507" s="916"/>
      <c r="J1507" s="917"/>
      <c r="K1507" s="917"/>
      <c r="L1507" s="916"/>
      <c r="M1507" s="916"/>
      <c r="N1507" s="893"/>
      <c r="O1507" s="893"/>
      <c r="P1507" s="916"/>
      <c r="Q1507" s="916"/>
      <c r="R1507" s="893"/>
      <c r="S1507" s="893"/>
      <c r="T1507" s="916"/>
      <c r="U1507" s="916"/>
      <c r="V1507" s="921" t="str">
        <f>'refer admin discharge'!H1508</f>
        <v>00/00/0000</v>
      </c>
      <c r="W1507" s="922"/>
      <c r="X1507" s="912"/>
      <c r="Y1507" s="912"/>
      <c r="Z1507" s="924"/>
      <c r="AA1507" s="924"/>
      <c r="AB1507" s="912"/>
      <c r="AC1507" s="912"/>
      <c r="AD1507" s="913"/>
      <c r="AE1507" s="913"/>
      <c r="AF1507" s="912"/>
      <c r="AG1507" s="912"/>
      <c r="AH1507" s="913"/>
      <c r="AI1507" s="913"/>
      <c r="AJ1507" s="912"/>
      <c r="AK1507" s="912"/>
      <c r="AL1507" s="925"/>
      <c r="AM1507" s="926"/>
      <c r="AN1507" s="926"/>
      <c r="AO1507" s="926"/>
      <c r="AP1507" s="926"/>
      <c r="AQ1507" s="926"/>
      <c r="AR1507" s="926"/>
      <c r="AS1507" s="926"/>
      <c r="AT1507" s="926"/>
      <c r="AU1507" s="926"/>
      <c r="AV1507" s="926"/>
      <c r="AW1507" s="926"/>
      <c r="AX1507" s="926"/>
      <c r="AY1507" s="926"/>
      <c r="AZ1507" s="926"/>
      <c r="BA1507" s="926"/>
      <c r="BB1507" s="927"/>
    </row>
    <row r="1508" spans="1:54" x14ac:dyDescent="0.25">
      <c r="A1508" s="13">
        <f t="shared" si="23"/>
        <v>1495</v>
      </c>
      <c r="B1508" s="888" t="str">
        <f>'refer admin discharge'!B1504</f>
        <v>x</v>
      </c>
      <c r="C1508" s="888"/>
      <c r="D1508" s="868" t="str">
        <f>'refer admin discharge'!D1504</f>
        <v>xx</v>
      </c>
      <c r="E1508" s="868"/>
      <c r="F1508" s="891" t="str">
        <f>'refer admin discharge'!H1504</f>
        <v>00/00/0000</v>
      </c>
      <c r="G1508" s="892"/>
      <c r="H1508" s="894"/>
      <c r="I1508" s="894"/>
      <c r="J1508" s="918"/>
      <c r="K1508" s="918"/>
      <c r="L1508" s="894"/>
      <c r="M1508" s="894"/>
      <c r="N1508" s="916"/>
      <c r="O1508" s="916"/>
      <c r="P1508" s="894"/>
      <c r="Q1508" s="894"/>
      <c r="R1508" s="916"/>
      <c r="S1508" s="916"/>
      <c r="T1508" s="894"/>
      <c r="U1508" s="894"/>
      <c r="V1508" s="921" t="str">
        <f>'refer admin discharge'!H1509</f>
        <v>00/00/0000</v>
      </c>
      <c r="W1508" s="922"/>
      <c r="X1508" s="920"/>
      <c r="Y1508" s="920"/>
      <c r="Z1508" s="919"/>
      <c r="AA1508" s="919"/>
      <c r="AB1508" s="920"/>
      <c r="AC1508" s="920"/>
      <c r="AD1508" s="912"/>
      <c r="AE1508" s="912"/>
      <c r="AF1508" s="920"/>
      <c r="AG1508" s="920"/>
      <c r="AH1508" s="912"/>
      <c r="AI1508" s="912"/>
      <c r="AJ1508" s="920"/>
      <c r="AK1508" s="920"/>
      <c r="AL1508" s="905"/>
      <c r="AM1508" s="906"/>
      <c r="AN1508" s="906"/>
      <c r="AO1508" s="906"/>
      <c r="AP1508" s="906"/>
      <c r="AQ1508" s="906"/>
      <c r="AR1508" s="906"/>
      <c r="AS1508" s="906"/>
      <c r="AT1508" s="906"/>
      <c r="AU1508" s="906"/>
      <c r="AV1508" s="906"/>
      <c r="AW1508" s="906"/>
      <c r="AX1508" s="906"/>
      <c r="AY1508" s="906"/>
      <c r="AZ1508" s="906"/>
      <c r="BA1508" s="906"/>
      <c r="BB1508" s="907"/>
    </row>
    <row r="1509" spans="1:54" x14ac:dyDescent="0.25">
      <c r="A1509" s="13">
        <f t="shared" si="23"/>
        <v>1496</v>
      </c>
      <c r="B1509" s="914" t="str">
        <f>'refer admin discharge'!B1505</f>
        <v>x</v>
      </c>
      <c r="C1509" s="914"/>
      <c r="D1509" s="889" t="str">
        <f>'refer admin discharge'!D1505</f>
        <v>xx</v>
      </c>
      <c r="E1509" s="889"/>
      <c r="F1509" s="915" t="str">
        <f>'refer admin discharge'!H1505</f>
        <v>00/00/0000</v>
      </c>
      <c r="G1509" s="890"/>
      <c r="H1509" s="916"/>
      <c r="I1509" s="916"/>
      <c r="J1509" s="917"/>
      <c r="K1509" s="917"/>
      <c r="L1509" s="916"/>
      <c r="M1509" s="916"/>
      <c r="N1509" s="893"/>
      <c r="O1509" s="893"/>
      <c r="P1509" s="916"/>
      <c r="Q1509" s="916"/>
      <c r="R1509" s="893"/>
      <c r="S1509" s="893"/>
      <c r="T1509" s="916"/>
      <c r="U1509" s="916"/>
      <c r="V1509" s="921" t="str">
        <f>'refer admin discharge'!H1510</f>
        <v>00/00/0000</v>
      </c>
      <c r="W1509" s="922"/>
      <c r="X1509" s="912"/>
      <c r="Y1509" s="912"/>
      <c r="Z1509" s="924"/>
      <c r="AA1509" s="924"/>
      <c r="AB1509" s="912"/>
      <c r="AC1509" s="912"/>
      <c r="AD1509" s="913"/>
      <c r="AE1509" s="913"/>
      <c r="AF1509" s="912"/>
      <c r="AG1509" s="912"/>
      <c r="AH1509" s="913"/>
      <c r="AI1509" s="913"/>
      <c r="AJ1509" s="912"/>
      <c r="AK1509" s="912"/>
      <c r="AL1509" s="925"/>
      <c r="AM1509" s="926"/>
      <c r="AN1509" s="926"/>
      <c r="AO1509" s="926"/>
      <c r="AP1509" s="926"/>
      <c r="AQ1509" s="926"/>
      <c r="AR1509" s="926"/>
      <c r="AS1509" s="926"/>
      <c r="AT1509" s="926"/>
      <c r="AU1509" s="926"/>
      <c r="AV1509" s="926"/>
      <c r="AW1509" s="926"/>
      <c r="AX1509" s="926"/>
      <c r="AY1509" s="926"/>
      <c r="AZ1509" s="926"/>
      <c r="BA1509" s="926"/>
      <c r="BB1509" s="927"/>
    </row>
    <row r="1510" spans="1:54" x14ac:dyDescent="0.25">
      <c r="A1510" s="13">
        <f t="shared" si="23"/>
        <v>1497</v>
      </c>
      <c r="B1510" s="888" t="str">
        <f>'refer admin discharge'!B1506</f>
        <v>x</v>
      </c>
      <c r="C1510" s="888"/>
      <c r="D1510" s="868" t="str">
        <f>'refer admin discharge'!D1506</f>
        <v>xx</v>
      </c>
      <c r="E1510" s="868"/>
      <c r="F1510" s="891" t="str">
        <f>'refer admin discharge'!H1506</f>
        <v>00/00/0000</v>
      </c>
      <c r="G1510" s="892"/>
      <c r="H1510" s="894"/>
      <c r="I1510" s="894"/>
      <c r="J1510" s="918"/>
      <c r="K1510" s="918"/>
      <c r="L1510" s="894"/>
      <c r="M1510" s="894"/>
      <c r="N1510" s="916"/>
      <c r="O1510" s="916"/>
      <c r="P1510" s="894"/>
      <c r="Q1510" s="894"/>
      <c r="R1510" s="916"/>
      <c r="S1510" s="916"/>
      <c r="T1510" s="894"/>
      <c r="U1510" s="894"/>
      <c r="V1510" s="921" t="str">
        <f>'refer admin discharge'!H1511</f>
        <v>00/00/0000</v>
      </c>
      <c r="W1510" s="922"/>
      <c r="X1510" s="920"/>
      <c r="Y1510" s="920"/>
      <c r="Z1510" s="919"/>
      <c r="AA1510" s="919"/>
      <c r="AB1510" s="920"/>
      <c r="AC1510" s="920"/>
      <c r="AD1510" s="912"/>
      <c r="AE1510" s="912"/>
      <c r="AF1510" s="920"/>
      <c r="AG1510" s="920"/>
      <c r="AH1510" s="912"/>
      <c r="AI1510" s="912"/>
      <c r="AJ1510" s="920"/>
      <c r="AK1510" s="920"/>
      <c r="AL1510" s="905"/>
      <c r="AM1510" s="906"/>
      <c r="AN1510" s="906"/>
      <c r="AO1510" s="906"/>
      <c r="AP1510" s="906"/>
      <c r="AQ1510" s="906"/>
      <c r="AR1510" s="906"/>
      <c r="AS1510" s="906"/>
      <c r="AT1510" s="906"/>
      <c r="AU1510" s="906"/>
      <c r="AV1510" s="906"/>
      <c r="AW1510" s="906"/>
      <c r="AX1510" s="906"/>
      <c r="AY1510" s="906"/>
      <c r="AZ1510" s="906"/>
      <c r="BA1510" s="906"/>
      <c r="BB1510" s="907"/>
    </row>
    <row r="1511" spans="1:54" x14ac:dyDescent="0.25">
      <c r="A1511" s="13">
        <f t="shared" si="23"/>
        <v>1498</v>
      </c>
      <c r="B1511" s="914" t="str">
        <f>'refer admin discharge'!B1507</f>
        <v>x</v>
      </c>
      <c r="C1511" s="914"/>
      <c r="D1511" s="889" t="str">
        <f>'refer admin discharge'!D1507</f>
        <v>xx</v>
      </c>
      <c r="E1511" s="889"/>
      <c r="F1511" s="915" t="str">
        <f>'refer admin discharge'!H1507</f>
        <v>00/00/0000</v>
      </c>
      <c r="G1511" s="890"/>
      <c r="H1511" s="916"/>
      <c r="I1511" s="916"/>
      <c r="J1511" s="917"/>
      <c r="K1511" s="917"/>
      <c r="L1511" s="916"/>
      <c r="M1511" s="916"/>
      <c r="N1511" s="893"/>
      <c r="O1511" s="893"/>
      <c r="P1511" s="916"/>
      <c r="Q1511" s="916"/>
      <c r="R1511" s="893"/>
      <c r="S1511" s="893"/>
      <c r="T1511" s="916"/>
      <c r="U1511" s="916"/>
      <c r="V1511" s="921" t="str">
        <f>'refer admin discharge'!H1512</f>
        <v>00/00/0000</v>
      </c>
      <c r="W1511" s="922"/>
      <c r="X1511" s="912"/>
      <c r="Y1511" s="912"/>
      <c r="Z1511" s="924"/>
      <c r="AA1511" s="924"/>
      <c r="AB1511" s="912"/>
      <c r="AC1511" s="912"/>
      <c r="AD1511" s="913"/>
      <c r="AE1511" s="913"/>
      <c r="AF1511" s="912"/>
      <c r="AG1511" s="912"/>
      <c r="AH1511" s="913"/>
      <c r="AI1511" s="913"/>
      <c r="AJ1511" s="912"/>
      <c r="AK1511" s="912"/>
      <c r="AL1511" s="925"/>
      <c r="AM1511" s="926"/>
      <c r="AN1511" s="926"/>
      <c r="AO1511" s="926"/>
      <c r="AP1511" s="926"/>
      <c r="AQ1511" s="926"/>
      <c r="AR1511" s="926"/>
      <c r="AS1511" s="926"/>
      <c r="AT1511" s="926"/>
      <c r="AU1511" s="926"/>
      <c r="AV1511" s="926"/>
      <c r="AW1511" s="926"/>
      <c r="AX1511" s="926"/>
      <c r="AY1511" s="926"/>
      <c r="AZ1511" s="926"/>
      <c r="BA1511" s="926"/>
      <c r="BB1511" s="927"/>
    </row>
    <row r="1512" spans="1:54" x14ac:dyDescent="0.25">
      <c r="A1512" s="13">
        <f t="shared" si="23"/>
        <v>1499</v>
      </c>
      <c r="B1512" s="888" t="str">
        <f>'refer admin discharge'!B1508</f>
        <v>x</v>
      </c>
      <c r="C1512" s="888"/>
      <c r="D1512" s="868" t="str">
        <f>'refer admin discharge'!D1508</f>
        <v>xx</v>
      </c>
      <c r="E1512" s="868"/>
      <c r="F1512" s="891" t="str">
        <f>'refer admin discharge'!H1508</f>
        <v>00/00/0000</v>
      </c>
      <c r="G1512" s="892"/>
      <c r="H1512" s="894"/>
      <c r="I1512" s="894"/>
      <c r="J1512" s="918"/>
      <c r="K1512" s="918"/>
      <c r="L1512" s="894"/>
      <c r="M1512" s="894"/>
      <c r="N1512" s="916"/>
      <c r="O1512" s="916"/>
      <c r="P1512" s="894"/>
      <c r="Q1512" s="894"/>
      <c r="R1512" s="916"/>
      <c r="S1512" s="916"/>
      <c r="T1512" s="894"/>
      <c r="U1512" s="894"/>
      <c r="V1512" s="921" t="str">
        <f>'refer admin discharge'!H1513</f>
        <v>00/00/0000</v>
      </c>
      <c r="W1512" s="922"/>
      <c r="X1512" s="920"/>
      <c r="Y1512" s="920"/>
      <c r="Z1512" s="919"/>
      <c r="AA1512" s="919"/>
      <c r="AB1512" s="920"/>
      <c r="AC1512" s="920"/>
      <c r="AD1512" s="912"/>
      <c r="AE1512" s="912"/>
      <c r="AF1512" s="920"/>
      <c r="AG1512" s="920"/>
      <c r="AH1512" s="912"/>
      <c r="AI1512" s="912"/>
      <c r="AJ1512" s="920"/>
      <c r="AK1512" s="920"/>
      <c r="AL1512" s="905"/>
      <c r="AM1512" s="906"/>
      <c r="AN1512" s="906"/>
      <c r="AO1512" s="906"/>
      <c r="AP1512" s="906"/>
      <c r="AQ1512" s="906"/>
      <c r="AR1512" s="906"/>
      <c r="AS1512" s="906"/>
      <c r="AT1512" s="906"/>
      <c r="AU1512" s="906"/>
      <c r="AV1512" s="906"/>
      <c r="AW1512" s="906"/>
      <c r="AX1512" s="906"/>
      <c r="AY1512" s="906"/>
      <c r="AZ1512" s="906"/>
      <c r="BA1512" s="906"/>
      <c r="BB1512" s="907"/>
    </row>
    <row r="1513" spans="1:54" x14ac:dyDescent="0.25">
      <c r="A1513" s="13">
        <f t="shared" si="23"/>
        <v>1500</v>
      </c>
      <c r="B1513" s="914" t="str">
        <f>'refer admin discharge'!B1509</f>
        <v>x</v>
      </c>
      <c r="C1513" s="914"/>
      <c r="D1513" s="889" t="str">
        <f>'refer admin discharge'!D1509</f>
        <v>xx</v>
      </c>
      <c r="E1513" s="889"/>
      <c r="F1513" s="915" t="str">
        <f>'refer admin discharge'!H1509</f>
        <v>00/00/0000</v>
      </c>
      <c r="G1513" s="890"/>
      <c r="H1513" s="916"/>
      <c r="I1513" s="916"/>
      <c r="J1513" s="917"/>
      <c r="K1513" s="917"/>
      <c r="L1513" s="916"/>
      <c r="M1513" s="916"/>
      <c r="N1513" s="893"/>
      <c r="O1513" s="893"/>
      <c r="P1513" s="916"/>
      <c r="Q1513" s="916"/>
      <c r="R1513" s="893"/>
      <c r="S1513" s="893"/>
      <c r="T1513" s="916"/>
      <c r="U1513" s="916"/>
      <c r="V1513" s="921" t="str">
        <f>'refer admin discharge'!H1514</f>
        <v>00/00/0000</v>
      </c>
      <c r="W1513" s="922"/>
      <c r="X1513" s="912"/>
      <c r="Y1513" s="912"/>
      <c r="Z1513" s="924"/>
      <c r="AA1513" s="924"/>
      <c r="AB1513" s="912"/>
      <c r="AC1513" s="912"/>
      <c r="AD1513" s="913"/>
      <c r="AE1513" s="913"/>
      <c r="AF1513" s="912"/>
      <c r="AG1513" s="912"/>
      <c r="AH1513" s="913"/>
      <c r="AI1513" s="913"/>
      <c r="AJ1513" s="912"/>
      <c r="AK1513" s="912"/>
      <c r="AL1513" s="925"/>
      <c r="AM1513" s="926"/>
      <c r="AN1513" s="926"/>
      <c r="AO1513" s="926"/>
      <c r="AP1513" s="926"/>
      <c r="AQ1513" s="926"/>
      <c r="AR1513" s="926"/>
      <c r="AS1513" s="926"/>
      <c r="AT1513" s="926"/>
      <c r="AU1513" s="926"/>
      <c r="AV1513" s="926"/>
      <c r="AW1513" s="926"/>
      <c r="AX1513" s="926"/>
      <c r="AY1513" s="926"/>
      <c r="AZ1513" s="926"/>
      <c r="BA1513" s="926"/>
      <c r="BB1513" s="927"/>
    </row>
    <row r="1514" spans="1:54" x14ac:dyDescent="0.25">
      <c r="A1514" s="13">
        <f t="shared" si="23"/>
        <v>1501</v>
      </c>
      <c r="B1514" s="888" t="str">
        <f>'refer admin discharge'!B1510</f>
        <v>x</v>
      </c>
      <c r="C1514" s="888"/>
      <c r="D1514" s="868" t="str">
        <f>'refer admin discharge'!D1510</f>
        <v>xx</v>
      </c>
      <c r="E1514" s="868"/>
      <c r="F1514" s="891" t="str">
        <f>'refer admin discharge'!H1510</f>
        <v>00/00/0000</v>
      </c>
      <c r="G1514" s="892"/>
      <c r="H1514" s="894"/>
      <c r="I1514" s="894"/>
      <c r="J1514" s="918"/>
      <c r="K1514" s="918"/>
      <c r="L1514" s="894"/>
      <c r="M1514" s="894"/>
      <c r="N1514" s="916"/>
      <c r="O1514" s="916"/>
      <c r="P1514" s="894"/>
      <c r="Q1514" s="894"/>
      <c r="R1514" s="916"/>
      <c r="S1514" s="916"/>
      <c r="T1514" s="894"/>
      <c r="U1514" s="894"/>
      <c r="V1514" s="921" t="str">
        <f>'refer admin discharge'!H1515</f>
        <v>00/00/0000</v>
      </c>
      <c r="W1514" s="922"/>
      <c r="X1514" s="920"/>
      <c r="Y1514" s="920"/>
      <c r="Z1514" s="919"/>
      <c r="AA1514" s="919"/>
      <c r="AB1514" s="920"/>
      <c r="AC1514" s="920"/>
      <c r="AD1514" s="912"/>
      <c r="AE1514" s="912"/>
      <c r="AF1514" s="920"/>
      <c r="AG1514" s="920"/>
      <c r="AH1514" s="912"/>
      <c r="AI1514" s="912"/>
      <c r="AJ1514" s="920"/>
      <c r="AK1514" s="920"/>
      <c r="AL1514" s="905"/>
      <c r="AM1514" s="906"/>
      <c r="AN1514" s="906"/>
      <c r="AO1514" s="906"/>
      <c r="AP1514" s="906"/>
      <c r="AQ1514" s="906"/>
      <c r="AR1514" s="906"/>
      <c r="AS1514" s="906"/>
      <c r="AT1514" s="906"/>
      <c r="AU1514" s="906"/>
      <c r="AV1514" s="906"/>
      <c r="AW1514" s="906"/>
      <c r="AX1514" s="906"/>
      <c r="AY1514" s="906"/>
      <c r="AZ1514" s="906"/>
      <c r="BA1514" s="906"/>
      <c r="BB1514" s="907"/>
    </row>
    <row r="1515" spans="1:54" x14ac:dyDescent="0.25">
      <c r="A1515" s="13">
        <f t="shared" si="23"/>
        <v>1502</v>
      </c>
      <c r="B1515" s="914" t="str">
        <f>'refer admin discharge'!B1511</f>
        <v>x</v>
      </c>
      <c r="C1515" s="914"/>
      <c r="D1515" s="889" t="str">
        <f>'refer admin discharge'!D1511</f>
        <v>xx</v>
      </c>
      <c r="E1515" s="889"/>
      <c r="F1515" s="915" t="str">
        <f>'refer admin discharge'!H1511</f>
        <v>00/00/0000</v>
      </c>
      <c r="G1515" s="890"/>
      <c r="H1515" s="916"/>
      <c r="I1515" s="916"/>
      <c r="J1515" s="917"/>
      <c r="K1515" s="917"/>
      <c r="L1515" s="916"/>
      <c r="M1515" s="916"/>
      <c r="N1515" s="893"/>
      <c r="O1515" s="893"/>
      <c r="P1515" s="916"/>
      <c r="Q1515" s="916"/>
      <c r="R1515" s="893"/>
      <c r="S1515" s="893"/>
      <c r="T1515" s="916"/>
      <c r="U1515" s="916"/>
      <c r="V1515" s="921" t="str">
        <f>'refer admin discharge'!H1516</f>
        <v>00/00/0000</v>
      </c>
      <c r="W1515" s="922"/>
      <c r="X1515" s="912"/>
      <c r="Y1515" s="912"/>
      <c r="Z1515" s="924"/>
      <c r="AA1515" s="924"/>
      <c r="AB1515" s="912"/>
      <c r="AC1515" s="912"/>
      <c r="AD1515" s="913"/>
      <c r="AE1515" s="913"/>
      <c r="AF1515" s="912"/>
      <c r="AG1515" s="912"/>
      <c r="AH1515" s="913"/>
      <c r="AI1515" s="913"/>
      <c r="AJ1515" s="912"/>
      <c r="AK1515" s="912"/>
      <c r="AL1515" s="925"/>
      <c r="AM1515" s="926"/>
      <c r="AN1515" s="926"/>
      <c r="AO1515" s="926"/>
      <c r="AP1515" s="926"/>
      <c r="AQ1515" s="926"/>
      <c r="AR1515" s="926"/>
      <c r="AS1515" s="926"/>
      <c r="AT1515" s="926"/>
      <c r="AU1515" s="926"/>
      <c r="AV1515" s="926"/>
      <c r="AW1515" s="926"/>
      <c r="AX1515" s="926"/>
      <c r="AY1515" s="926"/>
      <c r="AZ1515" s="926"/>
      <c r="BA1515" s="926"/>
      <c r="BB1515" s="927"/>
    </row>
    <row r="1516" spans="1:54" x14ac:dyDescent="0.25">
      <c r="A1516" s="13">
        <f t="shared" si="23"/>
        <v>1503</v>
      </c>
      <c r="B1516" s="888" t="str">
        <f>'refer admin discharge'!B1512</f>
        <v>x</v>
      </c>
      <c r="C1516" s="888"/>
      <c r="D1516" s="868" t="str">
        <f>'refer admin discharge'!D1512</f>
        <v>xx</v>
      </c>
      <c r="E1516" s="868"/>
      <c r="F1516" s="891" t="str">
        <f>'refer admin discharge'!H1512</f>
        <v>00/00/0000</v>
      </c>
      <c r="G1516" s="892"/>
      <c r="H1516" s="894"/>
      <c r="I1516" s="894"/>
      <c r="J1516" s="918"/>
      <c r="K1516" s="918"/>
      <c r="L1516" s="894"/>
      <c r="M1516" s="894"/>
      <c r="N1516" s="916"/>
      <c r="O1516" s="916"/>
      <c r="P1516" s="894"/>
      <c r="Q1516" s="894"/>
      <c r="R1516" s="916"/>
      <c r="S1516" s="916"/>
      <c r="T1516" s="894"/>
      <c r="U1516" s="894"/>
      <c r="V1516" s="921" t="str">
        <f>'refer admin discharge'!H1517</f>
        <v>00/00/0000</v>
      </c>
      <c r="W1516" s="922"/>
      <c r="X1516" s="920"/>
      <c r="Y1516" s="920"/>
      <c r="Z1516" s="919"/>
      <c r="AA1516" s="919"/>
      <c r="AB1516" s="920"/>
      <c r="AC1516" s="920"/>
      <c r="AD1516" s="912"/>
      <c r="AE1516" s="912"/>
      <c r="AF1516" s="920"/>
      <c r="AG1516" s="920"/>
      <c r="AH1516" s="912"/>
      <c r="AI1516" s="912"/>
      <c r="AJ1516" s="920"/>
      <c r="AK1516" s="920"/>
      <c r="AL1516" s="905"/>
      <c r="AM1516" s="906"/>
      <c r="AN1516" s="906"/>
      <c r="AO1516" s="906"/>
      <c r="AP1516" s="906"/>
      <c r="AQ1516" s="906"/>
      <c r="AR1516" s="906"/>
      <c r="AS1516" s="906"/>
      <c r="AT1516" s="906"/>
      <c r="AU1516" s="906"/>
      <c r="AV1516" s="906"/>
      <c r="AW1516" s="906"/>
      <c r="AX1516" s="906"/>
      <c r="AY1516" s="906"/>
      <c r="AZ1516" s="906"/>
      <c r="BA1516" s="906"/>
      <c r="BB1516" s="907"/>
    </row>
    <row r="1517" spans="1:54" x14ac:dyDescent="0.25">
      <c r="A1517" s="13">
        <f t="shared" si="23"/>
        <v>1504</v>
      </c>
      <c r="B1517" s="914" t="str">
        <f>'refer admin discharge'!B1513</f>
        <v>x</v>
      </c>
      <c r="C1517" s="914"/>
      <c r="D1517" s="889" t="str">
        <f>'refer admin discharge'!D1513</f>
        <v>xx</v>
      </c>
      <c r="E1517" s="889"/>
      <c r="F1517" s="915" t="str">
        <f>'refer admin discharge'!H1513</f>
        <v>00/00/0000</v>
      </c>
      <c r="G1517" s="890"/>
      <c r="H1517" s="916"/>
      <c r="I1517" s="916"/>
      <c r="J1517" s="917"/>
      <c r="K1517" s="917"/>
      <c r="L1517" s="916"/>
      <c r="M1517" s="916"/>
      <c r="N1517" s="893"/>
      <c r="O1517" s="893"/>
      <c r="P1517" s="916"/>
      <c r="Q1517" s="916"/>
      <c r="R1517" s="893"/>
      <c r="S1517" s="893"/>
      <c r="T1517" s="916"/>
      <c r="U1517" s="916"/>
      <c r="V1517" s="921" t="str">
        <f>'refer admin discharge'!H1518</f>
        <v>00/00/0000</v>
      </c>
      <c r="W1517" s="922"/>
      <c r="X1517" s="912"/>
      <c r="Y1517" s="912"/>
      <c r="Z1517" s="924"/>
      <c r="AA1517" s="924"/>
      <c r="AB1517" s="912"/>
      <c r="AC1517" s="912"/>
      <c r="AD1517" s="913"/>
      <c r="AE1517" s="913"/>
      <c r="AF1517" s="912"/>
      <c r="AG1517" s="912"/>
      <c r="AH1517" s="913"/>
      <c r="AI1517" s="913"/>
      <c r="AJ1517" s="912"/>
      <c r="AK1517" s="912"/>
      <c r="AL1517" s="925"/>
      <c r="AM1517" s="926"/>
      <c r="AN1517" s="926"/>
      <c r="AO1517" s="926"/>
      <c r="AP1517" s="926"/>
      <c r="AQ1517" s="926"/>
      <c r="AR1517" s="926"/>
      <c r="AS1517" s="926"/>
      <c r="AT1517" s="926"/>
      <c r="AU1517" s="926"/>
      <c r="AV1517" s="926"/>
      <c r="AW1517" s="926"/>
      <c r="AX1517" s="926"/>
      <c r="AY1517" s="926"/>
      <c r="AZ1517" s="926"/>
      <c r="BA1517" s="926"/>
      <c r="BB1517" s="927"/>
    </row>
    <row r="1518" spans="1:54" x14ac:dyDescent="0.25">
      <c r="A1518" s="13">
        <f t="shared" si="23"/>
        <v>1505</v>
      </c>
      <c r="B1518" s="888" t="str">
        <f>'refer admin discharge'!B1514</f>
        <v>x</v>
      </c>
      <c r="C1518" s="888"/>
      <c r="D1518" s="868" t="str">
        <f>'refer admin discharge'!D1514</f>
        <v>xx</v>
      </c>
      <c r="E1518" s="868"/>
      <c r="F1518" s="891" t="str">
        <f>'refer admin discharge'!H1514</f>
        <v>00/00/0000</v>
      </c>
      <c r="G1518" s="892"/>
      <c r="H1518" s="894"/>
      <c r="I1518" s="894"/>
      <c r="J1518" s="918"/>
      <c r="K1518" s="918"/>
      <c r="L1518" s="894"/>
      <c r="M1518" s="894"/>
      <c r="N1518" s="916"/>
      <c r="O1518" s="916"/>
      <c r="P1518" s="894"/>
      <c r="Q1518" s="894"/>
      <c r="R1518" s="916"/>
      <c r="S1518" s="916"/>
      <c r="T1518" s="894"/>
      <c r="U1518" s="894"/>
      <c r="V1518" s="921" t="str">
        <f>'refer admin discharge'!H1519</f>
        <v>00/00/0000</v>
      </c>
      <c r="W1518" s="922"/>
      <c r="X1518" s="920"/>
      <c r="Y1518" s="920"/>
      <c r="Z1518" s="919"/>
      <c r="AA1518" s="919"/>
      <c r="AB1518" s="920"/>
      <c r="AC1518" s="920"/>
      <c r="AD1518" s="912"/>
      <c r="AE1518" s="912"/>
      <c r="AF1518" s="920"/>
      <c r="AG1518" s="920"/>
      <c r="AH1518" s="912"/>
      <c r="AI1518" s="912"/>
      <c r="AJ1518" s="920"/>
      <c r="AK1518" s="920"/>
      <c r="AL1518" s="905"/>
      <c r="AM1518" s="906"/>
      <c r="AN1518" s="906"/>
      <c r="AO1518" s="906"/>
      <c r="AP1518" s="906"/>
      <c r="AQ1518" s="906"/>
      <c r="AR1518" s="906"/>
      <c r="AS1518" s="906"/>
      <c r="AT1518" s="906"/>
      <c r="AU1518" s="906"/>
      <c r="AV1518" s="906"/>
      <c r="AW1518" s="906"/>
      <c r="AX1518" s="906"/>
      <c r="AY1518" s="906"/>
      <c r="AZ1518" s="906"/>
      <c r="BA1518" s="906"/>
      <c r="BB1518" s="907"/>
    </row>
    <row r="1519" spans="1:54" x14ac:dyDescent="0.25">
      <c r="A1519" s="13">
        <f t="shared" si="23"/>
        <v>1506</v>
      </c>
      <c r="B1519" s="914" t="str">
        <f>'refer admin discharge'!B1515</f>
        <v>x</v>
      </c>
      <c r="C1519" s="914"/>
      <c r="D1519" s="889" t="str">
        <f>'refer admin discharge'!D1515</f>
        <v>xx</v>
      </c>
      <c r="E1519" s="889"/>
      <c r="F1519" s="915" t="str">
        <f>'refer admin discharge'!H1515</f>
        <v>00/00/0000</v>
      </c>
      <c r="G1519" s="890"/>
      <c r="H1519" s="916"/>
      <c r="I1519" s="916"/>
      <c r="J1519" s="917"/>
      <c r="K1519" s="917"/>
      <c r="L1519" s="916"/>
      <c r="M1519" s="916"/>
      <c r="N1519" s="893"/>
      <c r="O1519" s="893"/>
      <c r="P1519" s="916"/>
      <c r="Q1519" s="916"/>
      <c r="R1519" s="893"/>
      <c r="S1519" s="893"/>
      <c r="T1519" s="916"/>
      <c r="U1519" s="916"/>
      <c r="V1519" s="921" t="str">
        <f>'refer admin discharge'!H1520</f>
        <v>00/00/0000</v>
      </c>
      <c r="W1519" s="922"/>
      <c r="X1519" s="912"/>
      <c r="Y1519" s="912"/>
      <c r="Z1519" s="924"/>
      <c r="AA1519" s="924"/>
      <c r="AB1519" s="912"/>
      <c r="AC1519" s="912"/>
      <c r="AD1519" s="913"/>
      <c r="AE1519" s="913"/>
      <c r="AF1519" s="912"/>
      <c r="AG1519" s="912"/>
      <c r="AH1519" s="913"/>
      <c r="AI1519" s="913"/>
      <c r="AJ1519" s="912"/>
      <c r="AK1519" s="912"/>
      <c r="AL1519" s="925"/>
      <c r="AM1519" s="926"/>
      <c r="AN1519" s="926"/>
      <c r="AO1519" s="926"/>
      <c r="AP1519" s="926"/>
      <c r="AQ1519" s="926"/>
      <c r="AR1519" s="926"/>
      <c r="AS1519" s="926"/>
      <c r="AT1519" s="926"/>
      <c r="AU1519" s="926"/>
      <c r="AV1519" s="926"/>
      <c r="AW1519" s="926"/>
      <c r="AX1519" s="926"/>
      <c r="AY1519" s="926"/>
      <c r="AZ1519" s="926"/>
      <c r="BA1519" s="926"/>
      <c r="BB1519" s="927"/>
    </row>
    <row r="1520" spans="1:54" x14ac:dyDescent="0.25">
      <c r="A1520" s="13">
        <f t="shared" si="23"/>
        <v>1507</v>
      </c>
      <c r="B1520" s="888" t="str">
        <f>'refer admin discharge'!B1516</f>
        <v>x</v>
      </c>
      <c r="C1520" s="888"/>
      <c r="D1520" s="868" t="str">
        <f>'refer admin discharge'!D1516</f>
        <v>xx</v>
      </c>
      <c r="E1520" s="868"/>
      <c r="F1520" s="891" t="str">
        <f>'refer admin discharge'!H1516</f>
        <v>00/00/0000</v>
      </c>
      <c r="G1520" s="892"/>
      <c r="H1520" s="894"/>
      <c r="I1520" s="894"/>
      <c r="J1520" s="918"/>
      <c r="K1520" s="918"/>
      <c r="L1520" s="894"/>
      <c r="M1520" s="894"/>
      <c r="N1520" s="916"/>
      <c r="O1520" s="916"/>
      <c r="P1520" s="894"/>
      <c r="Q1520" s="894"/>
      <c r="R1520" s="916"/>
      <c r="S1520" s="916"/>
      <c r="T1520" s="894"/>
      <c r="U1520" s="894"/>
      <c r="V1520" s="921" t="str">
        <f>'refer admin discharge'!H1521</f>
        <v>00/00/0000</v>
      </c>
      <c r="W1520" s="922"/>
      <c r="X1520" s="920"/>
      <c r="Y1520" s="920"/>
      <c r="Z1520" s="919"/>
      <c r="AA1520" s="919"/>
      <c r="AB1520" s="920"/>
      <c r="AC1520" s="920"/>
      <c r="AD1520" s="912"/>
      <c r="AE1520" s="912"/>
      <c r="AF1520" s="920"/>
      <c r="AG1520" s="920"/>
      <c r="AH1520" s="912"/>
      <c r="AI1520" s="912"/>
      <c r="AJ1520" s="920"/>
      <c r="AK1520" s="920"/>
      <c r="AL1520" s="905"/>
      <c r="AM1520" s="906"/>
      <c r="AN1520" s="906"/>
      <c r="AO1520" s="906"/>
      <c r="AP1520" s="906"/>
      <c r="AQ1520" s="906"/>
      <c r="AR1520" s="906"/>
      <c r="AS1520" s="906"/>
      <c r="AT1520" s="906"/>
      <c r="AU1520" s="906"/>
      <c r="AV1520" s="906"/>
      <c r="AW1520" s="906"/>
      <c r="AX1520" s="906"/>
      <c r="AY1520" s="906"/>
      <c r="AZ1520" s="906"/>
      <c r="BA1520" s="906"/>
      <c r="BB1520" s="907"/>
    </row>
    <row r="1521" spans="1:54" x14ac:dyDescent="0.25">
      <c r="A1521" s="13">
        <f t="shared" si="23"/>
        <v>1508</v>
      </c>
      <c r="B1521" s="914" t="str">
        <f>'refer admin discharge'!B1517</f>
        <v>x</v>
      </c>
      <c r="C1521" s="914"/>
      <c r="D1521" s="889" t="str">
        <f>'refer admin discharge'!D1517</f>
        <v>xx</v>
      </c>
      <c r="E1521" s="889"/>
      <c r="F1521" s="915" t="str">
        <f>'refer admin discharge'!H1517</f>
        <v>00/00/0000</v>
      </c>
      <c r="G1521" s="890"/>
      <c r="H1521" s="916"/>
      <c r="I1521" s="916"/>
      <c r="J1521" s="917"/>
      <c r="K1521" s="917"/>
      <c r="L1521" s="916"/>
      <c r="M1521" s="916"/>
      <c r="N1521" s="893"/>
      <c r="O1521" s="893"/>
      <c r="P1521" s="916"/>
      <c r="Q1521" s="916"/>
      <c r="R1521" s="893"/>
      <c r="S1521" s="893"/>
      <c r="T1521" s="916"/>
      <c r="U1521" s="916"/>
      <c r="V1521" s="921" t="str">
        <f>'refer admin discharge'!H1522</f>
        <v>00/00/0000</v>
      </c>
      <c r="W1521" s="922"/>
      <c r="X1521" s="912"/>
      <c r="Y1521" s="912"/>
      <c r="Z1521" s="924"/>
      <c r="AA1521" s="924"/>
      <c r="AB1521" s="912"/>
      <c r="AC1521" s="912"/>
      <c r="AD1521" s="913"/>
      <c r="AE1521" s="913"/>
      <c r="AF1521" s="912"/>
      <c r="AG1521" s="912"/>
      <c r="AH1521" s="913"/>
      <c r="AI1521" s="913"/>
      <c r="AJ1521" s="912"/>
      <c r="AK1521" s="912"/>
      <c r="AL1521" s="925"/>
      <c r="AM1521" s="926"/>
      <c r="AN1521" s="926"/>
      <c r="AO1521" s="926"/>
      <c r="AP1521" s="926"/>
      <c r="AQ1521" s="926"/>
      <c r="AR1521" s="926"/>
      <c r="AS1521" s="926"/>
      <c r="AT1521" s="926"/>
      <c r="AU1521" s="926"/>
      <c r="AV1521" s="926"/>
      <c r="AW1521" s="926"/>
      <c r="AX1521" s="926"/>
      <c r="AY1521" s="926"/>
      <c r="AZ1521" s="926"/>
      <c r="BA1521" s="926"/>
      <c r="BB1521" s="927"/>
    </row>
    <row r="1522" spans="1:54" x14ac:dyDescent="0.25">
      <c r="A1522" s="13">
        <f t="shared" si="23"/>
        <v>1509</v>
      </c>
      <c r="B1522" s="888" t="str">
        <f>'refer admin discharge'!B1518</f>
        <v>x</v>
      </c>
      <c r="C1522" s="888"/>
      <c r="D1522" s="868" t="str">
        <f>'refer admin discharge'!D1518</f>
        <v>xx</v>
      </c>
      <c r="E1522" s="868"/>
      <c r="F1522" s="891" t="str">
        <f>'refer admin discharge'!H1518</f>
        <v>00/00/0000</v>
      </c>
      <c r="G1522" s="892"/>
      <c r="H1522" s="894"/>
      <c r="I1522" s="894"/>
      <c r="J1522" s="918"/>
      <c r="K1522" s="918"/>
      <c r="L1522" s="894"/>
      <c r="M1522" s="894"/>
      <c r="N1522" s="916"/>
      <c r="O1522" s="916"/>
      <c r="P1522" s="894"/>
      <c r="Q1522" s="894"/>
      <c r="R1522" s="916"/>
      <c r="S1522" s="916"/>
      <c r="T1522" s="894"/>
      <c r="U1522" s="894"/>
      <c r="V1522" s="921" t="str">
        <f>'refer admin discharge'!H1523</f>
        <v>00/00/0000</v>
      </c>
      <c r="W1522" s="922"/>
      <c r="X1522" s="920"/>
      <c r="Y1522" s="920"/>
      <c r="Z1522" s="919"/>
      <c r="AA1522" s="919"/>
      <c r="AB1522" s="920"/>
      <c r="AC1522" s="920"/>
      <c r="AD1522" s="912"/>
      <c r="AE1522" s="912"/>
      <c r="AF1522" s="920"/>
      <c r="AG1522" s="920"/>
      <c r="AH1522" s="912"/>
      <c r="AI1522" s="912"/>
      <c r="AJ1522" s="920"/>
      <c r="AK1522" s="920"/>
      <c r="AL1522" s="905"/>
      <c r="AM1522" s="906"/>
      <c r="AN1522" s="906"/>
      <c r="AO1522" s="906"/>
      <c r="AP1522" s="906"/>
      <c r="AQ1522" s="906"/>
      <c r="AR1522" s="906"/>
      <c r="AS1522" s="906"/>
      <c r="AT1522" s="906"/>
      <c r="AU1522" s="906"/>
      <c r="AV1522" s="906"/>
      <c r="AW1522" s="906"/>
      <c r="AX1522" s="906"/>
      <c r="AY1522" s="906"/>
      <c r="AZ1522" s="906"/>
      <c r="BA1522" s="906"/>
      <c r="BB1522" s="907"/>
    </row>
    <row r="1523" spans="1:54" x14ac:dyDescent="0.25">
      <c r="A1523" s="13">
        <f t="shared" si="23"/>
        <v>1510</v>
      </c>
      <c r="B1523" s="914" t="str">
        <f>'refer admin discharge'!B1519</f>
        <v>x</v>
      </c>
      <c r="C1523" s="914"/>
      <c r="D1523" s="889" t="str">
        <f>'refer admin discharge'!D1519</f>
        <v>xx</v>
      </c>
      <c r="E1523" s="889"/>
      <c r="F1523" s="915" t="str">
        <f>'refer admin discharge'!H1519</f>
        <v>00/00/0000</v>
      </c>
      <c r="G1523" s="890"/>
      <c r="H1523" s="916"/>
      <c r="I1523" s="916"/>
      <c r="J1523" s="917"/>
      <c r="K1523" s="917"/>
      <c r="L1523" s="916"/>
      <c r="M1523" s="916"/>
      <c r="N1523" s="893"/>
      <c r="O1523" s="893"/>
      <c r="P1523" s="916"/>
      <c r="Q1523" s="916"/>
      <c r="R1523" s="893"/>
      <c r="S1523" s="893"/>
      <c r="T1523" s="916"/>
      <c r="U1523" s="916"/>
      <c r="V1523" s="921" t="str">
        <f>'refer admin discharge'!H1524</f>
        <v>00/00/0000</v>
      </c>
      <c r="W1523" s="922"/>
      <c r="X1523" s="912"/>
      <c r="Y1523" s="912"/>
      <c r="Z1523" s="924"/>
      <c r="AA1523" s="924"/>
      <c r="AB1523" s="912"/>
      <c r="AC1523" s="912"/>
      <c r="AD1523" s="913"/>
      <c r="AE1523" s="913"/>
      <c r="AF1523" s="912"/>
      <c r="AG1523" s="912"/>
      <c r="AH1523" s="913"/>
      <c r="AI1523" s="913"/>
      <c r="AJ1523" s="912"/>
      <c r="AK1523" s="912"/>
      <c r="AL1523" s="925"/>
      <c r="AM1523" s="926"/>
      <c r="AN1523" s="926"/>
      <c r="AO1523" s="926"/>
      <c r="AP1523" s="926"/>
      <c r="AQ1523" s="926"/>
      <c r="AR1523" s="926"/>
      <c r="AS1523" s="926"/>
      <c r="AT1523" s="926"/>
      <c r="AU1523" s="926"/>
      <c r="AV1523" s="926"/>
      <c r="AW1523" s="926"/>
      <c r="AX1523" s="926"/>
      <c r="AY1523" s="926"/>
      <c r="AZ1523" s="926"/>
      <c r="BA1523" s="926"/>
      <c r="BB1523" s="927"/>
    </row>
    <row r="1524" spans="1:54" x14ac:dyDescent="0.25">
      <c r="A1524" s="13">
        <f t="shared" si="23"/>
        <v>1511</v>
      </c>
      <c r="B1524" s="888" t="str">
        <f>'refer admin discharge'!B1520</f>
        <v>x</v>
      </c>
      <c r="C1524" s="888"/>
      <c r="D1524" s="868" t="str">
        <f>'refer admin discharge'!D1520</f>
        <v>xx</v>
      </c>
      <c r="E1524" s="868"/>
      <c r="F1524" s="891" t="str">
        <f>'refer admin discharge'!H1520</f>
        <v>00/00/0000</v>
      </c>
      <c r="G1524" s="892"/>
      <c r="H1524" s="894"/>
      <c r="I1524" s="894"/>
      <c r="J1524" s="918"/>
      <c r="K1524" s="918"/>
      <c r="L1524" s="894"/>
      <c r="M1524" s="894"/>
      <c r="N1524" s="916"/>
      <c r="O1524" s="916"/>
      <c r="P1524" s="894"/>
      <c r="Q1524" s="894"/>
      <c r="R1524" s="916"/>
      <c r="S1524" s="916"/>
      <c r="T1524" s="894"/>
      <c r="U1524" s="894"/>
      <c r="V1524" s="921" t="str">
        <f>'refer admin discharge'!H1525</f>
        <v>00/00/0000</v>
      </c>
      <c r="W1524" s="922"/>
      <c r="X1524" s="920"/>
      <c r="Y1524" s="920"/>
      <c r="Z1524" s="919"/>
      <c r="AA1524" s="919"/>
      <c r="AB1524" s="920"/>
      <c r="AC1524" s="920"/>
      <c r="AD1524" s="912"/>
      <c r="AE1524" s="912"/>
      <c r="AF1524" s="920"/>
      <c r="AG1524" s="920"/>
      <c r="AH1524" s="912"/>
      <c r="AI1524" s="912"/>
      <c r="AJ1524" s="920"/>
      <c r="AK1524" s="920"/>
      <c r="AL1524" s="905"/>
      <c r="AM1524" s="906"/>
      <c r="AN1524" s="906"/>
      <c r="AO1524" s="906"/>
      <c r="AP1524" s="906"/>
      <c r="AQ1524" s="906"/>
      <c r="AR1524" s="906"/>
      <c r="AS1524" s="906"/>
      <c r="AT1524" s="906"/>
      <c r="AU1524" s="906"/>
      <c r="AV1524" s="906"/>
      <c r="AW1524" s="906"/>
      <c r="AX1524" s="906"/>
      <c r="AY1524" s="906"/>
      <c r="AZ1524" s="906"/>
      <c r="BA1524" s="906"/>
      <c r="BB1524" s="907"/>
    </row>
    <row r="1525" spans="1:54" x14ac:dyDescent="0.25">
      <c r="A1525" s="13">
        <f t="shared" si="23"/>
        <v>1512</v>
      </c>
      <c r="B1525" s="914" t="str">
        <f>'refer admin discharge'!B1521</f>
        <v>x</v>
      </c>
      <c r="C1525" s="914"/>
      <c r="D1525" s="889" t="str">
        <f>'refer admin discharge'!D1521</f>
        <v>xx</v>
      </c>
      <c r="E1525" s="889"/>
      <c r="F1525" s="915" t="str">
        <f>'refer admin discharge'!H1521</f>
        <v>00/00/0000</v>
      </c>
      <c r="G1525" s="890"/>
      <c r="H1525" s="916"/>
      <c r="I1525" s="916"/>
      <c r="J1525" s="917"/>
      <c r="K1525" s="917"/>
      <c r="L1525" s="916"/>
      <c r="M1525" s="916"/>
      <c r="N1525" s="893"/>
      <c r="O1525" s="893"/>
      <c r="P1525" s="916"/>
      <c r="Q1525" s="916"/>
      <c r="R1525" s="893"/>
      <c r="S1525" s="893"/>
      <c r="T1525" s="916"/>
      <c r="U1525" s="916"/>
      <c r="V1525" s="921" t="str">
        <f>'refer admin discharge'!H1526</f>
        <v>00/00/0000</v>
      </c>
      <c r="W1525" s="922"/>
      <c r="X1525" s="912"/>
      <c r="Y1525" s="912"/>
      <c r="Z1525" s="924"/>
      <c r="AA1525" s="924"/>
      <c r="AB1525" s="912"/>
      <c r="AC1525" s="912"/>
      <c r="AD1525" s="913"/>
      <c r="AE1525" s="913"/>
      <c r="AF1525" s="912"/>
      <c r="AG1525" s="912"/>
      <c r="AH1525" s="913"/>
      <c r="AI1525" s="913"/>
      <c r="AJ1525" s="912"/>
      <c r="AK1525" s="912"/>
      <c r="AL1525" s="925"/>
      <c r="AM1525" s="926"/>
      <c r="AN1525" s="926"/>
      <c r="AO1525" s="926"/>
      <c r="AP1525" s="926"/>
      <c r="AQ1525" s="926"/>
      <c r="AR1525" s="926"/>
      <c r="AS1525" s="926"/>
      <c r="AT1525" s="926"/>
      <c r="AU1525" s="926"/>
      <c r="AV1525" s="926"/>
      <c r="AW1525" s="926"/>
      <c r="AX1525" s="926"/>
      <c r="AY1525" s="926"/>
      <c r="AZ1525" s="926"/>
      <c r="BA1525" s="926"/>
      <c r="BB1525" s="927"/>
    </row>
    <row r="1526" spans="1:54" x14ac:dyDescent="0.25">
      <c r="A1526" s="13">
        <f t="shared" si="23"/>
        <v>1513</v>
      </c>
      <c r="B1526" s="888" t="str">
        <f>'refer admin discharge'!B1522</f>
        <v>x</v>
      </c>
      <c r="C1526" s="888"/>
      <c r="D1526" s="868" t="str">
        <f>'refer admin discharge'!D1522</f>
        <v>xx</v>
      </c>
      <c r="E1526" s="868"/>
      <c r="F1526" s="891" t="str">
        <f>'refer admin discharge'!H1522</f>
        <v>00/00/0000</v>
      </c>
      <c r="G1526" s="892"/>
      <c r="H1526" s="894"/>
      <c r="I1526" s="894"/>
      <c r="J1526" s="918"/>
      <c r="K1526" s="918"/>
      <c r="L1526" s="894"/>
      <c r="M1526" s="894"/>
      <c r="N1526" s="916"/>
      <c r="O1526" s="916"/>
      <c r="P1526" s="894"/>
      <c r="Q1526" s="894"/>
      <c r="R1526" s="916"/>
      <c r="S1526" s="916"/>
      <c r="T1526" s="894"/>
      <c r="U1526" s="894"/>
      <c r="V1526" s="921" t="str">
        <f>'refer admin discharge'!H1527</f>
        <v>00/00/0000</v>
      </c>
      <c r="W1526" s="922"/>
      <c r="X1526" s="920"/>
      <c r="Y1526" s="920"/>
      <c r="Z1526" s="919"/>
      <c r="AA1526" s="919"/>
      <c r="AB1526" s="920"/>
      <c r="AC1526" s="920"/>
      <c r="AD1526" s="912"/>
      <c r="AE1526" s="912"/>
      <c r="AF1526" s="920"/>
      <c r="AG1526" s="920"/>
      <c r="AH1526" s="912"/>
      <c r="AI1526" s="912"/>
      <c r="AJ1526" s="920"/>
      <c r="AK1526" s="920"/>
      <c r="AL1526" s="905"/>
      <c r="AM1526" s="906"/>
      <c r="AN1526" s="906"/>
      <c r="AO1526" s="906"/>
      <c r="AP1526" s="906"/>
      <c r="AQ1526" s="906"/>
      <c r="AR1526" s="906"/>
      <c r="AS1526" s="906"/>
      <c r="AT1526" s="906"/>
      <c r="AU1526" s="906"/>
      <c r="AV1526" s="906"/>
      <c r="AW1526" s="906"/>
      <c r="AX1526" s="906"/>
      <c r="AY1526" s="906"/>
      <c r="AZ1526" s="906"/>
      <c r="BA1526" s="906"/>
      <c r="BB1526" s="907"/>
    </row>
    <row r="1527" spans="1:54" x14ac:dyDescent="0.25">
      <c r="A1527" s="13">
        <f t="shared" si="23"/>
        <v>1514</v>
      </c>
      <c r="B1527" s="914" t="str">
        <f>'refer admin discharge'!B1523</f>
        <v>x</v>
      </c>
      <c r="C1527" s="914"/>
      <c r="D1527" s="889" t="str">
        <f>'refer admin discharge'!D1523</f>
        <v>xx</v>
      </c>
      <c r="E1527" s="889"/>
      <c r="F1527" s="915" t="str">
        <f>'refer admin discharge'!H1523</f>
        <v>00/00/0000</v>
      </c>
      <c r="G1527" s="890"/>
      <c r="H1527" s="916"/>
      <c r="I1527" s="916"/>
      <c r="J1527" s="917"/>
      <c r="K1527" s="917"/>
      <c r="L1527" s="916"/>
      <c r="M1527" s="916"/>
      <c r="N1527" s="893"/>
      <c r="O1527" s="893"/>
      <c r="P1527" s="916"/>
      <c r="Q1527" s="916"/>
      <c r="R1527" s="893"/>
      <c r="S1527" s="893"/>
      <c r="T1527" s="916"/>
      <c r="U1527" s="916"/>
      <c r="V1527" s="921" t="str">
        <f>'refer admin discharge'!H1528</f>
        <v>00/00/0000</v>
      </c>
      <c r="W1527" s="922"/>
      <c r="X1527" s="912"/>
      <c r="Y1527" s="912"/>
      <c r="Z1527" s="924"/>
      <c r="AA1527" s="924"/>
      <c r="AB1527" s="912"/>
      <c r="AC1527" s="912"/>
      <c r="AD1527" s="913"/>
      <c r="AE1527" s="913"/>
      <c r="AF1527" s="912"/>
      <c r="AG1527" s="912"/>
      <c r="AH1527" s="913"/>
      <c r="AI1527" s="913"/>
      <c r="AJ1527" s="912"/>
      <c r="AK1527" s="912"/>
      <c r="AL1527" s="925"/>
      <c r="AM1527" s="926"/>
      <c r="AN1527" s="926"/>
      <c r="AO1527" s="926"/>
      <c r="AP1527" s="926"/>
      <c r="AQ1527" s="926"/>
      <c r="AR1527" s="926"/>
      <c r="AS1527" s="926"/>
      <c r="AT1527" s="926"/>
      <c r="AU1527" s="926"/>
      <c r="AV1527" s="926"/>
      <c r="AW1527" s="926"/>
      <c r="AX1527" s="926"/>
      <c r="AY1527" s="926"/>
      <c r="AZ1527" s="926"/>
      <c r="BA1527" s="926"/>
      <c r="BB1527" s="927"/>
    </row>
    <row r="1528" spans="1:54" x14ac:dyDescent="0.25">
      <c r="A1528" s="13">
        <f t="shared" si="23"/>
        <v>1515</v>
      </c>
      <c r="B1528" s="888" t="str">
        <f>'refer admin discharge'!B1524</f>
        <v>x</v>
      </c>
      <c r="C1528" s="888"/>
      <c r="D1528" s="868" t="str">
        <f>'refer admin discharge'!D1524</f>
        <v>xx</v>
      </c>
      <c r="E1528" s="868"/>
      <c r="F1528" s="891" t="str">
        <f>'refer admin discharge'!H1524</f>
        <v>00/00/0000</v>
      </c>
      <c r="G1528" s="892"/>
      <c r="H1528" s="894"/>
      <c r="I1528" s="894"/>
      <c r="J1528" s="918"/>
      <c r="K1528" s="918"/>
      <c r="L1528" s="894"/>
      <c r="M1528" s="894"/>
      <c r="N1528" s="916"/>
      <c r="O1528" s="916"/>
      <c r="P1528" s="894"/>
      <c r="Q1528" s="894"/>
      <c r="R1528" s="916"/>
      <c r="S1528" s="916"/>
      <c r="T1528" s="894"/>
      <c r="U1528" s="894"/>
      <c r="V1528" s="921" t="str">
        <f>'refer admin discharge'!H1529</f>
        <v>00/00/0000</v>
      </c>
      <c r="W1528" s="922"/>
      <c r="X1528" s="920"/>
      <c r="Y1528" s="920"/>
      <c r="Z1528" s="919"/>
      <c r="AA1528" s="919"/>
      <c r="AB1528" s="920"/>
      <c r="AC1528" s="920"/>
      <c r="AD1528" s="912"/>
      <c r="AE1528" s="912"/>
      <c r="AF1528" s="920"/>
      <c r="AG1528" s="920"/>
      <c r="AH1528" s="912"/>
      <c r="AI1528" s="912"/>
      <c r="AJ1528" s="920"/>
      <c r="AK1528" s="920"/>
      <c r="AL1528" s="905"/>
      <c r="AM1528" s="906"/>
      <c r="AN1528" s="906"/>
      <c r="AO1528" s="906"/>
      <c r="AP1528" s="906"/>
      <c r="AQ1528" s="906"/>
      <c r="AR1528" s="906"/>
      <c r="AS1528" s="906"/>
      <c r="AT1528" s="906"/>
      <c r="AU1528" s="906"/>
      <c r="AV1528" s="906"/>
      <c r="AW1528" s="906"/>
      <c r="AX1528" s="906"/>
      <c r="AY1528" s="906"/>
      <c r="AZ1528" s="906"/>
      <c r="BA1528" s="906"/>
      <c r="BB1528" s="907"/>
    </row>
    <row r="1529" spans="1:54" x14ac:dyDescent="0.25">
      <c r="A1529" s="13">
        <f t="shared" si="23"/>
        <v>1516</v>
      </c>
      <c r="B1529" s="914" t="str">
        <f>'refer admin discharge'!B1525</f>
        <v>x</v>
      </c>
      <c r="C1529" s="914"/>
      <c r="D1529" s="889" t="str">
        <f>'refer admin discharge'!D1525</f>
        <v>xx</v>
      </c>
      <c r="E1529" s="889"/>
      <c r="F1529" s="915" t="str">
        <f>'refer admin discharge'!H1525</f>
        <v>00/00/0000</v>
      </c>
      <c r="G1529" s="890"/>
      <c r="H1529" s="916"/>
      <c r="I1529" s="916"/>
      <c r="J1529" s="917"/>
      <c r="K1529" s="917"/>
      <c r="L1529" s="916"/>
      <c r="M1529" s="916"/>
      <c r="N1529" s="893"/>
      <c r="O1529" s="893"/>
      <c r="P1529" s="916"/>
      <c r="Q1529" s="916"/>
      <c r="R1529" s="893"/>
      <c r="S1529" s="893"/>
      <c r="T1529" s="916"/>
      <c r="U1529" s="916"/>
      <c r="V1529" s="921" t="str">
        <f>'refer admin discharge'!H1530</f>
        <v>00/00/0000</v>
      </c>
      <c r="W1529" s="922"/>
      <c r="X1529" s="912"/>
      <c r="Y1529" s="912"/>
      <c r="Z1529" s="924"/>
      <c r="AA1529" s="924"/>
      <c r="AB1529" s="912"/>
      <c r="AC1529" s="912"/>
      <c r="AD1529" s="913"/>
      <c r="AE1529" s="913"/>
      <c r="AF1529" s="912"/>
      <c r="AG1529" s="912"/>
      <c r="AH1529" s="913"/>
      <c r="AI1529" s="913"/>
      <c r="AJ1529" s="912"/>
      <c r="AK1529" s="912"/>
      <c r="AL1529" s="925"/>
      <c r="AM1529" s="926"/>
      <c r="AN1529" s="926"/>
      <c r="AO1529" s="926"/>
      <c r="AP1529" s="926"/>
      <c r="AQ1529" s="926"/>
      <c r="AR1529" s="926"/>
      <c r="AS1529" s="926"/>
      <c r="AT1529" s="926"/>
      <c r="AU1529" s="926"/>
      <c r="AV1529" s="926"/>
      <c r="AW1529" s="926"/>
      <c r="AX1529" s="926"/>
      <c r="AY1529" s="926"/>
      <c r="AZ1529" s="926"/>
      <c r="BA1529" s="926"/>
      <c r="BB1529" s="927"/>
    </row>
    <row r="1530" spans="1:54" x14ac:dyDescent="0.25">
      <c r="A1530" s="13">
        <f t="shared" si="23"/>
        <v>1517</v>
      </c>
      <c r="B1530" s="888" t="str">
        <f>'refer admin discharge'!B1526</f>
        <v>x</v>
      </c>
      <c r="C1530" s="888"/>
      <c r="D1530" s="868" t="str">
        <f>'refer admin discharge'!D1526</f>
        <v>xx</v>
      </c>
      <c r="E1530" s="868"/>
      <c r="F1530" s="891" t="str">
        <f>'refer admin discharge'!H1526</f>
        <v>00/00/0000</v>
      </c>
      <c r="G1530" s="892"/>
      <c r="H1530" s="894"/>
      <c r="I1530" s="894"/>
      <c r="J1530" s="918"/>
      <c r="K1530" s="918"/>
      <c r="L1530" s="894"/>
      <c r="M1530" s="894"/>
      <c r="N1530" s="916"/>
      <c r="O1530" s="916"/>
      <c r="P1530" s="894"/>
      <c r="Q1530" s="894"/>
      <c r="R1530" s="916"/>
      <c r="S1530" s="916"/>
      <c r="T1530" s="894"/>
      <c r="U1530" s="894"/>
      <c r="V1530" s="921" t="str">
        <f>'refer admin discharge'!H1531</f>
        <v>00/00/0000</v>
      </c>
      <c r="W1530" s="922"/>
      <c r="X1530" s="920"/>
      <c r="Y1530" s="920"/>
      <c r="Z1530" s="919"/>
      <c r="AA1530" s="919"/>
      <c r="AB1530" s="920"/>
      <c r="AC1530" s="920"/>
      <c r="AD1530" s="912"/>
      <c r="AE1530" s="912"/>
      <c r="AF1530" s="920"/>
      <c r="AG1530" s="920"/>
      <c r="AH1530" s="912"/>
      <c r="AI1530" s="912"/>
      <c r="AJ1530" s="920"/>
      <c r="AK1530" s="920"/>
      <c r="AL1530" s="905"/>
      <c r="AM1530" s="906"/>
      <c r="AN1530" s="906"/>
      <c r="AO1530" s="906"/>
      <c r="AP1530" s="906"/>
      <c r="AQ1530" s="906"/>
      <c r="AR1530" s="906"/>
      <c r="AS1530" s="906"/>
      <c r="AT1530" s="906"/>
      <c r="AU1530" s="906"/>
      <c r="AV1530" s="906"/>
      <c r="AW1530" s="906"/>
      <c r="AX1530" s="906"/>
      <c r="AY1530" s="906"/>
      <c r="AZ1530" s="906"/>
      <c r="BA1530" s="906"/>
      <c r="BB1530" s="907"/>
    </row>
    <row r="1531" spans="1:54" x14ac:dyDescent="0.25">
      <c r="A1531" s="13">
        <f t="shared" si="23"/>
        <v>1518</v>
      </c>
      <c r="B1531" s="914" t="str">
        <f>'refer admin discharge'!B1527</f>
        <v>x</v>
      </c>
      <c r="C1531" s="914"/>
      <c r="D1531" s="889" t="str">
        <f>'refer admin discharge'!D1527</f>
        <v>xx</v>
      </c>
      <c r="E1531" s="889"/>
      <c r="F1531" s="915" t="str">
        <f>'refer admin discharge'!H1527</f>
        <v>00/00/0000</v>
      </c>
      <c r="G1531" s="890"/>
      <c r="H1531" s="916"/>
      <c r="I1531" s="916"/>
      <c r="J1531" s="917"/>
      <c r="K1531" s="917"/>
      <c r="L1531" s="916"/>
      <c r="M1531" s="916"/>
      <c r="N1531" s="893"/>
      <c r="O1531" s="893"/>
      <c r="P1531" s="916"/>
      <c r="Q1531" s="916"/>
      <c r="R1531" s="893"/>
      <c r="S1531" s="893"/>
      <c r="T1531" s="916"/>
      <c r="U1531" s="916"/>
      <c r="V1531" s="921" t="str">
        <f>'refer admin discharge'!H1532</f>
        <v>00/00/0000</v>
      </c>
      <c r="W1531" s="922"/>
      <c r="X1531" s="912"/>
      <c r="Y1531" s="912"/>
      <c r="Z1531" s="924"/>
      <c r="AA1531" s="924"/>
      <c r="AB1531" s="912"/>
      <c r="AC1531" s="912"/>
      <c r="AD1531" s="913"/>
      <c r="AE1531" s="913"/>
      <c r="AF1531" s="912"/>
      <c r="AG1531" s="912"/>
      <c r="AH1531" s="913"/>
      <c r="AI1531" s="913"/>
      <c r="AJ1531" s="912"/>
      <c r="AK1531" s="912"/>
      <c r="AL1531" s="925"/>
      <c r="AM1531" s="926"/>
      <c r="AN1531" s="926"/>
      <c r="AO1531" s="926"/>
      <c r="AP1531" s="926"/>
      <c r="AQ1531" s="926"/>
      <c r="AR1531" s="926"/>
      <c r="AS1531" s="926"/>
      <c r="AT1531" s="926"/>
      <c r="AU1531" s="926"/>
      <c r="AV1531" s="926"/>
      <c r="AW1531" s="926"/>
      <c r="AX1531" s="926"/>
      <c r="AY1531" s="926"/>
      <c r="AZ1531" s="926"/>
      <c r="BA1531" s="926"/>
      <c r="BB1531" s="927"/>
    </row>
    <row r="1532" spans="1:54" x14ac:dyDescent="0.25">
      <c r="A1532" s="13">
        <f t="shared" si="23"/>
        <v>1519</v>
      </c>
      <c r="B1532" s="888" t="str">
        <f>'refer admin discharge'!B1528</f>
        <v>x</v>
      </c>
      <c r="C1532" s="888"/>
      <c r="D1532" s="868" t="str">
        <f>'refer admin discharge'!D1528</f>
        <v>xx</v>
      </c>
      <c r="E1532" s="868"/>
      <c r="F1532" s="891" t="str">
        <f>'refer admin discharge'!H1528</f>
        <v>00/00/0000</v>
      </c>
      <c r="G1532" s="892"/>
      <c r="H1532" s="894"/>
      <c r="I1532" s="894"/>
      <c r="J1532" s="918"/>
      <c r="K1532" s="918"/>
      <c r="L1532" s="894"/>
      <c r="M1532" s="894"/>
      <c r="N1532" s="916"/>
      <c r="O1532" s="916"/>
      <c r="P1532" s="894"/>
      <c r="Q1532" s="894"/>
      <c r="R1532" s="916"/>
      <c r="S1532" s="916"/>
      <c r="T1532" s="894"/>
      <c r="U1532" s="894"/>
      <c r="V1532" s="921" t="str">
        <f>'refer admin discharge'!H1533</f>
        <v>00/00/0000</v>
      </c>
      <c r="W1532" s="922"/>
      <c r="X1532" s="920"/>
      <c r="Y1532" s="920"/>
      <c r="Z1532" s="919"/>
      <c r="AA1532" s="919"/>
      <c r="AB1532" s="920"/>
      <c r="AC1532" s="920"/>
      <c r="AD1532" s="912"/>
      <c r="AE1532" s="912"/>
      <c r="AF1532" s="920"/>
      <c r="AG1532" s="920"/>
      <c r="AH1532" s="912"/>
      <c r="AI1532" s="912"/>
      <c r="AJ1532" s="920"/>
      <c r="AK1532" s="920"/>
      <c r="AL1532" s="905"/>
      <c r="AM1532" s="906"/>
      <c r="AN1532" s="906"/>
      <c r="AO1532" s="906"/>
      <c r="AP1532" s="906"/>
      <c r="AQ1532" s="906"/>
      <c r="AR1532" s="906"/>
      <c r="AS1532" s="906"/>
      <c r="AT1532" s="906"/>
      <c r="AU1532" s="906"/>
      <c r="AV1532" s="906"/>
      <c r="AW1532" s="906"/>
      <c r="AX1532" s="906"/>
      <c r="AY1532" s="906"/>
      <c r="AZ1532" s="906"/>
      <c r="BA1532" s="906"/>
      <c r="BB1532" s="907"/>
    </row>
    <row r="1533" spans="1:54" x14ac:dyDescent="0.25">
      <c r="A1533" s="13">
        <f t="shared" si="23"/>
        <v>1520</v>
      </c>
      <c r="B1533" s="914" t="str">
        <f>'refer admin discharge'!B1529</f>
        <v>x</v>
      </c>
      <c r="C1533" s="914"/>
      <c r="D1533" s="889" t="str">
        <f>'refer admin discharge'!D1529</f>
        <v>xx</v>
      </c>
      <c r="E1533" s="889"/>
      <c r="F1533" s="915" t="str">
        <f>'refer admin discharge'!H1529</f>
        <v>00/00/0000</v>
      </c>
      <c r="G1533" s="890"/>
      <c r="H1533" s="916"/>
      <c r="I1533" s="916"/>
      <c r="J1533" s="917"/>
      <c r="K1533" s="917"/>
      <c r="L1533" s="916"/>
      <c r="M1533" s="916"/>
      <c r="N1533" s="893"/>
      <c r="O1533" s="893"/>
      <c r="P1533" s="916"/>
      <c r="Q1533" s="916"/>
      <c r="R1533" s="893"/>
      <c r="S1533" s="893"/>
      <c r="T1533" s="916"/>
      <c r="U1533" s="916"/>
      <c r="V1533" s="921" t="str">
        <f>'refer admin discharge'!H1534</f>
        <v>00/00/0000</v>
      </c>
      <c r="W1533" s="922"/>
      <c r="X1533" s="912"/>
      <c r="Y1533" s="912"/>
      <c r="Z1533" s="924"/>
      <c r="AA1533" s="924"/>
      <c r="AB1533" s="912"/>
      <c r="AC1533" s="912"/>
      <c r="AD1533" s="913"/>
      <c r="AE1533" s="913"/>
      <c r="AF1533" s="912"/>
      <c r="AG1533" s="912"/>
      <c r="AH1533" s="913"/>
      <c r="AI1533" s="913"/>
      <c r="AJ1533" s="912"/>
      <c r="AK1533" s="912"/>
      <c r="AL1533" s="925"/>
      <c r="AM1533" s="926"/>
      <c r="AN1533" s="926"/>
      <c r="AO1533" s="926"/>
      <c r="AP1533" s="926"/>
      <c r="AQ1533" s="926"/>
      <c r="AR1533" s="926"/>
      <c r="AS1533" s="926"/>
      <c r="AT1533" s="926"/>
      <c r="AU1533" s="926"/>
      <c r="AV1533" s="926"/>
      <c r="AW1533" s="926"/>
      <c r="AX1533" s="926"/>
      <c r="AY1533" s="926"/>
      <c r="AZ1533" s="926"/>
      <c r="BA1533" s="926"/>
      <c r="BB1533" s="927"/>
    </row>
    <row r="1534" spans="1:54" x14ac:dyDescent="0.25">
      <c r="A1534" s="13">
        <f t="shared" si="23"/>
        <v>1521</v>
      </c>
      <c r="B1534" s="888" t="str">
        <f>'refer admin discharge'!B1530</f>
        <v>x</v>
      </c>
      <c r="C1534" s="888"/>
      <c r="D1534" s="868" t="str">
        <f>'refer admin discharge'!D1530</f>
        <v>xx</v>
      </c>
      <c r="E1534" s="868"/>
      <c r="F1534" s="891" t="str">
        <f>'refer admin discharge'!H1530</f>
        <v>00/00/0000</v>
      </c>
      <c r="G1534" s="892"/>
      <c r="H1534" s="894"/>
      <c r="I1534" s="894"/>
      <c r="J1534" s="918"/>
      <c r="K1534" s="918"/>
      <c r="L1534" s="894"/>
      <c r="M1534" s="894"/>
      <c r="N1534" s="916"/>
      <c r="O1534" s="916"/>
      <c r="P1534" s="894"/>
      <c r="Q1534" s="894"/>
      <c r="R1534" s="916"/>
      <c r="S1534" s="916"/>
      <c r="T1534" s="894"/>
      <c r="U1534" s="894"/>
      <c r="V1534" s="921" t="str">
        <f>'refer admin discharge'!H1535</f>
        <v>00/00/0000</v>
      </c>
      <c r="W1534" s="922"/>
      <c r="X1534" s="920"/>
      <c r="Y1534" s="920"/>
      <c r="Z1534" s="919"/>
      <c r="AA1534" s="919"/>
      <c r="AB1534" s="920"/>
      <c r="AC1534" s="920"/>
      <c r="AD1534" s="912"/>
      <c r="AE1534" s="912"/>
      <c r="AF1534" s="920"/>
      <c r="AG1534" s="920"/>
      <c r="AH1534" s="912"/>
      <c r="AI1534" s="912"/>
      <c r="AJ1534" s="920"/>
      <c r="AK1534" s="920"/>
      <c r="AL1534" s="905"/>
      <c r="AM1534" s="906"/>
      <c r="AN1534" s="906"/>
      <c r="AO1534" s="906"/>
      <c r="AP1534" s="906"/>
      <c r="AQ1534" s="906"/>
      <c r="AR1534" s="906"/>
      <c r="AS1534" s="906"/>
      <c r="AT1534" s="906"/>
      <c r="AU1534" s="906"/>
      <c r="AV1534" s="906"/>
      <c r="AW1534" s="906"/>
      <c r="AX1534" s="906"/>
      <c r="AY1534" s="906"/>
      <c r="AZ1534" s="906"/>
      <c r="BA1534" s="906"/>
      <c r="BB1534" s="907"/>
    </row>
    <row r="1535" spans="1:54" x14ac:dyDescent="0.25">
      <c r="A1535" s="13">
        <f t="shared" si="23"/>
        <v>1522</v>
      </c>
      <c r="B1535" s="914" t="str">
        <f>'refer admin discharge'!B1531</f>
        <v>x</v>
      </c>
      <c r="C1535" s="914"/>
      <c r="D1535" s="889" t="str">
        <f>'refer admin discharge'!D1531</f>
        <v>xx</v>
      </c>
      <c r="E1535" s="889"/>
      <c r="F1535" s="915" t="str">
        <f>'refer admin discharge'!H1531</f>
        <v>00/00/0000</v>
      </c>
      <c r="G1535" s="890"/>
      <c r="H1535" s="916"/>
      <c r="I1535" s="916"/>
      <c r="J1535" s="917"/>
      <c r="K1535" s="917"/>
      <c r="L1535" s="916"/>
      <c r="M1535" s="916"/>
      <c r="N1535" s="893"/>
      <c r="O1535" s="893"/>
      <c r="P1535" s="916"/>
      <c r="Q1535" s="916"/>
      <c r="R1535" s="893"/>
      <c r="S1535" s="893"/>
      <c r="T1535" s="916"/>
      <c r="U1535" s="916"/>
      <c r="V1535" s="921" t="str">
        <f>'refer admin discharge'!H1536</f>
        <v>00/00/0000</v>
      </c>
      <c r="W1535" s="922"/>
      <c r="X1535" s="912"/>
      <c r="Y1535" s="912"/>
      <c r="Z1535" s="924"/>
      <c r="AA1535" s="924"/>
      <c r="AB1535" s="912"/>
      <c r="AC1535" s="912"/>
      <c r="AD1535" s="913"/>
      <c r="AE1535" s="913"/>
      <c r="AF1535" s="912"/>
      <c r="AG1535" s="912"/>
      <c r="AH1535" s="913"/>
      <c r="AI1535" s="913"/>
      <c r="AJ1535" s="912"/>
      <c r="AK1535" s="912"/>
      <c r="AL1535" s="925"/>
      <c r="AM1535" s="926"/>
      <c r="AN1535" s="926"/>
      <c r="AO1535" s="926"/>
      <c r="AP1535" s="926"/>
      <c r="AQ1535" s="926"/>
      <c r="AR1535" s="926"/>
      <c r="AS1535" s="926"/>
      <c r="AT1535" s="926"/>
      <c r="AU1535" s="926"/>
      <c r="AV1535" s="926"/>
      <c r="AW1535" s="926"/>
      <c r="AX1535" s="926"/>
      <c r="AY1535" s="926"/>
      <c r="AZ1535" s="926"/>
      <c r="BA1535" s="926"/>
      <c r="BB1535" s="927"/>
    </row>
    <row r="1536" spans="1:54" x14ac:dyDescent="0.25">
      <c r="A1536" s="13">
        <f t="shared" si="23"/>
        <v>1523</v>
      </c>
      <c r="B1536" s="888" t="str">
        <f>'refer admin discharge'!B1532</f>
        <v>x</v>
      </c>
      <c r="C1536" s="888"/>
      <c r="D1536" s="868" t="str">
        <f>'refer admin discharge'!D1532</f>
        <v>xx</v>
      </c>
      <c r="E1536" s="868"/>
      <c r="F1536" s="891" t="str">
        <f>'refer admin discharge'!H1532</f>
        <v>00/00/0000</v>
      </c>
      <c r="G1536" s="892"/>
      <c r="H1536" s="894"/>
      <c r="I1536" s="894"/>
      <c r="J1536" s="918"/>
      <c r="K1536" s="918"/>
      <c r="L1536" s="894"/>
      <c r="M1536" s="894"/>
      <c r="N1536" s="916"/>
      <c r="O1536" s="916"/>
      <c r="P1536" s="894"/>
      <c r="Q1536" s="894"/>
      <c r="R1536" s="916"/>
      <c r="S1536" s="916"/>
      <c r="T1536" s="894"/>
      <c r="U1536" s="894"/>
      <c r="V1536" s="921" t="str">
        <f>'refer admin discharge'!H1537</f>
        <v>00/00/0000</v>
      </c>
      <c r="W1536" s="922"/>
      <c r="X1536" s="920"/>
      <c r="Y1536" s="920"/>
      <c r="Z1536" s="919"/>
      <c r="AA1536" s="919"/>
      <c r="AB1536" s="920"/>
      <c r="AC1536" s="920"/>
      <c r="AD1536" s="912"/>
      <c r="AE1536" s="912"/>
      <c r="AF1536" s="920"/>
      <c r="AG1536" s="920"/>
      <c r="AH1536" s="912"/>
      <c r="AI1536" s="912"/>
      <c r="AJ1536" s="920"/>
      <c r="AK1536" s="920"/>
      <c r="AL1536" s="905"/>
      <c r="AM1536" s="906"/>
      <c r="AN1536" s="906"/>
      <c r="AO1536" s="906"/>
      <c r="AP1536" s="906"/>
      <c r="AQ1536" s="906"/>
      <c r="AR1536" s="906"/>
      <c r="AS1536" s="906"/>
      <c r="AT1536" s="906"/>
      <c r="AU1536" s="906"/>
      <c r="AV1536" s="906"/>
      <c r="AW1536" s="906"/>
      <c r="AX1536" s="906"/>
      <c r="AY1536" s="906"/>
      <c r="AZ1536" s="906"/>
      <c r="BA1536" s="906"/>
      <c r="BB1536" s="907"/>
    </row>
    <row r="1537" spans="1:54" x14ac:dyDescent="0.25">
      <c r="A1537" s="13">
        <f t="shared" si="23"/>
        <v>1524</v>
      </c>
      <c r="B1537" s="914" t="str">
        <f>'refer admin discharge'!B1533</f>
        <v>x</v>
      </c>
      <c r="C1537" s="914"/>
      <c r="D1537" s="889" t="str">
        <f>'refer admin discharge'!D1533</f>
        <v>xx</v>
      </c>
      <c r="E1537" s="889"/>
      <c r="F1537" s="915" t="str">
        <f>'refer admin discharge'!H1533</f>
        <v>00/00/0000</v>
      </c>
      <c r="G1537" s="890"/>
      <c r="H1537" s="916"/>
      <c r="I1537" s="916"/>
      <c r="J1537" s="917"/>
      <c r="K1537" s="917"/>
      <c r="L1537" s="916"/>
      <c r="M1537" s="916"/>
      <c r="N1537" s="893"/>
      <c r="O1537" s="893"/>
      <c r="P1537" s="916"/>
      <c r="Q1537" s="916"/>
      <c r="R1537" s="893"/>
      <c r="S1537" s="893"/>
      <c r="T1537" s="916"/>
      <c r="U1537" s="916"/>
      <c r="V1537" s="921" t="str">
        <f>'refer admin discharge'!H1538</f>
        <v>00/00/0000</v>
      </c>
      <c r="W1537" s="922"/>
      <c r="X1537" s="912"/>
      <c r="Y1537" s="912"/>
      <c r="Z1537" s="924"/>
      <c r="AA1537" s="924"/>
      <c r="AB1537" s="912"/>
      <c r="AC1537" s="912"/>
      <c r="AD1537" s="913"/>
      <c r="AE1537" s="913"/>
      <c r="AF1537" s="912"/>
      <c r="AG1537" s="912"/>
      <c r="AH1537" s="913"/>
      <c r="AI1537" s="913"/>
      <c r="AJ1537" s="912"/>
      <c r="AK1537" s="912"/>
      <c r="AL1537" s="925"/>
      <c r="AM1537" s="926"/>
      <c r="AN1537" s="926"/>
      <c r="AO1537" s="926"/>
      <c r="AP1537" s="926"/>
      <c r="AQ1537" s="926"/>
      <c r="AR1537" s="926"/>
      <c r="AS1537" s="926"/>
      <c r="AT1537" s="926"/>
      <c r="AU1537" s="926"/>
      <c r="AV1537" s="926"/>
      <c r="AW1537" s="926"/>
      <c r="AX1537" s="926"/>
      <c r="AY1537" s="926"/>
      <c r="AZ1537" s="926"/>
      <c r="BA1537" s="926"/>
      <c r="BB1537" s="927"/>
    </row>
    <row r="1538" spans="1:54" x14ac:dyDescent="0.25">
      <c r="A1538" s="13">
        <f t="shared" si="23"/>
        <v>1525</v>
      </c>
      <c r="B1538" s="888" t="str">
        <f>'refer admin discharge'!B1534</f>
        <v>x</v>
      </c>
      <c r="C1538" s="888"/>
      <c r="D1538" s="868" t="str">
        <f>'refer admin discharge'!D1534</f>
        <v>xx</v>
      </c>
      <c r="E1538" s="868"/>
      <c r="F1538" s="891" t="str">
        <f>'refer admin discharge'!H1534</f>
        <v>00/00/0000</v>
      </c>
      <c r="G1538" s="892"/>
      <c r="H1538" s="894"/>
      <c r="I1538" s="894"/>
      <c r="J1538" s="918"/>
      <c r="K1538" s="918"/>
      <c r="L1538" s="894"/>
      <c r="M1538" s="894"/>
      <c r="N1538" s="916"/>
      <c r="O1538" s="916"/>
      <c r="P1538" s="894"/>
      <c r="Q1538" s="894"/>
      <c r="R1538" s="916"/>
      <c r="S1538" s="916"/>
      <c r="T1538" s="894"/>
      <c r="U1538" s="894"/>
      <c r="V1538" s="921" t="str">
        <f>'refer admin discharge'!H1539</f>
        <v>00/00/0000</v>
      </c>
      <c r="W1538" s="922"/>
      <c r="X1538" s="920"/>
      <c r="Y1538" s="920"/>
      <c r="Z1538" s="919"/>
      <c r="AA1538" s="919"/>
      <c r="AB1538" s="920"/>
      <c r="AC1538" s="920"/>
      <c r="AD1538" s="912"/>
      <c r="AE1538" s="912"/>
      <c r="AF1538" s="920"/>
      <c r="AG1538" s="920"/>
      <c r="AH1538" s="912"/>
      <c r="AI1538" s="912"/>
      <c r="AJ1538" s="920"/>
      <c r="AK1538" s="920"/>
      <c r="AL1538" s="905"/>
      <c r="AM1538" s="906"/>
      <c r="AN1538" s="906"/>
      <c r="AO1538" s="906"/>
      <c r="AP1538" s="906"/>
      <c r="AQ1538" s="906"/>
      <c r="AR1538" s="906"/>
      <c r="AS1538" s="906"/>
      <c r="AT1538" s="906"/>
      <c r="AU1538" s="906"/>
      <c r="AV1538" s="906"/>
      <c r="AW1538" s="906"/>
      <c r="AX1538" s="906"/>
      <c r="AY1538" s="906"/>
      <c r="AZ1538" s="906"/>
      <c r="BA1538" s="906"/>
      <c r="BB1538" s="907"/>
    </row>
    <row r="1539" spans="1:54" x14ac:dyDescent="0.25">
      <c r="A1539" s="13">
        <f t="shared" si="23"/>
        <v>1526</v>
      </c>
      <c r="B1539" s="914" t="str">
        <f>'refer admin discharge'!B1535</f>
        <v>x</v>
      </c>
      <c r="C1539" s="914"/>
      <c r="D1539" s="889" t="str">
        <f>'refer admin discharge'!D1535</f>
        <v>xx</v>
      </c>
      <c r="E1539" s="889"/>
      <c r="F1539" s="915" t="str">
        <f>'refer admin discharge'!H1535</f>
        <v>00/00/0000</v>
      </c>
      <c r="G1539" s="890"/>
      <c r="H1539" s="916"/>
      <c r="I1539" s="916"/>
      <c r="J1539" s="917"/>
      <c r="K1539" s="917"/>
      <c r="L1539" s="916"/>
      <c r="M1539" s="916"/>
      <c r="N1539" s="893"/>
      <c r="O1539" s="893"/>
      <c r="P1539" s="916"/>
      <c r="Q1539" s="916"/>
      <c r="R1539" s="893"/>
      <c r="S1539" s="893"/>
      <c r="T1539" s="916"/>
      <c r="U1539" s="916"/>
      <c r="V1539" s="921" t="str">
        <f>'refer admin discharge'!H1540</f>
        <v>00/00/0000</v>
      </c>
      <c r="W1539" s="922"/>
      <c r="X1539" s="912"/>
      <c r="Y1539" s="912"/>
      <c r="Z1539" s="924"/>
      <c r="AA1539" s="924"/>
      <c r="AB1539" s="912"/>
      <c r="AC1539" s="912"/>
      <c r="AD1539" s="913"/>
      <c r="AE1539" s="913"/>
      <c r="AF1539" s="912"/>
      <c r="AG1539" s="912"/>
      <c r="AH1539" s="913"/>
      <c r="AI1539" s="913"/>
      <c r="AJ1539" s="912"/>
      <c r="AK1539" s="912"/>
      <c r="AL1539" s="925"/>
      <c r="AM1539" s="926"/>
      <c r="AN1539" s="926"/>
      <c r="AO1539" s="926"/>
      <c r="AP1539" s="926"/>
      <c r="AQ1539" s="926"/>
      <c r="AR1539" s="926"/>
      <c r="AS1539" s="926"/>
      <c r="AT1539" s="926"/>
      <c r="AU1539" s="926"/>
      <c r="AV1539" s="926"/>
      <c r="AW1539" s="926"/>
      <c r="AX1539" s="926"/>
      <c r="AY1539" s="926"/>
      <c r="AZ1539" s="926"/>
      <c r="BA1539" s="926"/>
      <c r="BB1539" s="927"/>
    </row>
    <row r="1540" spans="1:54" x14ac:dyDescent="0.25">
      <c r="A1540" s="13">
        <f t="shared" si="23"/>
        <v>1527</v>
      </c>
      <c r="B1540" s="888" t="str">
        <f>'refer admin discharge'!B1536</f>
        <v>x</v>
      </c>
      <c r="C1540" s="888"/>
      <c r="D1540" s="868" t="str">
        <f>'refer admin discharge'!D1536</f>
        <v>xx</v>
      </c>
      <c r="E1540" s="868"/>
      <c r="F1540" s="891" t="str">
        <f>'refer admin discharge'!H1536</f>
        <v>00/00/0000</v>
      </c>
      <c r="G1540" s="892"/>
      <c r="H1540" s="894"/>
      <c r="I1540" s="894"/>
      <c r="J1540" s="918"/>
      <c r="K1540" s="918"/>
      <c r="L1540" s="894"/>
      <c r="M1540" s="894"/>
      <c r="N1540" s="916"/>
      <c r="O1540" s="916"/>
      <c r="P1540" s="894"/>
      <c r="Q1540" s="894"/>
      <c r="R1540" s="916"/>
      <c r="S1540" s="916"/>
      <c r="T1540" s="894"/>
      <c r="U1540" s="894"/>
      <c r="V1540" s="921" t="str">
        <f>'refer admin discharge'!H1541</f>
        <v>00/00/0000</v>
      </c>
      <c r="W1540" s="922"/>
      <c r="X1540" s="920"/>
      <c r="Y1540" s="920"/>
      <c r="Z1540" s="919"/>
      <c r="AA1540" s="919"/>
      <c r="AB1540" s="920"/>
      <c r="AC1540" s="920"/>
      <c r="AD1540" s="912"/>
      <c r="AE1540" s="912"/>
      <c r="AF1540" s="920"/>
      <c r="AG1540" s="920"/>
      <c r="AH1540" s="912"/>
      <c r="AI1540" s="912"/>
      <c r="AJ1540" s="920"/>
      <c r="AK1540" s="920"/>
      <c r="AL1540" s="905"/>
      <c r="AM1540" s="906"/>
      <c r="AN1540" s="906"/>
      <c r="AO1540" s="906"/>
      <c r="AP1540" s="906"/>
      <c r="AQ1540" s="906"/>
      <c r="AR1540" s="906"/>
      <c r="AS1540" s="906"/>
      <c r="AT1540" s="906"/>
      <c r="AU1540" s="906"/>
      <c r="AV1540" s="906"/>
      <c r="AW1540" s="906"/>
      <c r="AX1540" s="906"/>
      <c r="AY1540" s="906"/>
      <c r="AZ1540" s="906"/>
      <c r="BA1540" s="906"/>
      <c r="BB1540" s="907"/>
    </row>
    <row r="1541" spans="1:54" x14ac:dyDescent="0.25">
      <c r="A1541" s="13">
        <f t="shared" si="23"/>
        <v>1528</v>
      </c>
      <c r="B1541" s="914" t="str">
        <f>'refer admin discharge'!B1537</f>
        <v>x</v>
      </c>
      <c r="C1541" s="914"/>
      <c r="D1541" s="889" t="str">
        <f>'refer admin discharge'!D1537</f>
        <v>xx</v>
      </c>
      <c r="E1541" s="889"/>
      <c r="F1541" s="915" t="str">
        <f>'refer admin discharge'!H1537</f>
        <v>00/00/0000</v>
      </c>
      <c r="G1541" s="890"/>
      <c r="H1541" s="916"/>
      <c r="I1541" s="916"/>
      <c r="J1541" s="917"/>
      <c r="K1541" s="917"/>
      <c r="L1541" s="916"/>
      <c r="M1541" s="916"/>
      <c r="N1541" s="893"/>
      <c r="O1541" s="893"/>
      <c r="P1541" s="916"/>
      <c r="Q1541" s="916"/>
      <c r="R1541" s="893"/>
      <c r="S1541" s="893"/>
      <c r="T1541" s="916"/>
      <c r="U1541" s="916"/>
      <c r="V1541" s="921" t="str">
        <f>'refer admin discharge'!H1542</f>
        <v>00/00/0000</v>
      </c>
      <c r="W1541" s="922"/>
      <c r="X1541" s="912"/>
      <c r="Y1541" s="912"/>
      <c r="Z1541" s="924"/>
      <c r="AA1541" s="924"/>
      <c r="AB1541" s="912"/>
      <c r="AC1541" s="912"/>
      <c r="AD1541" s="913"/>
      <c r="AE1541" s="913"/>
      <c r="AF1541" s="912"/>
      <c r="AG1541" s="912"/>
      <c r="AH1541" s="913"/>
      <c r="AI1541" s="913"/>
      <c r="AJ1541" s="912"/>
      <c r="AK1541" s="912"/>
      <c r="AL1541" s="925"/>
      <c r="AM1541" s="926"/>
      <c r="AN1541" s="926"/>
      <c r="AO1541" s="926"/>
      <c r="AP1541" s="926"/>
      <c r="AQ1541" s="926"/>
      <c r="AR1541" s="926"/>
      <c r="AS1541" s="926"/>
      <c r="AT1541" s="926"/>
      <c r="AU1541" s="926"/>
      <c r="AV1541" s="926"/>
      <c r="AW1541" s="926"/>
      <c r="AX1541" s="926"/>
      <c r="AY1541" s="926"/>
      <c r="AZ1541" s="926"/>
      <c r="BA1541" s="926"/>
      <c r="BB1541" s="927"/>
    </row>
    <row r="1542" spans="1:54" x14ac:dyDescent="0.25">
      <c r="A1542" s="13">
        <f t="shared" si="23"/>
        <v>1529</v>
      </c>
      <c r="B1542" s="888" t="str">
        <f>'refer admin discharge'!B1538</f>
        <v>x</v>
      </c>
      <c r="C1542" s="888"/>
      <c r="D1542" s="868" t="str">
        <f>'refer admin discharge'!D1538</f>
        <v>xx</v>
      </c>
      <c r="E1542" s="868"/>
      <c r="F1542" s="891" t="str">
        <f>'refer admin discharge'!H1538</f>
        <v>00/00/0000</v>
      </c>
      <c r="G1542" s="892"/>
      <c r="H1542" s="894"/>
      <c r="I1542" s="894"/>
      <c r="J1542" s="918"/>
      <c r="K1542" s="918"/>
      <c r="L1542" s="894"/>
      <c r="M1542" s="894"/>
      <c r="N1542" s="916"/>
      <c r="O1542" s="916"/>
      <c r="P1542" s="894"/>
      <c r="Q1542" s="894"/>
      <c r="R1542" s="916"/>
      <c r="S1542" s="916"/>
      <c r="T1542" s="894"/>
      <c r="U1542" s="894"/>
      <c r="V1542" s="921" t="str">
        <f>'refer admin discharge'!H1543</f>
        <v>00/00/0000</v>
      </c>
      <c r="W1542" s="922"/>
      <c r="X1542" s="920"/>
      <c r="Y1542" s="920"/>
      <c r="Z1542" s="919"/>
      <c r="AA1542" s="919"/>
      <c r="AB1542" s="920"/>
      <c r="AC1542" s="920"/>
      <c r="AD1542" s="912"/>
      <c r="AE1542" s="912"/>
      <c r="AF1542" s="920"/>
      <c r="AG1542" s="920"/>
      <c r="AH1542" s="912"/>
      <c r="AI1542" s="912"/>
      <c r="AJ1542" s="920"/>
      <c r="AK1542" s="920"/>
      <c r="AL1542" s="905"/>
      <c r="AM1542" s="906"/>
      <c r="AN1542" s="906"/>
      <c r="AO1542" s="906"/>
      <c r="AP1542" s="906"/>
      <c r="AQ1542" s="906"/>
      <c r="AR1542" s="906"/>
      <c r="AS1542" s="906"/>
      <c r="AT1542" s="906"/>
      <c r="AU1542" s="906"/>
      <c r="AV1542" s="906"/>
      <c r="AW1542" s="906"/>
      <c r="AX1542" s="906"/>
      <c r="AY1542" s="906"/>
      <c r="AZ1542" s="906"/>
      <c r="BA1542" s="906"/>
      <c r="BB1542" s="907"/>
    </row>
    <row r="1543" spans="1:54" x14ac:dyDescent="0.25">
      <c r="A1543" s="13">
        <f t="shared" si="23"/>
        <v>1530</v>
      </c>
      <c r="B1543" s="914" t="str">
        <f>'refer admin discharge'!B1539</f>
        <v>x</v>
      </c>
      <c r="C1543" s="914"/>
      <c r="D1543" s="889" t="str">
        <f>'refer admin discharge'!D1539</f>
        <v>xx</v>
      </c>
      <c r="E1543" s="889"/>
      <c r="F1543" s="915" t="str">
        <f>'refer admin discharge'!H1539</f>
        <v>00/00/0000</v>
      </c>
      <c r="G1543" s="890"/>
      <c r="H1543" s="916"/>
      <c r="I1543" s="916"/>
      <c r="J1543" s="917"/>
      <c r="K1543" s="917"/>
      <c r="L1543" s="916"/>
      <c r="M1543" s="916"/>
      <c r="N1543" s="893"/>
      <c r="O1543" s="893"/>
      <c r="P1543" s="916"/>
      <c r="Q1543" s="916"/>
      <c r="R1543" s="893"/>
      <c r="S1543" s="893"/>
      <c r="T1543" s="916"/>
      <c r="U1543" s="916"/>
      <c r="V1543" s="921" t="str">
        <f>'refer admin discharge'!H1544</f>
        <v>00/00/0000</v>
      </c>
      <c r="W1543" s="922"/>
      <c r="X1543" s="912"/>
      <c r="Y1543" s="912"/>
      <c r="Z1543" s="924"/>
      <c r="AA1543" s="924"/>
      <c r="AB1543" s="912"/>
      <c r="AC1543" s="912"/>
      <c r="AD1543" s="913"/>
      <c r="AE1543" s="913"/>
      <c r="AF1543" s="912"/>
      <c r="AG1543" s="912"/>
      <c r="AH1543" s="913"/>
      <c r="AI1543" s="913"/>
      <c r="AJ1543" s="912"/>
      <c r="AK1543" s="912"/>
      <c r="AL1543" s="925"/>
      <c r="AM1543" s="926"/>
      <c r="AN1543" s="926"/>
      <c r="AO1543" s="926"/>
      <c r="AP1543" s="926"/>
      <c r="AQ1543" s="926"/>
      <c r="AR1543" s="926"/>
      <c r="AS1543" s="926"/>
      <c r="AT1543" s="926"/>
      <c r="AU1543" s="926"/>
      <c r="AV1543" s="926"/>
      <c r="AW1543" s="926"/>
      <c r="AX1543" s="926"/>
      <c r="AY1543" s="926"/>
      <c r="AZ1543" s="926"/>
      <c r="BA1543" s="926"/>
      <c r="BB1543" s="927"/>
    </row>
    <row r="1544" spans="1:54" x14ac:dyDescent="0.25">
      <c r="A1544" s="13">
        <f t="shared" si="23"/>
        <v>1531</v>
      </c>
      <c r="B1544" s="888" t="str">
        <f>'refer admin discharge'!B1540</f>
        <v>x</v>
      </c>
      <c r="C1544" s="888"/>
      <c r="D1544" s="868" t="str">
        <f>'refer admin discharge'!D1540</f>
        <v>xx</v>
      </c>
      <c r="E1544" s="868"/>
      <c r="F1544" s="891" t="str">
        <f>'refer admin discharge'!H1540</f>
        <v>00/00/0000</v>
      </c>
      <c r="G1544" s="892"/>
      <c r="H1544" s="894"/>
      <c r="I1544" s="894"/>
      <c r="J1544" s="918"/>
      <c r="K1544" s="918"/>
      <c r="L1544" s="894"/>
      <c r="M1544" s="894"/>
      <c r="N1544" s="916"/>
      <c r="O1544" s="916"/>
      <c r="P1544" s="894"/>
      <c r="Q1544" s="894"/>
      <c r="R1544" s="916"/>
      <c r="S1544" s="916"/>
      <c r="T1544" s="894"/>
      <c r="U1544" s="894"/>
      <c r="V1544" s="921" t="str">
        <f>'refer admin discharge'!H1545</f>
        <v>00/00/0000</v>
      </c>
      <c r="W1544" s="922"/>
      <c r="X1544" s="920"/>
      <c r="Y1544" s="920"/>
      <c r="Z1544" s="919"/>
      <c r="AA1544" s="919"/>
      <c r="AB1544" s="920"/>
      <c r="AC1544" s="920"/>
      <c r="AD1544" s="912"/>
      <c r="AE1544" s="912"/>
      <c r="AF1544" s="920"/>
      <c r="AG1544" s="920"/>
      <c r="AH1544" s="912"/>
      <c r="AI1544" s="912"/>
      <c r="AJ1544" s="920"/>
      <c r="AK1544" s="920"/>
      <c r="AL1544" s="905"/>
      <c r="AM1544" s="906"/>
      <c r="AN1544" s="906"/>
      <c r="AO1544" s="906"/>
      <c r="AP1544" s="906"/>
      <c r="AQ1544" s="906"/>
      <c r="AR1544" s="906"/>
      <c r="AS1544" s="906"/>
      <c r="AT1544" s="906"/>
      <c r="AU1544" s="906"/>
      <c r="AV1544" s="906"/>
      <c r="AW1544" s="906"/>
      <c r="AX1544" s="906"/>
      <c r="AY1544" s="906"/>
      <c r="AZ1544" s="906"/>
      <c r="BA1544" s="906"/>
      <c r="BB1544" s="907"/>
    </row>
    <row r="1545" spans="1:54" x14ac:dyDescent="0.25">
      <c r="A1545" s="13">
        <f t="shared" si="23"/>
        <v>1532</v>
      </c>
      <c r="B1545" s="914" t="str">
        <f>'refer admin discharge'!B1541</f>
        <v>x</v>
      </c>
      <c r="C1545" s="914"/>
      <c r="D1545" s="889" t="str">
        <f>'refer admin discharge'!D1541</f>
        <v>xx</v>
      </c>
      <c r="E1545" s="889"/>
      <c r="F1545" s="915" t="str">
        <f>'refer admin discharge'!H1541</f>
        <v>00/00/0000</v>
      </c>
      <c r="G1545" s="890"/>
      <c r="H1545" s="916"/>
      <c r="I1545" s="916"/>
      <c r="J1545" s="917"/>
      <c r="K1545" s="917"/>
      <c r="L1545" s="916"/>
      <c r="M1545" s="916"/>
      <c r="N1545" s="893"/>
      <c r="O1545" s="893"/>
      <c r="P1545" s="916"/>
      <c r="Q1545" s="916"/>
      <c r="R1545" s="893"/>
      <c r="S1545" s="893"/>
      <c r="T1545" s="916"/>
      <c r="U1545" s="916"/>
      <c r="V1545" s="921" t="str">
        <f>'refer admin discharge'!H1546</f>
        <v>00/00/0000</v>
      </c>
      <c r="W1545" s="922"/>
      <c r="X1545" s="912"/>
      <c r="Y1545" s="912"/>
      <c r="Z1545" s="924"/>
      <c r="AA1545" s="924"/>
      <c r="AB1545" s="912"/>
      <c r="AC1545" s="912"/>
      <c r="AD1545" s="913"/>
      <c r="AE1545" s="913"/>
      <c r="AF1545" s="912"/>
      <c r="AG1545" s="912"/>
      <c r="AH1545" s="913"/>
      <c r="AI1545" s="913"/>
      <c r="AJ1545" s="912"/>
      <c r="AK1545" s="912"/>
      <c r="AL1545" s="925"/>
      <c r="AM1545" s="926"/>
      <c r="AN1545" s="926"/>
      <c r="AO1545" s="926"/>
      <c r="AP1545" s="926"/>
      <c r="AQ1545" s="926"/>
      <c r="AR1545" s="926"/>
      <c r="AS1545" s="926"/>
      <c r="AT1545" s="926"/>
      <c r="AU1545" s="926"/>
      <c r="AV1545" s="926"/>
      <c r="AW1545" s="926"/>
      <c r="AX1545" s="926"/>
      <c r="AY1545" s="926"/>
      <c r="AZ1545" s="926"/>
      <c r="BA1545" s="926"/>
      <c r="BB1545" s="927"/>
    </row>
    <row r="1546" spans="1:54" x14ac:dyDescent="0.25">
      <c r="A1546" s="13">
        <f t="shared" si="23"/>
        <v>1533</v>
      </c>
      <c r="B1546" s="888" t="str">
        <f>'refer admin discharge'!B1542</f>
        <v>x</v>
      </c>
      <c r="C1546" s="888"/>
      <c r="D1546" s="868" t="str">
        <f>'refer admin discharge'!D1542</f>
        <v>xx</v>
      </c>
      <c r="E1546" s="868"/>
      <c r="F1546" s="891" t="str">
        <f>'refer admin discharge'!H1542</f>
        <v>00/00/0000</v>
      </c>
      <c r="G1546" s="892"/>
      <c r="H1546" s="894"/>
      <c r="I1546" s="894"/>
      <c r="J1546" s="918"/>
      <c r="K1546" s="918"/>
      <c r="L1546" s="894"/>
      <c r="M1546" s="894"/>
      <c r="N1546" s="916"/>
      <c r="O1546" s="916"/>
      <c r="P1546" s="894"/>
      <c r="Q1546" s="894"/>
      <c r="R1546" s="916"/>
      <c r="S1546" s="916"/>
      <c r="T1546" s="894"/>
      <c r="U1546" s="894"/>
      <c r="V1546" s="921" t="str">
        <f>'refer admin discharge'!H1547</f>
        <v>00/00/0000</v>
      </c>
      <c r="W1546" s="922"/>
      <c r="X1546" s="920"/>
      <c r="Y1546" s="920"/>
      <c r="Z1546" s="919"/>
      <c r="AA1546" s="919"/>
      <c r="AB1546" s="920"/>
      <c r="AC1546" s="920"/>
      <c r="AD1546" s="912"/>
      <c r="AE1546" s="912"/>
      <c r="AF1546" s="920"/>
      <c r="AG1546" s="920"/>
      <c r="AH1546" s="912"/>
      <c r="AI1546" s="912"/>
      <c r="AJ1546" s="920"/>
      <c r="AK1546" s="920"/>
      <c r="AL1546" s="905"/>
      <c r="AM1546" s="906"/>
      <c r="AN1546" s="906"/>
      <c r="AO1546" s="906"/>
      <c r="AP1546" s="906"/>
      <c r="AQ1546" s="906"/>
      <c r="AR1546" s="906"/>
      <c r="AS1546" s="906"/>
      <c r="AT1546" s="906"/>
      <c r="AU1546" s="906"/>
      <c r="AV1546" s="906"/>
      <c r="AW1546" s="906"/>
      <c r="AX1546" s="906"/>
      <c r="AY1546" s="906"/>
      <c r="AZ1546" s="906"/>
      <c r="BA1546" s="906"/>
      <c r="BB1546" s="907"/>
    </row>
    <row r="1547" spans="1:54" x14ac:dyDescent="0.25">
      <c r="A1547" s="13">
        <f t="shared" si="23"/>
        <v>1534</v>
      </c>
      <c r="B1547" s="914" t="str">
        <f>'refer admin discharge'!B1543</f>
        <v>x</v>
      </c>
      <c r="C1547" s="914"/>
      <c r="D1547" s="889" t="str">
        <f>'refer admin discharge'!D1543</f>
        <v>xx</v>
      </c>
      <c r="E1547" s="889"/>
      <c r="F1547" s="915" t="str">
        <f>'refer admin discharge'!H1543</f>
        <v>00/00/0000</v>
      </c>
      <c r="G1547" s="890"/>
      <c r="H1547" s="916"/>
      <c r="I1547" s="916"/>
      <c r="J1547" s="917"/>
      <c r="K1547" s="917"/>
      <c r="L1547" s="916"/>
      <c r="M1547" s="916"/>
      <c r="N1547" s="893"/>
      <c r="O1547" s="893"/>
      <c r="P1547" s="916"/>
      <c r="Q1547" s="916"/>
      <c r="R1547" s="893"/>
      <c r="S1547" s="893"/>
      <c r="T1547" s="916"/>
      <c r="U1547" s="916"/>
      <c r="V1547" s="921" t="str">
        <f>'refer admin discharge'!H1548</f>
        <v>00/00/0000</v>
      </c>
      <c r="W1547" s="922"/>
      <c r="X1547" s="912"/>
      <c r="Y1547" s="912"/>
      <c r="Z1547" s="924"/>
      <c r="AA1547" s="924"/>
      <c r="AB1547" s="912"/>
      <c r="AC1547" s="912"/>
      <c r="AD1547" s="913"/>
      <c r="AE1547" s="913"/>
      <c r="AF1547" s="912"/>
      <c r="AG1547" s="912"/>
      <c r="AH1547" s="913"/>
      <c r="AI1547" s="913"/>
      <c r="AJ1547" s="912"/>
      <c r="AK1547" s="912"/>
      <c r="AL1547" s="925"/>
      <c r="AM1547" s="926"/>
      <c r="AN1547" s="926"/>
      <c r="AO1547" s="926"/>
      <c r="AP1547" s="926"/>
      <c r="AQ1547" s="926"/>
      <c r="AR1547" s="926"/>
      <c r="AS1547" s="926"/>
      <c r="AT1547" s="926"/>
      <c r="AU1547" s="926"/>
      <c r="AV1547" s="926"/>
      <c r="AW1547" s="926"/>
      <c r="AX1547" s="926"/>
      <c r="AY1547" s="926"/>
      <c r="AZ1547" s="926"/>
      <c r="BA1547" s="926"/>
      <c r="BB1547" s="927"/>
    </row>
    <row r="1548" spans="1:54" x14ac:dyDescent="0.25">
      <c r="A1548" s="13">
        <f t="shared" si="23"/>
        <v>1535</v>
      </c>
      <c r="B1548" s="888" t="str">
        <f>'refer admin discharge'!B1544</f>
        <v>x</v>
      </c>
      <c r="C1548" s="888"/>
      <c r="D1548" s="868" t="str">
        <f>'refer admin discharge'!D1544</f>
        <v>xx</v>
      </c>
      <c r="E1548" s="868"/>
      <c r="F1548" s="891" t="str">
        <f>'refer admin discharge'!H1544</f>
        <v>00/00/0000</v>
      </c>
      <c r="G1548" s="892"/>
      <c r="H1548" s="894"/>
      <c r="I1548" s="894"/>
      <c r="J1548" s="918"/>
      <c r="K1548" s="918"/>
      <c r="L1548" s="894"/>
      <c r="M1548" s="894"/>
      <c r="N1548" s="916"/>
      <c r="O1548" s="916"/>
      <c r="P1548" s="894"/>
      <c r="Q1548" s="894"/>
      <c r="R1548" s="916"/>
      <c r="S1548" s="916"/>
      <c r="T1548" s="894"/>
      <c r="U1548" s="894"/>
      <c r="V1548" s="921" t="str">
        <f>'refer admin discharge'!H1549</f>
        <v>00/00/0000</v>
      </c>
      <c r="W1548" s="922"/>
      <c r="X1548" s="920"/>
      <c r="Y1548" s="920"/>
      <c r="Z1548" s="919"/>
      <c r="AA1548" s="919"/>
      <c r="AB1548" s="920"/>
      <c r="AC1548" s="920"/>
      <c r="AD1548" s="912"/>
      <c r="AE1548" s="912"/>
      <c r="AF1548" s="920"/>
      <c r="AG1548" s="920"/>
      <c r="AH1548" s="912"/>
      <c r="AI1548" s="912"/>
      <c r="AJ1548" s="920"/>
      <c r="AK1548" s="920"/>
      <c r="AL1548" s="905"/>
      <c r="AM1548" s="906"/>
      <c r="AN1548" s="906"/>
      <c r="AO1548" s="906"/>
      <c r="AP1548" s="906"/>
      <c r="AQ1548" s="906"/>
      <c r="AR1548" s="906"/>
      <c r="AS1548" s="906"/>
      <c r="AT1548" s="906"/>
      <c r="AU1548" s="906"/>
      <c r="AV1548" s="906"/>
      <c r="AW1548" s="906"/>
      <c r="AX1548" s="906"/>
      <c r="AY1548" s="906"/>
      <c r="AZ1548" s="906"/>
      <c r="BA1548" s="906"/>
      <c r="BB1548" s="907"/>
    </row>
    <row r="1549" spans="1:54" x14ac:dyDescent="0.25">
      <c r="A1549" s="13">
        <f t="shared" si="23"/>
        <v>1536</v>
      </c>
      <c r="B1549" s="914" t="str">
        <f>'refer admin discharge'!B1545</f>
        <v>x</v>
      </c>
      <c r="C1549" s="914"/>
      <c r="D1549" s="889" t="str">
        <f>'refer admin discharge'!D1545</f>
        <v>xx</v>
      </c>
      <c r="E1549" s="889"/>
      <c r="F1549" s="915" t="str">
        <f>'refer admin discharge'!H1545</f>
        <v>00/00/0000</v>
      </c>
      <c r="G1549" s="890"/>
      <c r="H1549" s="916"/>
      <c r="I1549" s="916"/>
      <c r="J1549" s="917"/>
      <c r="K1549" s="917"/>
      <c r="L1549" s="916"/>
      <c r="M1549" s="916"/>
      <c r="N1549" s="893"/>
      <c r="O1549" s="893"/>
      <c r="P1549" s="916"/>
      <c r="Q1549" s="916"/>
      <c r="R1549" s="893"/>
      <c r="S1549" s="893"/>
      <c r="T1549" s="916"/>
      <c r="U1549" s="916"/>
      <c r="V1549" s="921" t="str">
        <f>'refer admin discharge'!H1550</f>
        <v>00/00/0000</v>
      </c>
      <c r="W1549" s="922"/>
      <c r="X1549" s="912"/>
      <c r="Y1549" s="912"/>
      <c r="Z1549" s="924"/>
      <c r="AA1549" s="924"/>
      <c r="AB1549" s="912"/>
      <c r="AC1549" s="912"/>
      <c r="AD1549" s="913"/>
      <c r="AE1549" s="913"/>
      <c r="AF1549" s="912"/>
      <c r="AG1549" s="912"/>
      <c r="AH1549" s="913"/>
      <c r="AI1549" s="913"/>
      <c r="AJ1549" s="912"/>
      <c r="AK1549" s="912"/>
      <c r="AL1549" s="925"/>
      <c r="AM1549" s="926"/>
      <c r="AN1549" s="926"/>
      <c r="AO1549" s="926"/>
      <c r="AP1549" s="926"/>
      <c r="AQ1549" s="926"/>
      <c r="AR1549" s="926"/>
      <c r="AS1549" s="926"/>
      <c r="AT1549" s="926"/>
      <c r="AU1549" s="926"/>
      <c r="AV1549" s="926"/>
      <c r="AW1549" s="926"/>
      <c r="AX1549" s="926"/>
      <c r="AY1549" s="926"/>
      <c r="AZ1549" s="926"/>
      <c r="BA1549" s="926"/>
      <c r="BB1549" s="927"/>
    </row>
    <row r="1550" spans="1:54" x14ac:dyDescent="0.25">
      <c r="A1550" s="13">
        <f t="shared" ref="A1550:A1613" si="24">ROW(A1537)</f>
        <v>1537</v>
      </c>
      <c r="B1550" s="888" t="str">
        <f>'refer admin discharge'!B1546</f>
        <v>x</v>
      </c>
      <c r="C1550" s="888"/>
      <c r="D1550" s="868" t="str">
        <f>'refer admin discharge'!D1546</f>
        <v>xx</v>
      </c>
      <c r="E1550" s="868"/>
      <c r="F1550" s="891" t="str">
        <f>'refer admin discharge'!H1546</f>
        <v>00/00/0000</v>
      </c>
      <c r="G1550" s="892"/>
      <c r="H1550" s="894"/>
      <c r="I1550" s="894"/>
      <c r="J1550" s="918"/>
      <c r="K1550" s="918"/>
      <c r="L1550" s="894"/>
      <c r="M1550" s="894"/>
      <c r="N1550" s="916"/>
      <c r="O1550" s="916"/>
      <c r="P1550" s="894"/>
      <c r="Q1550" s="894"/>
      <c r="R1550" s="916"/>
      <c r="S1550" s="916"/>
      <c r="T1550" s="894"/>
      <c r="U1550" s="894"/>
      <c r="V1550" s="921" t="str">
        <f>'refer admin discharge'!H1551</f>
        <v>00/00/0000</v>
      </c>
      <c r="W1550" s="922"/>
      <c r="X1550" s="920"/>
      <c r="Y1550" s="920"/>
      <c r="Z1550" s="919"/>
      <c r="AA1550" s="919"/>
      <c r="AB1550" s="920"/>
      <c r="AC1550" s="920"/>
      <c r="AD1550" s="912"/>
      <c r="AE1550" s="912"/>
      <c r="AF1550" s="920"/>
      <c r="AG1550" s="920"/>
      <c r="AH1550" s="912"/>
      <c r="AI1550" s="912"/>
      <c r="AJ1550" s="920"/>
      <c r="AK1550" s="920"/>
      <c r="AL1550" s="905"/>
      <c r="AM1550" s="906"/>
      <c r="AN1550" s="906"/>
      <c r="AO1550" s="906"/>
      <c r="AP1550" s="906"/>
      <c r="AQ1550" s="906"/>
      <c r="AR1550" s="906"/>
      <c r="AS1550" s="906"/>
      <c r="AT1550" s="906"/>
      <c r="AU1550" s="906"/>
      <c r="AV1550" s="906"/>
      <c r="AW1550" s="906"/>
      <c r="AX1550" s="906"/>
      <c r="AY1550" s="906"/>
      <c r="AZ1550" s="906"/>
      <c r="BA1550" s="906"/>
      <c r="BB1550" s="907"/>
    </row>
    <row r="1551" spans="1:54" x14ac:dyDescent="0.25">
      <c r="A1551" s="13">
        <f t="shared" si="24"/>
        <v>1538</v>
      </c>
      <c r="B1551" s="914" t="str">
        <f>'refer admin discharge'!B1547</f>
        <v>x</v>
      </c>
      <c r="C1551" s="914"/>
      <c r="D1551" s="889" t="str">
        <f>'refer admin discharge'!D1547</f>
        <v>xx</v>
      </c>
      <c r="E1551" s="889"/>
      <c r="F1551" s="915" t="str">
        <f>'refer admin discharge'!H1547</f>
        <v>00/00/0000</v>
      </c>
      <c r="G1551" s="890"/>
      <c r="H1551" s="916"/>
      <c r="I1551" s="916"/>
      <c r="J1551" s="917"/>
      <c r="K1551" s="917"/>
      <c r="L1551" s="916"/>
      <c r="M1551" s="916"/>
      <c r="N1551" s="893"/>
      <c r="O1551" s="893"/>
      <c r="P1551" s="916"/>
      <c r="Q1551" s="916"/>
      <c r="R1551" s="893"/>
      <c r="S1551" s="893"/>
      <c r="T1551" s="916"/>
      <c r="U1551" s="916"/>
      <c r="V1551" s="921" t="str">
        <f>'refer admin discharge'!H1552</f>
        <v>00/00/0000</v>
      </c>
      <c r="W1551" s="922"/>
      <c r="X1551" s="912"/>
      <c r="Y1551" s="912"/>
      <c r="Z1551" s="924"/>
      <c r="AA1551" s="924"/>
      <c r="AB1551" s="912"/>
      <c r="AC1551" s="912"/>
      <c r="AD1551" s="913"/>
      <c r="AE1551" s="913"/>
      <c r="AF1551" s="912"/>
      <c r="AG1551" s="912"/>
      <c r="AH1551" s="913"/>
      <c r="AI1551" s="913"/>
      <c r="AJ1551" s="912"/>
      <c r="AK1551" s="912"/>
      <c r="AL1551" s="925"/>
      <c r="AM1551" s="926"/>
      <c r="AN1551" s="926"/>
      <c r="AO1551" s="926"/>
      <c r="AP1551" s="926"/>
      <c r="AQ1551" s="926"/>
      <c r="AR1551" s="926"/>
      <c r="AS1551" s="926"/>
      <c r="AT1551" s="926"/>
      <c r="AU1551" s="926"/>
      <c r="AV1551" s="926"/>
      <c r="AW1551" s="926"/>
      <c r="AX1551" s="926"/>
      <c r="AY1551" s="926"/>
      <c r="AZ1551" s="926"/>
      <c r="BA1551" s="926"/>
      <c r="BB1551" s="927"/>
    </row>
    <row r="1552" spans="1:54" x14ac:dyDescent="0.25">
      <c r="A1552" s="13">
        <f t="shared" si="24"/>
        <v>1539</v>
      </c>
      <c r="B1552" s="888" t="str">
        <f>'refer admin discharge'!B1548</f>
        <v>x</v>
      </c>
      <c r="C1552" s="888"/>
      <c r="D1552" s="868" t="str">
        <f>'refer admin discharge'!D1548</f>
        <v>xx</v>
      </c>
      <c r="E1552" s="868"/>
      <c r="F1552" s="891" t="str">
        <f>'refer admin discharge'!H1548</f>
        <v>00/00/0000</v>
      </c>
      <c r="G1552" s="892"/>
      <c r="H1552" s="894"/>
      <c r="I1552" s="894"/>
      <c r="J1552" s="918"/>
      <c r="K1552" s="918"/>
      <c r="L1552" s="894"/>
      <c r="M1552" s="894"/>
      <c r="N1552" s="916"/>
      <c r="O1552" s="916"/>
      <c r="P1552" s="894"/>
      <c r="Q1552" s="894"/>
      <c r="R1552" s="916"/>
      <c r="S1552" s="916"/>
      <c r="T1552" s="894"/>
      <c r="U1552" s="894"/>
      <c r="V1552" s="921" t="str">
        <f>'refer admin discharge'!H1553</f>
        <v>00/00/0000</v>
      </c>
      <c r="W1552" s="922"/>
      <c r="X1552" s="920"/>
      <c r="Y1552" s="920"/>
      <c r="Z1552" s="919"/>
      <c r="AA1552" s="919"/>
      <c r="AB1552" s="920"/>
      <c r="AC1552" s="920"/>
      <c r="AD1552" s="912"/>
      <c r="AE1552" s="912"/>
      <c r="AF1552" s="920"/>
      <c r="AG1552" s="920"/>
      <c r="AH1552" s="912"/>
      <c r="AI1552" s="912"/>
      <c r="AJ1552" s="920"/>
      <c r="AK1552" s="920"/>
      <c r="AL1552" s="905"/>
      <c r="AM1552" s="906"/>
      <c r="AN1552" s="906"/>
      <c r="AO1552" s="906"/>
      <c r="AP1552" s="906"/>
      <c r="AQ1552" s="906"/>
      <c r="AR1552" s="906"/>
      <c r="AS1552" s="906"/>
      <c r="AT1552" s="906"/>
      <c r="AU1552" s="906"/>
      <c r="AV1552" s="906"/>
      <c r="AW1552" s="906"/>
      <c r="AX1552" s="906"/>
      <c r="AY1552" s="906"/>
      <c r="AZ1552" s="906"/>
      <c r="BA1552" s="906"/>
      <c r="BB1552" s="907"/>
    </row>
    <row r="1553" spans="1:54" x14ac:dyDescent="0.25">
      <c r="A1553" s="13">
        <f t="shared" si="24"/>
        <v>1540</v>
      </c>
      <c r="B1553" s="914" t="str">
        <f>'refer admin discharge'!B1549</f>
        <v>x</v>
      </c>
      <c r="C1553" s="914"/>
      <c r="D1553" s="889" t="str">
        <f>'refer admin discharge'!D1549</f>
        <v>xx</v>
      </c>
      <c r="E1553" s="889"/>
      <c r="F1553" s="915" t="str">
        <f>'refer admin discharge'!H1549</f>
        <v>00/00/0000</v>
      </c>
      <c r="G1553" s="890"/>
      <c r="H1553" s="916"/>
      <c r="I1553" s="916"/>
      <c r="J1553" s="917"/>
      <c r="K1553" s="917"/>
      <c r="L1553" s="916"/>
      <c r="M1553" s="916"/>
      <c r="N1553" s="893"/>
      <c r="O1553" s="893"/>
      <c r="P1553" s="916"/>
      <c r="Q1553" s="916"/>
      <c r="R1553" s="893"/>
      <c r="S1553" s="893"/>
      <c r="T1553" s="916"/>
      <c r="U1553" s="916"/>
      <c r="V1553" s="921" t="str">
        <f>'refer admin discharge'!H1554</f>
        <v>00/00/0000</v>
      </c>
      <c r="W1553" s="922"/>
      <c r="X1553" s="912"/>
      <c r="Y1553" s="912"/>
      <c r="Z1553" s="924"/>
      <c r="AA1553" s="924"/>
      <c r="AB1553" s="912"/>
      <c r="AC1553" s="912"/>
      <c r="AD1553" s="913"/>
      <c r="AE1553" s="913"/>
      <c r="AF1553" s="912"/>
      <c r="AG1553" s="912"/>
      <c r="AH1553" s="913"/>
      <c r="AI1553" s="913"/>
      <c r="AJ1553" s="912"/>
      <c r="AK1553" s="912"/>
      <c r="AL1553" s="925"/>
      <c r="AM1553" s="926"/>
      <c r="AN1553" s="926"/>
      <c r="AO1553" s="926"/>
      <c r="AP1553" s="926"/>
      <c r="AQ1553" s="926"/>
      <c r="AR1553" s="926"/>
      <c r="AS1553" s="926"/>
      <c r="AT1553" s="926"/>
      <c r="AU1553" s="926"/>
      <c r="AV1553" s="926"/>
      <c r="AW1553" s="926"/>
      <c r="AX1553" s="926"/>
      <c r="AY1553" s="926"/>
      <c r="AZ1553" s="926"/>
      <c r="BA1553" s="926"/>
      <c r="BB1553" s="927"/>
    </row>
    <row r="1554" spans="1:54" x14ac:dyDescent="0.25">
      <c r="A1554" s="13">
        <f t="shared" si="24"/>
        <v>1541</v>
      </c>
      <c r="B1554" s="888" t="str">
        <f>'refer admin discharge'!B1550</f>
        <v>x</v>
      </c>
      <c r="C1554" s="888"/>
      <c r="D1554" s="868" t="str">
        <f>'refer admin discharge'!D1550</f>
        <v>xx</v>
      </c>
      <c r="E1554" s="868"/>
      <c r="F1554" s="891" t="str">
        <f>'refer admin discharge'!H1550</f>
        <v>00/00/0000</v>
      </c>
      <c r="G1554" s="892"/>
      <c r="H1554" s="894"/>
      <c r="I1554" s="894"/>
      <c r="J1554" s="918"/>
      <c r="K1554" s="918"/>
      <c r="L1554" s="894"/>
      <c r="M1554" s="894"/>
      <c r="N1554" s="916"/>
      <c r="O1554" s="916"/>
      <c r="P1554" s="894"/>
      <c r="Q1554" s="894"/>
      <c r="R1554" s="916"/>
      <c r="S1554" s="916"/>
      <c r="T1554" s="894"/>
      <c r="U1554" s="894"/>
      <c r="V1554" s="921" t="str">
        <f>'refer admin discharge'!H1555</f>
        <v>00/00/0000</v>
      </c>
      <c r="W1554" s="922"/>
      <c r="X1554" s="920"/>
      <c r="Y1554" s="920"/>
      <c r="Z1554" s="919"/>
      <c r="AA1554" s="919"/>
      <c r="AB1554" s="920"/>
      <c r="AC1554" s="920"/>
      <c r="AD1554" s="912"/>
      <c r="AE1554" s="912"/>
      <c r="AF1554" s="920"/>
      <c r="AG1554" s="920"/>
      <c r="AH1554" s="912"/>
      <c r="AI1554" s="912"/>
      <c r="AJ1554" s="920"/>
      <c r="AK1554" s="920"/>
      <c r="AL1554" s="905"/>
      <c r="AM1554" s="906"/>
      <c r="AN1554" s="906"/>
      <c r="AO1554" s="906"/>
      <c r="AP1554" s="906"/>
      <c r="AQ1554" s="906"/>
      <c r="AR1554" s="906"/>
      <c r="AS1554" s="906"/>
      <c r="AT1554" s="906"/>
      <c r="AU1554" s="906"/>
      <c r="AV1554" s="906"/>
      <c r="AW1554" s="906"/>
      <c r="AX1554" s="906"/>
      <c r="AY1554" s="906"/>
      <c r="AZ1554" s="906"/>
      <c r="BA1554" s="906"/>
      <c r="BB1554" s="907"/>
    </row>
    <row r="1555" spans="1:54" x14ac:dyDescent="0.25">
      <c r="A1555" s="13">
        <f t="shared" si="24"/>
        <v>1542</v>
      </c>
      <c r="B1555" s="914" t="str">
        <f>'refer admin discharge'!B1551</f>
        <v>x</v>
      </c>
      <c r="C1555" s="914"/>
      <c r="D1555" s="889" t="str">
        <f>'refer admin discharge'!D1551</f>
        <v>xx</v>
      </c>
      <c r="E1555" s="889"/>
      <c r="F1555" s="915" t="str">
        <f>'refer admin discharge'!H1551</f>
        <v>00/00/0000</v>
      </c>
      <c r="G1555" s="890"/>
      <c r="H1555" s="916"/>
      <c r="I1555" s="916"/>
      <c r="J1555" s="917"/>
      <c r="K1555" s="917"/>
      <c r="L1555" s="916"/>
      <c r="M1555" s="916"/>
      <c r="N1555" s="893"/>
      <c r="O1555" s="893"/>
      <c r="P1555" s="916"/>
      <c r="Q1555" s="916"/>
      <c r="R1555" s="893"/>
      <c r="S1555" s="893"/>
      <c r="T1555" s="916"/>
      <c r="U1555" s="916"/>
      <c r="V1555" s="921" t="str">
        <f>'refer admin discharge'!H1556</f>
        <v>00/00/0000</v>
      </c>
      <c r="W1555" s="922"/>
      <c r="X1555" s="912"/>
      <c r="Y1555" s="912"/>
      <c r="Z1555" s="924"/>
      <c r="AA1555" s="924"/>
      <c r="AB1555" s="912"/>
      <c r="AC1555" s="912"/>
      <c r="AD1555" s="913"/>
      <c r="AE1555" s="913"/>
      <c r="AF1555" s="912"/>
      <c r="AG1555" s="912"/>
      <c r="AH1555" s="913"/>
      <c r="AI1555" s="913"/>
      <c r="AJ1555" s="912"/>
      <c r="AK1555" s="912"/>
      <c r="AL1555" s="925"/>
      <c r="AM1555" s="926"/>
      <c r="AN1555" s="926"/>
      <c r="AO1555" s="926"/>
      <c r="AP1555" s="926"/>
      <c r="AQ1555" s="926"/>
      <c r="AR1555" s="926"/>
      <c r="AS1555" s="926"/>
      <c r="AT1555" s="926"/>
      <c r="AU1555" s="926"/>
      <c r="AV1555" s="926"/>
      <c r="AW1555" s="926"/>
      <c r="AX1555" s="926"/>
      <c r="AY1555" s="926"/>
      <c r="AZ1555" s="926"/>
      <c r="BA1555" s="926"/>
      <c r="BB1555" s="927"/>
    </row>
    <row r="1556" spans="1:54" x14ac:dyDescent="0.25">
      <c r="A1556" s="13">
        <f t="shared" si="24"/>
        <v>1543</v>
      </c>
      <c r="B1556" s="888" t="str">
        <f>'refer admin discharge'!B1552</f>
        <v>x</v>
      </c>
      <c r="C1556" s="888"/>
      <c r="D1556" s="868" t="str">
        <f>'refer admin discharge'!D1552</f>
        <v>xx</v>
      </c>
      <c r="E1556" s="868"/>
      <c r="F1556" s="891" t="str">
        <f>'refer admin discharge'!H1552</f>
        <v>00/00/0000</v>
      </c>
      <c r="G1556" s="892"/>
      <c r="H1556" s="894"/>
      <c r="I1556" s="894"/>
      <c r="J1556" s="918"/>
      <c r="K1556" s="918"/>
      <c r="L1556" s="894"/>
      <c r="M1556" s="894"/>
      <c r="N1556" s="916"/>
      <c r="O1556" s="916"/>
      <c r="P1556" s="894"/>
      <c r="Q1556" s="894"/>
      <c r="R1556" s="916"/>
      <c r="S1556" s="916"/>
      <c r="T1556" s="894"/>
      <c r="U1556" s="894"/>
      <c r="V1556" s="921" t="str">
        <f>'refer admin discharge'!H1557</f>
        <v>00/00/0000</v>
      </c>
      <c r="W1556" s="922"/>
      <c r="X1556" s="920"/>
      <c r="Y1556" s="920"/>
      <c r="Z1556" s="919"/>
      <c r="AA1556" s="919"/>
      <c r="AB1556" s="920"/>
      <c r="AC1556" s="920"/>
      <c r="AD1556" s="912"/>
      <c r="AE1556" s="912"/>
      <c r="AF1556" s="920"/>
      <c r="AG1556" s="920"/>
      <c r="AH1556" s="912"/>
      <c r="AI1556" s="912"/>
      <c r="AJ1556" s="920"/>
      <c r="AK1556" s="920"/>
      <c r="AL1556" s="905"/>
      <c r="AM1556" s="906"/>
      <c r="AN1556" s="906"/>
      <c r="AO1556" s="906"/>
      <c r="AP1556" s="906"/>
      <c r="AQ1556" s="906"/>
      <c r="AR1556" s="906"/>
      <c r="AS1556" s="906"/>
      <c r="AT1556" s="906"/>
      <c r="AU1556" s="906"/>
      <c r="AV1556" s="906"/>
      <c r="AW1556" s="906"/>
      <c r="AX1556" s="906"/>
      <c r="AY1556" s="906"/>
      <c r="AZ1556" s="906"/>
      <c r="BA1556" s="906"/>
      <c r="BB1556" s="907"/>
    </row>
    <row r="1557" spans="1:54" x14ac:dyDescent="0.25">
      <c r="A1557" s="13">
        <f t="shared" si="24"/>
        <v>1544</v>
      </c>
      <c r="B1557" s="914" t="str">
        <f>'refer admin discharge'!B1553</f>
        <v>x</v>
      </c>
      <c r="C1557" s="914"/>
      <c r="D1557" s="889" t="str">
        <f>'refer admin discharge'!D1553</f>
        <v>xx</v>
      </c>
      <c r="E1557" s="889"/>
      <c r="F1557" s="915" t="str">
        <f>'refer admin discharge'!H1553</f>
        <v>00/00/0000</v>
      </c>
      <c r="G1557" s="890"/>
      <c r="H1557" s="916"/>
      <c r="I1557" s="916"/>
      <c r="J1557" s="917"/>
      <c r="K1557" s="917"/>
      <c r="L1557" s="916"/>
      <c r="M1557" s="916"/>
      <c r="N1557" s="893"/>
      <c r="O1557" s="893"/>
      <c r="P1557" s="916"/>
      <c r="Q1557" s="916"/>
      <c r="R1557" s="893"/>
      <c r="S1557" s="893"/>
      <c r="T1557" s="916"/>
      <c r="U1557" s="916"/>
      <c r="V1557" s="921" t="str">
        <f>'refer admin discharge'!H1558</f>
        <v>00/00/0000</v>
      </c>
      <c r="W1557" s="922"/>
      <c r="X1557" s="912"/>
      <c r="Y1557" s="912"/>
      <c r="Z1557" s="924"/>
      <c r="AA1557" s="924"/>
      <c r="AB1557" s="912"/>
      <c r="AC1557" s="912"/>
      <c r="AD1557" s="913"/>
      <c r="AE1557" s="913"/>
      <c r="AF1557" s="912"/>
      <c r="AG1557" s="912"/>
      <c r="AH1557" s="913"/>
      <c r="AI1557" s="913"/>
      <c r="AJ1557" s="912"/>
      <c r="AK1557" s="912"/>
      <c r="AL1557" s="925"/>
      <c r="AM1557" s="926"/>
      <c r="AN1557" s="926"/>
      <c r="AO1557" s="926"/>
      <c r="AP1557" s="926"/>
      <c r="AQ1557" s="926"/>
      <c r="AR1557" s="926"/>
      <c r="AS1557" s="926"/>
      <c r="AT1557" s="926"/>
      <c r="AU1557" s="926"/>
      <c r="AV1557" s="926"/>
      <c r="AW1557" s="926"/>
      <c r="AX1557" s="926"/>
      <c r="AY1557" s="926"/>
      <c r="AZ1557" s="926"/>
      <c r="BA1557" s="926"/>
      <c r="BB1557" s="927"/>
    </row>
    <row r="1558" spans="1:54" x14ac:dyDescent="0.25">
      <c r="A1558" s="13">
        <f t="shared" si="24"/>
        <v>1545</v>
      </c>
      <c r="B1558" s="888" t="str">
        <f>'refer admin discharge'!B1554</f>
        <v>x</v>
      </c>
      <c r="C1558" s="888"/>
      <c r="D1558" s="868" t="str">
        <f>'refer admin discharge'!D1554</f>
        <v>xx</v>
      </c>
      <c r="E1558" s="868"/>
      <c r="F1558" s="891" t="str">
        <f>'refer admin discharge'!H1554</f>
        <v>00/00/0000</v>
      </c>
      <c r="G1558" s="892"/>
      <c r="H1558" s="894"/>
      <c r="I1558" s="894"/>
      <c r="J1558" s="918"/>
      <c r="K1558" s="918"/>
      <c r="L1558" s="894"/>
      <c r="M1558" s="894"/>
      <c r="N1558" s="916"/>
      <c r="O1558" s="916"/>
      <c r="P1558" s="894"/>
      <c r="Q1558" s="894"/>
      <c r="R1558" s="916"/>
      <c r="S1558" s="916"/>
      <c r="T1558" s="894"/>
      <c r="U1558" s="894"/>
      <c r="V1558" s="921" t="str">
        <f>'refer admin discharge'!H1559</f>
        <v>00/00/0000</v>
      </c>
      <c r="W1558" s="922"/>
      <c r="X1558" s="920"/>
      <c r="Y1558" s="920"/>
      <c r="Z1558" s="919"/>
      <c r="AA1558" s="919"/>
      <c r="AB1558" s="920"/>
      <c r="AC1558" s="920"/>
      <c r="AD1558" s="912"/>
      <c r="AE1558" s="912"/>
      <c r="AF1558" s="920"/>
      <c r="AG1558" s="920"/>
      <c r="AH1558" s="912"/>
      <c r="AI1558" s="912"/>
      <c r="AJ1558" s="920"/>
      <c r="AK1558" s="920"/>
      <c r="AL1558" s="905"/>
      <c r="AM1558" s="906"/>
      <c r="AN1558" s="906"/>
      <c r="AO1558" s="906"/>
      <c r="AP1558" s="906"/>
      <c r="AQ1558" s="906"/>
      <c r="AR1558" s="906"/>
      <c r="AS1558" s="906"/>
      <c r="AT1558" s="906"/>
      <c r="AU1558" s="906"/>
      <c r="AV1558" s="906"/>
      <c r="AW1558" s="906"/>
      <c r="AX1558" s="906"/>
      <c r="AY1558" s="906"/>
      <c r="AZ1558" s="906"/>
      <c r="BA1558" s="906"/>
      <c r="BB1558" s="907"/>
    </row>
    <row r="1559" spans="1:54" x14ac:dyDescent="0.25">
      <c r="A1559" s="13">
        <f t="shared" si="24"/>
        <v>1546</v>
      </c>
      <c r="B1559" s="914" t="str">
        <f>'refer admin discharge'!B1555</f>
        <v>x</v>
      </c>
      <c r="C1559" s="914"/>
      <c r="D1559" s="889" t="str">
        <f>'refer admin discharge'!D1555</f>
        <v>xx</v>
      </c>
      <c r="E1559" s="889"/>
      <c r="F1559" s="915" t="str">
        <f>'refer admin discharge'!H1555</f>
        <v>00/00/0000</v>
      </c>
      <c r="G1559" s="890"/>
      <c r="H1559" s="916"/>
      <c r="I1559" s="916"/>
      <c r="J1559" s="917"/>
      <c r="K1559" s="917"/>
      <c r="L1559" s="916"/>
      <c r="M1559" s="916"/>
      <c r="N1559" s="893"/>
      <c r="O1559" s="893"/>
      <c r="P1559" s="916"/>
      <c r="Q1559" s="916"/>
      <c r="R1559" s="893"/>
      <c r="S1559" s="893"/>
      <c r="T1559" s="916"/>
      <c r="U1559" s="916"/>
      <c r="V1559" s="921" t="str">
        <f>'refer admin discharge'!H1560</f>
        <v>00/00/0000</v>
      </c>
      <c r="W1559" s="922"/>
      <c r="X1559" s="912"/>
      <c r="Y1559" s="912"/>
      <c r="Z1559" s="924"/>
      <c r="AA1559" s="924"/>
      <c r="AB1559" s="912"/>
      <c r="AC1559" s="912"/>
      <c r="AD1559" s="913"/>
      <c r="AE1559" s="913"/>
      <c r="AF1559" s="912"/>
      <c r="AG1559" s="912"/>
      <c r="AH1559" s="913"/>
      <c r="AI1559" s="913"/>
      <c r="AJ1559" s="912"/>
      <c r="AK1559" s="912"/>
      <c r="AL1559" s="925"/>
      <c r="AM1559" s="926"/>
      <c r="AN1559" s="926"/>
      <c r="AO1559" s="926"/>
      <c r="AP1559" s="926"/>
      <c r="AQ1559" s="926"/>
      <c r="AR1559" s="926"/>
      <c r="AS1559" s="926"/>
      <c r="AT1559" s="926"/>
      <c r="AU1559" s="926"/>
      <c r="AV1559" s="926"/>
      <c r="AW1559" s="926"/>
      <c r="AX1559" s="926"/>
      <c r="AY1559" s="926"/>
      <c r="AZ1559" s="926"/>
      <c r="BA1559" s="926"/>
      <c r="BB1559" s="927"/>
    </row>
    <row r="1560" spans="1:54" x14ac:dyDescent="0.25">
      <c r="A1560" s="13">
        <f t="shared" si="24"/>
        <v>1547</v>
      </c>
      <c r="B1560" s="888" t="str">
        <f>'refer admin discharge'!B1556</f>
        <v>x</v>
      </c>
      <c r="C1560" s="888"/>
      <c r="D1560" s="868" t="str">
        <f>'refer admin discharge'!D1556</f>
        <v>xx</v>
      </c>
      <c r="E1560" s="868"/>
      <c r="F1560" s="891" t="str">
        <f>'refer admin discharge'!H1556</f>
        <v>00/00/0000</v>
      </c>
      <c r="G1560" s="892"/>
      <c r="H1560" s="894"/>
      <c r="I1560" s="894"/>
      <c r="J1560" s="918"/>
      <c r="K1560" s="918"/>
      <c r="L1560" s="894"/>
      <c r="M1560" s="894"/>
      <c r="N1560" s="916"/>
      <c r="O1560" s="916"/>
      <c r="P1560" s="894"/>
      <c r="Q1560" s="894"/>
      <c r="R1560" s="916"/>
      <c r="S1560" s="916"/>
      <c r="T1560" s="894"/>
      <c r="U1560" s="894"/>
      <c r="V1560" s="921" t="str">
        <f>'refer admin discharge'!H1561</f>
        <v>00/00/0000</v>
      </c>
      <c r="W1560" s="922"/>
      <c r="X1560" s="920"/>
      <c r="Y1560" s="920"/>
      <c r="Z1560" s="919"/>
      <c r="AA1560" s="919"/>
      <c r="AB1560" s="920"/>
      <c r="AC1560" s="920"/>
      <c r="AD1560" s="912"/>
      <c r="AE1560" s="912"/>
      <c r="AF1560" s="920"/>
      <c r="AG1560" s="920"/>
      <c r="AH1560" s="912"/>
      <c r="AI1560" s="912"/>
      <c r="AJ1560" s="920"/>
      <c r="AK1560" s="920"/>
      <c r="AL1560" s="905"/>
      <c r="AM1560" s="906"/>
      <c r="AN1560" s="906"/>
      <c r="AO1560" s="906"/>
      <c r="AP1560" s="906"/>
      <c r="AQ1560" s="906"/>
      <c r="AR1560" s="906"/>
      <c r="AS1560" s="906"/>
      <c r="AT1560" s="906"/>
      <c r="AU1560" s="906"/>
      <c r="AV1560" s="906"/>
      <c r="AW1560" s="906"/>
      <c r="AX1560" s="906"/>
      <c r="AY1560" s="906"/>
      <c r="AZ1560" s="906"/>
      <c r="BA1560" s="906"/>
      <c r="BB1560" s="907"/>
    </row>
    <row r="1561" spans="1:54" x14ac:dyDescent="0.25">
      <c r="A1561" s="13">
        <f t="shared" si="24"/>
        <v>1548</v>
      </c>
      <c r="B1561" s="914" t="str">
        <f>'refer admin discharge'!B1557</f>
        <v>x</v>
      </c>
      <c r="C1561" s="914"/>
      <c r="D1561" s="889" t="str">
        <f>'refer admin discharge'!D1557</f>
        <v>xx</v>
      </c>
      <c r="E1561" s="889"/>
      <c r="F1561" s="915" t="str">
        <f>'refer admin discharge'!H1557</f>
        <v>00/00/0000</v>
      </c>
      <c r="G1561" s="890"/>
      <c r="H1561" s="916"/>
      <c r="I1561" s="916"/>
      <c r="J1561" s="917"/>
      <c r="K1561" s="917"/>
      <c r="L1561" s="916"/>
      <c r="M1561" s="916"/>
      <c r="N1561" s="893"/>
      <c r="O1561" s="893"/>
      <c r="P1561" s="916"/>
      <c r="Q1561" s="916"/>
      <c r="R1561" s="893"/>
      <c r="S1561" s="893"/>
      <c r="T1561" s="916"/>
      <c r="U1561" s="916"/>
      <c r="V1561" s="921" t="str">
        <f>'refer admin discharge'!H1562</f>
        <v>00/00/0000</v>
      </c>
      <c r="W1561" s="922"/>
      <c r="X1561" s="912"/>
      <c r="Y1561" s="912"/>
      <c r="Z1561" s="924"/>
      <c r="AA1561" s="924"/>
      <c r="AB1561" s="912"/>
      <c r="AC1561" s="912"/>
      <c r="AD1561" s="913"/>
      <c r="AE1561" s="913"/>
      <c r="AF1561" s="912"/>
      <c r="AG1561" s="912"/>
      <c r="AH1561" s="913"/>
      <c r="AI1561" s="913"/>
      <c r="AJ1561" s="912"/>
      <c r="AK1561" s="912"/>
      <c r="AL1561" s="925"/>
      <c r="AM1561" s="926"/>
      <c r="AN1561" s="926"/>
      <c r="AO1561" s="926"/>
      <c r="AP1561" s="926"/>
      <c r="AQ1561" s="926"/>
      <c r="AR1561" s="926"/>
      <c r="AS1561" s="926"/>
      <c r="AT1561" s="926"/>
      <c r="AU1561" s="926"/>
      <c r="AV1561" s="926"/>
      <c r="AW1561" s="926"/>
      <c r="AX1561" s="926"/>
      <c r="AY1561" s="926"/>
      <c r="AZ1561" s="926"/>
      <c r="BA1561" s="926"/>
      <c r="BB1561" s="927"/>
    </row>
    <row r="1562" spans="1:54" x14ac:dyDescent="0.25">
      <c r="A1562" s="13">
        <f t="shared" si="24"/>
        <v>1549</v>
      </c>
      <c r="B1562" s="888" t="str">
        <f>'refer admin discharge'!B1558</f>
        <v>x</v>
      </c>
      <c r="C1562" s="888"/>
      <c r="D1562" s="868" t="str">
        <f>'refer admin discharge'!D1558</f>
        <v>xx</v>
      </c>
      <c r="E1562" s="868"/>
      <c r="F1562" s="891" t="str">
        <f>'refer admin discharge'!H1558</f>
        <v>00/00/0000</v>
      </c>
      <c r="G1562" s="892"/>
      <c r="H1562" s="894"/>
      <c r="I1562" s="894"/>
      <c r="J1562" s="918"/>
      <c r="K1562" s="918"/>
      <c r="L1562" s="894"/>
      <c r="M1562" s="894"/>
      <c r="N1562" s="916"/>
      <c r="O1562" s="916"/>
      <c r="P1562" s="894"/>
      <c r="Q1562" s="894"/>
      <c r="R1562" s="916"/>
      <c r="S1562" s="916"/>
      <c r="T1562" s="894"/>
      <c r="U1562" s="894"/>
      <c r="V1562" s="921" t="str">
        <f>'refer admin discharge'!H1563</f>
        <v>00/00/0000</v>
      </c>
      <c r="W1562" s="922"/>
      <c r="X1562" s="920"/>
      <c r="Y1562" s="920"/>
      <c r="Z1562" s="919"/>
      <c r="AA1562" s="919"/>
      <c r="AB1562" s="920"/>
      <c r="AC1562" s="920"/>
      <c r="AD1562" s="912"/>
      <c r="AE1562" s="912"/>
      <c r="AF1562" s="920"/>
      <c r="AG1562" s="920"/>
      <c r="AH1562" s="912"/>
      <c r="AI1562" s="912"/>
      <c r="AJ1562" s="920"/>
      <c r="AK1562" s="920"/>
      <c r="AL1562" s="905"/>
      <c r="AM1562" s="906"/>
      <c r="AN1562" s="906"/>
      <c r="AO1562" s="906"/>
      <c r="AP1562" s="906"/>
      <c r="AQ1562" s="906"/>
      <c r="AR1562" s="906"/>
      <c r="AS1562" s="906"/>
      <c r="AT1562" s="906"/>
      <c r="AU1562" s="906"/>
      <c r="AV1562" s="906"/>
      <c r="AW1562" s="906"/>
      <c r="AX1562" s="906"/>
      <c r="AY1562" s="906"/>
      <c r="AZ1562" s="906"/>
      <c r="BA1562" s="906"/>
      <c r="BB1562" s="907"/>
    </row>
    <row r="1563" spans="1:54" x14ac:dyDescent="0.25">
      <c r="A1563" s="13">
        <f t="shared" si="24"/>
        <v>1550</v>
      </c>
      <c r="B1563" s="914" t="str">
        <f>'refer admin discharge'!B1559</f>
        <v>x</v>
      </c>
      <c r="C1563" s="914"/>
      <c r="D1563" s="889" t="str">
        <f>'refer admin discharge'!D1559</f>
        <v>xx</v>
      </c>
      <c r="E1563" s="889"/>
      <c r="F1563" s="915" t="str">
        <f>'refer admin discharge'!H1559</f>
        <v>00/00/0000</v>
      </c>
      <c r="G1563" s="890"/>
      <c r="H1563" s="916"/>
      <c r="I1563" s="916"/>
      <c r="J1563" s="917"/>
      <c r="K1563" s="917"/>
      <c r="L1563" s="916"/>
      <c r="M1563" s="916"/>
      <c r="N1563" s="893"/>
      <c r="O1563" s="893"/>
      <c r="P1563" s="916"/>
      <c r="Q1563" s="916"/>
      <c r="R1563" s="893"/>
      <c r="S1563" s="893"/>
      <c r="T1563" s="916"/>
      <c r="U1563" s="916"/>
      <c r="V1563" s="921" t="str">
        <f>'refer admin discharge'!H1564</f>
        <v>00/00/0000</v>
      </c>
      <c r="W1563" s="922"/>
      <c r="X1563" s="912"/>
      <c r="Y1563" s="912"/>
      <c r="Z1563" s="924"/>
      <c r="AA1563" s="924"/>
      <c r="AB1563" s="912"/>
      <c r="AC1563" s="912"/>
      <c r="AD1563" s="913"/>
      <c r="AE1563" s="913"/>
      <c r="AF1563" s="912"/>
      <c r="AG1563" s="912"/>
      <c r="AH1563" s="913"/>
      <c r="AI1563" s="913"/>
      <c r="AJ1563" s="912"/>
      <c r="AK1563" s="912"/>
      <c r="AL1563" s="925"/>
      <c r="AM1563" s="926"/>
      <c r="AN1563" s="926"/>
      <c r="AO1563" s="926"/>
      <c r="AP1563" s="926"/>
      <c r="AQ1563" s="926"/>
      <c r="AR1563" s="926"/>
      <c r="AS1563" s="926"/>
      <c r="AT1563" s="926"/>
      <c r="AU1563" s="926"/>
      <c r="AV1563" s="926"/>
      <c r="AW1563" s="926"/>
      <c r="AX1563" s="926"/>
      <c r="AY1563" s="926"/>
      <c r="AZ1563" s="926"/>
      <c r="BA1563" s="926"/>
      <c r="BB1563" s="927"/>
    </row>
    <row r="1564" spans="1:54" x14ac:dyDescent="0.25">
      <c r="A1564" s="13">
        <f t="shared" si="24"/>
        <v>1551</v>
      </c>
      <c r="B1564" s="888" t="str">
        <f>'refer admin discharge'!B1560</f>
        <v>x</v>
      </c>
      <c r="C1564" s="888"/>
      <c r="D1564" s="868" t="str">
        <f>'refer admin discharge'!D1560</f>
        <v>xx</v>
      </c>
      <c r="E1564" s="868"/>
      <c r="F1564" s="891" t="str">
        <f>'refer admin discharge'!H1560</f>
        <v>00/00/0000</v>
      </c>
      <c r="G1564" s="892"/>
      <c r="H1564" s="894"/>
      <c r="I1564" s="894"/>
      <c r="J1564" s="918"/>
      <c r="K1564" s="918"/>
      <c r="L1564" s="894"/>
      <c r="M1564" s="894"/>
      <c r="N1564" s="916"/>
      <c r="O1564" s="916"/>
      <c r="P1564" s="894"/>
      <c r="Q1564" s="894"/>
      <c r="R1564" s="916"/>
      <c r="S1564" s="916"/>
      <c r="T1564" s="894"/>
      <c r="U1564" s="894"/>
      <c r="V1564" s="921" t="str">
        <f>'refer admin discharge'!H1565</f>
        <v>00/00/0000</v>
      </c>
      <c r="W1564" s="922"/>
      <c r="X1564" s="920"/>
      <c r="Y1564" s="920"/>
      <c r="Z1564" s="919"/>
      <c r="AA1564" s="919"/>
      <c r="AB1564" s="920"/>
      <c r="AC1564" s="920"/>
      <c r="AD1564" s="912"/>
      <c r="AE1564" s="912"/>
      <c r="AF1564" s="920"/>
      <c r="AG1564" s="920"/>
      <c r="AH1564" s="912"/>
      <c r="AI1564" s="912"/>
      <c r="AJ1564" s="920"/>
      <c r="AK1564" s="920"/>
      <c r="AL1564" s="905"/>
      <c r="AM1564" s="906"/>
      <c r="AN1564" s="906"/>
      <c r="AO1564" s="906"/>
      <c r="AP1564" s="906"/>
      <c r="AQ1564" s="906"/>
      <c r="AR1564" s="906"/>
      <c r="AS1564" s="906"/>
      <c r="AT1564" s="906"/>
      <c r="AU1564" s="906"/>
      <c r="AV1564" s="906"/>
      <c r="AW1564" s="906"/>
      <c r="AX1564" s="906"/>
      <c r="AY1564" s="906"/>
      <c r="AZ1564" s="906"/>
      <c r="BA1564" s="906"/>
      <c r="BB1564" s="907"/>
    </row>
    <row r="1565" spans="1:54" x14ac:dyDescent="0.25">
      <c r="A1565" s="13">
        <f t="shared" si="24"/>
        <v>1552</v>
      </c>
      <c r="B1565" s="914" t="str">
        <f>'refer admin discharge'!B1561</f>
        <v>x</v>
      </c>
      <c r="C1565" s="914"/>
      <c r="D1565" s="889" t="str">
        <f>'refer admin discharge'!D1561</f>
        <v>xx</v>
      </c>
      <c r="E1565" s="889"/>
      <c r="F1565" s="915" t="str">
        <f>'refer admin discharge'!H1561</f>
        <v>00/00/0000</v>
      </c>
      <c r="G1565" s="890"/>
      <c r="H1565" s="916"/>
      <c r="I1565" s="916"/>
      <c r="J1565" s="917"/>
      <c r="K1565" s="917"/>
      <c r="L1565" s="916"/>
      <c r="M1565" s="916"/>
      <c r="N1565" s="893"/>
      <c r="O1565" s="893"/>
      <c r="P1565" s="916"/>
      <c r="Q1565" s="916"/>
      <c r="R1565" s="893"/>
      <c r="S1565" s="893"/>
      <c r="T1565" s="916"/>
      <c r="U1565" s="916"/>
      <c r="V1565" s="921" t="str">
        <f>'refer admin discharge'!H1566</f>
        <v>00/00/0000</v>
      </c>
      <c r="W1565" s="922"/>
      <c r="X1565" s="912"/>
      <c r="Y1565" s="912"/>
      <c r="Z1565" s="924"/>
      <c r="AA1565" s="924"/>
      <c r="AB1565" s="912"/>
      <c r="AC1565" s="912"/>
      <c r="AD1565" s="913"/>
      <c r="AE1565" s="913"/>
      <c r="AF1565" s="912"/>
      <c r="AG1565" s="912"/>
      <c r="AH1565" s="913"/>
      <c r="AI1565" s="913"/>
      <c r="AJ1565" s="912"/>
      <c r="AK1565" s="912"/>
      <c r="AL1565" s="925"/>
      <c r="AM1565" s="926"/>
      <c r="AN1565" s="926"/>
      <c r="AO1565" s="926"/>
      <c r="AP1565" s="926"/>
      <c r="AQ1565" s="926"/>
      <c r="AR1565" s="926"/>
      <c r="AS1565" s="926"/>
      <c r="AT1565" s="926"/>
      <c r="AU1565" s="926"/>
      <c r="AV1565" s="926"/>
      <c r="AW1565" s="926"/>
      <c r="AX1565" s="926"/>
      <c r="AY1565" s="926"/>
      <c r="AZ1565" s="926"/>
      <c r="BA1565" s="926"/>
      <c r="BB1565" s="927"/>
    </row>
    <row r="1566" spans="1:54" x14ac:dyDescent="0.25">
      <c r="A1566" s="13">
        <f t="shared" si="24"/>
        <v>1553</v>
      </c>
      <c r="B1566" s="888" t="str">
        <f>'refer admin discharge'!B1562</f>
        <v>x</v>
      </c>
      <c r="C1566" s="888"/>
      <c r="D1566" s="868" t="str">
        <f>'refer admin discharge'!D1562</f>
        <v>xx</v>
      </c>
      <c r="E1566" s="868"/>
      <c r="F1566" s="891" t="str">
        <f>'refer admin discharge'!H1562</f>
        <v>00/00/0000</v>
      </c>
      <c r="G1566" s="892"/>
      <c r="H1566" s="894"/>
      <c r="I1566" s="894"/>
      <c r="J1566" s="918"/>
      <c r="K1566" s="918"/>
      <c r="L1566" s="894"/>
      <c r="M1566" s="894"/>
      <c r="N1566" s="916"/>
      <c r="O1566" s="916"/>
      <c r="P1566" s="894"/>
      <c r="Q1566" s="894"/>
      <c r="R1566" s="916"/>
      <c r="S1566" s="916"/>
      <c r="T1566" s="894"/>
      <c r="U1566" s="894"/>
      <c r="V1566" s="921" t="str">
        <f>'refer admin discharge'!H1567</f>
        <v>00/00/0000</v>
      </c>
      <c r="W1566" s="922"/>
      <c r="X1566" s="920"/>
      <c r="Y1566" s="920"/>
      <c r="Z1566" s="919"/>
      <c r="AA1566" s="919"/>
      <c r="AB1566" s="920"/>
      <c r="AC1566" s="920"/>
      <c r="AD1566" s="912"/>
      <c r="AE1566" s="912"/>
      <c r="AF1566" s="920"/>
      <c r="AG1566" s="920"/>
      <c r="AH1566" s="912"/>
      <c r="AI1566" s="912"/>
      <c r="AJ1566" s="920"/>
      <c r="AK1566" s="920"/>
      <c r="AL1566" s="905"/>
      <c r="AM1566" s="906"/>
      <c r="AN1566" s="906"/>
      <c r="AO1566" s="906"/>
      <c r="AP1566" s="906"/>
      <c r="AQ1566" s="906"/>
      <c r="AR1566" s="906"/>
      <c r="AS1566" s="906"/>
      <c r="AT1566" s="906"/>
      <c r="AU1566" s="906"/>
      <c r="AV1566" s="906"/>
      <c r="AW1566" s="906"/>
      <c r="AX1566" s="906"/>
      <c r="AY1566" s="906"/>
      <c r="AZ1566" s="906"/>
      <c r="BA1566" s="906"/>
      <c r="BB1566" s="907"/>
    </row>
    <row r="1567" spans="1:54" x14ac:dyDescent="0.25">
      <c r="A1567" s="13">
        <f t="shared" si="24"/>
        <v>1554</v>
      </c>
      <c r="B1567" s="914" t="str">
        <f>'refer admin discharge'!B1563</f>
        <v>x</v>
      </c>
      <c r="C1567" s="914"/>
      <c r="D1567" s="889" t="str">
        <f>'refer admin discharge'!D1563</f>
        <v>xx</v>
      </c>
      <c r="E1567" s="889"/>
      <c r="F1567" s="915" t="str">
        <f>'refer admin discharge'!H1563</f>
        <v>00/00/0000</v>
      </c>
      <c r="G1567" s="890"/>
      <c r="H1567" s="916"/>
      <c r="I1567" s="916"/>
      <c r="J1567" s="917"/>
      <c r="K1567" s="917"/>
      <c r="L1567" s="916"/>
      <c r="M1567" s="916"/>
      <c r="N1567" s="893"/>
      <c r="O1567" s="893"/>
      <c r="P1567" s="916"/>
      <c r="Q1567" s="916"/>
      <c r="R1567" s="893"/>
      <c r="S1567" s="893"/>
      <c r="T1567" s="916"/>
      <c r="U1567" s="916"/>
      <c r="V1567" s="921" t="str">
        <f>'refer admin discharge'!H1568</f>
        <v>00/00/0000</v>
      </c>
      <c r="W1567" s="922"/>
      <c r="X1567" s="912"/>
      <c r="Y1567" s="912"/>
      <c r="Z1567" s="924"/>
      <c r="AA1567" s="924"/>
      <c r="AB1567" s="912"/>
      <c r="AC1567" s="912"/>
      <c r="AD1567" s="913"/>
      <c r="AE1567" s="913"/>
      <c r="AF1567" s="912"/>
      <c r="AG1567" s="912"/>
      <c r="AH1567" s="913"/>
      <c r="AI1567" s="913"/>
      <c r="AJ1567" s="912"/>
      <c r="AK1567" s="912"/>
      <c r="AL1567" s="925"/>
      <c r="AM1567" s="926"/>
      <c r="AN1567" s="926"/>
      <c r="AO1567" s="926"/>
      <c r="AP1567" s="926"/>
      <c r="AQ1567" s="926"/>
      <c r="AR1567" s="926"/>
      <c r="AS1567" s="926"/>
      <c r="AT1567" s="926"/>
      <c r="AU1567" s="926"/>
      <c r="AV1567" s="926"/>
      <c r="AW1567" s="926"/>
      <c r="AX1567" s="926"/>
      <c r="AY1567" s="926"/>
      <c r="AZ1567" s="926"/>
      <c r="BA1567" s="926"/>
      <c r="BB1567" s="927"/>
    </row>
    <row r="1568" spans="1:54" x14ac:dyDescent="0.25">
      <c r="A1568" s="13">
        <f t="shared" si="24"/>
        <v>1555</v>
      </c>
      <c r="B1568" s="888" t="str">
        <f>'refer admin discharge'!B1564</f>
        <v>x</v>
      </c>
      <c r="C1568" s="888"/>
      <c r="D1568" s="868" t="str">
        <f>'refer admin discharge'!D1564</f>
        <v>xx</v>
      </c>
      <c r="E1568" s="868"/>
      <c r="F1568" s="891" t="str">
        <f>'refer admin discharge'!H1564</f>
        <v>00/00/0000</v>
      </c>
      <c r="G1568" s="892"/>
      <c r="H1568" s="894"/>
      <c r="I1568" s="894"/>
      <c r="J1568" s="918"/>
      <c r="K1568" s="918"/>
      <c r="L1568" s="894"/>
      <c r="M1568" s="894"/>
      <c r="N1568" s="916"/>
      <c r="O1568" s="916"/>
      <c r="P1568" s="894"/>
      <c r="Q1568" s="894"/>
      <c r="R1568" s="916"/>
      <c r="S1568" s="916"/>
      <c r="T1568" s="894"/>
      <c r="U1568" s="894"/>
      <c r="V1568" s="921" t="str">
        <f>'refer admin discharge'!H1569</f>
        <v>00/00/0000</v>
      </c>
      <c r="W1568" s="922"/>
      <c r="X1568" s="920"/>
      <c r="Y1568" s="920"/>
      <c r="Z1568" s="919"/>
      <c r="AA1568" s="919"/>
      <c r="AB1568" s="920"/>
      <c r="AC1568" s="920"/>
      <c r="AD1568" s="912"/>
      <c r="AE1568" s="912"/>
      <c r="AF1568" s="920"/>
      <c r="AG1568" s="920"/>
      <c r="AH1568" s="912"/>
      <c r="AI1568" s="912"/>
      <c r="AJ1568" s="920"/>
      <c r="AK1568" s="920"/>
      <c r="AL1568" s="905"/>
      <c r="AM1568" s="906"/>
      <c r="AN1568" s="906"/>
      <c r="AO1568" s="906"/>
      <c r="AP1568" s="906"/>
      <c r="AQ1568" s="906"/>
      <c r="AR1568" s="906"/>
      <c r="AS1568" s="906"/>
      <c r="AT1568" s="906"/>
      <c r="AU1568" s="906"/>
      <c r="AV1568" s="906"/>
      <c r="AW1568" s="906"/>
      <c r="AX1568" s="906"/>
      <c r="AY1568" s="906"/>
      <c r="AZ1568" s="906"/>
      <c r="BA1568" s="906"/>
      <c r="BB1568" s="907"/>
    </row>
    <row r="1569" spans="1:54" x14ac:dyDescent="0.25">
      <c r="A1569" s="13">
        <f t="shared" si="24"/>
        <v>1556</v>
      </c>
      <c r="B1569" s="914" t="str">
        <f>'refer admin discharge'!B1565</f>
        <v>x</v>
      </c>
      <c r="C1569" s="914"/>
      <c r="D1569" s="889" t="str">
        <f>'refer admin discharge'!D1565</f>
        <v>xx</v>
      </c>
      <c r="E1569" s="889"/>
      <c r="F1569" s="915" t="str">
        <f>'refer admin discharge'!H1565</f>
        <v>00/00/0000</v>
      </c>
      <c r="G1569" s="890"/>
      <c r="H1569" s="916"/>
      <c r="I1569" s="916"/>
      <c r="J1569" s="917"/>
      <c r="K1569" s="917"/>
      <c r="L1569" s="916"/>
      <c r="M1569" s="916"/>
      <c r="N1569" s="893"/>
      <c r="O1569" s="893"/>
      <c r="P1569" s="916"/>
      <c r="Q1569" s="916"/>
      <c r="R1569" s="893"/>
      <c r="S1569" s="893"/>
      <c r="T1569" s="916"/>
      <c r="U1569" s="916"/>
      <c r="V1569" s="921" t="str">
        <f>'refer admin discharge'!H1570</f>
        <v>00/00/0000</v>
      </c>
      <c r="W1569" s="922"/>
      <c r="X1569" s="912"/>
      <c r="Y1569" s="912"/>
      <c r="Z1569" s="924"/>
      <c r="AA1569" s="924"/>
      <c r="AB1569" s="912"/>
      <c r="AC1569" s="912"/>
      <c r="AD1569" s="913"/>
      <c r="AE1569" s="913"/>
      <c r="AF1569" s="912"/>
      <c r="AG1569" s="912"/>
      <c r="AH1569" s="913"/>
      <c r="AI1569" s="913"/>
      <c r="AJ1569" s="912"/>
      <c r="AK1569" s="912"/>
      <c r="AL1569" s="925"/>
      <c r="AM1569" s="926"/>
      <c r="AN1569" s="926"/>
      <c r="AO1569" s="926"/>
      <c r="AP1569" s="926"/>
      <c r="AQ1569" s="926"/>
      <c r="AR1569" s="926"/>
      <c r="AS1569" s="926"/>
      <c r="AT1569" s="926"/>
      <c r="AU1569" s="926"/>
      <c r="AV1569" s="926"/>
      <c r="AW1569" s="926"/>
      <c r="AX1569" s="926"/>
      <c r="AY1569" s="926"/>
      <c r="AZ1569" s="926"/>
      <c r="BA1569" s="926"/>
      <c r="BB1569" s="927"/>
    </row>
    <row r="1570" spans="1:54" x14ac:dyDescent="0.25">
      <c r="A1570" s="13">
        <f t="shared" si="24"/>
        <v>1557</v>
      </c>
      <c r="B1570" s="888" t="str">
        <f>'refer admin discharge'!B1566</f>
        <v>x</v>
      </c>
      <c r="C1570" s="888"/>
      <c r="D1570" s="868" t="str">
        <f>'refer admin discharge'!D1566</f>
        <v>xx</v>
      </c>
      <c r="E1570" s="868"/>
      <c r="F1570" s="891" t="str">
        <f>'refer admin discharge'!H1566</f>
        <v>00/00/0000</v>
      </c>
      <c r="G1570" s="892"/>
      <c r="H1570" s="894"/>
      <c r="I1570" s="894"/>
      <c r="J1570" s="918"/>
      <c r="K1570" s="918"/>
      <c r="L1570" s="894"/>
      <c r="M1570" s="894"/>
      <c r="N1570" s="916"/>
      <c r="O1570" s="916"/>
      <c r="P1570" s="894"/>
      <c r="Q1570" s="894"/>
      <c r="R1570" s="916"/>
      <c r="S1570" s="916"/>
      <c r="T1570" s="894"/>
      <c r="U1570" s="894"/>
      <c r="V1570" s="921" t="str">
        <f>'refer admin discharge'!H1571</f>
        <v>00/00/0000</v>
      </c>
      <c r="W1570" s="922"/>
      <c r="X1570" s="920"/>
      <c r="Y1570" s="920"/>
      <c r="Z1570" s="919"/>
      <c r="AA1570" s="919"/>
      <c r="AB1570" s="920"/>
      <c r="AC1570" s="920"/>
      <c r="AD1570" s="912"/>
      <c r="AE1570" s="912"/>
      <c r="AF1570" s="920"/>
      <c r="AG1570" s="920"/>
      <c r="AH1570" s="912"/>
      <c r="AI1570" s="912"/>
      <c r="AJ1570" s="920"/>
      <c r="AK1570" s="920"/>
      <c r="AL1570" s="905"/>
      <c r="AM1570" s="906"/>
      <c r="AN1570" s="906"/>
      <c r="AO1570" s="906"/>
      <c r="AP1570" s="906"/>
      <c r="AQ1570" s="906"/>
      <c r="AR1570" s="906"/>
      <c r="AS1570" s="906"/>
      <c r="AT1570" s="906"/>
      <c r="AU1570" s="906"/>
      <c r="AV1570" s="906"/>
      <c r="AW1570" s="906"/>
      <c r="AX1570" s="906"/>
      <c r="AY1570" s="906"/>
      <c r="AZ1570" s="906"/>
      <c r="BA1570" s="906"/>
      <c r="BB1570" s="907"/>
    </row>
    <row r="1571" spans="1:54" x14ac:dyDescent="0.25">
      <c r="A1571" s="13">
        <f t="shared" si="24"/>
        <v>1558</v>
      </c>
      <c r="B1571" s="914" t="str">
        <f>'refer admin discharge'!B1567</f>
        <v>x</v>
      </c>
      <c r="C1571" s="914"/>
      <c r="D1571" s="889" t="str">
        <f>'refer admin discharge'!D1567</f>
        <v>xx</v>
      </c>
      <c r="E1571" s="889"/>
      <c r="F1571" s="915" t="str">
        <f>'refer admin discharge'!H1567</f>
        <v>00/00/0000</v>
      </c>
      <c r="G1571" s="890"/>
      <c r="H1571" s="916"/>
      <c r="I1571" s="916"/>
      <c r="J1571" s="917"/>
      <c r="K1571" s="917"/>
      <c r="L1571" s="916"/>
      <c r="M1571" s="916"/>
      <c r="N1571" s="893"/>
      <c r="O1571" s="893"/>
      <c r="P1571" s="916"/>
      <c r="Q1571" s="916"/>
      <c r="R1571" s="893"/>
      <c r="S1571" s="893"/>
      <c r="T1571" s="916"/>
      <c r="U1571" s="916"/>
      <c r="V1571" s="921" t="str">
        <f>'refer admin discharge'!H1572</f>
        <v>00/00/0000</v>
      </c>
      <c r="W1571" s="922"/>
      <c r="X1571" s="912"/>
      <c r="Y1571" s="912"/>
      <c r="Z1571" s="924"/>
      <c r="AA1571" s="924"/>
      <c r="AB1571" s="912"/>
      <c r="AC1571" s="912"/>
      <c r="AD1571" s="913"/>
      <c r="AE1571" s="913"/>
      <c r="AF1571" s="912"/>
      <c r="AG1571" s="912"/>
      <c r="AH1571" s="913"/>
      <c r="AI1571" s="913"/>
      <c r="AJ1571" s="912"/>
      <c r="AK1571" s="912"/>
      <c r="AL1571" s="925"/>
      <c r="AM1571" s="926"/>
      <c r="AN1571" s="926"/>
      <c r="AO1571" s="926"/>
      <c r="AP1571" s="926"/>
      <c r="AQ1571" s="926"/>
      <c r="AR1571" s="926"/>
      <c r="AS1571" s="926"/>
      <c r="AT1571" s="926"/>
      <c r="AU1571" s="926"/>
      <c r="AV1571" s="926"/>
      <c r="AW1571" s="926"/>
      <c r="AX1571" s="926"/>
      <c r="AY1571" s="926"/>
      <c r="AZ1571" s="926"/>
      <c r="BA1571" s="926"/>
      <c r="BB1571" s="927"/>
    </row>
    <row r="1572" spans="1:54" x14ac:dyDescent="0.25">
      <c r="A1572" s="13">
        <f t="shared" si="24"/>
        <v>1559</v>
      </c>
      <c r="B1572" s="888" t="str">
        <f>'refer admin discharge'!B1568</f>
        <v>x</v>
      </c>
      <c r="C1572" s="888"/>
      <c r="D1572" s="868" t="str">
        <f>'refer admin discharge'!D1568</f>
        <v>xx</v>
      </c>
      <c r="E1572" s="868"/>
      <c r="F1572" s="891" t="str">
        <f>'refer admin discharge'!H1568</f>
        <v>00/00/0000</v>
      </c>
      <c r="G1572" s="892"/>
      <c r="H1572" s="894"/>
      <c r="I1572" s="894"/>
      <c r="J1572" s="918"/>
      <c r="K1572" s="918"/>
      <c r="L1572" s="894"/>
      <c r="M1572" s="894"/>
      <c r="N1572" s="916"/>
      <c r="O1572" s="916"/>
      <c r="P1572" s="894"/>
      <c r="Q1572" s="894"/>
      <c r="R1572" s="916"/>
      <c r="S1572" s="916"/>
      <c r="T1572" s="894"/>
      <c r="U1572" s="894"/>
      <c r="V1572" s="921" t="str">
        <f>'refer admin discharge'!H1573</f>
        <v>00/00/0000</v>
      </c>
      <c r="W1572" s="922"/>
      <c r="X1572" s="920"/>
      <c r="Y1572" s="920"/>
      <c r="Z1572" s="919"/>
      <c r="AA1572" s="919"/>
      <c r="AB1572" s="920"/>
      <c r="AC1572" s="920"/>
      <c r="AD1572" s="912"/>
      <c r="AE1572" s="912"/>
      <c r="AF1572" s="920"/>
      <c r="AG1572" s="920"/>
      <c r="AH1572" s="912"/>
      <c r="AI1572" s="912"/>
      <c r="AJ1572" s="920"/>
      <c r="AK1572" s="920"/>
      <c r="AL1572" s="905"/>
      <c r="AM1572" s="906"/>
      <c r="AN1572" s="906"/>
      <c r="AO1572" s="906"/>
      <c r="AP1572" s="906"/>
      <c r="AQ1572" s="906"/>
      <c r="AR1572" s="906"/>
      <c r="AS1572" s="906"/>
      <c r="AT1572" s="906"/>
      <c r="AU1572" s="906"/>
      <c r="AV1572" s="906"/>
      <c r="AW1572" s="906"/>
      <c r="AX1572" s="906"/>
      <c r="AY1572" s="906"/>
      <c r="AZ1572" s="906"/>
      <c r="BA1572" s="906"/>
      <c r="BB1572" s="907"/>
    </row>
    <row r="1573" spans="1:54" x14ac:dyDescent="0.25">
      <c r="A1573" s="13">
        <f t="shared" si="24"/>
        <v>1560</v>
      </c>
      <c r="B1573" s="914" t="str">
        <f>'refer admin discharge'!B1569</f>
        <v>x</v>
      </c>
      <c r="C1573" s="914"/>
      <c r="D1573" s="889" t="str">
        <f>'refer admin discharge'!D1569</f>
        <v>xx</v>
      </c>
      <c r="E1573" s="889"/>
      <c r="F1573" s="915" t="str">
        <f>'refer admin discharge'!H1569</f>
        <v>00/00/0000</v>
      </c>
      <c r="G1573" s="890"/>
      <c r="H1573" s="916"/>
      <c r="I1573" s="916"/>
      <c r="J1573" s="917"/>
      <c r="K1573" s="917"/>
      <c r="L1573" s="916"/>
      <c r="M1573" s="916"/>
      <c r="N1573" s="893"/>
      <c r="O1573" s="893"/>
      <c r="P1573" s="916"/>
      <c r="Q1573" s="916"/>
      <c r="R1573" s="893"/>
      <c r="S1573" s="893"/>
      <c r="T1573" s="916"/>
      <c r="U1573" s="916"/>
      <c r="V1573" s="921" t="str">
        <f>'refer admin discharge'!H1574</f>
        <v>00/00/0000</v>
      </c>
      <c r="W1573" s="922"/>
      <c r="X1573" s="912"/>
      <c r="Y1573" s="912"/>
      <c r="Z1573" s="924"/>
      <c r="AA1573" s="924"/>
      <c r="AB1573" s="912"/>
      <c r="AC1573" s="912"/>
      <c r="AD1573" s="913"/>
      <c r="AE1573" s="913"/>
      <c r="AF1573" s="912"/>
      <c r="AG1573" s="912"/>
      <c r="AH1573" s="913"/>
      <c r="AI1573" s="913"/>
      <c r="AJ1573" s="912"/>
      <c r="AK1573" s="912"/>
      <c r="AL1573" s="925"/>
      <c r="AM1573" s="926"/>
      <c r="AN1573" s="926"/>
      <c r="AO1573" s="926"/>
      <c r="AP1573" s="926"/>
      <c r="AQ1573" s="926"/>
      <c r="AR1573" s="926"/>
      <c r="AS1573" s="926"/>
      <c r="AT1573" s="926"/>
      <c r="AU1573" s="926"/>
      <c r="AV1573" s="926"/>
      <c r="AW1573" s="926"/>
      <c r="AX1573" s="926"/>
      <c r="AY1573" s="926"/>
      <c r="AZ1573" s="926"/>
      <c r="BA1573" s="926"/>
      <c r="BB1573" s="927"/>
    </row>
    <row r="1574" spans="1:54" x14ac:dyDescent="0.25">
      <c r="A1574" s="13">
        <f t="shared" si="24"/>
        <v>1561</v>
      </c>
      <c r="B1574" s="888" t="str">
        <f>'refer admin discharge'!B1570</f>
        <v>x</v>
      </c>
      <c r="C1574" s="888"/>
      <c r="D1574" s="868" t="str">
        <f>'refer admin discharge'!D1570</f>
        <v>xx</v>
      </c>
      <c r="E1574" s="868"/>
      <c r="F1574" s="891" t="str">
        <f>'refer admin discharge'!H1570</f>
        <v>00/00/0000</v>
      </c>
      <c r="G1574" s="892"/>
      <c r="H1574" s="894"/>
      <c r="I1574" s="894"/>
      <c r="J1574" s="918"/>
      <c r="K1574" s="918"/>
      <c r="L1574" s="894"/>
      <c r="M1574" s="894"/>
      <c r="N1574" s="916"/>
      <c r="O1574" s="916"/>
      <c r="P1574" s="894"/>
      <c r="Q1574" s="894"/>
      <c r="R1574" s="916"/>
      <c r="S1574" s="916"/>
      <c r="T1574" s="894"/>
      <c r="U1574" s="894"/>
      <c r="V1574" s="921" t="str">
        <f>'refer admin discharge'!H1575</f>
        <v>00/00/0000</v>
      </c>
      <c r="W1574" s="922"/>
      <c r="X1574" s="920"/>
      <c r="Y1574" s="920"/>
      <c r="Z1574" s="919"/>
      <c r="AA1574" s="919"/>
      <c r="AB1574" s="920"/>
      <c r="AC1574" s="920"/>
      <c r="AD1574" s="912"/>
      <c r="AE1574" s="912"/>
      <c r="AF1574" s="920"/>
      <c r="AG1574" s="920"/>
      <c r="AH1574" s="912"/>
      <c r="AI1574" s="912"/>
      <c r="AJ1574" s="920"/>
      <c r="AK1574" s="920"/>
      <c r="AL1574" s="905"/>
      <c r="AM1574" s="906"/>
      <c r="AN1574" s="906"/>
      <c r="AO1574" s="906"/>
      <c r="AP1574" s="906"/>
      <c r="AQ1574" s="906"/>
      <c r="AR1574" s="906"/>
      <c r="AS1574" s="906"/>
      <c r="AT1574" s="906"/>
      <c r="AU1574" s="906"/>
      <c r="AV1574" s="906"/>
      <c r="AW1574" s="906"/>
      <c r="AX1574" s="906"/>
      <c r="AY1574" s="906"/>
      <c r="AZ1574" s="906"/>
      <c r="BA1574" s="906"/>
      <c r="BB1574" s="907"/>
    </row>
    <row r="1575" spans="1:54" x14ac:dyDescent="0.25">
      <c r="A1575" s="13">
        <f t="shared" si="24"/>
        <v>1562</v>
      </c>
      <c r="B1575" s="914" t="str">
        <f>'refer admin discharge'!B1571</f>
        <v>x</v>
      </c>
      <c r="C1575" s="914"/>
      <c r="D1575" s="889" t="str">
        <f>'refer admin discharge'!D1571</f>
        <v>xx</v>
      </c>
      <c r="E1575" s="889"/>
      <c r="F1575" s="915" t="str">
        <f>'refer admin discharge'!H1571</f>
        <v>00/00/0000</v>
      </c>
      <c r="G1575" s="890"/>
      <c r="H1575" s="916"/>
      <c r="I1575" s="916"/>
      <c r="J1575" s="917"/>
      <c r="K1575" s="917"/>
      <c r="L1575" s="916"/>
      <c r="M1575" s="916"/>
      <c r="N1575" s="893"/>
      <c r="O1575" s="893"/>
      <c r="P1575" s="916"/>
      <c r="Q1575" s="916"/>
      <c r="R1575" s="893"/>
      <c r="S1575" s="893"/>
      <c r="T1575" s="916"/>
      <c r="U1575" s="916"/>
      <c r="V1575" s="921" t="str">
        <f>'refer admin discharge'!H1576</f>
        <v>00/00/0000</v>
      </c>
      <c r="W1575" s="922"/>
      <c r="X1575" s="912"/>
      <c r="Y1575" s="912"/>
      <c r="Z1575" s="924"/>
      <c r="AA1575" s="924"/>
      <c r="AB1575" s="912"/>
      <c r="AC1575" s="912"/>
      <c r="AD1575" s="913"/>
      <c r="AE1575" s="913"/>
      <c r="AF1575" s="912"/>
      <c r="AG1575" s="912"/>
      <c r="AH1575" s="913"/>
      <c r="AI1575" s="913"/>
      <c r="AJ1575" s="912"/>
      <c r="AK1575" s="912"/>
      <c r="AL1575" s="925"/>
      <c r="AM1575" s="926"/>
      <c r="AN1575" s="926"/>
      <c r="AO1575" s="926"/>
      <c r="AP1575" s="926"/>
      <c r="AQ1575" s="926"/>
      <c r="AR1575" s="926"/>
      <c r="AS1575" s="926"/>
      <c r="AT1575" s="926"/>
      <c r="AU1575" s="926"/>
      <c r="AV1575" s="926"/>
      <c r="AW1575" s="926"/>
      <c r="AX1575" s="926"/>
      <c r="AY1575" s="926"/>
      <c r="AZ1575" s="926"/>
      <c r="BA1575" s="926"/>
      <c r="BB1575" s="927"/>
    </row>
    <row r="1576" spans="1:54" x14ac:dyDescent="0.25">
      <c r="A1576" s="13">
        <f t="shared" si="24"/>
        <v>1563</v>
      </c>
      <c r="B1576" s="888" t="str">
        <f>'refer admin discharge'!B1572</f>
        <v>x</v>
      </c>
      <c r="C1576" s="888"/>
      <c r="D1576" s="868" t="str">
        <f>'refer admin discharge'!D1572</f>
        <v>xx</v>
      </c>
      <c r="E1576" s="868"/>
      <c r="F1576" s="891" t="str">
        <f>'refer admin discharge'!H1572</f>
        <v>00/00/0000</v>
      </c>
      <c r="G1576" s="892"/>
      <c r="H1576" s="894"/>
      <c r="I1576" s="894"/>
      <c r="J1576" s="918"/>
      <c r="K1576" s="918"/>
      <c r="L1576" s="894"/>
      <c r="M1576" s="894"/>
      <c r="N1576" s="916"/>
      <c r="O1576" s="916"/>
      <c r="P1576" s="894"/>
      <c r="Q1576" s="894"/>
      <c r="R1576" s="916"/>
      <c r="S1576" s="916"/>
      <c r="T1576" s="894"/>
      <c r="U1576" s="894"/>
      <c r="V1576" s="921" t="str">
        <f>'refer admin discharge'!H1577</f>
        <v>00/00/0000</v>
      </c>
      <c r="W1576" s="922"/>
      <c r="X1576" s="920"/>
      <c r="Y1576" s="920"/>
      <c r="Z1576" s="919"/>
      <c r="AA1576" s="919"/>
      <c r="AB1576" s="920"/>
      <c r="AC1576" s="920"/>
      <c r="AD1576" s="912"/>
      <c r="AE1576" s="912"/>
      <c r="AF1576" s="920"/>
      <c r="AG1576" s="920"/>
      <c r="AH1576" s="912"/>
      <c r="AI1576" s="912"/>
      <c r="AJ1576" s="920"/>
      <c r="AK1576" s="920"/>
      <c r="AL1576" s="905"/>
      <c r="AM1576" s="906"/>
      <c r="AN1576" s="906"/>
      <c r="AO1576" s="906"/>
      <c r="AP1576" s="906"/>
      <c r="AQ1576" s="906"/>
      <c r="AR1576" s="906"/>
      <c r="AS1576" s="906"/>
      <c r="AT1576" s="906"/>
      <c r="AU1576" s="906"/>
      <c r="AV1576" s="906"/>
      <c r="AW1576" s="906"/>
      <c r="AX1576" s="906"/>
      <c r="AY1576" s="906"/>
      <c r="AZ1576" s="906"/>
      <c r="BA1576" s="906"/>
      <c r="BB1576" s="907"/>
    </row>
    <row r="1577" spans="1:54" x14ac:dyDescent="0.25">
      <c r="A1577" s="13">
        <f t="shared" si="24"/>
        <v>1564</v>
      </c>
      <c r="B1577" s="914" t="str">
        <f>'refer admin discharge'!B1573</f>
        <v>x</v>
      </c>
      <c r="C1577" s="914"/>
      <c r="D1577" s="889" t="str">
        <f>'refer admin discharge'!D1573</f>
        <v>xx</v>
      </c>
      <c r="E1577" s="889"/>
      <c r="F1577" s="915" t="str">
        <f>'refer admin discharge'!H1573</f>
        <v>00/00/0000</v>
      </c>
      <c r="G1577" s="890"/>
      <c r="H1577" s="916"/>
      <c r="I1577" s="916"/>
      <c r="J1577" s="917"/>
      <c r="K1577" s="917"/>
      <c r="L1577" s="916"/>
      <c r="M1577" s="916"/>
      <c r="N1577" s="893"/>
      <c r="O1577" s="893"/>
      <c r="P1577" s="916"/>
      <c r="Q1577" s="916"/>
      <c r="R1577" s="893"/>
      <c r="S1577" s="893"/>
      <c r="T1577" s="916"/>
      <c r="U1577" s="916"/>
      <c r="V1577" s="921" t="str">
        <f>'refer admin discharge'!H1578</f>
        <v>00/00/0000</v>
      </c>
      <c r="W1577" s="922"/>
      <c r="X1577" s="912"/>
      <c r="Y1577" s="912"/>
      <c r="Z1577" s="924"/>
      <c r="AA1577" s="924"/>
      <c r="AB1577" s="912"/>
      <c r="AC1577" s="912"/>
      <c r="AD1577" s="913"/>
      <c r="AE1577" s="913"/>
      <c r="AF1577" s="912"/>
      <c r="AG1577" s="912"/>
      <c r="AH1577" s="913"/>
      <c r="AI1577" s="913"/>
      <c r="AJ1577" s="912"/>
      <c r="AK1577" s="912"/>
      <c r="AL1577" s="925"/>
      <c r="AM1577" s="926"/>
      <c r="AN1577" s="926"/>
      <c r="AO1577" s="926"/>
      <c r="AP1577" s="926"/>
      <c r="AQ1577" s="926"/>
      <c r="AR1577" s="926"/>
      <c r="AS1577" s="926"/>
      <c r="AT1577" s="926"/>
      <c r="AU1577" s="926"/>
      <c r="AV1577" s="926"/>
      <c r="AW1577" s="926"/>
      <c r="AX1577" s="926"/>
      <c r="AY1577" s="926"/>
      <c r="AZ1577" s="926"/>
      <c r="BA1577" s="926"/>
      <c r="BB1577" s="927"/>
    </row>
    <row r="1578" spans="1:54" x14ac:dyDescent="0.25">
      <c r="A1578" s="13">
        <f t="shared" si="24"/>
        <v>1565</v>
      </c>
      <c r="B1578" s="888" t="str">
        <f>'refer admin discharge'!B1574</f>
        <v>x</v>
      </c>
      <c r="C1578" s="888"/>
      <c r="D1578" s="868" t="str">
        <f>'refer admin discharge'!D1574</f>
        <v>xx</v>
      </c>
      <c r="E1578" s="868"/>
      <c r="F1578" s="891" t="str">
        <f>'refer admin discharge'!H1574</f>
        <v>00/00/0000</v>
      </c>
      <c r="G1578" s="892"/>
      <c r="H1578" s="894"/>
      <c r="I1578" s="894"/>
      <c r="J1578" s="918"/>
      <c r="K1578" s="918"/>
      <c r="L1578" s="894"/>
      <c r="M1578" s="894"/>
      <c r="N1578" s="916"/>
      <c r="O1578" s="916"/>
      <c r="P1578" s="894"/>
      <c r="Q1578" s="894"/>
      <c r="R1578" s="916"/>
      <c r="S1578" s="916"/>
      <c r="T1578" s="894"/>
      <c r="U1578" s="894"/>
      <c r="V1578" s="921" t="str">
        <f>'refer admin discharge'!H1579</f>
        <v>00/00/0000</v>
      </c>
      <c r="W1578" s="922"/>
      <c r="X1578" s="920"/>
      <c r="Y1578" s="920"/>
      <c r="Z1578" s="919"/>
      <c r="AA1578" s="919"/>
      <c r="AB1578" s="920"/>
      <c r="AC1578" s="920"/>
      <c r="AD1578" s="912"/>
      <c r="AE1578" s="912"/>
      <c r="AF1578" s="920"/>
      <c r="AG1578" s="920"/>
      <c r="AH1578" s="912"/>
      <c r="AI1578" s="912"/>
      <c r="AJ1578" s="920"/>
      <c r="AK1578" s="920"/>
      <c r="AL1578" s="905"/>
      <c r="AM1578" s="906"/>
      <c r="AN1578" s="906"/>
      <c r="AO1578" s="906"/>
      <c r="AP1578" s="906"/>
      <c r="AQ1578" s="906"/>
      <c r="AR1578" s="906"/>
      <c r="AS1578" s="906"/>
      <c r="AT1578" s="906"/>
      <c r="AU1578" s="906"/>
      <c r="AV1578" s="906"/>
      <c r="AW1578" s="906"/>
      <c r="AX1578" s="906"/>
      <c r="AY1578" s="906"/>
      <c r="AZ1578" s="906"/>
      <c r="BA1578" s="906"/>
      <c r="BB1578" s="907"/>
    </row>
    <row r="1579" spans="1:54" x14ac:dyDescent="0.25">
      <c r="A1579" s="13">
        <f t="shared" si="24"/>
        <v>1566</v>
      </c>
      <c r="B1579" s="914" t="str">
        <f>'refer admin discharge'!B1575</f>
        <v>x</v>
      </c>
      <c r="C1579" s="914"/>
      <c r="D1579" s="889" t="str">
        <f>'refer admin discharge'!D1575</f>
        <v>xx</v>
      </c>
      <c r="E1579" s="889"/>
      <c r="F1579" s="915" t="str">
        <f>'refer admin discharge'!H1575</f>
        <v>00/00/0000</v>
      </c>
      <c r="G1579" s="890"/>
      <c r="H1579" s="916"/>
      <c r="I1579" s="916"/>
      <c r="J1579" s="917"/>
      <c r="K1579" s="917"/>
      <c r="L1579" s="916"/>
      <c r="M1579" s="916"/>
      <c r="N1579" s="893"/>
      <c r="O1579" s="893"/>
      <c r="P1579" s="916"/>
      <c r="Q1579" s="916"/>
      <c r="R1579" s="893"/>
      <c r="S1579" s="893"/>
      <c r="T1579" s="916"/>
      <c r="U1579" s="916"/>
      <c r="V1579" s="921" t="str">
        <f>'refer admin discharge'!H1580</f>
        <v>00/00/0000</v>
      </c>
      <c r="W1579" s="922"/>
      <c r="X1579" s="912"/>
      <c r="Y1579" s="912"/>
      <c r="Z1579" s="924"/>
      <c r="AA1579" s="924"/>
      <c r="AB1579" s="912"/>
      <c r="AC1579" s="912"/>
      <c r="AD1579" s="913"/>
      <c r="AE1579" s="913"/>
      <c r="AF1579" s="912"/>
      <c r="AG1579" s="912"/>
      <c r="AH1579" s="913"/>
      <c r="AI1579" s="913"/>
      <c r="AJ1579" s="912"/>
      <c r="AK1579" s="912"/>
      <c r="AL1579" s="925"/>
      <c r="AM1579" s="926"/>
      <c r="AN1579" s="926"/>
      <c r="AO1579" s="926"/>
      <c r="AP1579" s="926"/>
      <c r="AQ1579" s="926"/>
      <c r="AR1579" s="926"/>
      <c r="AS1579" s="926"/>
      <c r="AT1579" s="926"/>
      <c r="AU1579" s="926"/>
      <c r="AV1579" s="926"/>
      <c r="AW1579" s="926"/>
      <c r="AX1579" s="926"/>
      <c r="AY1579" s="926"/>
      <c r="AZ1579" s="926"/>
      <c r="BA1579" s="926"/>
      <c r="BB1579" s="927"/>
    </row>
    <row r="1580" spans="1:54" x14ac:dyDescent="0.25">
      <c r="A1580" s="13">
        <f t="shared" si="24"/>
        <v>1567</v>
      </c>
      <c r="B1580" s="888" t="str">
        <f>'refer admin discharge'!B1576</f>
        <v>x</v>
      </c>
      <c r="C1580" s="888"/>
      <c r="D1580" s="868" t="str">
        <f>'refer admin discharge'!D1576</f>
        <v>xx</v>
      </c>
      <c r="E1580" s="868"/>
      <c r="F1580" s="891" t="str">
        <f>'refer admin discharge'!H1576</f>
        <v>00/00/0000</v>
      </c>
      <c r="G1580" s="892"/>
      <c r="H1580" s="894"/>
      <c r="I1580" s="894"/>
      <c r="J1580" s="918"/>
      <c r="K1580" s="918"/>
      <c r="L1580" s="894"/>
      <c r="M1580" s="894"/>
      <c r="N1580" s="916"/>
      <c r="O1580" s="916"/>
      <c r="P1580" s="894"/>
      <c r="Q1580" s="894"/>
      <c r="R1580" s="916"/>
      <c r="S1580" s="916"/>
      <c r="T1580" s="894"/>
      <c r="U1580" s="894"/>
      <c r="V1580" s="921" t="str">
        <f>'refer admin discharge'!H1581</f>
        <v>00/00/0000</v>
      </c>
      <c r="W1580" s="922"/>
      <c r="X1580" s="920"/>
      <c r="Y1580" s="920"/>
      <c r="Z1580" s="919"/>
      <c r="AA1580" s="919"/>
      <c r="AB1580" s="920"/>
      <c r="AC1580" s="920"/>
      <c r="AD1580" s="912"/>
      <c r="AE1580" s="912"/>
      <c r="AF1580" s="920"/>
      <c r="AG1580" s="920"/>
      <c r="AH1580" s="912"/>
      <c r="AI1580" s="912"/>
      <c r="AJ1580" s="920"/>
      <c r="AK1580" s="920"/>
      <c r="AL1580" s="905"/>
      <c r="AM1580" s="906"/>
      <c r="AN1580" s="906"/>
      <c r="AO1580" s="906"/>
      <c r="AP1580" s="906"/>
      <c r="AQ1580" s="906"/>
      <c r="AR1580" s="906"/>
      <c r="AS1580" s="906"/>
      <c r="AT1580" s="906"/>
      <c r="AU1580" s="906"/>
      <c r="AV1580" s="906"/>
      <c r="AW1580" s="906"/>
      <c r="AX1580" s="906"/>
      <c r="AY1580" s="906"/>
      <c r="AZ1580" s="906"/>
      <c r="BA1580" s="906"/>
      <c r="BB1580" s="907"/>
    </row>
    <row r="1581" spans="1:54" x14ac:dyDescent="0.25">
      <c r="A1581" s="13">
        <f t="shared" si="24"/>
        <v>1568</v>
      </c>
      <c r="B1581" s="914" t="str">
        <f>'refer admin discharge'!B1577</f>
        <v>x</v>
      </c>
      <c r="C1581" s="914"/>
      <c r="D1581" s="889" t="str">
        <f>'refer admin discharge'!D1577</f>
        <v>xx</v>
      </c>
      <c r="E1581" s="889"/>
      <c r="F1581" s="915" t="str">
        <f>'refer admin discharge'!H1577</f>
        <v>00/00/0000</v>
      </c>
      <c r="G1581" s="890"/>
      <c r="H1581" s="916"/>
      <c r="I1581" s="916"/>
      <c r="J1581" s="917"/>
      <c r="K1581" s="917"/>
      <c r="L1581" s="916"/>
      <c r="M1581" s="916"/>
      <c r="N1581" s="893"/>
      <c r="O1581" s="893"/>
      <c r="P1581" s="916"/>
      <c r="Q1581" s="916"/>
      <c r="R1581" s="893"/>
      <c r="S1581" s="893"/>
      <c r="T1581" s="916"/>
      <c r="U1581" s="916"/>
      <c r="V1581" s="921" t="str">
        <f>'refer admin discharge'!H1582</f>
        <v>00/00/0000</v>
      </c>
      <c r="W1581" s="922"/>
      <c r="X1581" s="912"/>
      <c r="Y1581" s="912"/>
      <c r="Z1581" s="924"/>
      <c r="AA1581" s="924"/>
      <c r="AB1581" s="912"/>
      <c r="AC1581" s="912"/>
      <c r="AD1581" s="913"/>
      <c r="AE1581" s="913"/>
      <c r="AF1581" s="912"/>
      <c r="AG1581" s="912"/>
      <c r="AH1581" s="913"/>
      <c r="AI1581" s="913"/>
      <c r="AJ1581" s="912"/>
      <c r="AK1581" s="912"/>
      <c r="AL1581" s="925"/>
      <c r="AM1581" s="926"/>
      <c r="AN1581" s="926"/>
      <c r="AO1581" s="926"/>
      <c r="AP1581" s="926"/>
      <c r="AQ1581" s="926"/>
      <c r="AR1581" s="926"/>
      <c r="AS1581" s="926"/>
      <c r="AT1581" s="926"/>
      <c r="AU1581" s="926"/>
      <c r="AV1581" s="926"/>
      <c r="AW1581" s="926"/>
      <c r="AX1581" s="926"/>
      <c r="AY1581" s="926"/>
      <c r="AZ1581" s="926"/>
      <c r="BA1581" s="926"/>
      <c r="BB1581" s="927"/>
    </row>
    <row r="1582" spans="1:54" x14ac:dyDescent="0.25">
      <c r="A1582" s="13">
        <f t="shared" si="24"/>
        <v>1569</v>
      </c>
      <c r="B1582" s="888" t="str">
        <f>'refer admin discharge'!B1578</f>
        <v>x</v>
      </c>
      <c r="C1582" s="888"/>
      <c r="D1582" s="868" t="str">
        <f>'refer admin discharge'!D1578</f>
        <v>xx</v>
      </c>
      <c r="E1582" s="868"/>
      <c r="F1582" s="891" t="str">
        <f>'refer admin discharge'!H1578</f>
        <v>00/00/0000</v>
      </c>
      <c r="G1582" s="892"/>
      <c r="H1582" s="894"/>
      <c r="I1582" s="894"/>
      <c r="J1582" s="918"/>
      <c r="K1582" s="918"/>
      <c r="L1582" s="894"/>
      <c r="M1582" s="894"/>
      <c r="N1582" s="916"/>
      <c r="O1582" s="916"/>
      <c r="P1582" s="894"/>
      <c r="Q1582" s="894"/>
      <c r="R1582" s="916"/>
      <c r="S1582" s="916"/>
      <c r="T1582" s="894"/>
      <c r="U1582" s="894"/>
      <c r="V1582" s="921" t="str">
        <f>'refer admin discharge'!H1583</f>
        <v>00/00/0000</v>
      </c>
      <c r="W1582" s="922"/>
      <c r="X1582" s="920"/>
      <c r="Y1582" s="920"/>
      <c r="Z1582" s="919"/>
      <c r="AA1582" s="919"/>
      <c r="AB1582" s="920"/>
      <c r="AC1582" s="920"/>
      <c r="AD1582" s="912"/>
      <c r="AE1582" s="912"/>
      <c r="AF1582" s="920"/>
      <c r="AG1582" s="920"/>
      <c r="AH1582" s="912"/>
      <c r="AI1582" s="912"/>
      <c r="AJ1582" s="920"/>
      <c r="AK1582" s="920"/>
      <c r="AL1582" s="905"/>
      <c r="AM1582" s="906"/>
      <c r="AN1582" s="906"/>
      <c r="AO1582" s="906"/>
      <c r="AP1582" s="906"/>
      <c r="AQ1582" s="906"/>
      <c r="AR1582" s="906"/>
      <c r="AS1582" s="906"/>
      <c r="AT1582" s="906"/>
      <c r="AU1582" s="906"/>
      <c r="AV1582" s="906"/>
      <c r="AW1582" s="906"/>
      <c r="AX1582" s="906"/>
      <c r="AY1582" s="906"/>
      <c r="AZ1582" s="906"/>
      <c r="BA1582" s="906"/>
      <c r="BB1582" s="907"/>
    </row>
    <row r="1583" spans="1:54" x14ac:dyDescent="0.25">
      <c r="A1583" s="13">
        <f t="shared" si="24"/>
        <v>1570</v>
      </c>
      <c r="B1583" s="914" t="str">
        <f>'refer admin discharge'!B1579</f>
        <v>x</v>
      </c>
      <c r="C1583" s="914"/>
      <c r="D1583" s="889" t="str">
        <f>'refer admin discharge'!D1579</f>
        <v>xx</v>
      </c>
      <c r="E1583" s="889"/>
      <c r="F1583" s="915" t="str">
        <f>'refer admin discharge'!H1579</f>
        <v>00/00/0000</v>
      </c>
      <c r="G1583" s="890"/>
      <c r="H1583" s="916"/>
      <c r="I1583" s="916"/>
      <c r="J1583" s="917"/>
      <c r="K1583" s="917"/>
      <c r="L1583" s="916"/>
      <c r="M1583" s="916"/>
      <c r="N1583" s="893"/>
      <c r="O1583" s="893"/>
      <c r="P1583" s="916"/>
      <c r="Q1583" s="916"/>
      <c r="R1583" s="893"/>
      <c r="S1583" s="893"/>
      <c r="T1583" s="916"/>
      <c r="U1583" s="916"/>
      <c r="V1583" s="921" t="str">
        <f>'refer admin discharge'!H1584</f>
        <v>00/00/0000</v>
      </c>
      <c r="W1583" s="922"/>
      <c r="X1583" s="912"/>
      <c r="Y1583" s="912"/>
      <c r="Z1583" s="924"/>
      <c r="AA1583" s="924"/>
      <c r="AB1583" s="912"/>
      <c r="AC1583" s="912"/>
      <c r="AD1583" s="913"/>
      <c r="AE1583" s="913"/>
      <c r="AF1583" s="912"/>
      <c r="AG1583" s="912"/>
      <c r="AH1583" s="913"/>
      <c r="AI1583" s="913"/>
      <c r="AJ1583" s="912"/>
      <c r="AK1583" s="912"/>
      <c r="AL1583" s="925"/>
      <c r="AM1583" s="926"/>
      <c r="AN1583" s="926"/>
      <c r="AO1583" s="926"/>
      <c r="AP1583" s="926"/>
      <c r="AQ1583" s="926"/>
      <c r="AR1583" s="926"/>
      <c r="AS1583" s="926"/>
      <c r="AT1583" s="926"/>
      <c r="AU1583" s="926"/>
      <c r="AV1583" s="926"/>
      <c r="AW1583" s="926"/>
      <c r="AX1583" s="926"/>
      <c r="AY1583" s="926"/>
      <c r="AZ1583" s="926"/>
      <c r="BA1583" s="926"/>
      <c r="BB1583" s="927"/>
    </row>
    <row r="1584" spans="1:54" x14ac:dyDescent="0.25">
      <c r="A1584" s="13">
        <f t="shared" si="24"/>
        <v>1571</v>
      </c>
      <c r="B1584" s="888" t="str">
        <f>'refer admin discharge'!B1580</f>
        <v>x</v>
      </c>
      <c r="C1584" s="888"/>
      <c r="D1584" s="868" t="str">
        <f>'refer admin discharge'!D1580</f>
        <v>xx</v>
      </c>
      <c r="E1584" s="868"/>
      <c r="F1584" s="891" t="str">
        <f>'refer admin discharge'!H1580</f>
        <v>00/00/0000</v>
      </c>
      <c r="G1584" s="892"/>
      <c r="H1584" s="894"/>
      <c r="I1584" s="894"/>
      <c r="J1584" s="918"/>
      <c r="K1584" s="918"/>
      <c r="L1584" s="894"/>
      <c r="M1584" s="894"/>
      <c r="N1584" s="916"/>
      <c r="O1584" s="916"/>
      <c r="P1584" s="894"/>
      <c r="Q1584" s="894"/>
      <c r="R1584" s="916"/>
      <c r="S1584" s="916"/>
      <c r="T1584" s="894"/>
      <c r="U1584" s="894"/>
      <c r="V1584" s="921" t="str">
        <f>'refer admin discharge'!H1585</f>
        <v>00/00/0000</v>
      </c>
      <c r="W1584" s="922"/>
      <c r="X1584" s="920"/>
      <c r="Y1584" s="920"/>
      <c r="Z1584" s="919"/>
      <c r="AA1584" s="919"/>
      <c r="AB1584" s="920"/>
      <c r="AC1584" s="920"/>
      <c r="AD1584" s="912"/>
      <c r="AE1584" s="912"/>
      <c r="AF1584" s="920"/>
      <c r="AG1584" s="920"/>
      <c r="AH1584" s="912"/>
      <c r="AI1584" s="912"/>
      <c r="AJ1584" s="920"/>
      <c r="AK1584" s="920"/>
      <c r="AL1584" s="905"/>
      <c r="AM1584" s="906"/>
      <c r="AN1584" s="906"/>
      <c r="AO1584" s="906"/>
      <c r="AP1584" s="906"/>
      <c r="AQ1584" s="906"/>
      <c r="AR1584" s="906"/>
      <c r="AS1584" s="906"/>
      <c r="AT1584" s="906"/>
      <c r="AU1584" s="906"/>
      <c r="AV1584" s="906"/>
      <c r="AW1584" s="906"/>
      <c r="AX1584" s="906"/>
      <c r="AY1584" s="906"/>
      <c r="AZ1584" s="906"/>
      <c r="BA1584" s="906"/>
      <c r="BB1584" s="907"/>
    </row>
    <row r="1585" spans="1:54" x14ac:dyDescent="0.25">
      <c r="A1585" s="13">
        <f t="shared" si="24"/>
        <v>1572</v>
      </c>
      <c r="B1585" s="914" t="str">
        <f>'refer admin discharge'!B1581</f>
        <v>x</v>
      </c>
      <c r="C1585" s="914"/>
      <c r="D1585" s="889" t="str">
        <f>'refer admin discharge'!D1581</f>
        <v>xx</v>
      </c>
      <c r="E1585" s="889"/>
      <c r="F1585" s="915" t="str">
        <f>'refer admin discharge'!H1581</f>
        <v>00/00/0000</v>
      </c>
      <c r="G1585" s="890"/>
      <c r="H1585" s="916"/>
      <c r="I1585" s="916"/>
      <c r="J1585" s="917"/>
      <c r="K1585" s="917"/>
      <c r="L1585" s="916"/>
      <c r="M1585" s="916"/>
      <c r="N1585" s="893"/>
      <c r="O1585" s="893"/>
      <c r="P1585" s="916"/>
      <c r="Q1585" s="916"/>
      <c r="R1585" s="893"/>
      <c r="S1585" s="893"/>
      <c r="T1585" s="916"/>
      <c r="U1585" s="916"/>
      <c r="V1585" s="921" t="str">
        <f>'refer admin discharge'!H1586</f>
        <v>00/00/0000</v>
      </c>
      <c r="W1585" s="922"/>
      <c r="X1585" s="912"/>
      <c r="Y1585" s="912"/>
      <c r="Z1585" s="924"/>
      <c r="AA1585" s="924"/>
      <c r="AB1585" s="912"/>
      <c r="AC1585" s="912"/>
      <c r="AD1585" s="913"/>
      <c r="AE1585" s="913"/>
      <c r="AF1585" s="912"/>
      <c r="AG1585" s="912"/>
      <c r="AH1585" s="913"/>
      <c r="AI1585" s="913"/>
      <c r="AJ1585" s="912"/>
      <c r="AK1585" s="912"/>
      <c r="AL1585" s="925"/>
      <c r="AM1585" s="926"/>
      <c r="AN1585" s="926"/>
      <c r="AO1585" s="926"/>
      <c r="AP1585" s="926"/>
      <c r="AQ1585" s="926"/>
      <c r="AR1585" s="926"/>
      <c r="AS1585" s="926"/>
      <c r="AT1585" s="926"/>
      <c r="AU1585" s="926"/>
      <c r="AV1585" s="926"/>
      <c r="AW1585" s="926"/>
      <c r="AX1585" s="926"/>
      <c r="AY1585" s="926"/>
      <c r="AZ1585" s="926"/>
      <c r="BA1585" s="926"/>
      <c r="BB1585" s="927"/>
    </row>
    <row r="1586" spans="1:54" x14ac:dyDescent="0.25">
      <c r="A1586" s="13">
        <f t="shared" si="24"/>
        <v>1573</v>
      </c>
      <c r="B1586" s="888" t="str">
        <f>'refer admin discharge'!B1582</f>
        <v>x</v>
      </c>
      <c r="C1586" s="888"/>
      <c r="D1586" s="868" t="str">
        <f>'refer admin discharge'!D1582</f>
        <v>xx</v>
      </c>
      <c r="E1586" s="868"/>
      <c r="F1586" s="891" t="str">
        <f>'refer admin discharge'!H1582</f>
        <v>00/00/0000</v>
      </c>
      <c r="G1586" s="892"/>
      <c r="H1586" s="894"/>
      <c r="I1586" s="894"/>
      <c r="J1586" s="918"/>
      <c r="K1586" s="918"/>
      <c r="L1586" s="894"/>
      <c r="M1586" s="894"/>
      <c r="N1586" s="916"/>
      <c r="O1586" s="916"/>
      <c r="P1586" s="894"/>
      <c r="Q1586" s="894"/>
      <c r="R1586" s="916"/>
      <c r="S1586" s="916"/>
      <c r="T1586" s="894"/>
      <c r="U1586" s="894"/>
      <c r="V1586" s="921" t="str">
        <f>'refer admin discharge'!H1587</f>
        <v>00/00/0000</v>
      </c>
      <c r="W1586" s="922"/>
      <c r="X1586" s="920"/>
      <c r="Y1586" s="920"/>
      <c r="Z1586" s="919"/>
      <c r="AA1586" s="919"/>
      <c r="AB1586" s="920"/>
      <c r="AC1586" s="920"/>
      <c r="AD1586" s="912"/>
      <c r="AE1586" s="912"/>
      <c r="AF1586" s="920"/>
      <c r="AG1586" s="920"/>
      <c r="AH1586" s="912"/>
      <c r="AI1586" s="912"/>
      <c r="AJ1586" s="920"/>
      <c r="AK1586" s="920"/>
      <c r="AL1586" s="905"/>
      <c r="AM1586" s="906"/>
      <c r="AN1586" s="906"/>
      <c r="AO1586" s="906"/>
      <c r="AP1586" s="906"/>
      <c r="AQ1586" s="906"/>
      <c r="AR1586" s="906"/>
      <c r="AS1586" s="906"/>
      <c r="AT1586" s="906"/>
      <c r="AU1586" s="906"/>
      <c r="AV1586" s="906"/>
      <c r="AW1586" s="906"/>
      <c r="AX1586" s="906"/>
      <c r="AY1586" s="906"/>
      <c r="AZ1586" s="906"/>
      <c r="BA1586" s="906"/>
      <c r="BB1586" s="907"/>
    </row>
    <row r="1587" spans="1:54" x14ac:dyDescent="0.25">
      <c r="A1587" s="13">
        <f t="shared" si="24"/>
        <v>1574</v>
      </c>
      <c r="B1587" s="914" t="str">
        <f>'refer admin discharge'!B1583</f>
        <v>x</v>
      </c>
      <c r="C1587" s="914"/>
      <c r="D1587" s="889" t="str">
        <f>'refer admin discharge'!D1583</f>
        <v>xx</v>
      </c>
      <c r="E1587" s="889"/>
      <c r="F1587" s="915" t="str">
        <f>'refer admin discharge'!H1583</f>
        <v>00/00/0000</v>
      </c>
      <c r="G1587" s="890"/>
      <c r="H1587" s="916"/>
      <c r="I1587" s="916"/>
      <c r="J1587" s="917"/>
      <c r="K1587" s="917"/>
      <c r="L1587" s="916"/>
      <c r="M1587" s="916"/>
      <c r="N1587" s="893"/>
      <c r="O1587" s="893"/>
      <c r="P1587" s="916"/>
      <c r="Q1587" s="916"/>
      <c r="R1587" s="893"/>
      <c r="S1587" s="893"/>
      <c r="T1587" s="916"/>
      <c r="U1587" s="916"/>
      <c r="V1587" s="921" t="str">
        <f>'refer admin discharge'!H1588</f>
        <v>00/00/0000</v>
      </c>
      <c r="W1587" s="922"/>
      <c r="X1587" s="912"/>
      <c r="Y1587" s="912"/>
      <c r="Z1587" s="924"/>
      <c r="AA1587" s="924"/>
      <c r="AB1587" s="912"/>
      <c r="AC1587" s="912"/>
      <c r="AD1587" s="913"/>
      <c r="AE1587" s="913"/>
      <c r="AF1587" s="912"/>
      <c r="AG1587" s="912"/>
      <c r="AH1587" s="913"/>
      <c r="AI1587" s="913"/>
      <c r="AJ1587" s="912"/>
      <c r="AK1587" s="912"/>
      <c r="AL1587" s="925"/>
      <c r="AM1587" s="926"/>
      <c r="AN1587" s="926"/>
      <c r="AO1587" s="926"/>
      <c r="AP1587" s="926"/>
      <c r="AQ1587" s="926"/>
      <c r="AR1587" s="926"/>
      <c r="AS1587" s="926"/>
      <c r="AT1587" s="926"/>
      <c r="AU1587" s="926"/>
      <c r="AV1587" s="926"/>
      <c r="AW1587" s="926"/>
      <c r="AX1587" s="926"/>
      <c r="AY1587" s="926"/>
      <c r="AZ1587" s="926"/>
      <c r="BA1587" s="926"/>
      <c r="BB1587" s="927"/>
    </row>
    <row r="1588" spans="1:54" x14ac:dyDescent="0.25">
      <c r="A1588" s="13">
        <f t="shared" si="24"/>
        <v>1575</v>
      </c>
      <c r="B1588" s="888" t="str">
        <f>'refer admin discharge'!B1584</f>
        <v>x</v>
      </c>
      <c r="C1588" s="888"/>
      <c r="D1588" s="868" t="str">
        <f>'refer admin discharge'!D1584</f>
        <v>xx</v>
      </c>
      <c r="E1588" s="868"/>
      <c r="F1588" s="891" t="str">
        <f>'refer admin discharge'!H1584</f>
        <v>00/00/0000</v>
      </c>
      <c r="G1588" s="892"/>
      <c r="H1588" s="894"/>
      <c r="I1588" s="894"/>
      <c r="J1588" s="918"/>
      <c r="K1588" s="918"/>
      <c r="L1588" s="894"/>
      <c r="M1588" s="894"/>
      <c r="N1588" s="916"/>
      <c r="O1588" s="916"/>
      <c r="P1588" s="894"/>
      <c r="Q1588" s="894"/>
      <c r="R1588" s="916"/>
      <c r="S1588" s="916"/>
      <c r="T1588" s="894"/>
      <c r="U1588" s="894"/>
      <c r="V1588" s="921" t="str">
        <f>'refer admin discharge'!H1589</f>
        <v>00/00/0000</v>
      </c>
      <c r="W1588" s="922"/>
      <c r="X1588" s="920"/>
      <c r="Y1588" s="920"/>
      <c r="Z1588" s="919"/>
      <c r="AA1588" s="919"/>
      <c r="AB1588" s="920"/>
      <c r="AC1588" s="920"/>
      <c r="AD1588" s="912"/>
      <c r="AE1588" s="912"/>
      <c r="AF1588" s="920"/>
      <c r="AG1588" s="920"/>
      <c r="AH1588" s="912"/>
      <c r="AI1588" s="912"/>
      <c r="AJ1588" s="920"/>
      <c r="AK1588" s="920"/>
      <c r="AL1588" s="905"/>
      <c r="AM1588" s="906"/>
      <c r="AN1588" s="906"/>
      <c r="AO1588" s="906"/>
      <c r="AP1588" s="906"/>
      <c r="AQ1588" s="906"/>
      <c r="AR1588" s="906"/>
      <c r="AS1588" s="906"/>
      <c r="AT1588" s="906"/>
      <c r="AU1588" s="906"/>
      <c r="AV1588" s="906"/>
      <c r="AW1588" s="906"/>
      <c r="AX1588" s="906"/>
      <c r="AY1588" s="906"/>
      <c r="AZ1588" s="906"/>
      <c r="BA1588" s="906"/>
      <c r="BB1588" s="907"/>
    </row>
    <row r="1589" spans="1:54" x14ac:dyDescent="0.25">
      <c r="A1589" s="13">
        <f t="shared" si="24"/>
        <v>1576</v>
      </c>
      <c r="B1589" s="914" t="str">
        <f>'refer admin discharge'!B1585</f>
        <v>x</v>
      </c>
      <c r="C1589" s="914"/>
      <c r="D1589" s="889" t="str">
        <f>'refer admin discharge'!D1585</f>
        <v>xx</v>
      </c>
      <c r="E1589" s="889"/>
      <c r="F1589" s="915" t="str">
        <f>'refer admin discharge'!H1585</f>
        <v>00/00/0000</v>
      </c>
      <c r="G1589" s="890"/>
      <c r="H1589" s="916"/>
      <c r="I1589" s="916"/>
      <c r="J1589" s="917"/>
      <c r="K1589" s="917"/>
      <c r="L1589" s="916"/>
      <c r="M1589" s="916"/>
      <c r="N1589" s="893"/>
      <c r="O1589" s="893"/>
      <c r="P1589" s="916"/>
      <c r="Q1589" s="916"/>
      <c r="R1589" s="893"/>
      <c r="S1589" s="893"/>
      <c r="T1589" s="916"/>
      <c r="U1589" s="916"/>
      <c r="V1589" s="921" t="str">
        <f>'refer admin discharge'!H1590</f>
        <v>00/00/0000</v>
      </c>
      <c r="W1589" s="922"/>
      <c r="X1589" s="912"/>
      <c r="Y1589" s="912"/>
      <c r="Z1589" s="924"/>
      <c r="AA1589" s="924"/>
      <c r="AB1589" s="912"/>
      <c r="AC1589" s="912"/>
      <c r="AD1589" s="913"/>
      <c r="AE1589" s="913"/>
      <c r="AF1589" s="912"/>
      <c r="AG1589" s="912"/>
      <c r="AH1589" s="913"/>
      <c r="AI1589" s="913"/>
      <c r="AJ1589" s="912"/>
      <c r="AK1589" s="912"/>
      <c r="AL1589" s="925"/>
      <c r="AM1589" s="926"/>
      <c r="AN1589" s="926"/>
      <c r="AO1589" s="926"/>
      <c r="AP1589" s="926"/>
      <c r="AQ1589" s="926"/>
      <c r="AR1589" s="926"/>
      <c r="AS1589" s="926"/>
      <c r="AT1589" s="926"/>
      <c r="AU1589" s="926"/>
      <c r="AV1589" s="926"/>
      <c r="AW1589" s="926"/>
      <c r="AX1589" s="926"/>
      <c r="AY1589" s="926"/>
      <c r="AZ1589" s="926"/>
      <c r="BA1589" s="926"/>
      <c r="BB1589" s="927"/>
    </row>
    <row r="1590" spans="1:54" x14ac:dyDescent="0.25">
      <c r="A1590" s="13">
        <f t="shared" si="24"/>
        <v>1577</v>
      </c>
      <c r="B1590" s="888" t="str">
        <f>'refer admin discharge'!B1586</f>
        <v>x</v>
      </c>
      <c r="C1590" s="888"/>
      <c r="D1590" s="868" t="str">
        <f>'refer admin discharge'!D1586</f>
        <v>xx</v>
      </c>
      <c r="E1590" s="868"/>
      <c r="F1590" s="891" t="str">
        <f>'refer admin discharge'!H1586</f>
        <v>00/00/0000</v>
      </c>
      <c r="G1590" s="892"/>
      <c r="H1590" s="894"/>
      <c r="I1590" s="894"/>
      <c r="J1590" s="918"/>
      <c r="K1590" s="918"/>
      <c r="L1590" s="894"/>
      <c r="M1590" s="894"/>
      <c r="N1590" s="916"/>
      <c r="O1590" s="916"/>
      <c r="P1590" s="894"/>
      <c r="Q1590" s="894"/>
      <c r="R1590" s="916"/>
      <c r="S1590" s="916"/>
      <c r="T1590" s="894"/>
      <c r="U1590" s="894"/>
      <c r="V1590" s="921" t="str">
        <f>'refer admin discharge'!H1591</f>
        <v>00/00/0000</v>
      </c>
      <c r="W1590" s="922"/>
      <c r="X1590" s="920"/>
      <c r="Y1590" s="920"/>
      <c r="Z1590" s="919"/>
      <c r="AA1590" s="919"/>
      <c r="AB1590" s="920"/>
      <c r="AC1590" s="920"/>
      <c r="AD1590" s="912"/>
      <c r="AE1590" s="912"/>
      <c r="AF1590" s="920"/>
      <c r="AG1590" s="920"/>
      <c r="AH1590" s="912"/>
      <c r="AI1590" s="912"/>
      <c r="AJ1590" s="920"/>
      <c r="AK1590" s="920"/>
      <c r="AL1590" s="905"/>
      <c r="AM1590" s="906"/>
      <c r="AN1590" s="906"/>
      <c r="AO1590" s="906"/>
      <c r="AP1590" s="906"/>
      <c r="AQ1590" s="906"/>
      <c r="AR1590" s="906"/>
      <c r="AS1590" s="906"/>
      <c r="AT1590" s="906"/>
      <c r="AU1590" s="906"/>
      <c r="AV1590" s="906"/>
      <c r="AW1590" s="906"/>
      <c r="AX1590" s="906"/>
      <c r="AY1590" s="906"/>
      <c r="AZ1590" s="906"/>
      <c r="BA1590" s="906"/>
      <c r="BB1590" s="907"/>
    </row>
    <row r="1591" spans="1:54" x14ac:dyDescent="0.25">
      <c r="A1591" s="13">
        <f t="shared" si="24"/>
        <v>1578</v>
      </c>
      <c r="B1591" s="914" t="str">
        <f>'refer admin discharge'!B1587</f>
        <v>x</v>
      </c>
      <c r="C1591" s="914"/>
      <c r="D1591" s="889" t="str">
        <f>'refer admin discharge'!D1587</f>
        <v>xx</v>
      </c>
      <c r="E1591" s="889"/>
      <c r="F1591" s="915" t="str">
        <f>'refer admin discharge'!H1587</f>
        <v>00/00/0000</v>
      </c>
      <c r="G1591" s="890"/>
      <c r="H1591" s="916"/>
      <c r="I1591" s="916"/>
      <c r="J1591" s="917"/>
      <c r="K1591" s="917"/>
      <c r="L1591" s="916"/>
      <c r="M1591" s="916"/>
      <c r="N1591" s="893"/>
      <c r="O1591" s="893"/>
      <c r="P1591" s="916"/>
      <c r="Q1591" s="916"/>
      <c r="R1591" s="893"/>
      <c r="S1591" s="893"/>
      <c r="T1591" s="916"/>
      <c r="U1591" s="916"/>
      <c r="V1591" s="921" t="str">
        <f>'refer admin discharge'!H1592</f>
        <v>00/00/0000</v>
      </c>
      <c r="W1591" s="922"/>
      <c r="X1591" s="912"/>
      <c r="Y1591" s="912"/>
      <c r="Z1591" s="924"/>
      <c r="AA1591" s="924"/>
      <c r="AB1591" s="912"/>
      <c r="AC1591" s="912"/>
      <c r="AD1591" s="913"/>
      <c r="AE1591" s="913"/>
      <c r="AF1591" s="912"/>
      <c r="AG1591" s="912"/>
      <c r="AH1591" s="913"/>
      <c r="AI1591" s="913"/>
      <c r="AJ1591" s="912"/>
      <c r="AK1591" s="912"/>
      <c r="AL1591" s="925"/>
      <c r="AM1591" s="926"/>
      <c r="AN1591" s="926"/>
      <c r="AO1591" s="926"/>
      <c r="AP1591" s="926"/>
      <c r="AQ1591" s="926"/>
      <c r="AR1591" s="926"/>
      <c r="AS1591" s="926"/>
      <c r="AT1591" s="926"/>
      <c r="AU1591" s="926"/>
      <c r="AV1591" s="926"/>
      <c r="AW1591" s="926"/>
      <c r="AX1591" s="926"/>
      <c r="AY1591" s="926"/>
      <c r="AZ1591" s="926"/>
      <c r="BA1591" s="926"/>
      <c r="BB1591" s="927"/>
    </row>
    <row r="1592" spans="1:54" x14ac:dyDescent="0.25">
      <c r="A1592" s="13">
        <f t="shared" si="24"/>
        <v>1579</v>
      </c>
      <c r="B1592" s="888" t="str">
        <f>'refer admin discharge'!B1588</f>
        <v>x</v>
      </c>
      <c r="C1592" s="888"/>
      <c r="D1592" s="868" t="str">
        <f>'refer admin discharge'!D1588</f>
        <v>xx</v>
      </c>
      <c r="E1592" s="868"/>
      <c r="F1592" s="891" t="str">
        <f>'refer admin discharge'!H1588</f>
        <v>00/00/0000</v>
      </c>
      <c r="G1592" s="892"/>
      <c r="H1592" s="894"/>
      <c r="I1592" s="894"/>
      <c r="J1592" s="918"/>
      <c r="K1592" s="918"/>
      <c r="L1592" s="894"/>
      <c r="M1592" s="894"/>
      <c r="N1592" s="916"/>
      <c r="O1592" s="916"/>
      <c r="P1592" s="894"/>
      <c r="Q1592" s="894"/>
      <c r="R1592" s="916"/>
      <c r="S1592" s="916"/>
      <c r="T1592" s="894"/>
      <c r="U1592" s="894"/>
      <c r="V1592" s="921" t="str">
        <f>'refer admin discharge'!H1593</f>
        <v>00/00/0000</v>
      </c>
      <c r="W1592" s="922"/>
      <c r="X1592" s="920"/>
      <c r="Y1592" s="920"/>
      <c r="Z1592" s="919"/>
      <c r="AA1592" s="919"/>
      <c r="AB1592" s="920"/>
      <c r="AC1592" s="920"/>
      <c r="AD1592" s="912"/>
      <c r="AE1592" s="912"/>
      <c r="AF1592" s="920"/>
      <c r="AG1592" s="920"/>
      <c r="AH1592" s="912"/>
      <c r="AI1592" s="912"/>
      <c r="AJ1592" s="920"/>
      <c r="AK1592" s="920"/>
      <c r="AL1592" s="905"/>
      <c r="AM1592" s="906"/>
      <c r="AN1592" s="906"/>
      <c r="AO1592" s="906"/>
      <c r="AP1592" s="906"/>
      <c r="AQ1592" s="906"/>
      <c r="AR1592" s="906"/>
      <c r="AS1592" s="906"/>
      <c r="AT1592" s="906"/>
      <c r="AU1592" s="906"/>
      <c r="AV1592" s="906"/>
      <c r="AW1592" s="906"/>
      <c r="AX1592" s="906"/>
      <c r="AY1592" s="906"/>
      <c r="AZ1592" s="906"/>
      <c r="BA1592" s="906"/>
      <c r="BB1592" s="907"/>
    </row>
    <row r="1593" spans="1:54" x14ac:dyDescent="0.25">
      <c r="A1593" s="13">
        <f t="shared" si="24"/>
        <v>1580</v>
      </c>
      <c r="B1593" s="914" t="str">
        <f>'refer admin discharge'!B1589</f>
        <v>x</v>
      </c>
      <c r="C1593" s="914"/>
      <c r="D1593" s="889" t="str">
        <f>'refer admin discharge'!D1589</f>
        <v>xx</v>
      </c>
      <c r="E1593" s="889"/>
      <c r="F1593" s="915" t="str">
        <f>'refer admin discharge'!H1589</f>
        <v>00/00/0000</v>
      </c>
      <c r="G1593" s="890"/>
      <c r="H1593" s="916"/>
      <c r="I1593" s="916"/>
      <c r="J1593" s="917"/>
      <c r="K1593" s="917"/>
      <c r="L1593" s="916"/>
      <c r="M1593" s="916"/>
      <c r="N1593" s="893"/>
      <c r="O1593" s="893"/>
      <c r="P1593" s="916"/>
      <c r="Q1593" s="916"/>
      <c r="R1593" s="893"/>
      <c r="S1593" s="893"/>
      <c r="T1593" s="916"/>
      <c r="U1593" s="916"/>
      <c r="V1593" s="921" t="str">
        <f>'refer admin discharge'!H1594</f>
        <v>00/00/0000</v>
      </c>
      <c r="W1593" s="922"/>
      <c r="X1593" s="912"/>
      <c r="Y1593" s="912"/>
      <c r="Z1593" s="924"/>
      <c r="AA1593" s="924"/>
      <c r="AB1593" s="912"/>
      <c r="AC1593" s="912"/>
      <c r="AD1593" s="913"/>
      <c r="AE1593" s="913"/>
      <c r="AF1593" s="912"/>
      <c r="AG1593" s="912"/>
      <c r="AH1593" s="913"/>
      <c r="AI1593" s="913"/>
      <c r="AJ1593" s="912"/>
      <c r="AK1593" s="912"/>
      <c r="AL1593" s="925"/>
      <c r="AM1593" s="926"/>
      <c r="AN1593" s="926"/>
      <c r="AO1593" s="926"/>
      <c r="AP1593" s="926"/>
      <c r="AQ1593" s="926"/>
      <c r="AR1593" s="926"/>
      <c r="AS1593" s="926"/>
      <c r="AT1593" s="926"/>
      <c r="AU1593" s="926"/>
      <c r="AV1593" s="926"/>
      <c r="AW1593" s="926"/>
      <c r="AX1593" s="926"/>
      <c r="AY1593" s="926"/>
      <c r="AZ1593" s="926"/>
      <c r="BA1593" s="926"/>
      <c r="BB1593" s="927"/>
    </row>
    <row r="1594" spans="1:54" x14ac:dyDescent="0.25">
      <c r="A1594" s="13">
        <f t="shared" si="24"/>
        <v>1581</v>
      </c>
      <c r="B1594" s="888" t="str">
        <f>'refer admin discharge'!B1590</f>
        <v>x</v>
      </c>
      <c r="C1594" s="888"/>
      <c r="D1594" s="868" t="str">
        <f>'refer admin discharge'!D1590</f>
        <v>xx</v>
      </c>
      <c r="E1594" s="868"/>
      <c r="F1594" s="891" t="str">
        <f>'refer admin discharge'!H1590</f>
        <v>00/00/0000</v>
      </c>
      <c r="G1594" s="892"/>
      <c r="H1594" s="894"/>
      <c r="I1594" s="894"/>
      <c r="J1594" s="918"/>
      <c r="K1594" s="918"/>
      <c r="L1594" s="894"/>
      <c r="M1594" s="894"/>
      <c r="N1594" s="916"/>
      <c r="O1594" s="916"/>
      <c r="P1594" s="894"/>
      <c r="Q1594" s="894"/>
      <c r="R1594" s="916"/>
      <c r="S1594" s="916"/>
      <c r="T1594" s="894"/>
      <c r="U1594" s="894"/>
      <c r="V1594" s="921" t="str">
        <f>'refer admin discharge'!H1595</f>
        <v>00/00/0000</v>
      </c>
      <c r="W1594" s="922"/>
      <c r="X1594" s="920"/>
      <c r="Y1594" s="920"/>
      <c r="Z1594" s="919"/>
      <c r="AA1594" s="919"/>
      <c r="AB1594" s="920"/>
      <c r="AC1594" s="920"/>
      <c r="AD1594" s="912"/>
      <c r="AE1594" s="912"/>
      <c r="AF1594" s="920"/>
      <c r="AG1594" s="920"/>
      <c r="AH1594" s="912"/>
      <c r="AI1594" s="912"/>
      <c r="AJ1594" s="920"/>
      <c r="AK1594" s="920"/>
      <c r="AL1594" s="905"/>
      <c r="AM1594" s="906"/>
      <c r="AN1594" s="906"/>
      <c r="AO1594" s="906"/>
      <c r="AP1594" s="906"/>
      <c r="AQ1594" s="906"/>
      <c r="AR1594" s="906"/>
      <c r="AS1594" s="906"/>
      <c r="AT1594" s="906"/>
      <c r="AU1594" s="906"/>
      <c r="AV1594" s="906"/>
      <c r="AW1594" s="906"/>
      <c r="AX1594" s="906"/>
      <c r="AY1594" s="906"/>
      <c r="AZ1594" s="906"/>
      <c r="BA1594" s="906"/>
      <c r="BB1594" s="907"/>
    </row>
    <row r="1595" spans="1:54" x14ac:dyDescent="0.25">
      <c r="A1595" s="13">
        <f t="shared" si="24"/>
        <v>1582</v>
      </c>
      <c r="B1595" s="914" t="str">
        <f>'refer admin discharge'!B1591</f>
        <v>x</v>
      </c>
      <c r="C1595" s="914"/>
      <c r="D1595" s="889" t="str">
        <f>'refer admin discharge'!D1591</f>
        <v>xx</v>
      </c>
      <c r="E1595" s="889"/>
      <c r="F1595" s="915" t="str">
        <f>'refer admin discharge'!H1591</f>
        <v>00/00/0000</v>
      </c>
      <c r="G1595" s="890"/>
      <c r="H1595" s="916"/>
      <c r="I1595" s="916"/>
      <c r="J1595" s="917"/>
      <c r="K1595" s="917"/>
      <c r="L1595" s="916"/>
      <c r="M1595" s="916"/>
      <c r="N1595" s="893"/>
      <c r="O1595" s="893"/>
      <c r="P1595" s="916"/>
      <c r="Q1595" s="916"/>
      <c r="R1595" s="893"/>
      <c r="S1595" s="893"/>
      <c r="T1595" s="916"/>
      <c r="U1595" s="916"/>
      <c r="V1595" s="921" t="str">
        <f>'refer admin discharge'!H1596</f>
        <v>00/00/0000</v>
      </c>
      <c r="W1595" s="922"/>
      <c r="X1595" s="912"/>
      <c r="Y1595" s="912"/>
      <c r="Z1595" s="924"/>
      <c r="AA1595" s="924"/>
      <c r="AB1595" s="912"/>
      <c r="AC1595" s="912"/>
      <c r="AD1595" s="913"/>
      <c r="AE1595" s="913"/>
      <c r="AF1595" s="912"/>
      <c r="AG1595" s="912"/>
      <c r="AH1595" s="913"/>
      <c r="AI1595" s="913"/>
      <c r="AJ1595" s="912"/>
      <c r="AK1595" s="912"/>
      <c r="AL1595" s="925"/>
      <c r="AM1595" s="926"/>
      <c r="AN1595" s="926"/>
      <c r="AO1595" s="926"/>
      <c r="AP1595" s="926"/>
      <c r="AQ1595" s="926"/>
      <c r="AR1595" s="926"/>
      <c r="AS1595" s="926"/>
      <c r="AT1595" s="926"/>
      <c r="AU1595" s="926"/>
      <c r="AV1595" s="926"/>
      <c r="AW1595" s="926"/>
      <c r="AX1595" s="926"/>
      <c r="AY1595" s="926"/>
      <c r="AZ1595" s="926"/>
      <c r="BA1595" s="926"/>
      <c r="BB1595" s="927"/>
    </row>
    <row r="1596" spans="1:54" x14ac:dyDescent="0.25">
      <c r="A1596" s="13">
        <f t="shared" si="24"/>
        <v>1583</v>
      </c>
      <c r="B1596" s="888" t="str">
        <f>'refer admin discharge'!B1592</f>
        <v>x</v>
      </c>
      <c r="C1596" s="888"/>
      <c r="D1596" s="868" t="str">
        <f>'refer admin discharge'!D1592</f>
        <v>xx</v>
      </c>
      <c r="E1596" s="868"/>
      <c r="F1596" s="891" t="str">
        <f>'refer admin discharge'!H1592</f>
        <v>00/00/0000</v>
      </c>
      <c r="G1596" s="892"/>
      <c r="H1596" s="894"/>
      <c r="I1596" s="894"/>
      <c r="J1596" s="918"/>
      <c r="K1596" s="918"/>
      <c r="L1596" s="894"/>
      <c r="M1596" s="894"/>
      <c r="N1596" s="916"/>
      <c r="O1596" s="916"/>
      <c r="P1596" s="894"/>
      <c r="Q1596" s="894"/>
      <c r="R1596" s="916"/>
      <c r="S1596" s="916"/>
      <c r="T1596" s="894"/>
      <c r="U1596" s="894"/>
      <c r="V1596" s="921" t="str">
        <f>'refer admin discharge'!H1597</f>
        <v>00/00/0000</v>
      </c>
      <c r="W1596" s="922"/>
      <c r="X1596" s="920"/>
      <c r="Y1596" s="920"/>
      <c r="Z1596" s="919"/>
      <c r="AA1596" s="919"/>
      <c r="AB1596" s="920"/>
      <c r="AC1596" s="920"/>
      <c r="AD1596" s="912"/>
      <c r="AE1596" s="912"/>
      <c r="AF1596" s="920"/>
      <c r="AG1596" s="920"/>
      <c r="AH1596" s="912"/>
      <c r="AI1596" s="912"/>
      <c r="AJ1596" s="920"/>
      <c r="AK1596" s="920"/>
      <c r="AL1596" s="905"/>
      <c r="AM1596" s="906"/>
      <c r="AN1596" s="906"/>
      <c r="AO1596" s="906"/>
      <c r="AP1596" s="906"/>
      <c r="AQ1596" s="906"/>
      <c r="AR1596" s="906"/>
      <c r="AS1596" s="906"/>
      <c r="AT1596" s="906"/>
      <c r="AU1596" s="906"/>
      <c r="AV1596" s="906"/>
      <c r="AW1596" s="906"/>
      <c r="AX1596" s="906"/>
      <c r="AY1596" s="906"/>
      <c r="AZ1596" s="906"/>
      <c r="BA1596" s="906"/>
      <c r="BB1596" s="907"/>
    </row>
    <row r="1597" spans="1:54" x14ac:dyDescent="0.25">
      <c r="A1597" s="13">
        <f t="shared" si="24"/>
        <v>1584</v>
      </c>
      <c r="B1597" s="914" t="str">
        <f>'refer admin discharge'!B1593</f>
        <v>x</v>
      </c>
      <c r="C1597" s="914"/>
      <c r="D1597" s="889" t="str">
        <f>'refer admin discharge'!D1593</f>
        <v>xx</v>
      </c>
      <c r="E1597" s="889"/>
      <c r="F1597" s="915" t="str">
        <f>'refer admin discharge'!H1593</f>
        <v>00/00/0000</v>
      </c>
      <c r="G1597" s="890"/>
      <c r="H1597" s="916"/>
      <c r="I1597" s="916"/>
      <c r="J1597" s="917"/>
      <c r="K1597" s="917"/>
      <c r="L1597" s="916"/>
      <c r="M1597" s="916"/>
      <c r="N1597" s="893"/>
      <c r="O1597" s="893"/>
      <c r="P1597" s="916"/>
      <c r="Q1597" s="916"/>
      <c r="R1597" s="893"/>
      <c r="S1597" s="893"/>
      <c r="T1597" s="916"/>
      <c r="U1597" s="916"/>
      <c r="V1597" s="921" t="str">
        <f>'refer admin discharge'!H1598</f>
        <v>00/00/0000</v>
      </c>
      <c r="W1597" s="922"/>
      <c r="X1597" s="912"/>
      <c r="Y1597" s="912"/>
      <c r="Z1597" s="924"/>
      <c r="AA1597" s="924"/>
      <c r="AB1597" s="912"/>
      <c r="AC1597" s="912"/>
      <c r="AD1597" s="913"/>
      <c r="AE1597" s="913"/>
      <c r="AF1597" s="912"/>
      <c r="AG1597" s="912"/>
      <c r="AH1597" s="913"/>
      <c r="AI1597" s="913"/>
      <c r="AJ1597" s="912"/>
      <c r="AK1597" s="912"/>
      <c r="AL1597" s="925"/>
      <c r="AM1597" s="926"/>
      <c r="AN1597" s="926"/>
      <c r="AO1597" s="926"/>
      <c r="AP1597" s="926"/>
      <c r="AQ1597" s="926"/>
      <c r="AR1597" s="926"/>
      <c r="AS1597" s="926"/>
      <c r="AT1597" s="926"/>
      <c r="AU1597" s="926"/>
      <c r="AV1597" s="926"/>
      <c r="AW1597" s="926"/>
      <c r="AX1597" s="926"/>
      <c r="AY1597" s="926"/>
      <c r="AZ1597" s="926"/>
      <c r="BA1597" s="926"/>
      <c r="BB1597" s="927"/>
    </row>
    <row r="1598" spans="1:54" x14ac:dyDescent="0.25">
      <c r="A1598" s="13">
        <f t="shared" si="24"/>
        <v>1585</v>
      </c>
      <c r="B1598" s="888" t="str">
        <f>'refer admin discharge'!B1594</f>
        <v>x</v>
      </c>
      <c r="C1598" s="888"/>
      <c r="D1598" s="868" t="str">
        <f>'refer admin discharge'!D1594</f>
        <v>xx</v>
      </c>
      <c r="E1598" s="868"/>
      <c r="F1598" s="891" t="str">
        <f>'refer admin discharge'!H1594</f>
        <v>00/00/0000</v>
      </c>
      <c r="G1598" s="892"/>
      <c r="H1598" s="894"/>
      <c r="I1598" s="894"/>
      <c r="J1598" s="918"/>
      <c r="K1598" s="918"/>
      <c r="L1598" s="894"/>
      <c r="M1598" s="894"/>
      <c r="N1598" s="916"/>
      <c r="O1598" s="916"/>
      <c r="P1598" s="894"/>
      <c r="Q1598" s="894"/>
      <c r="R1598" s="916"/>
      <c r="S1598" s="916"/>
      <c r="T1598" s="894"/>
      <c r="U1598" s="894"/>
      <c r="V1598" s="921" t="str">
        <f>'refer admin discharge'!H1599</f>
        <v>00/00/0000</v>
      </c>
      <c r="W1598" s="922"/>
      <c r="X1598" s="920"/>
      <c r="Y1598" s="920"/>
      <c r="Z1598" s="919"/>
      <c r="AA1598" s="919"/>
      <c r="AB1598" s="920"/>
      <c r="AC1598" s="920"/>
      <c r="AD1598" s="912"/>
      <c r="AE1598" s="912"/>
      <c r="AF1598" s="920"/>
      <c r="AG1598" s="920"/>
      <c r="AH1598" s="912"/>
      <c r="AI1598" s="912"/>
      <c r="AJ1598" s="920"/>
      <c r="AK1598" s="920"/>
      <c r="AL1598" s="905"/>
      <c r="AM1598" s="906"/>
      <c r="AN1598" s="906"/>
      <c r="AO1598" s="906"/>
      <c r="AP1598" s="906"/>
      <c r="AQ1598" s="906"/>
      <c r="AR1598" s="906"/>
      <c r="AS1598" s="906"/>
      <c r="AT1598" s="906"/>
      <c r="AU1598" s="906"/>
      <c r="AV1598" s="906"/>
      <c r="AW1598" s="906"/>
      <c r="AX1598" s="906"/>
      <c r="AY1598" s="906"/>
      <c r="AZ1598" s="906"/>
      <c r="BA1598" s="906"/>
      <c r="BB1598" s="907"/>
    </row>
    <row r="1599" spans="1:54" x14ac:dyDescent="0.25">
      <c r="A1599" s="13">
        <f t="shared" si="24"/>
        <v>1586</v>
      </c>
      <c r="B1599" s="914" t="str">
        <f>'refer admin discharge'!B1595</f>
        <v>x</v>
      </c>
      <c r="C1599" s="914"/>
      <c r="D1599" s="889" t="str">
        <f>'refer admin discharge'!D1595</f>
        <v>xx</v>
      </c>
      <c r="E1599" s="889"/>
      <c r="F1599" s="915" t="str">
        <f>'refer admin discharge'!H1595</f>
        <v>00/00/0000</v>
      </c>
      <c r="G1599" s="890"/>
      <c r="H1599" s="916"/>
      <c r="I1599" s="916"/>
      <c r="J1599" s="917"/>
      <c r="K1599" s="917"/>
      <c r="L1599" s="916"/>
      <c r="M1599" s="916"/>
      <c r="N1599" s="893"/>
      <c r="O1599" s="893"/>
      <c r="P1599" s="916"/>
      <c r="Q1599" s="916"/>
      <c r="R1599" s="893"/>
      <c r="S1599" s="893"/>
      <c r="T1599" s="916"/>
      <c r="U1599" s="916"/>
      <c r="V1599" s="921" t="str">
        <f>'refer admin discharge'!H1600</f>
        <v>00/00/0000</v>
      </c>
      <c r="W1599" s="922"/>
      <c r="X1599" s="912"/>
      <c r="Y1599" s="912"/>
      <c r="Z1599" s="924"/>
      <c r="AA1599" s="924"/>
      <c r="AB1599" s="912"/>
      <c r="AC1599" s="912"/>
      <c r="AD1599" s="913"/>
      <c r="AE1599" s="913"/>
      <c r="AF1599" s="912"/>
      <c r="AG1599" s="912"/>
      <c r="AH1599" s="913"/>
      <c r="AI1599" s="913"/>
      <c r="AJ1599" s="912"/>
      <c r="AK1599" s="912"/>
      <c r="AL1599" s="925"/>
      <c r="AM1599" s="926"/>
      <c r="AN1599" s="926"/>
      <c r="AO1599" s="926"/>
      <c r="AP1599" s="926"/>
      <c r="AQ1599" s="926"/>
      <c r="AR1599" s="926"/>
      <c r="AS1599" s="926"/>
      <c r="AT1599" s="926"/>
      <c r="AU1599" s="926"/>
      <c r="AV1599" s="926"/>
      <c r="AW1599" s="926"/>
      <c r="AX1599" s="926"/>
      <c r="AY1599" s="926"/>
      <c r="AZ1599" s="926"/>
      <c r="BA1599" s="926"/>
      <c r="BB1599" s="927"/>
    </row>
    <row r="1600" spans="1:54" x14ac:dyDescent="0.25">
      <c r="A1600" s="13">
        <f t="shared" si="24"/>
        <v>1587</v>
      </c>
      <c r="B1600" s="888" t="str">
        <f>'refer admin discharge'!B1596</f>
        <v>x</v>
      </c>
      <c r="C1600" s="888"/>
      <c r="D1600" s="868" t="str">
        <f>'refer admin discharge'!D1596</f>
        <v>xx</v>
      </c>
      <c r="E1600" s="868"/>
      <c r="F1600" s="891" t="str">
        <f>'refer admin discharge'!H1596</f>
        <v>00/00/0000</v>
      </c>
      <c r="G1600" s="892"/>
      <c r="H1600" s="894"/>
      <c r="I1600" s="894"/>
      <c r="J1600" s="918"/>
      <c r="K1600" s="918"/>
      <c r="L1600" s="894"/>
      <c r="M1600" s="894"/>
      <c r="N1600" s="916"/>
      <c r="O1600" s="916"/>
      <c r="P1600" s="894"/>
      <c r="Q1600" s="894"/>
      <c r="R1600" s="916"/>
      <c r="S1600" s="916"/>
      <c r="T1600" s="894"/>
      <c r="U1600" s="894"/>
      <c r="V1600" s="921" t="str">
        <f>'refer admin discharge'!H1601</f>
        <v>00/00/0000</v>
      </c>
      <c r="W1600" s="922"/>
      <c r="X1600" s="920"/>
      <c r="Y1600" s="920"/>
      <c r="Z1600" s="919"/>
      <c r="AA1600" s="919"/>
      <c r="AB1600" s="920"/>
      <c r="AC1600" s="920"/>
      <c r="AD1600" s="912"/>
      <c r="AE1600" s="912"/>
      <c r="AF1600" s="920"/>
      <c r="AG1600" s="920"/>
      <c r="AH1600" s="912"/>
      <c r="AI1600" s="912"/>
      <c r="AJ1600" s="920"/>
      <c r="AK1600" s="920"/>
      <c r="AL1600" s="905"/>
      <c r="AM1600" s="906"/>
      <c r="AN1600" s="906"/>
      <c r="AO1600" s="906"/>
      <c r="AP1600" s="906"/>
      <c r="AQ1600" s="906"/>
      <c r="AR1600" s="906"/>
      <c r="AS1600" s="906"/>
      <c r="AT1600" s="906"/>
      <c r="AU1600" s="906"/>
      <c r="AV1600" s="906"/>
      <c r="AW1600" s="906"/>
      <c r="AX1600" s="906"/>
      <c r="AY1600" s="906"/>
      <c r="AZ1600" s="906"/>
      <c r="BA1600" s="906"/>
      <c r="BB1600" s="907"/>
    </row>
    <row r="1601" spans="1:54" x14ac:dyDescent="0.25">
      <c r="A1601" s="13">
        <f t="shared" si="24"/>
        <v>1588</v>
      </c>
      <c r="B1601" s="914" t="str">
        <f>'refer admin discharge'!B1597</f>
        <v>x</v>
      </c>
      <c r="C1601" s="914"/>
      <c r="D1601" s="889" t="str">
        <f>'refer admin discharge'!D1597</f>
        <v>xx</v>
      </c>
      <c r="E1601" s="889"/>
      <c r="F1601" s="915" t="str">
        <f>'refer admin discharge'!H1597</f>
        <v>00/00/0000</v>
      </c>
      <c r="G1601" s="890"/>
      <c r="H1601" s="916"/>
      <c r="I1601" s="916"/>
      <c r="J1601" s="917"/>
      <c r="K1601" s="917"/>
      <c r="L1601" s="916"/>
      <c r="M1601" s="916"/>
      <c r="N1601" s="893"/>
      <c r="O1601" s="893"/>
      <c r="P1601" s="916"/>
      <c r="Q1601" s="916"/>
      <c r="R1601" s="893"/>
      <c r="S1601" s="893"/>
      <c r="T1601" s="916"/>
      <c r="U1601" s="916"/>
      <c r="V1601" s="921" t="str">
        <f>'refer admin discharge'!H1602</f>
        <v>00/00/0000</v>
      </c>
      <c r="W1601" s="922"/>
      <c r="X1601" s="912"/>
      <c r="Y1601" s="912"/>
      <c r="Z1601" s="924"/>
      <c r="AA1601" s="924"/>
      <c r="AB1601" s="912"/>
      <c r="AC1601" s="912"/>
      <c r="AD1601" s="913"/>
      <c r="AE1601" s="913"/>
      <c r="AF1601" s="912"/>
      <c r="AG1601" s="912"/>
      <c r="AH1601" s="913"/>
      <c r="AI1601" s="913"/>
      <c r="AJ1601" s="912"/>
      <c r="AK1601" s="912"/>
      <c r="AL1601" s="925"/>
      <c r="AM1601" s="926"/>
      <c r="AN1601" s="926"/>
      <c r="AO1601" s="926"/>
      <c r="AP1601" s="926"/>
      <c r="AQ1601" s="926"/>
      <c r="AR1601" s="926"/>
      <c r="AS1601" s="926"/>
      <c r="AT1601" s="926"/>
      <c r="AU1601" s="926"/>
      <c r="AV1601" s="926"/>
      <c r="AW1601" s="926"/>
      <c r="AX1601" s="926"/>
      <c r="AY1601" s="926"/>
      <c r="AZ1601" s="926"/>
      <c r="BA1601" s="926"/>
      <c r="BB1601" s="927"/>
    </row>
    <row r="1602" spans="1:54" x14ac:dyDescent="0.25">
      <c r="A1602" s="13">
        <f t="shared" si="24"/>
        <v>1589</v>
      </c>
      <c r="B1602" s="888" t="str">
        <f>'refer admin discharge'!B1598</f>
        <v>x</v>
      </c>
      <c r="C1602" s="888"/>
      <c r="D1602" s="868" t="str">
        <f>'refer admin discharge'!D1598</f>
        <v>xx</v>
      </c>
      <c r="E1602" s="868"/>
      <c r="F1602" s="891" t="str">
        <f>'refer admin discharge'!H1598</f>
        <v>00/00/0000</v>
      </c>
      <c r="G1602" s="892"/>
      <c r="H1602" s="894"/>
      <c r="I1602" s="894"/>
      <c r="J1602" s="918"/>
      <c r="K1602" s="918"/>
      <c r="L1602" s="894"/>
      <c r="M1602" s="894"/>
      <c r="N1602" s="916"/>
      <c r="O1602" s="916"/>
      <c r="P1602" s="894"/>
      <c r="Q1602" s="894"/>
      <c r="R1602" s="916"/>
      <c r="S1602" s="916"/>
      <c r="T1602" s="894"/>
      <c r="U1602" s="894"/>
      <c r="V1602" s="921" t="str">
        <f>'refer admin discharge'!H1603</f>
        <v>00/00/0000</v>
      </c>
      <c r="W1602" s="922"/>
      <c r="X1602" s="920"/>
      <c r="Y1602" s="920"/>
      <c r="Z1602" s="919"/>
      <c r="AA1602" s="919"/>
      <c r="AB1602" s="920"/>
      <c r="AC1602" s="920"/>
      <c r="AD1602" s="912"/>
      <c r="AE1602" s="912"/>
      <c r="AF1602" s="920"/>
      <c r="AG1602" s="920"/>
      <c r="AH1602" s="912"/>
      <c r="AI1602" s="912"/>
      <c r="AJ1602" s="920"/>
      <c r="AK1602" s="920"/>
      <c r="AL1602" s="905"/>
      <c r="AM1602" s="906"/>
      <c r="AN1602" s="906"/>
      <c r="AO1602" s="906"/>
      <c r="AP1602" s="906"/>
      <c r="AQ1602" s="906"/>
      <c r="AR1602" s="906"/>
      <c r="AS1602" s="906"/>
      <c r="AT1602" s="906"/>
      <c r="AU1602" s="906"/>
      <c r="AV1602" s="906"/>
      <c r="AW1602" s="906"/>
      <c r="AX1602" s="906"/>
      <c r="AY1602" s="906"/>
      <c r="AZ1602" s="906"/>
      <c r="BA1602" s="906"/>
      <c r="BB1602" s="907"/>
    </row>
    <row r="1603" spans="1:54" x14ac:dyDescent="0.25">
      <c r="A1603" s="13">
        <f t="shared" si="24"/>
        <v>1590</v>
      </c>
      <c r="B1603" s="914" t="str">
        <f>'refer admin discharge'!B1599</f>
        <v>x</v>
      </c>
      <c r="C1603" s="914"/>
      <c r="D1603" s="889" t="str">
        <f>'refer admin discharge'!D1599</f>
        <v>xx</v>
      </c>
      <c r="E1603" s="889"/>
      <c r="F1603" s="915" t="str">
        <f>'refer admin discharge'!H1599</f>
        <v>00/00/0000</v>
      </c>
      <c r="G1603" s="890"/>
      <c r="H1603" s="916"/>
      <c r="I1603" s="916"/>
      <c r="J1603" s="917"/>
      <c r="K1603" s="917"/>
      <c r="L1603" s="916"/>
      <c r="M1603" s="916"/>
      <c r="N1603" s="893"/>
      <c r="O1603" s="893"/>
      <c r="P1603" s="916"/>
      <c r="Q1603" s="916"/>
      <c r="R1603" s="893"/>
      <c r="S1603" s="893"/>
      <c r="T1603" s="916"/>
      <c r="U1603" s="916"/>
      <c r="V1603" s="921" t="str">
        <f>'refer admin discharge'!H1604</f>
        <v>00/00/0000</v>
      </c>
      <c r="W1603" s="922"/>
      <c r="X1603" s="912"/>
      <c r="Y1603" s="912"/>
      <c r="Z1603" s="924"/>
      <c r="AA1603" s="924"/>
      <c r="AB1603" s="912"/>
      <c r="AC1603" s="912"/>
      <c r="AD1603" s="913"/>
      <c r="AE1603" s="913"/>
      <c r="AF1603" s="912"/>
      <c r="AG1603" s="912"/>
      <c r="AH1603" s="913"/>
      <c r="AI1603" s="913"/>
      <c r="AJ1603" s="912"/>
      <c r="AK1603" s="912"/>
      <c r="AL1603" s="925"/>
      <c r="AM1603" s="926"/>
      <c r="AN1603" s="926"/>
      <c r="AO1603" s="926"/>
      <c r="AP1603" s="926"/>
      <c r="AQ1603" s="926"/>
      <c r="AR1603" s="926"/>
      <c r="AS1603" s="926"/>
      <c r="AT1603" s="926"/>
      <c r="AU1603" s="926"/>
      <c r="AV1603" s="926"/>
      <c r="AW1603" s="926"/>
      <c r="AX1603" s="926"/>
      <c r="AY1603" s="926"/>
      <c r="AZ1603" s="926"/>
      <c r="BA1603" s="926"/>
      <c r="BB1603" s="927"/>
    </row>
    <row r="1604" spans="1:54" x14ac:dyDescent="0.25">
      <c r="A1604" s="13">
        <f t="shared" si="24"/>
        <v>1591</v>
      </c>
      <c r="B1604" s="888" t="str">
        <f>'refer admin discharge'!B1600</f>
        <v>x</v>
      </c>
      <c r="C1604" s="888"/>
      <c r="D1604" s="868" t="str">
        <f>'refer admin discharge'!D1600</f>
        <v>xx</v>
      </c>
      <c r="E1604" s="868"/>
      <c r="F1604" s="891" t="str">
        <f>'refer admin discharge'!H1600</f>
        <v>00/00/0000</v>
      </c>
      <c r="G1604" s="892"/>
      <c r="H1604" s="894"/>
      <c r="I1604" s="894"/>
      <c r="J1604" s="918"/>
      <c r="K1604" s="918"/>
      <c r="L1604" s="894"/>
      <c r="M1604" s="894"/>
      <c r="N1604" s="916"/>
      <c r="O1604" s="916"/>
      <c r="P1604" s="894"/>
      <c r="Q1604" s="894"/>
      <c r="R1604" s="916"/>
      <c r="S1604" s="916"/>
      <c r="T1604" s="894"/>
      <c r="U1604" s="894"/>
      <c r="V1604" s="921" t="str">
        <f>'refer admin discharge'!H1605</f>
        <v>00/00/0000</v>
      </c>
      <c r="W1604" s="922"/>
      <c r="X1604" s="920"/>
      <c r="Y1604" s="920"/>
      <c r="Z1604" s="919"/>
      <c r="AA1604" s="919"/>
      <c r="AB1604" s="920"/>
      <c r="AC1604" s="920"/>
      <c r="AD1604" s="912"/>
      <c r="AE1604" s="912"/>
      <c r="AF1604" s="920"/>
      <c r="AG1604" s="920"/>
      <c r="AH1604" s="912"/>
      <c r="AI1604" s="912"/>
      <c r="AJ1604" s="920"/>
      <c r="AK1604" s="920"/>
      <c r="AL1604" s="905"/>
      <c r="AM1604" s="906"/>
      <c r="AN1604" s="906"/>
      <c r="AO1604" s="906"/>
      <c r="AP1604" s="906"/>
      <c r="AQ1604" s="906"/>
      <c r="AR1604" s="906"/>
      <c r="AS1604" s="906"/>
      <c r="AT1604" s="906"/>
      <c r="AU1604" s="906"/>
      <c r="AV1604" s="906"/>
      <c r="AW1604" s="906"/>
      <c r="AX1604" s="906"/>
      <c r="AY1604" s="906"/>
      <c r="AZ1604" s="906"/>
      <c r="BA1604" s="906"/>
      <c r="BB1604" s="907"/>
    </row>
    <row r="1605" spans="1:54" x14ac:dyDescent="0.25">
      <c r="A1605" s="13">
        <f t="shared" si="24"/>
        <v>1592</v>
      </c>
      <c r="B1605" s="914" t="str">
        <f>'refer admin discharge'!B1601</f>
        <v>x</v>
      </c>
      <c r="C1605" s="914"/>
      <c r="D1605" s="889" t="str">
        <f>'refer admin discharge'!D1601</f>
        <v>xx</v>
      </c>
      <c r="E1605" s="889"/>
      <c r="F1605" s="915" t="str">
        <f>'refer admin discharge'!H1601</f>
        <v>00/00/0000</v>
      </c>
      <c r="G1605" s="890"/>
      <c r="H1605" s="916"/>
      <c r="I1605" s="916"/>
      <c r="J1605" s="917"/>
      <c r="K1605" s="917"/>
      <c r="L1605" s="916"/>
      <c r="M1605" s="916"/>
      <c r="N1605" s="893"/>
      <c r="O1605" s="893"/>
      <c r="P1605" s="916"/>
      <c r="Q1605" s="916"/>
      <c r="R1605" s="893"/>
      <c r="S1605" s="893"/>
      <c r="T1605" s="916"/>
      <c r="U1605" s="916"/>
      <c r="V1605" s="921" t="str">
        <f>'refer admin discharge'!H1606</f>
        <v>00/00/0000</v>
      </c>
      <c r="W1605" s="922"/>
      <c r="X1605" s="912"/>
      <c r="Y1605" s="912"/>
      <c r="Z1605" s="924"/>
      <c r="AA1605" s="924"/>
      <c r="AB1605" s="912"/>
      <c r="AC1605" s="912"/>
      <c r="AD1605" s="913"/>
      <c r="AE1605" s="913"/>
      <c r="AF1605" s="912"/>
      <c r="AG1605" s="912"/>
      <c r="AH1605" s="913"/>
      <c r="AI1605" s="913"/>
      <c r="AJ1605" s="912"/>
      <c r="AK1605" s="912"/>
      <c r="AL1605" s="925"/>
      <c r="AM1605" s="926"/>
      <c r="AN1605" s="926"/>
      <c r="AO1605" s="926"/>
      <c r="AP1605" s="926"/>
      <c r="AQ1605" s="926"/>
      <c r="AR1605" s="926"/>
      <c r="AS1605" s="926"/>
      <c r="AT1605" s="926"/>
      <c r="AU1605" s="926"/>
      <c r="AV1605" s="926"/>
      <c r="AW1605" s="926"/>
      <c r="AX1605" s="926"/>
      <c r="AY1605" s="926"/>
      <c r="AZ1605" s="926"/>
      <c r="BA1605" s="926"/>
      <c r="BB1605" s="927"/>
    </row>
    <row r="1606" spans="1:54" x14ac:dyDescent="0.25">
      <c r="A1606" s="13">
        <f t="shared" si="24"/>
        <v>1593</v>
      </c>
      <c r="B1606" s="888" t="str">
        <f>'refer admin discharge'!B1602</f>
        <v>x</v>
      </c>
      <c r="C1606" s="888"/>
      <c r="D1606" s="868" t="str">
        <f>'refer admin discharge'!D1602</f>
        <v>xx</v>
      </c>
      <c r="E1606" s="868"/>
      <c r="F1606" s="891" t="str">
        <f>'refer admin discharge'!H1602</f>
        <v>00/00/0000</v>
      </c>
      <c r="G1606" s="892"/>
      <c r="H1606" s="894"/>
      <c r="I1606" s="894"/>
      <c r="J1606" s="918"/>
      <c r="K1606" s="918"/>
      <c r="L1606" s="894"/>
      <c r="M1606" s="894"/>
      <c r="N1606" s="916"/>
      <c r="O1606" s="916"/>
      <c r="P1606" s="894"/>
      <c r="Q1606" s="894"/>
      <c r="R1606" s="916"/>
      <c r="S1606" s="916"/>
      <c r="T1606" s="894"/>
      <c r="U1606" s="894"/>
      <c r="V1606" s="921" t="str">
        <f>'refer admin discharge'!H1607</f>
        <v>00/00/0000</v>
      </c>
      <c r="W1606" s="922"/>
      <c r="X1606" s="920"/>
      <c r="Y1606" s="920"/>
      <c r="Z1606" s="919"/>
      <c r="AA1606" s="919"/>
      <c r="AB1606" s="920"/>
      <c r="AC1606" s="920"/>
      <c r="AD1606" s="912"/>
      <c r="AE1606" s="912"/>
      <c r="AF1606" s="920"/>
      <c r="AG1606" s="920"/>
      <c r="AH1606" s="912"/>
      <c r="AI1606" s="912"/>
      <c r="AJ1606" s="920"/>
      <c r="AK1606" s="920"/>
      <c r="AL1606" s="905"/>
      <c r="AM1606" s="906"/>
      <c r="AN1606" s="906"/>
      <c r="AO1606" s="906"/>
      <c r="AP1606" s="906"/>
      <c r="AQ1606" s="906"/>
      <c r="AR1606" s="906"/>
      <c r="AS1606" s="906"/>
      <c r="AT1606" s="906"/>
      <c r="AU1606" s="906"/>
      <c r="AV1606" s="906"/>
      <c r="AW1606" s="906"/>
      <c r="AX1606" s="906"/>
      <c r="AY1606" s="906"/>
      <c r="AZ1606" s="906"/>
      <c r="BA1606" s="906"/>
      <c r="BB1606" s="907"/>
    </row>
    <row r="1607" spans="1:54" x14ac:dyDescent="0.25">
      <c r="A1607" s="13">
        <f t="shared" si="24"/>
        <v>1594</v>
      </c>
      <c r="B1607" s="914" t="str">
        <f>'refer admin discharge'!B1603</f>
        <v>x</v>
      </c>
      <c r="C1607" s="914"/>
      <c r="D1607" s="889" t="str">
        <f>'refer admin discharge'!D1603</f>
        <v>xx</v>
      </c>
      <c r="E1607" s="889"/>
      <c r="F1607" s="915" t="str">
        <f>'refer admin discharge'!H1603</f>
        <v>00/00/0000</v>
      </c>
      <c r="G1607" s="890"/>
      <c r="H1607" s="916"/>
      <c r="I1607" s="916"/>
      <c r="J1607" s="917"/>
      <c r="K1607" s="917"/>
      <c r="L1607" s="916"/>
      <c r="M1607" s="916"/>
      <c r="N1607" s="893"/>
      <c r="O1607" s="893"/>
      <c r="P1607" s="916"/>
      <c r="Q1607" s="916"/>
      <c r="R1607" s="893"/>
      <c r="S1607" s="893"/>
      <c r="T1607" s="916"/>
      <c r="U1607" s="916"/>
      <c r="V1607" s="921" t="str">
        <f>'refer admin discharge'!H1608</f>
        <v>00/00/0000</v>
      </c>
      <c r="W1607" s="922"/>
      <c r="X1607" s="912"/>
      <c r="Y1607" s="912"/>
      <c r="Z1607" s="924"/>
      <c r="AA1607" s="924"/>
      <c r="AB1607" s="912"/>
      <c r="AC1607" s="912"/>
      <c r="AD1607" s="913"/>
      <c r="AE1607" s="913"/>
      <c r="AF1607" s="912"/>
      <c r="AG1607" s="912"/>
      <c r="AH1607" s="913"/>
      <c r="AI1607" s="913"/>
      <c r="AJ1607" s="912"/>
      <c r="AK1607" s="912"/>
      <c r="AL1607" s="925"/>
      <c r="AM1607" s="926"/>
      <c r="AN1607" s="926"/>
      <c r="AO1607" s="926"/>
      <c r="AP1607" s="926"/>
      <c r="AQ1607" s="926"/>
      <c r="AR1607" s="926"/>
      <c r="AS1607" s="926"/>
      <c r="AT1607" s="926"/>
      <c r="AU1607" s="926"/>
      <c r="AV1607" s="926"/>
      <c r="AW1607" s="926"/>
      <c r="AX1607" s="926"/>
      <c r="AY1607" s="926"/>
      <c r="AZ1607" s="926"/>
      <c r="BA1607" s="926"/>
      <c r="BB1607" s="927"/>
    </row>
    <row r="1608" spans="1:54" x14ac:dyDescent="0.25">
      <c r="A1608" s="13">
        <f t="shared" si="24"/>
        <v>1595</v>
      </c>
      <c r="B1608" s="888" t="str">
        <f>'refer admin discharge'!B1604</f>
        <v>x</v>
      </c>
      <c r="C1608" s="888"/>
      <c r="D1608" s="868" t="str">
        <f>'refer admin discharge'!D1604</f>
        <v>xx</v>
      </c>
      <c r="E1608" s="868"/>
      <c r="F1608" s="891" t="str">
        <f>'refer admin discharge'!H1604</f>
        <v>00/00/0000</v>
      </c>
      <c r="G1608" s="892"/>
      <c r="H1608" s="894"/>
      <c r="I1608" s="894"/>
      <c r="J1608" s="918"/>
      <c r="K1608" s="918"/>
      <c r="L1608" s="894"/>
      <c r="M1608" s="894"/>
      <c r="N1608" s="916"/>
      <c r="O1608" s="916"/>
      <c r="P1608" s="894"/>
      <c r="Q1608" s="894"/>
      <c r="R1608" s="916"/>
      <c r="S1608" s="916"/>
      <c r="T1608" s="894"/>
      <c r="U1608" s="894"/>
      <c r="V1608" s="921" t="str">
        <f>'refer admin discharge'!H1609</f>
        <v>00/00/0000</v>
      </c>
      <c r="W1608" s="922"/>
      <c r="X1608" s="920"/>
      <c r="Y1608" s="920"/>
      <c r="Z1608" s="919"/>
      <c r="AA1608" s="919"/>
      <c r="AB1608" s="920"/>
      <c r="AC1608" s="920"/>
      <c r="AD1608" s="912"/>
      <c r="AE1608" s="912"/>
      <c r="AF1608" s="920"/>
      <c r="AG1608" s="920"/>
      <c r="AH1608" s="912"/>
      <c r="AI1608" s="912"/>
      <c r="AJ1608" s="920"/>
      <c r="AK1608" s="920"/>
      <c r="AL1608" s="905"/>
      <c r="AM1608" s="906"/>
      <c r="AN1608" s="906"/>
      <c r="AO1608" s="906"/>
      <c r="AP1608" s="906"/>
      <c r="AQ1608" s="906"/>
      <c r="AR1608" s="906"/>
      <c r="AS1608" s="906"/>
      <c r="AT1608" s="906"/>
      <c r="AU1608" s="906"/>
      <c r="AV1608" s="906"/>
      <c r="AW1608" s="906"/>
      <c r="AX1608" s="906"/>
      <c r="AY1608" s="906"/>
      <c r="AZ1608" s="906"/>
      <c r="BA1608" s="906"/>
      <c r="BB1608" s="907"/>
    </row>
    <row r="1609" spans="1:54" x14ac:dyDescent="0.25">
      <c r="A1609" s="13">
        <f t="shared" si="24"/>
        <v>1596</v>
      </c>
      <c r="B1609" s="914" t="str">
        <f>'refer admin discharge'!B1605</f>
        <v>x</v>
      </c>
      <c r="C1609" s="914"/>
      <c r="D1609" s="889" t="str">
        <f>'refer admin discharge'!D1605</f>
        <v>xx</v>
      </c>
      <c r="E1609" s="889"/>
      <c r="F1609" s="915" t="str">
        <f>'refer admin discharge'!H1605</f>
        <v>00/00/0000</v>
      </c>
      <c r="G1609" s="890"/>
      <c r="H1609" s="916"/>
      <c r="I1609" s="916"/>
      <c r="J1609" s="917"/>
      <c r="K1609" s="917"/>
      <c r="L1609" s="916"/>
      <c r="M1609" s="916"/>
      <c r="N1609" s="893"/>
      <c r="O1609" s="893"/>
      <c r="P1609" s="916"/>
      <c r="Q1609" s="916"/>
      <c r="R1609" s="893"/>
      <c r="S1609" s="893"/>
      <c r="T1609" s="916"/>
      <c r="U1609" s="916"/>
      <c r="V1609" s="921" t="str">
        <f>'refer admin discharge'!H1610</f>
        <v>00/00/0000</v>
      </c>
      <c r="W1609" s="922"/>
      <c r="X1609" s="912"/>
      <c r="Y1609" s="912"/>
      <c r="Z1609" s="924"/>
      <c r="AA1609" s="924"/>
      <c r="AB1609" s="912"/>
      <c r="AC1609" s="912"/>
      <c r="AD1609" s="913"/>
      <c r="AE1609" s="913"/>
      <c r="AF1609" s="912"/>
      <c r="AG1609" s="912"/>
      <c r="AH1609" s="913"/>
      <c r="AI1609" s="913"/>
      <c r="AJ1609" s="912"/>
      <c r="AK1609" s="912"/>
      <c r="AL1609" s="925"/>
      <c r="AM1609" s="926"/>
      <c r="AN1609" s="926"/>
      <c r="AO1609" s="926"/>
      <c r="AP1609" s="926"/>
      <c r="AQ1609" s="926"/>
      <c r="AR1609" s="926"/>
      <c r="AS1609" s="926"/>
      <c r="AT1609" s="926"/>
      <c r="AU1609" s="926"/>
      <c r="AV1609" s="926"/>
      <c r="AW1609" s="926"/>
      <c r="AX1609" s="926"/>
      <c r="AY1609" s="926"/>
      <c r="AZ1609" s="926"/>
      <c r="BA1609" s="926"/>
      <c r="BB1609" s="927"/>
    </row>
    <row r="1610" spans="1:54" x14ac:dyDescent="0.25">
      <c r="A1610" s="13">
        <f t="shared" si="24"/>
        <v>1597</v>
      </c>
      <c r="B1610" s="888" t="str">
        <f>'refer admin discharge'!B1606</f>
        <v>x</v>
      </c>
      <c r="C1610" s="888"/>
      <c r="D1610" s="868" t="str">
        <f>'refer admin discharge'!D1606</f>
        <v>xx</v>
      </c>
      <c r="E1610" s="868"/>
      <c r="F1610" s="891" t="str">
        <f>'refer admin discharge'!H1606</f>
        <v>00/00/0000</v>
      </c>
      <c r="G1610" s="892"/>
      <c r="H1610" s="894"/>
      <c r="I1610" s="894"/>
      <c r="J1610" s="918"/>
      <c r="K1610" s="918"/>
      <c r="L1610" s="894"/>
      <c r="M1610" s="894"/>
      <c r="N1610" s="916"/>
      <c r="O1610" s="916"/>
      <c r="P1610" s="894"/>
      <c r="Q1610" s="894"/>
      <c r="R1610" s="916"/>
      <c r="S1610" s="916"/>
      <c r="T1610" s="894"/>
      <c r="U1610" s="894"/>
      <c r="V1610" s="921" t="str">
        <f>'refer admin discharge'!H1611</f>
        <v>00/00/0000</v>
      </c>
      <c r="W1610" s="922"/>
      <c r="X1610" s="920"/>
      <c r="Y1610" s="920"/>
      <c r="Z1610" s="919"/>
      <c r="AA1610" s="919"/>
      <c r="AB1610" s="920"/>
      <c r="AC1610" s="920"/>
      <c r="AD1610" s="912"/>
      <c r="AE1610" s="912"/>
      <c r="AF1610" s="920"/>
      <c r="AG1610" s="920"/>
      <c r="AH1610" s="912"/>
      <c r="AI1610" s="912"/>
      <c r="AJ1610" s="920"/>
      <c r="AK1610" s="920"/>
      <c r="AL1610" s="905"/>
      <c r="AM1610" s="906"/>
      <c r="AN1610" s="906"/>
      <c r="AO1610" s="906"/>
      <c r="AP1610" s="906"/>
      <c r="AQ1610" s="906"/>
      <c r="AR1610" s="906"/>
      <c r="AS1610" s="906"/>
      <c r="AT1610" s="906"/>
      <c r="AU1610" s="906"/>
      <c r="AV1610" s="906"/>
      <c r="AW1610" s="906"/>
      <c r="AX1610" s="906"/>
      <c r="AY1610" s="906"/>
      <c r="AZ1610" s="906"/>
      <c r="BA1610" s="906"/>
      <c r="BB1610" s="907"/>
    </row>
    <row r="1611" spans="1:54" x14ac:dyDescent="0.25">
      <c r="A1611" s="13">
        <f t="shared" si="24"/>
        <v>1598</v>
      </c>
      <c r="B1611" s="914" t="str">
        <f>'refer admin discharge'!B1607</f>
        <v>x</v>
      </c>
      <c r="C1611" s="914"/>
      <c r="D1611" s="889" t="str">
        <f>'refer admin discharge'!D1607</f>
        <v>xx</v>
      </c>
      <c r="E1611" s="889"/>
      <c r="F1611" s="915" t="str">
        <f>'refer admin discharge'!H1607</f>
        <v>00/00/0000</v>
      </c>
      <c r="G1611" s="890"/>
      <c r="H1611" s="916"/>
      <c r="I1611" s="916"/>
      <c r="J1611" s="917"/>
      <c r="K1611" s="917"/>
      <c r="L1611" s="916"/>
      <c r="M1611" s="916"/>
      <c r="N1611" s="893"/>
      <c r="O1611" s="893"/>
      <c r="P1611" s="916"/>
      <c r="Q1611" s="916"/>
      <c r="R1611" s="893"/>
      <c r="S1611" s="893"/>
      <c r="T1611" s="916"/>
      <c r="U1611" s="916"/>
      <c r="V1611" s="921" t="str">
        <f>'refer admin discharge'!H1612</f>
        <v>00/00/0000</v>
      </c>
      <c r="W1611" s="922"/>
      <c r="X1611" s="912"/>
      <c r="Y1611" s="912"/>
      <c r="Z1611" s="924"/>
      <c r="AA1611" s="924"/>
      <c r="AB1611" s="912"/>
      <c r="AC1611" s="912"/>
      <c r="AD1611" s="913"/>
      <c r="AE1611" s="913"/>
      <c r="AF1611" s="912"/>
      <c r="AG1611" s="912"/>
      <c r="AH1611" s="913"/>
      <c r="AI1611" s="913"/>
      <c r="AJ1611" s="912"/>
      <c r="AK1611" s="912"/>
      <c r="AL1611" s="925"/>
      <c r="AM1611" s="926"/>
      <c r="AN1611" s="926"/>
      <c r="AO1611" s="926"/>
      <c r="AP1611" s="926"/>
      <c r="AQ1611" s="926"/>
      <c r="AR1611" s="926"/>
      <c r="AS1611" s="926"/>
      <c r="AT1611" s="926"/>
      <c r="AU1611" s="926"/>
      <c r="AV1611" s="926"/>
      <c r="AW1611" s="926"/>
      <c r="AX1611" s="926"/>
      <c r="AY1611" s="926"/>
      <c r="AZ1611" s="926"/>
      <c r="BA1611" s="926"/>
      <c r="BB1611" s="927"/>
    </row>
    <row r="1612" spans="1:54" x14ac:dyDescent="0.25">
      <c r="A1612" s="13">
        <f t="shared" si="24"/>
        <v>1599</v>
      </c>
      <c r="B1612" s="888" t="str">
        <f>'refer admin discharge'!B1608</f>
        <v>x</v>
      </c>
      <c r="C1612" s="888"/>
      <c r="D1612" s="868" t="str">
        <f>'refer admin discharge'!D1608</f>
        <v>xx</v>
      </c>
      <c r="E1612" s="868"/>
      <c r="F1612" s="891" t="str">
        <f>'refer admin discharge'!H1608</f>
        <v>00/00/0000</v>
      </c>
      <c r="G1612" s="892"/>
      <c r="H1612" s="894"/>
      <c r="I1612" s="894"/>
      <c r="J1612" s="918"/>
      <c r="K1612" s="918"/>
      <c r="L1612" s="894"/>
      <c r="M1612" s="894"/>
      <c r="N1612" s="916"/>
      <c r="O1612" s="916"/>
      <c r="P1612" s="894"/>
      <c r="Q1612" s="894"/>
      <c r="R1612" s="916"/>
      <c r="S1612" s="916"/>
      <c r="T1612" s="894"/>
      <c r="U1612" s="894"/>
      <c r="V1612" s="921" t="str">
        <f>'refer admin discharge'!H1613</f>
        <v>00/00/0000</v>
      </c>
      <c r="W1612" s="922"/>
      <c r="X1612" s="920"/>
      <c r="Y1612" s="920"/>
      <c r="Z1612" s="919"/>
      <c r="AA1612" s="919"/>
      <c r="AB1612" s="920"/>
      <c r="AC1612" s="920"/>
      <c r="AD1612" s="912"/>
      <c r="AE1612" s="912"/>
      <c r="AF1612" s="920"/>
      <c r="AG1612" s="920"/>
      <c r="AH1612" s="912"/>
      <c r="AI1612" s="912"/>
      <c r="AJ1612" s="920"/>
      <c r="AK1612" s="920"/>
      <c r="AL1612" s="905"/>
      <c r="AM1612" s="906"/>
      <c r="AN1612" s="906"/>
      <c r="AO1612" s="906"/>
      <c r="AP1612" s="906"/>
      <c r="AQ1612" s="906"/>
      <c r="AR1612" s="906"/>
      <c r="AS1612" s="906"/>
      <c r="AT1612" s="906"/>
      <c r="AU1612" s="906"/>
      <c r="AV1612" s="906"/>
      <c r="AW1612" s="906"/>
      <c r="AX1612" s="906"/>
      <c r="AY1612" s="906"/>
      <c r="AZ1612" s="906"/>
      <c r="BA1612" s="906"/>
      <c r="BB1612" s="907"/>
    </row>
    <row r="1613" spans="1:54" x14ac:dyDescent="0.25">
      <c r="A1613" s="13">
        <f t="shared" si="24"/>
        <v>1600</v>
      </c>
      <c r="B1613" s="914" t="str">
        <f>'refer admin discharge'!B1609</f>
        <v>x</v>
      </c>
      <c r="C1613" s="914"/>
      <c r="D1613" s="889" t="str">
        <f>'refer admin discharge'!D1609</f>
        <v>xx</v>
      </c>
      <c r="E1613" s="889"/>
      <c r="F1613" s="915" t="str">
        <f>'refer admin discharge'!H1609</f>
        <v>00/00/0000</v>
      </c>
      <c r="G1613" s="890"/>
      <c r="H1613" s="916"/>
      <c r="I1613" s="916"/>
      <c r="J1613" s="917"/>
      <c r="K1613" s="917"/>
      <c r="L1613" s="916"/>
      <c r="M1613" s="916"/>
      <c r="N1613" s="893"/>
      <c r="O1613" s="893"/>
      <c r="P1613" s="916"/>
      <c r="Q1613" s="916"/>
      <c r="R1613" s="893"/>
      <c r="S1613" s="893"/>
      <c r="T1613" s="916"/>
      <c r="U1613" s="916"/>
      <c r="V1613" s="921" t="str">
        <f>'refer admin discharge'!H1614</f>
        <v>00/00/0000</v>
      </c>
      <c r="W1613" s="922"/>
      <c r="X1613" s="912"/>
      <c r="Y1613" s="912"/>
      <c r="Z1613" s="924"/>
      <c r="AA1613" s="924"/>
      <c r="AB1613" s="912"/>
      <c r="AC1613" s="912"/>
      <c r="AD1613" s="913"/>
      <c r="AE1613" s="913"/>
      <c r="AF1613" s="912"/>
      <c r="AG1613" s="912"/>
      <c r="AH1613" s="913"/>
      <c r="AI1613" s="913"/>
      <c r="AJ1613" s="912"/>
      <c r="AK1613" s="912"/>
      <c r="AL1613" s="925"/>
      <c r="AM1613" s="926"/>
      <c r="AN1613" s="926"/>
      <c r="AO1613" s="926"/>
      <c r="AP1613" s="926"/>
      <c r="AQ1613" s="926"/>
      <c r="AR1613" s="926"/>
      <c r="AS1613" s="926"/>
      <c r="AT1613" s="926"/>
      <c r="AU1613" s="926"/>
      <c r="AV1613" s="926"/>
      <c r="AW1613" s="926"/>
      <c r="AX1613" s="926"/>
      <c r="AY1613" s="926"/>
      <c r="AZ1613" s="926"/>
      <c r="BA1613" s="926"/>
      <c r="BB1613" s="927"/>
    </row>
  </sheetData>
  <sheetProtection algorithmName="SHA-512" hashValue="IFSLBzO45oFO+wAzxzZzsHxDOJhtId2L1OBhoJzZK3YRkPOo6KIs8WHO61WWHCjjxuZYhfQzonP6b/TGAObCbw==" saltValue="R9Yh2oAqhxlU4SNxXRHGfQ==" spinCount="100000" sheet="1" objects="1" scenarios="1"/>
  <mergeCells count="30466">
    <mergeCell ref="AL1613:BB1613"/>
    <mergeCell ref="Z1613:AA1613"/>
    <mergeCell ref="AB1613:AC1613"/>
    <mergeCell ref="AD1613:AE1613"/>
    <mergeCell ref="AF1613:AG1613"/>
    <mergeCell ref="AH1613:AI1613"/>
    <mergeCell ref="AJ1613:AK1613"/>
    <mergeCell ref="N1613:O1613"/>
    <mergeCell ref="P1613:Q1613"/>
    <mergeCell ref="R1613:S1613"/>
    <mergeCell ref="T1613:U1613"/>
    <mergeCell ref="V1613:W1613"/>
    <mergeCell ref="X1613:Y1613"/>
    <mergeCell ref="AF1612:AG1612"/>
    <mergeCell ref="AH1612:AI1612"/>
    <mergeCell ref="AJ1612:AK1612"/>
    <mergeCell ref="AL1612:BB1612"/>
    <mergeCell ref="B1613:C1613"/>
    <mergeCell ref="D1613:E1613"/>
    <mergeCell ref="F1613:G1613"/>
    <mergeCell ref="H1613:I1613"/>
    <mergeCell ref="J1613:K1613"/>
    <mergeCell ref="L1613:M1613"/>
    <mergeCell ref="T1612:U1612"/>
    <mergeCell ref="V1612:W1612"/>
    <mergeCell ref="X1612:Y1612"/>
    <mergeCell ref="Z1612:AA1612"/>
    <mergeCell ref="AB1612:AC1612"/>
    <mergeCell ref="AD1612:AE1612"/>
    <mergeCell ref="AL1611:BB1611"/>
    <mergeCell ref="B1612:C1612"/>
    <mergeCell ref="D1612:E1612"/>
    <mergeCell ref="F1612:G1612"/>
    <mergeCell ref="H1612:I1612"/>
    <mergeCell ref="J1612:K1612"/>
    <mergeCell ref="L1612:M1612"/>
    <mergeCell ref="N1612:O1612"/>
    <mergeCell ref="P1612:Q1612"/>
    <mergeCell ref="R1612:S1612"/>
    <mergeCell ref="Z1611:AA1611"/>
    <mergeCell ref="AB1611:AC1611"/>
    <mergeCell ref="AD1611:AE1611"/>
    <mergeCell ref="AF1611:AG1611"/>
    <mergeCell ref="AH1611:AI1611"/>
    <mergeCell ref="AJ1611:AK1611"/>
    <mergeCell ref="N1611:O1611"/>
    <mergeCell ref="P1611:Q1611"/>
    <mergeCell ref="R1611:S1611"/>
    <mergeCell ref="T1611:U1611"/>
    <mergeCell ref="V1611:W1611"/>
    <mergeCell ref="X1611:Y1611"/>
    <mergeCell ref="AF1610:AG1610"/>
    <mergeCell ref="AH1610:AI1610"/>
    <mergeCell ref="AJ1610:AK1610"/>
    <mergeCell ref="AL1610:BB1610"/>
    <mergeCell ref="B1611:C1611"/>
    <mergeCell ref="D1611:E1611"/>
    <mergeCell ref="F1611:G1611"/>
    <mergeCell ref="H1611:I1611"/>
    <mergeCell ref="J1611:K1611"/>
    <mergeCell ref="L1611:M1611"/>
    <mergeCell ref="T1610:U1610"/>
    <mergeCell ref="V1610:W1610"/>
    <mergeCell ref="X1610:Y1610"/>
    <mergeCell ref="Z1610:AA1610"/>
    <mergeCell ref="AB1610:AC1610"/>
    <mergeCell ref="AD1610:AE1610"/>
    <mergeCell ref="AL1609:BB1609"/>
    <mergeCell ref="B1610:C1610"/>
    <mergeCell ref="D1610:E1610"/>
    <mergeCell ref="F1610:G1610"/>
    <mergeCell ref="H1610:I1610"/>
    <mergeCell ref="J1610:K1610"/>
    <mergeCell ref="L1610:M1610"/>
    <mergeCell ref="N1610:O1610"/>
    <mergeCell ref="P1610:Q1610"/>
    <mergeCell ref="R1610:S1610"/>
    <mergeCell ref="Z1609:AA1609"/>
    <mergeCell ref="AB1609:AC1609"/>
    <mergeCell ref="AD1609:AE1609"/>
    <mergeCell ref="AF1609:AG1609"/>
    <mergeCell ref="AH1609:AI1609"/>
    <mergeCell ref="AJ1609:AK1609"/>
    <mergeCell ref="N1609:O1609"/>
    <mergeCell ref="P1609:Q1609"/>
    <mergeCell ref="R1609:S1609"/>
    <mergeCell ref="T1609:U1609"/>
    <mergeCell ref="V1609:W1609"/>
    <mergeCell ref="X1609:Y1609"/>
    <mergeCell ref="AF1608:AG1608"/>
    <mergeCell ref="AH1608:AI1608"/>
    <mergeCell ref="AJ1608:AK1608"/>
    <mergeCell ref="AL1608:BB1608"/>
    <mergeCell ref="B1609:C1609"/>
    <mergeCell ref="D1609:E1609"/>
    <mergeCell ref="F1609:G1609"/>
    <mergeCell ref="H1609:I1609"/>
    <mergeCell ref="J1609:K1609"/>
    <mergeCell ref="L1609:M1609"/>
    <mergeCell ref="T1608:U1608"/>
    <mergeCell ref="V1608:W1608"/>
    <mergeCell ref="X1608:Y1608"/>
    <mergeCell ref="Z1608:AA1608"/>
    <mergeCell ref="AB1608:AC1608"/>
    <mergeCell ref="AD1608:AE1608"/>
    <mergeCell ref="AL1607:BB1607"/>
    <mergeCell ref="B1608:C1608"/>
    <mergeCell ref="D1608:E1608"/>
    <mergeCell ref="F1608:G1608"/>
    <mergeCell ref="H1608:I1608"/>
    <mergeCell ref="J1608:K1608"/>
    <mergeCell ref="L1608:M1608"/>
    <mergeCell ref="N1608:O1608"/>
    <mergeCell ref="P1608:Q1608"/>
    <mergeCell ref="R1608:S1608"/>
    <mergeCell ref="Z1607:AA1607"/>
    <mergeCell ref="AB1607:AC1607"/>
    <mergeCell ref="AD1607:AE1607"/>
    <mergeCell ref="AF1607:AG1607"/>
    <mergeCell ref="AH1607:AI1607"/>
    <mergeCell ref="AJ1607:AK1607"/>
    <mergeCell ref="N1607:O1607"/>
    <mergeCell ref="P1607:Q1607"/>
    <mergeCell ref="R1607:S1607"/>
    <mergeCell ref="T1607:U1607"/>
    <mergeCell ref="V1607:W1607"/>
    <mergeCell ref="X1607:Y1607"/>
    <mergeCell ref="AF1606:AG1606"/>
    <mergeCell ref="AH1606:AI1606"/>
    <mergeCell ref="AJ1606:AK1606"/>
    <mergeCell ref="AL1606:BB1606"/>
    <mergeCell ref="B1607:C1607"/>
    <mergeCell ref="D1607:E1607"/>
    <mergeCell ref="F1607:G1607"/>
    <mergeCell ref="H1607:I1607"/>
    <mergeCell ref="J1607:K1607"/>
    <mergeCell ref="L1607:M1607"/>
    <mergeCell ref="T1606:U1606"/>
    <mergeCell ref="V1606:W1606"/>
    <mergeCell ref="X1606:Y1606"/>
    <mergeCell ref="Z1606:AA1606"/>
    <mergeCell ref="AB1606:AC1606"/>
    <mergeCell ref="AD1606:AE1606"/>
    <mergeCell ref="AL1605:BB1605"/>
    <mergeCell ref="B1606:C1606"/>
    <mergeCell ref="D1606:E1606"/>
    <mergeCell ref="F1606:G1606"/>
    <mergeCell ref="H1606:I1606"/>
    <mergeCell ref="J1606:K1606"/>
    <mergeCell ref="L1606:M1606"/>
    <mergeCell ref="N1606:O1606"/>
    <mergeCell ref="P1606:Q1606"/>
    <mergeCell ref="R1606:S1606"/>
    <mergeCell ref="Z1605:AA1605"/>
    <mergeCell ref="AB1605:AC1605"/>
    <mergeCell ref="AD1605:AE1605"/>
    <mergeCell ref="AF1605:AG1605"/>
    <mergeCell ref="AH1605:AI1605"/>
    <mergeCell ref="AJ1605:AK1605"/>
    <mergeCell ref="N1605:O1605"/>
    <mergeCell ref="P1605:Q1605"/>
    <mergeCell ref="R1605:S1605"/>
    <mergeCell ref="T1605:U1605"/>
    <mergeCell ref="V1605:W1605"/>
    <mergeCell ref="X1605:Y1605"/>
    <mergeCell ref="AF1604:AG1604"/>
    <mergeCell ref="AH1604:AI1604"/>
    <mergeCell ref="AJ1604:AK1604"/>
    <mergeCell ref="AL1604:BB1604"/>
    <mergeCell ref="B1605:C1605"/>
    <mergeCell ref="D1605:E1605"/>
    <mergeCell ref="F1605:G1605"/>
    <mergeCell ref="H1605:I1605"/>
    <mergeCell ref="J1605:K1605"/>
    <mergeCell ref="L1605:M1605"/>
    <mergeCell ref="T1604:U1604"/>
    <mergeCell ref="V1604:W1604"/>
    <mergeCell ref="X1604:Y1604"/>
    <mergeCell ref="Z1604:AA1604"/>
    <mergeCell ref="AB1604:AC1604"/>
    <mergeCell ref="AD1604:AE1604"/>
    <mergeCell ref="AL1603:BB1603"/>
    <mergeCell ref="B1604:C1604"/>
    <mergeCell ref="D1604:E1604"/>
    <mergeCell ref="F1604:G1604"/>
    <mergeCell ref="H1604:I1604"/>
    <mergeCell ref="J1604:K1604"/>
    <mergeCell ref="L1604:M1604"/>
    <mergeCell ref="N1604:O1604"/>
    <mergeCell ref="P1604:Q1604"/>
    <mergeCell ref="R1604:S1604"/>
    <mergeCell ref="Z1603:AA1603"/>
    <mergeCell ref="AB1603:AC1603"/>
    <mergeCell ref="AD1603:AE1603"/>
    <mergeCell ref="AF1603:AG1603"/>
    <mergeCell ref="AH1603:AI1603"/>
    <mergeCell ref="AJ1603:AK1603"/>
    <mergeCell ref="N1603:O1603"/>
    <mergeCell ref="P1603:Q1603"/>
    <mergeCell ref="R1603:S1603"/>
    <mergeCell ref="T1603:U1603"/>
    <mergeCell ref="V1603:W1603"/>
    <mergeCell ref="X1603:Y1603"/>
    <mergeCell ref="AF1602:AG1602"/>
    <mergeCell ref="AH1602:AI1602"/>
    <mergeCell ref="AJ1602:AK1602"/>
    <mergeCell ref="AL1602:BB1602"/>
    <mergeCell ref="B1603:C1603"/>
    <mergeCell ref="D1603:E1603"/>
    <mergeCell ref="F1603:G1603"/>
    <mergeCell ref="H1603:I1603"/>
    <mergeCell ref="J1603:K1603"/>
    <mergeCell ref="L1603:M1603"/>
    <mergeCell ref="T1602:U1602"/>
    <mergeCell ref="V1602:W1602"/>
    <mergeCell ref="X1602:Y1602"/>
    <mergeCell ref="Z1602:AA1602"/>
    <mergeCell ref="AB1602:AC1602"/>
    <mergeCell ref="AD1602:AE1602"/>
    <mergeCell ref="AL1601:BB1601"/>
    <mergeCell ref="B1602:C1602"/>
    <mergeCell ref="D1602:E1602"/>
    <mergeCell ref="F1602:G1602"/>
    <mergeCell ref="H1602:I1602"/>
    <mergeCell ref="J1602:K1602"/>
    <mergeCell ref="L1602:M1602"/>
    <mergeCell ref="N1602:O1602"/>
    <mergeCell ref="P1602:Q1602"/>
    <mergeCell ref="R1602:S1602"/>
    <mergeCell ref="Z1601:AA1601"/>
    <mergeCell ref="AB1601:AC1601"/>
    <mergeCell ref="AD1601:AE1601"/>
    <mergeCell ref="AF1601:AG1601"/>
    <mergeCell ref="AH1601:AI1601"/>
    <mergeCell ref="AJ1601:AK1601"/>
    <mergeCell ref="N1601:O1601"/>
    <mergeCell ref="P1601:Q1601"/>
    <mergeCell ref="R1601:S1601"/>
    <mergeCell ref="T1601:U1601"/>
    <mergeCell ref="V1601:W1601"/>
    <mergeCell ref="X1601:Y1601"/>
    <mergeCell ref="AF1600:AG1600"/>
    <mergeCell ref="AH1600:AI1600"/>
    <mergeCell ref="AJ1600:AK1600"/>
    <mergeCell ref="AL1600:BB1600"/>
    <mergeCell ref="B1601:C1601"/>
    <mergeCell ref="D1601:E1601"/>
    <mergeCell ref="F1601:G1601"/>
    <mergeCell ref="H1601:I1601"/>
    <mergeCell ref="J1601:K1601"/>
    <mergeCell ref="L1601:M1601"/>
    <mergeCell ref="T1600:U1600"/>
    <mergeCell ref="V1600:W1600"/>
    <mergeCell ref="X1600:Y1600"/>
    <mergeCell ref="Z1600:AA1600"/>
    <mergeCell ref="AB1600:AC1600"/>
    <mergeCell ref="AD1600:AE1600"/>
    <mergeCell ref="AL1599:BB1599"/>
    <mergeCell ref="B1600:C1600"/>
    <mergeCell ref="D1600:E1600"/>
    <mergeCell ref="F1600:G1600"/>
    <mergeCell ref="H1600:I1600"/>
    <mergeCell ref="J1600:K1600"/>
    <mergeCell ref="L1600:M1600"/>
    <mergeCell ref="N1600:O1600"/>
    <mergeCell ref="P1600:Q1600"/>
    <mergeCell ref="R1600:S1600"/>
    <mergeCell ref="Z1599:AA1599"/>
    <mergeCell ref="AB1599:AC1599"/>
    <mergeCell ref="AD1599:AE1599"/>
    <mergeCell ref="AF1599:AG1599"/>
    <mergeCell ref="AH1599:AI1599"/>
    <mergeCell ref="AJ1599:AK1599"/>
    <mergeCell ref="N1599:O1599"/>
    <mergeCell ref="P1599:Q1599"/>
    <mergeCell ref="R1599:S1599"/>
    <mergeCell ref="T1599:U1599"/>
    <mergeCell ref="V1599:W1599"/>
    <mergeCell ref="X1599:Y1599"/>
    <mergeCell ref="AF1598:AG1598"/>
    <mergeCell ref="AH1598:AI1598"/>
    <mergeCell ref="AJ1598:AK1598"/>
    <mergeCell ref="AL1598:BB1598"/>
    <mergeCell ref="B1599:C1599"/>
    <mergeCell ref="D1599:E1599"/>
    <mergeCell ref="F1599:G1599"/>
    <mergeCell ref="H1599:I1599"/>
    <mergeCell ref="J1599:K1599"/>
    <mergeCell ref="L1599:M1599"/>
    <mergeCell ref="T1598:U1598"/>
    <mergeCell ref="V1598:W1598"/>
    <mergeCell ref="X1598:Y1598"/>
    <mergeCell ref="Z1598:AA1598"/>
    <mergeCell ref="AB1598:AC1598"/>
    <mergeCell ref="AD1598:AE1598"/>
    <mergeCell ref="AL1597:BB1597"/>
    <mergeCell ref="B1598:C1598"/>
    <mergeCell ref="D1598:E1598"/>
    <mergeCell ref="F1598:G1598"/>
    <mergeCell ref="H1598:I1598"/>
    <mergeCell ref="J1598:K1598"/>
    <mergeCell ref="L1598:M1598"/>
    <mergeCell ref="N1598:O1598"/>
    <mergeCell ref="P1598:Q1598"/>
    <mergeCell ref="R1598:S1598"/>
    <mergeCell ref="Z1597:AA1597"/>
    <mergeCell ref="AB1597:AC1597"/>
    <mergeCell ref="AD1597:AE1597"/>
    <mergeCell ref="AF1597:AG1597"/>
    <mergeCell ref="AH1597:AI1597"/>
    <mergeCell ref="AJ1597:AK1597"/>
    <mergeCell ref="N1597:O1597"/>
    <mergeCell ref="P1597:Q1597"/>
    <mergeCell ref="R1597:S1597"/>
    <mergeCell ref="T1597:U1597"/>
    <mergeCell ref="V1597:W1597"/>
    <mergeCell ref="X1597:Y1597"/>
    <mergeCell ref="AF1596:AG1596"/>
    <mergeCell ref="AH1596:AI1596"/>
    <mergeCell ref="AJ1596:AK1596"/>
    <mergeCell ref="AL1596:BB1596"/>
    <mergeCell ref="B1597:C1597"/>
    <mergeCell ref="D1597:E1597"/>
    <mergeCell ref="F1597:G1597"/>
    <mergeCell ref="H1597:I1597"/>
    <mergeCell ref="J1597:K1597"/>
    <mergeCell ref="L1597:M1597"/>
    <mergeCell ref="T1596:U1596"/>
    <mergeCell ref="V1596:W1596"/>
    <mergeCell ref="X1596:Y1596"/>
    <mergeCell ref="Z1596:AA1596"/>
    <mergeCell ref="AB1596:AC1596"/>
    <mergeCell ref="AD1596:AE1596"/>
    <mergeCell ref="AL1595:BB1595"/>
    <mergeCell ref="B1596:C1596"/>
    <mergeCell ref="D1596:E1596"/>
    <mergeCell ref="F1596:G1596"/>
    <mergeCell ref="H1596:I1596"/>
    <mergeCell ref="J1596:K1596"/>
    <mergeCell ref="L1596:M1596"/>
    <mergeCell ref="N1596:O1596"/>
    <mergeCell ref="P1596:Q1596"/>
    <mergeCell ref="R1596:S1596"/>
    <mergeCell ref="Z1595:AA1595"/>
    <mergeCell ref="AB1595:AC1595"/>
    <mergeCell ref="AD1595:AE1595"/>
    <mergeCell ref="AF1595:AG1595"/>
    <mergeCell ref="AH1595:AI1595"/>
    <mergeCell ref="AJ1595:AK1595"/>
    <mergeCell ref="N1595:O1595"/>
    <mergeCell ref="P1595:Q1595"/>
    <mergeCell ref="R1595:S1595"/>
    <mergeCell ref="T1595:U1595"/>
    <mergeCell ref="V1595:W1595"/>
    <mergeCell ref="X1595:Y1595"/>
    <mergeCell ref="AF1594:AG1594"/>
    <mergeCell ref="AH1594:AI1594"/>
    <mergeCell ref="AJ1594:AK1594"/>
    <mergeCell ref="AL1594:BB1594"/>
    <mergeCell ref="B1595:C1595"/>
    <mergeCell ref="D1595:E1595"/>
    <mergeCell ref="F1595:G1595"/>
    <mergeCell ref="H1595:I1595"/>
    <mergeCell ref="J1595:K1595"/>
    <mergeCell ref="L1595:M1595"/>
    <mergeCell ref="T1594:U1594"/>
    <mergeCell ref="V1594:W1594"/>
    <mergeCell ref="X1594:Y1594"/>
    <mergeCell ref="Z1594:AA1594"/>
    <mergeCell ref="AB1594:AC1594"/>
    <mergeCell ref="AD1594:AE1594"/>
    <mergeCell ref="AL1593:BB1593"/>
    <mergeCell ref="B1594:C1594"/>
    <mergeCell ref="D1594:E1594"/>
    <mergeCell ref="F1594:G1594"/>
    <mergeCell ref="H1594:I1594"/>
    <mergeCell ref="J1594:K1594"/>
    <mergeCell ref="L1594:M1594"/>
    <mergeCell ref="N1594:O1594"/>
    <mergeCell ref="P1594:Q1594"/>
    <mergeCell ref="R1594:S1594"/>
    <mergeCell ref="Z1593:AA1593"/>
    <mergeCell ref="AB1593:AC1593"/>
    <mergeCell ref="AD1593:AE1593"/>
    <mergeCell ref="AF1593:AG1593"/>
    <mergeCell ref="AH1593:AI1593"/>
    <mergeCell ref="AJ1593:AK1593"/>
    <mergeCell ref="N1593:O1593"/>
    <mergeCell ref="P1593:Q1593"/>
    <mergeCell ref="R1593:S1593"/>
    <mergeCell ref="T1593:U1593"/>
    <mergeCell ref="V1593:W1593"/>
    <mergeCell ref="X1593:Y1593"/>
    <mergeCell ref="AF1592:AG1592"/>
    <mergeCell ref="AH1592:AI1592"/>
    <mergeCell ref="AJ1592:AK1592"/>
    <mergeCell ref="AL1592:BB1592"/>
    <mergeCell ref="B1593:C1593"/>
    <mergeCell ref="D1593:E1593"/>
    <mergeCell ref="F1593:G1593"/>
    <mergeCell ref="H1593:I1593"/>
    <mergeCell ref="J1593:K1593"/>
    <mergeCell ref="L1593:M1593"/>
    <mergeCell ref="T1592:U1592"/>
    <mergeCell ref="V1592:W1592"/>
    <mergeCell ref="X1592:Y1592"/>
    <mergeCell ref="Z1592:AA1592"/>
    <mergeCell ref="AB1592:AC1592"/>
    <mergeCell ref="AD1592:AE1592"/>
    <mergeCell ref="AL1591:BB1591"/>
    <mergeCell ref="B1592:C1592"/>
    <mergeCell ref="D1592:E1592"/>
    <mergeCell ref="F1592:G1592"/>
    <mergeCell ref="H1592:I1592"/>
    <mergeCell ref="J1592:K1592"/>
    <mergeCell ref="L1592:M1592"/>
    <mergeCell ref="N1592:O1592"/>
    <mergeCell ref="P1592:Q1592"/>
    <mergeCell ref="R1592:S1592"/>
    <mergeCell ref="Z1591:AA1591"/>
    <mergeCell ref="AB1591:AC1591"/>
    <mergeCell ref="AD1591:AE1591"/>
    <mergeCell ref="AF1591:AG1591"/>
    <mergeCell ref="AH1591:AI1591"/>
    <mergeCell ref="AJ1591:AK1591"/>
    <mergeCell ref="N1591:O1591"/>
    <mergeCell ref="P1591:Q1591"/>
    <mergeCell ref="R1591:S1591"/>
    <mergeCell ref="T1591:U1591"/>
    <mergeCell ref="V1591:W1591"/>
    <mergeCell ref="X1591:Y1591"/>
    <mergeCell ref="AF1590:AG1590"/>
    <mergeCell ref="AH1590:AI1590"/>
    <mergeCell ref="AJ1590:AK1590"/>
    <mergeCell ref="AL1590:BB1590"/>
    <mergeCell ref="B1591:C1591"/>
    <mergeCell ref="D1591:E1591"/>
    <mergeCell ref="F1591:G1591"/>
    <mergeCell ref="H1591:I1591"/>
    <mergeCell ref="J1591:K1591"/>
    <mergeCell ref="L1591:M1591"/>
    <mergeCell ref="T1590:U1590"/>
    <mergeCell ref="V1590:W1590"/>
    <mergeCell ref="X1590:Y1590"/>
    <mergeCell ref="Z1590:AA1590"/>
    <mergeCell ref="AB1590:AC1590"/>
    <mergeCell ref="AD1590:AE1590"/>
    <mergeCell ref="AL1589:BB1589"/>
    <mergeCell ref="B1590:C1590"/>
    <mergeCell ref="D1590:E1590"/>
    <mergeCell ref="F1590:G1590"/>
    <mergeCell ref="H1590:I1590"/>
    <mergeCell ref="J1590:K1590"/>
    <mergeCell ref="L1590:M1590"/>
    <mergeCell ref="N1590:O1590"/>
    <mergeCell ref="P1590:Q1590"/>
    <mergeCell ref="R1590:S1590"/>
    <mergeCell ref="Z1589:AA1589"/>
    <mergeCell ref="AB1589:AC1589"/>
    <mergeCell ref="AD1589:AE1589"/>
    <mergeCell ref="AF1589:AG1589"/>
    <mergeCell ref="AH1589:AI1589"/>
    <mergeCell ref="AJ1589:AK1589"/>
    <mergeCell ref="N1589:O1589"/>
    <mergeCell ref="P1589:Q1589"/>
    <mergeCell ref="R1589:S1589"/>
    <mergeCell ref="T1589:U1589"/>
    <mergeCell ref="V1589:W1589"/>
    <mergeCell ref="X1589:Y1589"/>
    <mergeCell ref="AF1588:AG1588"/>
    <mergeCell ref="AH1588:AI1588"/>
    <mergeCell ref="AJ1588:AK1588"/>
    <mergeCell ref="AL1588:BB1588"/>
    <mergeCell ref="B1589:C1589"/>
    <mergeCell ref="D1589:E1589"/>
    <mergeCell ref="F1589:G1589"/>
    <mergeCell ref="H1589:I1589"/>
    <mergeCell ref="J1589:K1589"/>
    <mergeCell ref="L1589:M1589"/>
    <mergeCell ref="T1588:U1588"/>
    <mergeCell ref="V1588:W1588"/>
    <mergeCell ref="X1588:Y1588"/>
    <mergeCell ref="Z1588:AA1588"/>
    <mergeCell ref="AB1588:AC1588"/>
    <mergeCell ref="AD1588:AE1588"/>
    <mergeCell ref="AL1587:BB1587"/>
    <mergeCell ref="B1588:C1588"/>
    <mergeCell ref="D1588:E1588"/>
    <mergeCell ref="F1588:G1588"/>
    <mergeCell ref="H1588:I1588"/>
    <mergeCell ref="J1588:K1588"/>
    <mergeCell ref="L1588:M1588"/>
    <mergeCell ref="N1588:O1588"/>
    <mergeCell ref="P1588:Q1588"/>
    <mergeCell ref="R1588:S1588"/>
    <mergeCell ref="Z1587:AA1587"/>
    <mergeCell ref="AB1587:AC1587"/>
    <mergeCell ref="AD1587:AE1587"/>
    <mergeCell ref="AF1587:AG1587"/>
    <mergeCell ref="AH1587:AI1587"/>
    <mergeCell ref="AJ1587:AK1587"/>
    <mergeCell ref="N1587:O1587"/>
    <mergeCell ref="P1587:Q1587"/>
    <mergeCell ref="R1587:S1587"/>
    <mergeCell ref="T1587:U1587"/>
    <mergeCell ref="V1587:W1587"/>
    <mergeCell ref="X1587:Y1587"/>
    <mergeCell ref="AF1586:AG1586"/>
    <mergeCell ref="AH1586:AI1586"/>
    <mergeCell ref="AJ1586:AK1586"/>
    <mergeCell ref="AL1586:BB1586"/>
    <mergeCell ref="B1587:C1587"/>
    <mergeCell ref="D1587:E1587"/>
    <mergeCell ref="F1587:G1587"/>
    <mergeCell ref="H1587:I1587"/>
    <mergeCell ref="J1587:K1587"/>
    <mergeCell ref="L1587:M1587"/>
    <mergeCell ref="T1586:U1586"/>
    <mergeCell ref="V1586:W1586"/>
    <mergeCell ref="X1586:Y1586"/>
    <mergeCell ref="Z1586:AA1586"/>
    <mergeCell ref="AB1586:AC1586"/>
    <mergeCell ref="AD1586:AE1586"/>
    <mergeCell ref="AL1585:BB1585"/>
    <mergeCell ref="B1586:C1586"/>
    <mergeCell ref="D1586:E1586"/>
    <mergeCell ref="F1586:G1586"/>
    <mergeCell ref="H1586:I1586"/>
    <mergeCell ref="J1586:K1586"/>
    <mergeCell ref="L1586:M1586"/>
    <mergeCell ref="N1586:O1586"/>
    <mergeCell ref="P1586:Q1586"/>
    <mergeCell ref="R1586:S1586"/>
    <mergeCell ref="Z1585:AA1585"/>
    <mergeCell ref="AB1585:AC1585"/>
    <mergeCell ref="AD1585:AE1585"/>
    <mergeCell ref="AF1585:AG1585"/>
    <mergeCell ref="AH1585:AI1585"/>
    <mergeCell ref="AJ1585:AK1585"/>
    <mergeCell ref="N1585:O1585"/>
    <mergeCell ref="P1585:Q1585"/>
    <mergeCell ref="R1585:S1585"/>
    <mergeCell ref="T1585:U1585"/>
    <mergeCell ref="V1585:W1585"/>
    <mergeCell ref="X1585:Y1585"/>
    <mergeCell ref="AF1584:AG1584"/>
    <mergeCell ref="AH1584:AI1584"/>
    <mergeCell ref="AJ1584:AK1584"/>
    <mergeCell ref="AL1584:BB1584"/>
    <mergeCell ref="B1585:C1585"/>
    <mergeCell ref="D1585:E1585"/>
    <mergeCell ref="F1585:G1585"/>
    <mergeCell ref="H1585:I1585"/>
    <mergeCell ref="J1585:K1585"/>
    <mergeCell ref="L1585:M1585"/>
    <mergeCell ref="T1584:U1584"/>
    <mergeCell ref="V1584:W1584"/>
    <mergeCell ref="X1584:Y1584"/>
    <mergeCell ref="Z1584:AA1584"/>
    <mergeCell ref="AB1584:AC1584"/>
    <mergeCell ref="AD1584:AE1584"/>
    <mergeCell ref="AL1583:BB1583"/>
    <mergeCell ref="B1584:C1584"/>
    <mergeCell ref="D1584:E1584"/>
    <mergeCell ref="F1584:G1584"/>
    <mergeCell ref="H1584:I1584"/>
    <mergeCell ref="J1584:K1584"/>
    <mergeCell ref="L1584:M1584"/>
    <mergeCell ref="N1584:O1584"/>
    <mergeCell ref="P1584:Q1584"/>
    <mergeCell ref="R1584:S1584"/>
    <mergeCell ref="Z1583:AA1583"/>
    <mergeCell ref="AB1583:AC1583"/>
    <mergeCell ref="AD1583:AE1583"/>
    <mergeCell ref="AF1583:AG1583"/>
    <mergeCell ref="AH1583:AI1583"/>
    <mergeCell ref="AJ1583:AK1583"/>
    <mergeCell ref="N1583:O1583"/>
    <mergeCell ref="P1583:Q1583"/>
    <mergeCell ref="R1583:S1583"/>
    <mergeCell ref="T1583:U1583"/>
    <mergeCell ref="V1583:W1583"/>
    <mergeCell ref="X1583:Y1583"/>
    <mergeCell ref="AF1582:AG1582"/>
    <mergeCell ref="AH1582:AI1582"/>
    <mergeCell ref="AJ1582:AK1582"/>
    <mergeCell ref="AL1582:BB1582"/>
    <mergeCell ref="B1583:C1583"/>
    <mergeCell ref="D1583:E1583"/>
    <mergeCell ref="F1583:G1583"/>
    <mergeCell ref="H1583:I1583"/>
    <mergeCell ref="J1583:K1583"/>
    <mergeCell ref="L1583:M1583"/>
    <mergeCell ref="T1582:U1582"/>
    <mergeCell ref="V1582:W1582"/>
    <mergeCell ref="X1582:Y1582"/>
    <mergeCell ref="Z1582:AA1582"/>
    <mergeCell ref="AB1582:AC1582"/>
    <mergeCell ref="AD1582:AE1582"/>
    <mergeCell ref="AL1581:BB1581"/>
    <mergeCell ref="B1582:C1582"/>
    <mergeCell ref="D1582:E1582"/>
    <mergeCell ref="F1582:G1582"/>
    <mergeCell ref="H1582:I1582"/>
    <mergeCell ref="J1582:K1582"/>
    <mergeCell ref="L1582:M1582"/>
    <mergeCell ref="N1582:O1582"/>
    <mergeCell ref="P1582:Q1582"/>
    <mergeCell ref="R1582:S1582"/>
    <mergeCell ref="Z1581:AA1581"/>
    <mergeCell ref="AB1581:AC1581"/>
    <mergeCell ref="AD1581:AE1581"/>
    <mergeCell ref="AF1581:AG1581"/>
    <mergeCell ref="AH1581:AI1581"/>
    <mergeCell ref="AJ1581:AK1581"/>
    <mergeCell ref="N1581:O1581"/>
    <mergeCell ref="P1581:Q1581"/>
    <mergeCell ref="R1581:S1581"/>
    <mergeCell ref="T1581:U1581"/>
    <mergeCell ref="V1581:W1581"/>
    <mergeCell ref="X1581:Y1581"/>
    <mergeCell ref="AF1580:AG1580"/>
    <mergeCell ref="AH1580:AI1580"/>
    <mergeCell ref="AJ1580:AK1580"/>
    <mergeCell ref="AL1580:BB1580"/>
    <mergeCell ref="B1581:C1581"/>
    <mergeCell ref="D1581:E1581"/>
    <mergeCell ref="F1581:G1581"/>
    <mergeCell ref="H1581:I1581"/>
    <mergeCell ref="J1581:K1581"/>
    <mergeCell ref="L1581:M1581"/>
    <mergeCell ref="T1580:U1580"/>
    <mergeCell ref="V1580:W1580"/>
    <mergeCell ref="X1580:Y1580"/>
    <mergeCell ref="Z1580:AA1580"/>
    <mergeCell ref="AB1580:AC1580"/>
    <mergeCell ref="AD1580:AE1580"/>
    <mergeCell ref="AL1579:BB1579"/>
    <mergeCell ref="B1580:C1580"/>
    <mergeCell ref="D1580:E1580"/>
    <mergeCell ref="F1580:G1580"/>
    <mergeCell ref="H1580:I1580"/>
    <mergeCell ref="J1580:K1580"/>
    <mergeCell ref="L1580:M1580"/>
    <mergeCell ref="N1580:O1580"/>
    <mergeCell ref="P1580:Q1580"/>
    <mergeCell ref="R1580:S1580"/>
    <mergeCell ref="Z1579:AA1579"/>
    <mergeCell ref="AB1579:AC1579"/>
    <mergeCell ref="AD1579:AE1579"/>
    <mergeCell ref="AF1579:AG1579"/>
    <mergeCell ref="AH1579:AI1579"/>
    <mergeCell ref="AJ1579:AK1579"/>
    <mergeCell ref="N1579:O1579"/>
    <mergeCell ref="P1579:Q1579"/>
    <mergeCell ref="R1579:S1579"/>
    <mergeCell ref="T1579:U1579"/>
    <mergeCell ref="V1579:W1579"/>
    <mergeCell ref="X1579:Y1579"/>
    <mergeCell ref="AF1578:AG1578"/>
    <mergeCell ref="AH1578:AI1578"/>
    <mergeCell ref="AJ1578:AK1578"/>
    <mergeCell ref="AL1578:BB1578"/>
    <mergeCell ref="B1579:C1579"/>
    <mergeCell ref="D1579:E1579"/>
    <mergeCell ref="F1579:G1579"/>
    <mergeCell ref="H1579:I1579"/>
    <mergeCell ref="J1579:K1579"/>
    <mergeCell ref="L1579:M1579"/>
    <mergeCell ref="T1578:U1578"/>
    <mergeCell ref="V1578:W1578"/>
    <mergeCell ref="X1578:Y1578"/>
    <mergeCell ref="Z1578:AA1578"/>
    <mergeCell ref="AB1578:AC1578"/>
    <mergeCell ref="AD1578:AE1578"/>
    <mergeCell ref="AL1577:BB1577"/>
    <mergeCell ref="B1578:C1578"/>
    <mergeCell ref="D1578:E1578"/>
    <mergeCell ref="F1578:G1578"/>
    <mergeCell ref="H1578:I1578"/>
    <mergeCell ref="J1578:K1578"/>
    <mergeCell ref="L1578:M1578"/>
    <mergeCell ref="N1578:O1578"/>
    <mergeCell ref="P1578:Q1578"/>
    <mergeCell ref="R1578:S1578"/>
    <mergeCell ref="Z1577:AA1577"/>
    <mergeCell ref="AB1577:AC1577"/>
    <mergeCell ref="AD1577:AE1577"/>
    <mergeCell ref="AF1577:AG1577"/>
    <mergeCell ref="AH1577:AI1577"/>
    <mergeCell ref="AJ1577:AK1577"/>
    <mergeCell ref="N1577:O1577"/>
    <mergeCell ref="P1577:Q1577"/>
    <mergeCell ref="R1577:S1577"/>
    <mergeCell ref="T1577:U1577"/>
    <mergeCell ref="V1577:W1577"/>
    <mergeCell ref="X1577:Y1577"/>
    <mergeCell ref="AF1576:AG1576"/>
    <mergeCell ref="AH1576:AI1576"/>
    <mergeCell ref="AJ1576:AK1576"/>
    <mergeCell ref="AL1576:BB1576"/>
    <mergeCell ref="B1577:C1577"/>
    <mergeCell ref="D1577:E1577"/>
    <mergeCell ref="F1577:G1577"/>
    <mergeCell ref="H1577:I1577"/>
    <mergeCell ref="J1577:K1577"/>
    <mergeCell ref="L1577:M1577"/>
    <mergeCell ref="T1576:U1576"/>
    <mergeCell ref="V1576:W1576"/>
    <mergeCell ref="X1576:Y1576"/>
    <mergeCell ref="Z1576:AA1576"/>
    <mergeCell ref="AB1576:AC1576"/>
    <mergeCell ref="AD1576:AE1576"/>
    <mergeCell ref="AL1575:BB1575"/>
    <mergeCell ref="B1576:C1576"/>
    <mergeCell ref="D1576:E1576"/>
    <mergeCell ref="F1576:G1576"/>
    <mergeCell ref="H1576:I1576"/>
    <mergeCell ref="J1576:K1576"/>
    <mergeCell ref="L1576:M1576"/>
    <mergeCell ref="N1576:O1576"/>
    <mergeCell ref="P1576:Q1576"/>
    <mergeCell ref="R1576:S1576"/>
    <mergeCell ref="Z1575:AA1575"/>
    <mergeCell ref="AB1575:AC1575"/>
    <mergeCell ref="AD1575:AE1575"/>
    <mergeCell ref="AF1575:AG1575"/>
    <mergeCell ref="AH1575:AI1575"/>
    <mergeCell ref="AJ1575:AK1575"/>
    <mergeCell ref="N1575:O1575"/>
    <mergeCell ref="P1575:Q1575"/>
    <mergeCell ref="R1575:S1575"/>
    <mergeCell ref="T1575:U1575"/>
    <mergeCell ref="V1575:W1575"/>
    <mergeCell ref="X1575:Y1575"/>
    <mergeCell ref="AF1574:AG1574"/>
    <mergeCell ref="AH1574:AI1574"/>
    <mergeCell ref="AJ1574:AK1574"/>
    <mergeCell ref="AL1574:BB1574"/>
    <mergeCell ref="B1575:C1575"/>
    <mergeCell ref="D1575:E1575"/>
    <mergeCell ref="F1575:G1575"/>
    <mergeCell ref="H1575:I1575"/>
    <mergeCell ref="J1575:K1575"/>
    <mergeCell ref="L1575:M1575"/>
    <mergeCell ref="T1574:U1574"/>
    <mergeCell ref="V1574:W1574"/>
    <mergeCell ref="X1574:Y1574"/>
    <mergeCell ref="Z1574:AA1574"/>
    <mergeCell ref="AB1574:AC1574"/>
    <mergeCell ref="AD1574:AE1574"/>
    <mergeCell ref="AL1573:BB1573"/>
    <mergeCell ref="B1574:C1574"/>
    <mergeCell ref="D1574:E1574"/>
    <mergeCell ref="F1574:G1574"/>
    <mergeCell ref="H1574:I1574"/>
    <mergeCell ref="J1574:K1574"/>
    <mergeCell ref="L1574:M1574"/>
    <mergeCell ref="N1574:O1574"/>
    <mergeCell ref="P1574:Q1574"/>
    <mergeCell ref="R1574:S1574"/>
    <mergeCell ref="Z1573:AA1573"/>
    <mergeCell ref="AB1573:AC1573"/>
    <mergeCell ref="AD1573:AE1573"/>
    <mergeCell ref="AF1573:AG1573"/>
    <mergeCell ref="AH1573:AI1573"/>
    <mergeCell ref="AJ1573:AK1573"/>
    <mergeCell ref="N1573:O1573"/>
    <mergeCell ref="P1573:Q1573"/>
    <mergeCell ref="R1573:S1573"/>
    <mergeCell ref="T1573:U1573"/>
    <mergeCell ref="V1573:W1573"/>
    <mergeCell ref="X1573:Y1573"/>
    <mergeCell ref="AF1572:AG1572"/>
    <mergeCell ref="AH1572:AI1572"/>
    <mergeCell ref="AJ1572:AK1572"/>
    <mergeCell ref="AL1572:BB1572"/>
    <mergeCell ref="B1573:C1573"/>
    <mergeCell ref="D1573:E1573"/>
    <mergeCell ref="F1573:G1573"/>
    <mergeCell ref="H1573:I1573"/>
    <mergeCell ref="J1573:K1573"/>
    <mergeCell ref="L1573:M1573"/>
    <mergeCell ref="T1572:U1572"/>
    <mergeCell ref="V1572:W1572"/>
    <mergeCell ref="X1572:Y1572"/>
    <mergeCell ref="Z1572:AA1572"/>
    <mergeCell ref="AB1572:AC1572"/>
    <mergeCell ref="AD1572:AE1572"/>
    <mergeCell ref="AL1571:BB1571"/>
    <mergeCell ref="B1572:C1572"/>
    <mergeCell ref="D1572:E1572"/>
    <mergeCell ref="F1572:G1572"/>
    <mergeCell ref="H1572:I1572"/>
    <mergeCell ref="J1572:K1572"/>
    <mergeCell ref="L1572:M1572"/>
    <mergeCell ref="N1572:O1572"/>
    <mergeCell ref="P1572:Q1572"/>
    <mergeCell ref="R1572:S1572"/>
    <mergeCell ref="Z1571:AA1571"/>
    <mergeCell ref="AB1571:AC1571"/>
    <mergeCell ref="AD1571:AE1571"/>
    <mergeCell ref="AF1571:AG1571"/>
    <mergeCell ref="AH1571:AI1571"/>
    <mergeCell ref="AJ1571:AK1571"/>
    <mergeCell ref="N1571:O1571"/>
    <mergeCell ref="P1571:Q1571"/>
    <mergeCell ref="R1571:S1571"/>
    <mergeCell ref="T1571:U1571"/>
    <mergeCell ref="V1571:W1571"/>
    <mergeCell ref="X1571:Y1571"/>
    <mergeCell ref="AF1570:AG1570"/>
    <mergeCell ref="AH1570:AI1570"/>
    <mergeCell ref="AJ1570:AK1570"/>
    <mergeCell ref="AL1570:BB1570"/>
    <mergeCell ref="B1571:C1571"/>
    <mergeCell ref="D1571:E1571"/>
    <mergeCell ref="F1571:G1571"/>
    <mergeCell ref="H1571:I1571"/>
    <mergeCell ref="J1571:K1571"/>
    <mergeCell ref="L1571:M1571"/>
    <mergeCell ref="T1570:U1570"/>
    <mergeCell ref="V1570:W1570"/>
    <mergeCell ref="X1570:Y1570"/>
    <mergeCell ref="Z1570:AA1570"/>
    <mergeCell ref="AB1570:AC1570"/>
    <mergeCell ref="AD1570:AE1570"/>
    <mergeCell ref="AL1569:BB1569"/>
    <mergeCell ref="B1570:C1570"/>
    <mergeCell ref="D1570:E1570"/>
    <mergeCell ref="F1570:G1570"/>
    <mergeCell ref="H1570:I1570"/>
    <mergeCell ref="J1570:K1570"/>
    <mergeCell ref="L1570:M1570"/>
    <mergeCell ref="N1570:O1570"/>
    <mergeCell ref="P1570:Q1570"/>
    <mergeCell ref="R1570:S1570"/>
    <mergeCell ref="Z1569:AA1569"/>
    <mergeCell ref="AB1569:AC1569"/>
    <mergeCell ref="AD1569:AE1569"/>
    <mergeCell ref="AF1569:AG1569"/>
    <mergeCell ref="AH1569:AI1569"/>
    <mergeCell ref="AJ1569:AK1569"/>
    <mergeCell ref="N1569:O1569"/>
    <mergeCell ref="P1569:Q1569"/>
    <mergeCell ref="R1569:S1569"/>
    <mergeCell ref="T1569:U1569"/>
    <mergeCell ref="V1569:W1569"/>
    <mergeCell ref="X1569:Y1569"/>
    <mergeCell ref="AF1568:AG1568"/>
    <mergeCell ref="AH1568:AI1568"/>
    <mergeCell ref="AJ1568:AK1568"/>
    <mergeCell ref="AL1568:BB1568"/>
    <mergeCell ref="B1569:C1569"/>
    <mergeCell ref="D1569:E1569"/>
    <mergeCell ref="F1569:G1569"/>
    <mergeCell ref="H1569:I1569"/>
    <mergeCell ref="J1569:K1569"/>
    <mergeCell ref="L1569:M1569"/>
    <mergeCell ref="T1568:U1568"/>
    <mergeCell ref="V1568:W1568"/>
    <mergeCell ref="X1568:Y1568"/>
    <mergeCell ref="Z1568:AA1568"/>
    <mergeCell ref="AB1568:AC1568"/>
    <mergeCell ref="AD1568:AE1568"/>
    <mergeCell ref="AL1567:BB1567"/>
    <mergeCell ref="B1568:C1568"/>
    <mergeCell ref="D1568:E1568"/>
    <mergeCell ref="F1568:G1568"/>
    <mergeCell ref="H1568:I1568"/>
    <mergeCell ref="J1568:K1568"/>
    <mergeCell ref="L1568:M1568"/>
    <mergeCell ref="N1568:O1568"/>
    <mergeCell ref="P1568:Q1568"/>
    <mergeCell ref="R1568:S1568"/>
    <mergeCell ref="Z1567:AA1567"/>
    <mergeCell ref="AB1567:AC1567"/>
    <mergeCell ref="AD1567:AE1567"/>
    <mergeCell ref="AF1567:AG1567"/>
    <mergeCell ref="AH1567:AI1567"/>
    <mergeCell ref="AJ1567:AK1567"/>
    <mergeCell ref="N1567:O1567"/>
    <mergeCell ref="P1567:Q1567"/>
    <mergeCell ref="R1567:S1567"/>
    <mergeCell ref="T1567:U1567"/>
    <mergeCell ref="V1567:W1567"/>
    <mergeCell ref="X1567:Y1567"/>
    <mergeCell ref="AF1566:AG1566"/>
    <mergeCell ref="AH1566:AI1566"/>
    <mergeCell ref="AJ1566:AK1566"/>
    <mergeCell ref="AL1566:BB1566"/>
    <mergeCell ref="B1567:C1567"/>
    <mergeCell ref="D1567:E1567"/>
    <mergeCell ref="F1567:G1567"/>
    <mergeCell ref="H1567:I1567"/>
    <mergeCell ref="J1567:K1567"/>
    <mergeCell ref="L1567:M1567"/>
    <mergeCell ref="T1566:U1566"/>
    <mergeCell ref="V1566:W1566"/>
    <mergeCell ref="X1566:Y1566"/>
    <mergeCell ref="Z1566:AA1566"/>
    <mergeCell ref="AB1566:AC1566"/>
    <mergeCell ref="AD1566:AE1566"/>
    <mergeCell ref="AL1565:BB1565"/>
    <mergeCell ref="B1566:C1566"/>
    <mergeCell ref="D1566:E1566"/>
    <mergeCell ref="F1566:G1566"/>
    <mergeCell ref="H1566:I1566"/>
    <mergeCell ref="J1566:K1566"/>
    <mergeCell ref="L1566:M1566"/>
    <mergeCell ref="N1566:O1566"/>
    <mergeCell ref="P1566:Q1566"/>
    <mergeCell ref="R1566:S1566"/>
    <mergeCell ref="Z1565:AA1565"/>
    <mergeCell ref="AB1565:AC1565"/>
    <mergeCell ref="AD1565:AE1565"/>
    <mergeCell ref="AF1565:AG1565"/>
    <mergeCell ref="AH1565:AI1565"/>
    <mergeCell ref="AJ1565:AK1565"/>
    <mergeCell ref="N1565:O1565"/>
    <mergeCell ref="P1565:Q1565"/>
    <mergeCell ref="R1565:S1565"/>
    <mergeCell ref="T1565:U1565"/>
    <mergeCell ref="V1565:W1565"/>
    <mergeCell ref="X1565:Y1565"/>
    <mergeCell ref="AF1564:AG1564"/>
    <mergeCell ref="AH1564:AI1564"/>
    <mergeCell ref="AJ1564:AK1564"/>
    <mergeCell ref="AL1564:BB1564"/>
    <mergeCell ref="B1565:C1565"/>
    <mergeCell ref="D1565:E1565"/>
    <mergeCell ref="F1565:G1565"/>
    <mergeCell ref="H1565:I1565"/>
    <mergeCell ref="J1565:K1565"/>
    <mergeCell ref="L1565:M1565"/>
    <mergeCell ref="T1564:U1564"/>
    <mergeCell ref="V1564:W1564"/>
    <mergeCell ref="X1564:Y1564"/>
    <mergeCell ref="Z1564:AA1564"/>
    <mergeCell ref="AB1564:AC1564"/>
    <mergeCell ref="AD1564:AE1564"/>
    <mergeCell ref="AL1563:BB1563"/>
    <mergeCell ref="B1564:C1564"/>
    <mergeCell ref="D1564:E1564"/>
    <mergeCell ref="F1564:G1564"/>
    <mergeCell ref="H1564:I1564"/>
    <mergeCell ref="J1564:K1564"/>
    <mergeCell ref="L1564:M1564"/>
    <mergeCell ref="N1564:O1564"/>
    <mergeCell ref="P1564:Q1564"/>
    <mergeCell ref="R1564:S1564"/>
    <mergeCell ref="Z1563:AA1563"/>
    <mergeCell ref="AB1563:AC1563"/>
    <mergeCell ref="AD1563:AE1563"/>
    <mergeCell ref="AF1563:AG1563"/>
    <mergeCell ref="AH1563:AI1563"/>
    <mergeCell ref="AJ1563:AK1563"/>
    <mergeCell ref="N1563:O1563"/>
    <mergeCell ref="P1563:Q1563"/>
    <mergeCell ref="R1563:S1563"/>
    <mergeCell ref="T1563:U1563"/>
    <mergeCell ref="V1563:W1563"/>
    <mergeCell ref="X1563:Y1563"/>
    <mergeCell ref="AF1562:AG1562"/>
    <mergeCell ref="AH1562:AI1562"/>
    <mergeCell ref="AJ1562:AK1562"/>
    <mergeCell ref="AL1562:BB1562"/>
    <mergeCell ref="B1563:C1563"/>
    <mergeCell ref="D1563:E1563"/>
    <mergeCell ref="F1563:G1563"/>
    <mergeCell ref="H1563:I1563"/>
    <mergeCell ref="J1563:K1563"/>
    <mergeCell ref="L1563:M1563"/>
    <mergeCell ref="T1562:U1562"/>
    <mergeCell ref="V1562:W1562"/>
    <mergeCell ref="X1562:Y1562"/>
    <mergeCell ref="Z1562:AA1562"/>
    <mergeCell ref="AB1562:AC1562"/>
    <mergeCell ref="AD1562:AE1562"/>
    <mergeCell ref="AL1561:BB1561"/>
    <mergeCell ref="B1562:C1562"/>
    <mergeCell ref="D1562:E1562"/>
    <mergeCell ref="F1562:G1562"/>
    <mergeCell ref="H1562:I1562"/>
    <mergeCell ref="J1562:K1562"/>
    <mergeCell ref="L1562:M1562"/>
    <mergeCell ref="N1562:O1562"/>
    <mergeCell ref="P1562:Q1562"/>
    <mergeCell ref="R1562:S1562"/>
    <mergeCell ref="Z1561:AA1561"/>
    <mergeCell ref="AB1561:AC1561"/>
    <mergeCell ref="AD1561:AE1561"/>
    <mergeCell ref="AF1561:AG1561"/>
    <mergeCell ref="AH1561:AI1561"/>
    <mergeCell ref="AJ1561:AK1561"/>
    <mergeCell ref="N1561:O1561"/>
    <mergeCell ref="P1561:Q1561"/>
    <mergeCell ref="R1561:S1561"/>
    <mergeCell ref="T1561:U1561"/>
    <mergeCell ref="V1561:W1561"/>
    <mergeCell ref="X1561:Y1561"/>
    <mergeCell ref="AF1560:AG1560"/>
    <mergeCell ref="AH1560:AI1560"/>
    <mergeCell ref="AJ1560:AK1560"/>
    <mergeCell ref="AL1560:BB1560"/>
    <mergeCell ref="B1561:C1561"/>
    <mergeCell ref="D1561:E1561"/>
    <mergeCell ref="F1561:G1561"/>
    <mergeCell ref="H1561:I1561"/>
    <mergeCell ref="J1561:K1561"/>
    <mergeCell ref="L1561:M1561"/>
    <mergeCell ref="T1560:U1560"/>
    <mergeCell ref="V1560:W1560"/>
    <mergeCell ref="X1560:Y1560"/>
    <mergeCell ref="Z1560:AA1560"/>
    <mergeCell ref="AB1560:AC1560"/>
    <mergeCell ref="AD1560:AE1560"/>
    <mergeCell ref="AL1559:BB1559"/>
    <mergeCell ref="B1560:C1560"/>
    <mergeCell ref="D1560:E1560"/>
    <mergeCell ref="F1560:G1560"/>
    <mergeCell ref="H1560:I1560"/>
    <mergeCell ref="J1560:K1560"/>
    <mergeCell ref="L1560:M1560"/>
    <mergeCell ref="N1560:O1560"/>
    <mergeCell ref="P1560:Q1560"/>
    <mergeCell ref="R1560:S1560"/>
    <mergeCell ref="Z1559:AA1559"/>
    <mergeCell ref="AB1559:AC1559"/>
    <mergeCell ref="AD1559:AE1559"/>
    <mergeCell ref="AF1559:AG1559"/>
    <mergeCell ref="AH1559:AI1559"/>
    <mergeCell ref="AJ1559:AK1559"/>
    <mergeCell ref="N1559:O1559"/>
    <mergeCell ref="P1559:Q1559"/>
    <mergeCell ref="R1559:S1559"/>
    <mergeCell ref="T1559:U1559"/>
    <mergeCell ref="V1559:W1559"/>
    <mergeCell ref="X1559:Y1559"/>
    <mergeCell ref="AF1558:AG1558"/>
    <mergeCell ref="AH1558:AI1558"/>
    <mergeCell ref="AJ1558:AK1558"/>
    <mergeCell ref="AL1558:BB1558"/>
    <mergeCell ref="B1559:C1559"/>
    <mergeCell ref="D1559:E1559"/>
    <mergeCell ref="F1559:G1559"/>
    <mergeCell ref="H1559:I1559"/>
    <mergeCell ref="J1559:K1559"/>
    <mergeCell ref="L1559:M1559"/>
    <mergeCell ref="T1558:U1558"/>
    <mergeCell ref="V1558:W1558"/>
    <mergeCell ref="X1558:Y1558"/>
    <mergeCell ref="Z1558:AA1558"/>
    <mergeCell ref="AB1558:AC1558"/>
    <mergeCell ref="AD1558:AE1558"/>
    <mergeCell ref="AL1557:BB1557"/>
    <mergeCell ref="B1558:C1558"/>
    <mergeCell ref="D1558:E1558"/>
    <mergeCell ref="F1558:G1558"/>
    <mergeCell ref="H1558:I1558"/>
    <mergeCell ref="J1558:K1558"/>
    <mergeCell ref="L1558:M1558"/>
    <mergeCell ref="N1558:O1558"/>
    <mergeCell ref="P1558:Q1558"/>
    <mergeCell ref="R1558:S1558"/>
    <mergeCell ref="Z1557:AA1557"/>
    <mergeCell ref="AB1557:AC1557"/>
    <mergeCell ref="AD1557:AE1557"/>
    <mergeCell ref="AF1557:AG1557"/>
    <mergeCell ref="AH1557:AI1557"/>
    <mergeCell ref="AJ1557:AK1557"/>
    <mergeCell ref="N1557:O1557"/>
    <mergeCell ref="P1557:Q1557"/>
    <mergeCell ref="R1557:S1557"/>
    <mergeCell ref="T1557:U1557"/>
    <mergeCell ref="V1557:W1557"/>
    <mergeCell ref="X1557:Y1557"/>
    <mergeCell ref="AF1556:AG1556"/>
    <mergeCell ref="AH1556:AI1556"/>
    <mergeCell ref="AJ1556:AK1556"/>
    <mergeCell ref="AL1556:BB1556"/>
    <mergeCell ref="B1557:C1557"/>
    <mergeCell ref="D1557:E1557"/>
    <mergeCell ref="F1557:G1557"/>
    <mergeCell ref="H1557:I1557"/>
    <mergeCell ref="J1557:K1557"/>
    <mergeCell ref="L1557:M1557"/>
    <mergeCell ref="T1556:U1556"/>
    <mergeCell ref="V1556:W1556"/>
    <mergeCell ref="X1556:Y1556"/>
    <mergeCell ref="Z1556:AA1556"/>
    <mergeCell ref="AB1556:AC1556"/>
    <mergeCell ref="AD1556:AE1556"/>
    <mergeCell ref="AL1555:BB1555"/>
    <mergeCell ref="B1556:C1556"/>
    <mergeCell ref="D1556:E1556"/>
    <mergeCell ref="F1556:G1556"/>
    <mergeCell ref="H1556:I1556"/>
    <mergeCell ref="J1556:K1556"/>
    <mergeCell ref="L1556:M1556"/>
    <mergeCell ref="N1556:O1556"/>
    <mergeCell ref="P1556:Q1556"/>
    <mergeCell ref="R1556:S1556"/>
    <mergeCell ref="Z1555:AA1555"/>
    <mergeCell ref="AB1555:AC1555"/>
    <mergeCell ref="AD1555:AE1555"/>
    <mergeCell ref="AF1555:AG1555"/>
    <mergeCell ref="AH1555:AI1555"/>
    <mergeCell ref="AJ1555:AK1555"/>
    <mergeCell ref="N1555:O1555"/>
    <mergeCell ref="P1555:Q1555"/>
    <mergeCell ref="R1555:S1555"/>
    <mergeCell ref="T1555:U1555"/>
    <mergeCell ref="V1555:W1555"/>
    <mergeCell ref="X1555:Y1555"/>
    <mergeCell ref="AF1554:AG1554"/>
    <mergeCell ref="AH1554:AI1554"/>
    <mergeCell ref="AJ1554:AK1554"/>
    <mergeCell ref="AL1554:BB1554"/>
    <mergeCell ref="B1555:C1555"/>
    <mergeCell ref="D1555:E1555"/>
    <mergeCell ref="F1555:G1555"/>
    <mergeCell ref="H1555:I1555"/>
    <mergeCell ref="J1555:K1555"/>
    <mergeCell ref="L1555:M1555"/>
    <mergeCell ref="T1554:U1554"/>
    <mergeCell ref="V1554:W1554"/>
    <mergeCell ref="X1554:Y1554"/>
    <mergeCell ref="Z1554:AA1554"/>
    <mergeCell ref="AB1554:AC1554"/>
    <mergeCell ref="AD1554:AE1554"/>
    <mergeCell ref="AL1553:BB1553"/>
    <mergeCell ref="B1554:C1554"/>
    <mergeCell ref="D1554:E1554"/>
    <mergeCell ref="F1554:G1554"/>
    <mergeCell ref="H1554:I1554"/>
    <mergeCell ref="J1554:K1554"/>
    <mergeCell ref="L1554:M1554"/>
    <mergeCell ref="N1554:O1554"/>
    <mergeCell ref="P1554:Q1554"/>
    <mergeCell ref="R1554:S1554"/>
    <mergeCell ref="Z1553:AA1553"/>
    <mergeCell ref="AB1553:AC1553"/>
    <mergeCell ref="AD1553:AE1553"/>
    <mergeCell ref="AF1553:AG1553"/>
    <mergeCell ref="AH1553:AI1553"/>
    <mergeCell ref="AJ1553:AK1553"/>
    <mergeCell ref="N1553:O1553"/>
    <mergeCell ref="P1553:Q1553"/>
    <mergeCell ref="R1553:S1553"/>
    <mergeCell ref="T1553:U1553"/>
    <mergeCell ref="V1553:W1553"/>
    <mergeCell ref="X1553:Y1553"/>
    <mergeCell ref="AF1552:AG1552"/>
    <mergeCell ref="AH1552:AI1552"/>
    <mergeCell ref="AJ1552:AK1552"/>
    <mergeCell ref="AL1552:BB1552"/>
    <mergeCell ref="B1553:C1553"/>
    <mergeCell ref="D1553:E1553"/>
    <mergeCell ref="F1553:G1553"/>
    <mergeCell ref="H1553:I1553"/>
    <mergeCell ref="J1553:K1553"/>
    <mergeCell ref="L1553:M1553"/>
    <mergeCell ref="T1552:U1552"/>
    <mergeCell ref="V1552:W1552"/>
    <mergeCell ref="X1552:Y1552"/>
    <mergeCell ref="Z1552:AA1552"/>
    <mergeCell ref="AB1552:AC1552"/>
    <mergeCell ref="AD1552:AE1552"/>
    <mergeCell ref="AL1551:BB1551"/>
    <mergeCell ref="B1552:C1552"/>
    <mergeCell ref="D1552:E1552"/>
    <mergeCell ref="F1552:G1552"/>
    <mergeCell ref="H1552:I1552"/>
    <mergeCell ref="J1552:K1552"/>
    <mergeCell ref="L1552:M1552"/>
    <mergeCell ref="N1552:O1552"/>
    <mergeCell ref="P1552:Q1552"/>
    <mergeCell ref="R1552:S1552"/>
    <mergeCell ref="Z1551:AA1551"/>
    <mergeCell ref="AB1551:AC1551"/>
    <mergeCell ref="AD1551:AE1551"/>
    <mergeCell ref="AF1551:AG1551"/>
    <mergeCell ref="AH1551:AI1551"/>
    <mergeCell ref="AJ1551:AK1551"/>
    <mergeCell ref="N1551:O1551"/>
    <mergeCell ref="P1551:Q1551"/>
    <mergeCell ref="R1551:S1551"/>
    <mergeCell ref="T1551:U1551"/>
    <mergeCell ref="V1551:W1551"/>
    <mergeCell ref="X1551:Y1551"/>
    <mergeCell ref="AF1550:AG1550"/>
    <mergeCell ref="AH1550:AI1550"/>
    <mergeCell ref="AJ1550:AK1550"/>
    <mergeCell ref="AL1550:BB1550"/>
    <mergeCell ref="B1551:C1551"/>
    <mergeCell ref="D1551:E1551"/>
    <mergeCell ref="F1551:G1551"/>
    <mergeCell ref="H1551:I1551"/>
    <mergeCell ref="J1551:K1551"/>
    <mergeCell ref="L1551:M1551"/>
    <mergeCell ref="T1550:U1550"/>
    <mergeCell ref="V1550:W1550"/>
    <mergeCell ref="X1550:Y1550"/>
    <mergeCell ref="Z1550:AA1550"/>
    <mergeCell ref="AB1550:AC1550"/>
    <mergeCell ref="AD1550:AE1550"/>
    <mergeCell ref="AL1549:BB1549"/>
    <mergeCell ref="B1550:C1550"/>
    <mergeCell ref="D1550:E1550"/>
    <mergeCell ref="F1550:G1550"/>
    <mergeCell ref="H1550:I1550"/>
    <mergeCell ref="J1550:K1550"/>
    <mergeCell ref="L1550:M1550"/>
    <mergeCell ref="N1550:O1550"/>
    <mergeCell ref="P1550:Q1550"/>
    <mergeCell ref="R1550:S1550"/>
    <mergeCell ref="Z1549:AA1549"/>
    <mergeCell ref="AB1549:AC1549"/>
    <mergeCell ref="AD1549:AE1549"/>
    <mergeCell ref="AF1549:AG1549"/>
    <mergeCell ref="AH1549:AI1549"/>
    <mergeCell ref="AJ1549:AK1549"/>
    <mergeCell ref="N1549:O1549"/>
    <mergeCell ref="P1549:Q1549"/>
    <mergeCell ref="R1549:S1549"/>
    <mergeCell ref="T1549:U1549"/>
    <mergeCell ref="V1549:W1549"/>
    <mergeCell ref="X1549:Y1549"/>
    <mergeCell ref="AF1548:AG1548"/>
    <mergeCell ref="AH1548:AI1548"/>
    <mergeCell ref="AJ1548:AK1548"/>
    <mergeCell ref="AL1548:BB1548"/>
    <mergeCell ref="B1549:C1549"/>
    <mergeCell ref="D1549:E1549"/>
    <mergeCell ref="F1549:G1549"/>
    <mergeCell ref="H1549:I1549"/>
    <mergeCell ref="J1549:K1549"/>
    <mergeCell ref="L1549:M1549"/>
    <mergeCell ref="T1548:U1548"/>
    <mergeCell ref="V1548:W1548"/>
    <mergeCell ref="X1548:Y1548"/>
    <mergeCell ref="Z1548:AA1548"/>
    <mergeCell ref="AB1548:AC1548"/>
    <mergeCell ref="AD1548:AE1548"/>
    <mergeCell ref="AL1547:BB1547"/>
    <mergeCell ref="B1548:C1548"/>
    <mergeCell ref="D1548:E1548"/>
    <mergeCell ref="F1548:G1548"/>
    <mergeCell ref="H1548:I1548"/>
    <mergeCell ref="J1548:K1548"/>
    <mergeCell ref="L1548:M1548"/>
    <mergeCell ref="N1548:O1548"/>
    <mergeCell ref="P1548:Q1548"/>
    <mergeCell ref="R1548:S1548"/>
    <mergeCell ref="Z1547:AA1547"/>
    <mergeCell ref="AB1547:AC1547"/>
    <mergeCell ref="AD1547:AE1547"/>
    <mergeCell ref="AF1547:AG1547"/>
    <mergeCell ref="AH1547:AI1547"/>
    <mergeCell ref="AJ1547:AK1547"/>
    <mergeCell ref="N1547:O1547"/>
    <mergeCell ref="P1547:Q1547"/>
    <mergeCell ref="R1547:S1547"/>
    <mergeCell ref="T1547:U1547"/>
    <mergeCell ref="V1547:W1547"/>
    <mergeCell ref="X1547:Y1547"/>
    <mergeCell ref="AF1546:AG1546"/>
    <mergeCell ref="AH1546:AI1546"/>
    <mergeCell ref="AJ1546:AK1546"/>
    <mergeCell ref="AL1546:BB1546"/>
    <mergeCell ref="B1547:C1547"/>
    <mergeCell ref="D1547:E1547"/>
    <mergeCell ref="F1547:G1547"/>
    <mergeCell ref="H1547:I1547"/>
    <mergeCell ref="J1547:K1547"/>
    <mergeCell ref="L1547:M1547"/>
    <mergeCell ref="T1546:U1546"/>
    <mergeCell ref="V1546:W1546"/>
    <mergeCell ref="X1546:Y1546"/>
    <mergeCell ref="Z1546:AA1546"/>
    <mergeCell ref="AB1546:AC1546"/>
    <mergeCell ref="AD1546:AE1546"/>
    <mergeCell ref="AL1545:BB1545"/>
    <mergeCell ref="B1546:C1546"/>
    <mergeCell ref="D1546:E1546"/>
    <mergeCell ref="F1546:G1546"/>
    <mergeCell ref="H1546:I1546"/>
    <mergeCell ref="J1546:K1546"/>
    <mergeCell ref="L1546:M1546"/>
    <mergeCell ref="N1546:O1546"/>
    <mergeCell ref="P1546:Q1546"/>
    <mergeCell ref="R1546:S1546"/>
    <mergeCell ref="Z1545:AA1545"/>
    <mergeCell ref="AB1545:AC1545"/>
    <mergeCell ref="AD1545:AE1545"/>
    <mergeCell ref="AF1545:AG1545"/>
    <mergeCell ref="AH1545:AI1545"/>
    <mergeCell ref="AJ1545:AK1545"/>
    <mergeCell ref="N1545:O1545"/>
    <mergeCell ref="P1545:Q1545"/>
    <mergeCell ref="R1545:S1545"/>
    <mergeCell ref="T1545:U1545"/>
    <mergeCell ref="V1545:W1545"/>
    <mergeCell ref="X1545:Y1545"/>
    <mergeCell ref="AF1544:AG1544"/>
    <mergeCell ref="AH1544:AI1544"/>
    <mergeCell ref="AJ1544:AK1544"/>
    <mergeCell ref="AL1544:BB1544"/>
    <mergeCell ref="B1545:C1545"/>
    <mergeCell ref="D1545:E1545"/>
    <mergeCell ref="F1545:G1545"/>
    <mergeCell ref="H1545:I1545"/>
    <mergeCell ref="J1545:K1545"/>
    <mergeCell ref="L1545:M1545"/>
    <mergeCell ref="T1544:U1544"/>
    <mergeCell ref="V1544:W1544"/>
    <mergeCell ref="X1544:Y1544"/>
    <mergeCell ref="Z1544:AA1544"/>
    <mergeCell ref="AB1544:AC1544"/>
    <mergeCell ref="AD1544:AE1544"/>
    <mergeCell ref="AL1543:BB1543"/>
    <mergeCell ref="B1544:C1544"/>
    <mergeCell ref="D1544:E1544"/>
    <mergeCell ref="F1544:G1544"/>
    <mergeCell ref="H1544:I1544"/>
    <mergeCell ref="J1544:K1544"/>
    <mergeCell ref="L1544:M1544"/>
    <mergeCell ref="N1544:O1544"/>
    <mergeCell ref="P1544:Q1544"/>
    <mergeCell ref="R1544:S1544"/>
    <mergeCell ref="Z1543:AA1543"/>
    <mergeCell ref="AB1543:AC1543"/>
    <mergeCell ref="AD1543:AE1543"/>
    <mergeCell ref="AF1543:AG1543"/>
    <mergeCell ref="AH1543:AI1543"/>
    <mergeCell ref="AJ1543:AK1543"/>
    <mergeCell ref="N1543:O1543"/>
    <mergeCell ref="P1543:Q1543"/>
    <mergeCell ref="R1543:S1543"/>
    <mergeCell ref="T1543:U1543"/>
    <mergeCell ref="V1543:W1543"/>
    <mergeCell ref="X1543:Y1543"/>
    <mergeCell ref="AF1542:AG1542"/>
    <mergeCell ref="AH1542:AI1542"/>
    <mergeCell ref="AJ1542:AK1542"/>
    <mergeCell ref="AL1542:BB1542"/>
    <mergeCell ref="B1543:C1543"/>
    <mergeCell ref="D1543:E1543"/>
    <mergeCell ref="F1543:G1543"/>
    <mergeCell ref="H1543:I1543"/>
    <mergeCell ref="J1543:K1543"/>
    <mergeCell ref="L1543:M1543"/>
    <mergeCell ref="T1542:U1542"/>
    <mergeCell ref="V1542:W1542"/>
    <mergeCell ref="X1542:Y1542"/>
    <mergeCell ref="Z1542:AA1542"/>
    <mergeCell ref="AB1542:AC1542"/>
    <mergeCell ref="AD1542:AE1542"/>
    <mergeCell ref="AL1541:BB1541"/>
    <mergeCell ref="B1542:C1542"/>
    <mergeCell ref="D1542:E1542"/>
    <mergeCell ref="F1542:G1542"/>
    <mergeCell ref="H1542:I1542"/>
    <mergeCell ref="J1542:K1542"/>
    <mergeCell ref="L1542:M1542"/>
    <mergeCell ref="N1542:O1542"/>
    <mergeCell ref="P1542:Q1542"/>
    <mergeCell ref="R1542:S1542"/>
    <mergeCell ref="Z1541:AA1541"/>
    <mergeCell ref="AB1541:AC1541"/>
    <mergeCell ref="AD1541:AE1541"/>
    <mergeCell ref="AF1541:AG1541"/>
    <mergeCell ref="AH1541:AI1541"/>
    <mergeCell ref="AJ1541:AK1541"/>
    <mergeCell ref="N1541:O1541"/>
    <mergeCell ref="P1541:Q1541"/>
    <mergeCell ref="R1541:S1541"/>
    <mergeCell ref="T1541:U1541"/>
    <mergeCell ref="V1541:W1541"/>
    <mergeCell ref="X1541:Y1541"/>
    <mergeCell ref="AF1540:AG1540"/>
    <mergeCell ref="AH1540:AI1540"/>
    <mergeCell ref="AJ1540:AK1540"/>
    <mergeCell ref="AL1540:BB1540"/>
    <mergeCell ref="B1541:C1541"/>
    <mergeCell ref="D1541:E1541"/>
    <mergeCell ref="F1541:G1541"/>
    <mergeCell ref="H1541:I1541"/>
    <mergeCell ref="J1541:K1541"/>
    <mergeCell ref="L1541:M1541"/>
    <mergeCell ref="T1540:U1540"/>
    <mergeCell ref="V1540:W1540"/>
    <mergeCell ref="X1540:Y1540"/>
    <mergeCell ref="Z1540:AA1540"/>
    <mergeCell ref="AB1540:AC1540"/>
    <mergeCell ref="AD1540:AE1540"/>
    <mergeCell ref="AL1539:BB1539"/>
    <mergeCell ref="B1540:C1540"/>
    <mergeCell ref="D1540:E1540"/>
    <mergeCell ref="F1540:G1540"/>
    <mergeCell ref="H1540:I1540"/>
    <mergeCell ref="J1540:K1540"/>
    <mergeCell ref="L1540:M1540"/>
    <mergeCell ref="N1540:O1540"/>
    <mergeCell ref="P1540:Q1540"/>
    <mergeCell ref="R1540:S1540"/>
    <mergeCell ref="Z1539:AA1539"/>
    <mergeCell ref="AB1539:AC1539"/>
    <mergeCell ref="AD1539:AE1539"/>
    <mergeCell ref="AF1539:AG1539"/>
    <mergeCell ref="AH1539:AI1539"/>
    <mergeCell ref="AJ1539:AK1539"/>
    <mergeCell ref="N1539:O1539"/>
    <mergeCell ref="P1539:Q1539"/>
    <mergeCell ref="R1539:S1539"/>
    <mergeCell ref="T1539:U1539"/>
    <mergeCell ref="V1539:W1539"/>
    <mergeCell ref="X1539:Y1539"/>
    <mergeCell ref="AF1538:AG1538"/>
    <mergeCell ref="AH1538:AI1538"/>
    <mergeCell ref="AJ1538:AK1538"/>
    <mergeCell ref="AL1538:BB1538"/>
    <mergeCell ref="B1539:C1539"/>
    <mergeCell ref="D1539:E1539"/>
    <mergeCell ref="F1539:G1539"/>
    <mergeCell ref="H1539:I1539"/>
    <mergeCell ref="J1539:K1539"/>
    <mergeCell ref="L1539:M1539"/>
    <mergeCell ref="T1538:U1538"/>
    <mergeCell ref="V1538:W1538"/>
    <mergeCell ref="X1538:Y1538"/>
    <mergeCell ref="Z1538:AA1538"/>
    <mergeCell ref="AB1538:AC1538"/>
    <mergeCell ref="AD1538:AE1538"/>
    <mergeCell ref="AL1537:BB1537"/>
    <mergeCell ref="B1538:C1538"/>
    <mergeCell ref="D1538:E1538"/>
    <mergeCell ref="F1538:G1538"/>
    <mergeCell ref="H1538:I1538"/>
    <mergeCell ref="J1538:K1538"/>
    <mergeCell ref="L1538:M1538"/>
    <mergeCell ref="N1538:O1538"/>
    <mergeCell ref="P1538:Q1538"/>
    <mergeCell ref="R1538:S1538"/>
    <mergeCell ref="Z1537:AA1537"/>
    <mergeCell ref="AB1537:AC1537"/>
    <mergeCell ref="AD1537:AE1537"/>
    <mergeCell ref="AF1537:AG1537"/>
    <mergeCell ref="AH1537:AI1537"/>
    <mergeCell ref="AJ1537:AK1537"/>
    <mergeCell ref="N1537:O1537"/>
    <mergeCell ref="P1537:Q1537"/>
    <mergeCell ref="R1537:S1537"/>
    <mergeCell ref="T1537:U1537"/>
    <mergeCell ref="V1537:W1537"/>
    <mergeCell ref="X1537:Y1537"/>
    <mergeCell ref="AF1536:AG1536"/>
    <mergeCell ref="AH1536:AI1536"/>
    <mergeCell ref="AJ1536:AK1536"/>
    <mergeCell ref="AL1536:BB1536"/>
    <mergeCell ref="B1537:C1537"/>
    <mergeCell ref="D1537:E1537"/>
    <mergeCell ref="F1537:G1537"/>
    <mergeCell ref="H1537:I1537"/>
    <mergeCell ref="J1537:K1537"/>
    <mergeCell ref="L1537:M1537"/>
    <mergeCell ref="T1536:U1536"/>
    <mergeCell ref="V1536:W1536"/>
    <mergeCell ref="X1536:Y1536"/>
    <mergeCell ref="Z1536:AA1536"/>
    <mergeCell ref="AB1536:AC1536"/>
    <mergeCell ref="AD1536:AE1536"/>
    <mergeCell ref="AL1535:BB1535"/>
    <mergeCell ref="B1536:C1536"/>
    <mergeCell ref="D1536:E1536"/>
    <mergeCell ref="F1536:G1536"/>
    <mergeCell ref="H1536:I1536"/>
    <mergeCell ref="J1536:K1536"/>
    <mergeCell ref="L1536:M1536"/>
    <mergeCell ref="N1536:O1536"/>
    <mergeCell ref="P1536:Q1536"/>
    <mergeCell ref="R1536:S1536"/>
    <mergeCell ref="Z1535:AA1535"/>
    <mergeCell ref="AB1535:AC1535"/>
    <mergeCell ref="AD1535:AE1535"/>
    <mergeCell ref="AF1535:AG1535"/>
    <mergeCell ref="AH1535:AI1535"/>
    <mergeCell ref="AJ1535:AK1535"/>
    <mergeCell ref="N1535:O1535"/>
    <mergeCell ref="P1535:Q1535"/>
    <mergeCell ref="R1535:S1535"/>
    <mergeCell ref="T1535:U1535"/>
    <mergeCell ref="V1535:W1535"/>
    <mergeCell ref="X1535:Y1535"/>
    <mergeCell ref="AF1534:AG1534"/>
    <mergeCell ref="AH1534:AI1534"/>
    <mergeCell ref="AJ1534:AK1534"/>
    <mergeCell ref="AL1534:BB1534"/>
    <mergeCell ref="B1535:C1535"/>
    <mergeCell ref="D1535:E1535"/>
    <mergeCell ref="F1535:G1535"/>
    <mergeCell ref="H1535:I1535"/>
    <mergeCell ref="J1535:K1535"/>
    <mergeCell ref="L1535:M1535"/>
    <mergeCell ref="T1534:U1534"/>
    <mergeCell ref="V1534:W1534"/>
    <mergeCell ref="X1534:Y1534"/>
    <mergeCell ref="Z1534:AA1534"/>
    <mergeCell ref="AB1534:AC1534"/>
    <mergeCell ref="AD1534:AE1534"/>
    <mergeCell ref="AL1533:BB1533"/>
    <mergeCell ref="B1534:C1534"/>
    <mergeCell ref="D1534:E1534"/>
    <mergeCell ref="F1534:G1534"/>
    <mergeCell ref="H1534:I1534"/>
    <mergeCell ref="J1534:K1534"/>
    <mergeCell ref="L1534:M1534"/>
    <mergeCell ref="N1534:O1534"/>
    <mergeCell ref="P1534:Q1534"/>
    <mergeCell ref="R1534:S1534"/>
    <mergeCell ref="Z1533:AA1533"/>
    <mergeCell ref="AB1533:AC1533"/>
    <mergeCell ref="AD1533:AE1533"/>
    <mergeCell ref="AF1533:AG1533"/>
    <mergeCell ref="AH1533:AI1533"/>
    <mergeCell ref="AJ1533:AK1533"/>
    <mergeCell ref="N1533:O1533"/>
    <mergeCell ref="P1533:Q1533"/>
    <mergeCell ref="R1533:S1533"/>
    <mergeCell ref="T1533:U1533"/>
    <mergeCell ref="V1533:W1533"/>
    <mergeCell ref="X1533:Y1533"/>
    <mergeCell ref="AF1532:AG1532"/>
    <mergeCell ref="AH1532:AI1532"/>
    <mergeCell ref="AJ1532:AK1532"/>
    <mergeCell ref="AL1532:BB1532"/>
    <mergeCell ref="B1533:C1533"/>
    <mergeCell ref="D1533:E1533"/>
    <mergeCell ref="F1533:G1533"/>
    <mergeCell ref="H1533:I1533"/>
    <mergeCell ref="J1533:K1533"/>
    <mergeCell ref="L1533:M1533"/>
    <mergeCell ref="T1532:U1532"/>
    <mergeCell ref="V1532:W1532"/>
    <mergeCell ref="X1532:Y1532"/>
    <mergeCell ref="Z1532:AA1532"/>
    <mergeCell ref="AB1532:AC1532"/>
    <mergeCell ref="AD1532:AE1532"/>
    <mergeCell ref="AL1531:BB1531"/>
    <mergeCell ref="B1532:C1532"/>
    <mergeCell ref="D1532:E1532"/>
    <mergeCell ref="F1532:G1532"/>
    <mergeCell ref="H1532:I1532"/>
    <mergeCell ref="J1532:K1532"/>
    <mergeCell ref="L1532:M1532"/>
    <mergeCell ref="N1532:O1532"/>
    <mergeCell ref="P1532:Q1532"/>
    <mergeCell ref="R1532:S1532"/>
    <mergeCell ref="Z1531:AA1531"/>
    <mergeCell ref="AB1531:AC1531"/>
    <mergeCell ref="AD1531:AE1531"/>
    <mergeCell ref="AF1531:AG1531"/>
    <mergeCell ref="AH1531:AI1531"/>
    <mergeCell ref="AJ1531:AK1531"/>
    <mergeCell ref="N1531:O1531"/>
    <mergeCell ref="P1531:Q1531"/>
    <mergeCell ref="R1531:S1531"/>
    <mergeCell ref="T1531:U1531"/>
    <mergeCell ref="V1531:W1531"/>
    <mergeCell ref="X1531:Y1531"/>
    <mergeCell ref="AF1530:AG1530"/>
    <mergeCell ref="AH1530:AI1530"/>
    <mergeCell ref="AJ1530:AK1530"/>
    <mergeCell ref="AL1530:BB1530"/>
    <mergeCell ref="B1531:C1531"/>
    <mergeCell ref="D1531:E1531"/>
    <mergeCell ref="F1531:G1531"/>
    <mergeCell ref="H1531:I1531"/>
    <mergeCell ref="J1531:K1531"/>
    <mergeCell ref="L1531:M1531"/>
    <mergeCell ref="T1530:U1530"/>
    <mergeCell ref="V1530:W1530"/>
    <mergeCell ref="X1530:Y1530"/>
    <mergeCell ref="Z1530:AA1530"/>
    <mergeCell ref="AB1530:AC1530"/>
    <mergeCell ref="AD1530:AE1530"/>
    <mergeCell ref="AL1529:BB1529"/>
    <mergeCell ref="B1530:C1530"/>
    <mergeCell ref="D1530:E1530"/>
    <mergeCell ref="F1530:G1530"/>
    <mergeCell ref="H1530:I1530"/>
    <mergeCell ref="J1530:K1530"/>
    <mergeCell ref="L1530:M1530"/>
    <mergeCell ref="N1530:O1530"/>
    <mergeCell ref="P1530:Q1530"/>
    <mergeCell ref="R1530:S1530"/>
    <mergeCell ref="Z1529:AA1529"/>
    <mergeCell ref="AB1529:AC1529"/>
    <mergeCell ref="AD1529:AE1529"/>
    <mergeCell ref="AF1529:AG1529"/>
    <mergeCell ref="AH1529:AI1529"/>
    <mergeCell ref="AJ1529:AK1529"/>
    <mergeCell ref="N1529:O1529"/>
    <mergeCell ref="P1529:Q1529"/>
    <mergeCell ref="R1529:S1529"/>
    <mergeCell ref="T1529:U1529"/>
    <mergeCell ref="V1529:W1529"/>
    <mergeCell ref="X1529:Y1529"/>
    <mergeCell ref="AF1528:AG1528"/>
    <mergeCell ref="AH1528:AI1528"/>
    <mergeCell ref="AJ1528:AK1528"/>
    <mergeCell ref="AL1528:BB1528"/>
    <mergeCell ref="B1529:C1529"/>
    <mergeCell ref="D1529:E1529"/>
    <mergeCell ref="F1529:G1529"/>
    <mergeCell ref="H1529:I1529"/>
    <mergeCell ref="J1529:K1529"/>
    <mergeCell ref="L1529:M1529"/>
    <mergeCell ref="T1528:U1528"/>
    <mergeCell ref="V1528:W1528"/>
    <mergeCell ref="X1528:Y1528"/>
    <mergeCell ref="Z1528:AA1528"/>
    <mergeCell ref="AB1528:AC1528"/>
    <mergeCell ref="AD1528:AE1528"/>
    <mergeCell ref="AL1527:BB1527"/>
    <mergeCell ref="B1528:C1528"/>
    <mergeCell ref="D1528:E1528"/>
    <mergeCell ref="F1528:G1528"/>
    <mergeCell ref="H1528:I1528"/>
    <mergeCell ref="J1528:K1528"/>
    <mergeCell ref="L1528:M1528"/>
    <mergeCell ref="N1528:O1528"/>
    <mergeCell ref="P1528:Q1528"/>
    <mergeCell ref="R1528:S1528"/>
    <mergeCell ref="Z1527:AA1527"/>
    <mergeCell ref="AB1527:AC1527"/>
    <mergeCell ref="AD1527:AE1527"/>
    <mergeCell ref="AF1527:AG1527"/>
    <mergeCell ref="AH1527:AI1527"/>
    <mergeCell ref="AJ1527:AK1527"/>
    <mergeCell ref="N1527:O1527"/>
    <mergeCell ref="P1527:Q1527"/>
    <mergeCell ref="R1527:S1527"/>
    <mergeCell ref="T1527:U1527"/>
    <mergeCell ref="V1527:W1527"/>
    <mergeCell ref="X1527:Y1527"/>
    <mergeCell ref="AF1526:AG1526"/>
    <mergeCell ref="AH1526:AI1526"/>
    <mergeCell ref="AJ1526:AK1526"/>
    <mergeCell ref="AL1526:BB1526"/>
    <mergeCell ref="B1527:C1527"/>
    <mergeCell ref="D1527:E1527"/>
    <mergeCell ref="F1527:G1527"/>
    <mergeCell ref="H1527:I1527"/>
    <mergeCell ref="J1527:K1527"/>
    <mergeCell ref="L1527:M1527"/>
    <mergeCell ref="T1526:U1526"/>
    <mergeCell ref="V1526:W1526"/>
    <mergeCell ref="X1526:Y1526"/>
    <mergeCell ref="Z1526:AA1526"/>
    <mergeCell ref="AB1526:AC1526"/>
    <mergeCell ref="AD1526:AE1526"/>
    <mergeCell ref="AL1525:BB1525"/>
    <mergeCell ref="B1526:C1526"/>
    <mergeCell ref="D1526:E1526"/>
    <mergeCell ref="F1526:G1526"/>
    <mergeCell ref="H1526:I1526"/>
    <mergeCell ref="J1526:K1526"/>
    <mergeCell ref="L1526:M1526"/>
    <mergeCell ref="N1526:O1526"/>
    <mergeCell ref="P1526:Q1526"/>
    <mergeCell ref="R1526:S1526"/>
    <mergeCell ref="Z1525:AA1525"/>
    <mergeCell ref="AB1525:AC1525"/>
    <mergeCell ref="AD1525:AE1525"/>
    <mergeCell ref="AF1525:AG1525"/>
    <mergeCell ref="AH1525:AI1525"/>
    <mergeCell ref="AJ1525:AK1525"/>
    <mergeCell ref="N1525:O1525"/>
    <mergeCell ref="P1525:Q1525"/>
    <mergeCell ref="R1525:S1525"/>
    <mergeCell ref="T1525:U1525"/>
    <mergeCell ref="V1525:W1525"/>
    <mergeCell ref="X1525:Y1525"/>
    <mergeCell ref="AF1524:AG1524"/>
    <mergeCell ref="AH1524:AI1524"/>
    <mergeCell ref="AJ1524:AK1524"/>
    <mergeCell ref="AL1524:BB1524"/>
    <mergeCell ref="B1525:C1525"/>
    <mergeCell ref="D1525:E1525"/>
    <mergeCell ref="F1525:G1525"/>
    <mergeCell ref="H1525:I1525"/>
    <mergeCell ref="J1525:K1525"/>
    <mergeCell ref="L1525:M1525"/>
    <mergeCell ref="T1524:U1524"/>
    <mergeCell ref="V1524:W1524"/>
    <mergeCell ref="X1524:Y1524"/>
    <mergeCell ref="Z1524:AA1524"/>
    <mergeCell ref="AB1524:AC1524"/>
    <mergeCell ref="AD1524:AE1524"/>
    <mergeCell ref="AL1523:BB1523"/>
    <mergeCell ref="B1524:C1524"/>
    <mergeCell ref="D1524:E1524"/>
    <mergeCell ref="F1524:G1524"/>
    <mergeCell ref="H1524:I1524"/>
    <mergeCell ref="J1524:K1524"/>
    <mergeCell ref="L1524:M1524"/>
    <mergeCell ref="N1524:O1524"/>
    <mergeCell ref="P1524:Q1524"/>
    <mergeCell ref="R1524:S1524"/>
    <mergeCell ref="Z1523:AA1523"/>
    <mergeCell ref="AB1523:AC1523"/>
    <mergeCell ref="AD1523:AE1523"/>
    <mergeCell ref="AF1523:AG1523"/>
    <mergeCell ref="AH1523:AI1523"/>
    <mergeCell ref="AJ1523:AK1523"/>
    <mergeCell ref="N1523:O1523"/>
    <mergeCell ref="P1523:Q1523"/>
    <mergeCell ref="R1523:S1523"/>
    <mergeCell ref="T1523:U1523"/>
    <mergeCell ref="V1523:W1523"/>
    <mergeCell ref="X1523:Y1523"/>
    <mergeCell ref="AF1522:AG1522"/>
    <mergeCell ref="AH1522:AI1522"/>
    <mergeCell ref="AJ1522:AK1522"/>
    <mergeCell ref="AL1522:BB1522"/>
    <mergeCell ref="B1523:C1523"/>
    <mergeCell ref="D1523:E1523"/>
    <mergeCell ref="F1523:G1523"/>
    <mergeCell ref="H1523:I1523"/>
    <mergeCell ref="J1523:K1523"/>
    <mergeCell ref="L1523:M1523"/>
    <mergeCell ref="T1522:U1522"/>
    <mergeCell ref="V1522:W1522"/>
    <mergeCell ref="X1522:Y1522"/>
    <mergeCell ref="Z1522:AA1522"/>
    <mergeCell ref="AB1522:AC1522"/>
    <mergeCell ref="AD1522:AE1522"/>
    <mergeCell ref="AL1521:BB1521"/>
    <mergeCell ref="B1522:C1522"/>
    <mergeCell ref="D1522:E1522"/>
    <mergeCell ref="F1522:G1522"/>
    <mergeCell ref="H1522:I1522"/>
    <mergeCell ref="J1522:K1522"/>
    <mergeCell ref="L1522:M1522"/>
    <mergeCell ref="N1522:O1522"/>
    <mergeCell ref="P1522:Q1522"/>
    <mergeCell ref="R1522:S1522"/>
    <mergeCell ref="Z1521:AA1521"/>
    <mergeCell ref="AB1521:AC1521"/>
    <mergeCell ref="AD1521:AE1521"/>
    <mergeCell ref="AF1521:AG1521"/>
    <mergeCell ref="AH1521:AI1521"/>
    <mergeCell ref="AJ1521:AK1521"/>
    <mergeCell ref="N1521:O1521"/>
    <mergeCell ref="P1521:Q1521"/>
    <mergeCell ref="R1521:S1521"/>
    <mergeCell ref="T1521:U1521"/>
    <mergeCell ref="V1521:W1521"/>
    <mergeCell ref="X1521:Y1521"/>
    <mergeCell ref="AF1520:AG1520"/>
    <mergeCell ref="AH1520:AI1520"/>
    <mergeCell ref="AJ1520:AK1520"/>
    <mergeCell ref="AL1520:BB1520"/>
    <mergeCell ref="B1521:C1521"/>
    <mergeCell ref="D1521:E1521"/>
    <mergeCell ref="F1521:G1521"/>
    <mergeCell ref="H1521:I1521"/>
    <mergeCell ref="J1521:K1521"/>
    <mergeCell ref="L1521:M1521"/>
    <mergeCell ref="T1520:U1520"/>
    <mergeCell ref="V1520:W1520"/>
    <mergeCell ref="X1520:Y1520"/>
    <mergeCell ref="Z1520:AA1520"/>
    <mergeCell ref="AB1520:AC1520"/>
    <mergeCell ref="AD1520:AE1520"/>
    <mergeCell ref="AL1519:BB1519"/>
    <mergeCell ref="B1520:C1520"/>
    <mergeCell ref="D1520:E1520"/>
    <mergeCell ref="F1520:G1520"/>
    <mergeCell ref="H1520:I1520"/>
    <mergeCell ref="J1520:K1520"/>
    <mergeCell ref="L1520:M1520"/>
    <mergeCell ref="N1520:O1520"/>
    <mergeCell ref="P1520:Q1520"/>
    <mergeCell ref="R1520:S1520"/>
    <mergeCell ref="Z1519:AA1519"/>
    <mergeCell ref="AB1519:AC1519"/>
    <mergeCell ref="AD1519:AE1519"/>
    <mergeCell ref="AF1519:AG1519"/>
    <mergeCell ref="AH1519:AI1519"/>
    <mergeCell ref="AJ1519:AK1519"/>
    <mergeCell ref="N1519:O1519"/>
    <mergeCell ref="P1519:Q1519"/>
    <mergeCell ref="R1519:S1519"/>
    <mergeCell ref="T1519:U1519"/>
    <mergeCell ref="V1519:W1519"/>
    <mergeCell ref="X1519:Y1519"/>
    <mergeCell ref="AF1518:AG1518"/>
    <mergeCell ref="AH1518:AI1518"/>
    <mergeCell ref="AJ1518:AK1518"/>
    <mergeCell ref="AL1518:BB1518"/>
    <mergeCell ref="B1519:C1519"/>
    <mergeCell ref="D1519:E1519"/>
    <mergeCell ref="F1519:G1519"/>
    <mergeCell ref="H1519:I1519"/>
    <mergeCell ref="J1519:K1519"/>
    <mergeCell ref="L1519:M1519"/>
    <mergeCell ref="T1518:U1518"/>
    <mergeCell ref="V1518:W1518"/>
    <mergeCell ref="X1518:Y1518"/>
    <mergeCell ref="Z1518:AA1518"/>
    <mergeCell ref="AB1518:AC1518"/>
    <mergeCell ref="AD1518:AE1518"/>
    <mergeCell ref="AL1517:BB1517"/>
    <mergeCell ref="B1518:C1518"/>
    <mergeCell ref="D1518:E1518"/>
    <mergeCell ref="F1518:G1518"/>
    <mergeCell ref="H1518:I1518"/>
    <mergeCell ref="J1518:K1518"/>
    <mergeCell ref="L1518:M1518"/>
    <mergeCell ref="N1518:O1518"/>
    <mergeCell ref="P1518:Q1518"/>
    <mergeCell ref="R1518:S1518"/>
    <mergeCell ref="Z1517:AA1517"/>
    <mergeCell ref="AB1517:AC1517"/>
    <mergeCell ref="AD1517:AE1517"/>
    <mergeCell ref="AF1517:AG1517"/>
    <mergeCell ref="AH1517:AI1517"/>
    <mergeCell ref="AJ1517:AK1517"/>
    <mergeCell ref="N1517:O1517"/>
    <mergeCell ref="P1517:Q1517"/>
    <mergeCell ref="R1517:S1517"/>
    <mergeCell ref="T1517:U1517"/>
    <mergeCell ref="V1517:W1517"/>
    <mergeCell ref="X1517:Y1517"/>
    <mergeCell ref="AF1516:AG1516"/>
    <mergeCell ref="AH1516:AI1516"/>
    <mergeCell ref="AJ1516:AK1516"/>
    <mergeCell ref="AL1516:BB1516"/>
    <mergeCell ref="B1517:C1517"/>
    <mergeCell ref="D1517:E1517"/>
    <mergeCell ref="F1517:G1517"/>
    <mergeCell ref="H1517:I1517"/>
    <mergeCell ref="J1517:K1517"/>
    <mergeCell ref="L1517:M1517"/>
    <mergeCell ref="T1516:U1516"/>
    <mergeCell ref="V1516:W1516"/>
    <mergeCell ref="X1516:Y1516"/>
    <mergeCell ref="Z1516:AA1516"/>
    <mergeCell ref="AB1516:AC1516"/>
    <mergeCell ref="AD1516:AE1516"/>
    <mergeCell ref="AL1515:BB1515"/>
    <mergeCell ref="B1516:C1516"/>
    <mergeCell ref="D1516:E1516"/>
    <mergeCell ref="F1516:G1516"/>
    <mergeCell ref="H1516:I1516"/>
    <mergeCell ref="J1516:K1516"/>
    <mergeCell ref="L1516:M1516"/>
    <mergeCell ref="N1516:O1516"/>
    <mergeCell ref="P1516:Q1516"/>
    <mergeCell ref="R1516:S1516"/>
    <mergeCell ref="Z1515:AA1515"/>
    <mergeCell ref="AB1515:AC1515"/>
    <mergeCell ref="AD1515:AE1515"/>
    <mergeCell ref="AF1515:AG1515"/>
    <mergeCell ref="AH1515:AI1515"/>
    <mergeCell ref="AJ1515:AK1515"/>
    <mergeCell ref="N1515:O1515"/>
    <mergeCell ref="P1515:Q1515"/>
    <mergeCell ref="R1515:S1515"/>
    <mergeCell ref="T1515:U1515"/>
    <mergeCell ref="V1515:W1515"/>
    <mergeCell ref="X1515:Y1515"/>
    <mergeCell ref="B1515:C1515"/>
    <mergeCell ref="D1515:E1515"/>
    <mergeCell ref="F1515:G1515"/>
    <mergeCell ref="H1515:I1515"/>
    <mergeCell ref="J1515:K1515"/>
    <mergeCell ref="L1515:M1515"/>
    <mergeCell ref="AL15:BB15"/>
    <mergeCell ref="AL16:BB16"/>
    <mergeCell ref="AL17:BB17"/>
    <mergeCell ref="AL18:BB18"/>
    <mergeCell ref="AL19:BB19"/>
    <mergeCell ref="AL20:BB20"/>
    <mergeCell ref="L16:M16"/>
    <mergeCell ref="H18:I18"/>
    <mergeCell ref="J18:K18"/>
    <mergeCell ref="L18:M18"/>
    <mergeCell ref="H20:I20"/>
    <mergeCell ref="J20:K20"/>
    <mergeCell ref="L20:M20"/>
    <mergeCell ref="AH13:AI13"/>
    <mergeCell ref="AJ13:AK13"/>
    <mergeCell ref="V12:AK12"/>
    <mergeCell ref="H14:I14"/>
    <mergeCell ref="J14:K14"/>
    <mergeCell ref="L14:M14"/>
    <mergeCell ref="N14:O14"/>
    <mergeCell ref="P14:Q14"/>
    <mergeCell ref="F12:U12"/>
    <mergeCell ref="V13:W13"/>
    <mergeCell ref="X13:Y13"/>
    <mergeCell ref="Z13:AA13"/>
    <mergeCell ref="AB13:AC13"/>
    <mergeCell ref="AD13:AE13"/>
    <mergeCell ref="AF13:AG13"/>
    <mergeCell ref="F23:G23"/>
    <mergeCell ref="H13:I13"/>
    <mergeCell ref="J13:K13"/>
    <mergeCell ref="L13:M13"/>
    <mergeCell ref="N13:O13"/>
    <mergeCell ref="P13:Q13"/>
    <mergeCell ref="AD17:AE17"/>
    <mergeCell ref="AF17:AG17"/>
    <mergeCell ref="AH17:AI17"/>
    <mergeCell ref="AJ17:AK17"/>
    <mergeCell ref="R17:S17"/>
    <mergeCell ref="T17:U17"/>
    <mergeCell ref="V17:W17"/>
    <mergeCell ref="X17:Y17"/>
    <mergeCell ref="Z17:AA17"/>
    <mergeCell ref="AB17:AC17"/>
    <mergeCell ref="AD14:AE14"/>
    <mergeCell ref="AF14:AG14"/>
    <mergeCell ref="AH14:AI14"/>
    <mergeCell ref="AJ14:AK14"/>
    <mergeCell ref="R14:S14"/>
    <mergeCell ref="T14:U14"/>
    <mergeCell ref="V14:W14"/>
    <mergeCell ref="X14:Y14"/>
    <mergeCell ref="Z14:AA14"/>
    <mergeCell ref="AB14:AC14"/>
    <mergeCell ref="AL27:BB27"/>
    <mergeCell ref="AL28:BB28"/>
    <mergeCell ref="AL29:BB29"/>
    <mergeCell ref="AL30:BB30"/>
    <mergeCell ref="AL21:BB21"/>
    <mergeCell ref="AL22:BB22"/>
    <mergeCell ref="AL23:BB23"/>
    <mergeCell ref="AL1514:BB1514"/>
    <mergeCell ref="AD1514:AE1514"/>
    <mergeCell ref="AF1514:AG1514"/>
    <mergeCell ref="AH1514:AI1514"/>
    <mergeCell ref="AJ1514:AK1514"/>
    <mergeCell ref="R1514:S1514"/>
    <mergeCell ref="T1514:U1514"/>
    <mergeCell ref="V1514:W1514"/>
    <mergeCell ref="X1514:Y1514"/>
    <mergeCell ref="Z1514:AA1514"/>
    <mergeCell ref="AB1514:AC1514"/>
    <mergeCell ref="B1514:C1514"/>
    <mergeCell ref="D1514:E1514"/>
    <mergeCell ref="F1514:G1514"/>
    <mergeCell ref="H1514:I1514"/>
    <mergeCell ref="J1514:K1514"/>
    <mergeCell ref="L1514:M1514"/>
    <mergeCell ref="N1514:O1514"/>
    <mergeCell ref="P1514:Q1514"/>
    <mergeCell ref="AL1513:BB1513"/>
    <mergeCell ref="AD1513:AE1513"/>
    <mergeCell ref="AF1513:AG1513"/>
    <mergeCell ref="AH1513:AI1513"/>
    <mergeCell ref="AJ1513:AK1513"/>
    <mergeCell ref="R1513:S1513"/>
    <mergeCell ref="T1513:U1513"/>
    <mergeCell ref="V1513:W1513"/>
    <mergeCell ref="X1513:Y1513"/>
    <mergeCell ref="Z1513:AA1513"/>
    <mergeCell ref="AB1513:AC1513"/>
    <mergeCell ref="B1513:C1513"/>
    <mergeCell ref="D1513:E1513"/>
    <mergeCell ref="F1513:G1513"/>
    <mergeCell ref="H1513:I1513"/>
    <mergeCell ref="J1513:K1513"/>
    <mergeCell ref="L1513:M1513"/>
    <mergeCell ref="N1513:O1513"/>
    <mergeCell ref="P1513:Q1513"/>
    <mergeCell ref="AL1512:BB1512"/>
    <mergeCell ref="AD1512:AE1512"/>
    <mergeCell ref="AF1512:AG1512"/>
    <mergeCell ref="AH1512:AI1512"/>
    <mergeCell ref="L24:M24"/>
    <mergeCell ref="AL24:BB24"/>
    <mergeCell ref="AL25:BB25"/>
    <mergeCell ref="H26:I26"/>
    <mergeCell ref="J26:K26"/>
    <mergeCell ref="L26:M26"/>
    <mergeCell ref="AL26:BB26"/>
    <mergeCell ref="L22:M22"/>
    <mergeCell ref="Z26:AA26"/>
    <mergeCell ref="AB26:AC26"/>
    <mergeCell ref="AD26:AE26"/>
    <mergeCell ref="AF26:AG26"/>
    <mergeCell ref="AH26:AI26"/>
    <mergeCell ref="AJ26:AK26"/>
    <mergeCell ref="N26:O26"/>
    <mergeCell ref="AJ1512:AK1512"/>
    <mergeCell ref="R1512:S1512"/>
    <mergeCell ref="T1512:U1512"/>
    <mergeCell ref="V1512:W1512"/>
    <mergeCell ref="X1512:Y1512"/>
    <mergeCell ref="Z1512:AA1512"/>
    <mergeCell ref="AB1512:AC1512"/>
    <mergeCell ref="B1512:C1512"/>
    <mergeCell ref="D1512:E1512"/>
    <mergeCell ref="F1512:G1512"/>
    <mergeCell ref="H1512:I1512"/>
    <mergeCell ref="J1512:K1512"/>
    <mergeCell ref="L1512:M1512"/>
    <mergeCell ref="N1512:O1512"/>
    <mergeCell ref="P1512:Q1512"/>
    <mergeCell ref="AL1511:BB1511"/>
    <mergeCell ref="AD1511:AE1511"/>
    <mergeCell ref="AF1511:AG1511"/>
    <mergeCell ref="AH1511:AI1511"/>
    <mergeCell ref="AJ1511:AK1511"/>
    <mergeCell ref="R1511:S1511"/>
    <mergeCell ref="T1511:U1511"/>
    <mergeCell ref="V1511:W1511"/>
    <mergeCell ref="X1511:Y1511"/>
    <mergeCell ref="Z1511:AA1511"/>
    <mergeCell ref="AB1511:AC1511"/>
    <mergeCell ref="B1511:C1511"/>
    <mergeCell ref="D1511:E1511"/>
    <mergeCell ref="F1511:G1511"/>
    <mergeCell ref="H1511:I1511"/>
    <mergeCell ref="J1511:K1511"/>
    <mergeCell ref="L1511:M1511"/>
    <mergeCell ref="N1511:O1511"/>
    <mergeCell ref="P1511:Q1511"/>
    <mergeCell ref="AL1510:BB1510"/>
    <mergeCell ref="AD1510:AE1510"/>
    <mergeCell ref="AF1510:AG1510"/>
    <mergeCell ref="AH1510:AI1510"/>
    <mergeCell ref="AJ1510:AK1510"/>
    <mergeCell ref="R1510:S1510"/>
    <mergeCell ref="T1510:U1510"/>
    <mergeCell ref="V1510:W1510"/>
    <mergeCell ref="X1510:Y1510"/>
    <mergeCell ref="Z1510:AA1510"/>
    <mergeCell ref="AB1510:AC1510"/>
    <mergeCell ref="B1510:C1510"/>
    <mergeCell ref="D1510:E1510"/>
    <mergeCell ref="F1510:G1510"/>
    <mergeCell ref="H1510:I1510"/>
    <mergeCell ref="J1510:K1510"/>
    <mergeCell ref="L1510:M1510"/>
    <mergeCell ref="N1510:O1510"/>
    <mergeCell ref="P1510:Q1510"/>
    <mergeCell ref="AL1509:BB1509"/>
    <mergeCell ref="AD1509:AE1509"/>
    <mergeCell ref="AF1509:AG1509"/>
    <mergeCell ref="AH1509:AI1509"/>
    <mergeCell ref="AJ1509:AK1509"/>
    <mergeCell ref="R1509:S1509"/>
    <mergeCell ref="T1509:U1509"/>
    <mergeCell ref="V1509:W1509"/>
    <mergeCell ref="X1509:Y1509"/>
    <mergeCell ref="Z1509:AA1509"/>
    <mergeCell ref="AB1509:AC1509"/>
    <mergeCell ref="B1509:C1509"/>
    <mergeCell ref="D1509:E1509"/>
    <mergeCell ref="F1509:G1509"/>
    <mergeCell ref="H1509:I1509"/>
    <mergeCell ref="J1509:K1509"/>
    <mergeCell ref="L1509:M1509"/>
    <mergeCell ref="N1509:O1509"/>
    <mergeCell ref="P1509:Q1509"/>
    <mergeCell ref="AL1508:BB1508"/>
    <mergeCell ref="AD1508:AE1508"/>
    <mergeCell ref="AF1508:AG1508"/>
    <mergeCell ref="AH1508:AI1508"/>
    <mergeCell ref="AJ1508:AK1508"/>
    <mergeCell ref="R1508:S1508"/>
    <mergeCell ref="T1508:U1508"/>
    <mergeCell ref="V1508:W1508"/>
    <mergeCell ref="X1508:Y1508"/>
    <mergeCell ref="Z1508:AA1508"/>
    <mergeCell ref="AB1508:AC1508"/>
    <mergeCell ref="B1508:C1508"/>
    <mergeCell ref="D1508:E1508"/>
    <mergeCell ref="F1508:G1508"/>
    <mergeCell ref="H1508:I1508"/>
    <mergeCell ref="J1508:K1508"/>
    <mergeCell ref="L1508:M1508"/>
    <mergeCell ref="N1508:O1508"/>
    <mergeCell ref="P1508:Q1508"/>
    <mergeCell ref="AL1507:BB1507"/>
    <mergeCell ref="AD1507:AE1507"/>
    <mergeCell ref="AF1507:AG1507"/>
    <mergeCell ref="AH1507:AI1507"/>
    <mergeCell ref="AJ1507:AK1507"/>
    <mergeCell ref="R1507:S1507"/>
    <mergeCell ref="T1507:U1507"/>
    <mergeCell ref="V1507:W1507"/>
    <mergeCell ref="X1507:Y1507"/>
    <mergeCell ref="Z1507:AA1507"/>
    <mergeCell ref="AB1507:AC1507"/>
    <mergeCell ref="B1507:C1507"/>
    <mergeCell ref="D1507:E1507"/>
    <mergeCell ref="F1507:G1507"/>
    <mergeCell ref="H1507:I1507"/>
    <mergeCell ref="J1507:K1507"/>
    <mergeCell ref="L1507:M1507"/>
    <mergeCell ref="N1507:O1507"/>
    <mergeCell ref="P1507:Q1507"/>
    <mergeCell ref="AL1506:BB1506"/>
    <mergeCell ref="Z1506:AA1506"/>
    <mergeCell ref="AB1506:AC1506"/>
    <mergeCell ref="AD1506:AE1506"/>
    <mergeCell ref="AF1506:AG1506"/>
    <mergeCell ref="AH1506:AI1506"/>
    <mergeCell ref="AJ1506:AK1506"/>
    <mergeCell ref="N1506:O1506"/>
    <mergeCell ref="P1506:Q1506"/>
    <mergeCell ref="R1506:S1506"/>
    <mergeCell ref="T1506:U1506"/>
    <mergeCell ref="V1506:W1506"/>
    <mergeCell ref="X1506:Y1506"/>
    <mergeCell ref="B1506:C1506"/>
    <mergeCell ref="D1506:E1506"/>
    <mergeCell ref="F1506:G1506"/>
    <mergeCell ref="H1506:I1506"/>
    <mergeCell ref="J1506:K1506"/>
    <mergeCell ref="L1506:M1506"/>
    <mergeCell ref="AL1505:BB1505"/>
    <mergeCell ref="AD1505:AE1505"/>
    <mergeCell ref="AF1505:AG1505"/>
    <mergeCell ref="AH1505:AI1505"/>
    <mergeCell ref="AJ1505:AK1505"/>
    <mergeCell ref="R1505:S1505"/>
    <mergeCell ref="T1505:U1505"/>
    <mergeCell ref="V1505:W1505"/>
    <mergeCell ref="X1505:Y1505"/>
    <mergeCell ref="Z1505:AA1505"/>
    <mergeCell ref="AB1505:AC1505"/>
    <mergeCell ref="B1505:C1505"/>
    <mergeCell ref="D1505:E1505"/>
    <mergeCell ref="F1505:G1505"/>
    <mergeCell ref="H1505:I1505"/>
    <mergeCell ref="J1505:K1505"/>
    <mergeCell ref="L1505:M1505"/>
    <mergeCell ref="N1505:O1505"/>
    <mergeCell ref="P1505:Q1505"/>
    <mergeCell ref="AL1504:BB1504"/>
    <mergeCell ref="Z1504:AA1504"/>
    <mergeCell ref="AB1504:AC1504"/>
    <mergeCell ref="AD1504:AE1504"/>
    <mergeCell ref="AF1504:AG1504"/>
    <mergeCell ref="AH1504:AI1504"/>
    <mergeCell ref="AJ1504:AK1504"/>
    <mergeCell ref="N1504:O1504"/>
    <mergeCell ref="P1504:Q1504"/>
    <mergeCell ref="R1504:S1504"/>
    <mergeCell ref="T1504:U1504"/>
    <mergeCell ref="V1504:W1504"/>
    <mergeCell ref="X1504:Y1504"/>
    <mergeCell ref="B1504:C1504"/>
    <mergeCell ref="D1504:E1504"/>
    <mergeCell ref="F1504:G1504"/>
    <mergeCell ref="H1504:I1504"/>
    <mergeCell ref="J1504:K1504"/>
    <mergeCell ref="L1504:M1504"/>
    <mergeCell ref="AL1503:BB1503"/>
    <mergeCell ref="AD1503:AE1503"/>
    <mergeCell ref="AF1503:AG1503"/>
    <mergeCell ref="AH1503:AI1503"/>
    <mergeCell ref="AJ1503:AK1503"/>
    <mergeCell ref="R1503:S1503"/>
    <mergeCell ref="T1503:U1503"/>
    <mergeCell ref="V1503:W1503"/>
    <mergeCell ref="X1503:Y1503"/>
    <mergeCell ref="Z1503:AA1503"/>
    <mergeCell ref="AB1503:AC1503"/>
    <mergeCell ref="B1503:C1503"/>
    <mergeCell ref="D1503:E1503"/>
    <mergeCell ref="F1503:G1503"/>
    <mergeCell ref="H1503:I1503"/>
    <mergeCell ref="J1503:K1503"/>
    <mergeCell ref="L1503:M1503"/>
    <mergeCell ref="N1503:O1503"/>
    <mergeCell ref="P1503:Q1503"/>
    <mergeCell ref="AL1502:BB1502"/>
    <mergeCell ref="Z1502:AA1502"/>
    <mergeCell ref="AB1502:AC1502"/>
    <mergeCell ref="AD1502:AE1502"/>
    <mergeCell ref="AF1502:AG1502"/>
    <mergeCell ref="AH1502:AI1502"/>
    <mergeCell ref="AJ1502:AK1502"/>
    <mergeCell ref="N1502:O1502"/>
    <mergeCell ref="P1502:Q1502"/>
    <mergeCell ref="R1502:S1502"/>
    <mergeCell ref="T1502:U1502"/>
    <mergeCell ref="V1502:W1502"/>
    <mergeCell ref="X1502:Y1502"/>
    <mergeCell ref="B1502:C1502"/>
    <mergeCell ref="D1502:E1502"/>
    <mergeCell ref="F1502:G1502"/>
    <mergeCell ref="H1502:I1502"/>
    <mergeCell ref="J1502:K1502"/>
    <mergeCell ref="L1502:M1502"/>
    <mergeCell ref="AL1501:BB1501"/>
    <mergeCell ref="AD1501:AE1501"/>
    <mergeCell ref="AF1501:AG1501"/>
    <mergeCell ref="AH1501:AI1501"/>
    <mergeCell ref="AJ1501:AK1501"/>
    <mergeCell ref="R1501:S1501"/>
    <mergeCell ref="T1501:U1501"/>
    <mergeCell ref="V1501:W1501"/>
    <mergeCell ref="X1501:Y1501"/>
    <mergeCell ref="Z1501:AA1501"/>
    <mergeCell ref="AB1501:AC1501"/>
    <mergeCell ref="B1501:C1501"/>
    <mergeCell ref="D1501:E1501"/>
    <mergeCell ref="F1501:G1501"/>
    <mergeCell ref="H1501:I1501"/>
    <mergeCell ref="J1501:K1501"/>
    <mergeCell ref="L1501:M1501"/>
    <mergeCell ref="N1501:O1501"/>
    <mergeCell ref="P1501:Q1501"/>
    <mergeCell ref="AL1500:BB1500"/>
    <mergeCell ref="Z1500:AA1500"/>
    <mergeCell ref="AB1500:AC1500"/>
    <mergeCell ref="AD1500:AE1500"/>
    <mergeCell ref="AF1500:AG1500"/>
    <mergeCell ref="AH1500:AI1500"/>
    <mergeCell ref="AJ1500:AK1500"/>
    <mergeCell ref="N1500:O1500"/>
    <mergeCell ref="P1500:Q1500"/>
    <mergeCell ref="R1500:S1500"/>
    <mergeCell ref="T1500:U1500"/>
    <mergeCell ref="V1500:W1500"/>
    <mergeCell ref="X1500:Y1500"/>
    <mergeCell ref="B1500:C1500"/>
    <mergeCell ref="D1500:E1500"/>
    <mergeCell ref="F1500:G1500"/>
    <mergeCell ref="H1500:I1500"/>
    <mergeCell ref="J1500:K1500"/>
    <mergeCell ref="L1500:M1500"/>
    <mergeCell ref="AL1499:BB1499"/>
    <mergeCell ref="AD1499:AE1499"/>
    <mergeCell ref="AF1499:AG1499"/>
    <mergeCell ref="AH1499:AI1499"/>
    <mergeCell ref="AJ1499:AK1499"/>
    <mergeCell ref="R1499:S1499"/>
    <mergeCell ref="T1499:U1499"/>
    <mergeCell ref="V1499:W1499"/>
    <mergeCell ref="X1499:Y1499"/>
    <mergeCell ref="Z1499:AA1499"/>
    <mergeCell ref="AB1499:AC1499"/>
    <mergeCell ref="B1499:C1499"/>
    <mergeCell ref="D1499:E1499"/>
    <mergeCell ref="F1499:G1499"/>
    <mergeCell ref="H1499:I1499"/>
    <mergeCell ref="J1499:K1499"/>
    <mergeCell ref="L1499:M1499"/>
    <mergeCell ref="N1499:O1499"/>
    <mergeCell ref="P1499:Q1499"/>
    <mergeCell ref="AL1498:BB1498"/>
    <mergeCell ref="Z1498:AA1498"/>
    <mergeCell ref="AB1498:AC1498"/>
    <mergeCell ref="AD1498:AE1498"/>
    <mergeCell ref="AF1498:AG1498"/>
    <mergeCell ref="AH1498:AI1498"/>
    <mergeCell ref="AJ1498:AK1498"/>
    <mergeCell ref="N1498:O1498"/>
    <mergeCell ref="P1498:Q1498"/>
    <mergeCell ref="R1498:S1498"/>
    <mergeCell ref="T1498:U1498"/>
    <mergeCell ref="V1498:W1498"/>
    <mergeCell ref="X1498:Y1498"/>
    <mergeCell ref="B1498:C1498"/>
    <mergeCell ref="D1498:E1498"/>
    <mergeCell ref="F1498:G1498"/>
    <mergeCell ref="H1498:I1498"/>
    <mergeCell ref="J1498:K1498"/>
    <mergeCell ref="L1498:M1498"/>
    <mergeCell ref="AL1497:BB1497"/>
    <mergeCell ref="Z1497:AA1497"/>
    <mergeCell ref="AB1497:AC1497"/>
    <mergeCell ref="AD1497:AE1497"/>
    <mergeCell ref="AF1497:AG1497"/>
    <mergeCell ref="AH1497:AI1497"/>
    <mergeCell ref="AJ1497:AK1497"/>
    <mergeCell ref="N1497:O1497"/>
    <mergeCell ref="P1497:Q1497"/>
    <mergeCell ref="R1497:S1497"/>
    <mergeCell ref="T1497:U1497"/>
    <mergeCell ref="V1497:W1497"/>
    <mergeCell ref="X1497:Y1497"/>
    <mergeCell ref="B1497:C1497"/>
    <mergeCell ref="D1497:E1497"/>
    <mergeCell ref="F1497:G1497"/>
    <mergeCell ref="H1497:I1497"/>
    <mergeCell ref="J1497:K1497"/>
    <mergeCell ref="L1497:M1497"/>
    <mergeCell ref="AL1496:BB1496"/>
    <mergeCell ref="AD1496:AE1496"/>
    <mergeCell ref="AF1496:AG1496"/>
    <mergeCell ref="AH1496:AI1496"/>
    <mergeCell ref="AJ1496:AK1496"/>
    <mergeCell ref="R1496:S1496"/>
    <mergeCell ref="T1496:U1496"/>
    <mergeCell ref="V1496:W1496"/>
    <mergeCell ref="X1496:Y1496"/>
    <mergeCell ref="Z1496:AA1496"/>
    <mergeCell ref="AB1496:AC1496"/>
    <mergeCell ref="B1496:C1496"/>
    <mergeCell ref="D1496:E1496"/>
    <mergeCell ref="F1496:G1496"/>
    <mergeCell ref="H1496:I1496"/>
    <mergeCell ref="J1496:K1496"/>
    <mergeCell ref="L1496:M1496"/>
    <mergeCell ref="N1496:O1496"/>
    <mergeCell ref="P1496:Q1496"/>
    <mergeCell ref="AL1495:BB1495"/>
    <mergeCell ref="AD1495:AE1495"/>
    <mergeCell ref="AF1495:AG1495"/>
    <mergeCell ref="AH1495:AI1495"/>
    <mergeCell ref="AJ1495:AK1495"/>
    <mergeCell ref="R1495:S1495"/>
    <mergeCell ref="T1495:U1495"/>
    <mergeCell ref="V1495:W1495"/>
    <mergeCell ref="X1495:Y1495"/>
    <mergeCell ref="Z1495:AA1495"/>
    <mergeCell ref="AB1495:AC1495"/>
    <mergeCell ref="B1495:C1495"/>
    <mergeCell ref="D1495:E1495"/>
    <mergeCell ref="F1495:G1495"/>
    <mergeCell ref="H1495:I1495"/>
    <mergeCell ref="J1495:K1495"/>
    <mergeCell ref="L1495:M1495"/>
    <mergeCell ref="N1495:O1495"/>
    <mergeCell ref="P1495:Q1495"/>
    <mergeCell ref="AL1494:BB1494"/>
    <mergeCell ref="AD1494:AE1494"/>
    <mergeCell ref="AF1494:AG1494"/>
    <mergeCell ref="AH1494:AI1494"/>
    <mergeCell ref="AJ1494:AK1494"/>
    <mergeCell ref="R1494:S1494"/>
    <mergeCell ref="T1494:U1494"/>
    <mergeCell ref="V1494:W1494"/>
    <mergeCell ref="X1494:Y1494"/>
    <mergeCell ref="Z1494:AA1494"/>
    <mergeCell ref="AB1494:AC1494"/>
    <mergeCell ref="B1494:C1494"/>
    <mergeCell ref="D1494:E1494"/>
    <mergeCell ref="F1494:G1494"/>
    <mergeCell ref="H1494:I1494"/>
    <mergeCell ref="J1494:K1494"/>
    <mergeCell ref="L1494:M1494"/>
    <mergeCell ref="N1494:O1494"/>
    <mergeCell ref="P1494:Q1494"/>
    <mergeCell ref="AL1493:BB1493"/>
    <mergeCell ref="AD1493:AE1493"/>
    <mergeCell ref="AF1493:AG1493"/>
    <mergeCell ref="AH1493:AI1493"/>
    <mergeCell ref="AJ1493:AK1493"/>
    <mergeCell ref="R1493:S1493"/>
    <mergeCell ref="T1493:U1493"/>
    <mergeCell ref="V1493:W1493"/>
    <mergeCell ref="X1493:Y1493"/>
    <mergeCell ref="Z1493:AA1493"/>
    <mergeCell ref="AB1493:AC1493"/>
    <mergeCell ref="B1493:C1493"/>
    <mergeCell ref="D1493:E1493"/>
    <mergeCell ref="F1493:G1493"/>
    <mergeCell ref="H1493:I1493"/>
    <mergeCell ref="J1493:K1493"/>
    <mergeCell ref="L1493:M1493"/>
    <mergeCell ref="N1493:O1493"/>
    <mergeCell ref="P1493:Q1493"/>
    <mergeCell ref="AL1492:BB1492"/>
    <mergeCell ref="AD1492:AE1492"/>
    <mergeCell ref="AF1492:AG1492"/>
    <mergeCell ref="AH1492:AI1492"/>
    <mergeCell ref="AJ1492:AK1492"/>
    <mergeCell ref="R1492:S1492"/>
    <mergeCell ref="T1492:U1492"/>
    <mergeCell ref="V1492:W1492"/>
    <mergeCell ref="X1492:Y1492"/>
    <mergeCell ref="Z1492:AA1492"/>
    <mergeCell ref="AB1492:AC1492"/>
    <mergeCell ref="B1492:C1492"/>
    <mergeCell ref="D1492:E1492"/>
    <mergeCell ref="F1492:G1492"/>
    <mergeCell ref="H1492:I1492"/>
    <mergeCell ref="J1492:K1492"/>
    <mergeCell ref="L1492:M1492"/>
    <mergeCell ref="N1492:O1492"/>
    <mergeCell ref="P1492:Q1492"/>
    <mergeCell ref="AL1491:BB1491"/>
    <mergeCell ref="AD1491:AE1491"/>
    <mergeCell ref="AF1491:AG1491"/>
    <mergeCell ref="AH1491:AI1491"/>
    <mergeCell ref="AJ1491:AK1491"/>
    <mergeCell ref="R1491:S1491"/>
    <mergeCell ref="T1491:U1491"/>
    <mergeCell ref="V1491:W1491"/>
    <mergeCell ref="X1491:Y1491"/>
    <mergeCell ref="Z1491:AA1491"/>
    <mergeCell ref="AB1491:AC1491"/>
    <mergeCell ref="B1491:C1491"/>
    <mergeCell ref="D1491:E1491"/>
    <mergeCell ref="F1491:G1491"/>
    <mergeCell ref="H1491:I1491"/>
    <mergeCell ref="J1491:K1491"/>
    <mergeCell ref="L1491:M1491"/>
    <mergeCell ref="N1491:O1491"/>
    <mergeCell ref="P1491:Q1491"/>
    <mergeCell ref="AL1490:BB1490"/>
    <mergeCell ref="AD1490:AE1490"/>
    <mergeCell ref="AF1490:AG1490"/>
    <mergeCell ref="AH1490:AI1490"/>
    <mergeCell ref="AJ1490:AK1490"/>
    <mergeCell ref="R1490:S1490"/>
    <mergeCell ref="T1490:U1490"/>
    <mergeCell ref="V1490:W1490"/>
    <mergeCell ref="X1490:Y1490"/>
    <mergeCell ref="Z1490:AA1490"/>
    <mergeCell ref="AB1490:AC1490"/>
    <mergeCell ref="B1490:C1490"/>
    <mergeCell ref="D1490:E1490"/>
    <mergeCell ref="F1490:G1490"/>
    <mergeCell ref="H1490:I1490"/>
    <mergeCell ref="J1490:K1490"/>
    <mergeCell ref="L1490:M1490"/>
    <mergeCell ref="N1490:O1490"/>
    <mergeCell ref="P1490:Q1490"/>
    <mergeCell ref="AL1489:BB1489"/>
    <mergeCell ref="AD1489:AE1489"/>
    <mergeCell ref="AF1489:AG1489"/>
    <mergeCell ref="AH1489:AI1489"/>
    <mergeCell ref="AJ1489:AK1489"/>
    <mergeCell ref="R1489:S1489"/>
    <mergeCell ref="T1489:U1489"/>
    <mergeCell ref="V1489:W1489"/>
    <mergeCell ref="X1489:Y1489"/>
    <mergeCell ref="Z1489:AA1489"/>
    <mergeCell ref="AB1489:AC1489"/>
    <mergeCell ref="B1489:C1489"/>
    <mergeCell ref="D1489:E1489"/>
    <mergeCell ref="F1489:G1489"/>
    <mergeCell ref="H1489:I1489"/>
    <mergeCell ref="J1489:K1489"/>
    <mergeCell ref="L1489:M1489"/>
    <mergeCell ref="N1489:O1489"/>
    <mergeCell ref="P1489:Q1489"/>
    <mergeCell ref="AL1488:BB1488"/>
    <mergeCell ref="AD1488:AE1488"/>
    <mergeCell ref="AF1488:AG1488"/>
    <mergeCell ref="AH1488:AI1488"/>
    <mergeCell ref="AJ1488:AK1488"/>
    <mergeCell ref="R1488:S1488"/>
    <mergeCell ref="T1488:U1488"/>
    <mergeCell ref="V1488:W1488"/>
    <mergeCell ref="X1488:Y1488"/>
    <mergeCell ref="Z1488:AA1488"/>
    <mergeCell ref="AB1488:AC1488"/>
    <mergeCell ref="B1488:C1488"/>
    <mergeCell ref="D1488:E1488"/>
    <mergeCell ref="F1488:G1488"/>
    <mergeCell ref="H1488:I1488"/>
    <mergeCell ref="J1488:K1488"/>
    <mergeCell ref="L1488:M1488"/>
    <mergeCell ref="N1488:O1488"/>
    <mergeCell ref="P1488:Q1488"/>
    <mergeCell ref="AL1487:BB1487"/>
    <mergeCell ref="AD1487:AE1487"/>
    <mergeCell ref="AF1487:AG1487"/>
    <mergeCell ref="AH1487:AI1487"/>
    <mergeCell ref="AJ1487:AK1487"/>
    <mergeCell ref="R1487:S1487"/>
    <mergeCell ref="T1487:U1487"/>
    <mergeCell ref="V1487:W1487"/>
    <mergeCell ref="X1487:Y1487"/>
    <mergeCell ref="Z1487:AA1487"/>
    <mergeCell ref="AB1487:AC1487"/>
    <mergeCell ref="B1487:C1487"/>
    <mergeCell ref="D1487:E1487"/>
    <mergeCell ref="F1487:G1487"/>
    <mergeCell ref="H1487:I1487"/>
    <mergeCell ref="J1487:K1487"/>
    <mergeCell ref="L1487:M1487"/>
    <mergeCell ref="N1487:O1487"/>
    <mergeCell ref="P1487:Q1487"/>
    <mergeCell ref="AL1486:BB1486"/>
    <mergeCell ref="AD1486:AE1486"/>
    <mergeCell ref="AF1486:AG1486"/>
    <mergeCell ref="AH1486:AI1486"/>
    <mergeCell ref="AJ1486:AK1486"/>
    <mergeCell ref="R1486:S1486"/>
    <mergeCell ref="T1486:U1486"/>
    <mergeCell ref="V1486:W1486"/>
    <mergeCell ref="X1486:Y1486"/>
    <mergeCell ref="Z1486:AA1486"/>
    <mergeCell ref="AB1486:AC1486"/>
    <mergeCell ref="B1486:C1486"/>
    <mergeCell ref="D1486:E1486"/>
    <mergeCell ref="F1486:G1486"/>
    <mergeCell ref="H1486:I1486"/>
    <mergeCell ref="J1486:K1486"/>
    <mergeCell ref="L1486:M1486"/>
    <mergeCell ref="N1486:O1486"/>
    <mergeCell ref="P1486:Q1486"/>
    <mergeCell ref="AL1485:BB1485"/>
    <mergeCell ref="AD1485:AE1485"/>
    <mergeCell ref="AF1485:AG1485"/>
    <mergeCell ref="AH1485:AI1485"/>
    <mergeCell ref="AJ1485:AK1485"/>
    <mergeCell ref="R1485:S1485"/>
    <mergeCell ref="T1485:U1485"/>
    <mergeCell ref="V1485:W1485"/>
    <mergeCell ref="X1485:Y1485"/>
    <mergeCell ref="Z1485:AA1485"/>
    <mergeCell ref="AB1485:AC1485"/>
    <mergeCell ref="B1485:C1485"/>
    <mergeCell ref="D1485:E1485"/>
    <mergeCell ref="F1485:G1485"/>
    <mergeCell ref="H1485:I1485"/>
    <mergeCell ref="J1485:K1485"/>
    <mergeCell ref="L1485:M1485"/>
    <mergeCell ref="N1485:O1485"/>
    <mergeCell ref="P1485:Q1485"/>
    <mergeCell ref="AL1484:BB1484"/>
    <mergeCell ref="AD1484:AE1484"/>
    <mergeCell ref="AF1484:AG1484"/>
    <mergeCell ref="AH1484:AI1484"/>
    <mergeCell ref="AJ1484:AK1484"/>
    <mergeCell ref="R1484:S1484"/>
    <mergeCell ref="T1484:U1484"/>
    <mergeCell ref="V1484:W1484"/>
    <mergeCell ref="X1484:Y1484"/>
    <mergeCell ref="Z1484:AA1484"/>
    <mergeCell ref="AB1484:AC1484"/>
    <mergeCell ref="B1484:C1484"/>
    <mergeCell ref="D1484:E1484"/>
    <mergeCell ref="F1484:G1484"/>
    <mergeCell ref="H1484:I1484"/>
    <mergeCell ref="J1484:K1484"/>
    <mergeCell ref="L1484:M1484"/>
    <mergeCell ref="N1484:O1484"/>
    <mergeCell ref="P1484:Q1484"/>
    <mergeCell ref="AL1483:BB1483"/>
    <mergeCell ref="AD1483:AE1483"/>
    <mergeCell ref="AF1483:AG1483"/>
    <mergeCell ref="AH1483:AI1483"/>
    <mergeCell ref="AJ1483:AK1483"/>
    <mergeCell ref="R1483:S1483"/>
    <mergeCell ref="T1483:U1483"/>
    <mergeCell ref="V1483:W1483"/>
    <mergeCell ref="X1483:Y1483"/>
    <mergeCell ref="Z1483:AA1483"/>
    <mergeCell ref="AB1483:AC1483"/>
    <mergeCell ref="B1483:C1483"/>
    <mergeCell ref="D1483:E1483"/>
    <mergeCell ref="F1483:G1483"/>
    <mergeCell ref="H1483:I1483"/>
    <mergeCell ref="J1483:K1483"/>
    <mergeCell ref="L1483:M1483"/>
    <mergeCell ref="N1483:O1483"/>
    <mergeCell ref="P1483:Q1483"/>
    <mergeCell ref="AL1482:BB1482"/>
    <mergeCell ref="AD1482:AE1482"/>
    <mergeCell ref="AF1482:AG1482"/>
    <mergeCell ref="AH1482:AI1482"/>
    <mergeCell ref="AJ1482:AK1482"/>
    <mergeCell ref="R1482:S1482"/>
    <mergeCell ref="T1482:U1482"/>
    <mergeCell ref="V1482:W1482"/>
    <mergeCell ref="X1482:Y1482"/>
    <mergeCell ref="Z1482:AA1482"/>
    <mergeCell ref="AB1482:AC1482"/>
    <mergeCell ref="B1482:C1482"/>
    <mergeCell ref="D1482:E1482"/>
    <mergeCell ref="F1482:G1482"/>
    <mergeCell ref="H1482:I1482"/>
    <mergeCell ref="J1482:K1482"/>
    <mergeCell ref="L1482:M1482"/>
    <mergeCell ref="N1482:O1482"/>
    <mergeCell ref="P1482:Q1482"/>
    <mergeCell ref="AL1481:BB1481"/>
    <mergeCell ref="AD1481:AE1481"/>
    <mergeCell ref="AF1481:AG1481"/>
    <mergeCell ref="AH1481:AI1481"/>
    <mergeCell ref="AJ1481:AK1481"/>
    <mergeCell ref="R1481:S1481"/>
    <mergeCell ref="T1481:U1481"/>
    <mergeCell ref="V1481:W1481"/>
    <mergeCell ref="X1481:Y1481"/>
    <mergeCell ref="Z1481:AA1481"/>
    <mergeCell ref="AB1481:AC1481"/>
    <mergeCell ref="B1481:C1481"/>
    <mergeCell ref="D1481:E1481"/>
    <mergeCell ref="F1481:G1481"/>
    <mergeCell ref="H1481:I1481"/>
    <mergeCell ref="J1481:K1481"/>
    <mergeCell ref="L1481:M1481"/>
    <mergeCell ref="N1481:O1481"/>
    <mergeCell ref="P1481:Q1481"/>
    <mergeCell ref="AL1480:BB1480"/>
    <mergeCell ref="AD1480:AE1480"/>
    <mergeCell ref="AF1480:AG1480"/>
    <mergeCell ref="AH1480:AI1480"/>
    <mergeCell ref="AJ1480:AK1480"/>
    <mergeCell ref="R1480:S1480"/>
    <mergeCell ref="T1480:U1480"/>
    <mergeCell ref="V1480:W1480"/>
    <mergeCell ref="X1480:Y1480"/>
    <mergeCell ref="Z1480:AA1480"/>
    <mergeCell ref="AB1480:AC1480"/>
    <mergeCell ref="B1480:C1480"/>
    <mergeCell ref="D1480:E1480"/>
    <mergeCell ref="F1480:G1480"/>
    <mergeCell ref="H1480:I1480"/>
    <mergeCell ref="J1480:K1480"/>
    <mergeCell ref="L1480:M1480"/>
    <mergeCell ref="N1480:O1480"/>
    <mergeCell ref="P1480:Q1480"/>
    <mergeCell ref="AL1479:BB1479"/>
    <mergeCell ref="AD1479:AE1479"/>
    <mergeCell ref="AF1479:AG1479"/>
    <mergeCell ref="AH1479:AI1479"/>
    <mergeCell ref="AJ1479:AK1479"/>
    <mergeCell ref="R1479:S1479"/>
    <mergeCell ref="T1479:U1479"/>
    <mergeCell ref="V1479:W1479"/>
    <mergeCell ref="X1479:Y1479"/>
    <mergeCell ref="Z1479:AA1479"/>
    <mergeCell ref="AB1479:AC1479"/>
    <mergeCell ref="B1479:C1479"/>
    <mergeCell ref="D1479:E1479"/>
    <mergeCell ref="F1479:G1479"/>
    <mergeCell ref="H1479:I1479"/>
    <mergeCell ref="J1479:K1479"/>
    <mergeCell ref="L1479:M1479"/>
    <mergeCell ref="N1479:O1479"/>
    <mergeCell ref="P1479:Q1479"/>
    <mergeCell ref="AL1478:BB1478"/>
    <mergeCell ref="AD1478:AE1478"/>
    <mergeCell ref="AF1478:AG1478"/>
    <mergeCell ref="AH1478:AI1478"/>
    <mergeCell ref="AJ1478:AK1478"/>
    <mergeCell ref="R1478:S1478"/>
    <mergeCell ref="T1478:U1478"/>
    <mergeCell ref="V1478:W1478"/>
    <mergeCell ref="X1478:Y1478"/>
    <mergeCell ref="Z1478:AA1478"/>
    <mergeCell ref="AB1478:AC1478"/>
    <mergeCell ref="B1478:C1478"/>
    <mergeCell ref="D1478:E1478"/>
    <mergeCell ref="F1478:G1478"/>
    <mergeCell ref="H1478:I1478"/>
    <mergeCell ref="J1478:K1478"/>
    <mergeCell ref="L1478:M1478"/>
    <mergeCell ref="N1478:O1478"/>
    <mergeCell ref="P1478:Q1478"/>
    <mergeCell ref="AL1477:BB1477"/>
    <mergeCell ref="AD1477:AE1477"/>
    <mergeCell ref="AF1477:AG1477"/>
    <mergeCell ref="AH1477:AI1477"/>
    <mergeCell ref="AJ1477:AK1477"/>
    <mergeCell ref="R1477:S1477"/>
    <mergeCell ref="T1477:U1477"/>
    <mergeCell ref="V1477:W1477"/>
    <mergeCell ref="X1477:Y1477"/>
    <mergeCell ref="Z1477:AA1477"/>
    <mergeCell ref="AB1477:AC1477"/>
    <mergeCell ref="B1477:C1477"/>
    <mergeCell ref="D1477:E1477"/>
    <mergeCell ref="F1477:G1477"/>
    <mergeCell ref="H1477:I1477"/>
    <mergeCell ref="J1477:K1477"/>
    <mergeCell ref="L1477:M1477"/>
    <mergeCell ref="N1477:O1477"/>
    <mergeCell ref="P1477:Q1477"/>
    <mergeCell ref="AL1476:BB1476"/>
    <mergeCell ref="AD1476:AE1476"/>
    <mergeCell ref="AF1476:AG1476"/>
    <mergeCell ref="AH1476:AI1476"/>
    <mergeCell ref="AJ1476:AK1476"/>
    <mergeCell ref="R1476:S1476"/>
    <mergeCell ref="T1476:U1476"/>
    <mergeCell ref="V1476:W1476"/>
    <mergeCell ref="X1476:Y1476"/>
    <mergeCell ref="Z1476:AA1476"/>
    <mergeCell ref="AB1476:AC1476"/>
    <mergeCell ref="B1476:C1476"/>
    <mergeCell ref="D1476:E1476"/>
    <mergeCell ref="F1476:G1476"/>
    <mergeCell ref="H1476:I1476"/>
    <mergeCell ref="J1476:K1476"/>
    <mergeCell ref="L1476:M1476"/>
    <mergeCell ref="N1476:O1476"/>
    <mergeCell ref="P1476:Q1476"/>
    <mergeCell ref="AL1475:BB1475"/>
    <mergeCell ref="AD1475:AE1475"/>
    <mergeCell ref="AF1475:AG1475"/>
    <mergeCell ref="AH1475:AI1475"/>
    <mergeCell ref="AJ1475:AK1475"/>
    <mergeCell ref="R1475:S1475"/>
    <mergeCell ref="T1475:U1475"/>
    <mergeCell ref="V1475:W1475"/>
    <mergeCell ref="X1475:Y1475"/>
    <mergeCell ref="Z1475:AA1475"/>
    <mergeCell ref="AB1475:AC1475"/>
    <mergeCell ref="B1475:C1475"/>
    <mergeCell ref="D1475:E1475"/>
    <mergeCell ref="F1475:G1475"/>
    <mergeCell ref="H1475:I1475"/>
    <mergeCell ref="J1475:K1475"/>
    <mergeCell ref="L1475:M1475"/>
    <mergeCell ref="N1475:O1475"/>
    <mergeCell ref="P1475:Q1475"/>
    <mergeCell ref="AL1474:BB1474"/>
    <mergeCell ref="AD1474:AE1474"/>
    <mergeCell ref="AF1474:AG1474"/>
    <mergeCell ref="AH1474:AI1474"/>
    <mergeCell ref="AJ1474:AK1474"/>
    <mergeCell ref="R1474:S1474"/>
    <mergeCell ref="T1474:U1474"/>
    <mergeCell ref="V1474:W1474"/>
    <mergeCell ref="X1474:Y1474"/>
    <mergeCell ref="Z1474:AA1474"/>
    <mergeCell ref="AB1474:AC1474"/>
    <mergeCell ref="B1474:C1474"/>
    <mergeCell ref="D1474:E1474"/>
    <mergeCell ref="F1474:G1474"/>
    <mergeCell ref="H1474:I1474"/>
    <mergeCell ref="J1474:K1474"/>
    <mergeCell ref="L1474:M1474"/>
    <mergeCell ref="N1474:O1474"/>
    <mergeCell ref="P1474:Q1474"/>
    <mergeCell ref="AL1473:BB1473"/>
    <mergeCell ref="AD1473:AE1473"/>
    <mergeCell ref="AF1473:AG1473"/>
    <mergeCell ref="AH1473:AI1473"/>
    <mergeCell ref="AJ1473:AK1473"/>
    <mergeCell ref="R1473:S1473"/>
    <mergeCell ref="T1473:U1473"/>
    <mergeCell ref="V1473:W1473"/>
    <mergeCell ref="X1473:Y1473"/>
    <mergeCell ref="Z1473:AA1473"/>
    <mergeCell ref="AB1473:AC1473"/>
    <mergeCell ref="B1473:C1473"/>
    <mergeCell ref="D1473:E1473"/>
    <mergeCell ref="F1473:G1473"/>
    <mergeCell ref="H1473:I1473"/>
    <mergeCell ref="J1473:K1473"/>
    <mergeCell ref="L1473:M1473"/>
    <mergeCell ref="N1473:O1473"/>
    <mergeCell ref="P1473:Q1473"/>
    <mergeCell ref="AL1472:BB1472"/>
    <mergeCell ref="AD1472:AE1472"/>
    <mergeCell ref="AF1472:AG1472"/>
    <mergeCell ref="AH1472:AI1472"/>
    <mergeCell ref="AJ1472:AK1472"/>
    <mergeCell ref="R1472:S1472"/>
    <mergeCell ref="T1472:U1472"/>
    <mergeCell ref="V1472:W1472"/>
    <mergeCell ref="X1472:Y1472"/>
    <mergeCell ref="Z1472:AA1472"/>
    <mergeCell ref="AB1472:AC1472"/>
    <mergeCell ref="B1472:C1472"/>
    <mergeCell ref="D1472:E1472"/>
    <mergeCell ref="F1472:G1472"/>
    <mergeCell ref="H1472:I1472"/>
    <mergeCell ref="J1472:K1472"/>
    <mergeCell ref="L1472:M1472"/>
    <mergeCell ref="N1472:O1472"/>
    <mergeCell ref="P1472:Q1472"/>
    <mergeCell ref="AL1471:BB1471"/>
    <mergeCell ref="AD1471:AE1471"/>
    <mergeCell ref="AF1471:AG1471"/>
    <mergeCell ref="AH1471:AI1471"/>
    <mergeCell ref="AJ1471:AK1471"/>
    <mergeCell ref="R1471:S1471"/>
    <mergeCell ref="T1471:U1471"/>
    <mergeCell ref="V1471:W1471"/>
    <mergeCell ref="X1471:Y1471"/>
    <mergeCell ref="Z1471:AA1471"/>
    <mergeCell ref="AB1471:AC1471"/>
    <mergeCell ref="B1471:C1471"/>
    <mergeCell ref="D1471:E1471"/>
    <mergeCell ref="F1471:G1471"/>
    <mergeCell ref="H1471:I1471"/>
    <mergeCell ref="J1471:K1471"/>
    <mergeCell ref="L1471:M1471"/>
    <mergeCell ref="N1471:O1471"/>
    <mergeCell ref="P1471:Q1471"/>
    <mergeCell ref="AL1470:BB1470"/>
    <mergeCell ref="AD1470:AE1470"/>
    <mergeCell ref="AF1470:AG1470"/>
    <mergeCell ref="AH1470:AI1470"/>
    <mergeCell ref="AJ1470:AK1470"/>
    <mergeCell ref="R1470:S1470"/>
    <mergeCell ref="T1470:U1470"/>
    <mergeCell ref="V1470:W1470"/>
    <mergeCell ref="X1470:Y1470"/>
    <mergeCell ref="Z1470:AA1470"/>
    <mergeCell ref="AB1470:AC1470"/>
    <mergeCell ref="B1470:C1470"/>
    <mergeCell ref="D1470:E1470"/>
    <mergeCell ref="F1470:G1470"/>
    <mergeCell ref="H1470:I1470"/>
    <mergeCell ref="J1470:K1470"/>
    <mergeCell ref="L1470:M1470"/>
    <mergeCell ref="N1470:O1470"/>
    <mergeCell ref="P1470:Q1470"/>
    <mergeCell ref="AL1469:BB1469"/>
    <mergeCell ref="AD1469:AE1469"/>
    <mergeCell ref="AF1469:AG1469"/>
    <mergeCell ref="AH1469:AI1469"/>
    <mergeCell ref="AJ1469:AK1469"/>
    <mergeCell ref="R1469:S1469"/>
    <mergeCell ref="T1469:U1469"/>
    <mergeCell ref="V1469:W1469"/>
    <mergeCell ref="X1469:Y1469"/>
    <mergeCell ref="Z1469:AA1469"/>
    <mergeCell ref="AB1469:AC1469"/>
    <mergeCell ref="B1469:C1469"/>
    <mergeCell ref="D1469:E1469"/>
    <mergeCell ref="F1469:G1469"/>
    <mergeCell ref="H1469:I1469"/>
    <mergeCell ref="J1469:K1469"/>
    <mergeCell ref="L1469:M1469"/>
    <mergeCell ref="N1469:O1469"/>
    <mergeCell ref="P1469:Q1469"/>
    <mergeCell ref="AL1468:BB1468"/>
    <mergeCell ref="AD1468:AE1468"/>
    <mergeCell ref="AF1468:AG1468"/>
    <mergeCell ref="AH1468:AI1468"/>
    <mergeCell ref="AJ1468:AK1468"/>
    <mergeCell ref="R1468:S1468"/>
    <mergeCell ref="T1468:U1468"/>
    <mergeCell ref="V1468:W1468"/>
    <mergeCell ref="X1468:Y1468"/>
    <mergeCell ref="Z1468:AA1468"/>
    <mergeCell ref="AB1468:AC1468"/>
    <mergeCell ref="B1468:C1468"/>
    <mergeCell ref="D1468:E1468"/>
    <mergeCell ref="F1468:G1468"/>
    <mergeCell ref="H1468:I1468"/>
    <mergeCell ref="J1468:K1468"/>
    <mergeCell ref="L1468:M1468"/>
    <mergeCell ref="N1468:O1468"/>
    <mergeCell ref="P1468:Q1468"/>
    <mergeCell ref="AL1467:BB1467"/>
    <mergeCell ref="AD1467:AE1467"/>
    <mergeCell ref="AF1467:AG1467"/>
    <mergeCell ref="AH1467:AI1467"/>
    <mergeCell ref="AJ1467:AK1467"/>
    <mergeCell ref="R1467:S1467"/>
    <mergeCell ref="T1467:U1467"/>
    <mergeCell ref="V1467:W1467"/>
    <mergeCell ref="X1467:Y1467"/>
    <mergeCell ref="Z1467:AA1467"/>
    <mergeCell ref="AB1467:AC1467"/>
    <mergeCell ref="B1467:C1467"/>
    <mergeCell ref="D1467:E1467"/>
    <mergeCell ref="F1467:G1467"/>
    <mergeCell ref="H1467:I1467"/>
    <mergeCell ref="J1467:K1467"/>
    <mergeCell ref="L1467:M1467"/>
    <mergeCell ref="N1467:O1467"/>
    <mergeCell ref="P1467:Q1467"/>
    <mergeCell ref="AL1466:BB1466"/>
    <mergeCell ref="AD1466:AE1466"/>
    <mergeCell ref="AF1466:AG1466"/>
    <mergeCell ref="AH1466:AI1466"/>
    <mergeCell ref="AJ1466:AK1466"/>
    <mergeCell ref="R1466:S1466"/>
    <mergeCell ref="T1466:U1466"/>
    <mergeCell ref="V1466:W1466"/>
    <mergeCell ref="X1466:Y1466"/>
    <mergeCell ref="Z1466:AA1466"/>
    <mergeCell ref="AB1466:AC1466"/>
    <mergeCell ref="B1466:C1466"/>
    <mergeCell ref="D1466:E1466"/>
    <mergeCell ref="F1466:G1466"/>
    <mergeCell ref="H1466:I1466"/>
    <mergeCell ref="J1466:K1466"/>
    <mergeCell ref="L1466:M1466"/>
    <mergeCell ref="N1466:O1466"/>
    <mergeCell ref="P1466:Q1466"/>
    <mergeCell ref="AL1465:BB1465"/>
    <mergeCell ref="AD1465:AE1465"/>
    <mergeCell ref="AF1465:AG1465"/>
    <mergeCell ref="AH1465:AI1465"/>
    <mergeCell ref="AJ1465:AK1465"/>
    <mergeCell ref="R1465:S1465"/>
    <mergeCell ref="T1465:U1465"/>
    <mergeCell ref="V1465:W1465"/>
    <mergeCell ref="X1465:Y1465"/>
    <mergeCell ref="Z1465:AA1465"/>
    <mergeCell ref="AB1465:AC1465"/>
    <mergeCell ref="B1465:C1465"/>
    <mergeCell ref="D1465:E1465"/>
    <mergeCell ref="F1465:G1465"/>
    <mergeCell ref="H1465:I1465"/>
    <mergeCell ref="J1465:K1465"/>
    <mergeCell ref="L1465:M1465"/>
    <mergeCell ref="N1465:O1465"/>
    <mergeCell ref="P1465:Q1465"/>
    <mergeCell ref="AL1464:BB1464"/>
    <mergeCell ref="AD1464:AE1464"/>
    <mergeCell ref="AF1464:AG1464"/>
    <mergeCell ref="AH1464:AI1464"/>
    <mergeCell ref="AJ1464:AK1464"/>
    <mergeCell ref="R1464:S1464"/>
    <mergeCell ref="T1464:U1464"/>
    <mergeCell ref="V1464:W1464"/>
    <mergeCell ref="X1464:Y1464"/>
    <mergeCell ref="Z1464:AA1464"/>
    <mergeCell ref="AB1464:AC1464"/>
    <mergeCell ref="B1464:C1464"/>
    <mergeCell ref="D1464:E1464"/>
    <mergeCell ref="F1464:G1464"/>
    <mergeCell ref="H1464:I1464"/>
    <mergeCell ref="J1464:K1464"/>
    <mergeCell ref="L1464:M1464"/>
    <mergeCell ref="N1464:O1464"/>
    <mergeCell ref="P1464:Q1464"/>
    <mergeCell ref="AL1463:BB1463"/>
    <mergeCell ref="AD1463:AE1463"/>
    <mergeCell ref="AF1463:AG1463"/>
    <mergeCell ref="AH1463:AI1463"/>
    <mergeCell ref="AJ1463:AK1463"/>
    <mergeCell ref="R1463:S1463"/>
    <mergeCell ref="T1463:U1463"/>
    <mergeCell ref="V1463:W1463"/>
    <mergeCell ref="X1463:Y1463"/>
    <mergeCell ref="Z1463:AA1463"/>
    <mergeCell ref="AB1463:AC1463"/>
    <mergeCell ref="B1463:C1463"/>
    <mergeCell ref="D1463:E1463"/>
    <mergeCell ref="F1463:G1463"/>
    <mergeCell ref="H1463:I1463"/>
    <mergeCell ref="J1463:K1463"/>
    <mergeCell ref="L1463:M1463"/>
    <mergeCell ref="N1463:O1463"/>
    <mergeCell ref="P1463:Q1463"/>
    <mergeCell ref="AL1462:BB1462"/>
    <mergeCell ref="AD1462:AE1462"/>
    <mergeCell ref="AF1462:AG1462"/>
    <mergeCell ref="AH1462:AI1462"/>
    <mergeCell ref="AJ1462:AK1462"/>
    <mergeCell ref="R1462:S1462"/>
    <mergeCell ref="T1462:U1462"/>
    <mergeCell ref="V1462:W1462"/>
    <mergeCell ref="X1462:Y1462"/>
    <mergeCell ref="Z1462:AA1462"/>
    <mergeCell ref="AB1462:AC1462"/>
    <mergeCell ref="B1462:C1462"/>
    <mergeCell ref="D1462:E1462"/>
    <mergeCell ref="F1462:G1462"/>
    <mergeCell ref="H1462:I1462"/>
    <mergeCell ref="J1462:K1462"/>
    <mergeCell ref="L1462:M1462"/>
    <mergeCell ref="N1462:O1462"/>
    <mergeCell ref="P1462:Q1462"/>
    <mergeCell ref="AL1461:BB1461"/>
    <mergeCell ref="AD1461:AE1461"/>
    <mergeCell ref="AF1461:AG1461"/>
    <mergeCell ref="AH1461:AI1461"/>
    <mergeCell ref="AJ1461:AK1461"/>
    <mergeCell ref="R1461:S1461"/>
    <mergeCell ref="T1461:U1461"/>
    <mergeCell ref="V1461:W1461"/>
    <mergeCell ref="X1461:Y1461"/>
    <mergeCell ref="Z1461:AA1461"/>
    <mergeCell ref="AB1461:AC1461"/>
    <mergeCell ref="B1461:C1461"/>
    <mergeCell ref="D1461:E1461"/>
    <mergeCell ref="F1461:G1461"/>
    <mergeCell ref="H1461:I1461"/>
    <mergeCell ref="J1461:K1461"/>
    <mergeCell ref="L1461:M1461"/>
    <mergeCell ref="N1461:O1461"/>
    <mergeCell ref="P1461:Q1461"/>
    <mergeCell ref="AL1460:BB1460"/>
    <mergeCell ref="AD1460:AE1460"/>
    <mergeCell ref="AF1460:AG1460"/>
    <mergeCell ref="AH1460:AI1460"/>
    <mergeCell ref="AJ1460:AK1460"/>
    <mergeCell ref="R1460:S1460"/>
    <mergeCell ref="T1460:U1460"/>
    <mergeCell ref="V1460:W1460"/>
    <mergeCell ref="X1460:Y1460"/>
    <mergeCell ref="Z1460:AA1460"/>
    <mergeCell ref="AB1460:AC1460"/>
    <mergeCell ref="B1460:C1460"/>
    <mergeCell ref="D1460:E1460"/>
    <mergeCell ref="F1460:G1460"/>
    <mergeCell ref="H1460:I1460"/>
    <mergeCell ref="J1460:K1460"/>
    <mergeCell ref="L1460:M1460"/>
    <mergeCell ref="N1460:O1460"/>
    <mergeCell ref="P1460:Q1460"/>
    <mergeCell ref="AL1459:BB1459"/>
    <mergeCell ref="AD1459:AE1459"/>
    <mergeCell ref="AF1459:AG1459"/>
    <mergeCell ref="AH1459:AI1459"/>
    <mergeCell ref="AJ1459:AK1459"/>
    <mergeCell ref="R1459:S1459"/>
    <mergeCell ref="T1459:U1459"/>
    <mergeCell ref="V1459:W1459"/>
    <mergeCell ref="X1459:Y1459"/>
    <mergeCell ref="Z1459:AA1459"/>
    <mergeCell ref="AB1459:AC1459"/>
    <mergeCell ref="B1459:C1459"/>
    <mergeCell ref="D1459:E1459"/>
    <mergeCell ref="F1459:G1459"/>
    <mergeCell ref="H1459:I1459"/>
    <mergeCell ref="J1459:K1459"/>
    <mergeCell ref="L1459:M1459"/>
    <mergeCell ref="N1459:O1459"/>
    <mergeCell ref="P1459:Q1459"/>
    <mergeCell ref="AL1458:BB1458"/>
    <mergeCell ref="AD1458:AE1458"/>
    <mergeCell ref="AF1458:AG1458"/>
    <mergeCell ref="AH1458:AI1458"/>
    <mergeCell ref="AJ1458:AK1458"/>
    <mergeCell ref="R1458:S1458"/>
    <mergeCell ref="T1458:U1458"/>
    <mergeCell ref="V1458:W1458"/>
    <mergeCell ref="X1458:Y1458"/>
    <mergeCell ref="Z1458:AA1458"/>
    <mergeCell ref="AB1458:AC1458"/>
    <mergeCell ref="B1458:C1458"/>
    <mergeCell ref="D1458:E1458"/>
    <mergeCell ref="F1458:G1458"/>
    <mergeCell ref="H1458:I1458"/>
    <mergeCell ref="J1458:K1458"/>
    <mergeCell ref="L1458:M1458"/>
    <mergeCell ref="N1458:O1458"/>
    <mergeCell ref="P1458:Q1458"/>
    <mergeCell ref="AL1457:BB1457"/>
    <mergeCell ref="AD1457:AE1457"/>
    <mergeCell ref="AF1457:AG1457"/>
    <mergeCell ref="AH1457:AI1457"/>
    <mergeCell ref="AJ1457:AK1457"/>
    <mergeCell ref="R1457:S1457"/>
    <mergeCell ref="T1457:U1457"/>
    <mergeCell ref="V1457:W1457"/>
    <mergeCell ref="X1457:Y1457"/>
    <mergeCell ref="Z1457:AA1457"/>
    <mergeCell ref="AB1457:AC1457"/>
    <mergeCell ref="B1457:C1457"/>
    <mergeCell ref="D1457:E1457"/>
    <mergeCell ref="F1457:G1457"/>
    <mergeCell ref="H1457:I1457"/>
    <mergeCell ref="J1457:K1457"/>
    <mergeCell ref="L1457:M1457"/>
    <mergeCell ref="N1457:O1457"/>
    <mergeCell ref="P1457:Q1457"/>
    <mergeCell ref="AL1456:BB1456"/>
    <mergeCell ref="AD1456:AE1456"/>
    <mergeCell ref="AF1456:AG1456"/>
    <mergeCell ref="AH1456:AI1456"/>
    <mergeCell ref="AJ1456:AK1456"/>
    <mergeCell ref="R1456:S1456"/>
    <mergeCell ref="T1456:U1456"/>
    <mergeCell ref="V1456:W1456"/>
    <mergeCell ref="X1456:Y1456"/>
    <mergeCell ref="Z1456:AA1456"/>
    <mergeCell ref="AB1456:AC1456"/>
    <mergeCell ref="B1456:C1456"/>
    <mergeCell ref="D1456:E1456"/>
    <mergeCell ref="F1456:G1456"/>
    <mergeCell ref="H1456:I1456"/>
    <mergeCell ref="J1456:K1456"/>
    <mergeCell ref="L1456:M1456"/>
    <mergeCell ref="N1456:O1456"/>
    <mergeCell ref="P1456:Q1456"/>
    <mergeCell ref="AL1455:BB1455"/>
    <mergeCell ref="AD1455:AE1455"/>
    <mergeCell ref="AF1455:AG1455"/>
    <mergeCell ref="AH1455:AI1455"/>
    <mergeCell ref="AJ1455:AK1455"/>
    <mergeCell ref="R1455:S1455"/>
    <mergeCell ref="T1455:U1455"/>
    <mergeCell ref="V1455:W1455"/>
    <mergeCell ref="X1455:Y1455"/>
    <mergeCell ref="Z1455:AA1455"/>
    <mergeCell ref="AB1455:AC1455"/>
    <mergeCell ref="B1455:C1455"/>
    <mergeCell ref="D1455:E1455"/>
    <mergeCell ref="F1455:G1455"/>
    <mergeCell ref="H1455:I1455"/>
    <mergeCell ref="J1455:K1455"/>
    <mergeCell ref="L1455:M1455"/>
    <mergeCell ref="N1455:O1455"/>
    <mergeCell ref="P1455:Q1455"/>
    <mergeCell ref="AL1454:BB1454"/>
    <mergeCell ref="AD1454:AE1454"/>
    <mergeCell ref="AF1454:AG1454"/>
    <mergeCell ref="AH1454:AI1454"/>
    <mergeCell ref="AJ1454:AK1454"/>
    <mergeCell ref="R1454:S1454"/>
    <mergeCell ref="T1454:U1454"/>
    <mergeCell ref="V1454:W1454"/>
    <mergeCell ref="X1454:Y1454"/>
    <mergeCell ref="Z1454:AA1454"/>
    <mergeCell ref="AB1454:AC1454"/>
    <mergeCell ref="B1454:C1454"/>
    <mergeCell ref="D1454:E1454"/>
    <mergeCell ref="F1454:G1454"/>
    <mergeCell ref="H1454:I1454"/>
    <mergeCell ref="J1454:K1454"/>
    <mergeCell ref="L1454:M1454"/>
    <mergeCell ref="N1454:O1454"/>
    <mergeCell ref="P1454:Q1454"/>
    <mergeCell ref="AL1453:BB1453"/>
    <mergeCell ref="AD1453:AE1453"/>
    <mergeCell ref="AF1453:AG1453"/>
    <mergeCell ref="AH1453:AI1453"/>
    <mergeCell ref="AJ1453:AK1453"/>
    <mergeCell ref="R1453:S1453"/>
    <mergeCell ref="T1453:U1453"/>
    <mergeCell ref="V1453:W1453"/>
    <mergeCell ref="X1453:Y1453"/>
    <mergeCell ref="Z1453:AA1453"/>
    <mergeCell ref="AB1453:AC1453"/>
    <mergeCell ref="B1453:C1453"/>
    <mergeCell ref="D1453:E1453"/>
    <mergeCell ref="F1453:G1453"/>
    <mergeCell ref="H1453:I1453"/>
    <mergeCell ref="J1453:K1453"/>
    <mergeCell ref="L1453:M1453"/>
    <mergeCell ref="N1453:O1453"/>
    <mergeCell ref="P1453:Q1453"/>
    <mergeCell ref="AL1452:BB1452"/>
    <mergeCell ref="AD1452:AE1452"/>
    <mergeCell ref="AF1452:AG1452"/>
    <mergeCell ref="AH1452:AI1452"/>
    <mergeCell ref="AJ1452:AK1452"/>
    <mergeCell ref="R1452:S1452"/>
    <mergeCell ref="T1452:U1452"/>
    <mergeCell ref="V1452:W1452"/>
    <mergeCell ref="X1452:Y1452"/>
    <mergeCell ref="Z1452:AA1452"/>
    <mergeCell ref="AB1452:AC1452"/>
    <mergeCell ref="B1452:C1452"/>
    <mergeCell ref="D1452:E1452"/>
    <mergeCell ref="F1452:G1452"/>
    <mergeCell ref="H1452:I1452"/>
    <mergeCell ref="J1452:K1452"/>
    <mergeCell ref="L1452:M1452"/>
    <mergeCell ref="N1452:O1452"/>
    <mergeCell ref="P1452:Q1452"/>
    <mergeCell ref="AL1451:BB1451"/>
    <mergeCell ref="AD1451:AE1451"/>
    <mergeCell ref="AF1451:AG1451"/>
    <mergeCell ref="AH1451:AI1451"/>
    <mergeCell ref="AJ1451:AK1451"/>
    <mergeCell ref="R1451:S1451"/>
    <mergeCell ref="T1451:U1451"/>
    <mergeCell ref="V1451:W1451"/>
    <mergeCell ref="X1451:Y1451"/>
    <mergeCell ref="Z1451:AA1451"/>
    <mergeCell ref="AB1451:AC1451"/>
    <mergeCell ref="B1451:C1451"/>
    <mergeCell ref="D1451:E1451"/>
    <mergeCell ref="F1451:G1451"/>
    <mergeCell ref="H1451:I1451"/>
    <mergeCell ref="J1451:K1451"/>
    <mergeCell ref="L1451:M1451"/>
    <mergeCell ref="N1451:O1451"/>
    <mergeCell ref="P1451:Q1451"/>
    <mergeCell ref="AL1450:BB1450"/>
    <mergeCell ref="AD1450:AE1450"/>
    <mergeCell ref="AF1450:AG1450"/>
    <mergeCell ref="AH1450:AI1450"/>
    <mergeCell ref="AJ1450:AK1450"/>
    <mergeCell ref="R1450:S1450"/>
    <mergeCell ref="T1450:U1450"/>
    <mergeCell ref="V1450:W1450"/>
    <mergeCell ref="X1450:Y1450"/>
    <mergeCell ref="Z1450:AA1450"/>
    <mergeCell ref="AB1450:AC1450"/>
    <mergeCell ref="B1450:C1450"/>
    <mergeCell ref="D1450:E1450"/>
    <mergeCell ref="F1450:G1450"/>
    <mergeCell ref="H1450:I1450"/>
    <mergeCell ref="J1450:K1450"/>
    <mergeCell ref="L1450:M1450"/>
    <mergeCell ref="N1450:O1450"/>
    <mergeCell ref="P1450:Q1450"/>
    <mergeCell ref="AL1449:BB1449"/>
    <mergeCell ref="AD1449:AE1449"/>
    <mergeCell ref="AF1449:AG1449"/>
    <mergeCell ref="AH1449:AI1449"/>
    <mergeCell ref="AJ1449:AK1449"/>
    <mergeCell ref="R1449:S1449"/>
    <mergeCell ref="T1449:U1449"/>
    <mergeCell ref="V1449:W1449"/>
    <mergeCell ref="X1449:Y1449"/>
    <mergeCell ref="Z1449:AA1449"/>
    <mergeCell ref="AB1449:AC1449"/>
    <mergeCell ref="B1449:C1449"/>
    <mergeCell ref="D1449:E1449"/>
    <mergeCell ref="F1449:G1449"/>
    <mergeCell ref="H1449:I1449"/>
    <mergeCell ref="J1449:K1449"/>
    <mergeCell ref="L1449:M1449"/>
    <mergeCell ref="N1449:O1449"/>
    <mergeCell ref="P1449:Q1449"/>
    <mergeCell ref="AL1448:BB1448"/>
    <mergeCell ref="AD1448:AE1448"/>
    <mergeCell ref="AF1448:AG1448"/>
    <mergeCell ref="AH1448:AI1448"/>
    <mergeCell ref="AJ1448:AK1448"/>
    <mergeCell ref="R1448:S1448"/>
    <mergeCell ref="T1448:U1448"/>
    <mergeCell ref="V1448:W1448"/>
    <mergeCell ref="X1448:Y1448"/>
    <mergeCell ref="Z1448:AA1448"/>
    <mergeCell ref="AB1448:AC1448"/>
    <mergeCell ref="B1448:C1448"/>
    <mergeCell ref="D1448:E1448"/>
    <mergeCell ref="F1448:G1448"/>
    <mergeCell ref="H1448:I1448"/>
    <mergeCell ref="J1448:K1448"/>
    <mergeCell ref="L1448:M1448"/>
    <mergeCell ref="N1448:O1448"/>
    <mergeCell ref="P1448:Q1448"/>
    <mergeCell ref="AL1447:BB1447"/>
    <mergeCell ref="AD1447:AE1447"/>
    <mergeCell ref="AF1447:AG1447"/>
    <mergeCell ref="AH1447:AI1447"/>
    <mergeCell ref="AJ1447:AK1447"/>
    <mergeCell ref="R1447:S1447"/>
    <mergeCell ref="T1447:U1447"/>
    <mergeCell ref="V1447:W1447"/>
    <mergeCell ref="X1447:Y1447"/>
    <mergeCell ref="Z1447:AA1447"/>
    <mergeCell ref="AB1447:AC1447"/>
    <mergeCell ref="B1447:C1447"/>
    <mergeCell ref="D1447:E1447"/>
    <mergeCell ref="F1447:G1447"/>
    <mergeCell ref="H1447:I1447"/>
    <mergeCell ref="J1447:K1447"/>
    <mergeCell ref="L1447:M1447"/>
    <mergeCell ref="N1447:O1447"/>
    <mergeCell ref="P1447:Q1447"/>
    <mergeCell ref="AL1446:BB1446"/>
    <mergeCell ref="AD1446:AE1446"/>
    <mergeCell ref="AF1446:AG1446"/>
    <mergeCell ref="AH1446:AI1446"/>
    <mergeCell ref="AJ1446:AK1446"/>
    <mergeCell ref="R1446:S1446"/>
    <mergeCell ref="T1446:U1446"/>
    <mergeCell ref="V1446:W1446"/>
    <mergeCell ref="X1446:Y1446"/>
    <mergeCell ref="Z1446:AA1446"/>
    <mergeCell ref="AB1446:AC1446"/>
    <mergeCell ref="B1446:C1446"/>
    <mergeCell ref="D1446:E1446"/>
    <mergeCell ref="F1446:G1446"/>
    <mergeCell ref="H1446:I1446"/>
    <mergeCell ref="J1446:K1446"/>
    <mergeCell ref="L1446:M1446"/>
    <mergeCell ref="N1446:O1446"/>
    <mergeCell ref="P1446:Q1446"/>
    <mergeCell ref="AL1445:BB1445"/>
    <mergeCell ref="AD1445:AE1445"/>
    <mergeCell ref="AF1445:AG1445"/>
    <mergeCell ref="AH1445:AI1445"/>
    <mergeCell ref="AJ1445:AK1445"/>
    <mergeCell ref="R1445:S1445"/>
    <mergeCell ref="T1445:U1445"/>
    <mergeCell ref="V1445:W1445"/>
    <mergeCell ref="X1445:Y1445"/>
    <mergeCell ref="Z1445:AA1445"/>
    <mergeCell ref="AB1445:AC1445"/>
    <mergeCell ref="B1445:C1445"/>
    <mergeCell ref="D1445:E1445"/>
    <mergeCell ref="F1445:G1445"/>
    <mergeCell ref="H1445:I1445"/>
    <mergeCell ref="J1445:K1445"/>
    <mergeCell ref="L1445:M1445"/>
    <mergeCell ref="N1445:O1445"/>
    <mergeCell ref="P1445:Q1445"/>
    <mergeCell ref="AL1444:BB1444"/>
    <mergeCell ref="AD1444:AE1444"/>
    <mergeCell ref="AF1444:AG1444"/>
    <mergeCell ref="AH1444:AI1444"/>
    <mergeCell ref="AJ1444:AK1444"/>
    <mergeCell ref="R1444:S1444"/>
    <mergeCell ref="T1444:U1444"/>
    <mergeCell ref="V1444:W1444"/>
    <mergeCell ref="X1444:Y1444"/>
    <mergeCell ref="Z1444:AA1444"/>
    <mergeCell ref="AB1444:AC1444"/>
    <mergeCell ref="B1444:C1444"/>
    <mergeCell ref="D1444:E1444"/>
    <mergeCell ref="F1444:G1444"/>
    <mergeCell ref="H1444:I1444"/>
    <mergeCell ref="J1444:K1444"/>
    <mergeCell ref="L1444:M1444"/>
    <mergeCell ref="N1444:O1444"/>
    <mergeCell ref="P1444:Q1444"/>
    <mergeCell ref="AL1443:BB1443"/>
    <mergeCell ref="AD1443:AE1443"/>
    <mergeCell ref="AF1443:AG1443"/>
    <mergeCell ref="AH1443:AI1443"/>
    <mergeCell ref="AJ1443:AK1443"/>
    <mergeCell ref="R1443:S1443"/>
    <mergeCell ref="T1443:U1443"/>
    <mergeCell ref="V1443:W1443"/>
    <mergeCell ref="X1443:Y1443"/>
    <mergeCell ref="Z1443:AA1443"/>
    <mergeCell ref="AB1443:AC1443"/>
    <mergeCell ref="B1443:C1443"/>
    <mergeCell ref="D1443:E1443"/>
    <mergeCell ref="F1443:G1443"/>
    <mergeCell ref="H1443:I1443"/>
    <mergeCell ref="J1443:K1443"/>
    <mergeCell ref="L1443:M1443"/>
    <mergeCell ref="N1443:O1443"/>
    <mergeCell ref="P1443:Q1443"/>
    <mergeCell ref="AL1442:BB1442"/>
    <mergeCell ref="AD1442:AE1442"/>
    <mergeCell ref="AF1442:AG1442"/>
    <mergeCell ref="AH1442:AI1442"/>
    <mergeCell ref="AJ1442:AK1442"/>
    <mergeCell ref="R1442:S1442"/>
    <mergeCell ref="T1442:U1442"/>
    <mergeCell ref="V1442:W1442"/>
    <mergeCell ref="X1442:Y1442"/>
    <mergeCell ref="Z1442:AA1442"/>
    <mergeCell ref="AB1442:AC1442"/>
    <mergeCell ref="B1442:C1442"/>
    <mergeCell ref="D1442:E1442"/>
    <mergeCell ref="F1442:G1442"/>
    <mergeCell ref="H1442:I1442"/>
    <mergeCell ref="J1442:K1442"/>
    <mergeCell ref="L1442:M1442"/>
    <mergeCell ref="N1442:O1442"/>
    <mergeCell ref="P1442:Q1442"/>
    <mergeCell ref="AL1441:BB1441"/>
    <mergeCell ref="AD1441:AE1441"/>
    <mergeCell ref="AF1441:AG1441"/>
    <mergeCell ref="AH1441:AI1441"/>
    <mergeCell ref="AJ1441:AK1441"/>
    <mergeCell ref="R1441:S1441"/>
    <mergeCell ref="T1441:U1441"/>
    <mergeCell ref="V1441:W1441"/>
    <mergeCell ref="X1441:Y1441"/>
    <mergeCell ref="Z1441:AA1441"/>
    <mergeCell ref="AB1441:AC1441"/>
    <mergeCell ref="B1441:C1441"/>
    <mergeCell ref="D1441:E1441"/>
    <mergeCell ref="F1441:G1441"/>
    <mergeCell ref="H1441:I1441"/>
    <mergeCell ref="J1441:K1441"/>
    <mergeCell ref="L1441:M1441"/>
    <mergeCell ref="N1441:O1441"/>
    <mergeCell ref="P1441:Q1441"/>
    <mergeCell ref="AL1440:BB1440"/>
    <mergeCell ref="AD1440:AE1440"/>
    <mergeCell ref="AF1440:AG1440"/>
    <mergeCell ref="AH1440:AI1440"/>
    <mergeCell ref="AJ1440:AK1440"/>
    <mergeCell ref="R1440:S1440"/>
    <mergeCell ref="T1440:U1440"/>
    <mergeCell ref="V1440:W1440"/>
    <mergeCell ref="X1440:Y1440"/>
    <mergeCell ref="Z1440:AA1440"/>
    <mergeCell ref="AB1440:AC1440"/>
    <mergeCell ref="B1440:C1440"/>
    <mergeCell ref="D1440:E1440"/>
    <mergeCell ref="F1440:G1440"/>
    <mergeCell ref="H1440:I1440"/>
    <mergeCell ref="J1440:K1440"/>
    <mergeCell ref="L1440:M1440"/>
    <mergeCell ref="N1440:O1440"/>
    <mergeCell ref="P1440:Q1440"/>
    <mergeCell ref="AL1439:BB1439"/>
    <mergeCell ref="AD1439:AE1439"/>
    <mergeCell ref="AF1439:AG1439"/>
    <mergeCell ref="AH1439:AI1439"/>
    <mergeCell ref="AJ1439:AK1439"/>
    <mergeCell ref="R1439:S1439"/>
    <mergeCell ref="T1439:U1439"/>
    <mergeCell ref="V1439:W1439"/>
    <mergeCell ref="X1439:Y1439"/>
    <mergeCell ref="Z1439:AA1439"/>
    <mergeCell ref="AB1439:AC1439"/>
    <mergeCell ref="B1439:C1439"/>
    <mergeCell ref="D1439:E1439"/>
    <mergeCell ref="F1439:G1439"/>
    <mergeCell ref="H1439:I1439"/>
    <mergeCell ref="J1439:K1439"/>
    <mergeCell ref="L1439:M1439"/>
    <mergeCell ref="N1439:O1439"/>
    <mergeCell ref="P1439:Q1439"/>
    <mergeCell ref="AL1438:BB1438"/>
    <mergeCell ref="AD1438:AE1438"/>
    <mergeCell ref="AF1438:AG1438"/>
    <mergeCell ref="AH1438:AI1438"/>
    <mergeCell ref="AJ1438:AK1438"/>
    <mergeCell ref="R1438:S1438"/>
    <mergeCell ref="T1438:U1438"/>
    <mergeCell ref="V1438:W1438"/>
    <mergeCell ref="X1438:Y1438"/>
    <mergeCell ref="Z1438:AA1438"/>
    <mergeCell ref="AB1438:AC1438"/>
    <mergeCell ref="B1438:C1438"/>
    <mergeCell ref="D1438:E1438"/>
    <mergeCell ref="F1438:G1438"/>
    <mergeCell ref="H1438:I1438"/>
    <mergeCell ref="J1438:K1438"/>
    <mergeCell ref="L1438:M1438"/>
    <mergeCell ref="N1438:O1438"/>
    <mergeCell ref="P1438:Q1438"/>
    <mergeCell ref="AL1437:BB1437"/>
    <mergeCell ref="AD1437:AE1437"/>
    <mergeCell ref="AF1437:AG1437"/>
    <mergeCell ref="AH1437:AI1437"/>
    <mergeCell ref="AJ1437:AK1437"/>
    <mergeCell ref="R1437:S1437"/>
    <mergeCell ref="T1437:U1437"/>
    <mergeCell ref="V1437:W1437"/>
    <mergeCell ref="X1437:Y1437"/>
    <mergeCell ref="Z1437:AA1437"/>
    <mergeCell ref="AB1437:AC1437"/>
    <mergeCell ref="B1437:C1437"/>
    <mergeCell ref="D1437:E1437"/>
    <mergeCell ref="F1437:G1437"/>
    <mergeCell ref="H1437:I1437"/>
    <mergeCell ref="J1437:K1437"/>
    <mergeCell ref="L1437:M1437"/>
    <mergeCell ref="N1437:O1437"/>
    <mergeCell ref="P1437:Q1437"/>
    <mergeCell ref="AL1436:BB1436"/>
    <mergeCell ref="AD1436:AE1436"/>
    <mergeCell ref="AF1436:AG1436"/>
    <mergeCell ref="AH1436:AI1436"/>
    <mergeCell ref="AJ1436:AK1436"/>
    <mergeCell ref="R1436:S1436"/>
    <mergeCell ref="T1436:U1436"/>
    <mergeCell ref="V1436:W1436"/>
    <mergeCell ref="X1436:Y1436"/>
    <mergeCell ref="Z1436:AA1436"/>
    <mergeCell ref="AB1436:AC1436"/>
    <mergeCell ref="B1436:C1436"/>
    <mergeCell ref="D1436:E1436"/>
    <mergeCell ref="F1436:G1436"/>
    <mergeCell ref="H1436:I1436"/>
    <mergeCell ref="J1436:K1436"/>
    <mergeCell ref="L1436:M1436"/>
    <mergeCell ref="N1436:O1436"/>
    <mergeCell ref="P1436:Q1436"/>
    <mergeCell ref="AL1435:BB1435"/>
    <mergeCell ref="AD1435:AE1435"/>
    <mergeCell ref="AF1435:AG1435"/>
    <mergeCell ref="AH1435:AI1435"/>
    <mergeCell ref="AJ1435:AK1435"/>
    <mergeCell ref="R1435:S1435"/>
    <mergeCell ref="T1435:U1435"/>
    <mergeCell ref="V1435:W1435"/>
    <mergeCell ref="X1435:Y1435"/>
    <mergeCell ref="Z1435:AA1435"/>
    <mergeCell ref="AB1435:AC1435"/>
    <mergeCell ref="B1435:C1435"/>
    <mergeCell ref="D1435:E1435"/>
    <mergeCell ref="F1435:G1435"/>
    <mergeCell ref="H1435:I1435"/>
    <mergeCell ref="J1435:K1435"/>
    <mergeCell ref="L1435:M1435"/>
    <mergeCell ref="N1435:O1435"/>
    <mergeCell ref="P1435:Q1435"/>
    <mergeCell ref="AL1434:BB1434"/>
    <mergeCell ref="AD1434:AE1434"/>
    <mergeCell ref="AF1434:AG1434"/>
    <mergeCell ref="AH1434:AI1434"/>
    <mergeCell ref="AJ1434:AK1434"/>
    <mergeCell ref="R1434:S1434"/>
    <mergeCell ref="T1434:U1434"/>
    <mergeCell ref="V1434:W1434"/>
    <mergeCell ref="X1434:Y1434"/>
    <mergeCell ref="Z1434:AA1434"/>
    <mergeCell ref="AB1434:AC1434"/>
    <mergeCell ref="B1434:C1434"/>
    <mergeCell ref="D1434:E1434"/>
    <mergeCell ref="F1434:G1434"/>
    <mergeCell ref="H1434:I1434"/>
    <mergeCell ref="J1434:K1434"/>
    <mergeCell ref="L1434:M1434"/>
    <mergeCell ref="N1434:O1434"/>
    <mergeCell ref="P1434:Q1434"/>
    <mergeCell ref="AL1433:BB1433"/>
    <mergeCell ref="AD1433:AE1433"/>
    <mergeCell ref="AF1433:AG1433"/>
    <mergeCell ref="AH1433:AI1433"/>
    <mergeCell ref="AJ1433:AK1433"/>
    <mergeCell ref="R1433:S1433"/>
    <mergeCell ref="T1433:U1433"/>
    <mergeCell ref="V1433:W1433"/>
    <mergeCell ref="X1433:Y1433"/>
    <mergeCell ref="Z1433:AA1433"/>
    <mergeCell ref="AB1433:AC1433"/>
    <mergeCell ref="B1433:C1433"/>
    <mergeCell ref="D1433:E1433"/>
    <mergeCell ref="F1433:G1433"/>
    <mergeCell ref="H1433:I1433"/>
    <mergeCell ref="J1433:K1433"/>
    <mergeCell ref="L1433:M1433"/>
    <mergeCell ref="N1433:O1433"/>
    <mergeCell ref="P1433:Q1433"/>
    <mergeCell ref="AL1432:BB1432"/>
    <mergeCell ref="AD1432:AE1432"/>
    <mergeCell ref="AF1432:AG1432"/>
    <mergeCell ref="AH1432:AI1432"/>
    <mergeCell ref="AJ1432:AK1432"/>
    <mergeCell ref="R1432:S1432"/>
    <mergeCell ref="T1432:U1432"/>
    <mergeCell ref="V1432:W1432"/>
    <mergeCell ref="X1432:Y1432"/>
    <mergeCell ref="Z1432:AA1432"/>
    <mergeCell ref="AB1432:AC1432"/>
    <mergeCell ref="B1432:C1432"/>
    <mergeCell ref="D1432:E1432"/>
    <mergeCell ref="F1432:G1432"/>
    <mergeCell ref="H1432:I1432"/>
    <mergeCell ref="J1432:K1432"/>
    <mergeCell ref="L1432:M1432"/>
    <mergeCell ref="N1432:O1432"/>
    <mergeCell ref="P1432:Q1432"/>
    <mergeCell ref="AL1431:BB1431"/>
    <mergeCell ref="AD1431:AE1431"/>
    <mergeCell ref="AF1431:AG1431"/>
    <mergeCell ref="AH1431:AI1431"/>
    <mergeCell ref="AJ1431:AK1431"/>
    <mergeCell ref="R1431:S1431"/>
    <mergeCell ref="T1431:U1431"/>
    <mergeCell ref="V1431:W1431"/>
    <mergeCell ref="X1431:Y1431"/>
    <mergeCell ref="Z1431:AA1431"/>
    <mergeCell ref="AB1431:AC1431"/>
    <mergeCell ref="B1431:C1431"/>
    <mergeCell ref="D1431:E1431"/>
    <mergeCell ref="F1431:G1431"/>
    <mergeCell ref="H1431:I1431"/>
    <mergeCell ref="J1431:K1431"/>
    <mergeCell ref="L1431:M1431"/>
    <mergeCell ref="N1431:O1431"/>
    <mergeCell ref="P1431:Q1431"/>
    <mergeCell ref="AL1430:BB1430"/>
    <mergeCell ref="AD1430:AE1430"/>
    <mergeCell ref="AF1430:AG1430"/>
    <mergeCell ref="AH1430:AI1430"/>
    <mergeCell ref="AJ1430:AK1430"/>
    <mergeCell ref="R1430:S1430"/>
    <mergeCell ref="T1430:U1430"/>
    <mergeCell ref="V1430:W1430"/>
    <mergeCell ref="X1430:Y1430"/>
    <mergeCell ref="Z1430:AA1430"/>
    <mergeCell ref="AB1430:AC1430"/>
    <mergeCell ref="B1430:C1430"/>
    <mergeCell ref="D1430:E1430"/>
    <mergeCell ref="F1430:G1430"/>
    <mergeCell ref="H1430:I1430"/>
    <mergeCell ref="J1430:K1430"/>
    <mergeCell ref="L1430:M1430"/>
    <mergeCell ref="N1430:O1430"/>
    <mergeCell ref="P1430:Q1430"/>
    <mergeCell ref="AL1429:BB1429"/>
    <mergeCell ref="AD1429:AE1429"/>
    <mergeCell ref="AF1429:AG1429"/>
    <mergeCell ref="AH1429:AI1429"/>
    <mergeCell ref="AJ1429:AK1429"/>
    <mergeCell ref="R1429:S1429"/>
    <mergeCell ref="T1429:U1429"/>
    <mergeCell ref="V1429:W1429"/>
    <mergeCell ref="X1429:Y1429"/>
    <mergeCell ref="Z1429:AA1429"/>
    <mergeCell ref="AB1429:AC1429"/>
    <mergeCell ref="B1429:C1429"/>
    <mergeCell ref="D1429:E1429"/>
    <mergeCell ref="F1429:G1429"/>
    <mergeCell ref="H1429:I1429"/>
    <mergeCell ref="J1429:K1429"/>
    <mergeCell ref="L1429:M1429"/>
    <mergeCell ref="N1429:O1429"/>
    <mergeCell ref="P1429:Q1429"/>
    <mergeCell ref="AL1428:BB1428"/>
    <mergeCell ref="AD1428:AE1428"/>
    <mergeCell ref="AF1428:AG1428"/>
    <mergeCell ref="AH1428:AI1428"/>
    <mergeCell ref="AJ1428:AK1428"/>
    <mergeCell ref="R1428:S1428"/>
    <mergeCell ref="T1428:U1428"/>
    <mergeCell ref="V1428:W1428"/>
    <mergeCell ref="X1428:Y1428"/>
    <mergeCell ref="Z1428:AA1428"/>
    <mergeCell ref="AB1428:AC1428"/>
    <mergeCell ref="B1428:C1428"/>
    <mergeCell ref="D1428:E1428"/>
    <mergeCell ref="F1428:G1428"/>
    <mergeCell ref="H1428:I1428"/>
    <mergeCell ref="J1428:K1428"/>
    <mergeCell ref="L1428:M1428"/>
    <mergeCell ref="N1428:O1428"/>
    <mergeCell ref="P1428:Q1428"/>
    <mergeCell ref="AL1427:BB1427"/>
    <mergeCell ref="AD1427:AE1427"/>
    <mergeCell ref="AF1427:AG1427"/>
    <mergeCell ref="AH1427:AI1427"/>
    <mergeCell ref="AJ1427:AK1427"/>
    <mergeCell ref="R1427:S1427"/>
    <mergeCell ref="T1427:U1427"/>
    <mergeCell ref="V1427:W1427"/>
    <mergeCell ref="X1427:Y1427"/>
    <mergeCell ref="Z1427:AA1427"/>
    <mergeCell ref="AB1427:AC1427"/>
    <mergeCell ref="B1427:C1427"/>
    <mergeCell ref="D1427:E1427"/>
    <mergeCell ref="F1427:G1427"/>
    <mergeCell ref="H1427:I1427"/>
    <mergeCell ref="J1427:K1427"/>
    <mergeCell ref="L1427:M1427"/>
    <mergeCell ref="N1427:O1427"/>
    <mergeCell ref="P1427:Q1427"/>
    <mergeCell ref="AL1426:BB1426"/>
    <mergeCell ref="Z1426:AA1426"/>
    <mergeCell ref="AB1426:AC1426"/>
    <mergeCell ref="AD1426:AE1426"/>
    <mergeCell ref="AF1426:AG1426"/>
    <mergeCell ref="AH1426:AI1426"/>
    <mergeCell ref="AJ1426:AK1426"/>
    <mergeCell ref="N1426:O1426"/>
    <mergeCell ref="P1426:Q1426"/>
    <mergeCell ref="R1426:S1426"/>
    <mergeCell ref="T1426:U1426"/>
    <mergeCell ref="V1426:W1426"/>
    <mergeCell ref="X1426:Y1426"/>
    <mergeCell ref="B1426:C1426"/>
    <mergeCell ref="D1426:E1426"/>
    <mergeCell ref="F1426:G1426"/>
    <mergeCell ref="H1426:I1426"/>
    <mergeCell ref="J1426:K1426"/>
    <mergeCell ref="L1426:M1426"/>
    <mergeCell ref="AL1425:BB1425"/>
    <mergeCell ref="AD1425:AE1425"/>
    <mergeCell ref="AF1425:AG1425"/>
    <mergeCell ref="AH1425:AI1425"/>
    <mergeCell ref="AJ1425:AK1425"/>
    <mergeCell ref="R1425:S1425"/>
    <mergeCell ref="T1425:U1425"/>
    <mergeCell ref="V1425:W1425"/>
    <mergeCell ref="X1425:Y1425"/>
    <mergeCell ref="Z1425:AA1425"/>
    <mergeCell ref="AB1425:AC1425"/>
    <mergeCell ref="B1425:C1425"/>
    <mergeCell ref="D1425:E1425"/>
    <mergeCell ref="F1425:G1425"/>
    <mergeCell ref="H1425:I1425"/>
    <mergeCell ref="J1425:K1425"/>
    <mergeCell ref="L1425:M1425"/>
    <mergeCell ref="N1425:O1425"/>
    <mergeCell ref="P1425:Q1425"/>
    <mergeCell ref="AL1424:BB1424"/>
    <mergeCell ref="Z1424:AA1424"/>
    <mergeCell ref="AB1424:AC1424"/>
    <mergeCell ref="AD1424:AE1424"/>
    <mergeCell ref="AF1424:AG1424"/>
    <mergeCell ref="AH1424:AI1424"/>
    <mergeCell ref="AJ1424:AK1424"/>
    <mergeCell ref="N1424:O1424"/>
    <mergeCell ref="P1424:Q1424"/>
    <mergeCell ref="R1424:S1424"/>
    <mergeCell ref="T1424:U1424"/>
    <mergeCell ref="V1424:W1424"/>
    <mergeCell ref="X1424:Y1424"/>
    <mergeCell ref="B1424:C1424"/>
    <mergeCell ref="D1424:E1424"/>
    <mergeCell ref="F1424:G1424"/>
    <mergeCell ref="H1424:I1424"/>
    <mergeCell ref="J1424:K1424"/>
    <mergeCell ref="L1424:M1424"/>
    <mergeCell ref="AL1423:BB1423"/>
    <mergeCell ref="AD1423:AE1423"/>
    <mergeCell ref="AF1423:AG1423"/>
    <mergeCell ref="AH1423:AI1423"/>
    <mergeCell ref="AJ1423:AK1423"/>
    <mergeCell ref="R1423:S1423"/>
    <mergeCell ref="T1423:U1423"/>
    <mergeCell ref="V1423:W1423"/>
    <mergeCell ref="X1423:Y1423"/>
    <mergeCell ref="Z1423:AA1423"/>
    <mergeCell ref="AB1423:AC1423"/>
    <mergeCell ref="B1423:C1423"/>
    <mergeCell ref="D1423:E1423"/>
    <mergeCell ref="F1423:G1423"/>
    <mergeCell ref="H1423:I1423"/>
    <mergeCell ref="J1423:K1423"/>
    <mergeCell ref="L1423:M1423"/>
    <mergeCell ref="N1423:O1423"/>
    <mergeCell ref="P1423:Q1423"/>
    <mergeCell ref="AL1422:BB1422"/>
    <mergeCell ref="Z1422:AA1422"/>
    <mergeCell ref="AB1422:AC1422"/>
    <mergeCell ref="AD1422:AE1422"/>
    <mergeCell ref="AF1422:AG1422"/>
    <mergeCell ref="AH1422:AI1422"/>
    <mergeCell ref="AJ1422:AK1422"/>
    <mergeCell ref="N1422:O1422"/>
    <mergeCell ref="P1422:Q1422"/>
    <mergeCell ref="R1422:S1422"/>
    <mergeCell ref="T1422:U1422"/>
    <mergeCell ref="V1422:W1422"/>
    <mergeCell ref="X1422:Y1422"/>
    <mergeCell ref="B1422:C1422"/>
    <mergeCell ref="D1422:E1422"/>
    <mergeCell ref="F1422:G1422"/>
    <mergeCell ref="H1422:I1422"/>
    <mergeCell ref="J1422:K1422"/>
    <mergeCell ref="L1422:M1422"/>
    <mergeCell ref="AL1421:BB1421"/>
    <mergeCell ref="AD1421:AE1421"/>
    <mergeCell ref="AF1421:AG1421"/>
    <mergeCell ref="AH1421:AI1421"/>
    <mergeCell ref="AJ1421:AK1421"/>
    <mergeCell ref="R1421:S1421"/>
    <mergeCell ref="T1421:U1421"/>
    <mergeCell ref="V1421:W1421"/>
    <mergeCell ref="X1421:Y1421"/>
    <mergeCell ref="Z1421:AA1421"/>
    <mergeCell ref="AB1421:AC1421"/>
    <mergeCell ref="B1421:C1421"/>
    <mergeCell ref="D1421:E1421"/>
    <mergeCell ref="F1421:G1421"/>
    <mergeCell ref="H1421:I1421"/>
    <mergeCell ref="J1421:K1421"/>
    <mergeCell ref="L1421:M1421"/>
    <mergeCell ref="N1421:O1421"/>
    <mergeCell ref="P1421:Q1421"/>
    <mergeCell ref="AL1420:BB1420"/>
    <mergeCell ref="Z1420:AA1420"/>
    <mergeCell ref="AB1420:AC1420"/>
    <mergeCell ref="AD1420:AE1420"/>
    <mergeCell ref="AF1420:AG1420"/>
    <mergeCell ref="AH1420:AI1420"/>
    <mergeCell ref="AJ1420:AK1420"/>
    <mergeCell ref="N1420:O1420"/>
    <mergeCell ref="P1420:Q1420"/>
    <mergeCell ref="R1420:S1420"/>
    <mergeCell ref="T1420:U1420"/>
    <mergeCell ref="V1420:W1420"/>
    <mergeCell ref="X1420:Y1420"/>
    <mergeCell ref="B1420:C1420"/>
    <mergeCell ref="D1420:E1420"/>
    <mergeCell ref="F1420:G1420"/>
    <mergeCell ref="H1420:I1420"/>
    <mergeCell ref="J1420:K1420"/>
    <mergeCell ref="L1420:M1420"/>
    <mergeCell ref="AL1419:BB1419"/>
    <mergeCell ref="AD1419:AE1419"/>
    <mergeCell ref="AF1419:AG1419"/>
    <mergeCell ref="AH1419:AI1419"/>
    <mergeCell ref="AJ1419:AK1419"/>
    <mergeCell ref="R1419:S1419"/>
    <mergeCell ref="T1419:U1419"/>
    <mergeCell ref="V1419:W1419"/>
    <mergeCell ref="X1419:Y1419"/>
    <mergeCell ref="Z1419:AA1419"/>
    <mergeCell ref="AB1419:AC1419"/>
    <mergeCell ref="B1419:C1419"/>
    <mergeCell ref="D1419:E1419"/>
    <mergeCell ref="F1419:G1419"/>
    <mergeCell ref="H1419:I1419"/>
    <mergeCell ref="J1419:K1419"/>
    <mergeCell ref="L1419:M1419"/>
    <mergeCell ref="N1419:O1419"/>
    <mergeCell ref="P1419:Q1419"/>
    <mergeCell ref="AL1418:BB1418"/>
    <mergeCell ref="Z1418:AA1418"/>
    <mergeCell ref="AB1418:AC1418"/>
    <mergeCell ref="AD1418:AE1418"/>
    <mergeCell ref="AF1418:AG1418"/>
    <mergeCell ref="AH1418:AI1418"/>
    <mergeCell ref="AJ1418:AK1418"/>
    <mergeCell ref="N1418:O1418"/>
    <mergeCell ref="P1418:Q1418"/>
    <mergeCell ref="R1418:S1418"/>
    <mergeCell ref="T1418:U1418"/>
    <mergeCell ref="V1418:W1418"/>
    <mergeCell ref="X1418:Y1418"/>
    <mergeCell ref="B1418:C1418"/>
    <mergeCell ref="D1418:E1418"/>
    <mergeCell ref="F1418:G1418"/>
    <mergeCell ref="H1418:I1418"/>
    <mergeCell ref="J1418:K1418"/>
    <mergeCell ref="L1418:M1418"/>
    <mergeCell ref="AL1417:BB1417"/>
    <mergeCell ref="Z1417:AA1417"/>
    <mergeCell ref="AB1417:AC1417"/>
    <mergeCell ref="AD1417:AE1417"/>
    <mergeCell ref="AF1417:AG1417"/>
    <mergeCell ref="AH1417:AI1417"/>
    <mergeCell ref="AJ1417:AK1417"/>
    <mergeCell ref="N1417:O1417"/>
    <mergeCell ref="P1417:Q1417"/>
    <mergeCell ref="R1417:S1417"/>
    <mergeCell ref="T1417:U1417"/>
    <mergeCell ref="V1417:W1417"/>
    <mergeCell ref="X1417:Y1417"/>
    <mergeCell ref="B1417:C1417"/>
    <mergeCell ref="D1417:E1417"/>
    <mergeCell ref="F1417:G1417"/>
    <mergeCell ref="H1417:I1417"/>
    <mergeCell ref="J1417:K1417"/>
    <mergeCell ref="L1417:M1417"/>
    <mergeCell ref="AL1416:BB1416"/>
    <mergeCell ref="Z1416:AA1416"/>
    <mergeCell ref="AB1416:AC1416"/>
    <mergeCell ref="AD1416:AE1416"/>
    <mergeCell ref="AF1416:AG1416"/>
    <mergeCell ref="AH1416:AI1416"/>
    <mergeCell ref="AJ1416:AK1416"/>
    <mergeCell ref="N1416:O1416"/>
    <mergeCell ref="P1416:Q1416"/>
    <mergeCell ref="R1416:S1416"/>
    <mergeCell ref="T1416:U1416"/>
    <mergeCell ref="V1416:W1416"/>
    <mergeCell ref="X1416:Y1416"/>
    <mergeCell ref="B1416:C1416"/>
    <mergeCell ref="D1416:E1416"/>
    <mergeCell ref="F1416:G1416"/>
    <mergeCell ref="H1416:I1416"/>
    <mergeCell ref="J1416:K1416"/>
    <mergeCell ref="L1416:M1416"/>
    <mergeCell ref="AL1415:BB1415"/>
    <mergeCell ref="AD1415:AE1415"/>
    <mergeCell ref="AF1415:AG1415"/>
    <mergeCell ref="AH1415:AI1415"/>
    <mergeCell ref="AJ1415:AK1415"/>
    <mergeCell ref="R1415:S1415"/>
    <mergeCell ref="T1415:U1415"/>
    <mergeCell ref="V1415:W1415"/>
    <mergeCell ref="X1415:Y1415"/>
    <mergeCell ref="Z1415:AA1415"/>
    <mergeCell ref="AB1415:AC1415"/>
    <mergeCell ref="B1415:C1415"/>
    <mergeCell ref="D1415:E1415"/>
    <mergeCell ref="F1415:G1415"/>
    <mergeCell ref="H1415:I1415"/>
    <mergeCell ref="J1415:K1415"/>
    <mergeCell ref="L1415:M1415"/>
    <mergeCell ref="N1415:O1415"/>
    <mergeCell ref="P1415:Q1415"/>
    <mergeCell ref="AL1414:BB1414"/>
    <mergeCell ref="AD1414:AE1414"/>
    <mergeCell ref="AF1414:AG1414"/>
    <mergeCell ref="AH1414:AI1414"/>
    <mergeCell ref="AJ1414:AK1414"/>
    <mergeCell ref="R1414:S1414"/>
    <mergeCell ref="T1414:U1414"/>
    <mergeCell ref="V1414:W1414"/>
    <mergeCell ref="X1414:Y1414"/>
    <mergeCell ref="Z1414:AA1414"/>
    <mergeCell ref="AB1414:AC1414"/>
    <mergeCell ref="B1414:C1414"/>
    <mergeCell ref="D1414:E1414"/>
    <mergeCell ref="F1414:G1414"/>
    <mergeCell ref="H1414:I1414"/>
    <mergeCell ref="J1414:K1414"/>
    <mergeCell ref="L1414:M1414"/>
    <mergeCell ref="N1414:O1414"/>
    <mergeCell ref="P1414:Q1414"/>
    <mergeCell ref="AL1413:BB1413"/>
    <mergeCell ref="AD1413:AE1413"/>
    <mergeCell ref="AF1413:AG1413"/>
    <mergeCell ref="AH1413:AI1413"/>
    <mergeCell ref="AJ1413:AK1413"/>
    <mergeCell ref="R1413:S1413"/>
    <mergeCell ref="T1413:U1413"/>
    <mergeCell ref="V1413:W1413"/>
    <mergeCell ref="X1413:Y1413"/>
    <mergeCell ref="Z1413:AA1413"/>
    <mergeCell ref="AB1413:AC1413"/>
    <mergeCell ref="B1413:C1413"/>
    <mergeCell ref="D1413:E1413"/>
    <mergeCell ref="F1413:G1413"/>
    <mergeCell ref="H1413:I1413"/>
    <mergeCell ref="J1413:K1413"/>
    <mergeCell ref="L1413:M1413"/>
    <mergeCell ref="N1413:O1413"/>
    <mergeCell ref="P1413:Q1413"/>
    <mergeCell ref="AL1412:BB1412"/>
    <mergeCell ref="AD1412:AE1412"/>
    <mergeCell ref="AF1412:AG1412"/>
    <mergeCell ref="AH1412:AI1412"/>
    <mergeCell ref="AJ1412:AK1412"/>
    <mergeCell ref="R1412:S1412"/>
    <mergeCell ref="T1412:U1412"/>
    <mergeCell ref="V1412:W1412"/>
    <mergeCell ref="X1412:Y1412"/>
    <mergeCell ref="Z1412:AA1412"/>
    <mergeCell ref="AB1412:AC1412"/>
    <mergeCell ref="B1412:C1412"/>
    <mergeCell ref="D1412:E1412"/>
    <mergeCell ref="F1412:G1412"/>
    <mergeCell ref="H1412:I1412"/>
    <mergeCell ref="J1412:K1412"/>
    <mergeCell ref="L1412:M1412"/>
    <mergeCell ref="N1412:O1412"/>
    <mergeCell ref="P1412:Q1412"/>
    <mergeCell ref="AL1411:BB1411"/>
    <mergeCell ref="AD1411:AE1411"/>
    <mergeCell ref="AF1411:AG1411"/>
    <mergeCell ref="AH1411:AI1411"/>
    <mergeCell ref="AJ1411:AK1411"/>
    <mergeCell ref="R1411:S1411"/>
    <mergeCell ref="T1411:U1411"/>
    <mergeCell ref="V1411:W1411"/>
    <mergeCell ref="X1411:Y1411"/>
    <mergeCell ref="Z1411:AA1411"/>
    <mergeCell ref="AB1411:AC1411"/>
    <mergeCell ref="B1411:C1411"/>
    <mergeCell ref="D1411:E1411"/>
    <mergeCell ref="F1411:G1411"/>
    <mergeCell ref="H1411:I1411"/>
    <mergeCell ref="J1411:K1411"/>
    <mergeCell ref="L1411:M1411"/>
    <mergeCell ref="N1411:O1411"/>
    <mergeCell ref="P1411:Q1411"/>
    <mergeCell ref="AL1410:BB1410"/>
    <mergeCell ref="AD1410:AE1410"/>
    <mergeCell ref="AF1410:AG1410"/>
    <mergeCell ref="AH1410:AI1410"/>
    <mergeCell ref="AJ1410:AK1410"/>
    <mergeCell ref="R1410:S1410"/>
    <mergeCell ref="T1410:U1410"/>
    <mergeCell ref="V1410:W1410"/>
    <mergeCell ref="X1410:Y1410"/>
    <mergeCell ref="Z1410:AA1410"/>
    <mergeCell ref="AB1410:AC1410"/>
    <mergeCell ref="B1410:C1410"/>
    <mergeCell ref="D1410:E1410"/>
    <mergeCell ref="F1410:G1410"/>
    <mergeCell ref="H1410:I1410"/>
    <mergeCell ref="J1410:K1410"/>
    <mergeCell ref="L1410:M1410"/>
    <mergeCell ref="N1410:O1410"/>
    <mergeCell ref="P1410:Q1410"/>
    <mergeCell ref="AL1409:BB1409"/>
    <mergeCell ref="AD1409:AE1409"/>
    <mergeCell ref="AF1409:AG1409"/>
    <mergeCell ref="AH1409:AI1409"/>
    <mergeCell ref="AJ1409:AK1409"/>
    <mergeCell ref="R1409:S1409"/>
    <mergeCell ref="T1409:U1409"/>
    <mergeCell ref="V1409:W1409"/>
    <mergeCell ref="X1409:Y1409"/>
    <mergeCell ref="Z1409:AA1409"/>
    <mergeCell ref="AB1409:AC1409"/>
    <mergeCell ref="B1409:C1409"/>
    <mergeCell ref="D1409:E1409"/>
    <mergeCell ref="F1409:G1409"/>
    <mergeCell ref="H1409:I1409"/>
    <mergeCell ref="J1409:K1409"/>
    <mergeCell ref="L1409:M1409"/>
    <mergeCell ref="N1409:O1409"/>
    <mergeCell ref="P1409:Q1409"/>
    <mergeCell ref="AL1408:BB1408"/>
    <mergeCell ref="AD1408:AE1408"/>
    <mergeCell ref="AF1408:AG1408"/>
    <mergeCell ref="AH1408:AI1408"/>
    <mergeCell ref="AJ1408:AK1408"/>
    <mergeCell ref="R1408:S1408"/>
    <mergeCell ref="T1408:U1408"/>
    <mergeCell ref="V1408:W1408"/>
    <mergeCell ref="X1408:Y1408"/>
    <mergeCell ref="Z1408:AA1408"/>
    <mergeCell ref="AB1408:AC1408"/>
    <mergeCell ref="B1408:C1408"/>
    <mergeCell ref="D1408:E1408"/>
    <mergeCell ref="F1408:G1408"/>
    <mergeCell ref="H1408:I1408"/>
    <mergeCell ref="J1408:K1408"/>
    <mergeCell ref="L1408:M1408"/>
    <mergeCell ref="N1408:O1408"/>
    <mergeCell ref="P1408:Q1408"/>
    <mergeCell ref="AL1407:BB1407"/>
    <mergeCell ref="AD1407:AE1407"/>
    <mergeCell ref="AF1407:AG1407"/>
    <mergeCell ref="AH1407:AI1407"/>
    <mergeCell ref="AJ1407:AK1407"/>
    <mergeCell ref="R1407:S1407"/>
    <mergeCell ref="T1407:U1407"/>
    <mergeCell ref="V1407:W1407"/>
    <mergeCell ref="X1407:Y1407"/>
    <mergeCell ref="Z1407:AA1407"/>
    <mergeCell ref="AB1407:AC1407"/>
    <mergeCell ref="B1407:C1407"/>
    <mergeCell ref="D1407:E1407"/>
    <mergeCell ref="F1407:G1407"/>
    <mergeCell ref="H1407:I1407"/>
    <mergeCell ref="J1407:K1407"/>
    <mergeCell ref="L1407:M1407"/>
    <mergeCell ref="N1407:O1407"/>
    <mergeCell ref="P1407:Q1407"/>
    <mergeCell ref="AL1406:BB1406"/>
    <mergeCell ref="AD1406:AE1406"/>
    <mergeCell ref="AF1406:AG1406"/>
    <mergeCell ref="AH1406:AI1406"/>
    <mergeCell ref="AJ1406:AK1406"/>
    <mergeCell ref="R1406:S1406"/>
    <mergeCell ref="T1406:U1406"/>
    <mergeCell ref="V1406:W1406"/>
    <mergeCell ref="X1406:Y1406"/>
    <mergeCell ref="Z1406:AA1406"/>
    <mergeCell ref="AB1406:AC1406"/>
    <mergeCell ref="B1406:C1406"/>
    <mergeCell ref="D1406:E1406"/>
    <mergeCell ref="F1406:G1406"/>
    <mergeCell ref="H1406:I1406"/>
    <mergeCell ref="J1406:K1406"/>
    <mergeCell ref="L1406:M1406"/>
    <mergeCell ref="N1406:O1406"/>
    <mergeCell ref="P1406:Q1406"/>
    <mergeCell ref="AL1405:BB1405"/>
    <mergeCell ref="AD1405:AE1405"/>
    <mergeCell ref="AF1405:AG1405"/>
    <mergeCell ref="AH1405:AI1405"/>
    <mergeCell ref="AJ1405:AK1405"/>
    <mergeCell ref="R1405:S1405"/>
    <mergeCell ref="T1405:U1405"/>
    <mergeCell ref="V1405:W1405"/>
    <mergeCell ref="X1405:Y1405"/>
    <mergeCell ref="Z1405:AA1405"/>
    <mergeCell ref="AB1405:AC1405"/>
    <mergeCell ref="B1405:C1405"/>
    <mergeCell ref="D1405:E1405"/>
    <mergeCell ref="F1405:G1405"/>
    <mergeCell ref="H1405:I1405"/>
    <mergeCell ref="J1405:K1405"/>
    <mergeCell ref="L1405:M1405"/>
    <mergeCell ref="N1405:O1405"/>
    <mergeCell ref="P1405:Q1405"/>
    <mergeCell ref="AL1404:BB1404"/>
    <mergeCell ref="AD1404:AE1404"/>
    <mergeCell ref="AF1404:AG1404"/>
    <mergeCell ref="AH1404:AI1404"/>
    <mergeCell ref="AJ1404:AK1404"/>
    <mergeCell ref="R1404:S1404"/>
    <mergeCell ref="T1404:U1404"/>
    <mergeCell ref="V1404:W1404"/>
    <mergeCell ref="X1404:Y1404"/>
    <mergeCell ref="Z1404:AA1404"/>
    <mergeCell ref="AB1404:AC1404"/>
    <mergeCell ref="B1404:C1404"/>
    <mergeCell ref="D1404:E1404"/>
    <mergeCell ref="F1404:G1404"/>
    <mergeCell ref="H1404:I1404"/>
    <mergeCell ref="J1404:K1404"/>
    <mergeCell ref="L1404:M1404"/>
    <mergeCell ref="N1404:O1404"/>
    <mergeCell ref="P1404:Q1404"/>
    <mergeCell ref="AL1403:BB1403"/>
    <mergeCell ref="AD1403:AE1403"/>
    <mergeCell ref="AF1403:AG1403"/>
    <mergeCell ref="AH1403:AI1403"/>
    <mergeCell ref="AJ1403:AK1403"/>
    <mergeCell ref="R1403:S1403"/>
    <mergeCell ref="T1403:U1403"/>
    <mergeCell ref="V1403:W1403"/>
    <mergeCell ref="X1403:Y1403"/>
    <mergeCell ref="Z1403:AA1403"/>
    <mergeCell ref="AB1403:AC1403"/>
    <mergeCell ref="B1403:C1403"/>
    <mergeCell ref="D1403:E1403"/>
    <mergeCell ref="F1403:G1403"/>
    <mergeCell ref="H1403:I1403"/>
    <mergeCell ref="J1403:K1403"/>
    <mergeCell ref="L1403:M1403"/>
    <mergeCell ref="N1403:O1403"/>
    <mergeCell ref="P1403:Q1403"/>
    <mergeCell ref="AL1402:BB1402"/>
    <mergeCell ref="AD1402:AE1402"/>
    <mergeCell ref="AF1402:AG1402"/>
    <mergeCell ref="AH1402:AI1402"/>
    <mergeCell ref="AJ1402:AK1402"/>
    <mergeCell ref="R1402:S1402"/>
    <mergeCell ref="T1402:U1402"/>
    <mergeCell ref="V1402:W1402"/>
    <mergeCell ref="X1402:Y1402"/>
    <mergeCell ref="Z1402:AA1402"/>
    <mergeCell ref="AB1402:AC1402"/>
    <mergeCell ref="B1402:C1402"/>
    <mergeCell ref="D1402:E1402"/>
    <mergeCell ref="F1402:G1402"/>
    <mergeCell ref="H1402:I1402"/>
    <mergeCell ref="J1402:K1402"/>
    <mergeCell ref="L1402:M1402"/>
    <mergeCell ref="N1402:O1402"/>
    <mergeCell ref="P1402:Q1402"/>
    <mergeCell ref="AL1401:BB1401"/>
    <mergeCell ref="AD1401:AE1401"/>
    <mergeCell ref="AF1401:AG1401"/>
    <mergeCell ref="AH1401:AI1401"/>
    <mergeCell ref="AJ1401:AK1401"/>
    <mergeCell ref="R1401:S1401"/>
    <mergeCell ref="T1401:U1401"/>
    <mergeCell ref="V1401:W1401"/>
    <mergeCell ref="X1401:Y1401"/>
    <mergeCell ref="Z1401:AA1401"/>
    <mergeCell ref="AB1401:AC1401"/>
    <mergeCell ref="B1401:C1401"/>
    <mergeCell ref="D1401:E1401"/>
    <mergeCell ref="F1401:G1401"/>
    <mergeCell ref="H1401:I1401"/>
    <mergeCell ref="J1401:K1401"/>
    <mergeCell ref="L1401:M1401"/>
    <mergeCell ref="N1401:O1401"/>
    <mergeCell ref="P1401:Q1401"/>
    <mergeCell ref="AL1400:BB1400"/>
    <mergeCell ref="AD1400:AE1400"/>
    <mergeCell ref="AF1400:AG1400"/>
    <mergeCell ref="AH1400:AI1400"/>
    <mergeCell ref="AJ1400:AK1400"/>
    <mergeCell ref="R1400:S1400"/>
    <mergeCell ref="T1400:U1400"/>
    <mergeCell ref="V1400:W1400"/>
    <mergeCell ref="X1400:Y1400"/>
    <mergeCell ref="Z1400:AA1400"/>
    <mergeCell ref="AB1400:AC1400"/>
    <mergeCell ref="B1400:C1400"/>
    <mergeCell ref="D1400:E1400"/>
    <mergeCell ref="F1400:G1400"/>
    <mergeCell ref="H1400:I1400"/>
    <mergeCell ref="J1400:K1400"/>
    <mergeCell ref="L1400:M1400"/>
    <mergeCell ref="N1400:O1400"/>
    <mergeCell ref="P1400:Q1400"/>
    <mergeCell ref="AL1399:BB1399"/>
    <mergeCell ref="AD1399:AE1399"/>
    <mergeCell ref="AF1399:AG1399"/>
    <mergeCell ref="AH1399:AI1399"/>
    <mergeCell ref="AJ1399:AK1399"/>
    <mergeCell ref="R1399:S1399"/>
    <mergeCell ref="T1399:U1399"/>
    <mergeCell ref="V1399:W1399"/>
    <mergeCell ref="X1399:Y1399"/>
    <mergeCell ref="Z1399:AA1399"/>
    <mergeCell ref="AB1399:AC1399"/>
    <mergeCell ref="B1399:C1399"/>
    <mergeCell ref="D1399:E1399"/>
    <mergeCell ref="F1399:G1399"/>
    <mergeCell ref="H1399:I1399"/>
    <mergeCell ref="J1399:K1399"/>
    <mergeCell ref="L1399:M1399"/>
    <mergeCell ref="N1399:O1399"/>
    <mergeCell ref="P1399:Q1399"/>
    <mergeCell ref="AL1398:BB1398"/>
    <mergeCell ref="AD1398:AE1398"/>
    <mergeCell ref="AF1398:AG1398"/>
    <mergeCell ref="AH1398:AI1398"/>
    <mergeCell ref="AJ1398:AK1398"/>
    <mergeCell ref="R1398:S1398"/>
    <mergeCell ref="T1398:U1398"/>
    <mergeCell ref="V1398:W1398"/>
    <mergeCell ref="X1398:Y1398"/>
    <mergeCell ref="Z1398:AA1398"/>
    <mergeCell ref="AB1398:AC1398"/>
    <mergeCell ref="B1398:C1398"/>
    <mergeCell ref="D1398:E1398"/>
    <mergeCell ref="F1398:G1398"/>
    <mergeCell ref="H1398:I1398"/>
    <mergeCell ref="J1398:K1398"/>
    <mergeCell ref="L1398:M1398"/>
    <mergeCell ref="N1398:O1398"/>
    <mergeCell ref="P1398:Q1398"/>
    <mergeCell ref="AL1397:BB1397"/>
    <mergeCell ref="AD1397:AE1397"/>
    <mergeCell ref="AF1397:AG1397"/>
    <mergeCell ref="AH1397:AI1397"/>
    <mergeCell ref="AJ1397:AK1397"/>
    <mergeCell ref="R1397:S1397"/>
    <mergeCell ref="T1397:U1397"/>
    <mergeCell ref="V1397:W1397"/>
    <mergeCell ref="X1397:Y1397"/>
    <mergeCell ref="Z1397:AA1397"/>
    <mergeCell ref="AB1397:AC1397"/>
    <mergeCell ref="B1397:C1397"/>
    <mergeCell ref="D1397:E1397"/>
    <mergeCell ref="F1397:G1397"/>
    <mergeCell ref="H1397:I1397"/>
    <mergeCell ref="J1397:K1397"/>
    <mergeCell ref="L1397:M1397"/>
    <mergeCell ref="N1397:O1397"/>
    <mergeCell ref="P1397:Q1397"/>
    <mergeCell ref="AL1396:BB1396"/>
    <mergeCell ref="AD1396:AE1396"/>
    <mergeCell ref="AF1396:AG1396"/>
    <mergeCell ref="AH1396:AI1396"/>
    <mergeCell ref="AJ1396:AK1396"/>
    <mergeCell ref="R1396:S1396"/>
    <mergeCell ref="T1396:U1396"/>
    <mergeCell ref="V1396:W1396"/>
    <mergeCell ref="X1396:Y1396"/>
    <mergeCell ref="Z1396:AA1396"/>
    <mergeCell ref="AB1396:AC1396"/>
    <mergeCell ref="B1396:C1396"/>
    <mergeCell ref="D1396:E1396"/>
    <mergeCell ref="F1396:G1396"/>
    <mergeCell ref="H1396:I1396"/>
    <mergeCell ref="J1396:K1396"/>
    <mergeCell ref="L1396:M1396"/>
    <mergeCell ref="N1396:O1396"/>
    <mergeCell ref="P1396:Q1396"/>
    <mergeCell ref="AL1395:BB1395"/>
    <mergeCell ref="AD1395:AE1395"/>
    <mergeCell ref="AF1395:AG1395"/>
    <mergeCell ref="AH1395:AI1395"/>
    <mergeCell ref="AJ1395:AK1395"/>
    <mergeCell ref="R1395:S1395"/>
    <mergeCell ref="T1395:U1395"/>
    <mergeCell ref="V1395:W1395"/>
    <mergeCell ref="X1395:Y1395"/>
    <mergeCell ref="Z1395:AA1395"/>
    <mergeCell ref="AB1395:AC1395"/>
    <mergeCell ref="B1395:C1395"/>
    <mergeCell ref="D1395:E1395"/>
    <mergeCell ref="F1395:G1395"/>
    <mergeCell ref="H1395:I1395"/>
    <mergeCell ref="J1395:K1395"/>
    <mergeCell ref="L1395:M1395"/>
    <mergeCell ref="N1395:O1395"/>
    <mergeCell ref="P1395:Q1395"/>
    <mergeCell ref="AL1394:BB1394"/>
    <mergeCell ref="AD1394:AE1394"/>
    <mergeCell ref="AF1394:AG1394"/>
    <mergeCell ref="AH1394:AI1394"/>
    <mergeCell ref="AJ1394:AK1394"/>
    <mergeCell ref="R1394:S1394"/>
    <mergeCell ref="T1394:U1394"/>
    <mergeCell ref="V1394:W1394"/>
    <mergeCell ref="X1394:Y1394"/>
    <mergeCell ref="Z1394:AA1394"/>
    <mergeCell ref="AB1394:AC1394"/>
    <mergeCell ref="B1394:C1394"/>
    <mergeCell ref="D1394:E1394"/>
    <mergeCell ref="F1394:G1394"/>
    <mergeCell ref="H1394:I1394"/>
    <mergeCell ref="J1394:K1394"/>
    <mergeCell ref="L1394:M1394"/>
    <mergeCell ref="N1394:O1394"/>
    <mergeCell ref="P1394:Q1394"/>
    <mergeCell ref="AL1393:BB1393"/>
    <mergeCell ref="AD1393:AE1393"/>
    <mergeCell ref="AF1393:AG1393"/>
    <mergeCell ref="AH1393:AI1393"/>
    <mergeCell ref="AJ1393:AK1393"/>
    <mergeCell ref="R1393:S1393"/>
    <mergeCell ref="T1393:U1393"/>
    <mergeCell ref="V1393:W1393"/>
    <mergeCell ref="X1393:Y1393"/>
    <mergeCell ref="Z1393:AA1393"/>
    <mergeCell ref="AB1393:AC1393"/>
    <mergeCell ref="B1393:C1393"/>
    <mergeCell ref="D1393:E1393"/>
    <mergeCell ref="F1393:G1393"/>
    <mergeCell ref="H1393:I1393"/>
    <mergeCell ref="J1393:K1393"/>
    <mergeCell ref="L1393:M1393"/>
    <mergeCell ref="N1393:O1393"/>
    <mergeCell ref="P1393:Q1393"/>
    <mergeCell ref="AL1392:BB1392"/>
    <mergeCell ref="AD1392:AE1392"/>
    <mergeCell ref="AF1392:AG1392"/>
    <mergeCell ref="AH1392:AI1392"/>
    <mergeCell ref="AJ1392:AK1392"/>
    <mergeCell ref="R1392:S1392"/>
    <mergeCell ref="T1392:U1392"/>
    <mergeCell ref="V1392:W1392"/>
    <mergeCell ref="X1392:Y1392"/>
    <mergeCell ref="Z1392:AA1392"/>
    <mergeCell ref="AB1392:AC1392"/>
    <mergeCell ref="B1392:C1392"/>
    <mergeCell ref="D1392:E1392"/>
    <mergeCell ref="F1392:G1392"/>
    <mergeCell ref="H1392:I1392"/>
    <mergeCell ref="J1392:K1392"/>
    <mergeCell ref="L1392:M1392"/>
    <mergeCell ref="N1392:O1392"/>
    <mergeCell ref="P1392:Q1392"/>
    <mergeCell ref="AL1391:BB1391"/>
    <mergeCell ref="AD1391:AE1391"/>
    <mergeCell ref="AF1391:AG1391"/>
    <mergeCell ref="AH1391:AI1391"/>
    <mergeCell ref="AJ1391:AK1391"/>
    <mergeCell ref="R1391:S1391"/>
    <mergeCell ref="T1391:U1391"/>
    <mergeCell ref="V1391:W1391"/>
    <mergeCell ref="X1391:Y1391"/>
    <mergeCell ref="Z1391:AA1391"/>
    <mergeCell ref="AB1391:AC1391"/>
    <mergeCell ref="B1391:C1391"/>
    <mergeCell ref="D1391:E1391"/>
    <mergeCell ref="F1391:G1391"/>
    <mergeCell ref="H1391:I1391"/>
    <mergeCell ref="J1391:K1391"/>
    <mergeCell ref="L1391:M1391"/>
    <mergeCell ref="N1391:O1391"/>
    <mergeCell ref="P1391:Q1391"/>
    <mergeCell ref="AL1390:BB1390"/>
    <mergeCell ref="AD1390:AE1390"/>
    <mergeCell ref="AF1390:AG1390"/>
    <mergeCell ref="AH1390:AI1390"/>
    <mergeCell ref="AJ1390:AK1390"/>
    <mergeCell ref="R1390:S1390"/>
    <mergeCell ref="T1390:U1390"/>
    <mergeCell ref="V1390:W1390"/>
    <mergeCell ref="X1390:Y1390"/>
    <mergeCell ref="Z1390:AA1390"/>
    <mergeCell ref="AB1390:AC1390"/>
    <mergeCell ref="B1390:C1390"/>
    <mergeCell ref="D1390:E1390"/>
    <mergeCell ref="F1390:G1390"/>
    <mergeCell ref="H1390:I1390"/>
    <mergeCell ref="J1390:K1390"/>
    <mergeCell ref="L1390:M1390"/>
    <mergeCell ref="N1390:O1390"/>
    <mergeCell ref="P1390:Q1390"/>
    <mergeCell ref="AL1389:BB1389"/>
    <mergeCell ref="AD1389:AE1389"/>
    <mergeCell ref="AF1389:AG1389"/>
    <mergeCell ref="AH1389:AI1389"/>
    <mergeCell ref="AJ1389:AK1389"/>
    <mergeCell ref="R1389:S1389"/>
    <mergeCell ref="T1389:U1389"/>
    <mergeCell ref="V1389:W1389"/>
    <mergeCell ref="X1389:Y1389"/>
    <mergeCell ref="Z1389:AA1389"/>
    <mergeCell ref="AB1389:AC1389"/>
    <mergeCell ref="B1389:C1389"/>
    <mergeCell ref="D1389:E1389"/>
    <mergeCell ref="F1389:G1389"/>
    <mergeCell ref="H1389:I1389"/>
    <mergeCell ref="J1389:K1389"/>
    <mergeCell ref="L1389:M1389"/>
    <mergeCell ref="N1389:O1389"/>
    <mergeCell ref="P1389:Q1389"/>
    <mergeCell ref="AL1388:BB1388"/>
    <mergeCell ref="AD1388:AE1388"/>
    <mergeCell ref="AF1388:AG1388"/>
    <mergeCell ref="AH1388:AI1388"/>
    <mergeCell ref="AJ1388:AK1388"/>
    <mergeCell ref="R1388:S1388"/>
    <mergeCell ref="T1388:U1388"/>
    <mergeCell ref="V1388:W1388"/>
    <mergeCell ref="X1388:Y1388"/>
    <mergeCell ref="Z1388:AA1388"/>
    <mergeCell ref="AB1388:AC1388"/>
    <mergeCell ref="B1388:C1388"/>
    <mergeCell ref="D1388:E1388"/>
    <mergeCell ref="F1388:G1388"/>
    <mergeCell ref="H1388:I1388"/>
    <mergeCell ref="J1388:K1388"/>
    <mergeCell ref="L1388:M1388"/>
    <mergeCell ref="N1388:O1388"/>
    <mergeCell ref="P1388:Q1388"/>
    <mergeCell ref="AL1387:BB1387"/>
    <mergeCell ref="AD1387:AE1387"/>
    <mergeCell ref="AF1387:AG1387"/>
    <mergeCell ref="AH1387:AI1387"/>
    <mergeCell ref="AJ1387:AK1387"/>
    <mergeCell ref="R1387:S1387"/>
    <mergeCell ref="T1387:U1387"/>
    <mergeCell ref="V1387:W1387"/>
    <mergeCell ref="X1387:Y1387"/>
    <mergeCell ref="Z1387:AA1387"/>
    <mergeCell ref="AB1387:AC1387"/>
    <mergeCell ref="B1387:C1387"/>
    <mergeCell ref="D1387:E1387"/>
    <mergeCell ref="F1387:G1387"/>
    <mergeCell ref="H1387:I1387"/>
    <mergeCell ref="J1387:K1387"/>
    <mergeCell ref="L1387:M1387"/>
    <mergeCell ref="N1387:O1387"/>
    <mergeCell ref="P1387:Q1387"/>
    <mergeCell ref="AL1386:BB1386"/>
    <mergeCell ref="Z1386:AA1386"/>
    <mergeCell ref="AB1386:AC1386"/>
    <mergeCell ref="AD1386:AE1386"/>
    <mergeCell ref="AF1386:AG1386"/>
    <mergeCell ref="AH1386:AI1386"/>
    <mergeCell ref="AJ1386:AK1386"/>
    <mergeCell ref="N1386:O1386"/>
    <mergeCell ref="P1386:Q1386"/>
    <mergeCell ref="R1386:S1386"/>
    <mergeCell ref="T1386:U1386"/>
    <mergeCell ref="V1386:W1386"/>
    <mergeCell ref="X1386:Y1386"/>
    <mergeCell ref="B1386:C1386"/>
    <mergeCell ref="D1386:E1386"/>
    <mergeCell ref="F1386:G1386"/>
    <mergeCell ref="H1386:I1386"/>
    <mergeCell ref="J1386:K1386"/>
    <mergeCell ref="L1386:M1386"/>
    <mergeCell ref="AL1385:BB1385"/>
    <mergeCell ref="AD1385:AE1385"/>
    <mergeCell ref="AF1385:AG1385"/>
    <mergeCell ref="AH1385:AI1385"/>
    <mergeCell ref="AJ1385:AK1385"/>
    <mergeCell ref="R1385:S1385"/>
    <mergeCell ref="T1385:U1385"/>
    <mergeCell ref="V1385:W1385"/>
    <mergeCell ref="X1385:Y1385"/>
    <mergeCell ref="Z1385:AA1385"/>
    <mergeCell ref="AB1385:AC1385"/>
    <mergeCell ref="B1385:C1385"/>
    <mergeCell ref="D1385:E1385"/>
    <mergeCell ref="F1385:G1385"/>
    <mergeCell ref="H1385:I1385"/>
    <mergeCell ref="J1385:K1385"/>
    <mergeCell ref="L1385:M1385"/>
    <mergeCell ref="N1385:O1385"/>
    <mergeCell ref="P1385:Q1385"/>
    <mergeCell ref="AL1384:BB1384"/>
    <mergeCell ref="Z1384:AA1384"/>
    <mergeCell ref="AB1384:AC1384"/>
    <mergeCell ref="AD1384:AE1384"/>
    <mergeCell ref="AF1384:AG1384"/>
    <mergeCell ref="AH1384:AI1384"/>
    <mergeCell ref="AJ1384:AK1384"/>
    <mergeCell ref="N1384:O1384"/>
    <mergeCell ref="P1384:Q1384"/>
    <mergeCell ref="R1384:S1384"/>
    <mergeCell ref="T1384:U1384"/>
    <mergeCell ref="V1384:W1384"/>
    <mergeCell ref="X1384:Y1384"/>
    <mergeCell ref="B1384:C1384"/>
    <mergeCell ref="D1384:E1384"/>
    <mergeCell ref="F1384:G1384"/>
    <mergeCell ref="H1384:I1384"/>
    <mergeCell ref="J1384:K1384"/>
    <mergeCell ref="L1384:M1384"/>
    <mergeCell ref="AL1383:BB1383"/>
    <mergeCell ref="AD1383:AE1383"/>
    <mergeCell ref="AF1383:AG1383"/>
    <mergeCell ref="AH1383:AI1383"/>
    <mergeCell ref="AJ1383:AK1383"/>
    <mergeCell ref="R1383:S1383"/>
    <mergeCell ref="T1383:U1383"/>
    <mergeCell ref="V1383:W1383"/>
    <mergeCell ref="X1383:Y1383"/>
    <mergeCell ref="Z1383:AA1383"/>
    <mergeCell ref="AB1383:AC1383"/>
    <mergeCell ref="B1383:C1383"/>
    <mergeCell ref="D1383:E1383"/>
    <mergeCell ref="F1383:G1383"/>
    <mergeCell ref="H1383:I1383"/>
    <mergeCell ref="J1383:K1383"/>
    <mergeCell ref="L1383:M1383"/>
    <mergeCell ref="N1383:O1383"/>
    <mergeCell ref="P1383:Q1383"/>
    <mergeCell ref="AL1382:BB1382"/>
    <mergeCell ref="Z1382:AA1382"/>
    <mergeCell ref="AB1382:AC1382"/>
    <mergeCell ref="AD1382:AE1382"/>
    <mergeCell ref="AF1382:AG1382"/>
    <mergeCell ref="AH1382:AI1382"/>
    <mergeCell ref="AJ1382:AK1382"/>
    <mergeCell ref="N1382:O1382"/>
    <mergeCell ref="P1382:Q1382"/>
    <mergeCell ref="R1382:S1382"/>
    <mergeCell ref="T1382:U1382"/>
    <mergeCell ref="V1382:W1382"/>
    <mergeCell ref="X1382:Y1382"/>
    <mergeCell ref="B1382:C1382"/>
    <mergeCell ref="D1382:E1382"/>
    <mergeCell ref="F1382:G1382"/>
    <mergeCell ref="H1382:I1382"/>
    <mergeCell ref="J1382:K1382"/>
    <mergeCell ref="L1382:M1382"/>
    <mergeCell ref="AL1381:BB1381"/>
    <mergeCell ref="AD1381:AE1381"/>
    <mergeCell ref="AF1381:AG1381"/>
    <mergeCell ref="AH1381:AI1381"/>
    <mergeCell ref="AJ1381:AK1381"/>
    <mergeCell ref="R1381:S1381"/>
    <mergeCell ref="T1381:U1381"/>
    <mergeCell ref="V1381:W1381"/>
    <mergeCell ref="X1381:Y1381"/>
    <mergeCell ref="Z1381:AA1381"/>
    <mergeCell ref="AB1381:AC1381"/>
    <mergeCell ref="B1381:C1381"/>
    <mergeCell ref="D1381:E1381"/>
    <mergeCell ref="F1381:G1381"/>
    <mergeCell ref="H1381:I1381"/>
    <mergeCell ref="J1381:K1381"/>
    <mergeCell ref="L1381:M1381"/>
    <mergeCell ref="N1381:O1381"/>
    <mergeCell ref="P1381:Q1381"/>
    <mergeCell ref="AL1380:BB1380"/>
    <mergeCell ref="Z1380:AA1380"/>
    <mergeCell ref="AB1380:AC1380"/>
    <mergeCell ref="AD1380:AE1380"/>
    <mergeCell ref="AF1380:AG1380"/>
    <mergeCell ref="AH1380:AI1380"/>
    <mergeCell ref="AJ1380:AK1380"/>
    <mergeCell ref="N1380:O1380"/>
    <mergeCell ref="P1380:Q1380"/>
    <mergeCell ref="R1380:S1380"/>
    <mergeCell ref="T1380:U1380"/>
    <mergeCell ref="V1380:W1380"/>
    <mergeCell ref="X1380:Y1380"/>
    <mergeCell ref="B1380:C1380"/>
    <mergeCell ref="D1380:E1380"/>
    <mergeCell ref="F1380:G1380"/>
    <mergeCell ref="H1380:I1380"/>
    <mergeCell ref="J1380:K1380"/>
    <mergeCell ref="L1380:M1380"/>
    <mergeCell ref="AL1379:BB1379"/>
    <mergeCell ref="AD1379:AE1379"/>
    <mergeCell ref="AF1379:AG1379"/>
    <mergeCell ref="AH1379:AI1379"/>
    <mergeCell ref="AJ1379:AK1379"/>
    <mergeCell ref="R1379:S1379"/>
    <mergeCell ref="T1379:U1379"/>
    <mergeCell ref="V1379:W1379"/>
    <mergeCell ref="X1379:Y1379"/>
    <mergeCell ref="Z1379:AA1379"/>
    <mergeCell ref="AB1379:AC1379"/>
    <mergeCell ref="B1379:C1379"/>
    <mergeCell ref="D1379:E1379"/>
    <mergeCell ref="F1379:G1379"/>
    <mergeCell ref="H1379:I1379"/>
    <mergeCell ref="J1379:K1379"/>
    <mergeCell ref="L1379:M1379"/>
    <mergeCell ref="N1379:O1379"/>
    <mergeCell ref="P1379:Q1379"/>
    <mergeCell ref="AL1378:BB1378"/>
    <mergeCell ref="Z1378:AA1378"/>
    <mergeCell ref="AB1378:AC1378"/>
    <mergeCell ref="AD1378:AE1378"/>
    <mergeCell ref="AF1378:AG1378"/>
    <mergeCell ref="AH1378:AI1378"/>
    <mergeCell ref="AJ1378:AK1378"/>
    <mergeCell ref="N1378:O1378"/>
    <mergeCell ref="P1378:Q1378"/>
    <mergeCell ref="R1378:S1378"/>
    <mergeCell ref="T1378:U1378"/>
    <mergeCell ref="V1378:W1378"/>
    <mergeCell ref="X1378:Y1378"/>
    <mergeCell ref="B1378:C1378"/>
    <mergeCell ref="D1378:E1378"/>
    <mergeCell ref="F1378:G1378"/>
    <mergeCell ref="H1378:I1378"/>
    <mergeCell ref="J1378:K1378"/>
    <mergeCell ref="L1378:M1378"/>
    <mergeCell ref="AL1377:BB1377"/>
    <mergeCell ref="Z1377:AA1377"/>
    <mergeCell ref="AB1377:AC1377"/>
    <mergeCell ref="AD1377:AE1377"/>
    <mergeCell ref="AF1377:AG1377"/>
    <mergeCell ref="AH1377:AI1377"/>
    <mergeCell ref="AJ1377:AK1377"/>
    <mergeCell ref="N1377:O1377"/>
    <mergeCell ref="P1377:Q1377"/>
    <mergeCell ref="R1377:S1377"/>
    <mergeCell ref="T1377:U1377"/>
    <mergeCell ref="V1377:W1377"/>
    <mergeCell ref="X1377:Y1377"/>
    <mergeCell ref="B1377:C1377"/>
    <mergeCell ref="D1377:E1377"/>
    <mergeCell ref="F1377:G1377"/>
    <mergeCell ref="H1377:I1377"/>
    <mergeCell ref="J1377:K1377"/>
    <mergeCell ref="L1377:M1377"/>
    <mergeCell ref="AL1376:BB1376"/>
    <mergeCell ref="AD1376:AE1376"/>
    <mergeCell ref="AF1376:AG1376"/>
    <mergeCell ref="AH1376:AI1376"/>
    <mergeCell ref="AJ1376:AK1376"/>
    <mergeCell ref="R1376:S1376"/>
    <mergeCell ref="T1376:U1376"/>
    <mergeCell ref="V1376:W1376"/>
    <mergeCell ref="X1376:Y1376"/>
    <mergeCell ref="Z1376:AA1376"/>
    <mergeCell ref="AB1376:AC1376"/>
    <mergeCell ref="B1376:C1376"/>
    <mergeCell ref="D1376:E1376"/>
    <mergeCell ref="F1376:G1376"/>
    <mergeCell ref="H1376:I1376"/>
    <mergeCell ref="J1376:K1376"/>
    <mergeCell ref="L1376:M1376"/>
    <mergeCell ref="N1376:O1376"/>
    <mergeCell ref="P1376:Q1376"/>
    <mergeCell ref="AL1375:BB1375"/>
    <mergeCell ref="AD1375:AE1375"/>
    <mergeCell ref="AF1375:AG1375"/>
    <mergeCell ref="AH1375:AI1375"/>
    <mergeCell ref="AJ1375:AK1375"/>
    <mergeCell ref="R1375:S1375"/>
    <mergeCell ref="T1375:U1375"/>
    <mergeCell ref="V1375:W1375"/>
    <mergeCell ref="X1375:Y1375"/>
    <mergeCell ref="Z1375:AA1375"/>
    <mergeCell ref="AB1375:AC1375"/>
    <mergeCell ref="B1375:C1375"/>
    <mergeCell ref="D1375:E1375"/>
    <mergeCell ref="F1375:G1375"/>
    <mergeCell ref="H1375:I1375"/>
    <mergeCell ref="J1375:K1375"/>
    <mergeCell ref="L1375:M1375"/>
    <mergeCell ref="N1375:O1375"/>
    <mergeCell ref="P1375:Q1375"/>
    <mergeCell ref="AL1374:BB1374"/>
    <mergeCell ref="AD1374:AE1374"/>
    <mergeCell ref="AF1374:AG1374"/>
    <mergeCell ref="AH1374:AI1374"/>
    <mergeCell ref="AJ1374:AK1374"/>
    <mergeCell ref="R1374:S1374"/>
    <mergeCell ref="T1374:U1374"/>
    <mergeCell ref="V1374:W1374"/>
    <mergeCell ref="X1374:Y1374"/>
    <mergeCell ref="Z1374:AA1374"/>
    <mergeCell ref="AB1374:AC1374"/>
    <mergeCell ref="B1374:C1374"/>
    <mergeCell ref="D1374:E1374"/>
    <mergeCell ref="F1374:G1374"/>
    <mergeCell ref="H1374:I1374"/>
    <mergeCell ref="J1374:K1374"/>
    <mergeCell ref="L1374:M1374"/>
    <mergeCell ref="N1374:O1374"/>
    <mergeCell ref="P1374:Q1374"/>
    <mergeCell ref="AL1373:BB1373"/>
    <mergeCell ref="AD1373:AE1373"/>
    <mergeCell ref="AF1373:AG1373"/>
    <mergeCell ref="AH1373:AI1373"/>
    <mergeCell ref="AJ1373:AK1373"/>
    <mergeCell ref="R1373:S1373"/>
    <mergeCell ref="T1373:U1373"/>
    <mergeCell ref="V1373:W1373"/>
    <mergeCell ref="X1373:Y1373"/>
    <mergeCell ref="Z1373:AA1373"/>
    <mergeCell ref="AB1373:AC1373"/>
    <mergeCell ref="B1373:C1373"/>
    <mergeCell ref="D1373:E1373"/>
    <mergeCell ref="F1373:G1373"/>
    <mergeCell ref="H1373:I1373"/>
    <mergeCell ref="J1373:K1373"/>
    <mergeCell ref="L1373:M1373"/>
    <mergeCell ref="N1373:O1373"/>
    <mergeCell ref="P1373:Q1373"/>
    <mergeCell ref="AL1372:BB1372"/>
    <mergeCell ref="AD1372:AE1372"/>
    <mergeCell ref="AF1372:AG1372"/>
    <mergeCell ref="AH1372:AI1372"/>
    <mergeCell ref="AJ1372:AK1372"/>
    <mergeCell ref="R1372:S1372"/>
    <mergeCell ref="T1372:U1372"/>
    <mergeCell ref="V1372:W1372"/>
    <mergeCell ref="X1372:Y1372"/>
    <mergeCell ref="Z1372:AA1372"/>
    <mergeCell ref="AB1372:AC1372"/>
    <mergeCell ref="B1372:C1372"/>
    <mergeCell ref="D1372:E1372"/>
    <mergeCell ref="F1372:G1372"/>
    <mergeCell ref="H1372:I1372"/>
    <mergeCell ref="J1372:K1372"/>
    <mergeCell ref="L1372:M1372"/>
    <mergeCell ref="N1372:O1372"/>
    <mergeCell ref="P1372:Q1372"/>
    <mergeCell ref="AL1371:BB1371"/>
    <mergeCell ref="AD1371:AE1371"/>
    <mergeCell ref="AF1371:AG1371"/>
    <mergeCell ref="AH1371:AI1371"/>
    <mergeCell ref="AJ1371:AK1371"/>
    <mergeCell ref="R1371:S1371"/>
    <mergeCell ref="T1371:U1371"/>
    <mergeCell ref="V1371:W1371"/>
    <mergeCell ref="X1371:Y1371"/>
    <mergeCell ref="Z1371:AA1371"/>
    <mergeCell ref="AB1371:AC1371"/>
    <mergeCell ref="B1371:C1371"/>
    <mergeCell ref="D1371:E1371"/>
    <mergeCell ref="F1371:G1371"/>
    <mergeCell ref="H1371:I1371"/>
    <mergeCell ref="J1371:K1371"/>
    <mergeCell ref="L1371:M1371"/>
    <mergeCell ref="N1371:O1371"/>
    <mergeCell ref="P1371:Q1371"/>
    <mergeCell ref="AL1370:BB1370"/>
    <mergeCell ref="AD1370:AE1370"/>
    <mergeCell ref="AF1370:AG1370"/>
    <mergeCell ref="AH1370:AI1370"/>
    <mergeCell ref="AJ1370:AK1370"/>
    <mergeCell ref="R1370:S1370"/>
    <mergeCell ref="T1370:U1370"/>
    <mergeCell ref="V1370:W1370"/>
    <mergeCell ref="X1370:Y1370"/>
    <mergeCell ref="Z1370:AA1370"/>
    <mergeCell ref="AB1370:AC1370"/>
    <mergeCell ref="B1370:C1370"/>
    <mergeCell ref="D1370:E1370"/>
    <mergeCell ref="F1370:G1370"/>
    <mergeCell ref="H1370:I1370"/>
    <mergeCell ref="J1370:K1370"/>
    <mergeCell ref="L1370:M1370"/>
    <mergeCell ref="N1370:O1370"/>
    <mergeCell ref="P1370:Q1370"/>
    <mergeCell ref="AL1369:BB1369"/>
    <mergeCell ref="AD1369:AE1369"/>
    <mergeCell ref="AF1369:AG1369"/>
    <mergeCell ref="AH1369:AI1369"/>
    <mergeCell ref="AJ1369:AK1369"/>
    <mergeCell ref="R1369:S1369"/>
    <mergeCell ref="T1369:U1369"/>
    <mergeCell ref="V1369:W1369"/>
    <mergeCell ref="X1369:Y1369"/>
    <mergeCell ref="Z1369:AA1369"/>
    <mergeCell ref="AB1369:AC1369"/>
    <mergeCell ref="B1369:C1369"/>
    <mergeCell ref="D1369:E1369"/>
    <mergeCell ref="F1369:G1369"/>
    <mergeCell ref="H1369:I1369"/>
    <mergeCell ref="J1369:K1369"/>
    <mergeCell ref="L1369:M1369"/>
    <mergeCell ref="N1369:O1369"/>
    <mergeCell ref="P1369:Q1369"/>
    <mergeCell ref="AL1368:BB1368"/>
    <mergeCell ref="AD1368:AE1368"/>
    <mergeCell ref="AF1368:AG1368"/>
    <mergeCell ref="AH1368:AI1368"/>
    <mergeCell ref="AJ1368:AK1368"/>
    <mergeCell ref="R1368:S1368"/>
    <mergeCell ref="T1368:U1368"/>
    <mergeCell ref="V1368:W1368"/>
    <mergeCell ref="X1368:Y1368"/>
    <mergeCell ref="Z1368:AA1368"/>
    <mergeCell ref="AB1368:AC1368"/>
    <mergeCell ref="B1368:C1368"/>
    <mergeCell ref="D1368:E1368"/>
    <mergeCell ref="F1368:G1368"/>
    <mergeCell ref="H1368:I1368"/>
    <mergeCell ref="J1368:K1368"/>
    <mergeCell ref="L1368:M1368"/>
    <mergeCell ref="N1368:O1368"/>
    <mergeCell ref="P1368:Q1368"/>
    <mergeCell ref="AL1367:BB1367"/>
    <mergeCell ref="AD1367:AE1367"/>
    <mergeCell ref="AF1367:AG1367"/>
    <mergeCell ref="AH1367:AI1367"/>
    <mergeCell ref="AJ1367:AK1367"/>
    <mergeCell ref="R1367:S1367"/>
    <mergeCell ref="T1367:U1367"/>
    <mergeCell ref="V1367:W1367"/>
    <mergeCell ref="X1367:Y1367"/>
    <mergeCell ref="Z1367:AA1367"/>
    <mergeCell ref="AB1367:AC1367"/>
    <mergeCell ref="B1367:C1367"/>
    <mergeCell ref="D1367:E1367"/>
    <mergeCell ref="F1367:G1367"/>
    <mergeCell ref="H1367:I1367"/>
    <mergeCell ref="J1367:K1367"/>
    <mergeCell ref="L1367:M1367"/>
    <mergeCell ref="N1367:O1367"/>
    <mergeCell ref="P1367:Q1367"/>
    <mergeCell ref="AL1366:BB1366"/>
    <mergeCell ref="AD1366:AE1366"/>
    <mergeCell ref="AF1366:AG1366"/>
    <mergeCell ref="AH1366:AI1366"/>
    <mergeCell ref="AJ1366:AK1366"/>
    <mergeCell ref="R1366:S1366"/>
    <mergeCell ref="T1366:U1366"/>
    <mergeCell ref="V1366:W1366"/>
    <mergeCell ref="X1366:Y1366"/>
    <mergeCell ref="Z1366:AA1366"/>
    <mergeCell ref="AB1366:AC1366"/>
    <mergeCell ref="B1366:C1366"/>
    <mergeCell ref="D1366:E1366"/>
    <mergeCell ref="F1366:G1366"/>
    <mergeCell ref="H1366:I1366"/>
    <mergeCell ref="J1366:K1366"/>
    <mergeCell ref="L1366:M1366"/>
    <mergeCell ref="N1366:O1366"/>
    <mergeCell ref="P1366:Q1366"/>
    <mergeCell ref="AL1365:BB1365"/>
    <mergeCell ref="AD1365:AE1365"/>
    <mergeCell ref="AF1365:AG1365"/>
    <mergeCell ref="AH1365:AI1365"/>
    <mergeCell ref="AJ1365:AK1365"/>
    <mergeCell ref="R1365:S1365"/>
    <mergeCell ref="T1365:U1365"/>
    <mergeCell ref="V1365:W1365"/>
    <mergeCell ref="X1365:Y1365"/>
    <mergeCell ref="Z1365:AA1365"/>
    <mergeCell ref="AB1365:AC1365"/>
    <mergeCell ref="B1365:C1365"/>
    <mergeCell ref="D1365:E1365"/>
    <mergeCell ref="F1365:G1365"/>
    <mergeCell ref="H1365:I1365"/>
    <mergeCell ref="J1365:K1365"/>
    <mergeCell ref="L1365:M1365"/>
    <mergeCell ref="N1365:O1365"/>
    <mergeCell ref="P1365:Q1365"/>
    <mergeCell ref="AL1364:BB1364"/>
    <mergeCell ref="AD1364:AE1364"/>
    <mergeCell ref="AF1364:AG1364"/>
    <mergeCell ref="AH1364:AI1364"/>
    <mergeCell ref="AJ1364:AK1364"/>
    <mergeCell ref="R1364:S1364"/>
    <mergeCell ref="T1364:U1364"/>
    <mergeCell ref="V1364:W1364"/>
    <mergeCell ref="X1364:Y1364"/>
    <mergeCell ref="Z1364:AA1364"/>
    <mergeCell ref="AB1364:AC1364"/>
    <mergeCell ref="B1364:C1364"/>
    <mergeCell ref="D1364:E1364"/>
    <mergeCell ref="F1364:G1364"/>
    <mergeCell ref="H1364:I1364"/>
    <mergeCell ref="J1364:K1364"/>
    <mergeCell ref="L1364:M1364"/>
    <mergeCell ref="N1364:O1364"/>
    <mergeCell ref="P1364:Q1364"/>
    <mergeCell ref="AL1363:BB1363"/>
    <mergeCell ref="AD1363:AE1363"/>
    <mergeCell ref="AF1363:AG1363"/>
    <mergeCell ref="AH1363:AI1363"/>
    <mergeCell ref="AJ1363:AK1363"/>
    <mergeCell ref="R1363:S1363"/>
    <mergeCell ref="T1363:U1363"/>
    <mergeCell ref="V1363:W1363"/>
    <mergeCell ref="X1363:Y1363"/>
    <mergeCell ref="Z1363:AA1363"/>
    <mergeCell ref="AB1363:AC1363"/>
    <mergeCell ref="B1363:C1363"/>
    <mergeCell ref="D1363:E1363"/>
    <mergeCell ref="F1363:G1363"/>
    <mergeCell ref="H1363:I1363"/>
    <mergeCell ref="J1363:K1363"/>
    <mergeCell ref="L1363:M1363"/>
    <mergeCell ref="N1363:O1363"/>
    <mergeCell ref="P1363:Q1363"/>
    <mergeCell ref="AL1362:BB1362"/>
    <mergeCell ref="AD1362:AE1362"/>
    <mergeCell ref="AF1362:AG1362"/>
    <mergeCell ref="AH1362:AI1362"/>
    <mergeCell ref="AJ1362:AK1362"/>
    <mergeCell ref="R1362:S1362"/>
    <mergeCell ref="T1362:U1362"/>
    <mergeCell ref="V1362:W1362"/>
    <mergeCell ref="X1362:Y1362"/>
    <mergeCell ref="Z1362:AA1362"/>
    <mergeCell ref="AB1362:AC1362"/>
    <mergeCell ref="B1362:C1362"/>
    <mergeCell ref="D1362:E1362"/>
    <mergeCell ref="F1362:G1362"/>
    <mergeCell ref="H1362:I1362"/>
    <mergeCell ref="J1362:K1362"/>
    <mergeCell ref="L1362:M1362"/>
    <mergeCell ref="N1362:O1362"/>
    <mergeCell ref="P1362:Q1362"/>
    <mergeCell ref="AL1361:BB1361"/>
    <mergeCell ref="AD1361:AE1361"/>
    <mergeCell ref="AF1361:AG1361"/>
    <mergeCell ref="AH1361:AI1361"/>
    <mergeCell ref="AJ1361:AK1361"/>
    <mergeCell ref="R1361:S1361"/>
    <mergeCell ref="T1361:U1361"/>
    <mergeCell ref="V1361:W1361"/>
    <mergeCell ref="X1361:Y1361"/>
    <mergeCell ref="Z1361:AA1361"/>
    <mergeCell ref="AB1361:AC1361"/>
    <mergeCell ref="B1361:C1361"/>
    <mergeCell ref="D1361:E1361"/>
    <mergeCell ref="F1361:G1361"/>
    <mergeCell ref="H1361:I1361"/>
    <mergeCell ref="J1361:K1361"/>
    <mergeCell ref="L1361:M1361"/>
    <mergeCell ref="N1361:O1361"/>
    <mergeCell ref="P1361:Q1361"/>
    <mergeCell ref="AL1360:BB1360"/>
    <mergeCell ref="AD1360:AE1360"/>
    <mergeCell ref="AF1360:AG1360"/>
    <mergeCell ref="AH1360:AI1360"/>
    <mergeCell ref="AJ1360:AK1360"/>
    <mergeCell ref="R1360:S1360"/>
    <mergeCell ref="T1360:U1360"/>
    <mergeCell ref="V1360:W1360"/>
    <mergeCell ref="X1360:Y1360"/>
    <mergeCell ref="Z1360:AA1360"/>
    <mergeCell ref="AB1360:AC1360"/>
    <mergeCell ref="B1360:C1360"/>
    <mergeCell ref="D1360:E1360"/>
    <mergeCell ref="F1360:G1360"/>
    <mergeCell ref="H1360:I1360"/>
    <mergeCell ref="J1360:K1360"/>
    <mergeCell ref="L1360:M1360"/>
    <mergeCell ref="N1360:O1360"/>
    <mergeCell ref="P1360:Q1360"/>
    <mergeCell ref="AL1359:BB1359"/>
    <mergeCell ref="AD1359:AE1359"/>
    <mergeCell ref="AF1359:AG1359"/>
    <mergeCell ref="AH1359:AI1359"/>
    <mergeCell ref="AJ1359:AK1359"/>
    <mergeCell ref="R1359:S1359"/>
    <mergeCell ref="T1359:U1359"/>
    <mergeCell ref="V1359:W1359"/>
    <mergeCell ref="X1359:Y1359"/>
    <mergeCell ref="Z1359:AA1359"/>
    <mergeCell ref="AB1359:AC1359"/>
    <mergeCell ref="B1359:C1359"/>
    <mergeCell ref="D1359:E1359"/>
    <mergeCell ref="F1359:G1359"/>
    <mergeCell ref="H1359:I1359"/>
    <mergeCell ref="J1359:K1359"/>
    <mergeCell ref="L1359:M1359"/>
    <mergeCell ref="N1359:O1359"/>
    <mergeCell ref="P1359:Q1359"/>
    <mergeCell ref="AL1358:BB1358"/>
    <mergeCell ref="AD1358:AE1358"/>
    <mergeCell ref="AF1358:AG1358"/>
    <mergeCell ref="AH1358:AI1358"/>
    <mergeCell ref="AJ1358:AK1358"/>
    <mergeCell ref="R1358:S1358"/>
    <mergeCell ref="T1358:U1358"/>
    <mergeCell ref="V1358:W1358"/>
    <mergeCell ref="X1358:Y1358"/>
    <mergeCell ref="Z1358:AA1358"/>
    <mergeCell ref="AB1358:AC1358"/>
    <mergeCell ref="B1358:C1358"/>
    <mergeCell ref="D1358:E1358"/>
    <mergeCell ref="F1358:G1358"/>
    <mergeCell ref="H1358:I1358"/>
    <mergeCell ref="J1358:K1358"/>
    <mergeCell ref="L1358:M1358"/>
    <mergeCell ref="N1358:O1358"/>
    <mergeCell ref="P1358:Q1358"/>
    <mergeCell ref="AL1357:BB1357"/>
    <mergeCell ref="AD1357:AE1357"/>
    <mergeCell ref="AF1357:AG1357"/>
    <mergeCell ref="AH1357:AI1357"/>
    <mergeCell ref="AJ1357:AK1357"/>
    <mergeCell ref="R1357:S1357"/>
    <mergeCell ref="T1357:U1357"/>
    <mergeCell ref="V1357:W1357"/>
    <mergeCell ref="X1357:Y1357"/>
    <mergeCell ref="Z1357:AA1357"/>
    <mergeCell ref="AB1357:AC1357"/>
    <mergeCell ref="B1357:C1357"/>
    <mergeCell ref="D1357:E1357"/>
    <mergeCell ref="F1357:G1357"/>
    <mergeCell ref="H1357:I1357"/>
    <mergeCell ref="J1357:K1357"/>
    <mergeCell ref="L1357:M1357"/>
    <mergeCell ref="N1357:O1357"/>
    <mergeCell ref="P1357:Q1357"/>
    <mergeCell ref="AL1356:BB1356"/>
    <mergeCell ref="AD1356:AE1356"/>
    <mergeCell ref="AF1356:AG1356"/>
    <mergeCell ref="AH1356:AI1356"/>
    <mergeCell ref="AJ1356:AK1356"/>
    <mergeCell ref="R1356:S1356"/>
    <mergeCell ref="T1356:U1356"/>
    <mergeCell ref="V1356:W1356"/>
    <mergeCell ref="X1356:Y1356"/>
    <mergeCell ref="Z1356:AA1356"/>
    <mergeCell ref="AB1356:AC1356"/>
    <mergeCell ref="B1356:C1356"/>
    <mergeCell ref="D1356:E1356"/>
    <mergeCell ref="F1356:G1356"/>
    <mergeCell ref="H1356:I1356"/>
    <mergeCell ref="J1356:K1356"/>
    <mergeCell ref="L1356:M1356"/>
    <mergeCell ref="N1356:O1356"/>
    <mergeCell ref="P1356:Q1356"/>
    <mergeCell ref="AL1355:BB1355"/>
    <mergeCell ref="AD1355:AE1355"/>
    <mergeCell ref="AF1355:AG1355"/>
    <mergeCell ref="AH1355:AI1355"/>
    <mergeCell ref="AJ1355:AK1355"/>
    <mergeCell ref="R1355:S1355"/>
    <mergeCell ref="T1355:U1355"/>
    <mergeCell ref="V1355:W1355"/>
    <mergeCell ref="X1355:Y1355"/>
    <mergeCell ref="Z1355:AA1355"/>
    <mergeCell ref="AB1355:AC1355"/>
    <mergeCell ref="B1355:C1355"/>
    <mergeCell ref="D1355:E1355"/>
    <mergeCell ref="F1355:G1355"/>
    <mergeCell ref="H1355:I1355"/>
    <mergeCell ref="J1355:K1355"/>
    <mergeCell ref="L1355:M1355"/>
    <mergeCell ref="N1355:O1355"/>
    <mergeCell ref="P1355:Q1355"/>
    <mergeCell ref="AL1354:BB1354"/>
    <mergeCell ref="AD1354:AE1354"/>
    <mergeCell ref="AF1354:AG1354"/>
    <mergeCell ref="AH1354:AI1354"/>
    <mergeCell ref="AJ1354:AK1354"/>
    <mergeCell ref="R1354:S1354"/>
    <mergeCell ref="T1354:U1354"/>
    <mergeCell ref="V1354:W1354"/>
    <mergeCell ref="X1354:Y1354"/>
    <mergeCell ref="Z1354:AA1354"/>
    <mergeCell ref="AB1354:AC1354"/>
    <mergeCell ref="B1354:C1354"/>
    <mergeCell ref="D1354:E1354"/>
    <mergeCell ref="F1354:G1354"/>
    <mergeCell ref="H1354:I1354"/>
    <mergeCell ref="J1354:K1354"/>
    <mergeCell ref="L1354:M1354"/>
    <mergeCell ref="N1354:O1354"/>
    <mergeCell ref="P1354:Q1354"/>
    <mergeCell ref="AL1353:BB1353"/>
    <mergeCell ref="AD1353:AE1353"/>
    <mergeCell ref="AF1353:AG1353"/>
    <mergeCell ref="AH1353:AI1353"/>
    <mergeCell ref="AJ1353:AK1353"/>
    <mergeCell ref="R1353:S1353"/>
    <mergeCell ref="T1353:U1353"/>
    <mergeCell ref="V1353:W1353"/>
    <mergeCell ref="X1353:Y1353"/>
    <mergeCell ref="Z1353:AA1353"/>
    <mergeCell ref="AB1353:AC1353"/>
    <mergeCell ref="B1353:C1353"/>
    <mergeCell ref="D1353:E1353"/>
    <mergeCell ref="F1353:G1353"/>
    <mergeCell ref="H1353:I1353"/>
    <mergeCell ref="J1353:K1353"/>
    <mergeCell ref="L1353:M1353"/>
    <mergeCell ref="N1353:O1353"/>
    <mergeCell ref="P1353:Q1353"/>
    <mergeCell ref="AL1352:BB1352"/>
    <mergeCell ref="AD1352:AE1352"/>
    <mergeCell ref="AF1352:AG1352"/>
    <mergeCell ref="AH1352:AI1352"/>
    <mergeCell ref="AJ1352:AK1352"/>
    <mergeCell ref="R1352:S1352"/>
    <mergeCell ref="T1352:U1352"/>
    <mergeCell ref="V1352:W1352"/>
    <mergeCell ref="X1352:Y1352"/>
    <mergeCell ref="Z1352:AA1352"/>
    <mergeCell ref="AB1352:AC1352"/>
    <mergeCell ref="B1352:C1352"/>
    <mergeCell ref="D1352:E1352"/>
    <mergeCell ref="F1352:G1352"/>
    <mergeCell ref="H1352:I1352"/>
    <mergeCell ref="J1352:K1352"/>
    <mergeCell ref="L1352:M1352"/>
    <mergeCell ref="N1352:O1352"/>
    <mergeCell ref="P1352:Q1352"/>
    <mergeCell ref="AL1351:BB1351"/>
    <mergeCell ref="AD1351:AE1351"/>
    <mergeCell ref="AF1351:AG1351"/>
    <mergeCell ref="AH1351:AI1351"/>
    <mergeCell ref="AJ1351:AK1351"/>
    <mergeCell ref="R1351:S1351"/>
    <mergeCell ref="T1351:U1351"/>
    <mergeCell ref="V1351:W1351"/>
    <mergeCell ref="X1351:Y1351"/>
    <mergeCell ref="Z1351:AA1351"/>
    <mergeCell ref="AB1351:AC1351"/>
    <mergeCell ref="B1351:C1351"/>
    <mergeCell ref="D1351:E1351"/>
    <mergeCell ref="F1351:G1351"/>
    <mergeCell ref="H1351:I1351"/>
    <mergeCell ref="J1351:K1351"/>
    <mergeCell ref="L1351:M1351"/>
    <mergeCell ref="N1351:O1351"/>
    <mergeCell ref="P1351:Q1351"/>
    <mergeCell ref="AL1350:BB1350"/>
    <mergeCell ref="AD1350:AE1350"/>
    <mergeCell ref="AF1350:AG1350"/>
    <mergeCell ref="AH1350:AI1350"/>
    <mergeCell ref="AJ1350:AK1350"/>
    <mergeCell ref="R1350:S1350"/>
    <mergeCell ref="T1350:U1350"/>
    <mergeCell ref="V1350:W1350"/>
    <mergeCell ref="X1350:Y1350"/>
    <mergeCell ref="Z1350:AA1350"/>
    <mergeCell ref="AB1350:AC1350"/>
    <mergeCell ref="B1350:C1350"/>
    <mergeCell ref="D1350:E1350"/>
    <mergeCell ref="F1350:G1350"/>
    <mergeCell ref="H1350:I1350"/>
    <mergeCell ref="J1350:K1350"/>
    <mergeCell ref="L1350:M1350"/>
    <mergeCell ref="N1350:O1350"/>
    <mergeCell ref="P1350:Q1350"/>
    <mergeCell ref="AL1349:BB1349"/>
    <mergeCell ref="AD1349:AE1349"/>
    <mergeCell ref="AF1349:AG1349"/>
    <mergeCell ref="AH1349:AI1349"/>
    <mergeCell ref="AJ1349:AK1349"/>
    <mergeCell ref="R1349:S1349"/>
    <mergeCell ref="T1349:U1349"/>
    <mergeCell ref="V1349:W1349"/>
    <mergeCell ref="X1349:Y1349"/>
    <mergeCell ref="Z1349:AA1349"/>
    <mergeCell ref="AB1349:AC1349"/>
    <mergeCell ref="B1349:C1349"/>
    <mergeCell ref="D1349:E1349"/>
    <mergeCell ref="F1349:G1349"/>
    <mergeCell ref="H1349:I1349"/>
    <mergeCell ref="J1349:K1349"/>
    <mergeCell ref="L1349:M1349"/>
    <mergeCell ref="N1349:O1349"/>
    <mergeCell ref="P1349:Q1349"/>
    <mergeCell ref="AL1348:BB1348"/>
    <mergeCell ref="AD1348:AE1348"/>
    <mergeCell ref="AF1348:AG1348"/>
    <mergeCell ref="AH1348:AI1348"/>
    <mergeCell ref="AJ1348:AK1348"/>
    <mergeCell ref="R1348:S1348"/>
    <mergeCell ref="T1348:U1348"/>
    <mergeCell ref="V1348:W1348"/>
    <mergeCell ref="X1348:Y1348"/>
    <mergeCell ref="Z1348:AA1348"/>
    <mergeCell ref="AB1348:AC1348"/>
    <mergeCell ref="B1348:C1348"/>
    <mergeCell ref="D1348:E1348"/>
    <mergeCell ref="F1348:G1348"/>
    <mergeCell ref="H1348:I1348"/>
    <mergeCell ref="J1348:K1348"/>
    <mergeCell ref="L1348:M1348"/>
    <mergeCell ref="N1348:O1348"/>
    <mergeCell ref="P1348:Q1348"/>
    <mergeCell ref="AL1347:BB1347"/>
    <mergeCell ref="AD1347:AE1347"/>
    <mergeCell ref="AF1347:AG1347"/>
    <mergeCell ref="AH1347:AI1347"/>
    <mergeCell ref="AJ1347:AK1347"/>
    <mergeCell ref="R1347:S1347"/>
    <mergeCell ref="T1347:U1347"/>
    <mergeCell ref="V1347:W1347"/>
    <mergeCell ref="X1347:Y1347"/>
    <mergeCell ref="Z1347:AA1347"/>
    <mergeCell ref="AB1347:AC1347"/>
    <mergeCell ref="B1347:C1347"/>
    <mergeCell ref="D1347:E1347"/>
    <mergeCell ref="F1347:G1347"/>
    <mergeCell ref="H1347:I1347"/>
    <mergeCell ref="J1347:K1347"/>
    <mergeCell ref="L1347:M1347"/>
    <mergeCell ref="N1347:O1347"/>
    <mergeCell ref="P1347:Q1347"/>
    <mergeCell ref="AL1346:BB1346"/>
    <mergeCell ref="AD1346:AE1346"/>
    <mergeCell ref="AF1346:AG1346"/>
    <mergeCell ref="AH1346:AI1346"/>
    <mergeCell ref="AJ1346:AK1346"/>
    <mergeCell ref="R1346:S1346"/>
    <mergeCell ref="T1346:U1346"/>
    <mergeCell ref="V1346:W1346"/>
    <mergeCell ref="X1346:Y1346"/>
    <mergeCell ref="Z1346:AA1346"/>
    <mergeCell ref="AB1346:AC1346"/>
    <mergeCell ref="B1346:C1346"/>
    <mergeCell ref="D1346:E1346"/>
    <mergeCell ref="F1346:G1346"/>
    <mergeCell ref="H1346:I1346"/>
    <mergeCell ref="J1346:K1346"/>
    <mergeCell ref="L1346:M1346"/>
    <mergeCell ref="N1346:O1346"/>
    <mergeCell ref="P1346:Q1346"/>
    <mergeCell ref="AL1345:BB1345"/>
    <mergeCell ref="AD1345:AE1345"/>
    <mergeCell ref="AF1345:AG1345"/>
    <mergeCell ref="AH1345:AI1345"/>
    <mergeCell ref="AJ1345:AK1345"/>
    <mergeCell ref="R1345:S1345"/>
    <mergeCell ref="T1345:U1345"/>
    <mergeCell ref="V1345:W1345"/>
    <mergeCell ref="X1345:Y1345"/>
    <mergeCell ref="Z1345:AA1345"/>
    <mergeCell ref="AB1345:AC1345"/>
    <mergeCell ref="B1345:C1345"/>
    <mergeCell ref="D1345:E1345"/>
    <mergeCell ref="F1345:G1345"/>
    <mergeCell ref="H1345:I1345"/>
    <mergeCell ref="J1345:K1345"/>
    <mergeCell ref="L1345:M1345"/>
    <mergeCell ref="N1345:O1345"/>
    <mergeCell ref="P1345:Q1345"/>
    <mergeCell ref="AL1344:BB1344"/>
    <mergeCell ref="AD1344:AE1344"/>
    <mergeCell ref="AF1344:AG1344"/>
    <mergeCell ref="AH1344:AI1344"/>
    <mergeCell ref="AJ1344:AK1344"/>
    <mergeCell ref="R1344:S1344"/>
    <mergeCell ref="T1344:U1344"/>
    <mergeCell ref="V1344:W1344"/>
    <mergeCell ref="X1344:Y1344"/>
    <mergeCell ref="Z1344:AA1344"/>
    <mergeCell ref="AB1344:AC1344"/>
    <mergeCell ref="B1344:C1344"/>
    <mergeCell ref="D1344:E1344"/>
    <mergeCell ref="F1344:G1344"/>
    <mergeCell ref="H1344:I1344"/>
    <mergeCell ref="J1344:K1344"/>
    <mergeCell ref="L1344:M1344"/>
    <mergeCell ref="N1344:O1344"/>
    <mergeCell ref="P1344:Q1344"/>
    <mergeCell ref="AL1343:BB1343"/>
    <mergeCell ref="AD1343:AE1343"/>
    <mergeCell ref="AF1343:AG1343"/>
    <mergeCell ref="AH1343:AI1343"/>
    <mergeCell ref="AJ1343:AK1343"/>
    <mergeCell ref="R1343:S1343"/>
    <mergeCell ref="T1343:U1343"/>
    <mergeCell ref="V1343:W1343"/>
    <mergeCell ref="X1343:Y1343"/>
    <mergeCell ref="Z1343:AA1343"/>
    <mergeCell ref="AB1343:AC1343"/>
    <mergeCell ref="B1343:C1343"/>
    <mergeCell ref="D1343:E1343"/>
    <mergeCell ref="F1343:G1343"/>
    <mergeCell ref="H1343:I1343"/>
    <mergeCell ref="J1343:K1343"/>
    <mergeCell ref="L1343:M1343"/>
    <mergeCell ref="N1343:O1343"/>
    <mergeCell ref="P1343:Q1343"/>
    <mergeCell ref="AL1342:BB1342"/>
    <mergeCell ref="AD1342:AE1342"/>
    <mergeCell ref="AF1342:AG1342"/>
    <mergeCell ref="AH1342:AI1342"/>
    <mergeCell ref="AJ1342:AK1342"/>
    <mergeCell ref="R1342:S1342"/>
    <mergeCell ref="T1342:U1342"/>
    <mergeCell ref="V1342:W1342"/>
    <mergeCell ref="X1342:Y1342"/>
    <mergeCell ref="Z1342:AA1342"/>
    <mergeCell ref="AB1342:AC1342"/>
    <mergeCell ref="B1342:C1342"/>
    <mergeCell ref="D1342:E1342"/>
    <mergeCell ref="F1342:G1342"/>
    <mergeCell ref="H1342:I1342"/>
    <mergeCell ref="J1342:K1342"/>
    <mergeCell ref="L1342:M1342"/>
    <mergeCell ref="N1342:O1342"/>
    <mergeCell ref="P1342:Q1342"/>
    <mergeCell ref="AL1341:BB1341"/>
    <mergeCell ref="AD1341:AE1341"/>
    <mergeCell ref="AF1341:AG1341"/>
    <mergeCell ref="AH1341:AI1341"/>
    <mergeCell ref="AJ1341:AK1341"/>
    <mergeCell ref="R1341:S1341"/>
    <mergeCell ref="T1341:U1341"/>
    <mergeCell ref="V1341:W1341"/>
    <mergeCell ref="X1341:Y1341"/>
    <mergeCell ref="Z1341:AA1341"/>
    <mergeCell ref="AB1341:AC1341"/>
    <mergeCell ref="B1341:C1341"/>
    <mergeCell ref="D1341:E1341"/>
    <mergeCell ref="F1341:G1341"/>
    <mergeCell ref="H1341:I1341"/>
    <mergeCell ref="J1341:K1341"/>
    <mergeCell ref="L1341:M1341"/>
    <mergeCell ref="N1341:O1341"/>
    <mergeCell ref="P1341:Q1341"/>
    <mergeCell ref="AL1340:BB1340"/>
    <mergeCell ref="AD1340:AE1340"/>
    <mergeCell ref="AF1340:AG1340"/>
    <mergeCell ref="AH1340:AI1340"/>
    <mergeCell ref="AJ1340:AK1340"/>
    <mergeCell ref="R1340:S1340"/>
    <mergeCell ref="T1340:U1340"/>
    <mergeCell ref="V1340:W1340"/>
    <mergeCell ref="X1340:Y1340"/>
    <mergeCell ref="Z1340:AA1340"/>
    <mergeCell ref="AB1340:AC1340"/>
    <mergeCell ref="B1340:C1340"/>
    <mergeCell ref="D1340:E1340"/>
    <mergeCell ref="F1340:G1340"/>
    <mergeCell ref="H1340:I1340"/>
    <mergeCell ref="J1340:K1340"/>
    <mergeCell ref="L1340:M1340"/>
    <mergeCell ref="N1340:O1340"/>
    <mergeCell ref="P1340:Q1340"/>
    <mergeCell ref="AL1339:BB1339"/>
    <mergeCell ref="AD1339:AE1339"/>
    <mergeCell ref="AF1339:AG1339"/>
    <mergeCell ref="AH1339:AI1339"/>
    <mergeCell ref="AJ1339:AK1339"/>
    <mergeCell ref="R1339:S1339"/>
    <mergeCell ref="T1339:U1339"/>
    <mergeCell ref="V1339:W1339"/>
    <mergeCell ref="X1339:Y1339"/>
    <mergeCell ref="Z1339:AA1339"/>
    <mergeCell ref="AB1339:AC1339"/>
    <mergeCell ref="B1339:C1339"/>
    <mergeCell ref="D1339:E1339"/>
    <mergeCell ref="F1339:G1339"/>
    <mergeCell ref="H1339:I1339"/>
    <mergeCell ref="J1339:K1339"/>
    <mergeCell ref="L1339:M1339"/>
    <mergeCell ref="N1339:O1339"/>
    <mergeCell ref="P1339:Q1339"/>
    <mergeCell ref="AL1338:BB1338"/>
    <mergeCell ref="AD1338:AE1338"/>
    <mergeCell ref="AF1338:AG1338"/>
    <mergeCell ref="AH1338:AI1338"/>
    <mergeCell ref="AJ1338:AK1338"/>
    <mergeCell ref="R1338:S1338"/>
    <mergeCell ref="T1338:U1338"/>
    <mergeCell ref="V1338:W1338"/>
    <mergeCell ref="X1338:Y1338"/>
    <mergeCell ref="Z1338:AA1338"/>
    <mergeCell ref="AB1338:AC1338"/>
    <mergeCell ref="B1338:C1338"/>
    <mergeCell ref="D1338:E1338"/>
    <mergeCell ref="F1338:G1338"/>
    <mergeCell ref="H1338:I1338"/>
    <mergeCell ref="J1338:K1338"/>
    <mergeCell ref="L1338:M1338"/>
    <mergeCell ref="N1338:O1338"/>
    <mergeCell ref="P1338:Q1338"/>
    <mergeCell ref="AL1337:BB1337"/>
    <mergeCell ref="AD1337:AE1337"/>
    <mergeCell ref="AF1337:AG1337"/>
    <mergeCell ref="AH1337:AI1337"/>
    <mergeCell ref="AJ1337:AK1337"/>
    <mergeCell ref="R1337:S1337"/>
    <mergeCell ref="T1337:U1337"/>
    <mergeCell ref="V1337:W1337"/>
    <mergeCell ref="X1337:Y1337"/>
    <mergeCell ref="Z1337:AA1337"/>
    <mergeCell ref="AB1337:AC1337"/>
    <mergeCell ref="B1337:C1337"/>
    <mergeCell ref="D1337:E1337"/>
    <mergeCell ref="F1337:G1337"/>
    <mergeCell ref="H1337:I1337"/>
    <mergeCell ref="J1337:K1337"/>
    <mergeCell ref="L1337:M1337"/>
    <mergeCell ref="N1337:O1337"/>
    <mergeCell ref="P1337:Q1337"/>
    <mergeCell ref="AL1336:BB1336"/>
    <mergeCell ref="AD1336:AE1336"/>
    <mergeCell ref="AF1336:AG1336"/>
    <mergeCell ref="AH1336:AI1336"/>
    <mergeCell ref="AJ1336:AK1336"/>
    <mergeCell ref="R1336:S1336"/>
    <mergeCell ref="T1336:U1336"/>
    <mergeCell ref="V1336:W1336"/>
    <mergeCell ref="X1336:Y1336"/>
    <mergeCell ref="Z1336:AA1336"/>
    <mergeCell ref="AB1336:AC1336"/>
    <mergeCell ref="B1336:C1336"/>
    <mergeCell ref="D1336:E1336"/>
    <mergeCell ref="F1336:G1336"/>
    <mergeCell ref="H1336:I1336"/>
    <mergeCell ref="J1336:K1336"/>
    <mergeCell ref="L1336:M1336"/>
    <mergeCell ref="N1336:O1336"/>
    <mergeCell ref="P1336:Q1336"/>
    <mergeCell ref="AL1335:BB1335"/>
    <mergeCell ref="AD1335:AE1335"/>
    <mergeCell ref="AF1335:AG1335"/>
    <mergeCell ref="AH1335:AI1335"/>
    <mergeCell ref="AJ1335:AK1335"/>
    <mergeCell ref="R1335:S1335"/>
    <mergeCell ref="T1335:U1335"/>
    <mergeCell ref="V1335:W1335"/>
    <mergeCell ref="X1335:Y1335"/>
    <mergeCell ref="Z1335:AA1335"/>
    <mergeCell ref="AB1335:AC1335"/>
    <mergeCell ref="B1335:C1335"/>
    <mergeCell ref="D1335:E1335"/>
    <mergeCell ref="F1335:G1335"/>
    <mergeCell ref="H1335:I1335"/>
    <mergeCell ref="J1335:K1335"/>
    <mergeCell ref="L1335:M1335"/>
    <mergeCell ref="N1335:O1335"/>
    <mergeCell ref="P1335:Q1335"/>
    <mergeCell ref="AL1334:BB1334"/>
    <mergeCell ref="AD1334:AE1334"/>
    <mergeCell ref="AF1334:AG1334"/>
    <mergeCell ref="AH1334:AI1334"/>
    <mergeCell ref="AJ1334:AK1334"/>
    <mergeCell ref="R1334:S1334"/>
    <mergeCell ref="T1334:U1334"/>
    <mergeCell ref="V1334:W1334"/>
    <mergeCell ref="X1334:Y1334"/>
    <mergeCell ref="Z1334:AA1334"/>
    <mergeCell ref="AB1334:AC1334"/>
    <mergeCell ref="B1334:C1334"/>
    <mergeCell ref="D1334:E1334"/>
    <mergeCell ref="F1334:G1334"/>
    <mergeCell ref="H1334:I1334"/>
    <mergeCell ref="J1334:K1334"/>
    <mergeCell ref="L1334:M1334"/>
    <mergeCell ref="N1334:O1334"/>
    <mergeCell ref="P1334:Q1334"/>
    <mergeCell ref="AL1333:BB1333"/>
    <mergeCell ref="AD1333:AE1333"/>
    <mergeCell ref="AF1333:AG1333"/>
    <mergeCell ref="AH1333:AI1333"/>
    <mergeCell ref="AJ1333:AK1333"/>
    <mergeCell ref="R1333:S1333"/>
    <mergeCell ref="T1333:U1333"/>
    <mergeCell ref="V1333:W1333"/>
    <mergeCell ref="X1333:Y1333"/>
    <mergeCell ref="Z1333:AA1333"/>
    <mergeCell ref="AB1333:AC1333"/>
    <mergeCell ref="B1333:C1333"/>
    <mergeCell ref="D1333:E1333"/>
    <mergeCell ref="F1333:G1333"/>
    <mergeCell ref="H1333:I1333"/>
    <mergeCell ref="J1333:K1333"/>
    <mergeCell ref="L1333:M1333"/>
    <mergeCell ref="N1333:O1333"/>
    <mergeCell ref="P1333:Q1333"/>
    <mergeCell ref="AL1332:BB1332"/>
    <mergeCell ref="AD1332:AE1332"/>
    <mergeCell ref="AF1332:AG1332"/>
    <mergeCell ref="AH1332:AI1332"/>
    <mergeCell ref="AJ1332:AK1332"/>
    <mergeCell ref="R1332:S1332"/>
    <mergeCell ref="T1332:U1332"/>
    <mergeCell ref="V1332:W1332"/>
    <mergeCell ref="X1332:Y1332"/>
    <mergeCell ref="Z1332:AA1332"/>
    <mergeCell ref="AB1332:AC1332"/>
    <mergeCell ref="B1332:C1332"/>
    <mergeCell ref="D1332:E1332"/>
    <mergeCell ref="F1332:G1332"/>
    <mergeCell ref="H1332:I1332"/>
    <mergeCell ref="J1332:K1332"/>
    <mergeCell ref="L1332:M1332"/>
    <mergeCell ref="N1332:O1332"/>
    <mergeCell ref="P1332:Q1332"/>
    <mergeCell ref="AL1331:BB1331"/>
    <mergeCell ref="AD1331:AE1331"/>
    <mergeCell ref="AF1331:AG1331"/>
    <mergeCell ref="AH1331:AI1331"/>
    <mergeCell ref="AJ1331:AK1331"/>
    <mergeCell ref="R1331:S1331"/>
    <mergeCell ref="T1331:U1331"/>
    <mergeCell ref="V1331:W1331"/>
    <mergeCell ref="X1331:Y1331"/>
    <mergeCell ref="Z1331:AA1331"/>
    <mergeCell ref="AB1331:AC1331"/>
    <mergeCell ref="B1331:C1331"/>
    <mergeCell ref="D1331:E1331"/>
    <mergeCell ref="F1331:G1331"/>
    <mergeCell ref="H1331:I1331"/>
    <mergeCell ref="J1331:K1331"/>
    <mergeCell ref="L1331:M1331"/>
    <mergeCell ref="N1331:O1331"/>
    <mergeCell ref="P1331:Q1331"/>
    <mergeCell ref="AL1330:BB1330"/>
    <mergeCell ref="AD1330:AE1330"/>
    <mergeCell ref="AF1330:AG1330"/>
    <mergeCell ref="AH1330:AI1330"/>
    <mergeCell ref="AJ1330:AK1330"/>
    <mergeCell ref="R1330:S1330"/>
    <mergeCell ref="T1330:U1330"/>
    <mergeCell ref="V1330:W1330"/>
    <mergeCell ref="X1330:Y1330"/>
    <mergeCell ref="Z1330:AA1330"/>
    <mergeCell ref="AB1330:AC1330"/>
    <mergeCell ref="B1330:C1330"/>
    <mergeCell ref="D1330:E1330"/>
    <mergeCell ref="F1330:G1330"/>
    <mergeCell ref="H1330:I1330"/>
    <mergeCell ref="J1330:K1330"/>
    <mergeCell ref="L1330:M1330"/>
    <mergeCell ref="N1330:O1330"/>
    <mergeCell ref="P1330:Q1330"/>
    <mergeCell ref="AL1329:BB1329"/>
    <mergeCell ref="AD1329:AE1329"/>
    <mergeCell ref="AF1329:AG1329"/>
    <mergeCell ref="AH1329:AI1329"/>
    <mergeCell ref="AJ1329:AK1329"/>
    <mergeCell ref="R1329:S1329"/>
    <mergeCell ref="T1329:U1329"/>
    <mergeCell ref="V1329:W1329"/>
    <mergeCell ref="X1329:Y1329"/>
    <mergeCell ref="Z1329:AA1329"/>
    <mergeCell ref="AB1329:AC1329"/>
    <mergeCell ref="B1329:C1329"/>
    <mergeCell ref="D1329:E1329"/>
    <mergeCell ref="F1329:G1329"/>
    <mergeCell ref="H1329:I1329"/>
    <mergeCell ref="J1329:K1329"/>
    <mergeCell ref="L1329:M1329"/>
    <mergeCell ref="N1329:O1329"/>
    <mergeCell ref="P1329:Q1329"/>
    <mergeCell ref="AL1328:BB1328"/>
    <mergeCell ref="AD1328:AE1328"/>
    <mergeCell ref="AF1328:AG1328"/>
    <mergeCell ref="AH1328:AI1328"/>
    <mergeCell ref="AJ1328:AK1328"/>
    <mergeCell ref="R1328:S1328"/>
    <mergeCell ref="T1328:U1328"/>
    <mergeCell ref="V1328:W1328"/>
    <mergeCell ref="X1328:Y1328"/>
    <mergeCell ref="Z1328:AA1328"/>
    <mergeCell ref="AB1328:AC1328"/>
    <mergeCell ref="B1328:C1328"/>
    <mergeCell ref="D1328:E1328"/>
    <mergeCell ref="F1328:G1328"/>
    <mergeCell ref="H1328:I1328"/>
    <mergeCell ref="J1328:K1328"/>
    <mergeCell ref="L1328:M1328"/>
    <mergeCell ref="N1328:O1328"/>
    <mergeCell ref="P1328:Q1328"/>
    <mergeCell ref="AL1327:BB1327"/>
    <mergeCell ref="AD1327:AE1327"/>
    <mergeCell ref="AF1327:AG1327"/>
    <mergeCell ref="AH1327:AI1327"/>
    <mergeCell ref="AJ1327:AK1327"/>
    <mergeCell ref="R1327:S1327"/>
    <mergeCell ref="T1327:U1327"/>
    <mergeCell ref="V1327:W1327"/>
    <mergeCell ref="X1327:Y1327"/>
    <mergeCell ref="Z1327:AA1327"/>
    <mergeCell ref="AB1327:AC1327"/>
    <mergeCell ref="B1327:C1327"/>
    <mergeCell ref="D1327:E1327"/>
    <mergeCell ref="F1327:G1327"/>
    <mergeCell ref="H1327:I1327"/>
    <mergeCell ref="J1327:K1327"/>
    <mergeCell ref="L1327:M1327"/>
    <mergeCell ref="N1327:O1327"/>
    <mergeCell ref="P1327:Q1327"/>
    <mergeCell ref="AL1326:BB1326"/>
    <mergeCell ref="AD1326:AE1326"/>
    <mergeCell ref="AF1326:AG1326"/>
    <mergeCell ref="AH1326:AI1326"/>
    <mergeCell ref="AJ1326:AK1326"/>
    <mergeCell ref="R1326:S1326"/>
    <mergeCell ref="T1326:U1326"/>
    <mergeCell ref="V1326:W1326"/>
    <mergeCell ref="X1326:Y1326"/>
    <mergeCell ref="Z1326:AA1326"/>
    <mergeCell ref="AB1326:AC1326"/>
    <mergeCell ref="B1326:C1326"/>
    <mergeCell ref="D1326:E1326"/>
    <mergeCell ref="F1326:G1326"/>
    <mergeCell ref="H1326:I1326"/>
    <mergeCell ref="J1326:K1326"/>
    <mergeCell ref="L1326:M1326"/>
    <mergeCell ref="N1326:O1326"/>
    <mergeCell ref="P1326:Q1326"/>
    <mergeCell ref="AL1325:BB1325"/>
    <mergeCell ref="AD1325:AE1325"/>
    <mergeCell ref="AF1325:AG1325"/>
    <mergeCell ref="AH1325:AI1325"/>
    <mergeCell ref="AJ1325:AK1325"/>
    <mergeCell ref="R1325:S1325"/>
    <mergeCell ref="T1325:U1325"/>
    <mergeCell ref="V1325:W1325"/>
    <mergeCell ref="X1325:Y1325"/>
    <mergeCell ref="Z1325:AA1325"/>
    <mergeCell ref="AB1325:AC1325"/>
    <mergeCell ref="B1325:C1325"/>
    <mergeCell ref="D1325:E1325"/>
    <mergeCell ref="F1325:G1325"/>
    <mergeCell ref="H1325:I1325"/>
    <mergeCell ref="J1325:K1325"/>
    <mergeCell ref="L1325:M1325"/>
    <mergeCell ref="N1325:O1325"/>
    <mergeCell ref="P1325:Q1325"/>
    <mergeCell ref="AL1324:BB1324"/>
    <mergeCell ref="AD1324:AE1324"/>
    <mergeCell ref="AF1324:AG1324"/>
    <mergeCell ref="AH1324:AI1324"/>
    <mergeCell ref="AJ1324:AK1324"/>
    <mergeCell ref="R1324:S1324"/>
    <mergeCell ref="T1324:U1324"/>
    <mergeCell ref="V1324:W1324"/>
    <mergeCell ref="X1324:Y1324"/>
    <mergeCell ref="Z1324:AA1324"/>
    <mergeCell ref="AB1324:AC1324"/>
    <mergeCell ref="B1324:C1324"/>
    <mergeCell ref="D1324:E1324"/>
    <mergeCell ref="F1324:G1324"/>
    <mergeCell ref="H1324:I1324"/>
    <mergeCell ref="J1324:K1324"/>
    <mergeCell ref="L1324:M1324"/>
    <mergeCell ref="N1324:O1324"/>
    <mergeCell ref="P1324:Q1324"/>
    <mergeCell ref="AL1323:BB1323"/>
    <mergeCell ref="AD1323:AE1323"/>
    <mergeCell ref="AF1323:AG1323"/>
    <mergeCell ref="AH1323:AI1323"/>
    <mergeCell ref="AJ1323:AK1323"/>
    <mergeCell ref="R1323:S1323"/>
    <mergeCell ref="T1323:U1323"/>
    <mergeCell ref="V1323:W1323"/>
    <mergeCell ref="X1323:Y1323"/>
    <mergeCell ref="Z1323:AA1323"/>
    <mergeCell ref="AB1323:AC1323"/>
    <mergeCell ref="B1323:C1323"/>
    <mergeCell ref="D1323:E1323"/>
    <mergeCell ref="F1323:G1323"/>
    <mergeCell ref="H1323:I1323"/>
    <mergeCell ref="J1323:K1323"/>
    <mergeCell ref="L1323:M1323"/>
    <mergeCell ref="N1323:O1323"/>
    <mergeCell ref="P1323:Q1323"/>
    <mergeCell ref="AL1322:BB1322"/>
    <mergeCell ref="AD1322:AE1322"/>
    <mergeCell ref="AF1322:AG1322"/>
    <mergeCell ref="AH1322:AI1322"/>
    <mergeCell ref="AJ1322:AK1322"/>
    <mergeCell ref="R1322:S1322"/>
    <mergeCell ref="T1322:U1322"/>
    <mergeCell ref="V1322:W1322"/>
    <mergeCell ref="X1322:Y1322"/>
    <mergeCell ref="Z1322:AA1322"/>
    <mergeCell ref="AB1322:AC1322"/>
    <mergeCell ref="B1322:C1322"/>
    <mergeCell ref="D1322:E1322"/>
    <mergeCell ref="F1322:G1322"/>
    <mergeCell ref="H1322:I1322"/>
    <mergeCell ref="J1322:K1322"/>
    <mergeCell ref="L1322:M1322"/>
    <mergeCell ref="N1322:O1322"/>
    <mergeCell ref="P1322:Q1322"/>
    <mergeCell ref="AL1321:BB1321"/>
    <mergeCell ref="AD1321:AE1321"/>
    <mergeCell ref="AF1321:AG1321"/>
    <mergeCell ref="AH1321:AI1321"/>
    <mergeCell ref="AJ1321:AK1321"/>
    <mergeCell ref="R1321:S1321"/>
    <mergeCell ref="T1321:U1321"/>
    <mergeCell ref="V1321:W1321"/>
    <mergeCell ref="X1321:Y1321"/>
    <mergeCell ref="Z1321:AA1321"/>
    <mergeCell ref="AB1321:AC1321"/>
    <mergeCell ref="B1321:C1321"/>
    <mergeCell ref="D1321:E1321"/>
    <mergeCell ref="F1321:G1321"/>
    <mergeCell ref="H1321:I1321"/>
    <mergeCell ref="J1321:K1321"/>
    <mergeCell ref="L1321:M1321"/>
    <mergeCell ref="N1321:O1321"/>
    <mergeCell ref="P1321:Q1321"/>
    <mergeCell ref="AL1320:BB1320"/>
    <mergeCell ref="AD1320:AE1320"/>
    <mergeCell ref="AF1320:AG1320"/>
    <mergeCell ref="AH1320:AI1320"/>
    <mergeCell ref="AJ1320:AK1320"/>
    <mergeCell ref="R1320:S1320"/>
    <mergeCell ref="T1320:U1320"/>
    <mergeCell ref="V1320:W1320"/>
    <mergeCell ref="X1320:Y1320"/>
    <mergeCell ref="Z1320:AA1320"/>
    <mergeCell ref="AB1320:AC1320"/>
    <mergeCell ref="B1320:C1320"/>
    <mergeCell ref="D1320:E1320"/>
    <mergeCell ref="F1320:G1320"/>
    <mergeCell ref="H1320:I1320"/>
    <mergeCell ref="J1320:K1320"/>
    <mergeCell ref="L1320:M1320"/>
    <mergeCell ref="N1320:O1320"/>
    <mergeCell ref="P1320:Q1320"/>
    <mergeCell ref="AL1319:BB1319"/>
    <mergeCell ref="AD1319:AE1319"/>
    <mergeCell ref="AF1319:AG1319"/>
    <mergeCell ref="AH1319:AI1319"/>
    <mergeCell ref="AJ1319:AK1319"/>
    <mergeCell ref="R1319:S1319"/>
    <mergeCell ref="T1319:U1319"/>
    <mergeCell ref="V1319:W1319"/>
    <mergeCell ref="X1319:Y1319"/>
    <mergeCell ref="Z1319:AA1319"/>
    <mergeCell ref="AB1319:AC1319"/>
    <mergeCell ref="B1319:C1319"/>
    <mergeCell ref="D1319:E1319"/>
    <mergeCell ref="F1319:G1319"/>
    <mergeCell ref="H1319:I1319"/>
    <mergeCell ref="J1319:K1319"/>
    <mergeCell ref="L1319:M1319"/>
    <mergeCell ref="N1319:O1319"/>
    <mergeCell ref="P1319:Q1319"/>
    <mergeCell ref="AL1318:BB1318"/>
    <mergeCell ref="AD1318:AE1318"/>
    <mergeCell ref="AF1318:AG1318"/>
    <mergeCell ref="AH1318:AI1318"/>
    <mergeCell ref="AJ1318:AK1318"/>
    <mergeCell ref="R1318:S1318"/>
    <mergeCell ref="T1318:U1318"/>
    <mergeCell ref="V1318:W1318"/>
    <mergeCell ref="X1318:Y1318"/>
    <mergeCell ref="Z1318:AA1318"/>
    <mergeCell ref="AB1318:AC1318"/>
    <mergeCell ref="B1318:C1318"/>
    <mergeCell ref="D1318:E1318"/>
    <mergeCell ref="F1318:G1318"/>
    <mergeCell ref="H1318:I1318"/>
    <mergeCell ref="J1318:K1318"/>
    <mergeCell ref="L1318:M1318"/>
    <mergeCell ref="N1318:O1318"/>
    <mergeCell ref="P1318:Q1318"/>
    <mergeCell ref="AL1317:BB1317"/>
    <mergeCell ref="AD1317:AE1317"/>
    <mergeCell ref="AF1317:AG1317"/>
    <mergeCell ref="AH1317:AI1317"/>
    <mergeCell ref="AJ1317:AK1317"/>
    <mergeCell ref="R1317:S1317"/>
    <mergeCell ref="T1317:U1317"/>
    <mergeCell ref="V1317:W1317"/>
    <mergeCell ref="X1317:Y1317"/>
    <mergeCell ref="Z1317:AA1317"/>
    <mergeCell ref="AB1317:AC1317"/>
    <mergeCell ref="B1317:C1317"/>
    <mergeCell ref="D1317:E1317"/>
    <mergeCell ref="F1317:G1317"/>
    <mergeCell ref="H1317:I1317"/>
    <mergeCell ref="J1317:K1317"/>
    <mergeCell ref="L1317:M1317"/>
    <mergeCell ref="N1317:O1317"/>
    <mergeCell ref="P1317:Q1317"/>
    <mergeCell ref="AL1316:BB1316"/>
    <mergeCell ref="AD1316:AE1316"/>
    <mergeCell ref="AF1316:AG1316"/>
    <mergeCell ref="AH1316:AI1316"/>
    <mergeCell ref="AJ1316:AK1316"/>
    <mergeCell ref="R1316:S1316"/>
    <mergeCell ref="T1316:U1316"/>
    <mergeCell ref="V1316:W1316"/>
    <mergeCell ref="X1316:Y1316"/>
    <mergeCell ref="Z1316:AA1316"/>
    <mergeCell ref="AB1316:AC1316"/>
    <mergeCell ref="B1316:C1316"/>
    <mergeCell ref="D1316:E1316"/>
    <mergeCell ref="F1316:G1316"/>
    <mergeCell ref="H1316:I1316"/>
    <mergeCell ref="J1316:K1316"/>
    <mergeCell ref="L1316:M1316"/>
    <mergeCell ref="N1316:O1316"/>
    <mergeCell ref="P1316:Q1316"/>
    <mergeCell ref="AL1315:BB1315"/>
    <mergeCell ref="AD1315:AE1315"/>
    <mergeCell ref="AF1315:AG1315"/>
    <mergeCell ref="AH1315:AI1315"/>
    <mergeCell ref="AJ1315:AK1315"/>
    <mergeCell ref="R1315:S1315"/>
    <mergeCell ref="T1315:U1315"/>
    <mergeCell ref="V1315:W1315"/>
    <mergeCell ref="X1315:Y1315"/>
    <mergeCell ref="Z1315:AA1315"/>
    <mergeCell ref="AB1315:AC1315"/>
    <mergeCell ref="B1315:C1315"/>
    <mergeCell ref="D1315:E1315"/>
    <mergeCell ref="F1315:G1315"/>
    <mergeCell ref="H1315:I1315"/>
    <mergeCell ref="J1315:K1315"/>
    <mergeCell ref="L1315:M1315"/>
    <mergeCell ref="N1315:O1315"/>
    <mergeCell ref="P1315:Q1315"/>
    <mergeCell ref="AL1314:BB1314"/>
    <mergeCell ref="AD1314:AE1314"/>
    <mergeCell ref="AF1314:AG1314"/>
    <mergeCell ref="AH1314:AI1314"/>
    <mergeCell ref="AJ1314:AK1314"/>
    <mergeCell ref="R1314:S1314"/>
    <mergeCell ref="T1314:U1314"/>
    <mergeCell ref="V1314:W1314"/>
    <mergeCell ref="X1314:Y1314"/>
    <mergeCell ref="Z1314:AA1314"/>
    <mergeCell ref="AB1314:AC1314"/>
    <mergeCell ref="B1314:C1314"/>
    <mergeCell ref="D1314:E1314"/>
    <mergeCell ref="F1314:G1314"/>
    <mergeCell ref="H1314:I1314"/>
    <mergeCell ref="J1314:K1314"/>
    <mergeCell ref="L1314:M1314"/>
    <mergeCell ref="N1314:O1314"/>
    <mergeCell ref="P1314:Q1314"/>
    <mergeCell ref="AL1313:BB1313"/>
    <mergeCell ref="AD1313:AE1313"/>
    <mergeCell ref="AF1313:AG1313"/>
    <mergeCell ref="AH1313:AI1313"/>
    <mergeCell ref="AJ1313:AK1313"/>
    <mergeCell ref="R1313:S1313"/>
    <mergeCell ref="T1313:U1313"/>
    <mergeCell ref="V1313:W1313"/>
    <mergeCell ref="X1313:Y1313"/>
    <mergeCell ref="Z1313:AA1313"/>
    <mergeCell ref="AB1313:AC1313"/>
    <mergeCell ref="B1313:C1313"/>
    <mergeCell ref="D1313:E1313"/>
    <mergeCell ref="F1313:G1313"/>
    <mergeCell ref="H1313:I1313"/>
    <mergeCell ref="J1313:K1313"/>
    <mergeCell ref="L1313:M1313"/>
    <mergeCell ref="N1313:O1313"/>
    <mergeCell ref="P1313:Q1313"/>
    <mergeCell ref="AL1312:BB1312"/>
    <mergeCell ref="AD1312:AE1312"/>
    <mergeCell ref="AF1312:AG1312"/>
    <mergeCell ref="AH1312:AI1312"/>
    <mergeCell ref="AJ1312:AK1312"/>
    <mergeCell ref="R1312:S1312"/>
    <mergeCell ref="T1312:U1312"/>
    <mergeCell ref="V1312:W1312"/>
    <mergeCell ref="X1312:Y1312"/>
    <mergeCell ref="Z1312:AA1312"/>
    <mergeCell ref="AB1312:AC1312"/>
    <mergeCell ref="B1312:C1312"/>
    <mergeCell ref="D1312:E1312"/>
    <mergeCell ref="F1312:G1312"/>
    <mergeCell ref="H1312:I1312"/>
    <mergeCell ref="J1312:K1312"/>
    <mergeCell ref="L1312:M1312"/>
    <mergeCell ref="N1312:O1312"/>
    <mergeCell ref="P1312:Q1312"/>
    <mergeCell ref="AL1311:BB1311"/>
    <mergeCell ref="AD1311:AE1311"/>
    <mergeCell ref="AF1311:AG1311"/>
    <mergeCell ref="AH1311:AI1311"/>
    <mergeCell ref="AJ1311:AK1311"/>
    <mergeCell ref="R1311:S1311"/>
    <mergeCell ref="T1311:U1311"/>
    <mergeCell ref="V1311:W1311"/>
    <mergeCell ref="X1311:Y1311"/>
    <mergeCell ref="Z1311:AA1311"/>
    <mergeCell ref="AB1311:AC1311"/>
    <mergeCell ref="B1311:C1311"/>
    <mergeCell ref="D1311:E1311"/>
    <mergeCell ref="F1311:G1311"/>
    <mergeCell ref="H1311:I1311"/>
    <mergeCell ref="J1311:K1311"/>
    <mergeCell ref="L1311:M1311"/>
    <mergeCell ref="N1311:O1311"/>
    <mergeCell ref="P1311:Q1311"/>
    <mergeCell ref="AL1310:BB1310"/>
    <mergeCell ref="AD1310:AE1310"/>
    <mergeCell ref="AF1310:AG1310"/>
    <mergeCell ref="AH1310:AI1310"/>
    <mergeCell ref="AJ1310:AK1310"/>
    <mergeCell ref="R1310:S1310"/>
    <mergeCell ref="T1310:U1310"/>
    <mergeCell ref="V1310:W1310"/>
    <mergeCell ref="X1310:Y1310"/>
    <mergeCell ref="Z1310:AA1310"/>
    <mergeCell ref="AB1310:AC1310"/>
    <mergeCell ref="B1310:C1310"/>
    <mergeCell ref="D1310:E1310"/>
    <mergeCell ref="F1310:G1310"/>
    <mergeCell ref="H1310:I1310"/>
    <mergeCell ref="J1310:K1310"/>
    <mergeCell ref="L1310:M1310"/>
    <mergeCell ref="N1310:O1310"/>
    <mergeCell ref="P1310:Q1310"/>
    <mergeCell ref="AL1309:BB1309"/>
    <mergeCell ref="AD1309:AE1309"/>
    <mergeCell ref="AF1309:AG1309"/>
    <mergeCell ref="AH1309:AI1309"/>
    <mergeCell ref="AJ1309:AK1309"/>
    <mergeCell ref="R1309:S1309"/>
    <mergeCell ref="T1309:U1309"/>
    <mergeCell ref="V1309:W1309"/>
    <mergeCell ref="X1309:Y1309"/>
    <mergeCell ref="Z1309:AA1309"/>
    <mergeCell ref="AB1309:AC1309"/>
    <mergeCell ref="B1309:C1309"/>
    <mergeCell ref="D1309:E1309"/>
    <mergeCell ref="F1309:G1309"/>
    <mergeCell ref="H1309:I1309"/>
    <mergeCell ref="J1309:K1309"/>
    <mergeCell ref="L1309:M1309"/>
    <mergeCell ref="N1309:O1309"/>
    <mergeCell ref="P1309:Q1309"/>
    <mergeCell ref="AL1308:BB1308"/>
    <mergeCell ref="AD1308:AE1308"/>
    <mergeCell ref="AF1308:AG1308"/>
    <mergeCell ref="AH1308:AI1308"/>
    <mergeCell ref="AJ1308:AK1308"/>
    <mergeCell ref="R1308:S1308"/>
    <mergeCell ref="T1308:U1308"/>
    <mergeCell ref="V1308:W1308"/>
    <mergeCell ref="X1308:Y1308"/>
    <mergeCell ref="Z1308:AA1308"/>
    <mergeCell ref="AB1308:AC1308"/>
    <mergeCell ref="B1308:C1308"/>
    <mergeCell ref="D1308:E1308"/>
    <mergeCell ref="F1308:G1308"/>
    <mergeCell ref="H1308:I1308"/>
    <mergeCell ref="J1308:K1308"/>
    <mergeCell ref="L1308:M1308"/>
    <mergeCell ref="N1308:O1308"/>
    <mergeCell ref="P1308:Q1308"/>
    <mergeCell ref="AL1307:BB1307"/>
    <mergeCell ref="AD1307:AE1307"/>
    <mergeCell ref="AF1307:AG1307"/>
    <mergeCell ref="AH1307:AI1307"/>
    <mergeCell ref="AJ1307:AK1307"/>
    <mergeCell ref="R1307:S1307"/>
    <mergeCell ref="T1307:U1307"/>
    <mergeCell ref="V1307:W1307"/>
    <mergeCell ref="X1307:Y1307"/>
    <mergeCell ref="Z1307:AA1307"/>
    <mergeCell ref="AB1307:AC1307"/>
    <mergeCell ref="B1307:C1307"/>
    <mergeCell ref="D1307:E1307"/>
    <mergeCell ref="F1307:G1307"/>
    <mergeCell ref="H1307:I1307"/>
    <mergeCell ref="J1307:K1307"/>
    <mergeCell ref="L1307:M1307"/>
    <mergeCell ref="N1307:O1307"/>
    <mergeCell ref="P1307:Q1307"/>
    <mergeCell ref="AL1306:BB1306"/>
    <mergeCell ref="Z1306:AA1306"/>
    <mergeCell ref="AB1306:AC1306"/>
    <mergeCell ref="AD1306:AE1306"/>
    <mergeCell ref="AF1306:AG1306"/>
    <mergeCell ref="AH1306:AI1306"/>
    <mergeCell ref="AJ1306:AK1306"/>
    <mergeCell ref="N1306:O1306"/>
    <mergeCell ref="P1306:Q1306"/>
    <mergeCell ref="R1306:S1306"/>
    <mergeCell ref="T1306:U1306"/>
    <mergeCell ref="V1306:W1306"/>
    <mergeCell ref="X1306:Y1306"/>
    <mergeCell ref="B1306:C1306"/>
    <mergeCell ref="D1306:E1306"/>
    <mergeCell ref="F1306:G1306"/>
    <mergeCell ref="H1306:I1306"/>
    <mergeCell ref="J1306:K1306"/>
    <mergeCell ref="L1306:M1306"/>
    <mergeCell ref="AL1305:BB1305"/>
    <mergeCell ref="AD1305:AE1305"/>
    <mergeCell ref="AF1305:AG1305"/>
    <mergeCell ref="AH1305:AI1305"/>
    <mergeCell ref="AJ1305:AK1305"/>
    <mergeCell ref="R1305:S1305"/>
    <mergeCell ref="T1305:U1305"/>
    <mergeCell ref="V1305:W1305"/>
    <mergeCell ref="X1305:Y1305"/>
    <mergeCell ref="Z1305:AA1305"/>
    <mergeCell ref="AB1305:AC1305"/>
    <mergeCell ref="B1305:C1305"/>
    <mergeCell ref="D1305:E1305"/>
    <mergeCell ref="F1305:G1305"/>
    <mergeCell ref="H1305:I1305"/>
    <mergeCell ref="J1305:K1305"/>
    <mergeCell ref="L1305:M1305"/>
    <mergeCell ref="N1305:O1305"/>
    <mergeCell ref="P1305:Q1305"/>
    <mergeCell ref="AL1304:BB1304"/>
    <mergeCell ref="Z1304:AA1304"/>
    <mergeCell ref="AB1304:AC1304"/>
    <mergeCell ref="AD1304:AE1304"/>
    <mergeCell ref="AF1304:AG1304"/>
    <mergeCell ref="AH1304:AI1304"/>
    <mergeCell ref="AJ1304:AK1304"/>
    <mergeCell ref="N1304:O1304"/>
    <mergeCell ref="P1304:Q1304"/>
    <mergeCell ref="R1304:S1304"/>
    <mergeCell ref="T1304:U1304"/>
    <mergeCell ref="V1304:W1304"/>
    <mergeCell ref="X1304:Y1304"/>
    <mergeCell ref="B1304:C1304"/>
    <mergeCell ref="D1304:E1304"/>
    <mergeCell ref="F1304:G1304"/>
    <mergeCell ref="H1304:I1304"/>
    <mergeCell ref="J1304:K1304"/>
    <mergeCell ref="L1304:M1304"/>
    <mergeCell ref="AL1303:BB1303"/>
    <mergeCell ref="AD1303:AE1303"/>
    <mergeCell ref="AF1303:AG1303"/>
    <mergeCell ref="AH1303:AI1303"/>
    <mergeCell ref="AJ1303:AK1303"/>
    <mergeCell ref="R1303:S1303"/>
    <mergeCell ref="T1303:U1303"/>
    <mergeCell ref="V1303:W1303"/>
    <mergeCell ref="X1303:Y1303"/>
    <mergeCell ref="Z1303:AA1303"/>
    <mergeCell ref="AB1303:AC1303"/>
    <mergeCell ref="B1303:C1303"/>
    <mergeCell ref="D1303:E1303"/>
    <mergeCell ref="F1303:G1303"/>
    <mergeCell ref="H1303:I1303"/>
    <mergeCell ref="J1303:K1303"/>
    <mergeCell ref="L1303:M1303"/>
    <mergeCell ref="N1303:O1303"/>
    <mergeCell ref="P1303:Q1303"/>
    <mergeCell ref="AL1302:BB1302"/>
    <mergeCell ref="Z1302:AA1302"/>
    <mergeCell ref="AB1302:AC1302"/>
    <mergeCell ref="AD1302:AE1302"/>
    <mergeCell ref="AF1302:AG1302"/>
    <mergeCell ref="AH1302:AI1302"/>
    <mergeCell ref="AJ1302:AK1302"/>
    <mergeCell ref="N1302:O1302"/>
    <mergeCell ref="P1302:Q1302"/>
    <mergeCell ref="R1302:S1302"/>
    <mergeCell ref="T1302:U1302"/>
    <mergeCell ref="V1302:W1302"/>
    <mergeCell ref="X1302:Y1302"/>
    <mergeCell ref="B1302:C1302"/>
    <mergeCell ref="D1302:E1302"/>
    <mergeCell ref="F1302:G1302"/>
    <mergeCell ref="H1302:I1302"/>
    <mergeCell ref="J1302:K1302"/>
    <mergeCell ref="L1302:M1302"/>
    <mergeCell ref="AL1301:BB1301"/>
    <mergeCell ref="AD1301:AE1301"/>
    <mergeCell ref="AF1301:AG1301"/>
    <mergeCell ref="AH1301:AI1301"/>
    <mergeCell ref="AJ1301:AK1301"/>
    <mergeCell ref="R1301:S1301"/>
    <mergeCell ref="T1301:U1301"/>
    <mergeCell ref="V1301:W1301"/>
    <mergeCell ref="X1301:Y1301"/>
    <mergeCell ref="Z1301:AA1301"/>
    <mergeCell ref="AB1301:AC1301"/>
    <mergeCell ref="B1301:C1301"/>
    <mergeCell ref="D1301:E1301"/>
    <mergeCell ref="F1301:G1301"/>
    <mergeCell ref="H1301:I1301"/>
    <mergeCell ref="J1301:K1301"/>
    <mergeCell ref="L1301:M1301"/>
    <mergeCell ref="N1301:O1301"/>
    <mergeCell ref="P1301:Q1301"/>
    <mergeCell ref="AL1300:BB1300"/>
    <mergeCell ref="Z1300:AA1300"/>
    <mergeCell ref="AB1300:AC1300"/>
    <mergeCell ref="AD1300:AE1300"/>
    <mergeCell ref="AF1300:AG1300"/>
    <mergeCell ref="AH1300:AI1300"/>
    <mergeCell ref="AJ1300:AK1300"/>
    <mergeCell ref="N1300:O1300"/>
    <mergeCell ref="P1300:Q1300"/>
    <mergeCell ref="R1300:S1300"/>
    <mergeCell ref="T1300:U1300"/>
    <mergeCell ref="V1300:W1300"/>
    <mergeCell ref="X1300:Y1300"/>
    <mergeCell ref="B1300:C1300"/>
    <mergeCell ref="D1300:E1300"/>
    <mergeCell ref="F1300:G1300"/>
    <mergeCell ref="H1300:I1300"/>
    <mergeCell ref="J1300:K1300"/>
    <mergeCell ref="L1300:M1300"/>
    <mergeCell ref="AL1299:BB1299"/>
    <mergeCell ref="AD1299:AE1299"/>
    <mergeCell ref="AF1299:AG1299"/>
    <mergeCell ref="AH1299:AI1299"/>
    <mergeCell ref="AJ1299:AK1299"/>
    <mergeCell ref="R1299:S1299"/>
    <mergeCell ref="T1299:U1299"/>
    <mergeCell ref="V1299:W1299"/>
    <mergeCell ref="X1299:Y1299"/>
    <mergeCell ref="Z1299:AA1299"/>
    <mergeCell ref="AB1299:AC1299"/>
    <mergeCell ref="B1299:C1299"/>
    <mergeCell ref="D1299:E1299"/>
    <mergeCell ref="F1299:G1299"/>
    <mergeCell ref="H1299:I1299"/>
    <mergeCell ref="J1299:K1299"/>
    <mergeCell ref="L1299:M1299"/>
    <mergeCell ref="N1299:O1299"/>
    <mergeCell ref="P1299:Q1299"/>
    <mergeCell ref="AL1298:BB1298"/>
    <mergeCell ref="Z1298:AA1298"/>
    <mergeCell ref="AB1298:AC1298"/>
    <mergeCell ref="AD1298:AE1298"/>
    <mergeCell ref="AF1298:AG1298"/>
    <mergeCell ref="AH1298:AI1298"/>
    <mergeCell ref="AJ1298:AK1298"/>
    <mergeCell ref="N1298:O1298"/>
    <mergeCell ref="P1298:Q1298"/>
    <mergeCell ref="R1298:S1298"/>
    <mergeCell ref="T1298:U1298"/>
    <mergeCell ref="V1298:W1298"/>
    <mergeCell ref="X1298:Y1298"/>
    <mergeCell ref="B1298:C1298"/>
    <mergeCell ref="D1298:E1298"/>
    <mergeCell ref="F1298:G1298"/>
    <mergeCell ref="H1298:I1298"/>
    <mergeCell ref="J1298:K1298"/>
    <mergeCell ref="L1298:M1298"/>
    <mergeCell ref="AL1297:BB1297"/>
    <mergeCell ref="Z1297:AA1297"/>
    <mergeCell ref="AB1297:AC1297"/>
    <mergeCell ref="AD1297:AE1297"/>
    <mergeCell ref="AF1297:AG1297"/>
    <mergeCell ref="AH1297:AI1297"/>
    <mergeCell ref="AJ1297:AK1297"/>
    <mergeCell ref="N1297:O1297"/>
    <mergeCell ref="P1297:Q1297"/>
    <mergeCell ref="R1297:S1297"/>
    <mergeCell ref="T1297:U1297"/>
    <mergeCell ref="V1297:W1297"/>
    <mergeCell ref="X1297:Y1297"/>
    <mergeCell ref="B1297:C1297"/>
    <mergeCell ref="D1297:E1297"/>
    <mergeCell ref="F1297:G1297"/>
    <mergeCell ref="H1297:I1297"/>
    <mergeCell ref="J1297:K1297"/>
    <mergeCell ref="L1297:M1297"/>
    <mergeCell ref="AL1296:BB1296"/>
    <mergeCell ref="AD1296:AE1296"/>
    <mergeCell ref="AF1296:AG1296"/>
    <mergeCell ref="AH1296:AI1296"/>
    <mergeCell ref="AJ1296:AK1296"/>
    <mergeCell ref="R1296:S1296"/>
    <mergeCell ref="T1296:U1296"/>
    <mergeCell ref="V1296:W1296"/>
    <mergeCell ref="X1296:Y1296"/>
    <mergeCell ref="Z1296:AA1296"/>
    <mergeCell ref="AB1296:AC1296"/>
    <mergeCell ref="B1296:C1296"/>
    <mergeCell ref="D1296:E1296"/>
    <mergeCell ref="F1296:G1296"/>
    <mergeCell ref="H1296:I1296"/>
    <mergeCell ref="J1296:K1296"/>
    <mergeCell ref="L1296:M1296"/>
    <mergeCell ref="N1296:O1296"/>
    <mergeCell ref="P1296:Q1296"/>
    <mergeCell ref="AL1295:BB1295"/>
    <mergeCell ref="AD1295:AE1295"/>
    <mergeCell ref="AF1295:AG1295"/>
    <mergeCell ref="AH1295:AI1295"/>
    <mergeCell ref="AJ1295:AK1295"/>
    <mergeCell ref="R1295:S1295"/>
    <mergeCell ref="T1295:U1295"/>
    <mergeCell ref="V1295:W1295"/>
    <mergeCell ref="X1295:Y1295"/>
    <mergeCell ref="Z1295:AA1295"/>
    <mergeCell ref="AB1295:AC1295"/>
    <mergeCell ref="B1295:C1295"/>
    <mergeCell ref="D1295:E1295"/>
    <mergeCell ref="F1295:G1295"/>
    <mergeCell ref="H1295:I1295"/>
    <mergeCell ref="J1295:K1295"/>
    <mergeCell ref="L1295:M1295"/>
    <mergeCell ref="N1295:O1295"/>
    <mergeCell ref="P1295:Q1295"/>
    <mergeCell ref="AL1294:BB1294"/>
    <mergeCell ref="AD1294:AE1294"/>
    <mergeCell ref="AF1294:AG1294"/>
    <mergeCell ref="AH1294:AI1294"/>
    <mergeCell ref="AJ1294:AK1294"/>
    <mergeCell ref="R1294:S1294"/>
    <mergeCell ref="T1294:U1294"/>
    <mergeCell ref="V1294:W1294"/>
    <mergeCell ref="X1294:Y1294"/>
    <mergeCell ref="Z1294:AA1294"/>
    <mergeCell ref="AB1294:AC1294"/>
    <mergeCell ref="B1294:C1294"/>
    <mergeCell ref="D1294:E1294"/>
    <mergeCell ref="F1294:G1294"/>
    <mergeCell ref="H1294:I1294"/>
    <mergeCell ref="J1294:K1294"/>
    <mergeCell ref="L1294:M1294"/>
    <mergeCell ref="N1294:O1294"/>
    <mergeCell ref="P1294:Q1294"/>
    <mergeCell ref="AL1293:BB1293"/>
    <mergeCell ref="AD1293:AE1293"/>
    <mergeCell ref="AF1293:AG1293"/>
    <mergeCell ref="AH1293:AI1293"/>
    <mergeCell ref="AJ1293:AK1293"/>
    <mergeCell ref="R1293:S1293"/>
    <mergeCell ref="T1293:U1293"/>
    <mergeCell ref="V1293:W1293"/>
    <mergeCell ref="X1293:Y1293"/>
    <mergeCell ref="Z1293:AA1293"/>
    <mergeCell ref="AB1293:AC1293"/>
    <mergeCell ref="B1293:C1293"/>
    <mergeCell ref="D1293:E1293"/>
    <mergeCell ref="F1293:G1293"/>
    <mergeCell ref="H1293:I1293"/>
    <mergeCell ref="J1293:K1293"/>
    <mergeCell ref="L1293:M1293"/>
    <mergeCell ref="N1293:O1293"/>
    <mergeCell ref="P1293:Q1293"/>
    <mergeCell ref="AL1292:BB1292"/>
    <mergeCell ref="AD1292:AE1292"/>
    <mergeCell ref="AF1292:AG1292"/>
    <mergeCell ref="AH1292:AI1292"/>
    <mergeCell ref="AJ1292:AK1292"/>
    <mergeCell ref="R1292:S1292"/>
    <mergeCell ref="T1292:U1292"/>
    <mergeCell ref="V1292:W1292"/>
    <mergeCell ref="X1292:Y1292"/>
    <mergeCell ref="Z1292:AA1292"/>
    <mergeCell ref="AB1292:AC1292"/>
    <mergeCell ref="B1292:C1292"/>
    <mergeCell ref="D1292:E1292"/>
    <mergeCell ref="F1292:G1292"/>
    <mergeCell ref="H1292:I1292"/>
    <mergeCell ref="J1292:K1292"/>
    <mergeCell ref="L1292:M1292"/>
    <mergeCell ref="N1292:O1292"/>
    <mergeCell ref="P1292:Q1292"/>
    <mergeCell ref="AL1291:BB1291"/>
    <mergeCell ref="AD1291:AE1291"/>
    <mergeCell ref="AF1291:AG1291"/>
    <mergeCell ref="AH1291:AI1291"/>
    <mergeCell ref="AJ1291:AK1291"/>
    <mergeCell ref="R1291:S1291"/>
    <mergeCell ref="T1291:U1291"/>
    <mergeCell ref="V1291:W1291"/>
    <mergeCell ref="X1291:Y1291"/>
    <mergeCell ref="Z1291:AA1291"/>
    <mergeCell ref="AB1291:AC1291"/>
    <mergeCell ref="B1291:C1291"/>
    <mergeCell ref="D1291:E1291"/>
    <mergeCell ref="F1291:G1291"/>
    <mergeCell ref="H1291:I1291"/>
    <mergeCell ref="J1291:K1291"/>
    <mergeCell ref="L1291:M1291"/>
    <mergeCell ref="N1291:O1291"/>
    <mergeCell ref="P1291:Q1291"/>
    <mergeCell ref="AL1290:BB1290"/>
    <mergeCell ref="AD1290:AE1290"/>
    <mergeCell ref="AF1290:AG1290"/>
    <mergeCell ref="AH1290:AI1290"/>
    <mergeCell ref="AJ1290:AK1290"/>
    <mergeCell ref="R1290:S1290"/>
    <mergeCell ref="T1290:U1290"/>
    <mergeCell ref="V1290:W1290"/>
    <mergeCell ref="X1290:Y1290"/>
    <mergeCell ref="Z1290:AA1290"/>
    <mergeCell ref="AB1290:AC1290"/>
    <mergeCell ref="B1290:C1290"/>
    <mergeCell ref="D1290:E1290"/>
    <mergeCell ref="F1290:G1290"/>
    <mergeCell ref="H1290:I1290"/>
    <mergeCell ref="J1290:K1290"/>
    <mergeCell ref="L1290:M1290"/>
    <mergeCell ref="N1290:O1290"/>
    <mergeCell ref="P1290:Q1290"/>
    <mergeCell ref="AL1289:BB1289"/>
    <mergeCell ref="AD1289:AE1289"/>
    <mergeCell ref="AF1289:AG1289"/>
    <mergeCell ref="AH1289:AI1289"/>
    <mergeCell ref="AJ1289:AK1289"/>
    <mergeCell ref="R1289:S1289"/>
    <mergeCell ref="T1289:U1289"/>
    <mergeCell ref="V1289:W1289"/>
    <mergeCell ref="X1289:Y1289"/>
    <mergeCell ref="Z1289:AA1289"/>
    <mergeCell ref="AB1289:AC1289"/>
    <mergeCell ref="B1289:C1289"/>
    <mergeCell ref="D1289:E1289"/>
    <mergeCell ref="F1289:G1289"/>
    <mergeCell ref="H1289:I1289"/>
    <mergeCell ref="J1289:K1289"/>
    <mergeCell ref="L1289:M1289"/>
    <mergeCell ref="N1289:O1289"/>
    <mergeCell ref="P1289:Q1289"/>
    <mergeCell ref="AL1288:BB1288"/>
    <mergeCell ref="AD1288:AE1288"/>
    <mergeCell ref="AF1288:AG1288"/>
    <mergeCell ref="AH1288:AI1288"/>
    <mergeCell ref="AJ1288:AK1288"/>
    <mergeCell ref="R1288:S1288"/>
    <mergeCell ref="T1288:U1288"/>
    <mergeCell ref="V1288:W1288"/>
    <mergeCell ref="X1288:Y1288"/>
    <mergeCell ref="Z1288:AA1288"/>
    <mergeCell ref="AB1288:AC1288"/>
    <mergeCell ref="B1288:C1288"/>
    <mergeCell ref="D1288:E1288"/>
    <mergeCell ref="F1288:G1288"/>
    <mergeCell ref="H1288:I1288"/>
    <mergeCell ref="J1288:K1288"/>
    <mergeCell ref="L1288:M1288"/>
    <mergeCell ref="N1288:O1288"/>
    <mergeCell ref="P1288:Q1288"/>
    <mergeCell ref="AL1287:BB1287"/>
    <mergeCell ref="AD1287:AE1287"/>
    <mergeCell ref="AF1287:AG1287"/>
    <mergeCell ref="AH1287:AI1287"/>
    <mergeCell ref="AJ1287:AK1287"/>
    <mergeCell ref="R1287:S1287"/>
    <mergeCell ref="T1287:U1287"/>
    <mergeCell ref="V1287:W1287"/>
    <mergeCell ref="X1287:Y1287"/>
    <mergeCell ref="Z1287:AA1287"/>
    <mergeCell ref="AB1287:AC1287"/>
    <mergeCell ref="B1287:C1287"/>
    <mergeCell ref="D1287:E1287"/>
    <mergeCell ref="F1287:G1287"/>
    <mergeCell ref="H1287:I1287"/>
    <mergeCell ref="J1287:K1287"/>
    <mergeCell ref="L1287:M1287"/>
    <mergeCell ref="N1287:O1287"/>
    <mergeCell ref="P1287:Q1287"/>
    <mergeCell ref="AL1286:BB1286"/>
    <mergeCell ref="AD1286:AE1286"/>
    <mergeCell ref="AF1286:AG1286"/>
    <mergeCell ref="AH1286:AI1286"/>
    <mergeCell ref="AJ1286:AK1286"/>
    <mergeCell ref="R1286:S1286"/>
    <mergeCell ref="T1286:U1286"/>
    <mergeCell ref="V1286:W1286"/>
    <mergeCell ref="X1286:Y1286"/>
    <mergeCell ref="Z1286:AA1286"/>
    <mergeCell ref="AB1286:AC1286"/>
    <mergeCell ref="B1286:C1286"/>
    <mergeCell ref="D1286:E1286"/>
    <mergeCell ref="F1286:G1286"/>
    <mergeCell ref="H1286:I1286"/>
    <mergeCell ref="J1286:K1286"/>
    <mergeCell ref="L1286:M1286"/>
    <mergeCell ref="N1286:O1286"/>
    <mergeCell ref="P1286:Q1286"/>
    <mergeCell ref="AL1285:BB1285"/>
    <mergeCell ref="AD1285:AE1285"/>
    <mergeCell ref="AF1285:AG1285"/>
    <mergeCell ref="AH1285:AI1285"/>
    <mergeCell ref="AJ1285:AK1285"/>
    <mergeCell ref="R1285:S1285"/>
    <mergeCell ref="T1285:U1285"/>
    <mergeCell ref="V1285:W1285"/>
    <mergeCell ref="X1285:Y1285"/>
    <mergeCell ref="Z1285:AA1285"/>
    <mergeCell ref="AB1285:AC1285"/>
    <mergeCell ref="B1285:C1285"/>
    <mergeCell ref="D1285:E1285"/>
    <mergeCell ref="F1285:G1285"/>
    <mergeCell ref="H1285:I1285"/>
    <mergeCell ref="J1285:K1285"/>
    <mergeCell ref="L1285:M1285"/>
    <mergeCell ref="N1285:O1285"/>
    <mergeCell ref="P1285:Q1285"/>
    <mergeCell ref="AL1284:BB1284"/>
    <mergeCell ref="AD1284:AE1284"/>
    <mergeCell ref="AF1284:AG1284"/>
    <mergeCell ref="AH1284:AI1284"/>
    <mergeCell ref="AJ1284:AK1284"/>
    <mergeCell ref="R1284:S1284"/>
    <mergeCell ref="T1284:U1284"/>
    <mergeCell ref="V1284:W1284"/>
    <mergeCell ref="X1284:Y1284"/>
    <mergeCell ref="Z1284:AA1284"/>
    <mergeCell ref="AB1284:AC1284"/>
    <mergeCell ref="B1284:C1284"/>
    <mergeCell ref="D1284:E1284"/>
    <mergeCell ref="F1284:G1284"/>
    <mergeCell ref="H1284:I1284"/>
    <mergeCell ref="J1284:K1284"/>
    <mergeCell ref="L1284:M1284"/>
    <mergeCell ref="N1284:O1284"/>
    <mergeCell ref="P1284:Q1284"/>
    <mergeCell ref="AL1283:BB1283"/>
    <mergeCell ref="AD1283:AE1283"/>
    <mergeCell ref="AF1283:AG1283"/>
    <mergeCell ref="AH1283:AI1283"/>
    <mergeCell ref="AJ1283:AK1283"/>
    <mergeCell ref="R1283:S1283"/>
    <mergeCell ref="T1283:U1283"/>
    <mergeCell ref="V1283:W1283"/>
    <mergeCell ref="X1283:Y1283"/>
    <mergeCell ref="Z1283:AA1283"/>
    <mergeCell ref="AB1283:AC1283"/>
    <mergeCell ref="B1283:C1283"/>
    <mergeCell ref="D1283:E1283"/>
    <mergeCell ref="F1283:G1283"/>
    <mergeCell ref="H1283:I1283"/>
    <mergeCell ref="J1283:K1283"/>
    <mergeCell ref="L1283:M1283"/>
    <mergeCell ref="N1283:O1283"/>
    <mergeCell ref="P1283:Q1283"/>
    <mergeCell ref="AL1282:BB1282"/>
    <mergeCell ref="AD1282:AE1282"/>
    <mergeCell ref="AF1282:AG1282"/>
    <mergeCell ref="AH1282:AI1282"/>
    <mergeCell ref="AJ1282:AK1282"/>
    <mergeCell ref="R1282:S1282"/>
    <mergeCell ref="T1282:U1282"/>
    <mergeCell ref="V1282:W1282"/>
    <mergeCell ref="X1282:Y1282"/>
    <mergeCell ref="Z1282:AA1282"/>
    <mergeCell ref="AB1282:AC1282"/>
    <mergeCell ref="B1282:C1282"/>
    <mergeCell ref="D1282:E1282"/>
    <mergeCell ref="F1282:G1282"/>
    <mergeCell ref="H1282:I1282"/>
    <mergeCell ref="J1282:K1282"/>
    <mergeCell ref="L1282:M1282"/>
    <mergeCell ref="N1282:O1282"/>
    <mergeCell ref="P1282:Q1282"/>
    <mergeCell ref="AL1281:BB1281"/>
    <mergeCell ref="AD1281:AE1281"/>
    <mergeCell ref="AF1281:AG1281"/>
    <mergeCell ref="AH1281:AI1281"/>
    <mergeCell ref="AJ1281:AK1281"/>
    <mergeCell ref="R1281:S1281"/>
    <mergeCell ref="T1281:U1281"/>
    <mergeCell ref="V1281:W1281"/>
    <mergeCell ref="X1281:Y1281"/>
    <mergeCell ref="Z1281:AA1281"/>
    <mergeCell ref="AB1281:AC1281"/>
    <mergeCell ref="B1281:C1281"/>
    <mergeCell ref="D1281:E1281"/>
    <mergeCell ref="F1281:G1281"/>
    <mergeCell ref="H1281:I1281"/>
    <mergeCell ref="J1281:K1281"/>
    <mergeCell ref="L1281:M1281"/>
    <mergeCell ref="N1281:O1281"/>
    <mergeCell ref="P1281:Q1281"/>
    <mergeCell ref="AL1280:BB1280"/>
    <mergeCell ref="AD1280:AE1280"/>
    <mergeCell ref="AF1280:AG1280"/>
    <mergeCell ref="AH1280:AI1280"/>
    <mergeCell ref="AJ1280:AK1280"/>
    <mergeCell ref="R1280:S1280"/>
    <mergeCell ref="T1280:U1280"/>
    <mergeCell ref="V1280:W1280"/>
    <mergeCell ref="X1280:Y1280"/>
    <mergeCell ref="Z1280:AA1280"/>
    <mergeCell ref="AB1280:AC1280"/>
    <mergeCell ref="B1280:C1280"/>
    <mergeCell ref="D1280:E1280"/>
    <mergeCell ref="F1280:G1280"/>
    <mergeCell ref="H1280:I1280"/>
    <mergeCell ref="J1280:K1280"/>
    <mergeCell ref="L1280:M1280"/>
    <mergeCell ref="N1280:O1280"/>
    <mergeCell ref="P1280:Q1280"/>
    <mergeCell ref="AL1279:BB1279"/>
    <mergeCell ref="AD1279:AE1279"/>
    <mergeCell ref="AF1279:AG1279"/>
    <mergeCell ref="AH1279:AI1279"/>
    <mergeCell ref="AJ1279:AK1279"/>
    <mergeCell ref="R1279:S1279"/>
    <mergeCell ref="T1279:U1279"/>
    <mergeCell ref="V1279:W1279"/>
    <mergeCell ref="X1279:Y1279"/>
    <mergeCell ref="Z1279:AA1279"/>
    <mergeCell ref="AB1279:AC1279"/>
    <mergeCell ref="B1279:C1279"/>
    <mergeCell ref="D1279:E1279"/>
    <mergeCell ref="F1279:G1279"/>
    <mergeCell ref="H1279:I1279"/>
    <mergeCell ref="J1279:K1279"/>
    <mergeCell ref="L1279:M1279"/>
    <mergeCell ref="N1279:O1279"/>
    <mergeCell ref="P1279:Q1279"/>
    <mergeCell ref="AL1278:BB1278"/>
    <mergeCell ref="AD1278:AE1278"/>
    <mergeCell ref="AF1278:AG1278"/>
    <mergeCell ref="AH1278:AI1278"/>
    <mergeCell ref="AJ1278:AK1278"/>
    <mergeCell ref="R1278:S1278"/>
    <mergeCell ref="T1278:U1278"/>
    <mergeCell ref="V1278:W1278"/>
    <mergeCell ref="X1278:Y1278"/>
    <mergeCell ref="Z1278:AA1278"/>
    <mergeCell ref="AB1278:AC1278"/>
    <mergeCell ref="B1278:C1278"/>
    <mergeCell ref="D1278:E1278"/>
    <mergeCell ref="F1278:G1278"/>
    <mergeCell ref="H1278:I1278"/>
    <mergeCell ref="J1278:K1278"/>
    <mergeCell ref="L1278:M1278"/>
    <mergeCell ref="N1278:O1278"/>
    <mergeCell ref="P1278:Q1278"/>
    <mergeCell ref="AL1277:BB1277"/>
    <mergeCell ref="AD1277:AE1277"/>
    <mergeCell ref="AF1277:AG1277"/>
    <mergeCell ref="AH1277:AI1277"/>
    <mergeCell ref="AJ1277:AK1277"/>
    <mergeCell ref="R1277:S1277"/>
    <mergeCell ref="T1277:U1277"/>
    <mergeCell ref="V1277:W1277"/>
    <mergeCell ref="X1277:Y1277"/>
    <mergeCell ref="Z1277:AA1277"/>
    <mergeCell ref="AB1277:AC1277"/>
    <mergeCell ref="B1277:C1277"/>
    <mergeCell ref="D1277:E1277"/>
    <mergeCell ref="F1277:G1277"/>
    <mergeCell ref="H1277:I1277"/>
    <mergeCell ref="J1277:K1277"/>
    <mergeCell ref="L1277:M1277"/>
    <mergeCell ref="N1277:O1277"/>
    <mergeCell ref="P1277:Q1277"/>
    <mergeCell ref="AL1276:BB1276"/>
    <mergeCell ref="AD1276:AE1276"/>
    <mergeCell ref="AF1276:AG1276"/>
    <mergeCell ref="AH1276:AI1276"/>
    <mergeCell ref="AJ1276:AK1276"/>
    <mergeCell ref="R1276:S1276"/>
    <mergeCell ref="T1276:U1276"/>
    <mergeCell ref="V1276:W1276"/>
    <mergeCell ref="X1276:Y1276"/>
    <mergeCell ref="Z1276:AA1276"/>
    <mergeCell ref="AB1276:AC1276"/>
    <mergeCell ref="B1276:C1276"/>
    <mergeCell ref="D1276:E1276"/>
    <mergeCell ref="F1276:G1276"/>
    <mergeCell ref="H1276:I1276"/>
    <mergeCell ref="J1276:K1276"/>
    <mergeCell ref="L1276:M1276"/>
    <mergeCell ref="N1276:O1276"/>
    <mergeCell ref="P1276:Q1276"/>
    <mergeCell ref="AL1275:BB1275"/>
    <mergeCell ref="AD1275:AE1275"/>
    <mergeCell ref="AF1275:AG1275"/>
    <mergeCell ref="AH1275:AI1275"/>
    <mergeCell ref="AJ1275:AK1275"/>
    <mergeCell ref="R1275:S1275"/>
    <mergeCell ref="T1275:U1275"/>
    <mergeCell ref="V1275:W1275"/>
    <mergeCell ref="X1275:Y1275"/>
    <mergeCell ref="Z1275:AA1275"/>
    <mergeCell ref="AB1275:AC1275"/>
    <mergeCell ref="B1275:C1275"/>
    <mergeCell ref="D1275:E1275"/>
    <mergeCell ref="F1275:G1275"/>
    <mergeCell ref="H1275:I1275"/>
    <mergeCell ref="J1275:K1275"/>
    <mergeCell ref="L1275:M1275"/>
    <mergeCell ref="N1275:O1275"/>
    <mergeCell ref="P1275:Q1275"/>
    <mergeCell ref="AL1274:BB1274"/>
    <mergeCell ref="AD1274:AE1274"/>
    <mergeCell ref="AF1274:AG1274"/>
    <mergeCell ref="AH1274:AI1274"/>
    <mergeCell ref="AJ1274:AK1274"/>
    <mergeCell ref="R1274:S1274"/>
    <mergeCell ref="T1274:U1274"/>
    <mergeCell ref="V1274:W1274"/>
    <mergeCell ref="X1274:Y1274"/>
    <mergeCell ref="Z1274:AA1274"/>
    <mergeCell ref="AB1274:AC1274"/>
    <mergeCell ref="B1274:C1274"/>
    <mergeCell ref="D1274:E1274"/>
    <mergeCell ref="F1274:G1274"/>
    <mergeCell ref="H1274:I1274"/>
    <mergeCell ref="J1274:K1274"/>
    <mergeCell ref="L1274:M1274"/>
    <mergeCell ref="N1274:O1274"/>
    <mergeCell ref="P1274:Q1274"/>
    <mergeCell ref="AL1273:BB1273"/>
    <mergeCell ref="AD1273:AE1273"/>
    <mergeCell ref="AF1273:AG1273"/>
    <mergeCell ref="AH1273:AI1273"/>
    <mergeCell ref="AJ1273:AK1273"/>
    <mergeCell ref="R1273:S1273"/>
    <mergeCell ref="T1273:U1273"/>
    <mergeCell ref="V1273:W1273"/>
    <mergeCell ref="X1273:Y1273"/>
    <mergeCell ref="Z1273:AA1273"/>
    <mergeCell ref="AB1273:AC1273"/>
    <mergeCell ref="B1273:C1273"/>
    <mergeCell ref="D1273:E1273"/>
    <mergeCell ref="F1273:G1273"/>
    <mergeCell ref="H1273:I1273"/>
    <mergeCell ref="J1273:K1273"/>
    <mergeCell ref="L1273:M1273"/>
    <mergeCell ref="N1273:O1273"/>
    <mergeCell ref="P1273:Q1273"/>
    <mergeCell ref="AL1272:BB1272"/>
    <mergeCell ref="AD1272:AE1272"/>
    <mergeCell ref="AF1272:AG1272"/>
    <mergeCell ref="AH1272:AI1272"/>
    <mergeCell ref="AJ1272:AK1272"/>
    <mergeCell ref="R1272:S1272"/>
    <mergeCell ref="T1272:U1272"/>
    <mergeCell ref="V1272:W1272"/>
    <mergeCell ref="X1272:Y1272"/>
    <mergeCell ref="Z1272:AA1272"/>
    <mergeCell ref="AB1272:AC1272"/>
    <mergeCell ref="B1272:C1272"/>
    <mergeCell ref="D1272:E1272"/>
    <mergeCell ref="F1272:G1272"/>
    <mergeCell ref="H1272:I1272"/>
    <mergeCell ref="J1272:K1272"/>
    <mergeCell ref="L1272:M1272"/>
    <mergeCell ref="N1272:O1272"/>
    <mergeCell ref="P1272:Q1272"/>
    <mergeCell ref="AL1271:BB1271"/>
    <mergeCell ref="AD1271:AE1271"/>
    <mergeCell ref="AF1271:AG1271"/>
    <mergeCell ref="AH1271:AI1271"/>
    <mergeCell ref="AJ1271:AK1271"/>
    <mergeCell ref="R1271:S1271"/>
    <mergeCell ref="T1271:U1271"/>
    <mergeCell ref="V1271:W1271"/>
    <mergeCell ref="X1271:Y1271"/>
    <mergeCell ref="Z1271:AA1271"/>
    <mergeCell ref="AB1271:AC1271"/>
    <mergeCell ref="B1271:C1271"/>
    <mergeCell ref="D1271:E1271"/>
    <mergeCell ref="F1271:G1271"/>
    <mergeCell ref="H1271:I1271"/>
    <mergeCell ref="J1271:K1271"/>
    <mergeCell ref="L1271:M1271"/>
    <mergeCell ref="N1271:O1271"/>
    <mergeCell ref="P1271:Q1271"/>
    <mergeCell ref="AL1270:BB1270"/>
    <mergeCell ref="AD1270:AE1270"/>
    <mergeCell ref="AF1270:AG1270"/>
    <mergeCell ref="AH1270:AI1270"/>
    <mergeCell ref="AJ1270:AK1270"/>
    <mergeCell ref="R1270:S1270"/>
    <mergeCell ref="T1270:U1270"/>
    <mergeCell ref="V1270:W1270"/>
    <mergeCell ref="X1270:Y1270"/>
    <mergeCell ref="Z1270:AA1270"/>
    <mergeCell ref="AB1270:AC1270"/>
    <mergeCell ref="B1270:C1270"/>
    <mergeCell ref="D1270:E1270"/>
    <mergeCell ref="F1270:G1270"/>
    <mergeCell ref="H1270:I1270"/>
    <mergeCell ref="J1270:K1270"/>
    <mergeCell ref="L1270:M1270"/>
    <mergeCell ref="N1270:O1270"/>
    <mergeCell ref="P1270:Q1270"/>
    <mergeCell ref="AL1269:BB1269"/>
    <mergeCell ref="AD1269:AE1269"/>
    <mergeCell ref="AF1269:AG1269"/>
    <mergeCell ref="AH1269:AI1269"/>
    <mergeCell ref="AJ1269:AK1269"/>
    <mergeCell ref="R1269:S1269"/>
    <mergeCell ref="T1269:U1269"/>
    <mergeCell ref="V1269:W1269"/>
    <mergeCell ref="X1269:Y1269"/>
    <mergeCell ref="Z1269:AA1269"/>
    <mergeCell ref="AB1269:AC1269"/>
    <mergeCell ref="B1269:C1269"/>
    <mergeCell ref="D1269:E1269"/>
    <mergeCell ref="F1269:G1269"/>
    <mergeCell ref="H1269:I1269"/>
    <mergeCell ref="J1269:K1269"/>
    <mergeCell ref="L1269:M1269"/>
    <mergeCell ref="N1269:O1269"/>
    <mergeCell ref="P1269:Q1269"/>
    <mergeCell ref="AL1268:BB1268"/>
    <mergeCell ref="AD1268:AE1268"/>
    <mergeCell ref="AF1268:AG1268"/>
    <mergeCell ref="AH1268:AI1268"/>
    <mergeCell ref="AJ1268:AK1268"/>
    <mergeCell ref="R1268:S1268"/>
    <mergeCell ref="T1268:U1268"/>
    <mergeCell ref="V1268:W1268"/>
    <mergeCell ref="X1268:Y1268"/>
    <mergeCell ref="Z1268:AA1268"/>
    <mergeCell ref="AB1268:AC1268"/>
    <mergeCell ref="B1268:C1268"/>
    <mergeCell ref="D1268:E1268"/>
    <mergeCell ref="F1268:G1268"/>
    <mergeCell ref="H1268:I1268"/>
    <mergeCell ref="J1268:K1268"/>
    <mergeCell ref="L1268:M1268"/>
    <mergeCell ref="N1268:O1268"/>
    <mergeCell ref="P1268:Q1268"/>
    <mergeCell ref="AL1267:BB1267"/>
    <mergeCell ref="AD1267:AE1267"/>
    <mergeCell ref="AF1267:AG1267"/>
    <mergeCell ref="AH1267:AI1267"/>
    <mergeCell ref="AJ1267:AK1267"/>
    <mergeCell ref="R1267:S1267"/>
    <mergeCell ref="T1267:U1267"/>
    <mergeCell ref="V1267:W1267"/>
    <mergeCell ref="X1267:Y1267"/>
    <mergeCell ref="Z1267:AA1267"/>
    <mergeCell ref="AB1267:AC1267"/>
    <mergeCell ref="B1267:C1267"/>
    <mergeCell ref="D1267:E1267"/>
    <mergeCell ref="F1267:G1267"/>
    <mergeCell ref="H1267:I1267"/>
    <mergeCell ref="J1267:K1267"/>
    <mergeCell ref="L1267:M1267"/>
    <mergeCell ref="N1267:O1267"/>
    <mergeCell ref="P1267:Q1267"/>
    <mergeCell ref="AL1266:BB1266"/>
    <mergeCell ref="AD1266:AE1266"/>
    <mergeCell ref="AF1266:AG1266"/>
    <mergeCell ref="AH1266:AI1266"/>
    <mergeCell ref="AJ1266:AK1266"/>
    <mergeCell ref="R1266:S1266"/>
    <mergeCell ref="T1266:U1266"/>
    <mergeCell ref="V1266:W1266"/>
    <mergeCell ref="X1266:Y1266"/>
    <mergeCell ref="Z1266:AA1266"/>
    <mergeCell ref="AB1266:AC1266"/>
    <mergeCell ref="B1266:C1266"/>
    <mergeCell ref="D1266:E1266"/>
    <mergeCell ref="F1266:G1266"/>
    <mergeCell ref="H1266:I1266"/>
    <mergeCell ref="J1266:K1266"/>
    <mergeCell ref="L1266:M1266"/>
    <mergeCell ref="N1266:O1266"/>
    <mergeCell ref="P1266:Q1266"/>
    <mergeCell ref="AL1265:BB1265"/>
    <mergeCell ref="AD1265:AE1265"/>
    <mergeCell ref="AF1265:AG1265"/>
    <mergeCell ref="AH1265:AI1265"/>
    <mergeCell ref="AJ1265:AK1265"/>
    <mergeCell ref="R1265:S1265"/>
    <mergeCell ref="T1265:U1265"/>
    <mergeCell ref="V1265:W1265"/>
    <mergeCell ref="X1265:Y1265"/>
    <mergeCell ref="Z1265:AA1265"/>
    <mergeCell ref="AB1265:AC1265"/>
    <mergeCell ref="B1265:C1265"/>
    <mergeCell ref="D1265:E1265"/>
    <mergeCell ref="F1265:G1265"/>
    <mergeCell ref="H1265:I1265"/>
    <mergeCell ref="J1265:K1265"/>
    <mergeCell ref="L1265:M1265"/>
    <mergeCell ref="N1265:O1265"/>
    <mergeCell ref="P1265:Q1265"/>
    <mergeCell ref="AL1264:BB1264"/>
    <mergeCell ref="AD1264:AE1264"/>
    <mergeCell ref="AF1264:AG1264"/>
    <mergeCell ref="AH1264:AI1264"/>
    <mergeCell ref="AJ1264:AK1264"/>
    <mergeCell ref="R1264:S1264"/>
    <mergeCell ref="T1264:U1264"/>
    <mergeCell ref="V1264:W1264"/>
    <mergeCell ref="X1264:Y1264"/>
    <mergeCell ref="Z1264:AA1264"/>
    <mergeCell ref="AB1264:AC1264"/>
    <mergeCell ref="B1264:C1264"/>
    <mergeCell ref="D1264:E1264"/>
    <mergeCell ref="F1264:G1264"/>
    <mergeCell ref="H1264:I1264"/>
    <mergeCell ref="J1264:K1264"/>
    <mergeCell ref="L1264:M1264"/>
    <mergeCell ref="N1264:O1264"/>
    <mergeCell ref="P1264:Q1264"/>
    <mergeCell ref="AL1263:BB1263"/>
    <mergeCell ref="AD1263:AE1263"/>
    <mergeCell ref="AF1263:AG1263"/>
    <mergeCell ref="AH1263:AI1263"/>
    <mergeCell ref="AJ1263:AK1263"/>
    <mergeCell ref="R1263:S1263"/>
    <mergeCell ref="T1263:U1263"/>
    <mergeCell ref="V1263:W1263"/>
    <mergeCell ref="X1263:Y1263"/>
    <mergeCell ref="Z1263:AA1263"/>
    <mergeCell ref="AB1263:AC1263"/>
    <mergeCell ref="B1263:C1263"/>
    <mergeCell ref="D1263:E1263"/>
    <mergeCell ref="F1263:G1263"/>
    <mergeCell ref="H1263:I1263"/>
    <mergeCell ref="J1263:K1263"/>
    <mergeCell ref="L1263:M1263"/>
    <mergeCell ref="N1263:O1263"/>
    <mergeCell ref="P1263:Q1263"/>
    <mergeCell ref="AL1262:BB1262"/>
    <mergeCell ref="AD1262:AE1262"/>
    <mergeCell ref="AF1262:AG1262"/>
    <mergeCell ref="AH1262:AI1262"/>
    <mergeCell ref="AJ1262:AK1262"/>
    <mergeCell ref="R1262:S1262"/>
    <mergeCell ref="T1262:U1262"/>
    <mergeCell ref="V1262:W1262"/>
    <mergeCell ref="X1262:Y1262"/>
    <mergeCell ref="Z1262:AA1262"/>
    <mergeCell ref="AB1262:AC1262"/>
    <mergeCell ref="B1262:C1262"/>
    <mergeCell ref="D1262:E1262"/>
    <mergeCell ref="F1262:G1262"/>
    <mergeCell ref="H1262:I1262"/>
    <mergeCell ref="J1262:K1262"/>
    <mergeCell ref="L1262:M1262"/>
    <mergeCell ref="N1262:O1262"/>
    <mergeCell ref="P1262:Q1262"/>
    <mergeCell ref="AL1261:BB1261"/>
    <mergeCell ref="AD1261:AE1261"/>
    <mergeCell ref="AF1261:AG1261"/>
    <mergeCell ref="AH1261:AI1261"/>
    <mergeCell ref="AJ1261:AK1261"/>
    <mergeCell ref="R1261:S1261"/>
    <mergeCell ref="T1261:U1261"/>
    <mergeCell ref="V1261:W1261"/>
    <mergeCell ref="X1261:Y1261"/>
    <mergeCell ref="Z1261:AA1261"/>
    <mergeCell ref="AB1261:AC1261"/>
    <mergeCell ref="B1261:C1261"/>
    <mergeCell ref="D1261:E1261"/>
    <mergeCell ref="F1261:G1261"/>
    <mergeCell ref="H1261:I1261"/>
    <mergeCell ref="J1261:K1261"/>
    <mergeCell ref="L1261:M1261"/>
    <mergeCell ref="N1261:O1261"/>
    <mergeCell ref="P1261:Q1261"/>
    <mergeCell ref="AL1260:BB1260"/>
    <mergeCell ref="AD1260:AE1260"/>
    <mergeCell ref="AF1260:AG1260"/>
    <mergeCell ref="AH1260:AI1260"/>
    <mergeCell ref="AJ1260:AK1260"/>
    <mergeCell ref="R1260:S1260"/>
    <mergeCell ref="T1260:U1260"/>
    <mergeCell ref="V1260:W1260"/>
    <mergeCell ref="X1260:Y1260"/>
    <mergeCell ref="Z1260:AA1260"/>
    <mergeCell ref="AB1260:AC1260"/>
    <mergeCell ref="B1260:C1260"/>
    <mergeCell ref="D1260:E1260"/>
    <mergeCell ref="F1260:G1260"/>
    <mergeCell ref="H1260:I1260"/>
    <mergeCell ref="J1260:K1260"/>
    <mergeCell ref="L1260:M1260"/>
    <mergeCell ref="N1260:O1260"/>
    <mergeCell ref="P1260:Q1260"/>
    <mergeCell ref="AL1259:BB1259"/>
    <mergeCell ref="AD1259:AE1259"/>
    <mergeCell ref="AF1259:AG1259"/>
    <mergeCell ref="AH1259:AI1259"/>
    <mergeCell ref="AJ1259:AK1259"/>
    <mergeCell ref="R1259:S1259"/>
    <mergeCell ref="T1259:U1259"/>
    <mergeCell ref="V1259:W1259"/>
    <mergeCell ref="X1259:Y1259"/>
    <mergeCell ref="Z1259:AA1259"/>
    <mergeCell ref="AB1259:AC1259"/>
    <mergeCell ref="B1259:C1259"/>
    <mergeCell ref="D1259:E1259"/>
    <mergeCell ref="F1259:G1259"/>
    <mergeCell ref="H1259:I1259"/>
    <mergeCell ref="J1259:K1259"/>
    <mergeCell ref="L1259:M1259"/>
    <mergeCell ref="N1259:O1259"/>
    <mergeCell ref="P1259:Q1259"/>
    <mergeCell ref="AL1258:BB1258"/>
    <mergeCell ref="AD1258:AE1258"/>
    <mergeCell ref="AF1258:AG1258"/>
    <mergeCell ref="AH1258:AI1258"/>
    <mergeCell ref="AJ1258:AK1258"/>
    <mergeCell ref="R1258:S1258"/>
    <mergeCell ref="T1258:U1258"/>
    <mergeCell ref="V1258:W1258"/>
    <mergeCell ref="X1258:Y1258"/>
    <mergeCell ref="Z1258:AA1258"/>
    <mergeCell ref="AB1258:AC1258"/>
    <mergeCell ref="B1258:C1258"/>
    <mergeCell ref="D1258:E1258"/>
    <mergeCell ref="F1258:G1258"/>
    <mergeCell ref="H1258:I1258"/>
    <mergeCell ref="J1258:K1258"/>
    <mergeCell ref="L1258:M1258"/>
    <mergeCell ref="N1258:O1258"/>
    <mergeCell ref="P1258:Q1258"/>
    <mergeCell ref="AL1257:BB1257"/>
    <mergeCell ref="AD1257:AE1257"/>
    <mergeCell ref="AF1257:AG1257"/>
    <mergeCell ref="AH1257:AI1257"/>
    <mergeCell ref="AJ1257:AK1257"/>
    <mergeCell ref="R1257:S1257"/>
    <mergeCell ref="T1257:U1257"/>
    <mergeCell ref="V1257:W1257"/>
    <mergeCell ref="X1257:Y1257"/>
    <mergeCell ref="Z1257:AA1257"/>
    <mergeCell ref="AB1257:AC1257"/>
    <mergeCell ref="B1257:C1257"/>
    <mergeCell ref="D1257:E1257"/>
    <mergeCell ref="F1257:G1257"/>
    <mergeCell ref="H1257:I1257"/>
    <mergeCell ref="J1257:K1257"/>
    <mergeCell ref="L1257:M1257"/>
    <mergeCell ref="N1257:O1257"/>
    <mergeCell ref="P1257:Q1257"/>
    <mergeCell ref="AL1256:BB1256"/>
    <mergeCell ref="AD1256:AE1256"/>
    <mergeCell ref="AF1256:AG1256"/>
    <mergeCell ref="AH1256:AI1256"/>
    <mergeCell ref="AJ1256:AK1256"/>
    <mergeCell ref="R1256:S1256"/>
    <mergeCell ref="T1256:U1256"/>
    <mergeCell ref="V1256:W1256"/>
    <mergeCell ref="X1256:Y1256"/>
    <mergeCell ref="Z1256:AA1256"/>
    <mergeCell ref="AB1256:AC1256"/>
    <mergeCell ref="B1256:C1256"/>
    <mergeCell ref="D1256:E1256"/>
    <mergeCell ref="F1256:G1256"/>
    <mergeCell ref="H1256:I1256"/>
    <mergeCell ref="J1256:K1256"/>
    <mergeCell ref="L1256:M1256"/>
    <mergeCell ref="N1256:O1256"/>
    <mergeCell ref="P1256:Q1256"/>
    <mergeCell ref="AL1255:BB1255"/>
    <mergeCell ref="AD1255:AE1255"/>
    <mergeCell ref="AF1255:AG1255"/>
    <mergeCell ref="AH1255:AI1255"/>
    <mergeCell ref="AJ1255:AK1255"/>
    <mergeCell ref="R1255:S1255"/>
    <mergeCell ref="T1255:U1255"/>
    <mergeCell ref="V1255:W1255"/>
    <mergeCell ref="X1255:Y1255"/>
    <mergeCell ref="Z1255:AA1255"/>
    <mergeCell ref="AB1255:AC1255"/>
    <mergeCell ref="B1255:C1255"/>
    <mergeCell ref="D1255:E1255"/>
    <mergeCell ref="F1255:G1255"/>
    <mergeCell ref="H1255:I1255"/>
    <mergeCell ref="J1255:K1255"/>
    <mergeCell ref="L1255:M1255"/>
    <mergeCell ref="N1255:O1255"/>
    <mergeCell ref="P1255:Q1255"/>
    <mergeCell ref="AL1254:BB1254"/>
    <mergeCell ref="AD1254:AE1254"/>
    <mergeCell ref="AF1254:AG1254"/>
    <mergeCell ref="AH1254:AI1254"/>
    <mergeCell ref="AJ1254:AK1254"/>
    <mergeCell ref="R1254:S1254"/>
    <mergeCell ref="T1254:U1254"/>
    <mergeCell ref="V1254:W1254"/>
    <mergeCell ref="X1254:Y1254"/>
    <mergeCell ref="Z1254:AA1254"/>
    <mergeCell ref="AB1254:AC1254"/>
    <mergeCell ref="B1254:C1254"/>
    <mergeCell ref="D1254:E1254"/>
    <mergeCell ref="F1254:G1254"/>
    <mergeCell ref="H1254:I1254"/>
    <mergeCell ref="J1254:K1254"/>
    <mergeCell ref="L1254:M1254"/>
    <mergeCell ref="N1254:O1254"/>
    <mergeCell ref="P1254:Q1254"/>
    <mergeCell ref="AL1253:BB1253"/>
    <mergeCell ref="AD1253:AE1253"/>
    <mergeCell ref="AF1253:AG1253"/>
    <mergeCell ref="AH1253:AI1253"/>
    <mergeCell ref="AJ1253:AK1253"/>
    <mergeCell ref="R1253:S1253"/>
    <mergeCell ref="T1253:U1253"/>
    <mergeCell ref="V1253:W1253"/>
    <mergeCell ref="X1253:Y1253"/>
    <mergeCell ref="Z1253:AA1253"/>
    <mergeCell ref="AB1253:AC1253"/>
    <mergeCell ref="B1253:C1253"/>
    <mergeCell ref="D1253:E1253"/>
    <mergeCell ref="F1253:G1253"/>
    <mergeCell ref="H1253:I1253"/>
    <mergeCell ref="J1253:K1253"/>
    <mergeCell ref="L1253:M1253"/>
    <mergeCell ref="N1253:O1253"/>
    <mergeCell ref="P1253:Q1253"/>
    <mergeCell ref="AL1252:BB1252"/>
    <mergeCell ref="AD1252:AE1252"/>
    <mergeCell ref="AF1252:AG1252"/>
    <mergeCell ref="AH1252:AI1252"/>
    <mergeCell ref="AJ1252:AK1252"/>
    <mergeCell ref="R1252:S1252"/>
    <mergeCell ref="T1252:U1252"/>
    <mergeCell ref="V1252:W1252"/>
    <mergeCell ref="X1252:Y1252"/>
    <mergeCell ref="Z1252:AA1252"/>
    <mergeCell ref="AB1252:AC1252"/>
    <mergeCell ref="B1252:C1252"/>
    <mergeCell ref="D1252:E1252"/>
    <mergeCell ref="F1252:G1252"/>
    <mergeCell ref="H1252:I1252"/>
    <mergeCell ref="J1252:K1252"/>
    <mergeCell ref="L1252:M1252"/>
    <mergeCell ref="N1252:O1252"/>
    <mergeCell ref="P1252:Q1252"/>
    <mergeCell ref="AL1251:BB1251"/>
    <mergeCell ref="AD1251:AE1251"/>
    <mergeCell ref="AF1251:AG1251"/>
    <mergeCell ref="AH1251:AI1251"/>
    <mergeCell ref="AJ1251:AK1251"/>
    <mergeCell ref="R1251:S1251"/>
    <mergeCell ref="T1251:U1251"/>
    <mergeCell ref="V1251:W1251"/>
    <mergeCell ref="X1251:Y1251"/>
    <mergeCell ref="Z1251:AA1251"/>
    <mergeCell ref="AB1251:AC1251"/>
    <mergeCell ref="B1251:C1251"/>
    <mergeCell ref="D1251:E1251"/>
    <mergeCell ref="F1251:G1251"/>
    <mergeCell ref="H1251:I1251"/>
    <mergeCell ref="J1251:K1251"/>
    <mergeCell ref="L1251:M1251"/>
    <mergeCell ref="N1251:O1251"/>
    <mergeCell ref="P1251:Q1251"/>
    <mergeCell ref="AL1250:BB1250"/>
    <mergeCell ref="AD1250:AE1250"/>
    <mergeCell ref="AF1250:AG1250"/>
    <mergeCell ref="AH1250:AI1250"/>
    <mergeCell ref="AJ1250:AK1250"/>
    <mergeCell ref="R1250:S1250"/>
    <mergeCell ref="T1250:U1250"/>
    <mergeCell ref="V1250:W1250"/>
    <mergeCell ref="X1250:Y1250"/>
    <mergeCell ref="Z1250:AA1250"/>
    <mergeCell ref="AB1250:AC1250"/>
    <mergeCell ref="B1250:C1250"/>
    <mergeCell ref="D1250:E1250"/>
    <mergeCell ref="F1250:G1250"/>
    <mergeCell ref="H1250:I1250"/>
    <mergeCell ref="J1250:K1250"/>
    <mergeCell ref="L1250:M1250"/>
    <mergeCell ref="N1250:O1250"/>
    <mergeCell ref="P1250:Q1250"/>
    <mergeCell ref="AL1249:BB1249"/>
    <mergeCell ref="AD1249:AE1249"/>
    <mergeCell ref="AF1249:AG1249"/>
    <mergeCell ref="AH1249:AI1249"/>
    <mergeCell ref="AJ1249:AK1249"/>
    <mergeCell ref="R1249:S1249"/>
    <mergeCell ref="T1249:U1249"/>
    <mergeCell ref="V1249:W1249"/>
    <mergeCell ref="X1249:Y1249"/>
    <mergeCell ref="Z1249:AA1249"/>
    <mergeCell ref="AB1249:AC1249"/>
    <mergeCell ref="B1249:C1249"/>
    <mergeCell ref="D1249:E1249"/>
    <mergeCell ref="F1249:G1249"/>
    <mergeCell ref="H1249:I1249"/>
    <mergeCell ref="J1249:K1249"/>
    <mergeCell ref="L1249:M1249"/>
    <mergeCell ref="N1249:O1249"/>
    <mergeCell ref="P1249:Q1249"/>
    <mergeCell ref="AL1248:BB1248"/>
    <mergeCell ref="AD1248:AE1248"/>
    <mergeCell ref="AF1248:AG1248"/>
    <mergeCell ref="AH1248:AI1248"/>
    <mergeCell ref="AJ1248:AK1248"/>
    <mergeCell ref="R1248:S1248"/>
    <mergeCell ref="T1248:U1248"/>
    <mergeCell ref="V1248:W1248"/>
    <mergeCell ref="X1248:Y1248"/>
    <mergeCell ref="Z1248:AA1248"/>
    <mergeCell ref="AB1248:AC1248"/>
    <mergeCell ref="B1248:C1248"/>
    <mergeCell ref="D1248:E1248"/>
    <mergeCell ref="F1248:G1248"/>
    <mergeCell ref="H1248:I1248"/>
    <mergeCell ref="J1248:K1248"/>
    <mergeCell ref="L1248:M1248"/>
    <mergeCell ref="N1248:O1248"/>
    <mergeCell ref="P1248:Q1248"/>
    <mergeCell ref="AL1247:BB1247"/>
    <mergeCell ref="AD1247:AE1247"/>
    <mergeCell ref="AF1247:AG1247"/>
    <mergeCell ref="AH1247:AI1247"/>
    <mergeCell ref="AJ1247:AK1247"/>
    <mergeCell ref="R1247:S1247"/>
    <mergeCell ref="T1247:U1247"/>
    <mergeCell ref="V1247:W1247"/>
    <mergeCell ref="X1247:Y1247"/>
    <mergeCell ref="Z1247:AA1247"/>
    <mergeCell ref="AB1247:AC1247"/>
    <mergeCell ref="B1247:C1247"/>
    <mergeCell ref="D1247:E1247"/>
    <mergeCell ref="F1247:G1247"/>
    <mergeCell ref="H1247:I1247"/>
    <mergeCell ref="J1247:K1247"/>
    <mergeCell ref="L1247:M1247"/>
    <mergeCell ref="N1247:O1247"/>
    <mergeCell ref="P1247:Q1247"/>
    <mergeCell ref="AL1246:BB1246"/>
    <mergeCell ref="AD1246:AE1246"/>
    <mergeCell ref="AF1246:AG1246"/>
    <mergeCell ref="AH1246:AI1246"/>
    <mergeCell ref="AJ1246:AK1246"/>
    <mergeCell ref="R1246:S1246"/>
    <mergeCell ref="T1246:U1246"/>
    <mergeCell ref="V1246:W1246"/>
    <mergeCell ref="X1246:Y1246"/>
    <mergeCell ref="Z1246:AA1246"/>
    <mergeCell ref="AB1246:AC1246"/>
    <mergeCell ref="B1246:C1246"/>
    <mergeCell ref="D1246:E1246"/>
    <mergeCell ref="F1246:G1246"/>
    <mergeCell ref="H1246:I1246"/>
    <mergeCell ref="J1246:K1246"/>
    <mergeCell ref="L1246:M1246"/>
    <mergeCell ref="N1246:O1246"/>
    <mergeCell ref="P1246:Q1246"/>
    <mergeCell ref="AL1245:BB1245"/>
    <mergeCell ref="AD1245:AE1245"/>
    <mergeCell ref="AF1245:AG1245"/>
    <mergeCell ref="AH1245:AI1245"/>
    <mergeCell ref="AJ1245:AK1245"/>
    <mergeCell ref="R1245:S1245"/>
    <mergeCell ref="T1245:U1245"/>
    <mergeCell ref="V1245:W1245"/>
    <mergeCell ref="X1245:Y1245"/>
    <mergeCell ref="Z1245:AA1245"/>
    <mergeCell ref="AB1245:AC1245"/>
    <mergeCell ref="B1245:C1245"/>
    <mergeCell ref="D1245:E1245"/>
    <mergeCell ref="F1245:G1245"/>
    <mergeCell ref="H1245:I1245"/>
    <mergeCell ref="J1245:K1245"/>
    <mergeCell ref="L1245:M1245"/>
    <mergeCell ref="N1245:O1245"/>
    <mergeCell ref="P1245:Q1245"/>
    <mergeCell ref="AL1244:BB1244"/>
    <mergeCell ref="AD1244:AE1244"/>
    <mergeCell ref="AF1244:AG1244"/>
    <mergeCell ref="AH1244:AI1244"/>
    <mergeCell ref="AJ1244:AK1244"/>
    <mergeCell ref="R1244:S1244"/>
    <mergeCell ref="T1244:U1244"/>
    <mergeCell ref="V1244:W1244"/>
    <mergeCell ref="X1244:Y1244"/>
    <mergeCell ref="Z1244:AA1244"/>
    <mergeCell ref="AB1244:AC1244"/>
    <mergeCell ref="B1244:C1244"/>
    <mergeCell ref="D1244:E1244"/>
    <mergeCell ref="F1244:G1244"/>
    <mergeCell ref="H1244:I1244"/>
    <mergeCell ref="J1244:K1244"/>
    <mergeCell ref="L1244:M1244"/>
    <mergeCell ref="N1244:O1244"/>
    <mergeCell ref="P1244:Q1244"/>
    <mergeCell ref="AL1243:BB1243"/>
    <mergeCell ref="AD1243:AE1243"/>
    <mergeCell ref="AF1243:AG1243"/>
    <mergeCell ref="AH1243:AI1243"/>
    <mergeCell ref="AJ1243:AK1243"/>
    <mergeCell ref="R1243:S1243"/>
    <mergeCell ref="T1243:U1243"/>
    <mergeCell ref="V1243:W1243"/>
    <mergeCell ref="X1243:Y1243"/>
    <mergeCell ref="Z1243:AA1243"/>
    <mergeCell ref="AB1243:AC1243"/>
    <mergeCell ref="B1243:C1243"/>
    <mergeCell ref="D1243:E1243"/>
    <mergeCell ref="F1243:G1243"/>
    <mergeCell ref="H1243:I1243"/>
    <mergeCell ref="J1243:K1243"/>
    <mergeCell ref="L1243:M1243"/>
    <mergeCell ref="N1243:O1243"/>
    <mergeCell ref="P1243:Q1243"/>
    <mergeCell ref="AL1242:BB1242"/>
    <mergeCell ref="AD1242:AE1242"/>
    <mergeCell ref="AF1242:AG1242"/>
    <mergeCell ref="AH1242:AI1242"/>
    <mergeCell ref="AJ1242:AK1242"/>
    <mergeCell ref="R1242:S1242"/>
    <mergeCell ref="T1242:U1242"/>
    <mergeCell ref="V1242:W1242"/>
    <mergeCell ref="X1242:Y1242"/>
    <mergeCell ref="Z1242:AA1242"/>
    <mergeCell ref="AB1242:AC1242"/>
    <mergeCell ref="B1242:C1242"/>
    <mergeCell ref="D1242:E1242"/>
    <mergeCell ref="F1242:G1242"/>
    <mergeCell ref="H1242:I1242"/>
    <mergeCell ref="J1242:K1242"/>
    <mergeCell ref="L1242:M1242"/>
    <mergeCell ref="N1242:O1242"/>
    <mergeCell ref="P1242:Q1242"/>
    <mergeCell ref="AL1241:BB1241"/>
    <mergeCell ref="AD1241:AE1241"/>
    <mergeCell ref="AF1241:AG1241"/>
    <mergeCell ref="AH1241:AI1241"/>
    <mergeCell ref="AJ1241:AK1241"/>
    <mergeCell ref="R1241:S1241"/>
    <mergeCell ref="T1241:U1241"/>
    <mergeCell ref="V1241:W1241"/>
    <mergeCell ref="X1241:Y1241"/>
    <mergeCell ref="Z1241:AA1241"/>
    <mergeCell ref="AB1241:AC1241"/>
    <mergeCell ref="B1241:C1241"/>
    <mergeCell ref="D1241:E1241"/>
    <mergeCell ref="F1241:G1241"/>
    <mergeCell ref="H1241:I1241"/>
    <mergeCell ref="J1241:K1241"/>
    <mergeCell ref="L1241:M1241"/>
    <mergeCell ref="N1241:O1241"/>
    <mergeCell ref="P1241:Q1241"/>
    <mergeCell ref="AL1240:BB1240"/>
    <mergeCell ref="AD1240:AE1240"/>
    <mergeCell ref="AF1240:AG1240"/>
    <mergeCell ref="AH1240:AI1240"/>
    <mergeCell ref="AJ1240:AK1240"/>
    <mergeCell ref="R1240:S1240"/>
    <mergeCell ref="T1240:U1240"/>
    <mergeCell ref="V1240:W1240"/>
    <mergeCell ref="X1240:Y1240"/>
    <mergeCell ref="Z1240:AA1240"/>
    <mergeCell ref="AB1240:AC1240"/>
    <mergeCell ref="B1240:C1240"/>
    <mergeCell ref="D1240:E1240"/>
    <mergeCell ref="F1240:G1240"/>
    <mergeCell ref="H1240:I1240"/>
    <mergeCell ref="J1240:K1240"/>
    <mergeCell ref="L1240:M1240"/>
    <mergeCell ref="N1240:O1240"/>
    <mergeCell ref="P1240:Q1240"/>
    <mergeCell ref="AL1239:BB1239"/>
    <mergeCell ref="AD1239:AE1239"/>
    <mergeCell ref="AF1239:AG1239"/>
    <mergeCell ref="AH1239:AI1239"/>
    <mergeCell ref="AJ1239:AK1239"/>
    <mergeCell ref="R1239:S1239"/>
    <mergeCell ref="T1239:U1239"/>
    <mergeCell ref="V1239:W1239"/>
    <mergeCell ref="X1239:Y1239"/>
    <mergeCell ref="Z1239:AA1239"/>
    <mergeCell ref="AB1239:AC1239"/>
    <mergeCell ref="B1239:C1239"/>
    <mergeCell ref="D1239:E1239"/>
    <mergeCell ref="F1239:G1239"/>
    <mergeCell ref="H1239:I1239"/>
    <mergeCell ref="J1239:K1239"/>
    <mergeCell ref="L1239:M1239"/>
    <mergeCell ref="N1239:O1239"/>
    <mergeCell ref="P1239:Q1239"/>
    <mergeCell ref="AL1238:BB1238"/>
    <mergeCell ref="AD1238:AE1238"/>
    <mergeCell ref="AF1238:AG1238"/>
    <mergeCell ref="AH1238:AI1238"/>
    <mergeCell ref="AJ1238:AK1238"/>
    <mergeCell ref="R1238:S1238"/>
    <mergeCell ref="T1238:U1238"/>
    <mergeCell ref="V1238:W1238"/>
    <mergeCell ref="X1238:Y1238"/>
    <mergeCell ref="Z1238:AA1238"/>
    <mergeCell ref="AB1238:AC1238"/>
    <mergeCell ref="B1238:C1238"/>
    <mergeCell ref="D1238:E1238"/>
    <mergeCell ref="F1238:G1238"/>
    <mergeCell ref="H1238:I1238"/>
    <mergeCell ref="J1238:K1238"/>
    <mergeCell ref="L1238:M1238"/>
    <mergeCell ref="N1238:O1238"/>
    <mergeCell ref="P1238:Q1238"/>
    <mergeCell ref="AL1237:BB1237"/>
    <mergeCell ref="AD1237:AE1237"/>
    <mergeCell ref="AF1237:AG1237"/>
    <mergeCell ref="AH1237:AI1237"/>
    <mergeCell ref="AJ1237:AK1237"/>
    <mergeCell ref="R1237:S1237"/>
    <mergeCell ref="T1237:U1237"/>
    <mergeCell ref="V1237:W1237"/>
    <mergeCell ref="X1237:Y1237"/>
    <mergeCell ref="Z1237:AA1237"/>
    <mergeCell ref="AB1237:AC1237"/>
    <mergeCell ref="B1237:C1237"/>
    <mergeCell ref="D1237:E1237"/>
    <mergeCell ref="F1237:G1237"/>
    <mergeCell ref="H1237:I1237"/>
    <mergeCell ref="J1237:K1237"/>
    <mergeCell ref="L1237:M1237"/>
    <mergeCell ref="N1237:O1237"/>
    <mergeCell ref="P1237:Q1237"/>
    <mergeCell ref="AL1236:BB1236"/>
    <mergeCell ref="AD1236:AE1236"/>
    <mergeCell ref="AF1236:AG1236"/>
    <mergeCell ref="AH1236:AI1236"/>
    <mergeCell ref="AJ1236:AK1236"/>
    <mergeCell ref="R1236:S1236"/>
    <mergeCell ref="T1236:U1236"/>
    <mergeCell ref="V1236:W1236"/>
    <mergeCell ref="X1236:Y1236"/>
    <mergeCell ref="Z1236:AA1236"/>
    <mergeCell ref="AB1236:AC1236"/>
    <mergeCell ref="B1236:C1236"/>
    <mergeCell ref="D1236:E1236"/>
    <mergeCell ref="F1236:G1236"/>
    <mergeCell ref="H1236:I1236"/>
    <mergeCell ref="J1236:K1236"/>
    <mergeCell ref="L1236:M1236"/>
    <mergeCell ref="N1236:O1236"/>
    <mergeCell ref="P1236:Q1236"/>
    <mergeCell ref="AL1235:BB1235"/>
    <mergeCell ref="AD1235:AE1235"/>
    <mergeCell ref="AF1235:AG1235"/>
    <mergeCell ref="AH1235:AI1235"/>
    <mergeCell ref="AJ1235:AK1235"/>
    <mergeCell ref="R1235:S1235"/>
    <mergeCell ref="T1235:U1235"/>
    <mergeCell ref="V1235:W1235"/>
    <mergeCell ref="X1235:Y1235"/>
    <mergeCell ref="Z1235:AA1235"/>
    <mergeCell ref="AB1235:AC1235"/>
    <mergeCell ref="B1235:C1235"/>
    <mergeCell ref="D1235:E1235"/>
    <mergeCell ref="F1235:G1235"/>
    <mergeCell ref="H1235:I1235"/>
    <mergeCell ref="J1235:K1235"/>
    <mergeCell ref="L1235:M1235"/>
    <mergeCell ref="N1235:O1235"/>
    <mergeCell ref="P1235:Q1235"/>
    <mergeCell ref="AL1234:BB1234"/>
    <mergeCell ref="AD1234:AE1234"/>
    <mergeCell ref="AF1234:AG1234"/>
    <mergeCell ref="AH1234:AI1234"/>
    <mergeCell ref="AJ1234:AK1234"/>
    <mergeCell ref="R1234:S1234"/>
    <mergeCell ref="T1234:U1234"/>
    <mergeCell ref="V1234:W1234"/>
    <mergeCell ref="X1234:Y1234"/>
    <mergeCell ref="Z1234:AA1234"/>
    <mergeCell ref="AB1234:AC1234"/>
    <mergeCell ref="B1234:C1234"/>
    <mergeCell ref="D1234:E1234"/>
    <mergeCell ref="F1234:G1234"/>
    <mergeCell ref="H1234:I1234"/>
    <mergeCell ref="J1234:K1234"/>
    <mergeCell ref="L1234:M1234"/>
    <mergeCell ref="N1234:O1234"/>
    <mergeCell ref="P1234:Q1234"/>
    <mergeCell ref="AL1233:BB1233"/>
    <mergeCell ref="AD1233:AE1233"/>
    <mergeCell ref="AF1233:AG1233"/>
    <mergeCell ref="AH1233:AI1233"/>
    <mergeCell ref="AJ1233:AK1233"/>
    <mergeCell ref="R1233:S1233"/>
    <mergeCell ref="T1233:U1233"/>
    <mergeCell ref="V1233:W1233"/>
    <mergeCell ref="X1233:Y1233"/>
    <mergeCell ref="Z1233:AA1233"/>
    <mergeCell ref="AB1233:AC1233"/>
    <mergeCell ref="B1233:C1233"/>
    <mergeCell ref="D1233:E1233"/>
    <mergeCell ref="F1233:G1233"/>
    <mergeCell ref="H1233:I1233"/>
    <mergeCell ref="J1233:K1233"/>
    <mergeCell ref="L1233:M1233"/>
    <mergeCell ref="N1233:O1233"/>
    <mergeCell ref="P1233:Q1233"/>
    <mergeCell ref="AL1232:BB1232"/>
    <mergeCell ref="AD1232:AE1232"/>
    <mergeCell ref="AF1232:AG1232"/>
    <mergeCell ref="AH1232:AI1232"/>
    <mergeCell ref="AJ1232:AK1232"/>
    <mergeCell ref="R1232:S1232"/>
    <mergeCell ref="T1232:U1232"/>
    <mergeCell ref="V1232:W1232"/>
    <mergeCell ref="X1232:Y1232"/>
    <mergeCell ref="Z1232:AA1232"/>
    <mergeCell ref="AB1232:AC1232"/>
    <mergeCell ref="B1232:C1232"/>
    <mergeCell ref="D1232:E1232"/>
    <mergeCell ref="F1232:G1232"/>
    <mergeCell ref="H1232:I1232"/>
    <mergeCell ref="J1232:K1232"/>
    <mergeCell ref="L1232:M1232"/>
    <mergeCell ref="N1232:O1232"/>
    <mergeCell ref="P1232:Q1232"/>
    <mergeCell ref="AL1231:BB1231"/>
    <mergeCell ref="AD1231:AE1231"/>
    <mergeCell ref="AF1231:AG1231"/>
    <mergeCell ref="AH1231:AI1231"/>
    <mergeCell ref="AJ1231:AK1231"/>
    <mergeCell ref="R1231:S1231"/>
    <mergeCell ref="T1231:U1231"/>
    <mergeCell ref="V1231:W1231"/>
    <mergeCell ref="X1231:Y1231"/>
    <mergeCell ref="Z1231:AA1231"/>
    <mergeCell ref="AB1231:AC1231"/>
    <mergeCell ref="B1231:C1231"/>
    <mergeCell ref="D1231:E1231"/>
    <mergeCell ref="F1231:G1231"/>
    <mergeCell ref="H1231:I1231"/>
    <mergeCell ref="J1231:K1231"/>
    <mergeCell ref="L1231:M1231"/>
    <mergeCell ref="N1231:O1231"/>
    <mergeCell ref="P1231:Q1231"/>
    <mergeCell ref="AL1230:BB1230"/>
    <mergeCell ref="AD1230:AE1230"/>
    <mergeCell ref="AF1230:AG1230"/>
    <mergeCell ref="AH1230:AI1230"/>
    <mergeCell ref="AJ1230:AK1230"/>
    <mergeCell ref="R1230:S1230"/>
    <mergeCell ref="T1230:U1230"/>
    <mergeCell ref="V1230:W1230"/>
    <mergeCell ref="X1230:Y1230"/>
    <mergeCell ref="Z1230:AA1230"/>
    <mergeCell ref="AB1230:AC1230"/>
    <mergeCell ref="B1230:C1230"/>
    <mergeCell ref="D1230:E1230"/>
    <mergeCell ref="F1230:G1230"/>
    <mergeCell ref="H1230:I1230"/>
    <mergeCell ref="J1230:K1230"/>
    <mergeCell ref="L1230:M1230"/>
    <mergeCell ref="N1230:O1230"/>
    <mergeCell ref="P1230:Q1230"/>
    <mergeCell ref="AL1229:BB1229"/>
    <mergeCell ref="AD1229:AE1229"/>
    <mergeCell ref="AF1229:AG1229"/>
    <mergeCell ref="AH1229:AI1229"/>
    <mergeCell ref="AJ1229:AK1229"/>
    <mergeCell ref="R1229:S1229"/>
    <mergeCell ref="T1229:U1229"/>
    <mergeCell ref="V1229:W1229"/>
    <mergeCell ref="X1229:Y1229"/>
    <mergeCell ref="Z1229:AA1229"/>
    <mergeCell ref="AB1229:AC1229"/>
    <mergeCell ref="B1229:C1229"/>
    <mergeCell ref="D1229:E1229"/>
    <mergeCell ref="F1229:G1229"/>
    <mergeCell ref="H1229:I1229"/>
    <mergeCell ref="J1229:K1229"/>
    <mergeCell ref="L1229:M1229"/>
    <mergeCell ref="N1229:O1229"/>
    <mergeCell ref="P1229:Q1229"/>
    <mergeCell ref="AL1228:BB1228"/>
    <mergeCell ref="AD1228:AE1228"/>
    <mergeCell ref="AF1228:AG1228"/>
    <mergeCell ref="AH1228:AI1228"/>
    <mergeCell ref="AJ1228:AK1228"/>
    <mergeCell ref="R1228:S1228"/>
    <mergeCell ref="T1228:U1228"/>
    <mergeCell ref="V1228:W1228"/>
    <mergeCell ref="X1228:Y1228"/>
    <mergeCell ref="Z1228:AA1228"/>
    <mergeCell ref="AB1228:AC1228"/>
    <mergeCell ref="B1228:C1228"/>
    <mergeCell ref="D1228:E1228"/>
    <mergeCell ref="F1228:G1228"/>
    <mergeCell ref="H1228:I1228"/>
    <mergeCell ref="J1228:K1228"/>
    <mergeCell ref="L1228:M1228"/>
    <mergeCell ref="N1228:O1228"/>
    <mergeCell ref="P1228:Q1228"/>
    <mergeCell ref="AL1227:BB1227"/>
    <mergeCell ref="AD1227:AE1227"/>
    <mergeCell ref="AF1227:AG1227"/>
    <mergeCell ref="AH1227:AI1227"/>
    <mergeCell ref="AJ1227:AK1227"/>
    <mergeCell ref="R1227:S1227"/>
    <mergeCell ref="T1227:U1227"/>
    <mergeCell ref="V1227:W1227"/>
    <mergeCell ref="X1227:Y1227"/>
    <mergeCell ref="Z1227:AA1227"/>
    <mergeCell ref="AB1227:AC1227"/>
    <mergeCell ref="B1227:C1227"/>
    <mergeCell ref="D1227:E1227"/>
    <mergeCell ref="F1227:G1227"/>
    <mergeCell ref="H1227:I1227"/>
    <mergeCell ref="J1227:K1227"/>
    <mergeCell ref="L1227:M1227"/>
    <mergeCell ref="N1227:O1227"/>
    <mergeCell ref="P1227:Q1227"/>
    <mergeCell ref="AL1226:BB1226"/>
    <mergeCell ref="Z1226:AA1226"/>
    <mergeCell ref="AB1226:AC1226"/>
    <mergeCell ref="AD1226:AE1226"/>
    <mergeCell ref="AF1226:AG1226"/>
    <mergeCell ref="AH1226:AI1226"/>
    <mergeCell ref="AJ1226:AK1226"/>
    <mergeCell ref="N1226:O1226"/>
    <mergeCell ref="P1226:Q1226"/>
    <mergeCell ref="R1226:S1226"/>
    <mergeCell ref="T1226:U1226"/>
    <mergeCell ref="V1226:W1226"/>
    <mergeCell ref="X1226:Y1226"/>
    <mergeCell ref="B1226:C1226"/>
    <mergeCell ref="D1226:E1226"/>
    <mergeCell ref="F1226:G1226"/>
    <mergeCell ref="H1226:I1226"/>
    <mergeCell ref="J1226:K1226"/>
    <mergeCell ref="L1226:M1226"/>
    <mergeCell ref="AL1225:BB1225"/>
    <mergeCell ref="AD1225:AE1225"/>
    <mergeCell ref="AF1225:AG1225"/>
    <mergeCell ref="AH1225:AI1225"/>
    <mergeCell ref="AJ1225:AK1225"/>
    <mergeCell ref="R1225:S1225"/>
    <mergeCell ref="T1225:U1225"/>
    <mergeCell ref="V1225:W1225"/>
    <mergeCell ref="X1225:Y1225"/>
    <mergeCell ref="Z1225:AA1225"/>
    <mergeCell ref="AB1225:AC1225"/>
    <mergeCell ref="B1225:C1225"/>
    <mergeCell ref="D1225:E1225"/>
    <mergeCell ref="F1225:G1225"/>
    <mergeCell ref="H1225:I1225"/>
    <mergeCell ref="J1225:K1225"/>
    <mergeCell ref="L1225:M1225"/>
    <mergeCell ref="N1225:O1225"/>
    <mergeCell ref="P1225:Q1225"/>
    <mergeCell ref="AL1224:BB1224"/>
    <mergeCell ref="Z1224:AA1224"/>
    <mergeCell ref="AB1224:AC1224"/>
    <mergeCell ref="AD1224:AE1224"/>
    <mergeCell ref="AF1224:AG1224"/>
    <mergeCell ref="AH1224:AI1224"/>
    <mergeCell ref="AJ1224:AK1224"/>
    <mergeCell ref="N1224:O1224"/>
    <mergeCell ref="P1224:Q1224"/>
    <mergeCell ref="R1224:S1224"/>
    <mergeCell ref="T1224:U1224"/>
    <mergeCell ref="V1224:W1224"/>
    <mergeCell ref="X1224:Y1224"/>
    <mergeCell ref="B1224:C1224"/>
    <mergeCell ref="D1224:E1224"/>
    <mergeCell ref="F1224:G1224"/>
    <mergeCell ref="H1224:I1224"/>
    <mergeCell ref="J1224:K1224"/>
    <mergeCell ref="L1224:M1224"/>
    <mergeCell ref="AL1223:BB1223"/>
    <mergeCell ref="AD1223:AE1223"/>
    <mergeCell ref="AF1223:AG1223"/>
    <mergeCell ref="AH1223:AI1223"/>
    <mergeCell ref="AJ1223:AK1223"/>
    <mergeCell ref="R1223:S1223"/>
    <mergeCell ref="T1223:U1223"/>
    <mergeCell ref="V1223:W1223"/>
    <mergeCell ref="X1223:Y1223"/>
    <mergeCell ref="Z1223:AA1223"/>
    <mergeCell ref="AB1223:AC1223"/>
    <mergeCell ref="B1223:C1223"/>
    <mergeCell ref="D1223:E1223"/>
    <mergeCell ref="F1223:G1223"/>
    <mergeCell ref="H1223:I1223"/>
    <mergeCell ref="J1223:K1223"/>
    <mergeCell ref="L1223:M1223"/>
    <mergeCell ref="N1223:O1223"/>
    <mergeCell ref="P1223:Q1223"/>
    <mergeCell ref="AL1222:BB1222"/>
    <mergeCell ref="Z1222:AA1222"/>
    <mergeCell ref="AB1222:AC1222"/>
    <mergeCell ref="AD1222:AE1222"/>
    <mergeCell ref="AF1222:AG1222"/>
    <mergeCell ref="AH1222:AI1222"/>
    <mergeCell ref="AJ1222:AK1222"/>
    <mergeCell ref="N1222:O1222"/>
    <mergeCell ref="P1222:Q1222"/>
    <mergeCell ref="R1222:S1222"/>
    <mergeCell ref="T1222:U1222"/>
    <mergeCell ref="V1222:W1222"/>
    <mergeCell ref="X1222:Y1222"/>
    <mergeCell ref="B1222:C1222"/>
    <mergeCell ref="D1222:E1222"/>
    <mergeCell ref="F1222:G1222"/>
    <mergeCell ref="H1222:I1222"/>
    <mergeCell ref="J1222:K1222"/>
    <mergeCell ref="L1222:M1222"/>
    <mergeCell ref="AL1221:BB1221"/>
    <mergeCell ref="AD1221:AE1221"/>
    <mergeCell ref="AF1221:AG1221"/>
    <mergeCell ref="AH1221:AI1221"/>
    <mergeCell ref="AJ1221:AK1221"/>
    <mergeCell ref="R1221:S1221"/>
    <mergeCell ref="T1221:U1221"/>
    <mergeCell ref="V1221:W1221"/>
    <mergeCell ref="X1221:Y1221"/>
    <mergeCell ref="Z1221:AA1221"/>
    <mergeCell ref="AB1221:AC1221"/>
    <mergeCell ref="B1221:C1221"/>
    <mergeCell ref="D1221:E1221"/>
    <mergeCell ref="F1221:G1221"/>
    <mergeCell ref="H1221:I1221"/>
    <mergeCell ref="J1221:K1221"/>
    <mergeCell ref="L1221:M1221"/>
    <mergeCell ref="N1221:O1221"/>
    <mergeCell ref="P1221:Q1221"/>
    <mergeCell ref="AL1220:BB1220"/>
    <mergeCell ref="Z1220:AA1220"/>
    <mergeCell ref="AB1220:AC1220"/>
    <mergeCell ref="AD1220:AE1220"/>
    <mergeCell ref="AF1220:AG1220"/>
    <mergeCell ref="AH1220:AI1220"/>
    <mergeCell ref="AJ1220:AK1220"/>
    <mergeCell ref="N1220:O1220"/>
    <mergeCell ref="P1220:Q1220"/>
    <mergeCell ref="R1220:S1220"/>
    <mergeCell ref="T1220:U1220"/>
    <mergeCell ref="V1220:W1220"/>
    <mergeCell ref="X1220:Y1220"/>
    <mergeCell ref="B1220:C1220"/>
    <mergeCell ref="D1220:E1220"/>
    <mergeCell ref="F1220:G1220"/>
    <mergeCell ref="H1220:I1220"/>
    <mergeCell ref="J1220:K1220"/>
    <mergeCell ref="L1220:M1220"/>
    <mergeCell ref="AL1219:BB1219"/>
    <mergeCell ref="AD1219:AE1219"/>
    <mergeCell ref="AF1219:AG1219"/>
    <mergeCell ref="AH1219:AI1219"/>
    <mergeCell ref="AJ1219:AK1219"/>
    <mergeCell ref="R1219:S1219"/>
    <mergeCell ref="T1219:U1219"/>
    <mergeCell ref="V1219:W1219"/>
    <mergeCell ref="X1219:Y1219"/>
    <mergeCell ref="Z1219:AA1219"/>
    <mergeCell ref="AB1219:AC1219"/>
    <mergeCell ref="B1219:C1219"/>
    <mergeCell ref="D1219:E1219"/>
    <mergeCell ref="F1219:G1219"/>
    <mergeCell ref="H1219:I1219"/>
    <mergeCell ref="J1219:K1219"/>
    <mergeCell ref="L1219:M1219"/>
    <mergeCell ref="N1219:O1219"/>
    <mergeCell ref="P1219:Q1219"/>
    <mergeCell ref="AL1218:BB1218"/>
    <mergeCell ref="Z1218:AA1218"/>
    <mergeCell ref="AB1218:AC1218"/>
    <mergeCell ref="AD1218:AE1218"/>
    <mergeCell ref="AF1218:AG1218"/>
    <mergeCell ref="AH1218:AI1218"/>
    <mergeCell ref="AJ1218:AK1218"/>
    <mergeCell ref="N1218:O1218"/>
    <mergeCell ref="P1218:Q1218"/>
    <mergeCell ref="R1218:S1218"/>
    <mergeCell ref="T1218:U1218"/>
    <mergeCell ref="V1218:W1218"/>
    <mergeCell ref="X1218:Y1218"/>
    <mergeCell ref="B1218:C1218"/>
    <mergeCell ref="D1218:E1218"/>
    <mergeCell ref="F1218:G1218"/>
    <mergeCell ref="H1218:I1218"/>
    <mergeCell ref="J1218:K1218"/>
    <mergeCell ref="L1218:M1218"/>
    <mergeCell ref="AL1217:BB1217"/>
    <mergeCell ref="Z1217:AA1217"/>
    <mergeCell ref="AB1217:AC1217"/>
    <mergeCell ref="AD1217:AE1217"/>
    <mergeCell ref="AF1217:AG1217"/>
    <mergeCell ref="AH1217:AI1217"/>
    <mergeCell ref="AJ1217:AK1217"/>
    <mergeCell ref="N1217:O1217"/>
    <mergeCell ref="P1217:Q1217"/>
    <mergeCell ref="R1217:S1217"/>
    <mergeCell ref="T1217:U1217"/>
    <mergeCell ref="V1217:W1217"/>
    <mergeCell ref="X1217:Y1217"/>
    <mergeCell ref="B1217:C1217"/>
    <mergeCell ref="D1217:E1217"/>
    <mergeCell ref="F1217:G1217"/>
    <mergeCell ref="H1217:I1217"/>
    <mergeCell ref="J1217:K1217"/>
    <mergeCell ref="L1217:M1217"/>
    <mergeCell ref="AL1216:BB1216"/>
    <mergeCell ref="Z1216:AA1216"/>
    <mergeCell ref="AB1216:AC1216"/>
    <mergeCell ref="AD1216:AE1216"/>
    <mergeCell ref="AF1216:AG1216"/>
    <mergeCell ref="AH1216:AI1216"/>
    <mergeCell ref="AJ1216:AK1216"/>
    <mergeCell ref="N1216:O1216"/>
    <mergeCell ref="P1216:Q1216"/>
    <mergeCell ref="R1216:S1216"/>
    <mergeCell ref="T1216:U1216"/>
    <mergeCell ref="V1216:W1216"/>
    <mergeCell ref="X1216:Y1216"/>
    <mergeCell ref="B1216:C1216"/>
    <mergeCell ref="D1216:E1216"/>
    <mergeCell ref="F1216:G1216"/>
    <mergeCell ref="H1216:I1216"/>
    <mergeCell ref="J1216:K1216"/>
    <mergeCell ref="L1216:M1216"/>
    <mergeCell ref="AL1215:BB1215"/>
    <mergeCell ref="AD1215:AE1215"/>
    <mergeCell ref="AF1215:AG1215"/>
    <mergeCell ref="AH1215:AI1215"/>
    <mergeCell ref="AJ1215:AK1215"/>
    <mergeCell ref="R1215:S1215"/>
    <mergeCell ref="T1215:U1215"/>
    <mergeCell ref="V1215:W1215"/>
    <mergeCell ref="X1215:Y1215"/>
    <mergeCell ref="Z1215:AA1215"/>
    <mergeCell ref="AB1215:AC1215"/>
    <mergeCell ref="B1215:C1215"/>
    <mergeCell ref="D1215:E1215"/>
    <mergeCell ref="F1215:G1215"/>
    <mergeCell ref="H1215:I1215"/>
    <mergeCell ref="J1215:K1215"/>
    <mergeCell ref="L1215:M1215"/>
    <mergeCell ref="N1215:O1215"/>
    <mergeCell ref="P1215:Q1215"/>
    <mergeCell ref="AL1214:BB1214"/>
    <mergeCell ref="AD1214:AE1214"/>
    <mergeCell ref="AF1214:AG1214"/>
    <mergeCell ref="AH1214:AI1214"/>
    <mergeCell ref="AJ1214:AK1214"/>
    <mergeCell ref="R1214:S1214"/>
    <mergeCell ref="T1214:U1214"/>
    <mergeCell ref="V1214:W1214"/>
    <mergeCell ref="X1214:Y1214"/>
    <mergeCell ref="Z1214:AA1214"/>
    <mergeCell ref="AB1214:AC1214"/>
    <mergeCell ref="B1214:C1214"/>
    <mergeCell ref="D1214:E1214"/>
    <mergeCell ref="F1214:G1214"/>
    <mergeCell ref="H1214:I1214"/>
    <mergeCell ref="J1214:K1214"/>
    <mergeCell ref="L1214:M1214"/>
    <mergeCell ref="N1214:O1214"/>
    <mergeCell ref="P1214:Q1214"/>
    <mergeCell ref="AL1213:BB1213"/>
    <mergeCell ref="AD1213:AE1213"/>
    <mergeCell ref="AF1213:AG1213"/>
    <mergeCell ref="AH1213:AI1213"/>
    <mergeCell ref="AJ1213:AK1213"/>
    <mergeCell ref="R1213:S1213"/>
    <mergeCell ref="T1213:U1213"/>
    <mergeCell ref="V1213:W1213"/>
    <mergeCell ref="X1213:Y1213"/>
    <mergeCell ref="Z1213:AA1213"/>
    <mergeCell ref="AB1213:AC1213"/>
    <mergeCell ref="B1213:C1213"/>
    <mergeCell ref="D1213:E1213"/>
    <mergeCell ref="F1213:G1213"/>
    <mergeCell ref="H1213:I1213"/>
    <mergeCell ref="J1213:K1213"/>
    <mergeCell ref="L1213:M1213"/>
    <mergeCell ref="N1213:O1213"/>
    <mergeCell ref="P1213:Q1213"/>
    <mergeCell ref="AL1212:BB1212"/>
    <mergeCell ref="AD1212:AE1212"/>
    <mergeCell ref="AF1212:AG1212"/>
    <mergeCell ref="AH1212:AI1212"/>
    <mergeCell ref="AJ1212:AK1212"/>
    <mergeCell ref="R1212:S1212"/>
    <mergeCell ref="T1212:U1212"/>
    <mergeCell ref="V1212:W1212"/>
    <mergeCell ref="X1212:Y1212"/>
    <mergeCell ref="Z1212:AA1212"/>
    <mergeCell ref="AB1212:AC1212"/>
    <mergeCell ref="B1212:C1212"/>
    <mergeCell ref="D1212:E1212"/>
    <mergeCell ref="F1212:G1212"/>
    <mergeCell ref="H1212:I1212"/>
    <mergeCell ref="J1212:K1212"/>
    <mergeCell ref="L1212:M1212"/>
    <mergeCell ref="N1212:O1212"/>
    <mergeCell ref="P1212:Q1212"/>
    <mergeCell ref="AL1211:BB1211"/>
    <mergeCell ref="AD1211:AE1211"/>
    <mergeCell ref="AF1211:AG1211"/>
    <mergeCell ref="AH1211:AI1211"/>
    <mergeCell ref="AJ1211:AK1211"/>
    <mergeCell ref="R1211:S1211"/>
    <mergeCell ref="T1211:U1211"/>
    <mergeCell ref="V1211:W1211"/>
    <mergeCell ref="X1211:Y1211"/>
    <mergeCell ref="Z1211:AA1211"/>
    <mergeCell ref="AB1211:AC1211"/>
    <mergeCell ref="B1211:C1211"/>
    <mergeCell ref="D1211:E1211"/>
    <mergeCell ref="F1211:G1211"/>
    <mergeCell ref="H1211:I1211"/>
    <mergeCell ref="J1211:K1211"/>
    <mergeCell ref="L1211:M1211"/>
    <mergeCell ref="N1211:O1211"/>
    <mergeCell ref="P1211:Q1211"/>
    <mergeCell ref="AL1210:BB1210"/>
    <mergeCell ref="AD1210:AE1210"/>
    <mergeCell ref="AF1210:AG1210"/>
    <mergeCell ref="AH1210:AI1210"/>
    <mergeCell ref="AJ1210:AK1210"/>
    <mergeCell ref="R1210:S1210"/>
    <mergeCell ref="T1210:U1210"/>
    <mergeCell ref="V1210:W1210"/>
    <mergeCell ref="X1210:Y1210"/>
    <mergeCell ref="Z1210:AA1210"/>
    <mergeCell ref="AB1210:AC1210"/>
    <mergeCell ref="B1210:C1210"/>
    <mergeCell ref="D1210:E1210"/>
    <mergeCell ref="F1210:G1210"/>
    <mergeCell ref="H1210:I1210"/>
    <mergeCell ref="J1210:K1210"/>
    <mergeCell ref="L1210:M1210"/>
    <mergeCell ref="N1210:O1210"/>
    <mergeCell ref="P1210:Q1210"/>
    <mergeCell ref="AL1209:BB1209"/>
    <mergeCell ref="AD1209:AE1209"/>
    <mergeCell ref="AF1209:AG1209"/>
    <mergeCell ref="AH1209:AI1209"/>
    <mergeCell ref="AJ1209:AK1209"/>
    <mergeCell ref="R1209:S1209"/>
    <mergeCell ref="T1209:U1209"/>
    <mergeCell ref="V1209:W1209"/>
    <mergeCell ref="X1209:Y1209"/>
    <mergeCell ref="Z1209:AA1209"/>
    <mergeCell ref="AB1209:AC1209"/>
    <mergeCell ref="B1209:C1209"/>
    <mergeCell ref="D1209:E1209"/>
    <mergeCell ref="F1209:G1209"/>
    <mergeCell ref="H1209:I1209"/>
    <mergeCell ref="J1209:K1209"/>
    <mergeCell ref="L1209:M1209"/>
    <mergeCell ref="N1209:O1209"/>
    <mergeCell ref="P1209:Q1209"/>
    <mergeCell ref="AL1208:BB1208"/>
    <mergeCell ref="AD1208:AE1208"/>
    <mergeCell ref="AF1208:AG1208"/>
    <mergeCell ref="AH1208:AI1208"/>
    <mergeCell ref="AJ1208:AK1208"/>
    <mergeCell ref="R1208:S1208"/>
    <mergeCell ref="T1208:U1208"/>
    <mergeCell ref="V1208:W1208"/>
    <mergeCell ref="X1208:Y1208"/>
    <mergeCell ref="Z1208:AA1208"/>
    <mergeCell ref="AB1208:AC1208"/>
    <mergeCell ref="B1208:C1208"/>
    <mergeCell ref="D1208:E1208"/>
    <mergeCell ref="F1208:G1208"/>
    <mergeCell ref="H1208:I1208"/>
    <mergeCell ref="J1208:K1208"/>
    <mergeCell ref="L1208:M1208"/>
    <mergeCell ref="N1208:O1208"/>
    <mergeCell ref="P1208:Q1208"/>
    <mergeCell ref="AL1207:BB1207"/>
    <mergeCell ref="AD1207:AE1207"/>
    <mergeCell ref="AF1207:AG1207"/>
    <mergeCell ref="AH1207:AI1207"/>
    <mergeCell ref="AJ1207:AK1207"/>
    <mergeCell ref="R1207:S1207"/>
    <mergeCell ref="T1207:U1207"/>
    <mergeCell ref="V1207:W1207"/>
    <mergeCell ref="X1207:Y1207"/>
    <mergeCell ref="Z1207:AA1207"/>
    <mergeCell ref="AB1207:AC1207"/>
    <mergeCell ref="B1207:C1207"/>
    <mergeCell ref="D1207:E1207"/>
    <mergeCell ref="F1207:G1207"/>
    <mergeCell ref="H1207:I1207"/>
    <mergeCell ref="J1207:K1207"/>
    <mergeCell ref="L1207:M1207"/>
    <mergeCell ref="N1207:O1207"/>
    <mergeCell ref="P1207:Q1207"/>
    <mergeCell ref="AL1206:BB1206"/>
    <mergeCell ref="AD1206:AE1206"/>
    <mergeCell ref="AF1206:AG1206"/>
    <mergeCell ref="AH1206:AI1206"/>
    <mergeCell ref="AJ1206:AK1206"/>
    <mergeCell ref="R1206:S1206"/>
    <mergeCell ref="T1206:U1206"/>
    <mergeCell ref="V1206:W1206"/>
    <mergeCell ref="X1206:Y1206"/>
    <mergeCell ref="Z1206:AA1206"/>
    <mergeCell ref="AB1206:AC1206"/>
    <mergeCell ref="B1206:C1206"/>
    <mergeCell ref="D1206:E1206"/>
    <mergeCell ref="F1206:G1206"/>
    <mergeCell ref="H1206:I1206"/>
    <mergeCell ref="J1206:K1206"/>
    <mergeCell ref="L1206:M1206"/>
    <mergeCell ref="N1206:O1206"/>
    <mergeCell ref="P1206:Q1206"/>
    <mergeCell ref="AL1205:BB1205"/>
    <mergeCell ref="AD1205:AE1205"/>
    <mergeCell ref="AF1205:AG1205"/>
    <mergeCell ref="AH1205:AI1205"/>
    <mergeCell ref="AJ1205:AK1205"/>
    <mergeCell ref="R1205:S1205"/>
    <mergeCell ref="T1205:U1205"/>
    <mergeCell ref="V1205:W1205"/>
    <mergeCell ref="X1205:Y1205"/>
    <mergeCell ref="Z1205:AA1205"/>
    <mergeCell ref="AB1205:AC1205"/>
    <mergeCell ref="B1205:C1205"/>
    <mergeCell ref="D1205:E1205"/>
    <mergeCell ref="F1205:G1205"/>
    <mergeCell ref="H1205:I1205"/>
    <mergeCell ref="J1205:K1205"/>
    <mergeCell ref="L1205:M1205"/>
    <mergeCell ref="N1205:O1205"/>
    <mergeCell ref="P1205:Q1205"/>
    <mergeCell ref="AL1204:BB1204"/>
    <mergeCell ref="AD1204:AE1204"/>
    <mergeCell ref="AF1204:AG1204"/>
    <mergeCell ref="AH1204:AI1204"/>
    <mergeCell ref="AJ1204:AK1204"/>
    <mergeCell ref="R1204:S1204"/>
    <mergeCell ref="T1204:U1204"/>
    <mergeCell ref="V1204:W1204"/>
    <mergeCell ref="X1204:Y1204"/>
    <mergeCell ref="Z1204:AA1204"/>
    <mergeCell ref="AB1204:AC1204"/>
    <mergeCell ref="B1204:C1204"/>
    <mergeCell ref="D1204:E1204"/>
    <mergeCell ref="F1204:G1204"/>
    <mergeCell ref="H1204:I1204"/>
    <mergeCell ref="J1204:K1204"/>
    <mergeCell ref="L1204:M1204"/>
    <mergeCell ref="N1204:O1204"/>
    <mergeCell ref="P1204:Q1204"/>
    <mergeCell ref="AL1203:BB1203"/>
    <mergeCell ref="AD1203:AE1203"/>
    <mergeCell ref="AF1203:AG1203"/>
    <mergeCell ref="AH1203:AI1203"/>
    <mergeCell ref="AJ1203:AK1203"/>
    <mergeCell ref="R1203:S1203"/>
    <mergeCell ref="T1203:U1203"/>
    <mergeCell ref="V1203:W1203"/>
    <mergeCell ref="X1203:Y1203"/>
    <mergeCell ref="Z1203:AA1203"/>
    <mergeCell ref="AB1203:AC1203"/>
    <mergeCell ref="B1203:C1203"/>
    <mergeCell ref="D1203:E1203"/>
    <mergeCell ref="F1203:G1203"/>
    <mergeCell ref="H1203:I1203"/>
    <mergeCell ref="J1203:K1203"/>
    <mergeCell ref="L1203:M1203"/>
    <mergeCell ref="N1203:O1203"/>
    <mergeCell ref="P1203:Q1203"/>
    <mergeCell ref="AL1202:BB1202"/>
    <mergeCell ref="AD1202:AE1202"/>
    <mergeCell ref="AF1202:AG1202"/>
    <mergeCell ref="AH1202:AI1202"/>
    <mergeCell ref="AJ1202:AK1202"/>
    <mergeCell ref="R1202:S1202"/>
    <mergeCell ref="T1202:U1202"/>
    <mergeCell ref="V1202:W1202"/>
    <mergeCell ref="X1202:Y1202"/>
    <mergeCell ref="Z1202:AA1202"/>
    <mergeCell ref="AB1202:AC1202"/>
    <mergeCell ref="B1202:C1202"/>
    <mergeCell ref="D1202:E1202"/>
    <mergeCell ref="F1202:G1202"/>
    <mergeCell ref="H1202:I1202"/>
    <mergeCell ref="J1202:K1202"/>
    <mergeCell ref="L1202:M1202"/>
    <mergeCell ref="N1202:O1202"/>
    <mergeCell ref="P1202:Q1202"/>
    <mergeCell ref="AL1201:BB1201"/>
    <mergeCell ref="AD1201:AE1201"/>
    <mergeCell ref="AF1201:AG1201"/>
    <mergeCell ref="AH1201:AI1201"/>
    <mergeCell ref="AJ1201:AK1201"/>
    <mergeCell ref="R1201:S1201"/>
    <mergeCell ref="T1201:U1201"/>
    <mergeCell ref="V1201:W1201"/>
    <mergeCell ref="X1201:Y1201"/>
    <mergeCell ref="Z1201:AA1201"/>
    <mergeCell ref="AB1201:AC1201"/>
    <mergeCell ref="B1201:C1201"/>
    <mergeCell ref="D1201:E1201"/>
    <mergeCell ref="F1201:G1201"/>
    <mergeCell ref="H1201:I1201"/>
    <mergeCell ref="J1201:K1201"/>
    <mergeCell ref="L1201:M1201"/>
    <mergeCell ref="N1201:O1201"/>
    <mergeCell ref="P1201:Q1201"/>
    <mergeCell ref="AL1200:BB1200"/>
    <mergeCell ref="AD1200:AE1200"/>
    <mergeCell ref="AF1200:AG1200"/>
    <mergeCell ref="AH1200:AI1200"/>
    <mergeCell ref="AJ1200:AK1200"/>
    <mergeCell ref="R1200:S1200"/>
    <mergeCell ref="T1200:U1200"/>
    <mergeCell ref="V1200:W1200"/>
    <mergeCell ref="X1200:Y1200"/>
    <mergeCell ref="Z1200:AA1200"/>
    <mergeCell ref="AB1200:AC1200"/>
    <mergeCell ref="B1200:C1200"/>
    <mergeCell ref="D1200:E1200"/>
    <mergeCell ref="F1200:G1200"/>
    <mergeCell ref="H1200:I1200"/>
    <mergeCell ref="J1200:K1200"/>
    <mergeCell ref="L1200:M1200"/>
    <mergeCell ref="N1200:O1200"/>
    <mergeCell ref="P1200:Q1200"/>
    <mergeCell ref="AL1199:BB1199"/>
    <mergeCell ref="AD1199:AE1199"/>
    <mergeCell ref="AF1199:AG1199"/>
    <mergeCell ref="AH1199:AI1199"/>
    <mergeCell ref="AJ1199:AK1199"/>
    <mergeCell ref="R1199:S1199"/>
    <mergeCell ref="T1199:U1199"/>
    <mergeCell ref="V1199:W1199"/>
    <mergeCell ref="X1199:Y1199"/>
    <mergeCell ref="Z1199:AA1199"/>
    <mergeCell ref="AB1199:AC1199"/>
    <mergeCell ref="B1199:C1199"/>
    <mergeCell ref="D1199:E1199"/>
    <mergeCell ref="F1199:G1199"/>
    <mergeCell ref="H1199:I1199"/>
    <mergeCell ref="J1199:K1199"/>
    <mergeCell ref="L1199:M1199"/>
    <mergeCell ref="N1199:O1199"/>
    <mergeCell ref="P1199:Q1199"/>
    <mergeCell ref="AL1198:BB1198"/>
    <mergeCell ref="AD1198:AE1198"/>
    <mergeCell ref="AF1198:AG1198"/>
    <mergeCell ref="AH1198:AI1198"/>
    <mergeCell ref="AJ1198:AK1198"/>
    <mergeCell ref="R1198:S1198"/>
    <mergeCell ref="T1198:U1198"/>
    <mergeCell ref="V1198:W1198"/>
    <mergeCell ref="X1198:Y1198"/>
    <mergeCell ref="Z1198:AA1198"/>
    <mergeCell ref="AB1198:AC1198"/>
    <mergeCell ref="B1198:C1198"/>
    <mergeCell ref="D1198:E1198"/>
    <mergeCell ref="F1198:G1198"/>
    <mergeCell ref="H1198:I1198"/>
    <mergeCell ref="J1198:K1198"/>
    <mergeCell ref="L1198:M1198"/>
    <mergeCell ref="N1198:O1198"/>
    <mergeCell ref="P1198:Q1198"/>
    <mergeCell ref="AL1197:BB1197"/>
    <mergeCell ref="AD1197:AE1197"/>
    <mergeCell ref="AF1197:AG1197"/>
    <mergeCell ref="AH1197:AI1197"/>
    <mergeCell ref="AJ1197:AK1197"/>
    <mergeCell ref="R1197:S1197"/>
    <mergeCell ref="T1197:U1197"/>
    <mergeCell ref="V1197:W1197"/>
    <mergeCell ref="X1197:Y1197"/>
    <mergeCell ref="Z1197:AA1197"/>
    <mergeCell ref="AB1197:AC1197"/>
    <mergeCell ref="B1197:C1197"/>
    <mergeCell ref="D1197:E1197"/>
    <mergeCell ref="F1197:G1197"/>
    <mergeCell ref="H1197:I1197"/>
    <mergeCell ref="J1197:K1197"/>
    <mergeCell ref="L1197:M1197"/>
    <mergeCell ref="N1197:O1197"/>
    <mergeCell ref="P1197:Q1197"/>
    <mergeCell ref="AL1196:BB1196"/>
    <mergeCell ref="AD1196:AE1196"/>
    <mergeCell ref="AF1196:AG1196"/>
    <mergeCell ref="AH1196:AI1196"/>
    <mergeCell ref="AJ1196:AK1196"/>
    <mergeCell ref="R1196:S1196"/>
    <mergeCell ref="T1196:U1196"/>
    <mergeCell ref="V1196:W1196"/>
    <mergeCell ref="X1196:Y1196"/>
    <mergeCell ref="Z1196:AA1196"/>
    <mergeCell ref="AB1196:AC1196"/>
    <mergeCell ref="B1196:C1196"/>
    <mergeCell ref="D1196:E1196"/>
    <mergeCell ref="F1196:G1196"/>
    <mergeCell ref="H1196:I1196"/>
    <mergeCell ref="J1196:K1196"/>
    <mergeCell ref="L1196:M1196"/>
    <mergeCell ref="N1196:O1196"/>
    <mergeCell ref="P1196:Q1196"/>
    <mergeCell ref="AL1195:BB1195"/>
    <mergeCell ref="AD1195:AE1195"/>
    <mergeCell ref="AF1195:AG1195"/>
    <mergeCell ref="AH1195:AI1195"/>
    <mergeCell ref="AJ1195:AK1195"/>
    <mergeCell ref="R1195:S1195"/>
    <mergeCell ref="T1195:U1195"/>
    <mergeCell ref="V1195:W1195"/>
    <mergeCell ref="X1195:Y1195"/>
    <mergeCell ref="Z1195:AA1195"/>
    <mergeCell ref="AB1195:AC1195"/>
    <mergeCell ref="B1195:C1195"/>
    <mergeCell ref="D1195:E1195"/>
    <mergeCell ref="F1195:G1195"/>
    <mergeCell ref="H1195:I1195"/>
    <mergeCell ref="J1195:K1195"/>
    <mergeCell ref="L1195:M1195"/>
    <mergeCell ref="N1195:O1195"/>
    <mergeCell ref="P1195:Q1195"/>
    <mergeCell ref="AL1194:BB1194"/>
    <mergeCell ref="AD1194:AE1194"/>
    <mergeCell ref="AF1194:AG1194"/>
    <mergeCell ref="AH1194:AI1194"/>
    <mergeCell ref="AJ1194:AK1194"/>
    <mergeCell ref="R1194:S1194"/>
    <mergeCell ref="T1194:U1194"/>
    <mergeCell ref="V1194:W1194"/>
    <mergeCell ref="X1194:Y1194"/>
    <mergeCell ref="Z1194:AA1194"/>
    <mergeCell ref="AB1194:AC1194"/>
    <mergeCell ref="B1194:C1194"/>
    <mergeCell ref="D1194:E1194"/>
    <mergeCell ref="F1194:G1194"/>
    <mergeCell ref="H1194:I1194"/>
    <mergeCell ref="J1194:K1194"/>
    <mergeCell ref="L1194:M1194"/>
    <mergeCell ref="N1194:O1194"/>
    <mergeCell ref="P1194:Q1194"/>
    <mergeCell ref="AL1193:BB1193"/>
    <mergeCell ref="AD1193:AE1193"/>
    <mergeCell ref="AF1193:AG1193"/>
    <mergeCell ref="AH1193:AI1193"/>
    <mergeCell ref="AJ1193:AK1193"/>
    <mergeCell ref="R1193:S1193"/>
    <mergeCell ref="T1193:U1193"/>
    <mergeCell ref="V1193:W1193"/>
    <mergeCell ref="X1193:Y1193"/>
    <mergeCell ref="Z1193:AA1193"/>
    <mergeCell ref="AB1193:AC1193"/>
    <mergeCell ref="B1193:C1193"/>
    <mergeCell ref="D1193:E1193"/>
    <mergeCell ref="F1193:G1193"/>
    <mergeCell ref="H1193:I1193"/>
    <mergeCell ref="J1193:K1193"/>
    <mergeCell ref="L1193:M1193"/>
    <mergeCell ref="N1193:O1193"/>
    <mergeCell ref="P1193:Q1193"/>
    <mergeCell ref="AL1192:BB1192"/>
    <mergeCell ref="AD1192:AE1192"/>
    <mergeCell ref="AF1192:AG1192"/>
    <mergeCell ref="AH1192:AI1192"/>
    <mergeCell ref="AJ1192:AK1192"/>
    <mergeCell ref="R1192:S1192"/>
    <mergeCell ref="T1192:U1192"/>
    <mergeCell ref="V1192:W1192"/>
    <mergeCell ref="X1192:Y1192"/>
    <mergeCell ref="Z1192:AA1192"/>
    <mergeCell ref="AB1192:AC1192"/>
    <mergeCell ref="B1192:C1192"/>
    <mergeCell ref="D1192:E1192"/>
    <mergeCell ref="F1192:G1192"/>
    <mergeCell ref="H1192:I1192"/>
    <mergeCell ref="J1192:K1192"/>
    <mergeCell ref="L1192:M1192"/>
    <mergeCell ref="N1192:O1192"/>
    <mergeCell ref="P1192:Q1192"/>
    <mergeCell ref="AL1191:BB1191"/>
    <mergeCell ref="AD1191:AE1191"/>
    <mergeCell ref="AF1191:AG1191"/>
    <mergeCell ref="AH1191:AI1191"/>
    <mergeCell ref="AJ1191:AK1191"/>
    <mergeCell ref="R1191:S1191"/>
    <mergeCell ref="T1191:U1191"/>
    <mergeCell ref="V1191:W1191"/>
    <mergeCell ref="X1191:Y1191"/>
    <mergeCell ref="Z1191:AA1191"/>
    <mergeCell ref="AB1191:AC1191"/>
    <mergeCell ref="B1191:C1191"/>
    <mergeCell ref="D1191:E1191"/>
    <mergeCell ref="F1191:G1191"/>
    <mergeCell ref="H1191:I1191"/>
    <mergeCell ref="J1191:K1191"/>
    <mergeCell ref="L1191:M1191"/>
    <mergeCell ref="N1191:O1191"/>
    <mergeCell ref="P1191:Q1191"/>
    <mergeCell ref="AL1190:BB1190"/>
    <mergeCell ref="AD1190:AE1190"/>
    <mergeCell ref="AF1190:AG1190"/>
    <mergeCell ref="AH1190:AI1190"/>
    <mergeCell ref="AJ1190:AK1190"/>
    <mergeCell ref="R1190:S1190"/>
    <mergeCell ref="T1190:U1190"/>
    <mergeCell ref="V1190:W1190"/>
    <mergeCell ref="X1190:Y1190"/>
    <mergeCell ref="Z1190:AA1190"/>
    <mergeCell ref="AB1190:AC1190"/>
    <mergeCell ref="B1190:C1190"/>
    <mergeCell ref="D1190:E1190"/>
    <mergeCell ref="F1190:G1190"/>
    <mergeCell ref="H1190:I1190"/>
    <mergeCell ref="J1190:K1190"/>
    <mergeCell ref="L1190:M1190"/>
    <mergeCell ref="N1190:O1190"/>
    <mergeCell ref="P1190:Q1190"/>
    <mergeCell ref="AL1189:BB1189"/>
    <mergeCell ref="AD1189:AE1189"/>
    <mergeCell ref="AF1189:AG1189"/>
    <mergeCell ref="AH1189:AI1189"/>
    <mergeCell ref="AJ1189:AK1189"/>
    <mergeCell ref="R1189:S1189"/>
    <mergeCell ref="T1189:U1189"/>
    <mergeCell ref="V1189:W1189"/>
    <mergeCell ref="X1189:Y1189"/>
    <mergeCell ref="Z1189:AA1189"/>
    <mergeCell ref="AB1189:AC1189"/>
    <mergeCell ref="B1189:C1189"/>
    <mergeCell ref="D1189:E1189"/>
    <mergeCell ref="F1189:G1189"/>
    <mergeCell ref="H1189:I1189"/>
    <mergeCell ref="J1189:K1189"/>
    <mergeCell ref="L1189:M1189"/>
    <mergeCell ref="N1189:O1189"/>
    <mergeCell ref="P1189:Q1189"/>
    <mergeCell ref="AL1188:BB1188"/>
    <mergeCell ref="AD1188:AE1188"/>
    <mergeCell ref="AF1188:AG1188"/>
    <mergeCell ref="AH1188:AI1188"/>
    <mergeCell ref="AJ1188:AK1188"/>
    <mergeCell ref="R1188:S1188"/>
    <mergeCell ref="T1188:U1188"/>
    <mergeCell ref="V1188:W1188"/>
    <mergeCell ref="X1188:Y1188"/>
    <mergeCell ref="Z1188:AA1188"/>
    <mergeCell ref="AB1188:AC1188"/>
    <mergeCell ref="B1188:C1188"/>
    <mergeCell ref="D1188:E1188"/>
    <mergeCell ref="F1188:G1188"/>
    <mergeCell ref="H1188:I1188"/>
    <mergeCell ref="J1188:K1188"/>
    <mergeCell ref="L1188:M1188"/>
    <mergeCell ref="N1188:O1188"/>
    <mergeCell ref="P1188:Q1188"/>
    <mergeCell ref="AL1187:BB1187"/>
    <mergeCell ref="AD1187:AE1187"/>
    <mergeCell ref="AF1187:AG1187"/>
    <mergeCell ref="AH1187:AI1187"/>
    <mergeCell ref="AJ1187:AK1187"/>
    <mergeCell ref="R1187:S1187"/>
    <mergeCell ref="T1187:U1187"/>
    <mergeCell ref="V1187:W1187"/>
    <mergeCell ref="X1187:Y1187"/>
    <mergeCell ref="Z1187:AA1187"/>
    <mergeCell ref="AB1187:AC1187"/>
    <mergeCell ref="B1187:C1187"/>
    <mergeCell ref="D1187:E1187"/>
    <mergeCell ref="F1187:G1187"/>
    <mergeCell ref="H1187:I1187"/>
    <mergeCell ref="J1187:K1187"/>
    <mergeCell ref="L1187:M1187"/>
    <mergeCell ref="N1187:O1187"/>
    <mergeCell ref="P1187:Q1187"/>
    <mergeCell ref="AL1186:BB1186"/>
    <mergeCell ref="Z1186:AA1186"/>
    <mergeCell ref="AB1186:AC1186"/>
    <mergeCell ref="AD1186:AE1186"/>
    <mergeCell ref="AF1186:AG1186"/>
    <mergeCell ref="AH1186:AI1186"/>
    <mergeCell ref="AJ1186:AK1186"/>
    <mergeCell ref="N1186:O1186"/>
    <mergeCell ref="P1186:Q1186"/>
    <mergeCell ref="R1186:S1186"/>
    <mergeCell ref="T1186:U1186"/>
    <mergeCell ref="V1186:W1186"/>
    <mergeCell ref="X1186:Y1186"/>
    <mergeCell ref="B1186:C1186"/>
    <mergeCell ref="D1186:E1186"/>
    <mergeCell ref="F1186:G1186"/>
    <mergeCell ref="H1186:I1186"/>
    <mergeCell ref="J1186:K1186"/>
    <mergeCell ref="L1186:M1186"/>
    <mergeCell ref="AL1185:BB1185"/>
    <mergeCell ref="AD1185:AE1185"/>
    <mergeCell ref="AF1185:AG1185"/>
    <mergeCell ref="AH1185:AI1185"/>
    <mergeCell ref="AJ1185:AK1185"/>
    <mergeCell ref="R1185:S1185"/>
    <mergeCell ref="T1185:U1185"/>
    <mergeCell ref="V1185:W1185"/>
    <mergeCell ref="X1185:Y1185"/>
    <mergeCell ref="Z1185:AA1185"/>
    <mergeCell ref="AB1185:AC1185"/>
    <mergeCell ref="B1185:C1185"/>
    <mergeCell ref="D1185:E1185"/>
    <mergeCell ref="F1185:G1185"/>
    <mergeCell ref="H1185:I1185"/>
    <mergeCell ref="J1185:K1185"/>
    <mergeCell ref="L1185:M1185"/>
    <mergeCell ref="N1185:O1185"/>
    <mergeCell ref="P1185:Q1185"/>
    <mergeCell ref="AL1184:BB1184"/>
    <mergeCell ref="Z1184:AA1184"/>
    <mergeCell ref="AB1184:AC1184"/>
    <mergeCell ref="AD1184:AE1184"/>
    <mergeCell ref="AF1184:AG1184"/>
    <mergeCell ref="AH1184:AI1184"/>
    <mergeCell ref="AJ1184:AK1184"/>
    <mergeCell ref="N1184:O1184"/>
    <mergeCell ref="P1184:Q1184"/>
    <mergeCell ref="R1184:S1184"/>
    <mergeCell ref="T1184:U1184"/>
    <mergeCell ref="V1184:W1184"/>
    <mergeCell ref="X1184:Y1184"/>
    <mergeCell ref="B1184:C1184"/>
    <mergeCell ref="D1184:E1184"/>
    <mergeCell ref="F1184:G1184"/>
    <mergeCell ref="H1184:I1184"/>
    <mergeCell ref="J1184:K1184"/>
    <mergeCell ref="L1184:M1184"/>
    <mergeCell ref="AL1183:BB1183"/>
    <mergeCell ref="AD1183:AE1183"/>
    <mergeCell ref="AF1183:AG1183"/>
    <mergeCell ref="AH1183:AI1183"/>
    <mergeCell ref="AJ1183:AK1183"/>
    <mergeCell ref="R1183:S1183"/>
    <mergeCell ref="T1183:U1183"/>
    <mergeCell ref="V1183:W1183"/>
    <mergeCell ref="X1183:Y1183"/>
    <mergeCell ref="Z1183:AA1183"/>
    <mergeCell ref="AB1183:AC1183"/>
    <mergeCell ref="B1183:C1183"/>
    <mergeCell ref="D1183:E1183"/>
    <mergeCell ref="F1183:G1183"/>
    <mergeCell ref="H1183:I1183"/>
    <mergeCell ref="J1183:K1183"/>
    <mergeCell ref="L1183:M1183"/>
    <mergeCell ref="N1183:O1183"/>
    <mergeCell ref="P1183:Q1183"/>
    <mergeCell ref="AL1182:BB1182"/>
    <mergeCell ref="Z1182:AA1182"/>
    <mergeCell ref="AB1182:AC1182"/>
    <mergeCell ref="AD1182:AE1182"/>
    <mergeCell ref="AF1182:AG1182"/>
    <mergeCell ref="AH1182:AI1182"/>
    <mergeCell ref="AJ1182:AK1182"/>
    <mergeCell ref="N1182:O1182"/>
    <mergeCell ref="P1182:Q1182"/>
    <mergeCell ref="R1182:S1182"/>
    <mergeCell ref="T1182:U1182"/>
    <mergeCell ref="V1182:W1182"/>
    <mergeCell ref="X1182:Y1182"/>
    <mergeCell ref="B1182:C1182"/>
    <mergeCell ref="D1182:E1182"/>
    <mergeCell ref="F1182:G1182"/>
    <mergeCell ref="H1182:I1182"/>
    <mergeCell ref="J1182:K1182"/>
    <mergeCell ref="L1182:M1182"/>
    <mergeCell ref="AL1181:BB1181"/>
    <mergeCell ref="AD1181:AE1181"/>
    <mergeCell ref="AF1181:AG1181"/>
    <mergeCell ref="AH1181:AI1181"/>
    <mergeCell ref="AJ1181:AK1181"/>
    <mergeCell ref="R1181:S1181"/>
    <mergeCell ref="T1181:U1181"/>
    <mergeCell ref="V1181:W1181"/>
    <mergeCell ref="X1181:Y1181"/>
    <mergeCell ref="Z1181:AA1181"/>
    <mergeCell ref="AB1181:AC1181"/>
    <mergeCell ref="B1181:C1181"/>
    <mergeCell ref="D1181:E1181"/>
    <mergeCell ref="F1181:G1181"/>
    <mergeCell ref="H1181:I1181"/>
    <mergeCell ref="J1181:K1181"/>
    <mergeCell ref="L1181:M1181"/>
    <mergeCell ref="N1181:O1181"/>
    <mergeCell ref="P1181:Q1181"/>
    <mergeCell ref="AL1180:BB1180"/>
    <mergeCell ref="Z1180:AA1180"/>
    <mergeCell ref="AB1180:AC1180"/>
    <mergeCell ref="AD1180:AE1180"/>
    <mergeCell ref="AF1180:AG1180"/>
    <mergeCell ref="AH1180:AI1180"/>
    <mergeCell ref="AJ1180:AK1180"/>
    <mergeCell ref="N1180:O1180"/>
    <mergeCell ref="P1180:Q1180"/>
    <mergeCell ref="R1180:S1180"/>
    <mergeCell ref="T1180:U1180"/>
    <mergeCell ref="V1180:W1180"/>
    <mergeCell ref="X1180:Y1180"/>
    <mergeCell ref="B1180:C1180"/>
    <mergeCell ref="D1180:E1180"/>
    <mergeCell ref="F1180:G1180"/>
    <mergeCell ref="H1180:I1180"/>
    <mergeCell ref="J1180:K1180"/>
    <mergeCell ref="L1180:M1180"/>
    <mergeCell ref="AL1179:BB1179"/>
    <mergeCell ref="AD1179:AE1179"/>
    <mergeCell ref="AF1179:AG1179"/>
    <mergeCell ref="AH1179:AI1179"/>
    <mergeCell ref="AJ1179:AK1179"/>
    <mergeCell ref="R1179:S1179"/>
    <mergeCell ref="T1179:U1179"/>
    <mergeCell ref="V1179:W1179"/>
    <mergeCell ref="X1179:Y1179"/>
    <mergeCell ref="Z1179:AA1179"/>
    <mergeCell ref="AB1179:AC1179"/>
    <mergeCell ref="B1179:C1179"/>
    <mergeCell ref="D1179:E1179"/>
    <mergeCell ref="F1179:G1179"/>
    <mergeCell ref="H1179:I1179"/>
    <mergeCell ref="J1179:K1179"/>
    <mergeCell ref="L1179:M1179"/>
    <mergeCell ref="N1179:O1179"/>
    <mergeCell ref="P1179:Q1179"/>
    <mergeCell ref="AL1178:BB1178"/>
    <mergeCell ref="Z1178:AA1178"/>
    <mergeCell ref="AB1178:AC1178"/>
    <mergeCell ref="AD1178:AE1178"/>
    <mergeCell ref="AF1178:AG1178"/>
    <mergeCell ref="AH1178:AI1178"/>
    <mergeCell ref="AJ1178:AK1178"/>
    <mergeCell ref="N1178:O1178"/>
    <mergeCell ref="P1178:Q1178"/>
    <mergeCell ref="R1178:S1178"/>
    <mergeCell ref="T1178:U1178"/>
    <mergeCell ref="V1178:W1178"/>
    <mergeCell ref="X1178:Y1178"/>
    <mergeCell ref="B1178:C1178"/>
    <mergeCell ref="D1178:E1178"/>
    <mergeCell ref="F1178:G1178"/>
    <mergeCell ref="H1178:I1178"/>
    <mergeCell ref="J1178:K1178"/>
    <mergeCell ref="L1178:M1178"/>
    <mergeCell ref="AL1177:BB1177"/>
    <mergeCell ref="Z1177:AA1177"/>
    <mergeCell ref="AB1177:AC1177"/>
    <mergeCell ref="AD1177:AE1177"/>
    <mergeCell ref="AF1177:AG1177"/>
    <mergeCell ref="AH1177:AI1177"/>
    <mergeCell ref="AJ1177:AK1177"/>
    <mergeCell ref="N1177:O1177"/>
    <mergeCell ref="P1177:Q1177"/>
    <mergeCell ref="R1177:S1177"/>
    <mergeCell ref="T1177:U1177"/>
    <mergeCell ref="V1177:W1177"/>
    <mergeCell ref="X1177:Y1177"/>
    <mergeCell ref="B1177:C1177"/>
    <mergeCell ref="D1177:E1177"/>
    <mergeCell ref="F1177:G1177"/>
    <mergeCell ref="H1177:I1177"/>
    <mergeCell ref="J1177:K1177"/>
    <mergeCell ref="L1177:M1177"/>
    <mergeCell ref="AL1176:BB1176"/>
    <mergeCell ref="AD1176:AE1176"/>
    <mergeCell ref="AF1176:AG1176"/>
    <mergeCell ref="AH1176:AI1176"/>
    <mergeCell ref="AJ1176:AK1176"/>
    <mergeCell ref="R1176:S1176"/>
    <mergeCell ref="T1176:U1176"/>
    <mergeCell ref="V1176:W1176"/>
    <mergeCell ref="X1176:Y1176"/>
    <mergeCell ref="Z1176:AA1176"/>
    <mergeCell ref="AB1176:AC1176"/>
    <mergeCell ref="B1176:C1176"/>
    <mergeCell ref="D1176:E1176"/>
    <mergeCell ref="F1176:G1176"/>
    <mergeCell ref="H1176:I1176"/>
    <mergeCell ref="J1176:K1176"/>
    <mergeCell ref="L1176:M1176"/>
    <mergeCell ref="N1176:O1176"/>
    <mergeCell ref="P1176:Q1176"/>
    <mergeCell ref="AL1175:BB1175"/>
    <mergeCell ref="AD1175:AE1175"/>
    <mergeCell ref="AF1175:AG1175"/>
    <mergeCell ref="AH1175:AI1175"/>
    <mergeCell ref="AJ1175:AK1175"/>
    <mergeCell ref="R1175:S1175"/>
    <mergeCell ref="T1175:U1175"/>
    <mergeCell ref="V1175:W1175"/>
    <mergeCell ref="X1175:Y1175"/>
    <mergeCell ref="Z1175:AA1175"/>
    <mergeCell ref="AB1175:AC1175"/>
    <mergeCell ref="B1175:C1175"/>
    <mergeCell ref="D1175:E1175"/>
    <mergeCell ref="F1175:G1175"/>
    <mergeCell ref="H1175:I1175"/>
    <mergeCell ref="J1175:K1175"/>
    <mergeCell ref="L1175:M1175"/>
    <mergeCell ref="N1175:O1175"/>
    <mergeCell ref="P1175:Q1175"/>
    <mergeCell ref="AL1174:BB1174"/>
    <mergeCell ref="AD1174:AE1174"/>
    <mergeCell ref="AF1174:AG1174"/>
    <mergeCell ref="AH1174:AI1174"/>
    <mergeCell ref="AJ1174:AK1174"/>
    <mergeCell ref="R1174:S1174"/>
    <mergeCell ref="T1174:U1174"/>
    <mergeCell ref="V1174:W1174"/>
    <mergeCell ref="X1174:Y1174"/>
    <mergeCell ref="Z1174:AA1174"/>
    <mergeCell ref="AB1174:AC1174"/>
    <mergeCell ref="B1174:C1174"/>
    <mergeCell ref="D1174:E1174"/>
    <mergeCell ref="F1174:G1174"/>
    <mergeCell ref="H1174:I1174"/>
    <mergeCell ref="J1174:K1174"/>
    <mergeCell ref="L1174:M1174"/>
    <mergeCell ref="N1174:O1174"/>
    <mergeCell ref="P1174:Q1174"/>
    <mergeCell ref="AL1173:BB1173"/>
    <mergeCell ref="AD1173:AE1173"/>
    <mergeCell ref="AF1173:AG1173"/>
    <mergeCell ref="AH1173:AI1173"/>
    <mergeCell ref="AJ1173:AK1173"/>
    <mergeCell ref="R1173:S1173"/>
    <mergeCell ref="T1173:U1173"/>
    <mergeCell ref="V1173:W1173"/>
    <mergeCell ref="X1173:Y1173"/>
    <mergeCell ref="Z1173:AA1173"/>
    <mergeCell ref="AB1173:AC1173"/>
    <mergeCell ref="B1173:C1173"/>
    <mergeCell ref="D1173:E1173"/>
    <mergeCell ref="F1173:G1173"/>
    <mergeCell ref="H1173:I1173"/>
    <mergeCell ref="J1173:K1173"/>
    <mergeCell ref="L1173:M1173"/>
    <mergeCell ref="N1173:O1173"/>
    <mergeCell ref="P1173:Q1173"/>
    <mergeCell ref="AL1172:BB1172"/>
    <mergeCell ref="AD1172:AE1172"/>
    <mergeCell ref="AF1172:AG1172"/>
    <mergeCell ref="AH1172:AI1172"/>
    <mergeCell ref="AJ1172:AK1172"/>
    <mergeCell ref="R1172:S1172"/>
    <mergeCell ref="T1172:U1172"/>
    <mergeCell ref="V1172:W1172"/>
    <mergeCell ref="X1172:Y1172"/>
    <mergeCell ref="Z1172:AA1172"/>
    <mergeCell ref="AB1172:AC1172"/>
    <mergeCell ref="B1172:C1172"/>
    <mergeCell ref="D1172:E1172"/>
    <mergeCell ref="F1172:G1172"/>
    <mergeCell ref="H1172:I1172"/>
    <mergeCell ref="J1172:K1172"/>
    <mergeCell ref="L1172:M1172"/>
    <mergeCell ref="N1172:O1172"/>
    <mergeCell ref="P1172:Q1172"/>
    <mergeCell ref="AL1171:BB1171"/>
    <mergeCell ref="AD1171:AE1171"/>
    <mergeCell ref="AF1171:AG1171"/>
    <mergeCell ref="AH1171:AI1171"/>
    <mergeCell ref="AJ1171:AK1171"/>
    <mergeCell ref="R1171:S1171"/>
    <mergeCell ref="T1171:U1171"/>
    <mergeCell ref="V1171:W1171"/>
    <mergeCell ref="X1171:Y1171"/>
    <mergeCell ref="Z1171:AA1171"/>
    <mergeCell ref="AB1171:AC1171"/>
    <mergeCell ref="B1171:C1171"/>
    <mergeCell ref="D1171:E1171"/>
    <mergeCell ref="F1171:G1171"/>
    <mergeCell ref="H1171:I1171"/>
    <mergeCell ref="J1171:K1171"/>
    <mergeCell ref="L1171:M1171"/>
    <mergeCell ref="N1171:O1171"/>
    <mergeCell ref="P1171:Q1171"/>
    <mergeCell ref="AL1170:BB1170"/>
    <mergeCell ref="AD1170:AE1170"/>
    <mergeCell ref="AF1170:AG1170"/>
    <mergeCell ref="AH1170:AI1170"/>
    <mergeCell ref="AJ1170:AK1170"/>
    <mergeCell ref="R1170:S1170"/>
    <mergeCell ref="T1170:U1170"/>
    <mergeCell ref="V1170:W1170"/>
    <mergeCell ref="X1170:Y1170"/>
    <mergeCell ref="Z1170:AA1170"/>
    <mergeCell ref="AB1170:AC1170"/>
    <mergeCell ref="B1170:C1170"/>
    <mergeCell ref="D1170:E1170"/>
    <mergeCell ref="F1170:G1170"/>
    <mergeCell ref="H1170:I1170"/>
    <mergeCell ref="J1170:K1170"/>
    <mergeCell ref="L1170:M1170"/>
    <mergeCell ref="N1170:O1170"/>
    <mergeCell ref="P1170:Q1170"/>
    <mergeCell ref="AL1169:BB1169"/>
    <mergeCell ref="AD1169:AE1169"/>
    <mergeCell ref="AF1169:AG1169"/>
    <mergeCell ref="AH1169:AI1169"/>
    <mergeCell ref="AJ1169:AK1169"/>
    <mergeCell ref="R1169:S1169"/>
    <mergeCell ref="T1169:U1169"/>
    <mergeCell ref="V1169:W1169"/>
    <mergeCell ref="X1169:Y1169"/>
    <mergeCell ref="Z1169:AA1169"/>
    <mergeCell ref="AB1169:AC1169"/>
    <mergeCell ref="B1169:C1169"/>
    <mergeCell ref="D1169:E1169"/>
    <mergeCell ref="F1169:G1169"/>
    <mergeCell ref="H1169:I1169"/>
    <mergeCell ref="J1169:K1169"/>
    <mergeCell ref="L1169:M1169"/>
    <mergeCell ref="N1169:O1169"/>
    <mergeCell ref="P1169:Q1169"/>
    <mergeCell ref="AL1168:BB1168"/>
    <mergeCell ref="AD1168:AE1168"/>
    <mergeCell ref="AF1168:AG1168"/>
    <mergeCell ref="AH1168:AI1168"/>
    <mergeCell ref="AJ1168:AK1168"/>
    <mergeCell ref="R1168:S1168"/>
    <mergeCell ref="T1168:U1168"/>
    <mergeCell ref="V1168:W1168"/>
    <mergeCell ref="X1168:Y1168"/>
    <mergeCell ref="Z1168:AA1168"/>
    <mergeCell ref="AB1168:AC1168"/>
    <mergeCell ref="B1168:C1168"/>
    <mergeCell ref="D1168:E1168"/>
    <mergeCell ref="F1168:G1168"/>
    <mergeCell ref="H1168:I1168"/>
    <mergeCell ref="J1168:K1168"/>
    <mergeCell ref="L1168:M1168"/>
    <mergeCell ref="N1168:O1168"/>
    <mergeCell ref="P1168:Q1168"/>
    <mergeCell ref="AL1167:BB1167"/>
    <mergeCell ref="AD1167:AE1167"/>
    <mergeCell ref="AF1167:AG1167"/>
    <mergeCell ref="AH1167:AI1167"/>
    <mergeCell ref="AJ1167:AK1167"/>
    <mergeCell ref="R1167:S1167"/>
    <mergeCell ref="T1167:U1167"/>
    <mergeCell ref="V1167:W1167"/>
    <mergeCell ref="X1167:Y1167"/>
    <mergeCell ref="Z1167:AA1167"/>
    <mergeCell ref="AB1167:AC1167"/>
    <mergeCell ref="B1167:C1167"/>
    <mergeCell ref="D1167:E1167"/>
    <mergeCell ref="F1167:G1167"/>
    <mergeCell ref="H1167:I1167"/>
    <mergeCell ref="J1167:K1167"/>
    <mergeCell ref="L1167:M1167"/>
    <mergeCell ref="N1167:O1167"/>
    <mergeCell ref="P1167:Q1167"/>
    <mergeCell ref="AL1166:BB1166"/>
    <mergeCell ref="AD1166:AE1166"/>
    <mergeCell ref="AF1166:AG1166"/>
    <mergeCell ref="AH1166:AI1166"/>
    <mergeCell ref="AJ1166:AK1166"/>
    <mergeCell ref="R1166:S1166"/>
    <mergeCell ref="T1166:U1166"/>
    <mergeCell ref="V1166:W1166"/>
    <mergeCell ref="X1166:Y1166"/>
    <mergeCell ref="Z1166:AA1166"/>
    <mergeCell ref="AB1166:AC1166"/>
    <mergeCell ref="B1166:C1166"/>
    <mergeCell ref="D1166:E1166"/>
    <mergeCell ref="F1166:G1166"/>
    <mergeCell ref="H1166:I1166"/>
    <mergeCell ref="J1166:K1166"/>
    <mergeCell ref="L1166:M1166"/>
    <mergeCell ref="N1166:O1166"/>
    <mergeCell ref="P1166:Q1166"/>
    <mergeCell ref="AL1165:BB1165"/>
    <mergeCell ref="AD1165:AE1165"/>
    <mergeCell ref="AF1165:AG1165"/>
    <mergeCell ref="AH1165:AI1165"/>
    <mergeCell ref="AJ1165:AK1165"/>
    <mergeCell ref="R1165:S1165"/>
    <mergeCell ref="T1165:U1165"/>
    <mergeCell ref="V1165:W1165"/>
    <mergeCell ref="X1165:Y1165"/>
    <mergeCell ref="Z1165:AA1165"/>
    <mergeCell ref="AB1165:AC1165"/>
    <mergeCell ref="B1165:C1165"/>
    <mergeCell ref="D1165:E1165"/>
    <mergeCell ref="F1165:G1165"/>
    <mergeCell ref="H1165:I1165"/>
    <mergeCell ref="J1165:K1165"/>
    <mergeCell ref="L1165:M1165"/>
    <mergeCell ref="N1165:O1165"/>
    <mergeCell ref="P1165:Q1165"/>
    <mergeCell ref="AL1164:BB1164"/>
    <mergeCell ref="AD1164:AE1164"/>
    <mergeCell ref="AF1164:AG1164"/>
    <mergeCell ref="AH1164:AI1164"/>
    <mergeCell ref="AJ1164:AK1164"/>
    <mergeCell ref="R1164:S1164"/>
    <mergeCell ref="T1164:U1164"/>
    <mergeCell ref="V1164:W1164"/>
    <mergeCell ref="X1164:Y1164"/>
    <mergeCell ref="Z1164:AA1164"/>
    <mergeCell ref="AB1164:AC1164"/>
    <mergeCell ref="B1164:C1164"/>
    <mergeCell ref="D1164:E1164"/>
    <mergeCell ref="F1164:G1164"/>
    <mergeCell ref="H1164:I1164"/>
    <mergeCell ref="J1164:K1164"/>
    <mergeCell ref="L1164:M1164"/>
    <mergeCell ref="N1164:O1164"/>
    <mergeCell ref="P1164:Q1164"/>
    <mergeCell ref="AL1163:BB1163"/>
    <mergeCell ref="AD1163:AE1163"/>
    <mergeCell ref="AF1163:AG1163"/>
    <mergeCell ref="AH1163:AI1163"/>
    <mergeCell ref="AJ1163:AK1163"/>
    <mergeCell ref="R1163:S1163"/>
    <mergeCell ref="T1163:U1163"/>
    <mergeCell ref="V1163:W1163"/>
    <mergeCell ref="X1163:Y1163"/>
    <mergeCell ref="Z1163:AA1163"/>
    <mergeCell ref="AB1163:AC1163"/>
    <mergeCell ref="B1163:C1163"/>
    <mergeCell ref="D1163:E1163"/>
    <mergeCell ref="F1163:G1163"/>
    <mergeCell ref="H1163:I1163"/>
    <mergeCell ref="J1163:K1163"/>
    <mergeCell ref="L1163:M1163"/>
    <mergeCell ref="N1163:O1163"/>
    <mergeCell ref="P1163:Q1163"/>
    <mergeCell ref="AL1162:BB1162"/>
    <mergeCell ref="AD1162:AE1162"/>
    <mergeCell ref="AF1162:AG1162"/>
    <mergeCell ref="AH1162:AI1162"/>
    <mergeCell ref="AJ1162:AK1162"/>
    <mergeCell ref="R1162:S1162"/>
    <mergeCell ref="T1162:U1162"/>
    <mergeCell ref="V1162:W1162"/>
    <mergeCell ref="X1162:Y1162"/>
    <mergeCell ref="Z1162:AA1162"/>
    <mergeCell ref="AB1162:AC1162"/>
    <mergeCell ref="B1162:C1162"/>
    <mergeCell ref="D1162:E1162"/>
    <mergeCell ref="F1162:G1162"/>
    <mergeCell ref="H1162:I1162"/>
    <mergeCell ref="J1162:K1162"/>
    <mergeCell ref="L1162:M1162"/>
    <mergeCell ref="N1162:O1162"/>
    <mergeCell ref="P1162:Q1162"/>
    <mergeCell ref="AL1161:BB1161"/>
    <mergeCell ref="AD1161:AE1161"/>
    <mergeCell ref="AF1161:AG1161"/>
    <mergeCell ref="AH1161:AI1161"/>
    <mergeCell ref="AJ1161:AK1161"/>
    <mergeCell ref="R1161:S1161"/>
    <mergeCell ref="T1161:U1161"/>
    <mergeCell ref="V1161:W1161"/>
    <mergeCell ref="X1161:Y1161"/>
    <mergeCell ref="Z1161:AA1161"/>
    <mergeCell ref="AB1161:AC1161"/>
    <mergeCell ref="B1161:C1161"/>
    <mergeCell ref="D1161:E1161"/>
    <mergeCell ref="F1161:G1161"/>
    <mergeCell ref="H1161:I1161"/>
    <mergeCell ref="J1161:K1161"/>
    <mergeCell ref="L1161:M1161"/>
    <mergeCell ref="N1161:O1161"/>
    <mergeCell ref="P1161:Q1161"/>
    <mergeCell ref="AL1160:BB1160"/>
    <mergeCell ref="AD1160:AE1160"/>
    <mergeCell ref="AF1160:AG1160"/>
    <mergeCell ref="AH1160:AI1160"/>
    <mergeCell ref="AJ1160:AK1160"/>
    <mergeCell ref="R1160:S1160"/>
    <mergeCell ref="T1160:U1160"/>
    <mergeCell ref="V1160:W1160"/>
    <mergeCell ref="X1160:Y1160"/>
    <mergeCell ref="Z1160:AA1160"/>
    <mergeCell ref="AB1160:AC1160"/>
    <mergeCell ref="B1160:C1160"/>
    <mergeCell ref="D1160:E1160"/>
    <mergeCell ref="F1160:G1160"/>
    <mergeCell ref="H1160:I1160"/>
    <mergeCell ref="J1160:K1160"/>
    <mergeCell ref="L1160:M1160"/>
    <mergeCell ref="N1160:O1160"/>
    <mergeCell ref="P1160:Q1160"/>
    <mergeCell ref="AL1159:BB1159"/>
    <mergeCell ref="AD1159:AE1159"/>
    <mergeCell ref="AF1159:AG1159"/>
    <mergeCell ref="AH1159:AI1159"/>
    <mergeCell ref="AJ1159:AK1159"/>
    <mergeCell ref="R1159:S1159"/>
    <mergeCell ref="T1159:U1159"/>
    <mergeCell ref="V1159:W1159"/>
    <mergeCell ref="X1159:Y1159"/>
    <mergeCell ref="Z1159:AA1159"/>
    <mergeCell ref="AB1159:AC1159"/>
    <mergeCell ref="B1159:C1159"/>
    <mergeCell ref="D1159:E1159"/>
    <mergeCell ref="F1159:G1159"/>
    <mergeCell ref="H1159:I1159"/>
    <mergeCell ref="J1159:K1159"/>
    <mergeCell ref="L1159:M1159"/>
    <mergeCell ref="N1159:O1159"/>
    <mergeCell ref="P1159:Q1159"/>
    <mergeCell ref="AL1158:BB1158"/>
    <mergeCell ref="AD1158:AE1158"/>
    <mergeCell ref="AF1158:AG1158"/>
    <mergeCell ref="AH1158:AI1158"/>
    <mergeCell ref="AJ1158:AK1158"/>
    <mergeCell ref="R1158:S1158"/>
    <mergeCell ref="T1158:U1158"/>
    <mergeCell ref="V1158:W1158"/>
    <mergeCell ref="X1158:Y1158"/>
    <mergeCell ref="Z1158:AA1158"/>
    <mergeCell ref="AB1158:AC1158"/>
    <mergeCell ref="B1158:C1158"/>
    <mergeCell ref="D1158:E1158"/>
    <mergeCell ref="F1158:G1158"/>
    <mergeCell ref="H1158:I1158"/>
    <mergeCell ref="J1158:K1158"/>
    <mergeCell ref="L1158:M1158"/>
    <mergeCell ref="N1158:O1158"/>
    <mergeCell ref="P1158:Q1158"/>
    <mergeCell ref="AL1157:BB1157"/>
    <mergeCell ref="AD1157:AE1157"/>
    <mergeCell ref="AF1157:AG1157"/>
    <mergeCell ref="AH1157:AI1157"/>
    <mergeCell ref="AJ1157:AK1157"/>
    <mergeCell ref="R1157:S1157"/>
    <mergeCell ref="T1157:U1157"/>
    <mergeCell ref="V1157:W1157"/>
    <mergeCell ref="X1157:Y1157"/>
    <mergeCell ref="Z1157:AA1157"/>
    <mergeCell ref="AB1157:AC1157"/>
    <mergeCell ref="B1157:C1157"/>
    <mergeCell ref="D1157:E1157"/>
    <mergeCell ref="F1157:G1157"/>
    <mergeCell ref="H1157:I1157"/>
    <mergeCell ref="J1157:K1157"/>
    <mergeCell ref="L1157:M1157"/>
    <mergeCell ref="N1157:O1157"/>
    <mergeCell ref="P1157:Q1157"/>
    <mergeCell ref="AL1156:BB1156"/>
    <mergeCell ref="AD1156:AE1156"/>
    <mergeCell ref="AF1156:AG1156"/>
    <mergeCell ref="AH1156:AI1156"/>
    <mergeCell ref="AJ1156:AK1156"/>
    <mergeCell ref="R1156:S1156"/>
    <mergeCell ref="T1156:U1156"/>
    <mergeCell ref="V1156:W1156"/>
    <mergeCell ref="X1156:Y1156"/>
    <mergeCell ref="Z1156:AA1156"/>
    <mergeCell ref="AB1156:AC1156"/>
    <mergeCell ref="B1156:C1156"/>
    <mergeCell ref="D1156:E1156"/>
    <mergeCell ref="F1156:G1156"/>
    <mergeCell ref="H1156:I1156"/>
    <mergeCell ref="J1156:K1156"/>
    <mergeCell ref="L1156:M1156"/>
    <mergeCell ref="N1156:O1156"/>
    <mergeCell ref="P1156:Q1156"/>
    <mergeCell ref="AL1155:BB1155"/>
    <mergeCell ref="AD1155:AE1155"/>
    <mergeCell ref="AF1155:AG1155"/>
    <mergeCell ref="AH1155:AI1155"/>
    <mergeCell ref="AJ1155:AK1155"/>
    <mergeCell ref="R1155:S1155"/>
    <mergeCell ref="T1155:U1155"/>
    <mergeCell ref="V1155:W1155"/>
    <mergeCell ref="X1155:Y1155"/>
    <mergeCell ref="Z1155:AA1155"/>
    <mergeCell ref="AB1155:AC1155"/>
    <mergeCell ref="B1155:C1155"/>
    <mergeCell ref="D1155:E1155"/>
    <mergeCell ref="F1155:G1155"/>
    <mergeCell ref="H1155:I1155"/>
    <mergeCell ref="J1155:K1155"/>
    <mergeCell ref="L1155:M1155"/>
    <mergeCell ref="N1155:O1155"/>
    <mergeCell ref="P1155:Q1155"/>
    <mergeCell ref="AL1154:BB1154"/>
    <mergeCell ref="AD1154:AE1154"/>
    <mergeCell ref="AF1154:AG1154"/>
    <mergeCell ref="AH1154:AI1154"/>
    <mergeCell ref="AJ1154:AK1154"/>
    <mergeCell ref="R1154:S1154"/>
    <mergeCell ref="T1154:U1154"/>
    <mergeCell ref="V1154:W1154"/>
    <mergeCell ref="X1154:Y1154"/>
    <mergeCell ref="Z1154:AA1154"/>
    <mergeCell ref="AB1154:AC1154"/>
    <mergeCell ref="B1154:C1154"/>
    <mergeCell ref="D1154:E1154"/>
    <mergeCell ref="F1154:G1154"/>
    <mergeCell ref="H1154:I1154"/>
    <mergeCell ref="J1154:K1154"/>
    <mergeCell ref="L1154:M1154"/>
    <mergeCell ref="N1154:O1154"/>
    <mergeCell ref="P1154:Q1154"/>
    <mergeCell ref="AL1153:BB1153"/>
    <mergeCell ref="AD1153:AE1153"/>
    <mergeCell ref="AF1153:AG1153"/>
    <mergeCell ref="AH1153:AI1153"/>
    <mergeCell ref="AJ1153:AK1153"/>
    <mergeCell ref="R1153:S1153"/>
    <mergeCell ref="T1153:U1153"/>
    <mergeCell ref="V1153:W1153"/>
    <mergeCell ref="X1153:Y1153"/>
    <mergeCell ref="Z1153:AA1153"/>
    <mergeCell ref="AB1153:AC1153"/>
    <mergeCell ref="B1153:C1153"/>
    <mergeCell ref="D1153:E1153"/>
    <mergeCell ref="F1153:G1153"/>
    <mergeCell ref="H1153:I1153"/>
    <mergeCell ref="J1153:K1153"/>
    <mergeCell ref="L1153:M1153"/>
    <mergeCell ref="N1153:O1153"/>
    <mergeCell ref="P1153:Q1153"/>
    <mergeCell ref="AL1152:BB1152"/>
    <mergeCell ref="AD1152:AE1152"/>
    <mergeCell ref="AF1152:AG1152"/>
    <mergeCell ref="AH1152:AI1152"/>
    <mergeCell ref="AJ1152:AK1152"/>
    <mergeCell ref="R1152:S1152"/>
    <mergeCell ref="T1152:U1152"/>
    <mergeCell ref="V1152:W1152"/>
    <mergeCell ref="X1152:Y1152"/>
    <mergeCell ref="Z1152:AA1152"/>
    <mergeCell ref="AB1152:AC1152"/>
    <mergeCell ref="B1152:C1152"/>
    <mergeCell ref="D1152:E1152"/>
    <mergeCell ref="F1152:G1152"/>
    <mergeCell ref="H1152:I1152"/>
    <mergeCell ref="J1152:K1152"/>
    <mergeCell ref="L1152:M1152"/>
    <mergeCell ref="N1152:O1152"/>
    <mergeCell ref="P1152:Q1152"/>
    <mergeCell ref="AL1151:BB1151"/>
    <mergeCell ref="AD1151:AE1151"/>
    <mergeCell ref="AF1151:AG1151"/>
    <mergeCell ref="AH1151:AI1151"/>
    <mergeCell ref="AJ1151:AK1151"/>
    <mergeCell ref="R1151:S1151"/>
    <mergeCell ref="T1151:U1151"/>
    <mergeCell ref="V1151:W1151"/>
    <mergeCell ref="X1151:Y1151"/>
    <mergeCell ref="Z1151:AA1151"/>
    <mergeCell ref="AB1151:AC1151"/>
    <mergeCell ref="B1151:C1151"/>
    <mergeCell ref="D1151:E1151"/>
    <mergeCell ref="F1151:G1151"/>
    <mergeCell ref="H1151:I1151"/>
    <mergeCell ref="J1151:K1151"/>
    <mergeCell ref="L1151:M1151"/>
    <mergeCell ref="N1151:O1151"/>
    <mergeCell ref="P1151:Q1151"/>
    <mergeCell ref="AL1150:BB1150"/>
    <mergeCell ref="AD1150:AE1150"/>
    <mergeCell ref="AF1150:AG1150"/>
    <mergeCell ref="AH1150:AI1150"/>
    <mergeCell ref="AJ1150:AK1150"/>
    <mergeCell ref="R1150:S1150"/>
    <mergeCell ref="T1150:U1150"/>
    <mergeCell ref="V1150:W1150"/>
    <mergeCell ref="X1150:Y1150"/>
    <mergeCell ref="Z1150:AA1150"/>
    <mergeCell ref="AB1150:AC1150"/>
    <mergeCell ref="B1150:C1150"/>
    <mergeCell ref="D1150:E1150"/>
    <mergeCell ref="F1150:G1150"/>
    <mergeCell ref="H1150:I1150"/>
    <mergeCell ref="J1150:K1150"/>
    <mergeCell ref="L1150:M1150"/>
    <mergeCell ref="N1150:O1150"/>
    <mergeCell ref="P1150:Q1150"/>
    <mergeCell ref="AL1149:BB1149"/>
    <mergeCell ref="AD1149:AE1149"/>
    <mergeCell ref="AF1149:AG1149"/>
    <mergeCell ref="AH1149:AI1149"/>
    <mergeCell ref="AJ1149:AK1149"/>
    <mergeCell ref="R1149:S1149"/>
    <mergeCell ref="T1149:U1149"/>
    <mergeCell ref="V1149:W1149"/>
    <mergeCell ref="X1149:Y1149"/>
    <mergeCell ref="Z1149:AA1149"/>
    <mergeCell ref="AB1149:AC1149"/>
    <mergeCell ref="B1149:C1149"/>
    <mergeCell ref="D1149:E1149"/>
    <mergeCell ref="F1149:G1149"/>
    <mergeCell ref="H1149:I1149"/>
    <mergeCell ref="J1149:K1149"/>
    <mergeCell ref="L1149:M1149"/>
    <mergeCell ref="N1149:O1149"/>
    <mergeCell ref="P1149:Q1149"/>
    <mergeCell ref="AL1148:BB1148"/>
    <mergeCell ref="AD1148:AE1148"/>
    <mergeCell ref="AF1148:AG1148"/>
    <mergeCell ref="AH1148:AI1148"/>
    <mergeCell ref="AJ1148:AK1148"/>
    <mergeCell ref="R1148:S1148"/>
    <mergeCell ref="T1148:U1148"/>
    <mergeCell ref="V1148:W1148"/>
    <mergeCell ref="X1148:Y1148"/>
    <mergeCell ref="Z1148:AA1148"/>
    <mergeCell ref="AB1148:AC1148"/>
    <mergeCell ref="B1148:C1148"/>
    <mergeCell ref="D1148:E1148"/>
    <mergeCell ref="F1148:G1148"/>
    <mergeCell ref="H1148:I1148"/>
    <mergeCell ref="J1148:K1148"/>
    <mergeCell ref="L1148:M1148"/>
    <mergeCell ref="N1148:O1148"/>
    <mergeCell ref="P1148:Q1148"/>
    <mergeCell ref="AL1147:BB1147"/>
    <mergeCell ref="AD1147:AE1147"/>
    <mergeCell ref="AF1147:AG1147"/>
    <mergeCell ref="AH1147:AI1147"/>
    <mergeCell ref="AJ1147:AK1147"/>
    <mergeCell ref="R1147:S1147"/>
    <mergeCell ref="T1147:U1147"/>
    <mergeCell ref="V1147:W1147"/>
    <mergeCell ref="X1147:Y1147"/>
    <mergeCell ref="Z1147:AA1147"/>
    <mergeCell ref="AB1147:AC1147"/>
    <mergeCell ref="B1147:C1147"/>
    <mergeCell ref="D1147:E1147"/>
    <mergeCell ref="F1147:G1147"/>
    <mergeCell ref="H1147:I1147"/>
    <mergeCell ref="J1147:K1147"/>
    <mergeCell ref="L1147:M1147"/>
    <mergeCell ref="N1147:O1147"/>
    <mergeCell ref="P1147:Q1147"/>
    <mergeCell ref="AL1146:BB1146"/>
    <mergeCell ref="AD1146:AE1146"/>
    <mergeCell ref="AF1146:AG1146"/>
    <mergeCell ref="AH1146:AI1146"/>
    <mergeCell ref="AJ1146:AK1146"/>
    <mergeCell ref="R1146:S1146"/>
    <mergeCell ref="T1146:U1146"/>
    <mergeCell ref="V1146:W1146"/>
    <mergeCell ref="X1146:Y1146"/>
    <mergeCell ref="Z1146:AA1146"/>
    <mergeCell ref="AB1146:AC1146"/>
    <mergeCell ref="B1146:C1146"/>
    <mergeCell ref="D1146:E1146"/>
    <mergeCell ref="F1146:G1146"/>
    <mergeCell ref="H1146:I1146"/>
    <mergeCell ref="J1146:K1146"/>
    <mergeCell ref="L1146:M1146"/>
    <mergeCell ref="N1146:O1146"/>
    <mergeCell ref="P1146:Q1146"/>
    <mergeCell ref="AL1145:BB1145"/>
    <mergeCell ref="AD1145:AE1145"/>
    <mergeCell ref="AF1145:AG1145"/>
    <mergeCell ref="AH1145:AI1145"/>
    <mergeCell ref="AJ1145:AK1145"/>
    <mergeCell ref="R1145:S1145"/>
    <mergeCell ref="T1145:U1145"/>
    <mergeCell ref="V1145:W1145"/>
    <mergeCell ref="X1145:Y1145"/>
    <mergeCell ref="Z1145:AA1145"/>
    <mergeCell ref="AB1145:AC1145"/>
    <mergeCell ref="B1145:C1145"/>
    <mergeCell ref="D1145:E1145"/>
    <mergeCell ref="F1145:G1145"/>
    <mergeCell ref="H1145:I1145"/>
    <mergeCell ref="J1145:K1145"/>
    <mergeCell ref="L1145:M1145"/>
    <mergeCell ref="N1145:O1145"/>
    <mergeCell ref="P1145:Q1145"/>
    <mergeCell ref="AL1144:BB1144"/>
    <mergeCell ref="AD1144:AE1144"/>
    <mergeCell ref="AF1144:AG1144"/>
    <mergeCell ref="AH1144:AI1144"/>
    <mergeCell ref="AJ1144:AK1144"/>
    <mergeCell ref="R1144:S1144"/>
    <mergeCell ref="T1144:U1144"/>
    <mergeCell ref="V1144:W1144"/>
    <mergeCell ref="X1144:Y1144"/>
    <mergeCell ref="Z1144:AA1144"/>
    <mergeCell ref="AB1144:AC1144"/>
    <mergeCell ref="B1144:C1144"/>
    <mergeCell ref="D1144:E1144"/>
    <mergeCell ref="F1144:G1144"/>
    <mergeCell ref="H1144:I1144"/>
    <mergeCell ref="J1144:K1144"/>
    <mergeCell ref="L1144:M1144"/>
    <mergeCell ref="N1144:O1144"/>
    <mergeCell ref="P1144:Q1144"/>
    <mergeCell ref="AL1143:BB1143"/>
    <mergeCell ref="AD1143:AE1143"/>
    <mergeCell ref="AF1143:AG1143"/>
    <mergeCell ref="AH1143:AI1143"/>
    <mergeCell ref="AJ1143:AK1143"/>
    <mergeCell ref="R1143:S1143"/>
    <mergeCell ref="T1143:U1143"/>
    <mergeCell ref="V1143:W1143"/>
    <mergeCell ref="X1143:Y1143"/>
    <mergeCell ref="Z1143:AA1143"/>
    <mergeCell ref="AB1143:AC1143"/>
    <mergeCell ref="B1143:C1143"/>
    <mergeCell ref="D1143:E1143"/>
    <mergeCell ref="F1143:G1143"/>
    <mergeCell ref="H1143:I1143"/>
    <mergeCell ref="J1143:K1143"/>
    <mergeCell ref="L1143:M1143"/>
    <mergeCell ref="N1143:O1143"/>
    <mergeCell ref="P1143:Q1143"/>
    <mergeCell ref="AL1142:BB1142"/>
    <mergeCell ref="AD1142:AE1142"/>
    <mergeCell ref="AF1142:AG1142"/>
    <mergeCell ref="AH1142:AI1142"/>
    <mergeCell ref="AJ1142:AK1142"/>
    <mergeCell ref="R1142:S1142"/>
    <mergeCell ref="T1142:U1142"/>
    <mergeCell ref="V1142:W1142"/>
    <mergeCell ref="X1142:Y1142"/>
    <mergeCell ref="Z1142:AA1142"/>
    <mergeCell ref="AB1142:AC1142"/>
    <mergeCell ref="B1142:C1142"/>
    <mergeCell ref="D1142:E1142"/>
    <mergeCell ref="F1142:G1142"/>
    <mergeCell ref="H1142:I1142"/>
    <mergeCell ref="J1142:K1142"/>
    <mergeCell ref="L1142:M1142"/>
    <mergeCell ref="N1142:O1142"/>
    <mergeCell ref="P1142:Q1142"/>
    <mergeCell ref="AL1141:BB1141"/>
    <mergeCell ref="AD1141:AE1141"/>
    <mergeCell ref="AF1141:AG1141"/>
    <mergeCell ref="AH1141:AI1141"/>
    <mergeCell ref="AJ1141:AK1141"/>
    <mergeCell ref="R1141:S1141"/>
    <mergeCell ref="T1141:U1141"/>
    <mergeCell ref="V1141:W1141"/>
    <mergeCell ref="X1141:Y1141"/>
    <mergeCell ref="Z1141:AA1141"/>
    <mergeCell ref="AB1141:AC1141"/>
    <mergeCell ref="B1141:C1141"/>
    <mergeCell ref="D1141:E1141"/>
    <mergeCell ref="F1141:G1141"/>
    <mergeCell ref="H1141:I1141"/>
    <mergeCell ref="J1141:K1141"/>
    <mergeCell ref="L1141:M1141"/>
    <mergeCell ref="N1141:O1141"/>
    <mergeCell ref="P1141:Q1141"/>
    <mergeCell ref="AL1140:BB1140"/>
    <mergeCell ref="AD1140:AE1140"/>
    <mergeCell ref="AF1140:AG1140"/>
    <mergeCell ref="AH1140:AI1140"/>
    <mergeCell ref="AJ1140:AK1140"/>
    <mergeCell ref="R1140:S1140"/>
    <mergeCell ref="T1140:U1140"/>
    <mergeCell ref="V1140:W1140"/>
    <mergeCell ref="X1140:Y1140"/>
    <mergeCell ref="Z1140:AA1140"/>
    <mergeCell ref="AB1140:AC1140"/>
    <mergeCell ref="B1140:C1140"/>
    <mergeCell ref="D1140:E1140"/>
    <mergeCell ref="F1140:G1140"/>
    <mergeCell ref="H1140:I1140"/>
    <mergeCell ref="J1140:K1140"/>
    <mergeCell ref="L1140:M1140"/>
    <mergeCell ref="N1140:O1140"/>
    <mergeCell ref="P1140:Q1140"/>
    <mergeCell ref="AL1139:BB1139"/>
    <mergeCell ref="AD1139:AE1139"/>
    <mergeCell ref="AF1139:AG1139"/>
    <mergeCell ref="AH1139:AI1139"/>
    <mergeCell ref="AJ1139:AK1139"/>
    <mergeCell ref="R1139:S1139"/>
    <mergeCell ref="T1139:U1139"/>
    <mergeCell ref="V1139:W1139"/>
    <mergeCell ref="X1139:Y1139"/>
    <mergeCell ref="Z1139:AA1139"/>
    <mergeCell ref="AB1139:AC1139"/>
    <mergeCell ref="B1139:C1139"/>
    <mergeCell ref="D1139:E1139"/>
    <mergeCell ref="F1139:G1139"/>
    <mergeCell ref="H1139:I1139"/>
    <mergeCell ref="J1139:K1139"/>
    <mergeCell ref="L1139:M1139"/>
    <mergeCell ref="N1139:O1139"/>
    <mergeCell ref="P1139:Q1139"/>
    <mergeCell ref="AL1138:BB1138"/>
    <mergeCell ref="AD1138:AE1138"/>
    <mergeCell ref="AF1138:AG1138"/>
    <mergeCell ref="AH1138:AI1138"/>
    <mergeCell ref="AJ1138:AK1138"/>
    <mergeCell ref="R1138:S1138"/>
    <mergeCell ref="T1138:U1138"/>
    <mergeCell ref="V1138:W1138"/>
    <mergeCell ref="X1138:Y1138"/>
    <mergeCell ref="Z1138:AA1138"/>
    <mergeCell ref="AB1138:AC1138"/>
    <mergeCell ref="B1138:C1138"/>
    <mergeCell ref="D1138:E1138"/>
    <mergeCell ref="F1138:G1138"/>
    <mergeCell ref="H1138:I1138"/>
    <mergeCell ref="J1138:K1138"/>
    <mergeCell ref="L1138:M1138"/>
    <mergeCell ref="N1138:O1138"/>
    <mergeCell ref="P1138:Q1138"/>
    <mergeCell ref="AL1137:BB1137"/>
    <mergeCell ref="AD1137:AE1137"/>
    <mergeCell ref="AF1137:AG1137"/>
    <mergeCell ref="AH1137:AI1137"/>
    <mergeCell ref="AJ1137:AK1137"/>
    <mergeCell ref="R1137:S1137"/>
    <mergeCell ref="T1137:U1137"/>
    <mergeCell ref="V1137:W1137"/>
    <mergeCell ref="X1137:Y1137"/>
    <mergeCell ref="Z1137:AA1137"/>
    <mergeCell ref="AB1137:AC1137"/>
    <mergeCell ref="B1137:C1137"/>
    <mergeCell ref="D1137:E1137"/>
    <mergeCell ref="F1137:G1137"/>
    <mergeCell ref="H1137:I1137"/>
    <mergeCell ref="J1137:K1137"/>
    <mergeCell ref="L1137:M1137"/>
    <mergeCell ref="N1137:O1137"/>
    <mergeCell ref="P1137:Q1137"/>
    <mergeCell ref="AL1136:BB1136"/>
    <mergeCell ref="AD1136:AE1136"/>
    <mergeCell ref="AF1136:AG1136"/>
    <mergeCell ref="AH1136:AI1136"/>
    <mergeCell ref="AJ1136:AK1136"/>
    <mergeCell ref="R1136:S1136"/>
    <mergeCell ref="T1136:U1136"/>
    <mergeCell ref="V1136:W1136"/>
    <mergeCell ref="X1136:Y1136"/>
    <mergeCell ref="Z1136:AA1136"/>
    <mergeCell ref="AB1136:AC1136"/>
    <mergeCell ref="B1136:C1136"/>
    <mergeCell ref="D1136:E1136"/>
    <mergeCell ref="F1136:G1136"/>
    <mergeCell ref="H1136:I1136"/>
    <mergeCell ref="J1136:K1136"/>
    <mergeCell ref="L1136:M1136"/>
    <mergeCell ref="N1136:O1136"/>
    <mergeCell ref="P1136:Q1136"/>
    <mergeCell ref="AL1135:BB1135"/>
    <mergeCell ref="AD1135:AE1135"/>
    <mergeCell ref="AF1135:AG1135"/>
    <mergeCell ref="AH1135:AI1135"/>
    <mergeCell ref="AJ1135:AK1135"/>
    <mergeCell ref="R1135:S1135"/>
    <mergeCell ref="T1135:U1135"/>
    <mergeCell ref="V1135:W1135"/>
    <mergeCell ref="X1135:Y1135"/>
    <mergeCell ref="Z1135:AA1135"/>
    <mergeCell ref="AB1135:AC1135"/>
    <mergeCell ref="B1135:C1135"/>
    <mergeCell ref="D1135:E1135"/>
    <mergeCell ref="F1135:G1135"/>
    <mergeCell ref="H1135:I1135"/>
    <mergeCell ref="J1135:K1135"/>
    <mergeCell ref="L1135:M1135"/>
    <mergeCell ref="N1135:O1135"/>
    <mergeCell ref="P1135:Q1135"/>
    <mergeCell ref="AL1134:BB1134"/>
    <mergeCell ref="AD1134:AE1134"/>
    <mergeCell ref="AF1134:AG1134"/>
    <mergeCell ref="AH1134:AI1134"/>
    <mergeCell ref="AJ1134:AK1134"/>
    <mergeCell ref="R1134:S1134"/>
    <mergeCell ref="T1134:U1134"/>
    <mergeCell ref="V1134:W1134"/>
    <mergeCell ref="X1134:Y1134"/>
    <mergeCell ref="Z1134:AA1134"/>
    <mergeCell ref="AB1134:AC1134"/>
    <mergeCell ref="B1134:C1134"/>
    <mergeCell ref="D1134:E1134"/>
    <mergeCell ref="F1134:G1134"/>
    <mergeCell ref="H1134:I1134"/>
    <mergeCell ref="J1134:K1134"/>
    <mergeCell ref="L1134:M1134"/>
    <mergeCell ref="N1134:O1134"/>
    <mergeCell ref="P1134:Q1134"/>
    <mergeCell ref="AL1133:BB1133"/>
    <mergeCell ref="AD1133:AE1133"/>
    <mergeCell ref="AF1133:AG1133"/>
    <mergeCell ref="AH1133:AI1133"/>
    <mergeCell ref="AJ1133:AK1133"/>
    <mergeCell ref="R1133:S1133"/>
    <mergeCell ref="T1133:U1133"/>
    <mergeCell ref="V1133:W1133"/>
    <mergeCell ref="X1133:Y1133"/>
    <mergeCell ref="Z1133:AA1133"/>
    <mergeCell ref="AB1133:AC1133"/>
    <mergeCell ref="B1133:C1133"/>
    <mergeCell ref="D1133:E1133"/>
    <mergeCell ref="F1133:G1133"/>
    <mergeCell ref="H1133:I1133"/>
    <mergeCell ref="J1133:K1133"/>
    <mergeCell ref="L1133:M1133"/>
    <mergeCell ref="N1133:O1133"/>
    <mergeCell ref="P1133:Q1133"/>
    <mergeCell ref="AL1132:BB1132"/>
    <mergeCell ref="AD1132:AE1132"/>
    <mergeCell ref="AF1132:AG1132"/>
    <mergeCell ref="AH1132:AI1132"/>
    <mergeCell ref="AJ1132:AK1132"/>
    <mergeCell ref="R1132:S1132"/>
    <mergeCell ref="T1132:U1132"/>
    <mergeCell ref="V1132:W1132"/>
    <mergeCell ref="X1132:Y1132"/>
    <mergeCell ref="Z1132:AA1132"/>
    <mergeCell ref="AB1132:AC1132"/>
    <mergeCell ref="B1132:C1132"/>
    <mergeCell ref="D1132:E1132"/>
    <mergeCell ref="F1132:G1132"/>
    <mergeCell ref="H1132:I1132"/>
    <mergeCell ref="J1132:K1132"/>
    <mergeCell ref="L1132:M1132"/>
    <mergeCell ref="N1132:O1132"/>
    <mergeCell ref="P1132:Q1132"/>
    <mergeCell ref="AL1131:BB1131"/>
    <mergeCell ref="AD1131:AE1131"/>
    <mergeCell ref="AF1131:AG1131"/>
    <mergeCell ref="AH1131:AI1131"/>
    <mergeCell ref="AJ1131:AK1131"/>
    <mergeCell ref="R1131:S1131"/>
    <mergeCell ref="T1131:U1131"/>
    <mergeCell ref="V1131:W1131"/>
    <mergeCell ref="X1131:Y1131"/>
    <mergeCell ref="Z1131:AA1131"/>
    <mergeCell ref="AB1131:AC1131"/>
    <mergeCell ref="B1131:C1131"/>
    <mergeCell ref="D1131:E1131"/>
    <mergeCell ref="F1131:G1131"/>
    <mergeCell ref="H1131:I1131"/>
    <mergeCell ref="J1131:K1131"/>
    <mergeCell ref="L1131:M1131"/>
    <mergeCell ref="N1131:O1131"/>
    <mergeCell ref="P1131:Q1131"/>
    <mergeCell ref="AL1130:BB1130"/>
    <mergeCell ref="AD1130:AE1130"/>
    <mergeCell ref="AF1130:AG1130"/>
    <mergeCell ref="AH1130:AI1130"/>
    <mergeCell ref="AJ1130:AK1130"/>
    <mergeCell ref="R1130:S1130"/>
    <mergeCell ref="T1130:U1130"/>
    <mergeCell ref="V1130:W1130"/>
    <mergeCell ref="X1130:Y1130"/>
    <mergeCell ref="Z1130:AA1130"/>
    <mergeCell ref="AB1130:AC1130"/>
    <mergeCell ref="B1130:C1130"/>
    <mergeCell ref="D1130:E1130"/>
    <mergeCell ref="F1130:G1130"/>
    <mergeCell ref="H1130:I1130"/>
    <mergeCell ref="J1130:K1130"/>
    <mergeCell ref="L1130:M1130"/>
    <mergeCell ref="N1130:O1130"/>
    <mergeCell ref="P1130:Q1130"/>
    <mergeCell ref="AL1129:BB1129"/>
    <mergeCell ref="AD1129:AE1129"/>
    <mergeCell ref="AF1129:AG1129"/>
    <mergeCell ref="AH1129:AI1129"/>
    <mergeCell ref="AJ1129:AK1129"/>
    <mergeCell ref="R1129:S1129"/>
    <mergeCell ref="T1129:U1129"/>
    <mergeCell ref="V1129:W1129"/>
    <mergeCell ref="X1129:Y1129"/>
    <mergeCell ref="Z1129:AA1129"/>
    <mergeCell ref="AB1129:AC1129"/>
    <mergeCell ref="B1129:C1129"/>
    <mergeCell ref="D1129:E1129"/>
    <mergeCell ref="F1129:G1129"/>
    <mergeCell ref="H1129:I1129"/>
    <mergeCell ref="J1129:K1129"/>
    <mergeCell ref="L1129:M1129"/>
    <mergeCell ref="N1129:O1129"/>
    <mergeCell ref="P1129:Q1129"/>
    <mergeCell ref="AL1128:BB1128"/>
    <mergeCell ref="AD1128:AE1128"/>
    <mergeCell ref="AF1128:AG1128"/>
    <mergeCell ref="AH1128:AI1128"/>
    <mergeCell ref="AJ1128:AK1128"/>
    <mergeCell ref="R1128:S1128"/>
    <mergeCell ref="T1128:U1128"/>
    <mergeCell ref="V1128:W1128"/>
    <mergeCell ref="X1128:Y1128"/>
    <mergeCell ref="Z1128:AA1128"/>
    <mergeCell ref="AB1128:AC1128"/>
    <mergeCell ref="B1128:C1128"/>
    <mergeCell ref="D1128:E1128"/>
    <mergeCell ref="F1128:G1128"/>
    <mergeCell ref="H1128:I1128"/>
    <mergeCell ref="J1128:K1128"/>
    <mergeCell ref="L1128:M1128"/>
    <mergeCell ref="N1128:O1128"/>
    <mergeCell ref="P1128:Q1128"/>
    <mergeCell ref="AL1127:BB1127"/>
    <mergeCell ref="AD1127:AE1127"/>
    <mergeCell ref="AF1127:AG1127"/>
    <mergeCell ref="AH1127:AI1127"/>
    <mergeCell ref="AJ1127:AK1127"/>
    <mergeCell ref="R1127:S1127"/>
    <mergeCell ref="T1127:U1127"/>
    <mergeCell ref="V1127:W1127"/>
    <mergeCell ref="X1127:Y1127"/>
    <mergeCell ref="Z1127:AA1127"/>
    <mergeCell ref="AB1127:AC1127"/>
    <mergeCell ref="B1127:C1127"/>
    <mergeCell ref="D1127:E1127"/>
    <mergeCell ref="F1127:G1127"/>
    <mergeCell ref="H1127:I1127"/>
    <mergeCell ref="J1127:K1127"/>
    <mergeCell ref="L1127:M1127"/>
    <mergeCell ref="N1127:O1127"/>
    <mergeCell ref="P1127:Q1127"/>
    <mergeCell ref="AL1126:BB1126"/>
    <mergeCell ref="AD1126:AE1126"/>
    <mergeCell ref="AF1126:AG1126"/>
    <mergeCell ref="AH1126:AI1126"/>
    <mergeCell ref="AJ1126:AK1126"/>
    <mergeCell ref="R1126:S1126"/>
    <mergeCell ref="T1126:U1126"/>
    <mergeCell ref="V1126:W1126"/>
    <mergeCell ref="X1126:Y1126"/>
    <mergeCell ref="Z1126:AA1126"/>
    <mergeCell ref="AB1126:AC1126"/>
    <mergeCell ref="B1126:C1126"/>
    <mergeCell ref="D1126:E1126"/>
    <mergeCell ref="F1126:G1126"/>
    <mergeCell ref="H1126:I1126"/>
    <mergeCell ref="J1126:K1126"/>
    <mergeCell ref="L1126:M1126"/>
    <mergeCell ref="N1126:O1126"/>
    <mergeCell ref="P1126:Q1126"/>
    <mergeCell ref="AL1125:BB1125"/>
    <mergeCell ref="AD1125:AE1125"/>
    <mergeCell ref="AF1125:AG1125"/>
    <mergeCell ref="AH1125:AI1125"/>
    <mergeCell ref="AJ1125:AK1125"/>
    <mergeCell ref="R1125:S1125"/>
    <mergeCell ref="T1125:U1125"/>
    <mergeCell ref="V1125:W1125"/>
    <mergeCell ref="X1125:Y1125"/>
    <mergeCell ref="Z1125:AA1125"/>
    <mergeCell ref="AB1125:AC1125"/>
    <mergeCell ref="B1125:C1125"/>
    <mergeCell ref="D1125:E1125"/>
    <mergeCell ref="F1125:G1125"/>
    <mergeCell ref="H1125:I1125"/>
    <mergeCell ref="J1125:K1125"/>
    <mergeCell ref="L1125:M1125"/>
    <mergeCell ref="N1125:O1125"/>
    <mergeCell ref="P1125:Q1125"/>
    <mergeCell ref="AL1124:BB1124"/>
    <mergeCell ref="AD1124:AE1124"/>
    <mergeCell ref="AF1124:AG1124"/>
    <mergeCell ref="AH1124:AI1124"/>
    <mergeCell ref="AJ1124:AK1124"/>
    <mergeCell ref="R1124:S1124"/>
    <mergeCell ref="T1124:U1124"/>
    <mergeCell ref="V1124:W1124"/>
    <mergeCell ref="X1124:Y1124"/>
    <mergeCell ref="Z1124:AA1124"/>
    <mergeCell ref="AB1124:AC1124"/>
    <mergeCell ref="B1124:C1124"/>
    <mergeCell ref="D1124:E1124"/>
    <mergeCell ref="F1124:G1124"/>
    <mergeCell ref="H1124:I1124"/>
    <mergeCell ref="J1124:K1124"/>
    <mergeCell ref="L1124:M1124"/>
    <mergeCell ref="N1124:O1124"/>
    <mergeCell ref="P1124:Q1124"/>
    <mergeCell ref="AL1123:BB1123"/>
    <mergeCell ref="AD1123:AE1123"/>
    <mergeCell ref="AF1123:AG1123"/>
    <mergeCell ref="AH1123:AI1123"/>
    <mergeCell ref="AJ1123:AK1123"/>
    <mergeCell ref="R1123:S1123"/>
    <mergeCell ref="T1123:U1123"/>
    <mergeCell ref="V1123:W1123"/>
    <mergeCell ref="X1123:Y1123"/>
    <mergeCell ref="Z1123:AA1123"/>
    <mergeCell ref="AB1123:AC1123"/>
    <mergeCell ref="B1123:C1123"/>
    <mergeCell ref="D1123:E1123"/>
    <mergeCell ref="F1123:G1123"/>
    <mergeCell ref="H1123:I1123"/>
    <mergeCell ref="J1123:K1123"/>
    <mergeCell ref="L1123:M1123"/>
    <mergeCell ref="N1123:O1123"/>
    <mergeCell ref="P1123:Q1123"/>
    <mergeCell ref="AL1122:BB1122"/>
    <mergeCell ref="AD1122:AE1122"/>
    <mergeCell ref="AF1122:AG1122"/>
    <mergeCell ref="AH1122:AI1122"/>
    <mergeCell ref="AJ1122:AK1122"/>
    <mergeCell ref="R1122:S1122"/>
    <mergeCell ref="T1122:U1122"/>
    <mergeCell ref="V1122:W1122"/>
    <mergeCell ref="X1122:Y1122"/>
    <mergeCell ref="Z1122:AA1122"/>
    <mergeCell ref="AB1122:AC1122"/>
    <mergeCell ref="B1122:C1122"/>
    <mergeCell ref="D1122:E1122"/>
    <mergeCell ref="F1122:G1122"/>
    <mergeCell ref="H1122:I1122"/>
    <mergeCell ref="J1122:K1122"/>
    <mergeCell ref="L1122:M1122"/>
    <mergeCell ref="N1122:O1122"/>
    <mergeCell ref="P1122:Q1122"/>
    <mergeCell ref="AL1121:BB1121"/>
    <mergeCell ref="AD1121:AE1121"/>
    <mergeCell ref="AF1121:AG1121"/>
    <mergeCell ref="AH1121:AI1121"/>
    <mergeCell ref="AJ1121:AK1121"/>
    <mergeCell ref="R1121:S1121"/>
    <mergeCell ref="T1121:U1121"/>
    <mergeCell ref="V1121:W1121"/>
    <mergeCell ref="X1121:Y1121"/>
    <mergeCell ref="Z1121:AA1121"/>
    <mergeCell ref="AB1121:AC1121"/>
    <mergeCell ref="B1121:C1121"/>
    <mergeCell ref="D1121:E1121"/>
    <mergeCell ref="F1121:G1121"/>
    <mergeCell ref="H1121:I1121"/>
    <mergeCell ref="J1121:K1121"/>
    <mergeCell ref="L1121:M1121"/>
    <mergeCell ref="N1121:O1121"/>
    <mergeCell ref="P1121:Q1121"/>
    <mergeCell ref="AL1120:BB1120"/>
    <mergeCell ref="AD1120:AE1120"/>
    <mergeCell ref="AF1120:AG1120"/>
    <mergeCell ref="AH1120:AI1120"/>
    <mergeCell ref="AJ1120:AK1120"/>
    <mergeCell ref="R1120:S1120"/>
    <mergeCell ref="T1120:U1120"/>
    <mergeCell ref="V1120:W1120"/>
    <mergeCell ref="X1120:Y1120"/>
    <mergeCell ref="Z1120:AA1120"/>
    <mergeCell ref="AB1120:AC1120"/>
    <mergeCell ref="B1120:C1120"/>
    <mergeCell ref="D1120:E1120"/>
    <mergeCell ref="F1120:G1120"/>
    <mergeCell ref="H1120:I1120"/>
    <mergeCell ref="J1120:K1120"/>
    <mergeCell ref="L1120:M1120"/>
    <mergeCell ref="N1120:O1120"/>
    <mergeCell ref="P1120:Q1120"/>
    <mergeCell ref="AL1119:BB1119"/>
    <mergeCell ref="AD1119:AE1119"/>
    <mergeCell ref="AF1119:AG1119"/>
    <mergeCell ref="AH1119:AI1119"/>
    <mergeCell ref="AJ1119:AK1119"/>
    <mergeCell ref="R1119:S1119"/>
    <mergeCell ref="T1119:U1119"/>
    <mergeCell ref="V1119:W1119"/>
    <mergeCell ref="X1119:Y1119"/>
    <mergeCell ref="Z1119:AA1119"/>
    <mergeCell ref="AB1119:AC1119"/>
    <mergeCell ref="B1119:C1119"/>
    <mergeCell ref="D1119:E1119"/>
    <mergeCell ref="F1119:G1119"/>
    <mergeCell ref="H1119:I1119"/>
    <mergeCell ref="J1119:K1119"/>
    <mergeCell ref="L1119:M1119"/>
    <mergeCell ref="N1119:O1119"/>
    <mergeCell ref="P1119:Q1119"/>
    <mergeCell ref="AL1118:BB1118"/>
    <mergeCell ref="AD1118:AE1118"/>
    <mergeCell ref="AF1118:AG1118"/>
    <mergeCell ref="AH1118:AI1118"/>
    <mergeCell ref="AJ1118:AK1118"/>
    <mergeCell ref="R1118:S1118"/>
    <mergeCell ref="T1118:U1118"/>
    <mergeCell ref="V1118:W1118"/>
    <mergeCell ref="X1118:Y1118"/>
    <mergeCell ref="Z1118:AA1118"/>
    <mergeCell ref="AB1118:AC1118"/>
    <mergeCell ref="B1118:C1118"/>
    <mergeCell ref="D1118:E1118"/>
    <mergeCell ref="F1118:G1118"/>
    <mergeCell ref="H1118:I1118"/>
    <mergeCell ref="J1118:K1118"/>
    <mergeCell ref="L1118:M1118"/>
    <mergeCell ref="N1118:O1118"/>
    <mergeCell ref="P1118:Q1118"/>
    <mergeCell ref="AL1117:BB1117"/>
    <mergeCell ref="AD1117:AE1117"/>
    <mergeCell ref="AF1117:AG1117"/>
    <mergeCell ref="AH1117:AI1117"/>
    <mergeCell ref="AJ1117:AK1117"/>
    <mergeCell ref="R1117:S1117"/>
    <mergeCell ref="T1117:U1117"/>
    <mergeCell ref="V1117:W1117"/>
    <mergeCell ref="X1117:Y1117"/>
    <mergeCell ref="Z1117:AA1117"/>
    <mergeCell ref="AB1117:AC1117"/>
    <mergeCell ref="B1117:C1117"/>
    <mergeCell ref="D1117:E1117"/>
    <mergeCell ref="F1117:G1117"/>
    <mergeCell ref="H1117:I1117"/>
    <mergeCell ref="J1117:K1117"/>
    <mergeCell ref="L1117:M1117"/>
    <mergeCell ref="N1117:O1117"/>
    <mergeCell ref="P1117:Q1117"/>
    <mergeCell ref="AL1116:BB1116"/>
    <mergeCell ref="AD1116:AE1116"/>
    <mergeCell ref="AF1116:AG1116"/>
    <mergeCell ref="AH1116:AI1116"/>
    <mergeCell ref="AJ1116:AK1116"/>
    <mergeCell ref="R1116:S1116"/>
    <mergeCell ref="T1116:U1116"/>
    <mergeCell ref="V1116:W1116"/>
    <mergeCell ref="X1116:Y1116"/>
    <mergeCell ref="Z1116:AA1116"/>
    <mergeCell ref="AB1116:AC1116"/>
    <mergeCell ref="B1116:C1116"/>
    <mergeCell ref="D1116:E1116"/>
    <mergeCell ref="F1116:G1116"/>
    <mergeCell ref="H1116:I1116"/>
    <mergeCell ref="J1116:K1116"/>
    <mergeCell ref="L1116:M1116"/>
    <mergeCell ref="N1116:O1116"/>
    <mergeCell ref="P1116:Q1116"/>
    <mergeCell ref="AL1115:BB1115"/>
    <mergeCell ref="AD1115:AE1115"/>
    <mergeCell ref="AF1115:AG1115"/>
    <mergeCell ref="AH1115:AI1115"/>
    <mergeCell ref="AJ1115:AK1115"/>
    <mergeCell ref="R1115:S1115"/>
    <mergeCell ref="T1115:U1115"/>
    <mergeCell ref="V1115:W1115"/>
    <mergeCell ref="X1115:Y1115"/>
    <mergeCell ref="Z1115:AA1115"/>
    <mergeCell ref="AB1115:AC1115"/>
    <mergeCell ref="B1115:C1115"/>
    <mergeCell ref="D1115:E1115"/>
    <mergeCell ref="F1115:G1115"/>
    <mergeCell ref="H1115:I1115"/>
    <mergeCell ref="J1115:K1115"/>
    <mergeCell ref="L1115:M1115"/>
    <mergeCell ref="N1115:O1115"/>
    <mergeCell ref="P1115:Q1115"/>
    <mergeCell ref="AL1114:BB1114"/>
    <mergeCell ref="AD1114:AE1114"/>
    <mergeCell ref="AF1114:AG1114"/>
    <mergeCell ref="AH1114:AI1114"/>
    <mergeCell ref="AJ1114:AK1114"/>
    <mergeCell ref="R1114:S1114"/>
    <mergeCell ref="T1114:U1114"/>
    <mergeCell ref="V1114:W1114"/>
    <mergeCell ref="X1114:Y1114"/>
    <mergeCell ref="Z1114:AA1114"/>
    <mergeCell ref="AB1114:AC1114"/>
    <mergeCell ref="B1114:C1114"/>
    <mergeCell ref="D1114:E1114"/>
    <mergeCell ref="F1114:G1114"/>
    <mergeCell ref="H1114:I1114"/>
    <mergeCell ref="J1114:K1114"/>
    <mergeCell ref="L1114:M1114"/>
    <mergeCell ref="N1114:O1114"/>
    <mergeCell ref="P1114:Q1114"/>
    <mergeCell ref="AL1113:BB1113"/>
    <mergeCell ref="AD1113:AE1113"/>
    <mergeCell ref="AF1113:AG1113"/>
    <mergeCell ref="AH1113:AI1113"/>
    <mergeCell ref="AJ1113:AK1113"/>
    <mergeCell ref="R1113:S1113"/>
    <mergeCell ref="T1113:U1113"/>
    <mergeCell ref="V1113:W1113"/>
    <mergeCell ref="X1113:Y1113"/>
    <mergeCell ref="Z1113:AA1113"/>
    <mergeCell ref="AB1113:AC1113"/>
    <mergeCell ref="B1113:C1113"/>
    <mergeCell ref="D1113:E1113"/>
    <mergeCell ref="F1113:G1113"/>
    <mergeCell ref="H1113:I1113"/>
    <mergeCell ref="J1113:K1113"/>
    <mergeCell ref="L1113:M1113"/>
    <mergeCell ref="N1113:O1113"/>
    <mergeCell ref="P1113:Q1113"/>
    <mergeCell ref="AL1112:BB1112"/>
    <mergeCell ref="AD1112:AE1112"/>
    <mergeCell ref="AF1112:AG1112"/>
    <mergeCell ref="AH1112:AI1112"/>
    <mergeCell ref="AJ1112:AK1112"/>
    <mergeCell ref="R1112:S1112"/>
    <mergeCell ref="T1112:U1112"/>
    <mergeCell ref="V1112:W1112"/>
    <mergeCell ref="X1112:Y1112"/>
    <mergeCell ref="Z1112:AA1112"/>
    <mergeCell ref="AB1112:AC1112"/>
    <mergeCell ref="B1112:C1112"/>
    <mergeCell ref="D1112:E1112"/>
    <mergeCell ref="F1112:G1112"/>
    <mergeCell ref="H1112:I1112"/>
    <mergeCell ref="J1112:K1112"/>
    <mergeCell ref="L1112:M1112"/>
    <mergeCell ref="N1112:O1112"/>
    <mergeCell ref="P1112:Q1112"/>
    <mergeCell ref="AL1111:BB1111"/>
    <mergeCell ref="AD1111:AE1111"/>
    <mergeCell ref="AF1111:AG1111"/>
    <mergeCell ref="AH1111:AI1111"/>
    <mergeCell ref="AJ1111:AK1111"/>
    <mergeCell ref="R1111:S1111"/>
    <mergeCell ref="T1111:U1111"/>
    <mergeCell ref="V1111:W1111"/>
    <mergeCell ref="X1111:Y1111"/>
    <mergeCell ref="Z1111:AA1111"/>
    <mergeCell ref="AB1111:AC1111"/>
    <mergeCell ref="B1111:C1111"/>
    <mergeCell ref="D1111:E1111"/>
    <mergeCell ref="F1111:G1111"/>
    <mergeCell ref="H1111:I1111"/>
    <mergeCell ref="J1111:K1111"/>
    <mergeCell ref="L1111:M1111"/>
    <mergeCell ref="N1111:O1111"/>
    <mergeCell ref="P1111:Q1111"/>
    <mergeCell ref="AL1110:BB1110"/>
    <mergeCell ref="AD1110:AE1110"/>
    <mergeCell ref="AF1110:AG1110"/>
    <mergeCell ref="AH1110:AI1110"/>
    <mergeCell ref="AJ1110:AK1110"/>
    <mergeCell ref="R1110:S1110"/>
    <mergeCell ref="T1110:U1110"/>
    <mergeCell ref="V1110:W1110"/>
    <mergeCell ref="X1110:Y1110"/>
    <mergeCell ref="Z1110:AA1110"/>
    <mergeCell ref="AB1110:AC1110"/>
    <mergeCell ref="B1110:C1110"/>
    <mergeCell ref="D1110:E1110"/>
    <mergeCell ref="F1110:G1110"/>
    <mergeCell ref="H1110:I1110"/>
    <mergeCell ref="J1110:K1110"/>
    <mergeCell ref="L1110:M1110"/>
    <mergeCell ref="N1110:O1110"/>
    <mergeCell ref="P1110:Q1110"/>
    <mergeCell ref="AL1109:BB1109"/>
    <mergeCell ref="AD1109:AE1109"/>
    <mergeCell ref="AF1109:AG1109"/>
    <mergeCell ref="AH1109:AI1109"/>
    <mergeCell ref="AJ1109:AK1109"/>
    <mergeCell ref="R1109:S1109"/>
    <mergeCell ref="T1109:U1109"/>
    <mergeCell ref="V1109:W1109"/>
    <mergeCell ref="X1109:Y1109"/>
    <mergeCell ref="Z1109:AA1109"/>
    <mergeCell ref="AB1109:AC1109"/>
    <mergeCell ref="B1109:C1109"/>
    <mergeCell ref="D1109:E1109"/>
    <mergeCell ref="F1109:G1109"/>
    <mergeCell ref="H1109:I1109"/>
    <mergeCell ref="J1109:K1109"/>
    <mergeCell ref="L1109:M1109"/>
    <mergeCell ref="N1109:O1109"/>
    <mergeCell ref="P1109:Q1109"/>
    <mergeCell ref="AL1108:BB1108"/>
    <mergeCell ref="AD1108:AE1108"/>
    <mergeCell ref="AF1108:AG1108"/>
    <mergeCell ref="AH1108:AI1108"/>
    <mergeCell ref="AJ1108:AK1108"/>
    <mergeCell ref="R1108:S1108"/>
    <mergeCell ref="T1108:U1108"/>
    <mergeCell ref="V1108:W1108"/>
    <mergeCell ref="X1108:Y1108"/>
    <mergeCell ref="Z1108:AA1108"/>
    <mergeCell ref="AB1108:AC1108"/>
    <mergeCell ref="B1108:C1108"/>
    <mergeCell ref="D1108:E1108"/>
    <mergeCell ref="F1108:G1108"/>
    <mergeCell ref="H1108:I1108"/>
    <mergeCell ref="J1108:K1108"/>
    <mergeCell ref="L1108:M1108"/>
    <mergeCell ref="N1108:O1108"/>
    <mergeCell ref="P1108:Q1108"/>
    <mergeCell ref="AL1107:BB1107"/>
    <mergeCell ref="AD1107:AE1107"/>
    <mergeCell ref="AF1107:AG1107"/>
    <mergeCell ref="AH1107:AI1107"/>
    <mergeCell ref="AJ1107:AK1107"/>
    <mergeCell ref="R1107:S1107"/>
    <mergeCell ref="T1107:U1107"/>
    <mergeCell ref="V1107:W1107"/>
    <mergeCell ref="X1107:Y1107"/>
    <mergeCell ref="Z1107:AA1107"/>
    <mergeCell ref="AB1107:AC1107"/>
    <mergeCell ref="B1107:C1107"/>
    <mergeCell ref="D1107:E1107"/>
    <mergeCell ref="F1107:G1107"/>
    <mergeCell ref="H1107:I1107"/>
    <mergeCell ref="J1107:K1107"/>
    <mergeCell ref="L1107:M1107"/>
    <mergeCell ref="N1107:O1107"/>
    <mergeCell ref="P1107:Q1107"/>
    <mergeCell ref="AL1106:BB1106"/>
    <mergeCell ref="Z1106:AA1106"/>
    <mergeCell ref="AB1106:AC1106"/>
    <mergeCell ref="AD1106:AE1106"/>
    <mergeCell ref="AF1106:AG1106"/>
    <mergeCell ref="AH1106:AI1106"/>
    <mergeCell ref="AJ1106:AK1106"/>
    <mergeCell ref="N1106:O1106"/>
    <mergeCell ref="P1106:Q1106"/>
    <mergeCell ref="R1106:S1106"/>
    <mergeCell ref="T1106:U1106"/>
    <mergeCell ref="V1106:W1106"/>
    <mergeCell ref="X1106:Y1106"/>
    <mergeCell ref="B1106:C1106"/>
    <mergeCell ref="D1106:E1106"/>
    <mergeCell ref="F1106:G1106"/>
    <mergeCell ref="H1106:I1106"/>
    <mergeCell ref="J1106:K1106"/>
    <mergeCell ref="L1106:M1106"/>
    <mergeCell ref="AL1105:BB1105"/>
    <mergeCell ref="AD1105:AE1105"/>
    <mergeCell ref="AF1105:AG1105"/>
    <mergeCell ref="AH1105:AI1105"/>
    <mergeCell ref="AJ1105:AK1105"/>
    <mergeCell ref="R1105:S1105"/>
    <mergeCell ref="T1105:U1105"/>
    <mergeCell ref="V1105:W1105"/>
    <mergeCell ref="X1105:Y1105"/>
    <mergeCell ref="Z1105:AA1105"/>
    <mergeCell ref="AB1105:AC1105"/>
    <mergeCell ref="B1105:C1105"/>
    <mergeCell ref="D1105:E1105"/>
    <mergeCell ref="F1105:G1105"/>
    <mergeCell ref="H1105:I1105"/>
    <mergeCell ref="J1105:K1105"/>
    <mergeCell ref="L1105:M1105"/>
    <mergeCell ref="N1105:O1105"/>
    <mergeCell ref="P1105:Q1105"/>
    <mergeCell ref="AL1104:BB1104"/>
    <mergeCell ref="Z1104:AA1104"/>
    <mergeCell ref="AB1104:AC1104"/>
    <mergeCell ref="AD1104:AE1104"/>
    <mergeCell ref="AF1104:AG1104"/>
    <mergeCell ref="AH1104:AI1104"/>
    <mergeCell ref="AJ1104:AK1104"/>
    <mergeCell ref="N1104:O1104"/>
    <mergeCell ref="P1104:Q1104"/>
    <mergeCell ref="R1104:S1104"/>
    <mergeCell ref="T1104:U1104"/>
    <mergeCell ref="V1104:W1104"/>
    <mergeCell ref="X1104:Y1104"/>
    <mergeCell ref="B1104:C1104"/>
    <mergeCell ref="D1104:E1104"/>
    <mergeCell ref="F1104:G1104"/>
    <mergeCell ref="H1104:I1104"/>
    <mergeCell ref="J1104:K1104"/>
    <mergeCell ref="L1104:M1104"/>
    <mergeCell ref="AL1103:BB1103"/>
    <mergeCell ref="AD1103:AE1103"/>
    <mergeCell ref="AF1103:AG1103"/>
    <mergeCell ref="AH1103:AI1103"/>
    <mergeCell ref="AJ1103:AK1103"/>
    <mergeCell ref="R1103:S1103"/>
    <mergeCell ref="T1103:U1103"/>
    <mergeCell ref="V1103:W1103"/>
    <mergeCell ref="X1103:Y1103"/>
    <mergeCell ref="Z1103:AA1103"/>
    <mergeCell ref="AB1103:AC1103"/>
    <mergeCell ref="B1103:C1103"/>
    <mergeCell ref="D1103:E1103"/>
    <mergeCell ref="F1103:G1103"/>
    <mergeCell ref="H1103:I1103"/>
    <mergeCell ref="J1103:K1103"/>
    <mergeCell ref="L1103:M1103"/>
    <mergeCell ref="N1103:O1103"/>
    <mergeCell ref="P1103:Q1103"/>
    <mergeCell ref="AL1102:BB1102"/>
    <mergeCell ref="Z1102:AA1102"/>
    <mergeCell ref="AB1102:AC1102"/>
    <mergeCell ref="AD1102:AE1102"/>
    <mergeCell ref="AF1102:AG1102"/>
    <mergeCell ref="AH1102:AI1102"/>
    <mergeCell ref="AJ1102:AK1102"/>
    <mergeCell ref="N1102:O1102"/>
    <mergeCell ref="P1102:Q1102"/>
    <mergeCell ref="R1102:S1102"/>
    <mergeCell ref="T1102:U1102"/>
    <mergeCell ref="V1102:W1102"/>
    <mergeCell ref="X1102:Y1102"/>
    <mergeCell ref="B1102:C1102"/>
    <mergeCell ref="D1102:E1102"/>
    <mergeCell ref="F1102:G1102"/>
    <mergeCell ref="H1102:I1102"/>
    <mergeCell ref="J1102:K1102"/>
    <mergeCell ref="L1102:M1102"/>
    <mergeCell ref="AL1101:BB1101"/>
    <mergeCell ref="AD1101:AE1101"/>
    <mergeCell ref="AF1101:AG1101"/>
    <mergeCell ref="AH1101:AI1101"/>
    <mergeCell ref="AJ1101:AK1101"/>
    <mergeCell ref="R1101:S1101"/>
    <mergeCell ref="T1101:U1101"/>
    <mergeCell ref="V1101:W1101"/>
    <mergeCell ref="X1101:Y1101"/>
    <mergeCell ref="Z1101:AA1101"/>
    <mergeCell ref="AB1101:AC1101"/>
    <mergeCell ref="B1101:C1101"/>
    <mergeCell ref="D1101:E1101"/>
    <mergeCell ref="F1101:G1101"/>
    <mergeCell ref="H1101:I1101"/>
    <mergeCell ref="J1101:K1101"/>
    <mergeCell ref="L1101:M1101"/>
    <mergeCell ref="N1101:O1101"/>
    <mergeCell ref="P1101:Q1101"/>
    <mergeCell ref="AL1100:BB1100"/>
    <mergeCell ref="Z1100:AA1100"/>
    <mergeCell ref="AB1100:AC1100"/>
    <mergeCell ref="AD1100:AE1100"/>
    <mergeCell ref="AF1100:AG1100"/>
    <mergeCell ref="AH1100:AI1100"/>
    <mergeCell ref="AJ1100:AK1100"/>
    <mergeCell ref="N1100:O1100"/>
    <mergeCell ref="P1100:Q1100"/>
    <mergeCell ref="R1100:S1100"/>
    <mergeCell ref="T1100:U1100"/>
    <mergeCell ref="V1100:W1100"/>
    <mergeCell ref="X1100:Y1100"/>
    <mergeCell ref="B1100:C1100"/>
    <mergeCell ref="D1100:E1100"/>
    <mergeCell ref="F1100:G1100"/>
    <mergeCell ref="H1100:I1100"/>
    <mergeCell ref="J1100:K1100"/>
    <mergeCell ref="L1100:M1100"/>
    <mergeCell ref="AL1099:BB1099"/>
    <mergeCell ref="AD1099:AE1099"/>
    <mergeCell ref="AF1099:AG1099"/>
    <mergeCell ref="AH1099:AI1099"/>
    <mergeCell ref="AJ1099:AK1099"/>
    <mergeCell ref="R1099:S1099"/>
    <mergeCell ref="T1099:U1099"/>
    <mergeCell ref="V1099:W1099"/>
    <mergeCell ref="X1099:Y1099"/>
    <mergeCell ref="Z1099:AA1099"/>
    <mergeCell ref="AB1099:AC1099"/>
    <mergeCell ref="B1099:C1099"/>
    <mergeCell ref="D1099:E1099"/>
    <mergeCell ref="F1099:G1099"/>
    <mergeCell ref="H1099:I1099"/>
    <mergeCell ref="J1099:K1099"/>
    <mergeCell ref="L1099:M1099"/>
    <mergeCell ref="N1099:O1099"/>
    <mergeCell ref="P1099:Q1099"/>
    <mergeCell ref="AL1098:BB1098"/>
    <mergeCell ref="Z1098:AA1098"/>
    <mergeCell ref="AB1098:AC1098"/>
    <mergeCell ref="AD1098:AE1098"/>
    <mergeCell ref="AF1098:AG1098"/>
    <mergeCell ref="AH1098:AI1098"/>
    <mergeCell ref="AJ1098:AK1098"/>
    <mergeCell ref="N1098:O1098"/>
    <mergeCell ref="P1098:Q1098"/>
    <mergeCell ref="R1098:S1098"/>
    <mergeCell ref="T1098:U1098"/>
    <mergeCell ref="V1098:W1098"/>
    <mergeCell ref="X1098:Y1098"/>
    <mergeCell ref="B1098:C1098"/>
    <mergeCell ref="D1098:E1098"/>
    <mergeCell ref="F1098:G1098"/>
    <mergeCell ref="H1098:I1098"/>
    <mergeCell ref="J1098:K1098"/>
    <mergeCell ref="L1098:M1098"/>
    <mergeCell ref="AL1097:BB1097"/>
    <mergeCell ref="Z1097:AA1097"/>
    <mergeCell ref="AB1097:AC1097"/>
    <mergeCell ref="AD1097:AE1097"/>
    <mergeCell ref="AF1097:AG1097"/>
    <mergeCell ref="AH1097:AI1097"/>
    <mergeCell ref="AJ1097:AK1097"/>
    <mergeCell ref="N1097:O1097"/>
    <mergeCell ref="P1097:Q1097"/>
    <mergeCell ref="R1097:S1097"/>
    <mergeCell ref="T1097:U1097"/>
    <mergeCell ref="V1097:W1097"/>
    <mergeCell ref="X1097:Y1097"/>
    <mergeCell ref="B1097:C1097"/>
    <mergeCell ref="D1097:E1097"/>
    <mergeCell ref="F1097:G1097"/>
    <mergeCell ref="H1097:I1097"/>
    <mergeCell ref="J1097:K1097"/>
    <mergeCell ref="L1097:M1097"/>
    <mergeCell ref="AL1096:BB1096"/>
    <mergeCell ref="AD1096:AE1096"/>
    <mergeCell ref="AF1096:AG1096"/>
    <mergeCell ref="AH1096:AI1096"/>
    <mergeCell ref="AJ1096:AK1096"/>
    <mergeCell ref="R1096:S1096"/>
    <mergeCell ref="T1096:U1096"/>
    <mergeCell ref="V1096:W1096"/>
    <mergeCell ref="X1096:Y1096"/>
    <mergeCell ref="Z1096:AA1096"/>
    <mergeCell ref="AB1096:AC1096"/>
    <mergeCell ref="B1096:C1096"/>
    <mergeCell ref="D1096:E1096"/>
    <mergeCell ref="F1096:G1096"/>
    <mergeCell ref="H1096:I1096"/>
    <mergeCell ref="J1096:K1096"/>
    <mergeCell ref="L1096:M1096"/>
    <mergeCell ref="N1096:O1096"/>
    <mergeCell ref="P1096:Q1096"/>
    <mergeCell ref="AL1095:BB1095"/>
    <mergeCell ref="AD1095:AE1095"/>
    <mergeCell ref="AF1095:AG1095"/>
    <mergeCell ref="AH1095:AI1095"/>
    <mergeCell ref="AJ1095:AK1095"/>
    <mergeCell ref="R1095:S1095"/>
    <mergeCell ref="T1095:U1095"/>
    <mergeCell ref="V1095:W1095"/>
    <mergeCell ref="X1095:Y1095"/>
    <mergeCell ref="Z1095:AA1095"/>
    <mergeCell ref="AB1095:AC1095"/>
    <mergeCell ref="B1095:C1095"/>
    <mergeCell ref="D1095:E1095"/>
    <mergeCell ref="F1095:G1095"/>
    <mergeCell ref="H1095:I1095"/>
    <mergeCell ref="J1095:K1095"/>
    <mergeCell ref="L1095:M1095"/>
    <mergeCell ref="N1095:O1095"/>
    <mergeCell ref="P1095:Q1095"/>
    <mergeCell ref="AL1094:BB1094"/>
    <mergeCell ref="AD1094:AE1094"/>
    <mergeCell ref="AF1094:AG1094"/>
    <mergeCell ref="AH1094:AI1094"/>
    <mergeCell ref="AJ1094:AK1094"/>
    <mergeCell ref="R1094:S1094"/>
    <mergeCell ref="T1094:U1094"/>
    <mergeCell ref="V1094:W1094"/>
    <mergeCell ref="X1094:Y1094"/>
    <mergeCell ref="Z1094:AA1094"/>
    <mergeCell ref="AB1094:AC1094"/>
    <mergeCell ref="B1094:C1094"/>
    <mergeCell ref="D1094:E1094"/>
    <mergeCell ref="F1094:G1094"/>
    <mergeCell ref="H1094:I1094"/>
    <mergeCell ref="J1094:K1094"/>
    <mergeCell ref="L1094:M1094"/>
    <mergeCell ref="N1094:O1094"/>
    <mergeCell ref="P1094:Q1094"/>
    <mergeCell ref="AL1093:BB1093"/>
    <mergeCell ref="AD1093:AE1093"/>
    <mergeCell ref="AF1093:AG1093"/>
    <mergeCell ref="AH1093:AI1093"/>
    <mergeCell ref="AJ1093:AK1093"/>
    <mergeCell ref="R1093:S1093"/>
    <mergeCell ref="T1093:U1093"/>
    <mergeCell ref="V1093:W1093"/>
    <mergeCell ref="X1093:Y1093"/>
    <mergeCell ref="Z1093:AA1093"/>
    <mergeCell ref="AB1093:AC1093"/>
    <mergeCell ref="B1093:C1093"/>
    <mergeCell ref="D1093:E1093"/>
    <mergeCell ref="F1093:G1093"/>
    <mergeCell ref="H1093:I1093"/>
    <mergeCell ref="J1093:K1093"/>
    <mergeCell ref="L1093:M1093"/>
    <mergeCell ref="N1093:O1093"/>
    <mergeCell ref="P1093:Q1093"/>
    <mergeCell ref="AL1092:BB1092"/>
    <mergeCell ref="AD1092:AE1092"/>
    <mergeCell ref="AF1092:AG1092"/>
    <mergeCell ref="AH1092:AI1092"/>
    <mergeCell ref="AJ1092:AK1092"/>
    <mergeCell ref="R1092:S1092"/>
    <mergeCell ref="T1092:U1092"/>
    <mergeCell ref="V1092:W1092"/>
    <mergeCell ref="X1092:Y1092"/>
    <mergeCell ref="Z1092:AA1092"/>
    <mergeCell ref="AB1092:AC1092"/>
    <mergeCell ref="B1092:C1092"/>
    <mergeCell ref="D1092:E1092"/>
    <mergeCell ref="F1092:G1092"/>
    <mergeCell ref="H1092:I1092"/>
    <mergeCell ref="J1092:K1092"/>
    <mergeCell ref="L1092:M1092"/>
    <mergeCell ref="N1092:O1092"/>
    <mergeCell ref="P1092:Q1092"/>
    <mergeCell ref="AL1091:BB1091"/>
    <mergeCell ref="AD1091:AE1091"/>
    <mergeCell ref="AF1091:AG1091"/>
    <mergeCell ref="AH1091:AI1091"/>
    <mergeCell ref="AJ1091:AK1091"/>
    <mergeCell ref="R1091:S1091"/>
    <mergeCell ref="T1091:U1091"/>
    <mergeCell ref="V1091:W1091"/>
    <mergeCell ref="X1091:Y1091"/>
    <mergeCell ref="Z1091:AA1091"/>
    <mergeCell ref="AB1091:AC1091"/>
    <mergeCell ref="B1091:C1091"/>
    <mergeCell ref="D1091:E1091"/>
    <mergeCell ref="F1091:G1091"/>
    <mergeCell ref="H1091:I1091"/>
    <mergeCell ref="J1091:K1091"/>
    <mergeCell ref="L1091:M1091"/>
    <mergeCell ref="N1091:O1091"/>
    <mergeCell ref="P1091:Q1091"/>
    <mergeCell ref="AL1090:BB1090"/>
    <mergeCell ref="AD1090:AE1090"/>
    <mergeCell ref="AF1090:AG1090"/>
    <mergeCell ref="AH1090:AI1090"/>
    <mergeCell ref="AJ1090:AK1090"/>
    <mergeCell ref="R1090:S1090"/>
    <mergeCell ref="T1090:U1090"/>
    <mergeCell ref="V1090:W1090"/>
    <mergeCell ref="X1090:Y1090"/>
    <mergeCell ref="Z1090:AA1090"/>
    <mergeCell ref="AB1090:AC1090"/>
    <mergeCell ref="B1090:C1090"/>
    <mergeCell ref="D1090:E1090"/>
    <mergeCell ref="F1090:G1090"/>
    <mergeCell ref="H1090:I1090"/>
    <mergeCell ref="J1090:K1090"/>
    <mergeCell ref="L1090:M1090"/>
    <mergeCell ref="N1090:O1090"/>
    <mergeCell ref="P1090:Q1090"/>
    <mergeCell ref="AL1089:BB1089"/>
    <mergeCell ref="AD1089:AE1089"/>
    <mergeCell ref="AF1089:AG1089"/>
    <mergeCell ref="AH1089:AI1089"/>
    <mergeCell ref="AJ1089:AK1089"/>
    <mergeCell ref="R1089:S1089"/>
    <mergeCell ref="T1089:U1089"/>
    <mergeCell ref="V1089:W1089"/>
    <mergeCell ref="X1089:Y1089"/>
    <mergeCell ref="Z1089:AA1089"/>
    <mergeCell ref="AB1089:AC1089"/>
    <mergeCell ref="B1089:C1089"/>
    <mergeCell ref="D1089:E1089"/>
    <mergeCell ref="F1089:G1089"/>
    <mergeCell ref="H1089:I1089"/>
    <mergeCell ref="J1089:K1089"/>
    <mergeCell ref="L1089:M1089"/>
    <mergeCell ref="N1089:O1089"/>
    <mergeCell ref="P1089:Q1089"/>
    <mergeCell ref="AL1088:BB1088"/>
    <mergeCell ref="AD1088:AE1088"/>
    <mergeCell ref="AF1088:AG1088"/>
    <mergeCell ref="AH1088:AI1088"/>
    <mergeCell ref="AJ1088:AK1088"/>
    <mergeCell ref="R1088:S1088"/>
    <mergeCell ref="T1088:U1088"/>
    <mergeCell ref="V1088:W1088"/>
    <mergeCell ref="X1088:Y1088"/>
    <mergeCell ref="Z1088:AA1088"/>
    <mergeCell ref="AB1088:AC1088"/>
    <mergeCell ref="B1088:C1088"/>
    <mergeCell ref="D1088:E1088"/>
    <mergeCell ref="F1088:G1088"/>
    <mergeCell ref="H1088:I1088"/>
    <mergeCell ref="J1088:K1088"/>
    <mergeCell ref="L1088:M1088"/>
    <mergeCell ref="N1088:O1088"/>
    <mergeCell ref="P1088:Q1088"/>
    <mergeCell ref="AL1087:BB1087"/>
    <mergeCell ref="AD1087:AE1087"/>
    <mergeCell ref="AF1087:AG1087"/>
    <mergeCell ref="AH1087:AI1087"/>
    <mergeCell ref="AJ1087:AK1087"/>
    <mergeCell ref="R1087:S1087"/>
    <mergeCell ref="T1087:U1087"/>
    <mergeCell ref="V1087:W1087"/>
    <mergeCell ref="X1087:Y1087"/>
    <mergeCell ref="Z1087:AA1087"/>
    <mergeCell ref="AB1087:AC1087"/>
    <mergeCell ref="B1087:C1087"/>
    <mergeCell ref="D1087:E1087"/>
    <mergeCell ref="F1087:G1087"/>
    <mergeCell ref="H1087:I1087"/>
    <mergeCell ref="J1087:K1087"/>
    <mergeCell ref="L1087:M1087"/>
    <mergeCell ref="N1087:O1087"/>
    <mergeCell ref="P1087:Q1087"/>
    <mergeCell ref="AL1086:BB1086"/>
    <mergeCell ref="AD1086:AE1086"/>
    <mergeCell ref="AF1086:AG1086"/>
    <mergeCell ref="AH1086:AI1086"/>
    <mergeCell ref="AJ1086:AK1086"/>
    <mergeCell ref="R1086:S1086"/>
    <mergeCell ref="T1086:U1086"/>
    <mergeCell ref="V1086:W1086"/>
    <mergeCell ref="X1086:Y1086"/>
    <mergeCell ref="Z1086:AA1086"/>
    <mergeCell ref="AB1086:AC1086"/>
    <mergeCell ref="B1086:C1086"/>
    <mergeCell ref="D1086:E1086"/>
    <mergeCell ref="F1086:G1086"/>
    <mergeCell ref="H1086:I1086"/>
    <mergeCell ref="J1086:K1086"/>
    <mergeCell ref="L1086:M1086"/>
    <mergeCell ref="N1086:O1086"/>
    <mergeCell ref="P1086:Q1086"/>
    <mergeCell ref="AL1085:BB1085"/>
    <mergeCell ref="AD1085:AE1085"/>
    <mergeCell ref="AF1085:AG1085"/>
    <mergeCell ref="AH1085:AI1085"/>
    <mergeCell ref="AJ1085:AK1085"/>
    <mergeCell ref="R1085:S1085"/>
    <mergeCell ref="T1085:U1085"/>
    <mergeCell ref="V1085:W1085"/>
    <mergeCell ref="X1085:Y1085"/>
    <mergeCell ref="Z1085:AA1085"/>
    <mergeCell ref="AB1085:AC1085"/>
    <mergeCell ref="B1085:C1085"/>
    <mergeCell ref="D1085:E1085"/>
    <mergeCell ref="F1085:G1085"/>
    <mergeCell ref="H1085:I1085"/>
    <mergeCell ref="J1085:K1085"/>
    <mergeCell ref="L1085:M1085"/>
    <mergeCell ref="N1085:O1085"/>
    <mergeCell ref="P1085:Q1085"/>
    <mergeCell ref="AL1084:BB1084"/>
    <mergeCell ref="AD1084:AE1084"/>
    <mergeCell ref="AF1084:AG1084"/>
    <mergeCell ref="AH1084:AI1084"/>
    <mergeCell ref="AJ1084:AK1084"/>
    <mergeCell ref="R1084:S1084"/>
    <mergeCell ref="T1084:U1084"/>
    <mergeCell ref="V1084:W1084"/>
    <mergeCell ref="X1084:Y1084"/>
    <mergeCell ref="Z1084:AA1084"/>
    <mergeCell ref="AB1084:AC1084"/>
    <mergeCell ref="B1084:C1084"/>
    <mergeCell ref="D1084:E1084"/>
    <mergeCell ref="F1084:G1084"/>
    <mergeCell ref="H1084:I1084"/>
    <mergeCell ref="J1084:K1084"/>
    <mergeCell ref="L1084:M1084"/>
    <mergeCell ref="N1084:O1084"/>
    <mergeCell ref="P1084:Q1084"/>
    <mergeCell ref="AL1083:BB1083"/>
    <mergeCell ref="AD1083:AE1083"/>
    <mergeCell ref="AF1083:AG1083"/>
    <mergeCell ref="AH1083:AI1083"/>
    <mergeCell ref="AJ1083:AK1083"/>
    <mergeCell ref="R1083:S1083"/>
    <mergeCell ref="T1083:U1083"/>
    <mergeCell ref="V1083:W1083"/>
    <mergeCell ref="X1083:Y1083"/>
    <mergeCell ref="Z1083:AA1083"/>
    <mergeCell ref="AB1083:AC1083"/>
    <mergeCell ref="B1083:C1083"/>
    <mergeCell ref="D1083:E1083"/>
    <mergeCell ref="F1083:G1083"/>
    <mergeCell ref="H1083:I1083"/>
    <mergeCell ref="J1083:K1083"/>
    <mergeCell ref="L1083:M1083"/>
    <mergeCell ref="N1083:O1083"/>
    <mergeCell ref="P1083:Q1083"/>
    <mergeCell ref="AL1082:BB1082"/>
    <mergeCell ref="AD1082:AE1082"/>
    <mergeCell ref="AF1082:AG1082"/>
    <mergeCell ref="AH1082:AI1082"/>
    <mergeCell ref="AJ1082:AK1082"/>
    <mergeCell ref="R1082:S1082"/>
    <mergeCell ref="T1082:U1082"/>
    <mergeCell ref="V1082:W1082"/>
    <mergeCell ref="X1082:Y1082"/>
    <mergeCell ref="Z1082:AA1082"/>
    <mergeCell ref="AB1082:AC1082"/>
    <mergeCell ref="B1082:C1082"/>
    <mergeCell ref="D1082:E1082"/>
    <mergeCell ref="F1082:G1082"/>
    <mergeCell ref="H1082:I1082"/>
    <mergeCell ref="J1082:K1082"/>
    <mergeCell ref="L1082:M1082"/>
    <mergeCell ref="N1082:O1082"/>
    <mergeCell ref="P1082:Q1082"/>
    <mergeCell ref="AL1081:BB1081"/>
    <mergeCell ref="AD1081:AE1081"/>
    <mergeCell ref="AF1081:AG1081"/>
    <mergeCell ref="AH1081:AI1081"/>
    <mergeCell ref="AJ1081:AK1081"/>
    <mergeCell ref="R1081:S1081"/>
    <mergeCell ref="T1081:U1081"/>
    <mergeCell ref="V1081:W1081"/>
    <mergeCell ref="X1081:Y1081"/>
    <mergeCell ref="Z1081:AA1081"/>
    <mergeCell ref="AB1081:AC1081"/>
    <mergeCell ref="B1081:C1081"/>
    <mergeCell ref="D1081:E1081"/>
    <mergeCell ref="F1081:G1081"/>
    <mergeCell ref="H1081:I1081"/>
    <mergeCell ref="J1081:K1081"/>
    <mergeCell ref="L1081:M1081"/>
    <mergeCell ref="N1081:O1081"/>
    <mergeCell ref="P1081:Q1081"/>
    <mergeCell ref="AL1080:BB1080"/>
    <mergeCell ref="AD1080:AE1080"/>
    <mergeCell ref="AF1080:AG1080"/>
    <mergeCell ref="AH1080:AI1080"/>
    <mergeCell ref="AJ1080:AK1080"/>
    <mergeCell ref="R1080:S1080"/>
    <mergeCell ref="T1080:U1080"/>
    <mergeCell ref="V1080:W1080"/>
    <mergeCell ref="X1080:Y1080"/>
    <mergeCell ref="Z1080:AA1080"/>
    <mergeCell ref="AB1080:AC1080"/>
    <mergeCell ref="B1080:C1080"/>
    <mergeCell ref="D1080:E1080"/>
    <mergeCell ref="F1080:G1080"/>
    <mergeCell ref="H1080:I1080"/>
    <mergeCell ref="J1080:K1080"/>
    <mergeCell ref="L1080:M1080"/>
    <mergeCell ref="N1080:O1080"/>
    <mergeCell ref="P1080:Q1080"/>
    <mergeCell ref="AL1079:BB1079"/>
    <mergeCell ref="AD1079:AE1079"/>
    <mergeCell ref="AF1079:AG1079"/>
    <mergeCell ref="AH1079:AI1079"/>
    <mergeCell ref="AJ1079:AK1079"/>
    <mergeCell ref="R1079:S1079"/>
    <mergeCell ref="T1079:U1079"/>
    <mergeCell ref="V1079:W1079"/>
    <mergeCell ref="X1079:Y1079"/>
    <mergeCell ref="Z1079:AA1079"/>
    <mergeCell ref="AB1079:AC1079"/>
    <mergeCell ref="B1079:C1079"/>
    <mergeCell ref="D1079:E1079"/>
    <mergeCell ref="F1079:G1079"/>
    <mergeCell ref="H1079:I1079"/>
    <mergeCell ref="J1079:K1079"/>
    <mergeCell ref="L1079:M1079"/>
    <mergeCell ref="N1079:O1079"/>
    <mergeCell ref="P1079:Q1079"/>
    <mergeCell ref="AL1078:BB1078"/>
    <mergeCell ref="AD1078:AE1078"/>
    <mergeCell ref="AF1078:AG1078"/>
    <mergeCell ref="AH1078:AI1078"/>
    <mergeCell ref="AJ1078:AK1078"/>
    <mergeCell ref="R1078:S1078"/>
    <mergeCell ref="T1078:U1078"/>
    <mergeCell ref="V1078:W1078"/>
    <mergeCell ref="X1078:Y1078"/>
    <mergeCell ref="Z1078:AA1078"/>
    <mergeCell ref="AB1078:AC1078"/>
    <mergeCell ref="B1078:C1078"/>
    <mergeCell ref="D1078:E1078"/>
    <mergeCell ref="F1078:G1078"/>
    <mergeCell ref="H1078:I1078"/>
    <mergeCell ref="J1078:K1078"/>
    <mergeCell ref="L1078:M1078"/>
    <mergeCell ref="N1078:O1078"/>
    <mergeCell ref="P1078:Q1078"/>
    <mergeCell ref="AL1077:BB1077"/>
    <mergeCell ref="AD1077:AE1077"/>
    <mergeCell ref="AF1077:AG1077"/>
    <mergeCell ref="AH1077:AI1077"/>
    <mergeCell ref="AJ1077:AK1077"/>
    <mergeCell ref="R1077:S1077"/>
    <mergeCell ref="T1077:U1077"/>
    <mergeCell ref="V1077:W1077"/>
    <mergeCell ref="X1077:Y1077"/>
    <mergeCell ref="Z1077:AA1077"/>
    <mergeCell ref="AB1077:AC1077"/>
    <mergeCell ref="B1077:C1077"/>
    <mergeCell ref="D1077:E1077"/>
    <mergeCell ref="F1077:G1077"/>
    <mergeCell ref="H1077:I1077"/>
    <mergeCell ref="J1077:K1077"/>
    <mergeCell ref="L1077:M1077"/>
    <mergeCell ref="N1077:O1077"/>
    <mergeCell ref="P1077:Q1077"/>
    <mergeCell ref="AL1076:BB1076"/>
    <mergeCell ref="AD1076:AE1076"/>
    <mergeCell ref="AF1076:AG1076"/>
    <mergeCell ref="AH1076:AI1076"/>
    <mergeCell ref="AJ1076:AK1076"/>
    <mergeCell ref="R1076:S1076"/>
    <mergeCell ref="T1076:U1076"/>
    <mergeCell ref="V1076:W1076"/>
    <mergeCell ref="X1076:Y1076"/>
    <mergeCell ref="Z1076:AA1076"/>
    <mergeCell ref="AB1076:AC1076"/>
    <mergeCell ref="B1076:C1076"/>
    <mergeCell ref="D1076:E1076"/>
    <mergeCell ref="F1076:G1076"/>
    <mergeCell ref="H1076:I1076"/>
    <mergeCell ref="J1076:K1076"/>
    <mergeCell ref="L1076:M1076"/>
    <mergeCell ref="N1076:O1076"/>
    <mergeCell ref="P1076:Q1076"/>
    <mergeCell ref="AL1075:BB1075"/>
    <mergeCell ref="AD1075:AE1075"/>
    <mergeCell ref="AF1075:AG1075"/>
    <mergeCell ref="AH1075:AI1075"/>
    <mergeCell ref="AJ1075:AK1075"/>
    <mergeCell ref="R1075:S1075"/>
    <mergeCell ref="T1075:U1075"/>
    <mergeCell ref="V1075:W1075"/>
    <mergeCell ref="X1075:Y1075"/>
    <mergeCell ref="Z1075:AA1075"/>
    <mergeCell ref="AB1075:AC1075"/>
    <mergeCell ref="B1075:C1075"/>
    <mergeCell ref="D1075:E1075"/>
    <mergeCell ref="F1075:G1075"/>
    <mergeCell ref="H1075:I1075"/>
    <mergeCell ref="J1075:K1075"/>
    <mergeCell ref="L1075:M1075"/>
    <mergeCell ref="N1075:O1075"/>
    <mergeCell ref="P1075:Q1075"/>
    <mergeCell ref="AL1074:BB1074"/>
    <mergeCell ref="AD1074:AE1074"/>
    <mergeCell ref="AF1074:AG1074"/>
    <mergeCell ref="AH1074:AI1074"/>
    <mergeCell ref="AJ1074:AK1074"/>
    <mergeCell ref="R1074:S1074"/>
    <mergeCell ref="T1074:U1074"/>
    <mergeCell ref="V1074:W1074"/>
    <mergeCell ref="X1074:Y1074"/>
    <mergeCell ref="Z1074:AA1074"/>
    <mergeCell ref="AB1074:AC1074"/>
    <mergeCell ref="B1074:C1074"/>
    <mergeCell ref="D1074:E1074"/>
    <mergeCell ref="F1074:G1074"/>
    <mergeCell ref="H1074:I1074"/>
    <mergeCell ref="J1074:K1074"/>
    <mergeCell ref="L1074:M1074"/>
    <mergeCell ref="N1074:O1074"/>
    <mergeCell ref="P1074:Q1074"/>
    <mergeCell ref="AL1073:BB1073"/>
    <mergeCell ref="AD1073:AE1073"/>
    <mergeCell ref="AF1073:AG1073"/>
    <mergeCell ref="AH1073:AI1073"/>
    <mergeCell ref="AJ1073:AK1073"/>
    <mergeCell ref="R1073:S1073"/>
    <mergeCell ref="T1073:U1073"/>
    <mergeCell ref="V1073:W1073"/>
    <mergeCell ref="X1073:Y1073"/>
    <mergeCell ref="Z1073:AA1073"/>
    <mergeCell ref="AB1073:AC1073"/>
    <mergeCell ref="B1073:C1073"/>
    <mergeCell ref="D1073:E1073"/>
    <mergeCell ref="F1073:G1073"/>
    <mergeCell ref="H1073:I1073"/>
    <mergeCell ref="J1073:K1073"/>
    <mergeCell ref="L1073:M1073"/>
    <mergeCell ref="N1073:O1073"/>
    <mergeCell ref="P1073:Q1073"/>
    <mergeCell ref="AL1072:BB1072"/>
    <mergeCell ref="AD1072:AE1072"/>
    <mergeCell ref="AF1072:AG1072"/>
    <mergeCell ref="AH1072:AI1072"/>
    <mergeCell ref="AJ1072:AK1072"/>
    <mergeCell ref="R1072:S1072"/>
    <mergeCell ref="T1072:U1072"/>
    <mergeCell ref="V1072:W1072"/>
    <mergeCell ref="X1072:Y1072"/>
    <mergeCell ref="Z1072:AA1072"/>
    <mergeCell ref="AB1072:AC1072"/>
    <mergeCell ref="B1072:C1072"/>
    <mergeCell ref="D1072:E1072"/>
    <mergeCell ref="F1072:G1072"/>
    <mergeCell ref="H1072:I1072"/>
    <mergeCell ref="J1072:K1072"/>
    <mergeCell ref="L1072:M1072"/>
    <mergeCell ref="N1072:O1072"/>
    <mergeCell ref="P1072:Q1072"/>
    <mergeCell ref="AL1071:BB1071"/>
    <mergeCell ref="AD1071:AE1071"/>
    <mergeCell ref="AF1071:AG1071"/>
    <mergeCell ref="AH1071:AI1071"/>
    <mergeCell ref="AJ1071:AK1071"/>
    <mergeCell ref="R1071:S1071"/>
    <mergeCell ref="T1071:U1071"/>
    <mergeCell ref="V1071:W1071"/>
    <mergeCell ref="X1071:Y1071"/>
    <mergeCell ref="Z1071:AA1071"/>
    <mergeCell ref="AB1071:AC1071"/>
    <mergeCell ref="B1071:C1071"/>
    <mergeCell ref="D1071:E1071"/>
    <mergeCell ref="F1071:G1071"/>
    <mergeCell ref="H1071:I1071"/>
    <mergeCell ref="J1071:K1071"/>
    <mergeCell ref="L1071:M1071"/>
    <mergeCell ref="N1071:O1071"/>
    <mergeCell ref="P1071:Q1071"/>
    <mergeCell ref="AL1070:BB1070"/>
    <mergeCell ref="AD1070:AE1070"/>
    <mergeCell ref="AF1070:AG1070"/>
    <mergeCell ref="AH1070:AI1070"/>
    <mergeCell ref="AJ1070:AK1070"/>
    <mergeCell ref="R1070:S1070"/>
    <mergeCell ref="T1070:U1070"/>
    <mergeCell ref="V1070:W1070"/>
    <mergeCell ref="X1070:Y1070"/>
    <mergeCell ref="Z1070:AA1070"/>
    <mergeCell ref="AB1070:AC1070"/>
    <mergeCell ref="B1070:C1070"/>
    <mergeCell ref="D1070:E1070"/>
    <mergeCell ref="F1070:G1070"/>
    <mergeCell ref="H1070:I1070"/>
    <mergeCell ref="J1070:K1070"/>
    <mergeCell ref="L1070:M1070"/>
    <mergeCell ref="N1070:O1070"/>
    <mergeCell ref="P1070:Q1070"/>
    <mergeCell ref="AL1069:BB1069"/>
    <mergeCell ref="AD1069:AE1069"/>
    <mergeCell ref="AF1069:AG1069"/>
    <mergeCell ref="AH1069:AI1069"/>
    <mergeCell ref="AJ1069:AK1069"/>
    <mergeCell ref="R1069:S1069"/>
    <mergeCell ref="T1069:U1069"/>
    <mergeCell ref="V1069:W1069"/>
    <mergeCell ref="X1069:Y1069"/>
    <mergeCell ref="Z1069:AA1069"/>
    <mergeCell ref="AB1069:AC1069"/>
    <mergeCell ref="B1069:C1069"/>
    <mergeCell ref="D1069:E1069"/>
    <mergeCell ref="F1069:G1069"/>
    <mergeCell ref="H1069:I1069"/>
    <mergeCell ref="J1069:K1069"/>
    <mergeCell ref="L1069:M1069"/>
    <mergeCell ref="N1069:O1069"/>
    <mergeCell ref="P1069:Q1069"/>
    <mergeCell ref="AL1068:BB1068"/>
    <mergeCell ref="AD1068:AE1068"/>
    <mergeCell ref="AF1068:AG1068"/>
    <mergeCell ref="AH1068:AI1068"/>
    <mergeCell ref="AJ1068:AK1068"/>
    <mergeCell ref="R1068:S1068"/>
    <mergeCell ref="T1068:U1068"/>
    <mergeCell ref="V1068:W1068"/>
    <mergeCell ref="X1068:Y1068"/>
    <mergeCell ref="Z1068:AA1068"/>
    <mergeCell ref="AB1068:AC1068"/>
    <mergeCell ref="B1068:C1068"/>
    <mergeCell ref="D1068:E1068"/>
    <mergeCell ref="F1068:G1068"/>
    <mergeCell ref="H1068:I1068"/>
    <mergeCell ref="J1068:K1068"/>
    <mergeCell ref="L1068:M1068"/>
    <mergeCell ref="N1068:O1068"/>
    <mergeCell ref="P1068:Q1068"/>
    <mergeCell ref="AL1067:BB1067"/>
    <mergeCell ref="AD1067:AE1067"/>
    <mergeCell ref="AF1067:AG1067"/>
    <mergeCell ref="AH1067:AI1067"/>
    <mergeCell ref="AJ1067:AK1067"/>
    <mergeCell ref="R1067:S1067"/>
    <mergeCell ref="T1067:U1067"/>
    <mergeCell ref="V1067:W1067"/>
    <mergeCell ref="X1067:Y1067"/>
    <mergeCell ref="Z1067:AA1067"/>
    <mergeCell ref="AB1067:AC1067"/>
    <mergeCell ref="B1067:C1067"/>
    <mergeCell ref="D1067:E1067"/>
    <mergeCell ref="F1067:G1067"/>
    <mergeCell ref="H1067:I1067"/>
    <mergeCell ref="J1067:K1067"/>
    <mergeCell ref="L1067:M1067"/>
    <mergeCell ref="N1067:O1067"/>
    <mergeCell ref="P1067:Q1067"/>
    <mergeCell ref="AL1066:BB1066"/>
    <mergeCell ref="AD1066:AE1066"/>
    <mergeCell ref="AF1066:AG1066"/>
    <mergeCell ref="AH1066:AI1066"/>
    <mergeCell ref="AJ1066:AK1066"/>
    <mergeCell ref="R1066:S1066"/>
    <mergeCell ref="T1066:U1066"/>
    <mergeCell ref="V1066:W1066"/>
    <mergeCell ref="X1066:Y1066"/>
    <mergeCell ref="Z1066:AA1066"/>
    <mergeCell ref="AB1066:AC1066"/>
    <mergeCell ref="B1066:C1066"/>
    <mergeCell ref="D1066:E1066"/>
    <mergeCell ref="F1066:G1066"/>
    <mergeCell ref="H1066:I1066"/>
    <mergeCell ref="J1066:K1066"/>
    <mergeCell ref="L1066:M1066"/>
    <mergeCell ref="N1066:O1066"/>
    <mergeCell ref="P1066:Q1066"/>
    <mergeCell ref="AL1065:BB1065"/>
    <mergeCell ref="AD1065:AE1065"/>
    <mergeCell ref="AF1065:AG1065"/>
    <mergeCell ref="AH1065:AI1065"/>
    <mergeCell ref="AJ1065:AK1065"/>
    <mergeCell ref="R1065:S1065"/>
    <mergeCell ref="T1065:U1065"/>
    <mergeCell ref="V1065:W1065"/>
    <mergeCell ref="X1065:Y1065"/>
    <mergeCell ref="Z1065:AA1065"/>
    <mergeCell ref="AB1065:AC1065"/>
    <mergeCell ref="B1065:C1065"/>
    <mergeCell ref="D1065:E1065"/>
    <mergeCell ref="F1065:G1065"/>
    <mergeCell ref="H1065:I1065"/>
    <mergeCell ref="J1065:K1065"/>
    <mergeCell ref="L1065:M1065"/>
    <mergeCell ref="N1065:O1065"/>
    <mergeCell ref="P1065:Q1065"/>
    <mergeCell ref="AL1064:BB1064"/>
    <mergeCell ref="AD1064:AE1064"/>
    <mergeCell ref="AF1064:AG1064"/>
    <mergeCell ref="AH1064:AI1064"/>
    <mergeCell ref="AJ1064:AK1064"/>
    <mergeCell ref="R1064:S1064"/>
    <mergeCell ref="T1064:U1064"/>
    <mergeCell ref="V1064:W1064"/>
    <mergeCell ref="X1064:Y1064"/>
    <mergeCell ref="Z1064:AA1064"/>
    <mergeCell ref="AB1064:AC1064"/>
    <mergeCell ref="B1064:C1064"/>
    <mergeCell ref="D1064:E1064"/>
    <mergeCell ref="F1064:G1064"/>
    <mergeCell ref="H1064:I1064"/>
    <mergeCell ref="J1064:K1064"/>
    <mergeCell ref="L1064:M1064"/>
    <mergeCell ref="N1064:O1064"/>
    <mergeCell ref="P1064:Q1064"/>
    <mergeCell ref="AL1063:BB1063"/>
    <mergeCell ref="AD1063:AE1063"/>
    <mergeCell ref="AF1063:AG1063"/>
    <mergeCell ref="AH1063:AI1063"/>
    <mergeCell ref="AJ1063:AK1063"/>
    <mergeCell ref="R1063:S1063"/>
    <mergeCell ref="T1063:U1063"/>
    <mergeCell ref="V1063:W1063"/>
    <mergeCell ref="X1063:Y1063"/>
    <mergeCell ref="Z1063:AA1063"/>
    <mergeCell ref="AB1063:AC1063"/>
    <mergeCell ref="B1063:C1063"/>
    <mergeCell ref="D1063:E1063"/>
    <mergeCell ref="F1063:G1063"/>
    <mergeCell ref="H1063:I1063"/>
    <mergeCell ref="J1063:K1063"/>
    <mergeCell ref="L1063:M1063"/>
    <mergeCell ref="N1063:O1063"/>
    <mergeCell ref="P1063:Q1063"/>
    <mergeCell ref="AL1062:BB1062"/>
    <mergeCell ref="AD1062:AE1062"/>
    <mergeCell ref="AF1062:AG1062"/>
    <mergeCell ref="AH1062:AI1062"/>
    <mergeCell ref="AJ1062:AK1062"/>
    <mergeCell ref="R1062:S1062"/>
    <mergeCell ref="T1062:U1062"/>
    <mergeCell ref="V1062:W1062"/>
    <mergeCell ref="X1062:Y1062"/>
    <mergeCell ref="Z1062:AA1062"/>
    <mergeCell ref="AB1062:AC1062"/>
    <mergeCell ref="B1062:C1062"/>
    <mergeCell ref="D1062:E1062"/>
    <mergeCell ref="F1062:G1062"/>
    <mergeCell ref="H1062:I1062"/>
    <mergeCell ref="J1062:K1062"/>
    <mergeCell ref="L1062:M1062"/>
    <mergeCell ref="N1062:O1062"/>
    <mergeCell ref="P1062:Q1062"/>
    <mergeCell ref="AL1061:BB1061"/>
    <mergeCell ref="AD1061:AE1061"/>
    <mergeCell ref="AF1061:AG1061"/>
    <mergeCell ref="AH1061:AI1061"/>
    <mergeCell ref="AJ1061:AK1061"/>
    <mergeCell ref="R1061:S1061"/>
    <mergeCell ref="T1061:U1061"/>
    <mergeCell ref="V1061:W1061"/>
    <mergeCell ref="X1061:Y1061"/>
    <mergeCell ref="Z1061:AA1061"/>
    <mergeCell ref="AB1061:AC1061"/>
    <mergeCell ref="B1061:C1061"/>
    <mergeCell ref="D1061:E1061"/>
    <mergeCell ref="F1061:G1061"/>
    <mergeCell ref="H1061:I1061"/>
    <mergeCell ref="J1061:K1061"/>
    <mergeCell ref="L1061:M1061"/>
    <mergeCell ref="N1061:O1061"/>
    <mergeCell ref="P1061:Q1061"/>
    <mergeCell ref="AL1060:BB1060"/>
    <mergeCell ref="AD1060:AE1060"/>
    <mergeCell ref="AF1060:AG1060"/>
    <mergeCell ref="AH1060:AI1060"/>
    <mergeCell ref="AJ1060:AK1060"/>
    <mergeCell ref="R1060:S1060"/>
    <mergeCell ref="T1060:U1060"/>
    <mergeCell ref="V1060:W1060"/>
    <mergeCell ref="X1060:Y1060"/>
    <mergeCell ref="Z1060:AA1060"/>
    <mergeCell ref="AB1060:AC1060"/>
    <mergeCell ref="B1060:C1060"/>
    <mergeCell ref="D1060:E1060"/>
    <mergeCell ref="F1060:G1060"/>
    <mergeCell ref="H1060:I1060"/>
    <mergeCell ref="J1060:K1060"/>
    <mergeCell ref="L1060:M1060"/>
    <mergeCell ref="N1060:O1060"/>
    <mergeCell ref="P1060:Q1060"/>
    <mergeCell ref="AL1059:BB1059"/>
    <mergeCell ref="AD1059:AE1059"/>
    <mergeCell ref="AF1059:AG1059"/>
    <mergeCell ref="AH1059:AI1059"/>
    <mergeCell ref="AJ1059:AK1059"/>
    <mergeCell ref="R1059:S1059"/>
    <mergeCell ref="T1059:U1059"/>
    <mergeCell ref="V1059:W1059"/>
    <mergeCell ref="X1059:Y1059"/>
    <mergeCell ref="Z1059:AA1059"/>
    <mergeCell ref="AB1059:AC1059"/>
    <mergeCell ref="B1059:C1059"/>
    <mergeCell ref="D1059:E1059"/>
    <mergeCell ref="F1059:G1059"/>
    <mergeCell ref="H1059:I1059"/>
    <mergeCell ref="J1059:K1059"/>
    <mergeCell ref="L1059:M1059"/>
    <mergeCell ref="N1059:O1059"/>
    <mergeCell ref="P1059:Q1059"/>
    <mergeCell ref="AL1058:BB1058"/>
    <mergeCell ref="AD1058:AE1058"/>
    <mergeCell ref="AF1058:AG1058"/>
    <mergeCell ref="AH1058:AI1058"/>
    <mergeCell ref="AJ1058:AK1058"/>
    <mergeCell ref="R1058:S1058"/>
    <mergeCell ref="T1058:U1058"/>
    <mergeCell ref="V1058:W1058"/>
    <mergeCell ref="X1058:Y1058"/>
    <mergeCell ref="Z1058:AA1058"/>
    <mergeCell ref="AB1058:AC1058"/>
    <mergeCell ref="B1058:C1058"/>
    <mergeCell ref="D1058:E1058"/>
    <mergeCell ref="F1058:G1058"/>
    <mergeCell ref="H1058:I1058"/>
    <mergeCell ref="J1058:K1058"/>
    <mergeCell ref="L1058:M1058"/>
    <mergeCell ref="N1058:O1058"/>
    <mergeCell ref="P1058:Q1058"/>
    <mergeCell ref="AL1057:BB1057"/>
    <mergeCell ref="AD1057:AE1057"/>
    <mergeCell ref="AF1057:AG1057"/>
    <mergeCell ref="AH1057:AI1057"/>
    <mergeCell ref="AJ1057:AK1057"/>
    <mergeCell ref="R1057:S1057"/>
    <mergeCell ref="T1057:U1057"/>
    <mergeCell ref="V1057:W1057"/>
    <mergeCell ref="X1057:Y1057"/>
    <mergeCell ref="Z1057:AA1057"/>
    <mergeCell ref="AB1057:AC1057"/>
    <mergeCell ref="B1057:C1057"/>
    <mergeCell ref="D1057:E1057"/>
    <mergeCell ref="F1057:G1057"/>
    <mergeCell ref="H1057:I1057"/>
    <mergeCell ref="J1057:K1057"/>
    <mergeCell ref="L1057:M1057"/>
    <mergeCell ref="N1057:O1057"/>
    <mergeCell ref="P1057:Q1057"/>
    <mergeCell ref="AL1056:BB1056"/>
    <mergeCell ref="AD1056:AE1056"/>
    <mergeCell ref="AF1056:AG1056"/>
    <mergeCell ref="AH1056:AI1056"/>
    <mergeCell ref="AJ1056:AK1056"/>
    <mergeCell ref="R1056:S1056"/>
    <mergeCell ref="T1056:U1056"/>
    <mergeCell ref="V1056:W1056"/>
    <mergeCell ref="X1056:Y1056"/>
    <mergeCell ref="Z1056:AA1056"/>
    <mergeCell ref="AB1056:AC1056"/>
    <mergeCell ref="B1056:C1056"/>
    <mergeCell ref="D1056:E1056"/>
    <mergeCell ref="F1056:G1056"/>
    <mergeCell ref="H1056:I1056"/>
    <mergeCell ref="J1056:K1056"/>
    <mergeCell ref="L1056:M1056"/>
    <mergeCell ref="N1056:O1056"/>
    <mergeCell ref="P1056:Q1056"/>
    <mergeCell ref="AL1055:BB1055"/>
    <mergeCell ref="AD1055:AE1055"/>
    <mergeCell ref="AF1055:AG1055"/>
    <mergeCell ref="AH1055:AI1055"/>
    <mergeCell ref="AJ1055:AK1055"/>
    <mergeCell ref="R1055:S1055"/>
    <mergeCell ref="T1055:U1055"/>
    <mergeCell ref="V1055:W1055"/>
    <mergeCell ref="X1055:Y1055"/>
    <mergeCell ref="Z1055:AA1055"/>
    <mergeCell ref="AB1055:AC1055"/>
    <mergeCell ref="B1055:C1055"/>
    <mergeCell ref="D1055:E1055"/>
    <mergeCell ref="F1055:G1055"/>
    <mergeCell ref="H1055:I1055"/>
    <mergeCell ref="J1055:K1055"/>
    <mergeCell ref="L1055:M1055"/>
    <mergeCell ref="N1055:O1055"/>
    <mergeCell ref="P1055:Q1055"/>
    <mergeCell ref="AL1054:BB1054"/>
    <mergeCell ref="AD1054:AE1054"/>
    <mergeCell ref="AF1054:AG1054"/>
    <mergeCell ref="AH1054:AI1054"/>
    <mergeCell ref="AJ1054:AK1054"/>
    <mergeCell ref="R1054:S1054"/>
    <mergeCell ref="T1054:U1054"/>
    <mergeCell ref="V1054:W1054"/>
    <mergeCell ref="X1054:Y1054"/>
    <mergeCell ref="Z1054:AA1054"/>
    <mergeCell ref="AB1054:AC1054"/>
    <mergeCell ref="B1054:C1054"/>
    <mergeCell ref="D1054:E1054"/>
    <mergeCell ref="F1054:G1054"/>
    <mergeCell ref="H1054:I1054"/>
    <mergeCell ref="J1054:K1054"/>
    <mergeCell ref="L1054:M1054"/>
    <mergeCell ref="N1054:O1054"/>
    <mergeCell ref="P1054:Q1054"/>
    <mergeCell ref="AL1053:BB1053"/>
    <mergeCell ref="AD1053:AE1053"/>
    <mergeCell ref="AF1053:AG1053"/>
    <mergeCell ref="AH1053:AI1053"/>
    <mergeCell ref="AJ1053:AK1053"/>
    <mergeCell ref="R1053:S1053"/>
    <mergeCell ref="T1053:U1053"/>
    <mergeCell ref="V1053:W1053"/>
    <mergeCell ref="X1053:Y1053"/>
    <mergeCell ref="Z1053:AA1053"/>
    <mergeCell ref="AB1053:AC1053"/>
    <mergeCell ref="B1053:C1053"/>
    <mergeCell ref="D1053:E1053"/>
    <mergeCell ref="F1053:G1053"/>
    <mergeCell ref="H1053:I1053"/>
    <mergeCell ref="J1053:K1053"/>
    <mergeCell ref="L1053:M1053"/>
    <mergeCell ref="N1053:O1053"/>
    <mergeCell ref="P1053:Q1053"/>
    <mergeCell ref="AL1052:BB1052"/>
    <mergeCell ref="AD1052:AE1052"/>
    <mergeCell ref="AF1052:AG1052"/>
    <mergeCell ref="AH1052:AI1052"/>
    <mergeCell ref="AJ1052:AK1052"/>
    <mergeCell ref="R1052:S1052"/>
    <mergeCell ref="T1052:U1052"/>
    <mergeCell ref="V1052:W1052"/>
    <mergeCell ref="X1052:Y1052"/>
    <mergeCell ref="Z1052:AA1052"/>
    <mergeCell ref="AB1052:AC1052"/>
    <mergeCell ref="B1052:C1052"/>
    <mergeCell ref="D1052:E1052"/>
    <mergeCell ref="F1052:G1052"/>
    <mergeCell ref="H1052:I1052"/>
    <mergeCell ref="J1052:K1052"/>
    <mergeCell ref="L1052:M1052"/>
    <mergeCell ref="N1052:O1052"/>
    <mergeCell ref="P1052:Q1052"/>
    <mergeCell ref="AL1051:BB1051"/>
    <mergeCell ref="AD1051:AE1051"/>
    <mergeCell ref="AF1051:AG1051"/>
    <mergeCell ref="AH1051:AI1051"/>
    <mergeCell ref="AJ1051:AK1051"/>
    <mergeCell ref="R1051:S1051"/>
    <mergeCell ref="T1051:U1051"/>
    <mergeCell ref="V1051:W1051"/>
    <mergeCell ref="X1051:Y1051"/>
    <mergeCell ref="Z1051:AA1051"/>
    <mergeCell ref="AB1051:AC1051"/>
    <mergeCell ref="B1051:C1051"/>
    <mergeCell ref="D1051:E1051"/>
    <mergeCell ref="F1051:G1051"/>
    <mergeCell ref="H1051:I1051"/>
    <mergeCell ref="J1051:K1051"/>
    <mergeCell ref="L1051:M1051"/>
    <mergeCell ref="N1051:O1051"/>
    <mergeCell ref="P1051:Q1051"/>
    <mergeCell ref="AL1050:BB1050"/>
    <mergeCell ref="AD1050:AE1050"/>
    <mergeCell ref="AF1050:AG1050"/>
    <mergeCell ref="AH1050:AI1050"/>
    <mergeCell ref="AJ1050:AK1050"/>
    <mergeCell ref="R1050:S1050"/>
    <mergeCell ref="T1050:U1050"/>
    <mergeCell ref="V1050:W1050"/>
    <mergeCell ref="X1050:Y1050"/>
    <mergeCell ref="Z1050:AA1050"/>
    <mergeCell ref="AB1050:AC1050"/>
    <mergeCell ref="B1050:C1050"/>
    <mergeCell ref="D1050:E1050"/>
    <mergeCell ref="F1050:G1050"/>
    <mergeCell ref="H1050:I1050"/>
    <mergeCell ref="J1050:K1050"/>
    <mergeCell ref="L1050:M1050"/>
    <mergeCell ref="N1050:O1050"/>
    <mergeCell ref="P1050:Q1050"/>
    <mergeCell ref="AL1049:BB1049"/>
    <mergeCell ref="AD1049:AE1049"/>
    <mergeCell ref="AF1049:AG1049"/>
    <mergeCell ref="AH1049:AI1049"/>
    <mergeCell ref="AJ1049:AK1049"/>
    <mergeCell ref="R1049:S1049"/>
    <mergeCell ref="T1049:U1049"/>
    <mergeCell ref="V1049:W1049"/>
    <mergeCell ref="X1049:Y1049"/>
    <mergeCell ref="Z1049:AA1049"/>
    <mergeCell ref="AB1049:AC1049"/>
    <mergeCell ref="B1049:C1049"/>
    <mergeCell ref="D1049:E1049"/>
    <mergeCell ref="F1049:G1049"/>
    <mergeCell ref="H1049:I1049"/>
    <mergeCell ref="J1049:K1049"/>
    <mergeCell ref="L1049:M1049"/>
    <mergeCell ref="N1049:O1049"/>
    <mergeCell ref="P1049:Q1049"/>
    <mergeCell ref="AL1048:BB1048"/>
    <mergeCell ref="AD1048:AE1048"/>
    <mergeCell ref="AF1048:AG1048"/>
    <mergeCell ref="AH1048:AI1048"/>
    <mergeCell ref="AJ1048:AK1048"/>
    <mergeCell ref="R1048:S1048"/>
    <mergeCell ref="T1048:U1048"/>
    <mergeCell ref="V1048:W1048"/>
    <mergeCell ref="X1048:Y1048"/>
    <mergeCell ref="Z1048:AA1048"/>
    <mergeCell ref="AB1048:AC1048"/>
    <mergeCell ref="B1048:C1048"/>
    <mergeCell ref="D1048:E1048"/>
    <mergeCell ref="F1048:G1048"/>
    <mergeCell ref="H1048:I1048"/>
    <mergeCell ref="J1048:K1048"/>
    <mergeCell ref="L1048:M1048"/>
    <mergeCell ref="N1048:O1048"/>
    <mergeCell ref="P1048:Q1048"/>
    <mergeCell ref="AL1047:BB1047"/>
    <mergeCell ref="AD1047:AE1047"/>
    <mergeCell ref="AF1047:AG1047"/>
    <mergeCell ref="AH1047:AI1047"/>
    <mergeCell ref="AJ1047:AK1047"/>
    <mergeCell ref="R1047:S1047"/>
    <mergeCell ref="T1047:U1047"/>
    <mergeCell ref="V1047:W1047"/>
    <mergeCell ref="X1047:Y1047"/>
    <mergeCell ref="Z1047:AA1047"/>
    <mergeCell ref="AB1047:AC1047"/>
    <mergeCell ref="B1047:C1047"/>
    <mergeCell ref="D1047:E1047"/>
    <mergeCell ref="F1047:G1047"/>
    <mergeCell ref="H1047:I1047"/>
    <mergeCell ref="J1047:K1047"/>
    <mergeCell ref="L1047:M1047"/>
    <mergeCell ref="N1047:O1047"/>
    <mergeCell ref="P1047:Q1047"/>
    <mergeCell ref="AL1046:BB1046"/>
    <mergeCell ref="AD1046:AE1046"/>
    <mergeCell ref="AF1046:AG1046"/>
    <mergeCell ref="AH1046:AI1046"/>
    <mergeCell ref="AJ1046:AK1046"/>
    <mergeCell ref="R1046:S1046"/>
    <mergeCell ref="T1046:U1046"/>
    <mergeCell ref="V1046:W1046"/>
    <mergeCell ref="X1046:Y1046"/>
    <mergeCell ref="Z1046:AA1046"/>
    <mergeCell ref="AB1046:AC1046"/>
    <mergeCell ref="B1046:C1046"/>
    <mergeCell ref="D1046:E1046"/>
    <mergeCell ref="F1046:G1046"/>
    <mergeCell ref="H1046:I1046"/>
    <mergeCell ref="J1046:K1046"/>
    <mergeCell ref="L1046:M1046"/>
    <mergeCell ref="N1046:O1046"/>
    <mergeCell ref="P1046:Q1046"/>
    <mergeCell ref="AL1045:BB1045"/>
    <mergeCell ref="AD1045:AE1045"/>
    <mergeCell ref="AF1045:AG1045"/>
    <mergeCell ref="AH1045:AI1045"/>
    <mergeCell ref="AJ1045:AK1045"/>
    <mergeCell ref="R1045:S1045"/>
    <mergeCell ref="T1045:U1045"/>
    <mergeCell ref="V1045:W1045"/>
    <mergeCell ref="X1045:Y1045"/>
    <mergeCell ref="Z1045:AA1045"/>
    <mergeCell ref="AB1045:AC1045"/>
    <mergeCell ref="B1045:C1045"/>
    <mergeCell ref="D1045:E1045"/>
    <mergeCell ref="F1045:G1045"/>
    <mergeCell ref="H1045:I1045"/>
    <mergeCell ref="J1045:K1045"/>
    <mergeCell ref="L1045:M1045"/>
    <mergeCell ref="N1045:O1045"/>
    <mergeCell ref="P1045:Q1045"/>
    <mergeCell ref="AL1044:BB1044"/>
    <mergeCell ref="AD1044:AE1044"/>
    <mergeCell ref="AF1044:AG1044"/>
    <mergeCell ref="AH1044:AI1044"/>
    <mergeCell ref="AJ1044:AK1044"/>
    <mergeCell ref="R1044:S1044"/>
    <mergeCell ref="T1044:U1044"/>
    <mergeCell ref="V1044:W1044"/>
    <mergeCell ref="X1044:Y1044"/>
    <mergeCell ref="Z1044:AA1044"/>
    <mergeCell ref="AB1044:AC1044"/>
    <mergeCell ref="B1044:C1044"/>
    <mergeCell ref="D1044:E1044"/>
    <mergeCell ref="F1044:G1044"/>
    <mergeCell ref="H1044:I1044"/>
    <mergeCell ref="J1044:K1044"/>
    <mergeCell ref="L1044:M1044"/>
    <mergeCell ref="N1044:O1044"/>
    <mergeCell ref="P1044:Q1044"/>
    <mergeCell ref="AL1043:BB1043"/>
    <mergeCell ref="AD1043:AE1043"/>
    <mergeCell ref="AF1043:AG1043"/>
    <mergeCell ref="AH1043:AI1043"/>
    <mergeCell ref="AJ1043:AK1043"/>
    <mergeCell ref="R1043:S1043"/>
    <mergeCell ref="T1043:U1043"/>
    <mergeCell ref="V1043:W1043"/>
    <mergeCell ref="X1043:Y1043"/>
    <mergeCell ref="Z1043:AA1043"/>
    <mergeCell ref="AB1043:AC1043"/>
    <mergeCell ref="B1043:C1043"/>
    <mergeCell ref="D1043:E1043"/>
    <mergeCell ref="F1043:G1043"/>
    <mergeCell ref="H1043:I1043"/>
    <mergeCell ref="J1043:K1043"/>
    <mergeCell ref="L1043:M1043"/>
    <mergeCell ref="N1043:O1043"/>
    <mergeCell ref="P1043:Q1043"/>
    <mergeCell ref="AL1042:BB1042"/>
    <mergeCell ref="AD1042:AE1042"/>
    <mergeCell ref="AF1042:AG1042"/>
    <mergeCell ref="AH1042:AI1042"/>
    <mergeCell ref="AJ1042:AK1042"/>
    <mergeCell ref="R1042:S1042"/>
    <mergeCell ref="T1042:U1042"/>
    <mergeCell ref="V1042:W1042"/>
    <mergeCell ref="X1042:Y1042"/>
    <mergeCell ref="Z1042:AA1042"/>
    <mergeCell ref="AB1042:AC1042"/>
    <mergeCell ref="B1042:C1042"/>
    <mergeCell ref="D1042:E1042"/>
    <mergeCell ref="F1042:G1042"/>
    <mergeCell ref="H1042:I1042"/>
    <mergeCell ref="J1042:K1042"/>
    <mergeCell ref="L1042:M1042"/>
    <mergeCell ref="N1042:O1042"/>
    <mergeCell ref="P1042:Q1042"/>
    <mergeCell ref="AL1041:BB1041"/>
    <mergeCell ref="AD1041:AE1041"/>
    <mergeCell ref="AF1041:AG1041"/>
    <mergeCell ref="AH1041:AI1041"/>
    <mergeCell ref="AJ1041:AK1041"/>
    <mergeCell ref="R1041:S1041"/>
    <mergeCell ref="T1041:U1041"/>
    <mergeCell ref="V1041:W1041"/>
    <mergeCell ref="X1041:Y1041"/>
    <mergeCell ref="Z1041:AA1041"/>
    <mergeCell ref="AB1041:AC1041"/>
    <mergeCell ref="B1041:C1041"/>
    <mergeCell ref="D1041:E1041"/>
    <mergeCell ref="F1041:G1041"/>
    <mergeCell ref="H1041:I1041"/>
    <mergeCell ref="J1041:K1041"/>
    <mergeCell ref="L1041:M1041"/>
    <mergeCell ref="N1041:O1041"/>
    <mergeCell ref="P1041:Q1041"/>
    <mergeCell ref="AL1040:BB1040"/>
    <mergeCell ref="AD1040:AE1040"/>
    <mergeCell ref="AF1040:AG1040"/>
    <mergeCell ref="AH1040:AI1040"/>
    <mergeCell ref="AJ1040:AK1040"/>
    <mergeCell ref="R1040:S1040"/>
    <mergeCell ref="T1040:U1040"/>
    <mergeCell ref="V1040:W1040"/>
    <mergeCell ref="X1040:Y1040"/>
    <mergeCell ref="Z1040:AA1040"/>
    <mergeCell ref="AB1040:AC1040"/>
    <mergeCell ref="B1040:C1040"/>
    <mergeCell ref="D1040:E1040"/>
    <mergeCell ref="F1040:G1040"/>
    <mergeCell ref="H1040:I1040"/>
    <mergeCell ref="J1040:K1040"/>
    <mergeCell ref="L1040:M1040"/>
    <mergeCell ref="N1040:O1040"/>
    <mergeCell ref="P1040:Q1040"/>
    <mergeCell ref="AL1039:BB1039"/>
    <mergeCell ref="AD1039:AE1039"/>
    <mergeCell ref="AF1039:AG1039"/>
    <mergeCell ref="AH1039:AI1039"/>
    <mergeCell ref="AJ1039:AK1039"/>
    <mergeCell ref="R1039:S1039"/>
    <mergeCell ref="T1039:U1039"/>
    <mergeCell ref="V1039:W1039"/>
    <mergeCell ref="X1039:Y1039"/>
    <mergeCell ref="Z1039:AA1039"/>
    <mergeCell ref="AB1039:AC1039"/>
    <mergeCell ref="B1039:C1039"/>
    <mergeCell ref="D1039:E1039"/>
    <mergeCell ref="F1039:G1039"/>
    <mergeCell ref="H1039:I1039"/>
    <mergeCell ref="J1039:K1039"/>
    <mergeCell ref="L1039:M1039"/>
    <mergeCell ref="N1039:O1039"/>
    <mergeCell ref="P1039:Q1039"/>
    <mergeCell ref="AL1038:BB1038"/>
    <mergeCell ref="AD1038:AE1038"/>
    <mergeCell ref="AF1038:AG1038"/>
    <mergeCell ref="AH1038:AI1038"/>
    <mergeCell ref="AJ1038:AK1038"/>
    <mergeCell ref="R1038:S1038"/>
    <mergeCell ref="T1038:U1038"/>
    <mergeCell ref="V1038:W1038"/>
    <mergeCell ref="X1038:Y1038"/>
    <mergeCell ref="Z1038:AA1038"/>
    <mergeCell ref="AB1038:AC1038"/>
    <mergeCell ref="B1038:C1038"/>
    <mergeCell ref="D1038:E1038"/>
    <mergeCell ref="F1038:G1038"/>
    <mergeCell ref="H1038:I1038"/>
    <mergeCell ref="J1038:K1038"/>
    <mergeCell ref="L1038:M1038"/>
    <mergeCell ref="N1038:O1038"/>
    <mergeCell ref="P1038:Q1038"/>
    <mergeCell ref="AL1037:BB1037"/>
    <mergeCell ref="AD1037:AE1037"/>
    <mergeCell ref="AF1037:AG1037"/>
    <mergeCell ref="AH1037:AI1037"/>
    <mergeCell ref="AJ1037:AK1037"/>
    <mergeCell ref="R1037:S1037"/>
    <mergeCell ref="T1037:U1037"/>
    <mergeCell ref="V1037:W1037"/>
    <mergeCell ref="X1037:Y1037"/>
    <mergeCell ref="Z1037:AA1037"/>
    <mergeCell ref="AB1037:AC1037"/>
    <mergeCell ref="B1037:C1037"/>
    <mergeCell ref="D1037:E1037"/>
    <mergeCell ref="F1037:G1037"/>
    <mergeCell ref="H1037:I1037"/>
    <mergeCell ref="J1037:K1037"/>
    <mergeCell ref="L1037:M1037"/>
    <mergeCell ref="N1037:O1037"/>
    <mergeCell ref="P1037:Q1037"/>
    <mergeCell ref="AL1036:BB1036"/>
    <mergeCell ref="AD1036:AE1036"/>
    <mergeCell ref="AF1036:AG1036"/>
    <mergeCell ref="AH1036:AI1036"/>
    <mergeCell ref="AJ1036:AK1036"/>
    <mergeCell ref="R1036:S1036"/>
    <mergeCell ref="T1036:U1036"/>
    <mergeCell ref="V1036:W1036"/>
    <mergeCell ref="X1036:Y1036"/>
    <mergeCell ref="Z1036:AA1036"/>
    <mergeCell ref="AB1036:AC1036"/>
    <mergeCell ref="B1036:C1036"/>
    <mergeCell ref="D1036:E1036"/>
    <mergeCell ref="F1036:G1036"/>
    <mergeCell ref="H1036:I1036"/>
    <mergeCell ref="J1036:K1036"/>
    <mergeCell ref="L1036:M1036"/>
    <mergeCell ref="N1036:O1036"/>
    <mergeCell ref="P1036:Q1036"/>
    <mergeCell ref="AL1035:BB1035"/>
    <mergeCell ref="AD1035:AE1035"/>
    <mergeCell ref="AF1035:AG1035"/>
    <mergeCell ref="AH1035:AI1035"/>
    <mergeCell ref="AJ1035:AK1035"/>
    <mergeCell ref="R1035:S1035"/>
    <mergeCell ref="T1035:U1035"/>
    <mergeCell ref="V1035:W1035"/>
    <mergeCell ref="X1035:Y1035"/>
    <mergeCell ref="Z1035:AA1035"/>
    <mergeCell ref="AB1035:AC1035"/>
    <mergeCell ref="B1035:C1035"/>
    <mergeCell ref="D1035:E1035"/>
    <mergeCell ref="F1035:G1035"/>
    <mergeCell ref="H1035:I1035"/>
    <mergeCell ref="J1035:K1035"/>
    <mergeCell ref="L1035:M1035"/>
    <mergeCell ref="N1035:O1035"/>
    <mergeCell ref="P1035:Q1035"/>
    <mergeCell ref="AL1034:BB1034"/>
    <mergeCell ref="AD1034:AE1034"/>
    <mergeCell ref="AF1034:AG1034"/>
    <mergeCell ref="AH1034:AI1034"/>
    <mergeCell ref="AJ1034:AK1034"/>
    <mergeCell ref="R1034:S1034"/>
    <mergeCell ref="T1034:U1034"/>
    <mergeCell ref="V1034:W1034"/>
    <mergeCell ref="X1034:Y1034"/>
    <mergeCell ref="Z1034:AA1034"/>
    <mergeCell ref="AB1034:AC1034"/>
    <mergeCell ref="B1034:C1034"/>
    <mergeCell ref="D1034:E1034"/>
    <mergeCell ref="F1034:G1034"/>
    <mergeCell ref="H1034:I1034"/>
    <mergeCell ref="J1034:K1034"/>
    <mergeCell ref="L1034:M1034"/>
    <mergeCell ref="N1034:O1034"/>
    <mergeCell ref="P1034:Q1034"/>
    <mergeCell ref="AL1033:BB1033"/>
    <mergeCell ref="AD1033:AE1033"/>
    <mergeCell ref="AF1033:AG1033"/>
    <mergeCell ref="AH1033:AI1033"/>
    <mergeCell ref="AJ1033:AK1033"/>
    <mergeCell ref="R1033:S1033"/>
    <mergeCell ref="T1033:U1033"/>
    <mergeCell ref="V1033:W1033"/>
    <mergeCell ref="X1033:Y1033"/>
    <mergeCell ref="Z1033:AA1033"/>
    <mergeCell ref="AB1033:AC1033"/>
    <mergeCell ref="B1033:C1033"/>
    <mergeCell ref="D1033:E1033"/>
    <mergeCell ref="F1033:G1033"/>
    <mergeCell ref="H1033:I1033"/>
    <mergeCell ref="J1033:K1033"/>
    <mergeCell ref="L1033:M1033"/>
    <mergeCell ref="N1033:O1033"/>
    <mergeCell ref="P1033:Q1033"/>
    <mergeCell ref="AL1032:BB1032"/>
    <mergeCell ref="AD1032:AE1032"/>
    <mergeCell ref="AF1032:AG1032"/>
    <mergeCell ref="AH1032:AI1032"/>
    <mergeCell ref="AJ1032:AK1032"/>
    <mergeCell ref="R1032:S1032"/>
    <mergeCell ref="T1032:U1032"/>
    <mergeCell ref="V1032:W1032"/>
    <mergeCell ref="X1032:Y1032"/>
    <mergeCell ref="Z1032:AA1032"/>
    <mergeCell ref="AB1032:AC1032"/>
    <mergeCell ref="B1032:C1032"/>
    <mergeCell ref="D1032:E1032"/>
    <mergeCell ref="F1032:G1032"/>
    <mergeCell ref="H1032:I1032"/>
    <mergeCell ref="J1032:K1032"/>
    <mergeCell ref="L1032:M1032"/>
    <mergeCell ref="N1032:O1032"/>
    <mergeCell ref="P1032:Q1032"/>
    <mergeCell ref="AL1031:BB1031"/>
    <mergeCell ref="AD1031:AE1031"/>
    <mergeCell ref="AF1031:AG1031"/>
    <mergeCell ref="AH1031:AI1031"/>
    <mergeCell ref="AJ1031:AK1031"/>
    <mergeCell ref="R1031:S1031"/>
    <mergeCell ref="T1031:U1031"/>
    <mergeCell ref="V1031:W1031"/>
    <mergeCell ref="X1031:Y1031"/>
    <mergeCell ref="Z1031:AA1031"/>
    <mergeCell ref="AB1031:AC1031"/>
    <mergeCell ref="B1031:C1031"/>
    <mergeCell ref="D1031:E1031"/>
    <mergeCell ref="F1031:G1031"/>
    <mergeCell ref="H1031:I1031"/>
    <mergeCell ref="J1031:K1031"/>
    <mergeCell ref="L1031:M1031"/>
    <mergeCell ref="N1031:O1031"/>
    <mergeCell ref="P1031:Q1031"/>
    <mergeCell ref="AL1030:BB1030"/>
    <mergeCell ref="AD1030:AE1030"/>
    <mergeCell ref="AF1030:AG1030"/>
    <mergeCell ref="AH1030:AI1030"/>
    <mergeCell ref="AJ1030:AK1030"/>
    <mergeCell ref="R1030:S1030"/>
    <mergeCell ref="T1030:U1030"/>
    <mergeCell ref="V1030:W1030"/>
    <mergeCell ref="X1030:Y1030"/>
    <mergeCell ref="Z1030:AA1030"/>
    <mergeCell ref="AB1030:AC1030"/>
    <mergeCell ref="B1030:C1030"/>
    <mergeCell ref="D1030:E1030"/>
    <mergeCell ref="F1030:G1030"/>
    <mergeCell ref="H1030:I1030"/>
    <mergeCell ref="J1030:K1030"/>
    <mergeCell ref="L1030:M1030"/>
    <mergeCell ref="N1030:O1030"/>
    <mergeCell ref="P1030:Q1030"/>
    <mergeCell ref="AL1029:BB1029"/>
    <mergeCell ref="AD1029:AE1029"/>
    <mergeCell ref="AF1029:AG1029"/>
    <mergeCell ref="AH1029:AI1029"/>
    <mergeCell ref="AJ1029:AK1029"/>
    <mergeCell ref="R1029:S1029"/>
    <mergeCell ref="T1029:U1029"/>
    <mergeCell ref="V1029:W1029"/>
    <mergeCell ref="X1029:Y1029"/>
    <mergeCell ref="Z1029:AA1029"/>
    <mergeCell ref="AB1029:AC1029"/>
    <mergeCell ref="B1029:C1029"/>
    <mergeCell ref="D1029:E1029"/>
    <mergeCell ref="F1029:G1029"/>
    <mergeCell ref="H1029:I1029"/>
    <mergeCell ref="J1029:K1029"/>
    <mergeCell ref="L1029:M1029"/>
    <mergeCell ref="N1029:O1029"/>
    <mergeCell ref="P1029:Q1029"/>
    <mergeCell ref="AL1028:BB1028"/>
    <mergeCell ref="AD1028:AE1028"/>
    <mergeCell ref="AF1028:AG1028"/>
    <mergeCell ref="AH1028:AI1028"/>
    <mergeCell ref="AJ1028:AK1028"/>
    <mergeCell ref="R1028:S1028"/>
    <mergeCell ref="T1028:U1028"/>
    <mergeCell ref="V1028:W1028"/>
    <mergeCell ref="X1028:Y1028"/>
    <mergeCell ref="Z1028:AA1028"/>
    <mergeCell ref="AB1028:AC1028"/>
    <mergeCell ref="B1028:C1028"/>
    <mergeCell ref="D1028:E1028"/>
    <mergeCell ref="F1028:G1028"/>
    <mergeCell ref="H1028:I1028"/>
    <mergeCell ref="J1028:K1028"/>
    <mergeCell ref="L1028:M1028"/>
    <mergeCell ref="N1028:O1028"/>
    <mergeCell ref="P1028:Q1028"/>
    <mergeCell ref="AL1027:BB1027"/>
    <mergeCell ref="AD1027:AE1027"/>
    <mergeCell ref="AF1027:AG1027"/>
    <mergeCell ref="AH1027:AI1027"/>
    <mergeCell ref="AJ1027:AK1027"/>
    <mergeCell ref="R1027:S1027"/>
    <mergeCell ref="T1027:U1027"/>
    <mergeCell ref="V1027:W1027"/>
    <mergeCell ref="X1027:Y1027"/>
    <mergeCell ref="Z1027:AA1027"/>
    <mergeCell ref="AB1027:AC1027"/>
    <mergeCell ref="B1027:C1027"/>
    <mergeCell ref="D1027:E1027"/>
    <mergeCell ref="F1027:G1027"/>
    <mergeCell ref="H1027:I1027"/>
    <mergeCell ref="J1027:K1027"/>
    <mergeCell ref="L1027:M1027"/>
    <mergeCell ref="N1027:O1027"/>
    <mergeCell ref="P1027:Q1027"/>
    <mergeCell ref="AL1026:BB1026"/>
    <mergeCell ref="Z1026:AA1026"/>
    <mergeCell ref="AB1026:AC1026"/>
    <mergeCell ref="AD1026:AE1026"/>
    <mergeCell ref="AF1026:AG1026"/>
    <mergeCell ref="AH1026:AI1026"/>
    <mergeCell ref="AJ1026:AK1026"/>
    <mergeCell ref="N1026:O1026"/>
    <mergeCell ref="P1026:Q1026"/>
    <mergeCell ref="R1026:S1026"/>
    <mergeCell ref="T1026:U1026"/>
    <mergeCell ref="V1026:W1026"/>
    <mergeCell ref="X1026:Y1026"/>
    <mergeCell ref="B1026:C1026"/>
    <mergeCell ref="D1026:E1026"/>
    <mergeCell ref="F1026:G1026"/>
    <mergeCell ref="H1026:I1026"/>
    <mergeCell ref="J1026:K1026"/>
    <mergeCell ref="L1026:M1026"/>
    <mergeCell ref="AL1025:BB1025"/>
    <mergeCell ref="AD1025:AE1025"/>
    <mergeCell ref="AF1025:AG1025"/>
    <mergeCell ref="AH1025:AI1025"/>
    <mergeCell ref="AJ1025:AK1025"/>
    <mergeCell ref="R1025:S1025"/>
    <mergeCell ref="T1025:U1025"/>
    <mergeCell ref="V1025:W1025"/>
    <mergeCell ref="X1025:Y1025"/>
    <mergeCell ref="Z1025:AA1025"/>
    <mergeCell ref="AB1025:AC1025"/>
    <mergeCell ref="B1025:C1025"/>
    <mergeCell ref="D1025:E1025"/>
    <mergeCell ref="F1025:G1025"/>
    <mergeCell ref="H1025:I1025"/>
    <mergeCell ref="J1025:K1025"/>
    <mergeCell ref="L1025:M1025"/>
    <mergeCell ref="N1025:O1025"/>
    <mergeCell ref="P1025:Q1025"/>
    <mergeCell ref="AL1024:BB1024"/>
    <mergeCell ref="Z1024:AA1024"/>
    <mergeCell ref="AB1024:AC1024"/>
    <mergeCell ref="AD1024:AE1024"/>
    <mergeCell ref="AF1024:AG1024"/>
    <mergeCell ref="AH1024:AI1024"/>
    <mergeCell ref="AJ1024:AK1024"/>
    <mergeCell ref="N1024:O1024"/>
    <mergeCell ref="P1024:Q1024"/>
    <mergeCell ref="R1024:S1024"/>
    <mergeCell ref="T1024:U1024"/>
    <mergeCell ref="V1024:W1024"/>
    <mergeCell ref="X1024:Y1024"/>
    <mergeCell ref="B1024:C1024"/>
    <mergeCell ref="D1024:E1024"/>
    <mergeCell ref="F1024:G1024"/>
    <mergeCell ref="H1024:I1024"/>
    <mergeCell ref="J1024:K1024"/>
    <mergeCell ref="L1024:M1024"/>
    <mergeCell ref="AL1023:BB1023"/>
    <mergeCell ref="AD1023:AE1023"/>
    <mergeCell ref="AF1023:AG1023"/>
    <mergeCell ref="AH1023:AI1023"/>
    <mergeCell ref="AJ1023:AK1023"/>
    <mergeCell ref="R1023:S1023"/>
    <mergeCell ref="T1023:U1023"/>
    <mergeCell ref="V1023:W1023"/>
    <mergeCell ref="X1023:Y1023"/>
    <mergeCell ref="Z1023:AA1023"/>
    <mergeCell ref="AB1023:AC1023"/>
    <mergeCell ref="B1023:C1023"/>
    <mergeCell ref="D1023:E1023"/>
    <mergeCell ref="F1023:G1023"/>
    <mergeCell ref="H1023:I1023"/>
    <mergeCell ref="J1023:K1023"/>
    <mergeCell ref="L1023:M1023"/>
    <mergeCell ref="N1023:O1023"/>
    <mergeCell ref="P1023:Q1023"/>
    <mergeCell ref="AL1022:BB1022"/>
    <mergeCell ref="Z1022:AA1022"/>
    <mergeCell ref="AB1022:AC1022"/>
    <mergeCell ref="AD1022:AE1022"/>
    <mergeCell ref="AF1022:AG1022"/>
    <mergeCell ref="AH1022:AI1022"/>
    <mergeCell ref="AJ1022:AK1022"/>
    <mergeCell ref="N1022:O1022"/>
    <mergeCell ref="P1022:Q1022"/>
    <mergeCell ref="R1022:S1022"/>
    <mergeCell ref="T1022:U1022"/>
    <mergeCell ref="V1022:W1022"/>
    <mergeCell ref="X1022:Y1022"/>
    <mergeCell ref="B1022:C1022"/>
    <mergeCell ref="D1022:E1022"/>
    <mergeCell ref="F1022:G1022"/>
    <mergeCell ref="H1022:I1022"/>
    <mergeCell ref="J1022:K1022"/>
    <mergeCell ref="L1022:M1022"/>
    <mergeCell ref="AL1021:BB1021"/>
    <mergeCell ref="AD1021:AE1021"/>
    <mergeCell ref="AF1021:AG1021"/>
    <mergeCell ref="AH1021:AI1021"/>
    <mergeCell ref="AJ1021:AK1021"/>
    <mergeCell ref="R1021:S1021"/>
    <mergeCell ref="T1021:U1021"/>
    <mergeCell ref="V1021:W1021"/>
    <mergeCell ref="X1021:Y1021"/>
    <mergeCell ref="Z1021:AA1021"/>
    <mergeCell ref="AB1021:AC1021"/>
    <mergeCell ref="B1021:C1021"/>
    <mergeCell ref="D1021:E1021"/>
    <mergeCell ref="F1021:G1021"/>
    <mergeCell ref="H1021:I1021"/>
    <mergeCell ref="J1021:K1021"/>
    <mergeCell ref="L1021:M1021"/>
    <mergeCell ref="N1021:O1021"/>
    <mergeCell ref="P1021:Q1021"/>
    <mergeCell ref="AL1020:BB1020"/>
    <mergeCell ref="Z1020:AA1020"/>
    <mergeCell ref="AB1020:AC1020"/>
    <mergeCell ref="AD1020:AE1020"/>
    <mergeCell ref="AF1020:AG1020"/>
    <mergeCell ref="AH1020:AI1020"/>
    <mergeCell ref="AJ1020:AK1020"/>
    <mergeCell ref="N1020:O1020"/>
    <mergeCell ref="P1020:Q1020"/>
    <mergeCell ref="R1020:S1020"/>
    <mergeCell ref="T1020:U1020"/>
    <mergeCell ref="V1020:W1020"/>
    <mergeCell ref="X1020:Y1020"/>
    <mergeCell ref="B1020:C1020"/>
    <mergeCell ref="D1020:E1020"/>
    <mergeCell ref="F1020:G1020"/>
    <mergeCell ref="H1020:I1020"/>
    <mergeCell ref="J1020:K1020"/>
    <mergeCell ref="L1020:M1020"/>
    <mergeCell ref="AL1019:BB1019"/>
    <mergeCell ref="AD1019:AE1019"/>
    <mergeCell ref="AF1019:AG1019"/>
    <mergeCell ref="AH1019:AI1019"/>
    <mergeCell ref="AJ1019:AK1019"/>
    <mergeCell ref="R1019:S1019"/>
    <mergeCell ref="T1019:U1019"/>
    <mergeCell ref="V1019:W1019"/>
    <mergeCell ref="X1019:Y1019"/>
    <mergeCell ref="Z1019:AA1019"/>
    <mergeCell ref="AB1019:AC1019"/>
    <mergeCell ref="B1019:C1019"/>
    <mergeCell ref="D1019:E1019"/>
    <mergeCell ref="F1019:G1019"/>
    <mergeCell ref="H1019:I1019"/>
    <mergeCell ref="J1019:K1019"/>
    <mergeCell ref="L1019:M1019"/>
    <mergeCell ref="N1019:O1019"/>
    <mergeCell ref="P1019:Q1019"/>
    <mergeCell ref="AL1018:BB1018"/>
    <mergeCell ref="Z1018:AA1018"/>
    <mergeCell ref="AB1018:AC1018"/>
    <mergeCell ref="AD1018:AE1018"/>
    <mergeCell ref="AF1018:AG1018"/>
    <mergeCell ref="AH1018:AI1018"/>
    <mergeCell ref="AJ1018:AK1018"/>
    <mergeCell ref="N1018:O1018"/>
    <mergeCell ref="P1018:Q1018"/>
    <mergeCell ref="R1018:S1018"/>
    <mergeCell ref="T1018:U1018"/>
    <mergeCell ref="V1018:W1018"/>
    <mergeCell ref="X1018:Y1018"/>
    <mergeCell ref="B1018:C1018"/>
    <mergeCell ref="D1018:E1018"/>
    <mergeCell ref="F1018:G1018"/>
    <mergeCell ref="H1018:I1018"/>
    <mergeCell ref="J1018:K1018"/>
    <mergeCell ref="L1018:M1018"/>
    <mergeCell ref="AL1017:BB1017"/>
    <mergeCell ref="Z1017:AA1017"/>
    <mergeCell ref="AB1017:AC1017"/>
    <mergeCell ref="AD1017:AE1017"/>
    <mergeCell ref="AF1017:AG1017"/>
    <mergeCell ref="AH1017:AI1017"/>
    <mergeCell ref="AJ1017:AK1017"/>
    <mergeCell ref="N1017:O1017"/>
    <mergeCell ref="P1017:Q1017"/>
    <mergeCell ref="R1017:S1017"/>
    <mergeCell ref="T1017:U1017"/>
    <mergeCell ref="V1017:W1017"/>
    <mergeCell ref="X1017:Y1017"/>
    <mergeCell ref="B1017:C1017"/>
    <mergeCell ref="D1017:E1017"/>
    <mergeCell ref="F1017:G1017"/>
    <mergeCell ref="H1017:I1017"/>
    <mergeCell ref="J1017:K1017"/>
    <mergeCell ref="L1017:M1017"/>
    <mergeCell ref="AL1016:BB1016"/>
    <mergeCell ref="Z1016:AA1016"/>
    <mergeCell ref="AB1016:AC1016"/>
    <mergeCell ref="AD1016:AE1016"/>
    <mergeCell ref="AF1016:AG1016"/>
    <mergeCell ref="AH1016:AI1016"/>
    <mergeCell ref="AJ1016:AK1016"/>
    <mergeCell ref="N1016:O1016"/>
    <mergeCell ref="P1016:Q1016"/>
    <mergeCell ref="R1016:S1016"/>
    <mergeCell ref="T1016:U1016"/>
    <mergeCell ref="V1016:W1016"/>
    <mergeCell ref="X1016:Y1016"/>
    <mergeCell ref="B1016:C1016"/>
    <mergeCell ref="D1016:E1016"/>
    <mergeCell ref="F1016:G1016"/>
    <mergeCell ref="H1016:I1016"/>
    <mergeCell ref="J1016:K1016"/>
    <mergeCell ref="L1016:M1016"/>
    <mergeCell ref="AL1015:BB1015"/>
    <mergeCell ref="AD1015:AE1015"/>
    <mergeCell ref="AF1015:AG1015"/>
    <mergeCell ref="AH1015:AI1015"/>
    <mergeCell ref="AJ1015:AK1015"/>
    <mergeCell ref="R1015:S1015"/>
    <mergeCell ref="T1015:U1015"/>
    <mergeCell ref="V1015:W1015"/>
    <mergeCell ref="X1015:Y1015"/>
    <mergeCell ref="Z1015:AA1015"/>
    <mergeCell ref="AB1015:AC1015"/>
    <mergeCell ref="B1015:C1015"/>
    <mergeCell ref="D1015:E1015"/>
    <mergeCell ref="F1015:G1015"/>
    <mergeCell ref="H1015:I1015"/>
    <mergeCell ref="J1015:K1015"/>
    <mergeCell ref="L1015:M1015"/>
    <mergeCell ref="N1015:O1015"/>
    <mergeCell ref="P1015:Q1015"/>
    <mergeCell ref="AL1014:BB1014"/>
    <mergeCell ref="AD1014:AE1014"/>
    <mergeCell ref="AF1014:AG1014"/>
    <mergeCell ref="AH1014:AI1014"/>
    <mergeCell ref="AJ1014:AK1014"/>
    <mergeCell ref="R1014:S1014"/>
    <mergeCell ref="T1014:U1014"/>
    <mergeCell ref="V1014:W1014"/>
    <mergeCell ref="X1014:Y1014"/>
    <mergeCell ref="Z1014:AA1014"/>
    <mergeCell ref="AB1014:AC1014"/>
    <mergeCell ref="B1014:C1014"/>
    <mergeCell ref="D1014:E1014"/>
    <mergeCell ref="F1014:G1014"/>
    <mergeCell ref="H1014:I1014"/>
    <mergeCell ref="J1014:K1014"/>
    <mergeCell ref="L1014:M1014"/>
    <mergeCell ref="N1014:O1014"/>
    <mergeCell ref="P1014:Q1014"/>
    <mergeCell ref="AL1013:BB1013"/>
    <mergeCell ref="AD1013:AE1013"/>
    <mergeCell ref="AF1013:AG1013"/>
    <mergeCell ref="AH1013:AI1013"/>
    <mergeCell ref="AJ1013:AK1013"/>
    <mergeCell ref="R1013:S1013"/>
    <mergeCell ref="T1013:U1013"/>
    <mergeCell ref="V1013:W1013"/>
    <mergeCell ref="X1013:Y1013"/>
    <mergeCell ref="Z1013:AA1013"/>
    <mergeCell ref="AB1013:AC1013"/>
    <mergeCell ref="B1013:C1013"/>
    <mergeCell ref="D1013:E1013"/>
    <mergeCell ref="F1013:G1013"/>
    <mergeCell ref="H1013:I1013"/>
    <mergeCell ref="J1013:K1013"/>
    <mergeCell ref="L1013:M1013"/>
    <mergeCell ref="N1013:O1013"/>
    <mergeCell ref="P1013:Q1013"/>
    <mergeCell ref="AL1012:BB1012"/>
    <mergeCell ref="AD1012:AE1012"/>
    <mergeCell ref="AF1012:AG1012"/>
    <mergeCell ref="AH1012:AI1012"/>
    <mergeCell ref="AJ1012:AK1012"/>
    <mergeCell ref="R1012:S1012"/>
    <mergeCell ref="T1012:U1012"/>
    <mergeCell ref="V1012:W1012"/>
    <mergeCell ref="X1012:Y1012"/>
    <mergeCell ref="Z1012:AA1012"/>
    <mergeCell ref="AB1012:AC1012"/>
    <mergeCell ref="B1012:C1012"/>
    <mergeCell ref="D1012:E1012"/>
    <mergeCell ref="F1012:G1012"/>
    <mergeCell ref="H1012:I1012"/>
    <mergeCell ref="J1012:K1012"/>
    <mergeCell ref="L1012:M1012"/>
    <mergeCell ref="N1012:O1012"/>
    <mergeCell ref="P1012:Q1012"/>
    <mergeCell ref="AL1011:BB1011"/>
    <mergeCell ref="AD1011:AE1011"/>
    <mergeCell ref="AF1011:AG1011"/>
    <mergeCell ref="AH1011:AI1011"/>
    <mergeCell ref="AJ1011:AK1011"/>
    <mergeCell ref="R1011:S1011"/>
    <mergeCell ref="T1011:U1011"/>
    <mergeCell ref="V1011:W1011"/>
    <mergeCell ref="X1011:Y1011"/>
    <mergeCell ref="Z1011:AA1011"/>
    <mergeCell ref="AB1011:AC1011"/>
    <mergeCell ref="B1011:C1011"/>
    <mergeCell ref="D1011:E1011"/>
    <mergeCell ref="F1011:G1011"/>
    <mergeCell ref="H1011:I1011"/>
    <mergeCell ref="J1011:K1011"/>
    <mergeCell ref="L1011:M1011"/>
    <mergeCell ref="N1011:O1011"/>
    <mergeCell ref="P1011:Q1011"/>
    <mergeCell ref="AL1010:BB1010"/>
    <mergeCell ref="AD1010:AE1010"/>
    <mergeCell ref="AF1010:AG1010"/>
    <mergeCell ref="AH1010:AI1010"/>
    <mergeCell ref="AJ1010:AK1010"/>
    <mergeCell ref="R1010:S1010"/>
    <mergeCell ref="T1010:U1010"/>
    <mergeCell ref="V1010:W1010"/>
    <mergeCell ref="X1010:Y1010"/>
    <mergeCell ref="Z1010:AA1010"/>
    <mergeCell ref="AB1010:AC1010"/>
    <mergeCell ref="B1010:C1010"/>
    <mergeCell ref="D1010:E1010"/>
    <mergeCell ref="F1010:G1010"/>
    <mergeCell ref="H1010:I1010"/>
    <mergeCell ref="J1010:K1010"/>
    <mergeCell ref="L1010:M1010"/>
    <mergeCell ref="N1010:O1010"/>
    <mergeCell ref="P1010:Q1010"/>
    <mergeCell ref="AL1009:BB1009"/>
    <mergeCell ref="AD1009:AE1009"/>
    <mergeCell ref="AF1009:AG1009"/>
    <mergeCell ref="AH1009:AI1009"/>
    <mergeCell ref="AJ1009:AK1009"/>
    <mergeCell ref="R1009:S1009"/>
    <mergeCell ref="T1009:U1009"/>
    <mergeCell ref="V1009:W1009"/>
    <mergeCell ref="X1009:Y1009"/>
    <mergeCell ref="Z1009:AA1009"/>
    <mergeCell ref="AB1009:AC1009"/>
    <mergeCell ref="B1009:C1009"/>
    <mergeCell ref="D1009:E1009"/>
    <mergeCell ref="F1009:G1009"/>
    <mergeCell ref="H1009:I1009"/>
    <mergeCell ref="J1009:K1009"/>
    <mergeCell ref="L1009:M1009"/>
    <mergeCell ref="N1009:O1009"/>
    <mergeCell ref="P1009:Q1009"/>
    <mergeCell ref="AL1008:BB1008"/>
    <mergeCell ref="AD1008:AE1008"/>
    <mergeCell ref="AF1008:AG1008"/>
    <mergeCell ref="AH1008:AI1008"/>
    <mergeCell ref="AJ1008:AK1008"/>
    <mergeCell ref="R1008:S1008"/>
    <mergeCell ref="T1008:U1008"/>
    <mergeCell ref="V1008:W1008"/>
    <mergeCell ref="X1008:Y1008"/>
    <mergeCell ref="Z1008:AA1008"/>
    <mergeCell ref="AB1008:AC1008"/>
    <mergeCell ref="B1008:C1008"/>
    <mergeCell ref="D1008:E1008"/>
    <mergeCell ref="F1008:G1008"/>
    <mergeCell ref="H1008:I1008"/>
    <mergeCell ref="J1008:K1008"/>
    <mergeCell ref="L1008:M1008"/>
    <mergeCell ref="N1008:O1008"/>
    <mergeCell ref="P1008:Q1008"/>
    <mergeCell ref="AL1007:BB1007"/>
    <mergeCell ref="AD1007:AE1007"/>
    <mergeCell ref="AF1007:AG1007"/>
    <mergeCell ref="AH1007:AI1007"/>
    <mergeCell ref="AJ1007:AK1007"/>
    <mergeCell ref="R1007:S1007"/>
    <mergeCell ref="T1007:U1007"/>
    <mergeCell ref="V1007:W1007"/>
    <mergeCell ref="X1007:Y1007"/>
    <mergeCell ref="Z1007:AA1007"/>
    <mergeCell ref="AB1007:AC1007"/>
    <mergeCell ref="B1007:C1007"/>
    <mergeCell ref="D1007:E1007"/>
    <mergeCell ref="F1007:G1007"/>
    <mergeCell ref="H1007:I1007"/>
    <mergeCell ref="J1007:K1007"/>
    <mergeCell ref="L1007:M1007"/>
    <mergeCell ref="N1007:O1007"/>
    <mergeCell ref="P1007:Q1007"/>
    <mergeCell ref="AL1006:BB1006"/>
    <mergeCell ref="AD1006:AE1006"/>
    <mergeCell ref="AF1006:AG1006"/>
    <mergeCell ref="AH1006:AI1006"/>
    <mergeCell ref="AJ1006:AK1006"/>
    <mergeCell ref="R1006:S1006"/>
    <mergeCell ref="T1006:U1006"/>
    <mergeCell ref="V1006:W1006"/>
    <mergeCell ref="X1006:Y1006"/>
    <mergeCell ref="Z1006:AA1006"/>
    <mergeCell ref="AB1006:AC1006"/>
    <mergeCell ref="B1006:C1006"/>
    <mergeCell ref="D1006:E1006"/>
    <mergeCell ref="F1006:G1006"/>
    <mergeCell ref="H1006:I1006"/>
    <mergeCell ref="J1006:K1006"/>
    <mergeCell ref="L1006:M1006"/>
    <mergeCell ref="N1006:O1006"/>
    <mergeCell ref="P1006:Q1006"/>
    <mergeCell ref="AL1005:BB1005"/>
    <mergeCell ref="AD1005:AE1005"/>
    <mergeCell ref="AF1005:AG1005"/>
    <mergeCell ref="AH1005:AI1005"/>
    <mergeCell ref="AJ1005:AK1005"/>
    <mergeCell ref="R1005:S1005"/>
    <mergeCell ref="T1005:U1005"/>
    <mergeCell ref="V1005:W1005"/>
    <mergeCell ref="X1005:Y1005"/>
    <mergeCell ref="Z1005:AA1005"/>
    <mergeCell ref="AB1005:AC1005"/>
    <mergeCell ref="B1005:C1005"/>
    <mergeCell ref="D1005:E1005"/>
    <mergeCell ref="F1005:G1005"/>
    <mergeCell ref="H1005:I1005"/>
    <mergeCell ref="J1005:K1005"/>
    <mergeCell ref="L1005:M1005"/>
    <mergeCell ref="N1005:O1005"/>
    <mergeCell ref="P1005:Q1005"/>
    <mergeCell ref="AL1004:BB1004"/>
    <mergeCell ref="AD1004:AE1004"/>
    <mergeCell ref="AF1004:AG1004"/>
    <mergeCell ref="AH1004:AI1004"/>
    <mergeCell ref="AJ1004:AK1004"/>
    <mergeCell ref="R1004:S1004"/>
    <mergeCell ref="T1004:U1004"/>
    <mergeCell ref="V1004:W1004"/>
    <mergeCell ref="X1004:Y1004"/>
    <mergeCell ref="Z1004:AA1004"/>
    <mergeCell ref="AB1004:AC1004"/>
    <mergeCell ref="B1004:C1004"/>
    <mergeCell ref="D1004:E1004"/>
    <mergeCell ref="F1004:G1004"/>
    <mergeCell ref="H1004:I1004"/>
    <mergeCell ref="J1004:K1004"/>
    <mergeCell ref="L1004:M1004"/>
    <mergeCell ref="N1004:O1004"/>
    <mergeCell ref="P1004:Q1004"/>
    <mergeCell ref="AL1003:BB1003"/>
    <mergeCell ref="AD1003:AE1003"/>
    <mergeCell ref="AF1003:AG1003"/>
    <mergeCell ref="AH1003:AI1003"/>
    <mergeCell ref="AJ1003:AK1003"/>
    <mergeCell ref="R1003:S1003"/>
    <mergeCell ref="T1003:U1003"/>
    <mergeCell ref="V1003:W1003"/>
    <mergeCell ref="X1003:Y1003"/>
    <mergeCell ref="Z1003:AA1003"/>
    <mergeCell ref="AB1003:AC1003"/>
    <mergeCell ref="B1003:C1003"/>
    <mergeCell ref="D1003:E1003"/>
    <mergeCell ref="F1003:G1003"/>
    <mergeCell ref="H1003:I1003"/>
    <mergeCell ref="J1003:K1003"/>
    <mergeCell ref="L1003:M1003"/>
    <mergeCell ref="N1003:O1003"/>
    <mergeCell ref="P1003:Q1003"/>
    <mergeCell ref="AL1002:BB1002"/>
    <mergeCell ref="AD1002:AE1002"/>
    <mergeCell ref="AF1002:AG1002"/>
    <mergeCell ref="AH1002:AI1002"/>
    <mergeCell ref="AJ1002:AK1002"/>
    <mergeCell ref="R1002:S1002"/>
    <mergeCell ref="T1002:U1002"/>
    <mergeCell ref="V1002:W1002"/>
    <mergeCell ref="X1002:Y1002"/>
    <mergeCell ref="Z1002:AA1002"/>
    <mergeCell ref="AB1002:AC1002"/>
    <mergeCell ref="B1002:C1002"/>
    <mergeCell ref="D1002:E1002"/>
    <mergeCell ref="F1002:G1002"/>
    <mergeCell ref="H1002:I1002"/>
    <mergeCell ref="J1002:K1002"/>
    <mergeCell ref="L1002:M1002"/>
    <mergeCell ref="N1002:O1002"/>
    <mergeCell ref="P1002:Q1002"/>
    <mergeCell ref="AL1001:BB1001"/>
    <mergeCell ref="AD1001:AE1001"/>
    <mergeCell ref="AF1001:AG1001"/>
    <mergeCell ref="AH1001:AI1001"/>
    <mergeCell ref="AJ1001:AK1001"/>
    <mergeCell ref="R1001:S1001"/>
    <mergeCell ref="T1001:U1001"/>
    <mergeCell ref="V1001:W1001"/>
    <mergeCell ref="X1001:Y1001"/>
    <mergeCell ref="Z1001:AA1001"/>
    <mergeCell ref="AB1001:AC1001"/>
    <mergeCell ref="B1001:C1001"/>
    <mergeCell ref="D1001:E1001"/>
    <mergeCell ref="F1001:G1001"/>
    <mergeCell ref="H1001:I1001"/>
    <mergeCell ref="J1001:K1001"/>
    <mergeCell ref="L1001:M1001"/>
    <mergeCell ref="N1001:O1001"/>
    <mergeCell ref="P1001:Q1001"/>
    <mergeCell ref="AL1000:BB1000"/>
    <mergeCell ref="AD1000:AE1000"/>
    <mergeCell ref="AF1000:AG1000"/>
    <mergeCell ref="AH1000:AI1000"/>
    <mergeCell ref="AJ1000:AK1000"/>
    <mergeCell ref="R1000:S1000"/>
    <mergeCell ref="T1000:U1000"/>
    <mergeCell ref="V1000:W1000"/>
    <mergeCell ref="X1000:Y1000"/>
    <mergeCell ref="Z1000:AA1000"/>
    <mergeCell ref="AB1000:AC1000"/>
    <mergeCell ref="B1000:C1000"/>
    <mergeCell ref="D1000:E1000"/>
    <mergeCell ref="F1000:G1000"/>
    <mergeCell ref="H1000:I1000"/>
    <mergeCell ref="J1000:K1000"/>
    <mergeCell ref="L1000:M1000"/>
    <mergeCell ref="N1000:O1000"/>
    <mergeCell ref="P1000:Q1000"/>
    <mergeCell ref="AL999:BB999"/>
    <mergeCell ref="AD999:AE999"/>
    <mergeCell ref="AF999:AG999"/>
    <mergeCell ref="AH999:AI999"/>
    <mergeCell ref="AJ999:AK999"/>
    <mergeCell ref="R999:S999"/>
    <mergeCell ref="T999:U999"/>
    <mergeCell ref="V999:W999"/>
    <mergeCell ref="X999:Y999"/>
    <mergeCell ref="Z999:AA999"/>
    <mergeCell ref="AB999:AC999"/>
    <mergeCell ref="B999:C999"/>
    <mergeCell ref="D999:E999"/>
    <mergeCell ref="F999:G999"/>
    <mergeCell ref="H999:I999"/>
    <mergeCell ref="J999:K999"/>
    <mergeCell ref="L999:M999"/>
    <mergeCell ref="N999:O999"/>
    <mergeCell ref="P999:Q999"/>
    <mergeCell ref="AL998:BB998"/>
    <mergeCell ref="AD998:AE998"/>
    <mergeCell ref="AF998:AG998"/>
    <mergeCell ref="AH998:AI998"/>
    <mergeCell ref="AJ998:AK998"/>
    <mergeCell ref="R998:S998"/>
    <mergeCell ref="T998:U998"/>
    <mergeCell ref="V998:W998"/>
    <mergeCell ref="X998:Y998"/>
    <mergeCell ref="Z998:AA998"/>
    <mergeCell ref="AB998:AC998"/>
    <mergeCell ref="B998:C998"/>
    <mergeCell ref="D998:E998"/>
    <mergeCell ref="F998:G998"/>
    <mergeCell ref="H998:I998"/>
    <mergeCell ref="J998:K998"/>
    <mergeCell ref="L998:M998"/>
    <mergeCell ref="N998:O998"/>
    <mergeCell ref="P998:Q998"/>
    <mergeCell ref="AL997:BB997"/>
    <mergeCell ref="AD997:AE997"/>
    <mergeCell ref="AF997:AG997"/>
    <mergeCell ref="AH997:AI997"/>
    <mergeCell ref="AJ997:AK997"/>
    <mergeCell ref="R997:S997"/>
    <mergeCell ref="T997:U997"/>
    <mergeCell ref="V997:W997"/>
    <mergeCell ref="X997:Y997"/>
    <mergeCell ref="Z997:AA997"/>
    <mergeCell ref="AB997:AC997"/>
    <mergeCell ref="B997:C997"/>
    <mergeCell ref="D997:E997"/>
    <mergeCell ref="F997:G997"/>
    <mergeCell ref="H997:I997"/>
    <mergeCell ref="J997:K997"/>
    <mergeCell ref="L997:M997"/>
    <mergeCell ref="N997:O997"/>
    <mergeCell ref="P997:Q997"/>
    <mergeCell ref="AL996:BB996"/>
    <mergeCell ref="AD996:AE996"/>
    <mergeCell ref="AF996:AG996"/>
    <mergeCell ref="AH996:AI996"/>
    <mergeCell ref="AJ996:AK996"/>
    <mergeCell ref="R996:S996"/>
    <mergeCell ref="T996:U996"/>
    <mergeCell ref="V996:W996"/>
    <mergeCell ref="X996:Y996"/>
    <mergeCell ref="Z996:AA996"/>
    <mergeCell ref="AB996:AC996"/>
    <mergeCell ref="B996:C996"/>
    <mergeCell ref="D996:E996"/>
    <mergeCell ref="F996:G996"/>
    <mergeCell ref="H996:I996"/>
    <mergeCell ref="J996:K996"/>
    <mergeCell ref="L996:M996"/>
    <mergeCell ref="N996:O996"/>
    <mergeCell ref="P996:Q996"/>
    <mergeCell ref="AL995:BB995"/>
    <mergeCell ref="AD995:AE995"/>
    <mergeCell ref="AF995:AG995"/>
    <mergeCell ref="AH995:AI995"/>
    <mergeCell ref="AJ995:AK995"/>
    <mergeCell ref="R995:S995"/>
    <mergeCell ref="T995:U995"/>
    <mergeCell ref="V995:W995"/>
    <mergeCell ref="X995:Y995"/>
    <mergeCell ref="Z995:AA995"/>
    <mergeCell ref="AB995:AC995"/>
    <mergeCell ref="B995:C995"/>
    <mergeCell ref="D995:E995"/>
    <mergeCell ref="F995:G995"/>
    <mergeCell ref="H995:I995"/>
    <mergeCell ref="J995:K995"/>
    <mergeCell ref="L995:M995"/>
    <mergeCell ref="N995:O995"/>
    <mergeCell ref="P995:Q995"/>
    <mergeCell ref="AL994:BB994"/>
    <mergeCell ref="AD994:AE994"/>
    <mergeCell ref="AF994:AG994"/>
    <mergeCell ref="AH994:AI994"/>
    <mergeCell ref="AJ994:AK994"/>
    <mergeCell ref="R994:S994"/>
    <mergeCell ref="T994:U994"/>
    <mergeCell ref="V994:W994"/>
    <mergeCell ref="X994:Y994"/>
    <mergeCell ref="Z994:AA994"/>
    <mergeCell ref="AB994:AC994"/>
    <mergeCell ref="B994:C994"/>
    <mergeCell ref="D994:E994"/>
    <mergeCell ref="F994:G994"/>
    <mergeCell ref="H994:I994"/>
    <mergeCell ref="J994:K994"/>
    <mergeCell ref="L994:M994"/>
    <mergeCell ref="N994:O994"/>
    <mergeCell ref="P994:Q994"/>
    <mergeCell ref="AL993:BB993"/>
    <mergeCell ref="AD993:AE993"/>
    <mergeCell ref="AF993:AG993"/>
    <mergeCell ref="AH993:AI993"/>
    <mergeCell ref="AJ993:AK993"/>
    <mergeCell ref="R993:S993"/>
    <mergeCell ref="T993:U993"/>
    <mergeCell ref="V993:W993"/>
    <mergeCell ref="X993:Y993"/>
    <mergeCell ref="Z993:AA993"/>
    <mergeCell ref="AB993:AC993"/>
    <mergeCell ref="B993:C993"/>
    <mergeCell ref="D993:E993"/>
    <mergeCell ref="F993:G993"/>
    <mergeCell ref="H993:I993"/>
    <mergeCell ref="J993:K993"/>
    <mergeCell ref="L993:M993"/>
    <mergeCell ref="N993:O993"/>
    <mergeCell ref="P993:Q993"/>
    <mergeCell ref="AL992:BB992"/>
    <mergeCell ref="AD992:AE992"/>
    <mergeCell ref="AF992:AG992"/>
    <mergeCell ref="AH992:AI992"/>
    <mergeCell ref="AJ992:AK992"/>
    <mergeCell ref="R992:S992"/>
    <mergeCell ref="T992:U992"/>
    <mergeCell ref="V992:W992"/>
    <mergeCell ref="X992:Y992"/>
    <mergeCell ref="Z992:AA992"/>
    <mergeCell ref="AB992:AC992"/>
    <mergeCell ref="B992:C992"/>
    <mergeCell ref="D992:E992"/>
    <mergeCell ref="F992:G992"/>
    <mergeCell ref="H992:I992"/>
    <mergeCell ref="J992:K992"/>
    <mergeCell ref="L992:M992"/>
    <mergeCell ref="N992:O992"/>
    <mergeCell ref="P992:Q992"/>
    <mergeCell ref="AL991:BB991"/>
    <mergeCell ref="AD991:AE991"/>
    <mergeCell ref="AF991:AG991"/>
    <mergeCell ref="AH991:AI991"/>
    <mergeCell ref="AJ991:AK991"/>
    <mergeCell ref="R991:S991"/>
    <mergeCell ref="T991:U991"/>
    <mergeCell ref="V991:W991"/>
    <mergeCell ref="X991:Y991"/>
    <mergeCell ref="Z991:AA991"/>
    <mergeCell ref="AB991:AC991"/>
    <mergeCell ref="B991:C991"/>
    <mergeCell ref="D991:E991"/>
    <mergeCell ref="F991:G991"/>
    <mergeCell ref="H991:I991"/>
    <mergeCell ref="J991:K991"/>
    <mergeCell ref="L991:M991"/>
    <mergeCell ref="N991:O991"/>
    <mergeCell ref="P991:Q991"/>
    <mergeCell ref="AL990:BB990"/>
    <mergeCell ref="AD990:AE990"/>
    <mergeCell ref="AF990:AG990"/>
    <mergeCell ref="AH990:AI990"/>
    <mergeCell ref="AJ990:AK990"/>
    <mergeCell ref="R990:S990"/>
    <mergeCell ref="T990:U990"/>
    <mergeCell ref="V990:W990"/>
    <mergeCell ref="X990:Y990"/>
    <mergeCell ref="Z990:AA990"/>
    <mergeCell ref="AB990:AC990"/>
    <mergeCell ref="B990:C990"/>
    <mergeCell ref="D990:E990"/>
    <mergeCell ref="F990:G990"/>
    <mergeCell ref="H990:I990"/>
    <mergeCell ref="J990:K990"/>
    <mergeCell ref="L990:M990"/>
    <mergeCell ref="N990:O990"/>
    <mergeCell ref="P990:Q990"/>
    <mergeCell ref="AL989:BB989"/>
    <mergeCell ref="AD989:AE989"/>
    <mergeCell ref="AF989:AG989"/>
    <mergeCell ref="AH989:AI989"/>
    <mergeCell ref="AJ989:AK989"/>
    <mergeCell ref="R989:S989"/>
    <mergeCell ref="T989:U989"/>
    <mergeCell ref="V989:W989"/>
    <mergeCell ref="X989:Y989"/>
    <mergeCell ref="Z989:AA989"/>
    <mergeCell ref="AB989:AC989"/>
    <mergeCell ref="B989:C989"/>
    <mergeCell ref="D989:E989"/>
    <mergeCell ref="F989:G989"/>
    <mergeCell ref="H989:I989"/>
    <mergeCell ref="J989:K989"/>
    <mergeCell ref="L989:M989"/>
    <mergeCell ref="N989:O989"/>
    <mergeCell ref="P989:Q989"/>
    <mergeCell ref="AL988:BB988"/>
    <mergeCell ref="AD988:AE988"/>
    <mergeCell ref="AF988:AG988"/>
    <mergeCell ref="AH988:AI988"/>
    <mergeCell ref="AJ988:AK988"/>
    <mergeCell ref="R988:S988"/>
    <mergeCell ref="T988:U988"/>
    <mergeCell ref="V988:W988"/>
    <mergeCell ref="X988:Y988"/>
    <mergeCell ref="Z988:AA988"/>
    <mergeCell ref="AB988:AC988"/>
    <mergeCell ref="B988:C988"/>
    <mergeCell ref="D988:E988"/>
    <mergeCell ref="F988:G988"/>
    <mergeCell ref="H988:I988"/>
    <mergeCell ref="J988:K988"/>
    <mergeCell ref="L988:M988"/>
    <mergeCell ref="N988:O988"/>
    <mergeCell ref="P988:Q988"/>
    <mergeCell ref="AL987:BB987"/>
    <mergeCell ref="AD987:AE987"/>
    <mergeCell ref="AF987:AG987"/>
    <mergeCell ref="AH987:AI987"/>
    <mergeCell ref="AJ987:AK987"/>
    <mergeCell ref="R987:S987"/>
    <mergeCell ref="T987:U987"/>
    <mergeCell ref="V987:W987"/>
    <mergeCell ref="X987:Y987"/>
    <mergeCell ref="Z987:AA987"/>
    <mergeCell ref="AB987:AC987"/>
    <mergeCell ref="B987:C987"/>
    <mergeCell ref="D987:E987"/>
    <mergeCell ref="F987:G987"/>
    <mergeCell ref="H987:I987"/>
    <mergeCell ref="J987:K987"/>
    <mergeCell ref="L987:M987"/>
    <mergeCell ref="N987:O987"/>
    <mergeCell ref="P987:Q987"/>
    <mergeCell ref="AL986:BB986"/>
    <mergeCell ref="Z986:AA986"/>
    <mergeCell ref="AB986:AC986"/>
    <mergeCell ref="AD986:AE986"/>
    <mergeCell ref="AF986:AG986"/>
    <mergeCell ref="AH986:AI986"/>
    <mergeCell ref="AJ986:AK986"/>
    <mergeCell ref="N986:O986"/>
    <mergeCell ref="P986:Q986"/>
    <mergeCell ref="R986:S986"/>
    <mergeCell ref="T986:U986"/>
    <mergeCell ref="V986:W986"/>
    <mergeCell ref="X986:Y986"/>
    <mergeCell ref="B986:C986"/>
    <mergeCell ref="D986:E986"/>
    <mergeCell ref="F986:G986"/>
    <mergeCell ref="H986:I986"/>
    <mergeCell ref="J986:K986"/>
    <mergeCell ref="L986:M986"/>
    <mergeCell ref="AL985:BB985"/>
    <mergeCell ref="AD985:AE985"/>
    <mergeCell ref="AF985:AG985"/>
    <mergeCell ref="AH985:AI985"/>
    <mergeCell ref="AJ985:AK985"/>
    <mergeCell ref="R985:S985"/>
    <mergeCell ref="T985:U985"/>
    <mergeCell ref="V985:W985"/>
    <mergeCell ref="X985:Y985"/>
    <mergeCell ref="Z985:AA985"/>
    <mergeCell ref="AB985:AC985"/>
    <mergeCell ref="B985:C985"/>
    <mergeCell ref="D985:E985"/>
    <mergeCell ref="F985:G985"/>
    <mergeCell ref="H985:I985"/>
    <mergeCell ref="J985:K985"/>
    <mergeCell ref="L985:M985"/>
    <mergeCell ref="N985:O985"/>
    <mergeCell ref="P985:Q985"/>
    <mergeCell ref="AL984:BB984"/>
    <mergeCell ref="Z984:AA984"/>
    <mergeCell ref="AB984:AC984"/>
    <mergeCell ref="AD984:AE984"/>
    <mergeCell ref="AF984:AG984"/>
    <mergeCell ref="AH984:AI984"/>
    <mergeCell ref="AJ984:AK984"/>
    <mergeCell ref="N984:O984"/>
    <mergeCell ref="P984:Q984"/>
    <mergeCell ref="R984:S984"/>
    <mergeCell ref="T984:U984"/>
    <mergeCell ref="V984:W984"/>
    <mergeCell ref="X984:Y984"/>
    <mergeCell ref="B984:C984"/>
    <mergeCell ref="D984:E984"/>
    <mergeCell ref="F984:G984"/>
    <mergeCell ref="H984:I984"/>
    <mergeCell ref="J984:K984"/>
    <mergeCell ref="L984:M984"/>
    <mergeCell ref="AL983:BB983"/>
    <mergeCell ref="AD983:AE983"/>
    <mergeCell ref="AF983:AG983"/>
    <mergeCell ref="AH983:AI983"/>
    <mergeCell ref="AJ983:AK983"/>
    <mergeCell ref="R983:S983"/>
    <mergeCell ref="T983:U983"/>
    <mergeCell ref="V983:W983"/>
    <mergeCell ref="X983:Y983"/>
    <mergeCell ref="Z983:AA983"/>
    <mergeCell ref="AB983:AC983"/>
    <mergeCell ref="B983:C983"/>
    <mergeCell ref="D983:E983"/>
    <mergeCell ref="F983:G983"/>
    <mergeCell ref="H983:I983"/>
    <mergeCell ref="J983:K983"/>
    <mergeCell ref="L983:M983"/>
    <mergeCell ref="N983:O983"/>
    <mergeCell ref="P983:Q983"/>
    <mergeCell ref="AL982:BB982"/>
    <mergeCell ref="Z982:AA982"/>
    <mergeCell ref="AB982:AC982"/>
    <mergeCell ref="AD982:AE982"/>
    <mergeCell ref="AF982:AG982"/>
    <mergeCell ref="AH982:AI982"/>
    <mergeCell ref="AJ982:AK982"/>
    <mergeCell ref="N982:O982"/>
    <mergeCell ref="P982:Q982"/>
    <mergeCell ref="R982:S982"/>
    <mergeCell ref="T982:U982"/>
    <mergeCell ref="V982:W982"/>
    <mergeCell ref="X982:Y982"/>
    <mergeCell ref="B982:C982"/>
    <mergeCell ref="D982:E982"/>
    <mergeCell ref="F982:G982"/>
    <mergeCell ref="H982:I982"/>
    <mergeCell ref="J982:K982"/>
    <mergeCell ref="L982:M982"/>
    <mergeCell ref="AL981:BB981"/>
    <mergeCell ref="AD981:AE981"/>
    <mergeCell ref="AF981:AG981"/>
    <mergeCell ref="AH981:AI981"/>
    <mergeCell ref="AJ981:AK981"/>
    <mergeCell ref="R981:S981"/>
    <mergeCell ref="T981:U981"/>
    <mergeCell ref="V981:W981"/>
    <mergeCell ref="X981:Y981"/>
    <mergeCell ref="Z981:AA981"/>
    <mergeCell ref="AB981:AC981"/>
    <mergeCell ref="B981:C981"/>
    <mergeCell ref="D981:E981"/>
    <mergeCell ref="F981:G981"/>
    <mergeCell ref="H981:I981"/>
    <mergeCell ref="J981:K981"/>
    <mergeCell ref="L981:M981"/>
    <mergeCell ref="N981:O981"/>
    <mergeCell ref="P981:Q981"/>
    <mergeCell ref="AL980:BB980"/>
    <mergeCell ref="Z980:AA980"/>
    <mergeCell ref="AB980:AC980"/>
    <mergeCell ref="AD980:AE980"/>
    <mergeCell ref="AF980:AG980"/>
    <mergeCell ref="AH980:AI980"/>
    <mergeCell ref="AJ980:AK980"/>
    <mergeCell ref="N980:O980"/>
    <mergeCell ref="P980:Q980"/>
    <mergeCell ref="R980:S980"/>
    <mergeCell ref="T980:U980"/>
    <mergeCell ref="V980:W980"/>
    <mergeCell ref="X980:Y980"/>
    <mergeCell ref="B980:C980"/>
    <mergeCell ref="D980:E980"/>
    <mergeCell ref="F980:G980"/>
    <mergeCell ref="H980:I980"/>
    <mergeCell ref="J980:K980"/>
    <mergeCell ref="L980:M980"/>
    <mergeCell ref="AL979:BB979"/>
    <mergeCell ref="AD979:AE979"/>
    <mergeCell ref="AF979:AG979"/>
    <mergeCell ref="AH979:AI979"/>
    <mergeCell ref="AJ979:AK979"/>
    <mergeCell ref="R979:S979"/>
    <mergeCell ref="T979:U979"/>
    <mergeCell ref="V979:W979"/>
    <mergeCell ref="X979:Y979"/>
    <mergeCell ref="Z979:AA979"/>
    <mergeCell ref="AB979:AC979"/>
    <mergeCell ref="B979:C979"/>
    <mergeCell ref="D979:E979"/>
    <mergeCell ref="F979:G979"/>
    <mergeCell ref="H979:I979"/>
    <mergeCell ref="J979:K979"/>
    <mergeCell ref="L979:M979"/>
    <mergeCell ref="N979:O979"/>
    <mergeCell ref="P979:Q979"/>
    <mergeCell ref="AL978:BB978"/>
    <mergeCell ref="Z978:AA978"/>
    <mergeCell ref="AB978:AC978"/>
    <mergeCell ref="AD978:AE978"/>
    <mergeCell ref="AF978:AG978"/>
    <mergeCell ref="AH978:AI978"/>
    <mergeCell ref="AJ978:AK978"/>
    <mergeCell ref="N978:O978"/>
    <mergeCell ref="P978:Q978"/>
    <mergeCell ref="R978:S978"/>
    <mergeCell ref="T978:U978"/>
    <mergeCell ref="V978:W978"/>
    <mergeCell ref="X978:Y978"/>
    <mergeCell ref="B978:C978"/>
    <mergeCell ref="D978:E978"/>
    <mergeCell ref="F978:G978"/>
    <mergeCell ref="H978:I978"/>
    <mergeCell ref="J978:K978"/>
    <mergeCell ref="L978:M978"/>
    <mergeCell ref="AL977:BB977"/>
    <mergeCell ref="Z977:AA977"/>
    <mergeCell ref="AB977:AC977"/>
    <mergeCell ref="AD977:AE977"/>
    <mergeCell ref="AF977:AG977"/>
    <mergeCell ref="AH977:AI977"/>
    <mergeCell ref="AJ977:AK977"/>
    <mergeCell ref="N977:O977"/>
    <mergeCell ref="P977:Q977"/>
    <mergeCell ref="R977:S977"/>
    <mergeCell ref="T977:U977"/>
    <mergeCell ref="V977:W977"/>
    <mergeCell ref="X977:Y977"/>
    <mergeCell ref="B977:C977"/>
    <mergeCell ref="D977:E977"/>
    <mergeCell ref="F977:G977"/>
    <mergeCell ref="H977:I977"/>
    <mergeCell ref="J977:K977"/>
    <mergeCell ref="L977:M977"/>
    <mergeCell ref="AL976:BB976"/>
    <mergeCell ref="AD976:AE976"/>
    <mergeCell ref="AF976:AG976"/>
    <mergeCell ref="AH976:AI976"/>
    <mergeCell ref="AJ976:AK976"/>
    <mergeCell ref="R976:S976"/>
    <mergeCell ref="T976:U976"/>
    <mergeCell ref="V976:W976"/>
    <mergeCell ref="X976:Y976"/>
    <mergeCell ref="Z976:AA976"/>
    <mergeCell ref="AB976:AC976"/>
    <mergeCell ref="B976:C976"/>
    <mergeCell ref="D976:E976"/>
    <mergeCell ref="F976:G976"/>
    <mergeCell ref="H976:I976"/>
    <mergeCell ref="J976:K976"/>
    <mergeCell ref="L976:M976"/>
    <mergeCell ref="N976:O976"/>
    <mergeCell ref="P976:Q976"/>
    <mergeCell ref="AL975:BB975"/>
    <mergeCell ref="AD975:AE975"/>
    <mergeCell ref="AF975:AG975"/>
    <mergeCell ref="AH975:AI975"/>
    <mergeCell ref="AJ975:AK975"/>
    <mergeCell ref="R975:S975"/>
    <mergeCell ref="T975:U975"/>
    <mergeCell ref="V975:W975"/>
    <mergeCell ref="X975:Y975"/>
    <mergeCell ref="Z975:AA975"/>
    <mergeCell ref="AB975:AC975"/>
    <mergeCell ref="B975:C975"/>
    <mergeCell ref="D975:E975"/>
    <mergeCell ref="F975:G975"/>
    <mergeCell ref="H975:I975"/>
    <mergeCell ref="J975:K975"/>
    <mergeCell ref="L975:M975"/>
    <mergeCell ref="N975:O975"/>
    <mergeCell ref="P975:Q975"/>
    <mergeCell ref="AL974:BB974"/>
    <mergeCell ref="AD974:AE974"/>
    <mergeCell ref="AF974:AG974"/>
    <mergeCell ref="AH974:AI974"/>
    <mergeCell ref="AJ974:AK974"/>
    <mergeCell ref="R974:S974"/>
    <mergeCell ref="T974:U974"/>
    <mergeCell ref="V974:W974"/>
    <mergeCell ref="X974:Y974"/>
    <mergeCell ref="Z974:AA974"/>
    <mergeCell ref="AB974:AC974"/>
    <mergeCell ref="B974:C974"/>
    <mergeCell ref="D974:E974"/>
    <mergeCell ref="F974:G974"/>
    <mergeCell ref="H974:I974"/>
    <mergeCell ref="J974:K974"/>
    <mergeCell ref="L974:M974"/>
    <mergeCell ref="N974:O974"/>
    <mergeCell ref="P974:Q974"/>
    <mergeCell ref="AL973:BB973"/>
    <mergeCell ref="AD973:AE973"/>
    <mergeCell ref="AF973:AG973"/>
    <mergeCell ref="AH973:AI973"/>
    <mergeCell ref="AJ973:AK973"/>
    <mergeCell ref="R973:S973"/>
    <mergeCell ref="T973:U973"/>
    <mergeCell ref="V973:W973"/>
    <mergeCell ref="X973:Y973"/>
    <mergeCell ref="Z973:AA973"/>
    <mergeCell ref="AB973:AC973"/>
    <mergeCell ref="B973:C973"/>
    <mergeCell ref="D973:E973"/>
    <mergeCell ref="F973:G973"/>
    <mergeCell ref="H973:I973"/>
    <mergeCell ref="J973:K973"/>
    <mergeCell ref="L973:M973"/>
    <mergeCell ref="N973:O973"/>
    <mergeCell ref="P973:Q973"/>
    <mergeCell ref="AL972:BB972"/>
    <mergeCell ref="AD972:AE972"/>
    <mergeCell ref="AF972:AG972"/>
    <mergeCell ref="AH972:AI972"/>
    <mergeCell ref="AJ972:AK972"/>
    <mergeCell ref="R972:S972"/>
    <mergeCell ref="T972:U972"/>
    <mergeCell ref="V972:W972"/>
    <mergeCell ref="X972:Y972"/>
    <mergeCell ref="Z972:AA972"/>
    <mergeCell ref="AB972:AC972"/>
    <mergeCell ref="B972:C972"/>
    <mergeCell ref="D972:E972"/>
    <mergeCell ref="F972:G972"/>
    <mergeCell ref="H972:I972"/>
    <mergeCell ref="J972:K972"/>
    <mergeCell ref="L972:M972"/>
    <mergeCell ref="N972:O972"/>
    <mergeCell ref="P972:Q972"/>
    <mergeCell ref="AL971:BB971"/>
    <mergeCell ref="AD971:AE971"/>
    <mergeCell ref="AF971:AG971"/>
    <mergeCell ref="AH971:AI971"/>
    <mergeCell ref="AJ971:AK971"/>
    <mergeCell ref="R971:S971"/>
    <mergeCell ref="T971:U971"/>
    <mergeCell ref="V971:W971"/>
    <mergeCell ref="X971:Y971"/>
    <mergeCell ref="Z971:AA971"/>
    <mergeCell ref="AB971:AC971"/>
    <mergeCell ref="B971:C971"/>
    <mergeCell ref="D971:E971"/>
    <mergeCell ref="F971:G971"/>
    <mergeCell ref="H971:I971"/>
    <mergeCell ref="J971:K971"/>
    <mergeCell ref="L971:M971"/>
    <mergeCell ref="N971:O971"/>
    <mergeCell ref="P971:Q971"/>
    <mergeCell ref="AL970:BB970"/>
    <mergeCell ref="AD970:AE970"/>
    <mergeCell ref="AF970:AG970"/>
    <mergeCell ref="AH970:AI970"/>
    <mergeCell ref="AJ970:AK970"/>
    <mergeCell ref="R970:S970"/>
    <mergeCell ref="T970:U970"/>
    <mergeCell ref="V970:W970"/>
    <mergeCell ref="X970:Y970"/>
    <mergeCell ref="Z970:AA970"/>
    <mergeCell ref="AB970:AC970"/>
    <mergeCell ref="B970:C970"/>
    <mergeCell ref="D970:E970"/>
    <mergeCell ref="F970:G970"/>
    <mergeCell ref="H970:I970"/>
    <mergeCell ref="J970:K970"/>
    <mergeCell ref="L970:M970"/>
    <mergeCell ref="N970:O970"/>
    <mergeCell ref="P970:Q970"/>
    <mergeCell ref="AL969:BB969"/>
    <mergeCell ref="AD969:AE969"/>
    <mergeCell ref="AF969:AG969"/>
    <mergeCell ref="AH969:AI969"/>
    <mergeCell ref="AJ969:AK969"/>
    <mergeCell ref="R969:S969"/>
    <mergeCell ref="T969:U969"/>
    <mergeCell ref="V969:W969"/>
    <mergeCell ref="X969:Y969"/>
    <mergeCell ref="Z969:AA969"/>
    <mergeCell ref="AB969:AC969"/>
    <mergeCell ref="B969:C969"/>
    <mergeCell ref="D969:E969"/>
    <mergeCell ref="F969:G969"/>
    <mergeCell ref="H969:I969"/>
    <mergeCell ref="J969:K969"/>
    <mergeCell ref="L969:M969"/>
    <mergeCell ref="N969:O969"/>
    <mergeCell ref="P969:Q969"/>
    <mergeCell ref="AL968:BB968"/>
    <mergeCell ref="AD968:AE968"/>
    <mergeCell ref="AF968:AG968"/>
    <mergeCell ref="AH968:AI968"/>
    <mergeCell ref="AJ968:AK968"/>
    <mergeCell ref="R968:S968"/>
    <mergeCell ref="T968:U968"/>
    <mergeCell ref="V968:W968"/>
    <mergeCell ref="X968:Y968"/>
    <mergeCell ref="Z968:AA968"/>
    <mergeCell ref="AB968:AC968"/>
    <mergeCell ref="B968:C968"/>
    <mergeCell ref="D968:E968"/>
    <mergeCell ref="F968:G968"/>
    <mergeCell ref="H968:I968"/>
    <mergeCell ref="J968:K968"/>
    <mergeCell ref="L968:M968"/>
    <mergeCell ref="N968:O968"/>
    <mergeCell ref="P968:Q968"/>
    <mergeCell ref="AL967:BB967"/>
    <mergeCell ref="AD967:AE967"/>
    <mergeCell ref="AF967:AG967"/>
    <mergeCell ref="AH967:AI967"/>
    <mergeCell ref="AJ967:AK967"/>
    <mergeCell ref="R967:S967"/>
    <mergeCell ref="T967:U967"/>
    <mergeCell ref="V967:W967"/>
    <mergeCell ref="X967:Y967"/>
    <mergeCell ref="Z967:AA967"/>
    <mergeCell ref="AB967:AC967"/>
    <mergeCell ref="B967:C967"/>
    <mergeCell ref="D967:E967"/>
    <mergeCell ref="F967:G967"/>
    <mergeCell ref="H967:I967"/>
    <mergeCell ref="J967:K967"/>
    <mergeCell ref="L967:M967"/>
    <mergeCell ref="N967:O967"/>
    <mergeCell ref="P967:Q967"/>
    <mergeCell ref="AL966:BB966"/>
    <mergeCell ref="AD966:AE966"/>
    <mergeCell ref="AF966:AG966"/>
    <mergeCell ref="AH966:AI966"/>
    <mergeCell ref="AJ966:AK966"/>
    <mergeCell ref="R966:S966"/>
    <mergeCell ref="T966:U966"/>
    <mergeCell ref="V966:W966"/>
    <mergeCell ref="X966:Y966"/>
    <mergeCell ref="Z966:AA966"/>
    <mergeCell ref="AB966:AC966"/>
    <mergeCell ref="B966:C966"/>
    <mergeCell ref="D966:E966"/>
    <mergeCell ref="F966:G966"/>
    <mergeCell ref="H966:I966"/>
    <mergeCell ref="J966:K966"/>
    <mergeCell ref="L966:M966"/>
    <mergeCell ref="N966:O966"/>
    <mergeCell ref="P966:Q966"/>
    <mergeCell ref="AL965:BB965"/>
    <mergeCell ref="AD965:AE965"/>
    <mergeCell ref="AF965:AG965"/>
    <mergeCell ref="AH965:AI965"/>
    <mergeCell ref="AJ965:AK965"/>
    <mergeCell ref="R965:S965"/>
    <mergeCell ref="T965:U965"/>
    <mergeCell ref="V965:W965"/>
    <mergeCell ref="X965:Y965"/>
    <mergeCell ref="Z965:AA965"/>
    <mergeCell ref="AB965:AC965"/>
    <mergeCell ref="B965:C965"/>
    <mergeCell ref="D965:E965"/>
    <mergeCell ref="F965:G965"/>
    <mergeCell ref="H965:I965"/>
    <mergeCell ref="J965:K965"/>
    <mergeCell ref="L965:M965"/>
    <mergeCell ref="N965:O965"/>
    <mergeCell ref="P965:Q965"/>
    <mergeCell ref="AL964:BB964"/>
    <mergeCell ref="AD964:AE964"/>
    <mergeCell ref="AF964:AG964"/>
    <mergeCell ref="AH964:AI964"/>
    <mergeCell ref="AJ964:AK964"/>
    <mergeCell ref="R964:S964"/>
    <mergeCell ref="T964:U964"/>
    <mergeCell ref="V964:W964"/>
    <mergeCell ref="X964:Y964"/>
    <mergeCell ref="Z964:AA964"/>
    <mergeCell ref="AB964:AC964"/>
    <mergeCell ref="B964:C964"/>
    <mergeCell ref="D964:E964"/>
    <mergeCell ref="F964:G964"/>
    <mergeCell ref="H964:I964"/>
    <mergeCell ref="J964:K964"/>
    <mergeCell ref="L964:M964"/>
    <mergeCell ref="N964:O964"/>
    <mergeCell ref="P964:Q964"/>
    <mergeCell ref="AL963:BB963"/>
    <mergeCell ref="AD963:AE963"/>
    <mergeCell ref="AF963:AG963"/>
    <mergeCell ref="AH963:AI963"/>
    <mergeCell ref="AJ963:AK963"/>
    <mergeCell ref="R963:S963"/>
    <mergeCell ref="T963:U963"/>
    <mergeCell ref="V963:W963"/>
    <mergeCell ref="X963:Y963"/>
    <mergeCell ref="Z963:AA963"/>
    <mergeCell ref="AB963:AC963"/>
    <mergeCell ref="B963:C963"/>
    <mergeCell ref="D963:E963"/>
    <mergeCell ref="F963:G963"/>
    <mergeCell ref="H963:I963"/>
    <mergeCell ref="J963:K963"/>
    <mergeCell ref="L963:M963"/>
    <mergeCell ref="N963:O963"/>
    <mergeCell ref="P963:Q963"/>
    <mergeCell ref="AL962:BB962"/>
    <mergeCell ref="AD962:AE962"/>
    <mergeCell ref="AF962:AG962"/>
    <mergeCell ref="AH962:AI962"/>
    <mergeCell ref="AJ962:AK962"/>
    <mergeCell ref="R962:S962"/>
    <mergeCell ref="T962:U962"/>
    <mergeCell ref="V962:W962"/>
    <mergeCell ref="X962:Y962"/>
    <mergeCell ref="Z962:AA962"/>
    <mergeCell ref="AB962:AC962"/>
    <mergeCell ref="B962:C962"/>
    <mergeCell ref="D962:E962"/>
    <mergeCell ref="F962:G962"/>
    <mergeCell ref="H962:I962"/>
    <mergeCell ref="J962:K962"/>
    <mergeCell ref="L962:M962"/>
    <mergeCell ref="N962:O962"/>
    <mergeCell ref="P962:Q962"/>
    <mergeCell ref="AL961:BB961"/>
    <mergeCell ref="AD961:AE961"/>
    <mergeCell ref="AF961:AG961"/>
    <mergeCell ref="AH961:AI961"/>
    <mergeCell ref="AJ961:AK961"/>
    <mergeCell ref="R961:S961"/>
    <mergeCell ref="T961:U961"/>
    <mergeCell ref="V961:W961"/>
    <mergeCell ref="X961:Y961"/>
    <mergeCell ref="Z961:AA961"/>
    <mergeCell ref="AB961:AC961"/>
    <mergeCell ref="B961:C961"/>
    <mergeCell ref="D961:E961"/>
    <mergeCell ref="F961:G961"/>
    <mergeCell ref="H961:I961"/>
    <mergeCell ref="J961:K961"/>
    <mergeCell ref="L961:M961"/>
    <mergeCell ref="N961:O961"/>
    <mergeCell ref="P961:Q961"/>
    <mergeCell ref="AL960:BB960"/>
    <mergeCell ref="AD960:AE960"/>
    <mergeCell ref="AF960:AG960"/>
    <mergeCell ref="AH960:AI960"/>
    <mergeCell ref="AJ960:AK960"/>
    <mergeCell ref="R960:S960"/>
    <mergeCell ref="T960:U960"/>
    <mergeCell ref="V960:W960"/>
    <mergeCell ref="X960:Y960"/>
    <mergeCell ref="Z960:AA960"/>
    <mergeCell ref="AB960:AC960"/>
    <mergeCell ref="B960:C960"/>
    <mergeCell ref="D960:E960"/>
    <mergeCell ref="F960:G960"/>
    <mergeCell ref="H960:I960"/>
    <mergeCell ref="J960:K960"/>
    <mergeCell ref="L960:M960"/>
    <mergeCell ref="N960:O960"/>
    <mergeCell ref="P960:Q960"/>
    <mergeCell ref="AL959:BB959"/>
    <mergeCell ref="AD959:AE959"/>
    <mergeCell ref="AF959:AG959"/>
    <mergeCell ref="AH959:AI959"/>
    <mergeCell ref="AJ959:AK959"/>
    <mergeCell ref="R959:S959"/>
    <mergeCell ref="T959:U959"/>
    <mergeCell ref="V959:W959"/>
    <mergeCell ref="X959:Y959"/>
    <mergeCell ref="Z959:AA959"/>
    <mergeCell ref="AB959:AC959"/>
    <mergeCell ref="B959:C959"/>
    <mergeCell ref="D959:E959"/>
    <mergeCell ref="F959:G959"/>
    <mergeCell ref="H959:I959"/>
    <mergeCell ref="J959:K959"/>
    <mergeCell ref="L959:M959"/>
    <mergeCell ref="N959:O959"/>
    <mergeCell ref="P959:Q959"/>
    <mergeCell ref="AL958:BB958"/>
    <mergeCell ref="AD958:AE958"/>
    <mergeCell ref="AF958:AG958"/>
    <mergeCell ref="AH958:AI958"/>
    <mergeCell ref="AJ958:AK958"/>
    <mergeCell ref="R958:S958"/>
    <mergeCell ref="T958:U958"/>
    <mergeCell ref="V958:W958"/>
    <mergeCell ref="X958:Y958"/>
    <mergeCell ref="Z958:AA958"/>
    <mergeCell ref="AB958:AC958"/>
    <mergeCell ref="B958:C958"/>
    <mergeCell ref="D958:E958"/>
    <mergeCell ref="F958:G958"/>
    <mergeCell ref="H958:I958"/>
    <mergeCell ref="J958:K958"/>
    <mergeCell ref="L958:M958"/>
    <mergeCell ref="N958:O958"/>
    <mergeCell ref="P958:Q958"/>
    <mergeCell ref="AL957:BB957"/>
    <mergeCell ref="AD957:AE957"/>
    <mergeCell ref="AF957:AG957"/>
    <mergeCell ref="AH957:AI957"/>
    <mergeCell ref="AJ957:AK957"/>
    <mergeCell ref="R957:S957"/>
    <mergeCell ref="T957:U957"/>
    <mergeCell ref="V957:W957"/>
    <mergeCell ref="X957:Y957"/>
    <mergeCell ref="Z957:AA957"/>
    <mergeCell ref="AB957:AC957"/>
    <mergeCell ref="B957:C957"/>
    <mergeCell ref="D957:E957"/>
    <mergeCell ref="F957:G957"/>
    <mergeCell ref="H957:I957"/>
    <mergeCell ref="J957:K957"/>
    <mergeCell ref="L957:M957"/>
    <mergeCell ref="N957:O957"/>
    <mergeCell ref="P957:Q957"/>
    <mergeCell ref="AL956:BB956"/>
    <mergeCell ref="AD956:AE956"/>
    <mergeCell ref="AF956:AG956"/>
    <mergeCell ref="AH956:AI956"/>
    <mergeCell ref="AJ956:AK956"/>
    <mergeCell ref="R956:S956"/>
    <mergeCell ref="T956:U956"/>
    <mergeCell ref="V956:W956"/>
    <mergeCell ref="X956:Y956"/>
    <mergeCell ref="Z956:AA956"/>
    <mergeCell ref="AB956:AC956"/>
    <mergeCell ref="B956:C956"/>
    <mergeCell ref="D956:E956"/>
    <mergeCell ref="F956:G956"/>
    <mergeCell ref="H956:I956"/>
    <mergeCell ref="J956:K956"/>
    <mergeCell ref="L956:M956"/>
    <mergeCell ref="N956:O956"/>
    <mergeCell ref="P956:Q956"/>
    <mergeCell ref="AL955:BB955"/>
    <mergeCell ref="AD955:AE955"/>
    <mergeCell ref="AF955:AG955"/>
    <mergeCell ref="AH955:AI955"/>
    <mergeCell ref="AJ955:AK955"/>
    <mergeCell ref="R955:S955"/>
    <mergeCell ref="T955:U955"/>
    <mergeCell ref="V955:W955"/>
    <mergeCell ref="X955:Y955"/>
    <mergeCell ref="Z955:AA955"/>
    <mergeCell ref="AB955:AC955"/>
    <mergeCell ref="B955:C955"/>
    <mergeCell ref="D955:E955"/>
    <mergeCell ref="F955:G955"/>
    <mergeCell ref="H955:I955"/>
    <mergeCell ref="J955:K955"/>
    <mergeCell ref="L955:M955"/>
    <mergeCell ref="N955:O955"/>
    <mergeCell ref="P955:Q955"/>
    <mergeCell ref="AL954:BB954"/>
    <mergeCell ref="AD954:AE954"/>
    <mergeCell ref="AF954:AG954"/>
    <mergeCell ref="AH954:AI954"/>
    <mergeCell ref="AJ954:AK954"/>
    <mergeCell ref="R954:S954"/>
    <mergeCell ref="T954:U954"/>
    <mergeCell ref="V954:W954"/>
    <mergeCell ref="X954:Y954"/>
    <mergeCell ref="Z954:AA954"/>
    <mergeCell ref="AB954:AC954"/>
    <mergeCell ref="B954:C954"/>
    <mergeCell ref="D954:E954"/>
    <mergeCell ref="F954:G954"/>
    <mergeCell ref="H954:I954"/>
    <mergeCell ref="J954:K954"/>
    <mergeCell ref="L954:M954"/>
    <mergeCell ref="N954:O954"/>
    <mergeCell ref="P954:Q954"/>
    <mergeCell ref="AL953:BB953"/>
    <mergeCell ref="AD953:AE953"/>
    <mergeCell ref="AF953:AG953"/>
    <mergeCell ref="AH953:AI953"/>
    <mergeCell ref="AJ953:AK953"/>
    <mergeCell ref="R953:S953"/>
    <mergeCell ref="T953:U953"/>
    <mergeCell ref="V953:W953"/>
    <mergeCell ref="X953:Y953"/>
    <mergeCell ref="Z953:AA953"/>
    <mergeCell ref="AB953:AC953"/>
    <mergeCell ref="B953:C953"/>
    <mergeCell ref="D953:E953"/>
    <mergeCell ref="F953:G953"/>
    <mergeCell ref="H953:I953"/>
    <mergeCell ref="J953:K953"/>
    <mergeCell ref="L953:M953"/>
    <mergeCell ref="N953:O953"/>
    <mergeCell ref="P953:Q953"/>
    <mergeCell ref="AL952:BB952"/>
    <mergeCell ref="AD952:AE952"/>
    <mergeCell ref="AF952:AG952"/>
    <mergeCell ref="AH952:AI952"/>
    <mergeCell ref="AJ952:AK952"/>
    <mergeCell ref="R952:S952"/>
    <mergeCell ref="T952:U952"/>
    <mergeCell ref="V952:W952"/>
    <mergeCell ref="X952:Y952"/>
    <mergeCell ref="Z952:AA952"/>
    <mergeCell ref="AB952:AC952"/>
    <mergeCell ref="B952:C952"/>
    <mergeCell ref="D952:E952"/>
    <mergeCell ref="F952:G952"/>
    <mergeCell ref="H952:I952"/>
    <mergeCell ref="J952:K952"/>
    <mergeCell ref="L952:M952"/>
    <mergeCell ref="N952:O952"/>
    <mergeCell ref="P952:Q952"/>
    <mergeCell ref="AL951:BB951"/>
    <mergeCell ref="AD951:AE951"/>
    <mergeCell ref="AF951:AG951"/>
    <mergeCell ref="AH951:AI951"/>
    <mergeCell ref="AJ951:AK951"/>
    <mergeCell ref="R951:S951"/>
    <mergeCell ref="T951:U951"/>
    <mergeCell ref="V951:W951"/>
    <mergeCell ref="X951:Y951"/>
    <mergeCell ref="Z951:AA951"/>
    <mergeCell ref="AB951:AC951"/>
    <mergeCell ref="B951:C951"/>
    <mergeCell ref="D951:E951"/>
    <mergeCell ref="F951:G951"/>
    <mergeCell ref="H951:I951"/>
    <mergeCell ref="J951:K951"/>
    <mergeCell ref="L951:M951"/>
    <mergeCell ref="N951:O951"/>
    <mergeCell ref="P951:Q951"/>
    <mergeCell ref="AL950:BB950"/>
    <mergeCell ref="AD950:AE950"/>
    <mergeCell ref="AF950:AG950"/>
    <mergeCell ref="AH950:AI950"/>
    <mergeCell ref="AJ950:AK950"/>
    <mergeCell ref="R950:S950"/>
    <mergeCell ref="T950:U950"/>
    <mergeCell ref="V950:W950"/>
    <mergeCell ref="X950:Y950"/>
    <mergeCell ref="Z950:AA950"/>
    <mergeCell ref="AB950:AC950"/>
    <mergeCell ref="B950:C950"/>
    <mergeCell ref="D950:E950"/>
    <mergeCell ref="F950:G950"/>
    <mergeCell ref="H950:I950"/>
    <mergeCell ref="J950:K950"/>
    <mergeCell ref="L950:M950"/>
    <mergeCell ref="N950:O950"/>
    <mergeCell ref="P950:Q950"/>
    <mergeCell ref="AL949:BB949"/>
    <mergeCell ref="AD949:AE949"/>
    <mergeCell ref="AF949:AG949"/>
    <mergeCell ref="AH949:AI949"/>
    <mergeCell ref="AJ949:AK949"/>
    <mergeCell ref="R949:S949"/>
    <mergeCell ref="T949:U949"/>
    <mergeCell ref="V949:W949"/>
    <mergeCell ref="X949:Y949"/>
    <mergeCell ref="Z949:AA949"/>
    <mergeCell ref="AB949:AC949"/>
    <mergeCell ref="B949:C949"/>
    <mergeCell ref="D949:E949"/>
    <mergeCell ref="F949:G949"/>
    <mergeCell ref="H949:I949"/>
    <mergeCell ref="J949:K949"/>
    <mergeCell ref="L949:M949"/>
    <mergeCell ref="N949:O949"/>
    <mergeCell ref="P949:Q949"/>
    <mergeCell ref="AL948:BB948"/>
    <mergeCell ref="AD948:AE948"/>
    <mergeCell ref="AF948:AG948"/>
    <mergeCell ref="AH948:AI948"/>
    <mergeCell ref="AJ948:AK948"/>
    <mergeCell ref="R948:S948"/>
    <mergeCell ref="T948:U948"/>
    <mergeCell ref="V948:W948"/>
    <mergeCell ref="X948:Y948"/>
    <mergeCell ref="Z948:AA948"/>
    <mergeCell ref="AB948:AC948"/>
    <mergeCell ref="B948:C948"/>
    <mergeCell ref="D948:E948"/>
    <mergeCell ref="F948:G948"/>
    <mergeCell ref="H948:I948"/>
    <mergeCell ref="J948:K948"/>
    <mergeCell ref="L948:M948"/>
    <mergeCell ref="N948:O948"/>
    <mergeCell ref="P948:Q948"/>
    <mergeCell ref="AL947:BB947"/>
    <mergeCell ref="AD947:AE947"/>
    <mergeCell ref="AF947:AG947"/>
    <mergeCell ref="AH947:AI947"/>
    <mergeCell ref="AJ947:AK947"/>
    <mergeCell ref="R947:S947"/>
    <mergeCell ref="T947:U947"/>
    <mergeCell ref="V947:W947"/>
    <mergeCell ref="X947:Y947"/>
    <mergeCell ref="Z947:AA947"/>
    <mergeCell ref="AB947:AC947"/>
    <mergeCell ref="B947:C947"/>
    <mergeCell ref="D947:E947"/>
    <mergeCell ref="F947:G947"/>
    <mergeCell ref="H947:I947"/>
    <mergeCell ref="J947:K947"/>
    <mergeCell ref="L947:M947"/>
    <mergeCell ref="N947:O947"/>
    <mergeCell ref="P947:Q947"/>
    <mergeCell ref="AL946:BB946"/>
    <mergeCell ref="AD946:AE946"/>
    <mergeCell ref="AF946:AG946"/>
    <mergeCell ref="AH946:AI946"/>
    <mergeCell ref="AJ946:AK946"/>
    <mergeCell ref="R946:S946"/>
    <mergeCell ref="T946:U946"/>
    <mergeCell ref="V946:W946"/>
    <mergeCell ref="X946:Y946"/>
    <mergeCell ref="Z946:AA946"/>
    <mergeCell ref="AB946:AC946"/>
    <mergeCell ref="B946:C946"/>
    <mergeCell ref="D946:E946"/>
    <mergeCell ref="F946:G946"/>
    <mergeCell ref="H946:I946"/>
    <mergeCell ref="J946:K946"/>
    <mergeCell ref="L946:M946"/>
    <mergeCell ref="N946:O946"/>
    <mergeCell ref="P946:Q946"/>
    <mergeCell ref="AL945:BB945"/>
    <mergeCell ref="AD945:AE945"/>
    <mergeCell ref="AF945:AG945"/>
    <mergeCell ref="AH945:AI945"/>
    <mergeCell ref="AJ945:AK945"/>
    <mergeCell ref="R945:S945"/>
    <mergeCell ref="T945:U945"/>
    <mergeCell ref="V945:W945"/>
    <mergeCell ref="X945:Y945"/>
    <mergeCell ref="Z945:AA945"/>
    <mergeCell ref="AB945:AC945"/>
    <mergeCell ref="B945:C945"/>
    <mergeCell ref="D945:E945"/>
    <mergeCell ref="F945:G945"/>
    <mergeCell ref="H945:I945"/>
    <mergeCell ref="J945:K945"/>
    <mergeCell ref="L945:M945"/>
    <mergeCell ref="N945:O945"/>
    <mergeCell ref="P945:Q945"/>
    <mergeCell ref="AL944:BB944"/>
    <mergeCell ref="AD944:AE944"/>
    <mergeCell ref="AF944:AG944"/>
    <mergeCell ref="AH944:AI944"/>
    <mergeCell ref="AJ944:AK944"/>
    <mergeCell ref="R944:S944"/>
    <mergeCell ref="T944:U944"/>
    <mergeCell ref="V944:W944"/>
    <mergeCell ref="X944:Y944"/>
    <mergeCell ref="Z944:AA944"/>
    <mergeCell ref="AB944:AC944"/>
    <mergeCell ref="B944:C944"/>
    <mergeCell ref="D944:E944"/>
    <mergeCell ref="F944:G944"/>
    <mergeCell ref="H944:I944"/>
    <mergeCell ref="J944:K944"/>
    <mergeCell ref="L944:M944"/>
    <mergeCell ref="N944:O944"/>
    <mergeCell ref="P944:Q944"/>
    <mergeCell ref="AL943:BB943"/>
    <mergeCell ref="AD943:AE943"/>
    <mergeCell ref="AF943:AG943"/>
    <mergeCell ref="AH943:AI943"/>
    <mergeCell ref="AJ943:AK943"/>
    <mergeCell ref="R943:S943"/>
    <mergeCell ref="T943:U943"/>
    <mergeCell ref="V943:W943"/>
    <mergeCell ref="X943:Y943"/>
    <mergeCell ref="Z943:AA943"/>
    <mergeCell ref="AB943:AC943"/>
    <mergeCell ref="B943:C943"/>
    <mergeCell ref="D943:E943"/>
    <mergeCell ref="F943:G943"/>
    <mergeCell ref="H943:I943"/>
    <mergeCell ref="J943:K943"/>
    <mergeCell ref="L943:M943"/>
    <mergeCell ref="N943:O943"/>
    <mergeCell ref="P943:Q943"/>
    <mergeCell ref="AL942:BB942"/>
    <mergeCell ref="AD942:AE942"/>
    <mergeCell ref="AF942:AG942"/>
    <mergeCell ref="AH942:AI942"/>
    <mergeCell ref="AJ942:AK942"/>
    <mergeCell ref="R942:S942"/>
    <mergeCell ref="T942:U942"/>
    <mergeCell ref="V942:W942"/>
    <mergeCell ref="X942:Y942"/>
    <mergeCell ref="Z942:AA942"/>
    <mergeCell ref="AB942:AC942"/>
    <mergeCell ref="B942:C942"/>
    <mergeCell ref="D942:E942"/>
    <mergeCell ref="F942:G942"/>
    <mergeCell ref="H942:I942"/>
    <mergeCell ref="J942:K942"/>
    <mergeCell ref="L942:M942"/>
    <mergeCell ref="N942:O942"/>
    <mergeCell ref="P942:Q942"/>
    <mergeCell ref="AL941:BB941"/>
    <mergeCell ref="AD941:AE941"/>
    <mergeCell ref="AF941:AG941"/>
    <mergeCell ref="AH941:AI941"/>
    <mergeCell ref="AJ941:AK941"/>
    <mergeCell ref="R941:S941"/>
    <mergeCell ref="T941:U941"/>
    <mergeCell ref="V941:W941"/>
    <mergeCell ref="X941:Y941"/>
    <mergeCell ref="Z941:AA941"/>
    <mergeCell ref="AB941:AC941"/>
    <mergeCell ref="B941:C941"/>
    <mergeCell ref="D941:E941"/>
    <mergeCell ref="F941:G941"/>
    <mergeCell ref="H941:I941"/>
    <mergeCell ref="J941:K941"/>
    <mergeCell ref="L941:M941"/>
    <mergeCell ref="N941:O941"/>
    <mergeCell ref="P941:Q941"/>
    <mergeCell ref="AL940:BB940"/>
    <mergeCell ref="AD940:AE940"/>
    <mergeCell ref="AF940:AG940"/>
    <mergeCell ref="AH940:AI940"/>
    <mergeCell ref="AJ940:AK940"/>
    <mergeCell ref="R940:S940"/>
    <mergeCell ref="T940:U940"/>
    <mergeCell ref="V940:W940"/>
    <mergeCell ref="X940:Y940"/>
    <mergeCell ref="Z940:AA940"/>
    <mergeCell ref="AB940:AC940"/>
    <mergeCell ref="B940:C940"/>
    <mergeCell ref="D940:E940"/>
    <mergeCell ref="F940:G940"/>
    <mergeCell ref="H940:I940"/>
    <mergeCell ref="J940:K940"/>
    <mergeCell ref="L940:M940"/>
    <mergeCell ref="N940:O940"/>
    <mergeCell ref="P940:Q940"/>
    <mergeCell ref="AL939:BB939"/>
    <mergeCell ref="AD939:AE939"/>
    <mergeCell ref="AF939:AG939"/>
    <mergeCell ref="AH939:AI939"/>
    <mergeCell ref="AJ939:AK939"/>
    <mergeCell ref="R939:S939"/>
    <mergeCell ref="T939:U939"/>
    <mergeCell ref="V939:W939"/>
    <mergeCell ref="X939:Y939"/>
    <mergeCell ref="Z939:AA939"/>
    <mergeCell ref="AB939:AC939"/>
    <mergeCell ref="B939:C939"/>
    <mergeCell ref="D939:E939"/>
    <mergeCell ref="F939:G939"/>
    <mergeCell ref="H939:I939"/>
    <mergeCell ref="J939:K939"/>
    <mergeCell ref="L939:M939"/>
    <mergeCell ref="N939:O939"/>
    <mergeCell ref="P939:Q939"/>
    <mergeCell ref="AL938:BB938"/>
    <mergeCell ref="AD938:AE938"/>
    <mergeCell ref="AF938:AG938"/>
    <mergeCell ref="AH938:AI938"/>
    <mergeCell ref="AJ938:AK938"/>
    <mergeCell ref="R938:S938"/>
    <mergeCell ref="T938:U938"/>
    <mergeCell ref="V938:W938"/>
    <mergeCell ref="X938:Y938"/>
    <mergeCell ref="Z938:AA938"/>
    <mergeCell ref="AB938:AC938"/>
    <mergeCell ref="B938:C938"/>
    <mergeCell ref="D938:E938"/>
    <mergeCell ref="F938:G938"/>
    <mergeCell ref="H938:I938"/>
    <mergeCell ref="J938:K938"/>
    <mergeCell ref="L938:M938"/>
    <mergeCell ref="N938:O938"/>
    <mergeCell ref="P938:Q938"/>
    <mergeCell ref="AL937:BB937"/>
    <mergeCell ref="AD937:AE937"/>
    <mergeCell ref="AF937:AG937"/>
    <mergeCell ref="AH937:AI937"/>
    <mergeCell ref="AJ937:AK937"/>
    <mergeCell ref="R937:S937"/>
    <mergeCell ref="T937:U937"/>
    <mergeCell ref="V937:W937"/>
    <mergeCell ref="X937:Y937"/>
    <mergeCell ref="Z937:AA937"/>
    <mergeCell ref="AB937:AC937"/>
    <mergeCell ref="B937:C937"/>
    <mergeCell ref="D937:E937"/>
    <mergeCell ref="F937:G937"/>
    <mergeCell ref="H937:I937"/>
    <mergeCell ref="J937:K937"/>
    <mergeCell ref="L937:M937"/>
    <mergeCell ref="N937:O937"/>
    <mergeCell ref="P937:Q937"/>
    <mergeCell ref="AL936:BB936"/>
    <mergeCell ref="AD936:AE936"/>
    <mergeCell ref="AF936:AG936"/>
    <mergeCell ref="AH936:AI936"/>
    <mergeCell ref="AJ936:AK936"/>
    <mergeCell ref="R936:S936"/>
    <mergeCell ref="T936:U936"/>
    <mergeCell ref="V936:W936"/>
    <mergeCell ref="X936:Y936"/>
    <mergeCell ref="Z936:AA936"/>
    <mergeCell ref="AB936:AC936"/>
    <mergeCell ref="B936:C936"/>
    <mergeCell ref="D936:E936"/>
    <mergeCell ref="F936:G936"/>
    <mergeCell ref="H936:I936"/>
    <mergeCell ref="J936:K936"/>
    <mergeCell ref="L936:M936"/>
    <mergeCell ref="N936:O936"/>
    <mergeCell ref="P936:Q936"/>
    <mergeCell ref="AL935:BB935"/>
    <mergeCell ref="AD935:AE935"/>
    <mergeCell ref="AF935:AG935"/>
    <mergeCell ref="AH935:AI935"/>
    <mergeCell ref="AJ935:AK935"/>
    <mergeCell ref="R935:S935"/>
    <mergeCell ref="T935:U935"/>
    <mergeCell ref="V935:W935"/>
    <mergeCell ref="X935:Y935"/>
    <mergeCell ref="Z935:AA935"/>
    <mergeCell ref="AB935:AC935"/>
    <mergeCell ref="B935:C935"/>
    <mergeCell ref="D935:E935"/>
    <mergeCell ref="F935:G935"/>
    <mergeCell ref="H935:I935"/>
    <mergeCell ref="J935:K935"/>
    <mergeCell ref="L935:M935"/>
    <mergeCell ref="N935:O935"/>
    <mergeCell ref="P935:Q935"/>
    <mergeCell ref="AL934:BB934"/>
    <mergeCell ref="AD934:AE934"/>
    <mergeCell ref="AF934:AG934"/>
    <mergeCell ref="AH934:AI934"/>
    <mergeCell ref="AJ934:AK934"/>
    <mergeCell ref="R934:S934"/>
    <mergeCell ref="T934:U934"/>
    <mergeCell ref="V934:W934"/>
    <mergeCell ref="X934:Y934"/>
    <mergeCell ref="Z934:AA934"/>
    <mergeCell ref="AB934:AC934"/>
    <mergeCell ref="B934:C934"/>
    <mergeCell ref="D934:E934"/>
    <mergeCell ref="F934:G934"/>
    <mergeCell ref="H934:I934"/>
    <mergeCell ref="J934:K934"/>
    <mergeCell ref="L934:M934"/>
    <mergeCell ref="N934:O934"/>
    <mergeCell ref="P934:Q934"/>
    <mergeCell ref="AL933:BB933"/>
    <mergeCell ref="AD933:AE933"/>
    <mergeCell ref="AF933:AG933"/>
    <mergeCell ref="AH933:AI933"/>
    <mergeCell ref="AJ933:AK933"/>
    <mergeCell ref="R933:S933"/>
    <mergeCell ref="T933:U933"/>
    <mergeCell ref="V933:W933"/>
    <mergeCell ref="X933:Y933"/>
    <mergeCell ref="Z933:AA933"/>
    <mergeCell ref="AB933:AC933"/>
    <mergeCell ref="B933:C933"/>
    <mergeCell ref="D933:E933"/>
    <mergeCell ref="F933:G933"/>
    <mergeCell ref="H933:I933"/>
    <mergeCell ref="J933:K933"/>
    <mergeCell ref="L933:M933"/>
    <mergeCell ref="N933:O933"/>
    <mergeCell ref="P933:Q933"/>
    <mergeCell ref="AL932:BB932"/>
    <mergeCell ref="AD932:AE932"/>
    <mergeCell ref="AF932:AG932"/>
    <mergeCell ref="AH932:AI932"/>
    <mergeCell ref="AJ932:AK932"/>
    <mergeCell ref="R932:S932"/>
    <mergeCell ref="T932:U932"/>
    <mergeCell ref="V932:W932"/>
    <mergeCell ref="X932:Y932"/>
    <mergeCell ref="Z932:AA932"/>
    <mergeCell ref="AB932:AC932"/>
    <mergeCell ref="B932:C932"/>
    <mergeCell ref="D932:E932"/>
    <mergeCell ref="F932:G932"/>
    <mergeCell ref="H932:I932"/>
    <mergeCell ref="J932:K932"/>
    <mergeCell ref="L932:M932"/>
    <mergeCell ref="N932:O932"/>
    <mergeCell ref="P932:Q932"/>
    <mergeCell ref="AL931:BB931"/>
    <mergeCell ref="AD931:AE931"/>
    <mergeCell ref="AF931:AG931"/>
    <mergeCell ref="AH931:AI931"/>
    <mergeCell ref="AJ931:AK931"/>
    <mergeCell ref="R931:S931"/>
    <mergeCell ref="T931:U931"/>
    <mergeCell ref="V931:W931"/>
    <mergeCell ref="X931:Y931"/>
    <mergeCell ref="Z931:AA931"/>
    <mergeCell ref="AB931:AC931"/>
    <mergeCell ref="B931:C931"/>
    <mergeCell ref="D931:E931"/>
    <mergeCell ref="F931:G931"/>
    <mergeCell ref="H931:I931"/>
    <mergeCell ref="J931:K931"/>
    <mergeCell ref="L931:M931"/>
    <mergeCell ref="N931:O931"/>
    <mergeCell ref="P931:Q931"/>
    <mergeCell ref="AL930:BB930"/>
    <mergeCell ref="AD930:AE930"/>
    <mergeCell ref="AF930:AG930"/>
    <mergeCell ref="AH930:AI930"/>
    <mergeCell ref="AJ930:AK930"/>
    <mergeCell ref="R930:S930"/>
    <mergeCell ref="T930:U930"/>
    <mergeCell ref="V930:W930"/>
    <mergeCell ref="X930:Y930"/>
    <mergeCell ref="Z930:AA930"/>
    <mergeCell ref="AB930:AC930"/>
    <mergeCell ref="B930:C930"/>
    <mergeCell ref="D930:E930"/>
    <mergeCell ref="F930:G930"/>
    <mergeCell ref="H930:I930"/>
    <mergeCell ref="J930:K930"/>
    <mergeCell ref="L930:M930"/>
    <mergeCell ref="N930:O930"/>
    <mergeCell ref="P930:Q930"/>
    <mergeCell ref="AL929:BB929"/>
    <mergeCell ref="AD929:AE929"/>
    <mergeCell ref="AF929:AG929"/>
    <mergeCell ref="AH929:AI929"/>
    <mergeCell ref="AJ929:AK929"/>
    <mergeCell ref="R929:S929"/>
    <mergeCell ref="T929:U929"/>
    <mergeCell ref="V929:W929"/>
    <mergeCell ref="X929:Y929"/>
    <mergeCell ref="Z929:AA929"/>
    <mergeCell ref="AB929:AC929"/>
    <mergeCell ref="B929:C929"/>
    <mergeCell ref="D929:E929"/>
    <mergeCell ref="F929:G929"/>
    <mergeCell ref="H929:I929"/>
    <mergeCell ref="J929:K929"/>
    <mergeCell ref="L929:M929"/>
    <mergeCell ref="N929:O929"/>
    <mergeCell ref="P929:Q929"/>
    <mergeCell ref="AL928:BB928"/>
    <mergeCell ref="AD928:AE928"/>
    <mergeCell ref="AF928:AG928"/>
    <mergeCell ref="AH928:AI928"/>
    <mergeCell ref="AJ928:AK928"/>
    <mergeCell ref="R928:S928"/>
    <mergeCell ref="T928:U928"/>
    <mergeCell ref="V928:W928"/>
    <mergeCell ref="X928:Y928"/>
    <mergeCell ref="Z928:AA928"/>
    <mergeCell ref="AB928:AC928"/>
    <mergeCell ref="B928:C928"/>
    <mergeCell ref="D928:E928"/>
    <mergeCell ref="F928:G928"/>
    <mergeCell ref="H928:I928"/>
    <mergeCell ref="J928:K928"/>
    <mergeCell ref="L928:M928"/>
    <mergeCell ref="N928:O928"/>
    <mergeCell ref="P928:Q928"/>
    <mergeCell ref="AL927:BB927"/>
    <mergeCell ref="AD927:AE927"/>
    <mergeCell ref="AF927:AG927"/>
    <mergeCell ref="AH927:AI927"/>
    <mergeCell ref="AJ927:AK927"/>
    <mergeCell ref="R927:S927"/>
    <mergeCell ref="T927:U927"/>
    <mergeCell ref="V927:W927"/>
    <mergeCell ref="X927:Y927"/>
    <mergeCell ref="Z927:AA927"/>
    <mergeCell ref="AB927:AC927"/>
    <mergeCell ref="B927:C927"/>
    <mergeCell ref="D927:E927"/>
    <mergeCell ref="F927:G927"/>
    <mergeCell ref="H927:I927"/>
    <mergeCell ref="J927:K927"/>
    <mergeCell ref="L927:M927"/>
    <mergeCell ref="N927:O927"/>
    <mergeCell ref="P927:Q927"/>
    <mergeCell ref="AL926:BB926"/>
    <mergeCell ref="AD926:AE926"/>
    <mergeCell ref="AF926:AG926"/>
    <mergeCell ref="AH926:AI926"/>
    <mergeCell ref="AJ926:AK926"/>
    <mergeCell ref="R926:S926"/>
    <mergeCell ref="T926:U926"/>
    <mergeCell ref="V926:W926"/>
    <mergeCell ref="X926:Y926"/>
    <mergeCell ref="Z926:AA926"/>
    <mergeCell ref="AB926:AC926"/>
    <mergeCell ref="B926:C926"/>
    <mergeCell ref="D926:E926"/>
    <mergeCell ref="F926:G926"/>
    <mergeCell ref="H926:I926"/>
    <mergeCell ref="J926:K926"/>
    <mergeCell ref="L926:M926"/>
    <mergeCell ref="N926:O926"/>
    <mergeCell ref="P926:Q926"/>
    <mergeCell ref="AL925:BB925"/>
    <mergeCell ref="AD925:AE925"/>
    <mergeCell ref="AF925:AG925"/>
    <mergeCell ref="AH925:AI925"/>
    <mergeCell ref="AJ925:AK925"/>
    <mergeCell ref="R925:S925"/>
    <mergeCell ref="T925:U925"/>
    <mergeCell ref="V925:W925"/>
    <mergeCell ref="X925:Y925"/>
    <mergeCell ref="Z925:AA925"/>
    <mergeCell ref="AB925:AC925"/>
    <mergeCell ref="B925:C925"/>
    <mergeCell ref="D925:E925"/>
    <mergeCell ref="F925:G925"/>
    <mergeCell ref="H925:I925"/>
    <mergeCell ref="J925:K925"/>
    <mergeCell ref="L925:M925"/>
    <mergeCell ref="N925:O925"/>
    <mergeCell ref="P925:Q925"/>
    <mergeCell ref="AL924:BB924"/>
    <mergeCell ref="AD924:AE924"/>
    <mergeCell ref="AF924:AG924"/>
    <mergeCell ref="AH924:AI924"/>
    <mergeCell ref="AJ924:AK924"/>
    <mergeCell ref="R924:S924"/>
    <mergeCell ref="T924:U924"/>
    <mergeCell ref="V924:W924"/>
    <mergeCell ref="X924:Y924"/>
    <mergeCell ref="Z924:AA924"/>
    <mergeCell ref="AB924:AC924"/>
    <mergeCell ref="B924:C924"/>
    <mergeCell ref="D924:E924"/>
    <mergeCell ref="F924:G924"/>
    <mergeCell ref="H924:I924"/>
    <mergeCell ref="J924:K924"/>
    <mergeCell ref="L924:M924"/>
    <mergeCell ref="N924:O924"/>
    <mergeCell ref="P924:Q924"/>
    <mergeCell ref="AL923:BB923"/>
    <mergeCell ref="AD923:AE923"/>
    <mergeCell ref="AF923:AG923"/>
    <mergeCell ref="AH923:AI923"/>
    <mergeCell ref="AJ923:AK923"/>
    <mergeCell ref="R923:S923"/>
    <mergeCell ref="T923:U923"/>
    <mergeCell ref="V923:W923"/>
    <mergeCell ref="X923:Y923"/>
    <mergeCell ref="Z923:AA923"/>
    <mergeCell ref="AB923:AC923"/>
    <mergeCell ref="B923:C923"/>
    <mergeCell ref="D923:E923"/>
    <mergeCell ref="F923:G923"/>
    <mergeCell ref="H923:I923"/>
    <mergeCell ref="J923:K923"/>
    <mergeCell ref="L923:M923"/>
    <mergeCell ref="N923:O923"/>
    <mergeCell ref="P923:Q923"/>
    <mergeCell ref="AL922:BB922"/>
    <mergeCell ref="AD922:AE922"/>
    <mergeCell ref="AF922:AG922"/>
    <mergeCell ref="AH922:AI922"/>
    <mergeCell ref="AJ922:AK922"/>
    <mergeCell ref="R922:S922"/>
    <mergeCell ref="T922:U922"/>
    <mergeCell ref="V922:W922"/>
    <mergeCell ref="X922:Y922"/>
    <mergeCell ref="Z922:AA922"/>
    <mergeCell ref="AB922:AC922"/>
    <mergeCell ref="B922:C922"/>
    <mergeCell ref="D922:E922"/>
    <mergeCell ref="F922:G922"/>
    <mergeCell ref="H922:I922"/>
    <mergeCell ref="J922:K922"/>
    <mergeCell ref="L922:M922"/>
    <mergeCell ref="N922:O922"/>
    <mergeCell ref="P922:Q922"/>
    <mergeCell ref="AL921:BB921"/>
    <mergeCell ref="AD921:AE921"/>
    <mergeCell ref="AF921:AG921"/>
    <mergeCell ref="AH921:AI921"/>
    <mergeCell ref="AJ921:AK921"/>
    <mergeCell ref="R921:S921"/>
    <mergeCell ref="T921:U921"/>
    <mergeCell ref="V921:W921"/>
    <mergeCell ref="X921:Y921"/>
    <mergeCell ref="Z921:AA921"/>
    <mergeCell ref="AB921:AC921"/>
    <mergeCell ref="B921:C921"/>
    <mergeCell ref="D921:E921"/>
    <mergeCell ref="F921:G921"/>
    <mergeCell ref="H921:I921"/>
    <mergeCell ref="J921:K921"/>
    <mergeCell ref="L921:M921"/>
    <mergeCell ref="N921:O921"/>
    <mergeCell ref="P921:Q921"/>
    <mergeCell ref="AL920:BB920"/>
    <mergeCell ref="AD920:AE920"/>
    <mergeCell ref="AF920:AG920"/>
    <mergeCell ref="AH920:AI920"/>
    <mergeCell ref="AJ920:AK920"/>
    <mergeCell ref="R920:S920"/>
    <mergeCell ref="T920:U920"/>
    <mergeCell ref="V920:W920"/>
    <mergeCell ref="X920:Y920"/>
    <mergeCell ref="Z920:AA920"/>
    <mergeCell ref="AB920:AC920"/>
    <mergeCell ref="B920:C920"/>
    <mergeCell ref="D920:E920"/>
    <mergeCell ref="F920:G920"/>
    <mergeCell ref="H920:I920"/>
    <mergeCell ref="J920:K920"/>
    <mergeCell ref="L920:M920"/>
    <mergeCell ref="N920:O920"/>
    <mergeCell ref="P920:Q920"/>
    <mergeCell ref="AL919:BB919"/>
    <mergeCell ref="AD919:AE919"/>
    <mergeCell ref="AF919:AG919"/>
    <mergeCell ref="AH919:AI919"/>
    <mergeCell ref="AJ919:AK919"/>
    <mergeCell ref="R919:S919"/>
    <mergeCell ref="T919:U919"/>
    <mergeCell ref="V919:W919"/>
    <mergeCell ref="X919:Y919"/>
    <mergeCell ref="Z919:AA919"/>
    <mergeCell ref="AB919:AC919"/>
    <mergeCell ref="B919:C919"/>
    <mergeCell ref="D919:E919"/>
    <mergeCell ref="F919:G919"/>
    <mergeCell ref="H919:I919"/>
    <mergeCell ref="J919:K919"/>
    <mergeCell ref="L919:M919"/>
    <mergeCell ref="N919:O919"/>
    <mergeCell ref="P919:Q919"/>
    <mergeCell ref="AL918:BB918"/>
    <mergeCell ref="AD918:AE918"/>
    <mergeCell ref="AF918:AG918"/>
    <mergeCell ref="AH918:AI918"/>
    <mergeCell ref="AJ918:AK918"/>
    <mergeCell ref="R918:S918"/>
    <mergeCell ref="T918:U918"/>
    <mergeCell ref="V918:W918"/>
    <mergeCell ref="X918:Y918"/>
    <mergeCell ref="Z918:AA918"/>
    <mergeCell ref="AB918:AC918"/>
    <mergeCell ref="B918:C918"/>
    <mergeCell ref="D918:E918"/>
    <mergeCell ref="F918:G918"/>
    <mergeCell ref="H918:I918"/>
    <mergeCell ref="J918:K918"/>
    <mergeCell ref="L918:M918"/>
    <mergeCell ref="N918:O918"/>
    <mergeCell ref="P918:Q918"/>
    <mergeCell ref="AL917:BB917"/>
    <mergeCell ref="AD917:AE917"/>
    <mergeCell ref="AF917:AG917"/>
    <mergeCell ref="AH917:AI917"/>
    <mergeCell ref="AJ917:AK917"/>
    <mergeCell ref="R917:S917"/>
    <mergeCell ref="T917:U917"/>
    <mergeCell ref="V917:W917"/>
    <mergeCell ref="X917:Y917"/>
    <mergeCell ref="Z917:AA917"/>
    <mergeCell ref="AB917:AC917"/>
    <mergeCell ref="B917:C917"/>
    <mergeCell ref="D917:E917"/>
    <mergeCell ref="F917:G917"/>
    <mergeCell ref="H917:I917"/>
    <mergeCell ref="J917:K917"/>
    <mergeCell ref="L917:M917"/>
    <mergeCell ref="N917:O917"/>
    <mergeCell ref="P917:Q917"/>
    <mergeCell ref="AL916:BB916"/>
    <mergeCell ref="AD916:AE916"/>
    <mergeCell ref="AF916:AG916"/>
    <mergeCell ref="AH916:AI916"/>
    <mergeCell ref="AJ916:AK916"/>
    <mergeCell ref="R916:S916"/>
    <mergeCell ref="T916:U916"/>
    <mergeCell ref="V916:W916"/>
    <mergeCell ref="X916:Y916"/>
    <mergeCell ref="Z916:AA916"/>
    <mergeCell ref="AB916:AC916"/>
    <mergeCell ref="B916:C916"/>
    <mergeCell ref="D916:E916"/>
    <mergeCell ref="F916:G916"/>
    <mergeCell ref="H916:I916"/>
    <mergeCell ref="J916:K916"/>
    <mergeCell ref="L916:M916"/>
    <mergeCell ref="N916:O916"/>
    <mergeCell ref="P916:Q916"/>
    <mergeCell ref="AL915:BB915"/>
    <mergeCell ref="AD915:AE915"/>
    <mergeCell ref="AF915:AG915"/>
    <mergeCell ref="AH915:AI915"/>
    <mergeCell ref="AJ915:AK915"/>
    <mergeCell ref="R915:S915"/>
    <mergeCell ref="T915:U915"/>
    <mergeCell ref="V915:W915"/>
    <mergeCell ref="X915:Y915"/>
    <mergeCell ref="Z915:AA915"/>
    <mergeCell ref="AB915:AC915"/>
    <mergeCell ref="B915:C915"/>
    <mergeCell ref="D915:E915"/>
    <mergeCell ref="F915:G915"/>
    <mergeCell ref="H915:I915"/>
    <mergeCell ref="J915:K915"/>
    <mergeCell ref="L915:M915"/>
    <mergeCell ref="N915:O915"/>
    <mergeCell ref="P915:Q915"/>
    <mergeCell ref="AL914:BB914"/>
    <mergeCell ref="AD914:AE914"/>
    <mergeCell ref="AF914:AG914"/>
    <mergeCell ref="AH914:AI914"/>
    <mergeCell ref="AJ914:AK914"/>
    <mergeCell ref="R914:S914"/>
    <mergeCell ref="T914:U914"/>
    <mergeCell ref="V914:W914"/>
    <mergeCell ref="X914:Y914"/>
    <mergeCell ref="Z914:AA914"/>
    <mergeCell ref="AB914:AC914"/>
    <mergeCell ref="B914:C914"/>
    <mergeCell ref="D914:E914"/>
    <mergeCell ref="F914:G914"/>
    <mergeCell ref="H914:I914"/>
    <mergeCell ref="J914:K914"/>
    <mergeCell ref="L914:M914"/>
    <mergeCell ref="N914:O914"/>
    <mergeCell ref="P914:Q914"/>
    <mergeCell ref="AL913:BB913"/>
    <mergeCell ref="AD913:AE913"/>
    <mergeCell ref="AF913:AG913"/>
    <mergeCell ref="AH913:AI913"/>
    <mergeCell ref="AJ913:AK913"/>
    <mergeCell ref="R913:S913"/>
    <mergeCell ref="T913:U913"/>
    <mergeCell ref="V913:W913"/>
    <mergeCell ref="X913:Y913"/>
    <mergeCell ref="Z913:AA913"/>
    <mergeCell ref="AB913:AC913"/>
    <mergeCell ref="B913:C913"/>
    <mergeCell ref="D913:E913"/>
    <mergeCell ref="F913:G913"/>
    <mergeCell ref="H913:I913"/>
    <mergeCell ref="J913:K913"/>
    <mergeCell ref="L913:M913"/>
    <mergeCell ref="N913:O913"/>
    <mergeCell ref="P913:Q913"/>
    <mergeCell ref="AL912:BB912"/>
    <mergeCell ref="AD912:AE912"/>
    <mergeCell ref="AF912:AG912"/>
    <mergeCell ref="AH912:AI912"/>
    <mergeCell ref="AJ912:AK912"/>
    <mergeCell ref="R912:S912"/>
    <mergeCell ref="T912:U912"/>
    <mergeCell ref="V912:W912"/>
    <mergeCell ref="X912:Y912"/>
    <mergeCell ref="Z912:AA912"/>
    <mergeCell ref="AB912:AC912"/>
    <mergeCell ref="B912:C912"/>
    <mergeCell ref="D912:E912"/>
    <mergeCell ref="F912:G912"/>
    <mergeCell ref="H912:I912"/>
    <mergeCell ref="J912:K912"/>
    <mergeCell ref="L912:M912"/>
    <mergeCell ref="N912:O912"/>
    <mergeCell ref="P912:Q912"/>
    <mergeCell ref="AL911:BB911"/>
    <mergeCell ref="AD911:AE911"/>
    <mergeCell ref="AF911:AG911"/>
    <mergeCell ref="AH911:AI911"/>
    <mergeCell ref="AJ911:AK911"/>
    <mergeCell ref="R911:S911"/>
    <mergeCell ref="T911:U911"/>
    <mergeCell ref="V911:W911"/>
    <mergeCell ref="X911:Y911"/>
    <mergeCell ref="Z911:AA911"/>
    <mergeCell ref="AB911:AC911"/>
    <mergeCell ref="B911:C911"/>
    <mergeCell ref="D911:E911"/>
    <mergeCell ref="F911:G911"/>
    <mergeCell ref="H911:I911"/>
    <mergeCell ref="J911:K911"/>
    <mergeCell ref="L911:M911"/>
    <mergeCell ref="N911:O911"/>
    <mergeCell ref="P911:Q911"/>
    <mergeCell ref="AL910:BB910"/>
    <mergeCell ref="AD910:AE910"/>
    <mergeCell ref="AF910:AG910"/>
    <mergeCell ref="AH910:AI910"/>
    <mergeCell ref="AJ910:AK910"/>
    <mergeCell ref="R910:S910"/>
    <mergeCell ref="T910:U910"/>
    <mergeCell ref="V910:W910"/>
    <mergeCell ref="X910:Y910"/>
    <mergeCell ref="Z910:AA910"/>
    <mergeCell ref="AB910:AC910"/>
    <mergeCell ref="B910:C910"/>
    <mergeCell ref="D910:E910"/>
    <mergeCell ref="F910:G910"/>
    <mergeCell ref="H910:I910"/>
    <mergeCell ref="J910:K910"/>
    <mergeCell ref="L910:M910"/>
    <mergeCell ref="N910:O910"/>
    <mergeCell ref="P910:Q910"/>
    <mergeCell ref="AL909:BB909"/>
    <mergeCell ref="AD909:AE909"/>
    <mergeCell ref="AF909:AG909"/>
    <mergeCell ref="AH909:AI909"/>
    <mergeCell ref="AJ909:AK909"/>
    <mergeCell ref="R909:S909"/>
    <mergeCell ref="T909:U909"/>
    <mergeCell ref="V909:W909"/>
    <mergeCell ref="X909:Y909"/>
    <mergeCell ref="Z909:AA909"/>
    <mergeCell ref="AB909:AC909"/>
    <mergeCell ref="B909:C909"/>
    <mergeCell ref="D909:E909"/>
    <mergeCell ref="F909:G909"/>
    <mergeCell ref="H909:I909"/>
    <mergeCell ref="J909:K909"/>
    <mergeCell ref="L909:M909"/>
    <mergeCell ref="N909:O909"/>
    <mergeCell ref="P909:Q909"/>
    <mergeCell ref="AL908:BB908"/>
    <mergeCell ref="AD908:AE908"/>
    <mergeCell ref="AF908:AG908"/>
    <mergeCell ref="AH908:AI908"/>
    <mergeCell ref="AJ908:AK908"/>
    <mergeCell ref="R908:S908"/>
    <mergeCell ref="T908:U908"/>
    <mergeCell ref="V908:W908"/>
    <mergeCell ref="X908:Y908"/>
    <mergeCell ref="Z908:AA908"/>
    <mergeCell ref="AB908:AC908"/>
    <mergeCell ref="B908:C908"/>
    <mergeCell ref="D908:E908"/>
    <mergeCell ref="F908:G908"/>
    <mergeCell ref="H908:I908"/>
    <mergeCell ref="J908:K908"/>
    <mergeCell ref="L908:M908"/>
    <mergeCell ref="N908:O908"/>
    <mergeCell ref="P908:Q908"/>
    <mergeCell ref="AL907:BB907"/>
    <mergeCell ref="AD907:AE907"/>
    <mergeCell ref="AF907:AG907"/>
    <mergeCell ref="AH907:AI907"/>
    <mergeCell ref="AJ907:AK907"/>
    <mergeCell ref="R907:S907"/>
    <mergeCell ref="T907:U907"/>
    <mergeCell ref="V907:W907"/>
    <mergeCell ref="X907:Y907"/>
    <mergeCell ref="Z907:AA907"/>
    <mergeCell ref="AB907:AC907"/>
    <mergeCell ref="B907:C907"/>
    <mergeCell ref="D907:E907"/>
    <mergeCell ref="F907:G907"/>
    <mergeCell ref="H907:I907"/>
    <mergeCell ref="J907:K907"/>
    <mergeCell ref="L907:M907"/>
    <mergeCell ref="N907:O907"/>
    <mergeCell ref="P907:Q907"/>
    <mergeCell ref="AL906:BB906"/>
    <mergeCell ref="Z906:AA906"/>
    <mergeCell ref="AB906:AC906"/>
    <mergeCell ref="AD906:AE906"/>
    <mergeCell ref="AF906:AG906"/>
    <mergeCell ref="AH906:AI906"/>
    <mergeCell ref="AJ906:AK906"/>
    <mergeCell ref="N906:O906"/>
    <mergeCell ref="P906:Q906"/>
    <mergeCell ref="R906:S906"/>
    <mergeCell ref="T906:U906"/>
    <mergeCell ref="V906:W906"/>
    <mergeCell ref="X906:Y906"/>
    <mergeCell ref="B906:C906"/>
    <mergeCell ref="D906:E906"/>
    <mergeCell ref="F906:G906"/>
    <mergeCell ref="H906:I906"/>
    <mergeCell ref="J906:K906"/>
    <mergeCell ref="L906:M906"/>
    <mergeCell ref="AL905:BB905"/>
    <mergeCell ref="AD905:AE905"/>
    <mergeCell ref="AF905:AG905"/>
    <mergeCell ref="AH905:AI905"/>
    <mergeCell ref="AJ905:AK905"/>
    <mergeCell ref="R905:S905"/>
    <mergeCell ref="T905:U905"/>
    <mergeCell ref="V905:W905"/>
    <mergeCell ref="X905:Y905"/>
    <mergeCell ref="Z905:AA905"/>
    <mergeCell ref="AB905:AC905"/>
    <mergeCell ref="B905:C905"/>
    <mergeCell ref="D905:E905"/>
    <mergeCell ref="F905:G905"/>
    <mergeCell ref="H905:I905"/>
    <mergeCell ref="J905:K905"/>
    <mergeCell ref="L905:M905"/>
    <mergeCell ref="N905:O905"/>
    <mergeCell ref="P905:Q905"/>
    <mergeCell ref="AL904:BB904"/>
    <mergeCell ref="Z904:AA904"/>
    <mergeCell ref="AB904:AC904"/>
    <mergeCell ref="AD904:AE904"/>
    <mergeCell ref="AF904:AG904"/>
    <mergeCell ref="AH904:AI904"/>
    <mergeCell ref="AJ904:AK904"/>
    <mergeCell ref="N904:O904"/>
    <mergeCell ref="P904:Q904"/>
    <mergeCell ref="R904:S904"/>
    <mergeCell ref="T904:U904"/>
    <mergeCell ref="V904:W904"/>
    <mergeCell ref="X904:Y904"/>
    <mergeCell ref="B904:C904"/>
    <mergeCell ref="D904:E904"/>
    <mergeCell ref="F904:G904"/>
    <mergeCell ref="H904:I904"/>
    <mergeCell ref="J904:K904"/>
    <mergeCell ref="L904:M904"/>
    <mergeCell ref="AL903:BB903"/>
    <mergeCell ref="AD903:AE903"/>
    <mergeCell ref="AF903:AG903"/>
    <mergeCell ref="AH903:AI903"/>
    <mergeCell ref="AJ903:AK903"/>
    <mergeCell ref="R903:S903"/>
    <mergeCell ref="T903:U903"/>
    <mergeCell ref="V903:W903"/>
    <mergeCell ref="X903:Y903"/>
    <mergeCell ref="Z903:AA903"/>
    <mergeCell ref="AB903:AC903"/>
    <mergeCell ref="B903:C903"/>
    <mergeCell ref="D903:E903"/>
    <mergeCell ref="F903:G903"/>
    <mergeCell ref="H903:I903"/>
    <mergeCell ref="J903:K903"/>
    <mergeCell ref="L903:M903"/>
    <mergeCell ref="N903:O903"/>
    <mergeCell ref="P903:Q903"/>
    <mergeCell ref="AL902:BB902"/>
    <mergeCell ref="Z902:AA902"/>
    <mergeCell ref="AB902:AC902"/>
    <mergeCell ref="AD902:AE902"/>
    <mergeCell ref="AF902:AG902"/>
    <mergeCell ref="AH902:AI902"/>
    <mergeCell ref="AJ902:AK902"/>
    <mergeCell ref="N902:O902"/>
    <mergeCell ref="P902:Q902"/>
    <mergeCell ref="R902:S902"/>
    <mergeCell ref="T902:U902"/>
    <mergeCell ref="V902:W902"/>
    <mergeCell ref="X902:Y902"/>
    <mergeCell ref="B902:C902"/>
    <mergeCell ref="D902:E902"/>
    <mergeCell ref="F902:G902"/>
    <mergeCell ref="H902:I902"/>
    <mergeCell ref="J902:K902"/>
    <mergeCell ref="L902:M902"/>
    <mergeCell ref="AL901:BB901"/>
    <mergeCell ref="AD901:AE901"/>
    <mergeCell ref="AF901:AG901"/>
    <mergeCell ref="AH901:AI901"/>
    <mergeCell ref="AJ901:AK901"/>
    <mergeCell ref="R901:S901"/>
    <mergeCell ref="T901:U901"/>
    <mergeCell ref="V901:W901"/>
    <mergeCell ref="X901:Y901"/>
    <mergeCell ref="Z901:AA901"/>
    <mergeCell ref="AB901:AC901"/>
    <mergeCell ref="B901:C901"/>
    <mergeCell ref="D901:E901"/>
    <mergeCell ref="F901:G901"/>
    <mergeCell ref="H901:I901"/>
    <mergeCell ref="J901:K901"/>
    <mergeCell ref="L901:M901"/>
    <mergeCell ref="N901:O901"/>
    <mergeCell ref="P901:Q901"/>
    <mergeCell ref="AL900:BB900"/>
    <mergeCell ref="Z900:AA900"/>
    <mergeCell ref="AB900:AC900"/>
    <mergeCell ref="AD900:AE900"/>
    <mergeCell ref="AF900:AG900"/>
    <mergeCell ref="AH900:AI900"/>
    <mergeCell ref="AJ900:AK900"/>
    <mergeCell ref="N900:O900"/>
    <mergeCell ref="P900:Q900"/>
    <mergeCell ref="R900:S900"/>
    <mergeCell ref="T900:U900"/>
    <mergeCell ref="V900:W900"/>
    <mergeCell ref="X900:Y900"/>
    <mergeCell ref="B900:C900"/>
    <mergeCell ref="D900:E900"/>
    <mergeCell ref="F900:G900"/>
    <mergeCell ref="H900:I900"/>
    <mergeCell ref="J900:K900"/>
    <mergeCell ref="L900:M900"/>
    <mergeCell ref="AL899:BB899"/>
    <mergeCell ref="AD899:AE899"/>
    <mergeCell ref="AF899:AG899"/>
    <mergeCell ref="AH899:AI899"/>
    <mergeCell ref="AJ899:AK899"/>
    <mergeCell ref="R899:S899"/>
    <mergeCell ref="T899:U899"/>
    <mergeCell ref="V899:W899"/>
    <mergeCell ref="X899:Y899"/>
    <mergeCell ref="Z899:AA899"/>
    <mergeCell ref="AB899:AC899"/>
    <mergeCell ref="B899:C899"/>
    <mergeCell ref="D899:E899"/>
    <mergeCell ref="F899:G899"/>
    <mergeCell ref="H899:I899"/>
    <mergeCell ref="J899:K899"/>
    <mergeCell ref="L899:M899"/>
    <mergeCell ref="N899:O899"/>
    <mergeCell ref="P899:Q899"/>
    <mergeCell ref="AL898:BB898"/>
    <mergeCell ref="Z898:AA898"/>
    <mergeCell ref="AB898:AC898"/>
    <mergeCell ref="AD898:AE898"/>
    <mergeCell ref="AF898:AG898"/>
    <mergeCell ref="AH898:AI898"/>
    <mergeCell ref="AJ898:AK898"/>
    <mergeCell ref="N898:O898"/>
    <mergeCell ref="P898:Q898"/>
    <mergeCell ref="R898:S898"/>
    <mergeCell ref="T898:U898"/>
    <mergeCell ref="V898:W898"/>
    <mergeCell ref="X898:Y898"/>
    <mergeCell ref="B898:C898"/>
    <mergeCell ref="D898:E898"/>
    <mergeCell ref="F898:G898"/>
    <mergeCell ref="H898:I898"/>
    <mergeCell ref="J898:K898"/>
    <mergeCell ref="L898:M898"/>
    <mergeCell ref="AL897:BB897"/>
    <mergeCell ref="Z897:AA897"/>
    <mergeCell ref="AB897:AC897"/>
    <mergeCell ref="AD897:AE897"/>
    <mergeCell ref="AF897:AG897"/>
    <mergeCell ref="AH897:AI897"/>
    <mergeCell ref="AJ897:AK897"/>
    <mergeCell ref="N897:O897"/>
    <mergeCell ref="P897:Q897"/>
    <mergeCell ref="R897:S897"/>
    <mergeCell ref="T897:U897"/>
    <mergeCell ref="V897:W897"/>
    <mergeCell ref="X897:Y897"/>
    <mergeCell ref="B897:C897"/>
    <mergeCell ref="D897:E897"/>
    <mergeCell ref="F897:G897"/>
    <mergeCell ref="H897:I897"/>
    <mergeCell ref="J897:K897"/>
    <mergeCell ref="L897:M897"/>
    <mergeCell ref="AL896:BB896"/>
    <mergeCell ref="AD896:AE896"/>
    <mergeCell ref="AF896:AG896"/>
    <mergeCell ref="AH896:AI896"/>
    <mergeCell ref="AJ896:AK896"/>
    <mergeCell ref="R896:S896"/>
    <mergeCell ref="T896:U896"/>
    <mergeCell ref="V896:W896"/>
    <mergeCell ref="X896:Y896"/>
    <mergeCell ref="Z896:AA896"/>
    <mergeCell ref="AB896:AC896"/>
    <mergeCell ref="B896:C896"/>
    <mergeCell ref="D896:E896"/>
    <mergeCell ref="F896:G896"/>
    <mergeCell ref="H896:I896"/>
    <mergeCell ref="J896:K896"/>
    <mergeCell ref="L896:M896"/>
    <mergeCell ref="N896:O896"/>
    <mergeCell ref="P896:Q896"/>
    <mergeCell ref="AL895:BB895"/>
    <mergeCell ref="AD895:AE895"/>
    <mergeCell ref="AF895:AG895"/>
    <mergeCell ref="AH895:AI895"/>
    <mergeCell ref="AJ895:AK895"/>
    <mergeCell ref="R895:S895"/>
    <mergeCell ref="T895:U895"/>
    <mergeCell ref="V895:W895"/>
    <mergeCell ref="X895:Y895"/>
    <mergeCell ref="Z895:AA895"/>
    <mergeCell ref="AB895:AC895"/>
    <mergeCell ref="B895:C895"/>
    <mergeCell ref="D895:E895"/>
    <mergeCell ref="F895:G895"/>
    <mergeCell ref="H895:I895"/>
    <mergeCell ref="J895:K895"/>
    <mergeCell ref="L895:M895"/>
    <mergeCell ref="N895:O895"/>
    <mergeCell ref="P895:Q895"/>
    <mergeCell ref="AL894:BB894"/>
    <mergeCell ref="AD894:AE894"/>
    <mergeCell ref="AF894:AG894"/>
    <mergeCell ref="AH894:AI894"/>
    <mergeCell ref="AJ894:AK894"/>
    <mergeCell ref="R894:S894"/>
    <mergeCell ref="T894:U894"/>
    <mergeCell ref="V894:W894"/>
    <mergeCell ref="X894:Y894"/>
    <mergeCell ref="Z894:AA894"/>
    <mergeCell ref="AB894:AC894"/>
    <mergeCell ref="B894:C894"/>
    <mergeCell ref="D894:E894"/>
    <mergeCell ref="F894:G894"/>
    <mergeCell ref="H894:I894"/>
    <mergeCell ref="J894:K894"/>
    <mergeCell ref="L894:M894"/>
    <mergeCell ref="N894:O894"/>
    <mergeCell ref="P894:Q894"/>
    <mergeCell ref="AL893:BB893"/>
    <mergeCell ref="AD893:AE893"/>
    <mergeCell ref="AF893:AG893"/>
    <mergeCell ref="AH893:AI893"/>
    <mergeCell ref="AJ893:AK893"/>
    <mergeCell ref="R893:S893"/>
    <mergeCell ref="T893:U893"/>
    <mergeCell ref="V893:W893"/>
    <mergeCell ref="X893:Y893"/>
    <mergeCell ref="Z893:AA893"/>
    <mergeCell ref="AB893:AC893"/>
    <mergeCell ref="B893:C893"/>
    <mergeCell ref="D893:E893"/>
    <mergeCell ref="F893:G893"/>
    <mergeCell ref="H893:I893"/>
    <mergeCell ref="J893:K893"/>
    <mergeCell ref="L893:M893"/>
    <mergeCell ref="N893:O893"/>
    <mergeCell ref="P893:Q893"/>
    <mergeCell ref="AL892:BB892"/>
    <mergeCell ref="AD892:AE892"/>
    <mergeCell ref="AF892:AG892"/>
    <mergeCell ref="AH892:AI892"/>
    <mergeCell ref="AJ892:AK892"/>
    <mergeCell ref="R892:S892"/>
    <mergeCell ref="T892:U892"/>
    <mergeCell ref="V892:W892"/>
    <mergeCell ref="X892:Y892"/>
    <mergeCell ref="Z892:AA892"/>
    <mergeCell ref="AB892:AC892"/>
    <mergeCell ref="B892:C892"/>
    <mergeCell ref="D892:E892"/>
    <mergeCell ref="F892:G892"/>
    <mergeCell ref="H892:I892"/>
    <mergeCell ref="J892:K892"/>
    <mergeCell ref="L892:M892"/>
    <mergeCell ref="N892:O892"/>
    <mergeCell ref="P892:Q892"/>
    <mergeCell ref="AL891:BB891"/>
    <mergeCell ref="AD891:AE891"/>
    <mergeCell ref="AF891:AG891"/>
    <mergeCell ref="AH891:AI891"/>
    <mergeCell ref="AJ891:AK891"/>
    <mergeCell ref="R891:S891"/>
    <mergeCell ref="T891:U891"/>
    <mergeCell ref="V891:W891"/>
    <mergeCell ref="X891:Y891"/>
    <mergeCell ref="Z891:AA891"/>
    <mergeCell ref="AB891:AC891"/>
    <mergeCell ref="B891:C891"/>
    <mergeCell ref="D891:E891"/>
    <mergeCell ref="F891:G891"/>
    <mergeCell ref="H891:I891"/>
    <mergeCell ref="J891:K891"/>
    <mergeCell ref="L891:M891"/>
    <mergeCell ref="N891:O891"/>
    <mergeCell ref="P891:Q891"/>
    <mergeCell ref="AL890:BB890"/>
    <mergeCell ref="AD890:AE890"/>
    <mergeCell ref="AF890:AG890"/>
    <mergeCell ref="AH890:AI890"/>
    <mergeCell ref="AJ890:AK890"/>
    <mergeCell ref="R890:S890"/>
    <mergeCell ref="T890:U890"/>
    <mergeCell ref="V890:W890"/>
    <mergeCell ref="X890:Y890"/>
    <mergeCell ref="Z890:AA890"/>
    <mergeCell ref="AB890:AC890"/>
    <mergeCell ref="B890:C890"/>
    <mergeCell ref="D890:E890"/>
    <mergeCell ref="F890:G890"/>
    <mergeCell ref="H890:I890"/>
    <mergeCell ref="J890:K890"/>
    <mergeCell ref="L890:M890"/>
    <mergeCell ref="N890:O890"/>
    <mergeCell ref="P890:Q890"/>
    <mergeCell ref="AL889:BB889"/>
    <mergeCell ref="AD889:AE889"/>
    <mergeCell ref="AF889:AG889"/>
    <mergeCell ref="AH889:AI889"/>
    <mergeCell ref="AJ889:AK889"/>
    <mergeCell ref="R889:S889"/>
    <mergeCell ref="T889:U889"/>
    <mergeCell ref="V889:W889"/>
    <mergeCell ref="X889:Y889"/>
    <mergeCell ref="Z889:AA889"/>
    <mergeCell ref="AB889:AC889"/>
    <mergeCell ref="B889:C889"/>
    <mergeCell ref="D889:E889"/>
    <mergeCell ref="F889:G889"/>
    <mergeCell ref="H889:I889"/>
    <mergeCell ref="J889:K889"/>
    <mergeCell ref="L889:M889"/>
    <mergeCell ref="N889:O889"/>
    <mergeCell ref="P889:Q889"/>
    <mergeCell ref="AL888:BB888"/>
    <mergeCell ref="AD888:AE888"/>
    <mergeCell ref="AF888:AG888"/>
    <mergeCell ref="AH888:AI888"/>
    <mergeCell ref="AJ888:AK888"/>
    <mergeCell ref="R888:S888"/>
    <mergeCell ref="T888:U888"/>
    <mergeCell ref="V888:W888"/>
    <mergeCell ref="X888:Y888"/>
    <mergeCell ref="Z888:AA888"/>
    <mergeCell ref="AB888:AC888"/>
    <mergeCell ref="B888:C888"/>
    <mergeCell ref="D888:E888"/>
    <mergeCell ref="F888:G888"/>
    <mergeCell ref="H888:I888"/>
    <mergeCell ref="J888:K888"/>
    <mergeCell ref="L888:M888"/>
    <mergeCell ref="N888:O888"/>
    <mergeCell ref="P888:Q888"/>
    <mergeCell ref="AL887:BB887"/>
    <mergeCell ref="AD887:AE887"/>
    <mergeCell ref="AF887:AG887"/>
    <mergeCell ref="AH887:AI887"/>
    <mergeCell ref="AJ887:AK887"/>
    <mergeCell ref="R887:S887"/>
    <mergeCell ref="T887:U887"/>
    <mergeCell ref="V887:W887"/>
    <mergeCell ref="X887:Y887"/>
    <mergeCell ref="Z887:AA887"/>
    <mergeCell ref="AB887:AC887"/>
    <mergeCell ref="B887:C887"/>
    <mergeCell ref="D887:E887"/>
    <mergeCell ref="F887:G887"/>
    <mergeCell ref="H887:I887"/>
    <mergeCell ref="J887:K887"/>
    <mergeCell ref="L887:M887"/>
    <mergeCell ref="N887:O887"/>
    <mergeCell ref="P887:Q887"/>
    <mergeCell ref="AL886:BB886"/>
    <mergeCell ref="AD886:AE886"/>
    <mergeCell ref="AF886:AG886"/>
    <mergeCell ref="AH886:AI886"/>
    <mergeCell ref="AJ886:AK886"/>
    <mergeCell ref="R886:S886"/>
    <mergeCell ref="T886:U886"/>
    <mergeCell ref="V886:W886"/>
    <mergeCell ref="X886:Y886"/>
    <mergeCell ref="Z886:AA886"/>
    <mergeCell ref="AB886:AC886"/>
    <mergeCell ref="B886:C886"/>
    <mergeCell ref="D886:E886"/>
    <mergeCell ref="F886:G886"/>
    <mergeCell ref="H886:I886"/>
    <mergeCell ref="J886:K886"/>
    <mergeCell ref="L886:M886"/>
    <mergeCell ref="N886:O886"/>
    <mergeCell ref="P886:Q886"/>
    <mergeCell ref="AL885:BB885"/>
    <mergeCell ref="AD885:AE885"/>
    <mergeCell ref="AF885:AG885"/>
    <mergeCell ref="AH885:AI885"/>
    <mergeCell ref="AJ885:AK885"/>
    <mergeCell ref="R885:S885"/>
    <mergeCell ref="T885:U885"/>
    <mergeCell ref="V885:W885"/>
    <mergeCell ref="X885:Y885"/>
    <mergeCell ref="Z885:AA885"/>
    <mergeCell ref="AB885:AC885"/>
    <mergeCell ref="B885:C885"/>
    <mergeCell ref="D885:E885"/>
    <mergeCell ref="F885:G885"/>
    <mergeCell ref="H885:I885"/>
    <mergeCell ref="J885:K885"/>
    <mergeCell ref="L885:M885"/>
    <mergeCell ref="N885:O885"/>
    <mergeCell ref="P885:Q885"/>
    <mergeCell ref="AL884:BB884"/>
    <mergeCell ref="AD884:AE884"/>
    <mergeCell ref="AF884:AG884"/>
    <mergeCell ref="AH884:AI884"/>
    <mergeCell ref="AJ884:AK884"/>
    <mergeCell ref="R884:S884"/>
    <mergeCell ref="T884:U884"/>
    <mergeCell ref="V884:W884"/>
    <mergeCell ref="X884:Y884"/>
    <mergeCell ref="Z884:AA884"/>
    <mergeCell ref="AB884:AC884"/>
    <mergeCell ref="B884:C884"/>
    <mergeCell ref="D884:E884"/>
    <mergeCell ref="F884:G884"/>
    <mergeCell ref="H884:I884"/>
    <mergeCell ref="J884:K884"/>
    <mergeCell ref="L884:M884"/>
    <mergeCell ref="N884:O884"/>
    <mergeCell ref="P884:Q884"/>
    <mergeCell ref="AL883:BB883"/>
    <mergeCell ref="AD883:AE883"/>
    <mergeCell ref="AF883:AG883"/>
    <mergeCell ref="AH883:AI883"/>
    <mergeCell ref="AJ883:AK883"/>
    <mergeCell ref="R883:S883"/>
    <mergeCell ref="T883:U883"/>
    <mergeCell ref="V883:W883"/>
    <mergeCell ref="X883:Y883"/>
    <mergeCell ref="Z883:AA883"/>
    <mergeCell ref="AB883:AC883"/>
    <mergeCell ref="B883:C883"/>
    <mergeCell ref="D883:E883"/>
    <mergeCell ref="F883:G883"/>
    <mergeCell ref="H883:I883"/>
    <mergeCell ref="J883:K883"/>
    <mergeCell ref="L883:M883"/>
    <mergeCell ref="N883:O883"/>
    <mergeCell ref="P883:Q883"/>
    <mergeCell ref="AL882:BB882"/>
    <mergeCell ref="AD882:AE882"/>
    <mergeCell ref="AF882:AG882"/>
    <mergeCell ref="AH882:AI882"/>
    <mergeCell ref="AJ882:AK882"/>
    <mergeCell ref="R882:S882"/>
    <mergeCell ref="T882:U882"/>
    <mergeCell ref="V882:W882"/>
    <mergeCell ref="X882:Y882"/>
    <mergeCell ref="Z882:AA882"/>
    <mergeCell ref="AB882:AC882"/>
    <mergeCell ref="B882:C882"/>
    <mergeCell ref="D882:E882"/>
    <mergeCell ref="F882:G882"/>
    <mergeCell ref="H882:I882"/>
    <mergeCell ref="J882:K882"/>
    <mergeCell ref="L882:M882"/>
    <mergeCell ref="N882:O882"/>
    <mergeCell ref="P882:Q882"/>
    <mergeCell ref="AL881:BB881"/>
    <mergeCell ref="AD881:AE881"/>
    <mergeCell ref="AF881:AG881"/>
    <mergeCell ref="AH881:AI881"/>
    <mergeCell ref="AJ881:AK881"/>
    <mergeCell ref="R881:S881"/>
    <mergeCell ref="T881:U881"/>
    <mergeCell ref="V881:W881"/>
    <mergeCell ref="X881:Y881"/>
    <mergeCell ref="Z881:AA881"/>
    <mergeCell ref="AB881:AC881"/>
    <mergeCell ref="B881:C881"/>
    <mergeCell ref="D881:E881"/>
    <mergeCell ref="F881:G881"/>
    <mergeCell ref="H881:I881"/>
    <mergeCell ref="J881:K881"/>
    <mergeCell ref="L881:M881"/>
    <mergeCell ref="N881:O881"/>
    <mergeCell ref="P881:Q881"/>
    <mergeCell ref="AL880:BB880"/>
    <mergeCell ref="AD880:AE880"/>
    <mergeCell ref="AF880:AG880"/>
    <mergeCell ref="AH880:AI880"/>
    <mergeCell ref="AJ880:AK880"/>
    <mergeCell ref="R880:S880"/>
    <mergeCell ref="T880:U880"/>
    <mergeCell ref="V880:W880"/>
    <mergeCell ref="X880:Y880"/>
    <mergeCell ref="Z880:AA880"/>
    <mergeCell ref="AB880:AC880"/>
    <mergeCell ref="B880:C880"/>
    <mergeCell ref="D880:E880"/>
    <mergeCell ref="F880:G880"/>
    <mergeCell ref="H880:I880"/>
    <mergeCell ref="J880:K880"/>
    <mergeCell ref="L880:M880"/>
    <mergeCell ref="N880:O880"/>
    <mergeCell ref="P880:Q880"/>
    <mergeCell ref="AL879:BB879"/>
    <mergeCell ref="AD879:AE879"/>
    <mergeCell ref="AF879:AG879"/>
    <mergeCell ref="AH879:AI879"/>
    <mergeCell ref="AJ879:AK879"/>
    <mergeCell ref="R879:S879"/>
    <mergeCell ref="T879:U879"/>
    <mergeCell ref="V879:W879"/>
    <mergeCell ref="X879:Y879"/>
    <mergeCell ref="Z879:AA879"/>
    <mergeCell ref="AB879:AC879"/>
    <mergeCell ref="B879:C879"/>
    <mergeCell ref="D879:E879"/>
    <mergeCell ref="F879:G879"/>
    <mergeCell ref="H879:I879"/>
    <mergeCell ref="J879:K879"/>
    <mergeCell ref="L879:M879"/>
    <mergeCell ref="N879:O879"/>
    <mergeCell ref="P879:Q879"/>
    <mergeCell ref="AL878:BB878"/>
    <mergeCell ref="AD878:AE878"/>
    <mergeCell ref="AF878:AG878"/>
    <mergeCell ref="AH878:AI878"/>
    <mergeCell ref="AJ878:AK878"/>
    <mergeCell ref="R878:S878"/>
    <mergeCell ref="T878:U878"/>
    <mergeCell ref="V878:W878"/>
    <mergeCell ref="X878:Y878"/>
    <mergeCell ref="Z878:AA878"/>
    <mergeCell ref="AB878:AC878"/>
    <mergeCell ref="B878:C878"/>
    <mergeCell ref="D878:E878"/>
    <mergeCell ref="F878:G878"/>
    <mergeCell ref="H878:I878"/>
    <mergeCell ref="J878:K878"/>
    <mergeCell ref="L878:M878"/>
    <mergeCell ref="N878:O878"/>
    <mergeCell ref="P878:Q878"/>
    <mergeCell ref="AL877:BB877"/>
    <mergeCell ref="AD877:AE877"/>
    <mergeCell ref="AF877:AG877"/>
    <mergeCell ref="AH877:AI877"/>
    <mergeCell ref="AJ877:AK877"/>
    <mergeCell ref="R877:S877"/>
    <mergeCell ref="T877:U877"/>
    <mergeCell ref="V877:W877"/>
    <mergeCell ref="X877:Y877"/>
    <mergeCell ref="Z877:AA877"/>
    <mergeCell ref="AB877:AC877"/>
    <mergeCell ref="B877:C877"/>
    <mergeCell ref="D877:E877"/>
    <mergeCell ref="F877:G877"/>
    <mergeCell ref="H877:I877"/>
    <mergeCell ref="J877:K877"/>
    <mergeCell ref="L877:M877"/>
    <mergeCell ref="N877:O877"/>
    <mergeCell ref="P877:Q877"/>
    <mergeCell ref="AL876:BB876"/>
    <mergeCell ref="AD876:AE876"/>
    <mergeCell ref="AF876:AG876"/>
    <mergeCell ref="AH876:AI876"/>
    <mergeCell ref="AJ876:AK876"/>
    <mergeCell ref="R876:S876"/>
    <mergeCell ref="T876:U876"/>
    <mergeCell ref="V876:W876"/>
    <mergeCell ref="X876:Y876"/>
    <mergeCell ref="Z876:AA876"/>
    <mergeCell ref="AB876:AC876"/>
    <mergeCell ref="B876:C876"/>
    <mergeCell ref="D876:E876"/>
    <mergeCell ref="F876:G876"/>
    <mergeCell ref="H876:I876"/>
    <mergeCell ref="J876:K876"/>
    <mergeCell ref="L876:M876"/>
    <mergeCell ref="N876:O876"/>
    <mergeCell ref="P876:Q876"/>
    <mergeCell ref="AL875:BB875"/>
    <mergeCell ref="AD875:AE875"/>
    <mergeCell ref="AF875:AG875"/>
    <mergeCell ref="AH875:AI875"/>
    <mergeCell ref="AJ875:AK875"/>
    <mergeCell ref="R875:S875"/>
    <mergeCell ref="T875:U875"/>
    <mergeCell ref="V875:W875"/>
    <mergeCell ref="X875:Y875"/>
    <mergeCell ref="Z875:AA875"/>
    <mergeCell ref="AB875:AC875"/>
    <mergeCell ref="B875:C875"/>
    <mergeCell ref="D875:E875"/>
    <mergeCell ref="F875:G875"/>
    <mergeCell ref="H875:I875"/>
    <mergeCell ref="J875:K875"/>
    <mergeCell ref="L875:M875"/>
    <mergeCell ref="N875:O875"/>
    <mergeCell ref="P875:Q875"/>
    <mergeCell ref="AL874:BB874"/>
    <mergeCell ref="AD874:AE874"/>
    <mergeCell ref="AF874:AG874"/>
    <mergeCell ref="AH874:AI874"/>
    <mergeCell ref="AJ874:AK874"/>
    <mergeCell ref="R874:S874"/>
    <mergeCell ref="T874:U874"/>
    <mergeCell ref="V874:W874"/>
    <mergeCell ref="X874:Y874"/>
    <mergeCell ref="Z874:AA874"/>
    <mergeCell ref="AB874:AC874"/>
    <mergeCell ref="B874:C874"/>
    <mergeCell ref="D874:E874"/>
    <mergeCell ref="F874:G874"/>
    <mergeCell ref="H874:I874"/>
    <mergeCell ref="J874:K874"/>
    <mergeCell ref="L874:M874"/>
    <mergeCell ref="N874:O874"/>
    <mergeCell ref="P874:Q874"/>
    <mergeCell ref="AL873:BB873"/>
    <mergeCell ref="AD873:AE873"/>
    <mergeCell ref="AF873:AG873"/>
    <mergeCell ref="AH873:AI873"/>
    <mergeCell ref="AJ873:AK873"/>
    <mergeCell ref="R873:S873"/>
    <mergeCell ref="T873:U873"/>
    <mergeCell ref="V873:W873"/>
    <mergeCell ref="X873:Y873"/>
    <mergeCell ref="Z873:AA873"/>
    <mergeCell ref="AB873:AC873"/>
    <mergeCell ref="B873:C873"/>
    <mergeCell ref="D873:E873"/>
    <mergeCell ref="F873:G873"/>
    <mergeCell ref="H873:I873"/>
    <mergeCell ref="J873:K873"/>
    <mergeCell ref="L873:M873"/>
    <mergeCell ref="N873:O873"/>
    <mergeCell ref="P873:Q873"/>
    <mergeCell ref="AL872:BB872"/>
    <mergeCell ref="AD872:AE872"/>
    <mergeCell ref="AF872:AG872"/>
    <mergeCell ref="AH872:AI872"/>
    <mergeCell ref="AJ872:AK872"/>
    <mergeCell ref="R872:S872"/>
    <mergeCell ref="T872:U872"/>
    <mergeCell ref="V872:W872"/>
    <mergeCell ref="X872:Y872"/>
    <mergeCell ref="Z872:AA872"/>
    <mergeCell ref="AB872:AC872"/>
    <mergeCell ref="B872:C872"/>
    <mergeCell ref="D872:E872"/>
    <mergeCell ref="F872:G872"/>
    <mergeCell ref="H872:I872"/>
    <mergeCell ref="J872:K872"/>
    <mergeCell ref="L872:M872"/>
    <mergeCell ref="N872:O872"/>
    <mergeCell ref="P872:Q872"/>
    <mergeCell ref="AL871:BB871"/>
    <mergeCell ref="AD871:AE871"/>
    <mergeCell ref="AF871:AG871"/>
    <mergeCell ref="AH871:AI871"/>
    <mergeCell ref="AJ871:AK871"/>
    <mergeCell ref="R871:S871"/>
    <mergeCell ref="T871:U871"/>
    <mergeCell ref="V871:W871"/>
    <mergeCell ref="X871:Y871"/>
    <mergeCell ref="Z871:AA871"/>
    <mergeCell ref="AB871:AC871"/>
    <mergeCell ref="B871:C871"/>
    <mergeCell ref="D871:E871"/>
    <mergeCell ref="F871:G871"/>
    <mergeCell ref="H871:I871"/>
    <mergeCell ref="J871:K871"/>
    <mergeCell ref="L871:M871"/>
    <mergeCell ref="N871:O871"/>
    <mergeCell ref="P871:Q871"/>
    <mergeCell ref="AL870:BB870"/>
    <mergeCell ref="AD870:AE870"/>
    <mergeCell ref="AF870:AG870"/>
    <mergeCell ref="AH870:AI870"/>
    <mergeCell ref="AJ870:AK870"/>
    <mergeCell ref="R870:S870"/>
    <mergeCell ref="T870:U870"/>
    <mergeCell ref="V870:W870"/>
    <mergeCell ref="X870:Y870"/>
    <mergeCell ref="Z870:AA870"/>
    <mergeCell ref="AB870:AC870"/>
    <mergeCell ref="B870:C870"/>
    <mergeCell ref="D870:E870"/>
    <mergeCell ref="F870:G870"/>
    <mergeCell ref="H870:I870"/>
    <mergeCell ref="J870:K870"/>
    <mergeCell ref="L870:M870"/>
    <mergeCell ref="N870:O870"/>
    <mergeCell ref="P870:Q870"/>
    <mergeCell ref="AL869:BB869"/>
    <mergeCell ref="AD869:AE869"/>
    <mergeCell ref="AF869:AG869"/>
    <mergeCell ref="AH869:AI869"/>
    <mergeCell ref="AJ869:AK869"/>
    <mergeCell ref="R869:S869"/>
    <mergeCell ref="T869:U869"/>
    <mergeCell ref="V869:W869"/>
    <mergeCell ref="X869:Y869"/>
    <mergeCell ref="Z869:AA869"/>
    <mergeCell ref="AB869:AC869"/>
    <mergeCell ref="B869:C869"/>
    <mergeCell ref="D869:E869"/>
    <mergeCell ref="F869:G869"/>
    <mergeCell ref="H869:I869"/>
    <mergeCell ref="J869:K869"/>
    <mergeCell ref="L869:M869"/>
    <mergeCell ref="N869:O869"/>
    <mergeCell ref="P869:Q869"/>
    <mergeCell ref="AL868:BB868"/>
    <mergeCell ref="AD868:AE868"/>
    <mergeCell ref="AF868:AG868"/>
    <mergeCell ref="AH868:AI868"/>
    <mergeCell ref="AJ868:AK868"/>
    <mergeCell ref="R868:S868"/>
    <mergeCell ref="T868:U868"/>
    <mergeCell ref="V868:W868"/>
    <mergeCell ref="X868:Y868"/>
    <mergeCell ref="Z868:AA868"/>
    <mergeCell ref="AB868:AC868"/>
    <mergeCell ref="B868:C868"/>
    <mergeCell ref="D868:E868"/>
    <mergeCell ref="F868:G868"/>
    <mergeCell ref="H868:I868"/>
    <mergeCell ref="J868:K868"/>
    <mergeCell ref="L868:M868"/>
    <mergeCell ref="N868:O868"/>
    <mergeCell ref="P868:Q868"/>
    <mergeCell ref="AL867:BB867"/>
    <mergeCell ref="AD867:AE867"/>
    <mergeCell ref="AF867:AG867"/>
    <mergeCell ref="AH867:AI867"/>
    <mergeCell ref="AJ867:AK867"/>
    <mergeCell ref="R867:S867"/>
    <mergeCell ref="T867:U867"/>
    <mergeCell ref="V867:W867"/>
    <mergeCell ref="X867:Y867"/>
    <mergeCell ref="Z867:AA867"/>
    <mergeCell ref="AB867:AC867"/>
    <mergeCell ref="B867:C867"/>
    <mergeCell ref="D867:E867"/>
    <mergeCell ref="F867:G867"/>
    <mergeCell ref="H867:I867"/>
    <mergeCell ref="J867:K867"/>
    <mergeCell ref="L867:M867"/>
    <mergeCell ref="N867:O867"/>
    <mergeCell ref="P867:Q867"/>
    <mergeCell ref="AL866:BB866"/>
    <mergeCell ref="AD866:AE866"/>
    <mergeCell ref="AF866:AG866"/>
    <mergeCell ref="AH866:AI866"/>
    <mergeCell ref="AJ866:AK866"/>
    <mergeCell ref="R866:S866"/>
    <mergeCell ref="T866:U866"/>
    <mergeCell ref="V866:W866"/>
    <mergeCell ref="X866:Y866"/>
    <mergeCell ref="Z866:AA866"/>
    <mergeCell ref="AB866:AC866"/>
    <mergeCell ref="B866:C866"/>
    <mergeCell ref="D866:E866"/>
    <mergeCell ref="F866:G866"/>
    <mergeCell ref="H866:I866"/>
    <mergeCell ref="J866:K866"/>
    <mergeCell ref="L866:M866"/>
    <mergeCell ref="N866:O866"/>
    <mergeCell ref="P866:Q866"/>
    <mergeCell ref="AL865:BB865"/>
    <mergeCell ref="AD865:AE865"/>
    <mergeCell ref="AF865:AG865"/>
    <mergeCell ref="AH865:AI865"/>
    <mergeCell ref="AJ865:AK865"/>
    <mergeCell ref="R865:S865"/>
    <mergeCell ref="T865:U865"/>
    <mergeCell ref="V865:W865"/>
    <mergeCell ref="X865:Y865"/>
    <mergeCell ref="Z865:AA865"/>
    <mergeCell ref="AB865:AC865"/>
    <mergeCell ref="B865:C865"/>
    <mergeCell ref="D865:E865"/>
    <mergeCell ref="F865:G865"/>
    <mergeCell ref="H865:I865"/>
    <mergeCell ref="J865:K865"/>
    <mergeCell ref="L865:M865"/>
    <mergeCell ref="N865:O865"/>
    <mergeCell ref="P865:Q865"/>
    <mergeCell ref="AL864:BB864"/>
    <mergeCell ref="AD864:AE864"/>
    <mergeCell ref="AF864:AG864"/>
    <mergeCell ref="AH864:AI864"/>
    <mergeCell ref="AJ864:AK864"/>
    <mergeCell ref="R864:S864"/>
    <mergeCell ref="T864:U864"/>
    <mergeCell ref="V864:W864"/>
    <mergeCell ref="X864:Y864"/>
    <mergeCell ref="Z864:AA864"/>
    <mergeCell ref="AB864:AC864"/>
    <mergeCell ref="B864:C864"/>
    <mergeCell ref="D864:E864"/>
    <mergeCell ref="F864:G864"/>
    <mergeCell ref="H864:I864"/>
    <mergeCell ref="J864:K864"/>
    <mergeCell ref="L864:M864"/>
    <mergeCell ref="N864:O864"/>
    <mergeCell ref="P864:Q864"/>
    <mergeCell ref="AL863:BB863"/>
    <mergeCell ref="AD863:AE863"/>
    <mergeCell ref="AF863:AG863"/>
    <mergeCell ref="AH863:AI863"/>
    <mergeCell ref="AJ863:AK863"/>
    <mergeCell ref="R863:S863"/>
    <mergeCell ref="T863:U863"/>
    <mergeCell ref="V863:W863"/>
    <mergeCell ref="X863:Y863"/>
    <mergeCell ref="Z863:AA863"/>
    <mergeCell ref="AB863:AC863"/>
    <mergeCell ref="B863:C863"/>
    <mergeCell ref="D863:E863"/>
    <mergeCell ref="F863:G863"/>
    <mergeCell ref="H863:I863"/>
    <mergeCell ref="J863:K863"/>
    <mergeCell ref="L863:M863"/>
    <mergeCell ref="N863:O863"/>
    <mergeCell ref="P863:Q863"/>
    <mergeCell ref="AL862:BB862"/>
    <mergeCell ref="AD862:AE862"/>
    <mergeCell ref="AF862:AG862"/>
    <mergeCell ref="AH862:AI862"/>
    <mergeCell ref="AJ862:AK862"/>
    <mergeCell ref="R862:S862"/>
    <mergeCell ref="T862:U862"/>
    <mergeCell ref="V862:W862"/>
    <mergeCell ref="X862:Y862"/>
    <mergeCell ref="Z862:AA862"/>
    <mergeCell ref="AB862:AC862"/>
    <mergeCell ref="B862:C862"/>
    <mergeCell ref="D862:E862"/>
    <mergeCell ref="F862:G862"/>
    <mergeCell ref="H862:I862"/>
    <mergeCell ref="J862:K862"/>
    <mergeCell ref="L862:M862"/>
    <mergeCell ref="N862:O862"/>
    <mergeCell ref="P862:Q862"/>
    <mergeCell ref="AL861:BB861"/>
    <mergeCell ref="AD861:AE861"/>
    <mergeCell ref="AF861:AG861"/>
    <mergeCell ref="AH861:AI861"/>
    <mergeCell ref="AJ861:AK861"/>
    <mergeCell ref="R861:S861"/>
    <mergeCell ref="T861:U861"/>
    <mergeCell ref="V861:W861"/>
    <mergeCell ref="X861:Y861"/>
    <mergeCell ref="Z861:AA861"/>
    <mergeCell ref="AB861:AC861"/>
    <mergeCell ref="B861:C861"/>
    <mergeCell ref="D861:E861"/>
    <mergeCell ref="F861:G861"/>
    <mergeCell ref="H861:I861"/>
    <mergeCell ref="J861:K861"/>
    <mergeCell ref="L861:M861"/>
    <mergeCell ref="N861:O861"/>
    <mergeCell ref="P861:Q861"/>
    <mergeCell ref="AL860:BB860"/>
    <mergeCell ref="AD860:AE860"/>
    <mergeCell ref="AF860:AG860"/>
    <mergeCell ref="AH860:AI860"/>
    <mergeCell ref="AJ860:AK860"/>
    <mergeCell ref="R860:S860"/>
    <mergeCell ref="T860:U860"/>
    <mergeCell ref="V860:W860"/>
    <mergeCell ref="X860:Y860"/>
    <mergeCell ref="Z860:AA860"/>
    <mergeCell ref="AB860:AC860"/>
    <mergeCell ref="B860:C860"/>
    <mergeCell ref="D860:E860"/>
    <mergeCell ref="F860:G860"/>
    <mergeCell ref="H860:I860"/>
    <mergeCell ref="J860:K860"/>
    <mergeCell ref="L860:M860"/>
    <mergeCell ref="N860:O860"/>
    <mergeCell ref="P860:Q860"/>
    <mergeCell ref="AL859:BB859"/>
    <mergeCell ref="AD859:AE859"/>
    <mergeCell ref="AF859:AG859"/>
    <mergeCell ref="AH859:AI859"/>
    <mergeCell ref="AJ859:AK859"/>
    <mergeCell ref="R859:S859"/>
    <mergeCell ref="T859:U859"/>
    <mergeCell ref="V859:W859"/>
    <mergeCell ref="X859:Y859"/>
    <mergeCell ref="Z859:AA859"/>
    <mergeCell ref="AB859:AC859"/>
    <mergeCell ref="B859:C859"/>
    <mergeCell ref="D859:E859"/>
    <mergeCell ref="F859:G859"/>
    <mergeCell ref="H859:I859"/>
    <mergeCell ref="J859:K859"/>
    <mergeCell ref="L859:M859"/>
    <mergeCell ref="N859:O859"/>
    <mergeCell ref="P859:Q859"/>
    <mergeCell ref="AL858:BB858"/>
    <mergeCell ref="AD858:AE858"/>
    <mergeCell ref="AF858:AG858"/>
    <mergeCell ref="AH858:AI858"/>
    <mergeCell ref="AJ858:AK858"/>
    <mergeCell ref="R858:S858"/>
    <mergeCell ref="T858:U858"/>
    <mergeCell ref="V858:W858"/>
    <mergeCell ref="X858:Y858"/>
    <mergeCell ref="Z858:AA858"/>
    <mergeCell ref="AB858:AC858"/>
    <mergeCell ref="B858:C858"/>
    <mergeCell ref="D858:E858"/>
    <mergeCell ref="F858:G858"/>
    <mergeCell ref="H858:I858"/>
    <mergeCell ref="J858:K858"/>
    <mergeCell ref="L858:M858"/>
    <mergeCell ref="N858:O858"/>
    <mergeCell ref="P858:Q858"/>
    <mergeCell ref="AL857:BB857"/>
    <mergeCell ref="AD857:AE857"/>
    <mergeCell ref="AF857:AG857"/>
    <mergeCell ref="AH857:AI857"/>
    <mergeCell ref="AJ857:AK857"/>
    <mergeCell ref="R857:S857"/>
    <mergeCell ref="T857:U857"/>
    <mergeCell ref="V857:W857"/>
    <mergeCell ref="X857:Y857"/>
    <mergeCell ref="Z857:AA857"/>
    <mergeCell ref="AB857:AC857"/>
    <mergeCell ref="B857:C857"/>
    <mergeCell ref="D857:E857"/>
    <mergeCell ref="F857:G857"/>
    <mergeCell ref="H857:I857"/>
    <mergeCell ref="J857:K857"/>
    <mergeCell ref="L857:M857"/>
    <mergeCell ref="N857:O857"/>
    <mergeCell ref="P857:Q857"/>
    <mergeCell ref="AL856:BB856"/>
    <mergeCell ref="AD856:AE856"/>
    <mergeCell ref="AF856:AG856"/>
    <mergeCell ref="AH856:AI856"/>
    <mergeCell ref="AJ856:AK856"/>
    <mergeCell ref="R856:S856"/>
    <mergeCell ref="T856:U856"/>
    <mergeCell ref="V856:W856"/>
    <mergeCell ref="X856:Y856"/>
    <mergeCell ref="Z856:AA856"/>
    <mergeCell ref="AB856:AC856"/>
    <mergeCell ref="B856:C856"/>
    <mergeCell ref="D856:E856"/>
    <mergeCell ref="F856:G856"/>
    <mergeCell ref="H856:I856"/>
    <mergeCell ref="J856:K856"/>
    <mergeCell ref="L856:M856"/>
    <mergeCell ref="N856:O856"/>
    <mergeCell ref="P856:Q856"/>
    <mergeCell ref="AL855:BB855"/>
    <mergeCell ref="AD855:AE855"/>
    <mergeCell ref="AF855:AG855"/>
    <mergeCell ref="AH855:AI855"/>
    <mergeCell ref="AJ855:AK855"/>
    <mergeCell ref="R855:S855"/>
    <mergeCell ref="T855:U855"/>
    <mergeCell ref="V855:W855"/>
    <mergeCell ref="X855:Y855"/>
    <mergeCell ref="Z855:AA855"/>
    <mergeCell ref="AB855:AC855"/>
    <mergeCell ref="B855:C855"/>
    <mergeCell ref="D855:E855"/>
    <mergeCell ref="F855:G855"/>
    <mergeCell ref="H855:I855"/>
    <mergeCell ref="J855:K855"/>
    <mergeCell ref="L855:M855"/>
    <mergeCell ref="N855:O855"/>
    <mergeCell ref="P855:Q855"/>
    <mergeCell ref="AL854:BB854"/>
    <mergeCell ref="AD854:AE854"/>
    <mergeCell ref="AF854:AG854"/>
    <mergeCell ref="AH854:AI854"/>
    <mergeCell ref="AJ854:AK854"/>
    <mergeCell ref="R854:S854"/>
    <mergeCell ref="T854:U854"/>
    <mergeCell ref="V854:W854"/>
    <mergeCell ref="X854:Y854"/>
    <mergeCell ref="Z854:AA854"/>
    <mergeCell ref="AB854:AC854"/>
    <mergeCell ref="B854:C854"/>
    <mergeCell ref="D854:E854"/>
    <mergeCell ref="F854:G854"/>
    <mergeCell ref="H854:I854"/>
    <mergeCell ref="J854:K854"/>
    <mergeCell ref="L854:M854"/>
    <mergeCell ref="N854:O854"/>
    <mergeCell ref="P854:Q854"/>
    <mergeCell ref="AL853:BB853"/>
    <mergeCell ref="AD853:AE853"/>
    <mergeCell ref="AF853:AG853"/>
    <mergeCell ref="AH853:AI853"/>
    <mergeCell ref="AJ853:AK853"/>
    <mergeCell ref="R853:S853"/>
    <mergeCell ref="T853:U853"/>
    <mergeCell ref="V853:W853"/>
    <mergeCell ref="X853:Y853"/>
    <mergeCell ref="Z853:AA853"/>
    <mergeCell ref="AB853:AC853"/>
    <mergeCell ref="B853:C853"/>
    <mergeCell ref="D853:E853"/>
    <mergeCell ref="F853:G853"/>
    <mergeCell ref="H853:I853"/>
    <mergeCell ref="J853:K853"/>
    <mergeCell ref="L853:M853"/>
    <mergeCell ref="N853:O853"/>
    <mergeCell ref="P853:Q853"/>
    <mergeCell ref="AL852:BB852"/>
    <mergeCell ref="AD852:AE852"/>
    <mergeCell ref="AF852:AG852"/>
    <mergeCell ref="AH852:AI852"/>
    <mergeCell ref="AJ852:AK852"/>
    <mergeCell ref="R852:S852"/>
    <mergeCell ref="T852:U852"/>
    <mergeCell ref="V852:W852"/>
    <mergeCell ref="X852:Y852"/>
    <mergeCell ref="Z852:AA852"/>
    <mergeCell ref="AB852:AC852"/>
    <mergeCell ref="B852:C852"/>
    <mergeCell ref="D852:E852"/>
    <mergeCell ref="F852:G852"/>
    <mergeCell ref="H852:I852"/>
    <mergeCell ref="J852:K852"/>
    <mergeCell ref="L852:M852"/>
    <mergeCell ref="N852:O852"/>
    <mergeCell ref="P852:Q852"/>
    <mergeCell ref="AL851:BB851"/>
    <mergeCell ref="AD851:AE851"/>
    <mergeCell ref="AF851:AG851"/>
    <mergeCell ref="AH851:AI851"/>
    <mergeCell ref="AJ851:AK851"/>
    <mergeCell ref="R851:S851"/>
    <mergeCell ref="T851:U851"/>
    <mergeCell ref="V851:W851"/>
    <mergeCell ref="X851:Y851"/>
    <mergeCell ref="Z851:AA851"/>
    <mergeCell ref="AB851:AC851"/>
    <mergeCell ref="B851:C851"/>
    <mergeCell ref="D851:E851"/>
    <mergeCell ref="F851:G851"/>
    <mergeCell ref="H851:I851"/>
    <mergeCell ref="J851:K851"/>
    <mergeCell ref="L851:M851"/>
    <mergeCell ref="N851:O851"/>
    <mergeCell ref="P851:Q851"/>
    <mergeCell ref="AL850:BB850"/>
    <mergeCell ref="AD850:AE850"/>
    <mergeCell ref="AF850:AG850"/>
    <mergeCell ref="AH850:AI850"/>
    <mergeCell ref="AJ850:AK850"/>
    <mergeCell ref="R850:S850"/>
    <mergeCell ref="T850:U850"/>
    <mergeCell ref="V850:W850"/>
    <mergeCell ref="X850:Y850"/>
    <mergeCell ref="Z850:AA850"/>
    <mergeCell ref="AB850:AC850"/>
    <mergeCell ref="B850:C850"/>
    <mergeCell ref="D850:E850"/>
    <mergeCell ref="F850:G850"/>
    <mergeCell ref="H850:I850"/>
    <mergeCell ref="J850:K850"/>
    <mergeCell ref="L850:M850"/>
    <mergeCell ref="N850:O850"/>
    <mergeCell ref="P850:Q850"/>
    <mergeCell ref="AL849:BB849"/>
    <mergeCell ref="AD849:AE849"/>
    <mergeCell ref="AF849:AG849"/>
    <mergeCell ref="AH849:AI849"/>
    <mergeCell ref="AJ849:AK849"/>
    <mergeCell ref="R849:S849"/>
    <mergeCell ref="T849:U849"/>
    <mergeCell ref="V849:W849"/>
    <mergeCell ref="X849:Y849"/>
    <mergeCell ref="Z849:AA849"/>
    <mergeCell ref="AB849:AC849"/>
    <mergeCell ref="B849:C849"/>
    <mergeCell ref="D849:E849"/>
    <mergeCell ref="F849:G849"/>
    <mergeCell ref="H849:I849"/>
    <mergeCell ref="J849:K849"/>
    <mergeCell ref="L849:M849"/>
    <mergeCell ref="N849:O849"/>
    <mergeCell ref="P849:Q849"/>
    <mergeCell ref="AL848:BB848"/>
    <mergeCell ref="AD848:AE848"/>
    <mergeCell ref="AF848:AG848"/>
    <mergeCell ref="AH848:AI848"/>
    <mergeCell ref="AJ848:AK848"/>
    <mergeCell ref="R848:S848"/>
    <mergeCell ref="T848:U848"/>
    <mergeCell ref="V848:W848"/>
    <mergeCell ref="X848:Y848"/>
    <mergeCell ref="Z848:AA848"/>
    <mergeCell ref="AB848:AC848"/>
    <mergeCell ref="B848:C848"/>
    <mergeCell ref="D848:E848"/>
    <mergeCell ref="F848:G848"/>
    <mergeCell ref="H848:I848"/>
    <mergeCell ref="J848:K848"/>
    <mergeCell ref="L848:M848"/>
    <mergeCell ref="N848:O848"/>
    <mergeCell ref="P848:Q848"/>
    <mergeCell ref="AL847:BB847"/>
    <mergeCell ref="AD847:AE847"/>
    <mergeCell ref="AF847:AG847"/>
    <mergeCell ref="AH847:AI847"/>
    <mergeCell ref="AJ847:AK847"/>
    <mergeCell ref="R847:S847"/>
    <mergeCell ref="T847:U847"/>
    <mergeCell ref="V847:W847"/>
    <mergeCell ref="X847:Y847"/>
    <mergeCell ref="Z847:AA847"/>
    <mergeCell ref="AB847:AC847"/>
    <mergeCell ref="B847:C847"/>
    <mergeCell ref="D847:E847"/>
    <mergeCell ref="F847:G847"/>
    <mergeCell ref="H847:I847"/>
    <mergeCell ref="J847:K847"/>
    <mergeCell ref="L847:M847"/>
    <mergeCell ref="N847:O847"/>
    <mergeCell ref="P847:Q847"/>
    <mergeCell ref="AL846:BB846"/>
    <mergeCell ref="AD846:AE846"/>
    <mergeCell ref="AF846:AG846"/>
    <mergeCell ref="AH846:AI846"/>
    <mergeCell ref="AJ846:AK846"/>
    <mergeCell ref="R846:S846"/>
    <mergeCell ref="T846:U846"/>
    <mergeCell ref="V846:W846"/>
    <mergeCell ref="X846:Y846"/>
    <mergeCell ref="Z846:AA846"/>
    <mergeCell ref="AB846:AC846"/>
    <mergeCell ref="B846:C846"/>
    <mergeCell ref="D846:E846"/>
    <mergeCell ref="F846:G846"/>
    <mergeCell ref="H846:I846"/>
    <mergeCell ref="J846:K846"/>
    <mergeCell ref="L846:M846"/>
    <mergeCell ref="N846:O846"/>
    <mergeCell ref="P846:Q846"/>
    <mergeCell ref="AL845:BB845"/>
    <mergeCell ref="AD845:AE845"/>
    <mergeCell ref="AF845:AG845"/>
    <mergeCell ref="AH845:AI845"/>
    <mergeCell ref="AJ845:AK845"/>
    <mergeCell ref="R845:S845"/>
    <mergeCell ref="T845:U845"/>
    <mergeCell ref="V845:W845"/>
    <mergeCell ref="X845:Y845"/>
    <mergeCell ref="Z845:AA845"/>
    <mergeCell ref="AB845:AC845"/>
    <mergeCell ref="B845:C845"/>
    <mergeCell ref="D845:E845"/>
    <mergeCell ref="F845:G845"/>
    <mergeCell ref="H845:I845"/>
    <mergeCell ref="J845:K845"/>
    <mergeCell ref="L845:M845"/>
    <mergeCell ref="N845:O845"/>
    <mergeCell ref="P845:Q845"/>
    <mergeCell ref="AL844:BB844"/>
    <mergeCell ref="AD844:AE844"/>
    <mergeCell ref="AF844:AG844"/>
    <mergeCell ref="AH844:AI844"/>
    <mergeCell ref="AJ844:AK844"/>
    <mergeCell ref="R844:S844"/>
    <mergeCell ref="T844:U844"/>
    <mergeCell ref="V844:W844"/>
    <mergeCell ref="X844:Y844"/>
    <mergeCell ref="Z844:AA844"/>
    <mergeCell ref="AB844:AC844"/>
    <mergeCell ref="B844:C844"/>
    <mergeCell ref="D844:E844"/>
    <mergeCell ref="F844:G844"/>
    <mergeCell ref="H844:I844"/>
    <mergeCell ref="J844:K844"/>
    <mergeCell ref="L844:M844"/>
    <mergeCell ref="N844:O844"/>
    <mergeCell ref="P844:Q844"/>
    <mergeCell ref="AL843:BB843"/>
    <mergeCell ref="AD843:AE843"/>
    <mergeCell ref="AF843:AG843"/>
    <mergeCell ref="AH843:AI843"/>
    <mergeCell ref="AJ843:AK843"/>
    <mergeCell ref="R843:S843"/>
    <mergeCell ref="T843:U843"/>
    <mergeCell ref="V843:W843"/>
    <mergeCell ref="X843:Y843"/>
    <mergeCell ref="Z843:AA843"/>
    <mergeCell ref="AB843:AC843"/>
    <mergeCell ref="B843:C843"/>
    <mergeCell ref="D843:E843"/>
    <mergeCell ref="F843:G843"/>
    <mergeCell ref="H843:I843"/>
    <mergeCell ref="J843:K843"/>
    <mergeCell ref="L843:M843"/>
    <mergeCell ref="N843:O843"/>
    <mergeCell ref="P843:Q843"/>
    <mergeCell ref="AL842:BB842"/>
    <mergeCell ref="AD842:AE842"/>
    <mergeCell ref="AF842:AG842"/>
    <mergeCell ref="AH842:AI842"/>
    <mergeCell ref="AJ842:AK842"/>
    <mergeCell ref="R842:S842"/>
    <mergeCell ref="T842:U842"/>
    <mergeCell ref="V842:W842"/>
    <mergeCell ref="X842:Y842"/>
    <mergeCell ref="Z842:AA842"/>
    <mergeCell ref="AB842:AC842"/>
    <mergeCell ref="B842:C842"/>
    <mergeCell ref="D842:E842"/>
    <mergeCell ref="F842:G842"/>
    <mergeCell ref="H842:I842"/>
    <mergeCell ref="J842:K842"/>
    <mergeCell ref="L842:M842"/>
    <mergeCell ref="N842:O842"/>
    <mergeCell ref="P842:Q842"/>
    <mergeCell ref="AL841:BB841"/>
    <mergeCell ref="AD841:AE841"/>
    <mergeCell ref="AF841:AG841"/>
    <mergeCell ref="AH841:AI841"/>
    <mergeCell ref="AJ841:AK841"/>
    <mergeCell ref="R841:S841"/>
    <mergeCell ref="T841:U841"/>
    <mergeCell ref="V841:W841"/>
    <mergeCell ref="X841:Y841"/>
    <mergeCell ref="Z841:AA841"/>
    <mergeCell ref="AB841:AC841"/>
    <mergeCell ref="B841:C841"/>
    <mergeCell ref="D841:E841"/>
    <mergeCell ref="F841:G841"/>
    <mergeCell ref="H841:I841"/>
    <mergeCell ref="J841:K841"/>
    <mergeCell ref="L841:M841"/>
    <mergeCell ref="N841:O841"/>
    <mergeCell ref="P841:Q841"/>
    <mergeCell ref="AL840:BB840"/>
    <mergeCell ref="AD840:AE840"/>
    <mergeCell ref="AF840:AG840"/>
    <mergeCell ref="AH840:AI840"/>
    <mergeCell ref="AJ840:AK840"/>
    <mergeCell ref="R840:S840"/>
    <mergeCell ref="T840:U840"/>
    <mergeCell ref="V840:W840"/>
    <mergeCell ref="X840:Y840"/>
    <mergeCell ref="Z840:AA840"/>
    <mergeCell ref="AB840:AC840"/>
    <mergeCell ref="B840:C840"/>
    <mergeCell ref="D840:E840"/>
    <mergeCell ref="F840:G840"/>
    <mergeCell ref="H840:I840"/>
    <mergeCell ref="J840:K840"/>
    <mergeCell ref="L840:M840"/>
    <mergeCell ref="N840:O840"/>
    <mergeCell ref="P840:Q840"/>
    <mergeCell ref="AL839:BB839"/>
    <mergeCell ref="AD839:AE839"/>
    <mergeCell ref="AF839:AG839"/>
    <mergeCell ref="AH839:AI839"/>
    <mergeCell ref="AJ839:AK839"/>
    <mergeCell ref="R839:S839"/>
    <mergeCell ref="T839:U839"/>
    <mergeCell ref="V839:W839"/>
    <mergeCell ref="X839:Y839"/>
    <mergeCell ref="Z839:AA839"/>
    <mergeCell ref="AB839:AC839"/>
    <mergeCell ref="B839:C839"/>
    <mergeCell ref="D839:E839"/>
    <mergeCell ref="F839:G839"/>
    <mergeCell ref="H839:I839"/>
    <mergeCell ref="J839:K839"/>
    <mergeCell ref="L839:M839"/>
    <mergeCell ref="N839:O839"/>
    <mergeCell ref="P839:Q839"/>
    <mergeCell ref="AL838:BB838"/>
    <mergeCell ref="AD838:AE838"/>
    <mergeCell ref="AF838:AG838"/>
    <mergeCell ref="AH838:AI838"/>
    <mergeCell ref="AJ838:AK838"/>
    <mergeCell ref="R838:S838"/>
    <mergeCell ref="T838:U838"/>
    <mergeCell ref="V838:W838"/>
    <mergeCell ref="X838:Y838"/>
    <mergeCell ref="Z838:AA838"/>
    <mergeCell ref="AB838:AC838"/>
    <mergeCell ref="B838:C838"/>
    <mergeCell ref="D838:E838"/>
    <mergeCell ref="F838:G838"/>
    <mergeCell ref="H838:I838"/>
    <mergeCell ref="J838:K838"/>
    <mergeCell ref="L838:M838"/>
    <mergeCell ref="N838:O838"/>
    <mergeCell ref="P838:Q838"/>
    <mergeCell ref="AL837:BB837"/>
    <mergeCell ref="AD837:AE837"/>
    <mergeCell ref="AF837:AG837"/>
    <mergeCell ref="AH837:AI837"/>
    <mergeCell ref="AJ837:AK837"/>
    <mergeCell ref="R837:S837"/>
    <mergeCell ref="T837:U837"/>
    <mergeCell ref="V837:W837"/>
    <mergeCell ref="X837:Y837"/>
    <mergeCell ref="Z837:AA837"/>
    <mergeCell ref="AB837:AC837"/>
    <mergeCell ref="B837:C837"/>
    <mergeCell ref="D837:E837"/>
    <mergeCell ref="F837:G837"/>
    <mergeCell ref="H837:I837"/>
    <mergeCell ref="J837:K837"/>
    <mergeCell ref="L837:M837"/>
    <mergeCell ref="N837:O837"/>
    <mergeCell ref="P837:Q837"/>
    <mergeCell ref="AL836:BB836"/>
    <mergeCell ref="AD836:AE836"/>
    <mergeCell ref="AF836:AG836"/>
    <mergeCell ref="AH836:AI836"/>
    <mergeCell ref="AJ836:AK836"/>
    <mergeCell ref="R836:S836"/>
    <mergeCell ref="T836:U836"/>
    <mergeCell ref="V836:W836"/>
    <mergeCell ref="X836:Y836"/>
    <mergeCell ref="Z836:AA836"/>
    <mergeCell ref="AB836:AC836"/>
    <mergeCell ref="B836:C836"/>
    <mergeCell ref="D836:E836"/>
    <mergeCell ref="F836:G836"/>
    <mergeCell ref="H836:I836"/>
    <mergeCell ref="J836:K836"/>
    <mergeCell ref="L836:M836"/>
    <mergeCell ref="N836:O836"/>
    <mergeCell ref="P836:Q836"/>
    <mergeCell ref="AL835:BB835"/>
    <mergeCell ref="AD835:AE835"/>
    <mergeCell ref="AF835:AG835"/>
    <mergeCell ref="AH835:AI835"/>
    <mergeCell ref="AJ835:AK835"/>
    <mergeCell ref="R835:S835"/>
    <mergeCell ref="T835:U835"/>
    <mergeCell ref="V835:W835"/>
    <mergeCell ref="X835:Y835"/>
    <mergeCell ref="Z835:AA835"/>
    <mergeCell ref="AB835:AC835"/>
    <mergeCell ref="B835:C835"/>
    <mergeCell ref="D835:E835"/>
    <mergeCell ref="F835:G835"/>
    <mergeCell ref="H835:I835"/>
    <mergeCell ref="J835:K835"/>
    <mergeCell ref="L835:M835"/>
    <mergeCell ref="N835:O835"/>
    <mergeCell ref="P835:Q835"/>
    <mergeCell ref="AL834:BB834"/>
    <mergeCell ref="AD834:AE834"/>
    <mergeCell ref="AF834:AG834"/>
    <mergeCell ref="AH834:AI834"/>
    <mergeCell ref="AJ834:AK834"/>
    <mergeCell ref="R834:S834"/>
    <mergeCell ref="T834:U834"/>
    <mergeCell ref="V834:W834"/>
    <mergeCell ref="X834:Y834"/>
    <mergeCell ref="Z834:AA834"/>
    <mergeCell ref="AB834:AC834"/>
    <mergeCell ref="B834:C834"/>
    <mergeCell ref="D834:E834"/>
    <mergeCell ref="F834:G834"/>
    <mergeCell ref="H834:I834"/>
    <mergeCell ref="J834:K834"/>
    <mergeCell ref="L834:M834"/>
    <mergeCell ref="N834:O834"/>
    <mergeCell ref="P834:Q834"/>
    <mergeCell ref="AL833:BB833"/>
    <mergeCell ref="AD833:AE833"/>
    <mergeCell ref="AF833:AG833"/>
    <mergeCell ref="AH833:AI833"/>
    <mergeCell ref="AJ833:AK833"/>
    <mergeCell ref="R833:S833"/>
    <mergeCell ref="T833:U833"/>
    <mergeCell ref="V833:W833"/>
    <mergeCell ref="X833:Y833"/>
    <mergeCell ref="Z833:AA833"/>
    <mergeCell ref="AB833:AC833"/>
    <mergeCell ref="B833:C833"/>
    <mergeCell ref="D833:E833"/>
    <mergeCell ref="F833:G833"/>
    <mergeCell ref="H833:I833"/>
    <mergeCell ref="J833:K833"/>
    <mergeCell ref="L833:M833"/>
    <mergeCell ref="N833:O833"/>
    <mergeCell ref="P833:Q833"/>
    <mergeCell ref="AL832:BB832"/>
    <mergeCell ref="AD832:AE832"/>
    <mergeCell ref="AF832:AG832"/>
    <mergeCell ref="AH832:AI832"/>
    <mergeCell ref="AJ832:AK832"/>
    <mergeCell ref="R832:S832"/>
    <mergeCell ref="T832:U832"/>
    <mergeCell ref="V832:W832"/>
    <mergeCell ref="X832:Y832"/>
    <mergeCell ref="Z832:AA832"/>
    <mergeCell ref="AB832:AC832"/>
    <mergeCell ref="B832:C832"/>
    <mergeCell ref="D832:E832"/>
    <mergeCell ref="F832:G832"/>
    <mergeCell ref="H832:I832"/>
    <mergeCell ref="J832:K832"/>
    <mergeCell ref="L832:M832"/>
    <mergeCell ref="N832:O832"/>
    <mergeCell ref="P832:Q832"/>
    <mergeCell ref="AL831:BB831"/>
    <mergeCell ref="AD831:AE831"/>
    <mergeCell ref="AF831:AG831"/>
    <mergeCell ref="AH831:AI831"/>
    <mergeCell ref="AJ831:AK831"/>
    <mergeCell ref="R831:S831"/>
    <mergeCell ref="T831:U831"/>
    <mergeCell ref="V831:W831"/>
    <mergeCell ref="X831:Y831"/>
    <mergeCell ref="Z831:AA831"/>
    <mergeCell ref="AB831:AC831"/>
    <mergeCell ref="B831:C831"/>
    <mergeCell ref="D831:E831"/>
    <mergeCell ref="F831:G831"/>
    <mergeCell ref="H831:I831"/>
    <mergeCell ref="J831:K831"/>
    <mergeCell ref="L831:M831"/>
    <mergeCell ref="N831:O831"/>
    <mergeCell ref="P831:Q831"/>
    <mergeCell ref="AL830:BB830"/>
    <mergeCell ref="AD830:AE830"/>
    <mergeCell ref="AF830:AG830"/>
    <mergeCell ref="AH830:AI830"/>
    <mergeCell ref="AJ830:AK830"/>
    <mergeCell ref="R830:S830"/>
    <mergeCell ref="T830:U830"/>
    <mergeCell ref="V830:W830"/>
    <mergeCell ref="X830:Y830"/>
    <mergeCell ref="Z830:AA830"/>
    <mergeCell ref="AB830:AC830"/>
    <mergeCell ref="B830:C830"/>
    <mergeCell ref="D830:E830"/>
    <mergeCell ref="F830:G830"/>
    <mergeCell ref="H830:I830"/>
    <mergeCell ref="J830:K830"/>
    <mergeCell ref="L830:M830"/>
    <mergeCell ref="N830:O830"/>
    <mergeCell ref="P830:Q830"/>
    <mergeCell ref="AL829:BB829"/>
    <mergeCell ref="AD829:AE829"/>
    <mergeCell ref="AF829:AG829"/>
    <mergeCell ref="AH829:AI829"/>
    <mergeCell ref="AJ829:AK829"/>
    <mergeCell ref="R829:S829"/>
    <mergeCell ref="T829:U829"/>
    <mergeCell ref="V829:W829"/>
    <mergeCell ref="X829:Y829"/>
    <mergeCell ref="Z829:AA829"/>
    <mergeCell ref="AB829:AC829"/>
    <mergeCell ref="B829:C829"/>
    <mergeCell ref="D829:E829"/>
    <mergeCell ref="F829:G829"/>
    <mergeCell ref="H829:I829"/>
    <mergeCell ref="J829:K829"/>
    <mergeCell ref="L829:M829"/>
    <mergeCell ref="N829:O829"/>
    <mergeCell ref="P829:Q829"/>
    <mergeCell ref="AL828:BB828"/>
    <mergeCell ref="AD828:AE828"/>
    <mergeCell ref="AF828:AG828"/>
    <mergeCell ref="AH828:AI828"/>
    <mergeCell ref="AJ828:AK828"/>
    <mergeCell ref="R828:S828"/>
    <mergeCell ref="T828:U828"/>
    <mergeCell ref="V828:W828"/>
    <mergeCell ref="X828:Y828"/>
    <mergeCell ref="Z828:AA828"/>
    <mergeCell ref="AB828:AC828"/>
    <mergeCell ref="B828:C828"/>
    <mergeCell ref="D828:E828"/>
    <mergeCell ref="F828:G828"/>
    <mergeCell ref="H828:I828"/>
    <mergeCell ref="J828:K828"/>
    <mergeCell ref="L828:M828"/>
    <mergeCell ref="N828:O828"/>
    <mergeCell ref="P828:Q828"/>
    <mergeCell ref="AL827:BB827"/>
    <mergeCell ref="AD827:AE827"/>
    <mergeCell ref="AF827:AG827"/>
    <mergeCell ref="AH827:AI827"/>
    <mergeCell ref="AJ827:AK827"/>
    <mergeCell ref="R827:S827"/>
    <mergeCell ref="T827:U827"/>
    <mergeCell ref="V827:W827"/>
    <mergeCell ref="X827:Y827"/>
    <mergeCell ref="Z827:AA827"/>
    <mergeCell ref="AB827:AC827"/>
    <mergeCell ref="B827:C827"/>
    <mergeCell ref="D827:E827"/>
    <mergeCell ref="F827:G827"/>
    <mergeCell ref="H827:I827"/>
    <mergeCell ref="J827:K827"/>
    <mergeCell ref="L827:M827"/>
    <mergeCell ref="N827:O827"/>
    <mergeCell ref="P827:Q827"/>
    <mergeCell ref="AL826:BB826"/>
    <mergeCell ref="Z826:AA826"/>
    <mergeCell ref="AB826:AC826"/>
    <mergeCell ref="AD826:AE826"/>
    <mergeCell ref="AF826:AG826"/>
    <mergeCell ref="AH826:AI826"/>
    <mergeCell ref="AJ826:AK826"/>
    <mergeCell ref="N826:O826"/>
    <mergeCell ref="P826:Q826"/>
    <mergeCell ref="R826:S826"/>
    <mergeCell ref="T826:U826"/>
    <mergeCell ref="V826:W826"/>
    <mergeCell ref="X826:Y826"/>
    <mergeCell ref="B826:C826"/>
    <mergeCell ref="D826:E826"/>
    <mergeCell ref="F826:G826"/>
    <mergeCell ref="H826:I826"/>
    <mergeCell ref="J826:K826"/>
    <mergeCell ref="L826:M826"/>
    <mergeCell ref="AL825:BB825"/>
    <mergeCell ref="AD825:AE825"/>
    <mergeCell ref="AF825:AG825"/>
    <mergeCell ref="AH825:AI825"/>
    <mergeCell ref="AJ825:AK825"/>
    <mergeCell ref="R825:S825"/>
    <mergeCell ref="T825:U825"/>
    <mergeCell ref="V825:W825"/>
    <mergeCell ref="X825:Y825"/>
    <mergeCell ref="Z825:AA825"/>
    <mergeCell ref="AB825:AC825"/>
    <mergeCell ref="B825:C825"/>
    <mergeCell ref="D825:E825"/>
    <mergeCell ref="F825:G825"/>
    <mergeCell ref="H825:I825"/>
    <mergeCell ref="J825:K825"/>
    <mergeCell ref="L825:M825"/>
    <mergeCell ref="N825:O825"/>
    <mergeCell ref="P825:Q825"/>
    <mergeCell ref="AL824:BB824"/>
    <mergeCell ref="Z824:AA824"/>
    <mergeCell ref="AB824:AC824"/>
    <mergeCell ref="AD824:AE824"/>
    <mergeCell ref="AF824:AG824"/>
    <mergeCell ref="AH824:AI824"/>
    <mergeCell ref="AJ824:AK824"/>
    <mergeCell ref="N824:O824"/>
    <mergeCell ref="P824:Q824"/>
    <mergeCell ref="R824:S824"/>
    <mergeCell ref="T824:U824"/>
    <mergeCell ref="V824:W824"/>
    <mergeCell ref="X824:Y824"/>
    <mergeCell ref="B824:C824"/>
    <mergeCell ref="D824:E824"/>
    <mergeCell ref="F824:G824"/>
    <mergeCell ref="H824:I824"/>
    <mergeCell ref="J824:K824"/>
    <mergeCell ref="L824:M824"/>
    <mergeCell ref="AL823:BB823"/>
    <mergeCell ref="AD823:AE823"/>
    <mergeCell ref="AF823:AG823"/>
    <mergeCell ref="AH823:AI823"/>
    <mergeCell ref="AJ823:AK823"/>
    <mergeCell ref="R823:S823"/>
    <mergeCell ref="T823:U823"/>
    <mergeCell ref="V823:W823"/>
    <mergeCell ref="X823:Y823"/>
    <mergeCell ref="Z823:AA823"/>
    <mergeCell ref="AB823:AC823"/>
    <mergeCell ref="B823:C823"/>
    <mergeCell ref="D823:E823"/>
    <mergeCell ref="F823:G823"/>
    <mergeCell ref="H823:I823"/>
    <mergeCell ref="J823:K823"/>
    <mergeCell ref="L823:M823"/>
    <mergeCell ref="N823:O823"/>
    <mergeCell ref="P823:Q823"/>
    <mergeCell ref="AL822:BB822"/>
    <mergeCell ref="Z822:AA822"/>
    <mergeCell ref="AB822:AC822"/>
    <mergeCell ref="AD822:AE822"/>
    <mergeCell ref="AF822:AG822"/>
    <mergeCell ref="AH822:AI822"/>
    <mergeCell ref="AJ822:AK822"/>
    <mergeCell ref="N822:O822"/>
    <mergeCell ref="P822:Q822"/>
    <mergeCell ref="R822:S822"/>
    <mergeCell ref="T822:U822"/>
    <mergeCell ref="V822:W822"/>
    <mergeCell ref="X822:Y822"/>
    <mergeCell ref="B822:C822"/>
    <mergeCell ref="D822:E822"/>
    <mergeCell ref="F822:G822"/>
    <mergeCell ref="H822:I822"/>
    <mergeCell ref="J822:K822"/>
    <mergeCell ref="L822:M822"/>
    <mergeCell ref="AL821:BB821"/>
    <mergeCell ref="AD821:AE821"/>
    <mergeCell ref="AF821:AG821"/>
    <mergeCell ref="AH821:AI821"/>
    <mergeCell ref="AJ821:AK821"/>
    <mergeCell ref="R821:S821"/>
    <mergeCell ref="T821:U821"/>
    <mergeCell ref="V821:W821"/>
    <mergeCell ref="X821:Y821"/>
    <mergeCell ref="Z821:AA821"/>
    <mergeCell ref="AB821:AC821"/>
    <mergeCell ref="B821:C821"/>
    <mergeCell ref="D821:E821"/>
    <mergeCell ref="F821:G821"/>
    <mergeCell ref="H821:I821"/>
    <mergeCell ref="J821:K821"/>
    <mergeCell ref="L821:M821"/>
    <mergeCell ref="N821:O821"/>
    <mergeCell ref="P821:Q821"/>
    <mergeCell ref="AL820:BB820"/>
    <mergeCell ref="Z820:AA820"/>
    <mergeCell ref="AB820:AC820"/>
    <mergeCell ref="AD820:AE820"/>
    <mergeCell ref="AF820:AG820"/>
    <mergeCell ref="AH820:AI820"/>
    <mergeCell ref="AJ820:AK820"/>
    <mergeCell ref="N820:O820"/>
    <mergeCell ref="P820:Q820"/>
    <mergeCell ref="R820:S820"/>
    <mergeCell ref="T820:U820"/>
    <mergeCell ref="V820:W820"/>
    <mergeCell ref="X820:Y820"/>
    <mergeCell ref="B820:C820"/>
    <mergeCell ref="D820:E820"/>
    <mergeCell ref="F820:G820"/>
    <mergeCell ref="H820:I820"/>
    <mergeCell ref="J820:K820"/>
    <mergeCell ref="L820:M820"/>
    <mergeCell ref="AL819:BB819"/>
    <mergeCell ref="AD819:AE819"/>
    <mergeCell ref="AF819:AG819"/>
    <mergeCell ref="AH819:AI819"/>
    <mergeCell ref="AJ819:AK819"/>
    <mergeCell ref="R819:S819"/>
    <mergeCell ref="T819:U819"/>
    <mergeCell ref="V819:W819"/>
    <mergeCell ref="X819:Y819"/>
    <mergeCell ref="Z819:AA819"/>
    <mergeCell ref="AB819:AC819"/>
    <mergeCell ref="B819:C819"/>
    <mergeCell ref="D819:E819"/>
    <mergeCell ref="F819:G819"/>
    <mergeCell ref="H819:I819"/>
    <mergeCell ref="J819:K819"/>
    <mergeCell ref="L819:M819"/>
    <mergeCell ref="N819:O819"/>
    <mergeCell ref="P819:Q819"/>
    <mergeCell ref="AL818:BB818"/>
    <mergeCell ref="Z818:AA818"/>
    <mergeCell ref="AB818:AC818"/>
    <mergeCell ref="AD818:AE818"/>
    <mergeCell ref="AF818:AG818"/>
    <mergeCell ref="AH818:AI818"/>
    <mergeCell ref="AJ818:AK818"/>
    <mergeCell ref="N818:O818"/>
    <mergeCell ref="P818:Q818"/>
    <mergeCell ref="R818:S818"/>
    <mergeCell ref="T818:U818"/>
    <mergeCell ref="V818:W818"/>
    <mergeCell ref="X818:Y818"/>
    <mergeCell ref="B818:C818"/>
    <mergeCell ref="D818:E818"/>
    <mergeCell ref="F818:G818"/>
    <mergeCell ref="H818:I818"/>
    <mergeCell ref="J818:K818"/>
    <mergeCell ref="L818:M818"/>
    <mergeCell ref="AL817:BB817"/>
    <mergeCell ref="Z817:AA817"/>
    <mergeCell ref="AB817:AC817"/>
    <mergeCell ref="AD817:AE817"/>
    <mergeCell ref="AF817:AG817"/>
    <mergeCell ref="AH817:AI817"/>
    <mergeCell ref="AJ817:AK817"/>
    <mergeCell ref="N817:O817"/>
    <mergeCell ref="P817:Q817"/>
    <mergeCell ref="R817:S817"/>
    <mergeCell ref="T817:U817"/>
    <mergeCell ref="V817:W817"/>
    <mergeCell ref="X817:Y817"/>
    <mergeCell ref="B817:C817"/>
    <mergeCell ref="D817:E817"/>
    <mergeCell ref="F817:G817"/>
    <mergeCell ref="H817:I817"/>
    <mergeCell ref="J817:K817"/>
    <mergeCell ref="L817:M817"/>
    <mergeCell ref="AL816:BB816"/>
    <mergeCell ref="Z816:AA816"/>
    <mergeCell ref="AB816:AC816"/>
    <mergeCell ref="AD816:AE816"/>
    <mergeCell ref="AF816:AG816"/>
    <mergeCell ref="AH816:AI816"/>
    <mergeCell ref="AJ816:AK816"/>
    <mergeCell ref="N816:O816"/>
    <mergeCell ref="P816:Q816"/>
    <mergeCell ref="R816:S816"/>
    <mergeCell ref="T816:U816"/>
    <mergeCell ref="V816:W816"/>
    <mergeCell ref="X816:Y816"/>
    <mergeCell ref="B816:C816"/>
    <mergeCell ref="D816:E816"/>
    <mergeCell ref="F816:G816"/>
    <mergeCell ref="H816:I816"/>
    <mergeCell ref="J816:K816"/>
    <mergeCell ref="L816:M816"/>
    <mergeCell ref="AL815:BB815"/>
    <mergeCell ref="AD815:AE815"/>
    <mergeCell ref="AF815:AG815"/>
    <mergeCell ref="AH815:AI815"/>
    <mergeCell ref="AJ815:AK815"/>
    <mergeCell ref="R815:S815"/>
    <mergeCell ref="T815:U815"/>
    <mergeCell ref="V815:W815"/>
    <mergeCell ref="X815:Y815"/>
    <mergeCell ref="Z815:AA815"/>
    <mergeCell ref="AB815:AC815"/>
    <mergeCell ref="B815:C815"/>
    <mergeCell ref="D815:E815"/>
    <mergeCell ref="F815:G815"/>
    <mergeCell ref="H815:I815"/>
    <mergeCell ref="J815:K815"/>
    <mergeCell ref="L815:M815"/>
    <mergeCell ref="N815:O815"/>
    <mergeCell ref="P815:Q815"/>
    <mergeCell ref="AL814:BB814"/>
    <mergeCell ref="AD814:AE814"/>
    <mergeCell ref="AF814:AG814"/>
    <mergeCell ref="AH814:AI814"/>
    <mergeCell ref="AJ814:AK814"/>
    <mergeCell ref="R814:S814"/>
    <mergeCell ref="T814:U814"/>
    <mergeCell ref="V814:W814"/>
    <mergeCell ref="X814:Y814"/>
    <mergeCell ref="Z814:AA814"/>
    <mergeCell ref="AB814:AC814"/>
    <mergeCell ref="B814:C814"/>
    <mergeCell ref="D814:E814"/>
    <mergeCell ref="F814:G814"/>
    <mergeCell ref="H814:I814"/>
    <mergeCell ref="J814:K814"/>
    <mergeCell ref="L814:M814"/>
    <mergeCell ref="N814:O814"/>
    <mergeCell ref="P814:Q814"/>
    <mergeCell ref="AL813:BB813"/>
    <mergeCell ref="AD813:AE813"/>
    <mergeCell ref="AF813:AG813"/>
    <mergeCell ref="AH813:AI813"/>
    <mergeCell ref="AJ813:AK813"/>
    <mergeCell ref="R813:S813"/>
    <mergeCell ref="T813:U813"/>
    <mergeCell ref="V813:W813"/>
    <mergeCell ref="X813:Y813"/>
    <mergeCell ref="Z813:AA813"/>
    <mergeCell ref="AB813:AC813"/>
    <mergeCell ref="B813:C813"/>
    <mergeCell ref="D813:E813"/>
    <mergeCell ref="F813:G813"/>
    <mergeCell ref="H813:I813"/>
    <mergeCell ref="J813:K813"/>
    <mergeCell ref="L813:M813"/>
    <mergeCell ref="N813:O813"/>
    <mergeCell ref="P813:Q813"/>
    <mergeCell ref="AL812:BB812"/>
    <mergeCell ref="AD812:AE812"/>
    <mergeCell ref="AF812:AG812"/>
    <mergeCell ref="AH812:AI812"/>
    <mergeCell ref="AJ812:AK812"/>
    <mergeCell ref="R812:S812"/>
    <mergeCell ref="T812:U812"/>
    <mergeCell ref="V812:W812"/>
    <mergeCell ref="X812:Y812"/>
    <mergeCell ref="Z812:AA812"/>
    <mergeCell ref="AB812:AC812"/>
    <mergeCell ref="B812:C812"/>
    <mergeCell ref="D812:E812"/>
    <mergeCell ref="F812:G812"/>
    <mergeCell ref="H812:I812"/>
    <mergeCell ref="J812:K812"/>
    <mergeCell ref="L812:M812"/>
    <mergeCell ref="N812:O812"/>
    <mergeCell ref="P812:Q812"/>
    <mergeCell ref="AL811:BB811"/>
    <mergeCell ref="AD811:AE811"/>
    <mergeCell ref="AF811:AG811"/>
    <mergeCell ref="AH811:AI811"/>
    <mergeCell ref="AJ811:AK811"/>
    <mergeCell ref="R811:S811"/>
    <mergeCell ref="T811:U811"/>
    <mergeCell ref="V811:W811"/>
    <mergeCell ref="X811:Y811"/>
    <mergeCell ref="Z811:AA811"/>
    <mergeCell ref="AB811:AC811"/>
    <mergeCell ref="B811:C811"/>
    <mergeCell ref="D811:E811"/>
    <mergeCell ref="F811:G811"/>
    <mergeCell ref="H811:I811"/>
    <mergeCell ref="J811:K811"/>
    <mergeCell ref="L811:M811"/>
    <mergeCell ref="N811:O811"/>
    <mergeCell ref="P811:Q811"/>
    <mergeCell ref="AL810:BB810"/>
    <mergeCell ref="AD810:AE810"/>
    <mergeCell ref="AF810:AG810"/>
    <mergeCell ref="AH810:AI810"/>
    <mergeCell ref="AJ810:AK810"/>
    <mergeCell ref="R810:S810"/>
    <mergeCell ref="T810:U810"/>
    <mergeCell ref="V810:W810"/>
    <mergeCell ref="X810:Y810"/>
    <mergeCell ref="Z810:AA810"/>
    <mergeCell ref="AB810:AC810"/>
    <mergeCell ref="B810:C810"/>
    <mergeCell ref="D810:E810"/>
    <mergeCell ref="F810:G810"/>
    <mergeCell ref="H810:I810"/>
    <mergeCell ref="J810:K810"/>
    <mergeCell ref="L810:M810"/>
    <mergeCell ref="N810:O810"/>
    <mergeCell ref="P810:Q810"/>
    <mergeCell ref="AL809:BB809"/>
    <mergeCell ref="AD809:AE809"/>
    <mergeCell ref="AF809:AG809"/>
    <mergeCell ref="AH809:AI809"/>
    <mergeCell ref="AJ809:AK809"/>
    <mergeCell ref="R809:S809"/>
    <mergeCell ref="T809:U809"/>
    <mergeCell ref="V809:W809"/>
    <mergeCell ref="X809:Y809"/>
    <mergeCell ref="Z809:AA809"/>
    <mergeCell ref="AB809:AC809"/>
    <mergeCell ref="B809:C809"/>
    <mergeCell ref="D809:E809"/>
    <mergeCell ref="F809:G809"/>
    <mergeCell ref="H809:I809"/>
    <mergeCell ref="J809:K809"/>
    <mergeCell ref="L809:M809"/>
    <mergeCell ref="N809:O809"/>
    <mergeCell ref="P809:Q809"/>
    <mergeCell ref="AL808:BB808"/>
    <mergeCell ref="AD808:AE808"/>
    <mergeCell ref="AF808:AG808"/>
    <mergeCell ref="AH808:AI808"/>
    <mergeCell ref="AJ808:AK808"/>
    <mergeCell ref="R808:S808"/>
    <mergeCell ref="T808:U808"/>
    <mergeCell ref="V808:W808"/>
    <mergeCell ref="X808:Y808"/>
    <mergeCell ref="Z808:AA808"/>
    <mergeCell ref="AB808:AC808"/>
    <mergeCell ref="B808:C808"/>
    <mergeCell ref="D808:E808"/>
    <mergeCell ref="F808:G808"/>
    <mergeCell ref="H808:I808"/>
    <mergeCell ref="J808:K808"/>
    <mergeCell ref="L808:M808"/>
    <mergeCell ref="N808:O808"/>
    <mergeCell ref="P808:Q808"/>
    <mergeCell ref="AL807:BB807"/>
    <mergeCell ref="AD807:AE807"/>
    <mergeCell ref="AF807:AG807"/>
    <mergeCell ref="AH807:AI807"/>
    <mergeCell ref="AJ807:AK807"/>
    <mergeCell ref="R807:S807"/>
    <mergeCell ref="T807:U807"/>
    <mergeCell ref="V807:W807"/>
    <mergeCell ref="X807:Y807"/>
    <mergeCell ref="Z807:AA807"/>
    <mergeCell ref="AB807:AC807"/>
    <mergeCell ref="B807:C807"/>
    <mergeCell ref="D807:E807"/>
    <mergeCell ref="F807:G807"/>
    <mergeCell ref="H807:I807"/>
    <mergeCell ref="J807:K807"/>
    <mergeCell ref="L807:M807"/>
    <mergeCell ref="N807:O807"/>
    <mergeCell ref="P807:Q807"/>
    <mergeCell ref="AL806:BB806"/>
    <mergeCell ref="AD806:AE806"/>
    <mergeCell ref="AF806:AG806"/>
    <mergeCell ref="AH806:AI806"/>
    <mergeCell ref="AJ806:AK806"/>
    <mergeCell ref="R806:S806"/>
    <mergeCell ref="T806:U806"/>
    <mergeCell ref="V806:W806"/>
    <mergeCell ref="X806:Y806"/>
    <mergeCell ref="Z806:AA806"/>
    <mergeCell ref="AB806:AC806"/>
    <mergeCell ref="B806:C806"/>
    <mergeCell ref="D806:E806"/>
    <mergeCell ref="F806:G806"/>
    <mergeCell ref="H806:I806"/>
    <mergeCell ref="J806:K806"/>
    <mergeCell ref="L806:M806"/>
    <mergeCell ref="N806:O806"/>
    <mergeCell ref="P806:Q806"/>
    <mergeCell ref="AL805:BB805"/>
    <mergeCell ref="AD805:AE805"/>
    <mergeCell ref="AF805:AG805"/>
    <mergeCell ref="AH805:AI805"/>
    <mergeCell ref="AJ805:AK805"/>
    <mergeCell ref="R805:S805"/>
    <mergeCell ref="T805:U805"/>
    <mergeCell ref="V805:W805"/>
    <mergeCell ref="X805:Y805"/>
    <mergeCell ref="Z805:AA805"/>
    <mergeCell ref="AB805:AC805"/>
    <mergeCell ref="B805:C805"/>
    <mergeCell ref="D805:E805"/>
    <mergeCell ref="F805:G805"/>
    <mergeCell ref="H805:I805"/>
    <mergeCell ref="J805:K805"/>
    <mergeCell ref="L805:M805"/>
    <mergeCell ref="N805:O805"/>
    <mergeCell ref="P805:Q805"/>
    <mergeCell ref="AL804:BB804"/>
    <mergeCell ref="AD804:AE804"/>
    <mergeCell ref="AF804:AG804"/>
    <mergeCell ref="AH804:AI804"/>
    <mergeCell ref="AJ804:AK804"/>
    <mergeCell ref="R804:S804"/>
    <mergeCell ref="T804:U804"/>
    <mergeCell ref="V804:W804"/>
    <mergeCell ref="X804:Y804"/>
    <mergeCell ref="Z804:AA804"/>
    <mergeCell ref="AB804:AC804"/>
    <mergeCell ref="B804:C804"/>
    <mergeCell ref="D804:E804"/>
    <mergeCell ref="F804:G804"/>
    <mergeCell ref="H804:I804"/>
    <mergeCell ref="J804:K804"/>
    <mergeCell ref="L804:M804"/>
    <mergeCell ref="N804:O804"/>
    <mergeCell ref="P804:Q804"/>
    <mergeCell ref="AL803:BB803"/>
    <mergeCell ref="AD803:AE803"/>
    <mergeCell ref="AF803:AG803"/>
    <mergeCell ref="AH803:AI803"/>
    <mergeCell ref="AJ803:AK803"/>
    <mergeCell ref="R803:S803"/>
    <mergeCell ref="T803:U803"/>
    <mergeCell ref="V803:W803"/>
    <mergeCell ref="X803:Y803"/>
    <mergeCell ref="Z803:AA803"/>
    <mergeCell ref="AB803:AC803"/>
    <mergeCell ref="B803:C803"/>
    <mergeCell ref="D803:E803"/>
    <mergeCell ref="F803:G803"/>
    <mergeCell ref="H803:I803"/>
    <mergeCell ref="J803:K803"/>
    <mergeCell ref="L803:M803"/>
    <mergeCell ref="N803:O803"/>
    <mergeCell ref="P803:Q803"/>
    <mergeCell ref="AL802:BB802"/>
    <mergeCell ref="AD802:AE802"/>
    <mergeCell ref="AF802:AG802"/>
    <mergeCell ref="AH802:AI802"/>
    <mergeCell ref="AJ802:AK802"/>
    <mergeCell ref="R802:S802"/>
    <mergeCell ref="T802:U802"/>
    <mergeCell ref="V802:W802"/>
    <mergeCell ref="X802:Y802"/>
    <mergeCell ref="Z802:AA802"/>
    <mergeCell ref="AB802:AC802"/>
    <mergeCell ref="B802:C802"/>
    <mergeCell ref="D802:E802"/>
    <mergeCell ref="F802:G802"/>
    <mergeCell ref="H802:I802"/>
    <mergeCell ref="J802:K802"/>
    <mergeCell ref="L802:M802"/>
    <mergeCell ref="N802:O802"/>
    <mergeCell ref="P802:Q802"/>
    <mergeCell ref="AL801:BB801"/>
    <mergeCell ref="AD801:AE801"/>
    <mergeCell ref="AF801:AG801"/>
    <mergeCell ref="AH801:AI801"/>
    <mergeCell ref="AJ801:AK801"/>
    <mergeCell ref="R801:S801"/>
    <mergeCell ref="T801:U801"/>
    <mergeCell ref="V801:W801"/>
    <mergeCell ref="X801:Y801"/>
    <mergeCell ref="Z801:AA801"/>
    <mergeCell ref="AB801:AC801"/>
    <mergeCell ref="B801:C801"/>
    <mergeCell ref="D801:E801"/>
    <mergeCell ref="F801:G801"/>
    <mergeCell ref="H801:I801"/>
    <mergeCell ref="J801:K801"/>
    <mergeCell ref="L801:M801"/>
    <mergeCell ref="N801:O801"/>
    <mergeCell ref="P801:Q801"/>
    <mergeCell ref="AL800:BB800"/>
    <mergeCell ref="AD800:AE800"/>
    <mergeCell ref="AF800:AG800"/>
    <mergeCell ref="AH800:AI800"/>
    <mergeCell ref="AJ800:AK800"/>
    <mergeCell ref="R800:S800"/>
    <mergeCell ref="T800:U800"/>
    <mergeCell ref="V800:W800"/>
    <mergeCell ref="X800:Y800"/>
    <mergeCell ref="Z800:AA800"/>
    <mergeCell ref="AB800:AC800"/>
    <mergeCell ref="B800:C800"/>
    <mergeCell ref="D800:E800"/>
    <mergeCell ref="F800:G800"/>
    <mergeCell ref="H800:I800"/>
    <mergeCell ref="J800:K800"/>
    <mergeCell ref="L800:M800"/>
    <mergeCell ref="N800:O800"/>
    <mergeCell ref="P800:Q800"/>
    <mergeCell ref="AL799:BB799"/>
    <mergeCell ref="AD799:AE799"/>
    <mergeCell ref="AF799:AG799"/>
    <mergeCell ref="AH799:AI799"/>
    <mergeCell ref="AJ799:AK799"/>
    <mergeCell ref="R799:S799"/>
    <mergeCell ref="T799:U799"/>
    <mergeCell ref="V799:W799"/>
    <mergeCell ref="X799:Y799"/>
    <mergeCell ref="Z799:AA799"/>
    <mergeCell ref="AB799:AC799"/>
    <mergeCell ref="B799:C799"/>
    <mergeCell ref="D799:E799"/>
    <mergeCell ref="F799:G799"/>
    <mergeCell ref="H799:I799"/>
    <mergeCell ref="J799:K799"/>
    <mergeCell ref="L799:M799"/>
    <mergeCell ref="N799:O799"/>
    <mergeCell ref="P799:Q799"/>
    <mergeCell ref="AL798:BB798"/>
    <mergeCell ref="AD798:AE798"/>
    <mergeCell ref="AF798:AG798"/>
    <mergeCell ref="AH798:AI798"/>
    <mergeCell ref="AJ798:AK798"/>
    <mergeCell ref="R798:S798"/>
    <mergeCell ref="T798:U798"/>
    <mergeCell ref="V798:W798"/>
    <mergeCell ref="X798:Y798"/>
    <mergeCell ref="Z798:AA798"/>
    <mergeCell ref="AB798:AC798"/>
    <mergeCell ref="B798:C798"/>
    <mergeCell ref="D798:E798"/>
    <mergeCell ref="F798:G798"/>
    <mergeCell ref="H798:I798"/>
    <mergeCell ref="J798:K798"/>
    <mergeCell ref="L798:M798"/>
    <mergeCell ref="N798:O798"/>
    <mergeCell ref="P798:Q798"/>
    <mergeCell ref="AL797:BB797"/>
    <mergeCell ref="AD797:AE797"/>
    <mergeCell ref="AF797:AG797"/>
    <mergeCell ref="AH797:AI797"/>
    <mergeCell ref="AJ797:AK797"/>
    <mergeCell ref="R797:S797"/>
    <mergeCell ref="T797:U797"/>
    <mergeCell ref="V797:W797"/>
    <mergeCell ref="X797:Y797"/>
    <mergeCell ref="Z797:AA797"/>
    <mergeCell ref="AB797:AC797"/>
    <mergeCell ref="B797:C797"/>
    <mergeCell ref="D797:E797"/>
    <mergeCell ref="F797:G797"/>
    <mergeCell ref="H797:I797"/>
    <mergeCell ref="J797:K797"/>
    <mergeCell ref="L797:M797"/>
    <mergeCell ref="N797:O797"/>
    <mergeCell ref="P797:Q797"/>
    <mergeCell ref="AL796:BB796"/>
    <mergeCell ref="AD796:AE796"/>
    <mergeCell ref="AF796:AG796"/>
    <mergeCell ref="AH796:AI796"/>
    <mergeCell ref="AJ796:AK796"/>
    <mergeCell ref="R796:S796"/>
    <mergeCell ref="T796:U796"/>
    <mergeCell ref="V796:W796"/>
    <mergeCell ref="X796:Y796"/>
    <mergeCell ref="Z796:AA796"/>
    <mergeCell ref="AB796:AC796"/>
    <mergeCell ref="B796:C796"/>
    <mergeCell ref="D796:E796"/>
    <mergeCell ref="F796:G796"/>
    <mergeCell ref="H796:I796"/>
    <mergeCell ref="J796:K796"/>
    <mergeCell ref="L796:M796"/>
    <mergeCell ref="N796:O796"/>
    <mergeCell ref="P796:Q796"/>
    <mergeCell ref="AL795:BB795"/>
    <mergeCell ref="AD795:AE795"/>
    <mergeCell ref="AF795:AG795"/>
    <mergeCell ref="AH795:AI795"/>
    <mergeCell ref="AJ795:AK795"/>
    <mergeCell ref="R795:S795"/>
    <mergeCell ref="T795:U795"/>
    <mergeCell ref="V795:W795"/>
    <mergeCell ref="X795:Y795"/>
    <mergeCell ref="Z795:AA795"/>
    <mergeCell ref="AB795:AC795"/>
    <mergeCell ref="B795:C795"/>
    <mergeCell ref="D795:E795"/>
    <mergeCell ref="F795:G795"/>
    <mergeCell ref="H795:I795"/>
    <mergeCell ref="J795:K795"/>
    <mergeCell ref="L795:M795"/>
    <mergeCell ref="N795:O795"/>
    <mergeCell ref="P795:Q795"/>
    <mergeCell ref="AL794:BB794"/>
    <mergeCell ref="AD794:AE794"/>
    <mergeCell ref="AF794:AG794"/>
    <mergeCell ref="AH794:AI794"/>
    <mergeCell ref="AJ794:AK794"/>
    <mergeCell ref="R794:S794"/>
    <mergeCell ref="T794:U794"/>
    <mergeCell ref="V794:W794"/>
    <mergeCell ref="X794:Y794"/>
    <mergeCell ref="Z794:AA794"/>
    <mergeCell ref="AB794:AC794"/>
    <mergeCell ref="B794:C794"/>
    <mergeCell ref="D794:E794"/>
    <mergeCell ref="F794:G794"/>
    <mergeCell ref="H794:I794"/>
    <mergeCell ref="J794:K794"/>
    <mergeCell ref="L794:M794"/>
    <mergeCell ref="N794:O794"/>
    <mergeCell ref="P794:Q794"/>
    <mergeCell ref="AL793:BB793"/>
    <mergeCell ref="AD793:AE793"/>
    <mergeCell ref="AF793:AG793"/>
    <mergeCell ref="AH793:AI793"/>
    <mergeCell ref="AJ793:AK793"/>
    <mergeCell ref="R793:S793"/>
    <mergeCell ref="T793:U793"/>
    <mergeCell ref="V793:W793"/>
    <mergeCell ref="X793:Y793"/>
    <mergeCell ref="Z793:AA793"/>
    <mergeCell ref="AB793:AC793"/>
    <mergeCell ref="B793:C793"/>
    <mergeCell ref="D793:E793"/>
    <mergeCell ref="F793:G793"/>
    <mergeCell ref="H793:I793"/>
    <mergeCell ref="J793:K793"/>
    <mergeCell ref="L793:M793"/>
    <mergeCell ref="N793:O793"/>
    <mergeCell ref="P793:Q793"/>
    <mergeCell ref="AL792:BB792"/>
    <mergeCell ref="AD792:AE792"/>
    <mergeCell ref="AF792:AG792"/>
    <mergeCell ref="AH792:AI792"/>
    <mergeCell ref="AJ792:AK792"/>
    <mergeCell ref="R792:S792"/>
    <mergeCell ref="T792:U792"/>
    <mergeCell ref="V792:W792"/>
    <mergeCell ref="X792:Y792"/>
    <mergeCell ref="Z792:AA792"/>
    <mergeCell ref="AB792:AC792"/>
    <mergeCell ref="B792:C792"/>
    <mergeCell ref="D792:E792"/>
    <mergeCell ref="F792:G792"/>
    <mergeCell ref="H792:I792"/>
    <mergeCell ref="J792:K792"/>
    <mergeCell ref="L792:M792"/>
    <mergeCell ref="N792:O792"/>
    <mergeCell ref="P792:Q792"/>
    <mergeCell ref="AL791:BB791"/>
    <mergeCell ref="AD791:AE791"/>
    <mergeCell ref="AF791:AG791"/>
    <mergeCell ref="AH791:AI791"/>
    <mergeCell ref="AJ791:AK791"/>
    <mergeCell ref="R791:S791"/>
    <mergeCell ref="T791:U791"/>
    <mergeCell ref="V791:W791"/>
    <mergeCell ref="X791:Y791"/>
    <mergeCell ref="Z791:AA791"/>
    <mergeCell ref="AB791:AC791"/>
    <mergeCell ref="B791:C791"/>
    <mergeCell ref="D791:E791"/>
    <mergeCell ref="F791:G791"/>
    <mergeCell ref="H791:I791"/>
    <mergeCell ref="J791:K791"/>
    <mergeCell ref="L791:M791"/>
    <mergeCell ref="N791:O791"/>
    <mergeCell ref="P791:Q791"/>
    <mergeCell ref="AL790:BB790"/>
    <mergeCell ref="AD790:AE790"/>
    <mergeCell ref="AF790:AG790"/>
    <mergeCell ref="AH790:AI790"/>
    <mergeCell ref="AJ790:AK790"/>
    <mergeCell ref="R790:S790"/>
    <mergeCell ref="T790:U790"/>
    <mergeCell ref="V790:W790"/>
    <mergeCell ref="X790:Y790"/>
    <mergeCell ref="Z790:AA790"/>
    <mergeCell ref="AB790:AC790"/>
    <mergeCell ref="B790:C790"/>
    <mergeCell ref="D790:E790"/>
    <mergeCell ref="F790:G790"/>
    <mergeCell ref="H790:I790"/>
    <mergeCell ref="J790:K790"/>
    <mergeCell ref="L790:M790"/>
    <mergeCell ref="N790:O790"/>
    <mergeCell ref="P790:Q790"/>
    <mergeCell ref="AL789:BB789"/>
    <mergeCell ref="AD789:AE789"/>
    <mergeCell ref="AF789:AG789"/>
    <mergeCell ref="AH789:AI789"/>
    <mergeCell ref="AJ789:AK789"/>
    <mergeCell ref="R789:S789"/>
    <mergeCell ref="T789:U789"/>
    <mergeCell ref="V789:W789"/>
    <mergeCell ref="X789:Y789"/>
    <mergeCell ref="Z789:AA789"/>
    <mergeCell ref="AB789:AC789"/>
    <mergeCell ref="B789:C789"/>
    <mergeCell ref="D789:E789"/>
    <mergeCell ref="F789:G789"/>
    <mergeCell ref="H789:I789"/>
    <mergeCell ref="J789:K789"/>
    <mergeCell ref="L789:M789"/>
    <mergeCell ref="N789:O789"/>
    <mergeCell ref="P789:Q789"/>
    <mergeCell ref="AL788:BB788"/>
    <mergeCell ref="AD788:AE788"/>
    <mergeCell ref="AF788:AG788"/>
    <mergeCell ref="AH788:AI788"/>
    <mergeCell ref="AJ788:AK788"/>
    <mergeCell ref="R788:S788"/>
    <mergeCell ref="T788:U788"/>
    <mergeCell ref="V788:W788"/>
    <mergeCell ref="X788:Y788"/>
    <mergeCell ref="Z788:AA788"/>
    <mergeCell ref="AB788:AC788"/>
    <mergeCell ref="B788:C788"/>
    <mergeCell ref="D788:E788"/>
    <mergeCell ref="F788:G788"/>
    <mergeCell ref="H788:I788"/>
    <mergeCell ref="J788:K788"/>
    <mergeCell ref="L788:M788"/>
    <mergeCell ref="N788:O788"/>
    <mergeCell ref="P788:Q788"/>
    <mergeCell ref="AL787:BB787"/>
    <mergeCell ref="AD787:AE787"/>
    <mergeCell ref="AF787:AG787"/>
    <mergeCell ref="AH787:AI787"/>
    <mergeCell ref="AJ787:AK787"/>
    <mergeCell ref="R787:S787"/>
    <mergeCell ref="T787:U787"/>
    <mergeCell ref="V787:W787"/>
    <mergeCell ref="X787:Y787"/>
    <mergeCell ref="Z787:AA787"/>
    <mergeCell ref="AB787:AC787"/>
    <mergeCell ref="B787:C787"/>
    <mergeCell ref="D787:E787"/>
    <mergeCell ref="F787:G787"/>
    <mergeCell ref="H787:I787"/>
    <mergeCell ref="J787:K787"/>
    <mergeCell ref="L787:M787"/>
    <mergeCell ref="N787:O787"/>
    <mergeCell ref="P787:Q787"/>
    <mergeCell ref="AL786:BB786"/>
    <mergeCell ref="Z786:AA786"/>
    <mergeCell ref="AB786:AC786"/>
    <mergeCell ref="AD786:AE786"/>
    <mergeCell ref="AF786:AG786"/>
    <mergeCell ref="AH786:AI786"/>
    <mergeCell ref="AJ786:AK786"/>
    <mergeCell ref="N786:O786"/>
    <mergeCell ref="P786:Q786"/>
    <mergeCell ref="R786:S786"/>
    <mergeCell ref="T786:U786"/>
    <mergeCell ref="V786:W786"/>
    <mergeCell ref="X786:Y786"/>
    <mergeCell ref="B786:C786"/>
    <mergeCell ref="D786:E786"/>
    <mergeCell ref="F786:G786"/>
    <mergeCell ref="H786:I786"/>
    <mergeCell ref="J786:K786"/>
    <mergeCell ref="L786:M786"/>
    <mergeCell ref="AL785:BB785"/>
    <mergeCell ref="AD785:AE785"/>
    <mergeCell ref="AF785:AG785"/>
    <mergeCell ref="AH785:AI785"/>
    <mergeCell ref="AJ785:AK785"/>
    <mergeCell ref="R785:S785"/>
    <mergeCell ref="T785:U785"/>
    <mergeCell ref="V785:W785"/>
    <mergeCell ref="X785:Y785"/>
    <mergeCell ref="Z785:AA785"/>
    <mergeCell ref="AB785:AC785"/>
    <mergeCell ref="B785:C785"/>
    <mergeCell ref="D785:E785"/>
    <mergeCell ref="F785:G785"/>
    <mergeCell ref="H785:I785"/>
    <mergeCell ref="J785:K785"/>
    <mergeCell ref="L785:M785"/>
    <mergeCell ref="N785:O785"/>
    <mergeCell ref="P785:Q785"/>
    <mergeCell ref="AL784:BB784"/>
    <mergeCell ref="Z784:AA784"/>
    <mergeCell ref="AB784:AC784"/>
    <mergeCell ref="AD784:AE784"/>
    <mergeCell ref="AF784:AG784"/>
    <mergeCell ref="AH784:AI784"/>
    <mergeCell ref="AJ784:AK784"/>
    <mergeCell ref="N784:O784"/>
    <mergeCell ref="P784:Q784"/>
    <mergeCell ref="R784:S784"/>
    <mergeCell ref="T784:U784"/>
    <mergeCell ref="V784:W784"/>
    <mergeCell ref="X784:Y784"/>
    <mergeCell ref="B784:C784"/>
    <mergeCell ref="D784:E784"/>
    <mergeCell ref="F784:G784"/>
    <mergeCell ref="H784:I784"/>
    <mergeCell ref="J784:K784"/>
    <mergeCell ref="L784:M784"/>
    <mergeCell ref="AL783:BB783"/>
    <mergeCell ref="AD783:AE783"/>
    <mergeCell ref="AF783:AG783"/>
    <mergeCell ref="AH783:AI783"/>
    <mergeCell ref="AJ783:AK783"/>
    <mergeCell ref="R783:S783"/>
    <mergeCell ref="T783:U783"/>
    <mergeCell ref="V783:W783"/>
    <mergeCell ref="X783:Y783"/>
    <mergeCell ref="Z783:AA783"/>
    <mergeCell ref="AB783:AC783"/>
    <mergeCell ref="B783:C783"/>
    <mergeCell ref="D783:E783"/>
    <mergeCell ref="F783:G783"/>
    <mergeCell ref="H783:I783"/>
    <mergeCell ref="J783:K783"/>
    <mergeCell ref="L783:M783"/>
    <mergeCell ref="N783:O783"/>
    <mergeCell ref="P783:Q783"/>
    <mergeCell ref="AL782:BB782"/>
    <mergeCell ref="Z782:AA782"/>
    <mergeCell ref="AB782:AC782"/>
    <mergeCell ref="AD782:AE782"/>
    <mergeCell ref="AF782:AG782"/>
    <mergeCell ref="AH782:AI782"/>
    <mergeCell ref="AJ782:AK782"/>
    <mergeCell ref="N782:O782"/>
    <mergeCell ref="P782:Q782"/>
    <mergeCell ref="R782:S782"/>
    <mergeCell ref="T782:U782"/>
    <mergeCell ref="V782:W782"/>
    <mergeCell ref="X782:Y782"/>
    <mergeCell ref="B782:C782"/>
    <mergeCell ref="D782:E782"/>
    <mergeCell ref="F782:G782"/>
    <mergeCell ref="H782:I782"/>
    <mergeCell ref="J782:K782"/>
    <mergeCell ref="L782:M782"/>
    <mergeCell ref="AL781:BB781"/>
    <mergeCell ref="AD781:AE781"/>
    <mergeCell ref="AF781:AG781"/>
    <mergeCell ref="AH781:AI781"/>
    <mergeCell ref="AJ781:AK781"/>
    <mergeCell ref="R781:S781"/>
    <mergeCell ref="T781:U781"/>
    <mergeCell ref="V781:W781"/>
    <mergeCell ref="X781:Y781"/>
    <mergeCell ref="Z781:AA781"/>
    <mergeCell ref="AB781:AC781"/>
    <mergeCell ref="B781:C781"/>
    <mergeCell ref="D781:E781"/>
    <mergeCell ref="F781:G781"/>
    <mergeCell ref="H781:I781"/>
    <mergeCell ref="J781:K781"/>
    <mergeCell ref="L781:M781"/>
    <mergeCell ref="N781:O781"/>
    <mergeCell ref="P781:Q781"/>
    <mergeCell ref="AL780:BB780"/>
    <mergeCell ref="Z780:AA780"/>
    <mergeCell ref="AB780:AC780"/>
    <mergeCell ref="AD780:AE780"/>
    <mergeCell ref="AF780:AG780"/>
    <mergeCell ref="AH780:AI780"/>
    <mergeCell ref="AJ780:AK780"/>
    <mergeCell ref="N780:O780"/>
    <mergeCell ref="P780:Q780"/>
    <mergeCell ref="R780:S780"/>
    <mergeCell ref="T780:U780"/>
    <mergeCell ref="V780:W780"/>
    <mergeCell ref="X780:Y780"/>
    <mergeCell ref="B780:C780"/>
    <mergeCell ref="D780:E780"/>
    <mergeCell ref="F780:G780"/>
    <mergeCell ref="H780:I780"/>
    <mergeCell ref="J780:K780"/>
    <mergeCell ref="L780:M780"/>
    <mergeCell ref="AL779:BB779"/>
    <mergeCell ref="AD779:AE779"/>
    <mergeCell ref="AF779:AG779"/>
    <mergeCell ref="AH779:AI779"/>
    <mergeCell ref="AJ779:AK779"/>
    <mergeCell ref="R779:S779"/>
    <mergeCell ref="T779:U779"/>
    <mergeCell ref="V779:W779"/>
    <mergeCell ref="X779:Y779"/>
    <mergeCell ref="Z779:AA779"/>
    <mergeCell ref="AB779:AC779"/>
    <mergeCell ref="B779:C779"/>
    <mergeCell ref="D779:E779"/>
    <mergeCell ref="F779:G779"/>
    <mergeCell ref="H779:I779"/>
    <mergeCell ref="J779:K779"/>
    <mergeCell ref="L779:M779"/>
    <mergeCell ref="N779:O779"/>
    <mergeCell ref="P779:Q779"/>
    <mergeCell ref="AL778:BB778"/>
    <mergeCell ref="Z778:AA778"/>
    <mergeCell ref="AB778:AC778"/>
    <mergeCell ref="AD778:AE778"/>
    <mergeCell ref="AF778:AG778"/>
    <mergeCell ref="AH778:AI778"/>
    <mergeCell ref="AJ778:AK778"/>
    <mergeCell ref="N778:O778"/>
    <mergeCell ref="P778:Q778"/>
    <mergeCell ref="R778:S778"/>
    <mergeCell ref="T778:U778"/>
    <mergeCell ref="V778:W778"/>
    <mergeCell ref="X778:Y778"/>
    <mergeCell ref="B778:C778"/>
    <mergeCell ref="D778:E778"/>
    <mergeCell ref="F778:G778"/>
    <mergeCell ref="H778:I778"/>
    <mergeCell ref="J778:K778"/>
    <mergeCell ref="L778:M778"/>
    <mergeCell ref="AL777:BB777"/>
    <mergeCell ref="Z777:AA777"/>
    <mergeCell ref="AB777:AC777"/>
    <mergeCell ref="AD777:AE777"/>
    <mergeCell ref="AF777:AG777"/>
    <mergeCell ref="AH777:AI777"/>
    <mergeCell ref="AJ777:AK777"/>
    <mergeCell ref="N777:O777"/>
    <mergeCell ref="P777:Q777"/>
    <mergeCell ref="R777:S777"/>
    <mergeCell ref="T777:U777"/>
    <mergeCell ref="V777:W777"/>
    <mergeCell ref="X777:Y777"/>
    <mergeCell ref="B777:C777"/>
    <mergeCell ref="D777:E777"/>
    <mergeCell ref="F777:G777"/>
    <mergeCell ref="H777:I777"/>
    <mergeCell ref="J777:K777"/>
    <mergeCell ref="L777:M777"/>
    <mergeCell ref="AL776:BB776"/>
    <mergeCell ref="AD776:AE776"/>
    <mergeCell ref="AF776:AG776"/>
    <mergeCell ref="AH776:AI776"/>
    <mergeCell ref="AJ776:AK776"/>
    <mergeCell ref="R776:S776"/>
    <mergeCell ref="T776:U776"/>
    <mergeCell ref="V776:W776"/>
    <mergeCell ref="X776:Y776"/>
    <mergeCell ref="Z776:AA776"/>
    <mergeCell ref="AB776:AC776"/>
    <mergeCell ref="B776:C776"/>
    <mergeCell ref="D776:E776"/>
    <mergeCell ref="F776:G776"/>
    <mergeCell ref="H776:I776"/>
    <mergeCell ref="J776:K776"/>
    <mergeCell ref="L776:M776"/>
    <mergeCell ref="N776:O776"/>
    <mergeCell ref="P776:Q776"/>
    <mergeCell ref="AL775:BB775"/>
    <mergeCell ref="AD775:AE775"/>
    <mergeCell ref="AF775:AG775"/>
    <mergeCell ref="AH775:AI775"/>
    <mergeCell ref="AJ775:AK775"/>
    <mergeCell ref="R775:S775"/>
    <mergeCell ref="T775:U775"/>
    <mergeCell ref="V775:W775"/>
    <mergeCell ref="X775:Y775"/>
    <mergeCell ref="Z775:AA775"/>
    <mergeCell ref="AB775:AC775"/>
    <mergeCell ref="B775:C775"/>
    <mergeCell ref="D775:E775"/>
    <mergeCell ref="F775:G775"/>
    <mergeCell ref="H775:I775"/>
    <mergeCell ref="J775:K775"/>
    <mergeCell ref="L775:M775"/>
    <mergeCell ref="N775:O775"/>
    <mergeCell ref="P775:Q775"/>
    <mergeCell ref="AL774:BB774"/>
    <mergeCell ref="AD774:AE774"/>
    <mergeCell ref="AF774:AG774"/>
    <mergeCell ref="AH774:AI774"/>
    <mergeCell ref="AJ774:AK774"/>
    <mergeCell ref="R774:S774"/>
    <mergeCell ref="T774:U774"/>
    <mergeCell ref="V774:W774"/>
    <mergeCell ref="X774:Y774"/>
    <mergeCell ref="Z774:AA774"/>
    <mergeCell ref="AB774:AC774"/>
    <mergeCell ref="B774:C774"/>
    <mergeCell ref="D774:E774"/>
    <mergeCell ref="F774:G774"/>
    <mergeCell ref="H774:I774"/>
    <mergeCell ref="J774:K774"/>
    <mergeCell ref="L774:M774"/>
    <mergeCell ref="N774:O774"/>
    <mergeCell ref="P774:Q774"/>
    <mergeCell ref="AL773:BB773"/>
    <mergeCell ref="AD773:AE773"/>
    <mergeCell ref="AF773:AG773"/>
    <mergeCell ref="AH773:AI773"/>
    <mergeCell ref="AJ773:AK773"/>
    <mergeCell ref="R773:S773"/>
    <mergeCell ref="T773:U773"/>
    <mergeCell ref="V773:W773"/>
    <mergeCell ref="X773:Y773"/>
    <mergeCell ref="Z773:AA773"/>
    <mergeCell ref="AB773:AC773"/>
    <mergeCell ref="B773:C773"/>
    <mergeCell ref="D773:E773"/>
    <mergeCell ref="F773:G773"/>
    <mergeCell ref="H773:I773"/>
    <mergeCell ref="J773:K773"/>
    <mergeCell ref="L773:M773"/>
    <mergeCell ref="N773:O773"/>
    <mergeCell ref="P773:Q773"/>
    <mergeCell ref="AL772:BB772"/>
    <mergeCell ref="AD772:AE772"/>
    <mergeCell ref="AF772:AG772"/>
    <mergeCell ref="AH772:AI772"/>
    <mergeCell ref="AJ772:AK772"/>
    <mergeCell ref="R772:S772"/>
    <mergeCell ref="T772:U772"/>
    <mergeCell ref="V772:W772"/>
    <mergeCell ref="X772:Y772"/>
    <mergeCell ref="Z772:AA772"/>
    <mergeCell ref="AB772:AC772"/>
    <mergeCell ref="B772:C772"/>
    <mergeCell ref="D772:E772"/>
    <mergeCell ref="F772:G772"/>
    <mergeCell ref="H772:I772"/>
    <mergeCell ref="J772:K772"/>
    <mergeCell ref="L772:M772"/>
    <mergeCell ref="N772:O772"/>
    <mergeCell ref="P772:Q772"/>
    <mergeCell ref="AL771:BB771"/>
    <mergeCell ref="AD771:AE771"/>
    <mergeCell ref="AF771:AG771"/>
    <mergeCell ref="AH771:AI771"/>
    <mergeCell ref="AJ771:AK771"/>
    <mergeCell ref="R771:S771"/>
    <mergeCell ref="T771:U771"/>
    <mergeCell ref="V771:W771"/>
    <mergeCell ref="X771:Y771"/>
    <mergeCell ref="Z771:AA771"/>
    <mergeCell ref="AB771:AC771"/>
    <mergeCell ref="B771:C771"/>
    <mergeCell ref="D771:E771"/>
    <mergeCell ref="F771:G771"/>
    <mergeCell ref="H771:I771"/>
    <mergeCell ref="J771:K771"/>
    <mergeCell ref="L771:M771"/>
    <mergeCell ref="N771:O771"/>
    <mergeCell ref="P771:Q771"/>
    <mergeCell ref="AL770:BB770"/>
    <mergeCell ref="AD770:AE770"/>
    <mergeCell ref="AF770:AG770"/>
    <mergeCell ref="AH770:AI770"/>
    <mergeCell ref="AJ770:AK770"/>
    <mergeCell ref="R770:S770"/>
    <mergeCell ref="T770:U770"/>
    <mergeCell ref="V770:W770"/>
    <mergeCell ref="X770:Y770"/>
    <mergeCell ref="Z770:AA770"/>
    <mergeCell ref="AB770:AC770"/>
    <mergeCell ref="B770:C770"/>
    <mergeCell ref="D770:E770"/>
    <mergeCell ref="F770:G770"/>
    <mergeCell ref="H770:I770"/>
    <mergeCell ref="J770:K770"/>
    <mergeCell ref="L770:M770"/>
    <mergeCell ref="N770:O770"/>
    <mergeCell ref="P770:Q770"/>
    <mergeCell ref="AL769:BB769"/>
    <mergeCell ref="AD769:AE769"/>
    <mergeCell ref="AF769:AG769"/>
    <mergeCell ref="AH769:AI769"/>
    <mergeCell ref="AJ769:AK769"/>
    <mergeCell ref="R769:S769"/>
    <mergeCell ref="T769:U769"/>
    <mergeCell ref="V769:W769"/>
    <mergeCell ref="X769:Y769"/>
    <mergeCell ref="Z769:AA769"/>
    <mergeCell ref="AB769:AC769"/>
    <mergeCell ref="B769:C769"/>
    <mergeCell ref="D769:E769"/>
    <mergeCell ref="F769:G769"/>
    <mergeCell ref="H769:I769"/>
    <mergeCell ref="J769:K769"/>
    <mergeCell ref="L769:M769"/>
    <mergeCell ref="N769:O769"/>
    <mergeCell ref="P769:Q769"/>
    <mergeCell ref="AL768:BB768"/>
    <mergeCell ref="AD768:AE768"/>
    <mergeCell ref="AF768:AG768"/>
    <mergeCell ref="AH768:AI768"/>
    <mergeCell ref="AJ768:AK768"/>
    <mergeCell ref="R768:S768"/>
    <mergeCell ref="T768:U768"/>
    <mergeCell ref="V768:W768"/>
    <mergeCell ref="X768:Y768"/>
    <mergeCell ref="Z768:AA768"/>
    <mergeCell ref="AB768:AC768"/>
    <mergeCell ref="B768:C768"/>
    <mergeCell ref="D768:E768"/>
    <mergeCell ref="F768:G768"/>
    <mergeCell ref="H768:I768"/>
    <mergeCell ref="J768:K768"/>
    <mergeCell ref="L768:M768"/>
    <mergeCell ref="N768:O768"/>
    <mergeCell ref="P768:Q768"/>
    <mergeCell ref="AL767:BB767"/>
    <mergeCell ref="AD767:AE767"/>
    <mergeCell ref="AF767:AG767"/>
    <mergeCell ref="AH767:AI767"/>
    <mergeCell ref="AJ767:AK767"/>
    <mergeCell ref="R767:S767"/>
    <mergeCell ref="T767:U767"/>
    <mergeCell ref="V767:W767"/>
    <mergeCell ref="X767:Y767"/>
    <mergeCell ref="Z767:AA767"/>
    <mergeCell ref="AB767:AC767"/>
    <mergeCell ref="B767:C767"/>
    <mergeCell ref="D767:E767"/>
    <mergeCell ref="F767:G767"/>
    <mergeCell ref="H767:I767"/>
    <mergeCell ref="J767:K767"/>
    <mergeCell ref="L767:M767"/>
    <mergeCell ref="N767:O767"/>
    <mergeCell ref="P767:Q767"/>
    <mergeCell ref="AL766:BB766"/>
    <mergeCell ref="AD766:AE766"/>
    <mergeCell ref="AF766:AG766"/>
    <mergeCell ref="AH766:AI766"/>
    <mergeCell ref="AJ766:AK766"/>
    <mergeCell ref="R766:S766"/>
    <mergeCell ref="T766:U766"/>
    <mergeCell ref="V766:W766"/>
    <mergeCell ref="X766:Y766"/>
    <mergeCell ref="Z766:AA766"/>
    <mergeCell ref="AB766:AC766"/>
    <mergeCell ref="B766:C766"/>
    <mergeCell ref="D766:E766"/>
    <mergeCell ref="F766:G766"/>
    <mergeCell ref="H766:I766"/>
    <mergeCell ref="J766:K766"/>
    <mergeCell ref="L766:M766"/>
    <mergeCell ref="N766:O766"/>
    <mergeCell ref="P766:Q766"/>
    <mergeCell ref="AL765:BB765"/>
    <mergeCell ref="AD765:AE765"/>
    <mergeCell ref="AF765:AG765"/>
    <mergeCell ref="AH765:AI765"/>
    <mergeCell ref="AJ765:AK765"/>
    <mergeCell ref="R765:S765"/>
    <mergeCell ref="T765:U765"/>
    <mergeCell ref="V765:W765"/>
    <mergeCell ref="X765:Y765"/>
    <mergeCell ref="Z765:AA765"/>
    <mergeCell ref="AB765:AC765"/>
    <mergeCell ref="B765:C765"/>
    <mergeCell ref="D765:E765"/>
    <mergeCell ref="F765:G765"/>
    <mergeCell ref="H765:I765"/>
    <mergeCell ref="J765:K765"/>
    <mergeCell ref="L765:M765"/>
    <mergeCell ref="N765:O765"/>
    <mergeCell ref="P765:Q765"/>
    <mergeCell ref="AL764:BB764"/>
    <mergeCell ref="AD764:AE764"/>
    <mergeCell ref="AF764:AG764"/>
    <mergeCell ref="AH764:AI764"/>
    <mergeCell ref="AJ764:AK764"/>
    <mergeCell ref="R764:S764"/>
    <mergeCell ref="T764:U764"/>
    <mergeCell ref="V764:W764"/>
    <mergeCell ref="X764:Y764"/>
    <mergeCell ref="Z764:AA764"/>
    <mergeCell ref="AB764:AC764"/>
    <mergeCell ref="B764:C764"/>
    <mergeCell ref="D764:E764"/>
    <mergeCell ref="F764:G764"/>
    <mergeCell ref="H764:I764"/>
    <mergeCell ref="J764:K764"/>
    <mergeCell ref="L764:M764"/>
    <mergeCell ref="N764:O764"/>
    <mergeCell ref="P764:Q764"/>
    <mergeCell ref="AL763:BB763"/>
    <mergeCell ref="AD763:AE763"/>
    <mergeCell ref="AF763:AG763"/>
    <mergeCell ref="AH763:AI763"/>
    <mergeCell ref="AJ763:AK763"/>
    <mergeCell ref="R763:S763"/>
    <mergeCell ref="T763:U763"/>
    <mergeCell ref="V763:W763"/>
    <mergeCell ref="X763:Y763"/>
    <mergeCell ref="Z763:AA763"/>
    <mergeCell ref="AB763:AC763"/>
    <mergeCell ref="B763:C763"/>
    <mergeCell ref="D763:E763"/>
    <mergeCell ref="F763:G763"/>
    <mergeCell ref="H763:I763"/>
    <mergeCell ref="J763:K763"/>
    <mergeCell ref="L763:M763"/>
    <mergeCell ref="N763:O763"/>
    <mergeCell ref="P763:Q763"/>
    <mergeCell ref="AL762:BB762"/>
    <mergeCell ref="AD762:AE762"/>
    <mergeCell ref="AF762:AG762"/>
    <mergeCell ref="AH762:AI762"/>
    <mergeCell ref="AJ762:AK762"/>
    <mergeCell ref="R762:S762"/>
    <mergeCell ref="T762:U762"/>
    <mergeCell ref="V762:W762"/>
    <mergeCell ref="X762:Y762"/>
    <mergeCell ref="Z762:AA762"/>
    <mergeCell ref="AB762:AC762"/>
    <mergeCell ref="B762:C762"/>
    <mergeCell ref="D762:E762"/>
    <mergeCell ref="F762:G762"/>
    <mergeCell ref="H762:I762"/>
    <mergeCell ref="J762:K762"/>
    <mergeCell ref="L762:M762"/>
    <mergeCell ref="N762:O762"/>
    <mergeCell ref="P762:Q762"/>
    <mergeCell ref="AL761:BB761"/>
    <mergeCell ref="AD761:AE761"/>
    <mergeCell ref="AF761:AG761"/>
    <mergeCell ref="AH761:AI761"/>
    <mergeCell ref="AJ761:AK761"/>
    <mergeCell ref="R761:S761"/>
    <mergeCell ref="T761:U761"/>
    <mergeCell ref="V761:W761"/>
    <mergeCell ref="X761:Y761"/>
    <mergeCell ref="Z761:AA761"/>
    <mergeCell ref="AB761:AC761"/>
    <mergeCell ref="B761:C761"/>
    <mergeCell ref="D761:E761"/>
    <mergeCell ref="F761:G761"/>
    <mergeCell ref="H761:I761"/>
    <mergeCell ref="J761:K761"/>
    <mergeCell ref="L761:M761"/>
    <mergeCell ref="N761:O761"/>
    <mergeCell ref="P761:Q761"/>
    <mergeCell ref="AL760:BB760"/>
    <mergeCell ref="AD760:AE760"/>
    <mergeCell ref="AF760:AG760"/>
    <mergeCell ref="AH760:AI760"/>
    <mergeCell ref="AJ760:AK760"/>
    <mergeCell ref="R760:S760"/>
    <mergeCell ref="T760:U760"/>
    <mergeCell ref="V760:W760"/>
    <mergeCell ref="X760:Y760"/>
    <mergeCell ref="Z760:AA760"/>
    <mergeCell ref="AB760:AC760"/>
    <mergeCell ref="B760:C760"/>
    <mergeCell ref="D760:E760"/>
    <mergeCell ref="F760:G760"/>
    <mergeCell ref="H760:I760"/>
    <mergeCell ref="J760:K760"/>
    <mergeCell ref="L760:M760"/>
    <mergeCell ref="N760:O760"/>
    <mergeCell ref="P760:Q760"/>
    <mergeCell ref="AL759:BB759"/>
    <mergeCell ref="AD759:AE759"/>
    <mergeCell ref="AF759:AG759"/>
    <mergeCell ref="AH759:AI759"/>
    <mergeCell ref="AJ759:AK759"/>
    <mergeCell ref="R759:S759"/>
    <mergeCell ref="T759:U759"/>
    <mergeCell ref="V759:W759"/>
    <mergeCell ref="X759:Y759"/>
    <mergeCell ref="Z759:AA759"/>
    <mergeCell ref="AB759:AC759"/>
    <mergeCell ref="B759:C759"/>
    <mergeCell ref="D759:E759"/>
    <mergeCell ref="F759:G759"/>
    <mergeCell ref="H759:I759"/>
    <mergeCell ref="J759:K759"/>
    <mergeCell ref="L759:M759"/>
    <mergeCell ref="N759:O759"/>
    <mergeCell ref="P759:Q759"/>
    <mergeCell ref="AL758:BB758"/>
    <mergeCell ref="AD758:AE758"/>
    <mergeCell ref="AF758:AG758"/>
    <mergeCell ref="AH758:AI758"/>
    <mergeCell ref="AJ758:AK758"/>
    <mergeCell ref="R758:S758"/>
    <mergeCell ref="T758:U758"/>
    <mergeCell ref="V758:W758"/>
    <mergeCell ref="X758:Y758"/>
    <mergeCell ref="Z758:AA758"/>
    <mergeCell ref="AB758:AC758"/>
    <mergeCell ref="B758:C758"/>
    <mergeCell ref="D758:E758"/>
    <mergeCell ref="F758:G758"/>
    <mergeCell ref="H758:I758"/>
    <mergeCell ref="J758:K758"/>
    <mergeCell ref="L758:M758"/>
    <mergeCell ref="N758:O758"/>
    <mergeCell ref="P758:Q758"/>
    <mergeCell ref="AL757:BB757"/>
    <mergeCell ref="AD757:AE757"/>
    <mergeCell ref="AF757:AG757"/>
    <mergeCell ref="AH757:AI757"/>
    <mergeCell ref="AJ757:AK757"/>
    <mergeCell ref="R757:S757"/>
    <mergeCell ref="T757:U757"/>
    <mergeCell ref="V757:W757"/>
    <mergeCell ref="X757:Y757"/>
    <mergeCell ref="Z757:AA757"/>
    <mergeCell ref="AB757:AC757"/>
    <mergeCell ref="B757:C757"/>
    <mergeCell ref="D757:E757"/>
    <mergeCell ref="F757:G757"/>
    <mergeCell ref="H757:I757"/>
    <mergeCell ref="J757:K757"/>
    <mergeCell ref="L757:M757"/>
    <mergeCell ref="N757:O757"/>
    <mergeCell ref="P757:Q757"/>
    <mergeCell ref="AL756:BB756"/>
    <mergeCell ref="AD756:AE756"/>
    <mergeCell ref="AF756:AG756"/>
    <mergeCell ref="AH756:AI756"/>
    <mergeCell ref="AJ756:AK756"/>
    <mergeCell ref="R756:S756"/>
    <mergeCell ref="T756:U756"/>
    <mergeCell ref="V756:W756"/>
    <mergeCell ref="X756:Y756"/>
    <mergeCell ref="Z756:AA756"/>
    <mergeCell ref="AB756:AC756"/>
    <mergeCell ref="B756:C756"/>
    <mergeCell ref="D756:E756"/>
    <mergeCell ref="F756:G756"/>
    <mergeCell ref="H756:I756"/>
    <mergeCell ref="J756:K756"/>
    <mergeCell ref="L756:M756"/>
    <mergeCell ref="N756:O756"/>
    <mergeCell ref="P756:Q756"/>
    <mergeCell ref="AL755:BB755"/>
    <mergeCell ref="AD755:AE755"/>
    <mergeCell ref="AF755:AG755"/>
    <mergeCell ref="AH755:AI755"/>
    <mergeCell ref="AJ755:AK755"/>
    <mergeCell ref="R755:S755"/>
    <mergeCell ref="T755:U755"/>
    <mergeCell ref="V755:W755"/>
    <mergeCell ref="X755:Y755"/>
    <mergeCell ref="Z755:AA755"/>
    <mergeCell ref="AB755:AC755"/>
    <mergeCell ref="B755:C755"/>
    <mergeCell ref="D755:E755"/>
    <mergeCell ref="F755:G755"/>
    <mergeCell ref="H755:I755"/>
    <mergeCell ref="J755:K755"/>
    <mergeCell ref="L755:M755"/>
    <mergeCell ref="N755:O755"/>
    <mergeCell ref="P755:Q755"/>
    <mergeCell ref="AL754:BB754"/>
    <mergeCell ref="AD754:AE754"/>
    <mergeCell ref="AF754:AG754"/>
    <mergeCell ref="AH754:AI754"/>
    <mergeCell ref="AJ754:AK754"/>
    <mergeCell ref="R754:S754"/>
    <mergeCell ref="T754:U754"/>
    <mergeCell ref="V754:W754"/>
    <mergeCell ref="X754:Y754"/>
    <mergeCell ref="Z754:AA754"/>
    <mergeCell ref="AB754:AC754"/>
    <mergeCell ref="B754:C754"/>
    <mergeCell ref="D754:E754"/>
    <mergeCell ref="F754:G754"/>
    <mergeCell ref="H754:I754"/>
    <mergeCell ref="J754:K754"/>
    <mergeCell ref="L754:M754"/>
    <mergeCell ref="N754:O754"/>
    <mergeCell ref="P754:Q754"/>
    <mergeCell ref="AL753:BB753"/>
    <mergeCell ref="AD753:AE753"/>
    <mergeCell ref="AF753:AG753"/>
    <mergeCell ref="AH753:AI753"/>
    <mergeCell ref="AJ753:AK753"/>
    <mergeCell ref="R753:S753"/>
    <mergeCell ref="T753:U753"/>
    <mergeCell ref="V753:W753"/>
    <mergeCell ref="X753:Y753"/>
    <mergeCell ref="Z753:AA753"/>
    <mergeCell ref="AB753:AC753"/>
    <mergeCell ref="B753:C753"/>
    <mergeCell ref="D753:E753"/>
    <mergeCell ref="F753:G753"/>
    <mergeCell ref="H753:I753"/>
    <mergeCell ref="J753:K753"/>
    <mergeCell ref="L753:M753"/>
    <mergeCell ref="N753:O753"/>
    <mergeCell ref="P753:Q753"/>
    <mergeCell ref="AL752:BB752"/>
    <mergeCell ref="AD752:AE752"/>
    <mergeCell ref="AF752:AG752"/>
    <mergeCell ref="AH752:AI752"/>
    <mergeCell ref="AJ752:AK752"/>
    <mergeCell ref="R752:S752"/>
    <mergeCell ref="T752:U752"/>
    <mergeCell ref="V752:W752"/>
    <mergeCell ref="X752:Y752"/>
    <mergeCell ref="Z752:AA752"/>
    <mergeCell ref="AB752:AC752"/>
    <mergeCell ref="B752:C752"/>
    <mergeCell ref="D752:E752"/>
    <mergeCell ref="F752:G752"/>
    <mergeCell ref="H752:I752"/>
    <mergeCell ref="J752:K752"/>
    <mergeCell ref="L752:M752"/>
    <mergeCell ref="N752:O752"/>
    <mergeCell ref="P752:Q752"/>
    <mergeCell ref="AL751:BB751"/>
    <mergeCell ref="AD751:AE751"/>
    <mergeCell ref="AF751:AG751"/>
    <mergeCell ref="AH751:AI751"/>
    <mergeCell ref="AJ751:AK751"/>
    <mergeCell ref="R751:S751"/>
    <mergeCell ref="T751:U751"/>
    <mergeCell ref="V751:W751"/>
    <mergeCell ref="X751:Y751"/>
    <mergeCell ref="Z751:AA751"/>
    <mergeCell ref="AB751:AC751"/>
    <mergeCell ref="B751:C751"/>
    <mergeCell ref="D751:E751"/>
    <mergeCell ref="F751:G751"/>
    <mergeCell ref="H751:I751"/>
    <mergeCell ref="J751:K751"/>
    <mergeCell ref="L751:M751"/>
    <mergeCell ref="N751:O751"/>
    <mergeCell ref="P751:Q751"/>
    <mergeCell ref="AL750:BB750"/>
    <mergeCell ref="AD750:AE750"/>
    <mergeCell ref="AF750:AG750"/>
    <mergeCell ref="AH750:AI750"/>
    <mergeCell ref="AJ750:AK750"/>
    <mergeCell ref="R750:S750"/>
    <mergeCell ref="T750:U750"/>
    <mergeCell ref="V750:W750"/>
    <mergeCell ref="X750:Y750"/>
    <mergeCell ref="Z750:AA750"/>
    <mergeCell ref="AB750:AC750"/>
    <mergeCell ref="B750:C750"/>
    <mergeCell ref="D750:E750"/>
    <mergeCell ref="F750:G750"/>
    <mergeCell ref="H750:I750"/>
    <mergeCell ref="J750:K750"/>
    <mergeCell ref="L750:M750"/>
    <mergeCell ref="N750:O750"/>
    <mergeCell ref="P750:Q750"/>
    <mergeCell ref="AL749:BB749"/>
    <mergeCell ref="AD749:AE749"/>
    <mergeCell ref="AF749:AG749"/>
    <mergeCell ref="AH749:AI749"/>
    <mergeCell ref="AJ749:AK749"/>
    <mergeCell ref="R749:S749"/>
    <mergeCell ref="T749:U749"/>
    <mergeCell ref="V749:W749"/>
    <mergeCell ref="X749:Y749"/>
    <mergeCell ref="Z749:AA749"/>
    <mergeCell ref="AB749:AC749"/>
    <mergeCell ref="B749:C749"/>
    <mergeCell ref="D749:E749"/>
    <mergeCell ref="F749:G749"/>
    <mergeCell ref="H749:I749"/>
    <mergeCell ref="J749:K749"/>
    <mergeCell ref="L749:M749"/>
    <mergeCell ref="N749:O749"/>
    <mergeCell ref="P749:Q749"/>
    <mergeCell ref="AL748:BB748"/>
    <mergeCell ref="AD748:AE748"/>
    <mergeCell ref="AF748:AG748"/>
    <mergeCell ref="AH748:AI748"/>
    <mergeCell ref="AJ748:AK748"/>
    <mergeCell ref="R748:S748"/>
    <mergeCell ref="T748:U748"/>
    <mergeCell ref="V748:W748"/>
    <mergeCell ref="X748:Y748"/>
    <mergeCell ref="Z748:AA748"/>
    <mergeCell ref="AB748:AC748"/>
    <mergeCell ref="B748:C748"/>
    <mergeCell ref="D748:E748"/>
    <mergeCell ref="F748:G748"/>
    <mergeCell ref="H748:I748"/>
    <mergeCell ref="J748:K748"/>
    <mergeCell ref="L748:M748"/>
    <mergeCell ref="N748:O748"/>
    <mergeCell ref="P748:Q748"/>
    <mergeCell ref="AL747:BB747"/>
    <mergeCell ref="AD747:AE747"/>
    <mergeCell ref="AF747:AG747"/>
    <mergeCell ref="AH747:AI747"/>
    <mergeCell ref="AJ747:AK747"/>
    <mergeCell ref="R747:S747"/>
    <mergeCell ref="T747:U747"/>
    <mergeCell ref="V747:W747"/>
    <mergeCell ref="X747:Y747"/>
    <mergeCell ref="Z747:AA747"/>
    <mergeCell ref="AB747:AC747"/>
    <mergeCell ref="B747:C747"/>
    <mergeCell ref="D747:E747"/>
    <mergeCell ref="F747:G747"/>
    <mergeCell ref="H747:I747"/>
    <mergeCell ref="J747:K747"/>
    <mergeCell ref="L747:M747"/>
    <mergeCell ref="N747:O747"/>
    <mergeCell ref="P747:Q747"/>
    <mergeCell ref="AL746:BB746"/>
    <mergeCell ref="AD746:AE746"/>
    <mergeCell ref="AF746:AG746"/>
    <mergeCell ref="AH746:AI746"/>
    <mergeCell ref="AJ746:AK746"/>
    <mergeCell ref="R746:S746"/>
    <mergeCell ref="T746:U746"/>
    <mergeCell ref="V746:W746"/>
    <mergeCell ref="X746:Y746"/>
    <mergeCell ref="Z746:AA746"/>
    <mergeCell ref="AB746:AC746"/>
    <mergeCell ref="B746:C746"/>
    <mergeCell ref="D746:E746"/>
    <mergeCell ref="F746:G746"/>
    <mergeCell ref="H746:I746"/>
    <mergeCell ref="J746:K746"/>
    <mergeCell ref="L746:M746"/>
    <mergeCell ref="N746:O746"/>
    <mergeCell ref="P746:Q746"/>
    <mergeCell ref="AL745:BB745"/>
    <mergeCell ref="AD745:AE745"/>
    <mergeCell ref="AF745:AG745"/>
    <mergeCell ref="AH745:AI745"/>
    <mergeCell ref="AJ745:AK745"/>
    <mergeCell ref="R745:S745"/>
    <mergeCell ref="T745:U745"/>
    <mergeCell ref="V745:W745"/>
    <mergeCell ref="X745:Y745"/>
    <mergeCell ref="Z745:AA745"/>
    <mergeCell ref="AB745:AC745"/>
    <mergeCell ref="B745:C745"/>
    <mergeCell ref="D745:E745"/>
    <mergeCell ref="F745:G745"/>
    <mergeCell ref="H745:I745"/>
    <mergeCell ref="J745:K745"/>
    <mergeCell ref="L745:M745"/>
    <mergeCell ref="N745:O745"/>
    <mergeCell ref="P745:Q745"/>
    <mergeCell ref="AL744:BB744"/>
    <mergeCell ref="AD744:AE744"/>
    <mergeCell ref="AF744:AG744"/>
    <mergeCell ref="AH744:AI744"/>
    <mergeCell ref="AJ744:AK744"/>
    <mergeCell ref="R744:S744"/>
    <mergeCell ref="T744:U744"/>
    <mergeCell ref="V744:W744"/>
    <mergeCell ref="X744:Y744"/>
    <mergeCell ref="Z744:AA744"/>
    <mergeCell ref="AB744:AC744"/>
    <mergeCell ref="B744:C744"/>
    <mergeCell ref="D744:E744"/>
    <mergeCell ref="F744:G744"/>
    <mergeCell ref="H744:I744"/>
    <mergeCell ref="J744:K744"/>
    <mergeCell ref="L744:M744"/>
    <mergeCell ref="N744:O744"/>
    <mergeCell ref="P744:Q744"/>
    <mergeCell ref="AL743:BB743"/>
    <mergeCell ref="AD743:AE743"/>
    <mergeCell ref="AF743:AG743"/>
    <mergeCell ref="AH743:AI743"/>
    <mergeCell ref="AJ743:AK743"/>
    <mergeCell ref="R743:S743"/>
    <mergeCell ref="T743:U743"/>
    <mergeCell ref="V743:W743"/>
    <mergeCell ref="X743:Y743"/>
    <mergeCell ref="Z743:AA743"/>
    <mergeCell ref="AB743:AC743"/>
    <mergeCell ref="B743:C743"/>
    <mergeCell ref="D743:E743"/>
    <mergeCell ref="F743:G743"/>
    <mergeCell ref="H743:I743"/>
    <mergeCell ref="J743:K743"/>
    <mergeCell ref="L743:M743"/>
    <mergeCell ref="N743:O743"/>
    <mergeCell ref="P743:Q743"/>
    <mergeCell ref="AL742:BB742"/>
    <mergeCell ref="AD742:AE742"/>
    <mergeCell ref="AF742:AG742"/>
    <mergeCell ref="AH742:AI742"/>
    <mergeCell ref="AJ742:AK742"/>
    <mergeCell ref="R742:S742"/>
    <mergeCell ref="T742:U742"/>
    <mergeCell ref="V742:W742"/>
    <mergeCell ref="X742:Y742"/>
    <mergeCell ref="Z742:AA742"/>
    <mergeCell ref="AB742:AC742"/>
    <mergeCell ref="B742:C742"/>
    <mergeCell ref="D742:E742"/>
    <mergeCell ref="F742:G742"/>
    <mergeCell ref="H742:I742"/>
    <mergeCell ref="J742:K742"/>
    <mergeCell ref="L742:M742"/>
    <mergeCell ref="N742:O742"/>
    <mergeCell ref="P742:Q742"/>
    <mergeCell ref="AL741:BB741"/>
    <mergeCell ref="AD741:AE741"/>
    <mergeCell ref="AF741:AG741"/>
    <mergeCell ref="AH741:AI741"/>
    <mergeCell ref="AJ741:AK741"/>
    <mergeCell ref="R741:S741"/>
    <mergeCell ref="T741:U741"/>
    <mergeCell ref="V741:W741"/>
    <mergeCell ref="X741:Y741"/>
    <mergeCell ref="Z741:AA741"/>
    <mergeCell ref="AB741:AC741"/>
    <mergeCell ref="B741:C741"/>
    <mergeCell ref="D741:E741"/>
    <mergeCell ref="F741:G741"/>
    <mergeCell ref="H741:I741"/>
    <mergeCell ref="J741:K741"/>
    <mergeCell ref="L741:M741"/>
    <mergeCell ref="N741:O741"/>
    <mergeCell ref="P741:Q741"/>
    <mergeCell ref="AL740:BB740"/>
    <mergeCell ref="AD740:AE740"/>
    <mergeCell ref="AF740:AG740"/>
    <mergeCell ref="AH740:AI740"/>
    <mergeCell ref="AJ740:AK740"/>
    <mergeCell ref="R740:S740"/>
    <mergeCell ref="T740:U740"/>
    <mergeCell ref="V740:W740"/>
    <mergeCell ref="X740:Y740"/>
    <mergeCell ref="Z740:AA740"/>
    <mergeCell ref="AB740:AC740"/>
    <mergeCell ref="B740:C740"/>
    <mergeCell ref="D740:E740"/>
    <mergeCell ref="F740:G740"/>
    <mergeCell ref="H740:I740"/>
    <mergeCell ref="J740:K740"/>
    <mergeCell ref="L740:M740"/>
    <mergeCell ref="N740:O740"/>
    <mergeCell ref="P740:Q740"/>
    <mergeCell ref="AL739:BB739"/>
    <mergeCell ref="AD739:AE739"/>
    <mergeCell ref="AF739:AG739"/>
    <mergeCell ref="AH739:AI739"/>
    <mergeCell ref="AJ739:AK739"/>
    <mergeCell ref="R739:S739"/>
    <mergeCell ref="T739:U739"/>
    <mergeCell ref="V739:W739"/>
    <mergeCell ref="X739:Y739"/>
    <mergeCell ref="Z739:AA739"/>
    <mergeCell ref="AB739:AC739"/>
    <mergeCell ref="B739:C739"/>
    <mergeCell ref="D739:E739"/>
    <mergeCell ref="F739:G739"/>
    <mergeCell ref="H739:I739"/>
    <mergeCell ref="J739:K739"/>
    <mergeCell ref="L739:M739"/>
    <mergeCell ref="N739:O739"/>
    <mergeCell ref="P739:Q739"/>
    <mergeCell ref="AL738:BB738"/>
    <mergeCell ref="AD738:AE738"/>
    <mergeCell ref="AF738:AG738"/>
    <mergeCell ref="AH738:AI738"/>
    <mergeCell ref="AJ738:AK738"/>
    <mergeCell ref="R738:S738"/>
    <mergeCell ref="T738:U738"/>
    <mergeCell ref="V738:W738"/>
    <mergeCell ref="X738:Y738"/>
    <mergeCell ref="Z738:AA738"/>
    <mergeCell ref="AB738:AC738"/>
    <mergeCell ref="B738:C738"/>
    <mergeCell ref="D738:E738"/>
    <mergeCell ref="F738:G738"/>
    <mergeCell ref="H738:I738"/>
    <mergeCell ref="J738:K738"/>
    <mergeCell ref="L738:M738"/>
    <mergeCell ref="N738:O738"/>
    <mergeCell ref="P738:Q738"/>
    <mergeCell ref="AL737:BB737"/>
    <mergeCell ref="AD737:AE737"/>
    <mergeCell ref="AF737:AG737"/>
    <mergeCell ref="AH737:AI737"/>
    <mergeCell ref="AJ737:AK737"/>
    <mergeCell ref="R737:S737"/>
    <mergeCell ref="T737:U737"/>
    <mergeCell ref="V737:W737"/>
    <mergeCell ref="X737:Y737"/>
    <mergeCell ref="Z737:AA737"/>
    <mergeCell ref="AB737:AC737"/>
    <mergeCell ref="B737:C737"/>
    <mergeCell ref="D737:E737"/>
    <mergeCell ref="F737:G737"/>
    <mergeCell ref="H737:I737"/>
    <mergeCell ref="J737:K737"/>
    <mergeCell ref="L737:M737"/>
    <mergeCell ref="N737:O737"/>
    <mergeCell ref="P737:Q737"/>
    <mergeCell ref="AL736:BB736"/>
    <mergeCell ref="AD736:AE736"/>
    <mergeCell ref="AF736:AG736"/>
    <mergeCell ref="AH736:AI736"/>
    <mergeCell ref="AJ736:AK736"/>
    <mergeCell ref="R736:S736"/>
    <mergeCell ref="T736:U736"/>
    <mergeCell ref="V736:W736"/>
    <mergeCell ref="X736:Y736"/>
    <mergeCell ref="Z736:AA736"/>
    <mergeCell ref="AB736:AC736"/>
    <mergeCell ref="B736:C736"/>
    <mergeCell ref="D736:E736"/>
    <mergeCell ref="F736:G736"/>
    <mergeCell ref="H736:I736"/>
    <mergeCell ref="J736:K736"/>
    <mergeCell ref="L736:M736"/>
    <mergeCell ref="N736:O736"/>
    <mergeCell ref="P736:Q736"/>
    <mergeCell ref="AL735:BB735"/>
    <mergeCell ref="AD735:AE735"/>
    <mergeCell ref="AF735:AG735"/>
    <mergeCell ref="AH735:AI735"/>
    <mergeCell ref="AJ735:AK735"/>
    <mergeCell ref="R735:S735"/>
    <mergeCell ref="T735:U735"/>
    <mergeCell ref="V735:W735"/>
    <mergeCell ref="X735:Y735"/>
    <mergeCell ref="Z735:AA735"/>
    <mergeCell ref="AB735:AC735"/>
    <mergeCell ref="B735:C735"/>
    <mergeCell ref="D735:E735"/>
    <mergeCell ref="F735:G735"/>
    <mergeCell ref="H735:I735"/>
    <mergeCell ref="J735:K735"/>
    <mergeCell ref="L735:M735"/>
    <mergeCell ref="N735:O735"/>
    <mergeCell ref="P735:Q735"/>
    <mergeCell ref="AL734:BB734"/>
    <mergeCell ref="AD734:AE734"/>
    <mergeCell ref="AF734:AG734"/>
    <mergeCell ref="AH734:AI734"/>
    <mergeCell ref="AJ734:AK734"/>
    <mergeCell ref="R734:S734"/>
    <mergeCell ref="T734:U734"/>
    <mergeCell ref="V734:W734"/>
    <mergeCell ref="X734:Y734"/>
    <mergeCell ref="Z734:AA734"/>
    <mergeCell ref="AB734:AC734"/>
    <mergeCell ref="B734:C734"/>
    <mergeCell ref="D734:E734"/>
    <mergeCell ref="F734:G734"/>
    <mergeCell ref="H734:I734"/>
    <mergeCell ref="J734:K734"/>
    <mergeCell ref="L734:M734"/>
    <mergeCell ref="N734:O734"/>
    <mergeCell ref="P734:Q734"/>
    <mergeCell ref="AL733:BB733"/>
    <mergeCell ref="AD733:AE733"/>
    <mergeCell ref="AF733:AG733"/>
    <mergeCell ref="AH733:AI733"/>
    <mergeCell ref="AJ733:AK733"/>
    <mergeCell ref="R733:S733"/>
    <mergeCell ref="T733:U733"/>
    <mergeCell ref="V733:W733"/>
    <mergeCell ref="X733:Y733"/>
    <mergeCell ref="Z733:AA733"/>
    <mergeCell ref="AB733:AC733"/>
    <mergeCell ref="B733:C733"/>
    <mergeCell ref="D733:E733"/>
    <mergeCell ref="F733:G733"/>
    <mergeCell ref="H733:I733"/>
    <mergeCell ref="J733:K733"/>
    <mergeCell ref="L733:M733"/>
    <mergeCell ref="N733:O733"/>
    <mergeCell ref="P733:Q733"/>
    <mergeCell ref="AL732:BB732"/>
    <mergeCell ref="AD732:AE732"/>
    <mergeCell ref="AF732:AG732"/>
    <mergeCell ref="AH732:AI732"/>
    <mergeCell ref="AJ732:AK732"/>
    <mergeCell ref="R732:S732"/>
    <mergeCell ref="T732:U732"/>
    <mergeCell ref="V732:W732"/>
    <mergeCell ref="X732:Y732"/>
    <mergeCell ref="Z732:AA732"/>
    <mergeCell ref="AB732:AC732"/>
    <mergeCell ref="B732:C732"/>
    <mergeCell ref="D732:E732"/>
    <mergeCell ref="F732:G732"/>
    <mergeCell ref="H732:I732"/>
    <mergeCell ref="J732:K732"/>
    <mergeCell ref="L732:M732"/>
    <mergeCell ref="N732:O732"/>
    <mergeCell ref="P732:Q732"/>
    <mergeCell ref="AL731:BB731"/>
    <mergeCell ref="AD731:AE731"/>
    <mergeCell ref="AF731:AG731"/>
    <mergeCell ref="AH731:AI731"/>
    <mergeCell ref="AJ731:AK731"/>
    <mergeCell ref="R731:S731"/>
    <mergeCell ref="T731:U731"/>
    <mergeCell ref="V731:W731"/>
    <mergeCell ref="X731:Y731"/>
    <mergeCell ref="Z731:AA731"/>
    <mergeCell ref="AB731:AC731"/>
    <mergeCell ref="B731:C731"/>
    <mergeCell ref="D731:E731"/>
    <mergeCell ref="F731:G731"/>
    <mergeCell ref="H731:I731"/>
    <mergeCell ref="J731:K731"/>
    <mergeCell ref="L731:M731"/>
    <mergeCell ref="N731:O731"/>
    <mergeCell ref="P731:Q731"/>
    <mergeCell ref="AL730:BB730"/>
    <mergeCell ref="AD730:AE730"/>
    <mergeCell ref="AF730:AG730"/>
    <mergeCell ref="AH730:AI730"/>
    <mergeCell ref="AJ730:AK730"/>
    <mergeCell ref="R730:S730"/>
    <mergeCell ref="T730:U730"/>
    <mergeCell ref="V730:W730"/>
    <mergeCell ref="X730:Y730"/>
    <mergeCell ref="Z730:AA730"/>
    <mergeCell ref="AB730:AC730"/>
    <mergeCell ref="B730:C730"/>
    <mergeCell ref="D730:E730"/>
    <mergeCell ref="F730:G730"/>
    <mergeCell ref="H730:I730"/>
    <mergeCell ref="J730:K730"/>
    <mergeCell ref="L730:M730"/>
    <mergeCell ref="N730:O730"/>
    <mergeCell ref="P730:Q730"/>
    <mergeCell ref="AL729:BB729"/>
    <mergeCell ref="AD729:AE729"/>
    <mergeCell ref="AF729:AG729"/>
    <mergeCell ref="AH729:AI729"/>
    <mergeCell ref="AJ729:AK729"/>
    <mergeCell ref="R729:S729"/>
    <mergeCell ref="T729:U729"/>
    <mergeCell ref="V729:W729"/>
    <mergeCell ref="X729:Y729"/>
    <mergeCell ref="Z729:AA729"/>
    <mergeCell ref="AB729:AC729"/>
    <mergeCell ref="B729:C729"/>
    <mergeCell ref="D729:E729"/>
    <mergeCell ref="F729:G729"/>
    <mergeCell ref="H729:I729"/>
    <mergeCell ref="J729:K729"/>
    <mergeCell ref="L729:M729"/>
    <mergeCell ref="N729:O729"/>
    <mergeCell ref="P729:Q729"/>
    <mergeCell ref="AL728:BB728"/>
    <mergeCell ref="AD728:AE728"/>
    <mergeCell ref="AF728:AG728"/>
    <mergeCell ref="AH728:AI728"/>
    <mergeCell ref="AJ728:AK728"/>
    <mergeCell ref="R728:S728"/>
    <mergeCell ref="T728:U728"/>
    <mergeCell ref="V728:W728"/>
    <mergeCell ref="X728:Y728"/>
    <mergeCell ref="Z728:AA728"/>
    <mergeCell ref="AB728:AC728"/>
    <mergeCell ref="B728:C728"/>
    <mergeCell ref="D728:E728"/>
    <mergeCell ref="F728:G728"/>
    <mergeCell ref="H728:I728"/>
    <mergeCell ref="J728:K728"/>
    <mergeCell ref="L728:M728"/>
    <mergeCell ref="N728:O728"/>
    <mergeCell ref="P728:Q728"/>
    <mergeCell ref="AL727:BB727"/>
    <mergeCell ref="AD727:AE727"/>
    <mergeCell ref="AF727:AG727"/>
    <mergeCell ref="AH727:AI727"/>
    <mergeCell ref="AJ727:AK727"/>
    <mergeCell ref="R727:S727"/>
    <mergeCell ref="T727:U727"/>
    <mergeCell ref="V727:W727"/>
    <mergeCell ref="X727:Y727"/>
    <mergeCell ref="Z727:AA727"/>
    <mergeCell ref="AB727:AC727"/>
    <mergeCell ref="B727:C727"/>
    <mergeCell ref="D727:E727"/>
    <mergeCell ref="F727:G727"/>
    <mergeCell ref="H727:I727"/>
    <mergeCell ref="J727:K727"/>
    <mergeCell ref="L727:M727"/>
    <mergeCell ref="N727:O727"/>
    <mergeCell ref="P727:Q727"/>
    <mergeCell ref="AL726:BB726"/>
    <mergeCell ref="AD726:AE726"/>
    <mergeCell ref="AF726:AG726"/>
    <mergeCell ref="AH726:AI726"/>
    <mergeCell ref="AJ726:AK726"/>
    <mergeCell ref="R726:S726"/>
    <mergeCell ref="T726:U726"/>
    <mergeCell ref="V726:W726"/>
    <mergeCell ref="X726:Y726"/>
    <mergeCell ref="Z726:AA726"/>
    <mergeCell ref="AB726:AC726"/>
    <mergeCell ref="B726:C726"/>
    <mergeCell ref="D726:E726"/>
    <mergeCell ref="F726:G726"/>
    <mergeCell ref="H726:I726"/>
    <mergeCell ref="J726:K726"/>
    <mergeCell ref="L726:M726"/>
    <mergeCell ref="N726:O726"/>
    <mergeCell ref="P726:Q726"/>
    <mergeCell ref="AL725:BB725"/>
    <mergeCell ref="AD725:AE725"/>
    <mergeCell ref="AF725:AG725"/>
    <mergeCell ref="AH725:AI725"/>
    <mergeCell ref="AJ725:AK725"/>
    <mergeCell ref="R725:S725"/>
    <mergeCell ref="T725:U725"/>
    <mergeCell ref="V725:W725"/>
    <mergeCell ref="X725:Y725"/>
    <mergeCell ref="Z725:AA725"/>
    <mergeCell ref="AB725:AC725"/>
    <mergeCell ref="B725:C725"/>
    <mergeCell ref="D725:E725"/>
    <mergeCell ref="F725:G725"/>
    <mergeCell ref="H725:I725"/>
    <mergeCell ref="J725:K725"/>
    <mergeCell ref="L725:M725"/>
    <mergeCell ref="N725:O725"/>
    <mergeCell ref="P725:Q725"/>
    <mergeCell ref="AL724:BB724"/>
    <mergeCell ref="AD724:AE724"/>
    <mergeCell ref="AF724:AG724"/>
    <mergeCell ref="AH724:AI724"/>
    <mergeCell ref="AJ724:AK724"/>
    <mergeCell ref="R724:S724"/>
    <mergeCell ref="T724:U724"/>
    <mergeCell ref="V724:W724"/>
    <mergeCell ref="X724:Y724"/>
    <mergeCell ref="Z724:AA724"/>
    <mergeCell ref="AB724:AC724"/>
    <mergeCell ref="B724:C724"/>
    <mergeCell ref="D724:E724"/>
    <mergeCell ref="F724:G724"/>
    <mergeCell ref="H724:I724"/>
    <mergeCell ref="J724:K724"/>
    <mergeCell ref="L724:M724"/>
    <mergeCell ref="N724:O724"/>
    <mergeCell ref="P724:Q724"/>
    <mergeCell ref="AL723:BB723"/>
    <mergeCell ref="AD723:AE723"/>
    <mergeCell ref="AF723:AG723"/>
    <mergeCell ref="AH723:AI723"/>
    <mergeCell ref="AJ723:AK723"/>
    <mergeCell ref="R723:S723"/>
    <mergeCell ref="T723:U723"/>
    <mergeCell ref="V723:W723"/>
    <mergeCell ref="X723:Y723"/>
    <mergeCell ref="Z723:AA723"/>
    <mergeCell ref="AB723:AC723"/>
    <mergeCell ref="B723:C723"/>
    <mergeCell ref="D723:E723"/>
    <mergeCell ref="F723:G723"/>
    <mergeCell ref="H723:I723"/>
    <mergeCell ref="J723:K723"/>
    <mergeCell ref="L723:M723"/>
    <mergeCell ref="N723:O723"/>
    <mergeCell ref="P723:Q723"/>
    <mergeCell ref="AL722:BB722"/>
    <mergeCell ref="AD722:AE722"/>
    <mergeCell ref="AF722:AG722"/>
    <mergeCell ref="AH722:AI722"/>
    <mergeCell ref="AJ722:AK722"/>
    <mergeCell ref="R722:S722"/>
    <mergeCell ref="T722:U722"/>
    <mergeCell ref="V722:W722"/>
    <mergeCell ref="X722:Y722"/>
    <mergeCell ref="Z722:AA722"/>
    <mergeCell ref="AB722:AC722"/>
    <mergeCell ref="B722:C722"/>
    <mergeCell ref="D722:E722"/>
    <mergeCell ref="F722:G722"/>
    <mergeCell ref="H722:I722"/>
    <mergeCell ref="J722:K722"/>
    <mergeCell ref="L722:M722"/>
    <mergeCell ref="N722:O722"/>
    <mergeCell ref="P722:Q722"/>
    <mergeCell ref="AL721:BB721"/>
    <mergeCell ref="AD721:AE721"/>
    <mergeCell ref="AF721:AG721"/>
    <mergeCell ref="AH721:AI721"/>
    <mergeCell ref="AJ721:AK721"/>
    <mergeCell ref="R721:S721"/>
    <mergeCell ref="T721:U721"/>
    <mergeCell ref="V721:W721"/>
    <mergeCell ref="X721:Y721"/>
    <mergeCell ref="Z721:AA721"/>
    <mergeCell ref="AB721:AC721"/>
    <mergeCell ref="B721:C721"/>
    <mergeCell ref="D721:E721"/>
    <mergeCell ref="F721:G721"/>
    <mergeCell ref="H721:I721"/>
    <mergeCell ref="J721:K721"/>
    <mergeCell ref="L721:M721"/>
    <mergeCell ref="N721:O721"/>
    <mergeCell ref="P721:Q721"/>
    <mergeCell ref="AL720:BB720"/>
    <mergeCell ref="AD720:AE720"/>
    <mergeCell ref="AF720:AG720"/>
    <mergeCell ref="AH720:AI720"/>
    <mergeCell ref="AJ720:AK720"/>
    <mergeCell ref="R720:S720"/>
    <mergeCell ref="T720:U720"/>
    <mergeCell ref="V720:W720"/>
    <mergeCell ref="X720:Y720"/>
    <mergeCell ref="Z720:AA720"/>
    <mergeCell ref="AB720:AC720"/>
    <mergeCell ref="B720:C720"/>
    <mergeCell ref="D720:E720"/>
    <mergeCell ref="F720:G720"/>
    <mergeCell ref="H720:I720"/>
    <mergeCell ref="J720:K720"/>
    <mergeCell ref="L720:M720"/>
    <mergeCell ref="N720:O720"/>
    <mergeCell ref="P720:Q720"/>
    <mergeCell ref="AL719:BB719"/>
    <mergeCell ref="AD719:AE719"/>
    <mergeCell ref="AF719:AG719"/>
    <mergeCell ref="AH719:AI719"/>
    <mergeCell ref="AJ719:AK719"/>
    <mergeCell ref="R719:S719"/>
    <mergeCell ref="T719:U719"/>
    <mergeCell ref="V719:W719"/>
    <mergeCell ref="X719:Y719"/>
    <mergeCell ref="Z719:AA719"/>
    <mergeCell ref="AB719:AC719"/>
    <mergeCell ref="B719:C719"/>
    <mergeCell ref="D719:E719"/>
    <mergeCell ref="F719:G719"/>
    <mergeCell ref="H719:I719"/>
    <mergeCell ref="J719:K719"/>
    <mergeCell ref="L719:M719"/>
    <mergeCell ref="N719:O719"/>
    <mergeCell ref="P719:Q719"/>
    <mergeCell ref="AL718:BB718"/>
    <mergeCell ref="AD718:AE718"/>
    <mergeCell ref="AF718:AG718"/>
    <mergeCell ref="AH718:AI718"/>
    <mergeCell ref="AJ718:AK718"/>
    <mergeCell ref="R718:S718"/>
    <mergeCell ref="T718:U718"/>
    <mergeCell ref="V718:W718"/>
    <mergeCell ref="X718:Y718"/>
    <mergeCell ref="Z718:AA718"/>
    <mergeCell ref="AB718:AC718"/>
    <mergeCell ref="B718:C718"/>
    <mergeCell ref="D718:E718"/>
    <mergeCell ref="F718:G718"/>
    <mergeCell ref="H718:I718"/>
    <mergeCell ref="J718:K718"/>
    <mergeCell ref="L718:M718"/>
    <mergeCell ref="N718:O718"/>
    <mergeCell ref="P718:Q718"/>
    <mergeCell ref="AL717:BB717"/>
    <mergeCell ref="AD717:AE717"/>
    <mergeCell ref="AF717:AG717"/>
    <mergeCell ref="AH717:AI717"/>
    <mergeCell ref="AJ717:AK717"/>
    <mergeCell ref="R717:S717"/>
    <mergeCell ref="T717:U717"/>
    <mergeCell ref="V717:W717"/>
    <mergeCell ref="X717:Y717"/>
    <mergeCell ref="Z717:AA717"/>
    <mergeCell ref="AB717:AC717"/>
    <mergeCell ref="B717:C717"/>
    <mergeCell ref="D717:E717"/>
    <mergeCell ref="F717:G717"/>
    <mergeCell ref="H717:I717"/>
    <mergeCell ref="J717:K717"/>
    <mergeCell ref="L717:M717"/>
    <mergeCell ref="N717:O717"/>
    <mergeCell ref="P717:Q717"/>
    <mergeCell ref="AL716:BB716"/>
    <mergeCell ref="AD716:AE716"/>
    <mergeCell ref="AF716:AG716"/>
    <mergeCell ref="AH716:AI716"/>
    <mergeCell ref="AJ716:AK716"/>
    <mergeCell ref="R716:S716"/>
    <mergeCell ref="T716:U716"/>
    <mergeCell ref="V716:W716"/>
    <mergeCell ref="X716:Y716"/>
    <mergeCell ref="Z716:AA716"/>
    <mergeCell ref="AB716:AC716"/>
    <mergeCell ref="B716:C716"/>
    <mergeCell ref="D716:E716"/>
    <mergeCell ref="F716:G716"/>
    <mergeCell ref="H716:I716"/>
    <mergeCell ref="J716:K716"/>
    <mergeCell ref="L716:M716"/>
    <mergeCell ref="N716:O716"/>
    <mergeCell ref="P716:Q716"/>
    <mergeCell ref="AL715:BB715"/>
    <mergeCell ref="AD715:AE715"/>
    <mergeCell ref="AF715:AG715"/>
    <mergeCell ref="AH715:AI715"/>
    <mergeCell ref="AJ715:AK715"/>
    <mergeCell ref="R715:S715"/>
    <mergeCell ref="T715:U715"/>
    <mergeCell ref="V715:W715"/>
    <mergeCell ref="X715:Y715"/>
    <mergeCell ref="Z715:AA715"/>
    <mergeCell ref="AB715:AC715"/>
    <mergeCell ref="B715:C715"/>
    <mergeCell ref="D715:E715"/>
    <mergeCell ref="F715:G715"/>
    <mergeCell ref="H715:I715"/>
    <mergeCell ref="J715:K715"/>
    <mergeCell ref="L715:M715"/>
    <mergeCell ref="N715:O715"/>
    <mergeCell ref="P715:Q715"/>
    <mergeCell ref="AL714:BB714"/>
    <mergeCell ref="AD714:AE714"/>
    <mergeCell ref="AF714:AG714"/>
    <mergeCell ref="AH714:AI714"/>
    <mergeCell ref="AJ714:AK714"/>
    <mergeCell ref="R714:S714"/>
    <mergeCell ref="T714:U714"/>
    <mergeCell ref="V714:W714"/>
    <mergeCell ref="X714:Y714"/>
    <mergeCell ref="Z714:AA714"/>
    <mergeCell ref="AB714:AC714"/>
    <mergeCell ref="B714:C714"/>
    <mergeCell ref="D714:E714"/>
    <mergeCell ref="F714:G714"/>
    <mergeCell ref="H714:I714"/>
    <mergeCell ref="J714:K714"/>
    <mergeCell ref="L714:M714"/>
    <mergeCell ref="N714:O714"/>
    <mergeCell ref="P714:Q714"/>
    <mergeCell ref="AL713:BB713"/>
    <mergeCell ref="AD713:AE713"/>
    <mergeCell ref="AF713:AG713"/>
    <mergeCell ref="AH713:AI713"/>
    <mergeCell ref="AJ713:AK713"/>
    <mergeCell ref="R713:S713"/>
    <mergeCell ref="T713:U713"/>
    <mergeCell ref="V713:W713"/>
    <mergeCell ref="X713:Y713"/>
    <mergeCell ref="Z713:AA713"/>
    <mergeCell ref="AB713:AC713"/>
    <mergeCell ref="B713:C713"/>
    <mergeCell ref="D713:E713"/>
    <mergeCell ref="F713:G713"/>
    <mergeCell ref="H713:I713"/>
    <mergeCell ref="J713:K713"/>
    <mergeCell ref="L713:M713"/>
    <mergeCell ref="N713:O713"/>
    <mergeCell ref="P713:Q713"/>
    <mergeCell ref="AL712:BB712"/>
    <mergeCell ref="AD712:AE712"/>
    <mergeCell ref="AF712:AG712"/>
    <mergeCell ref="AH712:AI712"/>
    <mergeCell ref="AJ712:AK712"/>
    <mergeCell ref="R712:S712"/>
    <mergeCell ref="T712:U712"/>
    <mergeCell ref="V712:W712"/>
    <mergeCell ref="X712:Y712"/>
    <mergeCell ref="Z712:AA712"/>
    <mergeCell ref="AB712:AC712"/>
    <mergeCell ref="B712:C712"/>
    <mergeCell ref="D712:E712"/>
    <mergeCell ref="F712:G712"/>
    <mergeCell ref="H712:I712"/>
    <mergeCell ref="J712:K712"/>
    <mergeCell ref="L712:M712"/>
    <mergeCell ref="N712:O712"/>
    <mergeCell ref="P712:Q712"/>
    <mergeCell ref="AL711:BB711"/>
    <mergeCell ref="AD711:AE711"/>
    <mergeCell ref="AF711:AG711"/>
    <mergeCell ref="AH711:AI711"/>
    <mergeCell ref="AJ711:AK711"/>
    <mergeCell ref="R711:S711"/>
    <mergeCell ref="T711:U711"/>
    <mergeCell ref="V711:W711"/>
    <mergeCell ref="X711:Y711"/>
    <mergeCell ref="Z711:AA711"/>
    <mergeCell ref="AB711:AC711"/>
    <mergeCell ref="B711:C711"/>
    <mergeCell ref="D711:E711"/>
    <mergeCell ref="F711:G711"/>
    <mergeCell ref="H711:I711"/>
    <mergeCell ref="J711:K711"/>
    <mergeCell ref="L711:M711"/>
    <mergeCell ref="N711:O711"/>
    <mergeCell ref="P711:Q711"/>
    <mergeCell ref="AL710:BB710"/>
    <mergeCell ref="AD710:AE710"/>
    <mergeCell ref="AF710:AG710"/>
    <mergeCell ref="AH710:AI710"/>
    <mergeCell ref="AJ710:AK710"/>
    <mergeCell ref="R710:S710"/>
    <mergeCell ref="T710:U710"/>
    <mergeCell ref="V710:W710"/>
    <mergeCell ref="X710:Y710"/>
    <mergeCell ref="Z710:AA710"/>
    <mergeCell ref="AB710:AC710"/>
    <mergeCell ref="B710:C710"/>
    <mergeCell ref="D710:E710"/>
    <mergeCell ref="F710:G710"/>
    <mergeCell ref="H710:I710"/>
    <mergeCell ref="J710:K710"/>
    <mergeCell ref="L710:M710"/>
    <mergeCell ref="N710:O710"/>
    <mergeCell ref="P710:Q710"/>
    <mergeCell ref="AL709:BB709"/>
    <mergeCell ref="AD709:AE709"/>
    <mergeCell ref="AF709:AG709"/>
    <mergeCell ref="AH709:AI709"/>
    <mergeCell ref="AJ709:AK709"/>
    <mergeCell ref="R709:S709"/>
    <mergeCell ref="T709:U709"/>
    <mergeCell ref="V709:W709"/>
    <mergeCell ref="X709:Y709"/>
    <mergeCell ref="Z709:AA709"/>
    <mergeCell ref="AB709:AC709"/>
    <mergeCell ref="B709:C709"/>
    <mergeCell ref="D709:E709"/>
    <mergeCell ref="F709:G709"/>
    <mergeCell ref="H709:I709"/>
    <mergeCell ref="J709:K709"/>
    <mergeCell ref="L709:M709"/>
    <mergeCell ref="N709:O709"/>
    <mergeCell ref="P709:Q709"/>
    <mergeCell ref="AL708:BB708"/>
    <mergeCell ref="AD708:AE708"/>
    <mergeCell ref="AF708:AG708"/>
    <mergeCell ref="AH708:AI708"/>
    <mergeCell ref="AJ708:AK708"/>
    <mergeCell ref="R708:S708"/>
    <mergeCell ref="T708:U708"/>
    <mergeCell ref="V708:W708"/>
    <mergeCell ref="X708:Y708"/>
    <mergeCell ref="Z708:AA708"/>
    <mergeCell ref="AB708:AC708"/>
    <mergeCell ref="B708:C708"/>
    <mergeCell ref="D708:E708"/>
    <mergeCell ref="F708:G708"/>
    <mergeCell ref="H708:I708"/>
    <mergeCell ref="J708:K708"/>
    <mergeCell ref="L708:M708"/>
    <mergeCell ref="N708:O708"/>
    <mergeCell ref="P708:Q708"/>
    <mergeCell ref="AL707:BB707"/>
    <mergeCell ref="AD707:AE707"/>
    <mergeCell ref="AF707:AG707"/>
    <mergeCell ref="AH707:AI707"/>
    <mergeCell ref="AJ707:AK707"/>
    <mergeCell ref="R707:S707"/>
    <mergeCell ref="T707:U707"/>
    <mergeCell ref="V707:W707"/>
    <mergeCell ref="X707:Y707"/>
    <mergeCell ref="Z707:AA707"/>
    <mergeCell ref="AB707:AC707"/>
    <mergeCell ref="B707:C707"/>
    <mergeCell ref="D707:E707"/>
    <mergeCell ref="F707:G707"/>
    <mergeCell ref="H707:I707"/>
    <mergeCell ref="J707:K707"/>
    <mergeCell ref="L707:M707"/>
    <mergeCell ref="N707:O707"/>
    <mergeCell ref="P707:Q707"/>
    <mergeCell ref="AL706:BB706"/>
    <mergeCell ref="Z706:AA706"/>
    <mergeCell ref="AB706:AC706"/>
    <mergeCell ref="AD706:AE706"/>
    <mergeCell ref="AF706:AG706"/>
    <mergeCell ref="AH706:AI706"/>
    <mergeCell ref="AJ706:AK706"/>
    <mergeCell ref="N706:O706"/>
    <mergeCell ref="P706:Q706"/>
    <mergeCell ref="R706:S706"/>
    <mergeCell ref="T706:U706"/>
    <mergeCell ref="V706:W706"/>
    <mergeCell ref="X706:Y706"/>
    <mergeCell ref="B706:C706"/>
    <mergeCell ref="D706:E706"/>
    <mergeCell ref="F706:G706"/>
    <mergeCell ref="H706:I706"/>
    <mergeCell ref="J706:K706"/>
    <mergeCell ref="L706:M706"/>
    <mergeCell ref="AL705:BB705"/>
    <mergeCell ref="AD705:AE705"/>
    <mergeCell ref="AF705:AG705"/>
    <mergeCell ref="AH705:AI705"/>
    <mergeCell ref="AJ705:AK705"/>
    <mergeCell ref="R705:S705"/>
    <mergeCell ref="T705:U705"/>
    <mergeCell ref="V705:W705"/>
    <mergeCell ref="X705:Y705"/>
    <mergeCell ref="Z705:AA705"/>
    <mergeCell ref="AB705:AC705"/>
    <mergeCell ref="B705:C705"/>
    <mergeCell ref="D705:E705"/>
    <mergeCell ref="F705:G705"/>
    <mergeCell ref="H705:I705"/>
    <mergeCell ref="J705:K705"/>
    <mergeCell ref="L705:M705"/>
    <mergeCell ref="N705:O705"/>
    <mergeCell ref="P705:Q705"/>
    <mergeCell ref="AL704:BB704"/>
    <mergeCell ref="Z704:AA704"/>
    <mergeCell ref="AB704:AC704"/>
    <mergeCell ref="AD704:AE704"/>
    <mergeCell ref="AF704:AG704"/>
    <mergeCell ref="AH704:AI704"/>
    <mergeCell ref="AJ704:AK704"/>
    <mergeCell ref="N704:O704"/>
    <mergeCell ref="P704:Q704"/>
    <mergeCell ref="R704:S704"/>
    <mergeCell ref="T704:U704"/>
    <mergeCell ref="V704:W704"/>
    <mergeCell ref="X704:Y704"/>
    <mergeCell ref="B704:C704"/>
    <mergeCell ref="D704:E704"/>
    <mergeCell ref="F704:G704"/>
    <mergeCell ref="H704:I704"/>
    <mergeCell ref="J704:K704"/>
    <mergeCell ref="L704:M704"/>
    <mergeCell ref="AL703:BB703"/>
    <mergeCell ref="AD703:AE703"/>
    <mergeCell ref="AF703:AG703"/>
    <mergeCell ref="AH703:AI703"/>
    <mergeCell ref="AJ703:AK703"/>
    <mergeCell ref="R703:S703"/>
    <mergeCell ref="T703:U703"/>
    <mergeCell ref="V703:W703"/>
    <mergeCell ref="X703:Y703"/>
    <mergeCell ref="Z703:AA703"/>
    <mergeCell ref="AB703:AC703"/>
    <mergeCell ref="B703:C703"/>
    <mergeCell ref="D703:E703"/>
    <mergeCell ref="F703:G703"/>
    <mergeCell ref="H703:I703"/>
    <mergeCell ref="J703:K703"/>
    <mergeCell ref="L703:M703"/>
    <mergeCell ref="N703:O703"/>
    <mergeCell ref="P703:Q703"/>
    <mergeCell ref="AL702:BB702"/>
    <mergeCell ref="Z702:AA702"/>
    <mergeCell ref="AB702:AC702"/>
    <mergeCell ref="AD702:AE702"/>
    <mergeCell ref="AF702:AG702"/>
    <mergeCell ref="AH702:AI702"/>
    <mergeCell ref="AJ702:AK702"/>
    <mergeCell ref="N702:O702"/>
    <mergeCell ref="P702:Q702"/>
    <mergeCell ref="R702:S702"/>
    <mergeCell ref="T702:U702"/>
    <mergeCell ref="V702:W702"/>
    <mergeCell ref="X702:Y702"/>
    <mergeCell ref="B702:C702"/>
    <mergeCell ref="D702:E702"/>
    <mergeCell ref="F702:G702"/>
    <mergeCell ref="H702:I702"/>
    <mergeCell ref="J702:K702"/>
    <mergeCell ref="L702:M702"/>
    <mergeCell ref="AL701:BB701"/>
    <mergeCell ref="AD701:AE701"/>
    <mergeCell ref="AF701:AG701"/>
    <mergeCell ref="AH701:AI701"/>
    <mergeCell ref="AJ701:AK701"/>
    <mergeCell ref="R701:S701"/>
    <mergeCell ref="T701:U701"/>
    <mergeCell ref="V701:W701"/>
    <mergeCell ref="X701:Y701"/>
    <mergeCell ref="Z701:AA701"/>
    <mergeCell ref="AB701:AC701"/>
    <mergeCell ref="B701:C701"/>
    <mergeCell ref="D701:E701"/>
    <mergeCell ref="F701:G701"/>
    <mergeCell ref="H701:I701"/>
    <mergeCell ref="J701:K701"/>
    <mergeCell ref="L701:M701"/>
    <mergeCell ref="N701:O701"/>
    <mergeCell ref="P701:Q701"/>
    <mergeCell ref="AL700:BB700"/>
    <mergeCell ref="Z700:AA700"/>
    <mergeCell ref="AB700:AC700"/>
    <mergeCell ref="AD700:AE700"/>
    <mergeCell ref="AF700:AG700"/>
    <mergeCell ref="AH700:AI700"/>
    <mergeCell ref="AJ700:AK700"/>
    <mergeCell ref="N700:O700"/>
    <mergeCell ref="P700:Q700"/>
    <mergeCell ref="R700:S700"/>
    <mergeCell ref="T700:U700"/>
    <mergeCell ref="V700:W700"/>
    <mergeCell ref="X700:Y700"/>
    <mergeCell ref="B700:C700"/>
    <mergeCell ref="D700:E700"/>
    <mergeCell ref="F700:G700"/>
    <mergeCell ref="H700:I700"/>
    <mergeCell ref="J700:K700"/>
    <mergeCell ref="L700:M700"/>
    <mergeCell ref="AL699:BB699"/>
    <mergeCell ref="AD699:AE699"/>
    <mergeCell ref="AF699:AG699"/>
    <mergeCell ref="AH699:AI699"/>
    <mergeCell ref="AJ699:AK699"/>
    <mergeCell ref="R699:S699"/>
    <mergeCell ref="T699:U699"/>
    <mergeCell ref="V699:W699"/>
    <mergeCell ref="X699:Y699"/>
    <mergeCell ref="Z699:AA699"/>
    <mergeCell ref="AB699:AC699"/>
    <mergeCell ref="B699:C699"/>
    <mergeCell ref="D699:E699"/>
    <mergeCell ref="F699:G699"/>
    <mergeCell ref="H699:I699"/>
    <mergeCell ref="J699:K699"/>
    <mergeCell ref="L699:M699"/>
    <mergeCell ref="N699:O699"/>
    <mergeCell ref="P699:Q699"/>
    <mergeCell ref="AL698:BB698"/>
    <mergeCell ref="Z698:AA698"/>
    <mergeCell ref="AB698:AC698"/>
    <mergeCell ref="AD698:AE698"/>
    <mergeCell ref="AF698:AG698"/>
    <mergeCell ref="AH698:AI698"/>
    <mergeCell ref="AJ698:AK698"/>
    <mergeCell ref="N698:O698"/>
    <mergeCell ref="P698:Q698"/>
    <mergeCell ref="R698:S698"/>
    <mergeCell ref="T698:U698"/>
    <mergeCell ref="V698:W698"/>
    <mergeCell ref="X698:Y698"/>
    <mergeCell ref="B698:C698"/>
    <mergeCell ref="D698:E698"/>
    <mergeCell ref="F698:G698"/>
    <mergeCell ref="H698:I698"/>
    <mergeCell ref="J698:K698"/>
    <mergeCell ref="L698:M698"/>
    <mergeCell ref="AL697:BB697"/>
    <mergeCell ref="Z697:AA697"/>
    <mergeCell ref="AB697:AC697"/>
    <mergeCell ref="AD697:AE697"/>
    <mergeCell ref="AF697:AG697"/>
    <mergeCell ref="AH697:AI697"/>
    <mergeCell ref="AJ697:AK697"/>
    <mergeCell ref="N697:O697"/>
    <mergeCell ref="P697:Q697"/>
    <mergeCell ref="R697:S697"/>
    <mergeCell ref="T697:U697"/>
    <mergeCell ref="V697:W697"/>
    <mergeCell ref="X697:Y697"/>
    <mergeCell ref="B697:C697"/>
    <mergeCell ref="D697:E697"/>
    <mergeCell ref="F697:G697"/>
    <mergeCell ref="H697:I697"/>
    <mergeCell ref="J697:K697"/>
    <mergeCell ref="L697:M697"/>
    <mergeCell ref="AL696:BB696"/>
    <mergeCell ref="AD696:AE696"/>
    <mergeCell ref="AF696:AG696"/>
    <mergeCell ref="AH696:AI696"/>
    <mergeCell ref="AJ696:AK696"/>
    <mergeCell ref="R696:S696"/>
    <mergeCell ref="T696:U696"/>
    <mergeCell ref="V696:W696"/>
    <mergeCell ref="X696:Y696"/>
    <mergeCell ref="Z696:AA696"/>
    <mergeCell ref="AB696:AC696"/>
    <mergeCell ref="B696:C696"/>
    <mergeCell ref="D696:E696"/>
    <mergeCell ref="F696:G696"/>
    <mergeCell ref="H696:I696"/>
    <mergeCell ref="J696:K696"/>
    <mergeCell ref="L696:M696"/>
    <mergeCell ref="N696:O696"/>
    <mergeCell ref="P696:Q696"/>
    <mergeCell ref="AL695:BB695"/>
    <mergeCell ref="AD695:AE695"/>
    <mergeCell ref="AF695:AG695"/>
    <mergeCell ref="AH695:AI695"/>
    <mergeCell ref="AJ695:AK695"/>
    <mergeCell ref="R695:S695"/>
    <mergeCell ref="T695:U695"/>
    <mergeCell ref="V695:W695"/>
    <mergeCell ref="X695:Y695"/>
    <mergeCell ref="Z695:AA695"/>
    <mergeCell ref="AB695:AC695"/>
    <mergeCell ref="B695:C695"/>
    <mergeCell ref="D695:E695"/>
    <mergeCell ref="F695:G695"/>
    <mergeCell ref="H695:I695"/>
    <mergeCell ref="J695:K695"/>
    <mergeCell ref="L695:M695"/>
    <mergeCell ref="N695:O695"/>
    <mergeCell ref="P695:Q695"/>
    <mergeCell ref="AL694:BB694"/>
    <mergeCell ref="AD694:AE694"/>
    <mergeCell ref="AF694:AG694"/>
    <mergeCell ref="AH694:AI694"/>
    <mergeCell ref="AJ694:AK694"/>
    <mergeCell ref="R694:S694"/>
    <mergeCell ref="T694:U694"/>
    <mergeCell ref="V694:W694"/>
    <mergeCell ref="X694:Y694"/>
    <mergeCell ref="Z694:AA694"/>
    <mergeCell ref="AB694:AC694"/>
    <mergeCell ref="B694:C694"/>
    <mergeCell ref="D694:E694"/>
    <mergeCell ref="F694:G694"/>
    <mergeCell ref="H694:I694"/>
    <mergeCell ref="J694:K694"/>
    <mergeCell ref="L694:M694"/>
    <mergeCell ref="N694:O694"/>
    <mergeCell ref="P694:Q694"/>
    <mergeCell ref="AL693:BB693"/>
    <mergeCell ref="AD693:AE693"/>
    <mergeCell ref="AF693:AG693"/>
    <mergeCell ref="AH693:AI693"/>
    <mergeCell ref="AJ693:AK693"/>
    <mergeCell ref="R693:S693"/>
    <mergeCell ref="T693:U693"/>
    <mergeCell ref="V693:W693"/>
    <mergeCell ref="X693:Y693"/>
    <mergeCell ref="Z693:AA693"/>
    <mergeCell ref="AB693:AC693"/>
    <mergeCell ref="B693:C693"/>
    <mergeCell ref="D693:E693"/>
    <mergeCell ref="F693:G693"/>
    <mergeCell ref="H693:I693"/>
    <mergeCell ref="J693:K693"/>
    <mergeCell ref="L693:M693"/>
    <mergeCell ref="N693:O693"/>
    <mergeCell ref="P693:Q693"/>
    <mergeCell ref="AL692:BB692"/>
    <mergeCell ref="AD692:AE692"/>
    <mergeCell ref="AF692:AG692"/>
    <mergeCell ref="AH692:AI692"/>
    <mergeCell ref="AJ692:AK692"/>
    <mergeCell ref="R692:S692"/>
    <mergeCell ref="T692:U692"/>
    <mergeCell ref="V692:W692"/>
    <mergeCell ref="X692:Y692"/>
    <mergeCell ref="Z692:AA692"/>
    <mergeCell ref="AB692:AC692"/>
    <mergeCell ref="B692:C692"/>
    <mergeCell ref="D692:E692"/>
    <mergeCell ref="F692:G692"/>
    <mergeCell ref="H692:I692"/>
    <mergeCell ref="J692:K692"/>
    <mergeCell ref="L692:M692"/>
    <mergeCell ref="N692:O692"/>
    <mergeCell ref="P692:Q692"/>
    <mergeCell ref="AL691:BB691"/>
    <mergeCell ref="AD691:AE691"/>
    <mergeCell ref="AF691:AG691"/>
    <mergeCell ref="AH691:AI691"/>
    <mergeCell ref="AJ691:AK691"/>
    <mergeCell ref="R691:S691"/>
    <mergeCell ref="T691:U691"/>
    <mergeCell ref="V691:W691"/>
    <mergeCell ref="X691:Y691"/>
    <mergeCell ref="Z691:AA691"/>
    <mergeCell ref="AB691:AC691"/>
    <mergeCell ref="B691:C691"/>
    <mergeCell ref="D691:E691"/>
    <mergeCell ref="F691:G691"/>
    <mergeCell ref="H691:I691"/>
    <mergeCell ref="J691:K691"/>
    <mergeCell ref="L691:M691"/>
    <mergeCell ref="N691:O691"/>
    <mergeCell ref="P691:Q691"/>
    <mergeCell ref="AL690:BB690"/>
    <mergeCell ref="AD690:AE690"/>
    <mergeCell ref="AF690:AG690"/>
    <mergeCell ref="AH690:AI690"/>
    <mergeCell ref="AJ690:AK690"/>
    <mergeCell ref="R690:S690"/>
    <mergeCell ref="T690:U690"/>
    <mergeCell ref="V690:W690"/>
    <mergeCell ref="X690:Y690"/>
    <mergeCell ref="Z690:AA690"/>
    <mergeCell ref="AB690:AC690"/>
    <mergeCell ref="B690:C690"/>
    <mergeCell ref="D690:E690"/>
    <mergeCell ref="F690:G690"/>
    <mergeCell ref="H690:I690"/>
    <mergeCell ref="J690:K690"/>
    <mergeCell ref="L690:M690"/>
    <mergeCell ref="N690:O690"/>
    <mergeCell ref="P690:Q690"/>
    <mergeCell ref="AL689:BB689"/>
    <mergeCell ref="AD689:AE689"/>
    <mergeCell ref="AF689:AG689"/>
    <mergeCell ref="AH689:AI689"/>
    <mergeCell ref="AJ689:AK689"/>
    <mergeCell ref="R689:S689"/>
    <mergeCell ref="T689:U689"/>
    <mergeCell ref="V689:W689"/>
    <mergeCell ref="X689:Y689"/>
    <mergeCell ref="Z689:AA689"/>
    <mergeCell ref="AB689:AC689"/>
    <mergeCell ref="B689:C689"/>
    <mergeCell ref="D689:E689"/>
    <mergeCell ref="F689:G689"/>
    <mergeCell ref="H689:I689"/>
    <mergeCell ref="J689:K689"/>
    <mergeCell ref="L689:M689"/>
    <mergeCell ref="N689:O689"/>
    <mergeCell ref="P689:Q689"/>
    <mergeCell ref="AL688:BB688"/>
    <mergeCell ref="AD688:AE688"/>
    <mergeCell ref="AF688:AG688"/>
    <mergeCell ref="AH688:AI688"/>
    <mergeCell ref="AJ688:AK688"/>
    <mergeCell ref="R688:S688"/>
    <mergeCell ref="T688:U688"/>
    <mergeCell ref="V688:W688"/>
    <mergeCell ref="X688:Y688"/>
    <mergeCell ref="Z688:AA688"/>
    <mergeCell ref="AB688:AC688"/>
    <mergeCell ref="B688:C688"/>
    <mergeCell ref="D688:E688"/>
    <mergeCell ref="F688:G688"/>
    <mergeCell ref="H688:I688"/>
    <mergeCell ref="J688:K688"/>
    <mergeCell ref="L688:M688"/>
    <mergeCell ref="N688:O688"/>
    <mergeCell ref="P688:Q688"/>
    <mergeCell ref="AL687:BB687"/>
    <mergeCell ref="AD687:AE687"/>
    <mergeCell ref="AF687:AG687"/>
    <mergeCell ref="AH687:AI687"/>
    <mergeCell ref="AJ687:AK687"/>
    <mergeCell ref="R687:S687"/>
    <mergeCell ref="T687:U687"/>
    <mergeCell ref="V687:W687"/>
    <mergeCell ref="X687:Y687"/>
    <mergeCell ref="Z687:AA687"/>
    <mergeCell ref="AB687:AC687"/>
    <mergeCell ref="B687:C687"/>
    <mergeCell ref="D687:E687"/>
    <mergeCell ref="F687:G687"/>
    <mergeCell ref="H687:I687"/>
    <mergeCell ref="J687:K687"/>
    <mergeCell ref="L687:M687"/>
    <mergeCell ref="N687:O687"/>
    <mergeCell ref="P687:Q687"/>
    <mergeCell ref="AL686:BB686"/>
    <mergeCell ref="AD686:AE686"/>
    <mergeCell ref="AF686:AG686"/>
    <mergeCell ref="AH686:AI686"/>
    <mergeCell ref="AJ686:AK686"/>
    <mergeCell ref="R686:S686"/>
    <mergeCell ref="T686:U686"/>
    <mergeCell ref="V686:W686"/>
    <mergeCell ref="X686:Y686"/>
    <mergeCell ref="Z686:AA686"/>
    <mergeCell ref="AB686:AC686"/>
    <mergeCell ref="B686:C686"/>
    <mergeCell ref="D686:E686"/>
    <mergeCell ref="F686:G686"/>
    <mergeCell ref="H686:I686"/>
    <mergeCell ref="J686:K686"/>
    <mergeCell ref="L686:M686"/>
    <mergeCell ref="N686:O686"/>
    <mergeCell ref="P686:Q686"/>
    <mergeCell ref="AL685:BB685"/>
    <mergeCell ref="AD685:AE685"/>
    <mergeCell ref="AF685:AG685"/>
    <mergeCell ref="AH685:AI685"/>
    <mergeCell ref="AJ685:AK685"/>
    <mergeCell ref="R685:S685"/>
    <mergeCell ref="T685:U685"/>
    <mergeCell ref="V685:W685"/>
    <mergeCell ref="X685:Y685"/>
    <mergeCell ref="Z685:AA685"/>
    <mergeCell ref="AB685:AC685"/>
    <mergeCell ref="B685:C685"/>
    <mergeCell ref="D685:E685"/>
    <mergeCell ref="F685:G685"/>
    <mergeCell ref="H685:I685"/>
    <mergeCell ref="J685:K685"/>
    <mergeCell ref="L685:M685"/>
    <mergeCell ref="N685:O685"/>
    <mergeCell ref="P685:Q685"/>
    <mergeCell ref="AL684:BB684"/>
    <mergeCell ref="AD684:AE684"/>
    <mergeCell ref="AF684:AG684"/>
    <mergeCell ref="AH684:AI684"/>
    <mergeCell ref="AJ684:AK684"/>
    <mergeCell ref="R684:S684"/>
    <mergeCell ref="T684:U684"/>
    <mergeCell ref="V684:W684"/>
    <mergeCell ref="X684:Y684"/>
    <mergeCell ref="Z684:AA684"/>
    <mergeCell ref="AB684:AC684"/>
    <mergeCell ref="B684:C684"/>
    <mergeCell ref="D684:E684"/>
    <mergeCell ref="F684:G684"/>
    <mergeCell ref="H684:I684"/>
    <mergeCell ref="J684:K684"/>
    <mergeCell ref="L684:M684"/>
    <mergeCell ref="N684:O684"/>
    <mergeCell ref="P684:Q684"/>
    <mergeCell ref="AL683:BB683"/>
    <mergeCell ref="AD683:AE683"/>
    <mergeCell ref="AF683:AG683"/>
    <mergeCell ref="AH683:AI683"/>
    <mergeCell ref="AJ683:AK683"/>
    <mergeCell ref="R683:S683"/>
    <mergeCell ref="T683:U683"/>
    <mergeCell ref="V683:W683"/>
    <mergeCell ref="X683:Y683"/>
    <mergeCell ref="Z683:AA683"/>
    <mergeCell ref="AB683:AC683"/>
    <mergeCell ref="B683:C683"/>
    <mergeCell ref="D683:E683"/>
    <mergeCell ref="F683:G683"/>
    <mergeCell ref="H683:I683"/>
    <mergeCell ref="J683:K683"/>
    <mergeCell ref="L683:M683"/>
    <mergeCell ref="N683:O683"/>
    <mergeCell ref="P683:Q683"/>
    <mergeCell ref="AL682:BB682"/>
    <mergeCell ref="AD682:AE682"/>
    <mergeCell ref="AF682:AG682"/>
    <mergeCell ref="AH682:AI682"/>
    <mergeCell ref="AJ682:AK682"/>
    <mergeCell ref="R682:S682"/>
    <mergeCell ref="T682:U682"/>
    <mergeCell ref="V682:W682"/>
    <mergeCell ref="X682:Y682"/>
    <mergeCell ref="Z682:AA682"/>
    <mergeCell ref="AB682:AC682"/>
    <mergeCell ref="B682:C682"/>
    <mergeCell ref="D682:E682"/>
    <mergeCell ref="F682:G682"/>
    <mergeCell ref="H682:I682"/>
    <mergeCell ref="J682:K682"/>
    <mergeCell ref="L682:M682"/>
    <mergeCell ref="N682:O682"/>
    <mergeCell ref="P682:Q682"/>
    <mergeCell ref="AL681:BB681"/>
    <mergeCell ref="AD681:AE681"/>
    <mergeCell ref="AF681:AG681"/>
    <mergeCell ref="AH681:AI681"/>
    <mergeCell ref="AJ681:AK681"/>
    <mergeCell ref="R681:S681"/>
    <mergeCell ref="T681:U681"/>
    <mergeCell ref="V681:W681"/>
    <mergeCell ref="X681:Y681"/>
    <mergeCell ref="Z681:AA681"/>
    <mergeCell ref="AB681:AC681"/>
    <mergeCell ref="B681:C681"/>
    <mergeCell ref="D681:E681"/>
    <mergeCell ref="F681:G681"/>
    <mergeCell ref="H681:I681"/>
    <mergeCell ref="J681:K681"/>
    <mergeCell ref="L681:M681"/>
    <mergeCell ref="N681:O681"/>
    <mergeCell ref="P681:Q681"/>
    <mergeCell ref="AL680:BB680"/>
    <mergeCell ref="AD680:AE680"/>
    <mergeCell ref="AF680:AG680"/>
    <mergeCell ref="AH680:AI680"/>
    <mergeCell ref="AJ680:AK680"/>
    <mergeCell ref="R680:S680"/>
    <mergeCell ref="T680:U680"/>
    <mergeCell ref="V680:W680"/>
    <mergeCell ref="X680:Y680"/>
    <mergeCell ref="Z680:AA680"/>
    <mergeCell ref="AB680:AC680"/>
    <mergeCell ref="B680:C680"/>
    <mergeCell ref="D680:E680"/>
    <mergeCell ref="F680:G680"/>
    <mergeCell ref="H680:I680"/>
    <mergeCell ref="J680:K680"/>
    <mergeCell ref="L680:M680"/>
    <mergeCell ref="N680:O680"/>
    <mergeCell ref="P680:Q680"/>
    <mergeCell ref="AL679:BB679"/>
    <mergeCell ref="AD679:AE679"/>
    <mergeCell ref="AF679:AG679"/>
    <mergeCell ref="AH679:AI679"/>
    <mergeCell ref="AJ679:AK679"/>
    <mergeCell ref="R679:S679"/>
    <mergeCell ref="T679:U679"/>
    <mergeCell ref="V679:W679"/>
    <mergeCell ref="X679:Y679"/>
    <mergeCell ref="Z679:AA679"/>
    <mergeCell ref="AB679:AC679"/>
    <mergeCell ref="B679:C679"/>
    <mergeCell ref="D679:E679"/>
    <mergeCell ref="F679:G679"/>
    <mergeCell ref="H679:I679"/>
    <mergeCell ref="J679:K679"/>
    <mergeCell ref="L679:M679"/>
    <mergeCell ref="N679:O679"/>
    <mergeCell ref="P679:Q679"/>
    <mergeCell ref="AL678:BB678"/>
    <mergeCell ref="AD678:AE678"/>
    <mergeCell ref="AF678:AG678"/>
    <mergeCell ref="AH678:AI678"/>
    <mergeCell ref="AJ678:AK678"/>
    <mergeCell ref="R678:S678"/>
    <mergeCell ref="T678:U678"/>
    <mergeCell ref="V678:W678"/>
    <mergeCell ref="X678:Y678"/>
    <mergeCell ref="Z678:AA678"/>
    <mergeCell ref="AB678:AC678"/>
    <mergeCell ref="B678:C678"/>
    <mergeCell ref="D678:E678"/>
    <mergeCell ref="F678:G678"/>
    <mergeCell ref="H678:I678"/>
    <mergeCell ref="J678:K678"/>
    <mergeCell ref="L678:M678"/>
    <mergeCell ref="N678:O678"/>
    <mergeCell ref="P678:Q678"/>
    <mergeCell ref="AL677:BB677"/>
    <mergeCell ref="AD677:AE677"/>
    <mergeCell ref="AF677:AG677"/>
    <mergeCell ref="AH677:AI677"/>
    <mergeCell ref="AJ677:AK677"/>
    <mergeCell ref="R677:S677"/>
    <mergeCell ref="T677:U677"/>
    <mergeCell ref="V677:W677"/>
    <mergeCell ref="X677:Y677"/>
    <mergeCell ref="Z677:AA677"/>
    <mergeCell ref="AB677:AC677"/>
    <mergeCell ref="B677:C677"/>
    <mergeCell ref="D677:E677"/>
    <mergeCell ref="F677:G677"/>
    <mergeCell ref="H677:I677"/>
    <mergeCell ref="J677:K677"/>
    <mergeCell ref="L677:M677"/>
    <mergeCell ref="N677:O677"/>
    <mergeCell ref="P677:Q677"/>
    <mergeCell ref="AL676:BB676"/>
    <mergeCell ref="AD676:AE676"/>
    <mergeCell ref="AF676:AG676"/>
    <mergeCell ref="AH676:AI676"/>
    <mergeCell ref="AJ676:AK676"/>
    <mergeCell ref="R676:S676"/>
    <mergeCell ref="T676:U676"/>
    <mergeCell ref="V676:W676"/>
    <mergeCell ref="X676:Y676"/>
    <mergeCell ref="Z676:AA676"/>
    <mergeCell ref="AB676:AC676"/>
    <mergeCell ref="B676:C676"/>
    <mergeCell ref="D676:E676"/>
    <mergeCell ref="F676:G676"/>
    <mergeCell ref="H676:I676"/>
    <mergeCell ref="J676:K676"/>
    <mergeCell ref="L676:M676"/>
    <mergeCell ref="N676:O676"/>
    <mergeCell ref="P676:Q676"/>
    <mergeCell ref="AL675:BB675"/>
    <mergeCell ref="AD675:AE675"/>
    <mergeCell ref="AF675:AG675"/>
    <mergeCell ref="AH675:AI675"/>
    <mergeCell ref="AJ675:AK675"/>
    <mergeCell ref="R675:S675"/>
    <mergeCell ref="T675:U675"/>
    <mergeCell ref="V675:W675"/>
    <mergeCell ref="X675:Y675"/>
    <mergeCell ref="Z675:AA675"/>
    <mergeCell ref="AB675:AC675"/>
    <mergeCell ref="B675:C675"/>
    <mergeCell ref="D675:E675"/>
    <mergeCell ref="F675:G675"/>
    <mergeCell ref="H675:I675"/>
    <mergeCell ref="J675:K675"/>
    <mergeCell ref="L675:M675"/>
    <mergeCell ref="N675:O675"/>
    <mergeCell ref="P675:Q675"/>
    <mergeCell ref="AL674:BB674"/>
    <mergeCell ref="AD674:AE674"/>
    <mergeCell ref="AF674:AG674"/>
    <mergeCell ref="AH674:AI674"/>
    <mergeCell ref="AJ674:AK674"/>
    <mergeCell ref="R674:S674"/>
    <mergeCell ref="T674:U674"/>
    <mergeCell ref="V674:W674"/>
    <mergeCell ref="X674:Y674"/>
    <mergeCell ref="Z674:AA674"/>
    <mergeCell ref="AB674:AC674"/>
    <mergeCell ref="B674:C674"/>
    <mergeCell ref="D674:E674"/>
    <mergeCell ref="F674:G674"/>
    <mergeCell ref="H674:I674"/>
    <mergeCell ref="J674:K674"/>
    <mergeCell ref="L674:M674"/>
    <mergeCell ref="N674:O674"/>
    <mergeCell ref="P674:Q674"/>
    <mergeCell ref="AL673:BB673"/>
    <mergeCell ref="AD673:AE673"/>
    <mergeCell ref="AF673:AG673"/>
    <mergeCell ref="AH673:AI673"/>
    <mergeCell ref="AJ673:AK673"/>
    <mergeCell ref="R673:S673"/>
    <mergeCell ref="T673:U673"/>
    <mergeCell ref="V673:W673"/>
    <mergeCell ref="X673:Y673"/>
    <mergeCell ref="Z673:AA673"/>
    <mergeCell ref="AB673:AC673"/>
    <mergeCell ref="B673:C673"/>
    <mergeCell ref="D673:E673"/>
    <mergeCell ref="F673:G673"/>
    <mergeCell ref="H673:I673"/>
    <mergeCell ref="J673:K673"/>
    <mergeCell ref="L673:M673"/>
    <mergeCell ref="N673:O673"/>
    <mergeCell ref="P673:Q673"/>
    <mergeCell ref="AL672:BB672"/>
    <mergeCell ref="AD672:AE672"/>
    <mergeCell ref="AF672:AG672"/>
    <mergeCell ref="AH672:AI672"/>
    <mergeCell ref="AJ672:AK672"/>
    <mergeCell ref="R672:S672"/>
    <mergeCell ref="T672:U672"/>
    <mergeCell ref="V672:W672"/>
    <mergeCell ref="X672:Y672"/>
    <mergeCell ref="Z672:AA672"/>
    <mergeCell ref="AB672:AC672"/>
    <mergeCell ref="B672:C672"/>
    <mergeCell ref="D672:E672"/>
    <mergeCell ref="F672:G672"/>
    <mergeCell ref="H672:I672"/>
    <mergeCell ref="J672:K672"/>
    <mergeCell ref="L672:M672"/>
    <mergeCell ref="N672:O672"/>
    <mergeCell ref="P672:Q672"/>
    <mergeCell ref="AL671:BB671"/>
    <mergeCell ref="AD671:AE671"/>
    <mergeCell ref="AF671:AG671"/>
    <mergeCell ref="AH671:AI671"/>
    <mergeCell ref="AJ671:AK671"/>
    <mergeCell ref="R671:S671"/>
    <mergeCell ref="T671:U671"/>
    <mergeCell ref="V671:W671"/>
    <mergeCell ref="X671:Y671"/>
    <mergeCell ref="Z671:AA671"/>
    <mergeCell ref="AB671:AC671"/>
    <mergeCell ref="B671:C671"/>
    <mergeCell ref="D671:E671"/>
    <mergeCell ref="F671:G671"/>
    <mergeCell ref="H671:I671"/>
    <mergeCell ref="J671:K671"/>
    <mergeCell ref="L671:M671"/>
    <mergeCell ref="N671:O671"/>
    <mergeCell ref="P671:Q671"/>
    <mergeCell ref="AL670:BB670"/>
    <mergeCell ref="AD670:AE670"/>
    <mergeCell ref="AF670:AG670"/>
    <mergeCell ref="AH670:AI670"/>
    <mergeCell ref="AJ670:AK670"/>
    <mergeCell ref="R670:S670"/>
    <mergeCell ref="T670:U670"/>
    <mergeCell ref="V670:W670"/>
    <mergeCell ref="X670:Y670"/>
    <mergeCell ref="Z670:AA670"/>
    <mergeCell ref="AB670:AC670"/>
    <mergeCell ref="B670:C670"/>
    <mergeCell ref="D670:E670"/>
    <mergeCell ref="F670:G670"/>
    <mergeCell ref="H670:I670"/>
    <mergeCell ref="J670:K670"/>
    <mergeCell ref="L670:M670"/>
    <mergeCell ref="N670:O670"/>
    <mergeCell ref="P670:Q670"/>
    <mergeCell ref="AL669:BB669"/>
    <mergeCell ref="AD669:AE669"/>
    <mergeCell ref="AF669:AG669"/>
    <mergeCell ref="AH669:AI669"/>
    <mergeCell ref="AJ669:AK669"/>
    <mergeCell ref="R669:S669"/>
    <mergeCell ref="T669:U669"/>
    <mergeCell ref="V669:W669"/>
    <mergeCell ref="X669:Y669"/>
    <mergeCell ref="Z669:AA669"/>
    <mergeCell ref="AB669:AC669"/>
    <mergeCell ref="B669:C669"/>
    <mergeCell ref="D669:E669"/>
    <mergeCell ref="F669:G669"/>
    <mergeCell ref="H669:I669"/>
    <mergeCell ref="J669:K669"/>
    <mergeCell ref="L669:M669"/>
    <mergeCell ref="N669:O669"/>
    <mergeCell ref="P669:Q669"/>
    <mergeCell ref="AL668:BB668"/>
    <mergeCell ref="AD668:AE668"/>
    <mergeCell ref="AF668:AG668"/>
    <mergeCell ref="AH668:AI668"/>
    <mergeCell ref="AJ668:AK668"/>
    <mergeCell ref="R668:S668"/>
    <mergeCell ref="T668:U668"/>
    <mergeCell ref="V668:W668"/>
    <mergeCell ref="X668:Y668"/>
    <mergeCell ref="Z668:AA668"/>
    <mergeCell ref="AB668:AC668"/>
    <mergeCell ref="B668:C668"/>
    <mergeCell ref="D668:E668"/>
    <mergeCell ref="F668:G668"/>
    <mergeCell ref="H668:I668"/>
    <mergeCell ref="J668:K668"/>
    <mergeCell ref="L668:M668"/>
    <mergeCell ref="N668:O668"/>
    <mergeCell ref="P668:Q668"/>
    <mergeCell ref="AL667:BB667"/>
    <mergeCell ref="AD667:AE667"/>
    <mergeCell ref="AF667:AG667"/>
    <mergeCell ref="AH667:AI667"/>
    <mergeCell ref="AJ667:AK667"/>
    <mergeCell ref="R667:S667"/>
    <mergeCell ref="T667:U667"/>
    <mergeCell ref="V667:W667"/>
    <mergeCell ref="X667:Y667"/>
    <mergeCell ref="Z667:AA667"/>
    <mergeCell ref="AB667:AC667"/>
    <mergeCell ref="B667:C667"/>
    <mergeCell ref="D667:E667"/>
    <mergeCell ref="F667:G667"/>
    <mergeCell ref="H667:I667"/>
    <mergeCell ref="J667:K667"/>
    <mergeCell ref="L667:M667"/>
    <mergeCell ref="N667:O667"/>
    <mergeCell ref="P667:Q667"/>
    <mergeCell ref="AL666:BB666"/>
    <mergeCell ref="AD666:AE666"/>
    <mergeCell ref="AF666:AG666"/>
    <mergeCell ref="AH666:AI666"/>
    <mergeCell ref="AJ666:AK666"/>
    <mergeCell ref="R666:S666"/>
    <mergeCell ref="T666:U666"/>
    <mergeCell ref="V666:W666"/>
    <mergeCell ref="X666:Y666"/>
    <mergeCell ref="Z666:AA666"/>
    <mergeCell ref="AB666:AC666"/>
    <mergeCell ref="B666:C666"/>
    <mergeCell ref="D666:E666"/>
    <mergeCell ref="F666:G666"/>
    <mergeCell ref="H666:I666"/>
    <mergeCell ref="J666:K666"/>
    <mergeCell ref="L666:M666"/>
    <mergeCell ref="N666:O666"/>
    <mergeCell ref="P666:Q666"/>
    <mergeCell ref="AL665:BB665"/>
    <mergeCell ref="AD665:AE665"/>
    <mergeCell ref="AF665:AG665"/>
    <mergeCell ref="AH665:AI665"/>
    <mergeCell ref="AJ665:AK665"/>
    <mergeCell ref="R665:S665"/>
    <mergeCell ref="T665:U665"/>
    <mergeCell ref="V665:W665"/>
    <mergeCell ref="X665:Y665"/>
    <mergeCell ref="Z665:AA665"/>
    <mergeCell ref="AB665:AC665"/>
    <mergeCell ref="B665:C665"/>
    <mergeCell ref="D665:E665"/>
    <mergeCell ref="F665:G665"/>
    <mergeCell ref="H665:I665"/>
    <mergeCell ref="J665:K665"/>
    <mergeCell ref="L665:M665"/>
    <mergeCell ref="N665:O665"/>
    <mergeCell ref="P665:Q665"/>
    <mergeCell ref="AL664:BB664"/>
    <mergeCell ref="AD664:AE664"/>
    <mergeCell ref="AF664:AG664"/>
    <mergeCell ref="AH664:AI664"/>
    <mergeCell ref="AJ664:AK664"/>
    <mergeCell ref="R664:S664"/>
    <mergeCell ref="T664:U664"/>
    <mergeCell ref="V664:W664"/>
    <mergeCell ref="X664:Y664"/>
    <mergeCell ref="Z664:AA664"/>
    <mergeCell ref="AB664:AC664"/>
    <mergeCell ref="B664:C664"/>
    <mergeCell ref="D664:E664"/>
    <mergeCell ref="F664:G664"/>
    <mergeCell ref="H664:I664"/>
    <mergeCell ref="J664:K664"/>
    <mergeCell ref="L664:M664"/>
    <mergeCell ref="N664:O664"/>
    <mergeCell ref="P664:Q664"/>
    <mergeCell ref="AL663:BB663"/>
    <mergeCell ref="AD663:AE663"/>
    <mergeCell ref="AF663:AG663"/>
    <mergeCell ref="AH663:AI663"/>
    <mergeCell ref="AJ663:AK663"/>
    <mergeCell ref="R663:S663"/>
    <mergeCell ref="T663:U663"/>
    <mergeCell ref="V663:W663"/>
    <mergeCell ref="X663:Y663"/>
    <mergeCell ref="Z663:AA663"/>
    <mergeCell ref="AB663:AC663"/>
    <mergeCell ref="B663:C663"/>
    <mergeCell ref="D663:E663"/>
    <mergeCell ref="F663:G663"/>
    <mergeCell ref="H663:I663"/>
    <mergeCell ref="J663:K663"/>
    <mergeCell ref="L663:M663"/>
    <mergeCell ref="N663:O663"/>
    <mergeCell ref="P663:Q663"/>
    <mergeCell ref="AL662:BB662"/>
    <mergeCell ref="AD662:AE662"/>
    <mergeCell ref="AF662:AG662"/>
    <mergeCell ref="AH662:AI662"/>
    <mergeCell ref="AJ662:AK662"/>
    <mergeCell ref="R662:S662"/>
    <mergeCell ref="T662:U662"/>
    <mergeCell ref="V662:W662"/>
    <mergeCell ref="X662:Y662"/>
    <mergeCell ref="Z662:AA662"/>
    <mergeCell ref="AB662:AC662"/>
    <mergeCell ref="B662:C662"/>
    <mergeCell ref="D662:E662"/>
    <mergeCell ref="F662:G662"/>
    <mergeCell ref="H662:I662"/>
    <mergeCell ref="J662:K662"/>
    <mergeCell ref="L662:M662"/>
    <mergeCell ref="N662:O662"/>
    <mergeCell ref="P662:Q662"/>
    <mergeCell ref="AL661:BB661"/>
    <mergeCell ref="AD661:AE661"/>
    <mergeCell ref="AF661:AG661"/>
    <mergeCell ref="AH661:AI661"/>
    <mergeCell ref="AJ661:AK661"/>
    <mergeCell ref="R661:S661"/>
    <mergeCell ref="T661:U661"/>
    <mergeCell ref="V661:W661"/>
    <mergeCell ref="X661:Y661"/>
    <mergeCell ref="Z661:AA661"/>
    <mergeCell ref="AB661:AC661"/>
    <mergeCell ref="B661:C661"/>
    <mergeCell ref="D661:E661"/>
    <mergeCell ref="F661:G661"/>
    <mergeCell ref="H661:I661"/>
    <mergeCell ref="J661:K661"/>
    <mergeCell ref="L661:M661"/>
    <mergeCell ref="N661:O661"/>
    <mergeCell ref="P661:Q661"/>
    <mergeCell ref="AL660:BB660"/>
    <mergeCell ref="AD660:AE660"/>
    <mergeCell ref="AF660:AG660"/>
    <mergeCell ref="AH660:AI660"/>
    <mergeCell ref="AJ660:AK660"/>
    <mergeCell ref="R660:S660"/>
    <mergeCell ref="T660:U660"/>
    <mergeCell ref="V660:W660"/>
    <mergeCell ref="X660:Y660"/>
    <mergeCell ref="Z660:AA660"/>
    <mergeCell ref="AB660:AC660"/>
    <mergeCell ref="B660:C660"/>
    <mergeCell ref="D660:E660"/>
    <mergeCell ref="F660:G660"/>
    <mergeCell ref="H660:I660"/>
    <mergeCell ref="J660:K660"/>
    <mergeCell ref="L660:M660"/>
    <mergeCell ref="N660:O660"/>
    <mergeCell ref="P660:Q660"/>
    <mergeCell ref="AL659:BB659"/>
    <mergeCell ref="AD659:AE659"/>
    <mergeCell ref="AF659:AG659"/>
    <mergeCell ref="AH659:AI659"/>
    <mergeCell ref="AJ659:AK659"/>
    <mergeCell ref="R659:S659"/>
    <mergeCell ref="T659:U659"/>
    <mergeCell ref="V659:W659"/>
    <mergeCell ref="X659:Y659"/>
    <mergeCell ref="Z659:AA659"/>
    <mergeCell ref="AB659:AC659"/>
    <mergeCell ref="B659:C659"/>
    <mergeCell ref="D659:E659"/>
    <mergeCell ref="F659:G659"/>
    <mergeCell ref="H659:I659"/>
    <mergeCell ref="J659:K659"/>
    <mergeCell ref="L659:M659"/>
    <mergeCell ref="N659:O659"/>
    <mergeCell ref="P659:Q659"/>
    <mergeCell ref="AL658:BB658"/>
    <mergeCell ref="AD658:AE658"/>
    <mergeCell ref="AF658:AG658"/>
    <mergeCell ref="AH658:AI658"/>
    <mergeCell ref="AJ658:AK658"/>
    <mergeCell ref="R658:S658"/>
    <mergeCell ref="T658:U658"/>
    <mergeCell ref="V658:W658"/>
    <mergeCell ref="X658:Y658"/>
    <mergeCell ref="Z658:AA658"/>
    <mergeCell ref="AB658:AC658"/>
    <mergeCell ref="B658:C658"/>
    <mergeCell ref="D658:E658"/>
    <mergeCell ref="F658:G658"/>
    <mergeCell ref="H658:I658"/>
    <mergeCell ref="J658:K658"/>
    <mergeCell ref="L658:M658"/>
    <mergeCell ref="N658:O658"/>
    <mergeCell ref="P658:Q658"/>
    <mergeCell ref="AL657:BB657"/>
    <mergeCell ref="AD657:AE657"/>
    <mergeCell ref="AF657:AG657"/>
    <mergeCell ref="AH657:AI657"/>
    <mergeCell ref="AJ657:AK657"/>
    <mergeCell ref="R657:S657"/>
    <mergeCell ref="T657:U657"/>
    <mergeCell ref="V657:W657"/>
    <mergeCell ref="X657:Y657"/>
    <mergeCell ref="Z657:AA657"/>
    <mergeCell ref="AB657:AC657"/>
    <mergeCell ref="B657:C657"/>
    <mergeCell ref="D657:E657"/>
    <mergeCell ref="F657:G657"/>
    <mergeCell ref="H657:I657"/>
    <mergeCell ref="J657:K657"/>
    <mergeCell ref="L657:M657"/>
    <mergeCell ref="N657:O657"/>
    <mergeCell ref="P657:Q657"/>
    <mergeCell ref="AL656:BB656"/>
    <mergeCell ref="AD656:AE656"/>
    <mergeCell ref="AF656:AG656"/>
    <mergeCell ref="AH656:AI656"/>
    <mergeCell ref="AJ656:AK656"/>
    <mergeCell ref="R656:S656"/>
    <mergeCell ref="T656:U656"/>
    <mergeCell ref="V656:W656"/>
    <mergeCell ref="X656:Y656"/>
    <mergeCell ref="Z656:AA656"/>
    <mergeCell ref="AB656:AC656"/>
    <mergeCell ref="B656:C656"/>
    <mergeCell ref="D656:E656"/>
    <mergeCell ref="F656:G656"/>
    <mergeCell ref="H656:I656"/>
    <mergeCell ref="J656:K656"/>
    <mergeCell ref="L656:M656"/>
    <mergeCell ref="N656:O656"/>
    <mergeCell ref="P656:Q656"/>
    <mergeCell ref="AL655:BB655"/>
    <mergeCell ref="AD655:AE655"/>
    <mergeCell ref="AF655:AG655"/>
    <mergeCell ref="AH655:AI655"/>
    <mergeCell ref="AJ655:AK655"/>
    <mergeCell ref="R655:S655"/>
    <mergeCell ref="T655:U655"/>
    <mergeCell ref="V655:W655"/>
    <mergeCell ref="X655:Y655"/>
    <mergeCell ref="Z655:AA655"/>
    <mergeCell ref="AB655:AC655"/>
    <mergeCell ref="B655:C655"/>
    <mergeCell ref="D655:E655"/>
    <mergeCell ref="F655:G655"/>
    <mergeCell ref="H655:I655"/>
    <mergeCell ref="J655:K655"/>
    <mergeCell ref="L655:M655"/>
    <mergeCell ref="N655:O655"/>
    <mergeCell ref="P655:Q655"/>
    <mergeCell ref="AL654:BB654"/>
    <mergeCell ref="AD654:AE654"/>
    <mergeCell ref="AF654:AG654"/>
    <mergeCell ref="AH654:AI654"/>
    <mergeCell ref="AJ654:AK654"/>
    <mergeCell ref="R654:S654"/>
    <mergeCell ref="T654:U654"/>
    <mergeCell ref="V654:W654"/>
    <mergeCell ref="X654:Y654"/>
    <mergeCell ref="Z654:AA654"/>
    <mergeCell ref="AB654:AC654"/>
    <mergeCell ref="B654:C654"/>
    <mergeCell ref="D654:E654"/>
    <mergeCell ref="F654:G654"/>
    <mergeCell ref="H654:I654"/>
    <mergeCell ref="J654:K654"/>
    <mergeCell ref="L654:M654"/>
    <mergeCell ref="N654:O654"/>
    <mergeCell ref="P654:Q654"/>
    <mergeCell ref="AL653:BB653"/>
    <mergeCell ref="AD653:AE653"/>
    <mergeCell ref="AF653:AG653"/>
    <mergeCell ref="AH653:AI653"/>
    <mergeCell ref="AJ653:AK653"/>
    <mergeCell ref="R653:S653"/>
    <mergeCell ref="T653:U653"/>
    <mergeCell ref="V653:W653"/>
    <mergeCell ref="X653:Y653"/>
    <mergeCell ref="Z653:AA653"/>
    <mergeCell ref="AB653:AC653"/>
    <mergeCell ref="B653:C653"/>
    <mergeCell ref="D653:E653"/>
    <mergeCell ref="F653:G653"/>
    <mergeCell ref="H653:I653"/>
    <mergeCell ref="J653:K653"/>
    <mergeCell ref="L653:M653"/>
    <mergeCell ref="N653:O653"/>
    <mergeCell ref="P653:Q653"/>
    <mergeCell ref="AL652:BB652"/>
    <mergeCell ref="AD652:AE652"/>
    <mergeCell ref="AF652:AG652"/>
    <mergeCell ref="AH652:AI652"/>
    <mergeCell ref="AJ652:AK652"/>
    <mergeCell ref="R652:S652"/>
    <mergeCell ref="T652:U652"/>
    <mergeCell ref="V652:W652"/>
    <mergeCell ref="X652:Y652"/>
    <mergeCell ref="Z652:AA652"/>
    <mergeCell ref="AB652:AC652"/>
    <mergeCell ref="B652:C652"/>
    <mergeCell ref="D652:E652"/>
    <mergeCell ref="F652:G652"/>
    <mergeCell ref="H652:I652"/>
    <mergeCell ref="J652:K652"/>
    <mergeCell ref="L652:M652"/>
    <mergeCell ref="N652:O652"/>
    <mergeCell ref="P652:Q652"/>
    <mergeCell ref="AL651:BB651"/>
    <mergeCell ref="AD651:AE651"/>
    <mergeCell ref="AF651:AG651"/>
    <mergeCell ref="AH651:AI651"/>
    <mergeCell ref="AJ651:AK651"/>
    <mergeCell ref="R651:S651"/>
    <mergeCell ref="T651:U651"/>
    <mergeCell ref="V651:W651"/>
    <mergeCell ref="X651:Y651"/>
    <mergeCell ref="Z651:AA651"/>
    <mergeCell ref="AB651:AC651"/>
    <mergeCell ref="B651:C651"/>
    <mergeCell ref="D651:E651"/>
    <mergeCell ref="F651:G651"/>
    <mergeCell ref="H651:I651"/>
    <mergeCell ref="J651:K651"/>
    <mergeCell ref="L651:M651"/>
    <mergeCell ref="N651:O651"/>
    <mergeCell ref="P651:Q651"/>
    <mergeCell ref="AL650:BB650"/>
    <mergeCell ref="AD650:AE650"/>
    <mergeCell ref="AF650:AG650"/>
    <mergeCell ref="AH650:AI650"/>
    <mergeCell ref="AJ650:AK650"/>
    <mergeCell ref="R650:S650"/>
    <mergeCell ref="T650:U650"/>
    <mergeCell ref="V650:W650"/>
    <mergeCell ref="X650:Y650"/>
    <mergeCell ref="Z650:AA650"/>
    <mergeCell ref="AB650:AC650"/>
    <mergeCell ref="B650:C650"/>
    <mergeCell ref="D650:E650"/>
    <mergeCell ref="F650:G650"/>
    <mergeCell ref="H650:I650"/>
    <mergeCell ref="J650:K650"/>
    <mergeCell ref="L650:M650"/>
    <mergeCell ref="N650:O650"/>
    <mergeCell ref="P650:Q650"/>
    <mergeCell ref="AL649:BB649"/>
    <mergeCell ref="AD649:AE649"/>
    <mergeCell ref="AF649:AG649"/>
    <mergeCell ref="AH649:AI649"/>
    <mergeCell ref="AJ649:AK649"/>
    <mergeCell ref="R649:S649"/>
    <mergeCell ref="T649:U649"/>
    <mergeCell ref="V649:W649"/>
    <mergeCell ref="X649:Y649"/>
    <mergeCell ref="Z649:AA649"/>
    <mergeCell ref="AB649:AC649"/>
    <mergeCell ref="B649:C649"/>
    <mergeCell ref="D649:E649"/>
    <mergeCell ref="F649:G649"/>
    <mergeCell ref="H649:I649"/>
    <mergeCell ref="J649:K649"/>
    <mergeCell ref="L649:M649"/>
    <mergeCell ref="N649:O649"/>
    <mergeCell ref="P649:Q649"/>
    <mergeCell ref="AL648:BB648"/>
    <mergeCell ref="AD648:AE648"/>
    <mergeCell ref="AF648:AG648"/>
    <mergeCell ref="AH648:AI648"/>
    <mergeCell ref="AJ648:AK648"/>
    <mergeCell ref="R648:S648"/>
    <mergeCell ref="T648:U648"/>
    <mergeCell ref="V648:W648"/>
    <mergeCell ref="X648:Y648"/>
    <mergeCell ref="Z648:AA648"/>
    <mergeCell ref="AB648:AC648"/>
    <mergeCell ref="B648:C648"/>
    <mergeCell ref="D648:E648"/>
    <mergeCell ref="F648:G648"/>
    <mergeCell ref="H648:I648"/>
    <mergeCell ref="J648:K648"/>
    <mergeCell ref="L648:M648"/>
    <mergeCell ref="N648:O648"/>
    <mergeCell ref="P648:Q648"/>
    <mergeCell ref="AL647:BB647"/>
    <mergeCell ref="AD647:AE647"/>
    <mergeCell ref="AF647:AG647"/>
    <mergeCell ref="AH647:AI647"/>
    <mergeCell ref="AJ647:AK647"/>
    <mergeCell ref="R647:S647"/>
    <mergeCell ref="T647:U647"/>
    <mergeCell ref="V647:W647"/>
    <mergeCell ref="X647:Y647"/>
    <mergeCell ref="Z647:AA647"/>
    <mergeCell ref="AB647:AC647"/>
    <mergeCell ref="B647:C647"/>
    <mergeCell ref="D647:E647"/>
    <mergeCell ref="F647:G647"/>
    <mergeCell ref="H647:I647"/>
    <mergeCell ref="J647:K647"/>
    <mergeCell ref="L647:M647"/>
    <mergeCell ref="N647:O647"/>
    <mergeCell ref="P647:Q647"/>
    <mergeCell ref="AL646:BB646"/>
    <mergeCell ref="AD646:AE646"/>
    <mergeCell ref="AF646:AG646"/>
    <mergeCell ref="AH646:AI646"/>
    <mergeCell ref="AJ646:AK646"/>
    <mergeCell ref="R646:S646"/>
    <mergeCell ref="T646:U646"/>
    <mergeCell ref="V646:W646"/>
    <mergeCell ref="X646:Y646"/>
    <mergeCell ref="Z646:AA646"/>
    <mergeCell ref="AB646:AC646"/>
    <mergeCell ref="B646:C646"/>
    <mergeCell ref="D646:E646"/>
    <mergeCell ref="F646:G646"/>
    <mergeCell ref="H646:I646"/>
    <mergeCell ref="J646:K646"/>
    <mergeCell ref="L646:M646"/>
    <mergeCell ref="N646:O646"/>
    <mergeCell ref="P646:Q646"/>
    <mergeCell ref="AL645:BB645"/>
    <mergeCell ref="AD645:AE645"/>
    <mergeCell ref="AF645:AG645"/>
    <mergeCell ref="AH645:AI645"/>
    <mergeCell ref="AJ645:AK645"/>
    <mergeCell ref="R645:S645"/>
    <mergeCell ref="T645:U645"/>
    <mergeCell ref="V645:W645"/>
    <mergeCell ref="X645:Y645"/>
    <mergeCell ref="Z645:AA645"/>
    <mergeCell ref="AB645:AC645"/>
    <mergeCell ref="B645:C645"/>
    <mergeCell ref="D645:E645"/>
    <mergeCell ref="F645:G645"/>
    <mergeCell ref="H645:I645"/>
    <mergeCell ref="J645:K645"/>
    <mergeCell ref="L645:M645"/>
    <mergeCell ref="N645:O645"/>
    <mergeCell ref="P645:Q645"/>
    <mergeCell ref="AL644:BB644"/>
    <mergeCell ref="AD644:AE644"/>
    <mergeCell ref="AF644:AG644"/>
    <mergeCell ref="AH644:AI644"/>
    <mergeCell ref="AJ644:AK644"/>
    <mergeCell ref="R644:S644"/>
    <mergeCell ref="T644:U644"/>
    <mergeCell ref="V644:W644"/>
    <mergeCell ref="X644:Y644"/>
    <mergeCell ref="Z644:AA644"/>
    <mergeCell ref="AB644:AC644"/>
    <mergeCell ref="B644:C644"/>
    <mergeCell ref="D644:E644"/>
    <mergeCell ref="F644:G644"/>
    <mergeCell ref="H644:I644"/>
    <mergeCell ref="J644:K644"/>
    <mergeCell ref="L644:M644"/>
    <mergeCell ref="N644:O644"/>
    <mergeCell ref="P644:Q644"/>
    <mergeCell ref="AL643:BB643"/>
    <mergeCell ref="AD643:AE643"/>
    <mergeCell ref="AF643:AG643"/>
    <mergeCell ref="AH643:AI643"/>
    <mergeCell ref="AJ643:AK643"/>
    <mergeCell ref="R643:S643"/>
    <mergeCell ref="T643:U643"/>
    <mergeCell ref="V643:W643"/>
    <mergeCell ref="X643:Y643"/>
    <mergeCell ref="Z643:AA643"/>
    <mergeCell ref="AB643:AC643"/>
    <mergeCell ref="B643:C643"/>
    <mergeCell ref="D643:E643"/>
    <mergeCell ref="F643:G643"/>
    <mergeCell ref="H643:I643"/>
    <mergeCell ref="J643:K643"/>
    <mergeCell ref="L643:M643"/>
    <mergeCell ref="N643:O643"/>
    <mergeCell ref="P643:Q643"/>
    <mergeCell ref="AL642:BB642"/>
    <mergeCell ref="AD642:AE642"/>
    <mergeCell ref="AF642:AG642"/>
    <mergeCell ref="AH642:AI642"/>
    <mergeCell ref="AJ642:AK642"/>
    <mergeCell ref="R642:S642"/>
    <mergeCell ref="T642:U642"/>
    <mergeCell ref="V642:W642"/>
    <mergeCell ref="X642:Y642"/>
    <mergeCell ref="Z642:AA642"/>
    <mergeCell ref="AB642:AC642"/>
    <mergeCell ref="B642:C642"/>
    <mergeCell ref="D642:E642"/>
    <mergeCell ref="F642:G642"/>
    <mergeCell ref="H642:I642"/>
    <mergeCell ref="J642:K642"/>
    <mergeCell ref="L642:M642"/>
    <mergeCell ref="N642:O642"/>
    <mergeCell ref="P642:Q642"/>
    <mergeCell ref="AL641:BB641"/>
    <mergeCell ref="AD641:AE641"/>
    <mergeCell ref="AF641:AG641"/>
    <mergeCell ref="AH641:AI641"/>
    <mergeCell ref="AJ641:AK641"/>
    <mergeCell ref="R641:S641"/>
    <mergeCell ref="T641:U641"/>
    <mergeCell ref="V641:W641"/>
    <mergeCell ref="X641:Y641"/>
    <mergeCell ref="Z641:AA641"/>
    <mergeCell ref="AB641:AC641"/>
    <mergeCell ref="B641:C641"/>
    <mergeCell ref="D641:E641"/>
    <mergeCell ref="F641:G641"/>
    <mergeCell ref="H641:I641"/>
    <mergeCell ref="J641:K641"/>
    <mergeCell ref="L641:M641"/>
    <mergeCell ref="N641:O641"/>
    <mergeCell ref="P641:Q641"/>
    <mergeCell ref="AL640:BB640"/>
    <mergeCell ref="AD640:AE640"/>
    <mergeCell ref="AF640:AG640"/>
    <mergeCell ref="AH640:AI640"/>
    <mergeCell ref="AJ640:AK640"/>
    <mergeCell ref="R640:S640"/>
    <mergeCell ref="T640:U640"/>
    <mergeCell ref="V640:W640"/>
    <mergeCell ref="X640:Y640"/>
    <mergeCell ref="Z640:AA640"/>
    <mergeCell ref="AB640:AC640"/>
    <mergeCell ref="B640:C640"/>
    <mergeCell ref="D640:E640"/>
    <mergeCell ref="F640:G640"/>
    <mergeCell ref="H640:I640"/>
    <mergeCell ref="J640:K640"/>
    <mergeCell ref="L640:M640"/>
    <mergeCell ref="N640:O640"/>
    <mergeCell ref="P640:Q640"/>
    <mergeCell ref="AL639:BB639"/>
    <mergeCell ref="AD639:AE639"/>
    <mergeCell ref="AF639:AG639"/>
    <mergeCell ref="AH639:AI639"/>
    <mergeCell ref="AJ639:AK639"/>
    <mergeCell ref="R639:S639"/>
    <mergeCell ref="T639:U639"/>
    <mergeCell ref="V639:W639"/>
    <mergeCell ref="X639:Y639"/>
    <mergeCell ref="Z639:AA639"/>
    <mergeCell ref="AB639:AC639"/>
    <mergeCell ref="B639:C639"/>
    <mergeCell ref="D639:E639"/>
    <mergeCell ref="F639:G639"/>
    <mergeCell ref="H639:I639"/>
    <mergeCell ref="J639:K639"/>
    <mergeCell ref="L639:M639"/>
    <mergeCell ref="N639:O639"/>
    <mergeCell ref="P639:Q639"/>
    <mergeCell ref="AL638:BB638"/>
    <mergeCell ref="AD638:AE638"/>
    <mergeCell ref="AF638:AG638"/>
    <mergeCell ref="AH638:AI638"/>
    <mergeCell ref="AJ638:AK638"/>
    <mergeCell ref="R638:S638"/>
    <mergeCell ref="T638:U638"/>
    <mergeCell ref="V638:W638"/>
    <mergeCell ref="X638:Y638"/>
    <mergeCell ref="Z638:AA638"/>
    <mergeCell ref="AB638:AC638"/>
    <mergeCell ref="B638:C638"/>
    <mergeCell ref="D638:E638"/>
    <mergeCell ref="F638:G638"/>
    <mergeCell ref="H638:I638"/>
    <mergeCell ref="J638:K638"/>
    <mergeCell ref="L638:M638"/>
    <mergeCell ref="N638:O638"/>
    <mergeCell ref="P638:Q638"/>
    <mergeCell ref="AL637:BB637"/>
    <mergeCell ref="AD637:AE637"/>
    <mergeCell ref="AF637:AG637"/>
    <mergeCell ref="AH637:AI637"/>
    <mergeCell ref="AJ637:AK637"/>
    <mergeCell ref="R637:S637"/>
    <mergeCell ref="T637:U637"/>
    <mergeCell ref="V637:W637"/>
    <mergeCell ref="X637:Y637"/>
    <mergeCell ref="Z637:AA637"/>
    <mergeCell ref="AB637:AC637"/>
    <mergeCell ref="B637:C637"/>
    <mergeCell ref="D637:E637"/>
    <mergeCell ref="F637:G637"/>
    <mergeCell ref="H637:I637"/>
    <mergeCell ref="J637:K637"/>
    <mergeCell ref="L637:M637"/>
    <mergeCell ref="N637:O637"/>
    <mergeCell ref="P637:Q637"/>
    <mergeCell ref="AL636:BB636"/>
    <mergeCell ref="AD636:AE636"/>
    <mergeCell ref="AF636:AG636"/>
    <mergeCell ref="AH636:AI636"/>
    <mergeCell ref="AJ636:AK636"/>
    <mergeCell ref="R636:S636"/>
    <mergeCell ref="T636:U636"/>
    <mergeCell ref="V636:W636"/>
    <mergeCell ref="X636:Y636"/>
    <mergeCell ref="Z636:AA636"/>
    <mergeCell ref="AB636:AC636"/>
    <mergeCell ref="B636:C636"/>
    <mergeCell ref="D636:E636"/>
    <mergeCell ref="F636:G636"/>
    <mergeCell ref="H636:I636"/>
    <mergeCell ref="J636:K636"/>
    <mergeCell ref="L636:M636"/>
    <mergeCell ref="N636:O636"/>
    <mergeCell ref="P636:Q636"/>
    <mergeCell ref="AL635:BB635"/>
    <mergeCell ref="AD635:AE635"/>
    <mergeCell ref="AF635:AG635"/>
    <mergeCell ref="AH635:AI635"/>
    <mergeCell ref="AJ635:AK635"/>
    <mergeCell ref="R635:S635"/>
    <mergeCell ref="T635:U635"/>
    <mergeCell ref="V635:W635"/>
    <mergeCell ref="X635:Y635"/>
    <mergeCell ref="Z635:AA635"/>
    <mergeCell ref="AB635:AC635"/>
    <mergeCell ref="B635:C635"/>
    <mergeCell ref="D635:E635"/>
    <mergeCell ref="F635:G635"/>
    <mergeCell ref="H635:I635"/>
    <mergeCell ref="J635:K635"/>
    <mergeCell ref="L635:M635"/>
    <mergeCell ref="N635:O635"/>
    <mergeCell ref="P635:Q635"/>
    <mergeCell ref="AL634:BB634"/>
    <mergeCell ref="AD634:AE634"/>
    <mergeCell ref="AF634:AG634"/>
    <mergeCell ref="AH634:AI634"/>
    <mergeCell ref="AJ634:AK634"/>
    <mergeCell ref="R634:S634"/>
    <mergeCell ref="T634:U634"/>
    <mergeCell ref="V634:W634"/>
    <mergeCell ref="X634:Y634"/>
    <mergeCell ref="Z634:AA634"/>
    <mergeCell ref="AB634:AC634"/>
    <mergeCell ref="B634:C634"/>
    <mergeCell ref="D634:E634"/>
    <mergeCell ref="F634:G634"/>
    <mergeCell ref="H634:I634"/>
    <mergeCell ref="J634:K634"/>
    <mergeCell ref="L634:M634"/>
    <mergeCell ref="N634:O634"/>
    <mergeCell ref="P634:Q634"/>
    <mergeCell ref="AL633:BB633"/>
    <mergeCell ref="AD633:AE633"/>
    <mergeCell ref="AF633:AG633"/>
    <mergeCell ref="AH633:AI633"/>
    <mergeCell ref="AJ633:AK633"/>
    <mergeCell ref="R633:S633"/>
    <mergeCell ref="T633:U633"/>
    <mergeCell ref="V633:W633"/>
    <mergeCell ref="X633:Y633"/>
    <mergeCell ref="Z633:AA633"/>
    <mergeCell ref="AB633:AC633"/>
    <mergeCell ref="B633:C633"/>
    <mergeCell ref="D633:E633"/>
    <mergeCell ref="F633:G633"/>
    <mergeCell ref="H633:I633"/>
    <mergeCell ref="J633:K633"/>
    <mergeCell ref="L633:M633"/>
    <mergeCell ref="N633:O633"/>
    <mergeCell ref="P633:Q633"/>
    <mergeCell ref="AL632:BB632"/>
    <mergeCell ref="AD632:AE632"/>
    <mergeCell ref="AF632:AG632"/>
    <mergeCell ref="AH632:AI632"/>
    <mergeCell ref="AJ632:AK632"/>
    <mergeCell ref="R632:S632"/>
    <mergeCell ref="T632:U632"/>
    <mergeCell ref="V632:W632"/>
    <mergeCell ref="X632:Y632"/>
    <mergeCell ref="Z632:AA632"/>
    <mergeCell ref="AB632:AC632"/>
    <mergeCell ref="B632:C632"/>
    <mergeCell ref="D632:E632"/>
    <mergeCell ref="F632:G632"/>
    <mergeCell ref="H632:I632"/>
    <mergeCell ref="J632:K632"/>
    <mergeCell ref="L632:M632"/>
    <mergeCell ref="N632:O632"/>
    <mergeCell ref="P632:Q632"/>
    <mergeCell ref="AL631:BB631"/>
    <mergeCell ref="AD631:AE631"/>
    <mergeCell ref="AF631:AG631"/>
    <mergeCell ref="AH631:AI631"/>
    <mergeCell ref="AJ631:AK631"/>
    <mergeCell ref="R631:S631"/>
    <mergeCell ref="T631:U631"/>
    <mergeCell ref="V631:W631"/>
    <mergeCell ref="X631:Y631"/>
    <mergeCell ref="Z631:AA631"/>
    <mergeCell ref="AB631:AC631"/>
    <mergeCell ref="B631:C631"/>
    <mergeCell ref="D631:E631"/>
    <mergeCell ref="F631:G631"/>
    <mergeCell ref="H631:I631"/>
    <mergeCell ref="J631:K631"/>
    <mergeCell ref="L631:M631"/>
    <mergeCell ref="N631:O631"/>
    <mergeCell ref="P631:Q631"/>
    <mergeCell ref="AL630:BB630"/>
    <mergeCell ref="AD630:AE630"/>
    <mergeCell ref="AF630:AG630"/>
    <mergeCell ref="AH630:AI630"/>
    <mergeCell ref="AJ630:AK630"/>
    <mergeCell ref="R630:S630"/>
    <mergeCell ref="T630:U630"/>
    <mergeCell ref="V630:W630"/>
    <mergeCell ref="X630:Y630"/>
    <mergeCell ref="Z630:AA630"/>
    <mergeCell ref="AB630:AC630"/>
    <mergeCell ref="B630:C630"/>
    <mergeCell ref="D630:E630"/>
    <mergeCell ref="F630:G630"/>
    <mergeCell ref="H630:I630"/>
    <mergeCell ref="J630:K630"/>
    <mergeCell ref="L630:M630"/>
    <mergeCell ref="N630:O630"/>
    <mergeCell ref="P630:Q630"/>
    <mergeCell ref="AL629:BB629"/>
    <mergeCell ref="AD629:AE629"/>
    <mergeCell ref="AF629:AG629"/>
    <mergeCell ref="AH629:AI629"/>
    <mergeCell ref="AJ629:AK629"/>
    <mergeCell ref="R629:S629"/>
    <mergeCell ref="T629:U629"/>
    <mergeCell ref="V629:W629"/>
    <mergeCell ref="X629:Y629"/>
    <mergeCell ref="Z629:AA629"/>
    <mergeCell ref="AB629:AC629"/>
    <mergeCell ref="B629:C629"/>
    <mergeCell ref="D629:E629"/>
    <mergeCell ref="F629:G629"/>
    <mergeCell ref="H629:I629"/>
    <mergeCell ref="J629:K629"/>
    <mergeCell ref="L629:M629"/>
    <mergeCell ref="N629:O629"/>
    <mergeCell ref="P629:Q629"/>
    <mergeCell ref="AL628:BB628"/>
    <mergeCell ref="AD628:AE628"/>
    <mergeCell ref="AF628:AG628"/>
    <mergeCell ref="AH628:AI628"/>
    <mergeCell ref="AJ628:AK628"/>
    <mergeCell ref="R628:S628"/>
    <mergeCell ref="T628:U628"/>
    <mergeCell ref="V628:W628"/>
    <mergeCell ref="X628:Y628"/>
    <mergeCell ref="Z628:AA628"/>
    <mergeCell ref="AB628:AC628"/>
    <mergeCell ref="B628:C628"/>
    <mergeCell ref="D628:E628"/>
    <mergeCell ref="F628:G628"/>
    <mergeCell ref="H628:I628"/>
    <mergeCell ref="J628:K628"/>
    <mergeCell ref="L628:M628"/>
    <mergeCell ref="N628:O628"/>
    <mergeCell ref="P628:Q628"/>
    <mergeCell ref="AL627:BB627"/>
    <mergeCell ref="AD627:AE627"/>
    <mergeCell ref="AF627:AG627"/>
    <mergeCell ref="AH627:AI627"/>
    <mergeCell ref="AJ627:AK627"/>
    <mergeCell ref="R627:S627"/>
    <mergeCell ref="T627:U627"/>
    <mergeCell ref="V627:W627"/>
    <mergeCell ref="X627:Y627"/>
    <mergeCell ref="Z627:AA627"/>
    <mergeCell ref="AB627:AC627"/>
    <mergeCell ref="B627:C627"/>
    <mergeCell ref="D627:E627"/>
    <mergeCell ref="F627:G627"/>
    <mergeCell ref="H627:I627"/>
    <mergeCell ref="J627:K627"/>
    <mergeCell ref="L627:M627"/>
    <mergeCell ref="N627:O627"/>
    <mergeCell ref="P627:Q627"/>
    <mergeCell ref="AL626:BB626"/>
    <mergeCell ref="Z626:AA626"/>
    <mergeCell ref="AB626:AC626"/>
    <mergeCell ref="AD626:AE626"/>
    <mergeCell ref="AF626:AG626"/>
    <mergeCell ref="AH626:AI626"/>
    <mergeCell ref="AJ626:AK626"/>
    <mergeCell ref="N626:O626"/>
    <mergeCell ref="P626:Q626"/>
    <mergeCell ref="R626:S626"/>
    <mergeCell ref="T626:U626"/>
    <mergeCell ref="V626:W626"/>
    <mergeCell ref="X626:Y626"/>
    <mergeCell ref="B626:C626"/>
    <mergeCell ref="D626:E626"/>
    <mergeCell ref="F626:G626"/>
    <mergeCell ref="H626:I626"/>
    <mergeCell ref="J626:K626"/>
    <mergeCell ref="L626:M626"/>
    <mergeCell ref="AL625:BB625"/>
    <mergeCell ref="AD625:AE625"/>
    <mergeCell ref="AF625:AG625"/>
    <mergeCell ref="AH625:AI625"/>
    <mergeCell ref="AJ625:AK625"/>
    <mergeCell ref="R625:S625"/>
    <mergeCell ref="T625:U625"/>
    <mergeCell ref="V625:W625"/>
    <mergeCell ref="X625:Y625"/>
    <mergeCell ref="Z625:AA625"/>
    <mergeCell ref="AB625:AC625"/>
    <mergeCell ref="B625:C625"/>
    <mergeCell ref="D625:E625"/>
    <mergeCell ref="F625:G625"/>
    <mergeCell ref="H625:I625"/>
    <mergeCell ref="J625:K625"/>
    <mergeCell ref="L625:M625"/>
    <mergeCell ref="N625:O625"/>
    <mergeCell ref="P625:Q625"/>
    <mergeCell ref="AL624:BB624"/>
    <mergeCell ref="Z624:AA624"/>
    <mergeCell ref="AB624:AC624"/>
    <mergeCell ref="AD624:AE624"/>
    <mergeCell ref="AF624:AG624"/>
    <mergeCell ref="AH624:AI624"/>
    <mergeCell ref="AJ624:AK624"/>
    <mergeCell ref="N624:O624"/>
    <mergeCell ref="P624:Q624"/>
    <mergeCell ref="R624:S624"/>
    <mergeCell ref="T624:U624"/>
    <mergeCell ref="V624:W624"/>
    <mergeCell ref="X624:Y624"/>
    <mergeCell ref="B624:C624"/>
    <mergeCell ref="D624:E624"/>
    <mergeCell ref="F624:G624"/>
    <mergeCell ref="H624:I624"/>
    <mergeCell ref="J624:K624"/>
    <mergeCell ref="L624:M624"/>
    <mergeCell ref="AL623:BB623"/>
    <mergeCell ref="AD623:AE623"/>
    <mergeCell ref="AF623:AG623"/>
    <mergeCell ref="AH623:AI623"/>
    <mergeCell ref="AJ623:AK623"/>
    <mergeCell ref="R623:S623"/>
    <mergeCell ref="T623:U623"/>
    <mergeCell ref="V623:W623"/>
    <mergeCell ref="X623:Y623"/>
    <mergeCell ref="Z623:AA623"/>
    <mergeCell ref="AB623:AC623"/>
    <mergeCell ref="B623:C623"/>
    <mergeCell ref="D623:E623"/>
    <mergeCell ref="F623:G623"/>
    <mergeCell ref="H623:I623"/>
    <mergeCell ref="J623:K623"/>
    <mergeCell ref="L623:M623"/>
    <mergeCell ref="N623:O623"/>
    <mergeCell ref="P623:Q623"/>
    <mergeCell ref="AL622:BB622"/>
    <mergeCell ref="Z622:AA622"/>
    <mergeCell ref="AB622:AC622"/>
    <mergeCell ref="AD622:AE622"/>
    <mergeCell ref="AF622:AG622"/>
    <mergeCell ref="AH622:AI622"/>
    <mergeCell ref="AJ622:AK622"/>
    <mergeCell ref="N622:O622"/>
    <mergeCell ref="P622:Q622"/>
    <mergeCell ref="R622:S622"/>
    <mergeCell ref="T622:U622"/>
    <mergeCell ref="V622:W622"/>
    <mergeCell ref="X622:Y622"/>
    <mergeCell ref="B622:C622"/>
    <mergeCell ref="D622:E622"/>
    <mergeCell ref="F622:G622"/>
    <mergeCell ref="H622:I622"/>
    <mergeCell ref="J622:K622"/>
    <mergeCell ref="L622:M622"/>
    <mergeCell ref="AL621:BB621"/>
    <mergeCell ref="AD621:AE621"/>
    <mergeCell ref="AF621:AG621"/>
    <mergeCell ref="AH621:AI621"/>
    <mergeCell ref="AJ621:AK621"/>
    <mergeCell ref="R621:S621"/>
    <mergeCell ref="T621:U621"/>
    <mergeCell ref="V621:W621"/>
    <mergeCell ref="X621:Y621"/>
    <mergeCell ref="Z621:AA621"/>
    <mergeCell ref="AB621:AC621"/>
    <mergeCell ref="B621:C621"/>
    <mergeCell ref="D621:E621"/>
    <mergeCell ref="F621:G621"/>
    <mergeCell ref="H621:I621"/>
    <mergeCell ref="J621:K621"/>
    <mergeCell ref="L621:M621"/>
    <mergeCell ref="N621:O621"/>
    <mergeCell ref="P621:Q621"/>
    <mergeCell ref="AL620:BB620"/>
    <mergeCell ref="Z620:AA620"/>
    <mergeCell ref="AB620:AC620"/>
    <mergeCell ref="AD620:AE620"/>
    <mergeCell ref="AF620:AG620"/>
    <mergeCell ref="AH620:AI620"/>
    <mergeCell ref="AJ620:AK620"/>
    <mergeCell ref="N620:O620"/>
    <mergeCell ref="P620:Q620"/>
    <mergeCell ref="R620:S620"/>
    <mergeCell ref="T620:U620"/>
    <mergeCell ref="V620:W620"/>
    <mergeCell ref="X620:Y620"/>
    <mergeCell ref="B620:C620"/>
    <mergeCell ref="D620:E620"/>
    <mergeCell ref="F620:G620"/>
    <mergeCell ref="H620:I620"/>
    <mergeCell ref="J620:K620"/>
    <mergeCell ref="L620:M620"/>
    <mergeCell ref="AL619:BB619"/>
    <mergeCell ref="AD619:AE619"/>
    <mergeCell ref="AF619:AG619"/>
    <mergeCell ref="AH619:AI619"/>
    <mergeCell ref="AJ619:AK619"/>
    <mergeCell ref="R619:S619"/>
    <mergeCell ref="T619:U619"/>
    <mergeCell ref="V619:W619"/>
    <mergeCell ref="X619:Y619"/>
    <mergeCell ref="Z619:AA619"/>
    <mergeCell ref="AB619:AC619"/>
    <mergeCell ref="B619:C619"/>
    <mergeCell ref="D619:E619"/>
    <mergeCell ref="F619:G619"/>
    <mergeCell ref="H619:I619"/>
    <mergeCell ref="J619:K619"/>
    <mergeCell ref="L619:M619"/>
    <mergeCell ref="N619:O619"/>
    <mergeCell ref="P619:Q619"/>
    <mergeCell ref="AL618:BB618"/>
    <mergeCell ref="Z618:AA618"/>
    <mergeCell ref="AB618:AC618"/>
    <mergeCell ref="AD618:AE618"/>
    <mergeCell ref="AF618:AG618"/>
    <mergeCell ref="AH618:AI618"/>
    <mergeCell ref="AJ618:AK618"/>
    <mergeCell ref="N618:O618"/>
    <mergeCell ref="P618:Q618"/>
    <mergeCell ref="R618:S618"/>
    <mergeCell ref="T618:U618"/>
    <mergeCell ref="V618:W618"/>
    <mergeCell ref="X618:Y618"/>
    <mergeCell ref="B618:C618"/>
    <mergeCell ref="D618:E618"/>
    <mergeCell ref="F618:G618"/>
    <mergeCell ref="H618:I618"/>
    <mergeCell ref="J618:K618"/>
    <mergeCell ref="L618:M618"/>
    <mergeCell ref="AL617:BB617"/>
    <mergeCell ref="Z617:AA617"/>
    <mergeCell ref="AB617:AC617"/>
    <mergeCell ref="AD617:AE617"/>
    <mergeCell ref="AF617:AG617"/>
    <mergeCell ref="AH617:AI617"/>
    <mergeCell ref="AJ617:AK617"/>
    <mergeCell ref="N617:O617"/>
    <mergeCell ref="P617:Q617"/>
    <mergeCell ref="R617:S617"/>
    <mergeCell ref="T617:U617"/>
    <mergeCell ref="V617:W617"/>
    <mergeCell ref="X617:Y617"/>
    <mergeCell ref="B617:C617"/>
    <mergeCell ref="D617:E617"/>
    <mergeCell ref="F617:G617"/>
    <mergeCell ref="H617:I617"/>
    <mergeCell ref="J617:K617"/>
    <mergeCell ref="L617:M617"/>
    <mergeCell ref="AL616:BB616"/>
    <mergeCell ref="Z616:AA616"/>
    <mergeCell ref="AB616:AC616"/>
    <mergeCell ref="AD616:AE616"/>
    <mergeCell ref="AF616:AG616"/>
    <mergeCell ref="AH616:AI616"/>
    <mergeCell ref="AJ616:AK616"/>
    <mergeCell ref="N616:O616"/>
    <mergeCell ref="P616:Q616"/>
    <mergeCell ref="R616:S616"/>
    <mergeCell ref="T616:U616"/>
    <mergeCell ref="V616:W616"/>
    <mergeCell ref="X616:Y616"/>
    <mergeCell ref="B616:C616"/>
    <mergeCell ref="D616:E616"/>
    <mergeCell ref="F616:G616"/>
    <mergeCell ref="H616:I616"/>
    <mergeCell ref="J616:K616"/>
    <mergeCell ref="L616:M616"/>
    <mergeCell ref="AL615:BB615"/>
    <mergeCell ref="AD615:AE615"/>
    <mergeCell ref="AF615:AG615"/>
    <mergeCell ref="AH615:AI615"/>
    <mergeCell ref="AJ615:AK615"/>
    <mergeCell ref="R615:S615"/>
    <mergeCell ref="T615:U615"/>
    <mergeCell ref="V615:W615"/>
    <mergeCell ref="X615:Y615"/>
    <mergeCell ref="Z615:AA615"/>
    <mergeCell ref="AB615:AC615"/>
    <mergeCell ref="B615:C615"/>
    <mergeCell ref="D615:E615"/>
    <mergeCell ref="F615:G615"/>
    <mergeCell ref="H615:I615"/>
    <mergeCell ref="J615:K615"/>
    <mergeCell ref="L615:M615"/>
    <mergeCell ref="N615:O615"/>
    <mergeCell ref="P615:Q615"/>
    <mergeCell ref="AL614:BB614"/>
    <mergeCell ref="AD614:AE614"/>
    <mergeCell ref="AF614:AG614"/>
    <mergeCell ref="AH614:AI614"/>
    <mergeCell ref="AJ614:AK614"/>
    <mergeCell ref="R614:S614"/>
    <mergeCell ref="T614:U614"/>
    <mergeCell ref="V614:W614"/>
    <mergeCell ref="X614:Y614"/>
    <mergeCell ref="Z614:AA614"/>
    <mergeCell ref="AB614:AC614"/>
    <mergeCell ref="B614:C614"/>
    <mergeCell ref="D614:E614"/>
    <mergeCell ref="F614:G614"/>
    <mergeCell ref="H614:I614"/>
    <mergeCell ref="J614:K614"/>
    <mergeCell ref="L614:M614"/>
    <mergeCell ref="N614:O614"/>
    <mergeCell ref="P614:Q614"/>
    <mergeCell ref="AL613:BB613"/>
    <mergeCell ref="AD613:AE613"/>
    <mergeCell ref="AF613:AG613"/>
    <mergeCell ref="AH613:AI613"/>
    <mergeCell ref="AJ613:AK613"/>
    <mergeCell ref="R613:S613"/>
    <mergeCell ref="T613:U613"/>
    <mergeCell ref="V613:W613"/>
    <mergeCell ref="X613:Y613"/>
    <mergeCell ref="Z613:AA613"/>
    <mergeCell ref="AB613:AC613"/>
    <mergeCell ref="B613:C613"/>
    <mergeCell ref="D613:E613"/>
    <mergeCell ref="F613:G613"/>
    <mergeCell ref="H613:I613"/>
    <mergeCell ref="J613:K613"/>
    <mergeCell ref="L613:M613"/>
    <mergeCell ref="N613:O613"/>
    <mergeCell ref="P613:Q613"/>
    <mergeCell ref="AL612:BB612"/>
    <mergeCell ref="AD612:AE612"/>
    <mergeCell ref="AF612:AG612"/>
    <mergeCell ref="AH612:AI612"/>
    <mergeCell ref="AJ612:AK612"/>
    <mergeCell ref="R612:S612"/>
    <mergeCell ref="T612:U612"/>
    <mergeCell ref="V612:W612"/>
    <mergeCell ref="X612:Y612"/>
    <mergeCell ref="Z612:AA612"/>
    <mergeCell ref="AB612:AC612"/>
    <mergeCell ref="B612:C612"/>
    <mergeCell ref="D612:E612"/>
    <mergeCell ref="F612:G612"/>
    <mergeCell ref="H612:I612"/>
    <mergeCell ref="J612:K612"/>
    <mergeCell ref="L612:M612"/>
    <mergeCell ref="N612:O612"/>
    <mergeCell ref="P612:Q612"/>
    <mergeCell ref="AL611:BB611"/>
    <mergeCell ref="AD611:AE611"/>
    <mergeCell ref="AF611:AG611"/>
    <mergeCell ref="AH611:AI611"/>
    <mergeCell ref="AJ611:AK611"/>
    <mergeCell ref="R611:S611"/>
    <mergeCell ref="T611:U611"/>
    <mergeCell ref="V611:W611"/>
    <mergeCell ref="X611:Y611"/>
    <mergeCell ref="Z611:AA611"/>
    <mergeCell ref="AB611:AC611"/>
    <mergeCell ref="B611:C611"/>
    <mergeCell ref="D611:E611"/>
    <mergeCell ref="F611:G611"/>
    <mergeCell ref="H611:I611"/>
    <mergeCell ref="J611:K611"/>
    <mergeCell ref="L611:M611"/>
    <mergeCell ref="N611:O611"/>
    <mergeCell ref="P611:Q611"/>
    <mergeCell ref="AL610:BB610"/>
    <mergeCell ref="AD610:AE610"/>
    <mergeCell ref="AF610:AG610"/>
    <mergeCell ref="AH610:AI610"/>
    <mergeCell ref="AJ610:AK610"/>
    <mergeCell ref="R610:S610"/>
    <mergeCell ref="T610:U610"/>
    <mergeCell ref="V610:W610"/>
    <mergeCell ref="X610:Y610"/>
    <mergeCell ref="Z610:AA610"/>
    <mergeCell ref="AB610:AC610"/>
    <mergeCell ref="B610:C610"/>
    <mergeCell ref="D610:E610"/>
    <mergeCell ref="F610:G610"/>
    <mergeCell ref="H610:I610"/>
    <mergeCell ref="J610:K610"/>
    <mergeCell ref="L610:M610"/>
    <mergeCell ref="N610:O610"/>
    <mergeCell ref="P610:Q610"/>
    <mergeCell ref="AL609:BB609"/>
    <mergeCell ref="AD609:AE609"/>
    <mergeCell ref="AF609:AG609"/>
    <mergeCell ref="AH609:AI609"/>
    <mergeCell ref="AJ609:AK609"/>
    <mergeCell ref="R609:S609"/>
    <mergeCell ref="T609:U609"/>
    <mergeCell ref="V609:W609"/>
    <mergeCell ref="X609:Y609"/>
    <mergeCell ref="Z609:AA609"/>
    <mergeCell ref="AB609:AC609"/>
    <mergeCell ref="B609:C609"/>
    <mergeCell ref="D609:E609"/>
    <mergeCell ref="F609:G609"/>
    <mergeCell ref="H609:I609"/>
    <mergeCell ref="J609:K609"/>
    <mergeCell ref="L609:M609"/>
    <mergeCell ref="N609:O609"/>
    <mergeCell ref="P609:Q609"/>
    <mergeCell ref="AL608:BB608"/>
    <mergeCell ref="AD608:AE608"/>
    <mergeCell ref="AF608:AG608"/>
    <mergeCell ref="AH608:AI608"/>
    <mergeCell ref="AJ608:AK608"/>
    <mergeCell ref="R608:S608"/>
    <mergeCell ref="T608:U608"/>
    <mergeCell ref="V608:W608"/>
    <mergeCell ref="X608:Y608"/>
    <mergeCell ref="Z608:AA608"/>
    <mergeCell ref="AB608:AC608"/>
    <mergeCell ref="B608:C608"/>
    <mergeCell ref="D608:E608"/>
    <mergeCell ref="F608:G608"/>
    <mergeCell ref="H608:I608"/>
    <mergeCell ref="J608:K608"/>
    <mergeCell ref="L608:M608"/>
    <mergeCell ref="N608:O608"/>
    <mergeCell ref="P608:Q608"/>
    <mergeCell ref="AL607:BB607"/>
    <mergeCell ref="AD607:AE607"/>
    <mergeCell ref="AF607:AG607"/>
    <mergeCell ref="AH607:AI607"/>
    <mergeCell ref="AJ607:AK607"/>
    <mergeCell ref="R607:S607"/>
    <mergeCell ref="T607:U607"/>
    <mergeCell ref="V607:W607"/>
    <mergeCell ref="X607:Y607"/>
    <mergeCell ref="Z607:AA607"/>
    <mergeCell ref="AB607:AC607"/>
    <mergeCell ref="B607:C607"/>
    <mergeCell ref="D607:E607"/>
    <mergeCell ref="F607:G607"/>
    <mergeCell ref="H607:I607"/>
    <mergeCell ref="J607:K607"/>
    <mergeCell ref="L607:M607"/>
    <mergeCell ref="N607:O607"/>
    <mergeCell ref="P607:Q607"/>
    <mergeCell ref="AL606:BB606"/>
    <mergeCell ref="AD606:AE606"/>
    <mergeCell ref="AF606:AG606"/>
    <mergeCell ref="AH606:AI606"/>
    <mergeCell ref="AJ606:AK606"/>
    <mergeCell ref="R606:S606"/>
    <mergeCell ref="T606:U606"/>
    <mergeCell ref="V606:W606"/>
    <mergeCell ref="X606:Y606"/>
    <mergeCell ref="Z606:AA606"/>
    <mergeCell ref="AB606:AC606"/>
    <mergeCell ref="B606:C606"/>
    <mergeCell ref="D606:E606"/>
    <mergeCell ref="F606:G606"/>
    <mergeCell ref="H606:I606"/>
    <mergeCell ref="J606:K606"/>
    <mergeCell ref="L606:M606"/>
    <mergeCell ref="N606:O606"/>
    <mergeCell ref="P606:Q606"/>
    <mergeCell ref="AL605:BB605"/>
    <mergeCell ref="AD605:AE605"/>
    <mergeCell ref="AF605:AG605"/>
    <mergeCell ref="AH605:AI605"/>
    <mergeCell ref="AJ605:AK605"/>
    <mergeCell ref="R605:S605"/>
    <mergeCell ref="T605:U605"/>
    <mergeCell ref="V605:W605"/>
    <mergeCell ref="X605:Y605"/>
    <mergeCell ref="Z605:AA605"/>
    <mergeCell ref="AB605:AC605"/>
    <mergeCell ref="B605:C605"/>
    <mergeCell ref="D605:E605"/>
    <mergeCell ref="F605:G605"/>
    <mergeCell ref="H605:I605"/>
    <mergeCell ref="J605:K605"/>
    <mergeCell ref="L605:M605"/>
    <mergeCell ref="N605:O605"/>
    <mergeCell ref="P605:Q605"/>
    <mergeCell ref="AL604:BB604"/>
    <mergeCell ref="AD604:AE604"/>
    <mergeCell ref="AF604:AG604"/>
    <mergeCell ref="AH604:AI604"/>
    <mergeCell ref="AJ604:AK604"/>
    <mergeCell ref="R604:S604"/>
    <mergeCell ref="T604:U604"/>
    <mergeCell ref="V604:W604"/>
    <mergeCell ref="X604:Y604"/>
    <mergeCell ref="Z604:AA604"/>
    <mergeCell ref="AB604:AC604"/>
    <mergeCell ref="B604:C604"/>
    <mergeCell ref="D604:E604"/>
    <mergeCell ref="F604:G604"/>
    <mergeCell ref="H604:I604"/>
    <mergeCell ref="J604:K604"/>
    <mergeCell ref="L604:M604"/>
    <mergeCell ref="N604:O604"/>
    <mergeCell ref="P604:Q604"/>
    <mergeCell ref="AL603:BB603"/>
    <mergeCell ref="AD603:AE603"/>
    <mergeCell ref="AF603:AG603"/>
    <mergeCell ref="AH603:AI603"/>
    <mergeCell ref="AJ603:AK603"/>
    <mergeCell ref="R603:S603"/>
    <mergeCell ref="T603:U603"/>
    <mergeCell ref="V603:W603"/>
    <mergeCell ref="X603:Y603"/>
    <mergeCell ref="Z603:AA603"/>
    <mergeCell ref="AB603:AC603"/>
    <mergeCell ref="B603:C603"/>
    <mergeCell ref="D603:E603"/>
    <mergeCell ref="F603:G603"/>
    <mergeCell ref="H603:I603"/>
    <mergeCell ref="J603:K603"/>
    <mergeCell ref="L603:M603"/>
    <mergeCell ref="N603:O603"/>
    <mergeCell ref="P603:Q603"/>
    <mergeCell ref="AL602:BB602"/>
    <mergeCell ref="AD602:AE602"/>
    <mergeCell ref="AF602:AG602"/>
    <mergeCell ref="AH602:AI602"/>
    <mergeCell ref="AJ602:AK602"/>
    <mergeCell ref="R602:S602"/>
    <mergeCell ref="T602:U602"/>
    <mergeCell ref="V602:W602"/>
    <mergeCell ref="X602:Y602"/>
    <mergeCell ref="Z602:AA602"/>
    <mergeCell ref="AB602:AC602"/>
    <mergeCell ref="B602:C602"/>
    <mergeCell ref="D602:E602"/>
    <mergeCell ref="F602:G602"/>
    <mergeCell ref="H602:I602"/>
    <mergeCell ref="J602:K602"/>
    <mergeCell ref="L602:M602"/>
    <mergeCell ref="N602:O602"/>
    <mergeCell ref="P602:Q602"/>
    <mergeCell ref="AL601:BB601"/>
    <mergeCell ref="AD601:AE601"/>
    <mergeCell ref="AF601:AG601"/>
    <mergeCell ref="AH601:AI601"/>
    <mergeCell ref="AJ601:AK601"/>
    <mergeCell ref="R601:S601"/>
    <mergeCell ref="T601:U601"/>
    <mergeCell ref="V601:W601"/>
    <mergeCell ref="X601:Y601"/>
    <mergeCell ref="Z601:AA601"/>
    <mergeCell ref="AB601:AC601"/>
    <mergeCell ref="B601:C601"/>
    <mergeCell ref="D601:E601"/>
    <mergeCell ref="F601:G601"/>
    <mergeCell ref="H601:I601"/>
    <mergeCell ref="J601:K601"/>
    <mergeCell ref="L601:M601"/>
    <mergeCell ref="N601:O601"/>
    <mergeCell ref="P601:Q601"/>
    <mergeCell ref="AL600:BB600"/>
    <mergeCell ref="AD600:AE600"/>
    <mergeCell ref="AF600:AG600"/>
    <mergeCell ref="AH600:AI600"/>
    <mergeCell ref="AJ600:AK600"/>
    <mergeCell ref="R600:S600"/>
    <mergeCell ref="T600:U600"/>
    <mergeCell ref="V600:W600"/>
    <mergeCell ref="X600:Y600"/>
    <mergeCell ref="Z600:AA600"/>
    <mergeCell ref="AB600:AC600"/>
    <mergeCell ref="B600:C600"/>
    <mergeCell ref="D600:E600"/>
    <mergeCell ref="F600:G600"/>
    <mergeCell ref="H600:I600"/>
    <mergeCell ref="J600:K600"/>
    <mergeCell ref="L600:M600"/>
    <mergeCell ref="N600:O600"/>
    <mergeCell ref="P600:Q600"/>
    <mergeCell ref="AL599:BB599"/>
    <mergeCell ref="AD599:AE599"/>
    <mergeCell ref="AF599:AG599"/>
    <mergeCell ref="AH599:AI599"/>
    <mergeCell ref="AJ599:AK599"/>
    <mergeCell ref="R599:S599"/>
    <mergeCell ref="T599:U599"/>
    <mergeCell ref="V599:W599"/>
    <mergeCell ref="X599:Y599"/>
    <mergeCell ref="Z599:AA599"/>
    <mergeCell ref="AB599:AC599"/>
    <mergeCell ref="B599:C599"/>
    <mergeCell ref="D599:E599"/>
    <mergeCell ref="F599:G599"/>
    <mergeCell ref="H599:I599"/>
    <mergeCell ref="J599:K599"/>
    <mergeCell ref="L599:M599"/>
    <mergeCell ref="N599:O599"/>
    <mergeCell ref="P599:Q599"/>
    <mergeCell ref="AL598:BB598"/>
    <mergeCell ref="AD598:AE598"/>
    <mergeCell ref="AF598:AG598"/>
    <mergeCell ref="AH598:AI598"/>
    <mergeCell ref="AJ598:AK598"/>
    <mergeCell ref="R598:S598"/>
    <mergeCell ref="T598:U598"/>
    <mergeCell ref="V598:W598"/>
    <mergeCell ref="X598:Y598"/>
    <mergeCell ref="Z598:AA598"/>
    <mergeCell ref="AB598:AC598"/>
    <mergeCell ref="B598:C598"/>
    <mergeCell ref="D598:E598"/>
    <mergeCell ref="F598:G598"/>
    <mergeCell ref="H598:I598"/>
    <mergeCell ref="J598:K598"/>
    <mergeCell ref="L598:M598"/>
    <mergeCell ref="N598:O598"/>
    <mergeCell ref="P598:Q598"/>
    <mergeCell ref="AL597:BB597"/>
    <mergeCell ref="AD597:AE597"/>
    <mergeCell ref="AF597:AG597"/>
    <mergeCell ref="AH597:AI597"/>
    <mergeCell ref="AJ597:AK597"/>
    <mergeCell ref="R597:S597"/>
    <mergeCell ref="T597:U597"/>
    <mergeCell ref="V597:W597"/>
    <mergeCell ref="X597:Y597"/>
    <mergeCell ref="Z597:AA597"/>
    <mergeCell ref="AB597:AC597"/>
    <mergeCell ref="B597:C597"/>
    <mergeCell ref="D597:E597"/>
    <mergeCell ref="F597:G597"/>
    <mergeCell ref="H597:I597"/>
    <mergeCell ref="J597:K597"/>
    <mergeCell ref="L597:M597"/>
    <mergeCell ref="N597:O597"/>
    <mergeCell ref="P597:Q597"/>
    <mergeCell ref="AL596:BB596"/>
    <mergeCell ref="AD596:AE596"/>
    <mergeCell ref="AF596:AG596"/>
    <mergeCell ref="AH596:AI596"/>
    <mergeCell ref="AJ596:AK596"/>
    <mergeCell ref="R596:S596"/>
    <mergeCell ref="T596:U596"/>
    <mergeCell ref="V596:W596"/>
    <mergeCell ref="X596:Y596"/>
    <mergeCell ref="Z596:AA596"/>
    <mergeCell ref="AB596:AC596"/>
    <mergeCell ref="B596:C596"/>
    <mergeCell ref="D596:E596"/>
    <mergeCell ref="F596:G596"/>
    <mergeCell ref="H596:I596"/>
    <mergeCell ref="J596:K596"/>
    <mergeCell ref="L596:M596"/>
    <mergeCell ref="N596:O596"/>
    <mergeCell ref="P596:Q596"/>
    <mergeCell ref="AL595:BB595"/>
    <mergeCell ref="AD595:AE595"/>
    <mergeCell ref="AF595:AG595"/>
    <mergeCell ref="AH595:AI595"/>
    <mergeCell ref="AJ595:AK595"/>
    <mergeCell ref="R595:S595"/>
    <mergeCell ref="T595:U595"/>
    <mergeCell ref="V595:W595"/>
    <mergeCell ref="X595:Y595"/>
    <mergeCell ref="Z595:AA595"/>
    <mergeCell ref="AB595:AC595"/>
    <mergeCell ref="B595:C595"/>
    <mergeCell ref="D595:E595"/>
    <mergeCell ref="F595:G595"/>
    <mergeCell ref="H595:I595"/>
    <mergeCell ref="J595:K595"/>
    <mergeCell ref="L595:M595"/>
    <mergeCell ref="N595:O595"/>
    <mergeCell ref="P595:Q595"/>
    <mergeCell ref="AL594:BB594"/>
    <mergeCell ref="AD594:AE594"/>
    <mergeCell ref="AF594:AG594"/>
    <mergeCell ref="AH594:AI594"/>
    <mergeCell ref="AJ594:AK594"/>
    <mergeCell ref="R594:S594"/>
    <mergeCell ref="T594:U594"/>
    <mergeCell ref="V594:W594"/>
    <mergeCell ref="X594:Y594"/>
    <mergeCell ref="Z594:AA594"/>
    <mergeCell ref="AB594:AC594"/>
    <mergeCell ref="B594:C594"/>
    <mergeCell ref="D594:E594"/>
    <mergeCell ref="F594:G594"/>
    <mergeCell ref="H594:I594"/>
    <mergeCell ref="J594:K594"/>
    <mergeCell ref="L594:M594"/>
    <mergeCell ref="N594:O594"/>
    <mergeCell ref="P594:Q594"/>
    <mergeCell ref="AL593:BB593"/>
    <mergeCell ref="AD593:AE593"/>
    <mergeCell ref="AF593:AG593"/>
    <mergeCell ref="AH593:AI593"/>
    <mergeCell ref="AJ593:AK593"/>
    <mergeCell ref="R593:S593"/>
    <mergeCell ref="T593:U593"/>
    <mergeCell ref="V593:W593"/>
    <mergeCell ref="X593:Y593"/>
    <mergeCell ref="Z593:AA593"/>
    <mergeCell ref="AB593:AC593"/>
    <mergeCell ref="B593:C593"/>
    <mergeCell ref="D593:E593"/>
    <mergeCell ref="F593:G593"/>
    <mergeCell ref="H593:I593"/>
    <mergeCell ref="J593:K593"/>
    <mergeCell ref="L593:M593"/>
    <mergeCell ref="N593:O593"/>
    <mergeCell ref="P593:Q593"/>
    <mergeCell ref="AL592:BB592"/>
    <mergeCell ref="AD592:AE592"/>
    <mergeCell ref="AF592:AG592"/>
    <mergeCell ref="AH592:AI592"/>
    <mergeCell ref="AJ592:AK592"/>
    <mergeCell ref="R592:S592"/>
    <mergeCell ref="T592:U592"/>
    <mergeCell ref="V592:W592"/>
    <mergeCell ref="X592:Y592"/>
    <mergeCell ref="Z592:AA592"/>
    <mergeCell ref="AB592:AC592"/>
    <mergeCell ref="B592:C592"/>
    <mergeCell ref="D592:E592"/>
    <mergeCell ref="F592:G592"/>
    <mergeCell ref="H592:I592"/>
    <mergeCell ref="J592:K592"/>
    <mergeCell ref="L592:M592"/>
    <mergeCell ref="N592:O592"/>
    <mergeCell ref="P592:Q592"/>
    <mergeCell ref="AL591:BB591"/>
    <mergeCell ref="AD591:AE591"/>
    <mergeCell ref="AF591:AG591"/>
    <mergeCell ref="AH591:AI591"/>
    <mergeCell ref="AJ591:AK591"/>
    <mergeCell ref="R591:S591"/>
    <mergeCell ref="T591:U591"/>
    <mergeCell ref="V591:W591"/>
    <mergeCell ref="X591:Y591"/>
    <mergeCell ref="Z591:AA591"/>
    <mergeCell ref="AB591:AC591"/>
    <mergeCell ref="B591:C591"/>
    <mergeCell ref="D591:E591"/>
    <mergeCell ref="F591:G591"/>
    <mergeCell ref="H591:I591"/>
    <mergeCell ref="J591:K591"/>
    <mergeCell ref="L591:M591"/>
    <mergeCell ref="N591:O591"/>
    <mergeCell ref="P591:Q591"/>
    <mergeCell ref="AL590:BB590"/>
    <mergeCell ref="AD590:AE590"/>
    <mergeCell ref="AF590:AG590"/>
    <mergeCell ref="AH590:AI590"/>
    <mergeCell ref="AJ590:AK590"/>
    <mergeCell ref="R590:S590"/>
    <mergeCell ref="T590:U590"/>
    <mergeCell ref="V590:W590"/>
    <mergeCell ref="X590:Y590"/>
    <mergeCell ref="Z590:AA590"/>
    <mergeCell ref="AB590:AC590"/>
    <mergeCell ref="B590:C590"/>
    <mergeCell ref="D590:E590"/>
    <mergeCell ref="F590:G590"/>
    <mergeCell ref="H590:I590"/>
    <mergeCell ref="J590:K590"/>
    <mergeCell ref="L590:M590"/>
    <mergeCell ref="N590:O590"/>
    <mergeCell ref="P590:Q590"/>
    <mergeCell ref="AL589:BB589"/>
    <mergeCell ref="AD589:AE589"/>
    <mergeCell ref="AF589:AG589"/>
    <mergeCell ref="AH589:AI589"/>
    <mergeCell ref="AJ589:AK589"/>
    <mergeCell ref="R589:S589"/>
    <mergeCell ref="T589:U589"/>
    <mergeCell ref="V589:W589"/>
    <mergeCell ref="X589:Y589"/>
    <mergeCell ref="Z589:AA589"/>
    <mergeCell ref="AB589:AC589"/>
    <mergeCell ref="B589:C589"/>
    <mergeCell ref="D589:E589"/>
    <mergeCell ref="F589:G589"/>
    <mergeCell ref="H589:I589"/>
    <mergeCell ref="J589:K589"/>
    <mergeCell ref="L589:M589"/>
    <mergeCell ref="N589:O589"/>
    <mergeCell ref="P589:Q589"/>
    <mergeCell ref="AL588:BB588"/>
    <mergeCell ref="AD588:AE588"/>
    <mergeCell ref="AF588:AG588"/>
    <mergeCell ref="AH588:AI588"/>
    <mergeCell ref="AJ588:AK588"/>
    <mergeCell ref="R588:S588"/>
    <mergeCell ref="T588:U588"/>
    <mergeCell ref="V588:W588"/>
    <mergeCell ref="X588:Y588"/>
    <mergeCell ref="Z588:AA588"/>
    <mergeCell ref="AB588:AC588"/>
    <mergeCell ref="B588:C588"/>
    <mergeCell ref="D588:E588"/>
    <mergeCell ref="F588:G588"/>
    <mergeCell ref="H588:I588"/>
    <mergeCell ref="J588:K588"/>
    <mergeCell ref="L588:M588"/>
    <mergeCell ref="N588:O588"/>
    <mergeCell ref="P588:Q588"/>
    <mergeCell ref="AL587:BB587"/>
    <mergeCell ref="AD587:AE587"/>
    <mergeCell ref="AF587:AG587"/>
    <mergeCell ref="AH587:AI587"/>
    <mergeCell ref="AJ587:AK587"/>
    <mergeCell ref="R587:S587"/>
    <mergeCell ref="T587:U587"/>
    <mergeCell ref="V587:W587"/>
    <mergeCell ref="X587:Y587"/>
    <mergeCell ref="Z587:AA587"/>
    <mergeCell ref="AB587:AC587"/>
    <mergeCell ref="B587:C587"/>
    <mergeCell ref="D587:E587"/>
    <mergeCell ref="F587:G587"/>
    <mergeCell ref="H587:I587"/>
    <mergeCell ref="J587:K587"/>
    <mergeCell ref="L587:M587"/>
    <mergeCell ref="N587:O587"/>
    <mergeCell ref="P587:Q587"/>
    <mergeCell ref="AL586:BB586"/>
    <mergeCell ref="Z586:AA586"/>
    <mergeCell ref="AB586:AC586"/>
    <mergeCell ref="AD586:AE586"/>
    <mergeCell ref="AF586:AG586"/>
    <mergeCell ref="AH586:AI586"/>
    <mergeCell ref="AJ586:AK586"/>
    <mergeCell ref="N586:O586"/>
    <mergeCell ref="P586:Q586"/>
    <mergeCell ref="R586:S586"/>
    <mergeCell ref="T586:U586"/>
    <mergeCell ref="V586:W586"/>
    <mergeCell ref="X586:Y586"/>
    <mergeCell ref="B586:C586"/>
    <mergeCell ref="D586:E586"/>
    <mergeCell ref="F586:G586"/>
    <mergeCell ref="H586:I586"/>
    <mergeCell ref="J586:K586"/>
    <mergeCell ref="L586:M586"/>
    <mergeCell ref="AL585:BB585"/>
    <mergeCell ref="AD585:AE585"/>
    <mergeCell ref="AF585:AG585"/>
    <mergeCell ref="AH585:AI585"/>
    <mergeCell ref="AJ585:AK585"/>
    <mergeCell ref="R585:S585"/>
    <mergeCell ref="T585:U585"/>
    <mergeCell ref="V585:W585"/>
    <mergeCell ref="X585:Y585"/>
    <mergeCell ref="Z585:AA585"/>
    <mergeCell ref="AB585:AC585"/>
    <mergeCell ref="B585:C585"/>
    <mergeCell ref="D585:E585"/>
    <mergeCell ref="F585:G585"/>
    <mergeCell ref="H585:I585"/>
    <mergeCell ref="J585:K585"/>
    <mergeCell ref="L585:M585"/>
    <mergeCell ref="N585:O585"/>
    <mergeCell ref="P585:Q585"/>
    <mergeCell ref="AL584:BB584"/>
    <mergeCell ref="Z584:AA584"/>
    <mergeCell ref="AB584:AC584"/>
    <mergeCell ref="AD584:AE584"/>
    <mergeCell ref="AF584:AG584"/>
    <mergeCell ref="AH584:AI584"/>
    <mergeCell ref="AJ584:AK584"/>
    <mergeCell ref="N584:O584"/>
    <mergeCell ref="P584:Q584"/>
    <mergeCell ref="R584:S584"/>
    <mergeCell ref="T584:U584"/>
    <mergeCell ref="V584:W584"/>
    <mergeCell ref="X584:Y584"/>
    <mergeCell ref="B584:C584"/>
    <mergeCell ref="D584:E584"/>
    <mergeCell ref="F584:G584"/>
    <mergeCell ref="H584:I584"/>
    <mergeCell ref="J584:K584"/>
    <mergeCell ref="L584:M584"/>
    <mergeCell ref="AL583:BB583"/>
    <mergeCell ref="AD583:AE583"/>
    <mergeCell ref="AF583:AG583"/>
    <mergeCell ref="AH583:AI583"/>
    <mergeCell ref="AJ583:AK583"/>
    <mergeCell ref="R583:S583"/>
    <mergeCell ref="T583:U583"/>
    <mergeCell ref="V583:W583"/>
    <mergeCell ref="X583:Y583"/>
    <mergeCell ref="Z583:AA583"/>
    <mergeCell ref="AB583:AC583"/>
    <mergeCell ref="B583:C583"/>
    <mergeCell ref="D583:E583"/>
    <mergeCell ref="F583:G583"/>
    <mergeCell ref="H583:I583"/>
    <mergeCell ref="J583:K583"/>
    <mergeCell ref="L583:M583"/>
    <mergeCell ref="N583:O583"/>
    <mergeCell ref="P583:Q583"/>
    <mergeCell ref="AL582:BB582"/>
    <mergeCell ref="Z582:AA582"/>
    <mergeCell ref="AB582:AC582"/>
    <mergeCell ref="AD582:AE582"/>
    <mergeCell ref="AF582:AG582"/>
    <mergeCell ref="AH582:AI582"/>
    <mergeCell ref="AJ582:AK582"/>
    <mergeCell ref="N582:O582"/>
    <mergeCell ref="P582:Q582"/>
    <mergeCell ref="R582:S582"/>
    <mergeCell ref="T582:U582"/>
    <mergeCell ref="V582:W582"/>
    <mergeCell ref="X582:Y582"/>
    <mergeCell ref="B582:C582"/>
    <mergeCell ref="D582:E582"/>
    <mergeCell ref="F582:G582"/>
    <mergeCell ref="H582:I582"/>
    <mergeCell ref="J582:K582"/>
    <mergeCell ref="L582:M582"/>
    <mergeCell ref="AL581:BB581"/>
    <mergeCell ref="AD581:AE581"/>
    <mergeCell ref="AF581:AG581"/>
    <mergeCell ref="AH581:AI581"/>
    <mergeCell ref="AJ581:AK581"/>
    <mergeCell ref="R581:S581"/>
    <mergeCell ref="T581:U581"/>
    <mergeCell ref="V581:W581"/>
    <mergeCell ref="X581:Y581"/>
    <mergeCell ref="Z581:AA581"/>
    <mergeCell ref="AB581:AC581"/>
    <mergeCell ref="B581:C581"/>
    <mergeCell ref="D581:E581"/>
    <mergeCell ref="F581:G581"/>
    <mergeCell ref="H581:I581"/>
    <mergeCell ref="J581:K581"/>
    <mergeCell ref="L581:M581"/>
    <mergeCell ref="N581:O581"/>
    <mergeCell ref="P581:Q581"/>
    <mergeCell ref="AL580:BB580"/>
    <mergeCell ref="Z580:AA580"/>
    <mergeCell ref="AB580:AC580"/>
    <mergeCell ref="AD580:AE580"/>
    <mergeCell ref="AF580:AG580"/>
    <mergeCell ref="AH580:AI580"/>
    <mergeCell ref="AJ580:AK580"/>
    <mergeCell ref="N580:O580"/>
    <mergeCell ref="P580:Q580"/>
    <mergeCell ref="R580:S580"/>
    <mergeCell ref="T580:U580"/>
    <mergeCell ref="V580:W580"/>
    <mergeCell ref="X580:Y580"/>
    <mergeCell ref="B580:C580"/>
    <mergeCell ref="D580:E580"/>
    <mergeCell ref="F580:G580"/>
    <mergeCell ref="H580:I580"/>
    <mergeCell ref="J580:K580"/>
    <mergeCell ref="L580:M580"/>
    <mergeCell ref="AL579:BB579"/>
    <mergeCell ref="AD579:AE579"/>
    <mergeCell ref="AF579:AG579"/>
    <mergeCell ref="AH579:AI579"/>
    <mergeCell ref="AJ579:AK579"/>
    <mergeCell ref="R579:S579"/>
    <mergeCell ref="T579:U579"/>
    <mergeCell ref="V579:W579"/>
    <mergeCell ref="X579:Y579"/>
    <mergeCell ref="Z579:AA579"/>
    <mergeCell ref="AB579:AC579"/>
    <mergeCell ref="B579:C579"/>
    <mergeCell ref="D579:E579"/>
    <mergeCell ref="F579:G579"/>
    <mergeCell ref="H579:I579"/>
    <mergeCell ref="J579:K579"/>
    <mergeCell ref="L579:M579"/>
    <mergeCell ref="N579:O579"/>
    <mergeCell ref="P579:Q579"/>
    <mergeCell ref="AL578:BB578"/>
    <mergeCell ref="Z578:AA578"/>
    <mergeCell ref="AB578:AC578"/>
    <mergeCell ref="AD578:AE578"/>
    <mergeCell ref="AF578:AG578"/>
    <mergeCell ref="AH578:AI578"/>
    <mergeCell ref="AJ578:AK578"/>
    <mergeCell ref="N578:O578"/>
    <mergeCell ref="P578:Q578"/>
    <mergeCell ref="R578:S578"/>
    <mergeCell ref="T578:U578"/>
    <mergeCell ref="V578:W578"/>
    <mergeCell ref="X578:Y578"/>
    <mergeCell ref="B578:C578"/>
    <mergeCell ref="D578:E578"/>
    <mergeCell ref="F578:G578"/>
    <mergeCell ref="H578:I578"/>
    <mergeCell ref="J578:K578"/>
    <mergeCell ref="L578:M578"/>
    <mergeCell ref="AL577:BB577"/>
    <mergeCell ref="Z577:AA577"/>
    <mergeCell ref="AB577:AC577"/>
    <mergeCell ref="AD577:AE577"/>
    <mergeCell ref="AF577:AG577"/>
    <mergeCell ref="AH577:AI577"/>
    <mergeCell ref="AJ577:AK577"/>
    <mergeCell ref="N577:O577"/>
    <mergeCell ref="P577:Q577"/>
    <mergeCell ref="R577:S577"/>
    <mergeCell ref="T577:U577"/>
    <mergeCell ref="V577:W577"/>
    <mergeCell ref="X577:Y577"/>
    <mergeCell ref="B577:C577"/>
    <mergeCell ref="D577:E577"/>
    <mergeCell ref="F577:G577"/>
    <mergeCell ref="H577:I577"/>
    <mergeCell ref="J577:K577"/>
    <mergeCell ref="L577:M577"/>
    <mergeCell ref="AL576:BB576"/>
    <mergeCell ref="AD576:AE576"/>
    <mergeCell ref="AF576:AG576"/>
    <mergeCell ref="AH576:AI576"/>
    <mergeCell ref="AJ576:AK576"/>
    <mergeCell ref="R576:S576"/>
    <mergeCell ref="T576:U576"/>
    <mergeCell ref="V576:W576"/>
    <mergeCell ref="X576:Y576"/>
    <mergeCell ref="Z576:AA576"/>
    <mergeCell ref="AB576:AC576"/>
    <mergeCell ref="B576:C576"/>
    <mergeCell ref="D576:E576"/>
    <mergeCell ref="F576:G576"/>
    <mergeCell ref="H576:I576"/>
    <mergeCell ref="J576:K576"/>
    <mergeCell ref="L576:M576"/>
    <mergeCell ref="N576:O576"/>
    <mergeCell ref="P576:Q576"/>
    <mergeCell ref="AL575:BB575"/>
    <mergeCell ref="AD575:AE575"/>
    <mergeCell ref="AF575:AG575"/>
    <mergeCell ref="AH575:AI575"/>
    <mergeCell ref="AJ575:AK575"/>
    <mergeCell ref="R575:S575"/>
    <mergeCell ref="T575:U575"/>
    <mergeCell ref="V575:W575"/>
    <mergeCell ref="X575:Y575"/>
    <mergeCell ref="Z575:AA575"/>
    <mergeCell ref="AB575:AC575"/>
    <mergeCell ref="B575:C575"/>
    <mergeCell ref="D575:E575"/>
    <mergeCell ref="F575:G575"/>
    <mergeCell ref="H575:I575"/>
    <mergeCell ref="J575:K575"/>
    <mergeCell ref="L575:M575"/>
    <mergeCell ref="N575:O575"/>
    <mergeCell ref="P575:Q575"/>
    <mergeCell ref="AL574:BB574"/>
    <mergeCell ref="AD574:AE574"/>
    <mergeCell ref="AF574:AG574"/>
    <mergeCell ref="AH574:AI574"/>
    <mergeCell ref="AJ574:AK574"/>
    <mergeCell ref="R574:S574"/>
    <mergeCell ref="T574:U574"/>
    <mergeCell ref="V574:W574"/>
    <mergeCell ref="X574:Y574"/>
    <mergeCell ref="Z574:AA574"/>
    <mergeCell ref="AB574:AC574"/>
    <mergeCell ref="B574:C574"/>
    <mergeCell ref="D574:E574"/>
    <mergeCell ref="F574:G574"/>
    <mergeCell ref="H574:I574"/>
    <mergeCell ref="J574:K574"/>
    <mergeCell ref="L574:M574"/>
    <mergeCell ref="N574:O574"/>
    <mergeCell ref="P574:Q574"/>
    <mergeCell ref="AL573:BB573"/>
    <mergeCell ref="AD573:AE573"/>
    <mergeCell ref="AF573:AG573"/>
    <mergeCell ref="AH573:AI573"/>
    <mergeCell ref="AJ573:AK573"/>
    <mergeCell ref="R573:S573"/>
    <mergeCell ref="T573:U573"/>
    <mergeCell ref="V573:W573"/>
    <mergeCell ref="X573:Y573"/>
    <mergeCell ref="Z573:AA573"/>
    <mergeCell ref="AB573:AC573"/>
    <mergeCell ref="B573:C573"/>
    <mergeCell ref="D573:E573"/>
    <mergeCell ref="F573:G573"/>
    <mergeCell ref="H573:I573"/>
    <mergeCell ref="J573:K573"/>
    <mergeCell ref="L573:M573"/>
    <mergeCell ref="N573:O573"/>
    <mergeCell ref="P573:Q573"/>
    <mergeCell ref="AL572:BB572"/>
    <mergeCell ref="AD572:AE572"/>
    <mergeCell ref="AF572:AG572"/>
    <mergeCell ref="AH572:AI572"/>
    <mergeCell ref="AJ572:AK572"/>
    <mergeCell ref="R572:S572"/>
    <mergeCell ref="T572:U572"/>
    <mergeCell ref="V572:W572"/>
    <mergeCell ref="X572:Y572"/>
    <mergeCell ref="Z572:AA572"/>
    <mergeCell ref="AB572:AC572"/>
    <mergeCell ref="B572:C572"/>
    <mergeCell ref="D572:E572"/>
    <mergeCell ref="F572:G572"/>
    <mergeCell ref="H572:I572"/>
    <mergeCell ref="J572:K572"/>
    <mergeCell ref="L572:M572"/>
    <mergeCell ref="N572:O572"/>
    <mergeCell ref="P572:Q572"/>
    <mergeCell ref="AL571:BB571"/>
    <mergeCell ref="AD571:AE571"/>
    <mergeCell ref="AF571:AG571"/>
    <mergeCell ref="AH571:AI571"/>
    <mergeCell ref="AJ571:AK571"/>
    <mergeCell ref="R571:S571"/>
    <mergeCell ref="T571:U571"/>
    <mergeCell ref="V571:W571"/>
    <mergeCell ref="X571:Y571"/>
    <mergeCell ref="Z571:AA571"/>
    <mergeCell ref="AB571:AC571"/>
    <mergeCell ref="B571:C571"/>
    <mergeCell ref="D571:E571"/>
    <mergeCell ref="F571:G571"/>
    <mergeCell ref="H571:I571"/>
    <mergeCell ref="J571:K571"/>
    <mergeCell ref="L571:M571"/>
    <mergeCell ref="N571:O571"/>
    <mergeCell ref="P571:Q571"/>
    <mergeCell ref="AL570:BB570"/>
    <mergeCell ref="AD570:AE570"/>
    <mergeCell ref="AF570:AG570"/>
    <mergeCell ref="AH570:AI570"/>
    <mergeCell ref="AJ570:AK570"/>
    <mergeCell ref="R570:S570"/>
    <mergeCell ref="T570:U570"/>
    <mergeCell ref="V570:W570"/>
    <mergeCell ref="X570:Y570"/>
    <mergeCell ref="Z570:AA570"/>
    <mergeCell ref="AB570:AC570"/>
    <mergeCell ref="B570:C570"/>
    <mergeCell ref="D570:E570"/>
    <mergeCell ref="F570:G570"/>
    <mergeCell ref="H570:I570"/>
    <mergeCell ref="J570:K570"/>
    <mergeCell ref="L570:M570"/>
    <mergeCell ref="N570:O570"/>
    <mergeCell ref="P570:Q570"/>
    <mergeCell ref="AL569:BB569"/>
    <mergeCell ref="AD569:AE569"/>
    <mergeCell ref="AF569:AG569"/>
    <mergeCell ref="AH569:AI569"/>
    <mergeCell ref="AJ569:AK569"/>
    <mergeCell ref="R569:S569"/>
    <mergeCell ref="T569:U569"/>
    <mergeCell ref="V569:W569"/>
    <mergeCell ref="X569:Y569"/>
    <mergeCell ref="Z569:AA569"/>
    <mergeCell ref="AB569:AC569"/>
    <mergeCell ref="B569:C569"/>
    <mergeCell ref="D569:E569"/>
    <mergeCell ref="F569:G569"/>
    <mergeCell ref="H569:I569"/>
    <mergeCell ref="J569:K569"/>
    <mergeCell ref="L569:M569"/>
    <mergeCell ref="N569:O569"/>
    <mergeCell ref="P569:Q569"/>
    <mergeCell ref="AL568:BB568"/>
    <mergeCell ref="AD568:AE568"/>
    <mergeCell ref="AF568:AG568"/>
    <mergeCell ref="AH568:AI568"/>
    <mergeCell ref="AJ568:AK568"/>
    <mergeCell ref="R568:S568"/>
    <mergeCell ref="T568:U568"/>
    <mergeCell ref="V568:W568"/>
    <mergeCell ref="X568:Y568"/>
    <mergeCell ref="Z568:AA568"/>
    <mergeCell ref="AB568:AC568"/>
    <mergeCell ref="B568:C568"/>
    <mergeCell ref="D568:E568"/>
    <mergeCell ref="F568:G568"/>
    <mergeCell ref="H568:I568"/>
    <mergeCell ref="J568:K568"/>
    <mergeCell ref="L568:M568"/>
    <mergeCell ref="N568:O568"/>
    <mergeCell ref="P568:Q568"/>
    <mergeCell ref="AL567:BB567"/>
    <mergeCell ref="AD567:AE567"/>
    <mergeCell ref="AF567:AG567"/>
    <mergeCell ref="AH567:AI567"/>
    <mergeCell ref="AJ567:AK567"/>
    <mergeCell ref="R567:S567"/>
    <mergeCell ref="T567:U567"/>
    <mergeCell ref="V567:W567"/>
    <mergeCell ref="X567:Y567"/>
    <mergeCell ref="Z567:AA567"/>
    <mergeCell ref="AB567:AC567"/>
    <mergeCell ref="B567:C567"/>
    <mergeCell ref="D567:E567"/>
    <mergeCell ref="F567:G567"/>
    <mergeCell ref="H567:I567"/>
    <mergeCell ref="J567:K567"/>
    <mergeCell ref="L567:M567"/>
    <mergeCell ref="N567:O567"/>
    <mergeCell ref="P567:Q567"/>
    <mergeCell ref="AL566:BB566"/>
    <mergeCell ref="AD566:AE566"/>
    <mergeCell ref="AF566:AG566"/>
    <mergeCell ref="AH566:AI566"/>
    <mergeCell ref="AJ566:AK566"/>
    <mergeCell ref="R566:S566"/>
    <mergeCell ref="T566:U566"/>
    <mergeCell ref="V566:W566"/>
    <mergeCell ref="X566:Y566"/>
    <mergeCell ref="Z566:AA566"/>
    <mergeCell ref="AB566:AC566"/>
    <mergeCell ref="B566:C566"/>
    <mergeCell ref="D566:E566"/>
    <mergeCell ref="F566:G566"/>
    <mergeCell ref="H566:I566"/>
    <mergeCell ref="J566:K566"/>
    <mergeCell ref="L566:M566"/>
    <mergeCell ref="N566:O566"/>
    <mergeCell ref="P566:Q566"/>
    <mergeCell ref="AL565:BB565"/>
    <mergeCell ref="AD565:AE565"/>
    <mergeCell ref="AF565:AG565"/>
    <mergeCell ref="AH565:AI565"/>
    <mergeCell ref="AJ565:AK565"/>
    <mergeCell ref="R565:S565"/>
    <mergeCell ref="T565:U565"/>
    <mergeCell ref="V565:W565"/>
    <mergeCell ref="X565:Y565"/>
    <mergeCell ref="Z565:AA565"/>
    <mergeCell ref="AB565:AC565"/>
    <mergeCell ref="B565:C565"/>
    <mergeCell ref="D565:E565"/>
    <mergeCell ref="F565:G565"/>
    <mergeCell ref="H565:I565"/>
    <mergeCell ref="J565:K565"/>
    <mergeCell ref="L565:M565"/>
    <mergeCell ref="N565:O565"/>
    <mergeCell ref="P565:Q565"/>
    <mergeCell ref="AL564:BB564"/>
    <mergeCell ref="AD564:AE564"/>
    <mergeCell ref="AF564:AG564"/>
    <mergeCell ref="AH564:AI564"/>
    <mergeCell ref="AJ564:AK564"/>
    <mergeCell ref="R564:S564"/>
    <mergeCell ref="T564:U564"/>
    <mergeCell ref="V564:W564"/>
    <mergeCell ref="X564:Y564"/>
    <mergeCell ref="Z564:AA564"/>
    <mergeCell ref="AB564:AC564"/>
    <mergeCell ref="B564:C564"/>
    <mergeCell ref="D564:E564"/>
    <mergeCell ref="F564:G564"/>
    <mergeCell ref="H564:I564"/>
    <mergeCell ref="J564:K564"/>
    <mergeCell ref="L564:M564"/>
    <mergeCell ref="N564:O564"/>
    <mergeCell ref="P564:Q564"/>
    <mergeCell ref="AL563:BB563"/>
    <mergeCell ref="AD563:AE563"/>
    <mergeCell ref="AF563:AG563"/>
    <mergeCell ref="AH563:AI563"/>
    <mergeCell ref="AJ563:AK563"/>
    <mergeCell ref="R563:S563"/>
    <mergeCell ref="T563:U563"/>
    <mergeCell ref="V563:W563"/>
    <mergeCell ref="X563:Y563"/>
    <mergeCell ref="Z563:AA563"/>
    <mergeCell ref="AB563:AC563"/>
    <mergeCell ref="B563:C563"/>
    <mergeCell ref="D563:E563"/>
    <mergeCell ref="F563:G563"/>
    <mergeCell ref="H563:I563"/>
    <mergeCell ref="J563:K563"/>
    <mergeCell ref="L563:M563"/>
    <mergeCell ref="N563:O563"/>
    <mergeCell ref="P563:Q563"/>
    <mergeCell ref="AL562:BB562"/>
    <mergeCell ref="AD562:AE562"/>
    <mergeCell ref="AF562:AG562"/>
    <mergeCell ref="AH562:AI562"/>
    <mergeCell ref="AJ562:AK562"/>
    <mergeCell ref="R562:S562"/>
    <mergeCell ref="T562:U562"/>
    <mergeCell ref="V562:W562"/>
    <mergeCell ref="X562:Y562"/>
    <mergeCell ref="Z562:AA562"/>
    <mergeCell ref="AB562:AC562"/>
    <mergeCell ref="B562:C562"/>
    <mergeCell ref="D562:E562"/>
    <mergeCell ref="F562:G562"/>
    <mergeCell ref="H562:I562"/>
    <mergeCell ref="J562:K562"/>
    <mergeCell ref="L562:M562"/>
    <mergeCell ref="N562:O562"/>
    <mergeCell ref="P562:Q562"/>
    <mergeCell ref="AL561:BB561"/>
    <mergeCell ref="AD561:AE561"/>
    <mergeCell ref="AF561:AG561"/>
    <mergeCell ref="AH561:AI561"/>
    <mergeCell ref="AJ561:AK561"/>
    <mergeCell ref="R561:S561"/>
    <mergeCell ref="T561:U561"/>
    <mergeCell ref="V561:W561"/>
    <mergeCell ref="X561:Y561"/>
    <mergeCell ref="Z561:AA561"/>
    <mergeCell ref="AB561:AC561"/>
    <mergeCell ref="B561:C561"/>
    <mergeCell ref="D561:E561"/>
    <mergeCell ref="F561:G561"/>
    <mergeCell ref="H561:I561"/>
    <mergeCell ref="J561:K561"/>
    <mergeCell ref="L561:M561"/>
    <mergeCell ref="N561:O561"/>
    <mergeCell ref="P561:Q561"/>
    <mergeCell ref="AL560:BB560"/>
    <mergeCell ref="AD560:AE560"/>
    <mergeCell ref="AF560:AG560"/>
    <mergeCell ref="AH560:AI560"/>
    <mergeCell ref="AJ560:AK560"/>
    <mergeCell ref="R560:S560"/>
    <mergeCell ref="T560:U560"/>
    <mergeCell ref="V560:W560"/>
    <mergeCell ref="X560:Y560"/>
    <mergeCell ref="Z560:AA560"/>
    <mergeCell ref="AB560:AC560"/>
    <mergeCell ref="B560:C560"/>
    <mergeCell ref="D560:E560"/>
    <mergeCell ref="F560:G560"/>
    <mergeCell ref="H560:I560"/>
    <mergeCell ref="J560:K560"/>
    <mergeCell ref="L560:M560"/>
    <mergeCell ref="N560:O560"/>
    <mergeCell ref="P560:Q560"/>
    <mergeCell ref="AL559:BB559"/>
    <mergeCell ref="AD559:AE559"/>
    <mergeCell ref="AF559:AG559"/>
    <mergeCell ref="AH559:AI559"/>
    <mergeCell ref="AJ559:AK559"/>
    <mergeCell ref="R559:S559"/>
    <mergeCell ref="T559:U559"/>
    <mergeCell ref="V559:W559"/>
    <mergeCell ref="X559:Y559"/>
    <mergeCell ref="Z559:AA559"/>
    <mergeCell ref="AB559:AC559"/>
    <mergeCell ref="B559:C559"/>
    <mergeCell ref="D559:E559"/>
    <mergeCell ref="F559:G559"/>
    <mergeCell ref="H559:I559"/>
    <mergeCell ref="J559:K559"/>
    <mergeCell ref="L559:M559"/>
    <mergeCell ref="N559:O559"/>
    <mergeCell ref="P559:Q559"/>
    <mergeCell ref="AL558:BB558"/>
    <mergeCell ref="AD558:AE558"/>
    <mergeCell ref="AF558:AG558"/>
    <mergeCell ref="AH558:AI558"/>
    <mergeCell ref="AJ558:AK558"/>
    <mergeCell ref="R558:S558"/>
    <mergeCell ref="T558:U558"/>
    <mergeCell ref="V558:W558"/>
    <mergeCell ref="X558:Y558"/>
    <mergeCell ref="Z558:AA558"/>
    <mergeCell ref="AB558:AC558"/>
    <mergeCell ref="B558:C558"/>
    <mergeCell ref="D558:E558"/>
    <mergeCell ref="F558:G558"/>
    <mergeCell ref="H558:I558"/>
    <mergeCell ref="J558:K558"/>
    <mergeCell ref="L558:M558"/>
    <mergeCell ref="N558:O558"/>
    <mergeCell ref="P558:Q558"/>
    <mergeCell ref="AL557:BB557"/>
    <mergeCell ref="AD557:AE557"/>
    <mergeCell ref="AF557:AG557"/>
    <mergeCell ref="AH557:AI557"/>
    <mergeCell ref="AJ557:AK557"/>
    <mergeCell ref="R557:S557"/>
    <mergeCell ref="T557:U557"/>
    <mergeCell ref="V557:W557"/>
    <mergeCell ref="X557:Y557"/>
    <mergeCell ref="Z557:AA557"/>
    <mergeCell ref="AB557:AC557"/>
    <mergeCell ref="B557:C557"/>
    <mergeCell ref="D557:E557"/>
    <mergeCell ref="F557:G557"/>
    <mergeCell ref="H557:I557"/>
    <mergeCell ref="J557:K557"/>
    <mergeCell ref="L557:M557"/>
    <mergeCell ref="N557:O557"/>
    <mergeCell ref="P557:Q557"/>
    <mergeCell ref="AL556:BB556"/>
    <mergeCell ref="AD556:AE556"/>
    <mergeCell ref="AF556:AG556"/>
    <mergeCell ref="AH556:AI556"/>
    <mergeCell ref="AJ556:AK556"/>
    <mergeCell ref="R556:S556"/>
    <mergeCell ref="T556:U556"/>
    <mergeCell ref="V556:W556"/>
    <mergeCell ref="X556:Y556"/>
    <mergeCell ref="Z556:AA556"/>
    <mergeCell ref="AB556:AC556"/>
    <mergeCell ref="B556:C556"/>
    <mergeCell ref="D556:E556"/>
    <mergeCell ref="F556:G556"/>
    <mergeCell ref="H556:I556"/>
    <mergeCell ref="J556:K556"/>
    <mergeCell ref="L556:M556"/>
    <mergeCell ref="N556:O556"/>
    <mergeCell ref="P556:Q556"/>
    <mergeCell ref="AL555:BB555"/>
    <mergeCell ref="AD555:AE555"/>
    <mergeCell ref="AF555:AG555"/>
    <mergeCell ref="AH555:AI555"/>
    <mergeCell ref="AJ555:AK555"/>
    <mergeCell ref="R555:S555"/>
    <mergeCell ref="T555:U555"/>
    <mergeCell ref="V555:W555"/>
    <mergeCell ref="X555:Y555"/>
    <mergeCell ref="Z555:AA555"/>
    <mergeCell ref="AB555:AC555"/>
    <mergeCell ref="B555:C555"/>
    <mergeCell ref="D555:E555"/>
    <mergeCell ref="F555:G555"/>
    <mergeCell ref="H555:I555"/>
    <mergeCell ref="J555:K555"/>
    <mergeCell ref="L555:M555"/>
    <mergeCell ref="N555:O555"/>
    <mergeCell ref="P555:Q555"/>
    <mergeCell ref="AL554:BB554"/>
    <mergeCell ref="AD554:AE554"/>
    <mergeCell ref="AF554:AG554"/>
    <mergeCell ref="AH554:AI554"/>
    <mergeCell ref="AJ554:AK554"/>
    <mergeCell ref="R554:S554"/>
    <mergeCell ref="T554:U554"/>
    <mergeCell ref="V554:W554"/>
    <mergeCell ref="X554:Y554"/>
    <mergeCell ref="Z554:AA554"/>
    <mergeCell ref="AB554:AC554"/>
    <mergeCell ref="B554:C554"/>
    <mergeCell ref="D554:E554"/>
    <mergeCell ref="F554:G554"/>
    <mergeCell ref="H554:I554"/>
    <mergeCell ref="J554:K554"/>
    <mergeCell ref="L554:M554"/>
    <mergeCell ref="N554:O554"/>
    <mergeCell ref="P554:Q554"/>
    <mergeCell ref="AL553:BB553"/>
    <mergeCell ref="AD553:AE553"/>
    <mergeCell ref="AF553:AG553"/>
    <mergeCell ref="AH553:AI553"/>
    <mergeCell ref="AJ553:AK553"/>
    <mergeCell ref="R553:S553"/>
    <mergeCell ref="T553:U553"/>
    <mergeCell ref="V553:W553"/>
    <mergeCell ref="X553:Y553"/>
    <mergeCell ref="Z553:AA553"/>
    <mergeCell ref="AB553:AC553"/>
    <mergeCell ref="B553:C553"/>
    <mergeCell ref="D553:E553"/>
    <mergeCell ref="F553:G553"/>
    <mergeCell ref="H553:I553"/>
    <mergeCell ref="J553:K553"/>
    <mergeCell ref="L553:M553"/>
    <mergeCell ref="N553:O553"/>
    <mergeCell ref="P553:Q553"/>
    <mergeCell ref="AL552:BB552"/>
    <mergeCell ref="AD552:AE552"/>
    <mergeCell ref="AF552:AG552"/>
    <mergeCell ref="AH552:AI552"/>
    <mergeCell ref="AJ552:AK552"/>
    <mergeCell ref="R552:S552"/>
    <mergeCell ref="T552:U552"/>
    <mergeCell ref="V552:W552"/>
    <mergeCell ref="X552:Y552"/>
    <mergeCell ref="Z552:AA552"/>
    <mergeCell ref="AB552:AC552"/>
    <mergeCell ref="B552:C552"/>
    <mergeCell ref="D552:E552"/>
    <mergeCell ref="F552:G552"/>
    <mergeCell ref="H552:I552"/>
    <mergeCell ref="J552:K552"/>
    <mergeCell ref="L552:M552"/>
    <mergeCell ref="N552:O552"/>
    <mergeCell ref="P552:Q552"/>
    <mergeCell ref="AL551:BB551"/>
    <mergeCell ref="AD551:AE551"/>
    <mergeCell ref="AF551:AG551"/>
    <mergeCell ref="AH551:AI551"/>
    <mergeCell ref="AJ551:AK551"/>
    <mergeCell ref="R551:S551"/>
    <mergeCell ref="T551:U551"/>
    <mergeCell ref="V551:W551"/>
    <mergeCell ref="X551:Y551"/>
    <mergeCell ref="Z551:AA551"/>
    <mergeCell ref="AB551:AC551"/>
    <mergeCell ref="B551:C551"/>
    <mergeCell ref="D551:E551"/>
    <mergeCell ref="F551:G551"/>
    <mergeCell ref="H551:I551"/>
    <mergeCell ref="J551:K551"/>
    <mergeCell ref="L551:M551"/>
    <mergeCell ref="N551:O551"/>
    <mergeCell ref="P551:Q551"/>
    <mergeCell ref="AL550:BB550"/>
    <mergeCell ref="AD550:AE550"/>
    <mergeCell ref="AF550:AG550"/>
    <mergeCell ref="AH550:AI550"/>
    <mergeCell ref="AJ550:AK550"/>
    <mergeCell ref="R550:S550"/>
    <mergeCell ref="T550:U550"/>
    <mergeCell ref="V550:W550"/>
    <mergeCell ref="X550:Y550"/>
    <mergeCell ref="Z550:AA550"/>
    <mergeCell ref="AB550:AC550"/>
    <mergeCell ref="B550:C550"/>
    <mergeCell ref="D550:E550"/>
    <mergeCell ref="F550:G550"/>
    <mergeCell ref="H550:I550"/>
    <mergeCell ref="J550:K550"/>
    <mergeCell ref="L550:M550"/>
    <mergeCell ref="N550:O550"/>
    <mergeCell ref="P550:Q550"/>
    <mergeCell ref="AL549:BB549"/>
    <mergeCell ref="AD549:AE549"/>
    <mergeCell ref="AF549:AG549"/>
    <mergeCell ref="AH549:AI549"/>
    <mergeCell ref="AJ549:AK549"/>
    <mergeCell ref="R549:S549"/>
    <mergeCell ref="T549:U549"/>
    <mergeCell ref="V549:W549"/>
    <mergeCell ref="X549:Y549"/>
    <mergeCell ref="Z549:AA549"/>
    <mergeCell ref="AB549:AC549"/>
    <mergeCell ref="B549:C549"/>
    <mergeCell ref="D549:E549"/>
    <mergeCell ref="F549:G549"/>
    <mergeCell ref="H549:I549"/>
    <mergeCell ref="J549:K549"/>
    <mergeCell ref="L549:M549"/>
    <mergeCell ref="N549:O549"/>
    <mergeCell ref="P549:Q549"/>
    <mergeCell ref="AL548:BB548"/>
    <mergeCell ref="AD548:AE548"/>
    <mergeCell ref="AF548:AG548"/>
    <mergeCell ref="AH548:AI548"/>
    <mergeCell ref="AJ548:AK548"/>
    <mergeCell ref="R548:S548"/>
    <mergeCell ref="T548:U548"/>
    <mergeCell ref="V548:W548"/>
    <mergeCell ref="X548:Y548"/>
    <mergeCell ref="Z548:AA548"/>
    <mergeCell ref="AB548:AC548"/>
    <mergeCell ref="B548:C548"/>
    <mergeCell ref="D548:E548"/>
    <mergeCell ref="F548:G548"/>
    <mergeCell ref="H548:I548"/>
    <mergeCell ref="J548:K548"/>
    <mergeCell ref="L548:M548"/>
    <mergeCell ref="N548:O548"/>
    <mergeCell ref="P548:Q548"/>
    <mergeCell ref="AL547:BB547"/>
    <mergeCell ref="AD547:AE547"/>
    <mergeCell ref="AF547:AG547"/>
    <mergeCell ref="AH547:AI547"/>
    <mergeCell ref="AJ547:AK547"/>
    <mergeCell ref="R547:S547"/>
    <mergeCell ref="T547:U547"/>
    <mergeCell ref="V547:W547"/>
    <mergeCell ref="X547:Y547"/>
    <mergeCell ref="Z547:AA547"/>
    <mergeCell ref="AB547:AC547"/>
    <mergeCell ref="B547:C547"/>
    <mergeCell ref="D547:E547"/>
    <mergeCell ref="F547:G547"/>
    <mergeCell ref="H547:I547"/>
    <mergeCell ref="J547:K547"/>
    <mergeCell ref="L547:M547"/>
    <mergeCell ref="N547:O547"/>
    <mergeCell ref="P547:Q547"/>
    <mergeCell ref="AL546:BB546"/>
    <mergeCell ref="AD546:AE546"/>
    <mergeCell ref="AF546:AG546"/>
    <mergeCell ref="AH546:AI546"/>
    <mergeCell ref="AJ546:AK546"/>
    <mergeCell ref="R546:S546"/>
    <mergeCell ref="T546:U546"/>
    <mergeCell ref="V546:W546"/>
    <mergeCell ref="X546:Y546"/>
    <mergeCell ref="Z546:AA546"/>
    <mergeCell ref="AB546:AC546"/>
    <mergeCell ref="B546:C546"/>
    <mergeCell ref="D546:E546"/>
    <mergeCell ref="F546:G546"/>
    <mergeCell ref="H546:I546"/>
    <mergeCell ref="J546:K546"/>
    <mergeCell ref="L546:M546"/>
    <mergeCell ref="N546:O546"/>
    <mergeCell ref="P546:Q546"/>
    <mergeCell ref="AL545:BB545"/>
    <mergeCell ref="AD545:AE545"/>
    <mergeCell ref="AF545:AG545"/>
    <mergeCell ref="AH545:AI545"/>
    <mergeCell ref="AJ545:AK545"/>
    <mergeCell ref="R545:S545"/>
    <mergeCell ref="T545:U545"/>
    <mergeCell ref="V545:W545"/>
    <mergeCell ref="X545:Y545"/>
    <mergeCell ref="Z545:AA545"/>
    <mergeCell ref="AB545:AC545"/>
    <mergeCell ref="B545:C545"/>
    <mergeCell ref="D545:E545"/>
    <mergeCell ref="F545:G545"/>
    <mergeCell ref="H545:I545"/>
    <mergeCell ref="J545:K545"/>
    <mergeCell ref="L545:M545"/>
    <mergeCell ref="N545:O545"/>
    <mergeCell ref="P545:Q545"/>
    <mergeCell ref="AL544:BB544"/>
    <mergeCell ref="AD544:AE544"/>
    <mergeCell ref="AF544:AG544"/>
    <mergeCell ref="AH544:AI544"/>
    <mergeCell ref="AJ544:AK544"/>
    <mergeCell ref="R544:S544"/>
    <mergeCell ref="T544:U544"/>
    <mergeCell ref="V544:W544"/>
    <mergeCell ref="X544:Y544"/>
    <mergeCell ref="Z544:AA544"/>
    <mergeCell ref="AB544:AC544"/>
    <mergeCell ref="B544:C544"/>
    <mergeCell ref="D544:E544"/>
    <mergeCell ref="F544:G544"/>
    <mergeCell ref="H544:I544"/>
    <mergeCell ref="J544:K544"/>
    <mergeCell ref="L544:M544"/>
    <mergeCell ref="N544:O544"/>
    <mergeCell ref="P544:Q544"/>
    <mergeCell ref="AL543:BB543"/>
    <mergeCell ref="AD543:AE543"/>
    <mergeCell ref="AF543:AG543"/>
    <mergeCell ref="AH543:AI543"/>
    <mergeCell ref="AJ543:AK543"/>
    <mergeCell ref="R543:S543"/>
    <mergeCell ref="T543:U543"/>
    <mergeCell ref="V543:W543"/>
    <mergeCell ref="X543:Y543"/>
    <mergeCell ref="Z543:AA543"/>
    <mergeCell ref="AB543:AC543"/>
    <mergeCell ref="B543:C543"/>
    <mergeCell ref="D543:E543"/>
    <mergeCell ref="F543:G543"/>
    <mergeCell ref="H543:I543"/>
    <mergeCell ref="J543:K543"/>
    <mergeCell ref="L543:M543"/>
    <mergeCell ref="N543:O543"/>
    <mergeCell ref="P543:Q543"/>
    <mergeCell ref="AL542:BB542"/>
    <mergeCell ref="AD542:AE542"/>
    <mergeCell ref="AF542:AG542"/>
    <mergeCell ref="AH542:AI542"/>
    <mergeCell ref="AJ542:AK542"/>
    <mergeCell ref="R542:S542"/>
    <mergeCell ref="T542:U542"/>
    <mergeCell ref="V542:W542"/>
    <mergeCell ref="X542:Y542"/>
    <mergeCell ref="Z542:AA542"/>
    <mergeCell ref="AB542:AC542"/>
    <mergeCell ref="B542:C542"/>
    <mergeCell ref="D542:E542"/>
    <mergeCell ref="F542:G542"/>
    <mergeCell ref="H542:I542"/>
    <mergeCell ref="J542:K542"/>
    <mergeCell ref="L542:M542"/>
    <mergeCell ref="N542:O542"/>
    <mergeCell ref="P542:Q542"/>
    <mergeCell ref="AL541:BB541"/>
    <mergeCell ref="AD541:AE541"/>
    <mergeCell ref="AF541:AG541"/>
    <mergeCell ref="AH541:AI541"/>
    <mergeCell ref="AJ541:AK541"/>
    <mergeCell ref="R541:S541"/>
    <mergeCell ref="T541:U541"/>
    <mergeCell ref="V541:W541"/>
    <mergeCell ref="X541:Y541"/>
    <mergeCell ref="Z541:AA541"/>
    <mergeCell ref="AB541:AC541"/>
    <mergeCell ref="B541:C541"/>
    <mergeCell ref="D541:E541"/>
    <mergeCell ref="F541:G541"/>
    <mergeCell ref="H541:I541"/>
    <mergeCell ref="J541:K541"/>
    <mergeCell ref="L541:M541"/>
    <mergeCell ref="N541:O541"/>
    <mergeCell ref="P541:Q541"/>
    <mergeCell ref="AL540:BB540"/>
    <mergeCell ref="AD540:AE540"/>
    <mergeCell ref="AF540:AG540"/>
    <mergeCell ref="AH540:AI540"/>
    <mergeCell ref="AJ540:AK540"/>
    <mergeCell ref="R540:S540"/>
    <mergeCell ref="T540:U540"/>
    <mergeCell ref="V540:W540"/>
    <mergeCell ref="X540:Y540"/>
    <mergeCell ref="Z540:AA540"/>
    <mergeCell ref="AB540:AC540"/>
    <mergeCell ref="B540:C540"/>
    <mergeCell ref="D540:E540"/>
    <mergeCell ref="F540:G540"/>
    <mergeCell ref="H540:I540"/>
    <mergeCell ref="J540:K540"/>
    <mergeCell ref="L540:M540"/>
    <mergeCell ref="N540:O540"/>
    <mergeCell ref="P540:Q540"/>
    <mergeCell ref="AL539:BB539"/>
    <mergeCell ref="AD539:AE539"/>
    <mergeCell ref="AF539:AG539"/>
    <mergeCell ref="AH539:AI539"/>
    <mergeCell ref="AJ539:AK539"/>
    <mergeCell ref="R539:S539"/>
    <mergeCell ref="T539:U539"/>
    <mergeCell ref="V539:W539"/>
    <mergeCell ref="X539:Y539"/>
    <mergeCell ref="Z539:AA539"/>
    <mergeCell ref="AB539:AC539"/>
    <mergeCell ref="B539:C539"/>
    <mergeCell ref="D539:E539"/>
    <mergeCell ref="F539:G539"/>
    <mergeCell ref="H539:I539"/>
    <mergeCell ref="J539:K539"/>
    <mergeCell ref="L539:M539"/>
    <mergeCell ref="N539:O539"/>
    <mergeCell ref="P539:Q539"/>
    <mergeCell ref="AL538:BB538"/>
    <mergeCell ref="AD538:AE538"/>
    <mergeCell ref="AF538:AG538"/>
    <mergeCell ref="AH538:AI538"/>
    <mergeCell ref="AJ538:AK538"/>
    <mergeCell ref="R538:S538"/>
    <mergeCell ref="T538:U538"/>
    <mergeCell ref="V538:W538"/>
    <mergeCell ref="X538:Y538"/>
    <mergeCell ref="Z538:AA538"/>
    <mergeCell ref="AB538:AC538"/>
    <mergeCell ref="B538:C538"/>
    <mergeCell ref="D538:E538"/>
    <mergeCell ref="F538:G538"/>
    <mergeCell ref="H538:I538"/>
    <mergeCell ref="J538:K538"/>
    <mergeCell ref="L538:M538"/>
    <mergeCell ref="N538:O538"/>
    <mergeCell ref="P538:Q538"/>
    <mergeCell ref="AL537:BB537"/>
    <mergeCell ref="AD537:AE537"/>
    <mergeCell ref="AF537:AG537"/>
    <mergeCell ref="AH537:AI537"/>
    <mergeCell ref="AJ537:AK537"/>
    <mergeCell ref="R537:S537"/>
    <mergeCell ref="T537:U537"/>
    <mergeCell ref="V537:W537"/>
    <mergeCell ref="X537:Y537"/>
    <mergeCell ref="Z537:AA537"/>
    <mergeCell ref="AB537:AC537"/>
    <mergeCell ref="B537:C537"/>
    <mergeCell ref="D537:E537"/>
    <mergeCell ref="F537:G537"/>
    <mergeCell ref="H537:I537"/>
    <mergeCell ref="J537:K537"/>
    <mergeCell ref="L537:M537"/>
    <mergeCell ref="N537:O537"/>
    <mergeCell ref="P537:Q537"/>
    <mergeCell ref="AL536:BB536"/>
    <mergeCell ref="AD536:AE536"/>
    <mergeCell ref="AF536:AG536"/>
    <mergeCell ref="AH536:AI536"/>
    <mergeCell ref="AJ536:AK536"/>
    <mergeCell ref="R536:S536"/>
    <mergeCell ref="T536:U536"/>
    <mergeCell ref="V536:W536"/>
    <mergeCell ref="X536:Y536"/>
    <mergeCell ref="Z536:AA536"/>
    <mergeCell ref="AB536:AC536"/>
    <mergeCell ref="B536:C536"/>
    <mergeCell ref="D536:E536"/>
    <mergeCell ref="F536:G536"/>
    <mergeCell ref="H536:I536"/>
    <mergeCell ref="J536:K536"/>
    <mergeCell ref="L536:M536"/>
    <mergeCell ref="N536:O536"/>
    <mergeCell ref="P536:Q536"/>
    <mergeCell ref="AL535:BB535"/>
    <mergeCell ref="AD535:AE535"/>
    <mergeCell ref="AF535:AG535"/>
    <mergeCell ref="AH535:AI535"/>
    <mergeCell ref="AJ535:AK535"/>
    <mergeCell ref="R535:S535"/>
    <mergeCell ref="T535:U535"/>
    <mergeCell ref="V535:W535"/>
    <mergeCell ref="X535:Y535"/>
    <mergeCell ref="Z535:AA535"/>
    <mergeCell ref="AB535:AC535"/>
    <mergeCell ref="B535:C535"/>
    <mergeCell ref="D535:E535"/>
    <mergeCell ref="F535:G535"/>
    <mergeCell ref="H535:I535"/>
    <mergeCell ref="J535:K535"/>
    <mergeCell ref="L535:M535"/>
    <mergeCell ref="N535:O535"/>
    <mergeCell ref="P535:Q535"/>
    <mergeCell ref="AL534:BB534"/>
    <mergeCell ref="AD534:AE534"/>
    <mergeCell ref="AF534:AG534"/>
    <mergeCell ref="AH534:AI534"/>
    <mergeCell ref="AJ534:AK534"/>
    <mergeCell ref="R534:S534"/>
    <mergeCell ref="T534:U534"/>
    <mergeCell ref="V534:W534"/>
    <mergeCell ref="X534:Y534"/>
    <mergeCell ref="Z534:AA534"/>
    <mergeCell ref="AB534:AC534"/>
    <mergeCell ref="B534:C534"/>
    <mergeCell ref="D534:E534"/>
    <mergeCell ref="F534:G534"/>
    <mergeCell ref="H534:I534"/>
    <mergeCell ref="J534:K534"/>
    <mergeCell ref="L534:M534"/>
    <mergeCell ref="N534:O534"/>
    <mergeCell ref="P534:Q534"/>
    <mergeCell ref="AL533:BB533"/>
    <mergeCell ref="AD533:AE533"/>
    <mergeCell ref="AF533:AG533"/>
    <mergeCell ref="AH533:AI533"/>
    <mergeCell ref="AJ533:AK533"/>
    <mergeCell ref="R533:S533"/>
    <mergeCell ref="T533:U533"/>
    <mergeCell ref="V533:W533"/>
    <mergeCell ref="X533:Y533"/>
    <mergeCell ref="Z533:AA533"/>
    <mergeCell ref="AB533:AC533"/>
    <mergeCell ref="B533:C533"/>
    <mergeCell ref="D533:E533"/>
    <mergeCell ref="F533:G533"/>
    <mergeCell ref="H533:I533"/>
    <mergeCell ref="J533:K533"/>
    <mergeCell ref="L533:M533"/>
    <mergeCell ref="N533:O533"/>
    <mergeCell ref="P533:Q533"/>
    <mergeCell ref="AL532:BB532"/>
    <mergeCell ref="AD532:AE532"/>
    <mergeCell ref="AF532:AG532"/>
    <mergeCell ref="AH532:AI532"/>
    <mergeCell ref="AJ532:AK532"/>
    <mergeCell ref="R532:S532"/>
    <mergeCell ref="T532:U532"/>
    <mergeCell ref="V532:W532"/>
    <mergeCell ref="X532:Y532"/>
    <mergeCell ref="Z532:AA532"/>
    <mergeCell ref="AB532:AC532"/>
    <mergeCell ref="B532:C532"/>
    <mergeCell ref="D532:E532"/>
    <mergeCell ref="F532:G532"/>
    <mergeCell ref="H532:I532"/>
    <mergeCell ref="J532:K532"/>
    <mergeCell ref="L532:M532"/>
    <mergeCell ref="N532:O532"/>
    <mergeCell ref="P532:Q532"/>
    <mergeCell ref="AL531:BB531"/>
    <mergeCell ref="AD531:AE531"/>
    <mergeCell ref="AF531:AG531"/>
    <mergeCell ref="AH531:AI531"/>
    <mergeCell ref="AJ531:AK531"/>
    <mergeCell ref="R531:S531"/>
    <mergeCell ref="T531:U531"/>
    <mergeCell ref="V531:W531"/>
    <mergeCell ref="X531:Y531"/>
    <mergeCell ref="Z531:AA531"/>
    <mergeCell ref="AB531:AC531"/>
    <mergeCell ref="B531:C531"/>
    <mergeCell ref="D531:E531"/>
    <mergeCell ref="F531:G531"/>
    <mergeCell ref="H531:I531"/>
    <mergeCell ref="J531:K531"/>
    <mergeCell ref="L531:M531"/>
    <mergeCell ref="N531:O531"/>
    <mergeCell ref="P531:Q531"/>
    <mergeCell ref="AL530:BB530"/>
    <mergeCell ref="AD530:AE530"/>
    <mergeCell ref="AF530:AG530"/>
    <mergeCell ref="AH530:AI530"/>
    <mergeCell ref="AJ530:AK530"/>
    <mergeCell ref="R530:S530"/>
    <mergeCell ref="T530:U530"/>
    <mergeCell ref="V530:W530"/>
    <mergeCell ref="X530:Y530"/>
    <mergeCell ref="Z530:AA530"/>
    <mergeCell ref="AB530:AC530"/>
    <mergeCell ref="B530:C530"/>
    <mergeCell ref="D530:E530"/>
    <mergeCell ref="F530:G530"/>
    <mergeCell ref="H530:I530"/>
    <mergeCell ref="J530:K530"/>
    <mergeCell ref="L530:M530"/>
    <mergeCell ref="N530:O530"/>
    <mergeCell ref="P530:Q530"/>
    <mergeCell ref="AL529:BB529"/>
    <mergeCell ref="AD529:AE529"/>
    <mergeCell ref="AF529:AG529"/>
    <mergeCell ref="AH529:AI529"/>
    <mergeCell ref="AJ529:AK529"/>
    <mergeCell ref="R529:S529"/>
    <mergeCell ref="T529:U529"/>
    <mergeCell ref="V529:W529"/>
    <mergeCell ref="X529:Y529"/>
    <mergeCell ref="Z529:AA529"/>
    <mergeCell ref="AB529:AC529"/>
    <mergeCell ref="B529:C529"/>
    <mergeCell ref="D529:E529"/>
    <mergeCell ref="F529:G529"/>
    <mergeCell ref="H529:I529"/>
    <mergeCell ref="J529:K529"/>
    <mergeCell ref="L529:M529"/>
    <mergeCell ref="N529:O529"/>
    <mergeCell ref="P529:Q529"/>
    <mergeCell ref="AL528:BB528"/>
    <mergeCell ref="AD528:AE528"/>
    <mergeCell ref="AF528:AG528"/>
    <mergeCell ref="AH528:AI528"/>
    <mergeCell ref="AJ528:AK528"/>
    <mergeCell ref="R528:S528"/>
    <mergeCell ref="T528:U528"/>
    <mergeCell ref="V528:W528"/>
    <mergeCell ref="X528:Y528"/>
    <mergeCell ref="Z528:AA528"/>
    <mergeCell ref="AB528:AC528"/>
    <mergeCell ref="B528:C528"/>
    <mergeCell ref="D528:E528"/>
    <mergeCell ref="F528:G528"/>
    <mergeCell ref="H528:I528"/>
    <mergeCell ref="J528:K528"/>
    <mergeCell ref="L528:M528"/>
    <mergeCell ref="N528:O528"/>
    <mergeCell ref="P528:Q528"/>
    <mergeCell ref="AL527:BB527"/>
    <mergeCell ref="AD527:AE527"/>
    <mergeCell ref="AF527:AG527"/>
    <mergeCell ref="AH527:AI527"/>
    <mergeCell ref="AJ527:AK527"/>
    <mergeCell ref="R527:S527"/>
    <mergeCell ref="T527:U527"/>
    <mergeCell ref="V527:W527"/>
    <mergeCell ref="X527:Y527"/>
    <mergeCell ref="Z527:AA527"/>
    <mergeCell ref="AB527:AC527"/>
    <mergeCell ref="B527:C527"/>
    <mergeCell ref="D527:E527"/>
    <mergeCell ref="F527:G527"/>
    <mergeCell ref="H527:I527"/>
    <mergeCell ref="J527:K527"/>
    <mergeCell ref="L527:M527"/>
    <mergeCell ref="N527:O527"/>
    <mergeCell ref="P527:Q527"/>
    <mergeCell ref="AL526:BB526"/>
    <mergeCell ref="AD526:AE526"/>
    <mergeCell ref="AF526:AG526"/>
    <mergeCell ref="AH526:AI526"/>
    <mergeCell ref="AJ526:AK526"/>
    <mergeCell ref="R526:S526"/>
    <mergeCell ref="T526:U526"/>
    <mergeCell ref="V526:W526"/>
    <mergeCell ref="X526:Y526"/>
    <mergeCell ref="Z526:AA526"/>
    <mergeCell ref="AB526:AC526"/>
    <mergeCell ref="B526:C526"/>
    <mergeCell ref="D526:E526"/>
    <mergeCell ref="F526:G526"/>
    <mergeCell ref="H526:I526"/>
    <mergeCell ref="J526:K526"/>
    <mergeCell ref="L526:M526"/>
    <mergeCell ref="N526:O526"/>
    <mergeCell ref="P526:Q526"/>
    <mergeCell ref="AL525:BB525"/>
    <mergeCell ref="AD525:AE525"/>
    <mergeCell ref="AF525:AG525"/>
    <mergeCell ref="AH525:AI525"/>
    <mergeCell ref="AJ525:AK525"/>
    <mergeCell ref="R525:S525"/>
    <mergeCell ref="T525:U525"/>
    <mergeCell ref="V525:W525"/>
    <mergeCell ref="X525:Y525"/>
    <mergeCell ref="Z525:AA525"/>
    <mergeCell ref="AB525:AC525"/>
    <mergeCell ref="B525:C525"/>
    <mergeCell ref="D525:E525"/>
    <mergeCell ref="F525:G525"/>
    <mergeCell ref="H525:I525"/>
    <mergeCell ref="J525:K525"/>
    <mergeCell ref="L525:M525"/>
    <mergeCell ref="N525:O525"/>
    <mergeCell ref="P525:Q525"/>
    <mergeCell ref="AL524:BB524"/>
    <mergeCell ref="AD524:AE524"/>
    <mergeCell ref="AF524:AG524"/>
    <mergeCell ref="AH524:AI524"/>
    <mergeCell ref="AJ524:AK524"/>
    <mergeCell ref="R524:S524"/>
    <mergeCell ref="T524:U524"/>
    <mergeCell ref="V524:W524"/>
    <mergeCell ref="X524:Y524"/>
    <mergeCell ref="Z524:AA524"/>
    <mergeCell ref="AB524:AC524"/>
    <mergeCell ref="B524:C524"/>
    <mergeCell ref="D524:E524"/>
    <mergeCell ref="F524:G524"/>
    <mergeCell ref="H524:I524"/>
    <mergeCell ref="J524:K524"/>
    <mergeCell ref="L524:M524"/>
    <mergeCell ref="N524:O524"/>
    <mergeCell ref="P524:Q524"/>
    <mergeCell ref="AL523:BB523"/>
    <mergeCell ref="AD523:AE523"/>
    <mergeCell ref="AF523:AG523"/>
    <mergeCell ref="AH523:AI523"/>
    <mergeCell ref="AJ523:AK523"/>
    <mergeCell ref="R523:S523"/>
    <mergeCell ref="T523:U523"/>
    <mergeCell ref="V523:W523"/>
    <mergeCell ref="X523:Y523"/>
    <mergeCell ref="Z523:AA523"/>
    <mergeCell ref="AB523:AC523"/>
    <mergeCell ref="B523:C523"/>
    <mergeCell ref="D523:E523"/>
    <mergeCell ref="F523:G523"/>
    <mergeCell ref="H523:I523"/>
    <mergeCell ref="J523:K523"/>
    <mergeCell ref="L523:M523"/>
    <mergeCell ref="N523:O523"/>
    <mergeCell ref="P523:Q523"/>
    <mergeCell ref="AL522:BB522"/>
    <mergeCell ref="AD522:AE522"/>
    <mergeCell ref="AF522:AG522"/>
    <mergeCell ref="AH522:AI522"/>
    <mergeCell ref="AJ522:AK522"/>
    <mergeCell ref="R522:S522"/>
    <mergeCell ref="T522:U522"/>
    <mergeCell ref="V522:W522"/>
    <mergeCell ref="X522:Y522"/>
    <mergeCell ref="Z522:AA522"/>
    <mergeCell ref="AB522:AC522"/>
    <mergeCell ref="B522:C522"/>
    <mergeCell ref="D522:E522"/>
    <mergeCell ref="F522:G522"/>
    <mergeCell ref="H522:I522"/>
    <mergeCell ref="J522:K522"/>
    <mergeCell ref="L522:M522"/>
    <mergeCell ref="N522:O522"/>
    <mergeCell ref="P522:Q522"/>
    <mergeCell ref="AL521:BB521"/>
    <mergeCell ref="AD521:AE521"/>
    <mergeCell ref="AF521:AG521"/>
    <mergeCell ref="AH521:AI521"/>
    <mergeCell ref="AJ521:AK521"/>
    <mergeCell ref="R521:S521"/>
    <mergeCell ref="T521:U521"/>
    <mergeCell ref="V521:W521"/>
    <mergeCell ref="X521:Y521"/>
    <mergeCell ref="Z521:AA521"/>
    <mergeCell ref="AB521:AC521"/>
    <mergeCell ref="B521:C521"/>
    <mergeCell ref="D521:E521"/>
    <mergeCell ref="F521:G521"/>
    <mergeCell ref="H521:I521"/>
    <mergeCell ref="J521:K521"/>
    <mergeCell ref="L521:M521"/>
    <mergeCell ref="N521:O521"/>
    <mergeCell ref="P521:Q521"/>
    <mergeCell ref="AL520:BB520"/>
    <mergeCell ref="AD520:AE520"/>
    <mergeCell ref="AF520:AG520"/>
    <mergeCell ref="AH520:AI520"/>
    <mergeCell ref="AJ520:AK520"/>
    <mergeCell ref="R520:S520"/>
    <mergeCell ref="T520:U520"/>
    <mergeCell ref="V520:W520"/>
    <mergeCell ref="X520:Y520"/>
    <mergeCell ref="Z520:AA520"/>
    <mergeCell ref="AB520:AC520"/>
    <mergeCell ref="B520:C520"/>
    <mergeCell ref="D520:E520"/>
    <mergeCell ref="F520:G520"/>
    <mergeCell ref="H520:I520"/>
    <mergeCell ref="J520:K520"/>
    <mergeCell ref="L520:M520"/>
    <mergeCell ref="N520:O520"/>
    <mergeCell ref="P520:Q520"/>
    <mergeCell ref="AL519:BB519"/>
    <mergeCell ref="AD519:AE519"/>
    <mergeCell ref="AF519:AG519"/>
    <mergeCell ref="AH519:AI519"/>
    <mergeCell ref="AJ519:AK519"/>
    <mergeCell ref="R519:S519"/>
    <mergeCell ref="T519:U519"/>
    <mergeCell ref="V519:W519"/>
    <mergeCell ref="X519:Y519"/>
    <mergeCell ref="Z519:AA519"/>
    <mergeCell ref="AB519:AC519"/>
    <mergeCell ref="B519:C519"/>
    <mergeCell ref="D519:E519"/>
    <mergeCell ref="F519:G519"/>
    <mergeCell ref="H519:I519"/>
    <mergeCell ref="J519:K519"/>
    <mergeCell ref="L519:M519"/>
    <mergeCell ref="N519:O519"/>
    <mergeCell ref="P519:Q519"/>
    <mergeCell ref="AL518:BB518"/>
    <mergeCell ref="AD518:AE518"/>
    <mergeCell ref="AF518:AG518"/>
    <mergeCell ref="AH518:AI518"/>
    <mergeCell ref="AJ518:AK518"/>
    <mergeCell ref="R518:S518"/>
    <mergeCell ref="T518:U518"/>
    <mergeCell ref="V518:W518"/>
    <mergeCell ref="X518:Y518"/>
    <mergeCell ref="Z518:AA518"/>
    <mergeCell ref="AB518:AC518"/>
    <mergeCell ref="B518:C518"/>
    <mergeCell ref="D518:E518"/>
    <mergeCell ref="F518:G518"/>
    <mergeCell ref="H518:I518"/>
    <mergeCell ref="J518:K518"/>
    <mergeCell ref="L518:M518"/>
    <mergeCell ref="N518:O518"/>
    <mergeCell ref="P518:Q518"/>
    <mergeCell ref="AL517:BB517"/>
    <mergeCell ref="AD517:AE517"/>
    <mergeCell ref="AF517:AG517"/>
    <mergeCell ref="AH517:AI517"/>
    <mergeCell ref="AJ517:AK517"/>
    <mergeCell ref="R517:S517"/>
    <mergeCell ref="T517:U517"/>
    <mergeCell ref="V517:W517"/>
    <mergeCell ref="X517:Y517"/>
    <mergeCell ref="Z517:AA517"/>
    <mergeCell ref="AB517:AC517"/>
    <mergeCell ref="B517:C517"/>
    <mergeCell ref="D517:E517"/>
    <mergeCell ref="F517:G517"/>
    <mergeCell ref="H517:I517"/>
    <mergeCell ref="J517:K517"/>
    <mergeCell ref="L517:M517"/>
    <mergeCell ref="N517:O517"/>
    <mergeCell ref="P517:Q517"/>
    <mergeCell ref="AL516:BB516"/>
    <mergeCell ref="AD516:AE516"/>
    <mergeCell ref="AF516:AG516"/>
    <mergeCell ref="AH516:AI516"/>
    <mergeCell ref="AJ516:AK516"/>
    <mergeCell ref="R516:S516"/>
    <mergeCell ref="T516:U516"/>
    <mergeCell ref="V516:W516"/>
    <mergeCell ref="X516:Y516"/>
    <mergeCell ref="Z516:AA516"/>
    <mergeCell ref="AB516:AC516"/>
    <mergeCell ref="B516:C516"/>
    <mergeCell ref="D516:E516"/>
    <mergeCell ref="F516:G516"/>
    <mergeCell ref="H516:I516"/>
    <mergeCell ref="J516:K516"/>
    <mergeCell ref="L516:M516"/>
    <mergeCell ref="N516:O516"/>
    <mergeCell ref="P516:Q516"/>
    <mergeCell ref="AL515:BB515"/>
    <mergeCell ref="AD515:AE515"/>
    <mergeCell ref="AF515:AG515"/>
    <mergeCell ref="AH515:AI515"/>
    <mergeCell ref="AJ515:AK515"/>
    <mergeCell ref="R515:S515"/>
    <mergeCell ref="T515:U515"/>
    <mergeCell ref="V515:W515"/>
    <mergeCell ref="X515:Y515"/>
    <mergeCell ref="Z515:AA515"/>
    <mergeCell ref="AB515:AC515"/>
    <mergeCell ref="B515:C515"/>
    <mergeCell ref="D515:E515"/>
    <mergeCell ref="F515:G515"/>
    <mergeCell ref="H515:I515"/>
    <mergeCell ref="J515:K515"/>
    <mergeCell ref="L515:M515"/>
    <mergeCell ref="N515:O515"/>
    <mergeCell ref="P515:Q515"/>
    <mergeCell ref="AL514:BB514"/>
    <mergeCell ref="AD514:AE514"/>
    <mergeCell ref="AF514:AG514"/>
    <mergeCell ref="AH514:AI514"/>
    <mergeCell ref="AJ514:AK514"/>
    <mergeCell ref="R514:S514"/>
    <mergeCell ref="T514:U514"/>
    <mergeCell ref="V514:W514"/>
    <mergeCell ref="X514:Y514"/>
    <mergeCell ref="Z514:AA514"/>
    <mergeCell ref="AB514:AC514"/>
    <mergeCell ref="B514:C514"/>
    <mergeCell ref="D514:E514"/>
    <mergeCell ref="F514:G514"/>
    <mergeCell ref="H514:I514"/>
    <mergeCell ref="J514:K514"/>
    <mergeCell ref="L514:M514"/>
    <mergeCell ref="N514:O514"/>
    <mergeCell ref="P514:Q514"/>
    <mergeCell ref="AL513:BB513"/>
    <mergeCell ref="AD513:AE513"/>
    <mergeCell ref="AF513:AG513"/>
    <mergeCell ref="AH513:AI513"/>
    <mergeCell ref="AJ513:AK513"/>
    <mergeCell ref="R513:S513"/>
    <mergeCell ref="T513:U513"/>
    <mergeCell ref="V513:W513"/>
    <mergeCell ref="X513:Y513"/>
    <mergeCell ref="Z513:AA513"/>
    <mergeCell ref="AB513:AC513"/>
    <mergeCell ref="B513:C513"/>
    <mergeCell ref="D513:E513"/>
    <mergeCell ref="F513:G513"/>
    <mergeCell ref="H513:I513"/>
    <mergeCell ref="J513:K513"/>
    <mergeCell ref="L513:M513"/>
    <mergeCell ref="N513:O513"/>
    <mergeCell ref="P513:Q513"/>
    <mergeCell ref="AL512:BB512"/>
    <mergeCell ref="AD512:AE512"/>
    <mergeCell ref="AF512:AG512"/>
    <mergeCell ref="AH512:AI512"/>
    <mergeCell ref="AJ512:AK512"/>
    <mergeCell ref="R512:S512"/>
    <mergeCell ref="T512:U512"/>
    <mergeCell ref="V512:W512"/>
    <mergeCell ref="X512:Y512"/>
    <mergeCell ref="Z512:AA512"/>
    <mergeCell ref="AB512:AC512"/>
    <mergeCell ref="B512:C512"/>
    <mergeCell ref="D512:E512"/>
    <mergeCell ref="F512:G512"/>
    <mergeCell ref="H512:I512"/>
    <mergeCell ref="J512:K512"/>
    <mergeCell ref="L512:M512"/>
    <mergeCell ref="N512:O512"/>
    <mergeCell ref="P512:Q512"/>
    <mergeCell ref="AL511:BB511"/>
    <mergeCell ref="AD511:AE511"/>
    <mergeCell ref="AF511:AG511"/>
    <mergeCell ref="AH511:AI511"/>
    <mergeCell ref="AJ511:AK511"/>
    <mergeCell ref="R511:S511"/>
    <mergeCell ref="T511:U511"/>
    <mergeCell ref="V511:W511"/>
    <mergeCell ref="X511:Y511"/>
    <mergeCell ref="Z511:AA511"/>
    <mergeCell ref="AB511:AC511"/>
    <mergeCell ref="B511:C511"/>
    <mergeCell ref="D511:E511"/>
    <mergeCell ref="F511:G511"/>
    <mergeCell ref="H511:I511"/>
    <mergeCell ref="J511:K511"/>
    <mergeCell ref="L511:M511"/>
    <mergeCell ref="N511:O511"/>
    <mergeCell ref="P511:Q511"/>
    <mergeCell ref="AL510:BB510"/>
    <mergeCell ref="AD510:AE510"/>
    <mergeCell ref="AF510:AG510"/>
    <mergeCell ref="AH510:AI510"/>
    <mergeCell ref="AJ510:AK510"/>
    <mergeCell ref="R510:S510"/>
    <mergeCell ref="T510:U510"/>
    <mergeCell ref="V510:W510"/>
    <mergeCell ref="X510:Y510"/>
    <mergeCell ref="Z510:AA510"/>
    <mergeCell ref="AB510:AC510"/>
    <mergeCell ref="B510:C510"/>
    <mergeCell ref="D510:E510"/>
    <mergeCell ref="F510:G510"/>
    <mergeCell ref="H510:I510"/>
    <mergeCell ref="J510:K510"/>
    <mergeCell ref="L510:M510"/>
    <mergeCell ref="N510:O510"/>
    <mergeCell ref="P510:Q510"/>
    <mergeCell ref="AL509:BB509"/>
    <mergeCell ref="AD509:AE509"/>
    <mergeCell ref="AF509:AG509"/>
    <mergeCell ref="AH509:AI509"/>
    <mergeCell ref="AJ509:AK509"/>
    <mergeCell ref="R509:S509"/>
    <mergeCell ref="T509:U509"/>
    <mergeCell ref="V509:W509"/>
    <mergeCell ref="X509:Y509"/>
    <mergeCell ref="Z509:AA509"/>
    <mergeCell ref="AB509:AC509"/>
    <mergeCell ref="B509:C509"/>
    <mergeCell ref="D509:E509"/>
    <mergeCell ref="F509:G509"/>
    <mergeCell ref="H509:I509"/>
    <mergeCell ref="J509:K509"/>
    <mergeCell ref="L509:M509"/>
    <mergeCell ref="N509:O509"/>
    <mergeCell ref="P509:Q509"/>
    <mergeCell ref="AL508:BB508"/>
    <mergeCell ref="AD508:AE508"/>
    <mergeCell ref="AF508:AG508"/>
    <mergeCell ref="AH508:AI508"/>
    <mergeCell ref="AJ508:AK508"/>
    <mergeCell ref="R508:S508"/>
    <mergeCell ref="T508:U508"/>
    <mergeCell ref="V508:W508"/>
    <mergeCell ref="X508:Y508"/>
    <mergeCell ref="Z508:AA508"/>
    <mergeCell ref="AB508:AC508"/>
    <mergeCell ref="B508:C508"/>
    <mergeCell ref="D508:E508"/>
    <mergeCell ref="F508:G508"/>
    <mergeCell ref="H508:I508"/>
    <mergeCell ref="J508:K508"/>
    <mergeCell ref="L508:M508"/>
    <mergeCell ref="N508:O508"/>
    <mergeCell ref="P508:Q508"/>
    <mergeCell ref="AL507:BB507"/>
    <mergeCell ref="AD507:AE507"/>
    <mergeCell ref="AF507:AG507"/>
    <mergeCell ref="AH507:AI507"/>
    <mergeCell ref="AJ507:AK507"/>
    <mergeCell ref="R507:S507"/>
    <mergeCell ref="T507:U507"/>
    <mergeCell ref="V507:W507"/>
    <mergeCell ref="X507:Y507"/>
    <mergeCell ref="Z507:AA507"/>
    <mergeCell ref="AB507:AC507"/>
    <mergeCell ref="B507:C507"/>
    <mergeCell ref="D507:E507"/>
    <mergeCell ref="F507:G507"/>
    <mergeCell ref="H507:I507"/>
    <mergeCell ref="J507:K507"/>
    <mergeCell ref="L507:M507"/>
    <mergeCell ref="N507:O507"/>
    <mergeCell ref="P507:Q507"/>
    <mergeCell ref="AL506:BB506"/>
    <mergeCell ref="Z506:AA506"/>
    <mergeCell ref="AB506:AC506"/>
    <mergeCell ref="AD506:AE506"/>
    <mergeCell ref="AF506:AG506"/>
    <mergeCell ref="AH506:AI506"/>
    <mergeCell ref="AJ506:AK506"/>
    <mergeCell ref="N506:O506"/>
    <mergeCell ref="P506:Q506"/>
    <mergeCell ref="R506:S506"/>
    <mergeCell ref="T506:U506"/>
    <mergeCell ref="V506:W506"/>
    <mergeCell ref="X506:Y506"/>
    <mergeCell ref="B506:C506"/>
    <mergeCell ref="D506:E506"/>
    <mergeCell ref="F506:G506"/>
    <mergeCell ref="H506:I506"/>
    <mergeCell ref="J506:K506"/>
    <mergeCell ref="L506:M506"/>
    <mergeCell ref="AL505:BB505"/>
    <mergeCell ref="AD505:AE505"/>
    <mergeCell ref="AF505:AG505"/>
    <mergeCell ref="AH505:AI505"/>
    <mergeCell ref="AJ505:AK505"/>
    <mergeCell ref="R505:S505"/>
    <mergeCell ref="T505:U505"/>
    <mergeCell ref="V505:W505"/>
    <mergeCell ref="X505:Y505"/>
    <mergeCell ref="Z505:AA505"/>
    <mergeCell ref="AB505:AC505"/>
    <mergeCell ref="B505:C505"/>
    <mergeCell ref="D505:E505"/>
    <mergeCell ref="F505:G505"/>
    <mergeCell ref="H505:I505"/>
    <mergeCell ref="J505:K505"/>
    <mergeCell ref="L505:M505"/>
    <mergeCell ref="N505:O505"/>
    <mergeCell ref="P505:Q505"/>
    <mergeCell ref="AL504:BB504"/>
    <mergeCell ref="Z504:AA504"/>
    <mergeCell ref="AB504:AC504"/>
    <mergeCell ref="AD504:AE504"/>
    <mergeCell ref="AF504:AG504"/>
    <mergeCell ref="AH504:AI504"/>
    <mergeCell ref="AJ504:AK504"/>
    <mergeCell ref="N504:O504"/>
    <mergeCell ref="P504:Q504"/>
    <mergeCell ref="R504:S504"/>
    <mergeCell ref="T504:U504"/>
    <mergeCell ref="V504:W504"/>
    <mergeCell ref="X504:Y504"/>
    <mergeCell ref="B504:C504"/>
    <mergeCell ref="D504:E504"/>
    <mergeCell ref="F504:G504"/>
    <mergeCell ref="H504:I504"/>
    <mergeCell ref="J504:K504"/>
    <mergeCell ref="L504:M504"/>
    <mergeCell ref="AL503:BB503"/>
    <mergeCell ref="AD503:AE503"/>
    <mergeCell ref="AF503:AG503"/>
    <mergeCell ref="AH503:AI503"/>
    <mergeCell ref="AJ503:AK503"/>
    <mergeCell ref="R503:S503"/>
    <mergeCell ref="T503:U503"/>
    <mergeCell ref="V503:W503"/>
    <mergeCell ref="X503:Y503"/>
    <mergeCell ref="Z503:AA503"/>
    <mergeCell ref="AB503:AC503"/>
    <mergeCell ref="B503:C503"/>
    <mergeCell ref="D503:E503"/>
    <mergeCell ref="F503:G503"/>
    <mergeCell ref="H503:I503"/>
    <mergeCell ref="J503:K503"/>
    <mergeCell ref="L503:M503"/>
    <mergeCell ref="N503:O503"/>
    <mergeCell ref="P503:Q503"/>
    <mergeCell ref="AL502:BB502"/>
    <mergeCell ref="Z502:AA502"/>
    <mergeCell ref="AB502:AC502"/>
    <mergeCell ref="AD502:AE502"/>
    <mergeCell ref="AF502:AG502"/>
    <mergeCell ref="AH502:AI502"/>
    <mergeCell ref="AJ502:AK502"/>
    <mergeCell ref="N502:O502"/>
    <mergeCell ref="P502:Q502"/>
    <mergeCell ref="R502:S502"/>
    <mergeCell ref="T502:U502"/>
    <mergeCell ref="V502:W502"/>
    <mergeCell ref="X502:Y502"/>
    <mergeCell ref="B502:C502"/>
    <mergeCell ref="D502:E502"/>
    <mergeCell ref="F502:G502"/>
    <mergeCell ref="H502:I502"/>
    <mergeCell ref="J502:K502"/>
    <mergeCell ref="L502:M502"/>
    <mergeCell ref="AL501:BB501"/>
    <mergeCell ref="AD501:AE501"/>
    <mergeCell ref="AF501:AG501"/>
    <mergeCell ref="AH501:AI501"/>
    <mergeCell ref="AJ501:AK501"/>
    <mergeCell ref="R501:S501"/>
    <mergeCell ref="T501:U501"/>
    <mergeCell ref="V501:W501"/>
    <mergeCell ref="X501:Y501"/>
    <mergeCell ref="Z501:AA501"/>
    <mergeCell ref="AB501:AC501"/>
    <mergeCell ref="B501:C501"/>
    <mergeCell ref="D501:E501"/>
    <mergeCell ref="F501:G501"/>
    <mergeCell ref="H501:I501"/>
    <mergeCell ref="J501:K501"/>
    <mergeCell ref="L501:M501"/>
    <mergeCell ref="N501:O501"/>
    <mergeCell ref="P501:Q501"/>
    <mergeCell ref="AL500:BB500"/>
    <mergeCell ref="Z500:AA500"/>
    <mergeCell ref="AB500:AC500"/>
    <mergeCell ref="AD500:AE500"/>
    <mergeCell ref="AF500:AG500"/>
    <mergeCell ref="AH500:AI500"/>
    <mergeCell ref="AJ500:AK500"/>
    <mergeCell ref="N500:O500"/>
    <mergeCell ref="P500:Q500"/>
    <mergeCell ref="R500:S500"/>
    <mergeCell ref="T500:U500"/>
    <mergeCell ref="V500:W500"/>
    <mergeCell ref="X500:Y500"/>
    <mergeCell ref="B500:C500"/>
    <mergeCell ref="D500:E500"/>
    <mergeCell ref="F500:G500"/>
    <mergeCell ref="H500:I500"/>
    <mergeCell ref="J500:K500"/>
    <mergeCell ref="L500:M500"/>
    <mergeCell ref="AL499:BB499"/>
    <mergeCell ref="AD499:AE499"/>
    <mergeCell ref="AF499:AG499"/>
    <mergeCell ref="AH499:AI499"/>
    <mergeCell ref="AJ499:AK499"/>
    <mergeCell ref="R499:S499"/>
    <mergeCell ref="T499:U499"/>
    <mergeCell ref="V499:W499"/>
    <mergeCell ref="X499:Y499"/>
    <mergeCell ref="Z499:AA499"/>
    <mergeCell ref="AB499:AC499"/>
    <mergeCell ref="B499:C499"/>
    <mergeCell ref="D499:E499"/>
    <mergeCell ref="F499:G499"/>
    <mergeCell ref="H499:I499"/>
    <mergeCell ref="J499:K499"/>
    <mergeCell ref="L499:M499"/>
    <mergeCell ref="N499:O499"/>
    <mergeCell ref="P499:Q499"/>
    <mergeCell ref="AL498:BB498"/>
    <mergeCell ref="Z498:AA498"/>
    <mergeCell ref="AB498:AC498"/>
    <mergeCell ref="AD498:AE498"/>
    <mergeCell ref="AF498:AG498"/>
    <mergeCell ref="AH498:AI498"/>
    <mergeCell ref="AJ498:AK498"/>
    <mergeCell ref="N498:O498"/>
    <mergeCell ref="P498:Q498"/>
    <mergeCell ref="R498:S498"/>
    <mergeCell ref="T498:U498"/>
    <mergeCell ref="V498:W498"/>
    <mergeCell ref="X498:Y498"/>
    <mergeCell ref="B498:C498"/>
    <mergeCell ref="D498:E498"/>
    <mergeCell ref="F498:G498"/>
    <mergeCell ref="H498:I498"/>
    <mergeCell ref="J498:K498"/>
    <mergeCell ref="L498:M498"/>
    <mergeCell ref="AL497:BB497"/>
    <mergeCell ref="Z497:AA497"/>
    <mergeCell ref="AB497:AC497"/>
    <mergeCell ref="AD497:AE497"/>
    <mergeCell ref="AF497:AG497"/>
    <mergeCell ref="AH497:AI497"/>
    <mergeCell ref="AJ497:AK497"/>
    <mergeCell ref="N497:O497"/>
    <mergeCell ref="P497:Q497"/>
    <mergeCell ref="R497:S497"/>
    <mergeCell ref="T497:U497"/>
    <mergeCell ref="V497:W497"/>
    <mergeCell ref="X497:Y497"/>
    <mergeCell ref="B497:C497"/>
    <mergeCell ref="D497:E497"/>
    <mergeCell ref="F497:G497"/>
    <mergeCell ref="H497:I497"/>
    <mergeCell ref="J497:K497"/>
    <mergeCell ref="L497:M497"/>
    <mergeCell ref="AL496:BB496"/>
    <mergeCell ref="AD496:AE496"/>
    <mergeCell ref="AF496:AG496"/>
    <mergeCell ref="AH496:AI496"/>
    <mergeCell ref="AJ496:AK496"/>
    <mergeCell ref="R496:S496"/>
    <mergeCell ref="T496:U496"/>
    <mergeCell ref="V496:W496"/>
    <mergeCell ref="X496:Y496"/>
    <mergeCell ref="Z496:AA496"/>
    <mergeCell ref="AB496:AC496"/>
    <mergeCell ref="B496:C496"/>
    <mergeCell ref="D496:E496"/>
    <mergeCell ref="F496:G496"/>
    <mergeCell ref="H496:I496"/>
    <mergeCell ref="J496:K496"/>
    <mergeCell ref="L496:M496"/>
    <mergeCell ref="N496:O496"/>
    <mergeCell ref="P496:Q496"/>
    <mergeCell ref="AL495:BB495"/>
    <mergeCell ref="AD495:AE495"/>
    <mergeCell ref="AF495:AG495"/>
    <mergeCell ref="AH495:AI495"/>
    <mergeCell ref="AJ495:AK495"/>
    <mergeCell ref="R495:S495"/>
    <mergeCell ref="T495:U495"/>
    <mergeCell ref="V495:W495"/>
    <mergeCell ref="X495:Y495"/>
    <mergeCell ref="Z495:AA495"/>
    <mergeCell ref="AB495:AC495"/>
    <mergeCell ref="B495:C495"/>
    <mergeCell ref="D495:E495"/>
    <mergeCell ref="F495:G495"/>
    <mergeCell ref="H495:I495"/>
    <mergeCell ref="J495:K495"/>
    <mergeCell ref="L495:M495"/>
    <mergeCell ref="N495:O495"/>
    <mergeCell ref="P495:Q495"/>
    <mergeCell ref="AL494:BB494"/>
    <mergeCell ref="AD494:AE494"/>
    <mergeCell ref="AF494:AG494"/>
    <mergeCell ref="AH494:AI494"/>
    <mergeCell ref="AJ494:AK494"/>
    <mergeCell ref="R494:S494"/>
    <mergeCell ref="T494:U494"/>
    <mergeCell ref="V494:W494"/>
    <mergeCell ref="X494:Y494"/>
    <mergeCell ref="Z494:AA494"/>
    <mergeCell ref="AB494:AC494"/>
    <mergeCell ref="B494:C494"/>
    <mergeCell ref="D494:E494"/>
    <mergeCell ref="F494:G494"/>
    <mergeCell ref="H494:I494"/>
    <mergeCell ref="J494:K494"/>
    <mergeCell ref="L494:M494"/>
    <mergeCell ref="N494:O494"/>
    <mergeCell ref="P494:Q494"/>
    <mergeCell ref="AL493:BB493"/>
    <mergeCell ref="AD493:AE493"/>
    <mergeCell ref="AF493:AG493"/>
    <mergeCell ref="AH493:AI493"/>
    <mergeCell ref="AJ493:AK493"/>
    <mergeCell ref="R493:S493"/>
    <mergeCell ref="T493:U493"/>
    <mergeCell ref="V493:W493"/>
    <mergeCell ref="X493:Y493"/>
    <mergeCell ref="Z493:AA493"/>
    <mergeCell ref="AB493:AC493"/>
    <mergeCell ref="B493:C493"/>
    <mergeCell ref="D493:E493"/>
    <mergeCell ref="F493:G493"/>
    <mergeCell ref="H493:I493"/>
    <mergeCell ref="J493:K493"/>
    <mergeCell ref="L493:M493"/>
    <mergeCell ref="N493:O493"/>
    <mergeCell ref="P493:Q493"/>
    <mergeCell ref="AL492:BB492"/>
    <mergeCell ref="AD492:AE492"/>
    <mergeCell ref="AF492:AG492"/>
    <mergeCell ref="AH492:AI492"/>
    <mergeCell ref="AJ492:AK492"/>
    <mergeCell ref="R492:S492"/>
    <mergeCell ref="T492:U492"/>
    <mergeCell ref="V492:W492"/>
    <mergeCell ref="X492:Y492"/>
    <mergeCell ref="Z492:AA492"/>
    <mergeCell ref="AB492:AC492"/>
    <mergeCell ref="B492:C492"/>
    <mergeCell ref="D492:E492"/>
    <mergeCell ref="F492:G492"/>
    <mergeCell ref="H492:I492"/>
    <mergeCell ref="J492:K492"/>
    <mergeCell ref="L492:M492"/>
    <mergeCell ref="N492:O492"/>
    <mergeCell ref="P492:Q492"/>
    <mergeCell ref="AL491:BB491"/>
    <mergeCell ref="AD491:AE491"/>
    <mergeCell ref="AF491:AG491"/>
    <mergeCell ref="AH491:AI491"/>
    <mergeCell ref="AJ491:AK491"/>
    <mergeCell ref="R491:S491"/>
    <mergeCell ref="T491:U491"/>
    <mergeCell ref="V491:W491"/>
    <mergeCell ref="X491:Y491"/>
    <mergeCell ref="Z491:AA491"/>
    <mergeCell ref="AB491:AC491"/>
    <mergeCell ref="B491:C491"/>
    <mergeCell ref="D491:E491"/>
    <mergeCell ref="F491:G491"/>
    <mergeCell ref="H491:I491"/>
    <mergeCell ref="J491:K491"/>
    <mergeCell ref="L491:M491"/>
    <mergeCell ref="N491:O491"/>
    <mergeCell ref="P491:Q491"/>
    <mergeCell ref="AL490:BB490"/>
    <mergeCell ref="AD490:AE490"/>
    <mergeCell ref="AF490:AG490"/>
    <mergeCell ref="AH490:AI490"/>
    <mergeCell ref="AJ490:AK490"/>
    <mergeCell ref="R490:S490"/>
    <mergeCell ref="T490:U490"/>
    <mergeCell ref="V490:W490"/>
    <mergeCell ref="X490:Y490"/>
    <mergeCell ref="Z490:AA490"/>
    <mergeCell ref="AB490:AC490"/>
    <mergeCell ref="B490:C490"/>
    <mergeCell ref="D490:E490"/>
    <mergeCell ref="F490:G490"/>
    <mergeCell ref="H490:I490"/>
    <mergeCell ref="J490:K490"/>
    <mergeCell ref="L490:M490"/>
    <mergeCell ref="N490:O490"/>
    <mergeCell ref="P490:Q490"/>
    <mergeCell ref="AL489:BB489"/>
    <mergeCell ref="AD489:AE489"/>
    <mergeCell ref="AF489:AG489"/>
    <mergeCell ref="AH489:AI489"/>
    <mergeCell ref="AJ489:AK489"/>
    <mergeCell ref="R489:S489"/>
    <mergeCell ref="T489:U489"/>
    <mergeCell ref="V489:W489"/>
    <mergeCell ref="X489:Y489"/>
    <mergeCell ref="Z489:AA489"/>
    <mergeCell ref="AB489:AC489"/>
    <mergeCell ref="B489:C489"/>
    <mergeCell ref="D489:E489"/>
    <mergeCell ref="F489:G489"/>
    <mergeCell ref="H489:I489"/>
    <mergeCell ref="J489:K489"/>
    <mergeCell ref="L489:M489"/>
    <mergeCell ref="N489:O489"/>
    <mergeCell ref="P489:Q489"/>
    <mergeCell ref="AL488:BB488"/>
    <mergeCell ref="AD488:AE488"/>
    <mergeCell ref="AF488:AG488"/>
    <mergeCell ref="AH488:AI488"/>
    <mergeCell ref="AJ488:AK488"/>
    <mergeCell ref="R488:S488"/>
    <mergeCell ref="T488:U488"/>
    <mergeCell ref="V488:W488"/>
    <mergeCell ref="X488:Y488"/>
    <mergeCell ref="Z488:AA488"/>
    <mergeCell ref="AB488:AC488"/>
    <mergeCell ref="B488:C488"/>
    <mergeCell ref="D488:E488"/>
    <mergeCell ref="F488:G488"/>
    <mergeCell ref="H488:I488"/>
    <mergeCell ref="J488:K488"/>
    <mergeCell ref="L488:M488"/>
    <mergeCell ref="N488:O488"/>
    <mergeCell ref="P488:Q488"/>
    <mergeCell ref="AL487:BB487"/>
    <mergeCell ref="AD487:AE487"/>
    <mergeCell ref="AF487:AG487"/>
    <mergeCell ref="AH487:AI487"/>
    <mergeCell ref="AJ487:AK487"/>
    <mergeCell ref="R487:S487"/>
    <mergeCell ref="T487:U487"/>
    <mergeCell ref="V487:W487"/>
    <mergeCell ref="X487:Y487"/>
    <mergeCell ref="Z487:AA487"/>
    <mergeCell ref="AB487:AC487"/>
    <mergeCell ref="B487:C487"/>
    <mergeCell ref="D487:E487"/>
    <mergeCell ref="F487:G487"/>
    <mergeCell ref="H487:I487"/>
    <mergeCell ref="J487:K487"/>
    <mergeCell ref="L487:M487"/>
    <mergeCell ref="N487:O487"/>
    <mergeCell ref="P487:Q487"/>
    <mergeCell ref="AL486:BB486"/>
    <mergeCell ref="AD486:AE486"/>
    <mergeCell ref="AF486:AG486"/>
    <mergeCell ref="AH486:AI486"/>
    <mergeCell ref="AJ486:AK486"/>
    <mergeCell ref="R486:S486"/>
    <mergeCell ref="T486:U486"/>
    <mergeCell ref="V486:W486"/>
    <mergeCell ref="X486:Y486"/>
    <mergeCell ref="Z486:AA486"/>
    <mergeCell ref="AB486:AC486"/>
    <mergeCell ref="B486:C486"/>
    <mergeCell ref="D486:E486"/>
    <mergeCell ref="F486:G486"/>
    <mergeCell ref="H486:I486"/>
    <mergeCell ref="J486:K486"/>
    <mergeCell ref="L486:M486"/>
    <mergeCell ref="N486:O486"/>
    <mergeCell ref="P486:Q486"/>
    <mergeCell ref="AL485:BB485"/>
    <mergeCell ref="AD485:AE485"/>
    <mergeCell ref="AF485:AG485"/>
    <mergeCell ref="AH485:AI485"/>
    <mergeCell ref="AJ485:AK485"/>
    <mergeCell ref="R485:S485"/>
    <mergeCell ref="T485:U485"/>
    <mergeCell ref="V485:W485"/>
    <mergeCell ref="X485:Y485"/>
    <mergeCell ref="Z485:AA485"/>
    <mergeCell ref="AB485:AC485"/>
    <mergeCell ref="B485:C485"/>
    <mergeCell ref="D485:E485"/>
    <mergeCell ref="F485:G485"/>
    <mergeCell ref="H485:I485"/>
    <mergeCell ref="J485:K485"/>
    <mergeCell ref="L485:M485"/>
    <mergeCell ref="N485:O485"/>
    <mergeCell ref="P485:Q485"/>
    <mergeCell ref="AL484:BB484"/>
    <mergeCell ref="AD484:AE484"/>
    <mergeCell ref="AF484:AG484"/>
    <mergeCell ref="AH484:AI484"/>
    <mergeCell ref="AJ484:AK484"/>
    <mergeCell ref="R484:S484"/>
    <mergeCell ref="T484:U484"/>
    <mergeCell ref="V484:W484"/>
    <mergeCell ref="X484:Y484"/>
    <mergeCell ref="Z484:AA484"/>
    <mergeCell ref="AB484:AC484"/>
    <mergeCell ref="B484:C484"/>
    <mergeCell ref="D484:E484"/>
    <mergeCell ref="F484:G484"/>
    <mergeCell ref="H484:I484"/>
    <mergeCell ref="J484:K484"/>
    <mergeCell ref="L484:M484"/>
    <mergeCell ref="N484:O484"/>
    <mergeCell ref="P484:Q484"/>
    <mergeCell ref="AL483:BB483"/>
    <mergeCell ref="AD483:AE483"/>
    <mergeCell ref="AF483:AG483"/>
    <mergeCell ref="AH483:AI483"/>
    <mergeCell ref="AJ483:AK483"/>
    <mergeCell ref="R483:S483"/>
    <mergeCell ref="T483:U483"/>
    <mergeCell ref="V483:W483"/>
    <mergeCell ref="X483:Y483"/>
    <mergeCell ref="Z483:AA483"/>
    <mergeCell ref="AB483:AC483"/>
    <mergeCell ref="B483:C483"/>
    <mergeCell ref="D483:E483"/>
    <mergeCell ref="F483:G483"/>
    <mergeCell ref="H483:I483"/>
    <mergeCell ref="J483:K483"/>
    <mergeCell ref="L483:M483"/>
    <mergeCell ref="N483:O483"/>
    <mergeCell ref="P483:Q483"/>
    <mergeCell ref="AL482:BB482"/>
    <mergeCell ref="AD482:AE482"/>
    <mergeCell ref="AF482:AG482"/>
    <mergeCell ref="AH482:AI482"/>
    <mergeCell ref="AJ482:AK482"/>
    <mergeCell ref="R482:S482"/>
    <mergeCell ref="T482:U482"/>
    <mergeCell ref="V482:W482"/>
    <mergeCell ref="X482:Y482"/>
    <mergeCell ref="Z482:AA482"/>
    <mergeCell ref="AB482:AC482"/>
    <mergeCell ref="B482:C482"/>
    <mergeCell ref="D482:E482"/>
    <mergeCell ref="F482:G482"/>
    <mergeCell ref="H482:I482"/>
    <mergeCell ref="J482:K482"/>
    <mergeCell ref="L482:M482"/>
    <mergeCell ref="N482:O482"/>
    <mergeCell ref="P482:Q482"/>
    <mergeCell ref="AL481:BB481"/>
    <mergeCell ref="AD481:AE481"/>
    <mergeCell ref="AF481:AG481"/>
    <mergeCell ref="AH481:AI481"/>
    <mergeCell ref="AJ481:AK481"/>
    <mergeCell ref="R481:S481"/>
    <mergeCell ref="T481:U481"/>
    <mergeCell ref="V481:W481"/>
    <mergeCell ref="X481:Y481"/>
    <mergeCell ref="Z481:AA481"/>
    <mergeCell ref="AB481:AC481"/>
    <mergeCell ref="B481:C481"/>
    <mergeCell ref="D481:E481"/>
    <mergeCell ref="F481:G481"/>
    <mergeCell ref="H481:I481"/>
    <mergeCell ref="J481:K481"/>
    <mergeCell ref="L481:M481"/>
    <mergeCell ref="N481:O481"/>
    <mergeCell ref="P481:Q481"/>
    <mergeCell ref="AL480:BB480"/>
    <mergeCell ref="AD480:AE480"/>
    <mergeCell ref="AF480:AG480"/>
    <mergeCell ref="AH480:AI480"/>
    <mergeCell ref="AJ480:AK480"/>
    <mergeCell ref="R480:S480"/>
    <mergeCell ref="T480:U480"/>
    <mergeCell ref="V480:W480"/>
    <mergeCell ref="X480:Y480"/>
    <mergeCell ref="Z480:AA480"/>
    <mergeCell ref="AB480:AC480"/>
    <mergeCell ref="B480:C480"/>
    <mergeCell ref="D480:E480"/>
    <mergeCell ref="F480:G480"/>
    <mergeCell ref="H480:I480"/>
    <mergeCell ref="J480:K480"/>
    <mergeCell ref="L480:M480"/>
    <mergeCell ref="N480:O480"/>
    <mergeCell ref="P480:Q480"/>
    <mergeCell ref="AL479:BB479"/>
    <mergeCell ref="AD479:AE479"/>
    <mergeCell ref="AF479:AG479"/>
    <mergeCell ref="AH479:AI479"/>
    <mergeCell ref="AJ479:AK479"/>
    <mergeCell ref="R479:S479"/>
    <mergeCell ref="T479:U479"/>
    <mergeCell ref="V479:W479"/>
    <mergeCell ref="X479:Y479"/>
    <mergeCell ref="Z479:AA479"/>
    <mergeCell ref="AB479:AC479"/>
    <mergeCell ref="B479:C479"/>
    <mergeCell ref="D479:E479"/>
    <mergeCell ref="F479:G479"/>
    <mergeCell ref="H479:I479"/>
    <mergeCell ref="J479:K479"/>
    <mergeCell ref="L479:M479"/>
    <mergeCell ref="N479:O479"/>
    <mergeCell ref="P479:Q479"/>
    <mergeCell ref="AL478:BB478"/>
    <mergeCell ref="AD478:AE478"/>
    <mergeCell ref="AF478:AG478"/>
    <mergeCell ref="AH478:AI478"/>
    <mergeCell ref="AJ478:AK478"/>
    <mergeCell ref="R478:S478"/>
    <mergeCell ref="T478:U478"/>
    <mergeCell ref="V478:W478"/>
    <mergeCell ref="X478:Y478"/>
    <mergeCell ref="Z478:AA478"/>
    <mergeCell ref="AB478:AC478"/>
    <mergeCell ref="B478:C478"/>
    <mergeCell ref="D478:E478"/>
    <mergeCell ref="F478:G478"/>
    <mergeCell ref="H478:I478"/>
    <mergeCell ref="J478:K478"/>
    <mergeCell ref="L478:M478"/>
    <mergeCell ref="N478:O478"/>
    <mergeCell ref="P478:Q478"/>
    <mergeCell ref="AL477:BB477"/>
    <mergeCell ref="AD477:AE477"/>
    <mergeCell ref="AF477:AG477"/>
    <mergeCell ref="AH477:AI477"/>
    <mergeCell ref="AJ477:AK477"/>
    <mergeCell ref="R477:S477"/>
    <mergeCell ref="T477:U477"/>
    <mergeCell ref="V477:W477"/>
    <mergeCell ref="X477:Y477"/>
    <mergeCell ref="Z477:AA477"/>
    <mergeCell ref="AB477:AC477"/>
    <mergeCell ref="B477:C477"/>
    <mergeCell ref="D477:E477"/>
    <mergeCell ref="F477:G477"/>
    <mergeCell ref="H477:I477"/>
    <mergeCell ref="J477:K477"/>
    <mergeCell ref="L477:M477"/>
    <mergeCell ref="N477:O477"/>
    <mergeCell ref="P477:Q477"/>
    <mergeCell ref="AL476:BB476"/>
    <mergeCell ref="AD476:AE476"/>
    <mergeCell ref="AF476:AG476"/>
    <mergeCell ref="AH476:AI476"/>
    <mergeCell ref="AJ476:AK476"/>
    <mergeCell ref="R476:S476"/>
    <mergeCell ref="T476:U476"/>
    <mergeCell ref="V476:W476"/>
    <mergeCell ref="X476:Y476"/>
    <mergeCell ref="Z476:AA476"/>
    <mergeCell ref="AB476:AC476"/>
    <mergeCell ref="B476:C476"/>
    <mergeCell ref="D476:E476"/>
    <mergeCell ref="F476:G476"/>
    <mergeCell ref="H476:I476"/>
    <mergeCell ref="J476:K476"/>
    <mergeCell ref="L476:M476"/>
    <mergeCell ref="N476:O476"/>
    <mergeCell ref="P476:Q476"/>
    <mergeCell ref="AL475:BB475"/>
    <mergeCell ref="AD475:AE475"/>
    <mergeCell ref="AF475:AG475"/>
    <mergeCell ref="AH475:AI475"/>
    <mergeCell ref="AJ475:AK475"/>
    <mergeCell ref="R475:S475"/>
    <mergeCell ref="T475:U475"/>
    <mergeCell ref="V475:W475"/>
    <mergeCell ref="X475:Y475"/>
    <mergeCell ref="Z475:AA475"/>
    <mergeCell ref="AB475:AC475"/>
    <mergeCell ref="B475:C475"/>
    <mergeCell ref="D475:E475"/>
    <mergeCell ref="F475:G475"/>
    <mergeCell ref="H475:I475"/>
    <mergeCell ref="J475:K475"/>
    <mergeCell ref="L475:M475"/>
    <mergeCell ref="N475:O475"/>
    <mergeCell ref="P475:Q475"/>
    <mergeCell ref="AL474:BB474"/>
    <mergeCell ref="AD474:AE474"/>
    <mergeCell ref="AF474:AG474"/>
    <mergeCell ref="AH474:AI474"/>
    <mergeCell ref="AJ474:AK474"/>
    <mergeCell ref="R474:S474"/>
    <mergeCell ref="T474:U474"/>
    <mergeCell ref="V474:W474"/>
    <mergeCell ref="X474:Y474"/>
    <mergeCell ref="Z474:AA474"/>
    <mergeCell ref="AB474:AC474"/>
    <mergeCell ref="B474:C474"/>
    <mergeCell ref="D474:E474"/>
    <mergeCell ref="F474:G474"/>
    <mergeCell ref="H474:I474"/>
    <mergeCell ref="J474:K474"/>
    <mergeCell ref="L474:M474"/>
    <mergeCell ref="N474:O474"/>
    <mergeCell ref="P474:Q474"/>
    <mergeCell ref="AL473:BB473"/>
    <mergeCell ref="AD473:AE473"/>
    <mergeCell ref="AF473:AG473"/>
    <mergeCell ref="AH473:AI473"/>
    <mergeCell ref="AJ473:AK473"/>
    <mergeCell ref="R473:S473"/>
    <mergeCell ref="T473:U473"/>
    <mergeCell ref="V473:W473"/>
    <mergeCell ref="X473:Y473"/>
    <mergeCell ref="Z473:AA473"/>
    <mergeCell ref="AB473:AC473"/>
    <mergeCell ref="B473:C473"/>
    <mergeCell ref="D473:E473"/>
    <mergeCell ref="F473:G473"/>
    <mergeCell ref="H473:I473"/>
    <mergeCell ref="J473:K473"/>
    <mergeCell ref="L473:M473"/>
    <mergeCell ref="N473:O473"/>
    <mergeCell ref="P473:Q473"/>
    <mergeCell ref="AL472:BB472"/>
    <mergeCell ref="AD472:AE472"/>
    <mergeCell ref="AF472:AG472"/>
    <mergeCell ref="AH472:AI472"/>
    <mergeCell ref="AJ472:AK472"/>
    <mergeCell ref="R472:S472"/>
    <mergeCell ref="T472:U472"/>
    <mergeCell ref="V472:W472"/>
    <mergeCell ref="X472:Y472"/>
    <mergeCell ref="Z472:AA472"/>
    <mergeCell ref="AB472:AC472"/>
    <mergeCell ref="B472:C472"/>
    <mergeCell ref="D472:E472"/>
    <mergeCell ref="F472:G472"/>
    <mergeCell ref="H472:I472"/>
    <mergeCell ref="J472:K472"/>
    <mergeCell ref="L472:M472"/>
    <mergeCell ref="N472:O472"/>
    <mergeCell ref="P472:Q472"/>
    <mergeCell ref="AL471:BB471"/>
    <mergeCell ref="AD471:AE471"/>
    <mergeCell ref="AF471:AG471"/>
    <mergeCell ref="AH471:AI471"/>
    <mergeCell ref="AJ471:AK471"/>
    <mergeCell ref="R471:S471"/>
    <mergeCell ref="T471:U471"/>
    <mergeCell ref="V471:W471"/>
    <mergeCell ref="X471:Y471"/>
    <mergeCell ref="Z471:AA471"/>
    <mergeCell ref="AB471:AC471"/>
    <mergeCell ref="B471:C471"/>
    <mergeCell ref="D471:E471"/>
    <mergeCell ref="F471:G471"/>
    <mergeCell ref="H471:I471"/>
    <mergeCell ref="J471:K471"/>
    <mergeCell ref="L471:M471"/>
    <mergeCell ref="N471:O471"/>
    <mergeCell ref="P471:Q471"/>
    <mergeCell ref="AL470:BB470"/>
    <mergeCell ref="AD470:AE470"/>
    <mergeCell ref="AF470:AG470"/>
    <mergeCell ref="AH470:AI470"/>
    <mergeCell ref="AJ470:AK470"/>
    <mergeCell ref="R470:S470"/>
    <mergeCell ref="T470:U470"/>
    <mergeCell ref="V470:W470"/>
    <mergeCell ref="X470:Y470"/>
    <mergeCell ref="Z470:AA470"/>
    <mergeCell ref="AB470:AC470"/>
    <mergeCell ref="B470:C470"/>
    <mergeCell ref="D470:E470"/>
    <mergeCell ref="F470:G470"/>
    <mergeCell ref="H470:I470"/>
    <mergeCell ref="J470:K470"/>
    <mergeCell ref="L470:M470"/>
    <mergeCell ref="N470:O470"/>
    <mergeCell ref="P470:Q470"/>
    <mergeCell ref="AL469:BB469"/>
    <mergeCell ref="AD469:AE469"/>
    <mergeCell ref="AF469:AG469"/>
    <mergeCell ref="AH469:AI469"/>
    <mergeCell ref="AJ469:AK469"/>
    <mergeCell ref="R469:S469"/>
    <mergeCell ref="T469:U469"/>
    <mergeCell ref="V469:W469"/>
    <mergeCell ref="X469:Y469"/>
    <mergeCell ref="Z469:AA469"/>
    <mergeCell ref="AB469:AC469"/>
    <mergeCell ref="B469:C469"/>
    <mergeCell ref="D469:E469"/>
    <mergeCell ref="F469:G469"/>
    <mergeCell ref="H469:I469"/>
    <mergeCell ref="J469:K469"/>
    <mergeCell ref="L469:M469"/>
    <mergeCell ref="N469:O469"/>
    <mergeCell ref="P469:Q469"/>
    <mergeCell ref="AL468:BB468"/>
    <mergeCell ref="AD468:AE468"/>
    <mergeCell ref="AF468:AG468"/>
    <mergeCell ref="AH468:AI468"/>
    <mergeCell ref="AJ468:AK468"/>
    <mergeCell ref="R468:S468"/>
    <mergeCell ref="T468:U468"/>
    <mergeCell ref="V468:W468"/>
    <mergeCell ref="X468:Y468"/>
    <mergeCell ref="Z468:AA468"/>
    <mergeCell ref="AB468:AC468"/>
    <mergeCell ref="B468:C468"/>
    <mergeCell ref="D468:E468"/>
    <mergeCell ref="F468:G468"/>
    <mergeCell ref="H468:I468"/>
    <mergeCell ref="J468:K468"/>
    <mergeCell ref="L468:M468"/>
    <mergeCell ref="N468:O468"/>
    <mergeCell ref="P468:Q468"/>
    <mergeCell ref="AL467:BB467"/>
    <mergeCell ref="AD467:AE467"/>
    <mergeCell ref="AF467:AG467"/>
    <mergeCell ref="AH467:AI467"/>
    <mergeCell ref="AJ467:AK467"/>
    <mergeCell ref="R467:S467"/>
    <mergeCell ref="T467:U467"/>
    <mergeCell ref="V467:W467"/>
    <mergeCell ref="X467:Y467"/>
    <mergeCell ref="Z467:AA467"/>
    <mergeCell ref="AB467:AC467"/>
    <mergeCell ref="B467:C467"/>
    <mergeCell ref="D467:E467"/>
    <mergeCell ref="F467:G467"/>
    <mergeCell ref="H467:I467"/>
    <mergeCell ref="J467:K467"/>
    <mergeCell ref="L467:M467"/>
    <mergeCell ref="N467:O467"/>
    <mergeCell ref="P467:Q467"/>
    <mergeCell ref="AL466:BB466"/>
    <mergeCell ref="AD466:AE466"/>
    <mergeCell ref="AF466:AG466"/>
    <mergeCell ref="AH466:AI466"/>
    <mergeCell ref="AJ466:AK466"/>
    <mergeCell ref="R466:S466"/>
    <mergeCell ref="T466:U466"/>
    <mergeCell ref="V466:W466"/>
    <mergeCell ref="X466:Y466"/>
    <mergeCell ref="Z466:AA466"/>
    <mergeCell ref="AB466:AC466"/>
    <mergeCell ref="B466:C466"/>
    <mergeCell ref="D466:E466"/>
    <mergeCell ref="F466:G466"/>
    <mergeCell ref="H466:I466"/>
    <mergeCell ref="J466:K466"/>
    <mergeCell ref="L466:M466"/>
    <mergeCell ref="N466:O466"/>
    <mergeCell ref="P466:Q466"/>
    <mergeCell ref="AL465:BB465"/>
    <mergeCell ref="AD465:AE465"/>
    <mergeCell ref="AF465:AG465"/>
    <mergeCell ref="AH465:AI465"/>
    <mergeCell ref="AJ465:AK465"/>
    <mergeCell ref="R465:S465"/>
    <mergeCell ref="T465:U465"/>
    <mergeCell ref="V465:W465"/>
    <mergeCell ref="X465:Y465"/>
    <mergeCell ref="Z465:AA465"/>
    <mergeCell ref="AB465:AC465"/>
    <mergeCell ref="B465:C465"/>
    <mergeCell ref="D465:E465"/>
    <mergeCell ref="F465:G465"/>
    <mergeCell ref="H465:I465"/>
    <mergeCell ref="J465:K465"/>
    <mergeCell ref="L465:M465"/>
    <mergeCell ref="N465:O465"/>
    <mergeCell ref="P465:Q465"/>
    <mergeCell ref="AL464:BB464"/>
    <mergeCell ref="AD464:AE464"/>
    <mergeCell ref="AF464:AG464"/>
    <mergeCell ref="AH464:AI464"/>
    <mergeCell ref="AJ464:AK464"/>
    <mergeCell ref="R464:S464"/>
    <mergeCell ref="T464:U464"/>
    <mergeCell ref="V464:W464"/>
    <mergeCell ref="X464:Y464"/>
    <mergeCell ref="Z464:AA464"/>
    <mergeCell ref="AB464:AC464"/>
    <mergeCell ref="B464:C464"/>
    <mergeCell ref="D464:E464"/>
    <mergeCell ref="F464:G464"/>
    <mergeCell ref="H464:I464"/>
    <mergeCell ref="J464:K464"/>
    <mergeCell ref="L464:M464"/>
    <mergeCell ref="N464:O464"/>
    <mergeCell ref="P464:Q464"/>
    <mergeCell ref="AL463:BB463"/>
    <mergeCell ref="AD463:AE463"/>
    <mergeCell ref="AF463:AG463"/>
    <mergeCell ref="AH463:AI463"/>
    <mergeCell ref="AJ463:AK463"/>
    <mergeCell ref="R463:S463"/>
    <mergeCell ref="T463:U463"/>
    <mergeCell ref="V463:W463"/>
    <mergeCell ref="X463:Y463"/>
    <mergeCell ref="Z463:AA463"/>
    <mergeCell ref="AB463:AC463"/>
    <mergeCell ref="B463:C463"/>
    <mergeCell ref="D463:E463"/>
    <mergeCell ref="F463:G463"/>
    <mergeCell ref="H463:I463"/>
    <mergeCell ref="J463:K463"/>
    <mergeCell ref="L463:M463"/>
    <mergeCell ref="N463:O463"/>
    <mergeCell ref="P463:Q463"/>
    <mergeCell ref="AL462:BB462"/>
    <mergeCell ref="AD462:AE462"/>
    <mergeCell ref="AF462:AG462"/>
    <mergeCell ref="AH462:AI462"/>
    <mergeCell ref="AJ462:AK462"/>
    <mergeCell ref="R462:S462"/>
    <mergeCell ref="T462:U462"/>
    <mergeCell ref="V462:W462"/>
    <mergeCell ref="X462:Y462"/>
    <mergeCell ref="Z462:AA462"/>
    <mergeCell ref="AB462:AC462"/>
    <mergeCell ref="B462:C462"/>
    <mergeCell ref="D462:E462"/>
    <mergeCell ref="F462:G462"/>
    <mergeCell ref="H462:I462"/>
    <mergeCell ref="J462:K462"/>
    <mergeCell ref="L462:M462"/>
    <mergeCell ref="N462:O462"/>
    <mergeCell ref="P462:Q462"/>
    <mergeCell ref="AL461:BB461"/>
    <mergeCell ref="AD461:AE461"/>
    <mergeCell ref="AF461:AG461"/>
    <mergeCell ref="AH461:AI461"/>
    <mergeCell ref="AJ461:AK461"/>
    <mergeCell ref="R461:S461"/>
    <mergeCell ref="T461:U461"/>
    <mergeCell ref="V461:W461"/>
    <mergeCell ref="X461:Y461"/>
    <mergeCell ref="Z461:AA461"/>
    <mergeCell ref="AB461:AC461"/>
    <mergeCell ref="B461:C461"/>
    <mergeCell ref="D461:E461"/>
    <mergeCell ref="F461:G461"/>
    <mergeCell ref="H461:I461"/>
    <mergeCell ref="J461:K461"/>
    <mergeCell ref="L461:M461"/>
    <mergeCell ref="N461:O461"/>
    <mergeCell ref="P461:Q461"/>
    <mergeCell ref="AL460:BB460"/>
    <mergeCell ref="AD460:AE460"/>
    <mergeCell ref="AF460:AG460"/>
    <mergeCell ref="AH460:AI460"/>
    <mergeCell ref="AJ460:AK460"/>
    <mergeCell ref="R460:S460"/>
    <mergeCell ref="T460:U460"/>
    <mergeCell ref="V460:W460"/>
    <mergeCell ref="X460:Y460"/>
    <mergeCell ref="Z460:AA460"/>
    <mergeCell ref="AB460:AC460"/>
    <mergeCell ref="B460:C460"/>
    <mergeCell ref="D460:E460"/>
    <mergeCell ref="F460:G460"/>
    <mergeCell ref="H460:I460"/>
    <mergeCell ref="J460:K460"/>
    <mergeCell ref="L460:M460"/>
    <mergeCell ref="N460:O460"/>
    <mergeCell ref="P460:Q460"/>
    <mergeCell ref="AL459:BB459"/>
    <mergeCell ref="AD459:AE459"/>
    <mergeCell ref="AF459:AG459"/>
    <mergeCell ref="AH459:AI459"/>
    <mergeCell ref="AJ459:AK459"/>
    <mergeCell ref="R459:S459"/>
    <mergeCell ref="T459:U459"/>
    <mergeCell ref="V459:W459"/>
    <mergeCell ref="X459:Y459"/>
    <mergeCell ref="Z459:AA459"/>
    <mergeCell ref="AB459:AC459"/>
    <mergeCell ref="B459:C459"/>
    <mergeCell ref="D459:E459"/>
    <mergeCell ref="F459:G459"/>
    <mergeCell ref="H459:I459"/>
    <mergeCell ref="J459:K459"/>
    <mergeCell ref="L459:M459"/>
    <mergeCell ref="N459:O459"/>
    <mergeCell ref="P459:Q459"/>
    <mergeCell ref="AL458:BB458"/>
    <mergeCell ref="AD458:AE458"/>
    <mergeCell ref="AF458:AG458"/>
    <mergeCell ref="AH458:AI458"/>
    <mergeCell ref="AJ458:AK458"/>
    <mergeCell ref="R458:S458"/>
    <mergeCell ref="T458:U458"/>
    <mergeCell ref="V458:W458"/>
    <mergeCell ref="X458:Y458"/>
    <mergeCell ref="Z458:AA458"/>
    <mergeCell ref="AB458:AC458"/>
    <mergeCell ref="B458:C458"/>
    <mergeCell ref="D458:E458"/>
    <mergeCell ref="F458:G458"/>
    <mergeCell ref="H458:I458"/>
    <mergeCell ref="J458:K458"/>
    <mergeCell ref="L458:M458"/>
    <mergeCell ref="N458:O458"/>
    <mergeCell ref="P458:Q458"/>
    <mergeCell ref="AL457:BB457"/>
    <mergeCell ref="AD457:AE457"/>
    <mergeCell ref="AF457:AG457"/>
    <mergeCell ref="AH457:AI457"/>
    <mergeCell ref="AJ457:AK457"/>
    <mergeCell ref="R457:S457"/>
    <mergeCell ref="T457:U457"/>
    <mergeCell ref="V457:W457"/>
    <mergeCell ref="X457:Y457"/>
    <mergeCell ref="Z457:AA457"/>
    <mergeCell ref="AB457:AC457"/>
    <mergeCell ref="B457:C457"/>
    <mergeCell ref="D457:E457"/>
    <mergeCell ref="F457:G457"/>
    <mergeCell ref="H457:I457"/>
    <mergeCell ref="J457:K457"/>
    <mergeCell ref="L457:M457"/>
    <mergeCell ref="N457:O457"/>
    <mergeCell ref="P457:Q457"/>
    <mergeCell ref="AL456:BB456"/>
    <mergeCell ref="AD456:AE456"/>
    <mergeCell ref="AF456:AG456"/>
    <mergeCell ref="AH456:AI456"/>
    <mergeCell ref="AJ456:AK456"/>
    <mergeCell ref="R456:S456"/>
    <mergeCell ref="T456:U456"/>
    <mergeCell ref="V456:W456"/>
    <mergeCell ref="X456:Y456"/>
    <mergeCell ref="Z456:AA456"/>
    <mergeCell ref="AB456:AC456"/>
    <mergeCell ref="B456:C456"/>
    <mergeCell ref="D456:E456"/>
    <mergeCell ref="F456:G456"/>
    <mergeCell ref="H456:I456"/>
    <mergeCell ref="J456:K456"/>
    <mergeCell ref="L456:M456"/>
    <mergeCell ref="N456:O456"/>
    <mergeCell ref="P456:Q456"/>
    <mergeCell ref="AL455:BB455"/>
    <mergeCell ref="AD455:AE455"/>
    <mergeCell ref="AF455:AG455"/>
    <mergeCell ref="AH455:AI455"/>
    <mergeCell ref="AJ455:AK455"/>
    <mergeCell ref="R455:S455"/>
    <mergeCell ref="T455:U455"/>
    <mergeCell ref="V455:W455"/>
    <mergeCell ref="X455:Y455"/>
    <mergeCell ref="Z455:AA455"/>
    <mergeCell ref="AB455:AC455"/>
    <mergeCell ref="B455:C455"/>
    <mergeCell ref="D455:E455"/>
    <mergeCell ref="F455:G455"/>
    <mergeCell ref="H455:I455"/>
    <mergeCell ref="J455:K455"/>
    <mergeCell ref="L455:M455"/>
    <mergeCell ref="N455:O455"/>
    <mergeCell ref="P455:Q455"/>
    <mergeCell ref="AL454:BB454"/>
    <mergeCell ref="AD454:AE454"/>
    <mergeCell ref="AF454:AG454"/>
    <mergeCell ref="AH454:AI454"/>
    <mergeCell ref="AJ454:AK454"/>
    <mergeCell ref="R454:S454"/>
    <mergeCell ref="T454:U454"/>
    <mergeCell ref="V454:W454"/>
    <mergeCell ref="X454:Y454"/>
    <mergeCell ref="Z454:AA454"/>
    <mergeCell ref="AB454:AC454"/>
    <mergeCell ref="B454:C454"/>
    <mergeCell ref="D454:E454"/>
    <mergeCell ref="F454:G454"/>
    <mergeCell ref="H454:I454"/>
    <mergeCell ref="J454:K454"/>
    <mergeCell ref="L454:M454"/>
    <mergeCell ref="N454:O454"/>
    <mergeCell ref="P454:Q454"/>
    <mergeCell ref="AL453:BB453"/>
    <mergeCell ref="AD453:AE453"/>
    <mergeCell ref="AF453:AG453"/>
    <mergeCell ref="AH453:AI453"/>
    <mergeCell ref="AJ453:AK453"/>
    <mergeCell ref="R453:S453"/>
    <mergeCell ref="T453:U453"/>
    <mergeCell ref="V453:W453"/>
    <mergeCell ref="X453:Y453"/>
    <mergeCell ref="Z453:AA453"/>
    <mergeCell ref="AB453:AC453"/>
    <mergeCell ref="B453:C453"/>
    <mergeCell ref="D453:E453"/>
    <mergeCell ref="F453:G453"/>
    <mergeCell ref="H453:I453"/>
    <mergeCell ref="J453:K453"/>
    <mergeCell ref="L453:M453"/>
    <mergeCell ref="N453:O453"/>
    <mergeCell ref="P453:Q453"/>
    <mergeCell ref="AL452:BB452"/>
    <mergeCell ref="AD452:AE452"/>
    <mergeCell ref="AF452:AG452"/>
    <mergeCell ref="AH452:AI452"/>
    <mergeCell ref="AJ452:AK452"/>
    <mergeCell ref="R452:S452"/>
    <mergeCell ref="T452:U452"/>
    <mergeCell ref="V452:W452"/>
    <mergeCell ref="X452:Y452"/>
    <mergeCell ref="Z452:AA452"/>
    <mergeCell ref="AB452:AC452"/>
    <mergeCell ref="B452:C452"/>
    <mergeCell ref="D452:E452"/>
    <mergeCell ref="F452:G452"/>
    <mergeCell ref="H452:I452"/>
    <mergeCell ref="J452:K452"/>
    <mergeCell ref="L452:M452"/>
    <mergeCell ref="N452:O452"/>
    <mergeCell ref="P452:Q452"/>
    <mergeCell ref="AL451:BB451"/>
    <mergeCell ref="AD451:AE451"/>
    <mergeCell ref="AF451:AG451"/>
    <mergeCell ref="AH451:AI451"/>
    <mergeCell ref="AJ451:AK451"/>
    <mergeCell ref="R451:S451"/>
    <mergeCell ref="T451:U451"/>
    <mergeCell ref="V451:W451"/>
    <mergeCell ref="X451:Y451"/>
    <mergeCell ref="Z451:AA451"/>
    <mergeCell ref="AB451:AC451"/>
    <mergeCell ref="B451:C451"/>
    <mergeCell ref="D451:E451"/>
    <mergeCell ref="F451:G451"/>
    <mergeCell ref="H451:I451"/>
    <mergeCell ref="J451:K451"/>
    <mergeCell ref="L451:M451"/>
    <mergeCell ref="N451:O451"/>
    <mergeCell ref="P451:Q451"/>
    <mergeCell ref="AL450:BB450"/>
    <mergeCell ref="AD450:AE450"/>
    <mergeCell ref="AF450:AG450"/>
    <mergeCell ref="AH450:AI450"/>
    <mergeCell ref="AJ450:AK450"/>
    <mergeCell ref="R450:S450"/>
    <mergeCell ref="T450:U450"/>
    <mergeCell ref="V450:W450"/>
    <mergeCell ref="X450:Y450"/>
    <mergeCell ref="Z450:AA450"/>
    <mergeCell ref="AB450:AC450"/>
    <mergeCell ref="B450:C450"/>
    <mergeCell ref="D450:E450"/>
    <mergeCell ref="F450:G450"/>
    <mergeCell ref="H450:I450"/>
    <mergeCell ref="J450:K450"/>
    <mergeCell ref="L450:M450"/>
    <mergeCell ref="N450:O450"/>
    <mergeCell ref="P450:Q450"/>
    <mergeCell ref="AL449:BB449"/>
    <mergeCell ref="AD449:AE449"/>
    <mergeCell ref="AF449:AG449"/>
    <mergeCell ref="AH449:AI449"/>
    <mergeCell ref="AJ449:AK449"/>
    <mergeCell ref="R449:S449"/>
    <mergeCell ref="T449:U449"/>
    <mergeCell ref="V449:W449"/>
    <mergeCell ref="X449:Y449"/>
    <mergeCell ref="Z449:AA449"/>
    <mergeCell ref="AB449:AC449"/>
    <mergeCell ref="B449:C449"/>
    <mergeCell ref="D449:E449"/>
    <mergeCell ref="F449:G449"/>
    <mergeCell ref="H449:I449"/>
    <mergeCell ref="J449:K449"/>
    <mergeCell ref="L449:M449"/>
    <mergeCell ref="N449:O449"/>
    <mergeCell ref="P449:Q449"/>
    <mergeCell ref="AL448:BB448"/>
    <mergeCell ref="AD448:AE448"/>
    <mergeCell ref="AF448:AG448"/>
    <mergeCell ref="AH448:AI448"/>
    <mergeCell ref="AJ448:AK448"/>
    <mergeCell ref="R448:S448"/>
    <mergeCell ref="T448:U448"/>
    <mergeCell ref="V448:W448"/>
    <mergeCell ref="X448:Y448"/>
    <mergeCell ref="Z448:AA448"/>
    <mergeCell ref="AB448:AC448"/>
    <mergeCell ref="B448:C448"/>
    <mergeCell ref="D448:E448"/>
    <mergeCell ref="F448:G448"/>
    <mergeCell ref="H448:I448"/>
    <mergeCell ref="J448:K448"/>
    <mergeCell ref="L448:M448"/>
    <mergeCell ref="N448:O448"/>
    <mergeCell ref="P448:Q448"/>
    <mergeCell ref="AL447:BB447"/>
    <mergeCell ref="AD447:AE447"/>
    <mergeCell ref="AF447:AG447"/>
    <mergeCell ref="AH447:AI447"/>
    <mergeCell ref="AJ447:AK447"/>
    <mergeCell ref="R447:S447"/>
    <mergeCell ref="T447:U447"/>
    <mergeCell ref="V447:W447"/>
    <mergeCell ref="X447:Y447"/>
    <mergeCell ref="Z447:AA447"/>
    <mergeCell ref="AB447:AC447"/>
    <mergeCell ref="B447:C447"/>
    <mergeCell ref="D447:E447"/>
    <mergeCell ref="F447:G447"/>
    <mergeCell ref="H447:I447"/>
    <mergeCell ref="J447:K447"/>
    <mergeCell ref="L447:M447"/>
    <mergeCell ref="N447:O447"/>
    <mergeCell ref="P447:Q447"/>
    <mergeCell ref="AL446:BB446"/>
    <mergeCell ref="AD446:AE446"/>
    <mergeCell ref="AF446:AG446"/>
    <mergeCell ref="AH446:AI446"/>
    <mergeCell ref="AJ446:AK446"/>
    <mergeCell ref="R446:S446"/>
    <mergeCell ref="T446:U446"/>
    <mergeCell ref="V446:W446"/>
    <mergeCell ref="X446:Y446"/>
    <mergeCell ref="Z446:AA446"/>
    <mergeCell ref="AB446:AC446"/>
    <mergeCell ref="B446:C446"/>
    <mergeCell ref="D446:E446"/>
    <mergeCell ref="F446:G446"/>
    <mergeCell ref="H446:I446"/>
    <mergeCell ref="J446:K446"/>
    <mergeCell ref="L446:M446"/>
    <mergeCell ref="N446:O446"/>
    <mergeCell ref="P446:Q446"/>
    <mergeCell ref="AL445:BB445"/>
    <mergeCell ref="AD445:AE445"/>
    <mergeCell ref="AF445:AG445"/>
    <mergeCell ref="AH445:AI445"/>
    <mergeCell ref="AJ445:AK445"/>
    <mergeCell ref="R445:S445"/>
    <mergeCell ref="T445:U445"/>
    <mergeCell ref="V445:W445"/>
    <mergeCell ref="X445:Y445"/>
    <mergeCell ref="Z445:AA445"/>
    <mergeCell ref="AB445:AC445"/>
    <mergeCell ref="B445:C445"/>
    <mergeCell ref="D445:E445"/>
    <mergeCell ref="F445:G445"/>
    <mergeCell ref="H445:I445"/>
    <mergeCell ref="J445:K445"/>
    <mergeCell ref="L445:M445"/>
    <mergeCell ref="N445:O445"/>
    <mergeCell ref="P445:Q445"/>
    <mergeCell ref="AL444:BB444"/>
    <mergeCell ref="AD444:AE444"/>
    <mergeCell ref="AF444:AG444"/>
    <mergeCell ref="AH444:AI444"/>
    <mergeCell ref="AJ444:AK444"/>
    <mergeCell ref="R444:S444"/>
    <mergeCell ref="T444:U444"/>
    <mergeCell ref="V444:W444"/>
    <mergeCell ref="X444:Y444"/>
    <mergeCell ref="Z444:AA444"/>
    <mergeCell ref="AB444:AC444"/>
    <mergeCell ref="B444:C444"/>
    <mergeCell ref="D444:E444"/>
    <mergeCell ref="F444:G444"/>
    <mergeCell ref="H444:I444"/>
    <mergeCell ref="J444:K444"/>
    <mergeCell ref="L444:M444"/>
    <mergeCell ref="N444:O444"/>
    <mergeCell ref="P444:Q444"/>
    <mergeCell ref="AL443:BB443"/>
    <mergeCell ref="AD443:AE443"/>
    <mergeCell ref="AF443:AG443"/>
    <mergeCell ref="AH443:AI443"/>
    <mergeCell ref="AJ443:AK443"/>
    <mergeCell ref="R443:S443"/>
    <mergeCell ref="T443:U443"/>
    <mergeCell ref="V443:W443"/>
    <mergeCell ref="X443:Y443"/>
    <mergeCell ref="Z443:AA443"/>
    <mergeCell ref="AB443:AC443"/>
    <mergeCell ref="B443:C443"/>
    <mergeCell ref="D443:E443"/>
    <mergeCell ref="F443:G443"/>
    <mergeCell ref="H443:I443"/>
    <mergeCell ref="J443:K443"/>
    <mergeCell ref="L443:M443"/>
    <mergeCell ref="N443:O443"/>
    <mergeCell ref="P443:Q443"/>
    <mergeCell ref="AL442:BB442"/>
    <mergeCell ref="AD442:AE442"/>
    <mergeCell ref="AF442:AG442"/>
    <mergeCell ref="AH442:AI442"/>
    <mergeCell ref="AJ442:AK442"/>
    <mergeCell ref="R442:S442"/>
    <mergeCell ref="T442:U442"/>
    <mergeCell ref="V442:W442"/>
    <mergeCell ref="X442:Y442"/>
    <mergeCell ref="Z442:AA442"/>
    <mergeCell ref="AB442:AC442"/>
    <mergeCell ref="B442:C442"/>
    <mergeCell ref="D442:E442"/>
    <mergeCell ref="F442:G442"/>
    <mergeCell ref="H442:I442"/>
    <mergeCell ref="J442:K442"/>
    <mergeCell ref="L442:M442"/>
    <mergeCell ref="N442:O442"/>
    <mergeCell ref="P442:Q442"/>
    <mergeCell ref="AL441:BB441"/>
    <mergeCell ref="AD441:AE441"/>
    <mergeCell ref="AF441:AG441"/>
    <mergeCell ref="AH441:AI441"/>
    <mergeCell ref="AJ441:AK441"/>
    <mergeCell ref="R441:S441"/>
    <mergeCell ref="T441:U441"/>
    <mergeCell ref="V441:W441"/>
    <mergeCell ref="X441:Y441"/>
    <mergeCell ref="Z441:AA441"/>
    <mergeCell ref="AB441:AC441"/>
    <mergeCell ref="B441:C441"/>
    <mergeCell ref="D441:E441"/>
    <mergeCell ref="F441:G441"/>
    <mergeCell ref="H441:I441"/>
    <mergeCell ref="J441:K441"/>
    <mergeCell ref="L441:M441"/>
    <mergeCell ref="N441:O441"/>
    <mergeCell ref="P441:Q441"/>
    <mergeCell ref="AL440:BB440"/>
    <mergeCell ref="AD440:AE440"/>
    <mergeCell ref="AF440:AG440"/>
    <mergeCell ref="AH440:AI440"/>
    <mergeCell ref="AJ440:AK440"/>
    <mergeCell ref="R440:S440"/>
    <mergeCell ref="T440:U440"/>
    <mergeCell ref="V440:W440"/>
    <mergeCell ref="X440:Y440"/>
    <mergeCell ref="Z440:AA440"/>
    <mergeCell ref="AB440:AC440"/>
    <mergeCell ref="B440:C440"/>
    <mergeCell ref="D440:E440"/>
    <mergeCell ref="F440:G440"/>
    <mergeCell ref="H440:I440"/>
    <mergeCell ref="J440:K440"/>
    <mergeCell ref="L440:M440"/>
    <mergeCell ref="N440:O440"/>
    <mergeCell ref="P440:Q440"/>
    <mergeCell ref="AL439:BB439"/>
    <mergeCell ref="AD439:AE439"/>
    <mergeCell ref="AF439:AG439"/>
    <mergeCell ref="AH439:AI439"/>
    <mergeCell ref="AJ439:AK439"/>
    <mergeCell ref="R439:S439"/>
    <mergeCell ref="T439:U439"/>
    <mergeCell ref="V439:W439"/>
    <mergeCell ref="X439:Y439"/>
    <mergeCell ref="Z439:AA439"/>
    <mergeCell ref="AB439:AC439"/>
    <mergeCell ref="B439:C439"/>
    <mergeCell ref="D439:E439"/>
    <mergeCell ref="F439:G439"/>
    <mergeCell ref="H439:I439"/>
    <mergeCell ref="J439:K439"/>
    <mergeCell ref="L439:M439"/>
    <mergeCell ref="N439:O439"/>
    <mergeCell ref="P439:Q439"/>
    <mergeCell ref="AL438:BB438"/>
    <mergeCell ref="AD438:AE438"/>
    <mergeCell ref="AF438:AG438"/>
    <mergeCell ref="AH438:AI438"/>
    <mergeCell ref="AJ438:AK438"/>
    <mergeCell ref="R438:S438"/>
    <mergeCell ref="T438:U438"/>
    <mergeCell ref="V438:W438"/>
    <mergeCell ref="X438:Y438"/>
    <mergeCell ref="Z438:AA438"/>
    <mergeCell ref="AB438:AC438"/>
    <mergeCell ref="B438:C438"/>
    <mergeCell ref="D438:E438"/>
    <mergeCell ref="F438:G438"/>
    <mergeCell ref="H438:I438"/>
    <mergeCell ref="J438:K438"/>
    <mergeCell ref="L438:M438"/>
    <mergeCell ref="N438:O438"/>
    <mergeCell ref="P438:Q438"/>
    <mergeCell ref="AL437:BB437"/>
    <mergeCell ref="AD437:AE437"/>
    <mergeCell ref="AF437:AG437"/>
    <mergeCell ref="AH437:AI437"/>
    <mergeCell ref="AJ437:AK437"/>
    <mergeCell ref="R437:S437"/>
    <mergeCell ref="T437:U437"/>
    <mergeCell ref="V437:W437"/>
    <mergeCell ref="X437:Y437"/>
    <mergeCell ref="Z437:AA437"/>
    <mergeCell ref="AB437:AC437"/>
    <mergeCell ref="B437:C437"/>
    <mergeCell ref="D437:E437"/>
    <mergeCell ref="F437:G437"/>
    <mergeCell ref="H437:I437"/>
    <mergeCell ref="J437:K437"/>
    <mergeCell ref="L437:M437"/>
    <mergeCell ref="N437:O437"/>
    <mergeCell ref="P437:Q437"/>
    <mergeCell ref="AL436:BB436"/>
    <mergeCell ref="AD436:AE436"/>
    <mergeCell ref="AF436:AG436"/>
    <mergeCell ref="AH436:AI436"/>
    <mergeCell ref="AJ436:AK436"/>
    <mergeCell ref="R436:S436"/>
    <mergeCell ref="T436:U436"/>
    <mergeCell ref="V436:W436"/>
    <mergeCell ref="X436:Y436"/>
    <mergeCell ref="Z436:AA436"/>
    <mergeCell ref="AB436:AC436"/>
    <mergeCell ref="B436:C436"/>
    <mergeCell ref="D436:E436"/>
    <mergeCell ref="F436:G436"/>
    <mergeCell ref="H436:I436"/>
    <mergeCell ref="J436:K436"/>
    <mergeCell ref="L436:M436"/>
    <mergeCell ref="N436:O436"/>
    <mergeCell ref="P436:Q436"/>
    <mergeCell ref="AL435:BB435"/>
    <mergeCell ref="AD435:AE435"/>
    <mergeCell ref="AF435:AG435"/>
    <mergeCell ref="AH435:AI435"/>
    <mergeCell ref="AJ435:AK435"/>
    <mergeCell ref="R435:S435"/>
    <mergeCell ref="T435:U435"/>
    <mergeCell ref="V435:W435"/>
    <mergeCell ref="X435:Y435"/>
    <mergeCell ref="Z435:AA435"/>
    <mergeCell ref="AB435:AC435"/>
    <mergeCell ref="B435:C435"/>
    <mergeCell ref="D435:E435"/>
    <mergeCell ref="F435:G435"/>
    <mergeCell ref="H435:I435"/>
    <mergeCell ref="J435:K435"/>
    <mergeCell ref="L435:M435"/>
    <mergeCell ref="N435:O435"/>
    <mergeCell ref="P435:Q435"/>
    <mergeCell ref="AL434:BB434"/>
    <mergeCell ref="AD434:AE434"/>
    <mergeCell ref="AF434:AG434"/>
    <mergeCell ref="AH434:AI434"/>
    <mergeCell ref="AJ434:AK434"/>
    <mergeCell ref="R434:S434"/>
    <mergeCell ref="T434:U434"/>
    <mergeCell ref="V434:W434"/>
    <mergeCell ref="X434:Y434"/>
    <mergeCell ref="Z434:AA434"/>
    <mergeCell ref="AB434:AC434"/>
    <mergeCell ref="B434:C434"/>
    <mergeCell ref="D434:E434"/>
    <mergeCell ref="F434:G434"/>
    <mergeCell ref="H434:I434"/>
    <mergeCell ref="J434:K434"/>
    <mergeCell ref="L434:M434"/>
    <mergeCell ref="N434:O434"/>
    <mergeCell ref="P434:Q434"/>
    <mergeCell ref="AL433:BB433"/>
    <mergeCell ref="AD433:AE433"/>
    <mergeCell ref="AF433:AG433"/>
    <mergeCell ref="AH433:AI433"/>
    <mergeCell ref="AJ433:AK433"/>
    <mergeCell ref="R433:S433"/>
    <mergeCell ref="T433:U433"/>
    <mergeCell ref="V433:W433"/>
    <mergeCell ref="X433:Y433"/>
    <mergeCell ref="Z433:AA433"/>
    <mergeCell ref="AB433:AC433"/>
    <mergeCell ref="B433:C433"/>
    <mergeCell ref="D433:E433"/>
    <mergeCell ref="F433:G433"/>
    <mergeCell ref="H433:I433"/>
    <mergeCell ref="J433:K433"/>
    <mergeCell ref="L433:M433"/>
    <mergeCell ref="N433:O433"/>
    <mergeCell ref="P433:Q433"/>
    <mergeCell ref="AL432:BB432"/>
    <mergeCell ref="AD432:AE432"/>
    <mergeCell ref="AF432:AG432"/>
    <mergeCell ref="AH432:AI432"/>
    <mergeCell ref="AJ432:AK432"/>
    <mergeCell ref="R432:S432"/>
    <mergeCell ref="T432:U432"/>
    <mergeCell ref="V432:W432"/>
    <mergeCell ref="X432:Y432"/>
    <mergeCell ref="Z432:AA432"/>
    <mergeCell ref="AB432:AC432"/>
    <mergeCell ref="B432:C432"/>
    <mergeCell ref="D432:E432"/>
    <mergeCell ref="F432:G432"/>
    <mergeCell ref="H432:I432"/>
    <mergeCell ref="J432:K432"/>
    <mergeCell ref="L432:M432"/>
    <mergeCell ref="N432:O432"/>
    <mergeCell ref="P432:Q432"/>
    <mergeCell ref="AL431:BB431"/>
    <mergeCell ref="AD431:AE431"/>
    <mergeCell ref="AF431:AG431"/>
    <mergeCell ref="AH431:AI431"/>
    <mergeCell ref="AJ431:AK431"/>
    <mergeCell ref="R431:S431"/>
    <mergeCell ref="T431:U431"/>
    <mergeCell ref="V431:W431"/>
    <mergeCell ref="X431:Y431"/>
    <mergeCell ref="Z431:AA431"/>
    <mergeCell ref="AB431:AC431"/>
    <mergeCell ref="B431:C431"/>
    <mergeCell ref="D431:E431"/>
    <mergeCell ref="F431:G431"/>
    <mergeCell ref="H431:I431"/>
    <mergeCell ref="J431:K431"/>
    <mergeCell ref="L431:M431"/>
    <mergeCell ref="N431:O431"/>
    <mergeCell ref="P431:Q431"/>
    <mergeCell ref="AL430:BB430"/>
    <mergeCell ref="AD430:AE430"/>
    <mergeCell ref="AF430:AG430"/>
    <mergeCell ref="AH430:AI430"/>
    <mergeCell ref="AJ430:AK430"/>
    <mergeCell ref="R430:S430"/>
    <mergeCell ref="T430:U430"/>
    <mergeCell ref="V430:W430"/>
    <mergeCell ref="X430:Y430"/>
    <mergeCell ref="Z430:AA430"/>
    <mergeCell ref="AB430:AC430"/>
    <mergeCell ref="B430:C430"/>
    <mergeCell ref="D430:E430"/>
    <mergeCell ref="F430:G430"/>
    <mergeCell ref="H430:I430"/>
    <mergeCell ref="J430:K430"/>
    <mergeCell ref="L430:M430"/>
    <mergeCell ref="N430:O430"/>
    <mergeCell ref="P430:Q430"/>
    <mergeCell ref="AL429:BB429"/>
    <mergeCell ref="AD429:AE429"/>
    <mergeCell ref="AF429:AG429"/>
    <mergeCell ref="AH429:AI429"/>
    <mergeCell ref="AJ429:AK429"/>
    <mergeCell ref="R429:S429"/>
    <mergeCell ref="T429:U429"/>
    <mergeCell ref="V429:W429"/>
    <mergeCell ref="X429:Y429"/>
    <mergeCell ref="Z429:AA429"/>
    <mergeCell ref="AB429:AC429"/>
    <mergeCell ref="B429:C429"/>
    <mergeCell ref="D429:E429"/>
    <mergeCell ref="F429:G429"/>
    <mergeCell ref="H429:I429"/>
    <mergeCell ref="J429:K429"/>
    <mergeCell ref="L429:M429"/>
    <mergeCell ref="N429:O429"/>
    <mergeCell ref="P429:Q429"/>
    <mergeCell ref="AL428:BB428"/>
    <mergeCell ref="AD428:AE428"/>
    <mergeCell ref="AF428:AG428"/>
    <mergeCell ref="AH428:AI428"/>
    <mergeCell ref="AJ428:AK428"/>
    <mergeCell ref="R428:S428"/>
    <mergeCell ref="T428:U428"/>
    <mergeCell ref="V428:W428"/>
    <mergeCell ref="X428:Y428"/>
    <mergeCell ref="Z428:AA428"/>
    <mergeCell ref="AB428:AC428"/>
    <mergeCell ref="B428:C428"/>
    <mergeCell ref="D428:E428"/>
    <mergeCell ref="F428:G428"/>
    <mergeCell ref="H428:I428"/>
    <mergeCell ref="J428:K428"/>
    <mergeCell ref="L428:M428"/>
    <mergeCell ref="N428:O428"/>
    <mergeCell ref="P428:Q428"/>
    <mergeCell ref="AL427:BB427"/>
    <mergeCell ref="AD427:AE427"/>
    <mergeCell ref="AF427:AG427"/>
    <mergeCell ref="AH427:AI427"/>
    <mergeCell ref="AJ427:AK427"/>
    <mergeCell ref="R427:S427"/>
    <mergeCell ref="T427:U427"/>
    <mergeCell ref="V427:W427"/>
    <mergeCell ref="X427:Y427"/>
    <mergeCell ref="Z427:AA427"/>
    <mergeCell ref="AB427:AC427"/>
    <mergeCell ref="B427:C427"/>
    <mergeCell ref="D427:E427"/>
    <mergeCell ref="F427:G427"/>
    <mergeCell ref="H427:I427"/>
    <mergeCell ref="J427:K427"/>
    <mergeCell ref="L427:M427"/>
    <mergeCell ref="N427:O427"/>
    <mergeCell ref="P427:Q427"/>
    <mergeCell ref="AL426:BB426"/>
    <mergeCell ref="Z426:AA426"/>
    <mergeCell ref="AB426:AC426"/>
    <mergeCell ref="AD426:AE426"/>
    <mergeCell ref="AF426:AG426"/>
    <mergeCell ref="AH426:AI426"/>
    <mergeCell ref="AJ426:AK426"/>
    <mergeCell ref="N426:O426"/>
    <mergeCell ref="P426:Q426"/>
    <mergeCell ref="R426:S426"/>
    <mergeCell ref="T426:U426"/>
    <mergeCell ref="V426:W426"/>
    <mergeCell ref="X426:Y426"/>
    <mergeCell ref="B426:C426"/>
    <mergeCell ref="D426:E426"/>
    <mergeCell ref="F426:G426"/>
    <mergeCell ref="H426:I426"/>
    <mergeCell ref="J426:K426"/>
    <mergeCell ref="L426:M426"/>
    <mergeCell ref="AL425:BB425"/>
    <mergeCell ref="AD425:AE425"/>
    <mergeCell ref="AF425:AG425"/>
    <mergeCell ref="AH425:AI425"/>
    <mergeCell ref="AJ425:AK425"/>
    <mergeCell ref="R425:S425"/>
    <mergeCell ref="T425:U425"/>
    <mergeCell ref="V425:W425"/>
    <mergeCell ref="X425:Y425"/>
    <mergeCell ref="Z425:AA425"/>
    <mergeCell ref="AB425:AC425"/>
    <mergeCell ref="B425:C425"/>
    <mergeCell ref="D425:E425"/>
    <mergeCell ref="F425:G425"/>
    <mergeCell ref="H425:I425"/>
    <mergeCell ref="J425:K425"/>
    <mergeCell ref="L425:M425"/>
    <mergeCell ref="N425:O425"/>
    <mergeCell ref="P425:Q425"/>
    <mergeCell ref="AL424:BB424"/>
    <mergeCell ref="Z424:AA424"/>
    <mergeCell ref="AB424:AC424"/>
    <mergeCell ref="AD424:AE424"/>
    <mergeCell ref="AF424:AG424"/>
    <mergeCell ref="AH424:AI424"/>
    <mergeCell ref="AJ424:AK424"/>
    <mergeCell ref="N424:O424"/>
    <mergeCell ref="P424:Q424"/>
    <mergeCell ref="R424:S424"/>
    <mergeCell ref="T424:U424"/>
    <mergeCell ref="V424:W424"/>
    <mergeCell ref="X424:Y424"/>
    <mergeCell ref="B424:C424"/>
    <mergeCell ref="D424:E424"/>
    <mergeCell ref="F424:G424"/>
    <mergeCell ref="H424:I424"/>
    <mergeCell ref="J424:K424"/>
    <mergeCell ref="L424:M424"/>
    <mergeCell ref="AL423:BB423"/>
    <mergeCell ref="AD423:AE423"/>
    <mergeCell ref="AF423:AG423"/>
    <mergeCell ref="AH423:AI423"/>
    <mergeCell ref="AJ423:AK423"/>
    <mergeCell ref="R423:S423"/>
    <mergeCell ref="T423:U423"/>
    <mergeCell ref="V423:W423"/>
    <mergeCell ref="X423:Y423"/>
    <mergeCell ref="Z423:AA423"/>
    <mergeCell ref="AB423:AC423"/>
    <mergeCell ref="B423:C423"/>
    <mergeCell ref="D423:E423"/>
    <mergeCell ref="F423:G423"/>
    <mergeCell ref="H423:I423"/>
    <mergeCell ref="J423:K423"/>
    <mergeCell ref="L423:M423"/>
    <mergeCell ref="N423:O423"/>
    <mergeCell ref="P423:Q423"/>
    <mergeCell ref="AL422:BB422"/>
    <mergeCell ref="Z422:AA422"/>
    <mergeCell ref="AB422:AC422"/>
    <mergeCell ref="AD422:AE422"/>
    <mergeCell ref="AF422:AG422"/>
    <mergeCell ref="AH422:AI422"/>
    <mergeCell ref="AJ422:AK422"/>
    <mergeCell ref="N422:O422"/>
    <mergeCell ref="P422:Q422"/>
    <mergeCell ref="R422:S422"/>
    <mergeCell ref="T422:U422"/>
    <mergeCell ref="V422:W422"/>
    <mergeCell ref="X422:Y422"/>
    <mergeCell ref="B422:C422"/>
    <mergeCell ref="D422:E422"/>
    <mergeCell ref="F422:G422"/>
    <mergeCell ref="H422:I422"/>
    <mergeCell ref="J422:K422"/>
    <mergeCell ref="L422:M422"/>
    <mergeCell ref="AL421:BB421"/>
    <mergeCell ref="AD421:AE421"/>
    <mergeCell ref="AF421:AG421"/>
    <mergeCell ref="AH421:AI421"/>
    <mergeCell ref="AJ421:AK421"/>
    <mergeCell ref="R421:S421"/>
    <mergeCell ref="T421:U421"/>
    <mergeCell ref="V421:W421"/>
    <mergeCell ref="X421:Y421"/>
    <mergeCell ref="Z421:AA421"/>
    <mergeCell ref="AB421:AC421"/>
    <mergeCell ref="B421:C421"/>
    <mergeCell ref="D421:E421"/>
    <mergeCell ref="F421:G421"/>
    <mergeCell ref="H421:I421"/>
    <mergeCell ref="J421:K421"/>
    <mergeCell ref="L421:M421"/>
    <mergeCell ref="N421:O421"/>
    <mergeCell ref="P421:Q421"/>
    <mergeCell ref="AL420:BB420"/>
    <mergeCell ref="Z420:AA420"/>
    <mergeCell ref="AB420:AC420"/>
    <mergeCell ref="AD420:AE420"/>
    <mergeCell ref="AF420:AG420"/>
    <mergeCell ref="AH420:AI420"/>
    <mergeCell ref="AJ420:AK420"/>
    <mergeCell ref="N420:O420"/>
    <mergeCell ref="P420:Q420"/>
    <mergeCell ref="R420:S420"/>
    <mergeCell ref="T420:U420"/>
    <mergeCell ref="V420:W420"/>
    <mergeCell ref="X420:Y420"/>
    <mergeCell ref="B420:C420"/>
    <mergeCell ref="D420:E420"/>
    <mergeCell ref="F420:G420"/>
    <mergeCell ref="H420:I420"/>
    <mergeCell ref="J420:K420"/>
    <mergeCell ref="L420:M420"/>
    <mergeCell ref="AL419:BB419"/>
    <mergeCell ref="AD419:AE419"/>
    <mergeCell ref="AF419:AG419"/>
    <mergeCell ref="AH419:AI419"/>
    <mergeCell ref="AJ419:AK419"/>
    <mergeCell ref="R419:S419"/>
    <mergeCell ref="T419:U419"/>
    <mergeCell ref="V419:W419"/>
    <mergeCell ref="X419:Y419"/>
    <mergeCell ref="Z419:AA419"/>
    <mergeCell ref="AB419:AC419"/>
    <mergeCell ref="B419:C419"/>
    <mergeCell ref="D419:E419"/>
    <mergeCell ref="F419:G419"/>
    <mergeCell ref="H419:I419"/>
    <mergeCell ref="J419:K419"/>
    <mergeCell ref="L419:M419"/>
    <mergeCell ref="N419:O419"/>
    <mergeCell ref="P419:Q419"/>
    <mergeCell ref="AL418:BB418"/>
    <mergeCell ref="Z418:AA418"/>
    <mergeCell ref="AB418:AC418"/>
    <mergeCell ref="AD418:AE418"/>
    <mergeCell ref="AF418:AG418"/>
    <mergeCell ref="AH418:AI418"/>
    <mergeCell ref="AJ418:AK418"/>
    <mergeCell ref="N418:O418"/>
    <mergeCell ref="P418:Q418"/>
    <mergeCell ref="R418:S418"/>
    <mergeCell ref="T418:U418"/>
    <mergeCell ref="V418:W418"/>
    <mergeCell ref="X418:Y418"/>
    <mergeCell ref="B418:C418"/>
    <mergeCell ref="D418:E418"/>
    <mergeCell ref="F418:G418"/>
    <mergeCell ref="H418:I418"/>
    <mergeCell ref="J418:K418"/>
    <mergeCell ref="L418:M418"/>
    <mergeCell ref="AL417:BB417"/>
    <mergeCell ref="Z417:AA417"/>
    <mergeCell ref="AB417:AC417"/>
    <mergeCell ref="AD417:AE417"/>
    <mergeCell ref="AF417:AG417"/>
    <mergeCell ref="AH417:AI417"/>
    <mergeCell ref="AJ417:AK417"/>
    <mergeCell ref="N417:O417"/>
    <mergeCell ref="P417:Q417"/>
    <mergeCell ref="R417:S417"/>
    <mergeCell ref="T417:U417"/>
    <mergeCell ref="V417:W417"/>
    <mergeCell ref="X417:Y417"/>
    <mergeCell ref="B417:C417"/>
    <mergeCell ref="D417:E417"/>
    <mergeCell ref="F417:G417"/>
    <mergeCell ref="H417:I417"/>
    <mergeCell ref="J417:K417"/>
    <mergeCell ref="L417:M417"/>
    <mergeCell ref="AL416:BB416"/>
    <mergeCell ref="Z416:AA416"/>
    <mergeCell ref="AB416:AC416"/>
    <mergeCell ref="AD416:AE416"/>
    <mergeCell ref="AF416:AG416"/>
    <mergeCell ref="AH416:AI416"/>
    <mergeCell ref="AJ416:AK416"/>
    <mergeCell ref="N416:O416"/>
    <mergeCell ref="P416:Q416"/>
    <mergeCell ref="R416:S416"/>
    <mergeCell ref="T416:U416"/>
    <mergeCell ref="V416:W416"/>
    <mergeCell ref="X416:Y416"/>
    <mergeCell ref="B416:C416"/>
    <mergeCell ref="D416:E416"/>
    <mergeCell ref="F416:G416"/>
    <mergeCell ref="H416:I416"/>
    <mergeCell ref="J416:K416"/>
    <mergeCell ref="L416:M416"/>
    <mergeCell ref="AL415:BB415"/>
    <mergeCell ref="AD415:AE415"/>
    <mergeCell ref="AF415:AG415"/>
    <mergeCell ref="AH415:AI415"/>
    <mergeCell ref="AJ415:AK415"/>
    <mergeCell ref="R415:S415"/>
    <mergeCell ref="T415:U415"/>
    <mergeCell ref="V415:W415"/>
    <mergeCell ref="X415:Y415"/>
    <mergeCell ref="Z415:AA415"/>
    <mergeCell ref="AB415:AC415"/>
    <mergeCell ref="B415:C415"/>
    <mergeCell ref="D415:E415"/>
    <mergeCell ref="F415:G415"/>
    <mergeCell ref="H415:I415"/>
    <mergeCell ref="J415:K415"/>
    <mergeCell ref="L415:M415"/>
    <mergeCell ref="N415:O415"/>
    <mergeCell ref="P415:Q415"/>
    <mergeCell ref="AL414:BB414"/>
    <mergeCell ref="AD414:AE414"/>
    <mergeCell ref="AF414:AG414"/>
    <mergeCell ref="AH414:AI414"/>
    <mergeCell ref="AJ414:AK414"/>
    <mergeCell ref="R414:S414"/>
    <mergeCell ref="T414:U414"/>
    <mergeCell ref="V414:W414"/>
    <mergeCell ref="X414:Y414"/>
    <mergeCell ref="Z414:AA414"/>
    <mergeCell ref="AB414:AC414"/>
    <mergeCell ref="B414:C414"/>
    <mergeCell ref="D414:E414"/>
    <mergeCell ref="F414:G414"/>
    <mergeCell ref="H414:I414"/>
    <mergeCell ref="J414:K414"/>
    <mergeCell ref="L414:M414"/>
    <mergeCell ref="N414:O414"/>
    <mergeCell ref="P414:Q414"/>
    <mergeCell ref="AL413:BB413"/>
    <mergeCell ref="AD413:AE413"/>
    <mergeCell ref="AF413:AG413"/>
    <mergeCell ref="AH413:AI413"/>
    <mergeCell ref="AJ413:AK413"/>
    <mergeCell ref="R413:S413"/>
    <mergeCell ref="T413:U413"/>
    <mergeCell ref="V413:W413"/>
    <mergeCell ref="X413:Y413"/>
    <mergeCell ref="Z413:AA413"/>
    <mergeCell ref="AB413:AC413"/>
    <mergeCell ref="B413:C413"/>
    <mergeCell ref="D413:E413"/>
    <mergeCell ref="F413:G413"/>
    <mergeCell ref="H413:I413"/>
    <mergeCell ref="J413:K413"/>
    <mergeCell ref="L413:M413"/>
    <mergeCell ref="N413:O413"/>
    <mergeCell ref="P413:Q413"/>
    <mergeCell ref="AL412:BB412"/>
    <mergeCell ref="AD412:AE412"/>
    <mergeCell ref="AF412:AG412"/>
    <mergeCell ref="AH412:AI412"/>
    <mergeCell ref="AJ412:AK412"/>
    <mergeCell ref="R412:S412"/>
    <mergeCell ref="T412:U412"/>
    <mergeCell ref="V412:W412"/>
    <mergeCell ref="X412:Y412"/>
    <mergeCell ref="Z412:AA412"/>
    <mergeCell ref="AB412:AC412"/>
    <mergeCell ref="B412:C412"/>
    <mergeCell ref="D412:E412"/>
    <mergeCell ref="F412:G412"/>
    <mergeCell ref="H412:I412"/>
    <mergeCell ref="J412:K412"/>
    <mergeCell ref="L412:M412"/>
    <mergeCell ref="N412:O412"/>
    <mergeCell ref="P412:Q412"/>
    <mergeCell ref="AL411:BB411"/>
    <mergeCell ref="AD411:AE411"/>
    <mergeCell ref="AF411:AG411"/>
    <mergeCell ref="AH411:AI411"/>
    <mergeCell ref="AJ411:AK411"/>
    <mergeCell ref="R411:S411"/>
    <mergeCell ref="T411:U411"/>
    <mergeCell ref="V411:W411"/>
    <mergeCell ref="X411:Y411"/>
    <mergeCell ref="Z411:AA411"/>
    <mergeCell ref="AB411:AC411"/>
    <mergeCell ref="B411:C411"/>
    <mergeCell ref="D411:E411"/>
    <mergeCell ref="F411:G411"/>
    <mergeCell ref="H411:I411"/>
    <mergeCell ref="J411:K411"/>
    <mergeCell ref="L411:M411"/>
    <mergeCell ref="N411:O411"/>
    <mergeCell ref="P411:Q411"/>
    <mergeCell ref="AL410:BB410"/>
    <mergeCell ref="AD410:AE410"/>
    <mergeCell ref="AF410:AG410"/>
    <mergeCell ref="AH410:AI410"/>
    <mergeCell ref="AJ410:AK410"/>
    <mergeCell ref="R410:S410"/>
    <mergeCell ref="T410:U410"/>
    <mergeCell ref="V410:W410"/>
    <mergeCell ref="X410:Y410"/>
    <mergeCell ref="Z410:AA410"/>
    <mergeCell ref="AB410:AC410"/>
    <mergeCell ref="B410:C410"/>
    <mergeCell ref="D410:E410"/>
    <mergeCell ref="F410:G410"/>
    <mergeCell ref="H410:I410"/>
    <mergeCell ref="J410:K410"/>
    <mergeCell ref="L410:M410"/>
    <mergeCell ref="N410:O410"/>
    <mergeCell ref="P410:Q410"/>
    <mergeCell ref="AL409:BB409"/>
    <mergeCell ref="AD409:AE409"/>
    <mergeCell ref="AF409:AG409"/>
    <mergeCell ref="AH409:AI409"/>
    <mergeCell ref="AJ409:AK409"/>
    <mergeCell ref="R409:S409"/>
    <mergeCell ref="T409:U409"/>
    <mergeCell ref="V409:W409"/>
    <mergeCell ref="X409:Y409"/>
    <mergeCell ref="Z409:AA409"/>
    <mergeCell ref="AB409:AC409"/>
    <mergeCell ref="B409:C409"/>
    <mergeCell ref="D409:E409"/>
    <mergeCell ref="F409:G409"/>
    <mergeCell ref="H409:I409"/>
    <mergeCell ref="J409:K409"/>
    <mergeCell ref="L409:M409"/>
    <mergeCell ref="N409:O409"/>
    <mergeCell ref="P409:Q409"/>
    <mergeCell ref="AL408:BB408"/>
    <mergeCell ref="AD408:AE408"/>
    <mergeCell ref="AF408:AG408"/>
    <mergeCell ref="AH408:AI408"/>
    <mergeCell ref="AJ408:AK408"/>
    <mergeCell ref="R408:S408"/>
    <mergeCell ref="T408:U408"/>
    <mergeCell ref="V408:W408"/>
    <mergeCell ref="X408:Y408"/>
    <mergeCell ref="Z408:AA408"/>
    <mergeCell ref="AB408:AC408"/>
    <mergeCell ref="B408:C408"/>
    <mergeCell ref="D408:E408"/>
    <mergeCell ref="F408:G408"/>
    <mergeCell ref="H408:I408"/>
    <mergeCell ref="J408:K408"/>
    <mergeCell ref="L408:M408"/>
    <mergeCell ref="N408:O408"/>
    <mergeCell ref="P408:Q408"/>
    <mergeCell ref="AL407:BB407"/>
    <mergeCell ref="AD407:AE407"/>
    <mergeCell ref="AF407:AG407"/>
    <mergeCell ref="AH407:AI407"/>
    <mergeCell ref="AJ407:AK407"/>
    <mergeCell ref="R407:S407"/>
    <mergeCell ref="T407:U407"/>
    <mergeCell ref="V407:W407"/>
    <mergeCell ref="X407:Y407"/>
    <mergeCell ref="Z407:AA407"/>
    <mergeCell ref="AB407:AC407"/>
    <mergeCell ref="B407:C407"/>
    <mergeCell ref="D407:E407"/>
    <mergeCell ref="F407:G407"/>
    <mergeCell ref="H407:I407"/>
    <mergeCell ref="J407:K407"/>
    <mergeCell ref="L407:M407"/>
    <mergeCell ref="N407:O407"/>
    <mergeCell ref="P407:Q407"/>
    <mergeCell ref="AL406:BB406"/>
    <mergeCell ref="AD406:AE406"/>
    <mergeCell ref="AF406:AG406"/>
    <mergeCell ref="AH406:AI406"/>
    <mergeCell ref="AJ406:AK406"/>
    <mergeCell ref="R406:S406"/>
    <mergeCell ref="T406:U406"/>
    <mergeCell ref="V406:W406"/>
    <mergeCell ref="X406:Y406"/>
    <mergeCell ref="Z406:AA406"/>
    <mergeCell ref="AB406:AC406"/>
    <mergeCell ref="B406:C406"/>
    <mergeCell ref="D406:E406"/>
    <mergeCell ref="F406:G406"/>
    <mergeCell ref="H406:I406"/>
    <mergeCell ref="J406:K406"/>
    <mergeCell ref="L406:M406"/>
    <mergeCell ref="N406:O406"/>
    <mergeCell ref="P406:Q406"/>
    <mergeCell ref="AL405:BB405"/>
    <mergeCell ref="AD405:AE405"/>
    <mergeCell ref="AF405:AG405"/>
    <mergeCell ref="AH405:AI405"/>
    <mergeCell ref="AJ405:AK405"/>
    <mergeCell ref="R405:S405"/>
    <mergeCell ref="T405:U405"/>
    <mergeCell ref="V405:W405"/>
    <mergeCell ref="X405:Y405"/>
    <mergeCell ref="Z405:AA405"/>
    <mergeCell ref="AB405:AC405"/>
    <mergeCell ref="B405:C405"/>
    <mergeCell ref="D405:E405"/>
    <mergeCell ref="F405:G405"/>
    <mergeCell ref="H405:I405"/>
    <mergeCell ref="J405:K405"/>
    <mergeCell ref="L405:M405"/>
    <mergeCell ref="N405:O405"/>
    <mergeCell ref="P405:Q405"/>
    <mergeCell ref="AL404:BB404"/>
    <mergeCell ref="AD404:AE404"/>
    <mergeCell ref="AF404:AG404"/>
    <mergeCell ref="AH404:AI404"/>
    <mergeCell ref="AJ404:AK404"/>
    <mergeCell ref="R404:S404"/>
    <mergeCell ref="T404:U404"/>
    <mergeCell ref="V404:W404"/>
    <mergeCell ref="X404:Y404"/>
    <mergeCell ref="Z404:AA404"/>
    <mergeCell ref="AB404:AC404"/>
    <mergeCell ref="B404:C404"/>
    <mergeCell ref="D404:E404"/>
    <mergeCell ref="F404:G404"/>
    <mergeCell ref="H404:I404"/>
    <mergeCell ref="J404:K404"/>
    <mergeCell ref="L404:M404"/>
    <mergeCell ref="N404:O404"/>
    <mergeCell ref="P404:Q404"/>
    <mergeCell ref="AL403:BB403"/>
    <mergeCell ref="AD403:AE403"/>
    <mergeCell ref="AF403:AG403"/>
    <mergeCell ref="AH403:AI403"/>
    <mergeCell ref="AJ403:AK403"/>
    <mergeCell ref="R403:S403"/>
    <mergeCell ref="T403:U403"/>
    <mergeCell ref="V403:W403"/>
    <mergeCell ref="X403:Y403"/>
    <mergeCell ref="Z403:AA403"/>
    <mergeCell ref="AB403:AC403"/>
    <mergeCell ref="B403:C403"/>
    <mergeCell ref="D403:E403"/>
    <mergeCell ref="F403:G403"/>
    <mergeCell ref="H403:I403"/>
    <mergeCell ref="J403:K403"/>
    <mergeCell ref="L403:M403"/>
    <mergeCell ref="N403:O403"/>
    <mergeCell ref="P403:Q403"/>
    <mergeCell ref="AL402:BB402"/>
    <mergeCell ref="AD402:AE402"/>
    <mergeCell ref="AF402:AG402"/>
    <mergeCell ref="AH402:AI402"/>
    <mergeCell ref="AJ402:AK402"/>
    <mergeCell ref="R402:S402"/>
    <mergeCell ref="T402:U402"/>
    <mergeCell ref="V402:W402"/>
    <mergeCell ref="X402:Y402"/>
    <mergeCell ref="Z402:AA402"/>
    <mergeCell ref="AB402:AC402"/>
    <mergeCell ref="B402:C402"/>
    <mergeCell ref="D402:E402"/>
    <mergeCell ref="F402:G402"/>
    <mergeCell ref="H402:I402"/>
    <mergeCell ref="J402:K402"/>
    <mergeCell ref="L402:M402"/>
    <mergeCell ref="N402:O402"/>
    <mergeCell ref="P402:Q402"/>
    <mergeCell ref="AL401:BB401"/>
    <mergeCell ref="AD401:AE401"/>
    <mergeCell ref="AF401:AG401"/>
    <mergeCell ref="AH401:AI401"/>
    <mergeCell ref="AJ401:AK401"/>
    <mergeCell ref="R401:S401"/>
    <mergeCell ref="T401:U401"/>
    <mergeCell ref="V401:W401"/>
    <mergeCell ref="X401:Y401"/>
    <mergeCell ref="Z401:AA401"/>
    <mergeCell ref="AB401:AC401"/>
    <mergeCell ref="B401:C401"/>
    <mergeCell ref="D401:E401"/>
    <mergeCell ref="F401:G401"/>
    <mergeCell ref="H401:I401"/>
    <mergeCell ref="J401:K401"/>
    <mergeCell ref="L401:M401"/>
    <mergeCell ref="N401:O401"/>
    <mergeCell ref="P401:Q401"/>
    <mergeCell ref="AL400:BB400"/>
    <mergeCell ref="AD400:AE400"/>
    <mergeCell ref="AF400:AG400"/>
    <mergeCell ref="AH400:AI400"/>
    <mergeCell ref="AJ400:AK400"/>
    <mergeCell ref="R400:S400"/>
    <mergeCell ref="T400:U400"/>
    <mergeCell ref="V400:W400"/>
    <mergeCell ref="X400:Y400"/>
    <mergeCell ref="Z400:AA400"/>
    <mergeCell ref="AB400:AC400"/>
    <mergeCell ref="B400:C400"/>
    <mergeCell ref="D400:E400"/>
    <mergeCell ref="F400:G400"/>
    <mergeCell ref="H400:I400"/>
    <mergeCell ref="J400:K400"/>
    <mergeCell ref="L400:M400"/>
    <mergeCell ref="N400:O400"/>
    <mergeCell ref="P400:Q400"/>
    <mergeCell ref="AL399:BB399"/>
    <mergeCell ref="AD399:AE399"/>
    <mergeCell ref="AF399:AG399"/>
    <mergeCell ref="AH399:AI399"/>
    <mergeCell ref="AJ399:AK399"/>
    <mergeCell ref="R399:S399"/>
    <mergeCell ref="T399:U399"/>
    <mergeCell ref="V399:W399"/>
    <mergeCell ref="X399:Y399"/>
    <mergeCell ref="Z399:AA399"/>
    <mergeCell ref="AB399:AC399"/>
    <mergeCell ref="B399:C399"/>
    <mergeCell ref="D399:E399"/>
    <mergeCell ref="F399:G399"/>
    <mergeCell ref="H399:I399"/>
    <mergeCell ref="J399:K399"/>
    <mergeCell ref="L399:M399"/>
    <mergeCell ref="N399:O399"/>
    <mergeCell ref="P399:Q399"/>
    <mergeCell ref="AL398:BB398"/>
    <mergeCell ref="AD398:AE398"/>
    <mergeCell ref="AF398:AG398"/>
    <mergeCell ref="AH398:AI398"/>
    <mergeCell ref="AJ398:AK398"/>
    <mergeCell ref="R398:S398"/>
    <mergeCell ref="T398:U398"/>
    <mergeCell ref="V398:W398"/>
    <mergeCell ref="X398:Y398"/>
    <mergeCell ref="Z398:AA398"/>
    <mergeCell ref="AB398:AC398"/>
    <mergeCell ref="B398:C398"/>
    <mergeCell ref="D398:E398"/>
    <mergeCell ref="F398:G398"/>
    <mergeCell ref="H398:I398"/>
    <mergeCell ref="J398:K398"/>
    <mergeCell ref="L398:M398"/>
    <mergeCell ref="N398:O398"/>
    <mergeCell ref="P398:Q398"/>
    <mergeCell ref="AL397:BB397"/>
    <mergeCell ref="AD397:AE397"/>
    <mergeCell ref="AF397:AG397"/>
    <mergeCell ref="AH397:AI397"/>
    <mergeCell ref="AJ397:AK397"/>
    <mergeCell ref="R397:S397"/>
    <mergeCell ref="T397:U397"/>
    <mergeCell ref="V397:W397"/>
    <mergeCell ref="X397:Y397"/>
    <mergeCell ref="Z397:AA397"/>
    <mergeCell ref="AB397:AC397"/>
    <mergeCell ref="B397:C397"/>
    <mergeCell ref="D397:E397"/>
    <mergeCell ref="F397:G397"/>
    <mergeCell ref="H397:I397"/>
    <mergeCell ref="J397:K397"/>
    <mergeCell ref="L397:M397"/>
    <mergeCell ref="N397:O397"/>
    <mergeCell ref="P397:Q397"/>
    <mergeCell ref="AL396:BB396"/>
    <mergeCell ref="AD396:AE396"/>
    <mergeCell ref="AF396:AG396"/>
    <mergeCell ref="AH396:AI396"/>
    <mergeCell ref="AJ396:AK396"/>
    <mergeCell ref="R396:S396"/>
    <mergeCell ref="T396:U396"/>
    <mergeCell ref="V396:W396"/>
    <mergeCell ref="X396:Y396"/>
    <mergeCell ref="Z396:AA396"/>
    <mergeCell ref="AB396:AC396"/>
    <mergeCell ref="B396:C396"/>
    <mergeCell ref="D396:E396"/>
    <mergeCell ref="F396:G396"/>
    <mergeCell ref="H396:I396"/>
    <mergeCell ref="J396:K396"/>
    <mergeCell ref="L396:M396"/>
    <mergeCell ref="N396:O396"/>
    <mergeCell ref="P396:Q396"/>
    <mergeCell ref="AL395:BB395"/>
    <mergeCell ref="AD395:AE395"/>
    <mergeCell ref="AF395:AG395"/>
    <mergeCell ref="AH395:AI395"/>
    <mergeCell ref="AJ395:AK395"/>
    <mergeCell ref="R395:S395"/>
    <mergeCell ref="T395:U395"/>
    <mergeCell ref="V395:W395"/>
    <mergeCell ref="X395:Y395"/>
    <mergeCell ref="Z395:AA395"/>
    <mergeCell ref="AB395:AC395"/>
    <mergeCell ref="B395:C395"/>
    <mergeCell ref="D395:E395"/>
    <mergeCell ref="F395:G395"/>
    <mergeCell ref="H395:I395"/>
    <mergeCell ref="J395:K395"/>
    <mergeCell ref="L395:M395"/>
    <mergeCell ref="N395:O395"/>
    <mergeCell ref="P395:Q395"/>
    <mergeCell ref="AL394:BB394"/>
    <mergeCell ref="AD394:AE394"/>
    <mergeCell ref="AF394:AG394"/>
    <mergeCell ref="AH394:AI394"/>
    <mergeCell ref="AJ394:AK394"/>
    <mergeCell ref="R394:S394"/>
    <mergeCell ref="T394:U394"/>
    <mergeCell ref="V394:W394"/>
    <mergeCell ref="X394:Y394"/>
    <mergeCell ref="Z394:AA394"/>
    <mergeCell ref="AB394:AC394"/>
    <mergeCell ref="B394:C394"/>
    <mergeCell ref="D394:E394"/>
    <mergeCell ref="F394:G394"/>
    <mergeCell ref="H394:I394"/>
    <mergeCell ref="J394:K394"/>
    <mergeCell ref="L394:M394"/>
    <mergeCell ref="N394:O394"/>
    <mergeCell ref="P394:Q394"/>
    <mergeCell ref="AL393:BB393"/>
    <mergeCell ref="AD393:AE393"/>
    <mergeCell ref="AF393:AG393"/>
    <mergeCell ref="AH393:AI393"/>
    <mergeCell ref="AJ393:AK393"/>
    <mergeCell ref="R393:S393"/>
    <mergeCell ref="T393:U393"/>
    <mergeCell ref="V393:W393"/>
    <mergeCell ref="X393:Y393"/>
    <mergeCell ref="Z393:AA393"/>
    <mergeCell ref="AB393:AC393"/>
    <mergeCell ref="B393:C393"/>
    <mergeCell ref="D393:E393"/>
    <mergeCell ref="F393:G393"/>
    <mergeCell ref="H393:I393"/>
    <mergeCell ref="J393:K393"/>
    <mergeCell ref="L393:M393"/>
    <mergeCell ref="N393:O393"/>
    <mergeCell ref="P393:Q393"/>
    <mergeCell ref="AL392:BB392"/>
    <mergeCell ref="AD392:AE392"/>
    <mergeCell ref="AF392:AG392"/>
    <mergeCell ref="AH392:AI392"/>
    <mergeCell ref="AJ392:AK392"/>
    <mergeCell ref="R392:S392"/>
    <mergeCell ref="T392:U392"/>
    <mergeCell ref="V392:W392"/>
    <mergeCell ref="X392:Y392"/>
    <mergeCell ref="Z392:AA392"/>
    <mergeCell ref="AB392:AC392"/>
    <mergeCell ref="B392:C392"/>
    <mergeCell ref="D392:E392"/>
    <mergeCell ref="F392:G392"/>
    <mergeCell ref="H392:I392"/>
    <mergeCell ref="J392:K392"/>
    <mergeCell ref="L392:M392"/>
    <mergeCell ref="N392:O392"/>
    <mergeCell ref="P392:Q392"/>
    <mergeCell ref="AL391:BB391"/>
    <mergeCell ref="AD391:AE391"/>
    <mergeCell ref="AF391:AG391"/>
    <mergeCell ref="AH391:AI391"/>
    <mergeCell ref="AJ391:AK391"/>
    <mergeCell ref="R391:S391"/>
    <mergeCell ref="T391:U391"/>
    <mergeCell ref="V391:W391"/>
    <mergeCell ref="X391:Y391"/>
    <mergeCell ref="Z391:AA391"/>
    <mergeCell ref="AB391:AC391"/>
    <mergeCell ref="B391:C391"/>
    <mergeCell ref="D391:E391"/>
    <mergeCell ref="F391:G391"/>
    <mergeCell ref="H391:I391"/>
    <mergeCell ref="J391:K391"/>
    <mergeCell ref="L391:M391"/>
    <mergeCell ref="N391:O391"/>
    <mergeCell ref="P391:Q391"/>
    <mergeCell ref="AL390:BB390"/>
    <mergeCell ref="AD390:AE390"/>
    <mergeCell ref="AF390:AG390"/>
    <mergeCell ref="AH390:AI390"/>
    <mergeCell ref="AJ390:AK390"/>
    <mergeCell ref="R390:S390"/>
    <mergeCell ref="T390:U390"/>
    <mergeCell ref="V390:W390"/>
    <mergeCell ref="X390:Y390"/>
    <mergeCell ref="Z390:AA390"/>
    <mergeCell ref="AB390:AC390"/>
    <mergeCell ref="B390:C390"/>
    <mergeCell ref="D390:E390"/>
    <mergeCell ref="F390:G390"/>
    <mergeCell ref="H390:I390"/>
    <mergeCell ref="J390:K390"/>
    <mergeCell ref="L390:M390"/>
    <mergeCell ref="N390:O390"/>
    <mergeCell ref="P390:Q390"/>
    <mergeCell ref="AL389:BB389"/>
    <mergeCell ref="AD389:AE389"/>
    <mergeCell ref="AF389:AG389"/>
    <mergeCell ref="AH389:AI389"/>
    <mergeCell ref="AJ389:AK389"/>
    <mergeCell ref="R389:S389"/>
    <mergeCell ref="T389:U389"/>
    <mergeCell ref="V389:W389"/>
    <mergeCell ref="X389:Y389"/>
    <mergeCell ref="Z389:AA389"/>
    <mergeCell ref="AB389:AC389"/>
    <mergeCell ref="B389:C389"/>
    <mergeCell ref="D389:E389"/>
    <mergeCell ref="F389:G389"/>
    <mergeCell ref="H389:I389"/>
    <mergeCell ref="J389:K389"/>
    <mergeCell ref="L389:M389"/>
    <mergeCell ref="N389:O389"/>
    <mergeCell ref="P389:Q389"/>
    <mergeCell ref="AL388:BB388"/>
    <mergeCell ref="AD388:AE388"/>
    <mergeCell ref="AF388:AG388"/>
    <mergeCell ref="AH388:AI388"/>
    <mergeCell ref="AJ388:AK388"/>
    <mergeCell ref="R388:S388"/>
    <mergeCell ref="T388:U388"/>
    <mergeCell ref="V388:W388"/>
    <mergeCell ref="X388:Y388"/>
    <mergeCell ref="Z388:AA388"/>
    <mergeCell ref="AB388:AC388"/>
    <mergeCell ref="B388:C388"/>
    <mergeCell ref="D388:E388"/>
    <mergeCell ref="F388:G388"/>
    <mergeCell ref="H388:I388"/>
    <mergeCell ref="J388:K388"/>
    <mergeCell ref="L388:M388"/>
    <mergeCell ref="N388:O388"/>
    <mergeCell ref="P388:Q388"/>
    <mergeCell ref="AL387:BB387"/>
    <mergeCell ref="AD387:AE387"/>
    <mergeCell ref="AF387:AG387"/>
    <mergeCell ref="AH387:AI387"/>
    <mergeCell ref="AJ387:AK387"/>
    <mergeCell ref="R387:S387"/>
    <mergeCell ref="T387:U387"/>
    <mergeCell ref="V387:W387"/>
    <mergeCell ref="X387:Y387"/>
    <mergeCell ref="Z387:AA387"/>
    <mergeCell ref="AB387:AC387"/>
    <mergeCell ref="B387:C387"/>
    <mergeCell ref="D387:E387"/>
    <mergeCell ref="F387:G387"/>
    <mergeCell ref="H387:I387"/>
    <mergeCell ref="J387:K387"/>
    <mergeCell ref="L387:M387"/>
    <mergeCell ref="N387:O387"/>
    <mergeCell ref="P387:Q387"/>
    <mergeCell ref="AL386:BB386"/>
    <mergeCell ref="Z386:AA386"/>
    <mergeCell ref="AB386:AC386"/>
    <mergeCell ref="AD386:AE386"/>
    <mergeCell ref="AF386:AG386"/>
    <mergeCell ref="AH386:AI386"/>
    <mergeCell ref="AJ386:AK386"/>
    <mergeCell ref="N386:O386"/>
    <mergeCell ref="P386:Q386"/>
    <mergeCell ref="R386:S386"/>
    <mergeCell ref="T386:U386"/>
    <mergeCell ref="V386:W386"/>
    <mergeCell ref="X386:Y386"/>
    <mergeCell ref="B386:C386"/>
    <mergeCell ref="D386:E386"/>
    <mergeCell ref="F386:G386"/>
    <mergeCell ref="H386:I386"/>
    <mergeCell ref="J386:K386"/>
    <mergeCell ref="L386:M386"/>
    <mergeCell ref="AL385:BB385"/>
    <mergeCell ref="AD385:AE385"/>
    <mergeCell ref="AF385:AG385"/>
    <mergeCell ref="AH385:AI385"/>
    <mergeCell ref="AJ385:AK385"/>
    <mergeCell ref="R385:S385"/>
    <mergeCell ref="T385:U385"/>
    <mergeCell ref="V385:W385"/>
    <mergeCell ref="X385:Y385"/>
    <mergeCell ref="Z385:AA385"/>
    <mergeCell ref="AB385:AC385"/>
    <mergeCell ref="B385:C385"/>
    <mergeCell ref="D385:E385"/>
    <mergeCell ref="F385:G385"/>
    <mergeCell ref="H385:I385"/>
    <mergeCell ref="J385:K385"/>
    <mergeCell ref="L385:M385"/>
    <mergeCell ref="N385:O385"/>
    <mergeCell ref="P385:Q385"/>
    <mergeCell ref="AL384:BB384"/>
    <mergeCell ref="Z384:AA384"/>
    <mergeCell ref="AB384:AC384"/>
    <mergeCell ref="AD384:AE384"/>
    <mergeCell ref="AF384:AG384"/>
    <mergeCell ref="AH384:AI384"/>
    <mergeCell ref="AJ384:AK384"/>
    <mergeCell ref="N384:O384"/>
    <mergeCell ref="P384:Q384"/>
    <mergeCell ref="R384:S384"/>
    <mergeCell ref="T384:U384"/>
    <mergeCell ref="V384:W384"/>
    <mergeCell ref="X384:Y384"/>
    <mergeCell ref="B384:C384"/>
    <mergeCell ref="D384:E384"/>
    <mergeCell ref="F384:G384"/>
    <mergeCell ref="H384:I384"/>
    <mergeCell ref="J384:K384"/>
    <mergeCell ref="L384:M384"/>
    <mergeCell ref="AL383:BB383"/>
    <mergeCell ref="AD383:AE383"/>
    <mergeCell ref="AF383:AG383"/>
    <mergeCell ref="AH383:AI383"/>
    <mergeCell ref="AJ383:AK383"/>
    <mergeCell ref="R383:S383"/>
    <mergeCell ref="T383:U383"/>
    <mergeCell ref="V383:W383"/>
    <mergeCell ref="X383:Y383"/>
    <mergeCell ref="Z383:AA383"/>
    <mergeCell ref="AB383:AC383"/>
    <mergeCell ref="B383:C383"/>
    <mergeCell ref="D383:E383"/>
    <mergeCell ref="F383:G383"/>
    <mergeCell ref="H383:I383"/>
    <mergeCell ref="J383:K383"/>
    <mergeCell ref="L383:M383"/>
    <mergeCell ref="N383:O383"/>
    <mergeCell ref="P383:Q383"/>
    <mergeCell ref="AL382:BB382"/>
    <mergeCell ref="Z382:AA382"/>
    <mergeCell ref="AB382:AC382"/>
    <mergeCell ref="AD382:AE382"/>
    <mergeCell ref="AF382:AG382"/>
    <mergeCell ref="AH382:AI382"/>
    <mergeCell ref="AJ382:AK382"/>
    <mergeCell ref="N382:O382"/>
    <mergeCell ref="P382:Q382"/>
    <mergeCell ref="R382:S382"/>
    <mergeCell ref="T382:U382"/>
    <mergeCell ref="V382:W382"/>
    <mergeCell ref="X382:Y382"/>
    <mergeCell ref="B382:C382"/>
    <mergeCell ref="D382:E382"/>
    <mergeCell ref="F382:G382"/>
    <mergeCell ref="H382:I382"/>
    <mergeCell ref="J382:K382"/>
    <mergeCell ref="L382:M382"/>
    <mergeCell ref="AL381:BB381"/>
    <mergeCell ref="AD381:AE381"/>
    <mergeCell ref="AF381:AG381"/>
    <mergeCell ref="AH381:AI381"/>
    <mergeCell ref="AJ381:AK381"/>
    <mergeCell ref="R381:S381"/>
    <mergeCell ref="T381:U381"/>
    <mergeCell ref="V381:W381"/>
    <mergeCell ref="X381:Y381"/>
    <mergeCell ref="Z381:AA381"/>
    <mergeCell ref="AB381:AC381"/>
    <mergeCell ref="B381:C381"/>
    <mergeCell ref="D381:E381"/>
    <mergeCell ref="F381:G381"/>
    <mergeCell ref="H381:I381"/>
    <mergeCell ref="J381:K381"/>
    <mergeCell ref="L381:M381"/>
    <mergeCell ref="N381:O381"/>
    <mergeCell ref="P381:Q381"/>
    <mergeCell ref="AL380:BB380"/>
    <mergeCell ref="Z380:AA380"/>
    <mergeCell ref="AB380:AC380"/>
    <mergeCell ref="AD380:AE380"/>
    <mergeCell ref="AF380:AG380"/>
    <mergeCell ref="AH380:AI380"/>
    <mergeCell ref="AJ380:AK380"/>
    <mergeCell ref="N380:O380"/>
    <mergeCell ref="P380:Q380"/>
    <mergeCell ref="R380:S380"/>
    <mergeCell ref="T380:U380"/>
    <mergeCell ref="V380:W380"/>
    <mergeCell ref="X380:Y380"/>
    <mergeCell ref="B380:C380"/>
    <mergeCell ref="D380:E380"/>
    <mergeCell ref="F380:G380"/>
    <mergeCell ref="H380:I380"/>
    <mergeCell ref="J380:K380"/>
    <mergeCell ref="L380:M380"/>
    <mergeCell ref="AL379:BB379"/>
    <mergeCell ref="AD379:AE379"/>
    <mergeCell ref="AF379:AG379"/>
    <mergeCell ref="AH379:AI379"/>
    <mergeCell ref="AJ379:AK379"/>
    <mergeCell ref="R379:S379"/>
    <mergeCell ref="T379:U379"/>
    <mergeCell ref="V379:W379"/>
    <mergeCell ref="X379:Y379"/>
    <mergeCell ref="Z379:AA379"/>
    <mergeCell ref="AB379:AC379"/>
    <mergeCell ref="B379:C379"/>
    <mergeCell ref="D379:E379"/>
    <mergeCell ref="F379:G379"/>
    <mergeCell ref="H379:I379"/>
    <mergeCell ref="J379:K379"/>
    <mergeCell ref="L379:M379"/>
    <mergeCell ref="N379:O379"/>
    <mergeCell ref="P379:Q379"/>
    <mergeCell ref="AL378:BB378"/>
    <mergeCell ref="Z378:AA378"/>
    <mergeCell ref="AB378:AC378"/>
    <mergeCell ref="AD378:AE378"/>
    <mergeCell ref="AF378:AG378"/>
    <mergeCell ref="AH378:AI378"/>
    <mergeCell ref="AJ378:AK378"/>
    <mergeCell ref="N378:O378"/>
    <mergeCell ref="P378:Q378"/>
    <mergeCell ref="R378:S378"/>
    <mergeCell ref="T378:U378"/>
    <mergeCell ref="V378:W378"/>
    <mergeCell ref="X378:Y378"/>
    <mergeCell ref="B378:C378"/>
    <mergeCell ref="D378:E378"/>
    <mergeCell ref="F378:G378"/>
    <mergeCell ref="H378:I378"/>
    <mergeCell ref="J378:K378"/>
    <mergeCell ref="L378:M378"/>
    <mergeCell ref="AL377:BB377"/>
    <mergeCell ref="Z377:AA377"/>
    <mergeCell ref="AB377:AC377"/>
    <mergeCell ref="AD377:AE377"/>
    <mergeCell ref="AF377:AG377"/>
    <mergeCell ref="AH377:AI377"/>
    <mergeCell ref="AJ377:AK377"/>
    <mergeCell ref="N377:O377"/>
    <mergeCell ref="P377:Q377"/>
    <mergeCell ref="R377:S377"/>
    <mergeCell ref="T377:U377"/>
    <mergeCell ref="V377:W377"/>
    <mergeCell ref="X377:Y377"/>
    <mergeCell ref="B377:C377"/>
    <mergeCell ref="D377:E377"/>
    <mergeCell ref="F377:G377"/>
    <mergeCell ref="H377:I377"/>
    <mergeCell ref="J377:K377"/>
    <mergeCell ref="L377:M377"/>
    <mergeCell ref="AL376:BB376"/>
    <mergeCell ref="AD376:AE376"/>
    <mergeCell ref="AF376:AG376"/>
    <mergeCell ref="AH376:AI376"/>
    <mergeCell ref="AJ376:AK376"/>
    <mergeCell ref="R376:S376"/>
    <mergeCell ref="T376:U376"/>
    <mergeCell ref="V376:W376"/>
    <mergeCell ref="X376:Y376"/>
    <mergeCell ref="Z376:AA376"/>
    <mergeCell ref="AB376:AC376"/>
    <mergeCell ref="B376:C376"/>
    <mergeCell ref="D376:E376"/>
    <mergeCell ref="F376:G376"/>
    <mergeCell ref="H376:I376"/>
    <mergeCell ref="J376:K376"/>
    <mergeCell ref="L376:M376"/>
    <mergeCell ref="N376:O376"/>
    <mergeCell ref="P376:Q376"/>
    <mergeCell ref="AL375:BB375"/>
    <mergeCell ref="AD375:AE375"/>
    <mergeCell ref="AF375:AG375"/>
    <mergeCell ref="AH375:AI375"/>
    <mergeCell ref="AJ375:AK375"/>
    <mergeCell ref="R375:S375"/>
    <mergeCell ref="T375:U375"/>
    <mergeCell ref="V375:W375"/>
    <mergeCell ref="X375:Y375"/>
    <mergeCell ref="Z375:AA375"/>
    <mergeCell ref="AB375:AC375"/>
    <mergeCell ref="B375:C375"/>
    <mergeCell ref="D375:E375"/>
    <mergeCell ref="F375:G375"/>
    <mergeCell ref="H375:I375"/>
    <mergeCell ref="J375:K375"/>
    <mergeCell ref="L375:M375"/>
    <mergeCell ref="N375:O375"/>
    <mergeCell ref="P375:Q375"/>
    <mergeCell ref="AL374:BB374"/>
    <mergeCell ref="AD374:AE374"/>
    <mergeCell ref="AF374:AG374"/>
    <mergeCell ref="AH374:AI374"/>
    <mergeCell ref="AJ374:AK374"/>
    <mergeCell ref="R374:S374"/>
    <mergeCell ref="T374:U374"/>
    <mergeCell ref="V374:W374"/>
    <mergeCell ref="X374:Y374"/>
    <mergeCell ref="Z374:AA374"/>
    <mergeCell ref="AB374:AC374"/>
    <mergeCell ref="B374:C374"/>
    <mergeCell ref="D374:E374"/>
    <mergeCell ref="F374:G374"/>
    <mergeCell ref="H374:I374"/>
    <mergeCell ref="J374:K374"/>
    <mergeCell ref="L374:M374"/>
    <mergeCell ref="N374:O374"/>
    <mergeCell ref="P374:Q374"/>
    <mergeCell ref="AL373:BB373"/>
    <mergeCell ref="AD373:AE373"/>
    <mergeCell ref="AF373:AG373"/>
    <mergeCell ref="AH373:AI373"/>
    <mergeCell ref="AJ373:AK373"/>
    <mergeCell ref="R373:S373"/>
    <mergeCell ref="T373:U373"/>
    <mergeCell ref="V373:W373"/>
    <mergeCell ref="X373:Y373"/>
    <mergeCell ref="Z373:AA373"/>
    <mergeCell ref="AB373:AC373"/>
    <mergeCell ref="B373:C373"/>
    <mergeCell ref="D373:E373"/>
    <mergeCell ref="F373:G373"/>
    <mergeCell ref="H373:I373"/>
    <mergeCell ref="J373:K373"/>
    <mergeCell ref="L373:M373"/>
    <mergeCell ref="N373:O373"/>
    <mergeCell ref="P373:Q373"/>
    <mergeCell ref="AL372:BB372"/>
    <mergeCell ref="AD372:AE372"/>
    <mergeCell ref="AF372:AG372"/>
    <mergeCell ref="AH372:AI372"/>
    <mergeCell ref="AJ372:AK372"/>
    <mergeCell ref="R372:S372"/>
    <mergeCell ref="T372:U372"/>
    <mergeCell ref="V372:W372"/>
    <mergeCell ref="X372:Y372"/>
    <mergeCell ref="Z372:AA372"/>
    <mergeCell ref="AB372:AC372"/>
    <mergeCell ref="B372:C372"/>
    <mergeCell ref="D372:E372"/>
    <mergeCell ref="F372:G372"/>
    <mergeCell ref="H372:I372"/>
    <mergeCell ref="J372:K372"/>
    <mergeCell ref="L372:M372"/>
    <mergeCell ref="N372:O372"/>
    <mergeCell ref="P372:Q372"/>
    <mergeCell ref="AL371:BB371"/>
    <mergeCell ref="AD371:AE371"/>
    <mergeCell ref="AF371:AG371"/>
    <mergeCell ref="AH371:AI371"/>
    <mergeCell ref="AJ371:AK371"/>
    <mergeCell ref="R371:S371"/>
    <mergeCell ref="T371:U371"/>
    <mergeCell ref="V371:W371"/>
    <mergeCell ref="X371:Y371"/>
    <mergeCell ref="Z371:AA371"/>
    <mergeCell ref="AB371:AC371"/>
    <mergeCell ref="B371:C371"/>
    <mergeCell ref="D371:E371"/>
    <mergeCell ref="F371:G371"/>
    <mergeCell ref="H371:I371"/>
    <mergeCell ref="J371:K371"/>
    <mergeCell ref="L371:M371"/>
    <mergeCell ref="N371:O371"/>
    <mergeCell ref="P371:Q371"/>
    <mergeCell ref="AL370:BB370"/>
    <mergeCell ref="AD370:AE370"/>
    <mergeCell ref="AF370:AG370"/>
    <mergeCell ref="AH370:AI370"/>
    <mergeCell ref="AJ370:AK370"/>
    <mergeCell ref="R370:S370"/>
    <mergeCell ref="T370:U370"/>
    <mergeCell ref="V370:W370"/>
    <mergeCell ref="X370:Y370"/>
    <mergeCell ref="Z370:AA370"/>
    <mergeCell ref="AB370:AC370"/>
    <mergeCell ref="B370:C370"/>
    <mergeCell ref="D370:E370"/>
    <mergeCell ref="F370:G370"/>
    <mergeCell ref="H370:I370"/>
    <mergeCell ref="J370:K370"/>
    <mergeCell ref="L370:M370"/>
    <mergeCell ref="N370:O370"/>
    <mergeCell ref="P370:Q370"/>
    <mergeCell ref="AL369:BB369"/>
    <mergeCell ref="AD369:AE369"/>
    <mergeCell ref="AF369:AG369"/>
    <mergeCell ref="AH369:AI369"/>
    <mergeCell ref="AJ369:AK369"/>
    <mergeCell ref="R369:S369"/>
    <mergeCell ref="T369:U369"/>
    <mergeCell ref="V369:W369"/>
    <mergeCell ref="X369:Y369"/>
    <mergeCell ref="Z369:AA369"/>
    <mergeCell ref="AB369:AC369"/>
    <mergeCell ref="B369:C369"/>
    <mergeCell ref="D369:E369"/>
    <mergeCell ref="F369:G369"/>
    <mergeCell ref="H369:I369"/>
    <mergeCell ref="J369:K369"/>
    <mergeCell ref="L369:M369"/>
    <mergeCell ref="N369:O369"/>
    <mergeCell ref="P369:Q369"/>
    <mergeCell ref="AL368:BB368"/>
    <mergeCell ref="AD368:AE368"/>
    <mergeCell ref="AF368:AG368"/>
    <mergeCell ref="AH368:AI368"/>
    <mergeCell ref="AJ368:AK368"/>
    <mergeCell ref="R368:S368"/>
    <mergeCell ref="T368:U368"/>
    <mergeCell ref="V368:W368"/>
    <mergeCell ref="X368:Y368"/>
    <mergeCell ref="Z368:AA368"/>
    <mergeCell ref="AB368:AC368"/>
    <mergeCell ref="B368:C368"/>
    <mergeCell ref="D368:E368"/>
    <mergeCell ref="F368:G368"/>
    <mergeCell ref="H368:I368"/>
    <mergeCell ref="J368:K368"/>
    <mergeCell ref="L368:M368"/>
    <mergeCell ref="N368:O368"/>
    <mergeCell ref="P368:Q368"/>
    <mergeCell ref="AL367:BB367"/>
    <mergeCell ref="AD367:AE367"/>
    <mergeCell ref="AF367:AG367"/>
    <mergeCell ref="AH367:AI367"/>
    <mergeCell ref="AJ367:AK367"/>
    <mergeCell ref="R367:S367"/>
    <mergeCell ref="T367:U367"/>
    <mergeCell ref="V367:W367"/>
    <mergeCell ref="X367:Y367"/>
    <mergeCell ref="Z367:AA367"/>
    <mergeCell ref="AB367:AC367"/>
    <mergeCell ref="B367:C367"/>
    <mergeCell ref="D367:E367"/>
    <mergeCell ref="F367:G367"/>
    <mergeCell ref="H367:I367"/>
    <mergeCell ref="J367:K367"/>
    <mergeCell ref="L367:M367"/>
    <mergeCell ref="N367:O367"/>
    <mergeCell ref="P367:Q367"/>
    <mergeCell ref="AL366:BB366"/>
    <mergeCell ref="AD366:AE366"/>
    <mergeCell ref="AF366:AG366"/>
    <mergeCell ref="AH366:AI366"/>
    <mergeCell ref="AJ366:AK366"/>
    <mergeCell ref="R366:S366"/>
    <mergeCell ref="T366:U366"/>
    <mergeCell ref="V366:W366"/>
    <mergeCell ref="X366:Y366"/>
    <mergeCell ref="Z366:AA366"/>
    <mergeCell ref="AB366:AC366"/>
    <mergeCell ref="B366:C366"/>
    <mergeCell ref="D366:E366"/>
    <mergeCell ref="F366:G366"/>
    <mergeCell ref="H366:I366"/>
    <mergeCell ref="J366:K366"/>
    <mergeCell ref="L366:M366"/>
    <mergeCell ref="N366:O366"/>
    <mergeCell ref="P366:Q366"/>
    <mergeCell ref="AL365:BB365"/>
    <mergeCell ref="AD365:AE365"/>
    <mergeCell ref="AF365:AG365"/>
    <mergeCell ref="AH365:AI365"/>
    <mergeCell ref="AJ365:AK365"/>
    <mergeCell ref="R365:S365"/>
    <mergeCell ref="T365:U365"/>
    <mergeCell ref="V365:W365"/>
    <mergeCell ref="X365:Y365"/>
    <mergeCell ref="Z365:AA365"/>
    <mergeCell ref="AB365:AC365"/>
    <mergeCell ref="B365:C365"/>
    <mergeCell ref="D365:E365"/>
    <mergeCell ref="F365:G365"/>
    <mergeCell ref="H365:I365"/>
    <mergeCell ref="J365:K365"/>
    <mergeCell ref="L365:M365"/>
    <mergeCell ref="N365:O365"/>
    <mergeCell ref="P365:Q365"/>
    <mergeCell ref="AL364:BB364"/>
    <mergeCell ref="AD364:AE364"/>
    <mergeCell ref="AF364:AG364"/>
    <mergeCell ref="AH364:AI364"/>
    <mergeCell ref="AJ364:AK364"/>
    <mergeCell ref="R364:S364"/>
    <mergeCell ref="T364:U364"/>
    <mergeCell ref="V364:W364"/>
    <mergeCell ref="X364:Y364"/>
    <mergeCell ref="Z364:AA364"/>
    <mergeCell ref="AB364:AC364"/>
    <mergeCell ref="B364:C364"/>
    <mergeCell ref="D364:E364"/>
    <mergeCell ref="F364:G364"/>
    <mergeCell ref="H364:I364"/>
    <mergeCell ref="J364:K364"/>
    <mergeCell ref="L364:M364"/>
    <mergeCell ref="N364:O364"/>
    <mergeCell ref="P364:Q364"/>
    <mergeCell ref="AL363:BB363"/>
    <mergeCell ref="AD363:AE363"/>
    <mergeCell ref="AF363:AG363"/>
    <mergeCell ref="AH363:AI363"/>
    <mergeCell ref="AJ363:AK363"/>
    <mergeCell ref="R363:S363"/>
    <mergeCell ref="T363:U363"/>
    <mergeCell ref="V363:W363"/>
    <mergeCell ref="X363:Y363"/>
    <mergeCell ref="Z363:AA363"/>
    <mergeCell ref="AB363:AC363"/>
    <mergeCell ref="B363:C363"/>
    <mergeCell ref="D363:E363"/>
    <mergeCell ref="F363:G363"/>
    <mergeCell ref="H363:I363"/>
    <mergeCell ref="J363:K363"/>
    <mergeCell ref="L363:M363"/>
    <mergeCell ref="N363:O363"/>
    <mergeCell ref="P363:Q363"/>
    <mergeCell ref="AL362:BB362"/>
    <mergeCell ref="AD362:AE362"/>
    <mergeCell ref="AF362:AG362"/>
    <mergeCell ref="AH362:AI362"/>
    <mergeCell ref="AJ362:AK362"/>
    <mergeCell ref="R362:S362"/>
    <mergeCell ref="T362:U362"/>
    <mergeCell ref="V362:W362"/>
    <mergeCell ref="X362:Y362"/>
    <mergeCell ref="Z362:AA362"/>
    <mergeCell ref="AB362:AC362"/>
    <mergeCell ref="B362:C362"/>
    <mergeCell ref="D362:E362"/>
    <mergeCell ref="F362:G362"/>
    <mergeCell ref="H362:I362"/>
    <mergeCell ref="J362:K362"/>
    <mergeCell ref="L362:M362"/>
    <mergeCell ref="N362:O362"/>
    <mergeCell ref="P362:Q362"/>
    <mergeCell ref="AL361:BB361"/>
    <mergeCell ref="AD361:AE361"/>
    <mergeCell ref="AF361:AG361"/>
    <mergeCell ref="AH361:AI361"/>
    <mergeCell ref="AJ361:AK361"/>
    <mergeCell ref="R361:S361"/>
    <mergeCell ref="T361:U361"/>
    <mergeCell ref="V361:W361"/>
    <mergeCell ref="X361:Y361"/>
    <mergeCell ref="Z361:AA361"/>
    <mergeCell ref="AB361:AC361"/>
    <mergeCell ref="B361:C361"/>
    <mergeCell ref="D361:E361"/>
    <mergeCell ref="F361:G361"/>
    <mergeCell ref="H361:I361"/>
    <mergeCell ref="J361:K361"/>
    <mergeCell ref="L361:M361"/>
    <mergeCell ref="N361:O361"/>
    <mergeCell ref="P361:Q361"/>
    <mergeCell ref="AL360:BB360"/>
    <mergeCell ref="AD360:AE360"/>
    <mergeCell ref="AF360:AG360"/>
    <mergeCell ref="AH360:AI360"/>
    <mergeCell ref="AJ360:AK360"/>
    <mergeCell ref="R360:S360"/>
    <mergeCell ref="T360:U360"/>
    <mergeCell ref="V360:W360"/>
    <mergeCell ref="X360:Y360"/>
    <mergeCell ref="Z360:AA360"/>
    <mergeCell ref="AB360:AC360"/>
    <mergeCell ref="B360:C360"/>
    <mergeCell ref="D360:E360"/>
    <mergeCell ref="F360:G360"/>
    <mergeCell ref="H360:I360"/>
    <mergeCell ref="J360:K360"/>
    <mergeCell ref="L360:M360"/>
    <mergeCell ref="N360:O360"/>
    <mergeCell ref="P360:Q360"/>
    <mergeCell ref="AL359:BB359"/>
    <mergeCell ref="AD359:AE359"/>
    <mergeCell ref="AF359:AG359"/>
    <mergeCell ref="AH359:AI359"/>
    <mergeCell ref="AJ359:AK359"/>
    <mergeCell ref="R359:S359"/>
    <mergeCell ref="T359:U359"/>
    <mergeCell ref="V359:W359"/>
    <mergeCell ref="X359:Y359"/>
    <mergeCell ref="Z359:AA359"/>
    <mergeCell ref="AB359:AC359"/>
    <mergeCell ref="B359:C359"/>
    <mergeCell ref="D359:E359"/>
    <mergeCell ref="F359:G359"/>
    <mergeCell ref="H359:I359"/>
    <mergeCell ref="J359:K359"/>
    <mergeCell ref="L359:M359"/>
    <mergeCell ref="N359:O359"/>
    <mergeCell ref="P359:Q359"/>
    <mergeCell ref="AL358:BB358"/>
    <mergeCell ref="AD358:AE358"/>
    <mergeCell ref="AF358:AG358"/>
    <mergeCell ref="AH358:AI358"/>
    <mergeCell ref="AJ358:AK358"/>
    <mergeCell ref="R358:S358"/>
    <mergeCell ref="T358:U358"/>
    <mergeCell ref="V358:W358"/>
    <mergeCell ref="X358:Y358"/>
    <mergeCell ref="Z358:AA358"/>
    <mergeCell ref="AB358:AC358"/>
    <mergeCell ref="B358:C358"/>
    <mergeCell ref="D358:E358"/>
    <mergeCell ref="F358:G358"/>
    <mergeCell ref="H358:I358"/>
    <mergeCell ref="J358:K358"/>
    <mergeCell ref="L358:M358"/>
    <mergeCell ref="N358:O358"/>
    <mergeCell ref="P358:Q358"/>
    <mergeCell ref="AL357:BB357"/>
    <mergeCell ref="AD357:AE357"/>
    <mergeCell ref="AF357:AG357"/>
    <mergeCell ref="AH357:AI357"/>
    <mergeCell ref="AJ357:AK357"/>
    <mergeCell ref="R357:S357"/>
    <mergeCell ref="T357:U357"/>
    <mergeCell ref="V357:W357"/>
    <mergeCell ref="X357:Y357"/>
    <mergeCell ref="Z357:AA357"/>
    <mergeCell ref="AB357:AC357"/>
    <mergeCell ref="B357:C357"/>
    <mergeCell ref="D357:E357"/>
    <mergeCell ref="F357:G357"/>
    <mergeCell ref="H357:I357"/>
    <mergeCell ref="J357:K357"/>
    <mergeCell ref="L357:M357"/>
    <mergeCell ref="N357:O357"/>
    <mergeCell ref="P357:Q357"/>
    <mergeCell ref="AL356:BB356"/>
    <mergeCell ref="AD356:AE356"/>
    <mergeCell ref="AF356:AG356"/>
    <mergeCell ref="AH356:AI356"/>
    <mergeCell ref="AJ356:AK356"/>
    <mergeCell ref="R356:S356"/>
    <mergeCell ref="T356:U356"/>
    <mergeCell ref="V356:W356"/>
    <mergeCell ref="X356:Y356"/>
    <mergeCell ref="Z356:AA356"/>
    <mergeCell ref="AB356:AC356"/>
    <mergeCell ref="B356:C356"/>
    <mergeCell ref="D356:E356"/>
    <mergeCell ref="F356:G356"/>
    <mergeCell ref="H356:I356"/>
    <mergeCell ref="J356:K356"/>
    <mergeCell ref="L356:M356"/>
    <mergeCell ref="N356:O356"/>
    <mergeCell ref="P356:Q356"/>
    <mergeCell ref="AL355:BB355"/>
    <mergeCell ref="AD355:AE355"/>
    <mergeCell ref="AF355:AG355"/>
    <mergeCell ref="AH355:AI355"/>
    <mergeCell ref="AJ355:AK355"/>
    <mergeCell ref="R355:S355"/>
    <mergeCell ref="T355:U355"/>
    <mergeCell ref="V355:W355"/>
    <mergeCell ref="X355:Y355"/>
    <mergeCell ref="Z355:AA355"/>
    <mergeCell ref="AB355:AC355"/>
    <mergeCell ref="B355:C355"/>
    <mergeCell ref="D355:E355"/>
    <mergeCell ref="F355:G355"/>
    <mergeCell ref="H355:I355"/>
    <mergeCell ref="J355:K355"/>
    <mergeCell ref="L355:M355"/>
    <mergeCell ref="N355:O355"/>
    <mergeCell ref="P355:Q355"/>
    <mergeCell ref="AL354:BB354"/>
    <mergeCell ref="AD354:AE354"/>
    <mergeCell ref="AF354:AG354"/>
    <mergeCell ref="AH354:AI354"/>
    <mergeCell ref="AJ354:AK354"/>
    <mergeCell ref="R354:S354"/>
    <mergeCell ref="T354:U354"/>
    <mergeCell ref="V354:W354"/>
    <mergeCell ref="X354:Y354"/>
    <mergeCell ref="Z354:AA354"/>
    <mergeCell ref="AB354:AC354"/>
    <mergeCell ref="B354:C354"/>
    <mergeCell ref="D354:E354"/>
    <mergeCell ref="F354:G354"/>
    <mergeCell ref="H354:I354"/>
    <mergeCell ref="J354:K354"/>
    <mergeCell ref="L354:M354"/>
    <mergeCell ref="N354:O354"/>
    <mergeCell ref="P354:Q354"/>
    <mergeCell ref="AL353:BB353"/>
    <mergeCell ref="AD353:AE353"/>
    <mergeCell ref="AF353:AG353"/>
    <mergeCell ref="AH353:AI353"/>
    <mergeCell ref="AJ353:AK353"/>
    <mergeCell ref="R353:S353"/>
    <mergeCell ref="T353:U353"/>
    <mergeCell ref="V353:W353"/>
    <mergeCell ref="X353:Y353"/>
    <mergeCell ref="Z353:AA353"/>
    <mergeCell ref="AB353:AC353"/>
    <mergeCell ref="B353:C353"/>
    <mergeCell ref="D353:E353"/>
    <mergeCell ref="F353:G353"/>
    <mergeCell ref="H353:I353"/>
    <mergeCell ref="J353:K353"/>
    <mergeCell ref="L353:M353"/>
    <mergeCell ref="N353:O353"/>
    <mergeCell ref="P353:Q353"/>
    <mergeCell ref="AL352:BB352"/>
    <mergeCell ref="AD352:AE352"/>
    <mergeCell ref="AF352:AG352"/>
    <mergeCell ref="AH352:AI352"/>
    <mergeCell ref="AJ352:AK352"/>
    <mergeCell ref="R352:S352"/>
    <mergeCell ref="T352:U352"/>
    <mergeCell ref="V352:W352"/>
    <mergeCell ref="X352:Y352"/>
    <mergeCell ref="Z352:AA352"/>
    <mergeCell ref="AB352:AC352"/>
    <mergeCell ref="B352:C352"/>
    <mergeCell ref="D352:E352"/>
    <mergeCell ref="F352:G352"/>
    <mergeCell ref="H352:I352"/>
    <mergeCell ref="J352:K352"/>
    <mergeCell ref="L352:M352"/>
    <mergeCell ref="N352:O352"/>
    <mergeCell ref="P352:Q352"/>
    <mergeCell ref="AL351:BB351"/>
    <mergeCell ref="AD351:AE351"/>
    <mergeCell ref="AF351:AG351"/>
    <mergeCell ref="AH351:AI351"/>
    <mergeCell ref="AJ351:AK351"/>
    <mergeCell ref="R351:S351"/>
    <mergeCell ref="T351:U351"/>
    <mergeCell ref="V351:W351"/>
    <mergeCell ref="X351:Y351"/>
    <mergeCell ref="Z351:AA351"/>
    <mergeCell ref="AB351:AC351"/>
    <mergeCell ref="B351:C351"/>
    <mergeCell ref="D351:E351"/>
    <mergeCell ref="F351:G351"/>
    <mergeCell ref="H351:I351"/>
    <mergeCell ref="J351:K351"/>
    <mergeCell ref="L351:M351"/>
    <mergeCell ref="N351:O351"/>
    <mergeCell ref="P351:Q351"/>
    <mergeCell ref="AL350:BB350"/>
    <mergeCell ref="AD350:AE350"/>
    <mergeCell ref="AF350:AG350"/>
    <mergeCell ref="AH350:AI350"/>
    <mergeCell ref="AJ350:AK350"/>
    <mergeCell ref="R350:S350"/>
    <mergeCell ref="T350:U350"/>
    <mergeCell ref="V350:W350"/>
    <mergeCell ref="X350:Y350"/>
    <mergeCell ref="Z350:AA350"/>
    <mergeCell ref="AB350:AC350"/>
    <mergeCell ref="B350:C350"/>
    <mergeCell ref="D350:E350"/>
    <mergeCell ref="F350:G350"/>
    <mergeCell ref="H350:I350"/>
    <mergeCell ref="J350:K350"/>
    <mergeCell ref="L350:M350"/>
    <mergeCell ref="N350:O350"/>
    <mergeCell ref="P350:Q350"/>
    <mergeCell ref="AL349:BB349"/>
    <mergeCell ref="AD349:AE349"/>
    <mergeCell ref="AF349:AG349"/>
    <mergeCell ref="AH349:AI349"/>
    <mergeCell ref="AJ349:AK349"/>
    <mergeCell ref="R349:S349"/>
    <mergeCell ref="T349:U349"/>
    <mergeCell ref="V349:W349"/>
    <mergeCell ref="X349:Y349"/>
    <mergeCell ref="Z349:AA349"/>
    <mergeCell ref="AB349:AC349"/>
    <mergeCell ref="B349:C349"/>
    <mergeCell ref="D349:E349"/>
    <mergeCell ref="F349:G349"/>
    <mergeCell ref="H349:I349"/>
    <mergeCell ref="J349:K349"/>
    <mergeCell ref="L349:M349"/>
    <mergeCell ref="N349:O349"/>
    <mergeCell ref="P349:Q349"/>
    <mergeCell ref="AL348:BB348"/>
    <mergeCell ref="AD348:AE348"/>
    <mergeCell ref="AF348:AG348"/>
    <mergeCell ref="AH348:AI348"/>
    <mergeCell ref="AJ348:AK348"/>
    <mergeCell ref="R348:S348"/>
    <mergeCell ref="T348:U348"/>
    <mergeCell ref="V348:W348"/>
    <mergeCell ref="X348:Y348"/>
    <mergeCell ref="Z348:AA348"/>
    <mergeCell ref="AB348:AC348"/>
    <mergeCell ref="B348:C348"/>
    <mergeCell ref="D348:E348"/>
    <mergeCell ref="F348:G348"/>
    <mergeCell ref="H348:I348"/>
    <mergeCell ref="J348:K348"/>
    <mergeCell ref="L348:M348"/>
    <mergeCell ref="N348:O348"/>
    <mergeCell ref="P348:Q348"/>
    <mergeCell ref="AL347:BB347"/>
    <mergeCell ref="AD347:AE347"/>
    <mergeCell ref="AF347:AG347"/>
    <mergeCell ref="AH347:AI347"/>
    <mergeCell ref="AJ347:AK347"/>
    <mergeCell ref="R347:S347"/>
    <mergeCell ref="T347:U347"/>
    <mergeCell ref="V347:W347"/>
    <mergeCell ref="X347:Y347"/>
    <mergeCell ref="Z347:AA347"/>
    <mergeCell ref="AB347:AC347"/>
    <mergeCell ref="B347:C347"/>
    <mergeCell ref="D347:E347"/>
    <mergeCell ref="F347:G347"/>
    <mergeCell ref="H347:I347"/>
    <mergeCell ref="J347:K347"/>
    <mergeCell ref="L347:M347"/>
    <mergeCell ref="N347:O347"/>
    <mergeCell ref="P347:Q347"/>
    <mergeCell ref="AL346:BB346"/>
    <mergeCell ref="AD346:AE346"/>
    <mergeCell ref="AF346:AG346"/>
    <mergeCell ref="AH346:AI346"/>
    <mergeCell ref="AJ346:AK346"/>
    <mergeCell ref="R346:S346"/>
    <mergeCell ref="T346:U346"/>
    <mergeCell ref="V346:W346"/>
    <mergeCell ref="X346:Y346"/>
    <mergeCell ref="Z346:AA346"/>
    <mergeCell ref="AB346:AC346"/>
    <mergeCell ref="B346:C346"/>
    <mergeCell ref="D346:E346"/>
    <mergeCell ref="F346:G346"/>
    <mergeCell ref="H346:I346"/>
    <mergeCell ref="J346:K346"/>
    <mergeCell ref="L346:M346"/>
    <mergeCell ref="N346:O346"/>
    <mergeCell ref="P346:Q346"/>
    <mergeCell ref="AL345:BB345"/>
    <mergeCell ref="AD345:AE345"/>
    <mergeCell ref="AF345:AG345"/>
    <mergeCell ref="AH345:AI345"/>
    <mergeCell ref="AJ345:AK345"/>
    <mergeCell ref="R345:S345"/>
    <mergeCell ref="T345:U345"/>
    <mergeCell ref="V345:W345"/>
    <mergeCell ref="X345:Y345"/>
    <mergeCell ref="Z345:AA345"/>
    <mergeCell ref="AB345:AC345"/>
    <mergeCell ref="B345:C345"/>
    <mergeCell ref="D345:E345"/>
    <mergeCell ref="F345:G345"/>
    <mergeCell ref="H345:I345"/>
    <mergeCell ref="J345:K345"/>
    <mergeCell ref="L345:M345"/>
    <mergeCell ref="N345:O345"/>
    <mergeCell ref="P345:Q345"/>
    <mergeCell ref="AL344:BB344"/>
    <mergeCell ref="AD344:AE344"/>
    <mergeCell ref="AF344:AG344"/>
    <mergeCell ref="AH344:AI344"/>
    <mergeCell ref="AJ344:AK344"/>
    <mergeCell ref="R344:S344"/>
    <mergeCell ref="T344:U344"/>
    <mergeCell ref="V344:W344"/>
    <mergeCell ref="X344:Y344"/>
    <mergeCell ref="Z344:AA344"/>
    <mergeCell ref="AB344:AC344"/>
    <mergeCell ref="B344:C344"/>
    <mergeCell ref="D344:E344"/>
    <mergeCell ref="F344:G344"/>
    <mergeCell ref="H344:I344"/>
    <mergeCell ref="J344:K344"/>
    <mergeCell ref="L344:M344"/>
    <mergeCell ref="N344:O344"/>
    <mergeCell ref="P344:Q344"/>
    <mergeCell ref="AL343:BB343"/>
    <mergeCell ref="AD343:AE343"/>
    <mergeCell ref="AF343:AG343"/>
    <mergeCell ref="AH343:AI343"/>
    <mergeCell ref="AJ343:AK343"/>
    <mergeCell ref="R343:S343"/>
    <mergeCell ref="T343:U343"/>
    <mergeCell ref="V343:W343"/>
    <mergeCell ref="X343:Y343"/>
    <mergeCell ref="Z343:AA343"/>
    <mergeCell ref="AB343:AC343"/>
    <mergeCell ref="B343:C343"/>
    <mergeCell ref="D343:E343"/>
    <mergeCell ref="F343:G343"/>
    <mergeCell ref="H343:I343"/>
    <mergeCell ref="J343:K343"/>
    <mergeCell ref="L343:M343"/>
    <mergeCell ref="N343:O343"/>
    <mergeCell ref="P343:Q343"/>
    <mergeCell ref="AL342:BB342"/>
    <mergeCell ref="AD342:AE342"/>
    <mergeCell ref="AF342:AG342"/>
    <mergeCell ref="AH342:AI342"/>
    <mergeCell ref="AJ342:AK342"/>
    <mergeCell ref="R342:S342"/>
    <mergeCell ref="T342:U342"/>
    <mergeCell ref="V342:W342"/>
    <mergeCell ref="X342:Y342"/>
    <mergeCell ref="Z342:AA342"/>
    <mergeCell ref="AB342:AC342"/>
    <mergeCell ref="B342:C342"/>
    <mergeCell ref="D342:E342"/>
    <mergeCell ref="F342:G342"/>
    <mergeCell ref="H342:I342"/>
    <mergeCell ref="J342:K342"/>
    <mergeCell ref="L342:M342"/>
    <mergeCell ref="N342:O342"/>
    <mergeCell ref="P342:Q342"/>
    <mergeCell ref="AL341:BB341"/>
    <mergeCell ref="AD341:AE341"/>
    <mergeCell ref="AF341:AG341"/>
    <mergeCell ref="AH341:AI341"/>
    <mergeCell ref="AJ341:AK341"/>
    <mergeCell ref="R341:S341"/>
    <mergeCell ref="T341:U341"/>
    <mergeCell ref="V341:W341"/>
    <mergeCell ref="X341:Y341"/>
    <mergeCell ref="Z341:AA341"/>
    <mergeCell ref="AB341:AC341"/>
    <mergeCell ref="B341:C341"/>
    <mergeCell ref="D341:E341"/>
    <mergeCell ref="F341:G341"/>
    <mergeCell ref="H341:I341"/>
    <mergeCell ref="J341:K341"/>
    <mergeCell ref="L341:M341"/>
    <mergeCell ref="N341:O341"/>
    <mergeCell ref="P341:Q341"/>
    <mergeCell ref="AL340:BB340"/>
    <mergeCell ref="AD340:AE340"/>
    <mergeCell ref="AF340:AG340"/>
    <mergeCell ref="AH340:AI340"/>
    <mergeCell ref="AJ340:AK340"/>
    <mergeCell ref="R340:S340"/>
    <mergeCell ref="T340:U340"/>
    <mergeCell ref="V340:W340"/>
    <mergeCell ref="X340:Y340"/>
    <mergeCell ref="Z340:AA340"/>
    <mergeCell ref="AB340:AC340"/>
    <mergeCell ref="B340:C340"/>
    <mergeCell ref="D340:E340"/>
    <mergeCell ref="F340:G340"/>
    <mergeCell ref="H340:I340"/>
    <mergeCell ref="J340:K340"/>
    <mergeCell ref="L340:M340"/>
    <mergeCell ref="N340:O340"/>
    <mergeCell ref="P340:Q340"/>
    <mergeCell ref="AL339:BB339"/>
    <mergeCell ref="AD339:AE339"/>
    <mergeCell ref="AF339:AG339"/>
    <mergeCell ref="AH339:AI339"/>
    <mergeCell ref="AJ339:AK339"/>
    <mergeCell ref="R339:S339"/>
    <mergeCell ref="T339:U339"/>
    <mergeCell ref="V339:W339"/>
    <mergeCell ref="X339:Y339"/>
    <mergeCell ref="Z339:AA339"/>
    <mergeCell ref="AB339:AC339"/>
    <mergeCell ref="B339:C339"/>
    <mergeCell ref="D339:E339"/>
    <mergeCell ref="F339:G339"/>
    <mergeCell ref="H339:I339"/>
    <mergeCell ref="J339:K339"/>
    <mergeCell ref="L339:M339"/>
    <mergeCell ref="N339:O339"/>
    <mergeCell ref="P339:Q339"/>
    <mergeCell ref="AL338:BB338"/>
    <mergeCell ref="AD338:AE338"/>
    <mergeCell ref="AF338:AG338"/>
    <mergeCell ref="AH338:AI338"/>
    <mergeCell ref="AJ338:AK338"/>
    <mergeCell ref="R338:S338"/>
    <mergeCell ref="T338:U338"/>
    <mergeCell ref="V338:W338"/>
    <mergeCell ref="X338:Y338"/>
    <mergeCell ref="Z338:AA338"/>
    <mergeCell ref="AB338:AC338"/>
    <mergeCell ref="B338:C338"/>
    <mergeCell ref="D338:E338"/>
    <mergeCell ref="F338:G338"/>
    <mergeCell ref="H338:I338"/>
    <mergeCell ref="J338:K338"/>
    <mergeCell ref="L338:M338"/>
    <mergeCell ref="N338:O338"/>
    <mergeCell ref="P338:Q338"/>
    <mergeCell ref="AL337:BB337"/>
    <mergeCell ref="AD337:AE337"/>
    <mergeCell ref="AF337:AG337"/>
    <mergeCell ref="AH337:AI337"/>
    <mergeCell ref="AJ337:AK337"/>
    <mergeCell ref="R337:S337"/>
    <mergeCell ref="T337:U337"/>
    <mergeCell ref="V337:W337"/>
    <mergeCell ref="X337:Y337"/>
    <mergeCell ref="Z337:AA337"/>
    <mergeCell ref="AB337:AC337"/>
    <mergeCell ref="B337:C337"/>
    <mergeCell ref="D337:E337"/>
    <mergeCell ref="F337:G337"/>
    <mergeCell ref="H337:I337"/>
    <mergeCell ref="J337:K337"/>
    <mergeCell ref="L337:M337"/>
    <mergeCell ref="N337:O337"/>
    <mergeCell ref="P337:Q337"/>
    <mergeCell ref="AL336:BB336"/>
    <mergeCell ref="AD336:AE336"/>
    <mergeCell ref="AF336:AG336"/>
    <mergeCell ref="AH336:AI336"/>
    <mergeCell ref="AJ336:AK336"/>
    <mergeCell ref="R336:S336"/>
    <mergeCell ref="T336:U336"/>
    <mergeCell ref="V336:W336"/>
    <mergeCell ref="X336:Y336"/>
    <mergeCell ref="Z336:AA336"/>
    <mergeCell ref="AB336:AC336"/>
    <mergeCell ref="B336:C336"/>
    <mergeCell ref="D336:E336"/>
    <mergeCell ref="F336:G336"/>
    <mergeCell ref="H336:I336"/>
    <mergeCell ref="J336:K336"/>
    <mergeCell ref="L336:M336"/>
    <mergeCell ref="N336:O336"/>
    <mergeCell ref="P336:Q336"/>
    <mergeCell ref="AL335:BB335"/>
    <mergeCell ref="AD335:AE335"/>
    <mergeCell ref="AF335:AG335"/>
    <mergeCell ref="AH335:AI335"/>
    <mergeCell ref="AJ335:AK335"/>
    <mergeCell ref="R335:S335"/>
    <mergeCell ref="T335:U335"/>
    <mergeCell ref="V335:W335"/>
    <mergeCell ref="X335:Y335"/>
    <mergeCell ref="Z335:AA335"/>
    <mergeCell ref="AB335:AC335"/>
    <mergeCell ref="B335:C335"/>
    <mergeCell ref="D335:E335"/>
    <mergeCell ref="F335:G335"/>
    <mergeCell ref="H335:I335"/>
    <mergeCell ref="J335:K335"/>
    <mergeCell ref="L335:M335"/>
    <mergeCell ref="N335:O335"/>
    <mergeCell ref="P335:Q335"/>
    <mergeCell ref="AL334:BB334"/>
    <mergeCell ref="AD334:AE334"/>
    <mergeCell ref="AF334:AG334"/>
    <mergeCell ref="AH334:AI334"/>
    <mergeCell ref="AJ334:AK334"/>
    <mergeCell ref="R334:S334"/>
    <mergeCell ref="T334:U334"/>
    <mergeCell ref="V334:W334"/>
    <mergeCell ref="X334:Y334"/>
    <mergeCell ref="Z334:AA334"/>
    <mergeCell ref="AB334:AC334"/>
    <mergeCell ref="B334:C334"/>
    <mergeCell ref="D334:E334"/>
    <mergeCell ref="F334:G334"/>
    <mergeCell ref="H334:I334"/>
    <mergeCell ref="J334:K334"/>
    <mergeCell ref="L334:M334"/>
    <mergeCell ref="N334:O334"/>
    <mergeCell ref="P334:Q334"/>
    <mergeCell ref="AL333:BB333"/>
    <mergeCell ref="AD333:AE333"/>
    <mergeCell ref="AF333:AG333"/>
    <mergeCell ref="AH333:AI333"/>
    <mergeCell ref="AJ333:AK333"/>
    <mergeCell ref="R333:S333"/>
    <mergeCell ref="T333:U333"/>
    <mergeCell ref="V333:W333"/>
    <mergeCell ref="X333:Y333"/>
    <mergeCell ref="Z333:AA333"/>
    <mergeCell ref="AB333:AC333"/>
    <mergeCell ref="B333:C333"/>
    <mergeCell ref="D333:E333"/>
    <mergeCell ref="F333:G333"/>
    <mergeCell ref="H333:I333"/>
    <mergeCell ref="J333:K333"/>
    <mergeCell ref="L333:M333"/>
    <mergeCell ref="N333:O333"/>
    <mergeCell ref="P333:Q333"/>
    <mergeCell ref="AL332:BB332"/>
    <mergeCell ref="AD332:AE332"/>
    <mergeCell ref="AF332:AG332"/>
    <mergeCell ref="AH332:AI332"/>
    <mergeCell ref="AJ332:AK332"/>
    <mergeCell ref="R332:S332"/>
    <mergeCell ref="T332:U332"/>
    <mergeCell ref="V332:W332"/>
    <mergeCell ref="X332:Y332"/>
    <mergeCell ref="Z332:AA332"/>
    <mergeCell ref="AB332:AC332"/>
    <mergeCell ref="B332:C332"/>
    <mergeCell ref="D332:E332"/>
    <mergeCell ref="F332:G332"/>
    <mergeCell ref="H332:I332"/>
    <mergeCell ref="J332:K332"/>
    <mergeCell ref="L332:M332"/>
    <mergeCell ref="N332:O332"/>
    <mergeCell ref="P332:Q332"/>
    <mergeCell ref="AL331:BB331"/>
    <mergeCell ref="AD331:AE331"/>
    <mergeCell ref="AF331:AG331"/>
    <mergeCell ref="AH331:AI331"/>
    <mergeCell ref="AJ331:AK331"/>
    <mergeCell ref="R331:S331"/>
    <mergeCell ref="T331:U331"/>
    <mergeCell ref="V331:W331"/>
    <mergeCell ref="X331:Y331"/>
    <mergeCell ref="Z331:AA331"/>
    <mergeCell ref="AB331:AC331"/>
    <mergeCell ref="B331:C331"/>
    <mergeCell ref="D331:E331"/>
    <mergeCell ref="F331:G331"/>
    <mergeCell ref="H331:I331"/>
    <mergeCell ref="J331:K331"/>
    <mergeCell ref="L331:M331"/>
    <mergeCell ref="N331:O331"/>
    <mergeCell ref="P331:Q331"/>
    <mergeCell ref="AL330:BB330"/>
    <mergeCell ref="AD330:AE330"/>
    <mergeCell ref="AF330:AG330"/>
    <mergeCell ref="AH330:AI330"/>
    <mergeCell ref="AJ330:AK330"/>
    <mergeCell ref="R330:S330"/>
    <mergeCell ref="T330:U330"/>
    <mergeCell ref="V330:W330"/>
    <mergeCell ref="X330:Y330"/>
    <mergeCell ref="Z330:AA330"/>
    <mergeCell ref="AB330:AC330"/>
    <mergeCell ref="B330:C330"/>
    <mergeCell ref="D330:E330"/>
    <mergeCell ref="F330:G330"/>
    <mergeCell ref="H330:I330"/>
    <mergeCell ref="J330:K330"/>
    <mergeCell ref="L330:M330"/>
    <mergeCell ref="N330:O330"/>
    <mergeCell ref="P330:Q330"/>
    <mergeCell ref="AL329:BB329"/>
    <mergeCell ref="AD329:AE329"/>
    <mergeCell ref="AF329:AG329"/>
    <mergeCell ref="AH329:AI329"/>
    <mergeCell ref="AJ329:AK329"/>
    <mergeCell ref="R329:S329"/>
    <mergeCell ref="T329:U329"/>
    <mergeCell ref="V329:W329"/>
    <mergeCell ref="X329:Y329"/>
    <mergeCell ref="Z329:AA329"/>
    <mergeCell ref="AB329:AC329"/>
    <mergeCell ref="B329:C329"/>
    <mergeCell ref="D329:E329"/>
    <mergeCell ref="F329:G329"/>
    <mergeCell ref="H329:I329"/>
    <mergeCell ref="J329:K329"/>
    <mergeCell ref="L329:M329"/>
    <mergeCell ref="N329:O329"/>
    <mergeCell ref="P329:Q329"/>
    <mergeCell ref="AL328:BB328"/>
    <mergeCell ref="AD328:AE328"/>
    <mergeCell ref="AF328:AG328"/>
    <mergeCell ref="AH328:AI328"/>
    <mergeCell ref="AJ328:AK328"/>
    <mergeCell ref="R328:S328"/>
    <mergeCell ref="T328:U328"/>
    <mergeCell ref="V328:W328"/>
    <mergeCell ref="X328:Y328"/>
    <mergeCell ref="Z328:AA328"/>
    <mergeCell ref="AB328:AC328"/>
    <mergeCell ref="B328:C328"/>
    <mergeCell ref="D328:E328"/>
    <mergeCell ref="F328:G328"/>
    <mergeCell ref="H328:I328"/>
    <mergeCell ref="J328:K328"/>
    <mergeCell ref="L328:M328"/>
    <mergeCell ref="N328:O328"/>
    <mergeCell ref="P328:Q328"/>
    <mergeCell ref="AL327:BB327"/>
    <mergeCell ref="AD327:AE327"/>
    <mergeCell ref="AF327:AG327"/>
    <mergeCell ref="AH327:AI327"/>
    <mergeCell ref="AJ327:AK327"/>
    <mergeCell ref="R327:S327"/>
    <mergeCell ref="T327:U327"/>
    <mergeCell ref="V327:W327"/>
    <mergeCell ref="X327:Y327"/>
    <mergeCell ref="Z327:AA327"/>
    <mergeCell ref="AB327:AC327"/>
    <mergeCell ref="B327:C327"/>
    <mergeCell ref="D327:E327"/>
    <mergeCell ref="F327:G327"/>
    <mergeCell ref="H327:I327"/>
    <mergeCell ref="J327:K327"/>
    <mergeCell ref="L327:M327"/>
    <mergeCell ref="N327:O327"/>
    <mergeCell ref="P327:Q327"/>
    <mergeCell ref="AL326:BB326"/>
    <mergeCell ref="AD326:AE326"/>
    <mergeCell ref="AF326:AG326"/>
    <mergeCell ref="AH326:AI326"/>
    <mergeCell ref="AJ326:AK326"/>
    <mergeCell ref="R326:S326"/>
    <mergeCell ref="T326:U326"/>
    <mergeCell ref="V326:W326"/>
    <mergeCell ref="X326:Y326"/>
    <mergeCell ref="Z326:AA326"/>
    <mergeCell ref="AB326:AC326"/>
    <mergeCell ref="B326:C326"/>
    <mergeCell ref="D326:E326"/>
    <mergeCell ref="F326:G326"/>
    <mergeCell ref="H326:I326"/>
    <mergeCell ref="J326:K326"/>
    <mergeCell ref="L326:M326"/>
    <mergeCell ref="N326:O326"/>
    <mergeCell ref="P326:Q326"/>
    <mergeCell ref="AL325:BB325"/>
    <mergeCell ref="AD325:AE325"/>
    <mergeCell ref="AF325:AG325"/>
    <mergeCell ref="AH325:AI325"/>
    <mergeCell ref="AJ325:AK325"/>
    <mergeCell ref="R325:S325"/>
    <mergeCell ref="T325:U325"/>
    <mergeCell ref="V325:W325"/>
    <mergeCell ref="X325:Y325"/>
    <mergeCell ref="Z325:AA325"/>
    <mergeCell ref="AB325:AC325"/>
    <mergeCell ref="B325:C325"/>
    <mergeCell ref="D325:E325"/>
    <mergeCell ref="F325:G325"/>
    <mergeCell ref="H325:I325"/>
    <mergeCell ref="J325:K325"/>
    <mergeCell ref="L325:M325"/>
    <mergeCell ref="N325:O325"/>
    <mergeCell ref="P325:Q325"/>
    <mergeCell ref="AL324:BB324"/>
    <mergeCell ref="AD324:AE324"/>
    <mergeCell ref="AF324:AG324"/>
    <mergeCell ref="AH324:AI324"/>
    <mergeCell ref="AJ324:AK324"/>
    <mergeCell ref="R324:S324"/>
    <mergeCell ref="T324:U324"/>
    <mergeCell ref="V324:W324"/>
    <mergeCell ref="X324:Y324"/>
    <mergeCell ref="Z324:AA324"/>
    <mergeCell ref="AB324:AC324"/>
    <mergeCell ref="B324:C324"/>
    <mergeCell ref="D324:E324"/>
    <mergeCell ref="F324:G324"/>
    <mergeCell ref="H324:I324"/>
    <mergeCell ref="J324:K324"/>
    <mergeCell ref="L324:M324"/>
    <mergeCell ref="N324:O324"/>
    <mergeCell ref="P324:Q324"/>
    <mergeCell ref="AL323:BB323"/>
    <mergeCell ref="AD323:AE323"/>
    <mergeCell ref="AF323:AG323"/>
    <mergeCell ref="AH323:AI323"/>
    <mergeCell ref="AJ323:AK323"/>
    <mergeCell ref="R323:S323"/>
    <mergeCell ref="T323:U323"/>
    <mergeCell ref="V323:W323"/>
    <mergeCell ref="X323:Y323"/>
    <mergeCell ref="Z323:AA323"/>
    <mergeCell ref="AB323:AC323"/>
    <mergeCell ref="B323:C323"/>
    <mergeCell ref="D323:E323"/>
    <mergeCell ref="F323:G323"/>
    <mergeCell ref="H323:I323"/>
    <mergeCell ref="J323:K323"/>
    <mergeCell ref="L323:M323"/>
    <mergeCell ref="N323:O323"/>
    <mergeCell ref="P323:Q323"/>
    <mergeCell ref="AL322:BB322"/>
    <mergeCell ref="AD322:AE322"/>
    <mergeCell ref="AF322:AG322"/>
    <mergeCell ref="AH322:AI322"/>
    <mergeCell ref="AJ322:AK322"/>
    <mergeCell ref="R322:S322"/>
    <mergeCell ref="T322:U322"/>
    <mergeCell ref="V322:W322"/>
    <mergeCell ref="X322:Y322"/>
    <mergeCell ref="Z322:AA322"/>
    <mergeCell ref="AB322:AC322"/>
    <mergeCell ref="B322:C322"/>
    <mergeCell ref="D322:E322"/>
    <mergeCell ref="F322:G322"/>
    <mergeCell ref="H322:I322"/>
    <mergeCell ref="J322:K322"/>
    <mergeCell ref="L322:M322"/>
    <mergeCell ref="N322:O322"/>
    <mergeCell ref="P322:Q322"/>
    <mergeCell ref="AL321:BB321"/>
    <mergeCell ref="AD321:AE321"/>
    <mergeCell ref="AF321:AG321"/>
    <mergeCell ref="AH321:AI321"/>
    <mergeCell ref="AJ321:AK321"/>
    <mergeCell ref="R321:S321"/>
    <mergeCell ref="T321:U321"/>
    <mergeCell ref="V321:W321"/>
    <mergeCell ref="X321:Y321"/>
    <mergeCell ref="Z321:AA321"/>
    <mergeCell ref="AB321:AC321"/>
    <mergeCell ref="B321:C321"/>
    <mergeCell ref="D321:E321"/>
    <mergeCell ref="F321:G321"/>
    <mergeCell ref="H321:I321"/>
    <mergeCell ref="J321:K321"/>
    <mergeCell ref="L321:M321"/>
    <mergeCell ref="N321:O321"/>
    <mergeCell ref="P321:Q321"/>
    <mergeCell ref="AL320:BB320"/>
    <mergeCell ref="AD320:AE320"/>
    <mergeCell ref="AF320:AG320"/>
    <mergeCell ref="AH320:AI320"/>
    <mergeCell ref="AJ320:AK320"/>
    <mergeCell ref="R320:S320"/>
    <mergeCell ref="T320:U320"/>
    <mergeCell ref="V320:W320"/>
    <mergeCell ref="X320:Y320"/>
    <mergeCell ref="Z320:AA320"/>
    <mergeCell ref="AB320:AC320"/>
    <mergeCell ref="B320:C320"/>
    <mergeCell ref="D320:E320"/>
    <mergeCell ref="F320:G320"/>
    <mergeCell ref="H320:I320"/>
    <mergeCell ref="J320:K320"/>
    <mergeCell ref="L320:M320"/>
    <mergeCell ref="N320:O320"/>
    <mergeCell ref="P320:Q320"/>
    <mergeCell ref="AL319:BB319"/>
    <mergeCell ref="AD319:AE319"/>
    <mergeCell ref="AF319:AG319"/>
    <mergeCell ref="AH319:AI319"/>
    <mergeCell ref="AJ319:AK319"/>
    <mergeCell ref="R319:S319"/>
    <mergeCell ref="T319:U319"/>
    <mergeCell ref="V319:W319"/>
    <mergeCell ref="X319:Y319"/>
    <mergeCell ref="Z319:AA319"/>
    <mergeCell ref="AB319:AC319"/>
    <mergeCell ref="B319:C319"/>
    <mergeCell ref="D319:E319"/>
    <mergeCell ref="F319:G319"/>
    <mergeCell ref="H319:I319"/>
    <mergeCell ref="J319:K319"/>
    <mergeCell ref="L319:M319"/>
    <mergeCell ref="N319:O319"/>
    <mergeCell ref="P319:Q319"/>
    <mergeCell ref="AL318:BB318"/>
    <mergeCell ref="AD318:AE318"/>
    <mergeCell ref="AF318:AG318"/>
    <mergeCell ref="AH318:AI318"/>
    <mergeCell ref="AJ318:AK318"/>
    <mergeCell ref="R318:S318"/>
    <mergeCell ref="T318:U318"/>
    <mergeCell ref="V318:W318"/>
    <mergeCell ref="X318:Y318"/>
    <mergeCell ref="Z318:AA318"/>
    <mergeCell ref="AB318:AC318"/>
    <mergeCell ref="B318:C318"/>
    <mergeCell ref="D318:E318"/>
    <mergeCell ref="F318:G318"/>
    <mergeCell ref="H318:I318"/>
    <mergeCell ref="J318:K318"/>
    <mergeCell ref="L318:M318"/>
    <mergeCell ref="N318:O318"/>
    <mergeCell ref="P318:Q318"/>
    <mergeCell ref="AL317:BB317"/>
    <mergeCell ref="AD317:AE317"/>
    <mergeCell ref="AF317:AG317"/>
    <mergeCell ref="AH317:AI317"/>
    <mergeCell ref="AJ317:AK317"/>
    <mergeCell ref="R317:S317"/>
    <mergeCell ref="T317:U317"/>
    <mergeCell ref="V317:W317"/>
    <mergeCell ref="X317:Y317"/>
    <mergeCell ref="Z317:AA317"/>
    <mergeCell ref="AB317:AC317"/>
    <mergeCell ref="B317:C317"/>
    <mergeCell ref="D317:E317"/>
    <mergeCell ref="F317:G317"/>
    <mergeCell ref="H317:I317"/>
    <mergeCell ref="J317:K317"/>
    <mergeCell ref="L317:M317"/>
    <mergeCell ref="N317:O317"/>
    <mergeCell ref="P317:Q317"/>
    <mergeCell ref="AL316:BB316"/>
    <mergeCell ref="AD316:AE316"/>
    <mergeCell ref="AF316:AG316"/>
    <mergeCell ref="AH316:AI316"/>
    <mergeCell ref="AJ316:AK316"/>
    <mergeCell ref="R316:S316"/>
    <mergeCell ref="T316:U316"/>
    <mergeCell ref="V316:W316"/>
    <mergeCell ref="X316:Y316"/>
    <mergeCell ref="Z316:AA316"/>
    <mergeCell ref="AB316:AC316"/>
    <mergeCell ref="B316:C316"/>
    <mergeCell ref="D316:E316"/>
    <mergeCell ref="F316:G316"/>
    <mergeCell ref="H316:I316"/>
    <mergeCell ref="J316:K316"/>
    <mergeCell ref="L316:M316"/>
    <mergeCell ref="N316:O316"/>
    <mergeCell ref="P316:Q316"/>
    <mergeCell ref="AL315:BB315"/>
    <mergeCell ref="AD315:AE315"/>
    <mergeCell ref="AF315:AG315"/>
    <mergeCell ref="AH315:AI315"/>
    <mergeCell ref="AJ315:AK315"/>
    <mergeCell ref="R315:S315"/>
    <mergeCell ref="T315:U315"/>
    <mergeCell ref="V315:W315"/>
    <mergeCell ref="X315:Y315"/>
    <mergeCell ref="Z315:AA315"/>
    <mergeCell ref="AB315:AC315"/>
    <mergeCell ref="B315:C315"/>
    <mergeCell ref="D315:E315"/>
    <mergeCell ref="F315:G315"/>
    <mergeCell ref="H315:I315"/>
    <mergeCell ref="J315:K315"/>
    <mergeCell ref="L315:M315"/>
    <mergeCell ref="N315:O315"/>
    <mergeCell ref="P315:Q315"/>
    <mergeCell ref="AL314:BB314"/>
    <mergeCell ref="AD314:AE314"/>
    <mergeCell ref="AF314:AG314"/>
    <mergeCell ref="AH314:AI314"/>
    <mergeCell ref="AJ314:AK314"/>
    <mergeCell ref="R314:S314"/>
    <mergeCell ref="T314:U314"/>
    <mergeCell ref="V314:W314"/>
    <mergeCell ref="X314:Y314"/>
    <mergeCell ref="Z314:AA314"/>
    <mergeCell ref="AB314:AC314"/>
    <mergeCell ref="B314:C314"/>
    <mergeCell ref="D314:E314"/>
    <mergeCell ref="F314:G314"/>
    <mergeCell ref="H314:I314"/>
    <mergeCell ref="J314:K314"/>
    <mergeCell ref="L314:M314"/>
    <mergeCell ref="N314:O314"/>
    <mergeCell ref="P314:Q314"/>
    <mergeCell ref="AL313:BB313"/>
    <mergeCell ref="AD313:AE313"/>
    <mergeCell ref="AF313:AG313"/>
    <mergeCell ref="AH313:AI313"/>
    <mergeCell ref="AJ313:AK313"/>
    <mergeCell ref="R313:S313"/>
    <mergeCell ref="T313:U313"/>
    <mergeCell ref="V313:W313"/>
    <mergeCell ref="X313:Y313"/>
    <mergeCell ref="Z313:AA313"/>
    <mergeCell ref="AB313:AC313"/>
    <mergeCell ref="B313:C313"/>
    <mergeCell ref="D313:E313"/>
    <mergeCell ref="F313:G313"/>
    <mergeCell ref="H313:I313"/>
    <mergeCell ref="J313:K313"/>
    <mergeCell ref="L313:M313"/>
    <mergeCell ref="N313:O313"/>
    <mergeCell ref="P313:Q313"/>
    <mergeCell ref="AL312:BB312"/>
    <mergeCell ref="AD312:AE312"/>
    <mergeCell ref="AF312:AG312"/>
    <mergeCell ref="AH312:AI312"/>
    <mergeCell ref="AJ312:AK312"/>
    <mergeCell ref="R312:S312"/>
    <mergeCell ref="T312:U312"/>
    <mergeCell ref="V312:W312"/>
    <mergeCell ref="X312:Y312"/>
    <mergeCell ref="Z312:AA312"/>
    <mergeCell ref="AB312:AC312"/>
    <mergeCell ref="B312:C312"/>
    <mergeCell ref="D312:E312"/>
    <mergeCell ref="F312:G312"/>
    <mergeCell ref="H312:I312"/>
    <mergeCell ref="J312:K312"/>
    <mergeCell ref="L312:M312"/>
    <mergeCell ref="N312:O312"/>
    <mergeCell ref="P312:Q312"/>
    <mergeCell ref="AL311:BB311"/>
    <mergeCell ref="AD311:AE311"/>
    <mergeCell ref="AF311:AG311"/>
    <mergeCell ref="AH311:AI311"/>
    <mergeCell ref="AJ311:AK311"/>
    <mergeCell ref="R311:S311"/>
    <mergeCell ref="T311:U311"/>
    <mergeCell ref="V311:W311"/>
    <mergeCell ref="X311:Y311"/>
    <mergeCell ref="Z311:AA311"/>
    <mergeCell ref="AB311:AC311"/>
    <mergeCell ref="B311:C311"/>
    <mergeCell ref="D311:E311"/>
    <mergeCell ref="F311:G311"/>
    <mergeCell ref="H311:I311"/>
    <mergeCell ref="J311:K311"/>
    <mergeCell ref="L311:M311"/>
    <mergeCell ref="N311:O311"/>
    <mergeCell ref="P311:Q311"/>
    <mergeCell ref="AL310:BB310"/>
    <mergeCell ref="AD310:AE310"/>
    <mergeCell ref="AF310:AG310"/>
    <mergeCell ref="AH310:AI310"/>
    <mergeCell ref="AJ310:AK310"/>
    <mergeCell ref="R310:S310"/>
    <mergeCell ref="T310:U310"/>
    <mergeCell ref="V310:W310"/>
    <mergeCell ref="X310:Y310"/>
    <mergeCell ref="Z310:AA310"/>
    <mergeCell ref="AB310:AC310"/>
    <mergeCell ref="B310:C310"/>
    <mergeCell ref="D310:E310"/>
    <mergeCell ref="F310:G310"/>
    <mergeCell ref="H310:I310"/>
    <mergeCell ref="J310:K310"/>
    <mergeCell ref="L310:M310"/>
    <mergeCell ref="N310:O310"/>
    <mergeCell ref="P310:Q310"/>
    <mergeCell ref="AL309:BB309"/>
    <mergeCell ref="AD309:AE309"/>
    <mergeCell ref="AF309:AG309"/>
    <mergeCell ref="AH309:AI309"/>
    <mergeCell ref="AJ309:AK309"/>
    <mergeCell ref="R309:S309"/>
    <mergeCell ref="T309:U309"/>
    <mergeCell ref="V309:W309"/>
    <mergeCell ref="X309:Y309"/>
    <mergeCell ref="Z309:AA309"/>
    <mergeCell ref="AB309:AC309"/>
    <mergeCell ref="B309:C309"/>
    <mergeCell ref="D309:E309"/>
    <mergeCell ref="F309:G309"/>
    <mergeCell ref="H309:I309"/>
    <mergeCell ref="J309:K309"/>
    <mergeCell ref="L309:M309"/>
    <mergeCell ref="N309:O309"/>
    <mergeCell ref="P309:Q309"/>
    <mergeCell ref="AL308:BB308"/>
    <mergeCell ref="AD308:AE308"/>
    <mergeCell ref="AF308:AG308"/>
    <mergeCell ref="AH308:AI308"/>
    <mergeCell ref="AJ308:AK308"/>
    <mergeCell ref="R308:S308"/>
    <mergeCell ref="T308:U308"/>
    <mergeCell ref="V308:W308"/>
    <mergeCell ref="X308:Y308"/>
    <mergeCell ref="Z308:AA308"/>
    <mergeCell ref="AB308:AC308"/>
    <mergeCell ref="B308:C308"/>
    <mergeCell ref="D308:E308"/>
    <mergeCell ref="F308:G308"/>
    <mergeCell ref="H308:I308"/>
    <mergeCell ref="J308:K308"/>
    <mergeCell ref="L308:M308"/>
    <mergeCell ref="N308:O308"/>
    <mergeCell ref="P308:Q308"/>
    <mergeCell ref="AL307:BB307"/>
    <mergeCell ref="AD307:AE307"/>
    <mergeCell ref="AF307:AG307"/>
    <mergeCell ref="AH307:AI307"/>
    <mergeCell ref="AJ307:AK307"/>
    <mergeCell ref="R307:S307"/>
    <mergeCell ref="T307:U307"/>
    <mergeCell ref="V307:W307"/>
    <mergeCell ref="X307:Y307"/>
    <mergeCell ref="Z307:AA307"/>
    <mergeCell ref="AB307:AC307"/>
    <mergeCell ref="B307:C307"/>
    <mergeCell ref="D307:E307"/>
    <mergeCell ref="F307:G307"/>
    <mergeCell ref="H307:I307"/>
    <mergeCell ref="J307:K307"/>
    <mergeCell ref="L307:M307"/>
    <mergeCell ref="N307:O307"/>
    <mergeCell ref="P307:Q307"/>
    <mergeCell ref="AL306:BB306"/>
    <mergeCell ref="Z306:AA306"/>
    <mergeCell ref="AB306:AC306"/>
    <mergeCell ref="AD306:AE306"/>
    <mergeCell ref="AF306:AG306"/>
    <mergeCell ref="AH306:AI306"/>
    <mergeCell ref="AJ306:AK306"/>
    <mergeCell ref="N306:O306"/>
    <mergeCell ref="P306:Q306"/>
    <mergeCell ref="R306:S306"/>
    <mergeCell ref="T306:U306"/>
    <mergeCell ref="V306:W306"/>
    <mergeCell ref="X306:Y306"/>
    <mergeCell ref="B306:C306"/>
    <mergeCell ref="D306:E306"/>
    <mergeCell ref="F306:G306"/>
    <mergeCell ref="H306:I306"/>
    <mergeCell ref="J306:K306"/>
    <mergeCell ref="L306:M306"/>
    <mergeCell ref="AL305:BB305"/>
    <mergeCell ref="AD305:AE305"/>
    <mergeCell ref="AF305:AG305"/>
    <mergeCell ref="AH305:AI305"/>
    <mergeCell ref="AJ305:AK305"/>
    <mergeCell ref="R305:S305"/>
    <mergeCell ref="T305:U305"/>
    <mergeCell ref="V305:W305"/>
    <mergeCell ref="X305:Y305"/>
    <mergeCell ref="Z305:AA305"/>
    <mergeCell ref="AB305:AC305"/>
    <mergeCell ref="B305:C305"/>
    <mergeCell ref="D305:E305"/>
    <mergeCell ref="F305:G305"/>
    <mergeCell ref="H305:I305"/>
    <mergeCell ref="J305:K305"/>
    <mergeCell ref="L305:M305"/>
    <mergeCell ref="N305:O305"/>
    <mergeCell ref="P305:Q305"/>
    <mergeCell ref="AL304:BB304"/>
    <mergeCell ref="Z304:AA304"/>
    <mergeCell ref="AB304:AC304"/>
    <mergeCell ref="AD304:AE304"/>
    <mergeCell ref="AF304:AG304"/>
    <mergeCell ref="AH304:AI304"/>
    <mergeCell ref="AJ304:AK304"/>
    <mergeCell ref="N304:O304"/>
    <mergeCell ref="P304:Q304"/>
    <mergeCell ref="R304:S304"/>
    <mergeCell ref="T304:U304"/>
    <mergeCell ref="V304:W304"/>
    <mergeCell ref="X304:Y304"/>
    <mergeCell ref="B304:C304"/>
    <mergeCell ref="D304:E304"/>
    <mergeCell ref="F304:G304"/>
    <mergeCell ref="H304:I304"/>
    <mergeCell ref="J304:K304"/>
    <mergeCell ref="L304:M304"/>
    <mergeCell ref="AL303:BB303"/>
    <mergeCell ref="AD303:AE303"/>
    <mergeCell ref="AF303:AG303"/>
    <mergeCell ref="AH303:AI303"/>
    <mergeCell ref="AJ303:AK303"/>
    <mergeCell ref="R303:S303"/>
    <mergeCell ref="T303:U303"/>
    <mergeCell ref="V303:W303"/>
    <mergeCell ref="X303:Y303"/>
    <mergeCell ref="Z303:AA303"/>
    <mergeCell ref="AB303:AC303"/>
    <mergeCell ref="B303:C303"/>
    <mergeCell ref="D303:E303"/>
    <mergeCell ref="F303:G303"/>
    <mergeCell ref="H303:I303"/>
    <mergeCell ref="J303:K303"/>
    <mergeCell ref="L303:M303"/>
    <mergeCell ref="N303:O303"/>
    <mergeCell ref="P303:Q303"/>
    <mergeCell ref="AL302:BB302"/>
    <mergeCell ref="Z302:AA302"/>
    <mergeCell ref="AB302:AC302"/>
    <mergeCell ref="AD302:AE302"/>
    <mergeCell ref="AF302:AG302"/>
    <mergeCell ref="AH302:AI302"/>
    <mergeCell ref="AJ302:AK302"/>
    <mergeCell ref="N302:O302"/>
    <mergeCell ref="P302:Q302"/>
    <mergeCell ref="R302:S302"/>
    <mergeCell ref="T302:U302"/>
    <mergeCell ref="V302:W302"/>
    <mergeCell ref="X302:Y302"/>
    <mergeCell ref="B302:C302"/>
    <mergeCell ref="D302:E302"/>
    <mergeCell ref="F302:G302"/>
    <mergeCell ref="H302:I302"/>
    <mergeCell ref="J302:K302"/>
    <mergeCell ref="L302:M302"/>
    <mergeCell ref="AL301:BB301"/>
    <mergeCell ref="AD301:AE301"/>
    <mergeCell ref="AF301:AG301"/>
    <mergeCell ref="AH301:AI301"/>
    <mergeCell ref="AJ301:AK301"/>
    <mergeCell ref="R301:S301"/>
    <mergeCell ref="T301:U301"/>
    <mergeCell ref="V301:W301"/>
    <mergeCell ref="X301:Y301"/>
    <mergeCell ref="Z301:AA301"/>
    <mergeCell ref="AB301:AC301"/>
    <mergeCell ref="B301:C301"/>
    <mergeCell ref="D301:E301"/>
    <mergeCell ref="F301:G301"/>
    <mergeCell ref="H301:I301"/>
    <mergeCell ref="J301:K301"/>
    <mergeCell ref="L301:M301"/>
    <mergeCell ref="N301:O301"/>
    <mergeCell ref="P301:Q301"/>
    <mergeCell ref="AL300:BB300"/>
    <mergeCell ref="Z300:AA300"/>
    <mergeCell ref="AB300:AC300"/>
    <mergeCell ref="AD300:AE300"/>
    <mergeCell ref="AF300:AG300"/>
    <mergeCell ref="AH300:AI300"/>
    <mergeCell ref="AJ300:AK300"/>
    <mergeCell ref="N300:O300"/>
    <mergeCell ref="P300:Q300"/>
    <mergeCell ref="R300:S300"/>
    <mergeCell ref="T300:U300"/>
    <mergeCell ref="V300:W300"/>
    <mergeCell ref="X300:Y300"/>
    <mergeCell ref="B300:C300"/>
    <mergeCell ref="D300:E300"/>
    <mergeCell ref="F300:G300"/>
    <mergeCell ref="H300:I300"/>
    <mergeCell ref="J300:K300"/>
    <mergeCell ref="L300:M300"/>
    <mergeCell ref="AL299:BB299"/>
    <mergeCell ref="AD299:AE299"/>
    <mergeCell ref="AF299:AG299"/>
    <mergeCell ref="AH299:AI299"/>
    <mergeCell ref="AJ299:AK299"/>
    <mergeCell ref="R299:S299"/>
    <mergeCell ref="T299:U299"/>
    <mergeCell ref="V299:W299"/>
    <mergeCell ref="X299:Y299"/>
    <mergeCell ref="Z299:AA299"/>
    <mergeCell ref="AB299:AC299"/>
    <mergeCell ref="B299:C299"/>
    <mergeCell ref="D299:E299"/>
    <mergeCell ref="F299:G299"/>
    <mergeCell ref="H299:I299"/>
    <mergeCell ref="J299:K299"/>
    <mergeCell ref="L299:M299"/>
    <mergeCell ref="N299:O299"/>
    <mergeCell ref="P299:Q299"/>
    <mergeCell ref="AL298:BB298"/>
    <mergeCell ref="Z298:AA298"/>
    <mergeCell ref="AB298:AC298"/>
    <mergeCell ref="AD298:AE298"/>
    <mergeCell ref="AF298:AG298"/>
    <mergeCell ref="AH298:AI298"/>
    <mergeCell ref="AJ298:AK298"/>
    <mergeCell ref="N298:O298"/>
    <mergeCell ref="P298:Q298"/>
    <mergeCell ref="R298:S298"/>
    <mergeCell ref="T298:U298"/>
    <mergeCell ref="V298:W298"/>
    <mergeCell ref="X298:Y298"/>
    <mergeCell ref="B298:C298"/>
    <mergeCell ref="D298:E298"/>
    <mergeCell ref="F298:G298"/>
    <mergeCell ref="H298:I298"/>
    <mergeCell ref="J298:K298"/>
    <mergeCell ref="L298:M298"/>
    <mergeCell ref="AL297:BB297"/>
    <mergeCell ref="Z297:AA297"/>
    <mergeCell ref="AB297:AC297"/>
    <mergeCell ref="AD297:AE297"/>
    <mergeCell ref="AF297:AG297"/>
    <mergeCell ref="AH297:AI297"/>
    <mergeCell ref="AJ297:AK297"/>
    <mergeCell ref="N297:O297"/>
    <mergeCell ref="P297:Q297"/>
    <mergeCell ref="R297:S297"/>
    <mergeCell ref="T297:U297"/>
    <mergeCell ref="V297:W297"/>
    <mergeCell ref="X297:Y297"/>
    <mergeCell ref="B297:C297"/>
    <mergeCell ref="D297:E297"/>
    <mergeCell ref="F297:G297"/>
    <mergeCell ref="H297:I297"/>
    <mergeCell ref="J297:K297"/>
    <mergeCell ref="L297:M297"/>
    <mergeCell ref="AL296:BB296"/>
    <mergeCell ref="AD296:AE296"/>
    <mergeCell ref="AF296:AG296"/>
    <mergeCell ref="AH296:AI296"/>
    <mergeCell ref="AJ296:AK296"/>
    <mergeCell ref="R296:S296"/>
    <mergeCell ref="T296:U296"/>
    <mergeCell ref="V296:W296"/>
    <mergeCell ref="X296:Y296"/>
    <mergeCell ref="Z296:AA296"/>
    <mergeCell ref="AB296:AC296"/>
    <mergeCell ref="B296:C296"/>
    <mergeCell ref="D296:E296"/>
    <mergeCell ref="F296:G296"/>
    <mergeCell ref="H296:I296"/>
    <mergeCell ref="J296:K296"/>
    <mergeCell ref="L296:M296"/>
    <mergeCell ref="N296:O296"/>
    <mergeCell ref="P296:Q296"/>
    <mergeCell ref="AL295:BB295"/>
    <mergeCell ref="AD295:AE295"/>
    <mergeCell ref="AF295:AG295"/>
    <mergeCell ref="AH295:AI295"/>
    <mergeCell ref="AJ295:AK295"/>
    <mergeCell ref="R295:S295"/>
    <mergeCell ref="T295:U295"/>
    <mergeCell ref="V295:W295"/>
    <mergeCell ref="X295:Y295"/>
    <mergeCell ref="Z295:AA295"/>
    <mergeCell ref="AB295:AC295"/>
    <mergeCell ref="B295:C295"/>
    <mergeCell ref="D295:E295"/>
    <mergeCell ref="F295:G295"/>
    <mergeCell ref="H295:I295"/>
    <mergeCell ref="J295:K295"/>
    <mergeCell ref="L295:M295"/>
    <mergeCell ref="N295:O295"/>
    <mergeCell ref="P295:Q295"/>
    <mergeCell ref="AL294:BB294"/>
    <mergeCell ref="AD294:AE294"/>
    <mergeCell ref="AF294:AG294"/>
    <mergeCell ref="AH294:AI294"/>
    <mergeCell ref="AJ294:AK294"/>
    <mergeCell ref="R294:S294"/>
    <mergeCell ref="T294:U294"/>
    <mergeCell ref="V294:W294"/>
    <mergeCell ref="X294:Y294"/>
    <mergeCell ref="Z294:AA294"/>
    <mergeCell ref="AB294:AC294"/>
    <mergeCell ref="B294:C294"/>
    <mergeCell ref="D294:E294"/>
    <mergeCell ref="F294:G294"/>
    <mergeCell ref="H294:I294"/>
    <mergeCell ref="J294:K294"/>
    <mergeCell ref="L294:M294"/>
    <mergeCell ref="N294:O294"/>
    <mergeCell ref="P294:Q294"/>
    <mergeCell ref="AL293:BB293"/>
    <mergeCell ref="AD293:AE293"/>
    <mergeCell ref="AF293:AG293"/>
    <mergeCell ref="AH293:AI293"/>
    <mergeCell ref="AJ293:AK293"/>
    <mergeCell ref="R293:S293"/>
    <mergeCell ref="T293:U293"/>
    <mergeCell ref="V293:W293"/>
    <mergeCell ref="X293:Y293"/>
    <mergeCell ref="Z293:AA293"/>
    <mergeCell ref="AB293:AC293"/>
    <mergeCell ref="B293:C293"/>
    <mergeCell ref="D293:E293"/>
    <mergeCell ref="F293:G293"/>
    <mergeCell ref="H293:I293"/>
    <mergeCell ref="J293:K293"/>
    <mergeCell ref="L293:M293"/>
    <mergeCell ref="N293:O293"/>
    <mergeCell ref="P293:Q293"/>
    <mergeCell ref="AL292:BB292"/>
    <mergeCell ref="AD292:AE292"/>
    <mergeCell ref="AF292:AG292"/>
    <mergeCell ref="AH292:AI292"/>
    <mergeCell ref="AJ292:AK292"/>
    <mergeCell ref="R292:S292"/>
    <mergeCell ref="T292:U292"/>
    <mergeCell ref="V292:W292"/>
    <mergeCell ref="X292:Y292"/>
    <mergeCell ref="Z292:AA292"/>
    <mergeCell ref="AB292:AC292"/>
    <mergeCell ref="B292:C292"/>
    <mergeCell ref="D292:E292"/>
    <mergeCell ref="F292:G292"/>
    <mergeCell ref="H292:I292"/>
    <mergeCell ref="J292:K292"/>
    <mergeCell ref="L292:M292"/>
    <mergeCell ref="N292:O292"/>
    <mergeCell ref="P292:Q292"/>
    <mergeCell ref="AL291:BB291"/>
    <mergeCell ref="AD291:AE291"/>
    <mergeCell ref="AF291:AG291"/>
    <mergeCell ref="AH291:AI291"/>
    <mergeCell ref="AJ291:AK291"/>
    <mergeCell ref="R291:S291"/>
    <mergeCell ref="T291:U291"/>
    <mergeCell ref="V291:W291"/>
    <mergeCell ref="X291:Y291"/>
    <mergeCell ref="Z291:AA291"/>
    <mergeCell ref="AB291:AC291"/>
    <mergeCell ref="B291:C291"/>
    <mergeCell ref="D291:E291"/>
    <mergeCell ref="F291:G291"/>
    <mergeCell ref="H291:I291"/>
    <mergeCell ref="J291:K291"/>
    <mergeCell ref="L291:M291"/>
    <mergeCell ref="N291:O291"/>
    <mergeCell ref="P291:Q291"/>
    <mergeCell ref="AL290:BB290"/>
    <mergeCell ref="AD290:AE290"/>
    <mergeCell ref="AF290:AG290"/>
    <mergeCell ref="AH290:AI290"/>
    <mergeCell ref="AJ290:AK290"/>
    <mergeCell ref="R290:S290"/>
    <mergeCell ref="T290:U290"/>
    <mergeCell ref="V290:W290"/>
    <mergeCell ref="X290:Y290"/>
    <mergeCell ref="Z290:AA290"/>
    <mergeCell ref="AB290:AC290"/>
    <mergeCell ref="B290:C290"/>
    <mergeCell ref="D290:E290"/>
    <mergeCell ref="F290:G290"/>
    <mergeCell ref="H290:I290"/>
    <mergeCell ref="J290:K290"/>
    <mergeCell ref="L290:M290"/>
    <mergeCell ref="N290:O290"/>
    <mergeCell ref="P290:Q290"/>
    <mergeCell ref="AL289:BB289"/>
    <mergeCell ref="AD289:AE289"/>
    <mergeCell ref="AF289:AG289"/>
    <mergeCell ref="AH289:AI289"/>
    <mergeCell ref="AJ289:AK289"/>
    <mergeCell ref="R289:S289"/>
    <mergeCell ref="T289:U289"/>
    <mergeCell ref="V289:W289"/>
    <mergeCell ref="X289:Y289"/>
    <mergeCell ref="Z289:AA289"/>
    <mergeCell ref="AB289:AC289"/>
    <mergeCell ref="B289:C289"/>
    <mergeCell ref="D289:E289"/>
    <mergeCell ref="F289:G289"/>
    <mergeCell ref="H289:I289"/>
    <mergeCell ref="J289:K289"/>
    <mergeCell ref="L289:M289"/>
    <mergeCell ref="N289:O289"/>
    <mergeCell ref="P289:Q289"/>
    <mergeCell ref="AL288:BB288"/>
    <mergeCell ref="AD288:AE288"/>
    <mergeCell ref="AF288:AG288"/>
    <mergeCell ref="AH288:AI288"/>
    <mergeCell ref="AJ288:AK288"/>
    <mergeCell ref="R288:S288"/>
    <mergeCell ref="T288:U288"/>
    <mergeCell ref="V288:W288"/>
    <mergeCell ref="X288:Y288"/>
    <mergeCell ref="Z288:AA288"/>
    <mergeCell ref="AB288:AC288"/>
    <mergeCell ref="B288:C288"/>
    <mergeCell ref="D288:E288"/>
    <mergeCell ref="F288:G288"/>
    <mergeCell ref="H288:I288"/>
    <mergeCell ref="J288:K288"/>
    <mergeCell ref="L288:M288"/>
    <mergeCell ref="N288:O288"/>
    <mergeCell ref="P288:Q288"/>
    <mergeCell ref="AL287:BB287"/>
    <mergeCell ref="AD287:AE287"/>
    <mergeCell ref="AF287:AG287"/>
    <mergeCell ref="AH287:AI287"/>
    <mergeCell ref="AJ287:AK287"/>
    <mergeCell ref="R287:S287"/>
    <mergeCell ref="T287:U287"/>
    <mergeCell ref="V287:W287"/>
    <mergeCell ref="X287:Y287"/>
    <mergeCell ref="Z287:AA287"/>
    <mergeCell ref="AB287:AC287"/>
    <mergeCell ref="B287:C287"/>
    <mergeCell ref="D287:E287"/>
    <mergeCell ref="F287:G287"/>
    <mergeCell ref="H287:I287"/>
    <mergeCell ref="J287:K287"/>
    <mergeCell ref="L287:M287"/>
    <mergeCell ref="N287:O287"/>
    <mergeCell ref="P287:Q287"/>
    <mergeCell ref="AL286:BB286"/>
    <mergeCell ref="AD286:AE286"/>
    <mergeCell ref="AF286:AG286"/>
    <mergeCell ref="AH286:AI286"/>
    <mergeCell ref="AJ286:AK286"/>
    <mergeCell ref="R286:S286"/>
    <mergeCell ref="T286:U286"/>
    <mergeCell ref="V286:W286"/>
    <mergeCell ref="X286:Y286"/>
    <mergeCell ref="Z286:AA286"/>
    <mergeCell ref="AB286:AC286"/>
    <mergeCell ref="B286:C286"/>
    <mergeCell ref="D286:E286"/>
    <mergeCell ref="F286:G286"/>
    <mergeCell ref="H286:I286"/>
    <mergeCell ref="J286:K286"/>
    <mergeCell ref="L286:M286"/>
    <mergeCell ref="N286:O286"/>
    <mergeCell ref="P286:Q286"/>
    <mergeCell ref="AL285:BB285"/>
    <mergeCell ref="AD285:AE285"/>
    <mergeCell ref="AF285:AG285"/>
    <mergeCell ref="AH285:AI285"/>
    <mergeCell ref="AJ285:AK285"/>
    <mergeCell ref="R285:S285"/>
    <mergeCell ref="T285:U285"/>
    <mergeCell ref="V285:W285"/>
    <mergeCell ref="X285:Y285"/>
    <mergeCell ref="Z285:AA285"/>
    <mergeCell ref="AB285:AC285"/>
    <mergeCell ref="B285:C285"/>
    <mergeCell ref="D285:E285"/>
    <mergeCell ref="F285:G285"/>
    <mergeCell ref="H285:I285"/>
    <mergeCell ref="J285:K285"/>
    <mergeCell ref="L285:M285"/>
    <mergeCell ref="N285:O285"/>
    <mergeCell ref="P285:Q285"/>
    <mergeCell ref="AL284:BB284"/>
    <mergeCell ref="AD284:AE284"/>
    <mergeCell ref="AF284:AG284"/>
    <mergeCell ref="AH284:AI284"/>
    <mergeCell ref="AJ284:AK284"/>
    <mergeCell ref="R284:S284"/>
    <mergeCell ref="T284:U284"/>
    <mergeCell ref="V284:W284"/>
    <mergeCell ref="X284:Y284"/>
    <mergeCell ref="Z284:AA284"/>
    <mergeCell ref="AB284:AC284"/>
    <mergeCell ref="B284:C284"/>
    <mergeCell ref="D284:E284"/>
    <mergeCell ref="F284:G284"/>
    <mergeCell ref="H284:I284"/>
    <mergeCell ref="J284:K284"/>
    <mergeCell ref="L284:M284"/>
    <mergeCell ref="N284:O284"/>
    <mergeCell ref="P284:Q284"/>
    <mergeCell ref="AL283:BB283"/>
    <mergeCell ref="AD283:AE283"/>
    <mergeCell ref="AF283:AG283"/>
    <mergeCell ref="AH283:AI283"/>
    <mergeCell ref="AJ283:AK283"/>
    <mergeCell ref="R283:S283"/>
    <mergeCell ref="T283:U283"/>
    <mergeCell ref="V283:W283"/>
    <mergeCell ref="X283:Y283"/>
    <mergeCell ref="Z283:AA283"/>
    <mergeCell ref="AB283:AC283"/>
    <mergeCell ref="B283:C283"/>
    <mergeCell ref="D283:E283"/>
    <mergeCell ref="F283:G283"/>
    <mergeCell ref="H283:I283"/>
    <mergeCell ref="J283:K283"/>
    <mergeCell ref="L283:M283"/>
    <mergeCell ref="N283:O283"/>
    <mergeCell ref="P283:Q283"/>
    <mergeCell ref="AL282:BB282"/>
    <mergeCell ref="AD282:AE282"/>
    <mergeCell ref="AF282:AG282"/>
    <mergeCell ref="AH282:AI282"/>
    <mergeCell ref="AJ282:AK282"/>
    <mergeCell ref="R282:S282"/>
    <mergeCell ref="T282:U282"/>
    <mergeCell ref="V282:W282"/>
    <mergeCell ref="X282:Y282"/>
    <mergeCell ref="Z282:AA282"/>
    <mergeCell ref="AB282:AC282"/>
    <mergeCell ref="B282:C282"/>
    <mergeCell ref="D282:E282"/>
    <mergeCell ref="F282:G282"/>
    <mergeCell ref="H282:I282"/>
    <mergeCell ref="J282:K282"/>
    <mergeCell ref="L282:M282"/>
    <mergeCell ref="N282:O282"/>
    <mergeCell ref="P282:Q282"/>
    <mergeCell ref="AL281:BB281"/>
    <mergeCell ref="AD281:AE281"/>
    <mergeCell ref="AF281:AG281"/>
    <mergeCell ref="AH281:AI281"/>
    <mergeCell ref="AJ281:AK281"/>
    <mergeCell ref="R281:S281"/>
    <mergeCell ref="T281:U281"/>
    <mergeCell ref="V281:W281"/>
    <mergeCell ref="X281:Y281"/>
    <mergeCell ref="Z281:AA281"/>
    <mergeCell ref="AB281:AC281"/>
    <mergeCell ref="B281:C281"/>
    <mergeCell ref="D281:E281"/>
    <mergeCell ref="F281:G281"/>
    <mergeCell ref="H281:I281"/>
    <mergeCell ref="J281:K281"/>
    <mergeCell ref="L281:M281"/>
    <mergeCell ref="N281:O281"/>
    <mergeCell ref="P281:Q281"/>
    <mergeCell ref="AL280:BB280"/>
    <mergeCell ref="AD280:AE280"/>
    <mergeCell ref="AF280:AG280"/>
    <mergeCell ref="AH280:AI280"/>
    <mergeCell ref="AJ280:AK280"/>
    <mergeCell ref="R280:S280"/>
    <mergeCell ref="T280:U280"/>
    <mergeCell ref="V280:W280"/>
    <mergeCell ref="X280:Y280"/>
    <mergeCell ref="Z280:AA280"/>
    <mergeCell ref="AB280:AC280"/>
    <mergeCell ref="B280:C280"/>
    <mergeCell ref="D280:E280"/>
    <mergeCell ref="F280:G280"/>
    <mergeCell ref="H280:I280"/>
    <mergeCell ref="J280:K280"/>
    <mergeCell ref="L280:M280"/>
    <mergeCell ref="N280:O280"/>
    <mergeCell ref="P280:Q280"/>
    <mergeCell ref="AL279:BB279"/>
    <mergeCell ref="AD279:AE279"/>
    <mergeCell ref="AF279:AG279"/>
    <mergeCell ref="AH279:AI279"/>
    <mergeCell ref="AJ279:AK279"/>
    <mergeCell ref="R279:S279"/>
    <mergeCell ref="T279:U279"/>
    <mergeCell ref="V279:W279"/>
    <mergeCell ref="X279:Y279"/>
    <mergeCell ref="Z279:AA279"/>
    <mergeCell ref="AB279:AC279"/>
    <mergeCell ref="B279:C279"/>
    <mergeCell ref="D279:E279"/>
    <mergeCell ref="F279:G279"/>
    <mergeCell ref="H279:I279"/>
    <mergeCell ref="J279:K279"/>
    <mergeCell ref="L279:M279"/>
    <mergeCell ref="N279:O279"/>
    <mergeCell ref="P279:Q279"/>
    <mergeCell ref="AL278:BB278"/>
    <mergeCell ref="AD278:AE278"/>
    <mergeCell ref="AF278:AG278"/>
    <mergeCell ref="AH278:AI278"/>
    <mergeCell ref="AJ278:AK278"/>
    <mergeCell ref="R278:S278"/>
    <mergeCell ref="T278:U278"/>
    <mergeCell ref="V278:W278"/>
    <mergeCell ref="X278:Y278"/>
    <mergeCell ref="Z278:AA278"/>
    <mergeCell ref="AB278:AC278"/>
    <mergeCell ref="B278:C278"/>
    <mergeCell ref="D278:E278"/>
    <mergeCell ref="F278:G278"/>
    <mergeCell ref="H278:I278"/>
    <mergeCell ref="J278:K278"/>
    <mergeCell ref="L278:M278"/>
    <mergeCell ref="N278:O278"/>
    <mergeCell ref="P278:Q278"/>
    <mergeCell ref="AL277:BB277"/>
    <mergeCell ref="AD277:AE277"/>
    <mergeCell ref="AF277:AG277"/>
    <mergeCell ref="AH277:AI277"/>
    <mergeCell ref="AJ277:AK277"/>
    <mergeCell ref="R277:S277"/>
    <mergeCell ref="T277:U277"/>
    <mergeCell ref="V277:W277"/>
    <mergeCell ref="X277:Y277"/>
    <mergeCell ref="Z277:AA277"/>
    <mergeCell ref="AB277:AC277"/>
    <mergeCell ref="B277:C277"/>
    <mergeCell ref="D277:E277"/>
    <mergeCell ref="F277:G277"/>
    <mergeCell ref="H277:I277"/>
    <mergeCell ref="J277:K277"/>
    <mergeCell ref="L277:M277"/>
    <mergeCell ref="N277:O277"/>
    <mergeCell ref="P277:Q277"/>
    <mergeCell ref="AL276:BB276"/>
    <mergeCell ref="AD276:AE276"/>
    <mergeCell ref="AF276:AG276"/>
    <mergeCell ref="AH276:AI276"/>
    <mergeCell ref="AJ276:AK276"/>
    <mergeCell ref="R276:S276"/>
    <mergeCell ref="T276:U276"/>
    <mergeCell ref="V276:W276"/>
    <mergeCell ref="X276:Y276"/>
    <mergeCell ref="Z276:AA276"/>
    <mergeCell ref="AB276:AC276"/>
    <mergeCell ref="B276:C276"/>
    <mergeCell ref="D276:E276"/>
    <mergeCell ref="F276:G276"/>
    <mergeCell ref="H276:I276"/>
    <mergeCell ref="J276:K276"/>
    <mergeCell ref="L276:M276"/>
    <mergeCell ref="N276:O276"/>
    <mergeCell ref="P276:Q276"/>
    <mergeCell ref="AL275:BB275"/>
    <mergeCell ref="AD275:AE275"/>
    <mergeCell ref="AF275:AG275"/>
    <mergeCell ref="AH275:AI275"/>
    <mergeCell ref="AJ275:AK275"/>
    <mergeCell ref="R275:S275"/>
    <mergeCell ref="T275:U275"/>
    <mergeCell ref="V275:W275"/>
    <mergeCell ref="X275:Y275"/>
    <mergeCell ref="Z275:AA275"/>
    <mergeCell ref="AB275:AC275"/>
    <mergeCell ref="B275:C275"/>
    <mergeCell ref="D275:E275"/>
    <mergeCell ref="F275:G275"/>
    <mergeCell ref="H275:I275"/>
    <mergeCell ref="J275:K275"/>
    <mergeCell ref="L275:M275"/>
    <mergeCell ref="N275:O275"/>
    <mergeCell ref="P275:Q275"/>
    <mergeCell ref="AL274:BB274"/>
    <mergeCell ref="AD274:AE274"/>
    <mergeCell ref="AF274:AG274"/>
    <mergeCell ref="AH274:AI274"/>
    <mergeCell ref="AJ274:AK274"/>
    <mergeCell ref="R274:S274"/>
    <mergeCell ref="T274:U274"/>
    <mergeCell ref="V274:W274"/>
    <mergeCell ref="X274:Y274"/>
    <mergeCell ref="Z274:AA274"/>
    <mergeCell ref="AB274:AC274"/>
    <mergeCell ref="B274:C274"/>
    <mergeCell ref="D274:E274"/>
    <mergeCell ref="F274:G274"/>
    <mergeCell ref="H274:I274"/>
    <mergeCell ref="J274:K274"/>
    <mergeCell ref="L274:M274"/>
    <mergeCell ref="N274:O274"/>
    <mergeCell ref="P274:Q274"/>
    <mergeCell ref="AL273:BB273"/>
    <mergeCell ref="AD273:AE273"/>
    <mergeCell ref="AF273:AG273"/>
    <mergeCell ref="AH273:AI273"/>
    <mergeCell ref="AJ273:AK273"/>
    <mergeCell ref="R273:S273"/>
    <mergeCell ref="T273:U273"/>
    <mergeCell ref="V273:W273"/>
    <mergeCell ref="X273:Y273"/>
    <mergeCell ref="Z273:AA273"/>
    <mergeCell ref="AB273:AC273"/>
    <mergeCell ref="B273:C273"/>
    <mergeCell ref="D273:E273"/>
    <mergeCell ref="F273:G273"/>
    <mergeCell ref="H273:I273"/>
    <mergeCell ref="J273:K273"/>
    <mergeCell ref="L273:M273"/>
    <mergeCell ref="N273:O273"/>
    <mergeCell ref="P273:Q273"/>
    <mergeCell ref="AL272:BB272"/>
    <mergeCell ref="AD272:AE272"/>
    <mergeCell ref="AF272:AG272"/>
    <mergeCell ref="AH272:AI272"/>
    <mergeCell ref="AJ272:AK272"/>
    <mergeCell ref="R272:S272"/>
    <mergeCell ref="T272:U272"/>
    <mergeCell ref="V272:W272"/>
    <mergeCell ref="X272:Y272"/>
    <mergeCell ref="Z272:AA272"/>
    <mergeCell ref="AB272:AC272"/>
    <mergeCell ref="B272:C272"/>
    <mergeCell ref="D272:E272"/>
    <mergeCell ref="F272:G272"/>
    <mergeCell ref="H272:I272"/>
    <mergeCell ref="J272:K272"/>
    <mergeCell ref="L272:M272"/>
    <mergeCell ref="N272:O272"/>
    <mergeCell ref="P272:Q272"/>
    <mergeCell ref="AL271:BB271"/>
    <mergeCell ref="AD271:AE271"/>
    <mergeCell ref="AF271:AG271"/>
    <mergeCell ref="AH271:AI271"/>
    <mergeCell ref="AJ271:AK271"/>
    <mergeCell ref="R271:S271"/>
    <mergeCell ref="T271:U271"/>
    <mergeCell ref="V271:W271"/>
    <mergeCell ref="X271:Y271"/>
    <mergeCell ref="Z271:AA271"/>
    <mergeCell ref="AB271:AC271"/>
    <mergeCell ref="B271:C271"/>
    <mergeCell ref="D271:E271"/>
    <mergeCell ref="F271:G271"/>
    <mergeCell ref="H271:I271"/>
    <mergeCell ref="J271:K271"/>
    <mergeCell ref="L271:M271"/>
    <mergeCell ref="N271:O271"/>
    <mergeCell ref="P271:Q271"/>
    <mergeCell ref="AL270:BB270"/>
    <mergeCell ref="AD270:AE270"/>
    <mergeCell ref="AF270:AG270"/>
    <mergeCell ref="AH270:AI270"/>
    <mergeCell ref="AJ270:AK270"/>
    <mergeCell ref="R270:S270"/>
    <mergeCell ref="T270:U270"/>
    <mergeCell ref="V270:W270"/>
    <mergeCell ref="X270:Y270"/>
    <mergeCell ref="Z270:AA270"/>
    <mergeCell ref="AB270:AC270"/>
    <mergeCell ref="B270:C270"/>
    <mergeCell ref="D270:E270"/>
    <mergeCell ref="F270:G270"/>
    <mergeCell ref="H270:I270"/>
    <mergeCell ref="J270:K270"/>
    <mergeCell ref="L270:M270"/>
    <mergeCell ref="N270:O270"/>
    <mergeCell ref="P270:Q270"/>
    <mergeCell ref="AL269:BB269"/>
    <mergeCell ref="AD269:AE269"/>
    <mergeCell ref="AF269:AG269"/>
    <mergeCell ref="AH269:AI269"/>
    <mergeCell ref="AJ269:AK269"/>
    <mergeCell ref="R269:S269"/>
    <mergeCell ref="T269:U269"/>
    <mergeCell ref="V269:W269"/>
    <mergeCell ref="X269:Y269"/>
    <mergeCell ref="Z269:AA269"/>
    <mergeCell ref="AB269:AC269"/>
    <mergeCell ref="B269:C269"/>
    <mergeCell ref="D269:E269"/>
    <mergeCell ref="F269:G269"/>
    <mergeCell ref="H269:I269"/>
    <mergeCell ref="J269:K269"/>
    <mergeCell ref="L269:M269"/>
    <mergeCell ref="N269:O269"/>
    <mergeCell ref="P269:Q269"/>
    <mergeCell ref="AL268:BB268"/>
    <mergeCell ref="AD268:AE268"/>
    <mergeCell ref="AF268:AG268"/>
    <mergeCell ref="AH268:AI268"/>
    <mergeCell ref="AJ268:AK268"/>
    <mergeCell ref="R268:S268"/>
    <mergeCell ref="T268:U268"/>
    <mergeCell ref="V268:W268"/>
    <mergeCell ref="X268:Y268"/>
    <mergeCell ref="Z268:AA268"/>
    <mergeCell ref="AB268:AC268"/>
    <mergeCell ref="B268:C268"/>
    <mergeCell ref="D268:E268"/>
    <mergeCell ref="F268:G268"/>
    <mergeCell ref="H268:I268"/>
    <mergeCell ref="J268:K268"/>
    <mergeCell ref="L268:M268"/>
    <mergeCell ref="N268:O268"/>
    <mergeCell ref="P268:Q268"/>
    <mergeCell ref="AL267:BB267"/>
    <mergeCell ref="AD267:AE267"/>
    <mergeCell ref="AF267:AG267"/>
    <mergeCell ref="AH267:AI267"/>
    <mergeCell ref="AJ267:AK267"/>
    <mergeCell ref="R267:S267"/>
    <mergeCell ref="T267:U267"/>
    <mergeCell ref="V267:W267"/>
    <mergeCell ref="X267:Y267"/>
    <mergeCell ref="Z267:AA267"/>
    <mergeCell ref="AB267:AC267"/>
    <mergeCell ref="B267:C267"/>
    <mergeCell ref="D267:E267"/>
    <mergeCell ref="F267:G267"/>
    <mergeCell ref="H267:I267"/>
    <mergeCell ref="J267:K267"/>
    <mergeCell ref="L267:M267"/>
    <mergeCell ref="N267:O267"/>
    <mergeCell ref="P267:Q267"/>
    <mergeCell ref="AL266:BB266"/>
    <mergeCell ref="AD266:AE266"/>
    <mergeCell ref="AF266:AG266"/>
    <mergeCell ref="AH266:AI266"/>
    <mergeCell ref="AJ266:AK266"/>
    <mergeCell ref="R266:S266"/>
    <mergeCell ref="T266:U266"/>
    <mergeCell ref="V266:W266"/>
    <mergeCell ref="X266:Y266"/>
    <mergeCell ref="Z266:AA266"/>
    <mergeCell ref="AB266:AC266"/>
    <mergeCell ref="B266:C266"/>
    <mergeCell ref="D266:E266"/>
    <mergeCell ref="F266:G266"/>
    <mergeCell ref="H266:I266"/>
    <mergeCell ref="J266:K266"/>
    <mergeCell ref="L266:M266"/>
    <mergeCell ref="N266:O266"/>
    <mergeCell ref="P266:Q266"/>
    <mergeCell ref="AL265:BB265"/>
    <mergeCell ref="AD265:AE265"/>
    <mergeCell ref="AF265:AG265"/>
    <mergeCell ref="AH265:AI265"/>
    <mergeCell ref="AJ265:AK265"/>
    <mergeCell ref="R265:S265"/>
    <mergeCell ref="T265:U265"/>
    <mergeCell ref="V265:W265"/>
    <mergeCell ref="X265:Y265"/>
    <mergeCell ref="Z265:AA265"/>
    <mergeCell ref="AB265:AC265"/>
    <mergeCell ref="B265:C265"/>
    <mergeCell ref="D265:E265"/>
    <mergeCell ref="F265:G265"/>
    <mergeCell ref="H265:I265"/>
    <mergeCell ref="J265:K265"/>
    <mergeCell ref="L265:M265"/>
    <mergeCell ref="N265:O265"/>
    <mergeCell ref="P265:Q265"/>
    <mergeCell ref="AL264:BB264"/>
    <mergeCell ref="AD264:AE264"/>
    <mergeCell ref="AF264:AG264"/>
    <mergeCell ref="AH264:AI264"/>
    <mergeCell ref="AJ264:AK264"/>
    <mergeCell ref="R264:S264"/>
    <mergeCell ref="T264:U264"/>
    <mergeCell ref="V264:W264"/>
    <mergeCell ref="X264:Y264"/>
    <mergeCell ref="Z264:AA264"/>
    <mergeCell ref="AB264:AC264"/>
    <mergeCell ref="B264:C264"/>
    <mergeCell ref="D264:E264"/>
    <mergeCell ref="F264:G264"/>
    <mergeCell ref="H264:I264"/>
    <mergeCell ref="J264:K264"/>
    <mergeCell ref="L264:M264"/>
    <mergeCell ref="N264:O264"/>
    <mergeCell ref="P264:Q264"/>
    <mergeCell ref="AL263:BB263"/>
    <mergeCell ref="AD263:AE263"/>
    <mergeCell ref="AF263:AG263"/>
    <mergeCell ref="AH263:AI263"/>
    <mergeCell ref="AJ263:AK263"/>
    <mergeCell ref="R263:S263"/>
    <mergeCell ref="T263:U263"/>
    <mergeCell ref="V263:W263"/>
    <mergeCell ref="X263:Y263"/>
    <mergeCell ref="Z263:AA263"/>
    <mergeCell ref="AB263:AC263"/>
    <mergeCell ref="B263:C263"/>
    <mergeCell ref="D263:E263"/>
    <mergeCell ref="F263:G263"/>
    <mergeCell ref="H263:I263"/>
    <mergeCell ref="J263:K263"/>
    <mergeCell ref="L263:M263"/>
    <mergeCell ref="N263:O263"/>
    <mergeCell ref="P263:Q263"/>
    <mergeCell ref="AL262:BB262"/>
    <mergeCell ref="AD262:AE262"/>
    <mergeCell ref="AF262:AG262"/>
    <mergeCell ref="AH262:AI262"/>
    <mergeCell ref="AJ262:AK262"/>
    <mergeCell ref="R262:S262"/>
    <mergeCell ref="T262:U262"/>
    <mergeCell ref="V262:W262"/>
    <mergeCell ref="X262:Y262"/>
    <mergeCell ref="Z262:AA262"/>
    <mergeCell ref="AB262:AC262"/>
    <mergeCell ref="B262:C262"/>
    <mergeCell ref="D262:E262"/>
    <mergeCell ref="F262:G262"/>
    <mergeCell ref="H262:I262"/>
    <mergeCell ref="J262:K262"/>
    <mergeCell ref="L262:M262"/>
    <mergeCell ref="N262:O262"/>
    <mergeCell ref="P262:Q262"/>
    <mergeCell ref="AL261:BB261"/>
    <mergeCell ref="AD261:AE261"/>
    <mergeCell ref="AF261:AG261"/>
    <mergeCell ref="AH261:AI261"/>
    <mergeCell ref="AJ261:AK261"/>
    <mergeCell ref="R261:S261"/>
    <mergeCell ref="T261:U261"/>
    <mergeCell ref="V261:W261"/>
    <mergeCell ref="X261:Y261"/>
    <mergeCell ref="Z261:AA261"/>
    <mergeCell ref="AB261:AC261"/>
    <mergeCell ref="B261:C261"/>
    <mergeCell ref="D261:E261"/>
    <mergeCell ref="F261:G261"/>
    <mergeCell ref="H261:I261"/>
    <mergeCell ref="J261:K261"/>
    <mergeCell ref="L261:M261"/>
    <mergeCell ref="N261:O261"/>
    <mergeCell ref="P261:Q261"/>
    <mergeCell ref="AL260:BB260"/>
    <mergeCell ref="AD260:AE260"/>
    <mergeCell ref="AF260:AG260"/>
    <mergeCell ref="AH260:AI260"/>
    <mergeCell ref="AJ260:AK260"/>
    <mergeCell ref="R260:S260"/>
    <mergeCell ref="T260:U260"/>
    <mergeCell ref="V260:W260"/>
    <mergeCell ref="X260:Y260"/>
    <mergeCell ref="Z260:AA260"/>
    <mergeCell ref="AB260:AC260"/>
    <mergeCell ref="B260:C260"/>
    <mergeCell ref="D260:E260"/>
    <mergeCell ref="F260:G260"/>
    <mergeCell ref="H260:I260"/>
    <mergeCell ref="J260:K260"/>
    <mergeCell ref="L260:M260"/>
    <mergeCell ref="N260:O260"/>
    <mergeCell ref="P260:Q260"/>
    <mergeCell ref="AL259:BB259"/>
    <mergeCell ref="AD259:AE259"/>
    <mergeCell ref="AF259:AG259"/>
    <mergeCell ref="AH259:AI259"/>
    <mergeCell ref="AJ259:AK259"/>
    <mergeCell ref="R259:S259"/>
    <mergeCell ref="T259:U259"/>
    <mergeCell ref="V259:W259"/>
    <mergeCell ref="X259:Y259"/>
    <mergeCell ref="Z259:AA259"/>
    <mergeCell ref="AB259:AC259"/>
    <mergeCell ref="B259:C259"/>
    <mergeCell ref="D259:E259"/>
    <mergeCell ref="F259:G259"/>
    <mergeCell ref="H259:I259"/>
    <mergeCell ref="J259:K259"/>
    <mergeCell ref="L259:M259"/>
    <mergeCell ref="N259:O259"/>
    <mergeCell ref="P259:Q259"/>
    <mergeCell ref="AL258:BB258"/>
    <mergeCell ref="AD258:AE258"/>
    <mergeCell ref="AF258:AG258"/>
    <mergeCell ref="AH258:AI258"/>
    <mergeCell ref="AJ258:AK258"/>
    <mergeCell ref="R258:S258"/>
    <mergeCell ref="T258:U258"/>
    <mergeCell ref="V258:W258"/>
    <mergeCell ref="X258:Y258"/>
    <mergeCell ref="Z258:AA258"/>
    <mergeCell ref="AB258:AC258"/>
    <mergeCell ref="B258:C258"/>
    <mergeCell ref="D258:E258"/>
    <mergeCell ref="F258:G258"/>
    <mergeCell ref="H258:I258"/>
    <mergeCell ref="J258:K258"/>
    <mergeCell ref="L258:M258"/>
    <mergeCell ref="N258:O258"/>
    <mergeCell ref="P258:Q258"/>
    <mergeCell ref="AL257:BB257"/>
    <mergeCell ref="AD257:AE257"/>
    <mergeCell ref="AF257:AG257"/>
    <mergeCell ref="AH257:AI257"/>
    <mergeCell ref="AJ257:AK257"/>
    <mergeCell ref="R257:S257"/>
    <mergeCell ref="T257:U257"/>
    <mergeCell ref="V257:W257"/>
    <mergeCell ref="X257:Y257"/>
    <mergeCell ref="Z257:AA257"/>
    <mergeCell ref="AB257:AC257"/>
    <mergeCell ref="B257:C257"/>
    <mergeCell ref="D257:E257"/>
    <mergeCell ref="F257:G257"/>
    <mergeCell ref="H257:I257"/>
    <mergeCell ref="J257:K257"/>
    <mergeCell ref="L257:M257"/>
    <mergeCell ref="N257:O257"/>
    <mergeCell ref="P257:Q257"/>
    <mergeCell ref="AL256:BB256"/>
    <mergeCell ref="AD256:AE256"/>
    <mergeCell ref="AF256:AG256"/>
    <mergeCell ref="AH256:AI256"/>
    <mergeCell ref="AJ256:AK256"/>
    <mergeCell ref="R256:S256"/>
    <mergeCell ref="T256:U256"/>
    <mergeCell ref="V256:W256"/>
    <mergeCell ref="X256:Y256"/>
    <mergeCell ref="Z256:AA256"/>
    <mergeCell ref="AB256:AC256"/>
    <mergeCell ref="B256:C256"/>
    <mergeCell ref="D256:E256"/>
    <mergeCell ref="F256:G256"/>
    <mergeCell ref="H256:I256"/>
    <mergeCell ref="J256:K256"/>
    <mergeCell ref="L256:M256"/>
    <mergeCell ref="N256:O256"/>
    <mergeCell ref="P256:Q256"/>
    <mergeCell ref="AL255:BB255"/>
    <mergeCell ref="AD255:AE255"/>
    <mergeCell ref="AF255:AG255"/>
    <mergeCell ref="AH255:AI255"/>
    <mergeCell ref="AJ255:AK255"/>
    <mergeCell ref="R255:S255"/>
    <mergeCell ref="T255:U255"/>
    <mergeCell ref="V255:W255"/>
    <mergeCell ref="X255:Y255"/>
    <mergeCell ref="Z255:AA255"/>
    <mergeCell ref="AB255:AC255"/>
    <mergeCell ref="B255:C255"/>
    <mergeCell ref="D255:E255"/>
    <mergeCell ref="F255:G255"/>
    <mergeCell ref="H255:I255"/>
    <mergeCell ref="J255:K255"/>
    <mergeCell ref="L255:M255"/>
    <mergeCell ref="N255:O255"/>
    <mergeCell ref="P255:Q255"/>
    <mergeCell ref="AL254:BB254"/>
    <mergeCell ref="AD254:AE254"/>
    <mergeCell ref="AF254:AG254"/>
    <mergeCell ref="AH254:AI254"/>
    <mergeCell ref="AJ254:AK254"/>
    <mergeCell ref="R254:S254"/>
    <mergeCell ref="T254:U254"/>
    <mergeCell ref="V254:W254"/>
    <mergeCell ref="X254:Y254"/>
    <mergeCell ref="Z254:AA254"/>
    <mergeCell ref="AB254:AC254"/>
    <mergeCell ref="B254:C254"/>
    <mergeCell ref="D254:E254"/>
    <mergeCell ref="F254:G254"/>
    <mergeCell ref="H254:I254"/>
    <mergeCell ref="J254:K254"/>
    <mergeCell ref="L254:M254"/>
    <mergeCell ref="N254:O254"/>
    <mergeCell ref="P254:Q254"/>
    <mergeCell ref="AL253:BB253"/>
    <mergeCell ref="AD253:AE253"/>
    <mergeCell ref="AF253:AG253"/>
    <mergeCell ref="AH253:AI253"/>
    <mergeCell ref="AJ253:AK253"/>
    <mergeCell ref="R253:S253"/>
    <mergeCell ref="T253:U253"/>
    <mergeCell ref="V253:W253"/>
    <mergeCell ref="X253:Y253"/>
    <mergeCell ref="Z253:AA253"/>
    <mergeCell ref="AB253:AC253"/>
    <mergeCell ref="B253:C253"/>
    <mergeCell ref="D253:E253"/>
    <mergeCell ref="F253:G253"/>
    <mergeCell ref="H253:I253"/>
    <mergeCell ref="J253:K253"/>
    <mergeCell ref="L253:M253"/>
    <mergeCell ref="N253:O253"/>
    <mergeCell ref="P253:Q253"/>
    <mergeCell ref="AL252:BB252"/>
    <mergeCell ref="AD252:AE252"/>
    <mergeCell ref="AF252:AG252"/>
    <mergeCell ref="AH252:AI252"/>
    <mergeCell ref="AJ252:AK252"/>
    <mergeCell ref="R252:S252"/>
    <mergeCell ref="T252:U252"/>
    <mergeCell ref="V252:W252"/>
    <mergeCell ref="X252:Y252"/>
    <mergeCell ref="Z252:AA252"/>
    <mergeCell ref="AB252:AC252"/>
    <mergeCell ref="B252:C252"/>
    <mergeCell ref="D252:E252"/>
    <mergeCell ref="F252:G252"/>
    <mergeCell ref="H252:I252"/>
    <mergeCell ref="J252:K252"/>
    <mergeCell ref="L252:M252"/>
    <mergeCell ref="N252:O252"/>
    <mergeCell ref="P252:Q252"/>
    <mergeCell ref="AL251:BB251"/>
    <mergeCell ref="AD251:AE251"/>
    <mergeCell ref="AF251:AG251"/>
    <mergeCell ref="AH251:AI251"/>
    <mergeCell ref="AJ251:AK251"/>
    <mergeCell ref="R251:S251"/>
    <mergeCell ref="T251:U251"/>
    <mergeCell ref="V251:W251"/>
    <mergeCell ref="X251:Y251"/>
    <mergeCell ref="Z251:AA251"/>
    <mergeCell ref="AB251:AC251"/>
    <mergeCell ref="B251:C251"/>
    <mergeCell ref="D251:E251"/>
    <mergeCell ref="F251:G251"/>
    <mergeCell ref="H251:I251"/>
    <mergeCell ref="J251:K251"/>
    <mergeCell ref="L251:M251"/>
    <mergeCell ref="N251:O251"/>
    <mergeCell ref="P251:Q251"/>
    <mergeCell ref="AL250:BB250"/>
    <mergeCell ref="AD250:AE250"/>
    <mergeCell ref="AF250:AG250"/>
    <mergeCell ref="AH250:AI250"/>
    <mergeCell ref="AJ250:AK250"/>
    <mergeCell ref="R250:S250"/>
    <mergeCell ref="T250:U250"/>
    <mergeCell ref="V250:W250"/>
    <mergeCell ref="X250:Y250"/>
    <mergeCell ref="Z250:AA250"/>
    <mergeCell ref="AB250:AC250"/>
    <mergeCell ref="B250:C250"/>
    <mergeCell ref="D250:E250"/>
    <mergeCell ref="F250:G250"/>
    <mergeCell ref="H250:I250"/>
    <mergeCell ref="J250:K250"/>
    <mergeCell ref="L250:M250"/>
    <mergeCell ref="N250:O250"/>
    <mergeCell ref="P250:Q250"/>
    <mergeCell ref="AL249:BB249"/>
    <mergeCell ref="AD249:AE249"/>
    <mergeCell ref="AF249:AG249"/>
    <mergeCell ref="AH249:AI249"/>
    <mergeCell ref="AJ249:AK249"/>
    <mergeCell ref="R249:S249"/>
    <mergeCell ref="T249:U249"/>
    <mergeCell ref="V249:W249"/>
    <mergeCell ref="X249:Y249"/>
    <mergeCell ref="Z249:AA249"/>
    <mergeCell ref="AB249:AC249"/>
    <mergeCell ref="B249:C249"/>
    <mergeCell ref="D249:E249"/>
    <mergeCell ref="F249:G249"/>
    <mergeCell ref="H249:I249"/>
    <mergeCell ref="J249:K249"/>
    <mergeCell ref="L249:M249"/>
    <mergeCell ref="N249:O249"/>
    <mergeCell ref="P249:Q249"/>
    <mergeCell ref="AL248:BB248"/>
    <mergeCell ref="AD248:AE248"/>
    <mergeCell ref="AF248:AG248"/>
    <mergeCell ref="AH248:AI248"/>
    <mergeCell ref="AJ248:AK248"/>
    <mergeCell ref="R248:S248"/>
    <mergeCell ref="T248:U248"/>
    <mergeCell ref="V248:W248"/>
    <mergeCell ref="X248:Y248"/>
    <mergeCell ref="Z248:AA248"/>
    <mergeCell ref="AB248:AC248"/>
    <mergeCell ref="B248:C248"/>
    <mergeCell ref="D248:E248"/>
    <mergeCell ref="F248:G248"/>
    <mergeCell ref="H248:I248"/>
    <mergeCell ref="J248:K248"/>
    <mergeCell ref="L248:M248"/>
    <mergeCell ref="N248:O248"/>
    <mergeCell ref="P248:Q248"/>
    <mergeCell ref="AL247:BB247"/>
    <mergeCell ref="AD247:AE247"/>
    <mergeCell ref="AF247:AG247"/>
    <mergeCell ref="AH247:AI247"/>
    <mergeCell ref="AJ247:AK247"/>
    <mergeCell ref="R247:S247"/>
    <mergeCell ref="T247:U247"/>
    <mergeCell ref="V247:W247"/>
    <mergeCell ref="X247:Y247"/>
    <mergeCell ref="Z247:AA247"/>
    <mergeCell ref="AB247:AC247"/>
    <mergeCell ref="B247:C247"/>
    <mergeCell ref="D247:E247"/>
    <mergeCell ref="F247:G247"/>
    <mergeCell ref="H247:I247"/>
    <mergeCell ref="J247:K247"/>
    <mergeCell ref="L247:M247"/>
    <mergeCell ref="N247:O247"/>
    <mergeCell ref="P247:Q247"/>
    <mergeCell ref="AL246:BB246"/>
    <mergeCell ref="AD246:AE246"/>
    <mergeCell ref="AF246:AG246"/>
    <mergeCell ref="AH246:AI246"/>
    <mergeCell ref="AJ246:AK246"/>
    <mergeCell ref="R246:S246"/>
    <mergeCell ref="T246:U246"/>
    <mergeCell ref="V246:W246"/>
    <mergeCell ref="X246:Y246"/>
    <mergeCell ref="Z246:AA246"/>
    <mergeCell ref="AB246:AC246"/>
    <mergeCell ref="B246:C246"/>
    <mergeCell ref="D246:E246"/>
    <mergeCell ref="F246:G246"/>
    <mergeCell ref="H246:I246"/>
    <mergeCell ref="J246:K246"/>
    <mergeCell ref="L246:M246"/>
    <mergeCell ref="N246:O246"/>
    <mergeCell ref="P246:Q246"/>
    <mergeCell ref="AL245:BB245"/>
    <mergeCell ref="AD245:AE245"/>
    <mergeCell ref="AF245:AG245"/>
    <mergeCell ref="AH245:AI245"/>
    <mergeCell ref="AJ245:AK245"/>
    <mergeCell ref="R245:S245"/>
    <mergeCell ref="T245:U245"/>
    <mergeCell ref="V245:W245"/>
    <mergeCell ref="X245:Y245"/>
    <mergeCell ref="Z245:AA245"/>
    <mergeCell ref="AB245:AC245"/>
    <mergeCell ref="B245:C245"/>
    <mergeCell ref="D245:E245"/>
    <mergeCell ref="F245:G245"/>
    <mergeCell ref="H245:I245"/>
    <mergeCell ref="J245:K245"/>
    <mergeCell ref="L245:M245"/>
    <mergeCell ref="N245:O245"/>
    <mergeCell ref="P245:Q245"/>
    <mergeCell ref="AL244:BB244"/>
    <mergeCell ref="AD244:AE244"/>
    <mergeCell ref="AF244:AG244"/>
    <mergeCell ref="AH244:AI244"/>
    <mergeCell ref="AJ244:AK244"/>
    <mergeCell ref="R244:S244"/>
    <mergeCell ref="T244:U244"/>
    <mergeCell ref="V244:W244"/>
    <mergeCell ref="X244:Y244"/>
    <mergeCell ref="Z244:AA244"/>
    <mergeCell ref="AB244:AC244"/>
    <mergeCell ref="B244:C244"/>
    <mergeCell ref="D244:E244"/>
    <mergeCell ref="F244:G244"/>
    <mergeCell ref="H244:I244"/>
    <mergeCell ref="J244:K244"/>
    <mergeCell ref="L244:M244"/>
    <mergeCell ref="N244:O244"/>
    <mergeCell ref="P244:Q244"/>
    <mergeCell ref="AL243:BB243"/>
    <mergeCell ref="AD243:AE243"/>
    <mergeCell ref="AF243:AG243"/>
    <mergeCell ref="AH243:AI243"/>
    <mergeCell ref="AJ243:AK243"/>
    <mergeCell ref="R243:S243"/>
    <mergeCell ref="T243:U243"/>
    <mergeCell ref="V243:W243"/>
    <mergeCell ref="X243:Y243"/>
    <mergeCell ref="Z243:AA243"/>
    <mergeCell ref="AB243:AC243"/>
    <mergeCell ref="B243:C243"/>
    <mergeCell ref="D243:E243"/>
    <mergeCell ref="F243:G243"/>
    <mergeCell ref="H243:I243"/>
    <mergeCell ref="J243:K243"/>
    <mergeCell ref="L243:M243"/>
    <mergeCell ref="N243:O243"/>
    <mergeCell ref="P243:Q243"/>
    <mergeCell ref="AL242:BB242"/>
    <mergeCell ref="AD242:AE242"/>
    <mergeCell ref="AF242:AG242"/>
    <mergeCell ref="AH242:AI242"/>
    <mergeCell ref="AJ242:AK242"/>
    <mergeCell ref="R242:S242"/>
    <mergeCell ref="T242:U242"/>
    <mergeCell ref="V242:W242"/>
    <mergeCell ref="X242:Y242"/>
    <mergeCell ref="Z242:AA242"/>
    <mergeCell ref="AB242:AC242"/>
    <mergeCell ref="B242:C242"/>
    <mergeCell ref="D242:E242"/>
    <mergeCell ref="F242:G242"/>
    <mergeCell ref="H242:I242"/>
    <mergeCell ref="J242:K242"/>
    <mergeCell ref="L242:M242"/>
    <mergeCell ref="N242:O242"/>
    <mergeCell ref="P242:Q242"/>
    <mergeCell ref="AL241:BB241"/>
    <mergeCell ref="AD241:AE241"/>
    <mergeCell ref="AF241:AG241"/>
    <mergeCell ref="AH241:AI241"/>
    <mergeCell ref="AJ241:AK241"/>
    <mergeCell ref="R241:S241"/>
    <mergeCell ref="T241:U241"/>
    <mergeCell ref="V241:W241"/>
    <mergeCell ref="X241:Y241"/>
    <mergeCell ref="Z241:AA241"/>
    <mergeCell ref="AB241:AC241"/>
    <mergeCell ref="B241:C241"/>
    <mergeCell ref="D241:E241"/>
    <mergeCell ref="F241:G241"/>
    <mergeCell ref="H241:I241"/>
    <mergeCell ref="J241:K241"/>
    <mergeCell ref="L241:M241"/>
    <mergeCell ref="N241:O241"/>
    <mergeCell ref="P241:Q241"/>
    <mergeCell ref="AL240:BB240"/>
    <mergeCell ref="AD240:AE240"/>
    <mergeCell ref="AF240:AG240"/>
    <mergeCell ref="AH240:AI240"/>
    <mergeCell ref="AJ240:AK240"/>
    <mergeCell ref="R240:S240"/>
    <mergeCell ref="T240:U240"/>
    <mergeCell ref="V240:W240"/>
    <mergeCell ref="X240:Y240"/>
    <mergeCell ref="Z240:AA240"/>
    <mergeCell ref="AB240:AC240"/>
    <mergeCell ref="B240:C240"/>
    <mergeCell ref="D240:E240"/>
    <mergeCell ref="F240:G240"/>
    <mergeCell ref="H240:I240"/>
    <mergeCell ref="J240:K240"/>
    <mergeCell ref="L240:M240"/>
    <mergeCell ref="N240:O240"/>
    <mergeCell ref="P240:Q240"/>
    <mergeCell ref="AL239:BB239"/>
    <mergeCell ref="AD239:AE239"/>
    <mergeCell ref="AF239:AG239"/>
    <mergeCell ref="AH239:AI239"/>
    <mergeCell ref="AJ239:AK239"/>
    <mergeCell ref="R239:S239"/>
    <mergeCell ref="T239:U239"/>
    <mergeCell ref="V239:W239"/>
    <mergeCell ref="X239:Y239"/>
    <mergeCell ref="Z239:AA239"/>
    <mergeCell ref="AB239:AC239"/>
    <mergeCell ref="B239:C239"/>
    <mergeCell ref="D239:E239"/>
    <mergeCell ref="F239:G239"/>
    <mergeCell ref="H239:I239"/>
    <mergeCell ref="J239:K239"/>
    <mergeCell ref="L239:M239"/>
    <mergeCell ref="N239:O239"/>
    <mergeCell ref="P239:Q239"/>
    <mergeCell ref="AL238:BB238"/>
    <mergeCell ref="AD238:AE238"/>
    <mergeCell ref="AF238:AG238"/>
    <mergeCell ref="AH238:AI238"/>
    <mergeCell ref="AJ238:AK238"/>
    <mergeCell ref="R238:S238"/>
    <mergeCell ref="T238:U238"/>
    <mergeCell ref="V238:W238"/>
    <mergeCell ref="X238:Y238"/>
    <mergeCell ref="Z238:AA238"/>
    <mergeCell ref="AB238:AC238"/>
    <mergeCell ref="B238:C238"/>
    <mergeCell ref="D238:E238"/>
    <mergeCell ref="F238:G238"/>
    <mergeCell ref="H238:I238"/>
    <mergeCell ref="J238:K238"/>
    <mergeCell ref="L238:M238"/>
    <mergeCell ref="N238:O238"/>
    <mergeCell ref="P238:Q238"/>
    <mergeCell ref="AL237:BB237"/>
    <mergeCell ref="AD237:AE237"/>
    <mergeCell ref="AF237:AG237"/>
    <mergeCell ref="AH237:AI237"/>
    <mergeCell ref="AJ237:AK237"/>
    <mergeCell ref="R237:S237"/>
    <mergeCell ref="T237:U237"/>
    <mergeCell ref="V237:W237"/>
    <mergeCell ref="X237:Y237"/>
    <mergeCell ref="Z237:AA237"/>
    <mergeCell ref="AB237:AC237"/>
    <mergeCell ref="B237:C237"/>
    <mergeCell ref="D237:E237"/>
    <mergeCell ref="F237:G237"/>
    <mergeCell ref="H237:I237"/>
    <mergeCell ref="J237:K237"/>
    <mergeCell ref="L237:M237"/>
    <mergeCell ref="N237:O237"/>
    <mergeCell ref="P237:Q237"/>
    <mergeCell ref="AL236:BB236"/>
    <mergeCell ref="AD236:AE236"/>
    <mergeCell ref="AF236:AG236"/>
    <mergeCell ref="AH236:AI236"/>
    <mergeCell ref="AJ236:AK236"/>
    <mergeCell ref="R236:S236"/>
    <mergeCell ref="T236:U236"/>
    <mergeCell ref="V236:W236"/>
    <mergeCell ref="X236:Y236"/>
    <mergeCell ref="Z236:AA236"/>
    <mergeCell ref="AB236:AC236"/>
    <mergeCell ref="B236:C236"/>
    <mergeCell ref="D236:E236"/>
    <mergeCell ref="F236:G236"/>
    <mergeCell ref="H236:I236"/>
    <mergeCell ref="J236:K236"/>
    <mergeCell ref="L236:M236"/>
    <mergeCell ref="N236:O236"/>
    <mergeCell ref="P236:Q236"/>
    <mergeCell ref="AL235:BB235"/>
    <mergeCell ref="AD235:AE235"/>
    <mergeCell ref="AF235:AG235"/>
    <mergeCell ref="AH235:AI235"/>
    <mergeCell ref="AJ235:AK235"/>
    <mergeCell ref="R235:S235"/>
    <mergeCell ref="T235:U235"/>
    <mergeCell ref="V235:W235"/>
    <mergeCell ref="X235:Y235"/>
    <mergeCell ref="Z235:AA235"/>
    <mergeCell ref="AB235:AC235"/>
    <mergeCell ref="B235:C235"/>
    <mergeCell ref="D235:E235"/>
    <mergeCell ref="F235:G235"/>
    <mergeCell ref="H235:I235"/>
    <mergeCell ref="J235:K235"/>
    <mergeCell ref="L235:M235"/>
    <mergeCell ref="N235:O235"/>
    <mergeCell ref="P235:Q235"/>
    <mergeCell ref="AL234:BB234"/>
    <mergeCell ref="AD234:AE234"/>
    <mergeCell ref="AF234:AG234"/>
    <mergeCell ref="AH234:AI234"/>
    <mergeCell ref="AJ234:AK234"/>
    <mergeCell ref="R234:S234"/>
    <mergeCell ref="T234:U234"/>
    <mergeCell ref="V234:W234"/>
    <mergeCell ref="X234:Y234"/>
    <mergeCell ref="Z234:AA234"/>
    <mergeCell ref="AB234:AC234"/>
    <mergeCell ref="B234:C234"/>
    <mergeCell ref="D234:E234"/>
    <mergeCell ref="F234:G234"/>
    <mergeCell ref="H234:I234"/>
    <mergeCell ref="J234:K234"/>
    <mergeCell ref="L234:M234"/>
    <mergeCell ref="N234:O234"/>
    <mergeCell ref="P234:Q234"/>
    <mergeCell ref="AL233:BB233"/>
    <mergeCell ref="AD233:AE233"/>
    <mergeCell ref="AF233:AG233"/>
    <mergeCell ref="AH233:AI233"/>
    <mergeCell ref="AJ233:AK233"/>
    <mergeCell ref="R233:S233"/>
    <mergeCell ref="T233:U233"/>
    <mergeCell ref="V233:W233"/>
    <mergeCell ref="X233:Y233"/>
    <mergeCell ref="Z233:AA233"/>
    <mergeCell ref="AB233:AC233"/>
    <mergeCell ref="B233:C233"/>
    <mergeCell ref="D233:E233"/>
    <mergeCell ref="F233:G233"/>
    <mergeCell ref="H233:I233"/>
    <mergeCell ref="J233:K233"/>
    <mergeCell ref="L233:M233"/>
    <mergeCell ref="N233:O233"/>
    <mergeCell ref="P233:Q233"/>
    <mergeCell ref="AL232:BB232"/>
    <mergeCell ref="AD232:AE232"/>
    <mergeCell ref="AF232:AG232"/>
    <mergeCell ref="AH232:AI232"/>
    <mergeCell ref="AJ232:AK232"/>
    <mergeCell ref="R232:S232"/>
    <mergeCell ref="T232:U232"/>
    <mergeCell ref="V232:W232"/>
    <mergeCell ref="X232:Y232"/>
    <mergeCell ref="Z232:AA232"/>
    <mergeCell ref="AB232:AC232"/>
    <mergeCell ref="B232:C232"/>
    <mergeCell ref="D232:E232"/>
    <mergeCell ref="F232:G232"/>
    <mergeCell ref="H232:I232"/>
    <mergeCell ref="J232:K232"/>
    <mergeCell ref="L232:M232"/>
    <mergeCell ref="N232:O232"/>
    <mergeCell ref="P232:Q232"/>
    <mergeCell ref="AL231:BB231"/>
    <mergeCell ref="AD231:AE231"/>
    <mergeCell ref="AF231:AG231"/>
    <mergeCell ref="AH231:AI231"/>
    <mergeCell ref="AJ231:AK231"/>
    <mergeCell ref="R231:S231"/>
    <mergeCell ref="T231:U231"/>
    <mergeCell ref="V231:W231"/>
    <mergeCell ref="X231:Y231"/>
    <mergeCell ref="Z231:AA231"/>
    <mergeCell ref="AB231:AC231"/>
    <mergeCell ref="B231:C231"/>
    <mergeCell ref="D231:E231"/>
    <mergeCell ref="F231:G231"/>
    <mergeCell ref="H231:I231"/>
    <mergeCell ref="J231:K231"/>
    <mergeCell ref="L231:M231"/>
    <mergeCell ref="N231:O231"/>
    <mergeCell ref="P231:Q231"/>
    <mergeCell ref="AL230:BB230"/>
    <mergeCell ref="AD230:AE230"/>
    <mergeCell ref="AF230:AG230"/>
    <mergeCell ref="AH230:AI230"/>
    <mergeCell ref="AJ230:AK230"/>
    <mergeCell ref="R230:S230"/>
    <mergeCell ref="T230:U230"/>
    <mergeCell ref="V230:W230"/>
    <mergeCell ref="X230:Y230"/>
    <mergeCell ref="Z230:AA230"/>
    <mergeCell ref="AB230:AC230"/>
    <mergeCell ref="B230:C230"/>
    <mergeCell ref="D230:E230"/>
    <mergeCell ref="F230:G230"/>
    <mergeCell ref="H230:I230"/>
    <mergeCell ref="J230:K230"/>
    <mergeCell ref="L230:M230"/>
    <mergeCell ref="N230:O230"/>
    <mergeCell ref="P230:Q230"/>
    <mergeCell ref="AL229:BB229"/>
    <mergeCell ref="AD229:AE229"/>
    <mergeCell ref="AF229:AG229"/>
    <mergeCell ref="AH229:AI229"/>
    <mergeCell ref="AJ229:AK229"/>
    <mergeCell ref="R229:S229"/>
    <mergeCell ref="T229:U229"/>
    <mergeCell ref="V229:W229"/>
    <mergeCell ref="X229:Y229"/>
    <mergeCell ref="Z229:AA229"/>
    <mergeCell ref="AB229:AC229"/>
    <mergeCell ref="B229:C229"/>
    <mergeCell ref="D229:E229"/>
    <mergeCell ref="F229:G229"/>
    <mergeCell ref="H229:I229"/>
    <mergeCell ref="J229:K229"/>
    <mergeCell ref="L229:M229"/>
    <mergeCell ref="N229:O229"/>
    <mergeCell ref="P229:Q229"/>
    <mergeCell ref="AL228:BB228"/>
    <mergeCell ref="AD228:AE228"/>
    <mergeCell ref="AF228:AG228"/>
    <mergeCell ref="AH228:AI228"/>
    <mergeCell ref="AJ228:AK228"/>
    <mergeCell ref="R228:S228"/>
    <mergeCell ref="T228:U228"/>
    <mergeCell ref="V228:W228"/>
    <mergeCell ref="X228:Y228"/>
    <mergeCell ref="Z228:AA228"/>
    <mergeCell ref="AB228:AC228"/>
    <mergeCell ref="B228:C228"/>
    <mergeCell ref="D228:E228"/>
    <mergeCell ref="F228:G228"/>
    <mergeCell ref="H228:I228"/>
    <mergeCell ref="J228:K228"/>
    <mergeCell ref="L228:M228"/>
    <mergeCell ref="N228:O228"/>
    <mergeCell ref="P228:Q228"/>
    <mergeCell ref="AL227:BB227"/>
    <mergeCell ref="AD227:AE227"/>
    <mergeCell ref="AF227:AG227"/>
    <mergeCell ref="AH227:AI227"/>
    <mergeCell ref="AJ227:AK227"/>
    <mergeCell ref="R227:S227"/>
    <mergeCell ref="T227:U227"/>
    <mergeCell ref="V227:W227"/>
    <mergeCell ref="X227:Y227"/>
    <mergeCell ref="Z227:AA227"/>
    <mergeCell ref="AB227:AC227"/>
    <mergeCell ref="B227:C227"/>
    <mergeCell ref="D227:E227"/>
    <mergeCell ref="F227:G227"/>
    <mergeCell ref="H227:I227"/>
    <mergeCell ref="J227:K227"/>
    <mergeCell ref="L227:M227"/>
    <mergeCell ref="N227:O227"/>
    <mergeCell ref="P227:Q227"/>
    <mergeCell ref="AL226:BB226"/>
    <mergeCell ref="Z226:AA226"/>
    <mergeCell ref="AB226:AC226"/>
    <mergeCell ref="AD226:AE226"/>
    <mergeCell ref="AF226:AG226"/>
    <mergeCell ref="AH226:AI226"/>
    <mergeCell ref="AJ226:AK226"/>
    <mergeCell ref="N226:O226"/>
    <mergeCell ref="P226:Q226"/>
    <mergeCell ref="R226:S226"/>
    <mergeCell ref="T226:U226"/>
    <mergeCell ref="V226:W226"/>
    <mergeCell ref="X226:Y226"/>
    <mergeCell ref="B226:C226"/>
    <mergeCell ref="D226:E226"/>
    <mergeCell ref="F226:G226"/>
    <mergeCell ref="H226:I226"/>
    <mergeCell ref="J226:K226"/>
    <mergeCell ref="L226:M226"/>
    <mergeCell ref="AL225:BB225"/>
    <mergeCell ref="AD225:AE225"/>
    <mergeCell ref="AF225:AG225"/>
    <mergeCell ref="AH225:AI225"/>
    <mergeCell ref="AJ225:AK225"/>
    <mergeCell ref="R225:S225"/>
    <mergeCell ref="T225:U225"/>
    <mergeCell ref="V225:W225"/>
    <mergeCell ref="X225:Y225"/>
    <mergeCell ref="Z225:AA225"/>
    <mergeCell ref="AB225:AC225"/>
    <mergeCell ref="B225:C225"/>
    <mergeCell ref="D225:E225"/>
    <mergeCell ref="F225:G225"/>
    <mergeCell ref="H225:I225"/>
    <mergeCell ref="J225:K225"/>
    <mergeCell ref="L225:M225"/>
    <mergeCell ref="N225:O225"/>
    <mergeCell ref="P225:Q225"/>
    <mergeCell ref="AL224:BB224"/>
    <mergeCell ref="Z224:AA224"/>
    <mergeCell ref="AB224:AC224"/>
    <mergeCell ref="AD224:AE224"/>
    <mergeCell ref="AF224:AG224"/>
    <mergeCell ref="AH224:AI224"/>
    <mergeCell ref="AJ224:AK224"/>
    <mergeCell ref="N224:O224"/>
    <mergeCell ref="P224:Q224"/>
    <mergeCell ref="R224:S224"/>
    <mergeCell ref="T224:U224"/>
    <mergeCell ref="V224:W224"/>
    <mergeCell ref="X224:Y224"/>
    <mergeCell ref="B224:C224"/>
    <mergeCell ref="D224:E224"/>
    <mergeCell ref="F224:G224"/>
    <mergeCell ref="H224:I224"/>
    <mergeCell ref="J224:K224"/>
    <mergeCell ref="L224:M224"/>
    <mergeCell ref="AL223:BB223"/>
    <mergeCell ref="AD223:AE223"/>
    <mergeCell ref="AF223:AG223"/>
    <mergeCell ref="AH223:AI223"/>
    <mergeCell ref="AJ223:AK223"/>
    <mergeCell ref="R223:S223"/>
    <mergeCell ref="T223:U223"/>
    <mergeCell ref="V223:W223"/>
    <mergeCell ref="X223:Y223"/>
    <mergeCell ref="Z223:AA223"/>
    <mergeCell ref="AB223:AC223"/>
    <mergeCell ref="B223:C223"/>
    <mergeCell ref="D223:E223"/>
    <mergeCell ref="F223:G223"/>
    <mergeCell ref="H223:I223"/>
    <mergeCell ref="J223:K223"/>
    <mergeCell ref="L223:M223"/>
    <mergeCell ref="N223:O223"/>
    <mergeCell ref="P223:Q223"/>
    <mergeCell ref="AL222:BB222"/>
    <mergeCell ref="Z222:AA222"/>
    <mergeCell ref="AB222:AC222"/>
    <mergeCell ref="AD222:AE222"/>
    <mergeCell ref="AF222:AG222"/>
    <mergeCell ref="AH222:AI222"/>
    <mergeCell ref="AJ222:AK222"/>
    <mergeCell ref="N222:O222"/>
    <mergeCell ref="P222:Q222"/>
    <mergeCell ref="R222:S222"/>
    <mergeCell ref="T222:U222"/>
    <mergeCell ref="V222:W222"/>
    <mergeCell ref="X222:Y222"/>
    <mergeCell ref="B222:C222"/>
    <mergeCell ref="D222:E222"/>
    <mergeCell ref="F222:G222"/>
    <mergeCell ref="H222:I222"/>
    <mergeCell ref="J222:K222"/>
    <mergeCell ref="L222:M222"/>
    <mergeCell ref="AL221:BB221"/>
    <mergeCell ref="AD221:AE221"/>
    <mergeCell ref="AF221:AG221"/>
    <mergeCell ref="AH221:AI221"/>
    <mergeCell ref="AJ221:AK221"/>
    <mergeCell ref="R221:S221"/>
    <mergeCell ref="T221:U221"/>
    <mergeCell ref="V221:W221"/>
    <mergeCell ref="X221:Y221"/>
    <mergeCell ref="Z221:AA221"/>
    <mergeCell ref="AB221:AC221"/>
    <mergeCell ref="B221:C221"/>
    <mergeCell ref="D221:E221"/>
    <mergeCell ref="F221:G221"/>
    <mergeCell ref="H221:I221"/>
    <mergeCell ref="J221:K221"/>
    <mergeCell ref="L221:M221"/>
    <mergeCell ref="N221:O221"/>
    <mergeCell ref="P221:Q221"/>
    <mergeCell ref="AL220:BB220"/>
    <mergeCell ref="Z220:AA220"/>
    <mergeCell ref="AB220:AC220"/>
    <mergeCell ref="AD220:AE220"/>
    <mergeCell ref="AF220:AG220"/>
    <mergeCell ref="AH220:AI220"/>
    <mergeCell ref="AJ220:AK220"/>
    <mergeCell ref="N220:O220"/>
    <mergeCell ref="P220:Q220"/>
    <mergeCell ref="R220:S220"/>
    <mergeCell ref="T220:U220"/>
    <mergeCell ref="V220:W220"/>
    <mergeCell ref="X220:Y220"/>
    <mergeCell ref="B220:C220"/>
    <mergeCell ref="D220:E220"/>
    <mergeCell ref="F220:G220"/>
    <mergeCell ref="H220:I220"/>
    <mergeCell ref="J220:K220"/>
    <mergeCell ref="L220:M220"/>
    <mergeCell ref="AL219:BB219"/>
    <mergeCell ref="AD219:AE219"/>
    <mergeCell ref="AF219:AG219"/>
    <mergeCell ref="AH219:AI219"/>
    <mergeCell ref="AJ219:AK219"/>
    <mergeCell ref="R219:S219"/>
    <mergeCell ref="T219:U219"/>
    <mergeCell ref="V219:W219"/>
    <mergeCell ref="X219:Y219"/>
    <mergeCell ref="Z219:AA219"/>
    <mergeCell ref="AB219:AC219"/>
    <mergeCell ref="B219:C219"/>
    <mergeCell ref="D219:E219"/>
    <mergeCell ref="F219:G219"/>
    <mergeCell ref="H219:I219"/>
    <mergeCell ref="J219:K219"/>
    <mergeCell ref="L219:M219"/>
    <mergeCell ref="N219:O219"/>
    <mergeCell ref="P219:Q219"/>
    <mergeCell ref="AL218:BB218"/>
    <mergeCell ref="Z218:AA218"/>
    <mergeCell ref="AB218:AC218"/>
    <mergeCell ref="AD218:AE218"/>
    <mergeCell ref="AF218:AG218"/>
    <mergeCell ref="AH218:AI218"/>
    <mergeCell ref="AJ218:AK218"/>
    <mergeCell ref="N218:O218"/>
    <mergeCell ref="P218:Q218"/>
    <mergeCell ref="R218:S218"/>
    <mergeCell ref="T218:U218"/>
    <mergeCell ref="V218:W218"/>
    <mergeCell ref="X218:Y218"/>
    <mergeCell ref="B218:C218"/>
    <mergeCell ref="D218:E218"/>
    <mergeCell ref="F218:G218"/>
    <mergeCell ref="H218:I218"/>
    <mergeCell ref="J218:K218"/>
    <mergeCell ref="L218:M218"/>
    <mergeCell ref="AL217:BB217"/>
    <mergeCell ref="Z217:AA217"/>
    <mergeCell ref="AB217:AC217"/>
    <mergeCell ref="AD217:AE217"/>
    <mergeCell ref="AF217:AG217"/>
    <mergeCell ref="AH217:AI217"/>
    <mergeCell ref="AJ217:AK217"/>
    <mergeCell ref="N217:O217"/>
    <mergeCell ref="P217:Q217"/>
    <mergeCell ref="R217:S217"/>
    <mergeCell ref="T217:U217"/>
    <mergeCell ref="V217:W217"/>
    <mergeCell ref="X217:Y217"/>
    <mergeCell ref="B217:C217"/>
    <mergeCell ref="D217:E217"/>
    <mergeCell ref="F217:G217"/>
    <mergeCell ref="H217:I217"/>
    <mergeCell ref="J217:K217"/>
    <mergeCell ref="L217:M217"/>
    <mergeCell ref="AL216:BB216"/>
    <mergeCell ref="Z216:AA216"/>
    <mergeCell ref="AB216:AC216"/>
    <mergeCell ref="AD216:AE216"/>
    <mergeCell ref="AF216:AG216"/>
    <mergeCell ref="AH216:AI216"/>
    <mergeCell ref="AJ216:AK216"/>
    <mergeCell ref="N216:O216"/>
    <mergeCell ref="P216:Q216"/>
    <mergeCell ref="R216:S216"/>
    <mergeCell ref="T216:U216"/>
    <mergeCell ref="V216:W216"/>
    <mergeCell ref="X216:Y216"/>
    <mergeCell ref="B216:C216"/>
    <mergeCell ref="D216:E216"/>
    <mergeCell ref="F216:G216"/>
    <mergeCell ref="H216:I216"/>
    <mergeCell ref="J216:K216"/>
    <mergeCell ref="L216:M216"/>
    <mergeCell ref="AL215:BB215"/>
    <mergeCell ref="AD215:AE215"/>
    <mergeCell ref="AF215:AG215"/>
    <mergeCell ref="AH215:AI215"/>
    <mergeCell ref="AJ215:AK215"/>
    <mergeCell ref="R215:S215"/>
    <mergeCell ref="T215:U215"/>
    <mergeCell ref="V215:W215"/>
    <mergeCell ref="X215:Y215"/>
    <mergeCell ref="Z215:AA215"/>
    <mergeCell ref="AB215:AC215"/>
    <mergeCell ref="B215:C215"/>
    <mergeCell ref="D215:E215"/>
    <mergeCell ref="F215:G215"/>
    <mergeCell ref="H215:I215"/>
    <mergeCell ref="J215:K215"/>
    <mergeCell ref="L215:M215"/>
    <mergeCell ref="N215:O215"/>
    <mergeCell ref="P215:Q215"/>
    <mergeCell ref="AL214:BB214"/>
    <mergeCell ref="AD214:AE214"/>
    <mergeCell ref="AF214:AG214"/>
    <mergeCell ref="AH214:AI214"/>
    <mergeCell ref="AJ214:AK214"/>
    <mergeCell ref="R214:S214"/>
    <mergeCell ref="T214:U214"/>
    <mergeCell ref="V214:W214"/>
    <mergeCell ref="X214:Y214"/>
    <mergeCell ref="Z214:AA214"/>
    <mergeCell ref="AB214:AC214"/>
    <mergeCell ref="B214:C214"/>
    <mergeCell ref="D214:E214"/>
    <mergeCell ref="F214:G214"/>
    <mergeCell ref="H214:I214"/>
    <mergeCell ref="J214:K214"/>
    <mergeCell ref="L214:M214"/>
    <mergeCell ref="N214:O214"/>
    <mergeCell ref="P214:Q214"/>
    <mergeCell ref="AL213:BB213"/>
    <mergeCell ref="AD213:AE213"/>
    <mergeCell ref="AF213:AG213"/>
    <mergeCell ref="AH213:AI213"/>
    <mergeCell ref="AJ213:AK213"/>
    <mergeCell ref="R213:S213"/>
    <mergeCell ref="T213:U213"/>
    <mergeCell ref="V213:W213"/>
    <mergeCell ref="X213:Y213"/>
    <mergeCell ref="Z213:AA213"/>
    <mergeCell ref="AB213:AC213"/>
    <mergeCell ref="B213:C213"/>
    <mergeCell ref="D213:E213"/>
    <mergeCell ref="F213:G213"/>
    <mergeCell ref="H213:I213"/>
    <mergeCell ref="J213:K213"/>
    <mergeCell ref="L213:M213"/>
    <mergeCell ref="N213:O213"/>
    <mergeCell ref="P213:Q213"/>
    <mergeCell ref="AL212:BB212"/>
    <mergeCell ref="AD212:AE212"/>
    <mergeCell ref="AF212:AG212"/>
    <mergeCell ref="AH212:AI212"/>
    <mergeCell ref="AJ212:AK212"/>
    <mergeCell ref="R212:S212"/>
    <mergeCell ref="T212:U212"/>
    <mergeCell ref="V212:W212"/>
    <mergeCell ref="X212:Y212"/>
    <mergeCell ref="Z212:AA212"/>
    <mergeCell ref="AB212:AC212"/>
    <mergeCell ref="B212:C212"/>
    <mergeCell ref="D212:E212"/>
    <mergeCell ref="F212:G212"/>
    <mergeCell ref="H212:I212"/>
    <mergeCell ref="J212:K212"/>
    <mergeCell ref="L212:M212"/>
    <mergeCell ref="N212:O212"/>
    <mergeCell ref="P212:Q212"/>
    <mergeCell ref="AL211:BB211"/>
    <mergeCell ref="AD211:AE211"/>
    <mergeCell ref="AF211:AG211"/>
    <mergeCell ref="AH211:AI211"/>
    <mergeCell ref="AJ211:AK211"/>
    <mergeCell ref="R211:S211"/>
    <mergeCell ref="T211:U211"/>
    <mergeCell ref="V211:W211"/>
    <mergeCell ref="X211:Y211"/>
    <mergeCell ref="Z211:AA211"/>
    <mergeCell ref="AB211:AC211"/>
    <mergeCell ref="B211:C211"/>
    <mergeCell ref="D211:E211"/>
    <mergeCell ref="F211:G211"/>
    <mergeCell ref="H211:I211"/>
    <mergeCell ref="J211:K211"/>
    <mergeCell ref="L211:M211"/>
    <mergeCell ref="N211:O211"/>
    <mergeCell ref="P211:Q211"/>
    <mergeCell ref="AL210:BB210"/>
    <mergeCell ref="AD210:AE210"/>
    <mergeCell ref="AF210:AG210"/>
    <mergeCell ref="AH210:AI210"/>
    <mergeCell ref="AJ210:AK210"/>
    <mergeCell ref="R210:S210"/>
    <mergeCell ref="T210:U210"/>
    <mergeCell ref="V210:W210"/>
    <mergeCell ref="X210:Y210"/>
    <mergeCell ref="Z210:AA210"/>
    <mergeCell ref="AB210:AC210"/>
    <mergeCell ref="B210:C210"/>
    <mergeCell ref="D210:E210"/>
    <mergeCell ref="F210:G210"/>
    <mergeCell ref="H210:I210"/>
    <mergeCell ref="J210:K210"/>
    <mergeCell ref="L210:M210"/>
    <mergeCell ref="N210:O210"/>
    <mergeCell ref="P210:Q210"/>
    <mergeCell ref="AL209:BB209"/>
    <mergeCell ref="AD209:AE209"/>
    <mergeCell ref="AF209:AG209"/>
    <mergeCell ref="AH209:AI209"/>
    <mergeCell ref="AJ209:AK209"/>
    <mergeCell ref="R209:S209"/>
    <mergeCell ref="T209:U209"/>
    <mergeCell ref="V209:W209"/>
    <mergeCell ref="X209:Y209"/>
    <mergeCell ref="Z209:AA209"/>
    <mergeCell ref="AB209:AC209"/>
    <mergeCell ref="B209:C209"/>
    <mergeCell ref="D209:E209"/>
    <mergeCell ref="F209:G209"/>
    <mergeCell ref="H209:I209"/>
    <mergeCell ref="J209:K209"/>
    <mergeCell ref="L209:M209"/>
    <mergeCell ref="N209:O209"/>
    <mergeCell ref="P209:Q209"/>
    <mergeCell ref="AL208:BB208"/>
    <mergeCell ref="AD208:AE208"/>
    <mergeCell ref="AF208:AG208"/>
    <mergeCell ref="AH208:AI208"/>
    <mergeCell ref="AJ208:AK208"/>
    <mergeCell ref="R208:S208"/>
    <mergeCell ref="T208:U208"/>
    <mergeCell ref="V208:W208"/>
    <mergeCell ref="X208:Y208"/>
    <mergeCell ref="Z208:AA208"/>
    <mergeCell ref="AB208:AC208"/>
    <mergeCell ref="B208:C208"/>
    <mergeCell ref="D208:E208"/>
    <mergeCell ref="F208:G208"/>
    <mergeCell ref="H208:I208"/>
    <mergeCell ref="J208:K208"/>
    <mergeCell ref="L208:M208"/>
    <mergeCell ref="N208:O208"/>
    <mergeCell ref="P208:Q208"/>
    <mergeCell ref="AL207:BB207"/>
    <mergeCell ref="AD207:AE207"/>
    <mergeCell ref="AF207:AG207"/>
    <mergeCell ref="AH207:AI207"/>
    <mergeCell ref="AJ207:AK207"/>
    <mergeCell ref="R207:S207"/>
    <mergeCell ref="T207:U207"/>
    <mergeCell ref="V207:W207"/>
    <mergeCell ref="X207:Y207"/>
    <mergeCell ref="Z207:AA207"/>
    <mergeCell ref="AB207:AC207"/>
    <mergeCell ref="B207:C207"/>
    <mergeCell ref="D207:E207"/>
    <mergeCell ref="F207:G207"/>
    <mergeCell ref="H207:I207"/>
    <mergeCell ref="J207:K207"/>
    <mergeCell ref="L207:M207"/>
    <mergeCell ref="N207:O207"/>
    <mergeCell ref="P207:Q207"/>
    <mergeCell ref="AL206:BB206"/>
    <mergeCell ref="AD206:AE206"/>
    <mergeCell ref="AF206:AG206"/>
    <mergeCell ref="AH206:AI206"/>
    <mergeCell ref="AJ206:AK206"/>
    <mergeCell ref="R206:S206"/>
    <mergeCell ref="T206:U206"/>
    <mergeCell ref="V206:W206"/>
    <mergeCell ref="X206:Y206"/>
    <mergeCell ref="Z206:AA206"/>
    <mergeCell ref="AB206:AC206"/>
    <mergeCell ref="B206:C206"/>
    <mergeCell ref="D206:E206"/>
    <mergeCell ref="F206:G206"/>
    <mergeCell ref="H206:I206"/>
    <mergeCell ref="J206:K206"/>
    <mergeCell ref="L206:M206"/>
    <mergeCell ref="N206:O206"/>
    <mergeCell ref="P206:Q206"/>
    <mergeCell ref="AL205:BB205"/>
    <mergeCell ref="AD205:AE205"/>
    <mergeCell ref="AF205:AG205"/>
    <mergeCell ref="AH205:AI205"/>
    <mergeCell ref="AJ205:AK205"/>
    <mergeCell ref="R205:S205"/>
    <mergeCell ref="T205:U205"/>
    <mergeCell ref="V205:W205"/>
    <mergeCell ref="X205:Y205"/>
    <mergeCell ref="Z205:AA205"/>
    <mergeCell ref="AB205:AC205"/>
    <mergeCell ref="B205:C205"/>
    <mergeCell ref="D205:E205"/>
    <mergeCell ref="F205:G205"/>
    <mergeCell ref="H205:I205"/>
    <mergeCell ref="J205:K205"/>
    <mergeCell ref="L205:M205"/>
    <mergeCell ref="N205:O205"/>
    <mergeCell ref="P205:Q205"/>
    <mergeCell ref="AL204:BB204"/>
    <mergeCell ref="AD204:AE204"/>
    <mergeCell ref="AF204:AG204"/>
    <mergeCell ref="AH204:AI204"/>
    <mergeCell ref="AJ204:AK204"/>
    <mergeCell ref="R204:S204"/>
    <mergeCell ref="T204:U204"/>
    <mergeCell ref="V204:W204"/>
    <mergeCell ref="X204:Y204"/>
    <mergeCell ref="Z204:AA204"/>
    <mergeCell ref="AB204:AC204"/>
    <mergeCell ref="B204:C204"/>
    <mergeCell ref="D204:E204"/>
    <mergeCell ref="F204:G204"/>
    <mergeCell ref="H204:I204"/>
    <mergeCell ref="J204:K204"/>
    <mergeCell ref="L204:M204"/>
    <mergeCell ref="N204:O204"/>
    <mergeCell ref="P204:Q204"/>
    <mergeCell ref="AL203:BB203"/>
    <mergeCell ref="AD203:AE203"/>
    <mergeCell ref="AF203:AG203"/>
    <mergeCell ref="AH203:AI203"/>
    <mergeCell ref="AJ203:AK203"/>
    <mergeCell ref="R203:S203"/>
    <mergeCell ref="T203:U203"/>
    <mergeCell ref="V203:W203"/>
    <mergeCell ref="X203:Y203"/>
    <mergeCell ref="Z203:AA203"/>
    <mergeCell ref="AB203:AC203"/>
    <mergeCell ref="B203:C203"/>
    <mergeCell ref="D203:E203"/>
    <mergeCell ref="F203:G203"/>
    <mergeCell ref="H203:I203"/>
    <mergeCell ref="J203:K203"/>
    <mergeCell ref="L203:M203"/>
    <mergeCell ref="N203:O203"/>
    <mergeCell ref="P203:Q203"/>
    <mergeCell ref="AL202:BB202"/>
    <mergeCell ref="AD202:AE202"/>
    <mergeCell ref="AF202:AG202"/>
    <mergeCell ref="AH202:AI202"/>
    <mergeCell ref="AJ202:AK202"/>
    <mergeCell ref="R202:S202"/>
    <mergeCell ref="T202:U202"/>
    <mergeCell ref="V202:W202"/>
    <mergeCell ref="X202:Y202"/>
    <mergeCell ref="Z202:AA202"/>
    <mergeCell ref="AB202:AC202"/>
    <mergeCell ref="B202:C202"/>
    <mergeCell ref="D202:E202"/>
    <mergeCell ref="F202:G202"/>
    <mergeCell ref="H202:I202"/>
    <mergeCell ref="J202:K202"/>
    <mergeCell ref="L202:M202"/>
    <mergeCell ref="N202:O202"/>
    <mergeCell ref="P202:Q202"/>
    <mergeCell ref="AL201:BB201"/>
    <mergeCell ref="AD201:AE201"/>
    <mergeCell ref="AF201:AG201"/>
    <mergeCell ref="AH201:AI201"/>
    <mergeCell ref="AJ201:AK201"/>
    <mergeCell ref="R201:S201"/>
    <mergeCell ref="T201:U201"/>
    <mergeCell ref="V201:W201"/>
    <mergeCell ref="X201:Y201"/>
    <mergeCell ref="Z201:AA201"/>
    <mergeCell ref="AB201:AC201"/>
    <mergeCell ref="B201:C201"/>
    <mergeCell ref="D201:E201"/>
    <mergeCell ref="F201:G201"/>
    <mergeCell ref="H201:I201"/>
    <mergeCell ref="J201:K201"/>
    <mergeCell ref="L201:M201"/>
    <mergeCell ref="N201:O201"/>
    <mergeCell ref="P201:Q201"/>
    <mergeCell ref="AL200:BB200"/>
    <mergeCell ref="AD200:AE200"/>
    <mergeCell ref="AF200:AG200"/>
    <mergeCell ref="AH200:AI200"/>
    <mergeCell ref="AJ200:AK200"/>
    <mergeCell ref="R200:S200"/>
    <mergeCell ref="T200:U200"/>
    <mergeCell ref="V200:W200"/>
    <mergeCell ref="X200:Y200"/>
    <mergeCell ref="Z200:AA200"/>
    <mergeCell ref="AB200:AC200"/>
    <mergeCell ref="B200:C200"/>
    <mergeCell ref="D200:E200"/>
    <mergeCell ref="F200:G200"/>
    <mergeCell ref="H200:I200"/>
    <mergeCell ref="J200:K200"/>
    <mergeCell ref="L200:M200"/>
    <mergeCell ref="N200:O200"/>
    <mergeCell ref="P200:Q200"/>
    <mergeCell ref="AL199:BB199"/>
    <mergeCell ref="AD199:AE199"/>
    <mergeCell ref="AF199:AG199"/>
    <mergeCell ref="AH199:AI199"/>
    <mergeCell ref="AJ199:AK199"/>
    <mergeCell ref="R199:S199"/>
    <mergeCell ref="T199:U199"/>
    <mergeCell ref="V199:W199"/>
    <mergeCell ref="X199:Y199"/>
    <mergeCell ref="Z199:AA199"/>
    <mergeCell ref="AB199:AC199"/>
    <mergeCell ref="B199:C199"/>
    <mergeCell ref="D199:E199"/>
    <mergeCell ref="F199:G199"/>
    <mergeCell ref="H199:I199"/>
    <mergeCell ref="J199:K199"/>
    <mergeCell ref="L199:M199"/>
    <mergeCell ref="N199:O199"/>
    <mergeCell ref="P199:Q199"/>
    <mergeCell ref="AL198:BB198"/>
    <mergeCell ref="AD198:AE198"/>
    <mergeCell ref="AF198:AG198"/>
    <mergeCell ref="AH198:AI198"/>
    <mergeCell ref="AJ198:AK198"/>
    <mergeCell ref="R198:S198"/>
    <mergeCell ref="T198:U198"/>
    <mergeCell ref="V198:W198"/>
    <mergeCell ref="X198:Y198"/>
    <mergeCell ref="Z198:AA198"/>
    <mergeCell ref="AB198:AC198"/>
    <mergeCell ref="B198:C198"/>
    <mergeCell ref="D198:E198"/>
    <mergeCell ref="F198:G198"/>
    <mergeCell ref="H198:I198"/>
    <mergeCell ref="J198:K198"/>
    <mergeCell ref="L198:M198"/>
    <mergeCell ref="N198:O198"/>
    <mergeCell ref="P198:Q198"/>
    <mergeCell ref="AL197:BB197"/>
    <mergeCell ref="AD197:AE197"/>
    <mergeCell ref="AF197:AG197"/>
    <mergeCell ref="AH197:AI197"/>
    <mergeCell ref="AJ197:AK197"/>
    <mergeCell ref="R197:S197"/>
    <mergeCell ref="T197:U197"/>
    <mergeCell ref="V197:W197"/>
    <mergeCell ref="X197:Y197"/>
    <mergeCell ref="Z197:AA197"/>
    <mergeCell ref="AB197:AC197"/>
    <mergeCell ref="B197:C197"/>
    <mergeCell ref="D197:E197"/>
    <mergeCell ref="F197:G197"/>
    <mergeCell ref="H197:I197"/>
    <mergeCell ref="J197:K197"/>
    <mergeCell ref="L197:M197"/>
    <mergeCell ref="N197:O197"/>
    <mergeCell ref="P197:Q197"/>
    <mergeCell ref="AL196:BB196"/>
    <mergeCell ref="AD196:AE196"/>
    <mergeCell ref="AF196:AG196"/>
    <mergeCell ref="AH196:AI196"/>
    <mergeCell ref="AJ196:AK196"/>
    <mergeCell ref="R196:S196"/>
    <mergeCell ref="T196:U196"/>
    <mergeCell ref="V196:W196"/>
    <mergeCell ref="X196:Y196"/>
    <mergeCell ref="Z196:AA196"/>
    <mergeCell ref="AB196:AC196"/>
    <mergeCell ref="B196:C196"/>
    <mergeCell ref="D196:E196"/>
    <mergeCell ref="F196:G196"/>
    <mergeCell ref="H196:I196"/>
    <mergeCell ref="J196:K196"/>
    <mergeCell ref="L196:M196"/>
    <mergeCell ref="N196:O196"/>
    <mergeCell ref="P196:Q196"/>
    <mergeCell ref="AL195:BB195"/>
    <mergeCell ref="AD195:AE195"/>
    <mergeCell ref="AF195:AG195"/>
    <mergeCell ref="AH195:AI195"/>
    <mergeCell ref="AJ195:AK195"/>
    <mergeCell ref="R195:S195"/>
    <mergeCell ref="T195:U195"/>
    <mergeCell ref="V195:W195"/>
    <mergeCell ref="X195:Y195"/>
    <mergeCell ref="Z195:AA195"/>
    <mergeCell ref="AB195:AC195"/>
    <mergeCell ref="B195:C195"/>
    <mergeCell ref="D195:E195"/>
    <mergeCell ref="F195:G195"/>
    <mergeCell ref="H195:I195"/>
    <mergeCell ref="J195:K195"/>
    <mergeCell ref="L195:M195"/>
    <mergeCell ref="N195:O195"/>
    <mergeCell ref="P195:Q195"/>
    <mergeCell ref="AL194:BB194"/>
    <mergeCell ref="AD194:AE194"/>
    <mergeCell ref="AF194:AG194"/>
    <mergeCell ref="AH194:AI194"/>
    <mergeCell ref="AJ194:AK194"/>
    <mergeCell ref="R194:S194"/>
    <mergeCell ref="T194:U194"/>
    <mergeCell ref="V194:W194"/>
    <mergeCell ref="X194:Y194"/>
    <mergeCell ref="Z194:AA194"/>
    <mergeCell ref="AB194:AC194"/>
    <mergeCell ref="B194:C194"/>
    <mergeCell ref="D194:E194"/>
    <mergeCell ref="F194:G194"/>
    <mergeCell ref="H194:I194"/>
    <mergeCell ref="J194:K194"/>
    <mergeCell ref="L194:M194"/>
    <mergeCell ref="N194:O194"/>
    <mergeCell ref="P194:Q194"/>
    <mergeCell ref="AL193:BB193"/>
    <mergeCell ref="AD193:AE193"/>
    <mergeCell ref="AF193:AG193"/>
    <mergeCell ref="AH193:AI193"/>
    <mergeCell ref="AJ193:AK193"/>
    <mergeCell ref="R193:S193"/>
    <mergeCell ref="T193:U193"/>
    <mergeCell ref="V193:W193"/>
    <mergeCell ref="X193:Y193"/>
    <mergeCell ref="Z193:AA193"/>
    <mergeCell ref="AB193:AC193"/>
    <mergeCell ref="B193:C193"/>
    <mergeCell ref="D193:E193"/>
    <mergeCell ref="F193:G193"/>
    <mergeCell ref="H193:I193"/>
    <mergeCell ref="J193:K193"/>
    <mergeCell ref="L193:M193"/>
    <mergeCell ref="N193:O193"/>
    <mergeCell ref="P193:Q193"/>
    <mergeCell ref="AL192:BB192"/>
    <mergeCell ref="AD192:AE192"/>
    <mergeCell ref="AF192:AG192"/>
    <mergeCell ref="AH192:AI192"/>
    <mergeCell ref="AJ192:AK192"/>
    <mergeCell ref="R192:S192"/>
    <mergeCell ref="T192:U192"/>
    <mergeCell ref="V192:W192"/>
    <mergeCell ref="X192:Y192"/>
    <mergeCell ref="Z192:AA192"/>
    <mergeCell ref="AB192:AC192"/>
    <mergeCell ref="B192:C192"/>
    <mergeCell ref="D192:E192"/>
    <mergeCell ref="F192:G192"/>
    <mergeCell ref="H192:I192"/>
    <mergeCell ref="J192:K192"/>
    <mergeCell ref="L192:M192"/>
    <mergeCell ref="N192:O192"/>
    <mergeCell ref="P192:Q192"/>
    <mergeCell ref="AL191:BB191"/>
    <mergeCell ref="AD191:AE191"/>
    <mergeCell ref="AF191:AG191"/>
    <mergeCell ref="AH191:AI191"/>
    <mergeCell ref="AJ191:AK191"/>
    <mergeCell ref="R191:S191"/>
    <mergeCell ref="T191:U191"/>
    <mergeCell ref="V191:W191"/>
    <mergeCell ref="X191:Y191"/>
    <mergeCell ref="Z191:AA191"/>
    <mergeCell ref="AB191:AC191"/>
    <mergeCell ref="B191:C191"/>
    <mergeCell ref="D191:E191"/>
    <mergeCell ref="F191:G191"/>
    <mergeCell ref="H191:I191"/>
    <mergeCell ref="J191:K191"/>
    <mergeCell ref="L191:M191"/>
    <mergeCell ref="N191:O191"/>
    <mergeCell ref="P191:Q191"/>
    <mergeCell ref="AL190:BB190"/>
    <mergeCell ref="AD190:AE190"/>
    <mergeCell ref="AF190:AG190"/>
    <mergeCell ref="AH190:AI190"/>
    <mergeCell ref="AJ190:AK190"/>
    <mergeCell ref="R190:S190"/>
    <mergeCell ref="T190:U190"/>
    <mergeCell ref="V190:W190"/>
    <mergeCell ref="X190:Y190"/>
    <mergeCell ref="Z190:AA190"/>
    <mergeCell ref="AB190:AC190"/>
    <mergeCell ref="B190:C190"/>
    <mergeCell ref="D190:E190"/>
    <mergeCell ref="F190:G190"/>
    <mergeCell ref="H190:I190"/>
    <mergeCell ref="J190:K190"/>
    <mergeCell ref="L190:M190"/>
    <mergeCell ref="N190:O190"/>
    <mergeCell ref="P190:Q190"/>
    <mergeCell ref="AL189:BB189"/>
    <mergeCell ref="AD189:AE189"/>
    <mergeCell ref="AF189:AG189"/>
    <mergeCell ref="AH189:AI189"/>
    <mergeCell ref="AJ189:AK189"/>
    <mergeCell ref="R189:S189"/>
    <mergeCell ref="T189:U189"/>
    <mergeCell ref="V189:W189"/>
    <mergeCell ref="X189:Y189"/>
    <mergeCell ref="Z189:AA189"/>
    <mergeCell ref="AB189:AC189"/>
    <mergeCell ref="B189:C189"/>
    <mergeCell ref="D189:E189"/>
    <mergeCell ref="F189:G189"/>
    <mergeCell ref="H189:I189"/>
    <mergeCell ref="J189:K189"/>
    <mergeCell ref="L189:M189"/>
    <mergeCell ref="N189:O189"/>
    <mergeCell ref="P189:Q189"/>
    <mergeCell ref="AL188:BB188"/>
    <mergeCell ref="AD188:AE188"/>
    <mergeCell ref="AF188:AG188"/>
    <mergeCell ref="AH188:AI188"/>
    <mergeCell ref="AJ188:AK188"/>
    <mergeCell ref="R188:S188"/>
    <mergeCell ref="T188:U188"/>
    <mergeCell ref="V188:W188"/>
    <mergeCell ref="X188:Y188"/>
    <mergeCell ref="Z188:AA188"/>
    <mergeCell ref="AB188:AC188"/>
    <mergeCell ref="B188:C188"/>
    <mergeCell ref="D188:E188"/>
    <mergeCell ref="F188:G188"/>
    <mergeCell ref="H188:I188"/>
    <mergeCell ref="J188:K188"/>
    <mergeCell ref="L188:M188"/>
    <mergeCell ref="N188:O188"/>
    <mergeCell ref="P188:Q188"/>
    <mergeCell ref="AL187:BB187"/>
    <mergeCell ref="AD187:AE187"/>
    <mergeCell ref="AF187:AG187"/>
    <mergeCell ref="AH187:AI187"/>
    <mergeCell ref="AJ187:AK187"/>
    <mergeCell ref="R187:S187"/>
    <mergeCell ref="T187:U187"/>
    <mergeCell ref="V187:W187"/>
    <mergeCell ref="X187:Y187"/>
    <mergeCell ref="Z187:AA187"/>
    <mergeCell ref="AB187:AC187"/>
    <mergeCell ref="B187:C187"/>
    <mergeCell ref="D187:E187"/>
    <mergeCell ref="F187:G187"/>
    <mergeCell ref="H187:I187"/>
    <mergeCell ref="J187:K187"/>
    <mergeCell ref="L187:M187"/>
    <mergeCell ref="N187:O187"/>
    <mergeCell ref="P187:Q187"/>
    <mergeCell ref="AL186:BB186"/>
    <mergeCell ref="Z186:AA186"/>
    <mergeCell ref="AB186:AC186"/>
    <mergeCell ref="AD186:AE186"/>
    <mergeCell ref="AF186:AG186"/>
    <mergeCell ref="AH186:AI186"/>
    <mergeCell ref="AJ186:AK186"/>
    <mergeCell ref="N186:O186"/>
    <mergeCell ref="P186:Q186"/>
    <mergeCell ref="R186:S186"/>
    <mergeCell ref="T186:U186"/>
    <mergeCell ref="V186:W186"/>
    <mergeCell ref="X186:Y186"/>
    <mergeCell ref="B186:C186"/>
    <mergeCell ref="D186:E186"/>
    <mergeCell ref="F186:G186"/>
    <mergeCell ref="H186:I186"/>
    <mergeCell ref="J186:K186"/>
    <mergeCell ref="L186:M186"/>
    <mergeCell ref="AL185:BB185"/>
    <mergeCell ref="AD185:AE185"/>
    <mergeCell ref="AF185:AG185"/>
    <mergeCell ref="AH185:AI185"/>
    <mergeCell ref="AJ185:AK185"/>
    <mergeCell ref="R185:S185"/>
    <mergeCell ref="T185:U185"/>
    <mergeCell ref="V185:W185"/>
    <mergeCell ref="X185:Y185"/>
    <mergeCell ref="Z185:AA185"/>
    <mergeCell ref="AB185:AC185"/>
    <mergeCell ref="B185:C185"/>
    <mergeCell ref="D185:E185"/>
    <mergeCell ref="F185:G185"/>
    <mergeCell ref="H185:I185"/>
    <mergeCell ref="J185:K185"/>
    <mergeCell ref="L185:M185"/>
    <mergeCell ref="N185:O185"/>
    <mergeCell ref="P185:Q185"/>
    <mergeCell ref="AL184:BB184"/>
    <mergeCell ref="Z184:AA184"/>
    <mergeCell ref="AB184:AC184"/>
    <mergeCell ref="AD184:AE184"/>
    <mergeCell ref="AF184:AG184"/>
    <mergeCell ref="AH184:AI184"/>
    <mergeCell ref="AJ184:AK184"/>
    <mergeCell ref="N184:O184"/>
    <mergeCell ref="P184:Q184"/>
    <mergeCell ref="R184:S184"/>
    <mergeCell ref="T184:U184"/>
    <mergeCell ref="V184:W184"/>
    <mergeCell ref="X184:Y184"/>
    <mergeCell ref="B184:C184"/>
    <mergeCell ref="D184:E184"/>
    <mergeCell ref="F184:G184"/>
    <mergeCell ref="H184:I184"/>
    <mergeCell ref="J184:K184"/>
    <mergeCell ref="L184:M184"/>
    <mergeCell ref="AL183:BB183"/>
    <mergeCell ref="AD183:AE183"/>
    <mergeCell ref="AF183:AG183"/>
    <mergeCell ref="AH183:AI183"/>
    <mergeCell ref="AJ183:AK183"/>
    <mergeCell ref="R183:S183"/>
    <mergeCell ref="T183:U183"/>
    <mergeCell ref="V183:W183"/>
    <mergeCell ref="X183:Y183"/>
    <mergeCell ref="Z183:AA183"/>
    <mergeCell ref="AB183:AC183"/>
    <mergeCell ref="B183:C183"/>
    <mergeCell ref="D183:E183"/>
    <mergeCell ref="F183:G183"/>
    <mergeCell ref="H183:I183"/>
    <mergeCell ref="J183:K183"/>
    <mergeCell ref="L183:M183"/>
    <mergeCell ref="N183:O183"/>
    <mergeCell ref="P183:Q183"/>
    <mergeCell ref="AL182:BB182"/>
    <mergeCell ref="Z182:AA182"/>
    <mergeCell ref="AB182:AC182"/>
    <mergeCell ref="AD182:AE182"/>
    <mergeCell ref="AF182:AG182"/>
    <mergeCell ref="AH182:AI182"/>
    <mergeCell ref="AJ182:AK182"/>
    <mergeCell ref="N182:O182"/>
    <mergeCell ref="P182:Q182"/>
    <mergeCell ref="R182:S182"/>
    <mergeCell ref="T182:U182"/>
    <mergeCell ref="V182:W182"/>
    <mergeCell ref="X182:Y182"/>
    <mergeCell ref="B182:C182"/>
    <mergeCell ref="D182:E182"/>
    <mergeCell ref="F182:G182"/>
    <mergeCell ref="H182:I182"/>
    <mergeCell ref="J182:K182"/>
    <mergeCell ref="L182:M182"/>
    <mergeCell ref="AL181:BB181"/>
    <mergeCell ref="AD181:AE181"/>
    <mergeCell ref="AF181:AG181"/>
    <mergeCell ref="AH181:AI181"/>
    <mergeCell ref="AJ181:AK181"/>
    <mergeCell ref="R181:S181"/>
    <mergeCell ref="T181:U181"/>
    <mergeCell ref="V181:W181"/>
    <mergeCell ref="X181:Y181"/>
    <mergeCell ref="Z181:AA181"/>
    <mergeCell ref="AB181:AC181"/>
    <mergeCell ref="B181:C181"/>
    <mergeCell ref="D181:E181"/>
    <mergeCell ref="F181:G181"/>
    <mergeCell ref="H181:I181"/>
    <mergeCell ref="J181:K181"/>
    <mergeCell ref="L181:M181"/>
    <mergeCell ref="N181:O181"/>
    <mergeCell ref="P181:Q181"/>
    <mergeCell ref="AL180:BB180"/>
    <mergeCell ref="Z180:AA180"/>
    <mergeCell ref="AB180:AC180"/>
    <mergeCell ref="AD180:AE180"/>
    <mergeCell ref="AF180:AG180"/>
    <mergeCell ref="AH180:AI180"/>
    <mergeCell ref="AJ180:AK180"/>
    <mergeCell ref="N180:O180"/>
    <mergeCell ref="P180:Q180"/>
    <mergeCell ref="R180:S180"/>
    <mergeCell ref="T180:U180"/>
    <mergeCell ref="V180:W180"/>
    <mergeCell ref="X180:Y180"/>
    <mergeCell ref="B180:C180"/>
    <mergeCell ref="D180:E180"/>
    <mergeCell ref="F180:G180"/>
    <mergeCell ref="H180:I180"/>
    <mergeCell ref="J180:K180"/>
    <mergeCell ref="L180:M180"/>
    <mergeCell ref="AL179:BB179"/>
    <mergeCell ref="AD179:AE179"/>
    <mergeCell ref="AF179:AG179"/>
    <mergeCell ref="AH179:AI179"/>
    <mergeCell ref="AJ179:AK179"/>
    <mergeCell ref="R179:S179"/>
    <mergeCell ref="T179:U179"/>
    <mergeCell ref="V179:W179"/>
    <mergeCell ref="X179:Y179"/>
    <mergeCell ref="Z179:AA179"/>
    <mergeCell ref="AB179:AC179"/>
    <mergeCell ref="B179:C179"/>
    <mergeCell ref="D179:E179"/>
    <mergeCell ref="F179:G179"/>
    <mergeCell ref="H179:I179"/>
    <mergeCell ref="J179:K179"/>
    <mergeCell ref="L179:M179"/>
    <mergeCell ref="N179:O179"/>
    <mergeCell ref="P179:Q179"/>
    <mergeCell ref="AL178:BB178"/>
    <mergeCell ref="Z178:AA178"/>
    <mergeCell ref="AB178:AC178"/>
    <mergeCell ref="AD178:AE178"/>
    <mergeCell ref="AF178:AG178"/>
    <mergeCell ref="AH178:AI178"/>
    <mergeCell ref="AJ178:AK178"/>
    <mergeCell ref="N178:O178"/>
    <mergeCell ref="P178:Q178"/>
    <mergeCell ref="R178:S178"/>
    <mergeCell ref="T178:U178"/>
    <mergeCell ref="V178:W178"/>
    <mergeCell ref="X178:Y178"/>
    <mergeCell ref="B178:C178"/>
    <mergeCell ref="D178:E178"/>
    <mergeCell ref="F178:G178"/>
    <mergeCell ref="H178:I178"/>
    <mergeCell ref="J178:K178"/>
    <mergeCell ref="L178:M178"/>
    <mergeCell ref="AL177:BB177"/>
    <mergeCell ref="Z177:AA177"/>
    <mergeCell ref="AB177:AC177"/>
    <mergeCell ref="AD177:AE177"/>
    <mergeCell ref="AF177:AG177"/>
    <mergeCell ref="AH177:AI177"/>
    <mergeCell ref="AJ177:AK177"/>
    <mergeCell ref="N177:O177"/>
    <mergeCell ref="P177:Q177"/>
    <mergeCell ref="R177:S177"/>
    <mergeCell ref="T177:U177"/>
    <mergeCell ref="V177:W177"/>
    <mergeCell ref="X177:Y177"/>
    <mergeCell ref="B177:C177"/>
    <mergeCell ref="D177:E177"/>
    <mergeCell ref="F177:G177"/>
    <mergeCell ref="H177:I177"/>
    <mergeCell ref="J177:K177"/>
    <mergeCell ref="L177:M177"/>
    <mergeCell ref="AL176:BB176"/>
    <mergeCell ref="AD176:AE176"/>
    <mergeCell ref="AF176:AG176"/>
    <mergeCell ref="AH176:AI176"/>
    <mergeCell ref="AJ176:AK176"/>
    <mergeCell ref="R176:S176"/>
    <mergeCell ref="T176:U176"/>
    <mergeCell ref="V176:W176"/>
    <mergeCell ref="X176:Y176"/>
    <mergeCell ref="Z176:AA176"/>
    <mergeCell ref="AB176:AC176"/>
    <mergeCell ref="B176:C176"/>
    <mergeCell ref="D176:E176"/>
    <mergeCell ref="F176:G176"/>
    <mergeCell ref="H176:I176"/>
    <mergeCell ref="J176:K176"/>
    <mergeCell ref="L176:M176"/>
    <mergeCell ref="N176:O176"/>
    <mergeCell ref="P176:Q176"/>
    <mergeCell ref="AL175:BB175"/>
    <mergeCell ref="AD175:AE175"/>
    <mergeCell ref="AF175:AG175"/>
    <mergeCell ref="AH175:AI175"/>
    <mergeCell ref="AJ175:AK175"/>
    <mergeCell ref="R175:S175"/>
    <mergeCell ref="T175:U175"/>
    <mergeCell ref="V175:W175"/>
    <mergeCell ref="X175:Y175"/>
    <mergeCell ref="Z175:AA175"/>
    <mergeCell ref="AB175:AC175"/>
    <mergeCell ref="B175:C175"/>
    <mergeCell ref="D175:E175"/>
    <mergeCell ref="F175:G175"/>
    <mergeCell ref="H175:I175"/>
    <mergeCell ref="J175:K175"/>
    <mergeCell ref="L175:M175"/>
    <mergeCell ref="N175:O175"/>
    <mergeCell ref="P175:Q175"/>
    <mergeCell ref="AL174:BB174"/>
    <mergeCell ref="AD174:AE174"/>
    <mergeCell ref="AF174:AG174"/>
    <mergeCell ref="AH174:AI174"/>
    <mergeCell ref="AJ174:AK174"/>
    <mergeCell ref="R174:S174"/>
    <mergeCell ref="T174:U174"/>
    <mergeCell ref="V174:W174"/>
    <mergeCell ref="X174:Y174"/>
    <mergeCell ref="Z174:AA174"/>
    <mergeCell ref="AB174:AC174"/>
    <mergeCell ref="B174:C174"/>
    <mergeCell ref="D174:E174"/>
    <mergeCell ref="F174:G174"/>
    <mergeCell ref="H174:I174"/>
    <mergeCell ref="J174:K174"/>
    <mergeCell ref="L174:M174"/>
    <mergeCell ref="N174:O174"/>
    <mergeCell ref="P174:Q174"/>
    <mergeCell ref="AL173:BB173"/>
    <mergeCell ref="AD173:AE173"/>
    <mergeCell ref="AF173:AG173"/>
    <mergeCell ref="AH173:AI173"/>
    <mergeCell ref="AJ173:AK173"/>
    <mergeCell ref="R173:S173"/>
    <mergeCell ref="T173:U173"/>
    <mergeCell ref="V173:W173"/>
    <mergeCell ref="X173:Y173"/>
    <mergeCell ref="Z173:AA173"/>
    <mergeCell ref="AB173:AC173"/>
    <mergeCell ref="B173:C173"/>
    <mergeCell ref="D173:E173"/>
    <mergeCell ref="F173:G173"/>
    <mergeCell ref="H173:I173"/>
    <mergeCell ref="J173:K173"/>
    <mergeCell ref="L173:M173"/>
    <mergeCell ref="N173:O173"/>
    <mergeCell ref="P173:Q173"/>
    <mergeCell ref="AL172:BB172"/>
    <mergeCell ref="AD172:AE172"/>
    <mergeCell ref="AF172:AG172"/>
    <mergeCell ref="AH172:AI172"/>
    <mergeCell ref="AJ172:AK172"/>
    <mergeCell ref="R172:S172"/>
    <mergeCell ref="T172:U172"/>
    <mergeCell ref="V172:W172"/>
    <mergeCell ref="X172:Y172"/>
    <mergeCell ref="Z172:AA172"/>
    <mergeCell ref="AB172:AC172"/>
    <mergeCell ref="B172:C172"/>
    <mergeCell ref="D172:E172"/>
    <mergeCell ref="F172:G172"/>
    <mergeCell ref="H172:I172"/>
    <mergeCell ref="J172:K172"/>
    <mergeCell ref="L172:M172"/>
    <mergeCell ref="N172:O172"/>
    <mergeCell ref="P172:Q172"/>
    <mergeCell ref="AL171:BB171"/>
    <mergeCell ref="AD171:AE171"/>
    <mergeCell ref="AF171:AG171"/>
    <mergeCell ref="AH171:AI171"/>
    <mergeCell ref="AJ171:AK171"/>
    <mergeCell ref="R171:S171"/>
    <mergeCell ref="T171:U171"/>
    <mergeCell ref="V171:W171"/>
    <mergeCell ref="X171:Y171"/>
    <mergeCell ref="Z171:AA171"/>
    <mergeCell ref="AB171:AC171"/>
    <mergeCell ref="B171:C171"/>
    <mergeCell ref="D171:E171"/>
    <mergeCell ref="F171:G171"/>
    <mergeCell ref="H171:I171"/>
    <mergeCell ref="J171:K171"/>
    <mergeCell ref="L171:M171"/>
    <mergeCell ref="N171:O171"/>
    <mergeCell ref="P171:Q171"/>
    <mergeCell ref="AL170:BB170"/>
    <mergeCell ref="AD170:AE170"/>
    <mergeCell ref="AF170:AG170"/>
    <mergeCell ref="AH170:AI170"/>
    <mergeCell ref="AJ170:AK170"/>
    <mergeCell ref="R170:S170"/>
    <mergeCell ref="T170:U170"/>
    <mergeCell ref="V170:W170"/>
    <mergeCell ref="X170:Y170"/>
    <mergeCell ref="Z170:AA170"/>
    <mergeCell ref="AB170:AC170"/>
    <mergeCell ref="B170:C170"/>
    <mergeCell ref="D170:E170"/>
    <mergeCell ref="F170:G170"/>
    <mergeCell ref="H170:I170"/>
    <mergeCell ref="J170:K170"/>
    <mergeCell ref="L170:M170"/>
    <mergeCell ref="N170:O170"/>
    <mergeCell ref="P170:Q170"/>
    <mergeCell ref="AL169:BB169"/>
    <mergeCell ref="AD169:AE169"/>
    <mergeCell ref="AF169:AG169"/>
    <mergeCell ref="AH169:AI169"/>
    <mergeCell ref="AJ169:AK169"/>
    <mergeCell ref="R169:S169"/>
    <mergeCell ref="T169:U169"/>
    <mergeCell ref="V169:W169"/>
    <mergeCell ref="X169:Y169"/>
    <mergeCell ref="Z169:AA169"/>
    <mergeCell ref="AB169:AC169"/>
    <mergeCell ref="B169:C169"/>
    <mergeCell ref="D169:E169"/>
    <mergeCell ref="F169:G169"/>
    <mergeCell ref="H169:I169"/>
    <mergeCell ref="J169:K169"/>
    <mergeCell ref="L169:M169"/>
    <mergeCell ref="N169:O169"/>
    <mergeCell ref="P169:Q169"/>
    <mergeCell ref="AL168:BB168"/>
    <mergeCell ref="AD168:AE168"/>
    <mergeCell ref="AF168:AG168"/>
    <mergeCell ref="AH168:AI168"/>
    <mergeCell ref="AJ168:AK168"/>
    <mergeCell ref="R168:S168"/>
    <mergeCell ref="T168:U168"/>
    <mergeCell ref="V168:W168"/>
    <mergeCell ref="X168:Y168"/>
    <mergeCell ref="Z168:AA168"/>
    <mergeCell ref="AB168:AC168"/>
    <mergeCell ref="B168:C168"/>
    <mergeCell ref="D168:E168"/>
    <mergeCell ref="F168:G168"/>
    <mergeCell ref="H168:I168"/>
    <mergeCell ref="J168:K168"/>
    <mergeCell ref="L168:M168"/>
    <mergeCell ref="N168:O168"/>
    <mergeCell ref="P168:Q168"/>
    <mergeCell ref="AL167:BB167"/>
    <mergeCell ref="AD167:AE167"/>
    <mergeCell ref="AF167:AG167"/>
    <mergeCell ref="AH167:AI167"/>
    <mergeCell ref="AJ167:AK167"/>
    <mergeCell ref="R167:S167"/>
    <mergeCell ref="T167:U167"/>
    <mergeCell ref="V167:W167"/>
    <mergeCell ref="X167:Y167"/>
    <mergeCell ref="Z167:AA167"/>
    <mergeCell ref="AB167:AC167"/>
    <mergeCell ref="B167:C167"/>
    <mergeCell ref="D167:E167"/>
    <mergeCell ref="F167:G167"/>
    <mergeCell ref="H167:I167"/>
    <mergeCell ref="J167:K167"/>
    <mergeCell ref="L167:M167"/>
    <mergeCell ref="N167:O167"/>
    <mergeCell ref="P167:Q167"/>
    <mergeCell ref="AL166:BB166"/>
    <mergeCell ref="AD166:AE166"/>
    <mergeCell ref="AF166:AG166"/>
    <mergeCell ref="AH166:AI166"/>
    <mergeCell ref="AJ166:AK166"/>
    <mergeCell ref="R166:S166"/>
    <mergeCell ref="T166:U166"/>
    <mergeCell ref="V166:W166"/>
    <mergeCell ref="X166:Y166"/>
    <mergeCell ref="Z166:AA166"/>
    <mergeCell ref="AB166:AC166"/>
    <mergeCell ref="B166:C166"/>
    <mergeCell ref="D166:E166"/>
    <mergeCell ref="F166:G166"/>
    <mergeCell ref="H166:I166"/>
    <mergeCell ref="J166:K166"/>
    <mergeCell ref="L166:M166"/>
    <mergeCell ref="N166:O166"/>
    <mergeCell ref="P166:Q166"/>
    <mergeCell ref="AL165:BB165"/>
    <mergeCell ref="AD165:AE165"/>
    <mergeCell ref="AF165:AG165"/>
    <mergeCell ref="AH165:AI165"/>
    <mergeCell ref="AJ165:AK165"/>
    <mergeCell ref="R165:S165"/>
    <mergeCell ref="T165:U165"/>
    <mergeCell ref="V165:W165"/>
    <mergeCell ref="X165:Y165"/>
    <mergeCell ref="Z165:AA165"/>
    <mergeCell ref="AB165:AC165"/>
    <mergeCell ref="B165:C165"/>
    <mergeCell ref="D165:E165"/>
    <mergeCell ref="F165:G165"/>
    <mergeCell ref="H165:I165"/>
    <mergeCell ref="J165:K165"/>
    <mergeCell ref="L165:M165"/>
    <mergeCell ref="N165:O165"/>
    <mergeCell ref="P165:Q165"/>
    <mergeCell ref="AL164:BB164"/>
    <mergeCell ref="AD164:AE164"/>
    <mergeCell ref="AF164:AG164"/>
    <mergeCell ref="AH164:AI164"/>
    <mergeCell ref="AJ164:AK164"/>
    <mergeCell ref="R164:S164"/>
    <mergeCell ref="T164:U164"/>
    <mergeCell ref="V164:W164"/>
    <mergeCell ref="X164:Y164"/>
    <mergeCell ref="Z164:AA164"/>
    <mergeCell ref="AB164:AC164"/>
    <mergeCell ref="B164:C164"/>
    <mergeCell ref="D164:E164"/>
    <mergeCell ref="F164:G164"/>
    <mergeCell ref="H164:I164"/>
    <mergeCell ref="J164:K164"/>
    <mergeCell ref="L164:M164"/>
    <mergeCell ref="N164:O164"/>
    <mergeCell ref="P164:Q164"/>
    <mergeCell ref="AL163:BB163"/>
    <mergeCell ref="AD163:AE163"/>
    <mergeCell ref="AF163:AG163"/>
    <mergeCell ref="AH163:AI163"/>
    <mergeCell ref="AJ163:AK163"/>
    <mergeCell ref="R163:S163"/>
    <mergeCell ref="T163:U163"/>
    <mergeCell ref="V163:W163"/>
    <mergeCell ref="X163:Y163"/>
    <mergeCell ref="Z163:AA163"/>
    <mergeCell ref="AB163:AC163"/>
    <mergeCell ref="B163:C163"/>
    <mergeCell ref="D163:E163"/>
    <mergeCell ref="F163:G163"/>
    <mergeCell ref="H163:I163"/>
    <mergeCell ref="J163:K163"/>
    <mergeCell ref="L163:M163"/>
    <mergeCell ref="N163:O163"/>
    <mergeCell ref="P163:Q163"/>
    <mergeCell ref="AL162:BB162"/>
    <mergeCell ref="AD162:AE162"/>
    <mergeCell ref="AF162:AG162"/>
    <mergeCell ref="AH162:AI162"/>
    <mergeCell ref="AJ162:AK162"/>
    <mergeCell ref="R162:S162"/>
    <mergeCell ref="T162:U162"/>
    <mergeCell ref="V162:W162"/>
    <mergeCell ref="X162:Y162"/>
    <mergeCell ref="Z162:AA162"/>
    <mergeCell ref="AB162:AC162"/>
    <mergeCell ref="B162:C162"/>
    <mergeCell ref="D162:E162"/>
    <mergeCell ref="F162:G162"/>
    <mergeCell ref="H162:I162"/>
    <mergeCell ref="J162:K162"/>
    <mergeCell ref="L162:M162"/>
    <mergeCell ref="N162:O162"/>
    <mergeCell ref="P162:Q162"/>
    <mergeCell ref="AL161:BB161"/>
    <mergeCell ref="AD161:AE161"/>
    <mergeCell ref="AF161:AG161"/>
    <mergeCell ref="AH161:AI161"/>
    <mergeCell ref="AJ161:AK161"/>
    <mergeCell ref="R161:S161"/>
    <mergeCell ref="T161:U161"/>
    <mergeCell ref="V161:W161"/>
    <mergeCell ref="X161:Y161"/>
    <mergeCell ref="Z161:AA161"/>
    <mergeCell ref="AB161:AC161"/>
    <mergeCell ref="B161:C161"/>
    <mergeCell ref="D161:E161"/>
    <mergeCell ref="F161:G161"/>
    <mergeCell ref="H161:I161"/>
    <mergeCell ref="J161:K161"/>
    <mergeCell ref="L161:M161"/>
    <mergeCell ref="N161:O161"/>
    <mergeCell ref="P161:Q161"/>
    <mergeCell ref="AL160:BB160"/>
    <mergeCell ref="AD160:AE160"/>
    <mergeCell ref="AF160:AG160"/>
    <mergeCell ref="AH160:AI160"/>
    <mergeCell ref="AJ160:AK160"/>
    <mergeCell ref="R160:S160"/>
    <mergeCell ref="T160:U160"/>
    <mergeCell ref="V160:W160"/>
    <mergeCell ref="X160:Y160"/>
    <mergeCell ref="Z160:AA160"/>
    <mergeCell ref="AB160:AC160"/>
    <mergeCell ref="B160:C160"/>
    <mergeCell ref="D160:E160"/>
    <mergeCell ref="F160:G160"/>
    <mergeCell ref="H160:I160"/>
    <mergeCell ref="J160:K160"/>
    <mergeCell ref="L160:M160"/>
    <mergeCell ref="N160:O160"/>
    <mergeCell ref="P160:Q160"/>
    <mergeCell ref="AL159:BB159"/>
    <mergeCell ref="AD159:AE159"/>
    <mergeCell ref="AF159:AG159"/>
    <mergeCell ref="AH159:AI159"/>
    <mergeCell ref="AJ159:AK159"/>
    <mergeCell ref="R159:S159"/>
    <mergeCell ref="T159:U159"/>
    <mergeCell ref="V159:W159"/>
    <mergeCell ref="X159:Y159"/>
    <mergeCell ref="Z159:AA159"/>
    <mergeCell ref="AB159:AC159"/>
    <mergeCell ref="B159:C159"/>
    <mergeCell ref="D159:E159"/>
    <mergeCell ref="F159:G159"/>
    <mergeCell ref="H159:I159"/>
    <mergeCell ref="J159:K159"/>
    <mergeCell ref="L159:M159"/>
    <mergeCell ref="N159:O159"/>
    <mergeCell ref="P159:Q159"/>
    <mergeCell ref="AL158:BB158"/>
    <mergeCell ref="AD158:AE158"/>
    <mergeCell ref="AF158:AG158"/>
    <mergeCell ref="AH158:AI158"/>
    <mergeCell ref="AJ158:AK158"/>
    <mergeCell ref="R158:S158"/>
    <mergeCell ref="T158:U158"/>
    <mergeCell ref="V158:W158"/>
    <mergeCell ref="X158:Y158"/>
    <mergeCell ref="Z158:AA158"/>
    <mergeCell ref="AB158:AC158"/>
    <mergeCell ref="B158:C158"/>
    <mergeCell ref="D158:E158"/>
    <mergeCell ref="F158:G158"/>
    <mergeCell ref="H158:I158"/>
    <mergeCell ref="J158:K158"/>
    <mergeCell ref="L158:M158"/>
    <mergeCell ref="N158:O158"/>
    <mergeCell ref="P158:Q158"/>
    <mergeCell ref="AL157:BB157"/>
    <mergeCell ref="AD157:AE157"/>
    <mergeCell ref="AF157:AG157"/>
    <mergeCell ref="AH157:AI157"/>
    <mergeCell ref="AJ157:AK157"/>
    <mergeCell ref="R157:S157"/>
    <mergeCell ref="T157:U157"/>
    <mergeCell ref="V157:W157"/>
    <mergeCell ref="X157:Y157"/>
    <mergeCell ref="Z157:AA157"/>
    <mergeCell ref="AB157:AC157"/>
    <mergeCell ref="B157:C157"/>
    <mergeCell ref="D157:E157"/>
    <mergeCell ref="F157:G157"/>
    <mergeCell ref="H157:I157"/>
    <mergeCell ref="J157:K157"/>
    <mergeCell ref="L157:M157"/>
    <mergeCell ref="N157:O157"/>
    <mergeCell ref="P157:Q157"/>
    <mergeCell ref="AL156:BB156"/>
    <mergeCell ref="AD156:AE156"/>
    <mergeCell ref="AF156:AG156"/>
    <mergeCell ref="AH156:AI156"/>
    <mergeCell ref="AJ156:AK156"/>
    <mergeCell ref="R156:S156"/>
    <mergeCell ref="T156:U156"/>
    <mergeCell ref="V156:W156"/>
    <mergeCell ref="X156:Y156"/>
    <mergeCell ref="Z156:AA156"/>
    <mergeCell ref="AB156:AC156"/>
    <mergeCell ref="B156:C156"/>
    <mergeCell ref="D156:E156"/>
    <mergeCell ref="F156:G156"/>
    <mergeCell ref="H156:I156"/>
    <mergeCell ref="J156:K156"/>
    <mergeCell ref="L156:M156"/>
    <mergeCell ref="N156:O156"/>
    <mergeCell ref="P156:Q156"/>
    <mergeCell ref="AL155:BB155"/>
    <mergeCell ref="AD155:AE155"/>
    <mergeCell ref="AF155:AG155"/>
    <mergeCell ref="AH155:AI155"/>
    <mergeCell ref="AJ155:AK155"/>
    <mergeCell ref="R155:S155"/>
    <mergeCell ref="T155:U155"/>
    <mergeCell ref="V155:W155"/>
    <mergeCell ref="X155:Y155"/>
    <mergeCell ref="Z155:AA155"/>
    <mergeCell ref="AB155:AC155"/>
    <mergeCell ref="B155:C155"/>
    <mergeCell ref="D155:E155"/>
    <mergeCell ref="F155:G155"/>
    <mergeCell ref="H155:I155"/>
    <mergeCell ref="J155:K155"/>
    <mergeCell ref="L155:M155"/>
    <mergeCell ref="N155:O155"/>
    <mergeCell ref="P155:Q155"/>
    <mergeCell ref="AL154:BB154"/>
    <mergeCell ref="AD154:AE154"/>
    <mergeCell ref="AF154:AG154"/>
    <mergeCell ref="AH154:AI154"/>
    <mergeCell ref="AJ154:AK154"/>
    <mergeCell ref="R154:S154"/>
    <mergeCell ref="T154:U154"/>
    <mergeCell ref="V154:W154"/>
    <mergeCell ref="X154:Y154"/>
    <mergeCell ref="Z154:AA154"/>
    <mergeCell ref="AB154:AC154"/>
    <mergeCell ref="B154:C154"/>
    <mergeCell ref="D154:E154"/>
    <mergeCell ref="F154:G154"/>
    <mergeCell ref="H154:I154"/>
    <mergeCell ref="J154:K154"/>
    <mergeCell ref="L154:M154"/>
    <mergeCell ref="N154:O154"/>
    <mergeCell ref="P154:Q154"/>
    <mergeCell ref="AL153:BB153"/>
    <mergeCell ref="AD153:AE153"/>
    <mergeCell ref="AF153:AG153"/>
    <mergeCell ref="AH153:AI153"/>
    <mergeCell ref="AJ153:AK153"/>
    <mergeCell ref="R153:S153"/>
    <mergeCell ref="T153:U153"/>
    <mergeCell ref="V153:W153"/>
    <mergeCell ref="X153:Y153"/>
    <mergeCell ref="Z153:AA153"/>
    <mergeCell ref="AB153:AC153"/>
    <mergeCell ref="B153:C153"/>
    <mergeCell ref="D153:E153"/>
    <mergeCell ref="F153:G153"/>
    <mergeCell ref="H153:I153"/>
    <mergeCell ref="J153:K153"/>
    <mergeCell ref="L153:M153"/>
    <mergeCell ref="N153:O153"/>
    <mergeCell ref="P153:Q153"/>
    <mergeCell ref="AL152:BB152"/>
    <mergeCell ref="AD152:AE152"/>
    <mergeCell ref="AF152:AG152"/>
    <mergeCell ref="AH152:AI152"/>
    <mergeCell ref="AJ152:AK152"/>
    <mergeCell ref="R152:S152"/>
    <mergeCell ref="T152:U152"/>
    <mergeCell ref="V152:W152"/>
    <mergeCell ref="X152:Y152"/>
    <mergeCell ref="Z152:AA152"/>
    <mergeCell ref="AB152:AC152"/>
    <mergeCell ref="B152:C152"/>
    <mergeCell ref="D152:E152"/>
    <mergeCell ref="F152:G152"/>
    <mergeCell ref="H152:I152"/>
    <mergeCell ref="J152:K152"/>
    <mergeCell ref="L152:M152"/>
    <mergeCell ref="N152:O152"/>
    <mergeCell ref="P152:Q152"/>
    <mergeCell ref="AL151:BB151"/>
    <mergeCell ref="AD151:AE151"/>
    <mergeCell ref="AF151:AG151"/>
    <mergeCell ref="AH151:AI151"/>
    <mergeCell ref="AJ151:AK151"/>
    <mergeCell ref="R151:S151"/>
    <mergeCell ref="T151:U151"/>
    <mergeCell ref="V151:W151"/>
    <mergeCell ref="X151:Y151"/>
    <mergeCell ref="Z151:AA151"/>
    <mergeCell ref="AB151:AC151"/>
    <mergeCell ref="B151:C151"/>
    <mergeCell ref="D151:E151"/>
    <mergeCell ref="F151:G151"/>
    <mergeCell ref="H151:I151"/>
    <mergeCell ref="J151:K151"/>
    <mergeCell ref="L151:M151"/>
    <mergeCell ref="N151:O151"/>
    <mergeCell ref="P151:Q151"/>
    <mergeCell ref="AL150:BB150"/>
    <mergeCell ref="AD150:AE150"/>
    <mergeCell ref="AF150:AG150"/>
    <mergeCell ref="AH150:AI150"/>
    <mergeCell ref="AJ150:AK150"/>
    <mergeCell ref="R150:S150"/>
    <mergeCell ref="T150:U150"/>
    <mergeCell ref="V150:W150"/>
    <mergeCell ref="X150:Y150"/>
    <mergeCell ref="Z150:AA150"/>
    <mergeCell ref="AB150:AC150"/>
    <mergeCell ref="B150:C150"/>
    <mergeCell ref="D150:E150"/>
    <mergeCell ref="F150:G150"/>
    <mergeCell ref="H150:I150"/>
    <mergeCell ref="J150:K150"/>
    <mergeCell ref="L150:M150"/>
    <mergeCell ref="N150:O150"/>
    <mergeCell ref="P150:Q150"/>
    <mergeCell ref="AL149:BB149"/>
    <mergeCell ref="AD149:AE149"/>
    <mergeCell ref="AF149:AG149"/>
    <mergeCell ref="AH149:AI149"/>
    <mergeCell ref="AJ149:AK149"/>
    <mergeCell ref="R149:S149"/>
    <mergeCell ref="T149:U149"/>
    <mergeCell ref="V149:W149"/>
    <mergeCell ref="X149:Y149"/>
    <mergeCell ref="Z149:AA149"/>
    <mergeCell ref="AB149:AC149"/>
    <mergeCell ref="B149:C149"/>
    <mergeCell ref="D149:E149"/>
    <mergeCell ref="F149:G149"/>
    <mergeCell ref="H149:I149"/>
    <mergeCell ref="J149:K149"/>
    <mergeCell ref="L149:M149"/>
    <mergeCell ref="N149:O149"/>
    <mergeCell ref="P149:Q149"/>
    <mergeCell ref="AL148:BB148"/>
    <mergeCell ref="AD148:AE148"/>
    <mergeCell ref="AF148:AG148"/>
    <mergeCell ref="AH148:AI148"/>
    <mergeCell ref="AJ148:AK148"/>
    <mergeCell ref="R148:S148"/>
    <mergeCell ref="T148:U148"/>
    <mergeCell ref="V148:W148"/>
    <mergeCell ref="X148:Y148"/>
    <mergeCell ref="Z148:AA148"/>
    <mergeCell ref="AB148:AC148"/>
    <mergeCell ref="B148:C148"/>
    <mergeCell ref="D148:E148"/>
    <mergeCell ref="F148:G148"/>
    <mergeCell ref="H148:I148"/>
    <mergeCell ref="J148:K148"/>
    <mergeCell ref="L148:M148"/>
    <mergeCell ref="N148:O148"/>
    <mergeCell ref="P148:Q148"/>
    <mergeCell ref="AL147:BB147"/>
    <mergeCell ref="AD147:AE147"/>
    <mergeCell ref="AF147:AG147"/>
    <mergeCell ref="AH147:AI147"/>
    <mergeCell ref="AJ147:AK147"/>
    <mergeCell ref="R147:S147"/>
    <mergeCell ref="T147:U147"/>
    <mergeCell ref="V147:W147"/>
    <mergeCell ref="X147:Y147"/>
    <mergeCell ref="Z147:AA147"/>
    <mergeCell ref="AB147:AC147"/>
    <mergeCell ref="B147:C147"/>
    <mergeCell ref="D147:E147"/>
    <mergeCell ref="F147:G147"/>
    <mergeCell ref="H147:I147"/>
    <mergeCell ref="J147:K147"/>
    <mergeCell ref="L147:M147"/>
    <mergeCell ref="N147:O147"/>
    <mergeCell ref="P147:Q147"/>
    <mergeCell ref="AL146:BB146"/>
    <mergeCell ref="AD146:AE146"/>
    <mergeCell ref="AF146:AG146"/>
    <mergeCell ref="AH146:AI146"/>
    <mergeCell ref="AJ146:AK146"/>
    <mergeCell ref="R146:S146"/>
    <mergeCell ref="T146:U146"/>
    <mergeCell ref="V146:W146"/>
    <mergeCell ref="X146:Y146"/>
    <mergeCell ref="Z146:AA146"/>
    <mergeCell ref="AB146:AC146"/>
    <mergeCell ref="B146:C146"/>
    <mergeCell ref="D146:E146"/>
    <mergeCell ref="F146:G146"/>
    <mergeCell ref="H146:I146"/>
    <mergeCell ref="J146:K146"/>
    <mergeCell ref="L146:M146"/>
    <mergeCell ref="N146:O146"/>
    <mergeCell ref="P146:Q146"/>
    <mergeCell ref="AL145:BB145"/>
    <mergeCell ref="AD145:AE145"/>
    <mergeCell ref="AF145:AG145"/>
    <mergeCell ref="AH145:AI145"/>
    <mergeCell ref="AJ145:AK145"/>
    <mergeCell ref="R145:S145"/>
    <mergeCell ref="T145:U145"/>
    <mergeCell ref="V145:W145"/>
    <mergeCell ref="X145:Y145"/>
    <mergeCell ref="Z145:AA145"/>
    <mergeCell ref="AB145:AC145"/>
    <mergeCell ref="B145:C145"/>
    <mergeCell ref="D145:E145"/>
    <mergeCell ref="F145:G145"/>
    <mergeCell ref="H145:I145"/>
    <mergeCell ref="J145:K145"/>
    <mergeCell ref="L145:M145"/>
    <mergeCell ref="N145:O145"/>
    <mergeCell ref="P145:Q145"/>
    <mergeCell ref="AL144:BB144"/>
    <mergeCell ref="AD144:AE144"/>
    <mergeCell ref="AF144:AG144"/>
    <mergeCell ref="AH144:AI144"/>
    <mergeCell ref="AJ144:AK144"/>
    <mergeCell ref="R144:S144"/>
    <mergeCell ref="T144:U144"/>
    <mergeCell ref="V144:W144"/>
    <mergeCell ref="X144:Y144"/>
    <mergeCell ref="Z144:AA144"/>
    <mergeCell ref="AB144:AC144"/>
    <mergeCell ref="B144:C144"/>
    <mergeCell ref="D144:E144"/>
    <mergeCell ref="F144:G144"/>
    <mergeCell ref="H144:I144"/>
    <mergeCell ref="J144:K144"/>
    <mergeCell ref="L144:M144"/>
    <mergeCell ref="N144:O144"/>
    <mergeCell ref="P144:Q144"/>
    <mergeCell ref="AL143:BB143"/>
    <mergeCell ref="AD143:AE143"/>
    <mergeCell ref="AF143:AG143"/>
    <mergeCell ref="AH143:AI143"/>
    <mergeCell ref="AJ143:AK143"/>
    <mergeCell ref="R143:S143"/>
    <mergeCell ref="T143:U143"/>
    <mergeCell ref="V143:W143"/>
    <mergeCell ref="X143:Y143"/>
    <mergeCell ref="Z143:AA143"/>
    <mergeCell ref="AB143:AC143"/>
    <mergeCell ref="B143:C143"/>
    <mergeCell ref="D143:E143"/>
    <mergeCell ref="F143:G143"/>
    <mergeCell ref="H143:I143"/>
    <mergeCell ref="J143:K143"/>
    <mergeCell ref="L143:M143"/>
    <mergeCell ref="N143:O143"/>
    <mergeCell ref="P143:Q143"/>
    <mergeCell ref="AL142:BB142"/>
    <mergeCell ref="AD142:AE142"/>
    <mergeCell ref="AF142:AG142"/>
    <mergeCell ref="AH142:AI142"/>
    <mergeCell ref="AJ142:AK142"/>
    <mergeCell ref="R142:S142"/>
    <mergeCell ref="T142:U142"/>
    <mergeCell ref="V142:W142"/>
    <mergeCell ref="X142:Y142"/>
    <mergeCell ref="Z142:AA142"/>
    <mergeCell ref="AB142:AC142"/>
    <mergeCell ref="B142:C142"/>
    <mergeCell ref="D142:E142"/>
    <mergeCell ref="F142:G142"/>
    <mergeCell ref="H142:I142"/>
    <mergeCell ref="J142:K142"/>
    <mergeCell ref="L142:M142"/>
    <mergeCell ref="N142:O142"/>
    <mergeCell ref="P142:Q142"/>
    <mergeCell ref="AL141:BB141"/>
    <mergeCell ref="AD141:AE141"/>
    <mergeCell ref="AF141:AG141"/>
    <mergeCell ref="AH141:AI141"/>
    <mergeCell ref="AJ141:AK141"/>
    <mergeCell ref="R141:S141"/>
    <mergeCell ref="T141:U141"/>
    <mergeCell ref="V141:W141"/>
    <mergeCell ref="X141:Y141"/>
    <mergeCell ref="Z141:AA141"/>
    <mergeCell ref="AB141:AC141"/>
    <mergeCell ref="B141:C141"/>
    <mergeCell ref="D141:E141"/>
    <mergeCell ref="F141:G141"/>
    <mergeCell ref="H141:I141"/>
    <mergeCell ref="J141:K141"/>
    <mergeCell ref="L141:M141"/>
    <mergeCell ref="N141:O141"/>
    <mergeCell ref="P141:Q141"/>
    <mergeCell ref="AL140:BB140"/>
    <mergeCell ref="AD140:AE140"/>
    <mergeCell ref="AF140:AG140"/>
    <mergeCell ref="AH140:AI140"/>
    <mergeCell ref="AJ140:AK140"/>
    <mergeCell ref="R140:S140"/>
    <mergeCell ref="T140:U140"/>
    <mergeCell ref="V140:W140"/>
    <mergeCell ref="X140:Y140"/>
    <mergeCell ref="Z140:AA140"/>
    <mergeCell ref="AB140:AC140"/>
    <mergeCell ref="B140:C140"/>
    <mergeCell ref="D140:E140"/>
    <mergeCell ref="F140:G140"/>
    <mergeCell ref="H140:I140"/>
    <mergeCell ref="J140:K140"/>
    <mergeCell ref="L140:M140"/>
    <mergeCell ref="N140:O140"/>
    <mergeCell ref="P140:Q140"/>
    <mergeCell ref="AL139:BB139"/>
    <mergeCell ref="AD139:AE139"/>
    <mergeCell ref="AF139:AG139"/>
    <mergeCell ref="AH139:AI139"/>
    <mergeCell ref="AJ139:AK139"/>
    <mergeCell ref="R139:S139"/>
    <mergeCell ref="T139:U139"/>
    <mergeCell ref="V139:W139"/>
    <mergeCell ref="X139:Y139"/>
    <mergeCell ref="Z139:AA139"/>
    <mergeCell ref="AB139:AC139"/>
    <mergeCell ref="B139:C139"/>
    <mergeCell ref="D139:E139"/>
    <mergeCell ref="F139:G139"/>
    <mergeCell ref="H139:I139"/>
    <mergeCell ref="J139:K139"/>
    <mergeCell ref="L139:M139"/>
    <mergeCell ref="N139:O139"/>
    <mergeCell ref="P139:Q139"/>
    <mergeCell ref="AL138:BB138"/>
    <mergeCell ref="AD138:AE138"/>
    <mergeCell ref="AF138:AG138"/>
    <mergeCell ref="AH138:AI138"/>
    <mergeCell ref="AJ138:AK138"/>
    <mergeCell ref="R138:S138"/>
    <mergeCell ref="T138:U138"/>
    <mergeCell ref="V138:W138"/>
    <mergeCell ref="X138:Y138"/>
    <mergeCell ref="Z138:AA138"/>
    <mergeCell ref="AB138:AC138"/>
    <mergeCell ref="B138:C138"/>
    <mergeCell ref="D138:E138"/>
    <mergeCell ref="F138:G138"/>
    <mergeCell ref="H138:I138"/>
    <mergeCell ref="J138:K138"/>
    <mergeCell ref="L138:M138"/>
    <mergeCell ref="N138:O138"/>
    <mergeCell ref="P138:Q138"/>
    <mergeCell ref="AL137:BB137"/>
    <mergeCell ref="AD137:AE137"/>
    <mergeCell ref="AF137:AG137"/>
    <mergeCell ref="AH137:AI137"/>
    <mergeCell ref="AJ137:AK137"/>
    <mergeCell ref="R137:S137"/>
    <mergeCell ref="T137:U137"/>
    <mergeCell ref="V137:W137"/>
    <mergeCell ref="X137:Y137"/>
    <mergeCell ref="Z137:AA137"/>
    <mergeCell ref="AB137:AC137"/>
    <mergeCell ref="B137:C137"/>
    <mergeCell ref="D137:E137"/>
    <mergeCell ref="F137:G137"/>
    <mergeCell ref="H137:I137"/>
    <mergeCell ref="J137:K137"/>
    <mergeCell ref="L137:M137"/>
    <mergeCell ref="N137:O137"/>
    <mergeCell ref="P137:Q137"/>
    <mergeCell ref="AL136:BB136"/>
    <mergeCell ref="AD136:AE136"/>
    <mergeCell ref="AF136:AG136"/>
    <mergeCell ref="AH136:AI136"/>
    <mergeCell ref="AJ136:AK136"/>
    <mergeCell ref="R136:S136"/>
    <mergeCell ref="T136:U136"/>
    <mergeCell ref="V136:W136"/>
    <mergeCell ref="X136:Y136"/>
    <mergeCell ref="Z136:AA136"/>
    <mergeCell ref="AB136:AC136"/>
    <mergeCell ref="B136:C136"/>
    <mergeCell ref="D136:E136"/>
    <mergeCell ref="F136:G136"/>
    <mergeCell ref="H136:I136"/>
    <mergeCell ref="J136:K136"/>
    <mergeCell ref="L136:M136"/>
    <mergeCell ref="N136:O136"/>
    <mergeCell ref="P136:Q136"/>
    <mergeCell ref="AL135:BB135"/>
    <mergeCell ref="AD135:AE135"/>
    <mergeCell ref="AF135:AG135"/>
    <mergeCell ref="AH135:AI135"/>
    <mergeCell ref="AJ135:AK135"/>
    <mergeCell ref="R135:S135"/>
    <mergeCell ref="T135:U135"/>
    <mergeCell ref="V135:W135"/>
    <mergeCell ref="X135:Y135"/>
    <mergeCell ref="Z135:AA135"/>
    <mergeCell ref="AB135:AC135"/>
    <mergeCell ref="B135:C135"/>
    <mergeCell ref="D135:E135"/>
    <mergeCell ref="F135:G135"/>
    <mergeCell ref="H135:I135"/>
    <mergeCell ref="J135:K135"/>
    <mergeCell ref="L135:M135"/>
    <mergeCell ref="N135:O135"/>
    <mergeCell ref="P135:Q135"/>
    <mergeCell ref="AL134:BB134"/>
    <mergeCell ref="AD134:AE134"/>
    <mergeCell ref="AF134:AG134"/>
    <mergeCell ref="AH134:AI134"/>
    <mergeCell ref="AJ134:AK134"/>
    <mergeCell ref="R134:S134"/>
    <mergeCell ref="T134:U134"/>
    <mergeCell ref="V134:W134"/>
    <mergeCell ref="X134:Y134"/>
    <mergeCell ref="Z134:AA134"/>
    <mergeCell ref="AB134:AC134"/>
    <mergeCell ref="B134:C134"/>
    <mergeCell ref="D134:E134"/>
    <mergeCell ref="F134:G134"/>
    <mergeCell ref="H134:I134"/>
    <mergeCell ref="J134:K134"/>
    <mergeCell ref="L134:M134"/>
    <mergeCell ref="N134:O134"/>
    <mergeCell ref="P134:Q134"/>
    <mergeCell ref="AL133:BB133"/>
    <mergeCell ref="AD133:AE133"/>
    <mergeCell ref="AF133:AG133"/>
    <mergeCell ref="AH133:AI133"/>
    <mergeCell ref="AJ133:AK133"/>
    <mergeCell ref="R133:S133"/>
    <mergeCell ref="T133:U133"/>
    <mergeCell ref="V133:W133"/>
    <mergeCell ref="X133:Y133"/>
    <mergeCell ref="Z133:AA133"/>
    <mergeCell ref="AB133:AC133"/>
    <mergeCell ref="B133:C133"/>
    <mergeCell ref="D133:E133"/>
    <mergeCell ref="F133:G133"/>
    <mergeCell ref="H133:I133"/>
    <mergeCell ref="J133:K133"/>
    <mergeCell ref="L133:M133"/>
    <mergeCell ref="N133:O133"/>
    <mergeCell ref="P133:Q133"/>
    <mergeCell ref="AL132:BB132"/>
    <mergeCell ref="AD132:AE132"/>
    <mergeCell ref="AF132:AG132"/>
    <mergeCell ref="AH132:AI132"/>
    <mergeCell ref="AJ132:AK132"/>
    <mergeCell ref="R132:S132"/>
    <mergeCell ref="T132:U132"/>
    <mergeCell ref="V132:W132"/>
    <mergeCell ref="X132:Y132"/>
    <mergeCell ref="Z132:AA132"/>
    <mergeCell ref="AB132:AC132"/>
    <mergeCell ref="B132:C132"/>
    <mergeCell ref="D132:E132"/>
    <mergeCell ref="F132:G132"/>
    <mergeCell ref="H132:I132"/>
    <mergeCell ref="J132:K132"/>
    <mergeCell ref="L132:M132"/>
    <mergeCell ref="N132:O132"/>
    <mergeCell ref="P132:Q132"/>
    <mergeCell ref="AL131:BB131"/>
    <mergeCell ref="AD131:AE131"/>
    <mergeCell ref="AF131:AG131"/>
    <mergeCell ref="AH131:AI131"/>
    <mergeCell ref="AJ131:AK131"/>
    <mergeCell ref="R131:S131"/>
    <mergeCell ref="T131:U131"/>
    <mergeCell ref="V131:W131"/>
    <mergeCell ref="X131:Y131"/>
    <mergeCell ref="Z131:AA131"/>
    <mergeCell ref="AB131:AC131"/>
    <mergeCell ref="B131:C131"/>
    <mergeCell ref="D131:E131"/>
    <mergeCell ref="F131:G131"/>
    <mergeCell ref="H131:I131"/>
    <mergeCell ref="J131:K131"/>
    <mergeCell ref="L131:M131"/>
    <mergeCell ref="N131:O131"/>
    <mergeCell ref="P131:Q131"/>
    <mergeCell ref="AL130:BB130"/>
    <mergeCell ref="AD130:AE130"/>
    <mergeCell ref="AF130:AG130"/>
    <mergeCell ref="AH130:AI130"/>
    <mergeCell ref="AJ130:AK130"/>
    <mergeCell ref="R130:S130"/>
    <mergeCell ref="T130:U130"/>
    <mergeCell ref="V130:W130"/>
    <mergeCell ref="X130:Y130"/>
    <mergeCell ref="Z130:AA130"/>
    <mergeCell ref="AB130:AC130"/>
    <mergeCell ref="B130:C130"/>
    <mergeCell ref="D130:E130"/>
    <mergeCell ref="F130:G130"/>
    <mergeCell ref="H130:I130"/>
    <mergeCell ref="J130:K130"/>
    <mergeCell ref="L130:M130"/>
    <mergeCell ref="N130:O130"/>
    <mergeCell ref="P130:Q130"/>
    <mergeCell ref="AL129:BB129"/>
    <mergeCell ref="AD129:AE129"/>
    <mergeCell ref="AF129:AG129"/>
    <mergeCell ref="AH129:AI129"/>
    <mergeCell ref="AJ129:AK129"/>
    <mergeCell ref="R129:S129"/>
    <mergeCell ref="T129:U129"/>
    <mergeCell ref="V129:W129"/>
    <mergeCell ref="X129:Y129"/>
    <mergeCell ref="Z129:AA129"/>
    <mergeCell ref="AB129:AC129"/>
    <mergeCell ref="B129:C129"/>
    <mergeCell ref="D129:E129"/>
    <mergeCell ref="F129:G129"/>
    <mergeCell ref="H129:I129"/>
    <mergeCell ref="J129:K129"/>
    <mergeCell ref="L129:M129"/>
    <mergeCell ref="N129:O129"/>
    <mergeCell ref="P129:Q129"/>
    <mergeCell ref="AL128:BB128"/>
    <mergeCell ref="AD128:AE128"/>
    <mergeCell ref="AF128:AG128"/>
    <mergeCell ref="AH128:AI128"/>
    <mergeCell ref="AJ128:AK128"/>
    <mergeCell ref="R128:S128"/>
    <mergeCell ref="T128:U128"/>
    <mergeCell ref="V128:W128"/>
    <mergeCell ref="X128:Y128"/>
    <mergeCell ref="Z128:AA128"/>
    <mergeCell ref="AB128:AC128"/>
    <mergeCell ref="B128:C128"/>
    <mergeCell ref="D128:E128"/>
    <mergeCell ref="F128:G128"/>
    <mergeCell ref="H128:I128"/>
    <mergeCell ref="J128:K128"/>
    <mergeCell ref="L128:M128"/>
    <mergeCell ref="N128:O128"/>
    <mergeCell ref="P128:Q128"/>
    <mergeCell ref="AL127:BB127"/>
    <mergeCell ref="AD127:AE127"/>
    <mergeCell ref="AF127:AG127"/>
    <mergeCell ref="AH127:AI127"/>
    <mergeCell ref="AJ127:AK127"/>
    <mergeCell ref="R127:S127"/>
    <mergeCell ref="T127:U127"/>
    <mergeCell ref="V127:W127"/>
    <mergeCell ref="X127:Y127"/>
    <mergeCell ref="Z127:AA127"/>
    <mergeCell ref="AB127:AC127"/>
    <mergeCell ref="B127:C127"/>
    <mergeCell ref="D127:E127"/>
    <mergeCell ref="F127:G127"/>
    <mergeCell ref="H127:I127"/>
    <mergeCell ref="J127:K127"/>
    <mergeCell ref="L127:M127"/>
    <mergeCell ref="N127:O127"/>
    <mergeCell ref="P127:Q127"/>
    <mergeCell ref="AL126:BB126"/>
    <mergeCell ref="AD126:AE126"/>
    <mergeCell ref="AF126:AG126"/>
    <mergeCell ref="AH126:AI126"/>
    <mergeCell ref="AJ126:AK126"/>
    <mergeCell ref="R126:S126"/>
    <mergeCell ref="T126:U126"/>
    <mergeCell ref="V126:W126"/>
    <mergeCell ref="X126:Y126"/>
    <mergeCell ref="Z126:AA126"/>
    <mergeCell ref="AB126:AC126"/>
    <mergeCell ref="B126:C126"/>
    <mergeCell ref="D126:E126"/>
    <mergeCell ref="F126:G126"/>
    <mergeCell ref="H126:I126"/>
    <mergeCell ref="J126:K126"/>
    <mergeCell ref="L126:M126"/>
    <mergeCell ref="N126:O126"/>
    <mergeCell ref="P126:Q126"/>
    <mergeCell ref="AL125:BB125"/>
    <mergeCell ref="AD125:AE125"/>
    <mergeCell ref="AF125:AG125"/>
    <mergeCell ref="AH125:AI125"/>
    <mergeCell ref="AJ125:AK125"/>
    <mergeCell ref="R125:S125"/>
    <mergeCell ref="T125:U125"/>
    <mergeCell ref="V125:W125"/>
    <mergeCell ref="X125:Y125"/>
    <mergeCell ref="Z125:AA125"/>
    <mergeCell ref="AB125:AC125"/>
    <mergeCell ref="B125:C125"/>
    <mergeCell ref="D125:E125"/>
    <mergeCell ref="F125:G125"/>
    <mergeCell ref="H125:I125"/>
    <mergeCell ref="J125:K125"/>
    <mergeCell ref="L125:M125"/>
    <mergeCell ref="N125:O125"/>
    <mergeCell ref="P125:Q125"/>
    <mergeCell ref="AL124:BB124"/>
    <mergeCell ref="AD124:AE124"/>
    <mergeCell ref="AF124:AG124"/>
    <mergeCell ref="AH124:AI124"/>
    <mergeCell ref="AJ124:AK124"/>
    <mergeCell ref="R124:S124"/>
    <mergeCell ref="T124:U124"/>
    <mergeCell ref="V124:W124"/>
    <mergeCell ref="X124:Y124"/>
    <mergeCell ref="Z124:AA124"/>
    <mergeCell ref="AB124:AC124"/>
    <mergeCell ref="B124:C124"/>
    <mergeCell ref="D124:E124"/>
    <mergeCell ref="F124:G124"/>
    <mergeCell ref="H124:I124"/>
    <mergeCell ref="J124:K124"/>
    <mergeCell ref="L124:M124"/>
    <mergeCell ref="N124:O124"/>
    <mergeCell ref="P124:Q124"/>
    <mergeCell ref="AL123:BB123"/>
    <mergeCell ref="AD123:AE123"/>
    <mergeCell ref="AF123:AG123"/>
    <mergeCell ref="AH123:AI123"/>
    <mergeCell ref="AJ123:AK123"/>
    <mergeCell ref="R123:S123"/>
    <mergeCell ref="T123:U123"/>
    <mergeCell ref="V123:W123"/>
    <mergeCell ref="X123:Y123"/>
    <mergeCell ref="Z123:AA123"/>
    <mergeCell ref="AB123:AC123"/>
    <mergeCell ref="B123:C123"/>
    <mergeCell ref="D123:E123"/>
    <mergeCell ref="F123:G123"/>
    <mergeCell ref="H123:I123"/>
    <mergeCell ref="J123:K123"/>
    <mergeCell ref="L123:M123"/>
    <mergeCell ref="N123:O123"/>
    <mergeCell ref="P123:Q123"/>
    <mergeCell ref="AL122:BB122"/>
    <mergeCell ref="AD122:AE122"/>
    <mergeCell ref="AF122:AG122"/>
    <mergeCell ref="AH122:AI122"/>
    <mergeCell ref="AJ122:AK122"/>
    <mergeCell ref="R122:S122"/>
    <mergeCell ref="T122:U122"/>
    <mergeCell ref="V122:W122"/>
    <mergeCell ref="X122:Y122"/>
    <mergeCell ref="Z122:AA122"/>
    <mergeCell ref="AB122:AC122"/>
    <mergeCell ref="B122:C122"/>
    <mergeCell ref="D122:E122"/>
    <mergeCell ref="F122:G122"/>
    <mergeCell ref="H122:I122"/>
    <mergeCell ref="J122:K122"/>
    <mergeCell ref="L122:M122"/>
    <mergeCell ref="N122:O122"/>
    <mergeCell ref="P122:Q122"/>
    <mergeCell ref="AL121:BB121"/>
    <mergeCell ref="AD121:AE121"/>
    <mergeCell ref="AF121:AG121"/>
    <mergeCell ref="AH121:AI121"/>
    <mergeCell ref="AJ121:AK121"/>
    <mergeCell ref="R121:S121"/>
    <mergeCell ref="T121:U121"/>
    <mergeCell ref="V121:W121"/>
    <mergeCell ref="X121:Y121"/>
    <mergeCell ref="Z121:AA121"/>
    <mergeCell ref="AB121:AC121"/>
    <mergeCell ref="B121:C121"/>
    <mergeCell ref="D121:E121"/>
    <mergeCell ref="F121:G121"/>
    <mergeCell ref="H121:I121"/>
    <mergeCell ref="J121:K121"/>
    <mergeCell ref="L121:M121"/>
    <mergeCell ref="N121:O121"/>
    <mergeCell ref="P121:Q121"/>
    <mergeCell ref="AL120:BB120"/>
    <mergeCell ref="AD120:AE120"/>
    <mergeCell ref="AF120:AG120"/>
    <mergeCell ref="AH120:AI120"/>
    <mergeCell ref="AJ120:AK120"/>
    <mergeCell ref="R120:S120"/>
    <mergeCell ref="T120:U120"/>
    <mergeCell ref="V120:W120"/>
    <mergeCell ref="X120:Y120"/>
    <mergeCell ref="Z120:AA120"/>
    <mergeCell ref="AB120:AC120"/>
    <mergeCell ref="B120:C120"/>
    <mergeCell ref="D120:E120"/>
    <mergeCell ref="F120:G120"/>
    <mergeCell ref="H120:I120"/>
    <mergeCell ref="J120:K120"/>
    <mergeCell ref="L120:M120"/>
    <mergeCell ref="N120:O120"/>
    <mergeCell ref="P120:Q120"/>
    <mergeCell ref="AL119:BB119"/>
    <mergeCell ref="AD119:AE119"/>
    <mergeCell ref="AF119:AG119"/>
    <mergeCell ref="AH119:AI119"/>
    <mergeCell ref="AJ119:AK119"/>
    <mergeCell ref="R119:S119"/>
    <mergeCell ref="T119:U119"/>
    <mergeCell ref="V119:W119"/>
    <mergeCell ref="X119:Y119"/>
    <mergeCell ref="Z119:AA119"/>
    <mergeCell ref="AB119:AC119"/>
    <mergeCell ref="B119:C119"/>
    <mergeCell ref="D119:E119"/>
    <mergeCell ref="F119:G119"/>
    <mergeCell ref="H119:I119"/>
    <mergeCell ref="J119:K119"/>
    <mergeCell ref="L119:M119"/>
    <mergeCell ref="N119:O119"/>
    <mergeCell ref="P119:Q119"/>
    <mergeCell ref="AL118:BB118"/>
    <mergeCell ref="AD118:AE118"/>
    <mergeCell ref="AF118:AG118"/>
    <mergeCell ref="AH118:AI118"/>
    <mergeCell ref="AJ118:AK118"/>
    <mergeCell ref="R118:S118"/>
    <mergeCell ref="T118:U118"/>
    <mergeCell ref="V118:W118"/>
    <mergeCell ref="X118:Y118"/>
    <mergeCell ref="Z118:AA118"/>
    <mergeCell ref="AB118:AC118"/>
    <mergeCell ref="B118:C118"/>
    <mergeCell ref="D118:E118"/>
    <mergeCell ref="F118:G118"/>
    <mergeCell ref="H118:I118"/>
    <mergeCell ref="J118:K118"/>
    <mergeCell ref="L118:M118"/>
    <mergeCell ref="N118:O118"/>
    <mergeCell ref="P118:Q118"/>
    <mergeCell ref="AL117:BB117"/>
    <mergeCell ref="AD117:AE117"/>
    <mergeCell ref="AF117:AG117"/>
    <mergeCell ref="AH117:AI117"/>
    <mergeCell ref="AJ117:AK117"/>
    <mergeCell ref="R117:S117"/>
    <mergeCell ref="T117:U117"/>
    <mergeCell ref="V117:W117"/>
    <mergeCell ref="X117:Y117"/>
    <mergeCell ref="Z117:AA117"/>
    <mergeCell ref="AB117:AC117"/>
    <mergeCell ref="B117:C117"/>
    <mergeCell ref="D117:E117"/>
    <mergeCell ref="F117:G117"/>
    <mergeCell ref="H117:I117"/>
    <mergeCell ref="J117:K117"/>
    <mergeCell ref="L117:M117"/>
    <mergeCell ref="N117:O117"/>
    <mergeCell ref="P117:Q117"/>
    <mergeCell ref="AL116:BB116"/>
    <mergeCell ref="AD116:AE116"/>
    <mergeCell ref="AF116:AG116"/>
    <mergeCell ref="AH116:AI116"/>
    <mergeCell ref="AJ116:AK116"/>
    <mergeCell ref="R116:S116"/>
    <mergeCell ref="T116:U116"/>
    <mergeCell ref="V116:W116"/>
    <mergeCell ref="X116:Y116"/>
    <mergeCell ref="Z116:AA116"/>
    <mergeCell ref="AB116:AC116"/>
    <mergeCell ref="B116:C116"/>
    <mergeCell ref="D116:E116"/>
    <mergeCell ref="F116:G116"/>
    <mergeCell ref="H116:I116"/>
    <mergeCell ref="J116:K116"/>
    <mergeCell ref="L116:M116"/>
    <mergeCell ref="N116:O116"/>
    <mergeCell ref="P116:Q116"/>
    <mergeCell ref="AL115:BB115"/>
    <mergeCell ref="AD115:AE115"/>
    <mergeCell ref="AF115:AG115"/>
    <mergeCell ref="AH115:AI115"/>
    <mergeCell ref="AJ115:AK115"/>
    <mergeCell ref="R115:S115"/>
    <mergeCell ref="T115:U115"/>
    <mergeCell ref="V115:W115"/>
    <mergeCell ref="X115:Y115"/>
    <mergeCell ref="Z115:AA115"/>
    <mergeCell ref="AB115:AC115"/>
    <mergeCell ref="B115:C115"/>
    <mergeCell ref="D115:E115"/>
    <mergeCell ref="F115:G115"/>
    <mergeCell ref="H115:I115"/>
    <mergeCell ref="J115:K115"/>
    <mergeCell ref="L115:M115"/>
    <mergeCell ref="N115:O115"/>
    <mergeCell ref="P115:Q115"/>
    <mergeCell ref="AL114:BB114"/>
    <mergeCell ref="AD114:AE114"/>
    <mergeCell ref="AF114:AG114"/>
    <mergeCell ref="AH114:AI114"/>
    <mergeCell ref="AJ114:AK114"/>
    <mergeCell ref="R114:S114"/>
    <mergeCell ref="T114:U114"/>
    <mergeCell ref="V114:W114"/>
    <mergeCell ref="X114:Y114"/>
    <mergeCell ref="Z114:AA114"/>
    <mergeCell ref="AB114:AC114"/>
    <mergeCell ref="B114:C114"/>
    <mergeCell ref="D114:E114"/>
    <mergeCell ref="F114:G114"/>
    <mergeCell ref="H114:I114"/>
    <mergeCell ref="J114:K114"/>
    <mergeCell ref="L114:M114"/>
    <mergeCell ref="N114:O114"/>
    <mergeCell ref="P114:Q114"/>
    <mergeCell ref="AL113:BB113"/>
    <mergeCell ref="AD113:AE113"/>
    <mergeCell ref="AF113:AG113"/>
    <mergeCell ref="AH113:AI113"/>
    <mergeCell ref="AJ113:AK113"/>
    <mergeCell ref="R113:S113"/>
    <mergeCell ref="T113:U113"/>
    <mergeCell ref="V113:W113"/>
    <mergeCell ref="X113:Y113"/>
    <mergeCell ref="Z113:AA113"/>
    <mergeCell ref="AB113:AC113"/>
    <mergeCell ref="B113:C113"/>
    <mergeCell ref="D113:E113"/>
    <mergeCell ref="F113:G113"/>
    <mergeCell ref="H113:I113"/>
    <mergeCell ref="J113:K113"/>
    <mergeCell ref="L113:M113"/>
    <mergeCell ref="N113:O113"/>
    <mergeCell ref="P113:Q113"/>
    <mergeCell ref="AL112:BB112"/>
    <mergeCell ref="AD112:AE112"/>
    <mergeCell ref="AF112:AG112"/>
    <mergeCell ref="AH112:AI112"/>
    <mergeCell ref="AJ112:AK112"/>
    <mergeCell ref="R112:S112"/>
    <mergeCell ref="T112:U112"/>
    <mergeCell ref="V112:W112"/>
    <mergeCell ref="X112:Y112"/>
    <mergeCell ref="Z112:AA112"/>
    <mergeCell ref="AB112:AC112"/>
    <mergeCell ref="B112:C112"/>
    <mergeCell ref="D112:E112"/>
    <mergeCell ref="F112:G112"/>
    <mergeCell ref="H112:I112"/>
    <mergeCell ref="J112:K112"/>
    <mergeCell ref="L112:M112"/>
    <mergeCell ref="N112:O112"/>
    <mergeCell ref="P112:Q112"/>
    <mergeCell ref="AL111:BB111"/>
    <mergeCell ref="AD111:AE111"/>
    <mergeCell ref="AF111:AG111"/>
    <mergeCell ref="AH111:AI111"/>
    <mergeCell ref="AJ111:AK111"/>
    <mergeCell ref="R111:S111"/>
    <mergeCell ref="T111:U111"/>
    <mergeCell ref="V111:W111"/>
    <mergeCell ref="X111:Y111"/>
    <mergeCell ref="Z111:AA111"/>
    <mergeCell ref="AB111:AC111"/>
    <mergeCell ref="B111:C111"/>
    <mergeCell ref="D111:E111"/>
    <mergeCell ref="F111:G111"/>
    <mergeCell ref="H111:I111"/>
    <mergeCell ref="J111:K111"/>
    <mergeCell ref="L111:M111"/>
    <mergeCell ref="N111:O111"/>
    <mergeCell ref="P111:Q111"/>
    <mergeCell ref="AL110:BB110"/>
    <mergeCell ref="AD110:AE110"/>
    <mergeCell ref="AF110:AG110"/>
    <mergeCell ref="AH110:AI110"/>
    <mergeCell ref="AJ110:AK110"/>
    <mergeCell ref="R110:S110"/>
    <mergeCell ref="T110:U110"/>
    <mergeCell ref="V110:W110"/>
    <mergeCell ref="X110:Y110"/>
    <mergeCell ref="Z110:AA110"/>
    <mergeCell ref="AB110:AC110"/>
    <mergeCell ref="B110:C110"/>
    <mergeCell ref="D110:E110"/>
    <mergeCell ref="F110:G110"/>
    <mergeCell ref="H110:I110"/>
    <mergeCell ref="J110:K110"/>
    <mergeCell ref="L110:M110"/>
    <mergeCell ref="N110:O110"/>
    <mergeCell ref="P110:Q110"/>
    <mergeCell ref="AL109:BB109"/>
    <mergeCell ref="AD109:AE109"/>
    <mergeCell ref="AF109:AG109"/>
    <mergeCell ref="AH109:AI109"/>
    <mergeCell ref="AJ109:AK109"/>
    <mergeCell ref="R109:S109"/>
    <mergeCell ref="T109:U109"/>
    <mergeCell ref="V109:W109"/>
    <mergeCell ref="X109:Y109"/>
    <mergeCell ref="Z109:AA109"/>
    <mergeCell ref="AB109:AC109"/>
    <mergeCell ref="B109:C109"/>
    <mergeCell ref="D109:E109"/>
    <mergeCell ref="F109:G109"/>
    <mergeCell ref="H109:I109"/>
    <mergeCell ref="J109:K109"/>
    <mergeCell ref="L109:M109"/>
    <mergeCell ref="N109:O109"/>
    <mergeCell ref="P109:Q109"/>
    <mergeCell ref="AL108:BB108"/>
    <mergeCell ref="AD108:AE108"/>
    <mergeCell ref="AF108:AG108"/>
    <mergeCell ref="AH108:AI108"/>
    <mergeCell ref="AJ108:AK108"/>
    <mergeCell ref="R108:S108"/>
    <mergeCell ref="T108:U108"/>
    <mergeCell ref="V108:W108"/>
    <mergeCell ref="X108:Y108"/>
    <mergeCell ref="Z108:AA108"/>
    <mergeCell ref="AB108:AC108"/>
    <mergeCell ref="B108:C108"/>
    <mergeCell ref="D108:E108"/>
    <mergeCell ref="F108:G108"/>
    <mergeCell ref="H108:I108"/>
    <mergeCell ref="J108:K108"/>
    <mergeCell ref="L108:M108"/>
    <mergeCell ref="N108:O108"/>
    <mergeCell ref="P108:Q108"/>
    <mergeCell ref="AL107:BB107"/>
    <mergeCell ref="AD107:AE107"/>
    <mergeCell ref="AF107:AG107"/>
    <mergeCell ref="AH107:AI107"/>
    <mergeCell ref="AJ107:AK107"/>
    <mergeCell ref="R107:S107"/>
    <mergeCell ref="T107:U107"/>
    <mergeCell ref="V107:W107"/>
    <mergeCell ref="X107:Y107"/>
    <mergeCell ref="Z107:AA107"/>
    <mergeCell ref="AB107:AC107"/>
    <mergeCell ref="B107:C107"/>
    <mergeCell ref="D107:E107"/>
    <mergeCell ref="F107:G107"/>
    <mergeCell ref="H107:I107"/>
    <mergeCell ref="J107:K107"/>
    <mergeCell ref="L107:M107"/>
    <mergeCell ref="N107:O107"/>
    <mergeCell ref="P107:Q107"/>
    <mergeCell ref="AL106:BB106"/>
    <mergeCell ref="Z106:AA106"/>
    <mergeCell ref="AB106:AC106"/>
    <mergeCell ref="AD106:AE106"/>
    <mergeCell ref="AF106:AG106"/>
    <mergeCell ref="AH106:AI106"/>
    <mergeCell ref="AJ106:AK106"/>
    <mergeCell ref="N106:O106"/>
    <mergeCell ref="P106:Q106"/>
    <mergeCell ref="R106:S106"/>
    <mergeCell ref="T106:U106"/>
    <mergeCell ref="V106:W106"/>
    <mergeCell ref="X106:Y106"/>
    <mergeCell ref="B106:C106"/>
    <mergeCell ref="D106:E106"/>
    <mergeCell ref="F106:G106"/>
    <mergeCell ref="H106:I106"/>
    <mergeCell ref="J106:K106"/>
    <mergeCell ref="L106:M106"/>
    <mergeCell ref="AL105:BB105"/>
    <mergeCell ref="AD105:AE105"/>
    <mergeCell ref="AF105:AG105"/>
    <mergeCell ref="AH105:AI105"/>
    <mergeCell ref="AJ105:AK105"/>
    <mergeCell ref="R105:S105"/>
    <mergeCell ref="T105:U105"/>
    <mergeCell ref="V105:W105"/>
    <mergeCell ref="X105:Y105"/>
    <mergeCell ref="Z105:AA105"/>
    <mergeCell ref="AB105:AC105"/>
    <mergeCell ref="B105:C105"/>
    <mergeCell ref="D105:E105"/>
    <mergeCell ref="F105:G105"/>
    <mergeCell ref="H105:I105"/>
    <mergeCell ref="J105:K105"/>
    <mergeCell ref="L105:M105"/>
    <mergeCell ref="N105:O105"/>
    <mergeCell ref="P105:Q105"/>
    <mergeCell ref="AL104:BB104"/>
    <mergeCell ref="Z104:AA104"/>
    <mergeCell ref="AB104:AC104"/>
    <mergeCell ref="AD104:AE104"/>
    <mergeCell ref="AF104:AG104"/>
    <mergeCell ref="AH104:AI104"/>
    <mergeCell ref="AJ104:AK104"/>
    <mergeCell ref="N104:O104"/>
    <mergeCell ref="P104:Q104"/>
    <mergeCell ref="R104:S104"/>
    <mergeCell ref="T104:U104"/>
    <mergeCell ref="V104:W104"/>
    <mergeCell ref="X104:Y104"/>
    <mergeCell ref="B104:C104"/>
    <mergeCell ref="D104:E104"/>
    <mergeCell ref="F104:G104"/>
    <mergeCell ref="H104:I104"/>
    <mergeCell ref="J104:K104"/>
    <mergeCell ref="L104:M104"/>
    <mergeCell ref="AL103:BB103"/>
    <mergeCell ref="AD103:AE103"/>
    <mergeCell ref="AF103:AG103"/>
    <mergeCell ref="AH103:AI103"/>
    <mergeCell ref="AJ103:AK103"/>
    <mergeCell ref="R103:S103"/>
    <mergeCell ref="T103:U103"/>
    <mergeCell ref="V103:W103"/>
    <mergeCell ref="X103:Y103"/>
    <mergeCell ref="Z103:AA103"/>
    <mergeCell ref="AB103:AC103"/>
    <mergeCell ref="B103:C103"/>
    <mergeCell ref="D103:E103"/>
    <mergeCell ref="F103:G103"/>
    <mergeCell ref="H103:I103"/>
    <mergeCell ref="J103:K103"/>
    <mergeCell ref="L103:M103"/>
    <mergeCell ref="N103:O103"/>
    <mergeCell ref="P103:Q103"/>
    <mergeCell ref="AL102:BB102"/>
    <mergeCell ref="Z102:AA102"/>
    <mergeCell ref="AB102:AC102"/>
    <mergeCell ref="AD102:AE102"/>
    <mergeCell ref="AF102:AG102"/>
    <mergeCell ref="AH102:AI102"/>
    <mergeCell ref="AJ102:AK102"/>
    <mergeCell ref="N102:O102"/>
    <mergeCell ref="P102:Q102"/>
    <mergeCell ref="R102:S102"/>
    <mergeCell ref="T102:U102"/>
    <mergeCell ref="V102:W102"/>
    <mergeCell ref="X102:Y102"/>
    <mergeCell ref="B102:C102"/>
    <mergeCell ref="D102:E102"/>
    <mergeCell ref="F102:G102"/>
    <mergeCell ref="H102:I102"/>
    <mergeCell ref="J102:K102"/>
    <mergeCell ref="L102:M102"/>
    <mergeCell ref="AL101:BB101"/>
    <mergeCell ref="AD101:AE101"/>
    <mergeCell ref="AF101:AG101"/>
    <mergeCell ref="AH101:AI101"/>
    <mergeCell ref="AJ101:AK101"/>
    <mergeCell ref="R101:S101"/>
    <mergeCell ref="T101:U101"/>
    <mergeCell ref="V101:W101"/>
    <mergeCell ref="X101:Y101"/>
    <mergeCell ref="Z101:AA101"/>
    <mergeCell ref="AB101:AC101"/>
    <mergeCell ref="B101:C101"/>
    <mergeCell ref="D101:E101"/>
    <mergeCell ref="F101:G101"/>
    <mergeCell ref="H101:I101"/>
    <mergeCell ref="J101:K101"/>
    <mergeCell ref="L101:M101"/>
    <mergeCell ref="N101:O101"/>
    <mergeCell ref="P101:Q101"/>
    <mergeCell ref="AL100:BB100"/>
    <mergeCell ref="Z100:AA100"/>
    <mergeCell ref="AB100:AC100"/>
    <mergeCell ref="AD100:AE100"/>
    <mergeCell ref="AF100:AG100"/>
    <mergeCell ref="AH100:AI100"/>
    <mergeCell ref="AJ100:AK100"/>
    <mergeCell ref="N100:O100"/>
    <mergeCell ref="P100:Q100"/>
    <mergeCell ref="R100:S100"/>
    <mergeCell ref="T100:U100"/>
    <mergeCell ref="V100:W100"/>
    <mergeCell ref="X100:Y100"/>
    <mergeCell ref="B100:C100"/>
    <mergeCell ref="D100:E100"/>
    <mergeCell ref="F100:G100"/>
    <mergeCell ref="H100:I100"/>
    <mergeCell ref="J100:K100"/>
    <mergeCell ref="L100:M100"/>
    <mergeCell ref="AL99:BB99"/>
    <mergeCell ref="AD99:AE99"/>
    <mergeCell ref="AF99:AG99"/>
    <mergeCell ref="AH99:AI99"/>
    <mergeCell ref="AJ99:AK99"/>
    <mergeCell ref="R99:S99"/>
    <mergeCell ref="T99:U99"/>
    <mergeCell ref="V99:W99"/>
    <mergeCell ref="X99:Y99"/>
    <mergeCell ref="Z99:AA99"/>
    <mergeCell ref="AB99:AC99"/>
    <mergeCell ref="B99:C99"/>
    <mergeCell ref="D99:E99"/>
    <mergeCell ref="F99:G99"/>
    <mergeCell ref="H99:I99"/>
    <mergeCell ref="J99:K99"/>
    <mergeCell ref="L99:M99"/>
    <mergeCell ref="N99:O99"/>
    <mergeCell ref="P99:Q99"/>
    <mergeCell ref="AL98:BB98"/>
    <mergeCell ref="Z98:AA98"/>
    <mergeCell ref="AB98:AC98"/>
    <mergeCell ref="AD98:AE98"/>
    <mergeCell ref="AF98:AG98"/>
    <mergeCell ref="AH98:AI98"/>
    <mergeCell ref="AJ98:AK98"/>
    <mergeCell ref="N98:O98"/>
    <mergeCell ref="P98:Q98"/>
    <mergeCell ref="R98:S98"/>
    <mergeCell ref="T98:U98"/>
    <mergeCell ref="V98:W98"/>
    <mergeCell ref="X98:Y98"/>
    <mergeCell ref="B98:C98"/>
    <mergeCell ref="D98:E98"/>
    <mergeCell ref="F98:G98"/>
    <mergeCell ref="H98:I98"/>
    <mergeCell ref="J98:K98"/>
    <mergeCell ref="L98:M98"/>
    <mergeCell ref="AL97:BB97"/>
    <mergeCell ref="Z97:AA97"/>
    <mergeCell ref="AB97:AC97"/>
    <mergeCell ref="AD97:AE97"/>
    <mergeCell ref="AF97:AG97"/>
    <mergeCell ref="AH97:AI97"/>
    <mergeCell ref="AJ97:AK97"/>
    <mergeCell ref="N97:O97"/>
    <mergeCell ref="P97:Q97"/>
    <mergeCell ref="R97:S97"/>
    <mergeCell ref="T97:U97"/>
    <mergeCell ref="V97:W97"/>
    <mergeCell ref="X97:Y97"/>
    <mergeCell ref="B97:C97"/>
    <mergeCell ref="D97:E97"/>
    <mergeCell ref="F97:G97"/>
    <mergeCell ref="H97:I97"/>
    <mergeCell ref="J97:K97"/>
    <mergeCell ref="L97:M97"/>
    <mergeCell ref="AL96:BB96"/>
    <mergeCell ref="AD96:AE96"/>
    <mergeCell ref="AF96:AG96"/>
    <mergeCell ref="AH96:AI96"/>
    <mergeCell ref="AJ96:AK96"/>
    <mergeCell ref="R96:S96"/>
    <mergeCell ref="T96:U96"/>
    <mergeCell ref="V96:W96"/>
    <mergeCell ref="X96:Y96"/>
    <mergeCell ref="Z96:AA96"/>
    <mergeCell ref="AB96:AC96"/>
    <mergeCell ref="B96:C96"/>
    <mergeCell ref="D96:E96"/>
    <mergeCell ref="F96:G96"/>
    <mergeCell ref="H96:I96"/>
    <mergeCell ref="J96:K96"/>
    <mergeCell ref="L96:M96"/>
    <mergeCell ref="N96:O96"/>
    <mergeCell ref="P96:Q96"/>
    <mergeCell ref="AL95:BB95"/>
    <mergeCell ref="AD95:AE95"/>
    <mergeCell ref="AF95:AG95"/>
    <mergeCell ref="AH95:AI95"/>
    <mergeCell ref="AJ95:AK95"/>
    <mergeCell ref="R95:S95"/>
    <mergeCell ref="T95:U95"/>
    <mergeCell ref="V95:W95"/>
    <mergeCell ref="X95:Y95"/>
    <mergeCell ref="Z95:AA95"/>
    <mergeCell ref="AB95:AC95"/>
    <mergeCell ref="B95:C95"/>
    <mergeCell ref="D95:E95"/>
    <mergeCell ref="F95:G95"/>
    <mergeCell ref="H95:I95"/>
    <mergeCell ref="J95:K95"/>
    <mergeCell ref="L95:M95"/>
    <mergeCell ref="N95:O95"/>
    <mergeCell ref="P95:Q95"/>
    <mergeCell ref="AL94:BB94"/>
    <mergeCell ref="AD94:AE94"/>
    <mergeCell ref="AF94:AG94"/>
    <mergeCell ref="AH94:AI94"/>
    <mergeCell ref="AJ94:AK94"/>
    <mergeCell ref="R94:S94"/>
    <mergeCell ref="T94:U94"/>
    <mergeCell ref="V94:W94"/>
    <mergeCell ref="X94:Y94"/>
    <mergeCell ref="Z94:AA94"/>
    <mergeCell ref="AB94:AC94"/>
    <mergeCell ref="B94:C94"/>
    <mergeCell ref="D94:E94"/>
    <mergeCell ref="F94:G94"/>
    <mergeCell ref="H94:I94"/>
    <mergeCell ref="J94:K94"/>
    <mergeCell ref="L94:M94"/>
    <mergeCell ref="N94:O94"/>
    <mergeCell ref="P94:Q94"/>
    <mergeCell ref="AL93:BB93"/>
    <mergeCell ref="AD93:AE93"/>
    <mergeCell ref="AF93:AG93"/>
    <mergeCell ref="AH93:AI93"/>
    <mergeCell ref="AJ93:AK93"/>
    <mergeCell ref="R93:S93"/>
    <mergeCell ref="T93:U93"/>
    <mergeCell ref="V93:W93"/>
    <mergeCell ref="X93:Y93"/>
    <mergeCell ref="Z93:AA93"/>
    <mergeCell ref="AB93:AC93"/>
    <mergeCell ref="B93:C93"/>
    <mergeCell ref="D93:E93"/>
    <mergeCell ref="F93:G93"/>
    <mergeCell ref="H93:I93"/>
    <mergeCell ref="J93:K93"/>
    <mergeCell ref="L93:M93"/>
    <mergeCell ref="N93:O93"/>
    <mergeCell ref="P93:Q93"/>
    <mergeCell ref="AL92:BB92"/>
    <mergeCell ref="AD92:AE92"/>
    <mergeCell ref="AF92:AG92"/>
    <mergeCell ref="AH92:AI92"/>
    <mergeCell ref="AJ92:AK92"/>
    <mergeCell ref="R92:S92"/>
    <mergeCell ref="T92:U92"/>
    <mergeCell ref="V92:W92"/>
    <mergeCell ref="X92:Y92"/>
    <mergeCell ref="Z92:AA92"/>
    <mergeCell ref="AB92:AC92"/>
    <mergeCell ref="B92:C92"/>
    <mergeCell ref="D92:E92"/>
    <mergeCell ref="F92:G92"/>
    <mergeCell ref="H92:I92"/>
    <mergeCell ref="J92:K92"/>
    <mergeCell ref="L92:M92"/>
    <mergeCell ref="N92:O92"/>
    <mergeCell ref="P92:Q92"/>
    <mergeCell ref="AL91:BB91"/>
    <mergeCell ref="AD91:AE91"/>
    <mergeCell ref="AF91:AG91"/>
    <mergeCell ref="AH91:AI91"/>
    <mergeCell ref="AJ91:AK91"/>
    <mergeCell ref="R91:S91"/>
    <mergeCell ref="T91:U91"/>
    <mergeCell ref="V91:W91"/>
    <mergeCell ref="X91:Y91"/>
    <mergeCell ref="Z91:AA91"/>
    <mergeCell ref="AB91:AC91"/>
    <mergeCell ref="B91:C91"/>
    <mergeCell ref="D91:E91"/>
    <mergeCell ref="F91:G91"/>
    <mergeCell ref="H91:I91"/>
    <mergeCell ref="J91:K91"/>
    <mergeCell ref="L91:M91"/>
    <mergeCell ref="N91:O91"/>
    <mergeCell ref="P91:Q91"/>
    <mergeCell ref="AL90:BB90"/>
    <mergeCell ref="AD90:AE90"/>
    <mergeCell ref="AF90:AG90"/>
    <mergeCell ref="AH90:AI90"/>
    <mergeCell ref="AJ90:AK90"/>
    <mergeCell ref="R90:S90"/>
    <mergeCell ref="T90:U90"/>
    <mergeCell ref="V90:W90"/>
    <mergeCell ref="X90:Y90"/>
    <mergeCell ref="Z90:AA90"/>
    <mergeCell ref="AB90:AC90"/>
    <mergeCell ref="B90:C90"/>
    <mergeCell ref="D90:E90"/>
    <mergeCell ref="F90:G90"/>
    <mergeCell ref="H90:I90"/>
    <mergeCell ref="J90:K90"/>
    <mergeCell ref="L90:M90"/>
    <mergeCell ref="N90:O90"/>
    <mergeCell ref="P90:Q90"/>
    <mergeCell ref="AL89:BB89"/>
    <mergeCell ref="AD89:AE89"/>
    <mergeCell ref="AF89:AG89"/>
    <mergeCell ref="AH89:AI89"/>
    <mergeCell ref="AJ89:AK89"/>
    <mergeCell ref="R89:S89"/>
    <mergeCell ref="T89:U89"/>
    <mergeCell ref="V89:W89"/>
    <mergeCell ref="X89:Y89"/>
    <mergeCell ref="Z89:AA89"/>
    <mergeCell ref="AB89:AC89"/>
    <mergeCell ref="B89:C89"/>
    <mergeCell ref="D89:E89"/>
    <mergeCell ref="F89:G89"/>
    <mergeCell ref="H89:I89"/>
    <mergeCell ref="J89:K89"/>
    <mergeCell ref="L89:M89"/>
    <mergeCell ref="N89:O89"/>
    <mergeCell ref="P89:Q89"/>
    <mergeCell ref="AL88:BB88"/>
    <mergeCell ref="AD88:AE88"/>
    <mergeCell ref="AF88:AG88"/>
    <mergeCell ref="AH88:AI88"/>
    <mergeCell ref="AJ88:AK88"/>
    <mergeCell ref="R88:S88"/>
    <mergeCell ref="T88:U88"/>
    <mergeCell ref="V88:W88"/>
    <mergeCell ref="X88:Y88"/>
    <mergeCell ref="Z88:AA88"/>
    <mergeCell ref="AB88:AC88"/>
    <mergeCell ref="B88:C88"/>
    <mergeCell ref="D88:E88"/>
    <mergeCell ref="F88:G88"/>
    <mergeCell ref="H88:I88"/>
    <mergeCell ref="J88:K88"/>
    <mergeCell ref="L88:M88"/>
    <mergeCell ref="N88:O88"/>
    <mergeCell ref="P88:Q88"/>
    <mergeCell ref="AL87:BB87"/>
    <mergeCell ref="AD87:AE87"/>
    <mergeCell ref="AF87:AG87"/>
    <mergeCell ref="AH87:AI87"/>
    <mergeCell ref="AJ87:AK87"/>
    <mergeCell ref="R87:S87"/>
    <mergeCell ref="T87:U87"/>
    <mergeCell ref="V87:W87"/>
    <mergeCell ref="X87:Y87"/>
    <mergeCell ref="Z87:AA87"/>
    <mergeCell ref="AB87:AC87"/>
    <mergeCell ref="B87:C87"/>
    <mergeCell ref="D87:E87"/>
    <mergeCell ref="F87:G87"/>
    <mergeCell ref="H87:I87"/>
    <mergeCell ref="J87:K87"/>
    <mergeCell ref="L87:M87"/>
    <mergeCell ref="N87:O87"/>
    <mergeCell ref="P87:Q87"/>
    <mergeCell ref="AL86:BB86"/>
    <mergeCell ref="AD86:AE86"/>
    <mergeCell ref="AF86:AG86"/>
    <mergeCell ref="AH86:AI86"/>
    <mergeCell ref="AJ86:AK86"/>
    <mergeCell ref="R86:S86"/>
    <mergeCell ref="T86:U86"/>
    <mergeCell ref="V86:W86"/>
    <mergeCell ref="X86:Y86"/>
    <mergeCell ref="Z86:AA86"/>
    <mergeCell ref="AB86:AC86"/>
    <mergeCell ref="B86:C86"/>
    <mergeCell ref="D86:E86"/>
    <mergeCell ref="F86:G86"/>
    <mergeCell ref="H86:I86"/>
    <mergeCell ref="J86:K86"/>
    <mergeCell ref="L86:M86"/>
    <mergeCell ref="N86:O86"/>
    <mergeCell ref="P86:Q86"/>
    <mergeCell ref="AL85:BB85"/>
    <mergeCell ref="AD85:AE85"/>
    <mergeCell ref="AF85:AG85"/>
    <mergeCell ref="AH85:AI85"/>
    <mergeCell ref="AJ85:AK85"/>
    <mergeCell ref="R85:S85"/>
    <mergeCell ref="T85:U85"/>
    <mergeCell ref="V85:W85"/>
    <mergeCell ref="X85:Y85"/>
    <mergeCell ref="Z85:AA85"/>
    <mergeCell ref="AB85:AC85"/>
    <mergeCell ref="B85:C85"/>
    <mergeCell ref="D85:E85"/>
    <mergeCell ref="F85:G85"/>
    <mergeCell ref="H85:I85"/>
    <mergeCell ref="J85:K85"/>
    <mergeCell ref="L85:M85"/>
    <mergeCell ref="N85:O85"/>
    <mergeCell ref="P85:Q85"/>
    <mergeCell ref="AL84:BB84"/>
    <mergeCell ref="AD84:AE84"/>
    <mergeCell ref="AF84:AG84"/>
    <mergeCell ref="AH84:AI84"/>
    <mergeCell ref="AJ84:AK84"/>
    <mergeCell ref="R84:S84"/>
    <mergeCell ref="T84:U84"/>
    <mergeCell ref="V84:W84"/>
    <mergeCell ref="X84:Y84"/>
    <mergeCell ref="Z84:AA84"/>
    <mergeCell ref="AB84:AC84"/>
    <mergeCell ref="B84:C84"/>
    <mergeCell ref="D84:E84"/>
    <mergeCell ref="F84:G84"/>
    <mergeCell ref="H84:I84"/>
    <mergeCell ref="J84:K84"/>
    <mergeCell ref="L84:M84"/>
    <mergeCell ref="N84:O84"/>
    <mergeCell ref="P84:Q84"/>
    <mergeCell ref="AL83:BB83"/>
    <mergeCell ref="AD83:AE83"/>
    <mergeCell ref="AF83:AG83"/>
    <mergeCell ref="AH83:AI83"/>
    <mergeCell ref="AJ83:AK83"/>
    <mergeCell ref="R83:S83"/>
    <mergeCell ref="T83:U83"/>
    <mergeCell ref="V83:W83"/>
    <mergeCell ref="X83:Y83"/>
    <mergeCell ref="Z83:AA83"/>
    <mergeCell ref="AB83:AC83"/>
    <mergeCell ref="B83:C83"/>
    <mergeCell ref="D83:E83"/>
    <mergeCell ref="F83:G83"/>
    <mergeCell ref="H83:I83"/>
    <mergeCell ref="J83:K83"/>
    <mergeCell ref="L83:M83"/>
    <mergeCell ref="N83:O83"/>
    <mergeCell ref="P83:Q83"/>
    <mergeCell ref="AL82:BB82"/>
    <mergeCell ref="AD82:AE82"/>
    <mergeCell ref="AF82:AG82"/>
    <mergeCell ref="AH82:AI82"/>
    <mergeCell ref="AJ82:AK82"/>
    <mergeCell ref="R82:S82"/>
    <mergeCell ref="T82:U82"/>
    <mergeCell ref="V82:W82"/>
    <mergeCell ref="X82:Y82"/>
    <mergeCell ref="Z82:AA82"/>
    <mergeCell ref="AB82:AC82"/>
    <mergeCell ref="B82:C82"/>
    <mergeCell ref="D82:E82"/>
    <mergeCell ref="F82:G82"/>
    <mergeCell ref="H82:I82"/>
    <mergeCell ref="J82:K82"/>
    <mergeCell ref="L82:M82"/>
    <mergeCell ref="N82:O82"/>
    <mergeCell ref="P82:Q82"/>
    <mergeCell ref="AL81:BB81"/>
    <mergeCell ref="AD81:AE81"/>
    <mergeCell ref="AF81:AG81"/>
    <mergeCell ref="AH81:AI81"/>
    <mergeCell ref="AJ81:AK81"/>
    <mergeCell ref="R81:S81"/>
    <mergeCell ref="T81:U81"/>
    <mergeCell ref="V81:W81"/>
    <mergeCell ref="X81:Y81"/>
    <mergeCell ref="Z81:AA81"/>
    <mergeCell ref="AB81:AC81"/>
    <mergeCell ref="B81:C81"/>
    <mergeCell ref="D81:E81"/>
    <mergeCell ref="F81:G81"/>
    <mergeCell ref="H81:I81"/>
    <mergeCell ref="J81:K81"/>
    <mergeCell ref="L81:M81"/>
    <mergeCell ref="N81:O81"/>
    <mergeCell ref="P81:Q81"/>
    <mergeCell ref="AL80:BB80"/>
    <mergeCell ref="AD80:AE80"/>
    <mergeCell ref="AF80:AG80"/>
    <mergeCell ref="AH80:AI80"/>
    <mergeCell ref="AJ80:AK80"/>
    <mergeCell ref="R80:S80"/>
    <mergeCell ref="T80:U80"/>
    <mergeCell ref="V80:W80"/>
    <mergeCell ref="X80:Y80"/>
    <mergeCell ref="Z80:AA80"/>
    <mergeCell ref="AB80:AC80"/>
    <mergeCell ref="B80:C80"/>
    <mergeCell ref="D80:E80"/>
    <mergeCell ref="F80:G80"/>
    <mergeCell ref="H80:I80"/>
    <mergeCell ref="J80:K80"/>
    <mergeCell ref="L80:M80"/>
    <mergeCell ref="N80:O80"/>
    <mergeCell ref="P80:Q80"/>
    <mergeCell ref="AL79:BB79"/>
    <mergeCell ref="AD79:AE79"/>
    <mergeCell ref="AF79:AG79"/>
    <mergeCell ref="AH79:AI79"/>
    <mergeCell ref="AJ79:AK79"/>
    <mergeCell ref="R79:S79"/>
    <mergeCell ref="T79:U79"/>
    <mergeCell ref="V79:W79"/>
    <mergeCell ref="X79:Y79"/>
    <mergeCell ref="Z79:AA79"/>
    <mergeCell ref="AB79:AC79"/>
    <mergeCell ref="B79:C79"/>
    <mergeCell ref="D79:E79"/>
    <mergeCell ref="F79:G79"/>
    <mergeCell ref="H79:I79"/>
    <mergeCell ref="J79:K79"/>
    <mergeCell ref="L79:M79"/>
    <mergeCell ref="N79:O79"/>
    <mergeCell ref="P79:Q79"/>
    <mergeCell ref="AL78:BB78"/>
    <mergeCell ref="AD78:AE78"/>
    <mergeCell ref="AF78:AG78"/>
    <mergeCell ref="AH78:AI78"/>
    <mergeCell ref="AJ78:AK78"/>
    <mergeCell ref="R78:S78"/>
    <mergeCell ref="T78:U78"/>
    <mergeCell ref="V78:W78"/>
    <mergeCell ref="X78:Y78"/>
    <mergeCell ref="Z78:AA78"/>
    <mergeCell ref="AB78:AC78"/>
    <mergeCell ref="B78:C78"/>
    <mergeCell ref="D78:E78"/>
    <mergeCell ref="F78:G78"/>
    <mergeCell ref="H78:I78"/>
    <mergeCell ref="J78:K78"/>
    <mergeCell ref="L78:M78"/>
    <mergeCell ref="N78:O78"/>
    <mergeCell ref="P78:Q78"/>
    <mergeCell ref="AL77:BB77"/>
    <mergeCell ref="AD77:AE77"/>
    <mergeCell ref="AF77:AG77"/>
    <mergeCell ref="AH77:AI77"/>
    <mergeCell ref="AJ77:AK77"/>
    <mergeCell ref="R77:S77"/>
    <mergeCell ref="T77:U77"/>
    <mergeCell ref="V77:W77"/>
    <mergeCell ref="X77:Y77"/>
    <mergeCell ref="Z77:AA77"/>
    <mergeCell ref="AB77:AC77"/>
    <mergeCell ref="B77:C77"/>
    <mergeCell ref="D77:E77"/>
    <mergeCell ref="F77:G77"/>
    <mergeCell ref="H77:I77"/>
    <mergeCell ref="J77:K77"/>
    <mergeCell ref="L77:M77"/>
    <mergeCell ref="N77:O77"/>
    <mergeCell ref="P77:Q77"/>
    <mergeCell ref="AL76:BB76"/>
    <mergeCell ref="AD76:AE76"/>
    <mergeCell ref="AF76:AG76"/>
    <mergeCell ref="AH76:AI76"/>
    <mergeCell ref="AJ76:AK76"/>
    <mergeCell ref="R76:S76"/>
    <mergeCell ref="T76:U76"/>
    <mergeCell ref="V76:W76"/>
    <mergeCell ref="X76:Y76"/>
    <mergeCell ref="Z76:AA76"/>
    <mergeCell ref="AB76:AC76"/>
    <mergeCell ref="B76:C76"/>
    <mergeCell ref="D76:E76"/>
    <mergeCell ref="F76:G76"/>
    <mergeCell ref="H76:I76"/>
    <mergeCell ref="J76:K76"/>
    <mergeCell ref="L76:M76"/>
    <mergeCell ref="N76:O76"/>
    <mergeCell ref="P76:Q76"/>
    <mergeCell ref="AL75:BB75"/>
    <mergeCell ref="AD75:AE75"/>
    <mergeCell ref="AF75:AG75"/>
    <mergeCell ref="AH75:AI75"/>
    <mergeCell ref="AJ75:AK75"/>
    <mergeCell ref="R75:S75"/>
    <mergeCell ref="T75:U75"/>
    <mergeCell ref="V75:W75"/>
    <mergeCell ref="X75:Y75"/>
    <mergeCell ref="Z75:AA75"/>
    <mergeCell ref="AB75:AC75"/>
    <mergeCell ref="B75:C75"/>
    <mergeCell ref="D75:E75"/>
    <mergeCell ref="F75:G75"/>
    <mergeCell ref="H75:I75"/>
    <mergeCell ref="J75:K75"/>
    <mergeCell ref="L75:M75"/>
    <mergeCell ref="N75:O75"/>
    <mergeCell ref="P75:Q75"/>
    <mergeCell ref="AL74:BB74"/>
    <mergeCell ref="AD74:AE74"/>
    <mergeCell ref="AF74:AG74"/>
    <mergeCell ref="AH74:AI74"/>
    <mergeCell ref="AJ74:AK74"/>
    <mergeCell ref="R74:S74"/>
    <mergeCell ref="T74:U74"/>
    <mergeCell ref="V74:W74"/>
    <mergeCell ref="X74:Y74"/>
    <mergeCell ref="Z74:AA74"/>
    <mergeCell ref="AB74:AC74"/>
    <mergeCell ref="B74:C74"/>
    <mergeCell ref="D74:E74"/>
    <mergeCell ref="F74:G74"/>
    <mergeCell ref="H74:I74"/>
    <mergeCell ref="J74:K74"/>
    <mergeCell ref="L74:M74"/>
    <mergeCell ref="N74:O74"/>
    <mergeCell ref="P74:Q74"/>
    <mergeCell ref="AL73:BB73"/>
    <mergeCell ref="AD73:AE73"/>
    <mergeCell ref="AF73:AG73"/>
    <mergeCell ref="AH73:AI73"/>
    <mergeCell ref="AJ73:AK73"/>
    <mergeCell ref="R73:S73"/>
    <mergeCell ref="T73:U73"/>
    <mergeCell ref="V73:W73"/>
    <mergeCell ref="X73:Y73"/>
    <mergeCell ref="Z73:AA73"/>
    <mergeCell ref="AB73:AC73"/>
    <mergeCell ref="B73:C73"/>
    <mergeCell ref="D73:E73"/>
    <mergeCell ref="F73:G73"/>
    <mergeCell ref="H73:I73"/>
    <mergeCell ref="J73:K73"/>
    <mergeCell ref="L73:M73"/>
    <mergeCell ref="N73:O73"/>
    <mergeCell ref="P73:Q73"/>
    <mergeCell ref="AL72:BB72"/>
    <mergeCell ref="AD72:AE72"/>
    <mergeCell ref="AF72:AG72"/>
    <mergeCell ref="AH72:AI72"/>
    <mergeCell ref="AJ72:AK72"/>
    <mergeCell ref="R72:S72"/>
    <mergeCell ref="T72:U72"/>
    <mergeCell ref="V72:W72"/>
    <mergeCell ref="X72:Y72"/>
    <mergeCell ref="Z72:AA72"/>
    <mergeCell ref="AB72:AC72"/>
    <mergeCell ref="B72:C72"/>
    <mergeCell ref="D72:E72"/>
    <mergeCell ref="F72:G72"/>
    <mergeCell ref="H72:I72"/>
    <mergeCell ref="J72:K72"/>
    <mergeCell ref="L72:M72"/>
    <mergeCell ref="N72:O72"/>
    <mergeCell ref="P72:Q72"/>
    <mergeCell ref="AL71:BB71"/>
    <mergeCell ref="AD71:AE71"/>
    <mergeCell ref="AF71:AG71"/>
    <mergeCell ref="AH71:AI71"/>
    <mergeCell ref="AJ71:AK71"/>
    <mergeCell ref="R71:S71"/>
    <mergeCell ref="T71:U71"/>
    <mergeCell ref="V71:W71"/>
    <mergeCell ref="X71:Y71"/>
    <mergeCell ref="Z71:AA71"/>
    <mergeCell ref="AB71:AC71"/>
    <mergeCell ref="B71:C71"/>
    <mergeCell ref="D71:E71"/>
    <mergeCell ref="F71:G71"/>
    <mergeCell ref="H71:I71"/>
    <mergeCell ref="J71:K71"/>
    <mergeCell ref="L71:M71"/>
    <mergeCell ref="N71:O71"/>
    <mergeCell ref="P71:Q71"/>
    <mergeCell ref="AL70:BB70"/>
    <mergeCell ref="AD70:AE70"/>
    <mergeCell ref="AF70:AG70"/>
    <mergeCell ref="AH70:AI70"/>
    <mergeCell ref="AJ70:AK70"/>
    <mergeCell ref="R70:S70"/>
    <mergeCell ref="T70:U70"/>
    <mergeCell ref="V70:W70"/>
    <mergeCell ref="X70:Y70"/>
    <mergeCell ref="Z70:AA70"/>
    <mergeCell ref="AB70:AC70"/>
    <mergeCell ref="B70:C70"/>
    <mergeCell ref="D70:E70"/>
    <mergeCell ref="F70:G70"/>
    <mergeCell ref="H70:I70"/>
    <mergeCell ref="J70:K70"/>
    <mergeCell ref="L70:M70"/>
    <mergeCell ref="N70:O70"/>
    <mergeCell ref="P70:Q70"/>
    <mergeCell ref="AL69:BB69"/>
    <mergeCell ref="AD69:AE69"/>
    <mergeCell ref="AF69:AG69"/>
    <mergeCell ref="AH69:AI69"/>
    <mergeCell ref="AJ69:AK69"/>
    <mergeCell ref="R69:S69"/>
    <mergeCell ref="T69:U69"/>
    <mergeCell ref="V69:W69"/>
    <mergeCell ref="X69:Y69"/>
    <mergeCell ref="Z69:AA69"/>
    <mergeCell ref="AB69:AC69"/>
    <mergeCell ref="B69:C69"/>
    <mergeCell ref="D69:E69"/>
    <mergeCell ref="F69:G69"/>
    <mergeCell ref="H69:I69"/>
    <mergeCell ref="J69:K69"/>
    <mergeCell ref="L69:M69"/>
    <mergeCell ref="N69:O69"/>
    <mergeCell ref="P69:Q69"/>
    <mergeCell ref="AL68:BB68"/>
    <mergeCell ref="AD68:AE68"/>
    <mergeCell ref="AF68:AG68"/>
    <mergeCell ref="AH68:AI68"/>
    <mergeCell ref="AJ68:AK68"/>
    <mergeCell ref="R68:S68"/>
    <mergeCell ref="T68:U68"/>
    <mergeCell ref="V68:W68"/>
    <mergeCell ref="X68:Y68"/>
    <mergeCell ref="Z68:AA68"/>
    <mergeCell ref="AB68:AC68"/>
    <mergeCell ref="B68:C68"/>
    <mergeCell ref="D68:E68"/>
    <mergeCell ref="F68:G68"/>
    <mergeCell ref="H68:I68"/>
    <mergeCell ref="J68:K68"/>
    <mergeCell ref="L68:M68"/>
    <mergeCell ref="N68:O68"/>
    <mergeCell ref="P68:Q68"/>
    <mergeCell ref="AL67:BB67"/>
    <mergeCell ref="AD67:AE67"/>
    <mergeCell ref="AF67:AG67"/>
    <mergeCell ref="AH67:AI67"/>
    <mergeCell ref="AJ67:AK67"/>
    <mergeCell ref="R67:S67"/>
    <mergeCell ref="T67:U67"/>
    <mergeCell ref="V67:W67"/>
    <mergeCell ref="X67:Y67"/>
    <mergeCell ref="Z67:AA67"/>
    <mergeCell ref="AB67:AC67"/>
    <mergeCell ref="B67:C67"/>
    <mergeCell ref="D67:E67"/>
    <mergeCell ref="F67:G67"/>
    <mergeCell ref="H67:I67"/>
    <mergeCell ref="J67:K67"/>
    <mergeCell ref="L67:M67"/>
    <mergeCell ref="N67:O67"/>
    <mergeCell ref="P67:Q67"/>
    <mergeCell ref="AL66:BB66"/>
    <mergeCell ref="AD66:AE66"/>
    <mergeCell ref="AF66:AG66"/>
    <mergeCell ref="AH66:AI66"/>
    <mergeCell ref="AJ66:AK66"/>
    <mergeCell ref="R66:S66"/>
    <mergeCell ref="T66:U66"/>
    <mergeCell ref="V66:W66"/>
    <mergeCell ref="X66:Y66"/>
    <mergeCell ref="Z66:AA66"/>
    <mergeCell ref="AB66:AC66"/>
    <mergeCell ref="B66:C66"/>
    <mergeCell ref="D66:E66"/>
    <mergeCell ref="F66:G66"/>
    <mergeCell ref="H66:I66"/>
    <mergeCell ref="J66:K66"/>
    <mergeCell ref="L66:M66"/>
    <mergeCell ref="N66:O66"/>
    <mergeCell ref="P66:Q66"/>
    <mergeCell ref="AL65:BB65"/>
    <mergeCell ref="AD65:AE65"/>
    <mergeCell ref="AF65:AG65"/>
    <mergeCell ref="AH65:AI65"/>
    <mergeCell ref="AJ65:AK65"/>
    <mergeCell ref="R65:S65"/>
    <mergeCell ref="T65:U65"/>
    <mergeCell ref="V65:W65"/>
    <mergeCell ref="X65:Y65"/>
    <mergeCell ref="Z65:AA65"/>
    <mergeCell ref="AB65:AC65"/>
    <mergeCell ref="B65:C65"/>
    <mergeCell ref="D65:E65"/>
    <mergeCell ref="F65:G65"/>
    <mergeCell ref="H65:I65"/>
    <mergeCell ref="J65:K65"/>
    <mergeCell ref="L65:M65"/>
    <mergeCell ref="N65:O65"/>
    <mergeCell ref="P65:Q65"/>
    <mergeCell ref="AL64:BB64"/>
    <mergeCell ref="AD64:AE64"/>
    <mergeCell ref="AF64:AG64"/>
    <mergeCell ref="AH64:AI64"/>
    <mergeCell ref="AJ64:AK64"/>
    <mergeCell ref="R64:S64"/>
    <mergeCell ref="T64:U64"/>
    <mergeCell ref="V64:W64"/>
    <mergeCell ref="X64:Y64"/>
    <mergeCell ref="Z64:AA64"/>
    <mergeCell ref="AB64:AC64"/>
    <mergeCell ref="B64:C64"/>
    <mergeCell ref="D64:E64"/>
    <mergeCell ref="F64:G64"/>
    <mergeCell ref="H64:I64"/>
    <mergeCell ref="J64:K64"/>
    <mergeCell ref="L64:M64"/>
    <mergeCell ref="N64:O64"/>
    <mergeCell ref="P64:Q64"/>
    <mergeCell ref="AL63:BB63"/>
    <mergeCell ref="AD63:AE63"/>
    <mergeCell ref="AF63:AG63"/>
    <mergeCell ref="AH63:AI63"/>
    <mergeCell ref="AJ63:AK63"/>
    <mergeCell ref="R63:S63"/>
    <mergeCell ref="T63:U63"/>
    <mergeCell ref="V63:W63"/>
    <mergeCell ref="X63:Y63"/>
    <mergeCell ref="Z63:AA63"/>
    <mergeCell ref="AB63:AC63"/>
    <mergeCell ref="B63:C63"/>
    <mergeCell ref="D63:E63"/>
    <mergeCell ref="F63:G63"/>
    <mergeCell ref="H63:I63"/>
    <mergeCell ref="J63:K63"/>
    <mergeCell ref="L63:M63"/>
    <mergeCell ref="N63:O63"/>
    <mergeCell ref="P63:Q63"/>
    <mergeCell ref="AL62:BB62"/>
    <mergeCell ref="AD62:AE62"/>
    <mergeCell ref="AF62:AG62"/>
    <mergeCell ref="AH62:AI62"/>
    <mergeCell ref="AJ62:AK62"/>
    <mergeCell ref="R62:S62"/>
    <mergeCell ref="T62:U62"/>
    <mergeCell ref="V62:W62"/>
    <mergeCell ref="X62:Y62"/>
    <mergeCell ref="Z62:AA62"/>
    <mergeCell ref="AB62:AC62"/>
    <mergeCell ref="B62:C62"/>
    <mergeCell ref="D62:E62"/>
    <mergeCell ref="F62:G62"/>
    <mergeCell ref="H62:I62"/>
    <mergeCell ref="J62:K62"/>
    <mergeCell ref="L62:M62"/>
    <mergeCell ref="N62:O62"/>
    <mergeCell ref="P62:Q62"/>
    <mergeCell ref="AL61:BB61"/>
    <mergeCell ref="AD61:AE61"/>
    <mergeCell ref="AF61:AG61"/>
    <mergeCell ref="AH61:AI61"/>
    <mergeCell ref="AJ61:AK61"/>
    <mergeCell ref="R61:S61"/>
    <mergeCell ref="T61:U61"/>
    <mergeCell ref="V61:W61"/>
    <mergeCell ref="X61:Y61"/>
    <mergeCell ref="Z61:AA61"/>
    <mergeCell ref="AB61:AC61"/>
    <mergeCell ref="B61:C61"/>
    <mergeCell ref="D61:E61"/>
    <mergeCell ref="F61:G61"/>
    <mergeCell ref="H61:I61"/>
    <mergeCell ref="J61:K61"/>
    <mergeCell ref="L61:M61"/>
    <mergeCell ref="N61:O61"/>
    <mergeCell ref="P61:Q61"/>
    <mergeCell ref="AL60:BB60"/>
    <mergeCell ref="AD60:AE60"/>
    <mergeCell ref="AF60:AG60"/>
    <mergeCell ref="AH60:AI60"/>
    <mergeCell ref="AJ60:AK60"/>
    <mergeCell ref="R60:S60"/>
    <mergeCell ref="T60:U60"/>
    <mergeCell ref="V60:W60"/>
    <mergeCell ref="X60:Y60"/>
    <mergeCell ref="Z60:AA60"/>
    <mergeCell ref="AB60:AC60"/>
    <mergeCell ref="B60:C60"/>
    <mergeCell ref="D60:E60"/>
    <mergeCell ref="F60:G60"/>
    <mergeCell ref="H60:I60"/>
    <mergeCell ref="J60:K60"/>
    <mergeCell ref="L60:M60"/>
    <mergeCell ref="N60:O60"/>
    <mergeCell ref="P60:Q60"/>
    <mergeCell ref="AL59:BB59"/>
    <mergeCell ref="AD59:AE59"/>
    <mergeCell ref="AF59:AG59"/>
    <mergeCell ref="AH59:AI59"/>
    <mergeCell ref="AJ59:AK59"/>
    <mergeCell ref="R59:S59"/>
    <mergeCell ref="T59:U59"/>
    <mergeCell ref="V59:W59"/>
    <mergeCell ref="X59:Y59"/>
    <mergeCell ref="Z59:AA59"/>
    <mergeCell ref="AB59:AC59"/>
    <mergeCell ref="B59:C59"/>
    <mergeCell ref="D59:E59"/>
    <mergeCell ref="F59:G59"/>
    <mergeCell ref="H59:I59"/>
    <mergeCell ref="J59:K59"/>
    <mergeCell ref="L59:M59"/>
    <mergeCell ref="N59:O59"/>
    <mergeCell ref="P59:Q59"/>
    <mergeCell ref="AL58:BB58"/>
    <mergeCell ref="AD58:AE58"/>
    <mergeCell ref="AF58:AG58"/>
    <mergeCell ref="AH58:AI58"/>
    <mergeCell ref="AJ58:AK58"/>
    <mergeCell ref="R58:S58"/>
    <mergeCell ref="T58:U58"/>
    <mergeCell ref="V58:W58"/>
    <mergeCell ref="X58:Y58"/>
    <mergeCell ref="Z58:AA58"/>
    <mergeCell ref="AB58:AC58"/>
    <mergeCell ref="B58:C58"/>
    <mergeCell ref="D58:E58"/>
    <mergeCell ref="F58:G58"/>
    <mergeCell ref="H58:I58"/>
    <mergeCell ref="J58:K58"/>
    <mergeCell ref="L58:M58"/>
    <mergeCell ref="N58:O58"/>
    <mergeCell ref="P58:Q58"/>
    <mergeCell ref="AL57:BB57"/>
    <mergeCell ref="AD57:AE57"/>
    <mergeCell ref="AF57:AG57"/>
    <mergeCell ref="AH57:AI57"/>
    <mergeCell ref="AJ57:AK57"/>
    <mergeCell ref="R57:S57"/>
    <mergeCell ref="T57:U57"/>
    <mergeCell ref="V57:W57"/>
    <mergeCell ref="X57:Y57"/>
    <mergeCell ref="Z57:AA57"/>
    <mergeCell ref="AB57:AC57"/>
    <mergeCell ref="B57:C57"/>
    <mergeCell ref="D57:E57"/>
    <mergeCell ref="F57:G57"/>
    <mergeCell ref="H57:I57"/>
    <mergeCell ref="J57:K57"/>
    <mergeCell ref="L57:M57"/>
    <mergeCell ref="N57:O57"/>
    <mergeCell ref="P57:Q57"/>
    <mergeCell ref="AL56:BB56"/>
    <mergeCell ref="AD56:AE56"/>
    <mergeCell ref="AF56:AG56"/>
    <mergeCell ref="AH56:AI56"/>
    <mergeCell ref="AJ56:AK56"/>
    <mergeCell ref="R56:S56"/>
    <mergeCell ref="T56:U56"/>
    <mergeCell ref="V56:W56"/>
    <mergeCell ref="X56:Y56"/>
    <mergeCell ref="Z56:AA56"/>
    <mergeCell ref="AB56:AC56"/>
    <mergeCell ref="B56:C56"/>
    <mergeCell ref="D56:E56"/>
    <mergeCell ref="F56:G56"/>
    <mergeCell ref="H56:I56"/>
    <mergeCell ref="J56:K56"/>
    <mergeCell ref="L56:M56"/>
    <mergeCell ref="N56:O56"/>
    <mergeCell ref="P56:Q56"/>
    <mergeCell ref="AL55:BB55"/>
    <mergeCell ref="AD55:AE55"/>
    <mergeCell ref="AF55:AG55"/>
    <mergeCell ref="AH55:AI55"/>
    <mergeCell ref="AJ55:AK55"/>
    <mergeCell ref="R55:S55"/>
    <mergeCell ref="T55:U55"/>
    <mergeCell ref="V55:W55"/>
    <mergeCell ref="X55:Y55"/>
    <mergeCell ref="Z55:AA55"/>
    <mergeCell ref="AB55:AC55"/>
    <mergeCell ref="B55:C55"/>
    <mergeCell ref="D55:E55"/>
    <mergeCell ref="F55:G55"/>
    <mergeCell ref="H55:I55"/>
    <mergeCell ref="J55:K55"/>
    <mergeCell ref="L55:M55"/>
    <mergeCell ref="N55:O55"/>
    <mergeCell ref="P55:Q55"/>
    <mergeCell ref="AL54:BB54"/>
    <mergeCell ref="AD54:AE54"/>
    <mergeCell ref="AF54:AG54"/>
    <mergeCell ref="AH54:AI54"/>
    <mergeCell ref="AJ54:AK54"/>
    <mergeCell ref="R54:S54"/>
    <mergeCell ref="T54:U54"/>
    <mergeCell ref="V54:W54"/>
    <mergeCell ref="X54:Y54"/>
    <mergeCell ref="Z54:AA54"/>
    <mergeCell ref="AB54:AC54"/>
    <mergeCell ref="B54:C54"/>
    <mergeCell ref="D54:E54"/>
    <mergeCell ref="F54:G54"/>
    <mergeCell ref="H54:I54"/>
    <mergeCell ref="J54:K54"/>
    <mergeCell ref="L54:M54"/>
    <mergeCell ref="N54:O54"/>
    <mergeCell ref="P54:Q54"/>
    <mergeCell ref="AL53:BB53"/>
    <mergeCell ref="AD53:AE53"/>
    <mergeCell ref="AF53:AG53"/>
    <mergeCell ref="AH53:AI53"/>
    <mergeCell ref="AJ53:AK53"/>
    <mergeCell ref="R53:S53"/>
    <mergeCell ref="T53:U53"/>
    <mergeCell ref="V53:W53"/>
    <mergeCell ref="X53:Y53"/>
    <mergeCell ref="Z53:AA53"/>
    <mergeCell ref="AB53:AC53"/>
    <mergeCell ref="B53:C53"/>
    <mergeCell ref="D53:E53"/>
    <mergeCell ref="F53:G53"/>
    <mergeCell ref="H53:I53"/>
    <mergeCell ref="J53:K53"/>
    <mergeCell ref="L53:M53"/>
    <mergeCell ref="N53:O53"/>
    <mergeCell ref="P53:Q53"/>
    <mergeCell ref="AL52:BB52"/>
    <mergeCell ref="AD52:AE52"/>
    <mergeCell ref="AF52:AG52"/>
    <mergeCell ref="AH52:AI52"/>
    <mergeCell ref="AJ52:AK52"/>
    <mergeCell ref="R52:S52"/>
    <mergeCell ref="T52:U52"/>
    <mergeCell ref="V52:W52"/>
    <mergeCell ref="X52:Y52"/>
    <mergeCell ref="Z52:AA52"/>
    <mergeCell ref="AB52:AC52"/>
    <mergeCell ref="B52:C52"/>
    <mergeCell ref="D52:E52"/>
    <mergeCell ref="F52:G52"/>
    <mergeCell ref="H52:I52"/>
    <mergeCell ref="J52:K52"/>
    <mergeCell ref="L52:M52"/>
    <mergeCell ref="N52:O52"/>
    <mergeCell ref="P52:Q52"/>
    <mergeCell ref="AL51:BB51"/>
    <mergeCell ref="AD51:AE51"/>
    <mergeCell ref="AF51:AG51"/>
    <mergeCell ref="AH51:AI51"/>
    <mergeCell ref="AJ51:AK51"/>
    <mergeCell ref="R51:S51"/>
    <mergeCell ref="T51:U51"/>
    <mergeCell ref="V51:W51"/>
    <mergeCell ref="X51:Y51"/>
    <mergeCell ref="Z51:AA51"/>
    <mergeCell ref="AB51:AC51"/>
    <mergeCell ref="B51:C51"/>
    <mergeCell ref="D51:E51"/>
    <mergeCell ref="F51:G51"/>
    <mergeCell ref="H51:I51"/>
    <mergeCell ref="J51:K51"/>
    <mergeCell ref="L51:M51"/>
    <mergeCell ref="N51:O51"/>
    <mergeCell ref="P51:Q51"/>
    <mergeCell ref="AL50:BB50"/>
    <mergeCell ref="AD50:AE50"/>
    <mergeCell ref="AF50:AG50"/>
    <mergeCell ref="AH50:AI50"/>
    <mergeCell ref="AJ50:AK50"/>
    <mergeCell ref="R50:S50"/>
    <mergeCell ref="T50:U50"/>
    <mergeCell ref="V50:W50"/>
    <mergeCell ref="X50:Y50"/>
    <mergeCell ref="Z50:AA50"/>
    <mergeCell ref="AB50:AC50"/>
    <mergeCell ref="B50:C50"/>
    <mergeCell ref="D50:E50"/>
    <mergeCell ref="F50:G50"/>
    <mergeCell ref="H50:I50"/>
    <mergeCell ref="J50:K50"/>
    <mergeCell ref="L50:M50"/>
    <mergeCell ref="N50:O50"/>
    <mergeCell ref="P50:Q50"/>
    <mergeCell ref="AL49:BB49"/>
    <mergeCell ref="AD49:AE49"/>
    <mergeCell ref="AF49:AG49"/>
    <mergeCell ref="AH49:AI49"/>
    <mergeCell ref="AJ49:AK49"/>
    <mergeCell ref="R49:S49"/>
    <mergeCell ref="T49:U49"/>
    <mergeCell ref="V49:W49"/>
    <mergeCell ref="X49:Y49"/>
    <mergeCell ref="Z49:AA49"/>
    <mergeCell ref="AB49:AC49"/>
    <mergeCell ref="B49:C49"/>
    <mergeCell ref="D49:E49"/>
    <mergeCell ref="F49:G49"/>
    <mergeCell ref="H49:I49"/>
    <mergeCell ref="J49:K49"/>
    <mergeCell ref="L49:M49"/>
    <mergeCell ref="N49:O49"/>
    <mergeCell ref="P49:Q49"/>
    <mergeCell ref="AL48:BB48"/>
    <mergeCell ref="AD48:AE48"/>
    <mergeCell ref="AF48:AG48"/>
    <mergeCell ref="AH48:AI48"/>
    <mergeCell ref="AJ48:AK48"/>
    <mergeCell ref="R48:S48"/>
    <mergeCell ref="T48:U48"/>
    <mergeCell ref="V48:W48"/>
    <mergeCell ref="X48:Y48"/>
    <mergeCell ref="Z48:AA48"/>
    <mergeCell ref="AB48:AC48"/>
    <mergeCell ref="B48:C48"/>
    <mergeCell ref="D48:E48"/>
    <mergeCell ref="F48:G48"/>
    <mergeCell ref="H48:I48"/>
    <mergeCell ref="J48:K48"/>
    <mergeCell ref="L48:M48"/>
    <mergeCell ref="N48:O48"/>
    <mergeCell ref="P48:Q48"/>
    <mergeCell ref="AL47:BB47"/>
    <mergeCell ref="AD47:AE47"/>
    <mergeCell ref="AF47:AG47"/>
    <mergeCell ref="AH47:AI47"/>
    <mergeCell ref="AJ47:AK47"/>
    <mergeCell ref="R47:S47"/>
    <mergeCell ref="T47:U47"/>
    <mergeCell ref="V47:W47"/>
    <mergeCell ref="X47:Y47"/>
    <mergeCell ref="Z47:AA47"/>
    <mergeCell ref="AB47:AC47"/>
    <mergeCell ref="B47:C47"/>
    <mergeCell ref="D47:E47"/>
    <mergeCell ref="F47:G47"/>
    <mergeCell ref="H47:I47"/>
    <mergeCell ref="J47:K47"/>
    <mergeCell ref="L47:M47"/>
    <mergeCell ref="N47:O47"/>
    <mergeCell ref="P47:Q47"/>
    <mergeCell ref="AL46:BB46"/>
    <mergeCell ref="AD46:AE46"/>
    <mergeCell ref="AF46:AG46"/>
    <mergeCell ref="AH46:AI46"/>
    <mergeCell ref="AJ46:AK46"/>
    <mergeCell ref="R46:S46"/>
    <mergeCell ref="T46:U46"/>
    <mergeCell ref="V46:W46"/>
    <mergeCell ref="X46:Y46"/>
    <mergeCell ref="Z46:AA46"/>
    <mergeCell ref="AB46:AC46"/>
    <mergeCell ref="B46:C46"/>
    <mergeCell ref="D46:E46"/>
    <mergeCell ref="F46:G46"/>
    <mergeCell ref="H46:I46"/>
    <mergeCell ref="J46:K46"/>
    <mergeCell ref="L46:M46"/>
    <mergeCell ref="N46:O46"/>
    <mergeCell ref="P46:Q46"/>
    <mergeCell ref="AL45:BB45"/>
    <mergeCell ref="AD45:AE45"/>
    <mergeCell ref="AF45:AG45"/>
    <mergeCell ref="AH45:AI45"/>
    <mergeCell ref="AJ45:AK45"/>
    <mergeCell ref="R45:S45"/>
    <mergeCell ref="T45:U45"/>
    <mergeCell ref="V45:W45"/>
    <mergeCell ref="X45:Y45"/>
    <mergeCell ref="Z45:AA45"/>
    <mergeCell ref="AB45:AC45"/>
    <mergeCell ref="B45:C45"/>
    <mergeCell ref="D45:E45"/>
    <mergeCell ref="F45:G45"/>
    <mergeCell ref="H45:I45"/>
    <mergeCell ref="J45:K45"/>
    <mergeCell ref="L45:M45"/>
    <mergeCell ref="N45:O45"/>
    <mergeCell ref="P45:Q45"/>
    <mergeCell ref="AL44:BB44"/>
    <mergeCell ref="AD44:AE44"/>
    <mergeCell ref="AF44:AG44"/>
    <mergeCell ref="AH44:AI44"/>
    <mergeCell ref="AJ44:AK44"/>
    <mergeCell ref="R44:S44"/>
    <mergeCell ref="T44:U44"/>
    <mergeCell ref="V44:W44"/>
    <mergeCell ref="X44:Y44"/>
    <mergeCell ref="Z44:AA44"/>
    <mergeCell ref="AB44:AC44"/>
    <mergeCell ref="B44:C44"/>
    <mergeCell ref="D44:E44"/>
    <mergeCell ref="F44:G44"/>
    <mergeCell ref="H44:I44"/>
    <mergeCell ref="J44:K44"/>
    <mergeCell ref="L44:M44"/>
    <mergeCell ref="N44:O44"/>
    <mergeCell ref="P44:Q44"/>
    <mergeCell ref="AL43:BB43"/>
    <mergeCell ref="AD43:AE43"/>
    <mergeCell ref="AF43:AG43"/>
    <mergeCell ref="AH43:AI43"/>
    <mergeCell ref="AJ43:AK43"/>
    <mergeCell ref="R43:S43"/>
    <mergeCell ref="T43:U43"/>
    <mergeCell ref="V43:W43"/>
    <mergeCell ref="X43:Y43"/>
    <mergeCell ref="Z43:AA43"/>
    <mergeCell ref="AB43:AC43"/>
    <mergeCell ref="B43:C43"/>
    <mergeCell ref="D43:E43"/>
    <mergeCell ref="F43:G43"/>
    <mergeCell ref="H43:I43"/>
    <mergeCell ref="J43:K43"/>
    <mergeCell ref="L43:M43"/>
    <mergeCell ref="N43:O43"/>
    <mergeCell ref="P43:Q43"/>
    <mergeCell ref="AL42:BB42"/>
    <mergeCell ref="AD42:AE42"/>
    <mergeCell ref="AF42:AG42"/>
    <mergeCell ref="AH42:AI42"/>
    <mergeCell ref="AJ42:AK42"/>
    <mergeCell ref="R42:S42"/>
    <mergeCell ref="T42:U42"/>
    <mergeCell ref="V42:W42"/>
    <mergeCell ref="X42:Y42"/>
    <mergeCell ref="Z42:AA42"/>
    <mergeCell ref="AB42:AC42"/>
    <mergeCell ref="B42:C42"/>
    <mergeCell ref="D42:E42"/>
    <mergeCell ref="F42:G42"/>
    <mergeCell ref="H42:I42"/>
    <mergeCell ref="J42:K42"/>
    <mergeCell ref="L42:M42"/>
    <mergeCell ref="N42:O42"/>
    <mergeCell ref="P42:Q42"/>
    <mergeCell ref="AL41:BB41"/>
    <mergeCell ref="AD41:AE41"/>
    <mergeCell ref="AF41:AG41"/>
    <mergeCell ref="AH41:AI41"/>
    <mergeCell ref="AJ41:AK41"/>
    <mergeCell ref="R41:S41"/>
    <mergeCell ref="T41:U41"/>
    <mergeCell ref="V41:W41"/>
    <mergeCell ref="X41:Y41"/>
    <mergeCell ref="Z41:AA41"/>
    <mergeCell ref="AB41:AC41"/>
    <mergeCell ref="B41:C41"/>
    <mergeCell ref="D41:E41"/>
    <mergeCell ref="F41:G41"/>
    <mergeCell ref="H41:I41"/>
    <mergeCell ref="J41:K41"/>
    <mergeCell ref="L41:M41"/>
    <mergeCell ref="N41:O41"/>
    <mergeCell ref="P41:Q41"/>
    <mergeCell ref="AL40:BB40"/>
    <mergeCell ref="AD40:AE40"/>
    <mergeCell ref="AF40:AG40"/>
    <mergeCell ref="AH40:AI40"/>
    <mergeCell ref="AJ40:AK40"/>
    <mergeCell ref="R40:S40"/>
    <mergeCell ref="T40:U40"/>
    <mergeCell ref="V40:W40"/>
    <mergeCell ref="X40:Y40"/>
    <mergeCell ref="Z40:AA40"/>
    <mergeCell ref="AB40:AC40"/>
    <mergeCell ref="B40:C40"/>
    <mergeCell ref="D40:E40"/>
    <mergeCell ref="F40:G40"/>
    <mergeCell ref="H40:I40"/>
    <mergeCell ref="J40:K40"/>
    <mergeCell ref="L40:M40"/>
    <mergeCell ref="N40:O40"/>
    <mergeCell ref="P40:Q40"/>
    <mergeCell ref="AL39:BB39"/>
    <mergeCell ref="AD39:AE39"/>
    <mergeCell ref="AF39:AG39"/>
    <mergeCell ref="AH39:AI39"/>
    <mergeCell ref="AJ39:AK39"/>
    <mergeCell ref="R39:S39"/>
    <mergeCell ref="T39:U39"/>
    <mergeCell ref="V39:W39"/>
    <mergeCell ref="X39:Y39"/>
    <mergeCell ref="Z39:AA39"/>
    <mergeCell ref="AB39:AC39"/>
    <mergeCell ref="B39:C39"/>
    <mergeCell ref="D39:E39"/>
    <mergeCell ref="F39:G39"/>
    <mergeCell ref="H39:I39"/>
    <mergeCell ref="J39:K39"/>
    <mergeCell ref="L39:M39"/>
    <mergeCell ref="N39:O39"/>
    <mergeCell ref="P39:Q39"/>
    <mergeCell ref="AL38:BB38"/>
    <mergeCell ref="AD38:AE38"/>
    <mergeCell ref="AF38:AG38"/>
    <mergeCell ref="AH38:AI38"/>
    <mergeCell ref="AJ38:AK38"/>
    <mergeCell ref="R38:S38"/>
    <mergeCell ref="T38:U38"/>
    <mergeCell ref="V38:W38"/>
    <mergeCell ref="X38:Y38"/>
    <mergeCell ref="Z38:AA38"/>
    <mergeCell ref="AB38:AC38"/>
    <mergeCell ref="B38:C38"/>
    <mergeCell ref="D38:E38"/>
    <mergeCell ref="F38:G38"/>
    <mergeCell ref="H38:I38"/>
    <mergeCell ref="J38:K38"/>
    <mergeCell ref="L38:M38"/>
    <mergeCell ref="N38:O38"/>
    <mergeCell ref="P38:Q38"/>
    <mergeCell ref="AL37:BB37"/>
    <mergeCell ref="AD37:AE37"/>
    <mergeCell ref="AF37:AG37"/>
    <mergeCell ref="AH37:AI37"/>
    <mergeCell ref="AJ37:AK37"/>
    <mergeCell ref="R37:S37"/>
    <mergeCell ref="T37:U37"/>
    <mergeCell ref="V37:W37"/>
    <mergeCell ref="X37:Y37"/>
    <mergeCell ref="Z37:AA37"/>
    <mergeCell ref="AB37:AC37"/>
    <mergeCell ref="B37:C37"/>
    <mergeCell ref="D37:E37"/>
    <mergeCell ref="F37:G37"/>
    <mergeCell ref="H37:I37"/>
    <mergeCell ref="J37:K37"/>
    <mergeCell ref="L37:M37"/>
    <mergeCell ref="N37:O37"/>
    <mergeCell ref="P37:Q37"/>
    <mergeCell ref="AL36:BB36"/>
    <mergeCell ref="AD36:AE36"/>
    <mergeCell ref="AF36:AG36"/>
    <mergeCell ref="AH36:AI36"/>
    <mergeCell ref="AJ36:AK36"/>
    <mergeCell ref="R36:S36"/>
    <mergeCell ref="T36:U36"/>
    <mergeCell ref="V36:W36"/>
    <mergeCell ref="X36:Y36"/>
    <mergeCell ref="Z36:AA36"/>
    <mergeCell ref="AB36:AC36"/>
    <mergeCell ref="B36:C36"/>
    <mergeCell ref="D36:E36"/>
    <mergeCell ref="F36:G36"/>
    <mergeCell ref="H36:I36"/>
    <mergeCell ref="J36:K36"/>
    <mergeCell ref="L36:M36"/>
    <mergeCell ref="N36:O36"/>
    <mergeCell ref="P36:Q36"/>
    <mergeCell ref="AL35:BB35"/>
    <mergeCell ref="AD35:AE35"/>
    <mergeCell ref="AF35:AG35"/>
    <mergeCell ref="AH35:AI35"/>
    <mergeCell ref="AJ35:AK35"/>
    <mergeCell ref="R35:S35"/>
    <mergeCell ref="T35:U35"/>
    <mergeCell ref="V35:W35"/>
    <mergeCell ref="X35:Y35"/>
    <mergeCell ref="Z35:AA35"/>
    <mergeCell ref="AB35:AC35"/>
    <mergeCell ref="B35:C35"/>
    <mergeCell ref="D35:E35"/>
    <mergeCell ref="F35:G35"/>
    <mergeCell ref="H35:I35"/>
    <mergeCell ref="J35:K35"/>
    <mergeCell ref="L35:M35"/>
    <mergeCell ref="N35:O35"/>
    <mergeCell ref="P35:Q35"/>
    <mergeCell ref="AL34:BB34"/>
    <mergeCell ref="AD34:AE34"/>
    <mergeCell ref="AF34:AG34"/>
    <mergeCell ref="AH34:AI34"/>
    <mergeCell ref="AJ34:AK34"/>
    <mergeCell ref="R34:S34"/>
    <mergeCell ref="T34:U34"/>
    <mergeCell ref="V34:W34"/>
    <mergeCell ref="X34:Y34"/>
    <mergeCell ref="Z34:AA34"/>
    <mergeCell ref="AB34:AC34"/>
    <mergeCell ref="B34:C34"/>
    <mergeCell ref="D34:E34"/>
    <mergeCell ref="F34:G34"/>
    <mergeCell ref="H34:I34"/>
    <mergeCell ref="J34:K34"/>
    <mergeCell ref="L34:M34"/>
    <mergeCell ref="N34:O34"/>
    <mergeCell ref="P34:Q34"/>
    <mergeCell ref="AL33:BB33"/>
    <mergeCell ref="AD33:AE33"/>
    <mergeCell ref="AF33:AG33"/>
    <mergeCell ref="AH33:AI33"/>
    <mergeCell ref="AJ33:AK33"/>
    <mergeCell ref="R33:S33"/>
    <mergeCell ref="T33:U33"/>
    <mergeCell ref="V33:W33"/>
    <mergeCell ref="X33:Y33"/>
    <mergeCell ref="Z33:AA33"/>
    <mergeCell ref="AB33:AC33"/>
    <mergeCell ref="B33:C33"/>
    <mergeCell ref="D33:E33"/>
    <mergeCell ref="F33:G33"/>
    <mergeCell ref="H33:I33"/>
    <mergeCell ref="J33:K33"/>
    <mergeCell ref="L33:M33"/>
    <mergeCell ref="N33:O33"/>
    <mergeCell ref="P33:Q33"/>
    <mergeCell ref="AL32:BB32"/>
    <mergeCell ref="AD32:AE32"/>
    <mergeCell ref="AF32:AG32"/>
    <mergeCell ref="AH32:AI32"/>
    <mergeCell ref="AJ32:AK32"/>
    <mergeCell ref="R32:S32"/>
    <mergeCell ref="T32:U32"/>
    <mergeCell ref="V32:W32"/>
    <mergeCell ref="X32:Y32"/>
    <mergeCell ref="Z32:AA32"/>
    <mergeCell ref="AB32:AC32"/>
    <mergeCell ref="B32:C32"/>
    <mergeCell ref="D32:E32"/>
    <mergeCell ref="F32:G32"/>
    <mergeCell ref="H32:I32"/>
    <mergeCell ref="J32:K32"/>
    <mergeCell ref="L32:M32"/>
    <mergeCell ref="N32:O32"/>
    <mergeCell ref="P32:Q32"/>
    <mergeCell ref="AL31:BB31"/>
    <mergeCell ref="AD31:AE31"/>
    <mergeCell ref="AF31:AG31"/>
    <mergeCell ref="AH31:AI31"/>
    <mergeCell ref="AJ31:AK31"/>
    <mergeCell ref="R31:S31"/>
    <mergeCell ref="T31:U31"/>
    <mergeCell ref="V31:W31"/>
    <mergeCell ref="X31:Y31"/>
    <mergeCell ref="Z31:AA31"/>
    <mergeCell ref="AB31:AC31"/>
    <mergeCell ref="B31:C31"/>
    <mergeCell ref="D31:E31"/>
    <mergeCell ref="F31:G31"/>
    <mergeCell ref="H31:I31"/>
    <mergeCell ref="J31:K31"/>
    <mergeCell ref="L31:M31"/>
    <mergeCell ref="N31:O31"/>
    <mergeCell ref="P31:Q31"/>
    <mergeCell ref="AD30:AE30"/>
    <mergeCell ref="AF30:AG30"/>
    <mergeCell ref="AH30:AI30"/>
    <mergeCell ref="AJ30:AK30"/>
    <mergeCell ref="R30:S30"/>
    <mergeCell ref="T30:U30"/>
    <mergeCell ref="V30:W30"/>
    <mergeCell ref="X30:Y30"/>
    <mergeCell ref="Z30:AA30"/>
    <mergeCell ref="AB30:AC30"/>
    <mergeCell ref="B30:C30"/>
    <mergeCell ref="D30:E30"/>
    <mergeCell ref="F30:G30"/>
    <mergeCell ref="H30:I30"/>
    <mergeCell ref="J30:K30"/>
    <mergeCell ref="L30:M30"/>
    <mergeCell ref="N30:O30"/>
    <mergeCell ref="P30:Q30"/>
    <mergeCell ref="AD29:AE29"/>
    <mergeCell ref="AF29:AG29"/>
    <mergeCell ref="AH29:AI29"/>
    <mergeCell ref="AJ29:AK29"/>
    <mergeCell ref="R29:S29"/>
    <mergeCell ref="T29:U29"/>
    <mergeCell ref="V29:W29"/>
    <mergeCell ref="X29:Y29"/>
    <mergeCell ref="Z29:AA29"/>
    <mergeCell ref="AB29:AC29"/>
    <mergeCell ref="B29:C29"/>
    <mergeCell ref="D29:E29"/>
    <mergeCell ref="F29:G29"/>
    <mergeCell ref="H29:I29"/>
    <mergeCell ref="J29:K29"/>
    <mergeCell ref="L29:M29"/>
    <mergeCell ref="N29:O29"/>
    <mergeCell ref="P29:Q29"/>
    <mergeCell ref="AD28:AE28"/>
    <mergeCell ref="AF28:AG28"/>
    <mergeCell ref="AH28:AI28"/>
    <mergeCell ref="AJ28:AK28"/>
    <mergeCell ref="R28:S28"/>
    <mergeCell ref="T28:U28"/>
    <mergeCell ref="V28:W28"/>
    <mergeCell ref="X28:Y28"/>
    <mergeCell ref="Z28:AA28"/>
    <mergeCell ref="AB28:AC28"/>
    <mergeCell ref="B28:C28"/>
    <mergeCell ref="D28:E28"/>
    <mergeCell ref="F28:G28"/>
    <mergeCell ref="H28:I28"/>
    <mergeCell ref="J28:K28"/>
    <mergeCell ref="L28:M28"/>
    <mergeCell ref="N28:O28"/>
    <mergeCell ref="P28:Q28"/>
    <mergeCell ref="AD27:AE27"/>
    <mergeCell ref="AF27:AG27"/>
    <mergeCell ref="AH27:AI27"/>
    <mergeCell ref="AJ27:AK27"/>
    <mergeCell ref="R27:S27"/>
    <mergeCell ref="T27:U27"/>
    <mergeCell ref="V27:W27"/>
    <mergeCell ref="X27:Y27"/>
    <mergeCell ref="Z27:AA27"/>
    <mergeCell ref="AB27:AC27"/>
    <mergeCell ref="B27:C27"/>
    <mergeCell ref="D27:E27"/>
    <mergeCell ref="F27:G27"/>
    <mergeCell ref="H27:I27"/>
    <mergeCell ref="J27:K27"/>
    <mergeCell ref="L27:M27"/>
    <mergeCell ref="N27:O27"/>
    <mergeCell ref="P27:Q27"/>
    <mergeCell ref="B26:C26"/>
    <mergeCell ref="D26:E26"/>
    <mergeCell ref="F26:G26"/>
    <mergeCell ref="AD25:AE25"/>
    <mergeCell ref="AF25:AG25"/>
    <mergeCell ref="AH25:AI25"/>
    <mergeCell ref="AJ25:AK25"/>
    <mergeCell ref="R25:S25"/>
    <mergeCell ref="T25:U25"/>
    <mergeCell ref="V25:W25"/>
    <mergeCell ref="X25:Y25"/>
    <mergeCell ref="Z25:AA25"/>
    <mergeCell ref="AB25:AC25"/>
    <mergeCell ref="B25:C25"/>
    <mergeCell ref="D25:E25"/>
    <mergeCell ref="F25:G25"/>
    <mergeCell ref="H25:I25"/>
    <mergeCell ref="J25:K25"/>
    <mergeCell ref="L25:M25"/>
    <mergeCell ref="N25:O25"/>
    <mergeCell ref="P25:Q25"/>
    <mergeCell ref="H24:I24"/>
    <mergeCell ref="J24:K24"/>
    <mergeCell ref="Z24:AA24"/>
    <mergeCell ref="AB24:AC24"/>
    <mergeCell ref="AD24:AE24"/>
    <mergeCell ref="AF24:AG24"/>
    <mergeCell ref="AH24:AI24"/>
    <mergeCell ref="AJ24:AK24"/>
    <mergeCell ref="N24:O24"/>
    <mergeCell ref="P24:Q24"/>
    <mergeCell ref="R24:S24"/>
    <mergeCell ref="T24:U24"/>
    <mergeCell ref="V24:W24"/>
    <mergeCell ref="X24:Y24"/>
    <mergeCell ref="B24:C24"/>
    <mergeCell ref="D24:E24"/>
    <mergeCell ref="F24:G24"/>
    <mergeCell ref="P26:Q26"/>
    <mergeCell ref="R26:S26"/>
    <mergeCell ref="T26:U26"/>
    <mergeCell ref="V26:W26"/>
    <mergeCell ref="X26:Y26"/>
    <mergeCell ref="B23:C23"/>
    <mergeCell ref="D23:E23"/>
    <mergeCell ref="AD23:AE23"/>
    <mergeCell ref="AF23:AG23"/>
    <mergeCell ref="AH23:AI23"/>
    <mergeCell ref="AJ23:AK23"/>
    <mergeCell ref="R23:S23"/>
    <mergeCell ref="T23:U23"/>
    <mergeCell ref="V23:W23"/>
    <mergeCell ref="X23:Y23"/>
    <mergeCell ref="Z23:AA23"/>
    <mergeCell ref="AB23:AC23"/>
    <mergeCell ref="B22:C22"/>
    <mergeCell ref="D22:E22"/>
    <mergeCell ref="F22:G22"/>
    <mergeCell ref="H23:I23"/>
    <mergeCell ref="J23:K23"/>
    <mergeCell ref="L23:M23"/>
    <mergeCell ref="N23:O23"/>
    <mergeCell ref="P23:Q23"/>
    <mergeCell ref="H22:I22"/>
    <mergeCell ref="J22:K22"/>
    <mergeCell ref="Z22:AA22"/>
    <mergeCell ref="AB22:AC22"/>
    <mergeCell ref="AD22:AE22"/>
    <mergeCell ref="AF22:AG22"/>
    <mergeCell ref="AH22:AI22"/>
    <mergeCell ref="AJ22:AK22"/>
    <mergeCell ref="N22:O22"/>
    <mergeCell ref="P22:Q22"/>
    <mergeCell ref="R22:S22"/>
    <mergeCell ref="T22:U22"/>
    <mergeCell ref="V22:W22"/>
    <mergeCell ref="X22:Y22"/>
    <mergeCell ref="B21:C21"/>
    <mergeCell ref="D21:E21"/>
    <mergeCell ref="F21:G21"/>
    <mergeCell ref="AD21:AE21"/>
    <mergeCell ref="AF21:AG21"/>
    <mergeCell ref="AH21:AI21"/>
    <mergeCell ref="AJ21:AK21"/>
    <mergeCell ref="R21:S21"/>
    <mergeCell ref="T21:U21"/>
    <mergeCell ref="V21:W21"/>
    <mergeCell ref="X21:Y21"/>
    <mergeCell ref="Z21:AA21"/>
    <mergeCell ref="AB21:AC21"/>
    <mergeCell ref="B20:C20"/>
    <mergeCell ref="D20:E20"/>
    <mergeCell ref="F20:G20"/>
    <mergeCell ref="H21:I21"/>
    <mergeCell ref="J21:K21"/>
    <mergeCell ref="L21:M21"/>
    <mergeCell ref="N21:O21"/>
    <mergeCell ref="P21:Q21"/>
    <mergeCell ref="Z20:AA20"/>
    <mergeCell ref="AB20:AC20"/>
    <mergeCell ref="AD20:AE20"/>
    <mergeCell ref="AF20:AG20"/>
    <mergeCell ref="AH20:AI20"/>
    <mergeCell ref="AJ20:AK20"/>
    <mergeCell ref="N20:O20"/>
    <mergeCell ref="P20:Q20"/>
    <mergeCell ref="R20:S20"/>
    <mergeCell ref="T20:U20"/>
    <mergeCell ref="V20:W20"/>
    <mergeCell ref="X20:Y20"/>
    <mergeCell ref="B19:C19"/>
    <mergeCell ref="D19:E19"/>
    <mergeCell ref="F19:G19"/>
    <mergeCell ref="AD19:AE19"/>
    <mergeCell ref="AF19:AG19"/>
    <mergeCell ref="AH19:AI19"/>
    <mergeCell ref="AJ19:AK19"/>
    <mergeCell ref="R19:S19"/>
    <mergeCell ref="T19:U19"/>
    <mergeCell ref="V19:W19"/>
    <mergeCell ref="X19:Y19"/>
    <mergeCell ref="Z19:AA19"/>
    <mergeCell ref="AB19:AC19"/>
    <mergeCell ref="B18:C18"/>
    <mergeCell ref="D18:E18"/>
    <mergeCell ref="F18:G18"/>
    <mergeCell ref="H19:I19"/>
    <mergeCell ref="J19:K19"/>
    <mergeCell ref="L19:M19"/>
    <mergeCell ref="N19:O19"/>
    <mergeCell ref="P19:Q19"/>
    <mergeCell ref="Z18:AA18"/>
    <mergeCell ref="AB18:AC18"/>
    <mergeCell ref="AD18:AE18"/>
    <mergeCell ref="AF18:AG18"/>
    <mergeCell ref="AH18:AI18"/>
    <mergeCell ref="AJ18:AK18"/>
    <mergeCell ref="N18:O18"/>
    <mergeCell ref="P18:Q18"/>
    <mergeCell ref="R18:S18"/>
    <mergeCell ref="T18:U18"/>
    <mergeCell ref="V18:W18"/>
    <mergeCell ref="X18:Y18"/>
    <mergeCell ref="B17:C17"/>
    <mergeCell ref="D17:E17"/>
    <mergeCell ref="F17:G17"/>
    <mergeCell ref="H17:I17"/>
    <mergeCell ref="J17:K17"/>
    <mergeCell ref="L17:M17"/>
    <mergeCell ref="N17:O17"/>
    <mergeCell ref="P17:Q17"/>
    <mergeCell ref="H16:I16"/>
    <mergeCell ref="J16:K16"/>
    <mergeCell ref="Z16:AA16"/>
    <mergeCell ref="AB16:AC16"/>
    <mergeCell ref="AD16:AE16"/>
    <mergeCell ref="AF16:AG16"/>
    <mergeCell ref="AH16:AI16"/>
    <mergeCell ref="AJ16:AK16"/>
    <mergeCell ref="N16:O16"/>
    <mergeCell ref="P16:Q16"/>
    <mergeCell ref="R16:S16"/>
    <mergeCell ref="T16:U16"/>
    <mergeCell ref="V16:W16"/>
    <mergeCell ref="X16:Y16"/>
    <mergeCell ref="B16:C16"/>
    <mergeCell ref="D16:E16"/>
    <mergeCell ref="F16:G16"/>
    <mergeCell ref="AD15:AE15"/>
    <mergeCell ref="AF15:AG15"/>
    <mergeCell ref="AH15:AI15"/>
    <mergeCell ref="AJ15:AK15"/>
    <mergeCell ref="R15:S15"/>
    <mergeCell ref="T15:U15"/>
    <mergeCell ref="V15:W15"/>
    <mergeCell ref="X15:Y15"/>
    <mergeCell ref="Z15:AA15"/>
    <mergeCell ref="AB15:AC15"/>
    <mergeCell ref="B15:C15"/>
    <mergeCell ref="D15:E15"/>
    <mergeCell ref="H15:I15"/>
    <mergeCell ref="J15:K15"/>
    <mergeCell ref="L15:M15"/>
    <mergeCell ref="N15:O15"/>
    <mergeCell ref="P15:Q15"/>
    <mergeCell ref="F15:G15"/>
    <mergeCell ref="D14:E14"/>
    <mergeCell ref="A9:J9"/>
    <mergeCell ref="L9:T9"/>
    <mergeCell ref="U9:AD9"/>
    <mergeCell ref="AF9:AN9"/>
    <mergeCell ref="AO9:BB9"/>
    <mergeCell ref="A7:J8"/>
    <mergeCell ref="L7:AD8"/>
    <mergeCell ref="AF7:AN7"/>
    <mergeCell ref="AO7:BB7"/>
    <mergeCell ref="AF8:AN8"/>
    <mergeCell ref="AO8:BB8"/>
    <mergeCell ref="A5:J5"/>
    <mergeCell ref="L5:AD5"/>
    <mergeCell ref="AF5:AN5"/>
    <mergeCell ref="AO5:BB5"/>
    <mergeCell ref="A6:J6"/>
    <mergeCell ref="L6:AD6"/>
    <mergeCell ref="AF6:AN6"/>
    <mergeCell ref="AO6:BB6"/>
    <mergeCell ref="A2:AT2"/>
    <mergeCell ref="A3:AT3"/>
    <mergeCell ref="B1:C1"/>
    <mergeCell ref="D1:E1"/>
    <mergeCell ref="F1:G1"/>
    <mergeCell ref="B14:C14"/>
    <mergeCell ref="F14:G14"/>
    <mergeCell ref="B13:C13"/>
    <mergeCell ref="D13:E13"/>
    <mergeCell ref="F13:G13"/>
    <mergeCell ref="R13:S13"/>
    <mergeCell ref="T13:U13"/>
    <mergeCell ref="A12:E12"/>
    <mergeCell ref="A11:Y11"/>
    <mergeCell ref="N1:O1"/>
    <mergeCell ref="Z1:AA1"/>
    <mergeCell ref="AL12:BB12"/>
    <mergeCell ref="AL13:BB13"/>
    <mergeCell ref="AL14:BB14"/>
    <mergeCell ref="H1:I1"/>
    <mergeCell ref="J1:K1"/>
    <mergeCell ref="L1:M1"/>
    <mergeCell ref="P1:Q1"/>
    <mergeCell ref="R1:S1"/>
    <mergeCell ref="T1:U1"/>
    <mergeCell ref="V1:W1"/>
    <mergeCell ref="X1:Y1"/>
    <mergeCell ref="AB1:AC1"/>
    <mergeCell ref="AD1:AE1"/>
    <mergeCell ref="AF1:AG1"/>
    <mergeCell ref="AH1:AI1"/>
    <mergeCell ref="AJ1:AK1"/>
    <mergeCell ref="AL1:BB1"/>
    <mergeCell ref="A4:BB4"/>
    <mergeCell ref="A10:BB1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6FFE-740A-45F7-ADB5-6369434AE95A}">
  <sheetPr>
    <tabColor rgb="FF7030A0"/>
  </sheetPr>
  <dimension ref="A1:BW534"/>
  <sheetViews>
    <sheetView zoomScale="90" zoomScaleNormal="90" workbookViewId="0">
      <pane ySplit="1" topLeftCell="A2" activePane="bottomLeft" state="frozen"/>
      <selection pane="bottomLeft" activeCell="AE13" sqref="AE13:AG14"/>
    </sheetView>
  </sheetViews>
  <sheetFormatPr defaultColWidth="8.85546875" defaultRowHeight="15" x14ac:dyDescent="0.25"/>
  <cols>
    <col min="1" max="87" width="4.7109375" customWidth="1"/>
  </cols>
  <sheetData>
    <row r="1" spans="1:75" ht="60" customHeight="1" x14ac:dyDescent="0.25">
      <c r="A1" s="201" t="s">
        <v>15</v>
      </c>
      <c r="B1" s="984" t="s">
        <v>436</v>
      </c>
      <c r="C1" s="984"/>
      <c r="D1" s="1000" t="s">
        <v>775</v>
      </c>
      <c r="E1" s="1001"/>
      <c r="F1" s="1001"/>
      <c r="G1" s="1001"/>
      <c r="H1" s="1001"/>
      <c r="I1" s="1001"/>
      <c r="J1" s="1001"/>
      <c r="K1" s="1002"/>
      <c r="L1" s="1003" t="s">
        <v>637</v>
      </c>
      <c r="M1" s="1003"/>
      <c r="N1" s="1003"/>
      <c r="O1" s="1003"/>
      <c r="P1" s="1004" t="s">
        <v>638</v>
      </c>
      <c r="Q1" s="1004"/>
      <c r="R1" s="1004"/>
      <c r="S1" s="1004"/>
      <c r="T1" s="985" t="s">
        <v>416</v>
      </c>
      <c r="U1" s="986"/>
      <c r="V1" s="986"/>
      <c r="W1" s="987"/>
      <c r="X1" s="988" t="s">
        <v>575</v>
      </c>
      <c r="Y1" s="989"/>
      <c r="Z1" s="989"/>
      <c r="AA1" s="990"/>
      <c r="AB1" s="991" t="s">
        <v>417</v>
      </c>
      <c r="AC1" s="992"/>
      <c r="AD1" s="993"/>
      <c r="AE1" s="994" t="s">
        <v>418</v>
      </c>
      <c r="AF1" s="995"/>
      <c r="AG1" s="996"/>
      <c r="AH1" s="1005" t="s">
        <v>640</v>
      </c>
      <c r="AI1" s="1006"/>
      <c r="AJ1" s="1007"/>
      <c r="AK1" s="997" t="s">
        <v>639</v>
      </c>
      <c r="AL1" s="998"/>
      <c r="AM1" s="999"/>
      <c r="AN1" s="283" t="s">
        <v>558</v>
      </c>
      <c r="AO1" s="284" t="s">
        <v>559</v>
      </c>
      <c r="AP1" s="283" t="s">
        <v>560</v>
      </c>
      <c r="AQ1" s="284" t="s">
        <v>561</v>
      </c>
      <c r="AR1" s="283" t="s">
        <v>562</v>
      </c>
      <c r="AS1" s="284" t="s">
        <v>563</v>
      </c>
      <c r="AT1" s="283" t="s">
        <v>564</v>
      </c>
      <c r="AU1" s="284" t="s">
        <v>565</v>
      </c>
      <c r="AV1" s="283" t="s">
        <v>566</v>
      </c>
      <c r="AW1" s="284" t="s">
        <v>567</v>
      </c>
      <c r="AX1" s="283" t="s">
        <v>568</v>
      </c>
      <c r="AY1" s="284" t="s">
        <v>569</v>
      </c>
      <c r="AZ1" s="325" t="s">
        <v>239</v>
      </c>
      <c r="BA1" s="326" t="s">
        <v>240</v>
      </c>
      <c r="BB1" s="325" t="s">
        <v>241</v>
      </c>
      <c r="BC1" s="326" t="s">
        <v>247</v>
      </c>
      <c r="BD1" s="325" t="s">
        <v>242</v>
      </c>
      <c r="BE1" s="326" t="s">
        <v>243</v>
      </c>
      <c r="BF1" s="325" t="s">
        <v>244</v>
      </c>
      <c r="BG1" s="326" t="s">
        <v>245</v>
      </c>
      <c r="BH1" s="325" t="s">
        <v>246</v>
      </c>
      <c r="BI1" s="982" t="s">
        <v>30</v>
      </c>
      <c r="BJ1" s="983"/>
      <c r="BK1" s="983"/>
      <c r="BL1" s="983"/>
      <c r="BM1" s="983"/>
      <c r="BN1" s="983"/>
      <c r="BO1" s="983"/>
      <c r="BP1" s="983"/>
      <c r="BQ1" s="983"/>
      <c r="BR1" s="983"/>
      <c r="BS1" s="983"/>
      <c r="BT1" s="983"/>
      <c r="BU1" s="983"/>
      <c r="BV1" s="983"/>
    </row>
    <row r="2" spans="1:75" ht="16.149999999999999" customHeight="1" x14ac:dyDescent="0.25">
      <c r="A2" s="556" t="str">
        <f>'GRANTEE SET UP INFO &amp; DATE '!A1</f>
        <v>WV Bureau for Behavioral Health  - Peer Recovery Support Services  V 20200110</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c r="BW2" s="556"/>
    </row>
    <row r="3" spans="1:75" ht="15" customHeight="1" x14ac:dyDescent="0.25">
      <c r="A3" s="557" t="str">
        <f>'GRANTEE SET UP INFO &amp; DATE '!A2</f>
        <v xml:space="preserve">Program reports need to be submitted electronically, via e-mail to DHHRBBHReporting@wv.gov  within 25 calendar days of the end of each month </v>
      </c>
      <c r="B3" s="557"/>
      <c r="C3" s="557"/>
      <c r="D3" s="557"/>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row>
    <row r="4" spans="1:75" ht="20.100000000000001" customHeight="1" x14ac:dyDescent="0.25">
      <c r="A4" s="638" t="s">
        <v>1003</v>
      </c>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row>
    <row r="5" spans="1:75" ht="15" customHeight="1" x14ac:dyDescent="0.25">
      <c r="A5" s="880" t="s">
        <v>160</v>
      </c>
      <c r="B5" s="881"/>
      <c r="C5" s="881"/>
      <c r="D5" s="881"/>
      <c r="E5" s="881"/>
      <c r="F5" s="881"/>
      <c r="G5" s="881"/>
      <c r="H5" s="881"/>
      <c r="I5" s="881"/>
      <c r="J5" s="882"/>
      <c r="K5" s="967" t="str">
        <f>'GRANTEE SET UP INFO &amp; DATE '!H4</f>
        <v>Jobs and Hope</v>
      </c>
      <c r="L5" s="968"/>
      <c r="M5" s="968"/>
      <c r="N5" s="968"/>
      <c r="O5" s="968"/>
      <c r="P5" s="968"/>
      <c r="Q5" s="968"/>
      <c r="R5" s="968"/>
      <c r="S5" s="968"/>
      <c r="T5" s="968"/>
      <c r="U5" s="968"/>
      <c r="V5" s="968"/>
      <c r="W5" s="968"/>
      <c r="X5" s="968"/>
      <c r="Y5" s="968"/>
      <c r="Z5" s="968"/>
      <c r="AA5" s="968"/>
      <c r="AB5" s="968"/>
      <c r="AC5" s="968"/>
      <c r="AD5" s="968"/>
      <c r="AE5" s="969"/>
      <c r="AF5" s="11"/>
      <c r="AG5" s="966" t="s">
        <v>158</v>
      </c>
      <c r="AH5" s="966"/>
      <c r="AI5" s="966"/>
      <c r="AJ5" s="966"/>
      <c r="AK5" s="966"/>
      <c r="AL5" s="966"/>
      <c r="AM5" s="966"/>
      <c r="AN5" s="966"/>
      <c r="AO5" s="965" t="str">
        <f>'GRANTEE SET UP INFO &amp; DATE '!Z4</f>
        <v xml:space="preserve">Grantee formal Name (name on grant agreement) </v>
      </c>
      <c r="AP5" s="965"/>
      <c r="AQ5" s="965"/>
      <c r="AR5" s="965"/>
      <c r="AS5" s="965"/>
      <c r="AT5" s="965"/>
      <c r="AU5" s="965"/>
      <c r="AV5" s="965"/>
      <c r="AW5" s="965"/>
      <c r="AX5" s="965"/>
      <c r="AY5" s="965"/>
      <c r="AZ5" s="965"/>
      <c r="BA5" s="965"/>
      <c r="BB5" s="2"/>
      <c r="BC5" s="2"/>
      <c r="BD5" s="2"/>
      <c r="BE5" s="2"/>
      <c r="BF5" s="2"/>
      <c r="BG5" s="2"/>
      <c r="BH5" s="2"/>
      <c r="BI5" s="2"/>
      <c r="BJ5" s="2"/>
      <c r="BK5" s="2"/>
      <c r="BL5" s="2"/>
      <c r="BM5" s="2"/>
      <c r="BN5" s="2"/>
      <c r="BO5" s="2"/>
      <c r="BP5" s="2"/>
      <c r="BQ5" s="2"/>
      <c r="BR5" s="2"/>
      <c r="BS5" s="2"/>
      <c r="BT5" s="2"/>
      <c r="BU5" s="2"/>
      <c r="BV5" s="2"/>
    </row>
    <row r="6" spans="1:75" ht="14.45" customHeight="1" x14ac:dyDescent="0.25">
      <c r="A6" s="377" t="s">
        <v>984</v>
      </c>
      <c r="B6" s="378"/>
      <c r="C6" s="378"/>
      <c r="D6" s="378"/>
      <c r="E6" s="378"/>
      <c r="F6" s="378"/>
      <c r="G6" s="378"/>
      <c r="H6" s="378"/>
      <c r="I6" s="378"/>
      <c r="J6" s="379"/>
      <c r="K6" s="616" t="str">
        <f>'GRANTEE SET UP INFO &amp; DATE '!H5</f>
        <v>Jobs and Hope</v>
      </c>
      <c r="L6" s="617"/>
      <c r="M6" s="617"/>
      <c r="N6" s="617"/>
      <c r="O6" s="617"/>
      <c r="P6" s="617"/>
      <c r="Q6" s="617"/>
      <c r="R6" s="617"/>
      <c r="S6" s="617"/>
      <c r="T6" s="617"/>
      <c r="U6" s="617"/>
      <c r="V6" s="617"/>
      <c r="W6" s="617"/>
      <c r="X6" s="617"/>
      <c r="Y6" s="617"/>
      <c r="Z6" s="617"/>
      <c r="AA6" s="617"/>
      <c r="AB6" s="617"/>
      <c r="AC6" s="617"/>
      <c r="AD6" s="617"/>
      <c r="AE6" s="618"/>
      <c r="AF6" s="11"/>
      <c r="AG6" s="538" t="s">
        <v>4</v>
      </c>
      <c r="AH6" s="538"/>
      <c r="AI6" s="538"/>
      <c r="AJ6" s="538"/>
      <c r="AK6" s="538"/>
      <c r="AL6" s="538"/>
      <c r="AM6" s="538"/>
      <c r="AN6" s="538"/>
      <c r="AO6" s="475" t="str">
        <f>'GRANTEE SET UP INFO &amp; DATE '!Z5</f>
        <v>Names of Contact(s):</v>
      </c>
      <c r="AP6" s="475"/>
      <c r="AQ6" s="475"/>
      <c r="AR6" s="475"/>
      <c r="AS6" s="475"/>
      <c r="AT6" s="475"/>
      <c r="AU6" s="475"/>
      <c r="AV6" s="475"/>
      <c r="AW6" s="475"/>
      <c r="AX6" s="475"/>
      <c r="AY6" s="475"/>
      <c r="AZ6" s="475"/>
      <c r="BA6" s="475"/>
      <c r="BB6" s="2"/>
      <c r="BC6" s="2"/>
      <c r="BD6" s="2"/>
      <c r="BE6" s="2"/>
      <c r="BF6" s="2"/>
      <c r="BG6" s="2"/>
      <c r="BH6" s="2"/>
      <c r="BI6" s="2"/>
      <c r="BJ6" s="2"/>
      <c r="BK6" s="2"/>
      <c r="BL6" s="2"/>
      <c r="BM6" s="2"/>
      <c r="BN6" s="2"/>
      <c r="BO6" s="2"/>
      <c r="BP6" s="2"/>
      <c r="BQ6" s="2"/>
      <c r="BR6" s="2"/>
      <c r="BS6" s="2"/>
      <c r="BT6" s="2"/>
      <c r="BU6" s="2"/>
      <c r="BV6" s="2"/>
    </row>
    <row r="7" spans="1:75" ht="15" customHeight="1" x14ac:dyDescent="0.25">
      <c r="A7" s="874" t="s">
        <v>1</v>
      </c>
      <c r="B7" s="875"/>
      <c r="C7" s="875"/>
      <c r="D7" s="875"/>
      <c r="E7" s="875"/>
      <c r="F7" s="875"/>
      <c r="G7" s="875"/>
      <c r="H7" s="875"/>
      <c r="I7" s="875"/>
      <c r="J7" s="876"/>
      <c r="K7" s="970" t="str">
        <f>'GRANTEE SET UP INFO &amp; DATE '!H6</f>
        <v>123 Any Street, Any City, WV 12345</v>
      </c>
      <c r="L7" s="971"/>
      <c r="M7" s="971"/>
      <c r="N7" s="971"/>
      <c r="O7" s="971"/>
      <c r="P7" s="971"/>
      <c r="Q7" s="971"/>
      <c r="R7" s="971"/>
      <c r="S7" s="971"/>
      <c r="T7" s="971"/>
      <c r="U7" s="971"/>
      <c r="V7" s="971"/>
      <c r="W7" s="971"/>
      <c r="X7" s="971"/>
      <c r="Y7" s="971"/>
      <c r="Z7" s="971"/>
      <c r="AA7" s="971"/>
      <c r="AB7" s="971"/>
      <c r="AC7" s="971"/>
      <c r="AD7" s="971"/>
      <c r="AE7" s="972"/>
      <c r="AF7" s="11"/>
      <c r="AG7" s="541" t="s">
        <v>612</v>
      </c>
      <c r="AH7" s="541"/>
      <c r="AI7" s="541"/>
      <c r="AJ7" s="541"/>
      <c r="AK7" s="541"/>
      <c r="AL7" s="541"/>
      <c r="AM7" s="541"/>
      <c r="AN7" s="541"/>
      <c r="AO7" s="468" t="str">
        <f>'GRANTEE SET UP INFO &amp; DATE '!Z6</f>
        <v>Phone numbers for contacts</v>
      </c>
      <c r="AP7" s="468"/>
      <c r="AQ7" s="468"/>
      <c r="AR7" s="468"/>
      <c r="AS7" s="468"/>
      <c r="AT7" s="468"/>
      <c r="AU7" s="468"/>
      <c r="AV7" s="468"/>
      <c r="AW7" s="468"/>
      <c r="AX7" s="468"/>
      <c r="AY7" s="468"/>
      <c r="AZ7" s="468"/>
      <c r="BA7" s="468"/>
      <c r="BB7" s="2"/>
      <c r="BC7" s="2"/>
      <c r="BD7" s="2"/>
      <c r="BE7" s="2"/>
      <c r="BF7" s="2"/>
      <c r="BG7" s="2"/>
      <c r="BH7" s="2"/>
      <c r="BI7" s="2"/>
      <c r="BJ7" s="2"/>
      <c r="BK7" s="2"/>
      <c r="BL7" s="2"/>
      <c r="BM7" s="2"/>
      <c r="BN7" s="2"/>
      <c r="BO7" s="2"/>
      <c r="BP7" s="2"/>
      <c r="BQ7" s="2"/>
      <c r="BR7" s="2"/>
      <c r="BS7" s="2"/>
      <c r="BT7" s="2"/>
      <c r="BU7" s="2"/>
      <c r="BV7" s="2"/>
    </row>
    <row r="8" spans="1:75" ht="15.6" customHeight="1" x14ac:dyDescent="0.25">
      <c r="A8" s="877"/>
      <c r="B8" s="878"/>
      <c r="C8" s="878"/>
      <c r="D8" s="878"/>
      <c r="E8" s="878"/>
      <c r="F8" s="878"/>
      <c r="G8" s="878"/>
      <c r="H8" s="878"/>
      <c r="I8" s="878"/>
      <c r="J8" s="879"/>
      <c r="K8" s="973"/>
      <c r="L8" s="974"/>
      <c r="M8" s="974"/>
      <c r="N8" s="974"/>
      <c r="O8" s="974"/>
      <c r="P8" s="974"/>
      <c r="Q8" s="974"/>
      <c r="R8" s="974"/>
      <c r="S8" s="974"/>
      <c r="T8" s="974"/>
      <c r="U8" s="974"/>
      <c r="V8" s="974"/>
      <c r="W8" s="974"/>
      <c r="X8" s="974"/>
      <c r="Y8" s="974"/>
      <c r="Z8" s="974"/>
      <c r="AA8" s="974"/>
      <c r="AB8" s="974"/>
      <c r="AC8" s="974"/>
      <c r="AD8" s="974"/>
      <c r="AE8" s="975"/>
      <c r="AF8" s="11"/>
      <c r="AG8" s="541" t="s">
        <v>31</v>
      </c>
      <c r="AH8" s="541"/>
      <c r="AI8" s="541"/>
      <c r="AJ8" s="541"/>
      <c r="AK8" s="541"/>
      <c r="AL8" s="541"/>
      <c r="AM8" s="541"/>
      <c r="AN8" s="541"/>
      <c r="AO8" s="468" t="str">
        <f>'GRANTEE SET UP INFO &amp; DATE '!Z7</f>
        <v xml:space="preserve">number on grant agreement or TFB </v>
      </c>
      <c r="AP8" s="468"/>
      <c r="AQ8" s="468"/>
      <c r="AR8" s="468"/>
      <c r="AS8" s="468"/>
      <c r="AT8" s="468"/>
      <c r="AU8" s="468"/>
      <c r="AV8" s="468"/>
      <c r="AW8" s="468"/>
      <c r="AX8" s="468"/>
      <c r="AY8" s="468"/>
      <c r="AZ8" s="468"/>
      <c r="BA8" s="468"/>
      <c r="BB8" s="2"/>
      <c r="BC8" s="2"/>
      <c r="BD8" s="2"/>
      <c r="BE8" s="2"/>
      <c r="BF8" s="2"/>
      <c r="BG8" s="2"/>
      <c r="BH8" s="2"/>
      <c r="BI8" s="2"/>
      <c r="BJ8" s="2"/>
      <c r="BK8" s="2"/>
      <c r="BL8" s="2"/>
      <c r="BM8" s="2"/>
      <c r="BN8" s="2"/>
      <c r="BO8" s="2"/>
      <c r="BP8" s="2"/>
      <c r="BQ8" s="2"/>
      <c r="BR8" s="2"/>
      <c r="BS8" s="2"/>
      <c r="BT8" s="2"/>
      <c r="BU8" s="2"/>
      <c r="BV8" s="2"/>
    </row>
    <row r="9" spans="1:75" ht="25.15" customHeight="1" x14ac:dyDescent="0.25">
      <c r="A9" s="628" t="s">
        <v>44</v>
      </c>
      <c r="B9" s="629"/>
      <c r="C9" s="629"/>
      <c r="D9" s="629"/>
      <c r="E9" s="629"/>
      <c r="F9" s="629"/>
      <c r="G9" s="629"/>
      <c r="H9" s="629"/>
      <c r="I9" s="629"/>
      <c r="J9" s="630"/>
      <c r="K9" s="976" t="str">
        <f>'GRANTEE SET UP INFO &amp; DATE '!H8</f>
        <v>October 1 - 31</v>
      </c>
      <c r="L9" s="869"/>
      <c r="M9" s="869"/>
      <c r="N9" s="869"/>
      <c r="O9" s="869"/>
      <c r="P9" s="869"/>
      <c r="Q9" s="869"/>
      <c r="R9" s="869"/>
      <c r="S9" s="869"/>
      <c r="T9" s="869"/>
      <c r="U9" s="869"/>
      <c r="V9" s="869"/>
      <c r="W9" s="869"/>
      <c r="X9" s="869"/>
      <c r="Y9" s="870"/>
      <c r="Z9" s="655">
        <f>'GRANTEE SET UP INFO &amp; DATE '!P8</f>
        <v>2024</v>
      </c>
      <c r="AA9" s="656"/>
      <c r="AB9" s="656"/>
      <c r="AC9" s="656"/>
      <c r="AD9" s="656"/>
      <c r="AE9" s="657"/>
      <c r="AF9" s="11"/>
      <c r="AG9" s="558" t="s">
        <v>155</v>
      </c>
      <c r="AH9" s="558"/>
      <c r="AI9" s="558"/>
      <c r="AJ9" s="558"/>
      <c r="AK9" s="558"/>
      <c r="AL9" s="558"/>
      <c r="AM9" s="558"/>
      <c r="AN9" s="558"/>
      <c r="AO9" s="468" t="str">
        <f>'GRANTEE SET UP INFO &amp; DATE '!Z8</f>
        <v>program code can locate on SOW or  TFB</v>
      </c>
      <c r="AP9" s="468"/>
      <c r="AQ9" s="468"/>
      <c r="AR9" s="468"/>
      <c r="AS9" s="468"/>
      <c r="AT9" s="468"/>
      <c r="AU9" s="468"/>
      <c r="AV9" s="468"/>
      <c r="AW9" s="468"/>
      <c r="AX9" s="468"/>
      <c r="AY9" s="468"/>
      <c r="AZ9" s="468"/>
      <c r="BA9" s="468"/>
      <c r="BB9" s="2"/>
      <c r="BC9" s="2"/>
      <c r="BD9" s="2"/>
      <c r="BE9" s="2"/>
      <c r="BF9" s="2"/>
      <c r="BG9" s="2"/>
      <c r="BH9" s="2"/>
      <c r="BI9" s="2"/>
      <c r="BJ9" s="2"/>
      <c r="BK9" s="2"/>
      <c r="BL9" s="2"/>
      <c r="BM9" s="2"/>
      <c r="BN9" s="2"/>
      <c r="BO9" s="2"/>
      <c r="BP9" s="2"/>
      <c r="BQ9" s="2"/>
      <c r="BR9" s="2"/>
      <c r="BS9" s="2"/>
      <c r="BT9" s="2"/>
      <c r="BU9" s="2"/>
      <c r="BV9" s="2"/>
    </row>
    <row r="10" spans="1:75" ht="39.950000000000003" customHeight="1" thickBot="1" x14ac:dyDescent="0.3">
      <c r="A10" s="1014" t="s">
        <v>797</v>
      </c>
      <c r="B10" s="1014"/>
      <c r="C10" s="1014"/>
      <c r="D10" s="1014"/>
      <c r="E10" s="1014"/>
      <c r="F10" s="1014"/>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c r="AP10" s="1014"/>
      <c r="AQ10" s="1014"/>
      <c r="AR10" s="1014"/>
      <c r="AS10" s="1014"/>
      <c r="AT10" s="1014"/>
      <c r="AU10" s="1014"/>
      <c r="AV10" s="1014"/>
      <c r="AW10" s="1014"/>
      <c r="AX10" s="1014"/>
      <c r="AY10" s="1014"/>
      <c r="AZ10" s="1014"/>
      <c r="BA10" s="1014"/>
      <c r="BB10" s="1014"/>
      <c r="BC10" s="1014"/>
      <c r="BD10" s="1014"/>
      <c r="BE10" s="1014"/>
      <c r="BF10" s="1014"/>
      <c r="BG10" s="1014"/>
      <c r="BH10" s="1014"/>
      <c r="BI10" s="2"/>
      <c r="BJ10" s="2"/>
      <c r="BK10" s="2"/>
      <c r="BL10" s="2"/>
      <c r="BM10" s="2"/>
      <c r="BN10" s="2"/>
      <c r="BO10" s="2"/>
      <c r="BP10" s="2"/>
      <c r="BQ10" s="2"/>
      <c r="BR10" s="2"/>
      <c r="BS10" s="2"/>
      <c r="BT10" s="2"/>
      <c r="BU10" s="2"/>
      <c r="BV10" s="2"/>
    </row>
    <row r="11" spans="1:75" ht="15" customHeight="1" thickTop="1" x14ac:dyDescent="0.25">
      <c r="A11" s="978" t="s">
        <v>680</v>
      </c>
      <c r="B11" s="979"/>
      <c r="C11" s="979"/>
      <c r="D11" s="979"/>
      <c r="E11" s="979"/>
      <c r="F11" s="979"/>
      <c r="G11" s="979"/>
      <c r="H11" s="980"/>
      <c r="I11" s="980"/>
      <c r="J11" s="980"/>
      <c r="K11" s="980"/>
      <c r="L11" s="979"/>
      <c r="M11" s="979"/>
      <c r="N11" s="979"/>
      <c r="O11" s="979"/>
      <c r="P11" s="979"/>
      <c r="Q11" s="979"/>
      <c r="R11" s="979"/>
      <c r="S11" s="979"/>
      <c r="T11" s="979"/>
      <c r="U11" s="979"/>
      <c r="V11" s="979"/>
      <c r="W11" s="980"/>
      <c r="X11" s="980"/>
      <c r="Y11" s="980"/>
      <c r="Z11" s="980"/>
      <c r="AA11" s="980"/>
      <c r="AB11" s="980"/>
      <c r="AC11" s="980"/>
      <c r="AD11" s="980"/>
      <c r="AE11" s="980"/>
      <c r="AF11" s="979"/>
      <c r="AG11" s="979"/>
      <c r="AH11" s="979"/>
      <c r="AI11" s="979"/>
      <c r="AJ11" s="979"/>
      <c r="AK11" s="979"/>
      <c r="AL11" s="980"/>
      <c r="AM11" s="980"/>
      <c r="AN11" s="980"/>
      <c r="AO11" s="979"/>
      <c r="AP11" s="979"/>
      <c r="AQ11" s="979"/>
      <c r="AR11" s="98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5" ht="60" customHeight="1" x14ac:dyDescent="0.25">
      <c r="A12" s="123" t="s">
        <v>15</v>
      </c>
      <c r="B12" s="977" t="s">
        <v>774</v>
      </c>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1015" t="s">
        <v>647</v>
      </c>
      <c r="AO12" s="1016"/>
      <c r="AP12" s="1016"/>
      <c r="AQ12" s="1016"/>
      <c r="AR12" s="1016"/>
      <c r="AS12" s="1016"/>
      <c r="AT12" s="1016"/>
      <c r="AU12" s="1016"/>
      <c r="AV12" s="1016"/>
      <c r="AW12" s="1016"/>
      <c r="AX12" s="1016"/>
      <c r="AY12" s="1016"/>
      <c r="AZ12" s="959" t="s">
        <v>855</v>
      </c>
      <c r="BA12" s="959"/>
      <c r="BB12" s="959"/>
      <c r="BC12" s="959"/>
      <c r="BD12" s="959"/>
      <c r="BE12" s="959"/>
      <c r="BF12" s="959"/>
      <c r="BG12" s="959"/>
      <c r="BH12" s="960"/>
      <c r="BI12" s="956"/>
      <c r="BJ12" s="957"/>
      <c r="BK12" s="957"/>
      <c r="BL12" s="957"/>
      <c r="BM12" s="957"/>
      <c r="BN12" s="957"/>
      <c r="BO12" s="957"/>
      <c r="BP12" s="957"/>
      <c r="BQ12" s="957"/>
      <c r="BR12" s="957"/>
      <c r="BS12" s="957"/>
      <c r="BT12" s="957"/>
      <c r="BU12" s="957"/>
      <c r="BV12" s="958"/>
    </row>
    <row r="13" spans="1:75" ht="54.95" customHeight="1" x14ac:dyDescent="0.25">
      <c r="A13" s="1017" t="s">
        <v>15</v>
      </c>
      <c r="B13" s="1019" t="s">
        <v>436</v>
      </c>
      <c r="C13" s="1020"/>
      <c r="D13" s="1023" t="s">
        <v>775</v>
      </c>
      <c r="E13" s="1024"/>
      <c r="F13" s="1024"/>
      <c r="G13" s="1024"/>
      <c r="H13" s="1024"/>
      <c r="I13" s="1024"/>
      <c r="J13" s="1024"/>
      <c r="K13" s="1025"/>
      <c r="L13" s="952" t="s">
        <v>637</v>
      </c>
      <c r="M13" s="952"/>
      <c r="N13" s="952"/>
      <c r="O13" s="952"/>
      <c r="P13" s="954" t="s">
        <v>638</v>
      </c>
      <c r="Q13" s="954"/>
      <c r="R13" s="954"/>
      <c r="S13" s="954"/>
      <c r="T13" s="1029" t="s">
        <v>416</v>
      </c>
      <c r="U13" s="1030"/>
      <c r="V13" s="1030"/>
      <c r="W13" s="1031"/>
      <c r="X13" s="1035" t="s">
        <v>575</v>
      </c>
      <c r="Y13" s="1036"/>
      <c r="Z13" s="1036"/>
      <c r="AA13" s="1037"/>
      <c r="AB13" s="1041" t="s">
        <v>417</v>
      </c>
      <c r="AC13" s="1042"/>
      <c r="AD13" s="1043"/>
      <c r="AE13" s="1047" t="s">
        <v>418</v>
      </c>
      <c r="AF13" s="1048"/>
      <c r="AG13" s="1049"/>
      <c r="AH13" s="946" t="s">
        <v>640</v>
      </c>
      <c r="AI13" s="947"/>
      <c r="AJ13" s="948"/>
      <c r="AK13" s="1053" t="s">
        <v>641</v>
      </c>
      <c r="AL13" s="1054"/>
      <c r="AM13" s="1055"/>
      <c r="AN13" s="283" t="s">
        <v>558</v>
      </c>
      <c r="AO13" s="284" t="s">
        <v>559</v>
      </c>
      <c r="AP13" s="283" t="s">
        <v>560</v>
      </c>
      <c r="AQ13" s="284" t="s">
        <v>561</v>
      </c>
      <c r="AR13" s="283" t="s">
        <v>562</v>
      </c>
      <c r="AS13" s="284" t="s">
        <v>563</v>
      </c>
      <c r="AT13" s="283" t="s">
        <v>564</v>
      </c>
      <c r="AU13" s="284" t="s">
        <v>565</v>
      </c>
      <c r="AV13" s="283" t="s">
        <v>566</v>
      </c>
      <c r="AW13" s="284" t="s">
        <v>567</v>
      </c>
      <c r="AX13" s="283" t="s">
        <v>568</v>
      </c>
      <c r="AY13" s="284" t="s">
        <v>569</v>
      </c>
      <c r="AZ13" s="961" t="s">
        <v>239</v>
      </c>
      <c r="BA13" s="963" t="s">
        <v>240</v>
      </c>
      <c r="BB13" s="961" t="s">
        <v>241</v>
      </c>
      <c r="BC13" s="963" t="s">
        <v>247</v>
      </c>
      <c r="BD13" s="961" t="s">
        <v>242</v>
      </c>
      <c r="BE13" s="963" t="s">
        <v>243</v>
      </c>
      <c r="BF13" s="961" t="s">
        <v>244</v>
      </c>
      <c r="BG13" s="963" t="s">
        <v>245</v>
      </c>
      <c r="BH13" s="961" t="s">
        <v>246</v>
      </c>
      <c r="BI13" s="1008" t="s">
        <v>30</v>
      </c>
      <c r="BJ13" s="1009"/>
      <c r="BK13" s="1009"/>
      <c r="BL13" s="1009"/>
      <c r="BM13" s="1009"/>
      <c r="BN13" s="1009"/>
      <c r="BO13" s="1009"/>
      <c r="BP13" s="1009"/>
      <c r="BQ13" s="1009"/>
      <c r="BR13" s="1009"/>
      <c r="BS13" s="1009"/>
      <c r="BT13" s="1009"/>
      <c r="BU13" s="1009"/>
      <c r="BV13" s="1010"/>
    </row>
    <row r="14" spans="1:75" ht="24.95" customHeight="1" x14ac:dyDescent="0.25">
      <c r="A14" s="1018"/>
      <c r="B14" s="1021"/>
      <c r="C14" s="1022"/>
      <c r="D14" s="1026"/>
      <c r="E14" s="1027"/>
      <c r="F14" s="1027"/>
      <c r="G14" s="1027"/>
      <c r="H14" s="1027"/>
      <c r="I14" s="1027"/>
      <c r="J14" s="1027"/>
      <c r="K14" s="1028"/>
      <c r="L14" s="953"/>
      <c r="M14" s="953"/>
      <c r="N14" s="953"/>
      <c r="O14" s="953"/>
      <c r="P14" s="955"/>
      <c r="Q14" s="955"/>
      <c r="R14" s="955"/>
      <c r="S14" s="955"/>
      <c r="T14" s="1032"/>
      <c r="U14" s="1033"/>
      <c r="V14" s="1033"/>
      <c r="W14" s="1034"/>
      <c r="X14" s="1038"/>
      <c r="Y14" s="1039"/>
      <c r="Z14" s="1039"/>
      <c r="AA14" s="1040"/>
      <c r="AB14" s="1044"/>
      <c r="AC14" s="1045"/>
      <c r="AD14" s="1046"/>
      <c r="AE14" s="1050"/>
      <c r="AF14" s="1051"/>
      <c r="AG14" s="1052"/>
      <c r="AH14" s="949"/>
      <c r="AI14" s="950"/>
      <c r="AJ14" s="951"/>
      <c r="AK14" s="1056"/>
      <c r="AL14" s="1057"/>
      <c r="AM14" s="1058"/>
      <c r="AN14" s="285">
        <f>'GRANTEE SET UP INFO &amp; DATE '!C11</f>
        <v>0</v>
      </c>
      <c r="AO14" s="343">
        <f>'GRANTEE SET UP INFO &amp; DATE '!C12</f>
        <v>0</v>
      </c>
      <c r="AP14" s="285">
        <f>'GRANTEE SET UP INFO &amp; DATE '!C13</f>
        <v>0</v>
      </c>
      <c r="AQ14" s="343">
        <f>'GRANTEE SET UP INFO &amp; DATE '!C14</f>
        <v>0</v>
      </c>
      <c r="AR14" s="285">
        <f>'GRANTEE SET UP INFO &amp; DATE '!C15</f>
        <v>0</v>
      </c>
      <c r="AS14" s="343">
        <f>'GRANTEE SET UP INFO &amp; DATE '!C16</f>
        <v>0</v>
      </c>
      <c r="AT14" s="285">
        <f>'GRANTEE SET UP INFO &amp; DATE '!C17</f>
        <v>0</v>
      </c>
      <c r="AU14" s="343">
        <f>'GRANTEE SET UP INFO &amp; DATE '!C18</f>
        <v>0</v>
      </c>
      <c r="AV14" s="286">
        <f>'GRANTEE SET UP INFO &amp; DATE '!D18</f>
        <v>0</v>
      </c>
      <c r="AW14" s="343">
        <f>'GRANTEE SET UP INFO &amp; DATE '!E18</f>
        <v>0</v>
      </c>
      <c r="AX14" s="286">
        <f>'GRANTEE SET UP INFO &amp; DATE '!F18</f>
        <v>0</v>
      </c>
      <c r="AY14" s="343">
        <f>'GRANTEE SET UP INFO &amp; DATE '!G18</f>
        <v>0</v>
      </c>
      <c r="AZ14" s="962"/>
      <c r="BA14" s="964"/>
      <c r="BB14" s="962"/>
      <c r="BC14" s="964"/>
      <c r="BD14" s="962"/>
      <c r="BE14" s="964"/>
      <c r="BF14" s="962"/>
      <c r="BG14" s="964"/>
      <c r="BH14" s="962"/>
      <c r="BI14" s="1011"/>
      <c r="BJ14" s="1012"/>
      <c r="BK14" s="1012"/>
      <c r="BL14" s="1012"/>
      <c r="BM14" s="1012"/>
      <c r="BN14" s="1012"/>
      <c r="BO14" s="1012"/>
      <c r="BP14" s="1012"/>
      <c r="BQ14" s="1012"/>
      <c r="BR14" s="1012"/>
      <c r="BS14" s="1012"/>
      <c r="BT14" s="1012"/>
      <c r="BU14" s="1012"/>
      <c r="BV14" s="1013"/>
    </row>
    <row r="15" spans="1:75" ht="30" customHeight="1" x14ac:dyDescent="0.25">
      <c r="A15" s="232">
        <f t="shared" ref="A15:A78" si="0">ROW(A1)</f>
        <v>1</v>
      </c>
      <c r="B15" s="294" t="s">
        <v>162</v>
      </c>
      <c r="C15" s="295"/>
      <c r="D15" s="936"/>
      <c r="E15" s="937"/>
      <c r="F15" s="937"/>
      <c r="G15" s="937"/>
      <c r="H15" s="937"/>
      <c r="I15" s="937"/>
      <c r="J15" s="937"/>
      <c r="K15" s="938"/>
      <c r="L15" s="932" t="s">
        <v>159</v>
      </c>
      <c r="M15" s="932"/>
      <c r="N15" s="932"/>
      <c r="O15" s="932"/>
      <c r="P15" s="931" t="s">
        <v>159</v>
      </c>
      <c r="Q15" s="931"/>
      <c r="R15" s="931"/>
      <c r="S15" s="931"/>
      <c r="T15" s="933" t="s">
        <v>159</v>
      </c>
      <c r="U15" s="934"/>
      <c r="V15" s="934"/>
      <c r="W15" s="935"/>
      <c r="X15" s="936" t="s">
        <v>159</v>
      </c>
      <c r="Y15" s="937"/>
      <c r="Z15" s="937"/>
      <c r="AA15" s="938"/>
      <c r="AB15" s="594" t="s">
        <v>159</v>
      </c>
      <c r="AC15" s="595"/>
      <c r="AD15" s="596"/>
      <c r="AE15" s="779"/>
      <c r="AF15" s="939"/>
      <c r="AG15" s="780"/>
      <c r="AH15" s="941"/>
      <c r="AI15" s="942"/>
      <c r="AJ15" s="943"/>
      <c r="AK15" s="745"/>
      <c r="AL15" s="940"/>
      <c r="AM15" s="746"/>
      <c r="AN15" s="281"/>
      <c r="AO15" s="282"/>
      <c r="AP15" s="281"/>
      <c r="AQ15" s="282"/>
      <c r="AR15" s="281"/>
      <c r="AS15" s="282"/>
      <c r="AT15" s="281"/>
      <c r="AU15" s="282"/>
      <c r="AV15" s="281"/>
      <c r="AW15" s="282"/>
      <c r="AX15" s="281"/>
      <c r="AY15" s="282"/>
      <c r="AZ15" s="329"/>
      <c r="BA15" s="331"/>
      <c r="BB15" s="328"/>
      <c r="BC15" s="331"/>
      <c r="BD15" s="328"/>
      <c r="BE15" s="331"/>
      <c r="BF15" s="328"/>
      <c r="BG15" s="331"/>
      <c r="BH15" s="328"/>
      <c r="BI15" s="944" t="s">
        <v>212</v>
      </c>
      <c r="BJ15" s="944"/>
      <c r="BK15" s="944"/>
      <c r="BL15" s="944"/>
      <c r="BM15" s="944"/>
      <c r="BN15" s="944"/>
      <c r="BO15" s="944"/>
      <c r="BP15" s="944"/>
      <c r="BQ15" s="944"/>
      <c r="BR15" s="944"/>
      <c r="BS15" s="944"/>
      <c r="BT15" s="944"/>
      <c r="BU15" s="944"/>
      <c r="BV15" s="945"/>
    </row>
    <row r="16" spans="1:75" ht="30" customHeight="1" x14ac:dyDescent="0.25">
      <c r="A16" s="200">
        <f t="shared" si="0"/>
        <v>2</v>
      </c>
      <c r="B16" s="294" t="s">
        <v>162</v>
      </c>
      <c r="C16" s="295"/>
      <c r="D16" s="936"/>
      <c r="E16" s="937"/>
      <c r="F16" s="937"/>
      <c r="G16" s="937"/>
      <c r="H16" s="937"/>
      <c r="I16" s="937"/>
      <c r="J16" s="937"/>
      <c r="K16" s="938"/>
      <c r="L16" s="932"/>
      <c r="M16" s="932"/>
      <c r="N16" s="932"/>
      <c r="O16" s="932"/>
      <c r="P16" s="931"/>
      <c r="Q16" s="931"/>
      <c r="R16" s="931"/>
      <c r="S16" s="931"/>
      <c r="T16" s="933"/>
      <c r="U16" s="934"/>
      <c r="V16" s="934"/>
      <c r="W16" s="935"/>
      <c r="X16" s="936"/>
      <c r="Y16" s="937"/>
      <c r="Z16" s="937"/>
      <c r="AA16" s="938"/>
      <c r="AB16" s="594"/>
      <c r="AC16" s="595"/>
      <c r="AD16" s="596"/>
      <c r="AE16" s="779"/>
      <c r="AF16" s="939"/>
      <c r="AG16" s="780"/>
      <c r="AH16" s="941"/>
      <c r="AI16" s="942"/>
      <c r="AJ16" s="943"/>
      <c r="AK16" s="745"/>
      <c r="AL16" s="940"/>
      <c r="AM16" s="746"/>
      <c r="AN16" s="281"/>
      <c r="AO16" s="282"/>
      <c r="AP16" s="281"/>
      <c r="AQ16" s="282"/>
      <c r="AR16" s="281"/>
      <c r="AS16" s="282"/>
      <c r="AT16" s="281"/>
      <c r="AU16" s="282"/>
      <c r="AV16" s="281"/>
      <c r="AW16" s="282"/>
      <c r="AX16" s="281"/>
      <c r="AY16" s="282"/>
      <c r="AZ16" s="329"/>
      <c r="BA16" s="331"/>
      <c r="BB16" s="328"/>
      <c r="BC16" s="331"/>
      <c r="BD16" s="328"/>
      <c r="BE16" s="331"/>
      <c r="BF16" s="328"/>
      <c r="BG16" s="331"/>
      <c r="BH16" s="328"/>
      <c r="BI16" s="944" t="s">
        <v>212</v>
      </c>
      <c r="BJ16" s="944"/>
      <c r="BK16" s="944"/>
      <c r="BL16" s="944"/>
      <c r="BM16" s="944"/>
      <c r="BN16" s="944"/>
      <c r="BO16" s="944"/>
      <c r="BP16" s="944"/>
      <c r="BQ16" s="944"/>
      <c r="BR16" s="944"/>
      <c r="BS16" s="944"/>
      <c r="BT16" s="944"/>
      <c r="BU16" s="944"/>
      <c r="BV16" s="945"/>
    </row>
    <row r="17" spans="1:74" ht="30" customHeight="1" x14ac:dyDescent="0.25">
      <c r="A17" s="200">
        <f t="shared" si="0"/>
        <v>3</v>
      </c>
      <c r="B17" s="294" t="s">
        <v>162</v>
      </c>
      <c r="C17" s="295"/>
      <c r="D17" s="936"/>
      <c r="E17" s="937"/>
      <c r="F17" s="937"/>
      <c r="G17" s="937"/>
      <c r="H17" s="937"/>
      <c r="I17" s="937"/>
      <c r="J17" s="937"/>
      <c r="K17" s="938"/>
      <c r="L17" s="932"/>
      <c r="M17" s="932"/>
      <c r="N17" s="932"/>
      <c r="O17" s="932"/>
      <c r="P17" s="931"/>
      <c r="Q17" s="931"/>
      <c r="R17" s="931"/>
      <c r="S17" s="931"/>
      <c r="T17" s="933"/>
      <c r="U17" s="934"/>
      <c r="V17" s="934"/>
      <c r="W17" s="935"/>
      <c r="X17" s="936"/>
      <c r="Y17" s="937"/>
      <c r="Z17" s="937"/>
      <c r="AA17" s="938"/>
      <c r="AB17" s="594"/>
      <c r="AC17" s="595"/>
      <c r="AD17" s="596"/>
      <c r="AE17" s="779"/>
      <c r="AF17" s="939"/>
      <c r="AG17" s="780"/>
      <c r="AH17" s="941"/>
      <c r="AI17" s="942"/>
      <c r="AJ17" s="943"/>
      <c r="AK17" s="745"/>
      <c r="AL17" s="940"/>
      <c r="AM17" s="746"/>
      <c r="AN17" s="281"/>
      <c r="AO17" s="282"/>
      <c r="AP17" s="281"/>
      <c r="AQ17" s="282"/>
      <c r="AR17" s="281"/>
      <c r="AS17" s="282"/>
      <c r="AT17" s="281"/>
      <c r="AU17" s="282"/>
      <c r="AV17" s="281"/>
      <c r="AW17" s="282"/>
      <c r="AX17" s="281"/>
      <c r="AY17" s="282"/>
      <c r="AZ17" s="329"/>
      <c r="BA17" s="331"/>
      <c r="BB17" s="328"/>
      <c r="BC17" s="331"/>
      <c r="BD17" s="328"/>
      <c r="BE17" s="331"/>
      <c r="BF17" s="328"/>
      <c r="BG17" s="331"/>
      <c r="BH17" s="328"/>
      <c r="BI17" s="944" t="s">
        <v>212</v>
      </c>
      <c r="BJ17" s="944"/>
      <c r="BK17" s="944"/>
      <c r="BL17" s="944"/>
      <c r="BM17" s="944"/>
      <c r="BN17" s="944"/>
      <c r="BO17" s="944"/>
      <c r="BP17" s="944"/>
      <c r="BQ17" s="944"/>
      <c r="BR17" s="944"/>
      <c r="BS17" s="944"/>
      <c r="BT17" s="944"/>
      <c r="BU17" s="944"/>
      <c r="BV17" s="945"/>
    </row>
    <row r="18" spans="1:74" ht="30" customHeight="1" x14ac:dyDescent="0.25">
      <c r="A18" s="200">
        <f t="shared" si="0"/>
        <v>4</v>
      </c>
      <c r="B18" s="294" t="s">
        <v>162</v>
      </c>
      <c r="C18" s="295"/>
      <c r="D18" s="936"/>
      <c r="E18" s="937"/>
      <c r="F18" s="937"/>
      <c r="G18" s="937"/>
      <c r="H18" s="937"/>
      <c r="I18" s="937"/>
      <c r="J18" s="937"/>
      <c r="K18" s="938"/>
      <c r="L18" s="932"/>
      <c r="M18" s="932"/>
      <c r="N18" s="932"/>
      <c r="O18" s="932"/>
      <c r="P18" s="931"/>
      <c r="Q18" s="931"/>
      <c r="R18" s="931"/>
      <c r="S18" s="931"/>
      <c r="T18" s="933"/>
      <c r="U18" s="934"/>
      <c r="V18" s="934"/>
      <c r="W18" s="935"/>
      <c r="X18" s="936"/>
      <c r="Y18" s="937"/>
      <c r="Z18" s="937"/>
      <c r="AA18" s="938"/>
      <c r="AB18" s="594"/>
      <c r="AC18" s="595"/>
      <c r="AD18" s="596"/>
      <c r="AE18" s="779"/>
      <c r="AF18" s="939"/>
      <c r="AG18" s="780"/>
      <c r="AH18" s="941"/>
      <c r="AI18" s="942"/>
      <c r="AJ18" s="943"/>
      <c r="AK18" s="745"/>
      <c r="AL18" s="940"/>
      <c r="AM18" s="746"/>
      <c r="AN18" s="281"/>
      <c r="AO18" s="282"/>
      <c r="AP18" s="281"/>
      <c r="AQ18" s="282"/>
      <c r="AR18" s="281"/>
      <c r="AS18" s="282"/>
      <c r="AT18" s="281"/>
      <c r="AU18" s="282"/>
      <c r="AV18" s="281"/>
      <c r="AW18" s="282"/>
      <c r="AX18" s="281"/>
      <c r="AY18" s="282"/>
      <c r="AZ18" s="329"/>
      <c r="BA18" s="331"/>
      <c r="BB18" s="328"/>
      <c r="BC18" s="331"/>
      <c r="BD18" s="328"/>
      <c r="BE18" s="331"/>
      <c r="BF18" s="328"/>
      <c r="BG18" s="331"/>
      <c r="BH18" s="328"/>
      <c r="BI18" s="944" t="s">
        <v>212</v>
      </c>
      <c r="BJ18" s="944"/>
      <c r="BK18" s="944"/>
      <c r="BL18" s="944"/>
      <c r="BM18" s="944"/>
      <c r="BN18" s="944"/>
      <c r="BO18" s="944"/>
      <c r="BP18" s="944"/>
      <c r="BQ18" s="944"/>
      <c r="BR18" s="944"/>
      <c r="BS18" s="944"/>
      <c r="BT18" s="944"/>
      <c r="BU18" s="944"/>
      <c r="BV18" s="945"/>
    </row>
    <row r="19" spans="1:74" ht="30" customHeight="1" x14ac:dyDescent="0.25">
      <c r="A19" s="200">
        <f t="shared" si="0"/>
        <v>5</v>
      </c>
      <c r="B19" s="294" t="s">
        <v>162</v>
      </c>
      <c r="C19" s="295"/>
      <c r="D19" s="936"/>
      <c r="E19" s="937"/>
      <c r="F19" s="937"/>
      <c r="G19" s="937"/>
      <c r="H19" s="937"/>
      <c r="I19" s="937"/>
      <c r="J19" s="937"/>
      <c r="K19" s="938"/>
      <c r="L19" s="932"/>
      <c r="M19" s="932"/>
      <c r="N19" s="932"/>
      <c r="O19" s="932"/>
      <c r="P19" s="931"/>
      <c r="Q19" s="931"/>
      <c r="R19" s="931"/>
      <c r="S19" s="931"/>
      <c r="T19" s="933"/>
      <c r="U19" s="934"/>
      <c r="V19" s="934"/>
      <c r="W19" s="935"/>
      <c r="X19" s="936"/>
      <c r="Y19" s="937"/>
      <c r="Z19" s="937"/>
      <c r="AA19" s="938"/>
      <c r="AB19" s="594"/>
      <c r="AC19" s="595"/>
      <c r="AD19" s="596"/>
      <c r="AE19" s="779"/>
      <c r="AF19" s="939"/>
      <c r="AG19" s="780"/>
      <c r="AH19" s="941"/>
      <c r="AI19" s="942"/>
      <c r="AJ19" s="943"/>
      <c r="AK19" s="745"/>
      <c r="AL19" s="940"/>
      <c r="AM19" s="746"/>
      <c r="AN19" s="281"/>
      <c r="AO19" s="282"/>
      <c r="AP19" s="281"/>
      <c r="AQ19" s="282"/>
      <c r="AR19" s="281"/>
      <c r="AS19" s="282"/>
      <c r="AT19" s="281"/>
      <c r="AU19" s="282"/>
      <c r="AV19" s="281"/>
      <c r="AW19" s="282"/>
      <c r="AX19" s="281"/>
      <c r="AY19" s="282"/>
      <c r="AZ19" s="329"/>
      <c r="BA19" s="331"/>
      <c r="BB19" s="328"/>
      <c r="BC19" s="331"/>
      <c r="BD19" s="328"/>
      <c r="BE19" s="331"/>
      <c r="BF19" s="328"/>
      <c r="BG19" s="331"/>
      <c r="BH19" s="328"/>
      <c r="BI19" s="944" t="s">
        <v>212</v>
      </c>
      <c r="BJ19" s="944"/>
      <c r="BK19" s="944"/>
      <c r="BL19" s="944"/>
      <c r="BM19" s="944"/>
      <c r="BN19" s="944"/>
      <c r="BO19" s="944"/>
      <c r="BP19" s="944"/>
      <c r="BQ19" s="944"/>
      <c r="BR19" s="944"/>
      <c r="BS19" s="944"/>
      <c r="BT19" s="944"/>
      <c r="BU19" s="944"/>
      <c r="BV19" s="945"/>
    </row>
    <row r="20" spans="1:74" ht="30" customHeight="1" x14ac:dyDescent="0.25">
      <c r="A20" s="200">
        <f t="shared" si="0"/>
        <v>6</v>
      </c>
      <c r="B20" s="294" t="s">
        <v>162</v>
      </c>
      <c r="C20" s="295"/>
      <c r="D20" s="936"/>
      <c r="E20" s="937"/>
      <c r="F20" s="937"/>
      <c r="G20" s="937"/>
      <c r="H20" s="937"/>
      <c r="I20" s="937"/>
      <c r="J20" s="937"/>
      <c r="K20" s="938"/>
      <c r="L20" s="932"/>
      <c r="M20" s="932"/>
      <c r="N20" s="932"/>
      <c r="O20" s="932"/>
      <c r="P20" s="931"/>
      <c r="Q20" s="931"/>
      <c r="R20" s="931"/>
      <c r="S20" s="931"/>
      <c r="T20" s="933"/>
      <c r="U20" s="934"/>
      <c r="V20" s="934"/>
      <c r="W20" s="935"/>
      <c r="X20" s="936"/>
      <c r="Y20" s="937"/>
      <c r="Z20" s="937"/>
      <c r="AA20" s="938"/>
      <c r="AB20" s="594"/>
      <c r="AC20" s="595"/>
      <c r="AD20" s="596"/>
      <c r="AE20" s="779"/>
      <c r="AF20" s="939"/>
      <c r="AG20" s="780"/>
      <c r="AH20" s="941"/>
      <c r="AI20" s="942"/>
      <c r="AJ20" s="943"/>
      <c r="AK20" s="745"/>
      <c r="AL20" s="940"/>
      <c r="AM20" s="746"/>
      <c r="AN20" s="281"/>
      <c r="AO20" s="282"/>
      <c r="AP20" s="281"/>
      <c r="AQ20" s="282"/>
      <c r="AR20" s="281"/>
      <c r="AS20" s="282"/>
      <c r="AT20" s="281"/>
      <c r="AU20" s="282"/>
      <c r="AV20" s="281"/>
      <c r="AW20" s="282"/>
      <c r="AX20" s="281"/>
      <c r="AY20" s="282"/>
      <c r="AZ20" s="329"/>
      <c r="BA20" s="331"/>
      <c r="BB20" s="328"/>
      <c r="BC20" s="331"/>
      <c r="BD20" s="328"/>
      <c r="BE20" s="331"/>
      <c r="BF20" s="328"/>
      <c r="BG20" s="331"/>
      <c r="BH20" s="328"/>
      <c r="BI20" s="944" t="s">
        <v>159</v>
      </c>
      <c r="BJ20" s="944"/>
      <c r="BK20" s="944"/>
      <c r="BL20" s="944"/>
      <c r="BM20" s="944"/>
      <c r="BN20" s="944"/>
      <c r="BO20" s="944"/>
      <c r="BP20" s="944"/>
      <c r="BQ20" s="944"/>
      <c r="BR20" s="944"/>
      <c r="BS20" s="944"/>
      <c r="BT20" s="944"/>
      <c r="BU20" s="944"/>
      <c r="BV20" s="945"/>
    </row>
    <row r="21" spans="1:74" ht="30" customHeight="1" x14ac:dyDescent="0.25">
      <c r="A21" s="200">
        <f t="shared" si="0"/>
        <v>7</v>
      </c>
      <c r="B21" s="294" t="s">
        <v>162</v>
      </c>
      <c r="C21" s="295"/>
      <c r="D21" s="936"/>
      <c r="E21" s="937"/>
      <c r="F21" s="937"/>
      <c r="G21" s="937"/>
      <c r="H21" s="937"/>
      <c r="I21" s="937"/>
      <c r="J21" s="937"/>
      <c r="K21" s="938"/>
      <c r="L21" s="932"/>
      <c r="M21" s="932"/>
      <c r="N21" s="932"/>
      <c r="O21" s="932"/>
      <c r="P21" s="931"/>
      <c r="Q21" s="931"/>
      <c r="R21" s="931"/>
      <c r="S21" s="931"/>
      <c r="T21" s="933"/>
      <c r="U21" s="934"/>
      <c r="V21" s="934"/>
      <c r="W21" s="935"/>
      <c r="X21" s="936"/>
      <c r="Y21" s="937"/>
      <c r="Z21" s="937"/>
      <c r="AA21" s="938"/>
      <c r="AB21" s="594"/>
      <c r="AC21" s="595"/>
      <c r="AD21" s="596"/>
      <c r="AE21" s="779"/>
      <c r="AF21" s="939"/>
      <c r="AG21" s="780"/>
      <c r="AH21" s="941"/>
      <c r="AI21" s="942"/>
      <c r="AJ21" s="943"/>
      <c r="AK21" s="745"/>
      <c r="AL21" s="940"/>
      <c r="AM21" s="746"/>
      <c r="AN21" s="281"/>
      <c r="AO21" s="282"/>
      <c r="AP21" s="281"/>
      <c r="AQ21" s="282"/>
      <c r="AR21" s="281"/>
      <c r="AS21" s="282"/>
      <c r="AT21" s="281"/>
      <c r="AU21" s="282"/>
      <c r="AV21" s="281"/>
      <c r="AW21" s="282"/>
      <c r="AX21" s="281"/>
      <c r="AY21" s="282"/>
      <c r="AZ21" s="329"/>
      <c r="BA21" s="331"/>
      <c r="BB21" s="328"/>
      <c r="BC21" s="331"/>
      <c r="BD21" s="328"/>
      <c r="BE21" s="331"/>
      <c r="BF21" s="328"/>
      <c r="BG21" s="331"/>
      <c r="BH21" s="328"/>
      <c r="BI21" s="944" t="s">
        <v>159</v>
      </c>
      <c r="BJ21" s="944"/>
      <c r="BK21" s="944"/>
      <c r="BL21" s="944"/>
      <c r="BM21" s="944"/>
      <c r="BN21" s="944"/>
      <c r="BO21" s="944"/>
      <c r="BP21" s="944"/>
      <c r="BQ21" s="944"/>
      <c r="BR21" s="944"/>
      <c r="BS21" s="944"/>
      <c r="BT21" s="944"/>
      <c r="BU21" s="944"/>
      <c r="BV21" s="945"/>
    </row>
    <row r="22" spans="1:74" ht="30" customHeight="1" x14ac:dyDescent="0.25">
      <c r="A22" s="232">
        <f t="shared" si="0"/>
        <v>8</v>
      </c>
      <c r="B22" s="294" t="s">
        <v>162</v>
      </c>
      <c r="C22" s="295"/>
      <c r="D22" s="936"/>
      <c r="E22" s="937"/>
      <c r="F22" s="937"/>
      <c r="G22" s="937"/>
      <c r="H22" s="937"/>
      <c r="I22" s="937"/>
      <c r="J22" s="937"/>
      <c r="K22" s="938"/>
      <c r="L22" s="932"/>
      <c r="M22" s="932"/>
      <c r="N22" s="932"/>
      <c r="O22" s="932"/>
      <c r="P22" s="931"/>
      <c r="Q22" s="931"/>
      <c r="R22" s="931"/>
      <c r="S22" s="931"/>
      <c r="T22" s="933"/>
      <c r="U22" s="934"/>
      <c r="V22" s="934"/>
      <c r="W22" s="935"/>
      <c r="X22" s="936"/>
      <c r="Y22" s="937"/>
      <c r="Z22" s="937"/>
      <c r="AA22" s="938"/>
      <c r="AB22" s="594"/>
      <c r="AC22" s="595"/>
      <c r="AD22" s="596"/>
      <c r="AE22" s="779"/>
      <c r="AF22" s="939"/>
      <c r="AG22" s="780"/>
      <c r="AH22" s="941"/>
      <c r="AI22" s="942"/>
      <c r="AJ22" s="943"/>
      <c r="AK22" s="745"/>
      <c r="AL22" s="940"/>
      <c r="AM22" s="746"/>
      <c r="AN22" s="281"/>
      <c r="AO22" s="282"/>
      <c r="AP22" s="281"/>
      <c r="AQ22" s="282"/>
      <c r="AR22" s="281"/>
      <c r="AS22" s="282"/>
      <c r="AT22" s="281"/>
      <c r="AU22" s="282"/>
      <c r="AV22" s="281"/>
      <c r="AW22" s="282"/>
      <c r="AX22" s="281"/>
      <c r="AY22" s="282"/>
      <c r="AZ22" s="329"/>
      <c r="BA22" s="331"/>
      <c r="BB22" s="328"/>
      <c r="BC22" s="331"/>
      <c r="BD22" s="328"/>
      <c r="BE22" s="331"/>
      <c r="BF22" s="328"/>
      <c r="BG22" s="331"/>
      <c r="BH22" s="328"/>
      <c r="BI22" s="944" t="s">
        <v>212</v>
      </c>
      <c r="BJ22" s="944"/>
      <c r="BK22" s="944"/>
      <c r="BL22" s="944"/>
      <c r="BM22" s="944"/>
      <c r="BN22" s="944"/>
      <c r="BO22" s="944"/>
      <c r="BP22" s="944"/>
      <c r="BQ22" s="944"/>
      <c r="BR22" s="944"/>
      <c r="BS22" s="944"/>
      <c r="BT22" s="944"/>
      <c r="BU22" s="944"/>
      <c r="BV22" s="945"/>
    </row>
    <row r="23" spans="1:74" ht="30" customHeight="1" x14ac:dyDescent="0.25">
      <c r="A23" s="200">
        <f t="shared" si="0"/>
        <v>9</v>
      </c>
      <c r="B23" s="294" t="s">
        <v>162</v>
      </c>
      <c r="C23" s="295"/>
      <c r="D23" s="936"/>
      <c r="E23" s="937"/>
      <c r="F23" s="937"/>
      <c r="G23" s="937"/>
      <c r="H23" s="937"/>
      <c r="I23" s="937"/>
      <c r="J23" s="937"/>
      <c r="K23" s="938"/>
      <c r="L23" s="932"/>
      <c r="M23" s="932"/>
      <c r="N23" s="932"/>
      <c r="O23" s="932"/>
      <c r="P23" s="931"/>
      <c r="Q23" s="931"/>
      <c r="R23" s="931"/>
      <c r="S23" s="931"/>
      <c r="T23" s="933"/>
      <c r="U23" s="934"/>
      <c r="V23" s="934"/>
      <c r="W23" s="935"/>
      <c r="X23" s="936"/>
      <c r="Y23" s="937"/>
      <c r="Z23" s="937"/>
      <c r="AA23" s="938"/>
      <c r="AB23" s="594"/>
      <c r="AC23" s="595"/>
      <c r="AD23" s="596"/>
      <c r="AE23" s="779"/>
      <c r="AF23" s="939"/>
      <c r="AG23" s="780"/>
      <c r="AH23" s="941"/>
      <c r="AI23" s="942"/>
      <c r="AJ23" s="943"/>
      <c r="AK23" s="745"/>
      <c r="AL23" s="940"/>
      <c r="AM23" s="746"/>
      <c r="AN23" s="281"/>
      <c r="AO23" s="282"/>
      <c r="AP23" s="281"/>
      <c r="AQ23" s="282"/>
      <c r="AR23" s="281"/>
      <c r="AS23" s="282"/>
      <c r="AT23" s="281"/>
      <c r="AU23" s="282"/>
      <c r="AV23" s="281"/>
      <c r="AW23" s="282"/>
      <c r="AX23" s="281"/>
      <c r="AY23" s="282"/>
      <c r="AZ23" s="329"/>
      <c r="BA23" s="331"/>
      <c r="BB23" s="328"/>
      <c r="BC23" s="331"/>
      <c r="BD23" s="328"/>
      <c r="BE23" s="331"/>
      <c r="BF23" s="328"/>
      <c r="BG23" s="331"/>
      <c r="BH23" s="328"/>
      <c r="BI23" s="944" t="s">
        <v>212</v>
      </c>
      <c r="BJ23" s="944"/>
      <c r="BK23" s="944"/>
      <c r="BL23" s="944"/>
      <c r="BM23" s="944"/>
      <c r="BN23" s="944"/>
      <c r="BO23" s="944"/>
      <c r="BP23" s="944"/>
      <c r="BQ23" s="944"/>
      <c r="BR23" s="944"/>
      <c r="BS23" s="944"/>
      <c r="BT23" s="944"/>
      <c r="BU23" s="944"/>
      <c r="BV23" s="945"/>
    </row>
    <row r="24" spans="1:74" ht="30" customHeight="1" x14ac:dyDescent="0.25">
      <c r="A24" s="200">
        <f t="shared" si="0"/>
        <v>10</v>
      </c>
      <c r="B24" s="294" t="s">
        <v>162</v>
      </c>
      <c r="C24" s="295"/>
      <c r="D24" s="936"/>
      <c r="E24" s="937"/>
      <c r="F24" s="937"/>
      <c r="G24" s="937"/>
      <c r="H24" s="937"/>
      <c r="I24" s="937"/>
      <c r="J24" s="937"/>
      <c r="K24" s="938"/>
      <c r="L24" s="932"/>
      <c r="M24" s="932"/>
      <c r="N24" s="932"/>
      <c r="O24" s="932"/>
      <c r="P24" s="931"/>
      <c r="Q24" s="931"/>
      <c r="R24" s="931"/>
      <c r="S24" s="931"/>
      <c r="T24" s="933"/>
      <c r="U24" s="934"/>
      <c r="V24" s="934"/>
      <c r="W24" s="935"/>
      <c r="X24" s="936"/>
      <c r="Y24" s="937"/>
      <c r="Z24" s="937"/>
      <c r="AA24" s="938"/>
      <c r="AB24" s="594"/>
      <c r="AC24" s="595"/>
      <c r="AD24" s="596"/>
      <c r="AE24" s="779"/>
      <c r="AF24" s="939"/>
      <c r="AG24" s="780"/>
      <c r="AH24" s="941"/>
      <c r="AI24" s="942"/>
      <c r="AJ24" s="943"/>
      <c r="AK24" s="745"/>
      <c r="AL24" s="940"/>
      <c r="AM24" s="746"/>
      <c r="AN24" s="281"/>
      <c r="AO24" s="282"/>
      <c r="AP24" s="281"/>
      <c r="AQ24" s="282"/>
      <c r="AR24" s="281"/>
      <c r="AS24" s="282"/>
      <c r="AT24" s="281"/>
      <c r="AU24" s="282"/>
      <c r="AV24" s="281"/>
      <c r="AW24" s="282"/>
      <c r="AX24" s="281"/>
      <c r="AY24" s="282"/>
      <c r="AZ24" s="329"/>
      <c r="BA24" s="331"/>
      <c r="BB24" s="328"/>
      <c r="BC24" s="331"/>
      <c r="BD24" s="328"/>
      <c r="BE24" s="331"/>
      <c r="BF24" s="328"/>
      <c r="BG24" s="331"/>
      <c r="BH24" s="328"/>
      <c r="BI24" s="944" t="s">
        <v>212</v>
      </c>
      <c r="BJ24" s="944"/>
      <c r="BK24" s="944"/>
      <c r="BL24" s="944"/>
      <c r="BM24" s="944"/>
      <c r="BN24" s="944"/>
      <c r="BO24" s="944"/>
      <c r="BP24" s="944"/>
      <c r="BQ24" s="944"/>
      <c r="BR24" s="944"/>
      <c r="BS24" s="944"/>
      <c r="BT24" s="944"/>
      <c r="BU24" s="944"/>
      <c r="BV24" s="945"/>
    </row>
    <row r="25" spans="1:74" ht="30" customHeight="1" x14ac:dyDescent="0.25">
      <c r="A25" s="200">
        <f t="shared" si="0"/>
        <v>11</v>
      </c>
      <c r="B25" s="294" t="s">
        <v>162</v>
      </c>
      <c r="C25" s="295"/>
      <c r="D25" s="936"/>
      <c r="E25" s="937"/>
      <c r="F25" s="937"/>
      <c r="G25" s="937"/>
      <c r="H25" s="937"/>
      <c r="I25" s="937"/>
      <c r="J25" s="937"/>
      <c r="K25" s="938"/>
      <c r="L25" s="932"/>
      <c r="M25" s="932"/>
      <c r="N25" s="932"/>
      <c r="O25" s="932"/>
      <c r="P25" s="931"/>
      <c r="Q25" s="931"/>
      <c r="R25" s="931"/>
      <c r="S25" s="931"/>
      <c r="T25" s="933"/>
      <c r="U25" s="934"/>
      <c r="V25" s="934"/>
      <c r="W25" s="935"/>
      <c r="X25" s="936"/>
      <c r="Y25" s="937"/>
      <c r="Z25" s="937"/>
      <c r="AA25" s="938"/>
      <c r="AB25" s="594"/>
      <c r="AC25" s="595"/>
      <c r="AD25" s="596"/>
      <c r="AE25" s="779"/>
      <c r="AF25" s="939"/>
      <c r="AG25" s="780"/>
      <c r="AH25" s="941"/>
      <c r="AI25" s="942"/>
      <c r="AJ25" s="943"/>
      <c r="AK25" s="745"/>
      <c r="AL25" s="940"/>
      <c r="AM25" s="746"/>
      <c r="AN25" s="281"/>
      <c r="AO25" s="282"/>
      <c r="AP25" s="281"/>
      <c r="AQ25" s="282"/>
      <c r="AR25" s="281"/>
      <c r="AS25" s="282"/>
      <c r="AT25" s="281"/>
      <c r="AU25" s="282"/>
      <c r="AV25" s="281"/>
      <c r="AW25" s="282"/>
      <c r="AX25" s="281"/>
      <c r="AY25" s="282"/>
      <c r="AZ25" s="329"/>
      <c r="BA25" s="331"/>
      <c r="BB25" s="328"/>
      <c r="BC25" s="331"/>
      <c r="BD25" s="328"/>
      <c r="BE25" s="331"/>
      <c r="BF25" s="328"/>
      <c r="BG25" s="331"/>
      <c r="BH25" s="328"/>
      <c r="BI25" s="944" t="s">
        <v>212</v>
      </c>
      <c r="BJ25" s="944"/>
      <c r="BK25" s="944"/>
      <c r="BL25" s="944"/>
      <c r="BM25" s="944"/>
      <c r="BN25" s="944"/>
      <c r="BO25" s="944"/>
      <c r="BP25" s="944"/>
      <c r="BQ25" s="944"/>
      <c r="BR25" s="944"/>
      <c r="BS25" s="944"/>
      <c r="BT25" s="944"/>
      <c r="BU25" s="944"/>
      <c r="BV25" s="945"/>
    </row>
    <row r="26" spans="1:74" ht="30" customHeight="1" x14ac:dyDescent="0.25">
      <c r="A26" s="200">
        <f t="shared" si="0"/>
        <v>12</v>
      </c>
      <c r="B26" s="294" t="s">
        <v>162</v>
      </c>
      <c r="C26" s="295"/>
      <c r="D26" s="936"/>
      <c r="E26" s="937"/>
      <c r="F26" s="937"/>
      <c r="G26" s="937"/>
      <c r="H26" s="937"/>
      <c r="I26" s="937"/>
      <c r="J26" s="937"/>
      <c r="K26" s="938"/>
      <c r="L26" s="932"/>
      <c r="M26" s="932"/>
      <c r="N26" s="932"/>
      <c r="O26" s="932"/>
      <c r="P26" s="931"/>
      <c r="Q26" s="931"/>
      <c r="R26" s="931"/>
      <c r="S26" s="931"/>
      <c r="T26" s="933"/>
      <c r="U26" s="934"/>
      <c r="V26" s="934"/>
      <c r="W26" s="935"/>
      <c r="X26" s="936"/>
      <c r="Y26" s="937"/>
      <c r="Z26" s="937"/>
      <c r="AA26" s="938"/>
      <c r="AB26" s="594"/>
      <c r="AC26" s="595"/>
      <c r="AD26" s="596"/>
      <c r="AE26" s="779"/>
      <c r="AF26" s="939"/>
      <c r="AG26" s="780"/>
      <c r="AH26" s="941"/>
      <c r="AI26" s="942"/>
      <c r="AJ26" s="943"/>
      <c r="AK26" s="745"/>
      <c r="AL26" s="940"/>
      <c r="AM26" s="746"/>
      <c r="AN26" s="281"/>
      <c r="AO26" s="282"/>
      <c r="AP26" s="281"/>
      <c r="AQ26" s="282"/>
      <c r="AR26" s="281"/>
      <c r="AS26" s="282"/>
      <c r="AT26" s="281"/>
      <c r="AU26" s="282"/>
      <c r="AV26" s="281"/>
      <c r="AW26" s="282"/>
      <c r="AX26" s="281"/>
      <c r="AY26" s="282"/>
      <c r="AZ26" s="329"/>
      <c r="BA26" s="331"/>
      <c r="BB26" s="328"/>
      <c r="BC26" s="331"/>
      <c r="BD26" s="328"/>
      <c r="BE26" s="331"/>
      <c r="BF26" s="328"/>
      <c r="BG26" s="331"/>
      <c r="BH26" s="328"/>
      <c r="BI26" s="944" t="s">
        <v>212</v>
      </c>
      <c r="BJ26" s="944"/>
      <c r="BK26" s="944"/>
      <c r="BL26" s="944"/>
      <c r="BM26" s="944"/>
      <c r="BN26" s="944"/>
      <c r="BO26" s="944"/>
      <c r="BP26" s="944"/>
      <c r="BQ26" s="944"/>
      <c r="BR26" s="944"/>
      <c r="BS26" s="944"/>
      <c r="BT26" s="944"/>
      <c r="BU26" s="944"/>
      <c r="BV26" s="945"/>
    </row>
    <row r="27" spans="1:74" ht="30" customHeight="1" x14ac:dyDescent="0.25">
      <c r="A27" s="200">
        <f t="shared" si="0"/>
        <v>13</v>
      </c>
      <c r="B27" s="294" t="s">
        <v>162</v>
      </c>
      <c r="C27" s="295"/>
      <c r="D27" s="936"/>
      <c r="E27" s="937"/>
      <c r="F27" s="937"/>
      <c r="G27" s="937"/>
      <c r="H27" s="937"/>
      <c r="I27" s="937"/>
      <c r="J27" s="937"/>
      <c r="K27" s="938"/>
      <c r="L27" s="932"/>
      <c r="M27" s="932"/>
      <c r="N27" s="932"/>
      <c r="O27" s="932"/>
      <c r="P27" s="931"/>
      <c r="Q27" s="931"/>
      <c r="R27" s="931"/>
      <c r="S27" s="931"/>
      <c r="T27" s="933"/>
      <c r="U27" s="934"/>
      <c r="V27" s="934"/>
      <c r="W27" s="935"/>
      <c r="X27" s="936"/>
      <c r="Y27" s="937"/>
      <c r="Z27" s="937"/>
      <c r="AA27" s="938"/>
      <c r="AB27" s="594"/>
      <c r="AC27" s="595"/>
      <c r="AD27" s="596"/>
      <c r="AE27" s="779"/>
      <c r="AF27" s="939"/>
      <c r="AG27" s="780"/>
      <c r="AH27" s="941"/>
      <c r="AI27" s="942"/>
      <c r="AJ27" s="943"/>
      <c r="AK27" s="745"/>
      <c r="AL27" s="940"/>
      <c r="AM27" s="746"/>
      <c r="AN27" s="281"/>
      <c r="AO27" s="282"/>
      <c r="AP27" s="281"/>
      <c r="AQ27" s="282"/>
      <c r="AR27" s="281"/>
      <c r="AS27" s="282"/>
      <c r="AT27" s="281"/>
      <c r="AU27" s="282"/>
      <c r="AV27" s="281"/>
      <c r="AW27" s="282"/>
      <c r="AX27" s="281"/>
      <c r="AY27" s="282"/>
      <c r="AZ27" s="329"/>
      <c r="BA27" s="331"/>
      <c r="BB27" s="328"/>
      <c r="BC27" s="331"/>
      <c r="BD27" s="328"/>
      <c r="BE27" s="331"/>
      <c r="BF27" s="328"/>
      <c r="BG27" s="331"/>
      <c r="BH27" s="328"/>
      <c r="BI27" s="944" t="s">
        <v>159</v>
      </c>
      <c r="BJ27" s="944"/>
      <c r="BK27" s="944"/>
      <c r="BL27" s="944"/>
      <c r="BM27" s="944"/>
      <c r="BN27" s="944"/>
      <c r="BO27" s="944"/>
      <c r="BP27" s="944"/>
      <c r="BQ27" s="944"/>
      <c r="BR27" s="944"/>
      <c r="BS27" s="944"/>
      <c r="BT27" s="944"/>
      <c r="BU27" s="944"/>
      <c r="BV27" s="945"/>
    </row>
    <row r="28" spans="1:74" ht="30" customHeight="1" x14ac:dyDescent="0.25">
      <c r="A28" s="200">
        <f t="shared" si="0"/>
        <v>14</v>
      </c>
      <c r="B28" s="294" t="s">
        <v>162</v>
      </c>
      <c r="C28" s="295"/>
      <c r="D28" s="936"/>
      <c r="E28" s="937"/>
      <c r="F28" s="937"/>
      <c r="G28" s="937"/>
      <c r="H28" s="937"/>
      <c r="I28" s="937"/>
      <c r="J28" s="937"/>
      <c r="K28" s="938"/>
      <c r="L28" s="932"/>
      <c r="M28" s="932"/>
      <c r="N28" s="932"/>
      <c r="O28" s="932"/>
      <c r="P28" s="931"/>
      <c r="Q28" s="931"/>
      <c r="R28" s="931"/>
      <c r="S28" s="931"/>
      <c r="T28" s="933"/>
      <c r="U28" s="934"/>
      <c r="V28" s="934"/>
      <c r="W28" s="935"/>
      <c r="X28" s="936"/>
      <c r="Y28" s="937"/>
      <c r="Z28" s="937"/>
      <c r="AA28" s="938"/>
      <c r="AB28" s="594"/>
      <c r="AC28" s="595"/>
      <c r="AD28" s="596"/>
      <c r="AE28" s="779"/>
      <c r="AF28" s="939"/>
      <c r="AG28" s="780"/>
      <c r="AH28" s="941"/>
      <c r="AI28" s="942"/>
      <c r="AJ28" s="943"/>
      <c r="AK28" s="745"/>
      <c r="AL28" s="940"/>
      <c r="AM28" s="746"/>
      <c r="AN28" s="281"/>
      <c r="AO28" s="282"/>
      <c r="AP28" s="281"/>
      <c r="AQ28" s="282"/>
      <c r="AR28" s="281"/>
      <c r="AS28" s="282"/>
      <c r="AT28" s="281"/>
      <c r="AU28" s="282"/>
      <c r="AV28" s="281"/>
      <c r="AW28" s="282"/>
      <c r="AX28" s="281"/>
      <c r="AY28" s="282"/>
      <c r="AZ28" s="329"/>
      <c r="BA28" s="331"/>
      <c r="BB28" s="328"/>
      <c r="BC28" s="331"/>
      <c r="BD28" s="328"/>
      <c r="BE28" s="331"/>
      <c r="BF28" s="328"/>
      <c r="BG28" s="331"/>
      <c r="BH28" s="328"/>
      <c r="BI28" s="944" t="s">
        <v>159</v>
      </c>
      <c r="BJ28" s="944"/>
      <c r="BK28" s="944"/>
      <c r="BL28" s="944"/>
      <c r="BM28" s="944"/>
      <c r="BN28" s="944"/>
      <c r="BO28" s="944"/>
      <c r="BP28" s="944"/>
      <c r="BQ28" s="944"/>
      <c r="BR28" s="944"/>
      <c r="BS28" s="944"/>
      <c r="BT28" s="944"/>
      <c r="BU28" s="944"/>
      <c r="BV28" s="945"/>
    </row>
    <row r="29" spans="1:74" ht="30" customHeight="1" x14ac:dyDescent="0.25">
      <c r="A29" s="232">
        <f t="shared" si="0"/>
        <v>15</v>
      </c>
      <c r="B29" s="294" t="s">
        <v>162</v>
      </c>
      <c r="C29" s="295"/>
      <c r="D29" s="936"/>
      <c r="E29" s="937"/>
      <c r="F29" s="937"/>
      <c r="G29" s="937"/>
      <c r="H29" s="937"/>
      <c r="I29" s="937"/>
      <c r="J29" s="937"/>
      <c r="K29" s="938"/>
      <c r="L29" s="932"/>
      <c r="M29" s="932"/>
      <c r="N29" s="932"/>
      <c r="O29" s="932"/>
      <c r="P29" s="931"/>
      <c r="Q29" s="931"/>
      <c r="R29" s="931"/>
      <c r="S29" s="931"/>
      <c r="T29" s="933"/>
      <c r="U29" s="934"/>
      <c r="V29" s="934"/>
      <c r="W29" s="935"/>
      <c r="X29" s="936"/>
      <c r="Y29" s="937"/>
      <c r="Z29" s="937"/>
      <c r="AA29" s="938"/>
      <c r="AB29" s="594"/>
      <c r="AC29" s="595"/>
      <c r="AD29" s="596"/>
      <c r="AE29" s="779"/>
      <c r="AF29" s="939"/>
      <c r="AG29" s="780"/>
      <c r="AH29" s="941"/>
      <c r="AI29" s="942"/>
      <c r="AJ29" s="943"/>
      <c r="AK29" s="745"/>
      <c r="AL29" s="940"/>
      <c r="AM29" s="746"/>
      <c r="AN29" s="281"/>
      <c r="AO29" s="282"/>
      <c r="AP29" s="281"/>
      <c r="AQ29" s="282"/>
      <c r="AR29" s="281"/>
      <c r="AS29" s="282"/>
      <c r="AT29" s="281"/>
      <c r="AU29" s="282"/>
      <c r="AV29" s="281"/>
      <c r="AW29" s="282"/>
      <c r="AX29" s="281"/>
      <c r="AY29" s="282"/>
      <c r="AZ29" s="329"/>
      <c r="BA29" s="331"/>
      <c r="BB29" s="328"/>
      <c r="BC29" s="331"/>
      <c r="BD29" s="328"/>
      <c r="BE29" s="331"/>
      <c r="BF29" s="328"/>
      <c r="BG29" s="331"/>
      <c r="BH29" s="328"/>
      <c r="BI29" s="944" t="s">
        <v>212</v>
      </c>
      <c r="BJ29" s="944"/>
      <c r="BK29" s="944"/>
      <c r="BL29" s="944"/>
      <c r="BM29" s="944"/>
      <c r="BN29" s="944"/>
      <c r="BO29" s="944"/>
      <c r="BP29" s="944"/>
      <c r="BQ29" s="944"/>
      <c r="BR29" s="944"/>
      <c r="BS29" s="944"/>
      <c r="BT29" s="944"/>
      <c r="BU29" s="944"/>
      <c r="BV29" s="945"/>
    </row>
    <row r="30" spans="1:74" ht="30" customHeight="1" x14ac:dyDescent="0.25">
      <c r="A30" s="200">
        <f t="shared" si="0"/>
        <v>16</v>
      </c>
      <c r="B30" s="294" t="s">
        <v>162</v>
      </c>
      <c r="C30" s="295"/>
      <c r="D30" s="936"/>
      <c r="E30" s="937"/>
      <c r="F30" s="937"/>
      <c r="G30" s="937"/>
      <c r="H30" s="937"/>
      <c r="I30" s="937"/>
      <c r="J30" s="937"/>
      <c r="K30" s="938"/>
      <c r="L30" s="932"/>
      <c r="M30" s="932"/>
      <c r="N30" s="932"/>
      <c r="O30" s="932"/>
      <c r="P30" s="931"/>
      <c r="Q30" s="931"/>
      <c r="R30" s="931"/>
      <c r="S30" s="931"/>
      <c r="T30" s="933"/>
      <c r="U30" s="934"/>
      <c r="V30" s="934"/>
      <c r="W30" s="935"/>
      <c r="X30" s="936"/>
      <c r="Y30" s="937"/>
      <c r="Z30" s="937"/>
      <c r="AA30" s="938"/>
      <c r="AB30" s="594"/>
      <c r="AC30" s="595"/>
      <c r="AD30" s="596"/>
      <c r="AE30" s="779"/>
      <c r="AF30" s="939"/>
      <c r="AG30" s="780"/>
      <c r="AH30" s="941"/>
      <c r="AI30" s="942"/>
      <c r="AJ30" s="943"/>
      <c r="AK30" s="745"/>
      <c r="AL30" s="940"/>
      <c r="AM30" s="746"/>
      <c r="AN30" s="281"/>
      <c r="AO30" s="282"/>
      <c r="AP30" s="281"/>
      <c r="AQ30" s="282"/>
      <c r="AR30" s="281"/>
      <c r="AS30" s="282"/>
      <c r="AT30" s="281"/>
      <c r="AU30" s="282"/>
      <c r="AV30" s="281"/>
      <c r="AW30" s="282"/>
      <c r="AX30" s="281"/>
      <c r="AY30" s="282"/>
      <c r="AZ30" s="329"/>
      <c r="BA30" s="331"/>
      <c r="BB30" s="328"/>
      <c r="BC30" s="331"/>
      <c r="BD30" s="328"/>
      <c r="BE30" s="331"/>
      <c r="BF30" s="328"/>
      <c r="BG30" s="331"/>
      <c r="BH30" s="328"/>
      <c r="BI30" s="944" t="s">
        <v>212</v>
      </c>
      <c r="BJ30" s="944"/>
      <c r="BK30" s="944"/>
      <c r="BL30" s="944"/>
      <c r="BM30" s="944"/>
      <c r="BN30" s="944"/>
      <c r="BO30" s="944"/>
      <c r="BP30" s="944"/>
      <c r="BQ30" s="944"/>
      <c r="BR30" s="944"/>
      <c r="BS30" s="944"/>
      <c r="BT30" s="944"/>
      <c r="BU30" s="944"/>
      <c r="BV30" s="945"/>
    </row>
    <row r="31" spans="1:74" ht="30" customHeight="1" x14ac:dyDescent="0.25">
      <c r="A31" s="200">
        <f t="shared" si="0"/>
        <v>17</v>
      </c>
      <c r="B31" s="294" t="s">
        <v>162</v>
      </c>
      <c r="C31" s="295"/>
      <c r="D31" s="936"/>
      <c r="E31" s="937"/>
      <c r="F31" s="937"/>
      <c r="G31" s="937"/>
      <c r="H31" s="937"/>
      <c r="I31" s="937"/>
      <c r="J31" s="937"/>
      <c r="K31" s="938"/>
      <c r="L31" s="932"/>
      <c r="M31" s="932"/>
      <c r="N31" s="932"/>
      <c r="O31" s="932"/>
      <c r="P31" s="931"/>
      <c r="Q31" s="931"/>
      <c r="R31" s="931"/>
      <c r="S31" s="931"/>
      <c r="T31" s="933"/>
      <c r="U31" s="934"/>
      <c r="V31" s="934"/>
      <c r="W31" s="935"/>
      <c r="X31" s="936"/>
      <c r="Y31" s="937"/>
      <c r="Z31" s="937"/>
      <c r="AA31" s="938"/>
      <c r="AB31" s="594"/>
      <c r="AC31" s="595"/>
      <c r="AD31" s="596"/>
      <c r="AE31" s="779"/>
      <c r="AF31" s="939"/>
      <c r="AG31" s="780"/>
      <c r="AH31" s="941"/>
      <c r="AI31" s="942"/>
      <c r="AJ31" s="943"/>
      <c r="AK31" s="745"/>
      <c r="AL31" s="940"/>
      <c r="AM31" s="746"/>
      <c r="AN31" s="281"/>
      <c r="AO31" s="282"/>
      <c r="AP31" s="281"/>
      <c r="AQ31" s="282"/>
      <c r="AR31" s="281"/>
      <c r="AS31" s="282"/>
      <c r="AT31" s="281"/>
      <c r="AU31" s="282"/>
      <c r="AV31" s="281"/>
      <c r="AW31" s="282"/>
      <c r="AX31" s="281"/>
      <c r="AY31" s="282"/>
      <c r="AZ31" s="329"/>
      <c r="BA31" s="331"/>
      <c r="BB31" s="328"/>
      <c r="BC31" s="331"/>
      <c r="BD31" s="328"/>
      <c r="BE31" s="331"/>
      <c r="BF31" s="328"/>
      <c r="BG31" s="331"/>
      <c r="BH31" s="328"/>
      <c r="BI31" s="944" t="s">
        <v>212</v>
      </c>
      <c r="BJ31" s="944"/>
      <c r="BK31" s="944"/>
      <c r="BL31" s="944"/>
      <c r="BM31" s="944"/>
      <c r="BN31" s="944"/>
      <c r="BO31" s="944"/>
      <c r="BP31" s="944"/>
      <c r="BQ31" s="944"/>
      <c r="BR31" s="944"/>
      <c r="BS31" s="944"/>
      <c r="BT31" s="944"/>
      <c r="BU31" s="944"/>
      <c r="BV31" s="945"/>
    </row>
    <row r="32" spans="1:74" ht="30" customHeight="1" x14ac:dyDescent="0.25">
      <c r="A32" s="200">
        <f t="shared" si="0"/>
        <v>18</v>
      </c>
      <c r="B32" s="294" t="s">
        <v>162</v>
      </c>
      <c r="C32" s="295"/>
      <c r="D32" s="936"/>
      <c r="E32" s="937"/>
      <c r="F32" s="937"/>
      <c r="G32" s="937"/>
      <c r="H32" s="937"/>
      <c r="I32" s="937"/>
      <c r="J32" s="937"/>
      <c r="K32" s="938"/>
      <c r="L32" s="932"/>
      <c r="M32" s="932"/>
      <c r="N32" s="932"/>
      <c r="O32" s="932"/>
      <c r="P32" s="931"/>
      <c r="Q32" s="931"/>
      <c r="R32" s="931"/>
      <c r="S32" s="931"/>
      <c r="T32" s="933"/>
      <c r="U32" s="934"/>
      <c r="V32" s="934"/>
      <c r="W32" s="935"/>
      <c r="X32" s="936"/>
      <c r="Y32" s="937"/>
      <c r="Z32" s="937"/>
      <c r="AA32" s="938"/>
      <c r="AB32" s="594"/>
      <c r="AC32" s="595"/>
      <c r="AD32" s="596"/>
      <c r="AE32" s="779"/>
      <c r="AF32" s="939"/>
      <c r="AG32" s="780"/>
      <c r="AH32" s="941"/>
      <c r="AI32" s="942"/>
      <c r="AJ32" s="943"/>
      <c r="AK32" s="745"/>
      <c r="AL32" s="940"/>
      <c r="AM32" s="746"/>
      <c r="AN32" s="281"/>
      <c r="AO32" s="282"/>
      <c r="AP32" s="281"/>
      <c r="AQ32" s="282"/>
      <c r="AR32" s="281"/>
      <c r="AS32" s="282"/>
      <c r="AT32" s="281"/>
      <c r="AU32" s="282"/>
      <c r="AV32" s="281"/>
      <c r="AW32" s="282"/>
      <c r="AX32" s="281"/>
      <c r="AY32" s="282"/>
      <c r="AZ32" s="329"/>
      <c r="BA32" s="331"/>
      <c r="BB32" s="328"/>
      <c r="BC32" s="331"/>
      <c r="BD32" s="328"/>
      <c r="BE32" s="331"/>
      <c r="BF32" s="328"/>
      <c r="BG32" s="331"/>
      <c r="BH32" s="328"/>
      <c r="BI32" s="944" t="s">
        <v>212</v>
      </c>
      <c r="BJ32" s="944"/>
      <c r="BK32" s="944"/>
      <c r="BL32" s="944"/>
      <c r="BM32" s="944"/>
      <c r="BN32" s="944"/>
      <c r="BO32" s="944"/>
      <c r="BP32" s="944"/>
      <c r="BQ32" s="944"/>
      <c r="BR32" s="944"/>
      <c r="BS32" s="944"/>
      <c r="BT32" s="944"/>
      <c r="BU32" s="944"/>
      <c r="BV32" s="945"/>
    </row>
    <row r="33" spans="1:74" ht="30" customHeight="1" x14ac:dyDescent="0.25">
      <c r="A33" s="200">
        <f t="shared" si="0"/>
        <v>19</v>
      </c>
      <c r="B33" s="294" t="s">
        <v>162</v>
      </c>
      <c r="C33" s="295"/>
      <c r="D33" s="936"/>
      <c r="E33" s="937"/>
      <c r="F33" s="937"/>
      <c r="G33" s="937"/>
      <c r="H33" s="937"/>
      <c r="I33" s="937"/>
      <c r="J33" s="937"/>
      <c r="K33" s="938"/>
      <c r="L33" s="932"/>
      <c r="M33" s="932"/>
      <c r="N33" s="932"/>
      <c r="O33" s="932"/>
      <c r="P33" s="931"/>
      <c r="Q33" s="931"/>
      <c r="R33" s="931"/>
      <c r="S33" s="931"/>
      <c r="T33" s="933"/>
      <c r="U33" s="934"/>
      <c r="V33" s="934"/>
      <c r="W33" s="935"/>
      <c r="X33" s="936"/>
      <c r="Y33" s="937"/>
      <c r="Z33" s="937"/>
      <c r="AA33" s="938"/>
      <c r="AB33" s="594"/>
      <c r="AC33" s="595"/>
      <c r="AD33" s="596"/>
      <c r="AE33" s="779"/>
      <c r="AF33" s="939"/>
      <c r="AG33" s="780"/>
      <c r="AH33" s="941"/>
      <c r="AI33" s="942"/>
      <c r="AJ33" s="943"/>
      <c r="AK33" s="745"/>
      <c r="AL33" s="940"/>
      <c r="AM33" s="746"/>
      <c r="AN33" s="281"/>
      <c r="AO33" s="282"/>
      <c r="AP33" s="281"/>
      <c r="AQ33" s="282"/>
      <c r="AR33" s="281"/>
      <c r="AS33" s="282"/>
      <c r="AT33" s="281"/>
      <c r="AU33" s="282"/>
      <c r="AV33" s="281"/>
      <c r="AW33" s="282"/>
      <c r="AX33" s="281"/>
      <c r="AY33" s="282"/>
      <c r="AZ33" s="329"/>
      <c r="BA33" s="331"/>
      <c r="BB33" s="328"/>
      <c r="BC33" s="331"/>
      <c r="BD33" s="328"/>
      <c r="BE33" s="331"/>
      <c r="BF33" s="328"/>
      <c r="BG33" s="331"/>
      <c r="BH33" s="328"/>
      <c r="BI33" s="944" t="s">
        <v>212</v>
      </c>
      <c r="BJ33" s="944"/>
      <c r="BK33" s="944"/>
      <c r="BL33" s="944"/>
      <c r="BM33" s="944"/>
      <c r="BN33" s="944"/>
      <c r="BO33" s="944"/>
      <c r="BP33" s="944"/>
      <c r="BQ33" s="944"/>
      <c r="BR33" s="944"/>
      <c r="BS33" s="944"/>
      <c r="BT33" s="944"/>
      <c r="BU33" s="944"/>
      <c r="BV33" s="945"/>
    </row>
    <row r="34" spans="1:74" ht="30" customHeight="1" x14ac:dyDescent="0.25">
      <c r="A34" s="200">
        <f t="shared" si="0"/>
        <v>20</v>
      </c>
      <c r="B34" s="294" t="s">
        <v>162</v>
      </c>
      <c r="C34" s="295"/>
      <c r="D34" s="936"/>
      <c r="E34" s="937"/>
      <c r="F34" s="937"/>
      <c r="G34" s="937"/>
      <c r="H34" s="937"/>
      <c r="I34" s="937"/>
      <c r="J34" s="937"/>
      <c r="K34" s="938"/>
      <c r="L34" s="932"/>
      <c r="M34" s="932"/>
      <c r="N34" s="932"/>
      <c r="O34" s="932"/>
      <c r="P34" s="931"/>
      <c r="Q34" s="931"/>
      <c r="R34" s="931"/>
      <c r="S34" s="931"/>
      <c r="T34" s="933"/>
      <c r="U34" s="934"/>
      <c r="V34" s="934"/>
      <c r="W34" s="935"/>
      <c r="X34" s="936"/>
      <c r="Y34" s="937"/>
      <c r="Z34" s="937"/>
      <c r="AA34" s="938"/>
      <c r="AB34" s="594"/>
      <c r="AC34" s="595"/>
      <c r="AD34" s="596"/>
      <c r="AE34" s="779"/>
      <c r="AF34" s="939"/>
      <c r="AG34" s="780"/>
      <c r="AH34" s="941"/>
      <c r="AI34" s="942"/>
      <c r="AJ34" s="943"/>
      <c r="AK34" s="745"/>
      <c r="AL34" s="940"/>
      <c r="AM34" s="746"/>
      <c r="AN34" s="281"/>
      <c r="AO34" s="282"/>
      <c r="AP34" s="281"/>
      <c r="AQ34" s="282"/>
      <c r="AR34" s="281"/>
      <c r="AS34" s="282"/>
      <c r="AT34" s="281"/>
      <c r="AU34" s="282"/>
      <c r="AV34" s="281"/>
      <c r="AW34" s="282"/>
      <c r="AX34" s="281"/>
      <c r="AY34" s="282"/>
      <c r="AZ34" s="329"/>
      <c r="BA34" s="331"/>
      <c r="BB34" s="328"/>
      <c r="BC34" s="331"/>
      <c r="BD34" s="328"/>
      <c r="BE34" s="331"/>
      <c r="BF34" s="328"/>
      <c r="BG34" s="331"/>
      <c r="BH34" s="328"/>
      <c r="BI34" s="944" t="s">
        <v>159</v>
      </c>
      <c r="BJ34" s="944"/>
      <c r="BK34" s="944"/>
      <c r="BL34" s="944"/>
      <c r="BM34" s="944"/>
      <c r="BN34" s="944"/>
      <c r="BO34" s="944"/>
      <c r="BP34" s="944"/>
      <c r="BQ34" s="944"/>
      <c r="BR34" s="944"/>
      <c r="BS34" s="944"/>
      <c r="BT34" s="944"/>
      <c r="BU34" s="944"/>
      <c r="BV34" s="945"/>
    </row>
    <row r="35" spans="1:74" ht="30" customHeight="1" x14ac:dyDescent="0.25">
      <c r="A35" s="200">
        <f t="shared" si="0"/>
        <v>21</v>
      </c>
      <c r="B35" s="294" t="s">
        <v>162</v>
      </c>
      <c r="C35" s="295"/>
      <c r="D35" s="936"/>
      <c r="E35" s="937"/>
      <c r="F35" s="937"/>
      <c r="G35" s="937"/>
      <c r="H35" s="937"/>
      <c r="I35" s="937"/>
      <c r="J35" s="937"/>
      <c r="K35" s="938"/>
      <c r="L35" s="932"/>
      <c r="M35" s="932"/>
      <c r="N35" s="932"/>
      <c r="O35" s="932"/>
      <c r="P35" s="931"/>
      <c r="Q35" s="931"/>
      <c r="R35" s="931"/>
      <c r="S35" s="931"/>
      <c r="T35" s="933"/>
      <c r="U35" s="934"/>
      <c r="V35" s="934"/>
      <c r="W35" s="935"/>
      <c r="X35" s="936"/>
      <c r="Y35" s="937"/>
      <c r="Z35" s="937"/>
      <c r="AA35" s="938"/>
      <c r="AB35" s="594"/>
      <c r="AC35" s="595"/>
      <c r="AD35" s="596"/>
      <c r="AE35" s="779"/>
      <c r="AF35" s="939"/>
      <c r="AG35" s="780"/>
      <c r="AH35" s="941"/>
      <c r="AI35" s="942"/>
      <c r="AJ35" s="943"/>
      <c r="AK35" s="745"/>
      <c r="AL35" s="940"/>
      <c r="AM35" s="746"/>
      <c r="AN35" s="281"/>
      <c r="AO35" s="282"/>
      <c r="AP35" s="281"/>
      <c r="AQ35" s="282"/>
      <c r="AR35" s="281"/>
      <c r="AS35" s="282"/>
      <c r="AT35" s="281"/>
      <c r="AU35" s="282"/>
      <c r="AV35" s="281"/>
      <c r="AW35" s="282"/>
      <c r="AX35" s="281"/>
      <c r="AY35" s="282"/>
      <c r="AZ35" s="329"/>
      <c r="BA35" s="331"/>
      <c r="BB35" s="328"/>
      <c r="BC35" s="331"/>
      <c r="BD35" s="328"/>
      <c r="BE35" s="331"/>
      <c r="BF35" s="328"/>
      <c r="BG35" s="331"/>
      <c r="BH35" s="328"/>
      <c r="BI35" s="944" t="s">
        <v>159</v>
      </c>
      <c r="BJ35" s="944"/>
      <c r="BK35" s="944"/>
      <c r="BL35" s="944"/>
      <c r="BM35" s="944"/>
      <c r="BN35" s="944"/>
      <c r="BO35" s="944"/>
      <c r="BP35" s="944"/>
      <c r="BQ35" s="944"/>
      <c r="BR35" s="944"/>
      <c r="BS35" s="944"/>
      <c r="BT35" s="944"/>
      <c r="BU35" s="944"/>
      <c r="BV35" s="945"/>
    </row>
    <row r="36" spans="1:74" ht="30" customHeight="1" x14ac:dyDescent="0.25">
      <c r="A36" s="232">
        <f t="shared" si="0"/>
        <v>22</v>
      </c>
      <c r="B36" s="294" t="s">
        <v>162</v>
      </c>
      <c r="C36" s="295"/>
      <c r="D36" s="936"/>
      <c r="E36" s="937"/>
      <c r="F36" s="937"/>
      <c r="G36" s="937"/>
      <c r="H36" s="937"/>
      <c r="I36" s="937"/>
      <c r="J36" s="937"/>
      <c r="K36" s="938"/>
      <c r="L36" s="932"/>
      <c r="M36" s="932"/>
      <c r="N36" s="932"/>
      <c r="O36" s="932"/>
      <c r="P36" s="931"/>
      <c r="Q36" s="931"/>
      <c r="R36" s="931"/>
      <c r="S36" s="931"/>
      <c r="T36" s="933"/>
      <c r="U36" s="934"/>
      <c r="V36" s="934"/>
      <c r="W36" s="935"/>
      <c r="X36" s="936"/>
      <c r="Y36" s="937"/>
      <c r="Z36" s="937"/>
      <c r="AA36" s="938"/>
      <c r="AB36" s="594"/>
      <c r="AC36" s="595"/>
      <c r="AD36" s="596"/>
      <c r="AE36" s="779"/>
      <c r="AF36" s="939"/>
      <c r="AG36" s="780"/>
      <c r="AH36" s="941"/>
      <c r="AI36" s="942"/>
      <c r="AJ36" s="943"/>
      <c r="AK36" s="745"/>
      <c r="AL36" s="940"/>
      <c r="AM36" s="746"/>
      <c r="AN36" s="281"/>
      <c r="AO36" s="282"/>
      <c r="AP36" s="281"/>
      <c r="AQ36" s="282"/>
      <c r="AR36" s="281"/>
      <c r="AS36" s="282"/>
      <c r="AT36" s="281"/>
      <c r="AU36" s="282"/>
      <c r="AV36" s="281"/>
      <c r="AW36" s="282"/>
      <c r="AX36" s="281"/>
      <c r="AY36" s="282"/>
      <c r="AZ36" s="329"/>
      <c r="BA36" s="331"/>
      <c r="BB36" s="328"/>
      <c r="BC36" s="331"/>
      <c r="BD36" s="328"/>
      <c r="BE36" s="331"/>
      <c r="BF36" s="328"/>
      <c r="BG36" s="331"/>
      <c r="BH36" s="328"/>
      <c r="BI36" s="944" t="s">
        <v>212</v>
      </c>
      <c r="BJ36" s="944"/>
      <c r="BK36" s="944"/>
      <c r="BL36" s="944"/>
      <c r="BM36" s="944"/>
      <c r="BN36" s="944"/>
      <c r="BO36" s="944"/>
      <c r="BP36" s="944"/>
      <c r="BQ36" s="944"/>
      <c r="BR36" s="944"/>
      <c r="BS36" s="944"/>
      <c r="BT36" s="944"/>
      <c r="BU36" s="944"/>
      <c r="BV36" s="945"/>
    </row>
    <row r="37" spans="1:74" ht="30" customHeight="1" x14ac:dyDescent="0.25">
      <c r="A37" s="200">
        <f t="shared" si="0"/>
        <v>23</v>
      </c>
      <c r="B37" s="294" t="s">
        <v>162</v>
      </c>
      <c r="C37" s="295"/>
      <c r="D37" s="936"/>
      <c r="E37" s="937"/>
      <c r="F37" s="937"/>
      <c r="G37" s="937"/>
      <c r="H37" s="937"/>
      <c r="I37" s="937"/>
      <c r="J37" s="937"/>
      <c r="K37" s="938"/>
      <c r="L37" s="932"/>
      <c r="M37" s="932"/>
      <c r="N37" s="932"/>
      <c r="O37" s="932"/>
      <c r="P37" s="931"/>
      <c r="Q37" s="931"/>
      <c r="R37" s="931"/>
      <c r="S37" s="931"/>
      <c r="T37" s="933"/>
      <c r="U37" s="934"/>
      <c r="V37" s="934"/>
      <c r="W37" s="935"/>
      <c r="X37" s="936"/>
      <c r="Y37" s="937"/>
      <c r="Z37" s="937"/>
      <c r="AA37" s="938"/>
      <c r="AB37" s="594"/>
      <c r="AC37" s="595"/>
      <c r="AD37" s="596"/>
      <c r="AE37" s="779"/>
      <c r="AF37" s="939"/>
      <c r="AG37" s="780"/>
      <c r="AH37" s="941"/>
      <c r="AI37" s="942"/>
      <c r="AJ37" s="943"/>
      <c r="AK37" s="745"/>
      <c r="AL37" s="940"/>
      <c r="AM37" s="746"/>
      <c r="AN37" s="281"/>
      <c r="AO37" s="282"/>
      <c r="AP37" s="281"/>
      <c r="AQ37" s="282"/>
      <c r="AR37" s="281"/>
      <c r="AS37" s="282"/>
      <c r="AT37" s="281"/>
      <c r="AU37" s="282"/>
      <c r="AV37" s="281"/>
      <c r="AW37" s="282"/>
      <c r="AX37" s="281"/>
      <c r="AY37" s="282"/>
      <c r="AZ37" s="329"/>
      <c r="BA37" s="331"/>
      <c r="BB37" s="328"/>
      <c r="BC37" s="331"/>
      <c r="BD37" s="328"/>
      <c r="BE37" s="331"/>
      <c r="BF37" s="328"/>
      <c r="BG37" s="331"/>
      <c r="BH37" s="328"/>
      <c r="BI37" s="944" t="s">
        <v>212</v>
      </c>
      <c r="BJ37" s="944"/>
      <c r="BK37" s="944"/>
      <c r="BL37" s="944"/>
      <c r="BM37" s="944"/>
      <c r="BN37" s="944"/>
      <c r="BO37" s="944"/>
      <c r="BP37" s="944"/>
      <c r="BQ37" s="944"/>
      <c r="BR37" s="944"/>
      <c r="BS37" s="944"/>
      <c r="BT37" s="944"/>
      <c r="BU37" s="944"/>
      <c r="BV37" s="945"/>
    </row>
    <row r="38" spans="1:74" ht="30" customHeight="1" x14ac:dyDescent="0.25">
      <c r="A38" s="200">
        <f t="shared" si="0"/>
        <v>24</v>
      </c>
      <c r="B38" s="294" t="s">
        <v>162</v>
      </c>
      <c r="C38" s="295"/>
      <c r="D38" s="936"/>
      <c r="E38" s="937"/>
      <c r="F38" s="937"/>
      <c r="G38" s="937"/>
      <c r="H38" s="937"/>
      <c r="I38" s="937"/>
      <c r="J38" s="937"/>
      <c r="K38" s="938"/>
      <c r="L38" s="932"/>
      <c r="M38" s="932"/>
      <c r="N38" s="932"/>
      <c r="O38" s="932"/>
      <c r="P38" s="931"/>
      <c r="Q38" s="931"/>
      <c r="R38" s="931"/>
      <c r="S38" s="931"/>
      <c r="T38" s="933"/>
      <c r="U38" s="934"/>
      <c r="V38" s="934"/>
      <c r="W38" s="935"/>
      <c r="X38" s="936"/>
      <c r="Y38" s="937"/>
      <c r="Z38" s="937"/>
      <c r="AA38" s="938"/>
      <c r="AB38" s="594"/>
      <c r="AC38" s="595"/>
      <c r="AD38" s="596"/>
      <c r="AE38" s="779"/>
      <c r="AF38" s="939"/>
      <c r="AG38" s="780"/>
      <c r="AH38" s="941"/>
      <c r="AI38" s="942"/>
      <c r="AJ38" s="943"/>
      <c r="AK38" s="745"/>
      <c r="AL38" s="940"/>
      <c r="AM38" s="746"/>
      <c r="AN38" s="281"/>
      <c r="AO38" s="282"/>
      <c r="AP38" s="281"/>
      <c r="AQ38" s="282"/>
      <c r="AR38" s="281"/>
      <c r="AS38" s="282"/>
      <c r="AT38" s="281"/>
      <c r="AU38" s="282"/>
      <c r="AV38" s="281"/>
      <c r="AW38" s="282"/>
      <c r="AX38" s="281"/>
      <c r="AY38" s="282"/>
      <c r="AZ38" s="329"/>
      <c r="BA38" s="331"/>
      <c r="BB38" s="328"/>
      <c r="BC38" s="331"/>
      <c r="BD38" s="328"/>
      <c r="BE38" s="331"/>
      <c r="BF38" s="328"/>
      <c r="BG38" s="331"/>
      <c r="BH38" s="328"/>
      <c r="BI38" s="944" t="s">
        <v>212</v>
      </c>
      <c r="BJ38" s="944"/>
      <c r="BK38" s="944"/>
      <c r="BL38" s="944"/>
      <c r="BM38" s="944"/>
      <c r="BN38" s="944"/>
      <c r="BO38" s="944"/>
      <c r="BP38" s="944"/>
      <c r="BQ38" s="944"/>
      <c r="BR38" s="944"/>
      <c r="BS38" s="944"/>
      <c r="BT38" s="944"/>
      <c r="BU38" s="944"/>
      <c r="BV38" s="945"/>
    </row>
    <row r="39" spans="1:74" ht="30" customHeight="1" x14ac:dyDescent="0.25">
      <c r="A39" s="200">
        <f t="shared" si="0"/>
        <v>25</v>
      </c>
      <c r="B39" s="294" t="s">
        <v>162</v>
      </c>
      <c r="C39" s="295"/>
      <c r="D39" s="936"/>
      <c r="E39" s="937"/>
      <c r="F39" s="937"/>
      <c r="G39" s="937"/>
      <c r="H39" s="937"/>
      <c r="I39" s="937"/>
      <c r="J39" s="937"/>
      <c r="K39" s="938"/>
      <c r="L39" s="932"/>
      <c r="M39" s="932"/>
      <c r="N39" s="932"/>
      <c r="O39" s="932"/>
      <c r="P39" s="931"/>
      <c r="Q39" s="931"/>
      <c r="R39" s="931"/>
      <c r="S39" s="931"/>
      <c r="T39" s="933"/>
      <c r="U39" s="934"/>
      <c r="V39" s="934"/>
      <c r="W39" s="935"/>
      <c r="X39" s="936"/>
      <c r="Y39" s="937"/>
      <c r="Z39" s="937"/>
      <c r="AA39" s="938"/>
      <c r="AB39" s="594"/>
      <c r="AC39" s="595"/>
      <c r="AD39" s="596"/>
      <c r="AE39" s="779"/>
      <c r="AF39" s="939"/>
      <c r="AG39" s="780"/>
      <c r="AH39" s="941"/>
      <c r="AI39" s="942"/>
      <c r="AJ39" s="943"/>
      <c r="AK39" s="745"/>
      <c r="AL39" s="940"/>
      <c r="AM39" s="746"/>
      <c r="AN39" s="281"/>
      <c r="AO39" s="282"/>
      <c r="AP39" s="281"/>
      <c r="AQ39" s="282"/>
      <c r="AR39" s="281"/>
      <c r="AS39" s="282"/>
      <c r="AT39" s="281"/>
      <c r="AU39" s="282"/>
      <c r="AV39" s="281"/>
      <c r="AW39" s="282"/>
      <c r="AX39" s="281"/>
      <c r="AY39" s="282"/>
      <c r="AZ39" s="329"/>
      <c r="BA39" s="331"/>
      <c r="BB39" s="328"/>
      <c r="BC39" s="331"/>
      <c r="BD39" s="328"/>
      <c r="BE39" s="331"/>
      <c r="BF39" s="328"/>
      <c r="BG39" s="331"/>
      <c r="BH39" s="328"/>
      <c r="BI39" s="944" t="s">
        <v>212</v>
      </c>
      <c r="BJ39" s="944"/>
      <c r="BK39" s="944"/>
      <c r="BL39" s="944"/>
      <c r="BM39" s="944"/>
      <c r="BN39" s="944"/>
      <c r="BO39" s="944"/>
      <c r="BP39" s="944"/>
      <c r="BQ39" s="944"/>
      <c r="BR39" s="944"/>
      <c r="BS39" s="944"/>
      <c r="BT39" s="944"/>
      <c r="BU39" s="944"/>
      <c r="BV39" s="945"/>
    </row>
    <row r="40" spans="1:74" ht="30" customHeight="1" x14ac:dyDescent="0.25">
      <c r="A40" s="200">
        <f t="shared" si="0"/>
        <v>26</v>
      </c>
      <c r="B40" s="294" t="s">
        <v>162</v>
      </c>
      <c r="C40" s="295"/>
      <c r="D40" s="936"/>
      <c r="E40" s="937"/>
      <c r="F40" s="937"/>
      <c r="G40" s="937"/>
      <c r="H40" s="937"/>
      <c r="I40" s="937"/>
      <c r="J40" s="937"/>
      <c r="K40" s="938"/>
      <c r="L40" s="932"/>
      <c r="M40" s="932"/>
      <c r="N40" s="932"/>
      <c r="O40" s="932"/>
      <c r="P40" s="931"/>
      <c r="Q40" s="931"/>
      <c r="R40" s="931"/>
      <c r="S40" s="931"/>
      <c r="T40" s="933"/>
      <c r="U40" s="934"/>
      <c r="V40" s="934"/>
      <c r="W40" s="935"/>
      <c r="X40" s="936"/>
      <c r="Y40" s="937"/>
      <c r="Z40" s="937"/>
      <c r="AA40" s="938"/>
      <c r="AB40" s="594"/>
      <c r="AC40" s="595"/>
      <c r="AD40" s="596"/>
      <c r="AE40" s="779"/>
      <c r="AF40" s="939"/>
      <c r="AG40" s="780"/>
      <c r="AH40" s="941"/>
      <c r="AI40" s="942"/>
      <c r="AJ40" s="943"/>
      <c r="AK40" s="745"/>
      <c r="AL40" s="940"/>
      <c r="AM40" s="746"/>
      <c r="AN40" s="281"/>
      <c r="AO40" s="282"/>
      <c r="AP40" s="281"/>
      <c r="AQ40" s="282"/>
      <c r="AR40" s="281"/>
      <c r="AS40" s="282"/>
      <c r="AT40" s="281"/>
      <c r="AU40" s="282"/>
      <c r="AV40" s="281"/>
      <c r="AW40" s="282"/>
      <c r="AX40" s="281"/>
      <c r="AY40" s="282"/>
      <c r="AZ40" s="329"/>
      <c r="BA40" s="331"/>
      <c r="BB40" s="328"/>
      <c r="BC40" s="331"/>
      <c r="BD40" s="328"/>
      <c r="BE40" s="331"/>
      <c r="BF40" s="328"/>
      <c r="BG40" s="331"/>
      <c r="BH40" s="328"/>
      <c r="BI40" s="944" t="s">
        <v>212</v>
      </c>
      <c r="BJ40" s="944"/>
      <c r="BK40" s="944"/>
      <c r="BL40" s="944"/>
      <c r="BM40" s="944"/>
      <c r="BN40" s="944"/>
      <c r="BO40" s="944"/>
      <c r="BP40" s="944"/>
      <c r="BQ40" s="944"/>
      <c r="BR40" s="944"/>
      <c r="BS40" s="944"/>
      <c r="BT40" s="944"/>
      <c r="BU40" s="944"/>
      <c r="BV40" s="945"/>
    </row>
    <row r="41" spans="1:74" ht="30" customHeight="1" x14ac:dyDescent="0.25">
      <c r="A41" s="200">
        <f t="shared" si="0"/>
        <v>27</v>
      </c>
      <c r="B41" s="294" t="s">
        <v>162</v>
      </c>
      <c r="C41" s="295"/>
      <c r="D41" s="936"/>
      <c r="E41" s="937"/>
      <c r="F41" s="937"/>
      <c r="G41" s="937"/>
      <c r="H41" s="937"/>
      <c r="I41" s="937"/>
      <c r="J41" s="937"/>
      <c r="K41" s="938"/>
      <c r="L41" s="932"/>
      <c r="M41" s="932"/>
      <c r="N41" s="932"/>
      <c r="O41" s="932"/>
      <c r="P41" s="931"/>
      <c r="Q41" s="931"/>
      <c r="R41" s="931"/>
      <c r="S41" s="931"/>
      <c r="T41" s="933"/>
      <c r="U41" s="934"/>
      <c r="V41" s="934"/>
      <c r="W41" s="935"/>
      <c r="X41" s="936"/>
      <c r="Y41" s="937"/>
      <c r="Z41" s="937"/>
      <c r="AA41" s="938"/>
      <c r="AB41" s="594"/>
      <c r="AC41" s="595"/>
      <c r="AD41" s="596"/>
      <c r="AE41" s="779"/>
      <c r="AF41" s="939"/>
      <c r="AG41" s="780"/>
      <c r="AH41" s="941"/>
      <c r="AI41" s="942"/>
      <c r="AJ41" s="943"/>
      <c r="AK41" s="745"/>
      <c r="AL41" s="940"/>
      <c r="AM41" s="746"/>
      <c r="AN41" s="281"/>
      <c r="AO41" s="282"/>
      <c r="AP41" s="281"/>
      <c r="AQ41" s="282"/>
      <c r="AR41" s="281"/>
      <c r="AS41" s="282"/>
      <c r="AT41" s="281"/>
      <c r="AU41" s="282"/>
      <c r="AV41" s="281"/>
      <c r="AW41" s="282"/>
      <c r="AX41" s="281"/>
      <c r="AY41" s="282"/>
      <c r="AZ41" s="329"/>
      <c r="BA41" s="331"/>
      <c r="BB41" s="328"/>
      <c r="BC41" s="331"/>
      <c r="BD41" s="328"/>
      <c r="BE41" s="331"/>
      <c r="BF41" s="328"/>
      <c r="BG41" s="331"/>
      <c r="BH41" s="328"/>
      <c r="BI41" s="944" t="s">
        <v>159</v>
      </c>
      <c r="BJ41" s="944"/>
      <c r="BK41" s="944"/>
      <c r="BL41" s="944"/>
      <c r="BM41" s="944"/>
      <c r="BN41" s="944"/>
      <c r="BO41" s="944"/>
      <c r="BP41" s="944"/>
      <c r="BQ41" s="944"/>
      <c r="BR41" s="944"/>
      <c r="BS41" s="944"/>
      <c r="BT41" s="944"/>
      <c r="BU41" s="944"/>
      <c r="BV41" s="945"/>
    </row>
    <row r="42" spans="1:74" ht="30" customHeight="1" x14ac:dyDescent="0.25">
      <c r="A42" s="200">
        <f t="shared" si="0"/>
        <v>28</v>
      </c>
      <c r="B42" s="294" t="s">
        <v>162</v>
      </c>
      <c r="C42" s="295"/>
      <c r="D42" s="936"/>
      <c r="E42" s="937"/>
      <c r="F42" s="937"/>
      <c r="G42" s="937"/>
      <c r="H42" s="937"/>
      <c r="I42" s="937"/>
      <c r="J42" s="937"/>
      <c r="K42" s="938"/>
      <c r="L42" s="932"/>
      <c r="M42" s="932"/>
      <c r="N42" s="932"/>
      <c r="O42" s="932"/>
      <c r="P42" s="931"/>
      <c r="Q42" s="931"/>
      <c r="R42" s="931"/>
      <c r="S42" s="931"/>
      <c r="T42" s="933"/>
      <c r="U42" s="934"/>
      <c r="V42" s="934"/>
      <c r="W42" s="935"/>
      <c r="X42" s="936"/>
      <c r="Y42" s="937"/>
      <c r="Z42" s="937"/>
      <c r="AA42" s="938"/>
      <c r="AB42" s="594"/>
      <c r="AC42" s="595"/>
      <c r="AD42" s="596"/>
      <c r="AE42" s="779"/>
      <c r="AF42" s="939"/>
      <c r="AG42" s="780"/>
      <c r="AH42" s="941"/>
      <c r="AI42" s="942"/>
      <c r="AJ42" s="943"/>
      <c r="AK42" s="745"/>
      <c r="AL42" s="940"/>
      <c r="AM42" s="746"/>
      <c r="AN42" s="281"/>
      <c r="AO42" s="282"/>
      <c r="AP42" s="281"/>
      <c r="AQ42" s="282"/>
      <c r="AR42" s="281"/>
      <c r="AS42" s="282"/>
      <c r="AT42" s="281"/>
      <c r="AU42" s="282"/>
      <c r="AV42" s="281"/>
      <c r="AW42" s="282"/>
      <c r="AX42" s="281"/>
      <c r="AY42" s="282"/>
      <c r="AZ42" s="329"/>
      <c r="BA42" s="331"/>
      <c r="BB42" s="328"/>
      <c r="BC42" s="331"/>
      <c r="BD42" s="328"/>
      <c r="BE42" s="331"/>
      <c r="BF42" s="328"/>
      <c r="BG42" s="331"/>
      <c r="BH42" s="328"/>
      <c r="BI42" s="944" t="s">
        <v>159</v>
      </c>
      <c r="BJ42" s="944"/>
      <c r="BK42" s="944"/>
      <c r="BL42" s="944"/>
      <c r="BM42" s="944"/>
      <c r="BN42" s="944"/>
      <c r="BO42" s="944"/>
      <c r="BP42" s="944"/>
      <c r="BQ42" s="944"/>
      <c r="BR42" s="944"/>
      <c r="BS42" s="944"/>
      <c r="BT42" s="944"/>
      <c r="BU42" s="944"/>
      <c r="BV42" s="945"/>
    </row>
    <row r="43" spans="1:74" ht="30" customHeight="1" x14ac:dyDescent="0.25">
      <c r="A43" s="232">
        <f t="shared" si="0"/>
        <v>29</v>
      </c>
      <c r="B43" s="294" t="s">
        <v>162</v>
      </c>
      <c r="C43" s="295"/>
      <c r="D43" s="936"/>
      <c r="E43" s="937"/>
      <c r="F43" s="937"/>
      <c r="G43" s="937"/>
      <c r="H43" s="937"/>
      <c r="I43" s="937"/>
      <c r="J43" s="937"/>
      <c r="K43" s="938"/>
      <c r="L43" s="932"/>
      <c r="M43" s="932"/>
      <c r="N43" s="932"/>
      <c r="O43" s="932"/>
      <c r="P43" s="931"/>
      <c r="Q43" s="931"/>
      <c r="R43" s="931"/>
      <c r="S43" s="931"/>
      <c r="T43" s="933"/>
      <c r="U43" s="934"/>
      <c r="V43" s="934"/>
      <c r="W43" s="935"/>
      <c r="X43" s="936"/>
      <c r="Y43" s="937"/>
      <c r="Z43" s="937"/>
      <c r="AA43" s="938"/>
      <c r="AB43" s="594"/>
      <c r="AC43" s="595"/>
      <c r="AD43" s="596"/>
      <c r="AE43" s="779"/>
      <c r="AF43" s="939"/>
      <c r="AG43" s="780"/>
      <c r="AH43" s="941"/>
      <c r="AI43" s="942"/>
      <c r="AJ43" s="943"/>
      <c r="AK43" s="745"/>
      <c r="AL43" s="940"/>
      <c r="AM43" s="746"/>
      <c r="AN43" s="281"/>
      <c r="AO43" s="282"/>
      <c r="AP43" s="281"/>
      <c r="AQ43" s="282"/>
      <c r="AR43" s="281"/>
      <c r="AS43" s="282"/>
      <c r="AT43" s="281"/>
      <c r="AU43" s="282"/>
      <c r="AV43" s="281"/>
      <c r="AW43" s="282"/>
      <c r="AX43" s="281"/>
      <c r="AY43" s="282"/>
      <c r="AZ43" s="329"/>
      <c r="BA43" s="331"/>
      <c r="BB43" s="328"/>
      <c r="BC43" s="331"/>
      <c r="BD43" s="328"/>
      <c r="BE43" s="331"/>
      <c r="BF43" s="328"/>
      <c r="BG43" s="331"/>
      <c r="BH43" s="328"/>
      <c r="BI43" s="944" t="s">
        <v>212</v>
      </c>
      <c r="BJ43" s="944"/>
      <c r="BK43" s="944"/>
      <c r="BL43" s="944"/>
      <c r="BM43" s="944"/>
      <c r="BN43" s="944"/>
      <c r="BO43" s="944"/>
      <c r="BP43" s="944"/>
      <c r="BQ43" s="944"/>
      <c r="BR43" s="944"/>
      <c r="BS43" s="944"/>
      <c r="BT43" s="944"/>
      <c r="BU43" s="944"/>
      <c r="BV43" s="945"/>
    </row>
    <row r="44" spans="1:74" ht="30" customHeight="1" x14ac:dyDescent="0.25">
      <c r="A44" s="200">
        <f t="shared" si="0"/>
        <v>30</v>
      </c>
      <c r="B44" s="294" t="s">
        <v>162</v>
      </c>
      <c r="C44" s="295"/>
      <c r="D44" s="936"/>
      <c r="E44" s="937"/>
      <c r="F44" s="937"/>
      <c r="G44" s="937"/>
      <c r="H44" s="937"/>
      <c r="I44" s="937"/>
      <c r="J44" s="937"/>
      <c r="K44" s="938"/>
      <c r="L44" s="932"/>
      <c r="M44" s="932"/>
      <c r="N44" s="932"/>
      <c r="O44" s="932"/>
      <c r="P44" s="931"/>
      <c r="Q44" s="931"/>
      <c r="R44" s="931"/>
      <c r="S44" s="931"/>
      <c r="T44" s="933"/>
      <c r="U44" s="934"/>
      <c r="V44" s="934"/>
      <c r="W44" s="935"/>
      <c r="X44" s="936"/>
      <c r="Y44" s="937"/>
      <c r="Z44" s="937"/>
      <c r="AA44" s="938"/>
      <c r="AB44" s="594"/>
      <c r="AC44" s="595"/>
      <c r="AD44" s="596"/>
      <c r="AE44" s="779"/>
      <c r="AF44" s="939"/>
      <c r="AG44" s="780"/>
      <c r="AH44" s="941"/>
      <c r="AI44" s="942"/>
      <c r="AJ44" s="943"/>
      <c r="AK44" s="745"/>
      <c r="AL44" s="940"/>
      <c r="AM44" s="746"/>
      <c r="AN44" s="281"/>
      <c r="AO44" s="282"/>
      <c r="AP44" s="281"/>
      <c r="AQ44" s="282"/>
      <c r="AR44" s="281"/>
      <c r="AS44" s="282"/>
      <c r="AT44" s="281"/>
      <c r="AU44" s="282"/>
      <c r="AV44" s="281"/>
      <c r="AW44" s="282"/>
      <c r="AX44" s="281"/>
      <c r="AY44" s="282"/>
      <c r="AZ44" s="329"/>
      <c r="BA44" s="331"/>
      <c r="BB44" s="328"/>
      <c r="BC44" s="331"/>
      <c r="BD44" s="328"/>
      <c r="BE44" s="331"/>
      <c r="BF44" s="328"/>
      <c r="BG44" s="331"/>
      <c r="BH44" s="328"/>
      <c r="BI44" s="944" t="s">
        <v>212</v>
      </c>
      <c r="BJ44" s="944"/>
      <c r="BK44" s="944"/>
      <c r="BL44" s="944"/>
      <c r="BM44" s="944"/>
      <c r="BN44" s="944"/>
      <c r="BO44" s="944"/>
      <c r="BP44" s="944"/>
      <c r="BQ44" s="944"/>
      <c r="BR44" s="944"/>
      <c r="BS44" s="944"/>
      <c r="BT44" s="944"/>
      <c r="BU44" s="944"/>
      <c r="BV44" s="945"/>
    </row>
    <row r="45" spans="1:74" ht="30" customHeight="1" x14ac:dyDescent="0.25">
      <c r="A45" s="200">
        <f t="shared" si="0"/>
        <v>31</v>
      </c>
      <c r="B45" s="294" t="s">
        <v>162</v>
      </c>
      <c r="C45" s="295"/>
      <c r="D45" s="936"/>
      <c r="E45" s="937"/>
      <c r="F45" s="937"/>
      <c r="G45" s="937"/>
      <c r="H45" s="937"/>
      <c r="I45" s="937"/>
      <c r="J45" s="937"/>
      <c r="K45" s="938"/>
      <c r="L45" s="932"/>
      <c r="M45" s="932"/>
      <c r="N45" s="932"/>
      <c r="O45" s="932"/>
      <c r="P45" s="931"/>
      <c r="Q45" s="931"/>
      <c r="R45" s="931"/>
      <c r="S45" s="931"/>
      <c r="T45" s="933"/>
      <c r="U45" s="934"/>
      <c r="V45" s="934"/>
      <c r="W45" s="935"/>
      <c r="X45" s="936"/>
      <c r="Y45" s="937"/>
      <c r="Z45" s="937"/>
      <c r="AA45" s="938"/>
      <c r="AB45" s="594"/>
      <c r="AC45" s="595"/>
      <c r="AD45" s="596"/>
      <c r="AE45" s="779"/>
      <c r="AF45" s="939"/>
      <c r="AG45" s="780"/>
      <c r="AH45" s="941"/>
      <c r="AI45" s="942"/>
      <c r="AJ45" s="943"/>
      <c r="AK45" s="745"/>
      <c r="AL45" s="940"/>
      <c r="AM45" s="746"/>
      <c r="AN45" s="281"/>
      <c r="AO45" s="282"/>
      <c r="AP45" s="281"/>
      <c r="AQ45" s="282"/>
      <c r="AR45" s="281"/>
      <c r="AS45" s="282"/>
      <c r="AT45" s="281"/>
      <c r="AU45" s="282"/>
      <c r="AV45" s="281"/>
      <c r="AW45" s="282"/>
      <c r="AX45" s="281"/>
      <c r="AY45" s="282"/>
      <c r="AZ45" s="329"/>
      <c r="BA45" s="331"/>
      <c r="BB45" s="328"/>
      <c r="BC45" s="331"/>
      <c r="BD45" s="328"/>
      <c r="BE45" s="331"/>
      <c r="BF45" s="328"/>
      <c r="BG45" s="331"/>
      <c r="BH45" s="328"/>
      <c r="BI45" s="944" t="s">
        <v>212</v>
      </c>
      <c r="BJ45" s="944"/>
      <c r="BK45" s="944"/>
      <c r="BL45" s="944"/>
      <c r="BM45" s="944"/>
      <c r="BN45" s="944"/>
      <c r="BO45" s="944"/>
      <c r="BP45" s="944"/>
      <c r="BQ45" s="944"/>
      <c r="BR45" s="944"/>
      <c r="BS45" s="944"/>
      <c r="BT45" s="944"/>
      <c r="BU45" s="944"/>
      <c r="BV45" s="945"/>
    </row>
    <row r="46" spans="1:74" ht="30" customHeight="1" x14ac:dyDescent="0.25">
      <c r="A46" s="200">
        <f t="shared" si="0"/>
        <v>32</v>
      </c>
      <c r="B46" s="294" t="s">
        <v>162</v>
      </c>
      <c r="C46" s="295"/>
      <c r="D46" s="936"/>
      <c r="E46" s="937"/>
      <c r="F46" s="937"/>
      <c r="G46" s="937"/>
      <c r="H46" s="937"/>
      <c r="I46" s="937"/>
      <c r="J46" s="937"/>
      <c r="K46" s="938"/>
      <c r="L46" s="932"/>
      <c r="M46" s="932"/>
      <c r="N46" s="932"/>
      <c r="O46" s="932"/>
      <c r="P46" s="931"/>
      <c r="Q46" s="931"/>
      <c r="R46" s="931"/>
      <c r="S46" s="931"/>
      <c r="T46" s="933"/>
      <c r="U46" s="934"/>
      <c r="V46" s="934"/>
      <c r="W46" s="935"/>
      <c r="X46" s="936"/>
      <c r="Y46" s="937"/>
      <c r="Z46" s="937"/>
      <c r="AA46" s="938"/>
      <c r="AB46" s="594"/>
      <c r="AC46" s="595"/>
      <c r="AD46" s="596"/>
      <c r="AE46" s="779"/>
      <c r="AF46" s="939"/>
      <c r="AG46" s="780"/>
      <c r="AH46" s="941"/>
      <c r="AI46" s="942"/>
      <c r="AJ46" s="943"/>
      <c r="AK46" s="745"/>
      <c r="AL46" s="940"/>
      <c r="AM46" s="746"/>
      <c r="AN46" s="281"/>
      <c r="AO46" s="282"/>
      <c r="AP46" s="281"/>
      <c r="AQ46" s="282"/>
      <c r="AR46" s="281"/>
      <c r="AS46" s="282"/>
      <c r="AT46" s="281"/>
      <c r="AU46" s="282"/>
      <c r="AV46" s="281"/>
      <c r="AW46" s="282"/>
      <c r="AX46" s="281"/>
      <c r="AY46" s="282"/>
      <c r="AZ46" s="329"/>
      <c r="BA46" s="331"/>
      <c r="BB46" s="328"/>
      <c r="BC46" s="331"/>
      <c r="BD46" s="328"/>
      <c r="BE46" s="331"/>
      <c r="BF46" s="328"/>
      <c r="BG46" s="331"/>
      <c r="BH46" s="328"/>
      <c r="BI46" s="944" t="s">
        <v>212</v>
      </c>
      <c r="BJ46" s="944"/>
      <c r="BK46" s="944"/>
      <c r="BL46" s="944"/>
      <c r="BM46" s="944"/>
      <c r="BN46" s="944"/>
      <c r="BO46" s="944"/>
      <c r="BP46" s="944"/>
      <c r="BQ46" s="944"/>
      <c r="BR46" s="944"/>
      <c r="BS46" s="944"/>
      <c r="BT46" s="944"/>
      <c r="BU46" s="944"/>
      <c r="BV46" s="945"/>
    </row>
    <row r="47" spans="1:74" ht="30" customHeight="1" x14ac:dyDescent="0.25">
      <c r="A47" s="200">
        <f t="shared" si="0"/>
        <v>33</v>
      </c>
      <c r="B47" s="294" t="s">
        <v>162</v>
      </c>
      <c r="C47" s="295"/>
      <c r="D47" s="936"/>
      <c r="E47" s="937"/>
      <c r="F47" s="937"/>
      <c r="G47" s="937"/>
      <c r="H47" s="937"/>
      <c r="I47" s="937"/>
      <c r="J47" s="937"/>
      <c r="K47" s="938"/>
      <c r="L47" s="932"/>
      <c r="M47" s="932"/>
      <c r="N47" s="932"/>
      <c r="O47" s="932"/>
      <c r="P47" s="931"/>
      <c r="Q47" s="931"/>
      <c r="R47" s="931"/>
      <c r="S47" s="931"/>
      <c r="T47" s="933"/>
      <c r="U47" s="934"/>
      <c r="V47" s="934"/>
      <c r="W47" s="935"/>
      <c r="X47" s="936"/>
      <c r="Y47" s="937"/>
      <c r="Z47" s="937"/>
      <c r="AA47" s="938"/>
      <c r="AB47" s="594"/>
      <c r="AC47" s="595"/>
      <c r="AD47" s="596"/>
      <c r="AE47" s="779"/>
      <c r="AF47" s="939"/>
      <c r="AG47" s="780"/>
      <c r="AH47" s="941"/>
      <c r="AI47" s="942"/>
      <c r="AJ47" s="943"/>
      <c r="AK47" s="745"/>
      <c r="AL47" s="940"/>
      <c r="AM47" s="746"/>
      <c r="AN47" s="281"/>
      <c r="AO47" s="282"/>
      <c r="AP47" s="281"/>
      <c r="AQ47" s="282"/>
      <c r="AR47" s="281"/>
      <c r="AS47" s="282"/>
      <c r="AT47" s="281"/>
      <c r="AU47" s="282"/>
      <c r="AV47" s="281"/>
      <c r="AW47" s="282"/>
      <c r="AX47" s="281"/>
      <c r="AY47" s="282"/>
      <c r="AZ47" s="329"/>
      <c r="BA47" s="331"/>
      <c r="BB47" s="328"/>
      <c r="BC47" s="331"/>
      <c r="BD47" s="328"/>
      <c r="BE47" s="331"/>
      <c r="BF47" s="328"/>
      <c r="BG47" s="331"/>
      <c r="BH47" s="328"/>
      <c r="BI47" s="944" t="s">
        <v>212</v>
      </c>
      <c r="BJ47" s="944"/>
      <c r="BK47" s="944"/>
      <c r="BL47" s="944"/>
      <c r="BM47" s="944"/>
      <c r="BN47" s="944"/>
      <c r="BO47" s="944"/>
      <c r="BP47" s="944"/>
      <c r="BQ47" s="944"/>
      <c r="BR47" s="944"/>
      <c r="BS47" s="944"/>
      <c r="BT47" s="944"/>
      <c r="BU47" s="944"/>
      <c r="BV47" s="945"/>
    </row>
    <row r="48" spans="1:74" ht="30" customHeight="1" x14ac:dyDescent="0.25">
      <c r="A48" s="200">
        <f t="shared" si="0"/>
        <v>34</v>
      </c>
      <c r="B48" s="294" t="s">
        <v>162</v>
      </c>
      <c r="C48" s="295"/>
      <c r="D48" s="936"/>
      <c r="E48" s="937"/>
      <c r="F48" s="937"/>
      <c r="G48" s="937"/>
      <c r="H48" s="937"/>
      <c r="I48" s="937"/>
      <c r="J48" s="937"/>
      <c r="K48" s="938"/>
      <c r="L48" s="932"/>
      <c r="M48" s="932"/>
      <c r="N48" s="932"/>
      <c r="O48" s="932"/>
      <c r="P48" s="931"/>
      <c r="Q48" s="931"/>
      <c r="R48" s="931"/>
      <c r="S48" s="931"/>
      <c r="T48" s="933"/>
      <c r="U48" s="934"/>
      <c r="V48" s="934"/>
      <c r="W48" s="935"/>
      <c r="X48" s="936"/>
      <c r="Y48" s="937"/>
      <c r="Z48" s="937"/>
      <c r="AA48" s="938"/>
      <c r="AB48" s="594"/>
      <c r="AC48" s="595"/>
      <c r="AD48" s="596"/>
      <c r="AE48" s="779"/>
      <c r="AF48" s="939"/>
      <c r="AG48" s="780"/>
      <c r="AH48" s="941"/>
      <c r="AI48" s="942"/>
      <c r="AJ48" s="943"/>
      <c r="AK48" s="745"/>
      <c r="AL48" s="940"/>
      <c r="AM48" s="746"/>
      <c r="AN48" s="281"/>
      <c r="AO48" s="282"/>
      <c r="AP48" s="281"/>
      <c r="AQ48" s="282"/>
      <c r="AR48" s="281"/>
      <c r="AS48" s="282"/>
      <c r="AT48" s="281"/>
      <c r="AU48" s="282"/>
      <c r="AV48" s="281"/>
      <c r="AW48" s="282"/>
      <c r="AX48" s="281"/>
      <c r="AY48" s="282"/>
      <c r="AZ48" s="329"/>
      <c r="BA48" s="331"/>
      <c r="BB48" s="328"/>
      <c r="BC48" s="331"/>
      <c r="BD48" s="328"/>
      <c r="BE48" s="331"/>
      <c r="BF48" s="328"/>
      <c r="BG48" s="331"/>
      <c r="BH48" s="328"/>
      <c r="BI48" s="944" t="s">
        <v>159</v>
      </c>
      <c r="BJ48" s="944"/>
      <c r="BK48" s="944"/>
      <c r="BL48" s="944"/>
      <c r="BM48" s="944"/>
      <c r="BN48" s="944"/>
      <c r="BO48" s="944"/>
      <c r="BP48" s="944"/>
      <c r="BQ48" s="944"/>
      <c r="BR48" s="944"/>
      <c r="BS48" s="944"/>
      <c r="BT48" s="944"/>
      <c r="BU48" s="944"/>
      <c r="BV48" s="945"/>
    </row>
    <row r="49" spans="1:74" ht="30" customHeight="1" x14ac:dyDescent="0.25">
      <c r="A49" s="200">
        <f t="shared" si="0"/>
        <v>35</v>
      </c>
      <c r="B49" s="294" t="s">
        <v>162</v>
      </c>
      <c r="C49" s="295"/>
      <c r="D49" s="936"/>
      <c r="E49" s="937"/>
      <c r="F49" s="937"/>
      <c r="G49" s="937"/>
      <c r="H49" s="937"/>
      <c r="I49" s="937"/>
      <c r="J49" s="937"/>
      <c r="K49" s="938"/>
      <c r="L49" s="932"/>
      <c r="M49" s="932"/>
      <c r="N49" s="932"/>
      <c r="O49" s="932"/>
      <c r="P49" s="931"/>
      <c r="Q49" s="931"/>
      <c r="R49" s="931"/>
      <c r="S49" s="931"/>
      <c r="T49" s="933"/>
      <c r="U49" s="934"/>
      <c r="V49" s="934"/>
      <c r="W49" s="935"/>
      <c r="X49" s="936"/>
      <c r="Y49" s="937"/>
      <c r="Z49" s="937"/>
      <c r="AA49" s="938"/>
      <c r="AB49" s="594"/>
      <c r="AC49" s="595"/>
      <c r="AD49" s="596"/>
      <c r="AE49" s="779"/>
      <c r="AF49" s="939"/>
      <c r="AG49" s="780"/>
      <c r="AH49" s="941"/>
      <c r="AI49" s="942"/>
      <c r="AJ49" s="943"/>
      <c r="AK49" s="745"/>
      <c r="AL49" s="940"/>
      <c r="AM49" s="746"/>
      <c r="AN49" s="281"/>
      <c r="AO49" s="282"/>
      <c r="AP49" s="281"/>
      <c r="AQ49" s="282"/>
      <c r="AR49" s="281"/>
      <c r="AS49" s="282"/>
      <c r="AT49" s="281"/>
      <c r="AU49" s="282"/>
      <c r="AV49" s="281"/>
      <c r="AW49" s="282"/>
      <c r="AX49" s="281"/>
      <c r="AY49" s="282"/>
      <c r="AZ49" s="329"/>
      <c r="BA49" s="331"/>
      <c r="BB49" s="328"/>
      <c r="BC49" s="331"/>
      <c r="BD49" s="328"/>
      <c r="BE49" s="331"/>
      <c r="BF49" s="328"/>
      <c r="BG49" s="331"/>
      <c r="BH49" s="328"/>
      <c r="BI49" s="944" t="s">
        <v>159</v>
      </c>
      <c r="BJ49" s="944"/>
      <c r="BK49" s="944"/>
      <c r="BL49" s="944"/>
      <c r="BM49" s="944"/>
      <c r="BN49" s="944"/>
      <c r="BO49" s="944"/>
      <c r="BP49" s="944"/>
      <c r="BQ49" s="944"/>
      <c r="BR49" s="944"/>
      <c r="BS49" s="944"/>
      <c r="BT49" s="944"/>
      <c r="BU49" s="944"/>
      <c r="BV49" s="945"/>
    </row>
    <row r="50" spans="1:74" ht="30" customHeight="1" x14ac:dyDescent="0.25">
      <c r="A50" s="232">
        <f t="shared" si="0"/>
        <v>36</v>
      </c>
      <c r="B50" s="294" t="s">
        <v>162</v>
      </c>
      <c r="C50" s="295"/>
      <c r="D50" s="936"/>
      <c r="E50" s="937"/>
      <c r="F50" s="937"/>
      <c r="G50" s="937"/>
      <c r="H50" s="937"/>
      <c r="I50" s="937"/>
      <c r="J50" s="937"/>
      <c r="K50" s="938"/>
      <c r="L50" s="932"/>
      <c r="M50" s="932"/>
      <c r="N50" s="932"/>
      <c r="O50" s="932"/>
      <c r="P50" s="931"/>
      <c r="Q50" s="931"/>
      <c r="R50" s="931"/>
      <c r="S50" s="931"/>
      <c r="T50" s="933"/>
      <c r="U50" s="934"/>
      <c r="V50" s="934"/>
      <c r="W50" s="935"/>
      <c r="X50" s="936"/>
      <c r="Y50" s="937"/>
      <c r="Z50" s="937"/>
      <c r="AA50" s="938"/>
      <c r="AB50" s="594"/>
      <c r="AC50" s="595"/>
      <c r="AD50" s="596"/>
      <c r="AE50" s="779"/>
      <c r="AF50" s="939"/>
      <c r="AG50" s="780"/>
      <c r="AH50" s="941"/>
      <c r="AI50" s="942"/>
      <c r="AJ50" s="943"/>
      <c r="AK50" s="745"/>
      <c r="AL50" s="940"/>
      <c r="AM50" s="746"/>
      <c r="AN50" s="281"/>
      <c r="AO50" s="282"/>
      <c r="AP50" s="281"/>
      <c r="AQ50" s="282"/>
      <c r="AR50" s="281"/>
      <c r="AS50" s="282"/>
      <c r="AT50" s="281"/>
      <c r="AU50" s="282"/>
      <c r="AV50" s="281"/>
      <c r="AW50" s="282"/>
      <c r="AX50" s="281"/>
      <c r="AY50" s="282"/>
      <c r="AZ50" s="329"/>
      <c r="BA50" s="331"/>
      <c r="BB50" s="328"/>
      <c r="BC50" s="331"/>
      <c r="BD50" s="328"/>
      <c r="BE50" s="331"/>
      <c r="BF50" s="328"/>
      <c r="BG50" s="331"/>
      <c r="BH50" s="328"/>
      <c r="BI50" s="944" t="s">
        <v>212</v>
      </c>
      <c r="BJ50" s="944"/>
      <c r="BK50" s="944"/>
      <c r="BL50" s="944"/>
      <c r="BM50" s="944"/>
      <c r="BN50" s="944"/>
      <c r="BO50" s="944"/>
      <c r="BP50" s="944"/>
      <c r="BQ50" s="944"/>
      <c r="BR50" s="944"/>
      <c r="BS50" s="944"/>
      <c r="BT50" s="944"/>
      <c r="BU50" s="944"/>
      <c r="BV50" s="945"/>
    </row>
    <row r="51" spans="1:74" ht="30" customHeight="1" x14ac:dyDescent="0.25">
      <c r="A51" s="200">
        <f t="shared" si="0"/>
        <v>37</v>
      </c>
      <c r="B51" s="294" t="s">
        <v>162</v>
      </c>
      <c r="C51" s="295"/>
      <c r="D51" s="936"/>
      <c r="E51" s="937"/>
      <c r="F51" s="937"/>
      <c r="G51" s="937"/>
      <c r="H51" s="937"/>
      <c r="I51" s="937"/>
      <c r="J51" s="937"/>
      <c r="K51" s="938"/>
      <c r="L51" s="932"/>
      <c r="M51" s="932"/>
      <c r="N51" s="932"/>
      <c r="O51" s="932"/>
      <c r="P51" s="931"/>
      <c r="Q51" s="931"/>
      <c r="R51" s="931"/>
      <c r="S51" s="931"/>
      <c r="T51" s="933"/>
      <c r="U51" s="934"/>
      <c r="V51" s="934"/>
      <c r="W51" s="935"/>
      <c r="X51" s="936"/>
      <c r="Y51" s="937"/>
      <c r="Z51" s="937"/>
      <c r="AA51" s="938"/>
      <c r="AB51" s="594"/>
      <c r="AC51" s="595"/>
      <c r="AD51" s="596"/>
      <c r="AE51" s="779"/>
      <c r="AF51" s="939"/>
      <c r="AG51" s="780"/>
      <c r="AH51" s="941"/>
      <c r="AI51" s="942"/>
      <c r="AJ51" s="943"/>
      <c r="AK51" s="745"/>
      <c r="AL51" s="940"/>
      <c r="AM51" s="746"/>
      <c r="AN51" s="281"/>
      <c r="AO51" s="282"/>
      <c r="AP51" s="281"/>
      <c r="AQ51" s="282"/>
      <c r="AR51" s="281"/>
      <c r="AS51" s="282"/>
      <c r="AT51" s="281"/>
      <c r="AU51" s="282"/>
      <c r="AV51" s="281"/>
      <c r="AW51" s="282"/>
      <c r="AX51" s="281"/>
      <c r="AY51" s="282"/>
      <c r="AZ51" s="329"/>
      <c r="BA51" s="331"/>
      <c r="BB51" s="328"/>
      <c r="BC51" s="331"/>
      <c r="BD51" s="328"/>
      <c r="BE51" s="331"/>
      <c r="BF51" s="328"/>
      <c r="BG51" s="331"/>
      <c r="BH51" s="328"/>
      <c r="BI51" s="944" t="s">
        <v>212</v>
      </c>
      <c r="BJ51" s="944"/>
      <c r="BK51" s="944"/>
      <c r="BL51" s="944"/>
      <c r="BM51" s="944"/>
      <c r="BN51" s="944"/>
      <c r="BO51" s="944"/>
      <c r="BP51" s="944"/>
      <c r="BQ51" s="944"/>
      <c r="BR51" s="944"/>
      <c r="BS51" s="944"/>
      <c r="BT51" s="944"/>
      <c r="BU51" s="944"/>
      <c r="BV51" s="945"/>
    </row>
    <row r="52" spans="1:74" ht="30" customHeight="1" x14ac:dyDescent="0.25">
      <c r="A52" s="200">
        <f t="shared" si="0"/>
        <v>38</v>
      </c>
      <c r="B52" s="294" t="s">
        <v>162</v>
      </c>
      <c r="C52" s="295"/>
      <c r="D52" s="936"/>
      <c r="E52" s="937"/>
      <c r="F52" s="937"/>
      <c r="G52" s="937"/>
      <c r="H52" s="937"/>
      <c r="I52" s="937"/>
      <c r="J52" s="937"/>
      <c r="K52" s="938"/>
      <c r="L52" s="932"/>
      <c r="M52" s="932"/>
      <c r="N52" s="932"/>
      <c r="O52" s="932"/>
      <c r="P52" s="931"/>
      <c r="Q52" s="931"/>
      <c r="R52" s="931"/>
      <c r="S52" s="931"/>
      <c r="T52" s="933"/>
      <c r="U52" s="934"/>
      <c r="V52" s="934"/>
      <c r="W52" s="935"/>
      <c r="X52" s="936"/>
      <c r="Y52" s="937"/>
      <c r="Z52" s="937"/>
      <c r="AA52" s="938"/>
      <c r="AB52" s="594"/>
      <c r="AC52" s="595"/>
      <c r="AD52" s="596"/>
      <c r="AE52" s="779"/>
      <c r="AF52" s="939"/>
      <c r="AG52" s="780"/>
      <c r="AH52" s="941"/>
      <c r="AI52" s="942"/>
      <c r="AJ52" s="943"/>
      <c r="AK52" s="745"/>
      <c r="AL52" s="940"/>
      <c r="AM52" s="746"/>
      <c r="AN52" s="281"/>
      <c r="AO52" s="282"/>
      <c r="AP52" s="281"/>
      <c r="AQ52" s="282"/>
      <c r="AR52" s="281"/>
      <c r="AS52" s="282"/>
      <c r="AT52" s="281"/>
      <c r="AU52" s="282"/>
      <c r="AV52" s="281"/>
      <c r="AW52" s="282"/>
      <c r="AX52" s="281"/>
      <c r="AY52" s="282"/>
      <c r="AZ52" s="329"/>
      <c r="BA52" s="331"/>
      <c r="BB52" s="328"/>
      <c r="BC52" s="331"/>
      <c r="BD52" s="328"/>
      <c r="BE52" s="331"/>
      <c r="BF52" s="328"/>
      <c r="BG52" s="331"/>
      <c r="BH52" s="328"/>
      <c r="BI52" s="944" t="s">
        <v>212</v>
      </c>
      <c r="BJ52" s="944"/>
      <c r="BK52" s="944"/>
      <c r="BL52" s="944"/>
      <c r="BM52" s="944"/>
      <c r="BN52" s="944"/>
      <c r="BO52" s="944"/>
      <c r="BP52" s="944"/>
      <c r="BQ52" s="944"/>
      <c r="BR52" s="944"/>
      <c r="BS52" s="944"/>
      <c r="BT52" s="944"/>
      <c r="BU52" s="944"/>
      <c r="BV52" s="945"/>
    </row>
    <row r="53" spans="1:74" ht="30" customHeight="1" x14ac:dyDescent="0.25">
      <c r="A53" s="200">
        <f t="shared" si="0"/>
        <v>39</v>
      </c>
      <c r="B53" s="294" t="s">
        <v>162</v>
      </c>
      <c r="C53" s="295"/>
      <c r="D53" s="936"/>
      <c r="E53" s="937"/>
      <c r="F53" s="937"/>
      <c r="G53" s="937"/>
      <c r="H53" s="937"/>
      <c r="I53" s="937"/>
      <c r="J53" s="937"/>
      <c r="K53" s="938"/>
      <c r="L53" s="932"/>
      <c r="M53" s="932"/>
      <c r="N53" s="932"/>
      <c r="O53" s="932"/>
      <c r="P53" s="931"/>
      <c r="Q53" s="931"/>
      <c r="R53" s="931"/>
      <c r="S53" s="931"/>
      <c r="T53" s="933"/>
      <c r="U53" s="934"/>
      <c r="V53" s="934"/>
      <c r="W53" s="935"/>
      <c r="X53" s="936"/>
      <c r="Y53" s="937"/>
      <c r="Z53" s="937"/>
      <c r="AA53" s="938"/>
      <c r="AB53" s="594"/>
      <c r="AC53" s="595"/>
      <c r="AD53" s="596"/>
      <c r="AE53" s="779"/>
      <c r="AF53" s="939"/>
      <c r="AG53" s="780"/>
      <c r="AH53" s="941"/>
      <c r="AI53" s="942"/>
      <c r="AJ53" s="943"/>
      <c r="AK53" s="745"/>
      <c r="AL53" s="940"/>
      <c r="AM53" s="746"/>
      <c r="AN53" s="281"/>
      <c r="AO53" s="282"/>
      <c r="AP53" s="281"/>
      <c r="AQ53" s="282"/>
      <c r="AR53" s="281"/>
      <c r="AS53" s="282"/>
      <c r="AT53" s="281"/>
      <c r="AU53" s="282"/>
      <c r="AV53" s="281"/>
      <c r="AW53" s="282"/>
      <c r="AX53" s="281"/>
      <c r="AY53" s="282"/>
      <c r="AZ53" s="329"/>
      <c r="BA53" s="331"/>
      <c r="BB53" s="328"/>
      <c r="BC53" s="331"/>
      <c r="BD53" s="328"/>
      <c r="BE53" s="331"/>
      <c r="BF53" s="328"/>
      <c r="BG53" s="331"/>
      <c r="BH53" s="328"/>
      <c r="BI53" s="944" t="s">
        <v>212</v>
      </c>
      <c r="BJ53" s="944"/>
      <c r="BK53" s="944"/>
      <c r="BL53" s="944"/>
      <c r="BM53" s="944"/>
      <c r="BN53" s="944"/>
      <c r="BO53" s="944"/>
      <c r="BP53" s="944"/>
      <c r="BQ53" s="944"/>
      <c r="BR53" s="944"/>
      <c r="BS53" s="944"/>
      <c r="BT53" s="944"/>
      <c r="BU53" s="944"/>
      <c r="BV53" s="945"/>
    </row>
    <row r="54" spans="1:74" ht="30" customHeight="1" x14ac:dyDescent="0.25">
      <c r="A54" s="200">
        <f t="shared" si="0"/>
        <v>40</v>
      </c>
      <c r="B54" s="294" t="s">
        <v>162</v>
      </c>
      <c r="C54" s="295"/>
      <c r="D54" s="936"/>
      <c r="E54" s="937"/>
      <c r="F54" s="937"/>
      <c r="G54" s="937"/>
      <c r="H54" s="937"/>
      <c r="I54" s="937"/>
      <c r="J54" s="937"/>
      <c r="K54" s="938"/>
      <c r="L54" s="932"/>
      <c r="M54" s="932"/>
      <c r="N54" s="932"/>
      <c r="O54" s="932"/>
      <c r="P54" s="931"/>
      <c r="Q54" s="931"/>
      <c r="R54" s="931"/>
      <c r="S54" s="931"/>
      <c r="T54" s="933"/>
      <c r="U54" s="934"/>
      <c r="V54" s="934"/>
      <c r="W54" s="935"/>
      <c r="X54" s="936"/>
      <c r="Y54" s="937"/>
      <c r="Z54" s="937"/>
      <c r="AA54" s="938"/>
      <c r="AB54" s="594"/>
      <c r="AC54" s="595"/>
      <c r="AD54" s="596"/>
      <c r="AE54" s="779"/>
      <c r="AF54" s="939"/>
      <c r="AG54" s="780"/>
      <c r="AH54" s="941"/>
      <c r="AI54" s="942"/>
      <c r="AJ54" s="943"/>
      <c r="AK54" s="745"/>
      <c r="AL54" s="940"/>
      <c r="AM54" s="746"/>
      <c r="AN54" s="281"/>
      <c r="AO54" s="282"/>
      <c r="AP54" s="281"/>
      <c r="AQ54" s="282"/>
      <c r="AR54" s="281"/>
      <c r="AS54" s="282"/>
      <c r="AT54" s="281"/>
      <c r="AU54" s="282"/>
      <c r="AV54" s="281"/>
      <c r="AW54" s="282"/>
      <c r="AX54" s="281"/>
      <c r="AY54" s="282"/>
      <c r="AZ54" s="329"/>
      <c r="BA54" s="331"/>
      <c r="BB54" s="328"/>
      <c r="BC54" s="331"/>
      <c r="BD54" s="328"/>
      <c r="BE54" s="331"/>
      <c r="BF54" s="328"/>
      <c r="BG54" s="331"/>
      <c r="BH54" s="328"/>
      <c r="BI54" s="944" t="s">
        <v>212</v>
      </c>
      <c r="BJ54" s="944"/>
      <c r="BK54" s="944"/>
      <c r="BL54" s="944"/>
      <c r="BM54" s="944"/>
      <c r="BN54" s="944"/>
      <c r="BO54" s="944"/>
      <c r="BP54" s="944"/>
      <c r="BQ54" s="944"/>
      <c r="BR54" s="944"/>
      <c r="BS54" s="944"/>
      <c r="BT54" s="944"/>
      <c r="BU54" s="944"/>
      <c r="BV54" s="945"/>
    </row>
    <row r="55" spans="1:74" ht="30" customHeight="1" x14ac:dyDescent="0.25">
      <c r="A55" s="200">
        <f t="shared" si="0"/>
        <v>41</v>
      </c>
      <c r="B55" s="294" t="s">
        <v>162</v>
      </c>
      <c r="C55" s="295"/>
      <c r="D55" s="936"/>
      <c r="E55" s="937"/>
      <c r="F55" s="937"/>
      <c r="G55" s="937"/>
      <c r="H55" s="937"/>
      <c r="I55" s="937"/>
      <c r="J55" s="937"/>
      <c r="K55" s="938"/>
      <c r="L55" s="932"/>
      <c r="M55" s="932"/>
      <c r="N55" s="932"/>
      <c r="O55" s="932"/>
      <c r="P55" s="931"/>
      <c r="Q55" s="931"/>
      <c r="R55" s="931"/>
      <c r="S55" s="931"/>
      <c r="T55" s="933"/>
      <c r="U55" s="934"/>
      <c r="V55" s="934"/>
      <c r="W55" s="935"/>
      <c r="X55" s="936"/>
      <c r="Y55" s="937"/>
      <c r="Z55" s="937"/>
      <c r="AA55" s="938"/>
      <c r="AB55" s="594"/>
      <c r="AC55" s="595"/>
      <c r="AD55" s="596"/>
      <c r="AE55" s="779"/>
      <c r="AF55" s="939"/>
      <c r="AG55" s="780"/>
      <c r="AH55" s="941"/>
      <c r="AI55" s="942"/>
      <c r="AJ55" s="943"/>
      <c r="AK55" s="745"/>
      <c r="AL55" s="940"/>
      <c r="AM55" s="746"/>
      <c r="AN55" s="281"/>
      <c r="AO55" s="282"/>
      <c r="AP55" s="281"/>
      <c r="AQ55" s="282"/>
      <c r="AR55" s="281"/>
      <c r="AS55" s="282"/>
      <c r="AT55" s="281"/>
      <c r="AU55" s="282"/>
      <c r="AV55" s="281"/>
      <c r="AW55" s="282"/>
      <c r="AX55" s="281"/>
      <c r="AY55" s="282"/>
      <c r="AZ55" s="329"/>
      <c r="BA55" s="331"/>
      <c r="BB55" s="328"/>
      <c r="BC55" s="331"/>
      <c r="BD55" s="328"/>
      <c r="BE55" s="331"/>
      <c r="BF55" s="328"/>
      <c r="BG55" s="331"/>
      <c r="BH55" s="328"/>
      <c r="BI55" s="944" t="s">
        <v>159</v>
      </c>
      <c r="BJ55" s="944"/>
      <c r="BK55" s="944"/>
      <c r="BL55" s="944"/>
      <c r="BM55" s="944"/>
      <c r="BN55" s="944"/>
      <c r="BO55" s="944"/>
      <c r="BP55" s="944"/>
      <c r="BQ55" s="944"/>
      <c r="BR55" s="944"/>
      <c r="BS55" s="944"/>
      <c r="BT55" s="944"/>
      <c r="BU55" s="944"/>
      <c r="BV55" s="945"/>
    </row>
    <row r="56" spans="1:74" ht="30" customHeight="1" x14ac:dyDescent="0.25">
      <c r="A56" s="200">
        <f t="shared" si="0"/>
        <v>42</v>
      </c>
      <c r="B56" s="294" t="s">
        <v>162</v>
      </c>
      <c r="C56" s="295"/>
      <c r="D56" s="936"/>
      <c r="E56" s="937"/>
      <c r="F56" s="937"/>
      <c r="G56" s="937"/>
      <c r="H56" s="937"/>
      <c r="I56" s="937"/>
      <c r="J56" s="937"/>
      <c r="K56" s="938"/>
      <c r="L56" s="932"/>
      <c r="M56" s="932"/>
      <c r="N56" s="932"/>
      <c r="O56" s="932"/>
      <c r="P56" s="931"/>
      <c r="Q56" s="931"/>
      <c r="R56" s="931"/>
      <c r="S56" s="931"/>
      <c r="T56" s="933"/>
      <c r="U56" s="934"/>
      <c r="V56" s="934"/>
      <c r="W56" s="935"/>
      <c r="X56" s="936"/>
      <c r="Y56" s="937"/>
      <c r="Z56" s="937"/>
      <c r="AA56" s="938"/>
      <c r="AB56" s="594"/>
      <c r="AC56" s="595"/>
      <c r="AD56" s="596"/>
      <c r="AE56" s="779"/>
      <c r="AF56" s="939"/>
      <c r="AG56" s="780"/>
      <c r="AH56" s="941"/>
      <c r="AI56" s="942"/>
      <c r="AJ56" s="943"/>
      <c r="AK56" s="745"/>
      <c r="AL56" s="940"/>
      <c r="AM56" s="746"/>
      <c r="AN56" s="281"/>
      <c r="AO56" s="282"/>
      <c r="AP56" s="281"/>
      <c r="AQ56" s="282"/>
      <c r="AR56" s="281"/>
      <c r="AS56" s="282"/>
      <c r="AT56" s="281"/>
      <c r="AU56" s="282"/>
      <c r="AV56" s="281"/>
      <c r="AW56" s="282"/>
      <c r="AX56" s="281"/>
      <c r="AY56" s="282"/>
      <c r="AZ56" s="329"/>
      <c r="BA56" s="331"/>
      <c r="BB56" s="328"/>
      <c r="BC56" s="331"/>
      <c r="BD56" s="328"/>
      <c r="BE56" s="331"/>
      <c r="BF56" s="328"/>
      <c r="BG56" s="331"/>
      <c r="BH56" s="328"/>
      <c r="BI56" s="944" t="s">
        <v>159</v>
      </c>
      <c r="BJ56" s="944"/>
      <c r="BK56" s="944"/>
      <c r="BL56" s="944"/>
      <c r="BM56" s="944"/>
      <c r="BN56" s="944"/>
      <c r="BO56" s="944"/>
      <c r="BP56" s="944"/>
      <c r="BQ56" s="944"/>
      <c r="BR56" s="944"/>
      <c r="BS56" s="944"/>
      <c r="BT56" s="944"/>
      <c r="BU56" s="944"/>
      <c r="BV56" s="945"/>
    </row>
    <row r="57" spans="1:74" ht="30" customHeight="1" x14ac:dyDescent="0.25">
      <c r="A57" s="232">
        <f t="shared" si="0"/>
        <v>43</v>
      </c>
      <c r="B57" s="294" t="s">
        <v>162</v>
      </c>
      <c r="C57" s="295"/>
      <c r="D57" s="936"/>
      <c r="E57" s="937"/>
      <c r="F57" s="937"/>
      <c r="G57" s="937"/>
      <c r="H57" s="937"/>
      <c r="I57" s="937"/>
      <c r="J57" s="937"/>
      <c r="K57" s="938"/>
      <c r="L57" s="932"/>
      <c r="M57" s="932"/>
      <c r="N57" s="932"/>
      <c r="O57" s="932"/>
      <c r="P57" s="931"/>
      <c r="Q57" s="931"/>
      <c r="R57" s="931"/>
      <c r="S57" s="931"/>
      <c r="T57" s="933"/>
      <c r="U57" s="934"/>
      <c r="V57" s="934"/>
      <c r="W57" s="935"/>
      <c r="X57" s="936"/>
      <c r="Y57" s="937"/>
      <c r="Z57" s="937"/>
      <c r="AA57" s="938"/>
      <c r="AB57" s="594"/>
      <c r="AC57" s="595"/>
      <c r="AD57" s="596"/>
      <c r="AE57" s="779"/>
      <c r="AF57" s="939"/>
      <c r="AG57" s="780"/>
      <c r="AH57" s="941"/>
      <c r="AI57" s="942"/>
      <c r="AJ57" s="943"/>
      <c r="AK57" s="745"/>
      <c r="AL57" s="940"/>
      <c r="AM57" s="746"/>
      <c r="AN57" s="281"/>
      <c r="AO57" s="282"/>
      <c r="AP57" s="281"/>
      <c r="AQ57" s="282"/>
      <c r="AR57" s="281"/>
      <c r="AS57" s="282"/>
      <c r="AT57" s="281"/>
      <c r="AU57" s="282"/>
      <c r="AV57" s="281"/>
      <c r="AW57" s="282"/>
      <c r="AX57" s="281"/>
      <c r="AY57" s="282"/>
      <c r="AZ57" s="329"/>
      <c r="BA57" s="331"/>
      <c r="BB57" s="328"/>
      <c r="BC57" s="331"/>
      <c r="BD57" s="328"/>
      <c r="BE57" s="331"/>
      <c r="BF57" s="328"/>
      <c r="BG57" s="331"/>
      <c r="BH57" s="328"/>
      <c r="BI57" s="944" t="s">
        <v>212</v>
      </c>
      <c r="BJ57" s="944"/>
      <c r="BK57" s="944"/>
      <c r="BL57" s="944"/>
      <c r="BM57" s="944"/>
      <c r="BN57" s="944"/>
      <c r="BO57" s="944"/>
      <c r="BP57" s="944"/>
      <c r="BQ57" s="944"/>
      <c r="BR57" s="944"/>
      <c r="BS57" s="944"/>
      <c r="BT57" s="944"/>
      <c r="BU57" s="944"/>
      <c r="BV57" s="945"/>
    </row>
    <row r="58" spans="1:74" ht="30" customHeight="1" x14ac:dyDescent="0.25">
      <c r="A58" s="200">
        <f t="shared" si="0"/>
        <v>44</v>
      </c>
      <c r="B58" s="294" t="s">
        <v>162</v>
      </c>
      <c r="C58" s="295"/>
      <c r="D58" s="936"/>
      <c r="E58" s="937"/>
      <c r="F58" s="937"/>
      <c r="G58" s="937"/>
      <c r="H58" s="937"/>
      <c r="I58" s="937"/>
      <c r="J58" s="937"/>
      <c r="K58" s="938"/>
      <c r="L58" s="932"/>
      <c r="M58" s="932"/>
      <c r="N58" s="932"/>
      <c r="O58" s="932"/>
      <c r="P58" s="931"/>
      <c r="Q58" s="931"/>
      <c r="R58" s="931"/>
      <c r="S58" s="931"/>
      <c r="T58" s="933"/>
      <c r="U58" s="934"/>
      <c r="V58" s="934"/>
      <c r="W58" s="935"/>
      <c r="X58" s="936"/>
      <c r="Y58" s="937"/>
      <c r="Z58" s="937"/>
      <c r="AA58" s="938"/>
      <c r="AB58" s="594"/>
      <c r="AC58" s="595"/>
      <c r="AD58" s="596"/>
      <c r="AE58" s="779"/>
      <c r="AF58" s="939"/>
      <c r="AG58" s="780"/>
      <c r="AH58" s="941"/>
      <c r="AI58" s="942"/>
      <c r="AJ58" s="943"/>
      <c r="AK58" s="745"/>
      <c r="AL58" s="940"/>
      <c r="AM58" s="746"/>
      <c r="AN58" s="281"/>
      <c r="AO58" s="282"/>
      <c r="AP58" s="281"/>
      <c r="AQ58" s="282"/>
      <c r="AR58" s="281"/>
      <c r="AS58" s="282"/>
      <c r="AT58" s="281"/>
      <c r="AU58" s="282"/>
      <c r="AV58" s="281"/>
      <c r="AW58" s="282"/>
      <c r="AX58" s="281"/>
      <c r="AY58" s="282"/>
      <c r="AZ58" s="329"/>
      <c r="BA58" s="331"/>
      <c r="BB58" s="328"/>
      <c r="BC58" s="331"/>
      <c r="BD58" s="328"/>
      <c r="BE58" s="331"/>
      <c r="BF58" s="328"/>
      <c r="BG58" s="331"/>
      <c r="BH58" s="328"/>
      <c r="BI58" s="944" t="s">
        <v>212</v>
      </c>
      <c r="BJ58" s="944"/>
      <c r="BK58" s="944"/>
      <c r="BL58" s="944"/>
      <c r="BM58" s="944"/>
      <c r="BN58" s="944"/>
      <c r="BO58" s="944"/>
      <c r="BP58" s="944"/>
      <c r="BQ58" s="944"/>
      <c r="BR58" s="944"/>
      <c r="BS58" s="944"/>
      <c r="BT58" s="944"/>
      <c r="BU58" s="944"/>
      <c r="BV58" s="945"/>
    </row>
    <row r="59" spans="1:74" ht="30" customHeight="1" x14ac:dyDescent="0.25">
      <c r="A59" s="200">
        <f t="shared" si="0"/>
        <v>45</v>
      </c>
      <c r="B59" s="294" t="s">
        <v>162</v>
      </c>
      <c r="C59" s="295"/>
      <c r="D59" s="936"/>
      <c r="E59" s="937"/>
      <c r="F59" s="937"/>
      <c r="G59" s="937"/>
      <c r="H59" s="937"/>
      <c r="I59" s="937"/>
      <c r="J59" s="937"/>
      <c r="K59" s="938"/>
      <c r="L59" s="932"/>
      <c r="M59" s="932"/>
      <c r="N59" s="932"/>
      <c r="O59" s="932"/>
      <c r="P59" s="931"/>
      <c r="Q59" s="931"/>
      <c r="R59" s="931"/>
      <c r="S59" s="931"/>
      <c r="T59" s="933"/>
      <c r="U59" s="934"/>
      <c r="V59" s="934"/>
      <c r="W59" s="935"/>
      <c r="X59" s="936"/>
      <c r="Y59" s="937"/>
      <c r="Z59" s="937"/>
      <c r="AA59" s="938"/>
      <c r="AB59" s="594"/>
      <c r="AC59" s="595"/>
      <c r="AD59" s="596"/>
      <c r="AE59" s="779"/>
      <c r="AF59" s="939"/>
      <c r="AG59" s="780"/>
      <c r="AH59" s="941"/>
      <c r="AI59" s="942"/>
      <c r="AJ59" s="943"/>
      <c r="AK59" s="745"/>
      <c r="AL59" s="940"/>
      <c r="AM59" s="746"/>
      <c r="AN59" s="281"/>
      <c r="AO59" s="282"/>
      <c r="AP59" s="281"/>
      <c r="AQ59" s="282"/>
      <c r="AR59" s="281"/>
      <c r="AS59" s="282"/>
      <c r="AT59" s="281"/>
      <c r="AU59" s="282"/>
      <c r="AV59" s="281"/>
      <c r="AW59" s="282"/>
      <c r="AX59" s="281"/>
      <c r="AY59" s="282"/>
      <c r="AZ59" s="329"/>
      <c r="BA59" s="331"/>
      <c r="BB59" s="328"/>
      <c r="BC59" s="331"/>
      <c r="BD59" s="328"/>
      <c r="BE59" s="331"/>
      <c r="BF59" s="328"/>
      <c r="BG59" s="331"/>
      <c r="BH59" s="328"/>
      <c r="BI59" s="944" t="s">
        <v>212</v>
      </c>
      <c r="BJ59" s="944"/>
      <c r="BK59" s="944"/>
      <c r="BL59" s="944"/>
      <c r="BM59" s="944"/>
      <c r="BN59" s="944"/>
      <c r="BO59" s="944"/>
      <c r="BP59" s="944"/>
      <c r="BQ59" s="944"/>
      <c r="BR59" s="944"/>
      <c r="BS59" s="944"/>
      <c r="BT59" s="944"/>
      <c r="BU59" s="944"/>
      <c r="BV59" s="945"/>
    </row>
    <row r="60" spans="1:74" ht="30" customHeight="1" x14ac:dyDescent="0.25">
      <c r="A60" s="200">
        <f t="shared" si="0"/>
        <v>46</v>
      </c>
      <c r="B60" s="294" t="s">
        <v>162</v>
      </c>
      <c r="C60" s="295"/>
      <c r="D60" s="936"/>
      <c r="E60" s="937"/>
      <c r="F60" s="937"/>
      <c r="G60" s="937"/>
      <c r="H60" s="937"/>
      <c r="I60" s="937"/>
      <c r="J60" s="937"/>
      <c r="K60" s="938"/>
      <c r="L60" s="932"/>
      <c r="M60" s="932"/>
      <c r="N60" s="932"/>
      <c r="O60" s="932"/>
      <c r="P60" s="931"/>
      <c r="Q60" s="931"/>
      <c r="R60" s="931"/>
      <c r="S60" s="931"/>
      <c r="T60" s="933"/>
      <c r="U60" s="934"/>
      <c r="V60" s="934"/>
      <c r="W60" s="935"/>
      <c r="X60" s="936"/>
      <c r="Y60" s="937"/>
      <c r="Z60" s="937"/>
      <c r="AA60" s="938"/>
      <c r="AB60" s="594"/>
      <c r="AC60" s="595"/>
      <c r="AD60" s="596"/>
      <c r="AE60" s="779"/>
      <c r="AF60" s="939"/>
      <c r="AG60" s="780"/>
      <c r="AH60" s="941"/>
      <c r="AI60" s="942"/>
      <c r="AJ60" s="943"/>
      <c r="AK60" s="745"/>
      <c r="AL60" s="940"/>
      <c r="AM60" s="746"/>
      <c r="AN60" s="281"/>
      <c r="AO60" s="282"/>
      <c r="AP60" s="281"/>
      <c r="AQ60" s="282"/>
      <c r="AR60" s="281"/>
      <c r="AS60" s="282"/>
      <c r="AT60" s="281"/>
      <c r="AU60" s="282"/>
      <c r="AV60" s="281"/>
      <c r="AW60" s="282"/>
      <c r="AX60" s="281"/>
      <c r="AY60" s="282"/>
      <c r="AZ60" s="329"/>
      <c r="BA60" s="331"/>
      <c r="BB60" s="328"/>
      <c r="BC60" s="331"/>
      <c r="BD60" s="328"/>
      <c r="BE60" s="331"/>
      <c r="BF60" s="328"/>
      <c r="BG60" s="331"/>
      <c r="BH60" s="328"/>
      <c r="BI60" s="944" t="s">
        <v>212</v>
      </c>
      <c r="BJ60" s="944"/>
      <c r="BK60" s="944"/>
      <c r="BL60" s="944"/>
      <c r="BM60" s="944"/>
      <c r="BN60" s="944"/>
      <c r="BO60" s="944"/>
      <c r="BP60" s="944"/>
      <c r="BQ60" s="944"/>
      <c r="BR60" s="944"/>
      <c r="BS60" s="944"/>
      <c r="BT60" s="944"/>
      <c r="BU60" s="944"/>
      <c r="BV60" s="945"/>
    </row>
    <row r="61" spans="1:74" ht="30" customHeight="1" x14ac:dyDescent="0.25">
      <c r="A61" s="200">
        <f t="shared" si="0"/>
        <v>47</v>
      </c>
      <c r="B61" s="294" t="s">
        <v>162</v>
      </c>
      <c r="C61" s="295"/>
      <c r="D61" s="936"/>
      <c r="E61" s="937"/>
      <c r="F61" s="937"/>
      <c r="G61" s="937"/>
      <c r="H61" s="937"/>
      <c r="I61" s="937"/>
      <c r="J61" s="937"/>
      <c r="K61" s="938"/>
      <c r="L61" s="932"/>
      <c r="M61" s="932"/>
      <c r="N61" s="932"/>
      <c r="O61" s="932"/>
      <c r="P61" s="931"/>
      <c r="Q61" s="931"/>
      <c r="R61" s="931"/>
      <c r="S61" s="931"/>
      <c r="T61" s="933"/>
      <c r="U61" s="934"/>
      <c r="V61" s="934"/>
      <c r="W61" s="935"/>
      <c r="X61" s="936"/>
      <c r="Y61" s="937"/>
      <c r="Z61" s="937"/>
      <c r="AA61" s="938"/>
      <c r="AB61" s="594"/>
      <c r="AC61" s="595"/>
      <c r="AD61" s="596"/>
      <c r="AE61" s="779"/>
      <c r="AF61" s="939"/>
      <c r="AG61" s="780"/>
      <c r="AH61" s="941"/>
      <c r="AI61" s="942"/>
      <c r="AJ61" s="943"/>
      <c r="AK61" s="745"/>
      <c r="AL61" s="940"/>
      <c r="AM61" s="746"/>
      <c r="AN61" s="281"/>
      <c r="AO61" s="282"/>
      <c r="AP61" s="281"/>
      <c r="AQ61" s="282"/>
      <c r="AR61" s="281"/>
      <c r="AS61" s="282"/>
      <c r="AT61" s="281"/>
      <c r="AU61" s="282"/>
      <c r="AV61" s="281"/>
      <c r="AW61" s="282"/>
      <c r="AX61" s="281"/>
      <c r="AY61" s="282"/>
      <c r="AZ61" s="329"/>
      <c r="BA61" s="331"/>
      <c r="BB61" s="328"/>
      <c r="BC61" s="331"/>
      <c r="BD61" s="328"/>
      <c r="BE61" s="331"/>
      <c r="BF61" s="328"/>
      <c r="BG61" s="331"/>
      <c r="BH61" s="328"/>
      <c r="BI61" s="944" t="s">
        <v>212</v>
      </c>
      <c r="BJ61" s="944"/>
      <c r="BK61" s="944"/>
      <c r="BL61" s="944"/>
      <c r="BM61" s="944"/>
      <c r="BN61" s="944"/>
      <c r="BO61" s="944"/>
      <c r="BP61" s="944"/>
      <c r="BQ61" s="944"/>
      <c r="BR61" s="944"/>
      <c r="BS61" s="944"/>
      <c r="BT61" s="944"/>
      <c r="BU61" s="944"/>
      <c r="BV61" s="945"/>
    </row>
    <row r="62" spans="1:74" ht="30" customHeight="1" x14ac:dyDescent="0.25">
      <c r="A62" s="200">
        <f t="shared" si="0"/>
        <v>48</v>
      </c>
      <c r="B62" s="294" t="s">
        <v>162</v>
      </c>
      <c r="C62" s="295"/>
      <c r="D62" s="936"/>
      <c r="E62" s="937"/>
      <c r="F62" s="937"/>
      <c r="G62" s="937"/>
      <c r="H62" s="937"/>
      <c r="I62" s="937"/>
      <c r="J62" s="937"/>
      <c r="K62" s="938"/>
      <c r="L62" s="932"/>
      <c r="M62" s="932"/>
      <c r="N62" s="932"/>
      <c r="O62" s="932"/>
      <c r="P62" s="931"/>
      <c r="Q62" s="931"/>
      <c r="R62" s="931"/>
      <c r="S62" s="931"/>
      <c r="T62" s="933"/>
      <c r="U62" s="934"/>
      <c r="V62" s="934"/>
      <c r="W62" s="935"/>
      <c r="X62" s="936"/>
      <c r="Y62" s="937"/>
      <c r="Z62" s="937"/>
      <c r="AA62" s="938"/>
      <c r="AB62" s="594"/>
      <c r="AC62" s="595"/>
      <c r="AD62" s="596"/>
      <c r="AE62" s="779"/>
      <c r="AF62" s="939"/>
      <c r="AG62" s="780"/>
      <c r="AH62" s="941"/>
      <c r="AI62" s="942"/>
      <c r="AJ62" s="943"/>
      <c r="AK62" s="745"/>
      <c r="AL62" s="940"/>
      <c r="AM62" s="746"/>
      <c r="AN62" s="281"/>
      <c r="AO62" s="282"/>
      <c r="AP62" s="281"/>
      <c r="AQ62" s="282"/>
      <c r="AR62" s="281"/>
      <c r="AS62" s="282"/>
      <c r="AT62" s="281"/>
      <c r="AU62" s="282"/>
      <c r="AV62" s="281"/>
      <c r="AW62" s="282"/>
      <c r="AX62" s="281"/>
      <c r="AY62" s="282"/>
      <c r="AZ62" s="329"/>
      <c r="BA62" s="331"/>
      <c r="BB62" s="328"/>
      <c r="BC62" s="331"/>
      <c r="BD62" s="328"/>
      <c r="BE62" s="331"/>
      <c r="BF62" s="328"/>
      <c r="BG62" s="331"/>
      <c r="BH62" s="328"/>
      <c r="BI62" s="944" t="s">
        <v>159</v>
      </c>
      <c r="BJ62" s="944"/>
      <c r="BK62" s="944"/>
      <c r="BL62" s="944"/>
      <c r="BM62" s="944"/>
      <c r="BN62" s="944"/>
      <c r="BO62" s="944"/>
      <c r="BP62" s="944"/>
      <c r="BQ62" s="944"/>
      <c r="BR62" s="944"/>
      <c r="BS62" s="944"/>
      <c r="BT62" s="944"/>
      <c r="BU62" s="944"/>
      <c r="BV62" s="945"/>
    </row>
    <row r="63" spans="1:74" ht="30" customHeight="1" x14ac:dyDescent="0.25">
      <c r="A63" s="200">
        <f t="shared" si="0"/>
        <v>49</v>
      </c>
      <c r="B63" s="294" t="s">
        <v>162</v>
      </c>
      <c r="C63" s="295"/>
      <c r="D63" s="936"/>
      <c r="E63" s="937"/>
      <c r="F63" s="937"/>
      <c r="G63" s="937"/>
      <c r="H63" s="937"/>
      <c r="I63" s="937"/>
      <c r="J63" s="937"/>
      <c r="K63" s="938"/>
      <c r="L63" s="932"/>
      <c r="M63" s="932"/>
      <c r="N63" s="932"/>
      <c r="O63" s="932"/>
      <c r="P63" s="931"/>
      <c r="Q63" s="931"/>
      <c r="R63" s="931"/>
      <c r="S63" s="931"/>
      <c r="T63" s="933"/>
      <c r="U63" s="934"/>
      <c r="V63" s="934"/>
      <c r="W63" s="935"/>
      <c r="X63" s="936"/>
      <c r="Y63" s="937"/>
      <c r="Z63" s="937"/>
      <c r="AA63" s="938"/>
      <c r="AB63" s="594"/>
      <c r="AC63" s="595"/>
      <c r="AD63" s="596"/>
      <c r="AE63" s="779"/>
      <c r="AF63" s="939"/>
      <c r="AG63" s="780"/>
      <c r="AH63" s="941"/>
      <c r="AI63" s="942"/>
      <c r="AJ63" s="943"/>
      <c r="AK63" s="745"/>
      <c r="AL63" s="940"/>
      <c r="AM63" s="746"/>
      <c r="AN63" s="281"/>
      <c r="AO63" s="282"/>
      <c r="AP63" s="281"/>
      <c r="AQ63" s="282"/>
      <c r="AR63" s="281"/>
      <c r="AS63" s="282"/>
      <c r="AT63" s="281"/>
      <c r="AU63" s="282"/>
      <c r="AV63" s="281"/>
      <c r="AW63" s="282"/>
      <c r="AX63" s="281"/>
      <c r="AY63" s="282"/>
      <c r="AZ63" s="329"/>
      <c r="BA63" s="331"/>
      <c r="BB63" s="328"/>
      <c r="BC63" s="331"/>
      <c r="BD63" s="328"/>
      <c r="BE63" s="331"/>
      <c r="BF63" s="328"/>
      <c r="BG63" s="331"/>
      <c r="BH63" s="328"/>
      <c r="BI63" s="944" t="s">
        <v>159</v>
      </c>
      <c r="BJ63" s="944"/>
      <c r="BK63" s="944"/>
      <c r="BL63" s="944"/>
      <c r="BM63" s="944"/>
      <c r="BN63" s="944"/>
      <c r="BO63" s="944"/>
      <c r="BP63" s="944"/>
      <c r="BQ63" s="944"/>
      <c r="BR63" s="944"/>
      <c r="BS63" s="944"/>
      <c r="BT63" s="944"/>
      <c r="BU63" s="944"/>
      <c r="BV63" s="945"/>
    </row>
    <row r="64" spans="1:74" ht="30" customHeight="1" x14ac:dyDescent="0.25">
      <c r="A64" s="232">
        <f t="shared" si="0"/>
        <v>50</v>
      </c>
      <c r="B64" s="294" t="s">
        <v>162</v>
      </c>
      <c r="C64" s="295"/>
      <c r="D64" s="936"/>
      <c r="E64" s="937"/>
      <c r="F64" s="937"/>
      <c r="G64" s="937"/>
      <c r="H64" s="937"/>
      <c r="I64" s="937"/>
      <c r="J64" s="937"/>
      <c r="K64" s="938"/>
      <c r="L64" s="932"/>
      <c r="M64" s="932"/>
      <c r="N64" s="932"/>
      <c r="O64" s="932"/>
      <c r="P64" s="931"/>
      <c r="Q64" s="931"/>
      <c r="R64" s="931"/>
      <c r="S64" s="931"/>
      <c r="T64" s="933"/>
      <c r="U64" s="934"/>
      <c r="V64" s="934"/>
      <c r="W64" s="935"/>
      <c r="X64" s="936"/>
      <c r="Y64" s="937"/>
      <c r="Z64" s="937"/>
      <c r="AA64" s="938"/>
      <c r="AB64" s="594"/>
      <c r="AC64" s="595"/>
      <c r="AD64" s="596"/>
      <c r="AE64" s="779"/>
      <c r="AF64" s="939"/>
      <c r="AG64" s="780"/>
      <c r="AH64" s="941"/>
      <c r="AI64" s="942"/>
      <c r="AJ64" s="943"/>
      <c r="AK64" s="745"/>
      <c r="AL64" s="940"/>
      <c r="AM64" s="746"/>
      <c r="AN64" s="281"/>
      <c r="AO64" s="282"/>
      <c r="AP64" s="281"/>
      <c r="AQ64" s="282"/>
      <c r="AR64" s="281"/>
      <c r="AS64" s="282"/>
      <c r="AT64" s="281"/>
      <c r="AU64" s="282"/>
      <c r="AV64" s="281"/>
      <c r="AW64" s="282"/>
      <c r="AX64" s="281"/>
      <c r="AY64" s="282"/>
      <c r="AZ64" s="329"/>
      <c r="BA64" s="331"/>
      <c r="BB64" s="328"/>
      <c r="BC64" s="331"/>
      <c r="BD64" s="329"/>
      <c r="BE64" s="331"/>
      <c r="BF64" s="329"/>
      <c r="BG64" s="331"/>
      <c r="BH64" s="329"/>
      <c r="BI64" s="944" t="s">
        <v>212</v>
      </c>
      <c r="BJ64" s="944"/>
      <c r="BK64" s="944"/>
      <c r="BL64" s="944"/>
      <c r="BM64" s="944"/>
      <c r="BN64" s="944"/>
      <c r="BO64" s="944"/>
      <c r="BP64" s="944"/>
      <c r="BQ64" s="944"/>
      <c r="BR64" s="944"/>
      <c r="BS64" s="944"/>
      <c r="BT64" s="944"/>
      <c r="BU64" s="944"/>
      <c r="BV64" s="945"/>
    </row>
    <row r="65" spans="1:74" ht="30" customHeight="1" x14ac:dyDescent="0.25">
      <c r="A65" s="200">
        <f t="shared" si="0"/>
        <v>51</v>
      </c>
      <c r="B65" s="294" t="s">
        <v>162</v>
      </c>
      <c r="C65" s="295"/>
      <c r="D65" s="936"/>
      <c r="E65" s="937"/>
      <c r="F65" s="937"/>
      <c r="G65" s="937"/>
      <c r="H65" s="937"/>
      <c r="I65" s="937"/>
      <c r="J65" s="937"/>
      <c r="K65" s="938"/>
      <c r="L65" s="932"/>
      <c r="M65" s="932"/>
      <c r="N65" s="932"/>
      <c r="O65" s="932"/>
      <c r="P65" s="931"/>
      <c r="Q65" s="931"/>
      <c r="R65" s="931"/>
      <c r="S65" s="931"/>
      <c r="T65" s="933"/>
      <c r="U65" s="934"/>
      <c r="V65" s="934"/>
      <c r="W65" s="935"/>
      <c r="X65" s="936"/>
      <c r="Y65" s="937"/>
      <c r="Z65" s="937"/>
      <c r="AA65" s="938"/>
      <c r="AB65" s="594"/>
      <c r="AC65" s="595"/>
      <c r="AD65" s="596"/>
      <c r="AE65" s="779"/>
      <c r="AF65" s="939"/>
      <c r="AG65" s="780"/>
      <c r="AH65" s="941"/>
      <c r="AI65" s="942"/>
      <c r="AJ65" s="943"/>
      <c r="AK65" s="745"/>
      <c r="AL65" s="940"/>
      <c r="AM65" s="746"/>
      <c r="AN65" s="281"/>
      <c r="AO65" s="282"/>
      <c r="AP65" s="281"/>
      <c r="AQ65" s="282"/>
      <c r="AR65" s="281"/>
      <c r="AS65" s="282"/>
      <c r="AT65" s="281"/>
      <c r="AU65" s="282"/>
      <c r="AV65" s="281"/>
      <c r="AW65" s="282"/>
      <c r="AX65" s="281"/>
      <c r="AY65" s="282"/>
      <c r="AZ65" s="117"/>
      <c r="BA65" s="331"/>
      <c r="BB65" s="117"/>
      <c r="BC65" s="331"/>
      <c r="BD65" s="117"/>
      <c r="BE65" s="331"/>
      <c r="BF65" s="117"/>
      <c r="BG65" s="331"/>
      <c r="BH65" s="117"/>
      <c r="BI65" s="944" t="s">
        <v>212</v>
      </c>
      <c r="BJ65" s="944"/>
      <c r="BK65" s="944"/>
      <c r="BL65" s="944"/>
      <c r="BM65" s="944"/>
      <c r="BN65" s="944"/>
      <c r="BO65" s="944"/>
      <c r="BP65" s="944"/>
      <c r="BQ65" s="944"/>
      <c r="BR65" s="944"/>
      <c r="BS65" s="944"/>
      <c r="BT65" s="944"/>
      <c r="BU65" s="944"/>
      <c r="BV65" s="945"/>
    </row>
    <row r="66" spans="1:74" ht="30" customHeight="1" x14ac:dyDescent="0.25">
      <c r="A66" s="200">
        <f t="shared" si="0"/>
        <v>52</v>
      </c>
      <c r="B66" s="294" t="s">
        <v>162</v>
      </c>
      <c r="C66" s="295"/>
      <c r="D66" s="936"/>
      <c r="E66" s="937"/>
      <c r="F66" s="937"/>
      <c r="G66" s="937"/>
      <c r="H66" s="937"/>
      <c r="I66" s="937"/>
      <c r="J66" s="937"/>
      <c r="K66" s="938"/>
      <c r="L66" s="932"/>
      <c r="M66" s="932"/>
      <c r="N66" s="932"/>
      <c r="O66" s="932"/>
      <c r="P66" s="931"/>
      <c r="Q66" s="931"/>
      <c r="R66" s="931"/>
      <c r="S66" s="931"/>
      <c r="T66" s="933"/>
      <c r="U66" s="934"/>
      <c r="V66" s="934"/>
      <c r="W66" s="935"/>
      <c r="X66" s="936"/>
      <c r="Y66" s="937"/>
      <c r="Z66" s="937"/>
      <c r="AA66" s="938"/>
      <c r="AB66" s="594"/>
      <c r="AC66" s="595"/>
      <c r="AD66" s="596"/>
      <c r="AE66" s="779"/>
      <c r="AF66" s="939"/>
      <c r="AG66" s="780"/>
      <c r="AH66" s="941"/>
      <c r="AI66" s="942"/>
      <c r="AJ66" s="943"/>
      <c r="AK66" s="745"/>
      <c r="AL66" s="940"/>
      <c r="AM66" s="746"/>
      <c r="AN66" s="281"/>
      <c r="AO66" s="282"/>
      <c r="AP66" s="281"/>
      <c r="AQ66" s="282"/>
      <c r="AR66" s="281"/>
      <c r="AS66" s="282"/>
      <c r="AT66" s="281"/>
      <c r="AU66" s="282"/>
      <c r="AV66" s="281"/>
      <c r="AW66" s="282"/>
      <c r="AX66" s="281"/>
      <c r="AY66" s="282"/>
      <c r="AZ66" s="117"/>
      <c r="BA66" s="331"/>
      <c r="BB66" s="117"/>
      <c r="BC66" s="331"/>
      <c r="BD66" s="117"/>
      <c r="BE66" s="331"/>
      <c r="BF66" s="117"/>
      <c r="BG66" s="331"/>
      <c r="BH66" s="117"/>
      <c r="BI66" s="944" t="s">
        <v>212</v>
      </c>
      <c r="BJ66" s="944"/>
      <c r="BK66" s="944"/>
      <c r="BL66" s="944"/>
      <c r="BM66" s="944"/>
      <c r="BN66" s="944"/>
      <c r="BO66" s="944"/>
      <c r="BP66" s="944"/>
      <c r="BQ66" s="944"/>
      <c r="BR66" s="944"/>
      <c r="BS66" s="944"/>
      <c r="BT66" s="944"/>
      <c r="BU66" s="944"/>
      <c r="BV66" s="945"/>
    </row>
    <row r="67" spans="1:74" ht="30" customHeight="1" x14ac:dyDescent="0.25">
      <c r="A67" s="200">
        <f t="shared" si="0"/>
        <v>53</v>
      </c>
      <c r="B67" s="294" t="s">
        <v>162</v>
      </c>
      <c r="C67" s="295"/>
      <c r="D67" s="936"/>
      <c r="E67" s="937"/>
      <c r="F67" s="937"/>
      <c r="G67" s="937"/>
      <c r="H67" s="937"/>
      <c r="I67" s="937"/>
      <c r="J67" s="937"/>
      <c r="K67" s="938"/>
      <c r="L67" s="932"/>
      <c r="M67" s="932"/>
      <c r="N67" s="932"/>
      <c r="O67" s="932"/>
      <c r="P67" s="931"/>
      <c r="Q67" s="931"/>
      <c r="R67" s="931"/>
      <c r="S67" s="931"/>
      <c r="T67" s="933"/>
      <c r="U67" s="934"/>
      <c r="V67" s="934"/>
      <c r="W67" s="935"/>
      <c r="X67" s="936"/>
      <c r="Y67" s="937"/>
      <c r="Z67" s="937"/>
      <c r="AA67" s="938"/>
      <c r="AB67" s="594"/>
      <c r="AC67" s="595"/>
      <c r="AD67" s="596"/>
      <c r="AE67" s="779"/>
      <c r="AF67" s="939"/>
      <c r="AG67" s="780"/>
      <c r="AH67" s="941"/>
      <c r="AI67" s="942"/>
      <c r="AJ67" s="943"/>
      <c r="AK67" s="745"/>
      <c r="AL67" s="940"/>
      <c r="AM67" s="746"/>
      <c r="AN67" s="281"/>
      <c r="AO67" s="282"/>
      <c r="AP67" s="281"/>
      <c r="AQ67" s="282"/>
      <c r="AR67" s="281"/>
      <c r="AS67" s="282"/>
      <c r="AT67" s="281"/>
      <c r="AU67" s="282"/>
      <c r="AV67" s="281"/>
      <c r="AW67" s="282"/>
      <c r="AX67" s="281"/>
      <c r="AY67" s="282"/>
      <c r="AZ67" s="117"/>
      <c r="BA67" s="331"/>
      <c r="BB67" s="117"/>
      <c r="BC67" s="331"/>
      <c r="BD67" s="117"/>
      <c r="BE67" s="331"/>
      <c r="BF67" s="117"/>
      <c r="BG67" s="331"/>
      <c r="BH67" s="117"/>
      <c r="BI67" s="944" t="s">
        <v>212</v>
      </c>
      <c r="BJ67" s="944"/>
      <c r="BK67" s="944"/>
      <c r="BL67" s="944"/>
      <c r="BM67" s="944"/>
      <c r="BN67" s="944"/>
      <c r="BO67" s="944"/>
      <c r="BP67" s="944"/>
      <c r="BQ67" s="944"/>
      <c r="BR67" s="944"/>
      <c r="BS67" s="944"/>
      <c r="BT67" s="944"/>
      <c r="BU67" s="944"/>
      <c r="BV67" s="945"/>
    </row>
    <row r="68" spans="1:74" ht="30" customHeight="1" x14ac:dyDescent="0.25">
      <c r="A68" s="200">
        <f t="shared" si="0"/>
        <v>54</v>
      </c>
      <c r="B68" s="294" t="s">
        <v>162</v>
      </c>
      <c r="C68" s="295"/>
      <c r="D68" s="936"/>
      <c r="E68" s="937"/>
      <c r="F68" s="937"/>
      <c r="G68" s="937"/>
      <c r="H68" s="937"/>
      <c r="I68" s="937"/>
      <c r="J68" s="937"/>
      <c r="K68" s="938"/>
      <c r="L68" s="932"/>
      <c r="M68" s="932"/>
      <c r="N68" s="932"/>
      <c r="O68" s="932"/>
      <c r="P68" s="931"/>
      <c r="Q68" s="931"/>
      <c r="R68" s="931"/>
      <c r="S68" s="931"/>
      <c r="T68" s="933"/>
      <c r="U68" s="934"/>
      <c r="V68" s="934"/>
      <c r="W68" s="935"/>
      <c r="X68" s="936"/>
      <c r="Y68" s="937"/>
      <c r="Z68" s="937"/>
      <c r="AA68" s="938"/>
      <c r="AB68" s="594"/>
      <c r="AC68" s="595"/>
      <c r="AD68" s="596"/>
      <c r="AE68" s="779"/>
      <c r="AF68" s="939"/>
      <c r="AG68" s="780"/>
      <c r="AH68" s="941"/>
      <c r="AI68" s="942"/>
      <c r="AJ68" s="943"/>
      <c r="AK68" s="745"/>
      <c r="AL68" s="940"/>
      <c r="AM68" s="746"/>
      <c r="AN68" s="281"/>
      <c r="AO68" s="282"/>
      <c r="AP68" s="281"/>
      <c r="AQ68" s="282"/>
      <c r="AR68" s="281"/>
      <c r="AS68" s="282"/>
      <c r="AT68" s="281"/>
      <c r="AU68" s="282"/>
      <c r="AV68" s="281"/>
      <c r="AW68" s="282"/>
      <c r="AX68" s="281"/>
      <c r="AY68" s="282"/>
      <c r="AZ68" s="117"/>
      <c r="BA68" s="331"/>
      <c r="BB68" s="117"/>
      <c r="BC68" s="331"/>
      <c r="BD68" s="117"/>
      <c r="BE68" s="331"/>
      <c r="BF68" s="117"/>
      <c r="BG68" s="331"/>
      <c r="BH68" s="117"/>
      <c r="BI68" s="944" t="s">
        <v>212</v>
      </c>
      <c r="BJ68" s="944"/>
      <c r="BK68" s="944"/>
      <c r="BL68" s="944"/>
      <c r="BM68" s="944"/>
      <c r="BN68" s="944"/>
      <c r="BO68" s="944"/>
      <c r="BP68" s="944"/>
      <c r="BQ68" s="944"/>
      <c r="BR68" s="944"/>
      <c r="BS68" s="944"/>
      <c r="BT68" s="944"/>
      <c r="BU68" s="944"/>
      <c r="BV68" s="945"/>
    </row>
    <row r="69" spans="1:74" ht="30" customHeight="1" x14ac:dyDescent="0.25">
      <c r="A69" s="200">
        <f t="shared" si="0"/>
        <v>55</v>
      </c>
      <c r="B69" s="294" t="s">
        <v>162</v>
      </c>
      <c r="C69" s="295"/>
      <c r="D69" s="936"/>
      <c r="E69" s="937"/>
      <c r="F69" s="937"/>
      <c r="G69" s="937"/>
      <c r="H69" s="937"/>
      <c r="I69" s="937"/>
      <c r="J69" s="937"/>
      <c r="K69" s="938"/>
      <c r="L69" s="932"/>
      <c r="M69" s="932"/>
      <c r="N69" s="932"/>
      <c r="O69" s="932"/>
      <c r="P69" s="931"/>
      <c r="Q69" s="931"/>
      <c r="R69" s="931"/>
      <c r="S69" s="931"/>
      <c r="T69" s="933"/>
      <c r="U69" s="934"/>
      <c r="V69" s="934"/>
      <c r="W69" s="935"/>
      <c r="X69" s="936"/>
      <c r="Y69" s="937"/>
      <c r="Z69" s="937"/>
      <c r="AA69" s="938"/>
      <c r="AB69" s="594"/>
      <c r="AC69" s="595"/>
      <c r="AD69" s="596"/>
      <c r="AE69" s="779"/>
      <c r="AF69" s="939"/>
      <c r="AG69" s="780"/>
      <c r="AH69" s="941"/>
      <c r="AI69" s="942"/>
      <c r="AJ69" s="943"/>
      <c r="AK69" s="745"/>
      <c r="AL69" s="940"/>
      <c r="AM69" s="746"/>
      <c r="AN69" s="281"/>
      <c r="AO69" s="282"/>
      <c r="AP69" s="281"/>
      <c r="AQ69" s="282"/>
      <c r="AR69" s="281"/>
      <c r="AS69" s="282"/>
      <c r="AT69" s="281"/>
      <c r="AU69" s="282"/>
      <c r="AV69" s="281"/>
      <c r="AW69" s="282"/>
      <c r="AX69" s="281"/>
      <c r="AY69" s="282"/>
      <c r="AZ69" s="117"/>
      <c r="BA69" s="331"/>
      <c r="BB69" s="117"/>
      <c r="BC69" s="331"/>
      <c r="BD69" s="117"/>
      <c r="BE69" s="331"/>
      <c r="BF69" s="117"/>
      <c r="BG69" s="331"/>
      <c r="BH69" s="117"/>
      <c r="BI69" s="944" t="s">
        <v>159</v>
      </c>
      <c r="BJ69" s="944"/>
      <c r="BK69" s="944"/>
      <c r="BL69" s="944"/>
      <c r="BM69" s="944"/>
      <c r="BN69" s="944"/>
      <c r="BO69" s="944"/>
      <c r="BP69" s="944"/>
      <c r="BQ69" s="944"/>
      <c r="BR69" s="944"/>
      <c r="BS69" s="944"/>
      <c r="BT69" s="944"/>
      <c r="BU69" s="944"/>
      <c r="BV69" s="945"/>
    </row>
    <row r="70" spans="1:74" ht="30" customHeight="1" x14ac:dyDescent="0.25">
      <c r="A70" s="200">
        <f t="shared" si="0"/>
        <v>56</v>
      </c>
      <c r="B70" s="294" t="s">
        <v>162</v>
      </c>
      <c r="C70" s="295"/>
      <c r="D70" s="936"/>
      <c r="E70" s="937"/>
      <c r="F70" s="937"/>
      <c r="G70" s="937"/>
      <c r="H70" s="937"/>
      <c r="I70" s="937"/>
      <c r="J70" s="937"/>
      <c r="K70" s="938"/>
      <c r="L70" s="932"/>
      <c r="M70" s="932"/>
      <c r="N70" s="932"/>
      <c r="O70" s="932"/>
      <c r="P70" s="931"/>
      <c r="Q70" s="931"/>
      <c r="R70" s="931"/>
      <c r="S70" s="931"/>
      <c r="T70" s="933"/>
      <c r="U70" s="934"/>
      <c r="V70" s="934"/>
      <c r="W70" s="935"/>
      <c r="X70" s="936"/>
      <c r="Y70" s="937"/>
      <c r="Z70" s="937"/>
      <c r="AA70" s="938"/>
      <c r="AB70" s="594"/>
      <c r="AC70" s="595"/>
      <c r="AD70" s="596"/>
      <c r="AE70" s="779"/>
      <c r="AF70" s="939"/>
      <c r="AG70" s="780"/>
      <c r="AH70" s="941"/>
      <c r="AI70" s="942"/>
      <c r="AJ70" s="943"/>
      <c r="AK70" s="745"/>
      <c r="AL70" s="940"/>
      <c r="AM70" s="746"/>
      <c r="AN70" s="281"/>
      <c r="AO70" s="282"/>
      <c r="AP70" s="281"/>
      <c r="AQ70" s="282"/>
      <c r="AR70" s="281"/>
      <c r="AS70" s="282"/>
      <c r="AT70" s="281"/>
      <c r="AU70" s="282"/>
      <c r="AV70" s="281"/>
      <c r="AW70" s="282"/>
      <c r="AX70" s="281"/>
      <c r="AY70" s="282"/>
      <c r="AZ70" s="117"/>
      <c r="BA70" s="331"/>
      <c r="BB70" s="117"/>
      <c r="BC70" s="331"/>
      <c r="BD70" s="117"/>
      <c r="BE70" s="331"/>
      <c r="BF70" s="117"/>
      <c r="BG70" s="331"/>
      <c r="BH70" s="117"/>
      <c r="BI70" s="944" t="s">
        <v>159</v>
      </c>
      <c r="BJ70" s="944"/>
      <c r="BK70" s="944"/>
      <c r="BL70" s="944"/>
      <c r="BM70" s="944"/>
      <c r="BN70" s="944"/>
      <c r="BO70" s="944"/>
      <c r="BP70" s="944"/>
      <c r="BQ70" s="944"/>
      <c r="BR70" s="944"/>
      <c r="BS70" s="944"/>
      <c r="BT70" s="944"/>
      <c r="BU70" s="944"/>
      <c r="BV70" s="945"/>
    </row>
    <row r="71" spans="1:74" ht="30" customHeight="1" x14ac:dyDescent="0.25">
      <c r="A71" s="232">
        <f t="shared" si="0"/>
        <v>57</v>
      </c>
      <c r="B71" s="294" t="s">
        <v>162</v>
      </c>
      <c r="C71" s="295"/>
      <c r="D71" s="936"/>
      <c r="E71" s="937"/>
      <c r="F71" s="937"/>
      <c r="G71" s="937"/>
      <c r="H71" s="937"/>
      <c r="I71" s="937"/>
      <c r="J71" s="937"/>
      <c r="K71" s="938"/>
      <c r="L71" s="932"/>
      <c r="M71" s="932"/>
      <c r="N71" s="932"/>
      <c r="O71" s="932"/>
      <c r="P71" s="931"/>
      <c r="Q71" s="931"/>
      <c r="R71" s="931"/>
      <c r="S71" s="931"/>
      <c r="T71" s="933"/>
      <c r="U71" s="934"/>
      <c r="V71" s="934"/>
      <c r="W71" s="935"/>
      <c r="X71" s="936"/>
      <c r="Y71" s="937"/>
      <c r="Z71" s="937"/>
      <c r="AA71" s="938"/>
      <c r="AB71" s="594"/>
      <c r="AC71" s="595"/>
      <c r="AD71" s="596"/>
      <c r="AE71" s="779"/>
      <c r="AF71" s="939"/>
      <c r="AG71" s="780"/>
      <c r="AH71" s="941"/>
      <c r="AI71" s="942"/>
      <c r="AJ71" s="943"/>
      <c r="AK71" s="745"/>
      <c r="AL71" s="940"/>
      <c r="AM71" s="746"/>
      <c r="AN71" s="281"/>
      <c r="AO71" s="282"/>
      <c r="AP71" s="281"/>
      <c r="AQ71" s="282"/>
      <c r="AR71" s="281"/>
      <c r="AS71" s="282"/>
      <c r="AT71" s="281"/>
      <c r="AU71" s="282"/>
      <c r="AV71" s="281"/>
      <c r="AW71" s="282"/>
      <c r="AX71" s="281"/>
      <c r="AY71" s="282"/>
      <c r="AZ71" s="117"/>
      <c r="BA71" s="331"/>
      <c r="BB71" s="117"/>
      <c r="BC71" s="331"/>
      <c r="BD71" s="117"/>
      <c r="BE71" s="331"/>
      <c r="BF71" s="117"/>
      <c r="BG71" s="331"/>
      <c r="BH71" s="117"/>
      <c r="BI71" s="944" t="s">
        <v>212</v>
      </c>
      <c r="BJ71" s="944"/>
      <c r="BK71" s="944"/>
      <c r="BL71" s="944"/>
      <c r="BM71" s="944"/>
      <c r="BN71" s="944"/>
      <c r="BO71" s="944"/>
      <c r="BP71" s="944"/>
      <c r="BQ71" s="944"/>
      <c r="BR71" s="944"/>
      <c r="BS71" s="944"/>
      <c r="BT71" s="944"/>
      <c r="BU71" s="944"/>
      <c r="BV71" s="945"/>
    </row>
    <row r="72" spans="1:74" ht="30" customHeight="1" x14ac:dyDescent="0.25">
      <c r="A72" s="200">
        <f t="shared" si="0"/>
        <v>58</v>
      </c>
      <c r="B72" s="294" t="s">
        <v>162</v>
      </c>
      <c r="C72" s="295"/>
      <c r="D72" s="936"/>
      <c r="E72" s="937"/>
      <c r="F72" s="937"/>
      <c r="G72" s="937"/>
      <c r="H72" s="937"/>
      <c r="I72" s="937"/>
      <c r="J72" s="937"/>
      <c r="K72" s="938"/>
      <c r="L72" s="932"/>
      <c r="M72" s="932"/>
      <c r="N72" s="932"/>
      <c r="O72" s="932"/>
      <c r="P72" s="931"/>
      <c r="Q72" s="931"/>
      <c r="R72" s="931"/>
      <c r="S72" s="931"/>
      <c r="T72" s="933"/>
      <c r="U72" s="934"/>
      <c r="V72" s="934"/>
      <c r="W72" s="935"/>
      <c r="X72" s="936"/>
      <c r="Y72" s="937"/>
      <c r="Z72" s="937"/>
      <c r="AA72" s="938"/>
      <c r="AB72" s="594"/>
      <c r="AC72" s="595"/>
      <c r="AD72" s="596"/>
      <c r="AE72" s="779"/>
      <c r="AF72" s="939"/>
      <c r="AG72" s="780"/>
      <c r="AH72" s="941"/>
      <c r="AI72" s="942"/>
      <c r="AJ72" s="943"/>
      <c r="AK72" s="745"/>
      <c r="AL72" s="940"/>
      <c r="AM72" s="746"/>
      <c r="AN72" s="281"/>
      <c r="AO72" s="282"/>
      <c r="AP72" s="281"/>
      <c r="AQ72" s="282"/>
      <c r="AR72" s="281"/>
      <c r="AS72" s="282"/>
      <c r="AT72" s="281"/>
      <c r="AU72" s="282"/>
      <c r="AV72" s="281"/>
      <c r="AW72" s="282"/>
      <c r="AX72" s="281"/>
      <c r="AY72" s="282"/>
      <c r="AZ72" s="117"/>
      <c r="BA72" s="331"/>
      <c r="BB72" s="117"/>
      <c r="BC72" s="331"/>
      <c r="BD72" s="117"/>
      <c r="BE72" s="331"/>
      <c r="BF72" s="117"/>
      <c r="BG72" s="331"/>
      <c r="BH72" s="117"/>
      <c r="BI72" s="944" t="s">
        <v>212</v>
      </c>
      <c r="BJ72" s="944"/>
      <c r="BK72" s="944"/>
      <c r="BL72" s="944"/>
      <c r="BM72" s="944"/>
      <c r="BN72" s="944"/>
      <c r="BO72" s="944"/>
      <c r="BP72" s="944"/>
      <c r="BQ72" s="944"/>
      <c r="BR72" s="944"/>
      <c r="BS72" s="944"/>
      <c r="BT72" s="944"/>
      <c r="BU72" s="944"/>
      <c r="BV72" s="945"/>
    </row>
    <row r="73" spans="1:74" ht="30" customHeight="1" x14ac:dyDescent="0.25">
      <c r="A73" s="200">
        <f t="shared" si="0"/>
        <v>59</v>
      </c>
      <c r="B73" s="294" t="s">
        <v>162</v>
      </c>
      <c r="C73" s="295"/>
      <c r="D73" s="936"/>
      <c r="E73" s="937"/>
      <c r="F73" s="937"/>
      <c r="G73" s="937"/>
      <c r="H73" s="937"/>
      <c r="I73" s="937"/>
      <c r="J73" s="937"/>
      <c r="K73" s="938"/>
      <c r="L73" s="932"/>
      <c r="M73" s="932"/>
      <c r="N73" s="932"/>
      <c r="O73" s="932"/>
      <c r="P73" s="931"/>
      <c r="Q73" s="931"/>
      <c r="R73" s="931"/>
      <c r="S73" s="931"/>
      <c r="T73" s="933"/>
      <c r="U73" s="934"/>
      <c r="V73" s="934"/>
      <c r="W73" s="935"/>
      <c r="X73" s="936"/>
      <c r="Y73" s="937"/>
      <c r="Z73" s="937"/>
      <c r="AA73" s="938"/>
      <c r="AB73" s="594"/>
      <c r="AC73" s="595"/>
      <c r="AD73" s="596"/>
      <c r="AE73" s="779"/>
      <c r="AF73" s="939"/>
      <c r="AG73" s="780"/>
      <c r="AH73" s="941"/>
      <c r="AI73" s="942"/>
      <c r="AJ73" s="943"/>
      <c r="AK73" s="745"/>
      <c r="AL73" s="940"/>
      <c r="AM73" s="746"/>
      <c r="AN73" s="281"/>
      <c r="AO73" s="282"/>
      <c r="AP73" s="281"/>
      <c r="AQ73" s="282"/>
      <c r="AR73" s="281"/>
      <c r="AS73" s="282"/>
      <c r="AT73" s="281"/>
      <c r="AU73" s="282"/>
      <c r="AV73" s="281"/>
      <c r="AW73" s="282"/>
      <c r="AX73" s="281"/>
      <c r="AY73" s="282"/>
      <c r="AZ73" s="117"/>
      <c r="BA73" s="331"/>
      <c r="BB73" s="117"/>
      <c r="BC73" s="331"/>
      <c r="BD73" s="117"/>
      <c r="BE73" s="331"/>
      <c r="BF73" s="117"/>
      <c r="BG73" s="331"/>
      <c r="BH73" s="117"/>
      <c r="BI73" s="944" t="s">
        <v>212</v>
      </c>
      <c r="BJ73" s="944"/>
      <c r="BK73" s="944"/>
      <c r="BL73" s="944"/>
      <c r="BM73" s="944"/>
      <c r="BN73" s="944"/>
      <c r="BO73" s="944"/>
      <c r="BP73" s="944"/>
      <c r="BQ73" s="944"/>
      <c r="BR73" s="944"/>
      <c r="BS73" s="944"/>
      <c r="BT73" s="944"/>
      <c r="BU73" s="944"/>
      <c r="BV73" s="945"/>
    </row>
    <row r="74" spans="1:74" ht="30" customHeight="1" x14ac:dyDescent="0.25">
      <c r="A74" s="200">
        <f t="shared" si="0"/>
        <v>60</v>
      </c>
      <c r="B74" s="294" t="s">
        <v>162</v>
      </c>
      <c r="C74" s="295"/>
      <c r="D74" s="936"/>
      <c r="E74" s="937"/>
      <c r="F74" s="937"/>
      <c r="G74" s="937"/>
      <c r="H74" s="937"/>
      <c r="I74" s="937"/>
      <c r="J74" s="937"/>
      <c r="K74" s="938"/>
      <c r="L74" s="932"/>
      <c r="M74" s="932"/>
      <c r="N74" s="932"/>
      <c r="O74" s="932"/>
      <c r="P74" s="931"/>
      <c r="Q74" s="931"/>
      <c r="R74" s="931"/>
      <c r="S74" s="931"/>
      <c r="T74" s="933"/>
      <c r="U74" s="934"/>
      <c r="V74" s="934"/>
      <c r="W74" s="935"/>
      <c r="X74" s="936"/>
      <c r="Y74" s="937"/>
      <c r="Z74" s="937"/>
      <c r="AA74" s="938"/>
      <c r="AB74" s="594"/>
      <c r="AC74" s="595"/>
      <c r="AD74" s="596"/>
      <c r="AE74" s="779"/>
      <c r="AF74" s="939"/>
      <c r="AG74" s="780"/>
      <c r="AH74" s="941"/>
      <c r="AI74" s="942"/>
      <c r="AJ74" s="943"/>
      <c r="AK74" s="745"/>
      <c r="AL74" s="940"/>
      <c r="AM74" s="746"/>
      <c r="AN74" s="281"/>
      <c r="AO74" s="282"/>
      <c r="AP74" s="281"/>
      <c r="AQ74" s="282"/>
      <c r="AR74" s="281"/>
      <c r="AS74" s="282"/>
      <c r="AT74" s="281"/>
      <c r="AU74" s="282"/>
      <c r="AV74" s="281"/>
      <c r="AW74" s="282"/>
      <c r="AX74" s="281"/>
      <c r="AY74" s="282"/>
      <c r="AZ74" s="117"/>
      <c r="BA74" s="331"/>
      <c r="BB74" s="117"/>
      <c r="BC74" s="331"/>
      <c r="BD74" s="117"/>
      <c r="BE74" s="331"/>
      <c r="BF74" s="117"/>
      <c r="BG74" s="331"/>
      <c r="BH74" s="117"/>
      <c r="BI74" s="944" t="s">
        <v>212</v>
      </c>
      <c r="BJ74" s="944"/>
      <c r="BK74" s="944"/>
      <c r="BL74" s="944"/>
      <c r="BM74" s="944"/>
      <c r="BN74" s="944"/>
      <c r="BO74" s="944"/>
      <c r="BP74" s="944"/>
      <c r="BQ74" s="944"/>
      <c r="BR74" s="944"/>
      <c r="BS74" s="944"/>
      <c r="BT74" s="944"/>
      <c r="BU74" s="944"/>
      <c r="BV74" s="945"/>
    </row>
    <row r="75" spans="1:74" ht="30" customHeight="1" x14ac:dyDescent="0.25">
      <c r="A75" s="200">
        <f t="shared" si="0"/>
        <v>61</v>
      </c>
      <c r="B75" s="294" t="s">
        <v>162</v>
      </c>
      <c r="C75" s="295"/>
      <c r="D75" s="936"/>
      <c r="E75" s="937"/>
      <c r="F75" s="937"/>
      <c r="G75" s="937"/>
      <c r="H75" s="937"/>
      <c r="I75" s="937"/>
      <c r="J75" s="937"/>
      <c r="K75" s="938"/>
      <c r="L75" s="932"/>
      <c r="M75" s="932"/>
      <c r="N75" s="932"/>
      <c r="O75" s="932"/>
      <c r="P75" s="931"/>
      <c r="Q75" s="931"/>
      <c r="R75" s="931"/>
      <c r="S75" s="931"/>
      <c r="T75" s="933"/>
      <c r="U75" s="934"/>
      <c r="V75" s="934"/>
      <c r="W75" s="935"/>
      <c r="X75" s="936"/>
      <c r="Y75" s="937"/>
      <c r="Z75" s="937"/>
      <c r="AA75" s="938"/>
      <c r="AB75" s="594"/>
      <c r="AC75" s="595"/>
      <c r="AD75" s="596"/>
      <c r="AE75" s="779"/>
      <c r="AF75" s="939"/>
      <c r="AG75" s="780"/>
      <c r="AH75" s="941"/>
      <c r="AI75" s="942"/>
      <c r="AJ75" s="943"/>
      <c r="AK75" s="745"/>
      <c r="AL75" s="940"/>
      <c r="AM75" s="746"/>
      <c r="AN75" s="281"/>
      <c r="AO75" s="282"/>
      <c r="AP75" s="281"/>
      <c r="AQ75" s="282"/>
      <c r="AR75" s="281"/>
      <c r="AS75" s="282"/>
      <c r="AT75" s="281"/>
      <c r="AU75" s="282"/>
      <c r="AV75" s="281"/>
      <c r="AW75" s="282"/>
      <c r="AX75" s="281"/>
      <c r="AY75" s="282"/>
      <c r="AZ75" s="117"/>
      <c r="BA75" s="331"/>
      <c r="BB75" s="117"/>
      <c r="BC75" s="331"/>
      <c r="BD75" s="117"/>
      <c r="BE75" s="331"/>
      <c r="BF75" s="117"/>
      <c r="BG75" s="331"/>
      <c r="BH75" s="117"/>
      <c r="BI75" s="944" t="s">
        <v>212</v>
      </c>
      <c r="BJ75" s="944"/>
      <c r="BK75" s="944"/>
      <c r="BL75" s="944"/>
      <c r="BM75" s="944"/>
      <c r="BN75" s="944"/>
      <c r="BO75" s="944"/>
      <c r="BP75" s="944"/>
      <c r="BQ75" s="944"/>
      <c r="BR75" s="944"/>
      <c r="BS75" s="944"/>
      <c r="BT75" s="944"/>
      <c r="BU75" s="944"/>
      <c r="BV75" s="945"/>
    </row>
    <row r="76" spans="1:74" ht="30" customHeight="1" x14ac:dyDescent="0.25">
      <c r="A76" s="200">
        <f t="shared" si="0"/>
        <v>62</v>
      </c>
      <c r="B76" s="294" t="s">
        <v>162</v>
      </c>
      <c r="C76" s="295"/>
      <c r="D76" s="936"/>
      <c r="E76" s="937"/>
      <c r="F76" s="937"/>
      <c r="G76" s="937"/>
      <c r="H76" s="937"/>
      <c r="I76" s="937"/>
      <c r="J76" s="937"/>
      <c r="K76" s="938"/>
      <c r="L76" s="932"/>
      <c r="M76" s="932"/>
      <c r="N76" s="932"/>
      <c r="O76" s="932"/>
      <c r="P76" s="931"/>
      <c r="Q76" s="931"/>
      <c r="R76" s="931"/>
      <c r="S76" s="931"/>
      <c r="T76" s="933"/>
      <c r="U76" s="934"/>
      <c r="V76" s="934"/>
      <c r="W76" s="935"/>
      <c r="X76" s="936"/>
      <c r="Y76" s="937"/>
      <c r="Z76" s="937"/>
      <c r="AA76" s="938"/>
      <c r="AB76" s="594"/>
      <c r="AC76" s="595"/>
      <c r="AD76" s="596"/>
      <c r="AE76" s="779"/>
      <c r="AF76" s="939"/>
      <c r="AG76" s="780"/>
      <c r="AH76" s="941"/>
      <c r="AI76" s="942"/>
      <c r="AJ76" s="943"/>
      <c r="AK76" s="745"/>
      <c r="AL76" s="940"/>
      <c r="AM76" s="746"/>
      <c r="AN76" s="281"/>
      <c r="AO76" s="282"/>
      <c r="AP76" s="281"/>
      <c r="AQ76" s="282"/>
      <c r="AR76" s="281"/>
      <c r="AS76" s="282"/>
      <c r="AT76" s="281"/>
      <c r="AU76" s="282"/>
      <c r="AV76" s="281"/>
      <c r="AW76" s="282"/>
      <c r="AX76" s="281"/>
      <c r="AY76" s="282"/>
      <c r="AZ76" s="117"/>
      <c r="BA76" s="331"/>
      <c r="BB76" s="117"/>
      <c r="BC76" s="331"/>
      <c r="BD76" s="117"/>
      <c r="BE76" s="331"/>
      <c r="BF76" s="117"/>
      <c r="BG76" s="331"/>
      <c r="BH76" s="117"/>
      <c r="BI76" s="944" t="s">
        <v>159</v>
      </c>
      <c r="BJ76" s="944"/>
      <c r="BK76" s="944"/>
      <c r="BL76" s="944"/>
      <c r="BM76" s="944"/>
      <c r="BN76" s="944"/>
      <c r="BO76" s="944"/>
      <c r="BP76" s="944"/>
      <c r="BQ76" s="944"/>
      <c r="BR76" s="944"/>
      <c r="BS76" s="944"/>
      <c r="BT76" s="944"/>
      <c r="BU76" s="944"/>
      <c r="BV76" s="945"/>
    </row>
    <row r="77" spans="1:74" ht="30" customHeight="1" x14ac:dyDescent="0.25">
      <c r="A77" s="200">
        <f t="shared" si="0"/>
        <v>63</v>
      </c>
      <c r="B77" s="294" t="s">
        <v>162</v>
      </c>
      <c r="C77" s="295"/>
      <c r="D77" s="936"/>
      <c r="E77" s="937"/>
      <c r="F77" s="937"/>
      <c r="G77" s="937"/>
      <c r="H77" s="937"/>
      <c r="I77" s="937"/>
      <c r="J77" s="937"/>
      <c r="K77" s="938"/>
      <c r="L77" s="932"/>
      <c r="M77" s="932"/>
      <c r="N77" s="932"/>
      <c r="O77" s="932"/>
      <c r="P77" s="931"/>
      <c r="Q77" s="931"/>
      <c r="R77" s="931"/>
      <c r="S77" s="931"/>
      <c r="T77" s="933"/>
      <c r="U77" s="934"/>
      <c r="V77" s="934"/>
      <c r="W77" s="935"/>
      <c r="X77" s="936"/>
      <c r="Y77" s="937"/>
      <c r="Z77" s="937"/>
      <c r="AA77" s="938"/>
      <c r="AB77" s="594"/>
      <c r="AC77" s="595"/>
      <c r="AD77" s="596"/>
      <c r="AE77" s="779"/>
      <c r="AF77" s="939"/>
      <c r="AG77" s="780"/>
      <c r="AH77" s="941"/>
      <c r="AI77" s="942"/>
      <c r="AJ77" s="943"/>
      <c r="AK77" s="745"/>
      <c r="AL77" s="940"/>
      <c r="AM77" s="746"/>
      <c r="AN77" s="281"/>
      <c r="AO77" s="282"/>
      <c r="AP77" s="281"/>
      <c r="AQ77" s="282"/>
      <c r="AR77" s="281"/>
      <c r="AS77" s="282"/>
      <c r="AT77" s="281"/>
      <c r="AU77" s="282"/>
      <c r="AV77" s="281"/>
      <c r="AW77" s="282"/>
      <c r="AX77" s="281"/>
      <c r="AY77" s="282"/>
      <c r="AZ77" s="117"/>
      <c r="BA77" s="331"/>
      <c r="BB77" s="117"/>
      <c r="BC77" s="331"/>
      <c r="BD77" s="117"/>
      <c r="BE77" s="331"/>
      <c r="BF77" s="117"/>
      <c r="BG77" s="331"/>
      <c r="BH77" s="117"/>
      <c r="BI77" s="944" t="s">
        <v>159</v>
      </c>
      <c r="BJ77" s="944"/>
      <c r="BK77" s="944"/>
      <c r="BL77" s="944"/>
      <c r="BM77" s="944"/>
      <c r="BN77" s="944"/>
      <c r="BO77" s="944"/>
      <c r="BP77" s="944"/>
      <c r="BQ77" s="944"/>
      <c r="BR77" s="944"/>
      <c r="BS77" s="944"/>
      <c r="BT77" s="944"/>
      <c r="BU77" s="944"/>
      <c r="BV77" s="945"/>
    </row>
    <row r="78" spans="1:74" ht="30" customHeight="1" x14ac:dyDescent="0.25">
      <c r="A78" s="232">
        <f t="shared" si="0"/>
        <v>64</v>
      </c>
      <c r="B78" s="294" t="s">
        <v>162</v>
      </c>
      <c r="C78" s="295"/>
      <c r="D78" s="936"/>
      <c r="E78" s="937"/>
      <c r="F78" s="937"/>
      <c r="G78" s="937"/>
      <c r="H78" s="937"/>
      <c r="I78" s="937"/>
      <c r="J78" s="937"/>
      <c r="K78" s="938"/>
      <c r="L78" s="932"/>
      <c r="M78" s="932"/>
      <c r="N78" s="932"/>
      <c r="O78" s="932"/>
      <c r="P78" s="931"/>
      <c r="Q78" s="931"/>
      <c r="R78" s="931"/>
      <c r="S78" s="931"/>
      <c r="T78" s="933"/>
      <c r="U78" s="934"/>
      <c r="V78" s="934"/>
      <c r="W78" s="935"/>
      <c r="X78" s="936"/>
      <c r="Y78" s="937"/>
      <c r="Z78" s="937"/>
      <c r="AA78" s="938"/>
      <c r="AB78" s="594"/>
      <c r="AC78" s="595"/>
      <c r="AD78" s="596"/>
      <c r="AE78" s="779"/>
      <c r="AF78" s="939"/>
      <c r="AG78" s="780"/>
      <c r="AH78" s="941"/>
      <c r="AI78" s="942"/>
      <c r="AJ78" s="943"/>
      <c r="AK78" s="745"/>
      <c r="AL78" s="940"/>
      <c r="AM78" s="746"/>
      <c r="AN78" s="281"/>
      <c r="AO78" s="282"/>
      <c r="AP78" s="281"/>
      <c r="AQ78" s="282"/>
      <c r="AR78" s="281"/>
      <c r="AS78" s="282"/>
      <c r="AT78" s="281"/>
      <c r="AU78" s="282"/>
      <c r="AV78" s="281"/>
      <c r="AW78" s="282"/>
      <c r="AX78" s="281"/>
      <c r="AY78" s="282"/>
      <c r="AZ78" s="117"/>
      <c r="BA78" s="331"/>
      <c r="BB78" s="117"/>
      <c r="BC78" s="331"/>
      <c r="BD78" s="117"/>
      <c r="BE78" s="331"/>
      <c r="BF78" s="117"/>
      <c r="BG78" s="331"/>
      <c r="BH78" s="117"/>
      <c r="BI78" s="944" t="s">
        <v>212</v>
      </c>
      <c r="BJ78" s="944"/>
      <c r="BK78" s="944"/>
      <c r="BL78" s="944"/>
      <c r="BM78" s="944"/>
      <c r="BN78" s="944"/>
      <c r="BO78" s="944"/>
      <c r="BP78" s="944"/>
      <c r="BQ78" s="944"/>
      <c r="BR78" s="944"/>
      <c r="BS78" s="944"/>
      <c r="BT78" s="944"/>
      <c r="BU78" s="944"/>
      <c r="BV78" s="945"/>
    </row>
    <row r="79" spans="1:74" ht="30" customHeight="1" x14ac:dyDescent="0.25">
      <c r="A79" s="200">
        <f t="shared" ref="A79:A142" si="1">ROW(A65)</f>
        <v>65</v>
      </c>
      <c r="B79" s="294" t="s">
        <v>162</v>
      </c>
      <c r="C79" s="295"/>
      <c r="D79" s="936"/>
      <c r="E79" s="937"/>
      <c r="F79" s="937"/>
      <c r="G79" s="937"/>
      <c r="H79" s="937"/>
      <c r="I79" s="937"/>
      <c r="J79" s="937"/>
      <c r="K79" s="938"/>
      <c r="L79" s="932"/>
      <c r="M79" s="932"/>
      <c r="N79" s="932"/>
      <c r="O79" s="932"/>
      <c r="P79" s="931"/>
      <c r="Q79" s="931"/>
      <c r="R79" s="931"/>
      <c r="S79" s="931"/>
      <c r="T79" s="933"/>
      <c r="U79" s="934"/>
      <c r="V79" s="934"/>
      <c r="W79" s="935"/>
      <c r="X79" s="936"/>
      <c r="Y79" s="937"/>
      <c r="Z79" s="937"/>
      <c r="AA79" s="938"/>
      <c r="AB79" s="594"/>
      <c r="AC79" s="595"/>
      <c r="AD79" s="596"/>
      <c r="AE79" s="779"/>
      <c r="AF79" s="939"/>
      <c r="AG79" s="780"/>
      <c r="AH79" s="941"/>
      <c r="AI79" s="942"/>
      <c r="AJ79" s="943"/>
      <c r="AK79" s="745"/>
      <c r="AL79" s="940"/>
      <c r="AM79" s="746"/>
      <c r="AN79" s="281"/>
      <c r="AO79" s="282"/>
      <c r="AP79" s="281"/>
      <c r="AQ79" s="282"/>
      <c r="AR79" s="281"/>
      <c r="AS79" s="282"/>
      <c r="AT79" s="281"/>
      <c r="AU79" s="282"/>
      <c r="AV79" s="281"/>
      <c r="AW79" s="282"/>
      <c r="AX79" s="281"/>
      <c r="AY79" s="282"/>
      <c r="AZ79" s="117"/>
      <c r="BA79" s="331"/>
      <c r="BB79" s="117"/>
      <c r="BC79" s="331"/>
      <c r="BD79" s="117"/>
      <c r="BE79" s="331"/>
      <c r="BF79" s="117"/>
      <c r="BG79" s="331"/>
      <c r="BH79" s="117"/>
      <c r="BI79" s="944" t="s">
        <v>212</v>
      </c>
      <c r="BJ79" s="944"/>
      <c r="BK79" s="944"/>
      <c r="BL79" s="944"/>
      <c r="BM79" s="944"/>
      <c r="BN79" s="944"/>
      <c r="BO79" s="944"/>
      <c r="BP79" s="944"/>
      <c r="BQ79" s="944"/>
      <c r="BR79" s="944"/>
      <c r="BS79" s="944"/>
      <c r="BT79" s="944"/>
      <c r="BU79" s="944"/>
      <c r="BV79" s="945"/>
    </row>
    <row r="80" spans="1:74" ht="30" customHeight="1" x14ac:dyDescent="0.25">
      <c r="A80" s="200">
        <f t="shared" si="1"/>
        <v>66</v>
      </c>
      <c r="B80" s="294" t="s">
        <v>162</v>
      </c>
      <c r="C80" s="295"/>
      <c r="D80" s="936"/>
      <c r="E80" s="937"/>
      <c r="F80" s="937"/>
      <c r="G80" s="937"/>
      <c r="H80" s="937"/>
      <c r="I80" s="937"/>
      <c r="J80" s="937"/>
      <c r="K80" s="938"/>
      <c r="L80" s="932"/>
      <c r="M80" s="932"/>
      <c r="N80" s="932"/>
      <c r="O80" s="932"/>
      <c r="P80" s="931"/>
      <c r="Q80" s="931"/>
      <c r="R80" s="931"/>
      <c r="S80" s="931"/>
      <c r="T80" s="933"/>
      <c r="U80" s="934"/>
      <c r="V80" s="934"/>
      <c r="W80" s="935"/>
      <c r="X80" s="936"/>
      <c r="Y80" s="937"/>
      <c r="Z80" s="937"/>
      <c r="AA80" s="938"/>
      <c r="AB80" s="594"/>
      <c r="AC80" s="595"/>
      <c r="AD80" s="596"/>
      <c r="AE80" s="779"/>
      <c r="AF80" s="939"/>
      <c r="AG80" s="780"/>
      <c r="AH80" s="941"/>
      <c r="AI80" s="942"/>
      <c r="AJ80" s="943"/>
      <c r="AK80" s="745"/>
      <c r="AL80" s="940"/>
      <c r="AM80" s="746"/>
      <c r="AN80" s="281"/>
      <c r="AO80" s="282"/>
      <c r="AP80" s="281"/>
      <c r="AQ80" s="282"/>
      <c r="AR80" s="281"/>
      <c r="AS80" s="282"/>
      <c r="AT80" s="281"/>
      <c r="AU80" s="282"/>
      <c r="AV80" s="281"/>
      <c r="AW80" s="282"/>
      <c r="AX80" s="281"/>
      <c r="AY80" s="282"/>
      <c r="AZ80" s="117"/>
      <c r="BA80" s="331"/>
      <c r="BB80" s="117"/>
      <c r="BC80" s="331"/>
      <c r="BD80" s="117"/>
      <c r="BE80" s="331"/>
      <c r="BF80" s="117"/>
      <c r="BG80" s="331"/>
      <c r="BH80" s="117"/>
      <c r="BI80" s="944" t="s">
        <v>212</v>
      </c>
      <c r="BJ80" s="944"/>
      <c r="BK80" s="944"/>
      <c r="BL80" s="944"/>
      <c r="BM80" s="944"/>
      <c r="BN80" s="944"/>
      <c r="BO80" s="944"/>
      <c r="BP80" s="944"/>
      <c r="BQ80" s="944"/>
      <c r="BR80" s="944"/>
      <c r="BS80" s="944"/>
      <c r="BT80" s="944"/>
      <c r="BU80" s="944"/>
      <c r="BV80" s="945"/>
    </row>
    <row r="81" spans="1:74" ht="30" customHeight="1" x14ac:dyDescent="0.25">
      <c r="A81" s="200">
        <f t="shared" si="1"/>
        <v>67</v>
      </c>
      <c r="B81" s="294" t="s">
        <v>162</v>
      </c>
      <c r="C81" s="295"/>
      <c r="D81" s="936"/>
      <c r="E81" s="937"/>
      <c r="F81" s="937"/>
      <c r="G81" s="937"/>
      <c r="H81" s="937"/>
      <c r="I81" s="937"/>
      <c r="J81" s="937"/>
      <c r="K81" s="938"/>
      <c r="L81" s="932"/>
      <c r="M81" s="932"/>
      <c r="N81" s="932"/>
      <c r="O81" s="932"/>
      <c r="P81" s="931"/>
      <c r="Q81" s="931"/>
      <c r="R81" s="931"/>
      <c r="S81" s="931"/>
      <c r="T81" s="933"/>
      <c r="U81" s="934"/>
      <c r="V81" s="934"/>
      <c r="W81" s="935"/>
      <c r="X81" s="936"/>
      <c r="Y81" s="937"/>
      <c r="Z81" s="937"/>
      <c r="AA81" s="938"/>
      <c r="AB81" s="594"/>
      <c r="AC81" s="595"/>
      <c r="AD81" s="596"/>
      <c r="AE81" s="779"/>
      <c r="AF81" s="939"/>
      <c r="AG81" s="780"/>
      <c r="AH81" s="941"/>
      <c r="AI81" s="942"/>
      <c r="AJ81" s="943"/>
      <c r="AK81" s="745"/>
      <c r="AL81" s="940"/>
      <c r="AM81" s="746"/>
      <c r="AN81" s="281"/>
      <c r="AO81" s="282"/>
      <c r="AP81" s="281"/>
      <c r="AQ81" s="282"/>
      <c r="AR81" s="281"/>
      <c r="AS81" s="282"/>
      <c r="AT81" s="281"/>
      <c r="AU81" s="282"/>
      <c r="AV81" s="281"/>
      <c r="AW81" s="282"/>
      <c r="AX81" s="281"/>
      <c r="AY81" s="282"/>
      <c r="AZ81" s="117"/>
      <c r="BA81" s="331"/>
      <c r="BB81" s="117"/>
      <c r="BC81" s="331"/>
      <c r="BD81" s="117"/>
      <c r="BE81" s="331"/>
      <c r="BF81" s="117"/>
      <c r="BG81" s="331"/>
      <c r="BH81" s="117"/>
      <c r="BI81" s="944" t="s">
        <v>212</v>
      </c>
      <c r="BJ81" s="944"/>
      <c r="BK81" s="944"/>
      <c r="BL81" s="944"/>
      <c r="BM81" s="944"/>
      <c r="BN81" s="944"/>
      <c r="BO81" s="944"/>
      <c r="BP81" s="944"/>
      <c r="BQ81" s="944"/>
      <c r="BR81" s="944"/>
      <c r="BS81" s="944"/>
      <c r="BT81" s="944"/>
      <c r="BU81" s="944"/>
      <c r="BV81" s="945"/>
    </row>
    <row r="82" spans="1:74" ht="30" customHeight="1" x14ac:dyDescent="0.25">
      <c r="A82" s="200">
        <f t="shared" si="1"/>
        <v>68</v>
      </c>
      <c r="B82" s="294" t="s">
        <v>162</v>
      </c>
      <c r="C82" s="295"/>
      <c r="D82" s="936"/>
      <c r="E82" s="937"/>
      <c r="F82" s="937"/>
      <c r="G82" s="937"/>
      <c r="H82" s="937"/>
      <c r="I82" s="937"/>
      <c r="J82" s="937"/>
      <c r="K82" s="938"/>
      <c r="L82" s="932"/>
      <c r="M82" s="932"/>
      <c r="N82" s="932"/>
      <c r="O82" s="932"/>
      <c r="P82" s="931"/>
      <c r="Q82" s="931"/>
      <c r="R82" s="931"/>
      <c r="S82" s="931"/>
      <c r="T82" s="933"/>
      <c r="U82" s="934"/>
      <c r="V82" s="934"/>
      <c r="W82" s="935"/>
      <c r="X82" s="936"/>
      <c r="Y82" s="937"/>
      <c r="Z82" s="937"/>
      <c r="AA82" s="938"/>
      <c r="AB82" s="594"/>
      <c r="AC82" s="595"/>
      <c r="AD82" s="596"/>
      <c r="AE82" s="779"/>
      <c r="AF82" s="939"/>
      <c r="AG82" s="780"/>
      <c r="AH82" s="941"/>
      <c r="AI82" s="942"/>
      <c r="AJ82" s="943"/>
      <c r="AK82" s="745"/>
      <c r="AL82" s="940"/>
      <c r="AM82" s="746"/>
      <c r="AN82" s="281"/>
      <c r="AO82" s="282"/>
      <c r="AP82" s="281"/>
      <c r="AQ82" s="282"/>
      <c r="AR82" s="281"/>
      <c r="AS82" s="282"/>
      <c r="AT82" s="281"/>
      <c r="AU82" s="282"/>
      <c r="AV82" s="281"/>
      <c r="AW82" s="282"/>
      <c r="AX82" s="281"/>
      <c r="AY82" s="282"/>
      <c r="AZ82" s="117"/>
      <c r="BA82" s="331"/>
      <c r="BB82" s="117"/>
      <c r="BC82" s="331"/>
      <c r="BD82" s="117"/>
      <c r="BE82" s="331"/>
      <c r="BF82" s="117"/>
      <c r="BG82" s="331"/>
      <c r="BH82" s="117"/>
      <c r="BI82" s="944" t="s">
        <v>212</v>
      </c>
      <c r="BJ82" s="944"/>
      <c r="BK82" s="944"/>
      <c r="BL82" s="944"/>
      <c r="BM82" s="944"/>
      <c r="BN82" s="944"/>
      <c r="BO82" s="944"/>
      <c r="BP82" s="944"/>
      <c r="BQ82" s="944"/>
      <c r="BR82" s="944"/>
      <c r="BS82" s="944"/>
      <c r="BT82" s="944"/>
      <c r="BU82" s="944"/>
      <c r="BV82" s="945"/>
    </row>
    <row r="83" spans="1:74" ht="30" customHeight="1" x14ac:dyDescent="0.25">
      <c r="A83" s="200">
        <f t="shared" si="1"/>
        <v>69</v>
      </c>
      <c r="B83" s="294" t="s">
        <v>162</v>
      </c>
      <c r="C83" s="295"/>
      <c r="D83" s="936"/>
      <c r="E83" s="937"/>
      <c r="F83" s="937"/>
      <c r="G83" s="937"/>
      <c r="H83" s="937"/>
      <c r="I83" s="937"/>
      <c r="J83" s="937"/>
      <c r="K83" s="938"/>
      <c r="L83" s="932"/>
      <c r="M83" s="932"/>
      <c r="N83" s="932"/>
      <c r="O83" s="932"/>
      <c r="P83" s="931"/>
      <c r="Q83" s="931"/>
      <c r="R83" s="931"/>
      <c r="S83" s="931"/>
      <c r="T83" s="933"/>
      <c r="U83" s="934"/>
      <c r="V83" s="934"/>
      <c r="W83" s="935"/>
      <c r="X83" s="936"/>
      <c r="Y83" s="937"/>
      <c r="Z83" s="937"/>
      <c r="AA83" s="938"/>
      <c r="AB83" s="594"/>
      <c r="AC83" s="595"/>
      <c r="AD83" s="596"/>
      <c r="AE83" s="779"/>
      <c r="AF83" s="939"/>
      <c r="AG83" s="780"/>
      <c r="AH83" s="941"/>
      <c r="AI83" s="942"/>
      <c r="AJ83" s="943"/>
      <c r="AK83" s="745"/>
      <c r="AL83" s="940"/>
      <c r="AM83" s="746"/>
      <c r="AN83" s="281"/>
      <c r="AO83" s="282"/>
      <c r="AP83" s="281"/>
      <c r="AQ83" s="282"/>
      <c r="AR83" s="281"/>
      <c r="AS83" s="282"/>
      <c r="AT83" s="281"/>
      <c r="AU83" s="282"/>
      <c r="AV83" s="281"/>
      <c r="AW83" s="282"/>
      <c r="AX83" s="281"/>
      <c r="AY83" s="282"/>
      <c r="AZ83" s="117"/>
      <c r="BA83" s="331"/>
      <c r="BB83" s="117"/>
      <c r="BC83" s="331"/>
      <c r="BD83" s="117"/>
      <c r="BE83" s="331"/>
      <c r="BF83" s="117"/>
      <c r="BG83" s="331"/>
      <c r="BH83" s="117"/>
      <c r="BI83" s="944" t="s">
        <v>159</v>
      </c>
      <c r="BJ83" s="944"/>
      <c r="BK83" s="944"/>
      <c r="BL83" s="944"/>
      <c r="BM83" s="944"/>
      <c r="BN83" s="944"/>
      <c r="BO83" s="944"/>
      <c r="BP83" s="944"/>
      <c r="BQ83" s="944"/>
      <c r="BR83" s="944"/>
      <c r="BS83" s="944"/>
      <c r="BT83" s="944"/>
      <c r="BU83" s="944"/>
      <c r="BV83" s="945"/>
    </row>
    <row r="84" spans="1:74" ht="30" customHeight="1" x14ac:dyDescent="0.25">
      <c r="A84" s="200">
        <f t="shared" si="1"/>
        <v>70</v>
      </c>
      <c r="B84" s="294" t="s">
        <v>162</v>
      </c>
      <c r="C84" s="295"/>
      <c r="D84" s="936"/>
      <c r="E84" s="937"/>
      <c r="F84" s="937"/>
      <c r="G84" s="937"/>
      <c r="H84" s="937"/>
      <c r="I84" s="937"/>
      <c r="J84" s="937"/>
      <c r="K84" s="938"/>
      <c r="L84" s="932"/>
      <c r="M84" s="932"/>
      <c r="N84" s="932"/>
      <c r="O84" s="932"/>
      <c r="P84" s="931"/>
      <c r="Q84" s="931"/>
      <c r="R84" s="931"/>
      <c r="S84" s="931"/>
      <c r="T84" s="933"/>
      <c r="U84" s="934"/>
      <c r="V84" s="934"/>
      <c r="W84" s="935"/>
      <c r="X84" s="936"/>
      <c r="Y84" s="937"/>
      <c r="Z84" s="937"/>
      <c r="AA84" s="938"/>
      <c r="AB84" s="594"/>
      <c r="AC84" s="595"/>
      <c r="AD84" s="596"/>
      <c r="AE84" s="779"/>
      <c r="AF84" s="939"/>
      <c r="AG84" s="780"/>
      <c r="AH84" s="941"/>
      <c r="AI84" s="942"/>
      <c r="AJ84" s="943"/>
      <c r="AK84" s="745"/>
      <c r="AL84" s="940"/>
      <c r="AM84" s="746"/>
      <c r="AN84" s="281"/>
      <c r="AO84" s="282"/>
      <c r="AP84" s="281"/>
      <c r="AQ84" s="282"/>
      <c r="AR84" s="281"/>
      <c r="AS84" s="282"/>
      <c r="AT84" s="281"/>
      <c r="AU84" s="282"/>
      <c r="AV84" s="281"/>
      <c r="AW84" s="282"/>
      <c r="AX84" s="281"/>
      <c r="AY84" s="282"/>
      <c r="AZ84" s="117"/>
      <c r="BA84" s="331"/>
      <c r="BB84" s="117"/>
      <c r="BC84" s="331"/>
      <c r="BD84" s="117"/>
      <c r="BE84" s="331"/>
      <c r="BF84" s="117"/>
      <c r="BG84" s="331"/>
      <c r="BH84" s="117"/>
      <c r="BI84" s="944" t="s">
        <v>159</v>
      </c>
      <c r="BJ84" s="944"/>
      <c r="BK84" s="944"/>
      <c r="BL84" s="944"/>
      <c r="BM84" s="944"/>
      <c r="BN84" s="944"/>
      <c r="BO84" s="944"/>
      <c r="BP84" s="944"/>
      <c r="BQ84" s="944"/>
      <c r="BR84" s="944"/>
      <c r="BS84" s="944"/>
      <c r="BT84" s="944"/>
      <c r="BU84" s="944"/>
      <c r="BV84" s="945"/>
    </row>
    <row r="85" spans="1:74" ht="30" customHeight="1" x14ac:dyDescent="0.25">
      <c r="A85" s="232">
        <f t="shared" si="1"/>
        <v>71</v>
      </c>
      <c r="B85" s="294" t="s">
        <v>162</v>
      </c>
      <c r="C85" s="295"/>
      <c r="D85" s="936"/>
      <c r="E85" s="937"/>
      <c r="F85" s="937"/>
      <c r="G85" s="937"/>
      <c r="H85" s="937"/>
      <c r="I85" s="937"/>
      <c r="J85" s="937"/>
      <c r="K85" s="938"/>
      <c r="L85" s="932"/>
      <c r="M85" s="932"/>
      <c r="N85" s="932"/>
      <c r="O85" s="932"/>
      <c r="P85" s="931"/>
      <c r="Q85" s="931"/>
      <c r="R85" s="931"/>
      <c r="S85" s="931"/>
      <c r="T85" s="933"/>
      <c r="U85" s="934"/>
      <c r="V85" s="934"/>
      <c r="W85" s="935"/>
      <c r="X85" s="936"/>
      <c r="Y85" s="937"/>
      <c r="Z85" s="937"/>
      <c r="AA85" s="938"/>
      <c r="AB85" s="594"/>
      <c r="AC85" s="595"/>
      <c r="AD85" s="596"/>
      <c r="AE85" s="779"/>
      <c r="AF85" s="939"/>
      <c r="AG85" s="780"/>
      <c r="AH85" s="941"/>
      <c r="AI85" s="942"/>
      <c r="AJ85" s="943"/>
      <c r="AK85" s="745"/>
      <c r="AL85" s="940"/>
      <c r="AM85" s="746"/>
      <c r="AN85" s="281"/>
      <c r="AO85" s="282"/>
      <c r="AP85" s="281"/>
      <c r="AQ85" s="282"/>
      <c r="AR85" s="281"/>
      <c r="AS85" s="282"/>
      <c r="AT85" s="281"/>
      <c r="AU85" s="282"/>
      <c r="AV85" s="281"/>
      <c r="AW85" s="282"/>
      <c r="AX85" s="281"/>
      <c r="AY85" s="282"/>
      <c r="AZ85" s="117"/>
      <c r="BA85" s="331"/>
      <c r="BB85" s="117"/>
      <c r="BC85" s="331"/>
      <c r="BD85" s="117"/>
      <c r="BE85" s="331"/>
      <c r="BF85" s="117"/>
      <c r="BG85" s="331"/>
      <c r="BH85" s="117"/>
      <c r="BI85" s="944" t="s">
        <v>212</v>
      </c>
      <c r="BJ85" s="944"/>
      <c r="BK85" s="944"/>
      <c r="BL85" s="944"/>
      <c r="BM85" s="944"/>
      <c r="BN85" s="944"/>
      <c r="BO85" s="944"/>
      <c r="BP85" s="944"/>
      <c r="BQ85" s="944"/>
      <c r="BR85" s="944"/>
      <c r="BS85" s="944"/>
      <c r="BT85" s="944"/>
      <c r="BU85" s="944"/>
      <c r="BV85" s="945"/>
    </row>
    <row r="86" spans="1:74" ht="30" customHeight="1" x14ac:dyDescent="0.25">
      <c r="A86" s="200">
        <f t="shared" si="1"/>
        <v>72</v>
      </c>
      <c r="B86" s="294" t="s">
        <v>162</v>
      </c>
      <c r="C86" s="295"/>
      <c r="D86" s="936"/>
      <c r="E86" s="937"/>
      <c r="F86" s="937"/>
      <c r="G86" s="937"/>
      <c r="H86" s="937"/>
      <c r="I86" s="937"/>
      <c r="J86" s="937"/>
      <c r="K86" s="938"/>
      <c r="L86" s="932"/>
      <c r="M86" s="932"/>
      <c r="N86" s="932"/>
      <c r="O86" s="932"/>
      <c r="P86" s="931"/>
      <c r="Q86" s="931"/>
      <c r="R86" s="931"/>
      <c r="S86" s="931"/>
      <c r="T86" s="933"/>
      <c r="U86" s="934"/>
      <c r="V86" s="934"/>
      <c r="W86" s="935"/>
      <c r="X86" s="936"/>
      <c r="Y86" s="937"/>
      <c r="Z86" s="937"/>
      <c r="AA86" s="938"/>
      <c r="AB86" s="594"/>
      <c r="AC86" s="595"/>
      <c r="AD86" s="596"/>
      <c r="AE86" s="779"/>
      <c r="AF86" s="939"/>
      <c r="AG86" s="780"/>
      <c r="AH86" s="941"/>
      <c r="AI86" s="942"/>
      <c r="AJ86" s="943"/>
      <c r="AK86" s="745"/>
      <c r="AL86" s="940"/>
      <c r="AM86" s="746"/>
      <c r="AN86" s="281"/>
      <c r="AO86" s="282"/>
      <c r="AP86" s="281"/>
      <c r="AQ86" s="282"/>
      <c r="AR86" s="281"/>
      <c r="AS86" s="282"/>
      <c r="AT86" s="281"/>
      <c r="AU86" s="282"/>
      <c r="AV86" s="281"/>
      <c r="AW86" s="282"/>
      <c r="AX86" s="281"/>
      <c r="AY86" s="282"/>
      <c r="AZ86" s="117"/>
      <c r="BA86" s="331"/>
      <c r="BB86" s="117"/>
      <c r="BC86" s="331"/>
      <c r="BD86" s="117"/>
      <c r="BE86" s="331"/>
      <c r="BF86" s="117"/>
      <c r="BG86" s="331"/>
      <c r="BH86" s="117"/>
      <c r="BI86" s="944" t="s">
        <v>212</v>
      </c>
      <c r="BJ86" s="944"/>
      <c r="BK86" s="944"/>
      <c r="BL86" s="944"/>
      <c r="BM86" s="944"/>
      <c r="BN86" s="944"/>
      <c r="BO86" s="944"/>
      <c r="BP86" s="944"/>
      <c r="BQ86" s="944"/>
      <c r="BR86" s="944"/>
      <c r="BS86" s="944"/>
      <c r="BT86" s="944"/>
      <c r="BU86" s="944"/>
      <c r="BV86" s="945"/>
    </row>
    <row r="87" spans="1:74" ht="30" customHeight="1" x14ac:dyDescent="0.25">
      <c r="A87" s="200">
        <f t="shared" si="1"/>
        <v>73</v>
      </c>
      <c r="B87" s="294" t="s">
        <v>162</v>
      </c>
      <c r="C87" s="295"/>
      <c r="D87" s="936"/>
      <c r="E87" s="937"/>
      <c r="F87" s="937"/>
      <c r="G87" s="937"/>
      <c r="H87" s="937"/>
      <c r="I87" s="937"/>
      <c r="J87" s="937"/>
      <c r="K87" s="938"/>
      <c r="L87" s="932"/>
      <c r="M87" s="932"/>
      <c r="N87" s="932"/>
      <c r="O87" s="932"/>
      <c r="P87" s="931"/>
      <c r="Q87" s="931"/>
      <c r="R87" s="931"/>
      <c r="S87" s="931"/>
      <c r="T87" s="933"/>
      <c r="U87" s="934"/>
      <c r="V87" s="934"/>
      <c r="W87" s="935"/>
      <c r="X87" s="936"/>
      <c r="Y87" s="937"/>
      <c r="Z87" s="937"/>
      <c r="AA87" s="938"/>
      <c r="AB87" s="594"/>
      <c r="AC87" s="595"/>
      <c r="AD87" s="596"/>
      <c r="AE87" s="779"/>
      <c r="AF87" s="939"/>
      <c r="AG87" s="780"/>
      <c r="AH87" s="941"/>
      <c r="AI87" s="942"/>
      <c r="AJ87" s="943"/>
      <c r="AK87" s="745"/>
      <c r="AL87" s="940"/>
      <c r="AM87" s="746"/>
      <c r="AN87" s="281"/>
      <c r="AO87" s="282"/>
      <c r="AP87" s="281"/>
      <c r="AQ87" s="282"/>
      <c r="AR87" s="281"/>
      <c r="AS87" s="282"/>
      <c r="AT87" s="281"/>
      <c r="AU87" s="282"/>
      <c r="AV87" s="281"/>
      <c r="AW87" s="282"/>
      <c r="AX87" s="281"/>
      <c r="AY87" s="282"/>
      <c r="AZ87" s="117"/>
      <c r="BA87" s="331"/>
      <c r="BB87" s="117"/>
      <c r="BC87" s="331"/>
      <c r="BD87" s="117"/>
      <c r="BE87" s="331"/>
      <c r="BF87" s="117"/>
      <c r="BG87" s="331"/>
      <c r="BH87" s="117"/>
      <c r="BI87" s="944" t="s">
        <v>212</v>
      </c>
      <c r="BJ87" s="944"/>
      <c r="BK87" s="944"/>
      <c r="BL87" s="944"/>
      <c r="BM87" s="944"/>
      <c r="BN87" s="944"/>
      <c r="BO87" s="944"/>
      <c r="BP87" s="944"/>
      <c r="BQ87" s="944"/>
      <c r="BR87" s="944"/>
      <c r="BS87" s="944"/>
      <c r="BT87" s="944"/>
      <c r="BU87" s="944"/>
      <c r="BV87" s="945"/>
    </row>
    <row r="88" spans="1:74" ht="30" customHeight="1" x14ac:dyDescent="0.25">
      <c r="A88" s="200">
        <f t="shared" si="1"/>
        <v>74</v>
      </c>
      <c r="B88" s="294" t="s">
        <v>162</v>
      </c>
      <c r="C88" s="295"/>
      <c r="D88" s="936"/>
      <c r="E88" s="937"/>
      <c r="F88" s="937"/>
      <c r="G88" s="937"/>
      <c r="H88" s="937"/>
      <c r="I88" s="937"/>
      <c r="J88" s="937"/>
      <c r="K88" s="938"/>
      <c r="L88" s="932"/>
      <c r="M88" s="932"/>
      <c r="N88" s="932"/>
      <c r="O88" s="932"/>
      <c r="P88" s="931"/>
      <c r="Q88" s="931"/>
      <c r="R88" s="931"/>
      <c r="S88" s="931"/>
      <c r="T88" s="933"/>
      <c r="U88" s="934"/>
      <c r="V88" s="934"/>
      <c r="W88" s="935"/>
      <c r="X88" s="936"/>
      <c r="Y88" s="937"/>
      <c r="Z88" s="937"/>
      <c r="AA88" s="938"/>
      <c r="AB88" s="594"/>
      <c r="AC88" s="595"/>
      <c r="AD88" s="596"/>
      <c r="AE88" s="779"/>
      <c r="AF88" s="939"/>
      <c r="AG88" s="780"/>
      <c r="AH88" s="941"/>
      <c r="AI88" s="942"/>
      <c r="AJ88" s="943"/>
      <c r="AK88" s="745"/>
      <c r="AL88" s="940"/>
      <c r="AM88" s="746"/>
      <c r="AN88" s="281"/>
      <c r="AO88" s="282"/>
      <c r="AP88" s="281"/>
      <c r="AQ88" s="282"/>
      <c r="AR88" s="281"/>
      <c r="AS88" s="282"/>
      <c r="AT88" s="281"/>
      <c r="AU88" s="282"/>
      <c r="AV88" s="281"/>
      <c r="AW88" s="282"/>
      <c r="AX88" s="281"/>
      <c r="AY88" s="282"/>
      <c r="AZ88" s="117"/>
      <c r="BA88" s="331"/>
      <c r="BB88" s="117"/>
      <c r="BC88" s="331"/>
      <c r="BD88" s="117"/>
      <c r="BE88" s="331"/>
      <c r="BF88" s="117"/>
      <c r="BG88" s="331"/>
      <c r="BH88" s="117"/>
      <c r="BI88" s="944" t="s">
        <v>212</v>
      </c>
      <c r="BJ88" s="944"/>
      <c r="BK88" s="944"/>
      <c r="BL88" s="944"/>
      <c r="BM88" s="944"/>
      <c r="BN88" s="944"/>
      <c r="BO88" s="944"/>
      <c r="BP88" s="944"/>
      <c r="BQ88" s="944"/>
      <c r="BR88" s="944"/>
      <c r="BS88" s="944"/>
      <c r="BT88" s="944"/>
      <c r="BU88" s="944"/>
      <c r="BV88" s="945"/>
    </row>
    <row r="89" spans="1:74" ht="30" customHeight="1" x14ac:dyDescent="0.25">
      <c r="A89" s="200">
        <f t="shared" si="1"/>
        <v>75</v>
      </c>
      <c r="B89" s="294" t="s">
        <v>162</v>
      </c>
      <c r="C89" s="295"/>
      <c r="D89" s="936"/>
      <c r="E89" s="937"/>
      <c r="F89" s="937"/>
      <c r="G89" s="937"/>
      <c r="H89" s="937"/>
      <c r="I89" s="937"/>
      <c r="J89" s="937"/>
      <c r="K89" s="938"/>
      <c r="L89" s="932"/>
      <c r="M89" s="932"/>
      <c r="N89" s="932"/>
      <c r="O89" s="932"/>
      <c r="P89" s="931"/>
      <c r="Q89" s="931"/>
      <c r="R89" s="931"/>
      <c r="S89" s="931"/>
      <c r="T89" s="933"/>
      <c r="U89" s="934"/>
      <c r="V89" s="934"/>
      <c r="W89" s="935"/>
      <c r="X89" s="936"/>
      <c r="Y89" s="937"/>
      <c r="Z89" s="937"/>
      <c r="AA89" s="938"/>
      <c r="AB89" s="594"/>
      <c r="AC89" s="595"/>
      <c r="AD89" s="596"/>
      <c r="AE89" s="779"/>
      <c r="AF89" s="939"/>
      <c r="AG89" s="780"/>
      <c r="AH89" s="941"/>
      <c r="AI89" s="942"/>
      <c r="AJ89" s="943"/>
      <c r="AK89" s="745"/>
      <c r="AL89" s="940"/>
      <c r="AM89" s="746"/>
      <c r="AN89" s="281"/>
      <c r="AO89" s="282"/>
      <c r="AP89" s="281"/>
      <c r="AQ89" s="282"/>
      <c r="AR89" s="281"/>
      <c r="AS89" s="282"/>
      <c r="AT89" s="281"/>
      <c r="AU89" s="282"/>
      <c r="AV89" s="281"/>
      <c r="AW89" s="282"/>
      <c r="AX89" s="281"/>
      <c r="AY89" s="282"/>
      <c r="AZ89" s="117"/>
      <c r="BA89" s="331"/>
      <c r="BB89" s="117"/>
      <c r="BC89" s="331"/>
      <c r="BD89" s="117"/>
      <c r="BE89" s="331"/>
      <c r="BF89" s="117"/>
      <c r="BG89" s="331"/>
      <c r="BH89" s="117"/>
      <c r="BI89" s="944" t="s">
        <v>212</v>
      </c>
      <c r="BJ89" s="944"/>
      <c r="BK89" s="944"/>
      <c r="BL89" s="944"/>
      <c r="BM89" s="944"/>
      <c r="BN89" s="944"/>
      <c r="BO89" s="944"/>
      <c r="BP89" s="944"/>
      <c r="BQ89" s="944"/>
      <c r="BR89" s="944"/>
      <c r="BS89" s="944"/>
      <c r="BT89" s="944"/>
      <c r="BU89" s="944"/>
      <c r="BV89" s="945"/>
    </row>
    <row r="90" spans="1:74" ht="30" customHeight="1" x14ac:dyDescent="0.25">
      <c r="A90" s="200">
        <f t="shared" si="1"/>
        <v>76</v>
      </c>
      <c r="B90" s="294" t="s">
        <v>162</v>
      </c>
      <c r="C90" s="295"/>
      <c r="D90" s="936"/>
      <c r="E90" s="937"/>
      <c r="F90" s="937"/>
      <c r="G90" s="937"/>
      <c r="H90" s="937"/>
      <c r="I90" s="937"/>
      <c r="J90" s="937"/>
      <c r="K90" s="938"/>
      <c r="L90" s="932"/>
      <c r="M90" s="932"/>
      <c r="N90" s="932"/>
      <c r="O90" s="932"/>
      <c r="P90" s="931"/>
      <c r="Q90" s="931"/>
      <c r="R90" s="931"/>
      <c r="S90" s="931"/>
      <c r="T90" s="933"/>
      <c r="U90" s="934"/>
      <c r="V90" s="934"/>
      <c r="W90" s="935"/>
      <c r="X90" s="936"/>
      <c r="Y90" s="937"/>
      <c r="Z90" s="937"/>
      <c r="AA90" s="938"/>
      <c r="AB90" s="594"/>
      <c r="AC90" s="595"/>
      <c r="AD90" s="596"/>
      <c r="AE90" s="779"/>
      <c r="AF90" s="939"/>
      <c r="AG90" s="780"/>
      <c r="AH90" s="941"/>
      <c r="AI90" s="942"/>
      <c r="AJ90" s="943"/>
      <c r="AK90" s="745"/>
      <c r="AL90" s="940"/>
      <c r="AM90" s="746"/>
      <c r="AN90" s="281"/>
      <c r="AO90" s="282"/>
      <c r="AP90" s="281"/>
      <c r="AQ90" s="282"/>
      <c r="AR90" s="281"/>
      <c r="AS90" s="282"/>
      <c r="AT90" s="281"/>
      <c r="AU90" s="282"/>
      <c r="AV90" s="281"/>
      <c r="AW90" s="282"/>
      <c r="AX90" s="281"/>
      <c r="AY90" s="282"/>
      <c r="AZ90" s="117"/>
      <c r="BA90" s="331"/>
      <c r="BB90" s="117"/>
      <c r="BC90" s="331"/>
      <c r="BD90" s="117"/>
      <c r="BE90" s="331"/>
      <c r="BF90" s="117"/>
      <c r="BG90" s="331"/>
      <c r="BH90" s="117"/>
      <c r="BI90" s="944" t="s">
        <v>159</v>
      </c>
      <c r="BJ90" s="944"/>
      <c r="BK90" s="944"/>
      <c r="BL90" s="944"/>
      <c r="BM90" s="944"/>
      <c r="BN90" s="944"/>
      <c r="BO90" s="944"/>
      <c r="BP90" s="944"/>
      <c r="BQ90" s="944"/>
      <c r="BR90" s="944"/>
      <c r="BS90" s="944"/>
      <c r="BT90" s="944"/>
      <c r="BU90" s="944"/>
      <c r="BV90" s="945"/>
    </row>
    <row r="91" spans="1:74" ht="30" customHeight="1" x14ac:dyDescent="0.25">
      <c r="A91" s="200">
        <f t="shared" si="1"/>
        <v>77</v>
      </c>
      <c r="B91" s="294" t="s">
        <v>162</v>
      </c>
      <c r="C91" s="295"/>
      <c r="D91" s="936"/>
      <c r="E91" s="937"/>
      <c r="F91" s="937"/>
      <c r="G91" s="937"/>
      <c r="H91" s="937"/>
      <c r="I91" s="937"/>
      <c r="J91" s="937"/>
      <c r="K91" s="938"/>
      <c r="L91" s="932"/>
      <c r="M91" s="932"/>
      <c r="N91" s="932"/>
      <c r="O91" s="932"/>
      <c r="P91" s="931"/>
      <c r="Q91" s="931"/>
      <c r="R91" s="931"/>
      <c r="S91" s="931"/>
      <c r="T91" s="933"/>
      <c r="U91" s="934"/>
      <c r="V91" s="934"/>
      <c r="W91" s="935"/>
      <c r="X91" s="936"/>
      <c r="Y91" s="937"/>
      <c r="Z91" s="937"/>
      <c r="AA91" s="938"/>
      <c r="AB91" s="594"/>
      <c r="AC91" s="595"/>
      <c r="AD91" s="596"/>
      <c r="AE91" s="779"/>
      <c r="AF91" s="939"/>
      <c r="AG91" s="780"/>
      <c r="AH91" s="941"/>
      <c r="AI91" s="942"/>
      <c r="AJ91" s="943"/>
      <c r="AK91" s="745"/>
      <c r="AL91" s="940"/>
      <c r="AM91" s="746"/>
      <c r="AN91" s="281"/>
      <c r="AO91" s="282"/>
      <c r="AP91" s="281"/>
      <c r="AQ91" s="282"/>
      <c r="AR91" s="281"/>
      <c r="AS91" s="282"/>
      <c r="AT91" s="281"/>
      <c r="AU91" s="282"/>
      <c r="AV91" s="281"/>
      <c r="AW91" s="282"/>
      <c r="AX91" s="281"/>
      <c r="AY91" s="282"/>
      <c r="AZ91" s="117"/>
      <c r="BA91" s="331"/>
      <c r="BB91" s="117"/>
      <c r="BC91" s="331"/>
      <c r="BD91" s="117"/>
      <c r="BE91" s="331"/>
      <c r="BF91" s="117"/>
      <c r="BG91" s="331"/>
      <c r="BH91" s="117"/>
      <c r="BI91" s="944" t="s">
        <v>159</v>
      </c>
      <c r="BJ91" s="944"/>
      <c r="BK91" s="944"/>
      <c r="BL91" s="944"/>
      <c r="BM91" s="944"/>
      <c r="BN91" s="944"/>
      <c r="BO91" s="944"/>
      <c r="BP91" s="944"/>
      <c r="BQ91" s="944"/>
      <c r="BR91" s="944"/>
      <c r="BS91" s="944"/>
      <c r="BT91" s="944"/>
      <c r="BU91" s="944"/>
      <c r="BV91" s="945"/>
    </row>
    <row r="92" spans="1:74" ht="30" customHeight="1" x14ac:dyDescent="0.25">
      <c r="A92" s="232">
        <f t="shared" si="1"/>
        <v>78</v>
      </c>
      <c r="B92" s="294" t="s">
        <v>162</v>
      </c>
      <c r="C92" s="295"/>
      <c r="D92" s="936"/>
      <c r="E92" s="937"/>
      <c r="F92" s="937"/>
      <c r="G92" s="937"/>
      <c r="H92" s="937"/>
      <c r="I92" s="937"/>
      <c r="J92" s="937"/>
      <c r="K92" s="938"/>
      <c r="L92" s="932"/>
      <c r="M92" s="932"/>
      <c r="N92" s="932"/>
      <c r="O92" s="932"/>
      <c r="P92" s="931"/>
      <c r="Q92" s="931"/>
      <c r="R92" s="931"/>
      <c r="S92" s="931"/>
      <c r="T92" s="933"/>
      <c r="U92" s="934"/>
      <c r="V92" s="934"/>
      <c r="W92" s="935"/>
      <c r="X92" s="936"/>
      <c r="Y92" s="937"/>
      <c r="Z92" s="937"/>
      <c r="AA92" s="938"/>
      <c r="AB92" s="594"/>
      <c r="AC92" s="595"/>
      <c r="AD92" s="596"/>
      <c r="AE92" s="779"/>
      <c r="AF92" s="939"/>
      <c r="AG92" s="780"/>
      <c r="AH92" s="941"/>
      <c r="AI92" s="942"/>
      <c r="AJ92" s="943"/>
      <c r="AK92" s="745"/>
      <c r="AL92" s="940"/>
      <c r="AM92" s="746"/>
      <c r="AN92" s="281"/>
      <c r="AO92" s="282"/>
      <c r="AP92" s="281"/>
      <c r="AQ92" s="282"/>
      <c r="AR92" s="281"/>
      <c r="AS92" s="282"/>
      <c r="AT92" s="281"/>
      <c r="AU92" s="282"/>
      <c r="AV92" s="281"/>
      <c r="AW92" s="282"/>
      <c r="AX92" s="281"/>
      <c r="AY92" s="282"/>
      <c r="AZ92" s="117"/>
      <c r="BA92" s="331"/>
      <c r="BB92" s="117"/>
      <c r="BC92" s="331"/>
      <c r="BD92" s="117"/>
      <c r="BE92" s="331"/>
      <c r="BF92" s="117"/>
      <c r="BG92" s="331"/>
      <c r="BH92" s="117"/>
      <c r="BI92" s="944" t="s">
        <v>212</v>
      </c>
      <c r="BJ92" s="944"/>
      <c r="BK92" s="944"/>
      <c r="BL92" s="944"/>
      <c r="BM92" s="944"/>
      <c r="BN92" s="944"/>
      <c r="BO92" s="944"/>
      <c r="BP92" s="944"/>
      <c r="BQ92" s="944"/>
      <c r="BR92" s="944"/>
      <c r="BS92" s="944"/>
      <c r="BT92" s="944"/>
      <c r="BU92" s="944"/>
      <c r="BV92" s="945"/>
    </row>
    <row r="93" spans="1:74" ht="30" customHeight="1" x14ac:dyDescent="0.25">
      <c r="A93" s="200">
        <f t="shared" si="1"/>
        <v>79</v>
      </c>
      <c r="B93" s="294" t="s">
        <v>162</v>
      </c>
      <c r="C93" s="295"/>
      <c r="D93" s="936"/>
      <c r="E93" s="937"/>
      <c r="F93" s="937"/>
      <c r="G93" s="937"/>
      <c r="H93" s="937"/>
      <c r="I93" s="937"/>
      <c r="J93" s="937"/>
      <c r="K93" s="938"/>
      <c r="L93" s="932"/>
      <c r="M93" s="932"/>
      <c r="N93" s="932"/>
      <c r="O93" s="932"/>
      <c r="P93" s="931"/>
      <c r="Q93" s="931"/>
      <c r="R93" s="931"/>
      <c r="S93" s="931"/>
      <c r="T93" s="933"/>
      <c r="U93" s="934"/>
      <c r="V93" s="934"/>
      <c r="W93" s="935"/>
      <c r="X93" s="936"/>
      <c r="Y93" s="937"/>
      <c r="Z93" s="937"/>
      <c r="AA93" s="938"/>
      <c r="AB93" s="594"/>
      <c r="AC93" s="595"/>
      <c r="AD93" s="596"/>
      <c r="AE93" s="779"/>
      <c r="AF93" s="939"/>
      <c r="AG93" s="780"/>
      <c r="AH93" s="941"/>
      <c r="AI93" s="942"/>
      <c r="AJ93" s="943"/>
      <c r="AK93" s="745"/>
      <c r="AL93" s="940"/>
      <c r="AM93" s="746"/>
      <c r="AN93" s="281"/>
      <c r="AO93" s="282"/>
      <c r="AP93" s="281"/>
      <c r="AQ93" s="282"/>
      <c r="AR93" s="281"/>
      <c r="AS93" s="282"/>
      <c r="AT93" s="281"/>
      <c r="AU93" s="282"/>
      <c r="AV93" s="281"/>
      <c r="AW93" s="282"/>
      <c r="AX93" s="281"/>
      <c r="AY93" s="282"/>
      <c r="AZ93" s="117"/>
      <c r="BA93" s="331"/>
      <c r="BB93" s="117"/>
      <c r="BC93" s="331"/>
      <c r="BD93" s="117"/>
      <c r="BE93" s="331"/>
      <c r="BF93" s="117"/>
      <c r="BG93" s="331"/>
      <c r="BH93" s="117"/>
      <c r="BI93" s="944" t="s">
        <v>212</v>
      </c>
      <c r="BJ93" s="944"/>
      <c r="BK93" s="944"/>
      <c r="BL93" s="944"/>
      <c r="BM93" s="944"/>
      <c r="BN93" s="944"/>
      <c r="BO93" s="944"/>
      <c r="BP93" s="944"/>
      <c r="BQ93" s="944"/>
      <c r="BR93" s="944"/>
      <c r="BS93" s="944"/>
      <c r="BT93" s="944"/>
      <c r="BU93" s="944"/>
      <c r="BV93" s="945"/>
    </row>
    <row r="94" spans="1:74" ht="30" customHeight="1" x14ac:dyDescent="0.25">
      <c r="A94" s="200">
        <f t="shared" si="1"/>
        <v>80</v>
      </c>
      <c r="B94" s="294" t="s">
        <v>162</v>
      </c>
      <c r="C94" s="295"/>
      <c r="D94" s="936"/>
      <c r="E94" s="937"/>
      <c r="F94" s="937"/>
      <c r="G94" s="937"/>
      <c r="H94" s="937"/>
      <c r="I94" s="937"/>
      <c r="J94" s="937"/>
      <c r="K94" s="938"/>
      <c r="L94" s="932"/>
      <c r="M94" s="932"/>
      <c r="N94" s="932"/>
      <c r="O94" s="932"/>
      <c r="P94" s="931"/>
      <c r="Q94" s="931"/>
      <c r="R94" s="931"/>
      <c r="S94" s="931"/>
      <c r="T94" s="933"/>
      <c r="U94" s="934"/>
      <c r="V94" s="934"/>
      <c r="W94" s="935"/>
      <c r="X94" s="936"/>
      <c r="Y94" s="937"/>
      <c r="Z94" s="937"/>
      <c r="AA94" s="938"/>
      <c r="AB94" s="594"/>
      <c r="AC94" s="595"/>
      <c r="AD94" s="596"/>
      <c r="AE94" s="779"/>
      <c r="AF94" s="939"/>
      <c r="AG94" s="780"/>
      <c r="AH94" s="941"/>
      <c r="AI94" s="942"/>
      <c r="AJ94" s="943"/>
      <c r="AK94" s="745"/>
      <c r="AL94" s="940"/>
      <c r="AM94" s="746"/>
      <c r="AN94" s="281"/>
      <c r="AO94" s="282"/>
      <c r="AP94" s="281"/>
      <c r="AQ94" s="282"/>
      <c r="AR94" s="281"/>
      <c r="AS94" s="282"/>
      <c r="AT94" s="281"/>
      <c r="AU94" s="282"/>
      <c r="AV94" s="281"/>
      <c r="AW94" s="282"/>
      <c r="AX94" s="281"/>
      <c r="AY94" s="282"/>
      <c r="AZ94" s="117"/>
      <c r="BA94" s="331"/>
      <c r="BB94" s="117"/>
      <c r="BC94" s="331"/>
      <c r="BD94" s="117"/>
      <c r="BE94" s="331"/>
      <c r="BF94" s="117"/>
      <c r="BG94" s="331"/>
      <c r="BH94" s="117"/>
      <c r="BI94" s="944" t="s">
        <v>212</v>
      </c>
      <c r="BJ94" s="944"/>
      <c r="BK94" s="944"/>
      <c r="BL94" s="944"/>
      <c r="BM94" s="944"/>
      <c r="BN94" s="944"/>
      <c r="BO94" s="944"/>
      <c r="BP94" s="944"/>
      <c r="BQ94" s="944"/>
      <c r="BR94" s="944"/>
      <c r="BS94" s="944"/>
      <c r="BT94" s="944"/>
      <c r="BU94" s="944"/>
      <c r="BV94" s="945"/>
    </row>
    <row r="95" spans="1:74" ht="30" customHeight="1" x14ac:dyDescent="0.25">
      <c r="A95" s="200">
        <f t="shared" si="1"/>
        <v>81</v>
      </c>
      <c r="B95" s="294" t="s">
        <v>162</v>
      </c>
      <c r="C95" s="295"/>
      <c r="D95" s="936"/>
      <c r="E95" s="937"/>
      <c r="F95" s="937"/>
      <c r="G95" s="937"/>
      <c r="H95" s="937"/>
      <c r="I95" s="937"/>
      <c r="J95" s="937"/>
      <c r="K95" s="938"/>
      <c r="L95" s="932"/>
      <c r="M95" s="932"/>
      <c r="N95" s="932"/>
      <c r="O95" s="932"/>
      <c r="P95" s="931"/>
      <c r="Q95" s="931"/>
      <c r="R95" s="931"/>
      <c r="S95" s="931"/>
      <c r="T95" s="933"/>
      <c r="U95" s="934"/>
      <c r="V95" s="934"/>
      <c r="W95" s="935"/>
      <c r="X95" s="936"/>
      <c r="Y95" s="937"/>
      <c r="Z95" s="937"/>
      <c r="AA95" s="938"/>
      <c r="AB95" s="594"/>
      <c r="AC95" s="595"/>
      <c r="AD95" s="596"/>
      <c r="AE95" s="779"/>
      <c r="AF95" s="939"/>
      <c r="AG95" s="780"/>
      <c r="AH95" s="941"/>
      <c r="AI95" s="942"/>
      <c r="AJ95" s="943"/>
      <c r="AK95" s="745"/>
      <c r="AL95" s="940"/>
      <c r="AM95" s="746"/>
      <c r="AN95" s="281"/>
      <c r="AO95" s="282"/>
      <c r="AP95" s="281"/>
      <c r="AQ95" s="282"/>
      <c r="AR95" s="281"/>
      <c r="AS95" s="282"/>
      <c r="AT95" s="281"/>
      <c r="AU95" s="282"/>
      <c r="AV95" s="281"/>
      <c r="AW95" s="282"/>
      <c r="AX95" s="281"/>
      <c r="AY95" s="282"/>
      <c r="AZ95" s="117"/>
      <c r="BA95" s="331"/>
      <c r="BB95" s="117"/>
      <c r="BC95" s="331"/>
      <c r="BD95" s="117"/>
      <c r="BE95" s="331"/>
      <c r="BF95" s="117"/>
      <c r="BG95" s="331"/>
      <c r="BH95" s="117"/>
      <c r="BI95" s="944" t="s">
        <v>212</v>
      </c>
      <c r="BJ95" s="944"/>
      <c r="BK95" s="944"/>
      <c r="BL95" s="944"/>
      <c r="BM95" s="944"/>
      <c r="BN95" s="944"/>
      <c r="BO95" s="944"/>
      <c r="BP95" s="944"/>
      <c r="BQ95" s="944"/>
      <c r="BR95" s="944"/>
      <c r="BS95" s="944"/>
      <c r="BT95" s="944"/>
      <c r="BU95" s="944"/>
      <c r="BV95" s="945"/>
    </row>
    <row r="96" spans="1:74" ht="30" customHeight="1" x14ac:dyDescent="0.25">
      <c r="A96" s="200">
        <f t="shared" si="1"/>
        <v>82</v>
      </c>
      <c r="B96" s="294" t="s">
        <v>162</v>
      </c>
      <c r="C96" s="295"/>
      <c r="D96" s="936"/>
      <c r="E96" s="937"/>
      <c r="F96" s="937"/>
      <c r="G96" s="937"/>
      <c r="H96" s="937"/>
      <c r="I96" s="937"/>
      <c r="J96" s="937"/>
      <c r="K96" s="938"/>
      <c r="L96" s="932"/>
      <c r="M96" s="932"/>
      <c r="N96" s="932"/>
      <c r="O96" s="932"/>
      <c r="P96" s="931"/>
      <c r="Q96" s="931"/>
      <c r="R96" s="931"/>
      <c r="S96" s="931"/>
      <c r="T96" s="933"/>
      <c r="U96" s="934"/>
      <c r="V96" s="934"/>
      <c r="W96" s="935"/>
      <c r="X96" s="936"/>
      <c r="Y96" s="937"/>
      <c r="Z96" s="937"/>
      <c r="AA96" s="938"/>
      <c r="AB96" s="594"/>
      <c r="AC96" s="595"/>
      <c r="AD96" s="596"/>
      <c r="AE96" s="779"/>
      <c r="AF96" s="939"/>
      <c r="AG96" s="780"/>
      <c r="AH96" s="941"/>
      <c r="AI96" s="942"/>
      <c r="AJ96" s="943"/>
      <c r="AK96" s="745"/>
      <c r="AL96" s="940"/>
      <c r="AM96" s="746"/>
      <c r="AN96" s="281"/>
      <c r="AO96" s="282"/>
      <c r="AP96" s="281"/>
      <c r="AQ96" s="282"/>
      <c r="AR96" s="281"/>
      <c r="AS96" s="282"/>
      <c r="AT96" s="281"/>
      <c r="AU96" s="282"/>
      <c r="AV96" s="281"/>
      <c r="AW96" s="282"/>
      <c r="AX96" s="281"/>
      <c r="AY96" s="282"/>
      <c r="AZ96" s="117"/>
      <c r="BA96" s="331"/>
      <c r="BB96" s="117"/>
      <c r="BC96" s="331"/>
      <c r="BD96" s="117"/>
      <c r="BE96" s="331"/>
      <c r="BF96" s="117"/>
      <c r="BG96" s="331"/>
      <c r="BH96" s="117"/>
      <c r="BI96" s="944" t="s">
        <v>212</v>
      </c>
      <c r="BJ96" s="944"/>
      <c r="BK96" s="944"/>
      <c r="BL96" s="944"/>
      <c r="BM96" s="944"/>
      <c r="BN96" s="944"/>
      <c r="BO96" s="944"/>
      <c r="BP96" s="944"/>
      <c r="BQ96" s="944"/>
      <c r="BR96" s="944"/>
      <c r="BS96" s="944"/>
      <c r="BT96" s="944"/>
      <c r="BU96" s="944"/>
      <c r="BV96" s="945"/>
    </row>
    <row r="97" spans="1:74" ht="30" customHeight="1" x14ac:dyDescent="0.25">
      <c r="A97" s="200">
        <f t="shared" si="1"/>
        <v>83</v>
      </c>
      <c r="B97" s="294" t="s">
        <v>162</v>
      </c>
      <c r="C97" s="295"/>
      <c r="D97" s="936"/>
      <c r="E97" s="937"/>
      <c r="F97" s="937"/>
      <c r="G97" s="937"/>
      <c r="H97" s="937"/>
      <c r="I97" s="937"/>
      <c r="J97" s="937"/>
      <c r="K97" s="938"/>
      <c r="L97" s="932"/>
      <c r="M97" s="932"/>
      <c r="N97" s="932"/>
      <c r="O97" s="932"/>
      <c r="P97" s="931"/>
      <c r="Q97" s="931"/>
      <c r="R97" s="931"/>
      <c r="S97" s="931"/>
      <c r="T97" s="933"/>
      <c r="U97" s="934"/>
      <c r="V97" s="934"/>
      <c r="W97" s="935"/>
      <c r="X97" s="936"/>
      <c r="Y97" s="937"/>
      <c r="Z97" s="937"/>
      <c r="AA97" s="938"/>
      <c r="AB97" s="594"/>
      <c r="AC97" s="595"/>
      <c r="AD97" s="596"/>
      <c r="AE97" s="779"/>
      <c r="AF97" s="939"/>
      <c r="AG97" s="780"/>
      <c r="AH97" s="941"/>
      <c r="AI97" s="942"/>
      <c r="AJ97" s="943"/>
      <c r="AK97" s="745"/>
      <c r="AL97" s="940"/>
      <c r="AM97" s="746"/>
      <c r="AN97" s="281"/>
      <c r="AO97" s="282"/>
      <c r="AP97" s="281"/>
      <c r="AQ97" s="282"/>
      <c r="AR97" s="281"/>
      <c r="AS97" s="282"/>
      <c r="AT97" s="281"/>
      <c r="AU97" s="282"/>
      <c r="AV97" s="281"/>
      <c r="AW97" s="282"/>
      <c r="AX97" s="281"/>
      <c r="AY97" s="282"/>
      <c r="AZ97" s="117"/>
      <c r="BA97" s="331"/>
      <c r="BB97" s="117"/>
      <c r="BC97" s="331"/>
      <c r="BD97" s="117"/>
      <c r="BE97" s="331"/>
      <c r="BF97" s="117"/>
      <c r="BG97" s="331"/>
      <c r="BH97" s="117"/>
      <c r="BI97" s="944" t="s">
        <v>159</v>
      </c>
      <c r="BJ97" s="944"/>
      <c r="BK97" s="944"/>
      <c r="BL97" s="944"/>
      <c r="BM97" s="944"/>
      <c r="BN97" s="944"/>
      <c r="BO97" s="944"/>
      <c r="BP97" s="944"/>
      <c r="BQ97" s="944"/>
      <c r="BR97" s="944"/>
      <c r="BS97" s="944"/>
      <c r="BT97" s="944"/>
      <c r="BU97" s="944"/>
      <c r="BV97" s="945"/>
    </row>
    <row r="98" spans="1:74" ht="30" customHeight="1" x14ac:dyDescent="0.25">
      <c r="A98" s="200">
        <f t="shared" si="1"/>
        <v>84</v>
      </c>
      <c r="B98" s="294" t="s">
        <v>162</v>
      </c>
      <c r="C98" s="295"/>
      <c r="D98" s="936"/>
      <c r="E98" s="937"/>
      <c r="F98" s="937"/>
      <c r="G98" s="937"/>
      <c r="H98" s="937"/>
      <c r="I98" s="937"/>
      <c r="J98" s="937"/>
      <c r="K98" s="938"/>
      <c r="L98" s="932"/>
      <c r="M98" s="932"/>
      <c r="N98" s="932"/>
      <c r="O98" s="932"/>
      <c r="P98" s="931"/>
      <c r="Q98" s="931"/>
      <c r="R98" s="931"/>
      <c r="S98" s="931"/>
      <c r="T98" s="933"/>
      <c r="U98" s="934"/>
      <c r="V98" s="934"/>
      <c r="W98" s="935"/>
      <c r="X98" s="936"/>
      <c r="Y98" s="937"/>
      <c r="Z98" s="937"/>
      <c r="AA98" s="938"/>
      <c r="AB98" s="594"/>
      <c r="AC98" s="595"/>
      <c r="AD98" s="596"/>
      <c r="AE98" s="779"/>
      <c r="AF98" s="939"/>
      <c r="AG98" s="780"/>
      <c r="AH98" s="941"/>
      <c r="AI98" s="942"/>
      <c r="AJ98" s="943"/>
      <c r="AK98" s="745"/>
      <c r="AL98" s="940"/>
      <c r="AM98" s="746"/>
      <c r="AN98" s="281"/>
      <c r="AO98" s="282"/>
      <c r="AP98" s="281"/>
      <c r="AQ98" s="282"/>
      <c r="AR98" s="281"/>
      <c r="AS98" s="282"/>
      <c r="AT98" s="281"/>
      <c r="AU98" s="282"/>
      <c r="AV98" s="281"/>
      <c r="AW98" s="282"/>
      <c r="AX98" s="281"/>
      <c r="AY98" s="282"/>
      <c r="AZ98" s="117"/>
      <c r="BA98" s="331"/>
      <c r="BB98" s="117"/>
      <c r="BC98" s="331"/>
      <c r="BD98" s="117"/>
      <c r="BE98" s="331"/>
      <c r="BF98" s="117"/>
      <c r="BG98" s="331"/>
      <c r="BH98" s="117"/>
      <c r="BI98" s="944" t="s">
        <v>159</v>
      </c>
      <c r="BJ98" s="944"/>
      <c r="BK98" s="944"/>
      <c r="BL98" s="944"/>
      <c r="BM98" s="944"/>
      <c r="BN98" s="944"/>
      <c r="BO98" s="944"/>
      <c r="BP98" s="944"/>
      <c r="BQ98" s="944"/>
      <c r="BR98" s="944"/>
      <c r="BS98" s="944"/>
      <c r="BT98" s="944"/>
      <c r="BU98" s="944"/>
      <c r="BV98" s="945"/>
    </row>
    <row r="99" spans="1:74" ht="30" customHeight="1" x14ac:dyDescent="0.25">
      <c r="A99" s="232">
        <f t="shared" si="1"/>
        <v>85</v>
      </c>
      <c r="B99" s="294" t="s">
        <v>162</v>
      </c>
      <c r="C99" s="295"/>
      <c r="D99" s="936"/>
      <c r="E99" s="937"/>
      <c r="F99" s="937"/>
      <c r="G99" s="937"/>
      <c r="H99" s="937"/>
      <c r="I99" s="937"/>
      <c r="J99" s="937"/>
      <c r="K99" s="938"/>
      <c r="L99" s="932"/>
      <c r="M99" s="932"/>
      <c r="N99" s="932"/>
      <c r="O99" s="932"/>
      <c r="P99" s="931"/>
      <c r="Q99" s="931"/>
      <c r="R99" s="931"/>
      <c r="S99" s="931"/>
      <c r="T99" s="933"/>
      <c r="U99" s="934"/>
      <c r="V99" s="934"/>
      <c r="W99" s="935"/>
      <c r="X99" s="936"/>
      <c r="Y99" s="937"/>
      <c r="Z99" s="937"/>
      <c r="AA99" s="938"/>
      <c r="AB99" s="594"/>
      <c r="AC99" s="595"/>
      <c r="AD99" s="596"/>
      <c r="AE99" s="779"/>
      <c r="AF99" s="939"/>
      <c r="AG99" s="780"/>
      <c r="AH99" s="941"/>
      <c r="AI99" s="942"/>
      <c r="AJ99" s="943"/>
      <c r="AK99" s="745"/>
      <c r="AL99" s="940"/>
      <c r="AM99" s="746"/>
      <c r="AN99" s="281"/>
      <c r="AO99" s="282"/>
      <c r="AP99" s="281"/>
      <c r="AQ99" s="282"/>
      <c r="AR99" s="281"/>
      <c r="AS99" s="282"/>
      <c r="AT99" s="281"/>
      <c r="AU99" s="282"/>
      <c r="AV99" s="281"/>
      <c r="AW99" s="282"/>
      <c r="AX99" s="281"/>
      <c r="AY99" s="282"/>
      <c r="AZ99" s="117"/>
      <c r="BA99" s="331"/>
      <c r="BB99" s="117"/>
      <c r="BC99" s="331"/>
      <c r="BD99" s="117"/>
      <c r="BE99" s="331"/>
      <c r="BF99" s="117"/>
      <c r="BG99" s="331"/>
      <c r="BH99" s="117"/>
      <c r="BI99" s="944" t="s">
        <v>212</v>
      </c>
      <c r="BJ99" s="944"/>
      <c r="BK99" s="944"/>
      <c r="BL99" s="944"/>
      <c r="BM99" s="944"/>
      <c r="BN99" s="944"/>
      <c r="BO99" s="944"/>
      <c r="BP99" s="944"/>
      <c r="BQ99" s="944"/>
      <c r="BR99" s="944"/>
      <c r="BS99" s="944"/>
      <c r="BT99" s="944"/>
      <c r="BU99" s="944"/>
      <c r="BV99" s="945"/>
    </row>
    <row r="100" spans="1:74" ht="30" customHeight="1" x14ac:dyDescent="0.25">
      <c r="A100" s="200">
        <f t="shared" si="1"/>
        <v>86</v>
      </c>
      <c r="B100" s="294" t="s">
        <v>162</v>
      </c>
      <c r="C100" s="295"/>
      <c r="D100" s="936"/>
      <c r="E100" s="937"/>
      <c r="F100" s="937"/>
      <c r="G100" s="937"/>
      <c r="H100" s="937"/>
      <c r="I100" s="937"/>
      <c r="J100" s="937"/>
      <c r="K100" s="938"/>
      <c r="L100" s="932"/>
      <c r="M100" s="932"/>
      <c r="N100" s="932"/>
      <c r="O100" s="932"/>
      <c r="P100" s="931"/>
      <c r="Q100" s="931"/>
      <c r="R100" s="931"/>
      <c r="S100" s="931"/>
      <c r="T100" s="933"/>
      <c r="U100" s="934"/>
      <c r="V100" s="934"/>
      <c r="W100" s="935"/>
      <c r="X100" s="936"/>
      <c r="Y100" s="937"/>
      <c r="Z100" s="937"/>
      <c r="AA100" s="938"/>
      <c r="AB100" s="594"/>
      <c r="AC100" s="595"/>
      <c r="AD100" s="596"/>
      <c r="AE100" s="779"/>
      <c r="AF100" s="939"/>
      <c r="AG100" s="780"/>
      <c r="AH100" s="941"/>
      <c r="AI100" s="942"/>
      <c r="AJ100" s="943"/>
      <c r="AK100" s="745"/>
      <c r="AL100" s="940"/>
      <c r="AM100" s="746"/>
      <c r="AN100" s="281"/>
      <c r="AO100" s="282"/>
      <c r="AP100" s="281"/>
      <c r="AQ100" s="282"/>
      <c r="AR100" s="281"/>
      <c r="AS100" s="282"/>
      <c r="AT100" s="281"/>
      <c r="AU100" s="282"/>
      <c r="AV100" s="281"/>
      <c r="AW100" s="282"/>
      <c r="AX100" s="281"/>
      <c r="AY100" s="282"/>
      <c r="AZ100" s="117"/>
      <c r="BA100" s="331"/>
      <c r="BB100" s="117"/>
      <c r="BC100" s="331"/>
      <c r="BD100" s="117"/>
      <c r="BE100" s="331"/>
      <c r="BF100" s="117"/>
      <c r="BG100" s="331"/>
      <c r="BH100" s="117"/>
      <c r="BI100" s="944" t="s">
        <v>212</v>
      </c>
      <c r="BJ100" s="944"/>
      <c r="BK100" s="944"/>
      <c r="BL100" s="944"/>
      <c r="BM100" s="944"/>
      <c r="BN100" s="944"/>
      <c r="BO100" s="944"/>
      <c r="BP100" s="944"/>
      <c r="BQ100" s="944"/>
      <c r="BR100" s="944"/>
      <c r="BS100" s="944"/>
      <c r="BT100" s="944"/>
      <c r="BU100" s="944"/>
      <c r="BV100" s="945"/>
    </row>
    <row r="101" spans="1:74" ht="30" customHeight="1" x14ac:dyDescent="0.25">
      <c r="A101" s="200">
        <f t="shared" si="1"/>
        <v>87</v>
      </c>
      <c r="B101" s="294" t="s">
        <v>162</v>
      </c>
      <c r="C101" s="295"/>
      <c r="D101" s="936"/>
      <c r="E101" s="937"/>
      <c r="F101" s="937"/>
      <c r="G101" s="937"/>
      <c r="H101" s="937"/>
      <c r="I101" s="937"/>
      <c r="J101" s="937"/>
      <c r="K101" s="938"/>
      <c r="L101" s="932"/>
      <c r="M101" s="932"/>
      <c r="N101" s="932"/>
      <c r="O101" s="932"/>
      <c r="P101" s="931"/>
      <c r="Q101" s="931"/>
      <c r="R101" s="931"/>
      <c r="S101" s="931"/>
      <c r="T101" s="933"/>
      <c r="U101" s="934"/>
      <c r="V101" s="934"/>
      <c r="W101" s="935"/>
      <c r="X101" s="936"/>
      <c r="Y101" s="937"/>
      <c r="Z101" s="937"/>
      <c r="AA101" s="938"/>
      <c r="AB101" s="594"/>
      <c r="AC101" s="595"/>
      <c r="AD101" s="596"/>
      <c r="AE101" s="779"/>
      <c r="AF101" s="939"/>
      <c r="AG101" s="780"/>
      <c r="AH101" s="941"/>
      <c r="AI101" s="942"/>
      <c r="AJ101" s="943"/>
      <c r="AK101" s="745"/>
      <c r="AL101" s="940"/>
      <c r="AM101" s="746"/>
      <c r="AN101" s="281"/>
      <c r="AO101" s="282"/>
      <c r="AP101" s="281"/>
      <c r="AQ101" s="282"/>
      <c r="AR101" s="281"/>
      <c r="AS101" s="282"/>
      <c r="AT101" s="281"/>
      <c r="AU101" s="282"/>
      <c r="AV101" s="281"/>
      <c r="AW101" s="282"/>
      <c r="AX101" s="281"/>
      <c r="AY101" s="282"/>
      <c r="AZ101" s="117"/>
      <c r="BA101" s="331"/>
      <c r="BB101" s="117"/>
      <c r="BC101" s="331"/>
      <c r="BD101" s="117"/>
      <c r="BE101" s="331"/>
      <c r="BF101" s="117"/>
      <c r="BG101" s="331"/>
      <c r="BH101" s="117"/>
      <c r="BI101" s="944" t="s">
        <v>212</v>
      </c>
      <c r="BJ101" s="944"/>
      <c r="BK101" s="944"/>
      <c r="BL101" s="944"/>
      <c r="BM101" s="944"/>
      <c r="BN101" s="944"/>
      <c r="BO101" s="944"/>
      <c r="BP101" s="944"/>
      <c r="BQ101" s="944"/>
      <c r="BR101" s="944"/>
      <c r="BS101" s="944"/>
      <c r="BT101" s="944"/>
      <c r="BU101" s="944"/>
      <c r="BV101" s="945"/>
    </row>
    <row r="102" spans="1:74" ht="30" customHeight="1" x14ac:dyDescent="0.25">
      <c r="A102" s="200">
        <f t="shared" si="1"/>
        <v>88</v>
      </c>
      <c r="B102" s="294" t="s">
        <v>162</v>
      </c>
      <c r="C102" s="295"/>
      <c r="D102" s="936"/>
      <c r="E102" s="937"/>
      <c r="F102" s="937"/>
      <c r="G102" s="937"/>
      <c r="H102" s="937"/>
      <c r="I102" s="937"/>
      <c r="J102" s="937"/>
      <c r="K102" s="938"/>
      <c r="L102" s="932"/>
      <c r="M102" s="932"/>
      <c r="N102" s="932"/>
      <c r="O102" s="932"/>
      <c r="P102" s="931"/>
      <c r="Q102" s="931"/>
      <c r="R102" s="931"/>
      <c r="S102" s="931"/>
      <c r="T102" s="933"/>
      <c r="U102" s="934"/>
      <c r="V102" s="934"/>
      <c r="W102" s="935"/>
      <c r="X102" s="936"/>
      <c r="Y102" s="937"/>
      <c r="Z102" s="937"/>
      <c r="AA102" s="938"/>
      <c r="AB102" s="594"/>
      <c r="AC102" s="595"/>
      <c r="AD102" s="596"/>
      <c r="AE102" s="779"/>
      <c r="AF102" s="939"/>
      <c r="AG102" s="780"/>
      <c r="AH102" s="941"/>
      <c r="AI102" s="942"/>
      <c r="AJ102" s="943"/>
      <c r="AK102" s="745"/>
      <c r="AL102" s="940"/>
      <c r="AM102" s="746"/>
      <c r="AN102" s="281"/>
      <c r="AO102" s="282"/>
      <c r="AP102" s="281"/>
      <c r="AQ102" s="282"/>
      <c r="AR102" s="281"/>
      <c r="AS102" s="282"/>
      <c r="AT102" s="281"/>
      <c r="AU102" s="282"/>
      <c r="AV102" s="281"/>
      <c r="AW102" s="282"/>
      <c r="AX102" s="281"/>
      <c r="AY102" s="282"/>
      <c r="AZ102" s="117"/>
      <c r="BA102" s="331"/>
      <c r="BB102" s="117"/>
      <c r="BC102" s="331"/>
      <c r="BD102" s="117"/>
      <c r="BE102" s="331"/>
      <c r="BF102" s="117"/>
      <c r="BG102" s="331"/>
      <c r="BH102" s="117"/>
      <c r="BI102" s="944" t="s">
        <v>212</v>
      </c>
      <c r="BJ102" s="944"/>
      <c r="BK102" s="944"/>
      <c r="BL102" s="944"/>
      <c r="BM102" s="944"/>
      <c r="BN102" s="944"/>
      <c r="BO102" s="944"/>
      <c r="BP102" s="944"/>
      <c r="BQ102" s="944"/>
      <c r="BR102" s="944"/>
      <c r="BS102" s="944"/>
      <c r="BT102" s="944"/>
      <c r="BU102" s="944"/>
      <c r="BV102" s="945"/>
    </row>
    <row r="103" spans="1:74" ht="30" customHeight="1" x14ac:dyDescent="0.25">
      <c r="A103" s="200">
        <f t="shared" si="1"/>
        <v>89</v>
      </c>
      <c r="B103" s="294" t="s">
        <v>162</v>
      </c>
      <c r="C103" s="295"/>
      <c r="D103" s="936"/>
      <c r="E103" s="937"/>
      <c r="F103" s="937"/>
      <c r="G103" s="937"/>
      <c r="H103" s="937"/>
      <c r="I103" s="937"/>
      <c r="J103" s="937"/>
      <c r="K103" s="938"/>
      <c r="L103" s="932"/>
      <c r="M103" s="932"/>
      <c r="N103" s="932"/>
      <c r="O103" s="932"/>
      <c r="P103" s="931"/>
      <c r="Q103" s="931"/>
      <c r="R103" s="931"/>
      <c r="S103" s="931"/>
      <c r="T103" s="933"/>
      <c r="U103" s="934"/>
      <c r="V103" s="934"/>
      <c r="W103" s="935"/>
      <c r="X103" s="936"/>
      <c r="Y103" s="937"/>
      <c r="Z103" s="937"/>
      <c r="AA103" s="938"/>
      <c r="AB103" s="594"/>
      <c r="AC103" s="595"/>
      <c r="AD103" s="596"/>
      <c r="AE103" s="779"/>
      <c r="AF103" s="939"/>
      <c r="AG103" s="780"/>
      <c r="AH103" s="941"/>
      <c r="AI103" s="942"/>
      <c r="AJ103" s="943"/>
      <c r="AK103" s="745"/>
      <c r="AL103" s="940"/>
      <c r="AM103" s="746"/>
      <c r="AN103" s="281"/>
      <c r="AO103" s="282"/>
      <c r="AP103" s="281"/>
      <c r="AQ103" s="282"/>
      <c r="AR103" s="281"/>
      <c r="AS103" s="282"/>
      <c r="AT103" s="281"/>
      <c r="AU103" s="282"/>
      <c r="AV103" s="281"/>
      <c r="AW103" s="282"/>
      <c r="AX103" s="281"/>
      <c r="AY103" s="282"/>
      <c r="AZ103" s="117"/>
      <c r="BA103" s="331"/>
      <c r="BB103" s="117"/>
      <c r="BC103" s="331"/>
      <c r="BD103" s="117"/>
      <c r="BE103" s="331"/>
      <c r="BF103" s="117"/>
      <c r="BG103" s="331"/>
      <c r="BH103" s="117"/>
      <c r="BI103" s="944" t="s">
        <v>212</v>
      </c>
      <c r="BJ103" s="944"/>
      <c r="BK103" s="944"/>
      <c r="BL103" s="944"/>
      <c r="BM103" s="944"/>
      <c r="BN103" s="944"/>
      <c r="BO103" s="944"/>
      <c r="BP103" s="944"/>
      <c r="BQ103" s="944"/>
      <c r="BR103" s="944"/>
      <c r="BS103" s="944"/>
      <c r="BT103" s="944"/>
      <c r="BU103" s="944"/>
      <c r="BV103" s="945"/>
    </row>
    <row r="104" spans="1:74" ht="30" customHeight="1" x14ac:dyDescent="0.25">
      <c r="A104" s="200">
        <f t="shared" si="1"/>
        <v>90</v>
      </c>
      <c r="B104" s="294" t="s">
        <v>162</v>
      </c>
      <c r="C104" s="295"/>
      <c r="D104" s="936"/>
      <c r="E104" s="937"/>
      <c r="F104" s="937"/>
      <c r="G104" s="937"/>
      <c r="H104" s="937"/>
      <c r="I104" s="937"/>
      <c r="J104" s="937"/>
      <c r="K104" s="938"/>
      <c r="L104" s="932"/>
      <c r="M104" s="932"/>
      <c r="N104" s="932"/>
      <c r="O104" s="932"/>
      <c r="P104" s="931"/>
      <c r="Q104" s="931"/>
      <c r="R104" s="931"/>
      <c r="S104" s="931"/>
      <c r="T104" s="933"/>
      <c r="U104" s="934"/>
      <c r="V104" s="934"/>
      <c r="W104" s="935"/>
      <c r="X104" s="936"/>
      <c r="Y104" s="937"/>
      <c r="Z104" s="937"/>
      <c r="AA104" s="938"/>
      <c r="AB104" s="594"/>
      <c r="AC104" s="595"/>
      <c r="AD104" s="596"/>
      <c r="AE104" s="779"/>
      <c r="AF104" s="939"/>
      <c r="AG104" s="780"/>
      <c r="AH104" s="941"/>
      <c r="AI104" s="942"/>
      <c r="AJ104" s="943"/>
      <c r="AK104" s="745"/>
      <c r="AL104" s="940"/>
      <c r="AM104" s="746"/>
      <c r="AN104" s="281"/>
      <c r="AO104" s="282"/>
      <c r="AP104" s="281"/>
      <c r="AQ104" s="282"/>
      <c r="AR104" s="281"/>
      <c r="AS104" s="282"/>
      <c r="AT104" s="281"/>
      <c r="AU104" s="282"/>
      <c r="AV104" s="281"/>
      <c r="AW104" s="282"/>
      <c r="AX104" s="281"/>
      <c r="AY104" s="282"/>
      <c r="AZ104" s="117"/>
      <c r="BA104" s="331"/>
      <c r="BB104" s="117"/>
      <c r="BC104" s="331"/>
      <c r="BD104" s="117"/>
      <c r="BE104" s="331"/>
      <c r="BF104" s="117"/>
      <c r="BG104" s="331"/>
      <c r="BH104" s="117"/>
      <c r="BI104" s="944" t="s">
        <v>159</v>
      </c>
      <c r="BJ104" s="944"/>
      <c r="BK104" s="944"/>
      <c r="BL104" s="944"/>
      <c r="BM104" s="944"/>
      <c r="BN104" s="944"/>
      <c r="BO104" s="944"/>
      <c r="BP104" s="944"/>
      <c r="BQ104" s="944"/>
      <c r="BR104" s="944"/>
      <c r="BS104" s="944"/>
      <c r="BT104" s="944"/>
      <c r="BU104" s="944"/>
      <c r="BV104" s="945"/>
    </row>
    <row r="105" spans="1:74" ht="30" customHeight="1" x14ac:dyDescent="0.25">
      <c r="A105" s="200">
        <f t="shared" si="1"/>
        <v>91</v>
      </c>
      <c r="B105" s="294" t="s">
        <v>162</v>
      </c>
      <c r="C105" s="295"/>
      <c r="D105" s="936"/>
      <c r="E105" s="937"/>
      <c r="F105" s="937"/>
      <c r="G105" s="937"/>
      <c r="H105" s="937"/>
      <c r="I105" s="937"/>
      <c r="J105" s="937"/>
      <c r="K105" s="938"/>
      <c r="L105" s="932"/>
      <c r="M105" s="932"/>
      <c r="N105" s="932"/>
      <c r="O105" s="932"/>
      <c r="P105" s="931"/>
      <c r="Q105" s="931"/>
      <c r="R105" s="931"/>
      <c r="S105" s="931"/>
      <c r="T105" s="933"/>
      <c r="U105" s="934"/>
      <c r="V105" s="934"/>
      <c r="W105" s="935"/>
      <c r="X105" s="936"/>
      <c r="Y105" s="937"/>
      <c r="Z105" s="937"/>
      <c r="AA105" s="938"/>
      <c r="AB105" s="594"/>
      <c r="AC105" s="595"/>
      <c r="AD105" s="596"/>
      <c r="AE105" s="779"/>
      <c r="AF105" s="939"/>
      <c r="AG105" s="780"/>
      <c r="AH105" s="941"/>
      <c r="AI105" s="942"/>
      <c r="AJ105" s="943"/>
      <c r="AK105" s="745"/>
      <c r="AL105" s="940"/>
      <c r="AM105" s="746"/>
      <c r="AN105" s="281"/>
      <c r="AO105" s="282"/>
      <c r="AP105" s="281"/>
      <c r="AQ105" s="282"/>
      <c r="AR105" s="281"/>
      <c r="AS105" s="282"/>
      <c r="AT105" s="281"/>
      <c r="AU105" s="282"/>
      <c r="AV105" s="281"/>
      <c r="AW105" s="282"/>
      <c r="AX105" s="281"/>
      <c r="AY105" s="282"/>
      <c r="AZ105" s="117"/>
      <c r="BA105" s="331"/>
      <c r="BB105" s="117"/>
      <c r="BC105" s="331"/>
      <c r="BD105" s="117"/>
      <c r="BE105" s="331"/>
      <c r="BF105" s="117"/>
      <c r="BG105" s="331"/>
      <c r="BH105" s="117"/>
      <c r="BI105" s="944" t="s">
        <v>159</v>
      </c>
      <c r="BJ105" s="944"/>
      <c r="BK105" s="944"/>
      <c r="BL105" s="944"/>
      <c r="BM105" s="944"/>
      <c r="BN105" s="944"/>
      <c r="BO105" s="944"/>
      <c r="BP105" s="944"/>
      <c r="BQ105" s="944"/>
      <c r="BR105" s="944"/>
      <c r="BS105" s="944"/>
      <c r="BT105" s="944"/>
      <c r="BU105" s="944"/>
      <c r="BV105" s="945"/>
    </row>
    <row r="106" spans="1:74" ht="30" customHeight="1" x14ac:dyDescent="0.25">
      <c r="A106" s="232">
        <f t="shared" si="1"/>
        <v>92</v>
      </c>
      <c r="B106" s="294" t="s">
        <v>162</v>
      </c>
      <c r="C106" s="295"/>
      <c r="D106" s="936"/>
      <c r="E106" s="937"/>
      <c r="F106" s="937"/>
      <c r="G106" s="937"/>
      <c r="H106" s="937"/>
      <c r="I106" s="937"/>
      <c r="J106" s="937"/>
      <c r="K106" s="938"/>
      <c r="L106" s="932"/>
      <c r="M106" s="932"/>
      <c r="N106" s="932"/>
      <c r="O106" s="932"/>
      <c r="P106" s="931"/>
      <c r="Q106" s="931"/>
      <c r="R106" s="931"/>
      <c r="S106" s="931"/>
      <c r="T106" s="933"/>
      <c r="U106" s="934"/>
      <c r="V106" s="934"/>
      <c r="W106" s="935"/>
      <c r="X106" s="936"/>
      <c r="Y106" s="937"/>
      <c r="Z106" s="937"/>
      <c r="AA106" s="938"/>
      <c r="AB106" s="594"/>
      <c r="AC106" s="595"/>
      <c r="AD106" s="596"/>
      <c r="AE106" s="779"/>
      <c r="AF106" s="939"/>
      <c r="AG106" s="780"/>
      <c r="AH106" s="941"/>
      <c r="AI106" s="942"/>
      <c r="AJ106" s="943"/>
      <c r="AK106" s="745"/>
      <c r="AL106" s="940"/>
      <c r="AM106" s="746"/>
      <c r="AN106" s="281"/>
      <c r="AO106" s="282"/>
      <c r="AP106" s="281"/>
      <c r="AQ106" s="282"/>
      <c r="AR106" s="281"/>
      <c r="AS106" s="282"/>
      <c r="AT106" s="281"/>
      <c r="AU106" s="282"/>
      <c r="AV106" s="281"/>
      <c r="AW106" s="282"/>
      <c r="AX106" s="281"/>
      <c r="AY106" s="282"/>
      <c r="AZ106" s="117"/>
      <c r="BA106" s="331"/>
      <c r="BB106" s="117"/>
      <c r="BC106" s="331"/>
      <c r="BD106" s="117"/>
      <c r="BE106" s="331"/>
      <c r="BF106" s="117"/>
      <c r="BG106" s="331"/>
      <c r="BH106" s="117"/>
      <c r="BI106" s="944" t="s">
        <v>212</v>
      </c>
      <c r="BJ106" s="944"/>
      <c r="BK106" s="944"/>
      <c r="BL106" s="944"/>
      <c r="BM106" s="944"/>
      <c r="BN106" s="944"/>
      <c r="BO106" s="944"/>
      <c r="BP106" s="944"/>
      <c r="BQ106" s="944"/>
      <c r="BR106" s="944"/>
      <c r="BS106" s="944"/>
      <c r="BT106" s="944"/>
      <c r="BU106" s="944"/>
      <c r="BV106" s="945"/>
    </row>
    <row r="107" spans="1:74" ht="30" customHeight="1" x14ac:dyDescent="0.25">
      <c r="A107" s="200">
        <f t="shared" si="1"/>
        <v>93</v>
      </c>
      <c r="B107" s="294" t="s">
        <v>162</v>
      </c>
      <c r="C107" s="295"/>
      <c r="D107" s="936"/>
      <c r="E107" s="937"/>
      <c r="F107" s="937"/>
      <c r="G107" s="937"/>
      <c r="H107" s="937"/>
      <c r="I107" s="937"/>
      <c r="J107" s="937"/>
      <c r="K107" s="938"/>
      <c r="L107" s="932"/>
      <c r="M107" s="932"/>
      <c r="N107" s="932"/>
      <c r="O107" s="932"/>
      <c r="P107" s="931"/>
      <c r="Q107" s="931"/>
      <c r="R107" s="931"/>
      <c r="S107" s="931"/>
      <c r="T107" s="933"/>
      <c r="U107" s="934"/>
      <c r="V107" s="934"/>
      <c r="W107" s="935"/>
      <c r="X107" s="936"/>
      <c r="Y107" s="937"/>
      <c r="Z107" s="937"/>
      <c r="AA107" s="938"/>
      <c r="AB107" s="594"/>
      <c r="AC107" s="595"/>
      <c r="AD107" s="596"/>
      <c r="AE107" s="779"/>
      <c r="AF107" s="939"/>
      <c r="AG107" s="780"/>
      <c r="AH107" s="941"/>
      <c r="AI107" s="942"/>
      <c r="AJ107" s="943"/>
      <c r="AK107" s="745"/>
      <c r="AL107" s="940"/>
      <c r="AM107" s="746"/>
      <c r="AN107" s="281"/>
      <c r="AO107" s="282"/>
      <c r="AP107" s="281"/>
      <c r="AQ107" s="282"/>
      <c r="AR107" s="281"/>
      <c r="AS107" s="282"/>
      <c r="AT107" s="281"/>
      <c r="AU107" s="282"/>
      <c r="AV107" s="281"/>
      <c r="AW107" s="282"/>
      <c r="AX107" s="281"/>
      <c r="AY107" s="282"/>
      <c r="AZ107" s="117"/>
      <c r="BA107" s="331"/>
      <c r="BB107" s="117"/>
      <c r="BC107" s="331"/>
      <c r="BD107" s="117"/>
      <c r="BE107" s="331"/>
      <c r="BF107" s="117"/>
      <c r="BG107" s="331"/>
      <c r="BH107" s="117"/>
      <c r="BI107" s="944" t="s">
        <v>212</v>
      </c>
      <c r="BJ107" s="944"/>
      <c r="BK107" s="944"/>
      <c r="BL107" s="944"/>
      <c r="BM107" s="944"/>
      <c r="BN107" s="944"/>
      <c r="BO107" s="944"/>
      <c r="BP107" s="944"/>
      <c r="BQ107" s="944"/>
      <c r="BR107" s="944"/>
      <c r="BS107" s="944"/>
      <c r="BT107" s="944"/>
      <c r="BU107" s="944"/>
      <c r="BV107" s="945"/>
    </row>
    <row r="108" spans="1:74" ht="30" customHeight="1" x14ac:dyDescent="0.25">
      <c r="A108" s="200">
        <f t="shared" si="1"/>
        <v>94</v>
      </c>
      <c r="B108" s="294" t="s">
        <v>162</v>
      </c>
      <c r="C108" s="295"/>
      <c r="D108" s="936"/>
      <c r="E108" s="937"/>
      <c r="F108" s="937"/>
      <c r="G108" s="937"/>
      <c r="H108" s="937"/>
      <c r="I108" s="937"/>
      <c r="J108" s="937"/>
      <c r="K108" s="938"/>
      <c r="L108" s="932"/>
      <c r="M108" s="932"/>
      <c r="N108" s="932"/>
      <c r="O108" s="932"/>
      <c r="P108" s="931"/>
      <c r="Q108" s="931"/>
      <c r="R108" s="931"/>
      <c r="S108" s="931"/>
      <c r="T108" s="933"/>
      <c r="U108" s="934"/>
      <c r="V108" s="934"/>
      <c r="W108" s="935"/>
      <c r="X108" s="936"/>
      <c r="Y108" s="937"/>
      <c r="Z108" s="937"/>
      <c r="AA108" s="938"/>
      <c r="AB108" s="594"/>
      <c r="AC108" s="595"/>
      <c r="AD108" s="596"/>
      <c r="AE108" s="779"/>
      <c r="AF108" s="939"/>
      <c r="AG108" s="780"/>
      <c r="AH108" s="941"/>
      <c r="AI108" s="942"/>
      <c r="AJ108" s="943"/>
      <c r="AK108" s="745"/>
      <c r="AL108" s="940"/>
      <c r="AM108" s="746"/>
      <c r="AN108" s="281"/>
      <c r="AO108" s="282"/>
      <c r="AP108" s="281"/>
      <c r="AQ108" s="282"/>
      <c r="AR108" s="281"/>
      <c r="AS108" s="282"/>
      <c r="AT108" s="281"/>
      <c r="AU108" s="282"/>
      <c r="AV108" s="281"/>
      <c r="AW108" s="282"/>
      <c r="AX108" s="281"/>
      <c r="AY108" s="282"/>
      <c r="AZ108" s="117"/>
      <c r="BA108" s="331"/>
      <c r="BB108" s="117"/>
      <c r="BC108" s="331"/>
      <c r="BD108" s="117"/>
      <c r="BE108" s="331"/>
      <c r="BF108" s="117"/>
      <c r="BG108" s="331"/>
      <c r="BH108" s="117"/>
      <c r="BI108" s="944" t="s">
        <v>212</v>
      </c>
      <c r="BJ108" s="944"/>
      <c r="BK108" s="944"/>
      <c r="BL108" s="944"/>
      <c r="BM108" s="944"/>
      <c r="BN108" s="944"/>
      <c r="BO108" s="944"/>
      <c r="BP108" s="944"/>
      <c r="BQ108" s="944"/>
      <c r="BR108" s="944"/>
      <c r="BS108" s="944"/>
      <c r="BT108" s="944"/>
      <c r="BU108" s="944"/>
      <c r="BV108" s="945"/>
    </row>
    <row r="109" spans="1:74" ht="30" customHeight="1" x14ac:dyDescent="0.25">
      <c r="A109" s="200">
        <f t="shared" si="1"/>
        <v>95</v>
      </c>
      <c r="B109" s="294" t="s">
        <v>162</v>
      </c>
      <c r="C109" s="295"/>
      <c r="D109" s="936"/>
      <c r="E109" s="937"/>
      <c r="F109" s="937"/>
      <c r="G109" s="937"/>
      <c r="H109" s="937"/>
      <c r="I109" s="937"/>
      <c r="J109" s="937"/>
      <c r="K109" s="938"/>
      <c r="L109" s="932"/>
      <c r="M109" s="932"/>
      <c r="N109" s="932"/>
      <c r="O109" s="932"/>
      <c r="P109" s="931"/>
      <c r="Q109" s="931"/>
      <c r="R109" s="931"/>
      <c r="S109" s="931"/>
      <c r="T109" s="933"/>
      <c r="U109" s="934"/>
      <c r="V109" s="934"/>
      <c r="W109" s="935"/>
      <c r="X109" s="936"/>
      <c r="Y109" s="937"/>
      <c r="Z109" s="937"/>
      <c r="AA109" s="938"/>
      <c r="AB109" s="594"/>
      <c r="AC109" s="595"/>
      <c r="AD109" s="596"/>
      <c r="AE109" s="779"/>
      <c r="AF109" s="939"/>
      <c r="AG109" s="780"/>
      <c r="AH109" s="941"/>
      <c r="AI109" s="942"/>
      <c r="AJ109" s="943"/>
      <c r="AK109" s="745"/>
      <c r="AL109" s="940"/>
      <c r="AM109" s="746"/>
      <c r="AN109" s="281"/>
      <c r="AO109" s="282"/>
      <c r="AP109" s="281"/>
      <c r="AQ109" s="282"/>
      <c r="AR109" s="281"/>
      <c r="AS109" s="282"/>
      <c r="AT109" s="281"/>
      <c r="AU109" s="282"/>
      <c r="AV109" s="281"/>
      <c r="AW109" s="282"/>
      <c r="AX109" s="281"/>
      <c r="AY109" s="282"/>
      <c r="AZ109" s="117"/>
      <c r="BA109" s="331"/>
      <c r="BB109" s="117"/>
      <c r="BC109" s="331"/>
      <c r="BD109" s="117"/>
      <c r="BE109" s="331"/>
      <c r="BF109" s="117"/>
      <c r="BG109" s="331"/>
      <c r="BH109" s="117"/>
      <c r="BI109" s="944" t="s">
        <v>212</v>
      </c>
      <c r="BJ109" s="944"/>
      <c r="BK109" s="944"/>
      <c r="BL109" s="944"/>
      <c r="BM109" s="944"/>
      <c r="BN109" s="944"/>
      <c r="BO109" s="944"/>
      <c r="BP109" s="944"/>
      <c r="BQ109" s="944"/>
      <c r="BR109" s="944"/>
      <c r="BS109" s="944"/>
      <c r="BT109" s="944"/>
      <c r="BU109" s="944"/>
      <c r="BV109" s="945"/>
    </row>
    <row r="110" spans="1:74" ht="30" customHeight="1" x14ac:dyDescent="0.25">
      <c r="A110" s="200">
        <f t="shared" si="1"/>
        <v>96</v>
      </c>
      <c r="B110" s="294" t="s">
        <v>162</v>
      </c>
      <c r="C110" s="295"/>
      <c r="D110" s="936"/>
      <c r="E110" s="937"/>
      <c r="F110" s="937"/>
      <c r="G110" s="937"/>
      <c r="H110" s="937"/>
      <c r="I110" s="937"/>
      <c r="J110" s="937"/>
      <c r="K110" s="938"/>
      <c r="L110" s="932"/>
      <c r="M110" s="932"/>
      <c r="N110" s="932"/>
      <c r="O110" s="932"/>
      <c r="P110" s="931"/>
      <c r="Q110" s="931"/>
      <c r="R110" s="931"/>
      <c r="S110" s="931"/>
      <c r="T110" s="933"/>
      <c r="U110" s="934"/>
      <c r="V110" s="934"/>
      <c r="W110" s="935"/>
      <c r="X110" s="936"/>
      <c r="Y110" s="937"/>
      <c r="Z110" s="937"/>
      <c r="AA110" s="938"/>
      <c r="AB110" s="594"/>
      <c r="AC110" s="595"/>
      <c r="AD110" s="596"/>
      <c r="AE110" s="779"/>
      <c r="AF110" s="939"/>
      <c r="AG110" s="780"/>
      <c r="AH110" s="941"/>
      <c r="AI110" s="942"/>
      <c r="AJ110" s="943"/>
      <c r="AK110" s="745"/>
      <c r="AL110" s="940"/>
      <c r="AM110" s="746"/>
      <c r="AN110" s="281"/>
      <c r="AO110" s="282"/>
      <c r="AP110" s="281"/>
      <c r="AQ110" s="282"/>
      <c r="AR110" s="281"/>
      <c r="AS110" s="282"/>
      <c r="AT110" s="281"/>
      <c r="AU110" s="282"/>
      <c r="AV110" s="281"/>
      <c r="AW110" s="282"/>
      <c r="AX110" s="281"/>
      <c r="AY110" s="282"/>
      <c r="AZ110" s="117"/>
      <c r="BA110" s="331"/>
      <c r="BB110" s="117"/>
      <c r="BC110" s="331"/>
      <c r="BD110" s="117"/>
      <c r="BE110" s="331"/>
      <c r="BF110" s="117"/>
      <c r="BG110" s="331"/>
      <c r="BH110" s="117"/>
      <c r="BI110" s="944" t="s">
        <v>212</v>
      </c>
      <c r="BJ110" s="944"/>
      <c r="BK110" s="944"/>
      <c r="BL110" s="944"/>
      <c r="BM110" s="944"/>
      <c r="BN110" s="944"/>
      <c r="BO110" s="944"/>
      <c r="BP110" s="944"/>
      <c r="BQ110" s="944"/>
      <c r="BR110" s="944"/>
      <c r="BS110" s="944"/>
      <c r="BT110" s="944"/>
      <c r="BU110" s="944"/>
      <c r="BV110" s="945"/>
    </row>
    <row r="111" spans="1:74" ht="30" customHeight="1" x14ac:dyDescent="0.25">
      <c r="A111" s="200">
        <f t="shared" si="1"/>
        <v>97</v>
      </c>
      <c r="B111" s="294" t="s">
        <v>162</v>
      </c>
      <c r="C111" s="295"/>
      <c r="D111" s="936"/>
      <c r="E111" s="937"/>
      <c r="F111" s="937"/>
      <c r="G111" s="937"/>
      <c r="H111" s="937"/>
      <c r="I111" s="937"/>
      <c r="J111" s="937"/>
      <c r="K111" s="938"/>
      <c r="L111" s="932"/>
      <c r="M111" s="932"/>
      <c r="N111" s="932"/>
      <c r="O111" s="932"/>
      <c r="P111" s="931"/>
      <c r="Q111" s="931"/>
      <c r="R111" s="931"/>
      <c r="S111" s="931"/>
      <c r="T111" s="933"/>
      <c r="U111" s="934"/>
      <c r="V111" s="934"/>
      <c r="W111" s="935"/>
      <c r="X111" s="936"/>
      <c r="Y111" s="937"/>
      <c r="Z111" s="937"/>
      <c r="AA111" s="938"/>
      <c r="AB111" s="594"/>
      <c r="AC111" s="595"/>
      <c r="AD111" s="596"/>
      <c r="AE111" s="779"/>
      <c r="AF111" s="939"/>
      <c r="AG111" s="780"/>
      <c r="AH111" s="941"/>
      <c r="AI111" s="942"/>
      <c r="AJ111" s="943"/>
      <c r="AK111" s="745"/>
      <c r="AL111" s="940"/>
      <c r="AM111" s="746"/>
      <c r="AN111" s="281"/>
      <c r="AO111" s="282"/>
      <c r="AP111" s="281"/>
      <c r="AQ111" s="282"/>
      <c r="AR111" s="281"/>
      <c r="AS111" s="282"/>
      <c r="AT111" s="281"/>
      <c r="AU111" s="282"/>
      <c r="AV111" s="281"/>
      <c r="AW111" s="282"/>
      <c r="AX111" s="281"/>
      <c r="AY111" s="282"/>
      <c r="AZ111" s="117"/>
      <c r="BA111" s="331"/>
      <c r="BB111" s="117"/>
      <c r="BC111" s="331"/>
      <c r="BD111" s="117"/>
      <c r="BE111" s="331"/>
      <c r="BF111" s="117"/>
      <c r="BG111" s="331"/>
      <c r="BH111" s="117"/>
      <c r="BI111" s="944" t="s">
        <v>159</v>
      </c>
      <c r="BJ111" s="944"/>
      <c r="BK111" s="944"/>
      <c r="BL111" s="944"/>
      <c r="BM111" s="944"/>
      <c r="BN111" s="944"/>
      <c r="BO111" s="944"/>
      <c r="BP111" s="944"/>
      <c r="BQ111" s="944"/>
      <c r="BR111" s="944"/>
      <c r="BS111" s="944"/>
      <c r="BT111" s="944"/>
      <c r="BU111" s="944"/>
      <c r="BV111" s="945"/>
    </row>
    <row r="112" spans="1:74" ht="30" customHeight="1" x14ac:dyDescent="0.25">
      <c r="A112" s="200">
        <f t="shared" si="1"/>
        <v>98</v>
      </c>
      <c r="B112" s="294" t="s">
        <v>162</v>
      </c>
      <c r="C112" s="295"/>
      <c r="D112" s="936"/>
      <c r="E112" s="937"/>
      <c r="F112" s="937"/>
      <c r="G112" s="937"/>
      <c r="H112" s="937"/>
      <c r="I112" s="937"/>
      <c r="J112" s="937"/>
      <c r="K112" s="938"/>
      <c r="L112" s="932"/>
      <c r="M112" s="932"/>
      <c r="N112" s="932"/>
      <c r="O112" s="932"/>
      <c r="P112" s="931"/>
      <c r="Q112" s="931"/>
      <c r="R112" s="931"/>
      <c r="S112" s="931"/>
      <c r="T112" s="933"/>
      <c r="U112" s="934"/>
      <c r="V112" s="934"/>
      <c r="W112" s="935"/>
      <c r="X112" s="936"/>
      <c r="Y112" s="937"/>
      <c r="Z112" s="937"/>
      <c r="AA112" s="938"/>
      <c r="AB112" s="594"/>
      <c r="AC112" s="595"/>
      <c r="AD112" s="596"/>
      <c r="AE112" s="779"/>
      <c r="AF112" s="939"/>
      <c r="AG112" s="780"/>
      <c r="AH112" s="941"/>
      <c r="AI112" s="942"/>
      <c r="AJ112" s="943"/>
      <c r="AK112" s="745"/>
      <c r="AL112" s="940"/>
      <c r="AM112" s="746"/>
      <c r="AN112" s="281"/>
      <c r="AO112" s="282"/>
      <c r="AP112" s="281"/>
      <c r="AQ112" s="282"/>
      <c r="AR112" s="281"/>
      <c r="AS112" s="282"/>
      <c r="AT112" s="281"/>
      <c r="AU112" s="282"/>
      <c r="AV112" s="281"/>
      <c r="AW112" s="282"/>
      <c r="AX112" s="281"/>
      <c r="AY112" s="282"/>
      <c r="AZ112" s="117"/>
      <c r="BA112" s="331"/>
      <c r="BB112" s="117"/>
      <c r="BC112" s="331"/>
      <c r="BD112" s="117"/>
      <c r="BE112" s="331"/>
      <c r="BF112" s="117"/>
      <c r="BG112" s="331"/>
      <c r="BH112" s="117"/>
      <c r="BI112" s="944" t="s">
        <v>159</v>
      </c>
      <c r="BJ112" s="944"/>
      <c r="BK112" s="944"/>
      <c r="BL112" s="944"/>
      <c r="BM112" s="944"/>
      <c r="BN112" s="944"/>
      <c r="BO112" s="944"/>
      <c r="BP112" s="944"/>
      <c r="BQ112" s="944"/>
      <c r="BR112" s="944"/>
      <c r="BS112" s="944"/>
      <c r="BT112" s="944"/>
      <c r="BU112" s="944"/>
      <c r="BV112" s="945"/>
    </row>
    <row r="113" spans="1:74" ht="30" customHeight="1" x14ac:dyDescent="0.25">
      <c r="A113" s="232">
        <f t="shared" si="1"/>
        <v>99</v>
      </c>
      <c r="B113" s="294" t="s">
        <v>162</v>
      </c>
      <c r="C113" s="295"/>
      <c r="D113" s="936"/>
      <c r="E113" s="937"/>
      <c r="F113" s="937"/>
      <c r="G113" s="937"/>
      <c r="H113" s="937"/>
      <c r="I113" s="937"/>
      <c r="J113" s="937"/>
      <c r="K113" s="938"/>
      <c r="L113" s="932"/>
      <c r="M113" s="932"/>
      <c r="N113" s="932"/>
      <c r="O113" s="932"/>
      <c r="P113" s="931"/>
      <c r="Q113" s="931"/>
      <c r="R113" s="931"/>
      <c r="S113" s="931"/>
      <c r="T113" s="933"/>
      <c r="U113" s="934"/>
      <c r="V113" s="934"/>
      <c r="W113" s="935"/>
      <c r="X113" s="936"/>
      <c r="Y113" s="937"/>
      <c r="Z113" s="937"/>
      <c r="AA113" s="938"/>
      <c r="AB113" s="594"/>
      <c r="AC113" s="595"/>
      <c r="AD113" s="596"/>
      <c r="AE113" s="779"/>
      <c r="AF113" s="939"/>
      <c r="AG113" s="780"/>
      <c r="AH113" s="941"/>
      <c r="AI113" s="942"/>
      <c r="AJ113" s="943"/>
      <c r="AK113" s="745"/>
      <c r="AL113" s="940"/>
      <c r="AM113" s="746"/>
      <c r="AN113" s="281"/>
      <c r="AO113" s="282"/>
      <c r="AP113" s="281"/>
      <c r="AQ113" s="282"/>
      <c r="AR113" s="281"/>
      <c r="AS113" s="282"/>
      <c r="AT113" s="281"/>
      <c r="AU113" s="282"/>
      <c r="AV113" s="281"/>
      <c r="AW113" s="282"/>
      <c r="AX113" s="281"/>
      <c r="AY113" s="282"/>
      <c r="AZ113" s="117"/>
      <c r="BA113" s="331"/>
      <c r="BB113" s="117"/>
      <c r="BC113" s="331"/>
      <c r="BD113" s="117"/>
      <c r="BE113" s="331"/>
      <c r="BF113" s="117"/>
      <c r="BG113" s="331"/>
      <c r="BH113" s="117"/>
      <c r="BI113" s="944" t="s">
        <v>212</v>
      </c>
      <c r="BJ113" s="944"/>
      <c r="BK113" s="944"/>
      <c r="BL113" s="944"/>
      <c r="BM113" s="944"/>
      <c r="BN113" s="944"/>
      <c r="BO113" s="944"/>
      <c r="BP113" s="944"/>
      <c r="BQ113" s="944"/>
      <c r="BR113" s="944"/>
      <c r="BS113" s="944"/>
      <c r="BT113" s="944"/>
      <c r="BU113" s="944"/>
      <c r="BV113" s="945"/>
    </row>
    <row r="114" spans="1:74" ht="30" customHeight="1" x14ac:dyDescent="0.25">
      <c r="A114" s="200">
        <f t="shared" si="1"/>
        <v>100</v>
      </c>
      <c r="B114" s="294" t="s">
        <v>162</v>
      </c>
      <c r="C114" s="295"/>
      <c r="D114" s="936"/>
      <c r="E114" s="937"/>
      <c r="F114" s="937"/>
      <c r="G114" s="937"/>
      <c r="H114" s="937"/>
      <c r="I114" s="937"/>
      <c r="J114" s="937"/>
      <c r="K114" s="938"/>
      <c r="L114" s="932"/>
      <c r="M114" s="932"/>
      <c r="N114" s="932"/>
      <c r="O114" s="932"/>
      <c r="P114" s="931"/>
      <c r="Q114" s="931"/>
      <c r="R114" s="931"/>
      <c r="S114" s="931"/>
      <c r="T114" s="933"/>
      <c r="U114" s="934"/>
      <c r="V114" s="934"/>
      <c r="W114" s="935"/>
      <c r="X114" s="936"/>
      <c r="Y114" s="937"/>
      <c r="Z114" s="937"/>
      <c r="AA114" s="938"/>
      <c r="AB114" s="594"/>
      <c r="AC114" s="595"/>
      <c r="AD114" s="596"/>
      <c r="AE114" s="779"/>
      <c r="AF114" s="939"/>
      <c r="AG114" s="780"/>
      <c r="AH114" s="941"/>
      <c r="AI114" s="942"/>
      <c r="AJ114" s="943"/>
      <c r="AK114" s="745"/>
      <c r="AL114" s="940"/>
      <c r="AM114" s="746"/>
      <c r="AN114" s="281"/>
      <c r="AO114" s="282"/>
      <c r="AP114" s="281"/>
      <c r="AQ114" s="282"/>
      <c r="AR114" s="281"/>
      <c r="AS114" s="282"/>
      <c r="AT114" s="281"/>
      <c r="AU114" s="282"/>
      <c r="AV114" s="281"/>
      <c r="AW114" s="282"/>
      <c r="AX114" s="281"/>
      <c r="AY114" s="282"/>
      <c r="AZ114" s="117"/>
      <c r="BA114" s="331"/>
      <c r="BB114" s="117"/>
      <c r="BC114" s="331"/>
      <c r="BD114" s="117"/>
      <c r="BE114" s="331"/>
      <c r="BF114" s="117"/>
      <c r="BG114" s="331"/>
      <c r="BH114" s="117"/>
      <c r="BI114" s="944" t="s">
        <v>212</v>
      </c>
      <c r="BJ114" s="944"/>
      <c r="BK114" s="944"/>
      <c r="BL114" s="944"/>
      <c r="BM114" s="944"/>
      <c r="BN114" s="944"/>
      <c r="BO114" s="944"/>
      <c r="BP114" s="944"/>
      <c r="BQ114" s="944"/>
      <c r="BR114" s="944"/>
      <c r="BS114" s="944"/>
      <c r="BT114" s="944"/>
      <c r="BU114" s="944"/>
      <c r="BV114" s="945"/>
    </row>
    <row r="115" spans="1:74" ht="30" customHeight="1" x14ac:dyDescent="0.25">
      <c r="A115" s="200">
        <f t="shared" si="1"/>
        <v>101</v>
      </c>
      <c r="B115" s="294" t="s">
        <v>162</v>
      </c>
      <c r="C115" s="295"/>
      <c r="D115" s="936"/>
      <c r="E115" s="937"/>
      <c r="F115" s="937"/>
      <c r="G115" s="937"/>
      <c r="H115" s="937"/>
      <c r="I115" s="937"/>
      <c r="J115" s="937"/>
      <c r="K115" s="938"/>
      <c r="L115" s="932"/>
      <c r="M115" s="932"/>
      <c r="N115" s="932"/>
      <c r="O115" s="932"/>
      <c r="P115" s="931"/>
      <c r="Q115" s="931"/>
      <c r="R115" s="931"/>
      <c r="S115" s="931"/>
      <c r="T115" s="933"/>
      <c r="U115" s="934"/>
      <c r="V115" s="934"/>
      <c r="W115" s="935"/>
      <c r="X115" s="936"/>
      <c r="Y115" s="937"/>
      <c r="Z115" s="937"/>
      <c r="AA115" s="938"/>
      <c r="AB115" s="594"/>
      <c r="AC115" s="595"/>
      <c r="AD115" s="596"/>
      <c r="AE115" s="779"/>
      <c r="AF115" s="939"/>
      <c r="AG115" s="780"/>
      <c r="AH115" s="941"/>
      <c r="AI115" s="942"/>
      <c r="AJ115" s="943"/>
      <c r="AK115" s="745"/>
      <c r="AL115" s="940"/>
      <c r="AM115" s="746"/>
      <c r="AN115" s="281"/>
      <c r="AO115" s="282"/>
      <c r="AP115" s="281"/>
      <c r="AQ115" s="282"/>
      <c r="AR115" s="281"/>
      <c r="AS115" s="282"/>
      <c r="AT115" s="281"/>
      <c r="AU115" s="282"/>
      <c r="AV115" s="281"/>
      <c r="AW115" s="282"/>
      <c r="AX115" s="281"/>
      <c r="AY115" s="282"/>
      <c r="AZ115" s="117"/>
      <c r="BA115" s="331"/>
      <c r="BB115" s="117"/>
      <c r="BC115" s="331"/>
      <c r="BD115" s="117"/>
      <c r="BE115" s="331"/>
      <c r="BF115" s="117"/>
      <c r="BG115" s="331"/>
      <c r="BH115" s="117"/>
      <c r="BI115" s="944" t="s">
        <v>212</v>
      </c>
      <c r="BJ115" s="944"/>
      <c r="BK115" s="944"/>
      <c r="BL115" s="944"/>
      <c r="BM115" s="944"/>
      <c r="BN115" s="944"/>
      <c r="BO115" s="944"/>
      <c r="BP115" s="944"/>
      <c r="BQ115" s="944"/>
      <c r="BR115" s="944"/>
      <c r="BS115" s="944"/>
      <c r="BT115" s="944"/>
      <c r="BU115" s="944"/>
      <c r="BV115" s="945"/>
    </row>
    <row r="116" spans="1:74" ht="30" customHeight="1" x14ac:dyDescent="0.25">
      <c r="A116" s="200">
        <f t="shared" si="1"/>
        <v>102</v>
      </c>
      <c r="B116" s="294" t="s">
        <v>162</v>
      </c>
      <c r="C116" s="295"/>
      <c r="D116" s="936"/>
      <c r="E116" s="937"/>
      <c r="F116" s="937"/>
      <c r="G116" s="937"/>
      <c r="H116" s="937"/>
      <c r="I116" s="937"/>
      <c r="J116" s="937"/>
      <c r="K116" s="938"/>
      <c r="L116" s="932"/>
      <c r="M116" s="932"/>
      <c r="N116" s="932"/>
      <c r="O116" s="932"/>
      <c r="P116" s="931"/>
      <c r="Q116" s="931"/>
      <c r="R116" s="931"/>
      <c r="S116" s="931"/>
      <c r="T116" s="933"/>
      <c r="U116" s="934"/>
      <c r="V116" s="934"/>
      <c r="W116" s="935"/>
      <c r="X116" s="936"/>
      <c r="Y116" s="937"/>
      <c r="Z116" s="937"/>
      <c r="AA116" s="938"/>
      <c r="AB116" s="594"/>
      <c r="AC116" s="595"/>
      <c r="AD116" s="596"/>
      <c r="AE116" s="779"/>
      <c r="AF116" s="939"/>
      <c r="AG116" s="780"/>
      <c r="AH116" s="941"/>
      <c r="AI116" s="942"/>
      <c r="AJ116" s="943"/>
      <c r="AK116" s="745"/>
      <c r="AL116" s="940"/>
      <c r="AM116" s="746"/>
      <c r="AN116" s="281"/>
      <c r="AO116" s="282"/>
      <c r="AP116" s="281"/>
      <c r="AQ116" s="282"/>
      <c r="AR116" s="281"/>
      <c r="AS116" s="282"/>
      <c r="AT116" s="281"/>
      <c r="AU116" s="282"/>
      <c r="AV116" s="281"/>
      <c r="AW116" s="282"/>
      <c r="AX116" s="281"/>
      <c r="AY116" s="282"/>
      <c r="AZ116" s="117"/>
      <c r="BA116" s="331"/>
      <c r="BB116" s="117"/>
      <c r="BC116" s="331"/>
      <c r="BD116" s="117"/>
      <c r="BE116" s="331"/>
      <c r="BF116" s="117"/>
      <c r="BG116" s="331"/>
      <c r="BH116" s="117"/>
      <c r="BI116" s="944" t="s">
        <v>212</v>
      </c>
      <c r="BJ116" s="944"/>
      <c r="BK116" s="944"/>
      <c r="BL116" s="944"/>
      <c r="BM116" s="944"/>
      <c r="BN116" s="944"/>
      <c r="BO116" s="944"/>
      <c r="BP116" s="944"/>
      <c r="BQ116" s="944"/>
      <c r="BR116" s="944"/>
      <c r="BS116" s="944"/>
      <c r="BT116" s="944"/>
      <c r="BU116" s="944"/>
      <c r="BV116" s="945"/>
    </row>
    <row r="117" spans="1:74" ht="30" customHeight="1" x14ac:dyDescent="0.25">
      <c r="A117" s="200">
        <f t="shared" si="1"/>
        <v>103</v>
      </c>
      <c r="B117" s="294" t="s">
        <v>162</v>
      </c>
      <c r="C117" s="295"/>
      <c r="D117" s="936"/>
      <c r="E117" s="937"/>
      <c r="F117" s="937"/>
      <c r="G117" s="937"/>
      <c r="H117" s="937"/>
      <c r="I117" s="937"/>
      <c r="J117" s="937"/>
      <c r="K117" s="938"/>
      <c r="L117" s="932"/>
      <c r="M117" s="932"/>
      <c r="N117" s="932"/>
      <c r="O117" s="932"/>
      <c r="P117" s="931"/>
      <c r="Q117" s="931"/>
      <c r="R117" s="931"/>
      <c r="S117" s="931"/>
      <c r="T117" s="933"/>
      <c r="U117" s="934"/>
      <c r="V117" s="934"/>
      <c r="W117" s="935"/>
      <c r="X117" s="936"/>
      <c r="Y117" s="937"/>
      <c r="Z117" s="937"/>
      <c r="AA117" s="938"/>
      <c r="AB117" s="594"/>
      <c r="AC117" s="595"/>
      <c r="AD117" s="596"/>
      <c r="AE117" s="779"/>
      <c r="AF117" s="939"/>
      <c r="AG117" s="780"/>
      <c r="AH117" s="941"/>
      <c r="AI117" s="942"/>
      <c r="AJ117" s="943"/>
      <c r="AK117" s="745"/>
      <c r="AL117" s="940"/>
      <c r="AM117" s="746"/>
      <c r="AN117" s="281"/>
      <c r="AO117" s="282"/>
      <c r="AP117" s="281"/>
      <c r="AQ117" s="282"/>
      <c r="AR117" s="281"/>
      <c r="AS117" s="282"/>
      <c r="AT117" s="281"/>
      <c r="AU117" s="282"/>
      <c r="AV117" s="281"/>
      <c r="AW117" s="282"/>
      <c r="AX117" s="281"/>
      <c r="AY117" s="282"/>
      <c r="AZ117" s="117"/>
      <c r="BA117" s="331"/>
      <c r="BB117" s="117"/>
      <c r="BC117" s="331"/>
      <c r="BD117" s="117"/>
      <c r="BE117" s="331"/>
      <c r="BF117" s="117"/>
      <c r="BG117" s="331"/>
      <c r="BH117" s="117"/>
      <c r="BI117" s="944" t="s">
        <v>212</v>
      </c>
      <c r="BJ117" s="944"/>
      <c r="BK117" s="944"/>
      <c r="BL117" s="944"/>
      <c r="BM117" s="944"/>
      <c r="BN117" s="944"/>
      <c r="BO117" s="944"/>
      <c r="BP117" s="944"/>
      <c r="BQ117" s="944"/>
      <c r="BR117" s="944"/>
      <c r="BS117" s="944"/>
      <c r="BT117" s="944"/>
      <c r="BU117" s="944"/>
      <c r="BV117" s="945"/>
    </row>
    <row r="118" spans="1:74" ht="30" customHeight="1" x14ac:dyDescent="0.25">
      <c r="A118" s="200">
        <f t="shared" si="1"/>
        <v>104</v>
      </c>
      <c r="B118" s="294" t="s">
        <v>162</v>
      </c>
      <c r="C118" s="295"/>
      <c r="D118" s="936"/>
      <c r="E118" s="937"/>
      <c r="F118" s="937"/>
      <c r="G118" s="937"/>
      <c r="H118" s="937"/>
      <c r="I118" s="937"/>
      <c r="J118" s="937"/>
      <c r="K118" s="938"/>
      <c r="L118" s="932"/>
      <c r="M118" s="932"/>
      <c r="N118" s="932"/>
      <c r="O118" s="932"/>
      <c r="P118" s="931"/>
      <c r="Q118" s="931"/>
      <c r="R118" s="931"/>
      <c r="S118" s="931"/>
      <c r="T118" s="933"/>
      <c r="U118" s="934"/>
      <c r="V118" s="934"/>
      <c r="W118" s="935"/>
      <c r="X118" s="936"/>
      <c r="Y118" s="937"/>
      <c r="Z118" s="937"/>
      <c r="AA118" s="938"/>
      <c r="AB118" s="594"/>
      <c r="AC118" s="595"/>
      <c r="AD118" s="596"/>
      <c r="AE118" s="779"/>
      <c r="AF118" s="939"/>
      <c r="AG118" s="780"/>
      <c r="AH118" s="941"/>
      <c r="AI118" s="942"/>
      <c r="AJ118" s="943"/>
      <c r="AK118" s="745"/>
      <c r="AL118" s="940"/>
      <c r="AM118" s="746"/>
      <c r="AN118" s="281"/>
      <c r="AO118" s="282"/>
      <c r="AP118" s="281"/>
      <c r="AQ118" s="282"/>
      <c r="AR118" s="281"/>
      <c r="AS118" s="282"/>
      <c r="AT118" s="281"/>
      <c r="AU118" s="282"/>
      <c r="AV118" s="281"/>
      <c r="AW118" s="282"/>
      <c r="AX118" s="281"/>
      <c r="AY118" s="282"/>
      <c r="AZ118" s="117"/>
      <c r="BA118" s="331"/>
      <c r="BB118" s="117"/>
      <c r="BC118" s="331"/>
      <c r="BD118" s="117"/>
      <c r="BE118" s="331"/>
      <c r="BF118" s="117"/>
      <c r="BG118" s="331"/>
      <c r="BH118" s="117"/>
      <c r="BI118" s="944" t="s">
        <v>159</v>
      </c>
      <c r="BJ118" s="944"/>
      <c r="BK118" s="944"/>
      <c r="BL118" s="944"/>
      <c r="BM118" s="944"/>
      <c r="BN118" s="944"/>
      <c r="BO118" s="944"/>
      <c r="BP118" s="944"/>
      <c r="BQ118" s="944"/>
      <c r="BR118" s="944"/>
      <c r="BS118" s="944"/>
      <c r="BT118" s="944"/>
      <c r="BU118" s="944"/>
      <c r="BV118" s="945"/>
    </row>
    <row r="119" spans="1:74" ht="30" customHeight="1" x14ac:dyDescent="0.25">
      <c r="A119" s="232">
        <f t="shared" si="1"/>
        <v>105</v>
      </c>
      <c r="B119" s="294" t="s">
        <v>162</v>
      </c>
      <c r="C119" s="295"/>
      <c r="D119" s="936"/>
      <c r="E119" s="937"/>
      <c r="F119" s="937"/>
      <c r="G119" s="937"/>
      <c r="H119" s="937"/>
      <c r="I119" s="937"/>
      <c r="J119" s="937"/>
      <c r="K119" s="938"/>
      <c r="L119" s="932"/>
      <c r="M119" s="932"/>
      <c r="N119" s="932"/>
      <c r="O119" s="932"/>
      <c r="P119" s="931"/>
      <c r="Q119" s="931"/>
      <c r="R119" s="931"/>
      <c r="S119" s="931"/>
      <c r="T119" s="933"/>
      <c r="U119" s="934"/>
      <c r="V119" s="934"/>
      <c r="W119" s="935"/>
      <c r="X119" s="936"/>
      <c r="Y119" s="937"/>
      <c r="Z119" s="937"/>
      <c r="AA119" s="938"/>
      <c r="AB119" s="594"/>
      <c r="AC119" s="595"/>
      <c r="AD119" s="596"/>
      <c r="AE119" s="779"/>
      <c r="AF119" s="939"/>
      <c r="AG119" s="780"/>
      <c r="AH119" s="941"/>
      <c r="AI119" s="942"/>
      <c r="AJ119" s="943"/>
      <c r="AK119" s="745"/>
      <c r="AL119" s="940"/>
      <c r="AM119" s="746"/>
      <c r="AN119" s="281"/>
      <c r="AO119" s="282"/>
      <c r="AP119" s="281"/>
      <c r="AQ119" s="282"/>
      <c r="AR119" s="281"/>
      <c r="AS119" s="282"/>
      <c r="AT119" s="281"/>
      <c r="AU119" s="282"/>
      <c r="AV119" s="281"/>
      <c r="AW119" s="282"/>
      <c r="AX119" s="281"/>
      <c r="AY119" s="282"/>
      <c r="AZ119" s="117"/>
      <c r="BA119" s="331"/>
      <c r="BB119" s="117"/>
      <c r="BC119" s="331"/>
      <c r="BD119" s="117"/>
      <c r="BE119" s="331"/>
      <c r="BF119" s="117"/>
      <c r="BG119" s="331"/>
      <c r="BH119" s="117"/>
      <c r="BI119" s="944" t="s">
        <v>212</v>
      </c>
      <c r="BJ119" s="944"/>
      <c r="BK119" s="944"/>
      <c r="BL119" s="944"/>
      <c r="BM119" s="944"/>
      <c r="BN119" s="944"/>
      <c r="BO119" s="944"/>
      <c r="BP119" s="944"/>
      <c r="BQ119" s="944"/>
      <c r="BR119" s="944"/>
      <c r="BS119" s="944"/>
      <c r="BT119" s="944"/>
      <c r="BU119" s="944"/>
      <c r="BV119" s="945"/>
    </row>
    <row r="120" spans="1:74" ht="30" customHeight="1" x14ac:dyDescent="0.25">
      <c r="A120" s="200">
        <f t="shared" si="1"/>
        <v>106</v>
      </c>
      <c r="B120" s="294" t="s">
        <v>162</v>
      </c>
      <c r="C120" s="295"/>
      <c r="D120" s="936"/>
      <c r="E120" s="937"/>
      <c r="F120" s="937"/>
      <c r="G120" s="937"/>
      <c r="H120" s="937"/>
      <c r="I120" s="937"/>
      <c r="J120" s="937"/>
      <c r="K120" s="938"/>
      <c r="L120" s="932"/>
      <c r="M120" s="932"/>
      <c r="N120" s="932"/>
      <c r="O120" s="932"/>
      <c r="P120" s="931"/>
      <c r="Q120" s="931"/>
      <c r="R120" s="931"/>
      <c r="S120" s="931"/>
      <c r="T120" s="933"/>
      <c r="U120" s="934"/>
      <c r="V120" s="934"/>
      <c r="W120" s="935"/>
      <c r="X120" s="936"/>
      <c r="Y120" s="937"/>
      <c r="Z120" s="937"/>
      <c r="AA120" s="938"/>
      <c r="AB120" s="594"/>
      <c r="AC120" s="595"/>
      <c r="AD120" s="596"/>
      <c r="AE120" s="779"/>
      <c r="AF120" s="939"/>
      <c r="AG120" s="780"/>
      <c r="AH120" s="941"/>
      <c r="AI120" s="942"/>
      <c r="AJ120" s="943"/>
      <c r="AK120" s="745"/>
      <c r="AL120" s="940"/>
      <c r="AM120" s="746"/>
      <c r="AN120" s="281"/>
      <c r="AO120" s="282"/>
      <c r="AP120" s="281"/>
      <c r="AQ120" s="282"/>
      <c r="AR120" s="281"/>
      <c r="AS120" s="282"/>
      <c r="AT120" s="281"/>
      <c r="AU120" s="282"/>
      <c r="AV120" s="281"/>
      <c r="AW120" s="282"/>
      <c r="AX120" s="281"/>
      <c r="AY120" s="282"/>
      <c r="AZ120" s="117"/>
      <c r="BA120" s="331"/>
      <c r="BB120" s="117"/>
      <c r="BC120" s="331"/>
      <c r="BD120" s="117"/>
      <c r="BE120" s="331"/>
      <c r="BF120" s="117"/>
      <c r="BG120" s="331"/>
      <c r="BH120" s="117"/>
      <c r="BI120" s="944" t="s">
        <v>212</v>
      </c>
      <c r="BJ120" s="944"/>
      <c r="BK120" s="944"/>
      <c r="BL120" s="944"/>
      <c r="BM120" s="944"/>
      <c r="BN120" s="944"/>
      <c r="BO120" s="944"/>
      <c r="BP120" s="944"/>
      <c r="BQ120" s="944"/>
      <c r="BR120" s="944"/>
      <c r="BS120" s="944"/>
      <c r="BT120" s="944"/>
      <c r="BU120" s="944"/>
      <c r="BV120" s="945"/>
    </row>
    <row r="121" spans="1:74" ht="30" customHeight="1" x14ac:dyDescent="0.25">
      <c r="A121" s="200">
        <f t="shared" si="1"/>
        <v>107</v>
      </c>
      <c r="B121" s="294" t="s">
        <v>162</v>
      </c>
      <c r="C121" s="295"/>
      <c r="D121" s="936"/>
      <c r="E121" s="937"/>
      <c r="F121" s="937"/>
      <c r="G121" s="937"/>
      <c r="H121" s="937"/>
      <c r="I121" s="937"/>
      <c r="J121" s="937"/>
      <c r="K121" s="938"/>
      <c r="L121" s="932"/>
      <c r="M121" s="932"/>
      <c r="N121" s="932"/>
      <c r="O121" s="932"/>
      <c r="P121" s="931"/>
      <c r="Q121" s="931"/>
      <c r="R121" s="931"/>
      <c r="S121" s="931"/>
      <c r="T121" s="933"/>
      <c r="U121" s="934"/>
      <c r="V121" s="934"/>
      <c r="W121" s="935"/>
      <c r="X121" s="936"/>
      <c r="Y121" s="937"/>
      <c r="Z121" s="937"/>
      <c r="AA121" s="938"/>
      <c r="AB121" s="594"/>
      <c r="AC121" s="595"/>
      <c r="AD121" s="596"/>
      <c r="AE121" s="779"/>
      <c r="AF121" s="939"/>
      <c r="AG121" s="780"/>
      <c r="AH121" s="941"/>
      <c r="AI121" s="942"/>
      <c r="AJ121" s="943"/>
      <c r="AK121" s="745"/>
      <c r="AL121" s="940"/>
      <c r="AM121" s="746"/>
      <c r="AN121" s="281"/>
      <c r="AO121" s="282"/>
      <c r="AP121" s="281"/>
      <c r="AQ121" s="282"/>
      <c r="AR121" s="281"/>
      <c r="AS121" s="282"/>
      <c r="AT121" s="281"/>
      <c r="AU121" s="282"/>
      <c r="AV121" s="281"/>
      <c r="AW121" s="282"/>
      <c r="AX121" s="281"/>
      <c r="AY121" s="282"/>
      <c r="AZ121" s="117"/>
      <c r="BA121" s="331"/>
      <c r="BB121" s="117"/>
      <c r="BC121" s="331"/>
      <c r="BD121" s="117"/>
      <c r="BE121" s="331"/>
      <c r="BF121" s="117"/>
      <c r="BG121" s="331"/>
      <c r="BH121" s="117"/>
      <c r="BI121" s="944" t="s">
        <v>212</v>
      </c>
      <c r="BJ121" s="944"/>
      <c r="BK121" s="944"/>
      <c r="BL121" s="944"/>
      <c r="BM121" s="944"/>
      <c r="BN121" s="944"/>
      <c r="BO121" s="944"/>
      <c r="BP121" s="944"/>
      <c r="BQ121" s="944"/>
      <c r="BR121" s="944"/>
      <c r="BS121" s="944"/>
      <c r="BT121" s="944"/>
      <c r="BU121" s="944"/>
      <c r="BV121" s="945"/>
    </row>
    <row r="122" spans="1:74" ht="30" customHeight="1" x14ac:dyDescent="0.25">
      <c r="A122" s="200">
        <f t="shared" si="1"/>
        <v>108</v>
      </c>
      <c r="B122" s="294" t="s">
        <v>162</v>
      </c>
      <c r="C122" s="295"/>
      <c r="D122" s="936"/>
      <c r="E122" s="937"/>
      <c r="F122" s="937"/>
      <c r="G122" s="937"/>
      <c r="H122" s="937"/>
      <c r="I122" s="937"/>
      <c r="J122" s="937"/>
      <c r="K122" s="938"/>
      <c r="L122" s="932"/>
      <c r="M122" s="932"/>
      <c r="N122" s="932"/>
      <c r="O122" s="932"/>
      <c r="P122" s="931"/>
      <c r="Q122" s="931"/>
      <c r="R122" s="931"/>
      <c r="S122" s="931"/>
      <c r="T122" s="933"/>
      <c r="U122" s="934"/>
      <c r="V122" s="934"/>
      <c r="W122" s="935"/>
      <c r="X122" s="936"/>
      <c r="Y122" s="937"/>
      <c r="Z122" s="937"/>
      <c r="AA122" s="938"/>
      <c r="AB122" s="594"/>
      <c r="AC122" s="595"/>
      <c r="AD122" s="596"/>
      <c r="AE122" s="779"/>
      <c r="AF122" s="939"/>
      <c r="AG122" s="780"/>
      <c r="AH122" s="941"/>
      <c r="AI122" s="942"/>
      <c r="AJ122" s="943"/>
      <c r="AK122" s="745"/>
      <c r="AL122" s="940"/>
      <c r="AM122" s="746"/>
      <c r="AN122" s="281"/>
      <c r="AO122" s="282"/>
      <c r="AP122" s="281"/>
      <c r="AQ122" s="282"/>
      <c r="AR122" s="281"/>
      <c r="AS122" s="282"/>
      <c r="AT122" s="281"/>
      <c r="AU122" s="282"/>
      <c r="AV122" s="281"/>
      <c r="AW122" s="282"/>
      <c r="AX122" s="281"/>
      <c r="AY122" s="282"/>
      <c r="AZ122" s="117"/>
      <c r="BA122" s="331"/>
      <c r="BB122" s="117"/>
      <c r="BC122" s="331"/>
      <c r="BD122" s="117"/>
      <c r="BE122" s="331"/>
      <c r="BF122" s="117"/>
      <c r="BG122" s="331"/>
      <c r="BH122" s="117"/>
      <c r="BI122" s="944" t="s">
        <v>212</v>
      </c>
      <c r="BJ122" s="944"/>
      <c r="BK122" s="944"/>
      <c r="BL122" s="944"/>
      <c r="BM122" s="944"/>
      <c r="BN122" s="944"/>
      <c r="BO122" s="944"/>
      <c r="BP122" s="944"/>
      <c r="BQ122" s="944"/>
      <c r="BR122" s="944"/>
      <c r="BS122" s="944"/>
      <c r="BT122" s="944"/>
      <c r="BU122" s="944"/>
      <c r="BV122" s="945"/>
    </row>
    <row r="123" spans="1:74" ht="30" customHeight="1" x14ac:dyDescent="0.25">
      <c r="A123" s="200">
        <f t="shared" si="1"/>
        <v>109</v>
      </c>
      <c r="B123" s="294" t="s">
        <v>162</v>
      </c>
      <c r="C123" s="295"/>
      <c r="D123" s="936"/>
      <c r="E123" s="937"/>
      <c r="F123" s="937"/>
      <c r="G123" s="937"/>
      <c r="H123" s="937"/>
      <c r="I123" s="937"/>
      <c r="J123" s="937"/>
      <c r="K123" s="938"/>
      <c r="L123" s="932"/>
      <c r="M123" s="932"/>
      <c r="N123" s="932"/>
      <c r="O123" s="932"/>
      <c r="P123" s="931"/>
      <c r="Q123" s="931"/>
      <c r="R123" s="931"/>
      <c r="S123" s="931"/>
      <c r="T123" s="933"/>
      <c r="U123" s="934"/>
      <c r="V123" s="934"/>
      <c r="W123" s="935"/>
      <c r="X123" s="936"/>
      <c r="Y123" s="937"/>
      <c r="Z123" s="937"/>
      <c r="AA123" s="938"/>
      <c r="AB123" s="594"/>
      <c r="AC123" s="595"/>
      <c r="AD123" s="596"/>
      <c r="AE123" s="779"/>
      <c r="AF123" s="939"/>
      <c r="AG123" s="780"/>
      <c r="AH123" s="941"/>
      <c r="AI123" s="942"/>
      <c r="AJ123" s="943"/>
      <c r="AK123" s="745"/>
      <c r="AL123" s="940"/>
      <c r="AM123" s="746"/>
      <c r="AN123" s="281"/>
      <c r="AO123" s="282"/>
      <c r="AP123" s="281"/>
      <c r="AQ123" s="282"/>
      <c r="AR123" s="281"/>
      <c r="AS123" s="282"/>
      <c r="AT123" s="281"/>
      <c r="AU123" s="282"/>
      <c r="AV123" s="281"/>
      <c r="AW123" s="282"/>
      <c r="AX123" s="281"/>
      <c r="AY123" s="282"/>
      <c r="AZ123" s="117"/>
      <c r="BA123" s="331"/>
      <c r="BB123" s="117"/>
      <c r="BC123" s="331"/>
      <c r="BD123" s="117"/>
      <c r="BE123" s="331"/>
      <c r="BF123" s="117"/>
      <c r="BG123" s="331"/>
      <c r="BH123" s="117"/>
      <c r="BI123" s="944" t="s">
        <v>212</v>
      </c>
      <c r="BJ123" s="944"/>
      <c r="BK123" s="944"/>
      <c r="BL123" s="944"/>
      <c r="BM123" s="944"/>
      <c r="BN123" s="944"/>
      <c r="BO123" s="944"/>
      <c r="BP123" s="944"/>
      <c r="BQ123" s="944"/>
      <c r="BR123" s="944"/>
      <c r="BS123" s="944"/>
      <c r="BT123" s="944"/>
      <c r="BU123" s="944"/>
      <c r="BV123" s="945"/>
    </row>
    <row r="124" spans="1:74" ht="30" customHeight="1" x14ac:dyDescent="0.25">
      <c r="A124" s="200">
        <f t="shared" si="1"/>
        <v>110</v>
      </c>
      <c r="B124" s="294" t="s">
        <v>162</v>
      </c>
      <c r="C124" s="295"/>
      <c r="D124" s="936"/>
      <c r="E124" s="937"/>
      <c r="F124" s="937"/>
      <c r="G124" s="937"/>
      <c r="H124" s="937"/>
      <c r="I124" s="937"/>
      <c r="J124" s="937"/>
      <c r="K124" s="938"/>
      <c r="L124" s="932"/>
      <c r="M124" s="932"/>
      <c r="N124" s="932"/>
      <c r="O124" s="932"/>
      <c r="P124" s="931"/>
      <c r="Q124" s="931"/>
      <c r="R124" s="931"/>
      <c r="S124" s="931"/>
      <c r="T124" s="933"/>
      <c r="U124" s="934"/>
      <c r="V124" s="934"/>
      <c r="W124" s="935"/>
      <c r="X124" s="936"/>
      <c r="Y124" s="937"/>
      <c r="Z124" s="937"/>
      <c r="AA124" s="938"/>
      <c r="AB124" s="594"/>
      <c r="AC124" s="595"/>
      <c r="AD124" s="596"/>
      <c r="AE124" s="779"/>
      <c r="AF124" s="939"/>
      <c r="AG124" s="780"/>
      <c r="AH124" s="941"/>
      <c r="AI124" s="942"/>
      <c r="AJ124" s="943"/>
      <c r="AK124" s="745"/>
      <c r="AL124" s="940"/>
      <c r="AM124" s="746"/>
      <c r="AN124" s="281"/>
      <c r="AO124" s="282"/>
      <c r="AP124" s="281"/>
      <c r="AQ124" s="282"/>
      <c r="AR124" s="281"/>
      <c r="AS124" s="282"/>
      <c r="AT124" s="281"/>
      <c r="AU124" s="282"/>
      <c r="AV124" s="281"/>
      <c r="AW124" s="282"/>
      <c r="AX124" s="281"/>
      <c r="AY124" s="282"/>
      <c r="AZ124" s="117"/>
      <c r="BA124" s="331"/>
      <c r="BB124" s="117"/>
      <c r="BC124" s="331"/>
      <c r="BD124" s="117"/>
      <c r="BE124" s="331"/>
      <c r="BF124" s="117"/>
      <c r="BG124" s="331"/>
      <c r="BH124" s="117"/>
      <c r="BI124" s="944" t="s">
        <v>159</v>
      </c>
      <c r="BJ124" s="944"/>
      <c r="BK124" s="944"/>
      <c r="BL124" s="944"/>
      <c r="BM124" s="944"/>
      <c r="BN124" s="944"/>
      <c r="BO124" s="944"/>
      <c r="BP124" s="944"/>
      <c r="BQ124" s="944"/>
      <c r="BR124" s="944"/>
      <c r="BS124" s="944"/>
      <c r="BT124" s="944"/>
      <c r="BU124" s="944"/>
      <c r="BV124" s="945"/>
    </row>
    <row r="125" spans="1:74" ht="30" customHeight="1" x14ac:dyDescent="0.25">
      <c r="A125" s="200">
        <f t="shared" si="1"/>
        <v>111</v>
      </c>
      <c r="B125" s="294" t="s">
        <v>162</v>
      </c>
      <c r="C125" s="295"/>
      <c r="D125" s="936"/>
      <c r="E125" s="937"/>
      <c r="F125" s="937"/>
      <c r="G125" s="937"/>
      <c r="H125" s="937"/>
      <c r="I125" s="937"/>
      <c r="J125" s="937"/>
      <c r="K125" s="938"/>
      <c r="L125" s="932"/>
      <c r="M125" s="932"/>
      <c r="N125" s="932"/>
      <c r="O125" s="932"/>
      <c r="P125" s="931"/>
      <c r="Q125" s="931"/>
      <c r="R125" s="931"/>
      <c r="S125" s="931"/>
      <c r="T125" s="933"/>
      <c r="U125" s="934"/>
      <c r="V125" s="934"/>
      <c r="W125" s="935"/>
      <c r="X125" s="936"/>
      <c r="Y125" s="937"/>
      <c r="Z125" s="937"/>
      <c r="AA125" s="938"/>
      <c r="AB125" s="594"/>
      <c r="AC125" s="595"/>
      <c r="AD125" s="596"/>
      <c r="AE125" s="779"/>
      <c r="AF125" s="939"/>
      <c r="AG125" s="780"/>
      <c r="AH125" s="941"/>
      <c r="AI125" s="942"/>
      <c r="AJ125" s="943"/>
      <c r="AK125" s="745"/>
      <c r="AL125" s="940"/>
      <c r="AM125" s="746"/>
      <c r="AN125" s="281"/>
      <c r="AO125" s="282"/>
      <c r="AP125" s="281"/>
      <c r="AQ125" s="282"/>
      <c r="AR125" s="281"/>
      <c r="AS125" s="282"/>
      <c r="AT125" s="281"/>
      <c r="AU125" s="282"/>
      <c r="AV125" s="281"/>
      <c r="AW125" s="282"/>
      <c r="AX125" s="281"/>
      <c r="AY125" s="282"/>
      <c r="AZ125" s="117"/>
      <c r="BA125" s="331"/>
      <c r="BB125" s="117"/>
      <c r="BC125" s="331"/>
      <c r="BD125" s="117"/>
      <c r="BE125" s="331"/>
      <c r="BF125" s="117"/>
      <c r="BG125" s="331"/>
      <c r="BH125" s="117"/>
      <c r="BI125" s="944" t="s">
        <v>159</v>
      </c>
      <c r="BJ125" s="944"/>
      <c r="BK125" s="944"/>
      <c r="BL125" s="944"/>
      <c r="BM125" s="944"/>
      <c r="BN125" s="944"/>
      <c r="BO125" s="944"/>
      <c r="BP125" s="944"/>
      <c r="BQ125" s="944"/>
      <c r="BR125" s="944"/>
      <c r="BS125" s="944"/>
      <c r="BT125" s="944"/>
      <c r="BU125" s="944"/>
      <c r="BV125" s="945"/>
    </row>
    <row r="126" spans="1:74" ht="30" customHeight="1" x14ac:dyDescent="0.25">
      <c r="A126" s="232">
        <f t="shared" si="1"/>
        <v>112</v>
      </c>
      <c r="B126" s="294" t="s">
        <v>162</v>
      </c>
      <c r="C126" s="295"/>
      <c r="D126" s="936"/>
      <c r="E126" s="937"/>
      <c r="F126" s="937"/>
      <c r="G126" s="937"/>
      <c r="H126" s="937"/>
      <c r="I126" s="937"/>
      <c r="J126" s="937"/>
      <c r="K126" s="938"/>
      <c r="L126" s="932"/>
      <c r="M126" s="932"/>
      <c r="N126" s="932"/>
      <c r="O126" s="932"/>
      <c r="P126" s="931"/>
      <c r="Q126" s="931"/>
      <c r="R126" s="931"/>
      <c r="S126" s="931"/>
      <c r="T126" s="933"/>
      <c r="U126" s="934"/>
      <c r="V126" s="934"/>
      <c r="W126" s="935"/>
      <c r="X126" s="936"/>
      <c r="Y126" s="937"/>
      <c r="Z126" s="937"/>
      <c r="AA126" s="938"/>
      <c r="AB126" s="594"/>
      <c r="AC126" s="595"/>
      <c r="AD126" s="596"/>
      <c r="AE126" s="779"/>
      <c r="AF126" s="939"/>
      <c r="AG126" s="780"/>
      <c r="AH126" s="941"/>
      <c r="AI126" s="942"/>
      <c r="AJ126" s="943"/>
      <c r="AK126" s="745"/>
      <c r="AL126" s="940"/>
      <c r="AM126" s="746"/>
      <c r="AN126" s="281"/>
      <c r="AO126" s="282"/>
      <c r="AP126" s="281"/>
      <c r="AQ126" s="282"/>
      <c r="AR126" s="281"/>
      <c r="AS126" s="282"/>
      <c r="AT126" s="281"/>
      <c r="AU126" s="282"/>
      <c r="AV126" s="281"/>
      <c r="AW126" s="282"/>
      <c r="AX126" s="281"/>
      <c r="AY126" s="282"/>
      <c r="AZ126" s="117"/>
      <c r="BA126" s="331"/>
      <c r="BB126" s="117"/>
      <c r="BC126" s="331"/>
      <c r="BD126" s="117"/>
      <c r="BE126" s="331"/>
      <c r="BF126" s="117"/>
      <c r="BG126" s="331"/>
      <c r="BH126" s="117"/>
      <c r="BI126" s="944" t="s">
        <v>212</v>
      </c>
      <c r="BJ126" s="944"/>
      <c r="BK126" s="944"/>
      <c r="BL126" s="944"/>
      <c r="BM126" s="944"/>
      <c r="BN126" s="944"/>
      <c r="BO126" s="944"/>
      <c r="BP126" s="944"/>
      <c r="BQ126" s="944"/>
      <c r="BR126" s="944"/>
      <c r="BS126" s="944"/>
      <c r="BT126" s="944"/>
      <c r="BU126" s="944"/>
      <c r="BV126" s="945"/>
    </row>
    <row r="127" spans="1:74" ht="30" customHeight="1" x14ac:dyDescent="0.25">
      <c r="A127" s="200">
        <f t="shared" si="1"/>
        <v>113</v>
      </c>
      <c r="B127" s="294" t="s">
        <v>162</v>
      </c>
      <c r="C127" s="295"/>
      <c r="D127" s="936"/>
      <c r="E127" s="937"/>
      <c r="F127" s="937"/>
      <c r="G127" s="937"/>
      <c r="H127" s="937"/>
      <c r="I127" s="937"/>
      <c r="J127" s="937"/>
      <c r="K127" s="938"/>
      <c r="L127" s="932"/>
      <c r="M127" s="932"/>
      <c r="N127" s="932"/>
      <c r="O127" s="932"/>
      <c r="P127" s="931"/>
      <c r="Q127" s="931"/>
      <c r="R127" s="931"/>
      <c r="S127" s="931"/>
      <c r="T127" s="933"/>
      <c r="U127" s="934"/>
      <c r="V127" s="934"/>
      <c r="W127" s="935"/>
      <c r="X127" s="936"/>
      <c r="Y127" s="937"/>
      <c r="Z127" s="937"/>
      <c r="AA127" s="938"/>
      <c r="AB127" s="594"/>
      <c r="AC127" s="595"/>
      <c r="AD127" s="596"/>
      <c r="AE127" s="779"/>
      <c r="AF127" s="939"/>
      <c r="AG127" s="780"/>
      <c r="AH127" s="941"/>
      <c r="AI127" s="942"/>
      <c r="AJ127" s="943"/>
      <c r="AK127" s="745"/>
      <c r="AL127" s="940"/>
      <c r="AM127" s="746"/>
      <c r="AN127" s="281"/>
      <c r="AO127" s="282"/>
      <c r="AP127" s="281"/>
      <c r="AQ127" s="282"/>
      <c r="AR127" s="281"/>
      <c r="AS127" s="282"/>
      <c r="AT127" s="281"/>
      <c r="AU127" s="282"/>
      <c r="AV127" s="281"/>
      <c r="AW127" s="282"/>
      <c r="AX127" s="281"/>
      <c r="AY127" s="282"/>
      <c r="AZ127" s="117"/>
      <c r="BA127" s="331"/>
      <c r="BB127" s="117"/>
      <c r="BC127" s="331"/>
      <c r="BD127" s="117"/>
      <c r="BE127" s="331"/>
      <c r="BF127" s="117"/>
      <c r="BG127" s="331"/>
      <c r="BH127" s="117"/>
      <c r="BI127" s="944" t="s">
        <v>212</v>
      </c>
      <c r="BJ127" s="944"/>
      <c r="BK127" s="944"/>
      <c r="BL127" s="944"/>
      <c r="BM127" s="944"/>
      <c r="BN127" s="944"/>
      <c r="BO127" s="944"/>
      <c r="BP127" s="944"/>
      <c r="BQ127" s="944"/>
      <c r="BR127" s="944"/>
      <c r="BS127" s="944"/>
      <c r="BT127" s="944"/>
      <c r="BU127" s="944"/>
      <c r="BV127" s="945"/>
    </row>
    <row r="128" spans="1:74" ht="30" customHeight="1" x14ac:dyDescent="0.25">
      <c r="A128" s="200">
        <f t="shared" si="1"/>
        <v>114</v>
      </c>
      <c r="B128" s="294" t="s">
        <v>162</v>
      </c>
      <c r="C128" s="295"/>
      <c r="D128" s="936"/>
      <c r="E128" s="937"/>
      <c r="F128" s="937"/>
      <c r="G128" s="937"/>
      <c r="H128" s="937"/>
      <c r="I128" s="937"/>
      <c r="J128" s="937"/>
      <c r="K128" s="938"/>
      <c r="L128" s="932"/>
      <c r="M128" s="932"/>
      <c r="N128" s="932"/>
      <c r="O128" s="932"/>
      <c r="P128" s="931"/>
      <c r="Q128" s="931"/>
      <c r="R128" s="931"/>
      <c r="S128" s="931"/>
      <c r="T128" s="933"/>
      <c r="U128" s="934"/>
      <c r="V128" s="934"/>
      <c r="W128" s="935"/>
      <c r="X128" s="936"/>
      <c r="Y128" s="937"/>
      <c r="Z128" s="937"/>
      <c r="AA128" s="938"/>
      <c r="AB128" s="594"/>
      <c r="AC128" s="595"/>
      <c r="AD128" s="596"/>
      <c r="AE128" s="779"/>
      <c r="AF128" s="939"/>
      <c r="AG128" s="780"/>
      <c r="AH128" s="941"/>
      <c r="AI128" s="942"/>
      <c r="AJ128" s="943"/>
      <c r="AK128" s="745"/>
      <c r="AL128" s="940"/>
      <c r="AM128" s="746"/>
      <c r="AN128" s="281"/>
      <c r="AO128" s="282"/>
      <c r="AP128" s="281"/>
      <c r="AQ128" s="282"/>
      <c r="AR128" s="281"/>
      <c r="AS128" s="282"/>
      <c r="AT128" s="281"/>
      <c r="AU128" s="282"/>
      <c r="AV128" s="281"/>
      <c r="AW128" s="282"/>
      <c r="AX128" s="281"/>
      <c r="AY128" s="282"/>
      <c r="AZ128" s="117"/>
      <c r="BA128" s="331"/>
      <c r="BB128" s="117"/>
      <c r="BC128" s="331"/>
      <c r="BD128" s="117"/>
      <c r="BE128" s="331"/>
      <c r="BF128" s="117"/>
      <c r="BG128" s="331"/>
      <c r="BH128" s="117"/>
      <c r="BI128" s="944" t="s">
        <v>212</v>
      </c>
      <c r="BJ128" s="944"/>
      <c r="BK128" s="944"/>
      <c r="BL128" s="944"/>
      <c r="BM128" s="944"/>
      <c r="BN128" s="944"/>
      <c r="BO128" s="944"/>
      <c r="BP128" s="944"/>
      <c r="BQ128" s="944"/>
      <c r="BR128" s="944"/>
      <c r="BS128" s="944"/>
      <c r="BT128" s="944"/>
      <c r="BU128" s="944"/>
      <c r="BV128" s="945"/>
    </row>
    <row r="129" spans="1:74" ht="30" customHeight="1" x14ac:dyDescent="0.25">
      <c r="A129" s="200">
        <f t="shared" si="1"/>
        <v>115</v>
      </c>
      <c r="B129" s="294" t="s">
        <v>162</v>
      </c>
      <c r="C129" s="295"/>
      <c r="D129" s="936"/>
      <c r="E129" s="937"/>
      <c r="F129" s="937"/>
      <c r="G129" s="937"/>
      <c r="H129" s="937"/>
      <c r="I129" s="937"/>
      <c r="J129" s="937"/>
      <c r="K129" s="938"/>
      <c r="L129" s="932"/>
      <c r="M129" s="932"/>
      <c r="N129" s="932"/>
      <c r="O129" s="932"/>
      <c r="P129" s="931"/>
      <c r="Q129" s="931"/>
      <c r="R129" s="931"/>
      <c r="S129" s="931"/>
      <c r="T129" s="933"/>
      <c r="U129" s="934"/>
      <c r="V129" s="934"/>
      <c r="W129" s="935"/>
      <c r="X129" s="936"/>
      <c r="Y129" s="937"/>
      <c r="Z129" s="937"/>
      <c r="AA129" s="938"/>
      <c r="AB129" s="594"/>
      <c r="AC129" s="595"/>
      <c r="AD129" s="596"/>
      <c r="AE129" s="779"/>
      <c r="AF129" s="939"/>
      <c r="AG129" s="780"/>
      <c r="AH129" s="941"/>
      <c r="AI129" s="942"/>
      <c r="AJ129" s="943"/>
      <c r="AK129" s="745"/>
      <c r="AL129" s="940"/>
      <c r="AM129" s="746"/>
      <c r="AN129" s="281"/>
      <c r="AO129" s="282"/>
      <c r="AP129" s="281"/>
      <c r="AQ129" s="282"/>
      <c r="AR129" s="281"/>
      <c r="AS129" s="282"/>
      <c r="AT129" s="281"/>
      <c r="AU129" s="282"/>
      <c r="AV129" s="281"/>
      <c r="AW129" s="282"/>
      <c r="AX129" s="281"/>
      <c r="AY129" s="282"/>
      <c r="AZ129" s="117"/>
      <c r="BA129" s="331"/>
      <c r="BB129" s="117"/>
      <c r="BC129" s="331"/>
      <c r="BD129" s="117"/>
      <c r="BE129" s="331"/>
      <c r="BF129" s="117"/>
      <c r="BG129" s="331"/>
      <c r="BH129" s="117"/>
      <c r="BI129" s="944" t="s">
        <v>212</v>
      </c>
      <c r="BJ129" s="944"/>
      <c r="BK129" s="944"/>
      <c r="BL129" s="944"/>
      <c r="BM129" s="944"/>
      <c r="BN129" s="944"/>
      <c r="BO129" s="944"/>
      <c r="BP129" s="944"/>
      <c r="BQ129" s="944"/>
      <c r="BR129" s="944"/>
      <c r="BS129" s="944"/>
      <c r="BT129" s="944"/>
      <c r="BU129" s="944"/>
      <c r="BV129" s="945"/>
    </row>
    <row r="130" spans="1:74" ht="30" customHeight="1" x14ac:dyDescent="0.25">
      <c r="A130" s="200">
        <f t="shared" si="1"/>
        <v>116</v>
      </c>
      <c r="B130" s="294" t="s">
        <v>162</v>
      </c>
      <c r="C130" s="295"/>
      <c r="D130" s="936"/>
      <c r="E130" s="937"/>
      <c r="F130" s="937"/>
      <c r="G130" s="937"/>
      <c r="H130" s="937"/>
      <c r="I130" s="937"/>
      <c r="J130" s="937"/>
      <c r="K130" s="938"/>
      <c r="L130" s="932"/>
      <c r="M130" s="932"/>
      <c r="N130" s="932"/>
      <c r="O130" s="932"/>
      <c r="P130" s="931"/>
      <c r="Q130" s="931"/>
      <c r="R130" s="931"/>
      <c r="S130" s="931"/>
      <c r="T130" s="933"/>
      <c r="U130" s="934"/>
      <c r="V130" s="934"/>
      <c r="W130" s="935"/>
      <c r="X130" s="936"/>
      <c r="Y130" s="937"/>
      <c r="Z130" s="937"/>
      <c r="AA130" s="938"/>
      <c r="AB130" s="594"/>
      <c r="AC130" s="595"/>
      <c r="AD130" s="596"/>
      <c r="AE130" s="779"/>
      <c r="AF130" s="939"/>
      <c r="AG130" s="780"/>
      <c r="AH130" s="941"/>
      <c r="AI130" s="942"/>
      <c r="AJ130" s="943"/>
      <c r="AK130" s="745"/>
      <c r="AL130" s="940"/>
      <c r="AM130" s="746"/>
      <c r="AN130" s="281"/>
      <c r="AO130" s="282"/>
      <c r="AP130" s="281"/>
      <c r="AQ130" s="282"/>
      <c r="AR130" s="281"/>
      <c r="AS130" s="282"/>
      <c r="AT130" s="281"/>
      <c r="AU130" s="282"/>
      <c r="AV130" s="281"/>
      <c r="AW130" s="282"/>
      <c r="AX130" s="281"/>
      <c r="AY130" s="282"/>
      <c r="AZ130" s="117"/>
      <c r="BA130" s="331"/>
      <c r="BB130" s="117"/>
      <c r="BC130" s="331"/>
      <c r="BD130" s="117"/>
      <c r="BE130" s="331"/>
      <c r="BF130" s="117"/>
      <c r="BG130" s="331"/>
      <c r="BH130" s="117"/>
      <c r="BI130" s="944" t="s">
        <v>212</v>
      </c>
      <c r="BJ130" s="944"/>
      <c r="BK130" s="944"/>
      <c r="BL130" s="944"/>
      <c r="BM130" s="944"/>
      <c r="BN130" s="944"/>
      <c r="BO130" s="944"/>
      <c r="BP130" s="944"/>
      <c r="BQ130" s="944"/>
      <c r="BR130" s="944"/>
      <c r="BS130" s="944"/>
      <c r="BT130" s="944"/>
      <c r="BU130" s="944"/>
      <c r="BV130" s="945"/>
    </row>
    <row r="131" spans="1:74" ht="30" customHeight="1" x14ac:dyDescent="0.25">
      <c r="A131" s="200">
        <f t="shared" si="1"/>
        <v>117</v>
      </c>
      <c r="B131" s="294" t="s">
        <v>162</v>
      </c>
      <c r="C131" s="295"/>
      <c r="D131" s="936"/>
      <c r="E131" s="937"/>
      <c r="F131" s="937"/>
      <c r="G131" s="937"/>
      <c r="H131" s="937"/>
      <c r="I131" s="937"/>
      <c r="J131" s="937"/>
      <c r="K131" s="938"/>
      <c r="L131" s="932"/>
      <c r="M131" s="932"/>
      <c r="N131" s="932"/>
      <c r="O131" s="932"/>
      <c r="P131" s="931"/>
      <c r="Q131" s="931"/>
      <c r="R131" s="931"/>
      <c r="S131" s="931"/>
      <c r="T131" s="933"/>
      <c r="U131" s="934"/>
      <c r="V131" s="934"/>
      <c r="W131" s="935"/>
      <c r="X131" s="936"/>
      <c r="Y131" s="937"/>
      <c r="Z131" s="937"/>
      <c r="AA131" s="938"/>
      <c r="AB131" s="594"/>
      <c r="AC131" s="595"/>
      <c r="AD131" s="596"/>
      <c r="AE131" s="779"/>
      <c r="AF131" s="939"/>
      <c r="AG131" s="780"/>
      <c r="AH131" s="941"/>
      <c r="AI131" s="942"/>
      <c r="AJ131" s="943"/>
      <c r="AK131" s="745"/>
      <c r="AL131" s="940"/>
      <c r="AM131" s="746"/>
      <c r="AN131" s="281"/>
      <c r="AO131" s="282"/>
      <c r="AP131" s="281"/>
      <c r="AQ131" s="282"/>
      <c r="AR131" s="281"/>
      <c r="AS131" s="282"/>
      <c r="AT131" s="281"/>
      <c r="AU131" s="282"/>
      <c r="AV131" s="281"/>
      <c r="AW131" s="282"/>
      <c r="AX131" s="281"/>
      <c r="AY131" s="282"/>
      <c r="AZ131" s="117"/>
      <c r="BA131" s="331"/>
      <c r="BB131" s="117"/>
      <c r="BC131" s="331"/>
      <c r="BD131" s="117"/>
      <c r="BE131" s="331"/>
      <c r="BF131" s="117"/>
      <c r="BG131" s="331"/>
      <c r="BH131" s="117"/>
      <c r="BI131" s="944" t="s">
        <v>159</v>
      </c>
      <c r="BJ131" s="944"/>
      <c r="BK131" s="944"/>
      <c r="BL131" s="944"/>
      <c r="BM131" s="944"/>
      <c r="BN131" s="944"/>
      <c r="BO131" s="944"/>
      <c r="BP131" s="944"/>
      <c r="BQ131" s="944"/>
      <c r="BR131" s="944"/>
      <c r="BS131" s="944"/>
      <c r="BT131" s="944"/>
      <c r="BU131" s="944"/>
      <c r="BV131" s="945"/>
    </row>
    <row r="132" spans="1:74" ht="30" customHeight="1" x14ac:dyDescent="0.25">
      <c r="A132" s="200">
        <f t="shared" si="1"/>
        <v>118</v>
      </c>
      <c r="B132" s="294" t="s">
        <v>162</v>
      </c>
      <c r="C132" s="295"/>
      <c r="D132" s="936"/>
      <c r="E132" s="937"/>
      <c r="F132" s="937"/>
      <c r="G132" s="937"/>
      <c r="H132" s="937"/>
      <c r="I132" s="937"/>
      <c r="J132" s="937"/>
      <c r="K132" s="938"/>
      <c r="L132" s="932"/>
      <c r="M132" s="932"/>
      <c r="N132" s="932"/>
      <c r="O132" s="932"/>
      <c r="P132" s="931"/>
      <c r="Q132" s="931"/>
      <c r="R132" s="931"/>
      <c r="S132" s="931"/>
      <c r="T132" s="933"/>
      <c r="U132" s="934"/>
      <c r="V132" s="934"/>
      <c r="W132" s="935"/>
      <c r="X132" s="936"/>
      <c r="Y132" s="937"/>
      <c r="Z132" s="937"/>
      <c r="AA132" s="938"/>
      <c r="AB132" s="594"/>
      <c r="AC132" s="595"/>
      <c r="AD132" s="596"/>
      <c r="AE132" s="779"/>
      <c r="AF132" s="939"/>
      <c r="AG132" s="780"/>
      <c r="AH132" s="941"/>
      <c r="AI132" s="942"/>
      <c r="AJ132" s="943"/>
      <c r="AK132" s="745"/>
      <c r="AL132" s="940"/>
      <c r="AM132" s="746"/>
      <c r="AN132" s="281"/>
      <c r="AO132" s="282"/>
      <c r="AP132" s="281"/>
      <c r="AQ132" s="282"/>
      <c r="AR132" s="281"/>
      <c r="AS132" s="282"/>
      <c r="AT132" s="281"/>
      <c r="AU132" s="282"/>
      <c r="AV132" s="281"/>
      <c r="AW132" s="282"/>
      <c r="AX132" s="281"/>
      <c r="AY132" s="282"/>
      <c r="AZ132" s="117"/>
      <c r="BA132" s="331"/>
      <c r="BB132" s="117"/>
      <c r="BC132" s="331"/>
      <c r="BD132" s="117"/>
      <c r="BE132" s="331"/>
      <c r="BF132" s="117"/>
      <c r="BG132" s="331"/>
      <c r="BH132" s="117"/>
      <c r="BI132" s="944" t="s">
        <v>159</v>
      </c>
      <c r="BJ132" s="944"/>
      <c r="BK132" s="944"/>
      <c r="BL132" s="944"/>
      <c r="BM132" s="944"/>
      <c r="BN132" s="944"/>
      <c r="BO132" s="944"/>
      <c r="BP132" s="944"/>
      <c r="BQ132" s="944"/>
      <c r="BR132" s="944"/>
      <c r="BS132" s="944"/>
      <c r="BT132" s="944"/>
      <c r="BU132" s="944"/>
      <c r="BV132" s="945"/>
    </row>
    <row r="133" spans="1:74" ht="30" customHeight="1" x14ac:dyDescent="0.25">
      <c r="A133" s="232">
        <f t="shared" si="1"/>
        <v>119</v>
      </c>
      <c r="B133" s="294" t="s">
        <v>162</v>
      </c>
      <c r="C133" s="295"/>
      <c r="D133" s="936"/>
      <c r="E133" s="937"/>
      <c r="F133" s="937"/>
      <c r="G133" s="937"/>
      <c r="H133" s="937"/>
      <c r="I133" s="937"/>
      <c r="J133" s="937"/>
      <c r="K133" s="938"/>
      <c r="L133" s="932"/>
      <c r="M133" s="932"/>
      <c r="N133" s="932"/>
      <c r="O133" s="932"/>
      <c r="P133" s="931"/>
      <c r="Q133" s="931"/>
      <c r="R133" s="931"/>
      <c r="S133" s="931"/>
      <c r="T133" s="933"/>
      <c r="U133" s="934"/>
      <c r="V133" s="934"/>
      <c r="W133" s="935"/>
      <c r="X133" s="936"/>
      <c r="Y133" s="937"/>
      <c r="Z133" s="937"/>
      <c r="AA133" s="938"/>
      <c r="AB133" s="594"/>
      <c r="AC133" s="595"/>
      <c r="AD133" s="596"/>
      <c r="AE133" s="779"/>
      <c r="AF133" s="939"/>
      <c r="AG133" s="780"/>
      <c r="AH133" s="941"/>
      <c r="AI133" s="942"/>
      <c r="AJ133" s="943"/>
      <c r="AK133" s="745"/>
      <c r="AL133" s="940"/>
      <c r="AM133" s="746"/>
      <c r="AN133" s="281"/>
      <c r="AO133" s="282"/>
      <c r="AP133" s="281"/>
      <c r="AQ133" s="282"/>
      <c r="AR133" s="281"/>
      <c r="AS133" s="282"/>
      <c r="AT133" s="281"/>
      <c r="AU133" s="282"/>
      <c r="AV133" s="281"/>
      <c r="AW133" s="282"/>
      <c r="AX133" s="281"/>
      <c r="AY133" s="282"/>
      <c r="AZ133" s="117"/>
      <c r="BA133" s="331"/>
      <c r="BB133" s="117"/>
      <c r="BC133" s="331"/>
      <c r="BD133" s="117"/>
      <c r="BE133" s="331"/>
      <c r="BF133" s="117"/>
      <c r="BG133" s="331"/>
      <c r="BH133" s="117"/>
      <c r="BI133" s="944" t="s">
        <v>212</v>
      </c>
      <c r="BJ133" s="944"/>
      <c r="BK133" s="944"/>
      <c r="BL133" s="944"/>
      <c r="BM133" s="944"/>
      <c r="BN133" s="944"/>
      <c r="BO133" s="944"/>
      <c r="BP133" s="944"/>
      <c r="BQ133" s="944"/>
      <c r="BR133" s="944"/>
      <c r="BS133" s="944"/>
      <c r="BT133" s="944"/>
      <c r="BU133" s="944"/>
      <c r="BV133" s="945"/>
    </row>
    <row r="134" spans="1:74" ht="30" customHeight="1" x14ac:dyDescent="0.25">
      <c r="A134" s="200">
        <f t="shared" si="1"/>
        <v>120</v>
      </c>
      <c r="B134" s="294" t="s">
        <v>162</v>
      </c>
      <c r="C134" s="295"/>
      <c r="D134" s="936"/>
      <c r="E134" s="937"/>
      <c r="F134" s="937"/>
      <c r="G134" s="937"/>
      <c r="H134" s="937"/>
      <c r="I134" s="937"/>
      <c r="J134" s="937"/>
      <c r="K134" s="938"/>
      <c r="L134" s="932"/>
      <c r="M134" s="932"/>
      <c r="N134" s="932"/>
      <c r="O134" s="932"/>
      <c r="P134" s="931"/>
      <c r="Q134" s="931"/>
      <c r="R134" s="931"/>
      <c r="S134" s="931"/>
      <c r="T134" s="933"/>
      <c r="U134" s="934"/>
      <c r="V134" s="934"/>
      <c r="W134" s="935"/>
      <c r="X134" s="936"/>
      <c r="Y134" s="937"/>
      <c r="Z134" s="937"/>
      <c r="AA134" s="938"/>
      <c r="AB134" s="594"/>
      <c r="AC134" s="595"/>
      <c r="AD134" s="596"/>
      <c r="AE134" s="779"/>
      <c r="AF134" s="939"/>
      <c r="AG134" s="780"/>
      <c r="AH134" s="941"/>
      <c r="AI134" s="942"/>
      <c r="AJ134" s="943"/>
      <c r="AK134" s="745"/>
      <c r="AL134" s="940"/>
      <c r="AM134" s="746"/>
      <c r="AN134" s="281"/>
      <c r="AO134" s="282"/>
      <c r="AP134" s="281"/>
      <c r="AQ134" s="282"/>
      <c r="AR134" s="281"/>
      <c r="AS134" s="282"/>
      <c r="AT134" s="281"/>
      <c r="AU134" s="282"/>
      <c r="AV134" s="281"/>
      <c r="AW134" s="282"/>
      <c r="AX134" s="281"/>
      <c r="AY134" s="282"/>
      <c r="AZ134" s="117"/>
      <c r="BA134" s="331"/>
      <c r="BB134" s="117"/>
      <c r="BC134" s="331"/>
      <c r="BD134" s="117"/>
      <c r="BE134" s="331"/>
      <c r="BF134" s="117"/>
      <c r="BG134" s="331"/>
      <c r="BH134" s="117"/>
      <c r="BI134" s="944" t="s">
        <v>212</v>
      </c>
      <c r="BJ134" s="944"/>
      <c r="BK134" s="944"/>
      <c r="BL134" s="944"/>
      <c r="BM134" s="944"/>
      <c r="BN134" s="944"/>
      <c r="BO134" s="944"/>
      <c r="BP134" s="944"/>
      <c r="BQ134" s="944"/>
      <c r="BR134" s="944"/>
      <c r="BS134" s="944"/>
      <c r="BT134" s="944"/>
      <c r="BU134" s="944"/>
      <c r="BV134" s="945"/>
    </row>
    <row r="135" spans="1:74" ht="30" customHeight="1" x14ac:dyDescent="0.25">
      <c r="A135" s="200">
        <f t="shared" si="1"/>
        <v>121</v>
      </c>
      <c r="B135" s="294" t="s">
        <v>162</v>
      </c>
      <c r="C135" s="295"/>
      <c r="D135" s="936"/>
      <c r="E135" s="937"/>
      <c r="F135" s="937"/>
      <c r="G135" s="937"/>
      <c r="H135" s="937"/>
      <c r="I135" s="937"/>
      <c r="J135" s="937"/>
      <c r="K135" s="938"/>
      <c r="L135" s="932"/>
      <c r="M135" s="932"/>
      <c r="N135" s="932"/>
      <c r="O135" s="932"/>
      <c r="P135" s="931"/>
      <c r="Q135" s="931"/>
      <c r="R135" s="931"/>
      <c r="S135" s="931"/>
      <c r="T135" s="933"/>
      <c r="U135" s="934"/>
      <c r="V135" s="934"/>
      <c r="W135" s="935"/>
      <c r="X135" s="936"/>
      <c r="Y135" s="937"/>
      <c r="Z135" s="937"/>
      <c r="AA135" s="938"/>
      <c r="AB135" s="594"/>
      <c r="AC135" s="595"/>
      <c r="AD135" s="596"/>
      <c r="AE135" s="779"/>
      <c r="AF135" s="939"/>
      <c r="AG135" s="780"/>
      <c r="AH135" s="941"/>
      <c r="AI135" s="942"/>
      <c r="AJ135" s="943"/>
      <c r="AK135" s="745"/>
      <c r="AL135" s="940"/>
      <c r="AM135" s="746"/>
      <c r="AN135" s="281"/>
      <c r="AO135" s="282"/>
      <c r="AP135" s="281"/>
      <c r="AQ135" s="282"/>
      <c r="AR135" s="281"/>
      <c r="AS135" s="282"/>
      <c r="AT135" s="281"/>
      <c r="AU135" s="282"/>
      <c r="AV135" s="281"/>
      <c r="AW135" s="282"/>
      <c r="AX135" s="281"/>
      <c r="AY135" s="282"/>
      <c r="AZ135" s="117"/>
      <c r="BA135" s="331"/>
      <c r="BB135" s="117"/>
      <c r="BC135" s="331"/>
      <c r="BD135" s="117"/>
      <c r="BE135" s="331"/>
      <c r="BF135" s="117"/>
      <c r="BG135" s="331"/>
      <c r="BH135" s="117"/>
      <c r="BI135" s="944" t="s">
        <v>212</v>
      </c>
      <c r="BJ135" s="944"/>
      <c r="BK135" s="944"/>
      <c r="BL135" s="944"/>
      <c r="BM135" s="944"/>
      <c r="BN135" s="944"/>
      <c r="BO135" s="944"/>
      <c r="BP135" s="944"/>
      <c r="BQ135" s="944"/>
      <c r="BR135" s="944"/>
      <c r="BS135" s="944"/>
      <c r="BT135" s="944"/>
      <c r="BU135" s="944"/>
      <c r="BV135" s="945"/>
    </row>
    <row r="136" spans="1:74" ht="30" customHeight="1" x14ac:dyDescent="0.25">
      <c r="A136" s="200">
        <f t="shared" si="1"/>
        <v>122</v>
      </c>
      <c r="B136" s="294" t="s">
        <v>162</v>
      </c>
      <c r="C136" s="295"/>
      <c r="D136" s="936"/>
      <c r="E136" s="937"/>
      <c r="F136" s="937"/>
      <c r="G136" s="937"/>
      <c r="H136" s="937"/>
      <c r="I136" s="937"/>
      <c r="J136" s="937"/>
      <c r="K136" s="938"/>
      <c r="L136" s="932"/>
      <c r="M136" s="932"/>
      <c r="N136" s="932"/>
      <c r="O136" s="932"/>
      <c r="P136" s="931"/>
      <c r="Q136" s="931"/>
      <c r="R136" s="931"/>
      <c r="S136" s="931"/>
      <c r="T136" s="933"/>
      <c r="U136" s="934"/>
      <c r="V136" s="934"/>
      <c r="W136" s="935"/>
      <c r="X136" s="936"/>
      <c r="Y136" s="937"/>
      <c r="Z136" s="937"/>
      <c r="AA136" s="938"/>
      <c r="AB136" s="594"/>
      <c r="AC136" s="595"/>
      <c r="AD136" s="596"/>
      <c r="AE136" s="779"/>
      <c r="AF136" s="939"/>
      <c r="AG136" s="780"/>
      <c r="AH136" s="941"/>
      <c r="AI136" s="942"/>
      <c r="AJ136" s="943"/>
      <c r="AK136" s="745"/>
      <c r="AL136" s="940"/>
      <c r="AM136" s="746"/>
      <c r="AN136" s="281"/>
      <c r="AO136" s="282"/>
      <c r="AP136" s="281"/>
      <c r="AQ136" s="282"/>
      <c r="AR136" s="281"/>
      <c r="AS136" s="282"/>
      <c r="AT136" s="281"/>
      <c r="AU136" s="282"/>
      <c r="AV136" s="281"/>
      <c r="AW136" s="282"/>
      <c r="AX136" s="281"/>
      <c r="AY136" s="282"/>
      <c r="AZ136" s="117"/>
      <c r="BA136" s="331"/>
      <c r="BB136" s="117"/>
      <c r="BC136" s="331"/>
      <c r="BD136" s="117"/>
      <c r="BE136" s="331"/>
      <c r="BF136" s="117"/>
      <c r="BG136" s="331"/>
      <c r="BH136" s="117"/>
      <c r="BI136" s="944" t="s">
        <v>212</v>
      </c>
      <c r="BJ136" s="944"/>
      <c r="BK136" s="944"/>
      <c r="BL136" s="944"/>
      <c r="BM136" s="944"/>
      <c r="BN136" s="944"/>
      <c r="BO136" s="944"/>
      <c r="BP136" s="944"/>
      <c r="BQ136" s="944"/>
      <c r="BR136" s="944"/>
      <c r="BS136" s="944"/>
      <c r="BT136" s="944"/>
      <c r="BU136" s="944"/>
      <c r="BV136" s="945"/>
    </row>
    <row r="137" spans="1:74" ht="30" customHeight="1" x14ac:dyDescent="0.25">
      <c r="A137" s="200">
        <f t="shared" si="1"/>
        <v>123</v>
      </c>
      <c r="B137" s="294" t="s">
        <v>162</v>
      </c>
      <c r="C137" s="295"/>
      <c r="D137" s="936"/>
      <c r="E137" s="937"/>
      <c r="F137" s="937"/>
      <c r="G137" s="937"/>
      <c r="H137" s="937"/>
      <c r="I137" s="937"/>
      <c r="J137" s="937"/>
      <c r="K137" s="938"/>
      <c r="L137" s="932"/>
      <c r="M137" s="932"/>
      <c r="N137" s="932"/>
      <c r="O137" s="932"/>
      <c r="P137" s="931"/>
      <c r="Q137" s="931"/>
      <c r="R137" s="931"/>
      <c r="S137" s="931"/>
      <c r="T137" s="933"/>
      <c r="U137" s="934"/>
      <c r="V137" s="934"/>
      <c r="W137" s="935"/>
      <c r="X137" s="936"/>
      <c r="Y137" s="937"/>
      <c r="Z137" s="937"/>
      <c r="AA137" s="938"/>
      <c r="AB137" s="594"/>
      <c r="AC137" s="595"/>
      <c r="AD137" s="596"/>
      <c r="AE137" s="779"/>
      <c r="AF137" s="939"/>
      <c r="AG137" s="780"/>
      <c r="AH137" s="941"/>
      <c r="AI137" s="942"/>
      <c r="AJ137" s="943"/>
      <c r="AK137" s="745"/>
      <c r="AL137" s="940"/>
      <c r="AM137" s="746"/>
      <c r="AN137" s="281"/>
      <c r="AO137" s="282"/>
      <c r="AP137" s="281"/>
      <c r="AQ137" s="282"/>
      <c r="AR137" s="281"/>
      <c r="AS137" s="282"/>
      <c r="AT137" s="281"/>
      <c r="AU137" s="282"/>
      <c r="AV137" s="281"/>
      <c r="AW137" s="282"/>
      <c r="AX137" s="281"/>
      <c r="AY137" s="282"/>
      <c r="AZ137" s="117"/>
      <c r="BA137" s="331"/>
      <c r="BB137" s="117"/>
      <c r="BC137" s="331"/>
      <c r="BD137" s="117"/>
      <c r="BE137" s="331"/>
      <c r="BF137" s="117"/>
      <c r="BG137" s="331"/>
      <c r="BH137" s="117"/>
      <c r="BI137" s="944" t="s">
        <v>212</v>
      </c>
      <c r="BJ137" s="944"/>
      <c r="BK137" s="944"/>
      <c r="BL137" s="944"/>
      <c r="BM137" s="944"/>
      <c r="BN137" s="944"/>
      <c r="BO137" s="944"/>
      <c r="BP137" s="944"/>
      <c r="BQ137" s="944"/>
      <c r="BR137" s="944"/>
      <c r="BS137" s="944"/>
      <c r="BT137" s="944"/>
      <c r="BU137" s="944"/>
      <c r="BV137" s="945"/>
    </row>
    <row r="138" spans="1:74" ht="30" customHeight="1" x14ac:dyDescent="0.25">
      <c r="A138" s="200">
        <f t="shared" si="1"/>
        <v>124</v>
      </c>
      <c r="B138" s="294" t="s">
        <v>162</v>
      </c>
      <c r="C138" s="295"/>
      <c r="D138" s="936"/>
      <c r="E138" s="937"/>
      <c r="F138" s="937"/>
      <c r="G138" s="937"/>
      <c r="H138" s="937"/>
      <c r="I138" s="937"/>
      <c r="J138" s="937"/>
      <c r="K138" s="938"/>
      <c r="L138" s="932"/>
      <c r="M138" s="932"/>
      <c r="N138" s="932"/>
      <c r="O138" s="932"/>
      <c r="P138" s="931"/>
      <c r="Q138" s="931"/>
      <c r="R138" s="931"/>
      <c r="S138" s="931"/>
      <c r="T138" s="933"/>
      <c r="U138" s="934"/>
      <c r="V138" s="934"/>
      <c r="W138" s="935"/>
      <c r="X138" s="936"/>
      <c r="Y138" s="937"/>
      <c r="Z138" s="937"/>
      <c r="AA138" s="938"/>
      <c r="AB138" s="594"/>
      <c r="AC138" s="595"/>
      <c r="AD138" s="596"/>
      <c r="AE138" s="779"/>
      <c r="AF138" s="939"/>
      <c r="AG138" s="780"/>
      <c r="AH138" s="941"/>
      <c r="AI138" s="942"/>
      <c r="AJ138" s="943"/>
      <c r="AK138" s="745"/>
      <c r="AL138" s="940"/>
      <c r="AM138" s="746"/>
      <c r="AN138" s="281"/>
      <c r="AO138" s="282"/>
      <c r="AP138" s="281"/>
      <c r="AQ138" s="282"/>
      <c r="AR138" s="281"/>
      <c r="AS138" s="282"/>
      <c r="AT138" s="281"/>
      <c r="AU138" s="282"/>
      <c r="AV138" s="281"/>
      <c r="AW138" s="282"/>
      <c r="AX138" s="281"/>
      <c r="AY138" s="282"/>
      <c r="AZ138" s="117"/>
      <c r="BA138" s="331"/>
      <c r="BB138" s="117"/>
      <c r="BC138" s="331"/>
      <c r="BD138" s="117"/>
      <c r="BE138" s="331"/>
      <c r="BF138" s="117"/>
      <c r="BG138" s="331"/>
      <c r="BH138" s="117"/>
      <c r="BI138" s="944" t="s">
        <v>159</v>
      </c>
      <c r="BJ138" s="944"/>
      <c r="BK138" s="944"/>
      <c r="BL138" s="944"/>
      <c r="BM138" s="944"/>
      <c r="BN138" s="944"/>
      <c r="BO138" s="944"/>
      <c r="BP138" s="944"/>
      <c r="BQ138" s="944"/>
      <c r="BR138" s="944"/>
      <c r="BS138" s="944"/>
      <c r="BT138" s="944"/>
      <c r="BU138" s="944"/>
      <c r="BV138" s="945"/>
    </row>
    <row r="139" spans="1:74" ht="30" customHeight="1" x14ac:dyDescent="0.25">
      <c r="A139" s="200">
        <f t="shared" si="1"/>
        <v>125</v>
      </c>
      <c r="B139" s="294" t="s">
        <v>162</v>
      </c>
      <c r="C139" s="295"/>
      <c r="D139" s="936"/>
      <c r="E139" s="937"/>
      <c r="F139" s="937"/>
      <c r="G139" s="937"/>
      <c r="H139" s="937"/>
      <c r="I139" s="937"/>
      <c r="J139" s="937"/>
      <c r="K139" s="938"/>
      <c r="L139" s="932"/>
      <c r="M139" s="932"/>
      <c r="N139" s="932"/>
      <c r="O139" s="932"/>
      <c r="P139" s="931"/>
      <c r="Q139" s="931"/>
      <c r="R139" s="931"/>
      <c r="S139" s="931"/>
      <c r="T139" s="933"/>
      <c r="U139" s="934"/>
      <c r="V139" s="934"/>
      <c r="W139" s="935"/>
      <c r="X139" s="936"/>
      <c r="Y139" s="937"/>
      <c r="Z139" s="937"/>
      <c r="AA139" s="938"/>
      <c r="AB139" s="594"/>
      <c r="AC139" s="595"/>
      <c r="AD139" s="596"/>
      <c r="AE139" s="779"/>
      <c r="AF139" s="939"/>
      <c r="AG139" s="780"/>
      <c r="AH139" s="941"/>
      <c r="AI139" s="942"/>
      <c r="AJ139" s="943"/>
      <c r="AK139" s="745"/>
      <c r="AL139" s="940"/>
      <c r="AM139" s="746"/>
      <c r="AN139" s="281"/>
      <c r="AO139" s="282"/>
      <c r="AP139" s="281"/>
      <c r="AQ139" s="282"/>
      <c r="AR139" s="281"/>
      <c r="AS139" s="282"/>
      <c r="AT139" s="281"/>
      <c r="AU139" s="282"/>
      <c r="AV139" s="281"/>
      <c r="AW139" s="282"/>
      <c r="AX139" s="281"/>
      <c r="AY139" s="282"/>
      <c r="AZ139" s="117"/>
      <c r="BA139" s="331"/>
      <c r="BB139" s="117"/>
      <c r="BC139" s="331"/>
      <c r="BD139" s="117"/>
      <c r="BE139" s="331"/>
      <c r="BF139" s="117"/>
      <c r="BG139" s="331"/>
      <c r="BH139" s="117"/>
      <c r="BI139" s="944" t="s">
        <v>159</v>
      </c>
      <c r="BJ139" s="944"/>
      <c r="BK139" s="944"/>
      <c r="BL139" s="944"/>
      <c r="BM139" s="944"/>
      <c r="BN139" s="944"/>
      <c r="BO139" s="944"/>
      <c r="BP139" s="944"/>
      <c r="BQ139" s="944"/>
      <c r="BR139" s="944"/>
      <c r="BS139" s="944"/>
      <c r="BT139" s="944"/>
      <c r="BU139" s="944"/>
      <c r="BV139" s="945"/>
    </row>
    <row r="140" spans="1:74" ht="30" customHeight="1" x14ac:dyDescent="0.25">
      <c r="A140" s="232">
        <f t="shared" si="1"/>
        <v>126</v>
      </c>
      <c r="B140" s="294" t="s">
        <v>162</v>
      </c>
      <c r="C140" s="295"/>
      <c r="D140" s="936"/>
      <c r="E140" s="937"/>
      <c r="F140" s="937"/>
      <c r="G140" s="937"/>
      <c r="H140" s="937"/>
      <c r="I140" s="937"/>
      <c r="J140" s="937"/>
      <c r="K140" s="938"/>
      <c r="L140" s="932"/>
      <c r="M140" s="932"/>
      <c r="N140" s="932"/>
      <c r="O140" s="932"/>
      <c r="P140" s="931"/>
      <c r="Q140" s="931"/>
      <c r="R140" s="931"/>
      <c r="S140" s="931"/>
      <c r="T140" s="933"/>
      <c r="U140" s="934"/>
      <c r="V140" s="934"/>
      <c r="W140" s="935"/>
      <c r="X140" s="936"/>
      <c r="Y140" s="937"/>
      <c r="Z140" s="937"/>
      <c r="AA140" s="938"/>
      <c r="AB140" s="594"/>
      <c r="AC140" s="595"/>
      <c r="AD140" s="596"/>
      <c r="AE140" s="779"/>
      <c r="AF140" s="939"/>
      <c r="AG140" s="780"/>
      <c r="AH140" s="941"/>
      <c r="AI140" s="942"/>
      <c r="AJ140" s="943"/>
      <c r="AK140" s="745"/>
      <c r="AL140" s="940"/>
      <c r="AM140" s="746"/>
      <c r="AN140" s="281"/>
      <c r="AO140" s="282"/>
      <c r="AP140" s="281"/>
      <c r="AQ140" s="282"/>
      <c r="AR140" s="281"/>
      <c r="AS140" s="282"/>
      <c r="AT140" s="281"/>
      <c r="AU140" s="282"/>
      <c r="AV140" s="281"/>
      <c r="AW140" s="282"/>
      <c r="AX140" s="281"/>
      <c r="AY140" s="282"/>
      <c r="AZ140" s="117"/>
      <c r="BA140" s="331"/>
      <c r="BB140" s="117"/>
      <c r="BC140" s="331"/>
      <c r="BD140" s="117"/>
      <c r="BE140" s="331"/>
      <c r="BF140" s="117"/>
      <c r="BG140" s="331"/>
      <c r="BH140" s="117"/>
      <c r="BI140" s="944" t="s">
        <v>212</v>
      </c>
      <c r="BJ140" s="944"/>
      <c r="BK140" s="944"/>
      <c r="BL140" s="944"/>
      <c r="BM140" s="944"/>
      <c r="BN140" s="944"/>
      <c r="BO140" s="944"/>
      <c r="BP140" s="944"/>
      <c r="BQ140" s="944"/>
      <c r="BR140" s="944"/>
      <c r="BS140" s="944"/>
      <c r="BT140" s="944"/>
      <c r="BU140" s="944"/>
      <c r="BV140" s="945"/>
    </row>
    <row r="141" spans="1:74" ht="30" customHeight="1" x14ac:dyDescent="0.25">
      <c r="A141" s="200">
        <f t="shared" si="1"/>
        <v>127</v>
      </c>
      <c r="B141" s="294" t="s">
        <v>162</v>
      </c>
      <c r="C141" s="295"/>
      <c r="D141" s="936"/>
      <c r="E141" s="937"/>
      <c r="F141" s="937"/>
      <c r="G141" s="937"/>
      <c r="H141" s="937"/>
      <c r="I141" s="937"/>
      <c r="J141" s="937"/>
      <c r="K141" s="938"/>
      <c r="L141" s="932"/>
      <c r="M141" s="932"/>
      <c r="N141" s="932"/>
      <c r="O141" s="932"/>
      <c r="P141" s="931"/>
      <c r="Q141" s="931"/>
      <c r="R141" s="931"/>
      <c r="S141" s="931"/>
      <c r="T141" s="933"/>
      <c r="U141" s="934"/>
      <c r="V141" s="934"/>
      <c r="W141" s="935"/>
      <c r="X141" s="936"/>
      <c r="Y141" s="937"/>
      <c r="Z141" s="937"/>
      <c r="AA141" s="938"/>
      <c r="AB141" s="594"/>
      <c r="AC141" s="595"/>
      <c r="AD141" s="596"/>
      <c r="AE141" s="779"/>
      <c r="AF141" s="939"/>
      <c r="AG141" s="780"/>
      <c r="AH141" s="941"/>
      <c r="AI141" s="942"/>
      <c r="AJ141" s="943"/>
      <c r="AK141" s="745"/>
      <c r="AL141" s="940"/>
      <c r="AM141" s="746"/>
      <c r="AN141" s="281"/>
      <c r="AO141" s="282"/>
      <c r="AP141" s="281"/>
      <c r="AQ141" s="282"/>
      <c r="AR141" s="281"/>
      <c r="AS141" s="282"/>
      <c r="AT141" s="281"/>
      <c r="AU141" s="282"/>
      <c r="AV141" s="281"/>
      <c r="AW141" s="282"/>
      <c r="AX141" s="281"/>
      <c r="AY141" s="282"/>
      <c r="AZ141" s="117"/>
      <c r="BA141" s="331"/>
      <c r="BB141" s="117"/>
      <c r="BC141" s="331"/>
      <c r="BD141" s="117"/>
      <c r="BE141" s="331"/>
      <c r="BF141" s="117"/>
      <c r="BG141" s="331"/>
      <c r="BH141" s="117"/>
      <c r="BI141" s="944" t="s">
        <v>212</v>
      </c>
      <c r="BJ141" s="944"/>
      <c r="BK141" s="944"/>
      <c r="BL141" s="944"/>
      <c r="BM141" s="944"/>
      <c r="BN141" s="944"/>
      <c r="BO141" s="944"/>
      <c r="BP141" s="944"/>
      <c r="BQ141" s="944"/>
      <c r="BR141" s="944"/>
      <c r="BS141" s="944"/>
      <c r="BT141" s="944"/>
      <c r="BU141" s="944"/>
      <c r="BV141" s="945"/>
    </row>
    <row r="142" spans="1:74" ht="30" customHeight="1" x14ac:dyDescent="0.25">
      <c r="A142" s="200">
        <f t="shared" si="1"/>
        <v>128</v>
      </c>
      <c r="B142" s="294" t="s">
        <v>162</v>
      </c>
      <c r="C142" s="295"/>
      <c r="D142" s="936"/>
      <c r="E142" s="937"/>
      <c r="F142" s="937"/>
      <c r="G142" s="937"/>
      <c r="H142" s="937"/>
      <c r="I142" s="937"/>
      <c r="J142" s="937"/>
      <c r="K142" s="938"/>
      <c r="L142" s="932"/>
      <c r="M142" s="932"/>
      <c r="N142" s="932"/>
      <c r="O142" s="932"/>
      <c r="P142" s="931"/>
      <c r="Q142" s="931"/>
      <c r="R142" s="931"/>
      <c r="S142" s="931"/>
      <c r="T142" s="933"/>
      <c r="U142" s="934"/>
      <c r="V142" s="934"/>
      <c r="W142" s="935"/>
      <c r="X142" s="936"/>
      <c r="Y142" s="937"/>
      <c r="Z142" s="937"/>
      <c r="AA142" s="938"/>
      <c r="AB142" s="594"/>
      <c r="AC142" s="595"/>
      <c r="AD142" s="596"/>
      <c r="AE142" s="779"/>
      <c r="AF142" s="939"/>
      <c r="AG142" s="780"/>
      <c r="AH142" s="941"/>
      <c r="AI142" s="942"/>
      <c r="AJ142" s="943"/>
      <c r="AK142" s="745"/>
      <c r="AL142" s="940"/>
      <c r="AM142" s="746"/>
      <c r="AN142" s="281"/>
      <c r="AO142" s="282"/>
      <c r="AP142" s="281"/>
      <c r="AQ142" s="282"/>
      <c r="AR142" s="281"/>
      <c r="AS142" s="282"/>
      <c r="AT142" s="281"/>
      <c r="AU142" s="282"/>
      <c r="AV142" s="281"/>
      <c r="AW142" s="282"/>
      <c r="AX142" s="281"/>
      <c r="AY142" s="282"/>
      <c r="AZ142" s="117"/>
      <c r="BA142" s="331"/>
      <c r="BB142" s="117"/>
      <c r="BC142" s="331"/>
      <c r="BD142" s="117"/>
      <c r="BE142" s="331"/>
      <c r="BF142" s="117"/>
      <c r="BG142" s="331"/>
      <c r="BH142" s="117"/>
      <c r="BI142" s="944" t="s">
        <v>212</v>
      </c>
      <c r="BJ142" s="944"/>
      <c r="BK142" s="944"/>
      <c r="BL142" s="944"/>
      <c r="BM142" s="944"/>
      <c r="BN142" s="944"/>
      <c r="BO142" s="944"/>
      <c r="BP142" s="944"/>
      <c r="BQ142" s="944"/>
      <c r="BR142" s="944"/>
      <c r="BS142" s="944"/>
      <c r="BT142" s="944"/>
      <c r="BU142" s="944"/>
      <c r="BV142" s="945"/>
    </row>
    <row r="143" spans="1:74" ht="30" customHeight="1" x14ac:dyDescent="0.25">
      <c r="A143" s="200">
        <f t="shared" ref="A143:A206" si="2">ROW(A129)</f>
        <v>129</v>
      </c>
      <c r="B143" s="294" t="s">
        <v>162</v>
      </c>
      <c r="C143" s="295"/>
      <c r="D143" s="936"/>
      <c r="E143" s="937"/>
      <c r="F143" s="937"/>
      <c r="G143" s="937"/>
      <c r="H143" s="937"/>
      <c r="I143" s="937"/>
      <c r="J143" s="937"/>
      <c r="K143" s="938"/>
      <c r="L143" s="932"/>
      <c r="M143" s="932"/>
      <c r="N143" s="932"/>
      <c r="O143" s="932"/>
      <c r="P143" s="931"/>
      <c r="Q143" s="931"/>
      <c r="R143" s="931"/>
      <c r="S143" s="931"/>
      <c r="T143" s="933"/>
      <c r="U143" s="934"/>
      <c r="V143" s="934"/>
      <c r="W143" s="935"/>
      <c r="X143" s="936"/>
      <c r="Y143" s="937"/>
      <c r="Z143" s="937"/>
      <c r="AA143" s="938"/>
      <c r="AB143" s="594"/>
      <c r="AC143" s="595"/>
      <c r="AD143" s="596"/>
      <c r="AE143" s="779"/>
      <c r="AF143" s="939"/>
      <c r="AG143" s="780"/>
      <c r="AH143" s="941"/>
      <c r="AI143" s="942"/>
      <c r="AJ143" s="943"/>
      <c r="AK143" s="745"/>
      <c r="AL143" s="940"/>
      <c r="AM143" s="746"/>
      <c r="AN143" s="281"/>
      <c r="AO143" s="282"/>
      <c r="AP143" s="281"/>
      <c r="AQ143" s="282"/>
      <c r="AR143" s="281"/>
      <c r="AS143" s="282"/>
      <c r="AT143" s="281"/>
      <c r="AU143" s="282"/>
      <c r="AV143" s="281"/>
      <c r="AW143" s="282"/>
      <c r="AX143" s="281"/>
      <c r="AY143" s="282"/>
      <c r="AZ143" s="117"/>
      <c r="BA143" s="331"/>
      <c r="BB143" s="117"/>
      <c r="BC143" s="331"/>
      <c r="BD143" s="117"/>
      <c r="BE143" s="331"/>
      <c r="BF143" s="117"/>
      <c r="BG143" s="331"/>
      <c r="BH143" s="117"/>
      <c r="BI143" s="944" t="s">
        <v>212</v>
      </c>
      <c r="BJ143" s="944"/>
      <c r="BK143" s="944"/>
      <c r="BL143" s="944"/>
      <c r="BM143" s="944"/>
      <c r="BN143" s="944"/>
      <c r="BO143" s="944"/>
      <c r="BP143" s="944"/>
      <c r="BQ143" s="944"/>
      <c r="BR143" s="944"/>
      <c r="BS143" s="944"/>
      <c r="BT143" s="944"/>
      <c r="BU143" s="944"/>
      <c r="BV143" s="945"/>
    </row>
    <row r="144" spans="1:74" ht="30" customHeight="1" x14ac:dyDescent="0.25">
      <c r="A144" s="200">
        <f t="shared" si="2"/>
        <v>130</v>
      </c>
      <c r="B144" s="294" t="s">
        <v>162</v>
      </c>
      <c r="C144" s="295"/>
      <c r="D144" s="936"/>
      <c r="E144" s="937"/>
      <c r="F144" s="937"/>
      <c r="G144" s="937"/>
      <c r="H144" s="937"/>
      <c r="I144" s="937"/>
      <c r="J144" s="937"/>
      <c r="K144" s="938"/>
      <c r="L144" s="932"/>
      <c r="M144" s="932"/>
      <c r="N144" s="932"/>
      <c r="O144" s="932"/>
      <c r="P144" s="931"/>
      <c r="Q144" s="931"/>
      <c r="R144" s="931"/>
      <c r="S144" s="931"/>
      <c r="T144" s="933"/>
      <c r="U144" s="934"/>
      <c r="V144" s="934"/>
      <c r="W144" s="935"/>
      <c r="X144" s="936"/>
      <c r="Y144" s="937"/>
      <c r="Z144" s="937"/>
      <c r="AA144" s="938"/>
      <c r="AB144" s="594"/>
      <c r="AC144" s="595"/>
      <c r="AD144" s="596"/>
      <c r="AE144" s="779"/>
      <c r="AF144" s="939"/>
      <c r="AG144" s="780"/>
      <c r="AH144" s="941"/>
      <c r="AI144" s="942"/>
      <c r="AJ144" s="943"/>
      <c r="AK144" s="745"/>
      <c r="AL144" s="940"/>
      <c r="AM144" s="746"/>
      <c r="AN144" s="281"/>
      <c r="AO144" s="282"/>
      <c r="AP144" s="281"/>
      <c r="AQ144" s="282"/>
      <c r="AR144" s="281"/>
      <c r="AS144" s="282"/>
      <c r="AT144" s="281"/>
      <c r="AU144" s="282"/>
      <c r="AV144" s="281"/>
      <c r="AW144" s="282"/>
      <c r="AX144" s="281"/>
      <c r="AY144" s="282"/>
      <c r="AZ144" s="117"/>
      <c r="BA144" s="331"/>
      <c r="BB144" s="117"/>
      <c r="BC144" s="331"/>
      <c r="BD144" s="117"/>
      <c r="BE144" s="331"/>
      <c r="BF144" s="117"/>
      <c r="BG144" s="331"/>
      <c r="BH144" s="117"/>
      <c r="BI144" s="944" t="s">
        <v>212</v>
      </c>
      <c r="BJ144" s="944"/>
      <c r="BK144" s="944"/>
      <c r="BL144" s="944"/>
      <c r="BM144" s="944"/>
      <c r="BN144" s="944"/>
      <c r="BO144" s="944"/>
      <c r="BP144" s="944"/>
      <c r="BQ144" s="944"/>
      <c r="BR144" s="944"/>
      <c r="BS144" s="944"/>
      <c r="BT144" s="944"/>
      <c r="BU144" s="944"/>
      <c r="BV144" s="945"/>
    </row>
    <row r="145" spans="1:74" ht="30" customHeight="1" x14ac:dyDescent="0.25">
      <c r="A145" s="200">
        <f t="shared" si="2"/>
        <v>131</v>
      </c>
      <c r="B145" s="294" t="s">
        <v>162</v>
      </c>
      <c r="C145" s="295"/>
      <c r="D145" s="936"/>
      <c r="E145" s="937"/>
      <c r="F145" s="937"/>
      <c r="G145" s="937"/>
      <c r="H145" s="937"/>
      <c r="I145" s="937"/>
      <c r="J145" s="937"/>
      <c r="K145" s="938"/>
      <c r="L145" s="932"/>
      <c r="M145" s="932"/>
      <c r="N145" s="932"/>
      <c r="O145" s="932"/>
      <c r="P145" s="931"/>
      <c r="Q145" s="931"/>
      <c r="R145" s="931"/>
      <c r="S145" s="931"/>
      <c r="T145" s="933"/>
      <c r="U145" s="934"/>
      <c r="V145" s="934"/>
      <c r="W145" s="935"/>
      <c r="X145" s="936"/>
      <c r="Y145" s="937"/>
      <c r="Z145" s="937"/>
      <c r="AA145" s="938"/>
      <c r="AB145" s="594"/>
      <c r="AC145" s="595"/>
      <c r="AD145" s="596"/>
      <c r="AE145" s="779"/>
      <c r="AF145" s="939"/>
      <c r="AG145" s="780"/>
      <c r="AH145" s="941"/>
      <c r="AI145" s="942"/>
      <c r="AJ145" s="943"/>
      <c r="AK145" s="745"/>
      <c r="AL145" s="940"/>
      <c r="AM145" s="746"/>
      <c r="AN145" s="281"/>
      <c r="AO145" s="282"/>
      <c r="AP145" s="281"/>
      <c r="AQ145" s="282"/>
      <c r="AR145" s="281"/>
      <c r="AS145" s="282"/>
      <c r="AT145" s="281"/>
      <c r="AU145" s="282"/>
      <c r="AV145" s="281"/>
      <c r="AW145" s="282"/>
      <c r="AX145" s="281"/>
      <c r="AY145" s="282"/>
      <c r="AZ145" s="117"/>
      <c r="BA145" s="331"/>
      <c r="BB145" s="117"/>
      <c r="BC145" s="331"/>
      <c r="BD145" s="117"/>
      <c r="BE145" s="331"/>
      <c r="BF145" s="117"/>
      <c r="BG145" s="331"/>
      <c r="BH145" s="117"/>
      <c r="BI145" s="944" t="s">
        <v>159</v>
      </c>
      <c r="BJ145" s="944"/>
      <c r="BK145" s="944"/>
      <c r="BL145" s="944"/>
      <c r="BM145" s="944"/>
      <c r="BN145" s="944"/>
      <c r="BO145" s="944"/>
      <c r="BP145" s="944"/>
      <c r="BQ145" s="944"/>
      <c r="BR145" s="944"/>
      <c r="BS145" s="944"/>
      <c r="BT145" s="944"/>
      <c r="BU145" s="944"/>
      <c r="BV145" s="945"/>
    </row>
    <row r="146" spans="1:74" ht="30" customHeight="1" x14ac:dyDescent="0.25">
      <c r="A146" s="200">
        <f t="shared" si="2"/>
        <v>132</v>
      </c>
      <c r="B146" s="294" t="s">
        <v>162</v>
      </c>
      <c r="C146" s="295"/>
      <c r="D146" s="936"/>
      <c r="E146" s="937"/>
      <c r="F146" s="937"/>
      <c r="G146" s="937"/>
      <c r="H146" s="937"/>
      <c r="I146" s="937"/>
      <c r="J146" s="937"/>
      <c r="K146" s="938"/>
      <c r="L146" s="932"/>
      <c r="M146" s="932"/>
      <c r="N146" s="932"/>
      <c r="O146" s="932"/>
      <c r="P146" s="931"/>
      <c r="Q146" s="931"/>
      <c r="R146" s="931"/>
      <c r="S146" s="931"/>
      <c r="T146" s="933"/>
      <c r="U146" s="934"/>
      <c r="V146" s="934"/>
      <c r="W146" s="935"/>
      <c r="X146" s="936"/>
      <c r="Y146" s="937"/>
      <c r="Z146" s="937"/>
      <c r="AA146" s="938"/>
      <c r="AB146" s="594"/>
      <c r="AC146" s="595"/>
      <c r="AD146" s="596"/>
      <c r="AE146" s="779"/>
      <c r="AF146" s="939"/>
      <c r="AG146" s="780"/>
      <c r="AH146" s="941"/>
      <c r="AI146" s="942"/>
      <c r="AJ146" s="943"/>
      <c r="AK146" s="745"/>
      <c r="AL146" s="940"/>
      <c r="AM146" s="746"/>
      <c r="AN146" s="281"/>
      <c r="AO146" s="282"/>
      <c r="AP146" s="281"/>
      <c r="AQ146" s="282"/>
      <c r="AR146" s="281"/>
      <c r="AS146" s="282"/>
      <c r="AT146" s="281"/>
      <c r="AU146" s="282"/>
      <c r="AV146" s="281"/>
      <c r="AW146" s="282"/>
      <c r="AX146" s="281"/>
      <c r="AY146" s="282"/>
      <c r="AZ146" s="117"/>
      <c r="BA146" s="331"/>
      <c r="BB146" s="117"/>
      <c r="BC146" s="331"/>
      <c r="BD146" s="117"/>
      <c r="BE146" s="331"/>
      <c r="BF146" s="117"/>
      <c r="BG146" s="331"/>
      <c r="BH146" s="117"/>
      <c r="BI146" s="944" t="s">
        <v>159</v>
      </c>
      <c r="BJ146" s="944"/>
      <c r="BK146" s="944"/>
      <c r="BL146" s="944"/>
      <c r="BM146" s="944"/>
      <c r="BN146" s="944"/>
      <c r="BO146" s="944"/>
      <c r="BP146" s="944"/>
      <c r="BQ146" s="944"/>
      <c r="BR146" s="944"/>
      <c r="BS146" s="944"/>
      <c r="BT146" s="944"/>
      <c r="BU146" s="944"/>
      <c r="BV146" s="945"/>
    </row>
    <row r="147" spans="1:74" ht="30" customHeight="1" x14ac:dyDescent="0.25">
      <c r="A147" s="232">
        <f t="shared" si="2"/>
        <v>133</v>
      </c>
      <c r="B147" s="294" t="s">
        <v>162</v>
      </c>
      <c r="C147" s="295"/>
      <c r="D147" s="936"/>
      <c r="E147" s="937"/>
      <c r="F147" s="937"/>
      <c r="G147" s="937"/>
      <c r="H147" s="937"/>
      <c r="I147" s="937"/>
      <c r="J147" s="937"/>
      <c r="K147" s="938"/>
      <c r="L147" s="932"/>
      <c r="M147" s="932"/>
      <c r="N147" s="932"/>
      <c r="O147" s="932"/>
      <c r="P147" s="931"/>
      <c r="Q147" s="931"/>
      <c r="R147" s="931"/>
      <c r="S147" s="931"/>
      <c r="T147" s="933"/>
      <c r="U147" s="934"/>
      <c r="V147" s="934"/>
      <c r="W147" s="935"/>
      <c r="X147" s="936"/>
      <c r="Y147" s="937"/>
      <c r="Z147" s="937"/>
      <c r="AA147" s="938"/>
      <c r="AB147" s="594"/>
      <c r="AC147" s="595"/>
      <c r="AD147" s="596"/>
      <c r="AE147" s="779"/>
      <c r="AF147" s="939"/>
      <c r="AG147" s="780"/>
      <c r="AH147" s="941"/>
      <c r="AI147" s="942"/>
      <c r="AJ147" s="943"/>
      <c r="AK147" s="745"/>
      <c r="AL147" s="940"/>
      <c r="AM147" s="746"/>
      <c r="AN147" s="281"/>
      <c r="AO147" s="282"/>
      <c r="AP147" s="281"/>
      <c r="AQ147" s="282"/>
      <c r="AR147" s="281"/>
      <c r="AS147" s="282"/>
      <c r="AT147" s="281"/>
      <c r="AU147" s="282"/>
      <c r="AV147" s="281"/>
      <c r="AW147" s="282"/>
      <c r="AX147" s="281"/>
      <c r="AY147" s="282"/>
      <c r="AZ147" s="117"/>
      <c r="BA147" s="331"/>
      <c r="BB147" s="117"/>
      <c r="BC147" s="331"/>
      <c r="BD147" s="117"/>
      <c r="BE147" s="331"/>
      <c r="BF147" s="117"/>
      <c r="BG147" s="331"/>
      <c r="BH147" s="117"/>
      <c r="BI147" s="944" t="s">
        <v>212</v>
      </c>
      <c r="BJ147" s="944"/>
      <c r="BK147" s="944"/>
      <c r="BL147" s="944"/>
      <c r="BM147" s="944"/>
      <c r="BN147" s="944"/>
      <c r="BO147" s="944"/>
      <c r="BP147" s="944"/>
      <c r="BQ147" s="944"/>
      <c r="BR147" s="944"/>
      <c r="BS147" s="944"/>
      <c r="BT147" s="944"/>
      <c r="BU147" s="944"/>
      <c r="BV147" s="945"/>
    </row>
    <row r="148" spans="1:74" ht="30" customHeight="1" x14ac:dyDescent="0.25">
      <c r="A148" s="200">
        <f t="shared" si="2"/>
        <v>134</v>
      </c>
      <c r="B148" s="294" t="s">
        <v>162</v>
      </c>
      <c r="C148" s="295"/>
      <c r="D148" s="936"/>
      <c r="E148" s="937"/>
      <c r="F148" s="937"/>
      <c r="G148" s="937"/>
      <c r="H148" s="937"/>
      <c r="I148" s="937"/>
      <c r="J148" s="937"/>
      <c r="K148" s="938"/>
      <c r="L148" s="932"/>
      <c r="M148" s="932"/>
      <c r="N148" s="932"/>
      <c r="O148" s="932"/>
      <c r="P148" s="931"/>
      <c r="Q148" s="931"/>
      <c r="R148" s="931"/>
      <c r="S148" s="931"/>
      <c r="T148" s="933"/>
      <c r="U148" s="934"/>
      <c r="V148" s="934"/>
      <c r="W148" s="935"/>
      <c r="X148" s="936"/>
      <c r="Y148" s="937"/>
      <c r="Z148" s="937"/>
      <c r="AA148" s="938"/>
      <c r="AB148" s="594"/>
      <c r="AC148" s="595"/>
      <c r="AD148" s="596"/>
      <c r="AE148" s="779"/>
      <c r="AF148" s="939"/>
      <c r="AG148" s="780"/>
      <c r="AH148" s="941"/>
      <c r="AI148" s="942"/>
      <c r="AJ148" s="943"/>
      <c r="AK148" s="745"/>
      <c r="AL148" s="940"/>
      <c r="AM148" s="746"/>
      <c r="AN148" s="281"/>
      <c r="AO148" s="282"/>
      <c r="AP148" s="281"/>
      <c r="AQ148" s="282"/>
      <c r="AR148" s="281"/>
      <c r="AS148" s="282"/>
      <c r="AT148" s="281"/>
      <c r="AU148" s="282"/>
      <c r="AV148" s="281"/>
      <c r="AW148" s="282"/>
      <c r="AX148" s="281"/>
      <c r="AY148" s="282"/>
      <c r="AZ148" s="117"/>
      <c r="BA148" s="331"/>
      <c r="BB148" s="117"/>
      <c r="BC148" s="331"/>
      <c r="BD148" s="117"/>
      <c r="BE148" s="331"/>
      <c r="BF148" s="117"/>
      <c r="BG148" s="331"/>
      <c r="BH148" s="117"/>
      <c r="BI148" s="944" t="s">
        <v>212</v>
      </c>
      <c r="BJ148" s="944"/>
      <c r="BK148" s="944"/>
      <c r="BL148" s="944"/>
      <c r="BM148" s="944"/>
      <c r="BN148" s="944"/>
      <c r="BO148" s="944"/>
      <c r="BP148" s="944"/>
      <c r="BQ148" s="944"/>
      <c r="BR148" s="944"/>
      <c r="BS148" s="944"/>
      <c r="BT148" s="944"/>
      <c r="BU148" s="944"/>
      <c r="BV148" s="945"/>
    </row>
    <row r="149" spans="1:74" ht="30" customHeight="1" x14ac:dyDescent="0.25">
      <c r="A149" s="200">
        <f t="shared" si="2"/>
        <v>135</v>
      </c>
      <c r="B149" s="294" t="s">
        <v>162</v>
      </c>
      <c r="C149" s="295"/>
      <c r="D149" s="936"/>
      <c r="E149" s="937"/>
      <c r="F149" s="937"/>
      <c r="G149" s="937"/>
      <c r="H149" s="937"/>
      <c r="I149" s="937"/>
      <c r="J149" s="937"/>
      <c r="K149" s="938"/>
      <c r="L149" s="932"/>
      <c r="M149" s="932"/>
      <c r="N149" s="932"/>
      <c r="O149" s="932"/>
      <c r="P149" s="931"/>
      <c r="Q149" s="931"/>
      <c r="R149" s="931"/>
      <c r="S149" s="931"/>
      <c r="T149" s="933"/>
      <c r="U149" s="934"/>
      <c r="V149" s="934"/>
      <c r="W149" s="935"/>
      <c r="X149" s="936"/>
      <c r="Y149" s="937"/>
      <c r="Z149" s="937"/>
      <c r="AA149" s="938"/>
      <c r="AB149" s="594"/>
      <c r="AC149" s="595"/>
      <c r="AD149" s="596"/>
      <c r="AE149" s="779"/>
      <c r="AF149" s="939"/>
      <c r="AG149" s="780"/>
      <c r="AH149" s="941"/>
      <c r="AI149" s="942"/>
      <c r="AJ149" s="943"/>
      <c r="AK149" s="745"/>
      <c r="AL149" s="940"/>
      <c r="AM149" s="746"/>
      <c r="AN149" s="281"/>
      <c r="AO149" s="282"/>
      <c r="AP149" s="281"/>
      <c r="AQ149" s="282"/>
      <c r="AR149" s="281"/>
      <c r="AS149" s="282"/>
      <c r="AT149" s="281"/>
      <c r="AU149" s="282"/>
      <c r="AV149" s="281"/>
      <c r="AW149" s="282"/>
      <c r="AX149" s="281"/>
      <c r="AY149" s="282"/>
      <c r="AZ149" s="117"/>
      <c r="BA149" s="331"/>
      <c r="BB149" s="117"/>
      <c r="BC149" s="331"/>
      <c r="BD149" s="117"/>
      <c r="BE149" s="331"/>
      <c r="BF149" s="117"/>
      <c r="BG149" s="331"/>
      <c r="BH149" s="117"/>
      <c r="BI149" s="944" t="s">
        <v>212</v>
      </c>
      <c r="BJ149" s="944"/>
      <c r="BK149" s="944"/>
      <c r="BL149" s="944"/>
      <c r="BM149" s="944"/>
      <c r="BN149" s="944"/>
      <c r="BO149" s="944"/>
      <c r="BP149" s="944"/>
      <c r="BQ149" s="944"/>
      <c r="BR149" s="944"/>
      <c r="BS149" s="944"/>
      <c r="BT149" s="944"/>
      <c r="BU149" s="944"/>
      <c r="BV149" s="945"/>
    </row>
    <row r="150" spans="1:74" ht="30" customHeight="1" x14ac:dyDescent="0.25">
      <c r="A150" s="200">
        <f t="shared" si="2"/>
        <v>136</v>
      </c>
      <c r="B150" s="294" t="s">
        <v>162</v>
      </c>
      <c r="C150" s="295"/>
      <c r="D150" s="936"/>
      <c r="E150" s="937"/>
      <c r="F150" s="937"/>
      <c r="G150" s="937"/>
      <c r="H150" s="937"/>
      <c r="I150" s="937"/>
      <c r="J150" s="937"/>
      <c r="K150" s="938"/>
      <c r="L150" s="932"/>
      <c r="M150" s="932"/>
      <c r="N150" s="932"/>
      <c r="O150" s="932"/>
      <c r="P150" s="931"/>
      <c r="Q150" s="931"/>
      <c r="R150" s="931"/>
      <c r="S150" s="931"/>
      <c r="T150" s="933"/>
      <c r="U150" s="934"/>
      <c r="V150" s="934"/>
      <c r="W150" s="935"/>
      <c r="X150" s="936"/>
      <c r="Y150" s="937"/>
      <c r="Z150" s="937"/>
      <c r="AA150" s="938"/>
      <c r="AB150" s="594"/>
      <c r="AC150" s="595"/>
      <c r="AD150" s="596"/>
      <c r="AE150" s="779"/>
      <c r="AF150" s="939"/>
      <c r="AG150" s="780"/>
      <c r="AH150" s="941"/>
      <c r="AI150" s="942"/>
      <c r="AJ150" s="943"/>
      <c r="AK150" s="745"/>
      <c r="AL150" s="940"/>
      <c r="AM150" s="746"/>
      <c r="AN150" s="281"/>
      <c r="AO150" s="282"/>
      <c r="AP150" s="281"/>
      <c r="AQ150" s="282"/>
      <c r="AR150" s="281"/>
      <c r="AS150" s="282"/>
      <c r="AT150" s="281"/>
      <c r="AU150" s="282"/>
      <c r="AV150" s="281"/>
      <c r="AW150" s="282"/>
      <c r="AX150" s="281"/>
      <c r="AY150" s="282"/>
      <c r="AZ150" s="117"/>
      <c r="BA150" s="331"/>
      <c r="BB150" s="117"/>
      <c r="BC150" s="331"/>
      <c r="BD150" s="117"/>
      <c r="BE150" s="331"/>
      <c r="BF150" s="117"/>
      <c r="BG150" s="331"/>
      <c r="BH150" s="117"/>
      <c r="BI150" s="944" t="s">
        <v>212</v>
      </c>
      <c r="BJ150" s="944"/>
      <c r="BK150" s="944"/>
      <c r="BL150" s="944"/>
      <c r="BM150" s="944"/>
      <c r="BN150" s="944"/>
      <c r="BO150" s="944"/>
      <c r="BP150" s="944"/>
      <c r="BQ150" s="944"/>
      <c r="BR150" s="944"/>
      <c r="BS150" s="944"/>
      <c r="BT150" s="944"/>
      <c r="BU150" s="944"/>
      <c r="BV150" s="945"/>
    </row>
    <row r="151" spans="1:74" ht="30" customHeight="1" x14ac:dyDescent="0.25">
      <c r="A151" s="200">
        <f t="shared" si="2"/>
        <v>137</v>
      </c>
      <c r="B151" s="294" t="s">
        <v>162</v>
      </c>
      <c r="C151" s="295"/>
      <c r="D151" s="936"/>
      <c r="E151" s="937"/>
      <c r="F151" s="937"/>
      <c r="G151" s="937"/>
      <c r="H151" s="937"/>
      <c r="I151" s="937"/>
      <c r="J151" s="937"/>
      <c r="K151" s="938"/>
      <c r="L151" s="932"/>
      <c r="M151" s="932"/>
      <c r="N151" s="932"/>
      <c r="O151" s="932"/>
      <c r="P151" s="931"/>
      <c r="Q151" s="931"/>
      <c r="R151" s="931"/>
      <c r="S151" s="931"/>
      <c r="T151" s="933"/>
      <c r="U151" s="934"/>
      <c r="V151" s="934"/>
      <c r="W151" s="935"/>
      <c r="X151" s="936"/>
      <c r="Y151" s="937"/>
      <c r="Z151" s="937"/>
      <c r="AA151" s="938"/>
      <c r="AB151" s="594"/>
      <c r="AC151" s="595"/>
      <c r="AD151" s="596"/>
      <c r="AE151" s="779"/>
      <c r="AF151" s="939"/>
      <c r="AG151" s="780"/>
      <c r="AH151" s="941"/>
      <c r="AI151" s="942"/>
      <c r="AJ151" s="943"/>
      <c r="AK151" s="745"/>
      <c r="AL151" s="940"/>
      <c r="AM151" s="746"/>
      <c r="AN151" s="281"/>
      <c r="AO151" s="282"/>
      <c r="AP151" s="281"/>
      <c r="AQ151" s="282"/>
      <c r="AR151" s="281"/>
      <c r="AS151" s="282"/>
      <c r="AT151" s="281"/>
      <c r="AU151" s="282"/>
      <c r="AV151" s="281"/>
      <c r="AW151" s="282"/>
      <c r="AX151" s="281"/>
      <c r="AY151" s="282"/>
      <c r="AZ151" s="117"/>
      <c r="BA151" s="331"/>
      <c r="BB151" s="117"/>
      <c r="BC151" s="331"/>
      <c r="BD151" s="117"/>
      <c r="BE151" s="331"/>
      <c r="BF151" s="117"/>
      <c r="BG151" s="331"/>
      <c r="BH151" s="117"/>
      <c r="BI151" s="944" t="s">
        <v>212</v>
      </c>
      <c r="BJ151" s="944"/>
      <c r="BK151" s="944"/>
      <c r="BL151" s="944"/>
      <c r="BM151" s="944"/>
      <c r="BN151" s="944"/>
      <c r="BO151" s="944"/>
      <c r="BP151" s="944"/>
      <c r="BQ151" s="944"/>
      <c r="BR151" s="944"/>
      <c r="BS151" s="944"/>
      <c r="BT151" s="944"/>
      <c r="BU151" s="944"/>
      <c r="BV151" s="945"/>
    </row>
    <row r="152" spans="1:74" ht="30" customHeight="1" x14ac:dyDescent="0.25">
      <c r="A152" s="200">
        <f t="shared" si="2"/>
        <v>138</v>
      </c>
      <c r="B152" s="294" t="s">
        <v>162</v>
      </c>
      <c r="C152" s="295"/>
      <c r="D152" s="936"/>
      <c r="E152" s="937"/>
      <c r="F152" s="937"/>
      <c r="G152" s="937"/>
      <c r="H152" s="937"/>
      <c r="I152" s="937"/>
      <c r="J152" s="937"/>
      <c r="K152" s="938"/>
      <c r="L152" s="932"/>
      <c r="M152" s="932"/>
      <c r="N152" s="932"/>
      <c r="O152" s="932"/>
      <c r="P152" s="931"/>
      <c r="Q152" s="931"/>
      <c r="R152" s="931"/>
      <c r="S152" s="931"/>
      <c r="T152" s="933"/>
      <c r="U152" s="934"/>
      <c r="V152" s="934"/>
      <c r="W152" s="935"/>
      <c r="X152" s="936"/>
      <c r="Y152" s="937"/>
      <c r="Z152" s="937"/>
      <c r="AA152" s="938"/>
      <c r="AB152" s="594"/>
      <c r="AC152" s="595"/>
      <c r="AD152" s="596"/>
      <c r="AE152" s="779"/>
      <c r="AF152" s="939"/>
      <c r="AG152" s="780"/>
      <c r="AH152" s="941"/>
      <c r="AI152" s="942"/>
      <c r="AJ152" s="943"/>
      <c r="AK152" s="745"/>
      <c r="AL152" s="940"/>
      <c r="AM152" s="746"/>
      <c r="AN152" s="281"/>
      <c r="AO152" s="282"/>
      <c r="AP152" s="281"/>
      <c r="AQ152" s="282"/>
      <c r="AR152" s="281"/>
      <c r="AS152" s="282"/>
      <c r="AT152" s="281"/>
      <c r="AU152" s="282"/>
      <c r="AV152" s="281"/>
      <c r="AW152" s="282"/>
      <c r="AX152" s="281"/>
      <c r="AY152" s="282"/>
      <c r="AZ152" s="117"/>
      <c r="BA152" s="331"/>
      <c r="BB152" s="117"/>
      <c r="BC152" s="331"/>
      <c r="BD152" s="117"/>
      <c r="BE152" s="331"/>
      <c r="BF152" s="117"/>
      <c r="BG152" s="331"/>
      <c r="BH152" s="117"/>
      <c r="BI152" s="944" t="s">
        <v>159</v>
      </c>
      <c r="BJ152" s="944"/>
      <c r="BK152" s="944"/>
      <c r="BL152" s="944"/>
      <c r="BM152" s="944"/>
      <c r="BN152" s="944"/>
      <c r="BO152" s="944"/>
      <c r="BP152" s="944"/>
      <c r="BQ152" s="944"/>
      <c r="BR152" s="944"/>
      <c r="BS152" s="944"/>
      <c r="BT152" s="944"/>
      <c r="BU152" s="944"/>
      <c r="BV152" s="945"/>
    </row>
    <row r="153" spans="1:74" ht="30" customHeight="1" x14ac:dyDescent="0.25">
      <c r="A153" s="200">
        <f t="shared" si="2"/>
        <v>139</v>
      </c>
      <c r="B153" s="294" t="s">
        <v>162</v>
      </c>
      <c r="C153" s="295"/>
      <c r="D153" s="936"/>
      <c r="E153" s="937"/>
      <c r="F153" s="937"/>
      <c r="G153" s="937"/>
      <c r="H153" s="937"/>
      <c r="I153" s="937"/>
      <c r="J153" s="937"/>
      <c r="K153" s="938"/>
      <c r="L153" s="932"/>
      <c r="M153" s="932"/>
      <c r="N153" s="932"/>
      <c r="O153" s="932"/>
      <c r="P153" s="931"/>
      <c r="Q153" s="931"/>
      <c r="R153" s="931"/>
      <c r="S153" s="931"/>
      <c r="T153" s="933"/>
      <c r="U153" s="934"/>
      <c r="V153" s="934"/>
      <c r="W153" s="935"/>
      <c r="X153" s="936"/>
      <c r="Y153" s="937"/>
      <c r="Z153" s="937"/>
      <c r="AA153" s="938"/>
      <c r="AB153" s="594"/>
      <c r="AC153" s="595"/>
      <c r="AD153" s="596"/>
      <c r="AE153" s="779"/>
      <c r="AF153" s="939"/>
      <c r="AG153" s="780"/>
      <c r="AH153" s="941"/>
      <c r="AI153" s="942"/>
      <c r="AJ153" s="943"/>
      <c r="AK153" s="745"/>
      <c r="AL153" s="940"/>
      <c r="AM153" s="746"/>
      <c r="AN153" s="281"/>
      <c r="AO153" s="282"/>
      <c r="AP153" s="281"/>
      <c r="AQ153" s="282"/>
      <c r="AR153" s="281"/>
      <c r="AS153" s="282"/>
      <c r="AT153" s="281"/>
      <c r="AU153" s="282"/>
      <c r="AV153" s="281"/>
      <c r="AW153" s="282"/>
      <c r="AX153" s="281"/>
      <c r="AY153" s="282"/>
      <c r="AZ153" s="117"/>
      <c r="BA153" s="331"/>
      <c r="BB153" s="117"/>
      <c r="BC153" s="331"/>
      <c r="BD153" s="117"/>
      <c r="BE153" s="331"/>
      <c r="BF153" s="117"/>
      <c r="BG153" s="331"/>
      <c r="BH153" s="117"/>
      <c r="BI153" s="944" t="s">
        <v>159</v>
      </c>
      <c r="BJ153" s="944"/>
      <c r="BK153" s="944"/>
      <c r="BL153" s="944"/>
      <c r="BM153" s="944"/>
      <c r="BN153" s="944"/>
      <c r="BO153" s="944"/>
      <c r="BP153" s="944"/>
      <c r="BQ153" s="944"/>
      <c r="BR153" s="944"/>
      <c r="BS153" s="944"/>
      <c r="BT153" s="944"/>
      <c r="BU153" s="944"/>
      <c r="BV153" s="945"/>
    </row>
    <row r="154" spans="1:74" ht="30" customHeight="1" x14ac:dyDescent="0.25">
      <c r="A154" s="232">
        <f t="shared" si="2"/>
        <v>140</v>
      </c>
      <c r="B154" s="294" t="s">
        <v>162</v>
      </c>
      <c r="C154" s="295"/>
      <c r="D154" s="936"/>
      <c r="E154" s="937"/>
      <c r="F154" s="937"/>
      <c r="G154" s="937"/>
      <c r="H154" s="937"/>
      <c r="I154" s="937"/>
      <c r="J154" s="937"/>
      <c r="K154" s="938"/>
      <c r="L154" s="932"/>
      <c r="M154" s="932"/>
      <c r="N154" s="932"/>
      <c r="O154" s="932"/>
      <c r="P154" s="931"/>
      <c r="Q154" s="931"/>
      <c r="R154" s="931"/>
      <c r="S154" s="931"/>
      <c r="T154" s="933"/>
      <c r="U154" s="934"/>
      <c r="V154" s="934"/>
      <c r="W154" s="935"/>
      <c r="X154" s="936"/>
      <c r="Y154" s="937"/>
      <c r="Z154" s="937"/>
      <c r="AA154" s="938"/>
      <c r="AB154" s="594"/>
      <c r="AC154" s="595"/>
      <c r="AD154" s="596"/>
      <c r="AE154" s="779"/>
      <c r="AF154" s="939"/>
      <c r="AG154" s="780"/>
      <c r="AH154" s="941"/>
      <c r="AI154" s="942"/>
      <c r="AJ154" s="943"/>
      <c r="AK154" s="745"/>
      <c r="AL154" s="940"/>
      <c r="AM154" s="746"/>
      <c r="AN154" s="281"/>
      <c r="AO154" s="282"/>
      <c r="AP154" s="281"/>
      <c r="AQ154" s="282"/>
      <c r="AR154" s="281"/>
      <c r="AS154" s="282"/>
      <c r="AT154" s="281"/>
      <c r="AU154" s="282"/>
      <c r="AV154" s="281"/>
      <c r="AW154" s="282"/>
      <c r="AX154" s="281"/>
      <c r="AY154" s="282"/>
      <c r="AZ154" s="117"/>
      <c r="BA154" s="331"/>
      <c r="BB154" s="117"/>
      <c r="BC154" s="331"/>
      <c r="BD154" s="117"/>
      <c r="BE154" s="331"/>
      <c r="BF154" s="117"/>
      <c r="BG154" s="331"/>
      <c r="BH154" s="117"/>
      <c r="BI154" s="944" t="s">
        <v>212</v>
      </c>
      <c r="BJ154" s="944"/>
      <c r="BK154" s="944"/>
      <c r="BL154" s="944"/>
      <c r="BM154" s="944"/>
      <c r="BN154" s="944"/>
      <c r="BO154" s="944"/>
      <c r="BP154" s="944"/>
      <c r="BQ154" s="944"/>
      <c r="BR154" s="944"/>
      <c r="BS154" s="944"/>
      <c r="BT154" s="944"/>
      <c r="BU154" s="944"/>
      <c r="BV154" s="945"/>
    </row>
    <row r="155" spans="1:74" ht="30" customHeight="1" x14ac:dyDescent="0.25">
      <c r="A155" s="200">
        <f t="shared" si="2"/>
        <v>141</v>
      </c>
      <c r="B155" s="294" t="s">
        <v>162</v>
      </c>
      <c r="C155" s="295"/>
      <c r="D155" s="936"/>
      <c r="E155" s="937"/>
      <c r="F155" s="937"/>
      <c r="G155" s="937"/>
      <c r="H155" s="937"/>
      <c r="I155" s="937"/>
      <c r="J155" s="937"/>
      <c r="K155" s="938"/>
      <c r="L155" s="932"/>
      <c r="M155" s="932"/>
      <c r="N155" s="932"/>
      <c r="O155" s="932"/>
      <c r="P155" s="931"/>
      <c r="Q155" s="931"/>
      <c r="R155" s="931"/>
      <c r="S155" s="931"/>
      <c r="T155" s="933"/>
      <c r="U155" s="934"/>
      <c r="V155" s="934"/>
      <c r="W155" s="935"/>
      <c r="X155" s="936"/>
      <c r="Y155" s="937"/>
      <c r="Z155" s="937"/>
      <c r="AA155" s="938"/>
      <c r="AB155" s="594"/>
      <c r="AC155" s="595"/>
      <c r="AD155" s="596"/>
      <c r="AE155" s="779"/>
      <c r="AF155" s="939"/>
      <c r="AG155" s="780"/>
      <c r="AH155" s="941"/>
      <c r="AI155" s="942"/>
      <c r="AJ155" s="943"/>
      <c r="AK155" s="745"/>
      <c r="AL155" s="940"/>
      <c r="AM155" s="746"/>
      <c r="AN155" s="281"/>
      <c r="AO155" s="282"/>
      <c r="AP155" s="281"/>
      <c r="AQ155" s="282"/>
      <c r="AR155" s="281"/>
      <c r="AS155" s="282"/>
      <c r="AT155" s="281"/>
      <c r="AU155" s="282"/>
      <c r="AV155" s="281"/>
      <c r="AW155" s="282"/>
      <c r="AX155" s="281"/>
      <c r="AY155" s="282"/>
      <c r="AZ155" s="117"/>
      <c r="BA155" s="331"/>
      <c r="BB155" s="117"/>
      <c r="BC155" s="331"/>
      <c r="BD155" s="117"/>
      <c r="BE155" s="331"/>
      <c r="BF155" s="117"/>
      <c r="BG155" s="331"/>
      <c r="BH155" s="117"/>
      <c r="BI155" s="944" t="s">
        <v>212</v>
      </c>
      <c r="BJ155" s="944"/>
      <c r="BK155" s="944"/>
      <c r="BL155" s="944"/>
      <c r="BM155" s="944"/>
      <c r="BN155" s="944"/>
      <c r="BO155" s="944"/>
      <c r="BP155" s="944"/>
      <c r="BQ155" s="944"/>
      <c r="BR155" s="944"/>
      <c r="BS155" s="944"/>
      <c r="BT155" s="944"/>
      <c r="BU155" s="944"/>
      <c r="BV155" s="945"/>
    </row>
    <row r="156" spans="1:74" ht="30" customHeight="1" x14ac:dyDescent="0.25">
      <c r="A156" s="200">
        <f t="shared" si="2"/>
        <v>142</v>
      </c>
      <c r="B156" s="294" t="s">
        <v>162</v>
      </c>
      <c r="C156" s="295"/>
      <c r="D156" s="936"/>
      <c r="E156" s="937"/>
      <c r="F156" s="937"/>
      <c r="G156" s="937"/>
      <c r="H156" s="937"/>
      <c r="I156" s="937"/>
      <c r="J156" s="937"/>
      <c r="K156" s="938"/>
      <c r="L156" s="932"/>
      <c r="M156" s="932"/>
      <c r="N156" s="932"/>
      <c r="O156" s="932"/>
      <c r="P156" s="931"/>
      <c r="Q156" s="931"/>
      <c r="R156" s="931"/>
      <c r="S156" s="931"/>
      <c r="T156" s="933"/>
      <c r="U156" s="934"/>
      <c r="V156" s="934"/>
      <c r="W156" s="935"/>
      <c r="X156" s="936"/>
      <c r="Y156" s="937"/>
      <c r="Z156" s="937"/>
      <c r="AA156" s="938"/>
      <c r="AB156" s="594"/>
      <c r="AC156" s="595"/>
      <c r="AD156" s="596"/>
      <c r="AE156" s="779"/>
      <c r="AF156" s="939"/>
      <c r="AG156" s="780"/>
      <c r="AH156" s="941"/>
      <c r="AI156" s="942"/>
      <c r="AJ156" s="943"/>
      <c r="AK156" s="745"/>
      <c r="AL156" s="940"/>
      <c r="AM156" s="746"/>
      <c r="AN156" s="281"/>
      <c r="AO156" s="282"/>
      <c r="AP156" s="281"/>
      <c r="AQ156" s="282"/>
      <c r="AR156" s="281"/>
      <c r="AS156" s="282"/>
      <c r="AT156" s="281"/>
      <c r="AU156" s="282"/>
      <c r="AV156" s="281"/>
      <c r="AW156" s="282"/>
      <c r="AX156" s="281"/>
      <c r="AY156" s="282"/>
      <c r="AZ156" s="117"/>
      <c r="BA156" s="331"/>
      <c r="BB156" s="117"/>
      <c r="BC156" s="331"/>
      <c r="BD156" s="117"/>
      <c r="BE156" s="331"/>
      <c r="BF156" s="117"/>
      <c r="BG156" s="331"/>
      <c r="BH156" s="117"/>
      <c r="BI156" s="944" t="s">
        <v>212</v>
      </c>
      <c r="BJ156" s="944"/>
      <c r="BK156" s="944"/>
      <c r="BL156" s="944"/>
      <c r="BM156" s="944"/>
      <c r="BN156" s="944"/>
      <c r="BO156" s="944"/>
      <c r="BP156" s="944"/>
      <c r="BQ156" s="944"/>
      <c r="BR156" s="944"/>
      <c r="BS156" s="944"/>
      <c r="BT156" s="944"/>
      <c r="BU156" s="944"/>
      <c r="BV156" s="945"/>
    </row>
    <row r="157" spans="1:74" ht="30" customHeight="1" x14ac:dyDescent="0.25">
      <c r="A157" s="200">
        <f t="shared" si="2"/>
        <v>143</v>
      </c>
      <c r="B157" s="294" t="s">
        <v>162</v>
      </c>
      <c r="C157" s="295"/>
      <c r="D157" s="936"/>
      <c r="E157" s="937"/>
      <c r="F157" s="937"/>
      <c r="G157" s="937"/>
      <c r="H157" s="937"/>
      <c r="I157" s="937"/>
      <c r="J157" s="937"/>
      <c r="K157" s="938"/>
      <c r="L157" s="932"/>
      <c r="M157" s="932"/>
      <c r="N157" s="932"/>
      <c r="O157" s="932"/>
      <c r="P157" s="931"/>
      <c r="Q157" s="931"/>
      <c r="R157" s="931"/>
      <c r="S157" s="931"/>
      <c r="T157" s="933"/>
      <c r="U157" s="934"/>
      <c r="V157" s="934"/>
      <c r="W157" s="935"/>
      <c r="X157" s="936"/>
      <c r="Y157" s="937"/>
      <c r="Z157" s="937"/>
      <c r="AA157" s="938"/>
      <c r="AB157" s="594"/>
      <c r="AC157" s="595"/>
      <c r="AD157" s="596"/>
      <c r="AE157" s="779"/>
      <c r="AF157" s="939"/>
      <c r="AG157" s="780"/>
      <c r="AH157" s="941"/>
      <c r="AI157" s="942"/>
      <c r="AJ157" s="943"/>
      <c r="AK157" s="745"/>
      <c r="AL157" s="940"/>
      <c r="AM157" s="746"/>
      <c r="AN157" s="281"/>
      <c r="AO157" s="282"/>
      <c r="AP157" s="281"/>
      <c r="AQ157" s="282"/>
      <c r="AR157" s="281"/>
      <c r="AS157" s="282"/>
      <c r="AT157" s="281"/>
      <c r="AU157" s="282"/>
      <c r="AV157" s="281"/>
      <c r="AW157" s="282"/>
      <c r="AX157" s="281"/>
      <c r="AY157" s="282"/>
      <c r="AZ157" s="117"/>
      <c r="BA157" s="331"/>
      <c r="BB157" s="117"/>
      <c r="BC157" s="331"/>
      <c r="BD157" s="117"/>
      <c r="BE157" s="331"/>
      <c r="BF157" s="117"/>
      <c r="BG157" s="331"/>
      <c r="BH157" s="117"/>
      <c r="BI157" s="944" t="s">
        <v>212</v>
      </c>
      <c r="BJ157" s="944"/>
      <c r="BK157" s="944"/>
      <c r="BL157" s="944"/>
      <c r="BM157" s="944"/>
      <c r="BN157" s="944"/>
      <c r="BO157" s="944"/>
      <c r="BP157" s="944"/>
      <c r="BQ157" s="944"/>
      <c r="BR157" s="944"/>
      <c r="BS157" s="944"/>
      <c r="BT157" s="944"/>
      <c r="BU157" s="944"/>
      <c r="BV157" s="945"/>
    </row>
    <row r="158" spans="1:74" ht="30" customHeight="1" x14ac:dyDescent="0.25">
      <c r="A158" s="200">
        <f t="shared" si="2"/>
        <v>144</v>
      </c>
      <c r="B158" s="294" t="s">
        <v>162</v>
      </c>
      <c r="C158" s="295"/>
      <c r="D158" s="936"/>
      <c r="E158" s="937"/>
      <c r="F158" s="937"/>
      <c r="G158" s="937"/>
      <c r="H158" s="937"/>
      <c r="I158" s="937"/>
      <c r="J158" s="937"/>
      <c r="K158" s="938"/>
      <c r="L158" s="932"/>
      <c r="M158" s="932"/>
      <c r="N158" s="932"/>
      <c r="O158" s="932"/>
      <c r="P158" s="931"/>
      <c r="Q158" s="931"/>
      <c r="R158" s="931"/>
      <c r="S158" s="931"/>
      <c r="T158" s="933"/>
      <c r="U158" s="934"/>
      <c r="V158" s="934"/>
      <c r="W158" s="935"/>
      <c r="X158" s="936"/>
      <c r="Y158" s="937"/>
      <c r="Z158" s="937"/>
      <c r="AA158" s="938"/>
      <c r="AB158" s="594"/>
      <c r="AC158" s="595"/>
      <c r="AD158" s="596"/>
      <c r="AE158" s="779"/>
      <c r="AF158" s="939"/>
      <c r="AG158" s="780"/>
      <c r="AH158" s="941"/>
      <c r="AI158" s="942"/>
      <c r="AJ158" s="943"/>
      <c r="AK158" s="745"/>
      <c r="AL158" s="940"/>
      <c r="AM158" s="746"/>
      <c r="AN158" s="281"/>
      <c r="AO158" s="282"/>
      <c r="AP158" s="281"/>
      <c r="AQ158" s="282"/>
      <c r="AR158" s="281"/>
      <c r="AS158" s="282"/>
      <c r="AT158" s="281"/>
      <c r="AU158" s="282"/>
      <c r="AV158" s="281"/>
      <c r="AW158" s="282"/>
      <c r="AX158" s="281"/>
      <c r="AY158" s="282"/>
      <c r="AZ158" s="117"/>
      <c r="BA158" s="331"/>
      <c r="BB158" s="117"/>
      <c r="BC158" s="331"/>
      <c r="BD158" s="117"/>
      <c r="BE158" s="331"/>
      <c r="BF158" s="117"/>
      <c r="BG158" s="331"/>
      <c r="BH158" s="117"/>
      <c r="BI158" s="944" t="s">
        <v>212</v>
      </c>
      <c r="BJ158" s="944"/>
      <c r="BK158" s="944"/>
      <c r="BL158" s="944"/>
      <c r="BM158" s="944"/>
      <c r="BN158" s="944"/>
      <c r="BO158" s="944"/>
      <c r="BP158" s="944"/>
      <c r="BQ158" s="944"/>
      <c r="BR158" s="944"/>
      <c r="BS158" s="944"/>
      <c r="BT158" s="944"/>
      <c r="BU158" s="944"/>
      <c r="BV158" s="945"/>
    </row>
    <row r="159" spans="1:74" ht="30" customHeight="1" x14ac:dyDescent="0.25">
      <c r="A159" s="200">
        <f t="shared" si="2"/>
        <v>145</v>
      </c>
      <c r="B159" s="294" t="s">
        <v>162</v>
      </c>
      <c r="C159" s="295"/>
      <c r="D159" s="936"/>
      <c r="E159" s="937"/>
      <c r="F159" s="937"/>
      <c r="G159" s="937"/>
      <c r="H159" s="937"/>
      <c r="I159" s="937"/>
      <c r="J159" s="937"/>
      <c r="K159" s="938"/>
      <c r="L159" s="932"/>
      <c r="M159" s="932"/>
      <c r="N159" s="932"/>
      <c r="O159" s="932"/>
      <c r="P159" s="931"/>
      <c r="Q159" s="931"/>
      <c r="R159" s="931"/>
      <c r="S159" s="931"/>
      <c r="T159" s="933"/>
      <c r="U159" s="934"/>
      <c r="V159" s="934"/>
      <c r="W159" s="935"/>
      <c r="X159" s="936"/>
      <c r="Y159" s="937"/>
      <c r="Z159" s="937"/>
      <c r="AA159" s="938"/>
      <c r="AB159" s="594"/>
      <c r="AC159" s="595"/>
      <c r="AD159" s="596"/>
      <c r="AE159" s="779"/>
      <c r="AF159" s="939"/>
      <c r="AG159" s="780"/>
      <c r="AH159" s="941"/>
      <c r="AI159" s="942"/>
      <c r="AJ159" s="943"/>
      <c r="AK159" s="745"/>
      <c r="AL159" s="940"/>
      <c r="AM159" s="746"/>
      <c r="AN159" s="281"/>
      <c r="AO159" s="282"/>
      <c r="AP159" s="281"/>
      <c r="AQ159" s="282"/>
      <c r="AR159" s="281"/>
      <c r="AS159" s="282"/>
      <c r="AT159" s="281"/>
      <c r="AU159" s="282"/>
      <c r="AV159" s="281"/>
      <c r="AW159" s="282"/>
      <c r="AX159" s="281"/>
      <c r="AY159" s="282"/>
      <c r="AZ159" s="117"/>
      <c r="BA159" s="331"/>
      <c r="BB159" s="117"/>
      <c r="BC159" s="331"/>
      <c r="BD159" s="117"/>
      <c r="BE159" s="331"/>
      <c r="BF159" s="117"/>
      <c r="BG159" s="331"/>
      <c r="BH159" s="117"/>
      <c r="BI159" s="944" t="s">
        <v>159</v>
      </c>
      <c r="BJ159" s="944"/>
      <c r="BK159" s="944"/>
      <c r="BL159" s="944"/>
      <c r="BM159" s="944"/>
      <c r="BN159" s="944"/>
      <c r="BO159" s="944"/>
      <c r="BP159" s="944"/>
      <c r="BQ159" s="944"/>
      <c r="BR159" s="944"/>
      <c r="BS159" s="944"/>
      <c r="BT159" s="944"/>
      <c r="BU159" s="944"/>
      <c r="BV159" s="945"/>
    </row>
    <row r="160" spans="1:74" ht="30" customHeight="1" x14ac:dyDescent="0.25">
      <c r="A160" s="200">
        <f t="shared" si="2"/>
        <v>146</v>
      </c>
      <c r="B160" s="294" t="s">
        <v>162</v>
      </c>
      <c r="C160" s="295"/>
      <c r="D160" s="936"/>
      <c r="E160" s="937"/>
      <c r="F160" s="937"/>
      <c r="G160" s="937"/>
      <c r="H160" s="937"/>
      <c r="I160" s="937"/>
      <c r="J160" s="937"/>
      <c r="K160" s="938"/>
      <c r="L160" s="932"/>
      <c r="M160" s="932"/>
      <c r="N160" s="932"/>
      <c r="O160" s="932"/>
      <c r="P160" s="931"/>
      <c r="Q160" s="931"/>
      <c r="R160" s="931"/>
      <c r="S160" s="931"/>
      <c r="T160" s="933"/>
      <c r="U160" s="934"/>
      <c r="V160" s="934"/>
      <c r="W160" s="935"/>
      <c r="X160" s="936"/>
      <c r="Y160" s="937"/>
      <c r="Z160" s="937"/>
      <c r="AA160" s="938"/>
      <c r="AB160" s="594"/>
      <c r="AC160" s="595"/>
      <c r="AD160" s="596"/>
      <c r="AE160" s="779"/>
      <c r="AF160" s="939"/>
      <c r="AG160" s="780"/>
      <c r="AH160" s="941"/>
      <c r="AI160" s="942"/>
      <c r="AJ160" s="943"/>
      <c r="AK160" s="745"/>
      <c r="AL160" s="940"/>
      <c r="AM160" s="746"/>
      <c r="AN160" s="281"/>
      <c r="AO160" s="282"/>
      <c r="AP160" s="281"/>
      <c r="AQ160" s="282"/>
      <c r="AR160" s="281"/>
      <c r="AS160" s="282"/>
      <c r="AT160" s="281"/>
      <c r="AU160" s="282"/>
      <c r="AV160" s="281"/>
      <c r="AW160" s="282"/>
      <c r="AX160" s="281"/>
      <c r="AY160" s="282"/>
      <c r="AZ160" s="117"/>
      <c r="BA160" s="331"/>
      <c r="BB160" s="117"/>
      <c r="BC160" s="331"/>
      <c r="BD160" s="117"/>
      <c r="BE160" s="331"/>
      <c r="BF160" s="117"/>
      <c r="BG160" s="331"/>
      <c r="BH160" s="117"/>
      <c r="BI160" s="944" t="s">
        <v>159</v>
      </c>
      <c r="BJ160" s="944"/>
      <c r="BK160" s="944"/>
      <c r="BL160" s="944"/>
      <c r="BM160" s="944"/>
      <c r="BN160" s="944"/>
      <c r="BO160" s="944"/>
      <c r="BP160" s="944"/>
      <c r="BQ160" s="944"/>
      <c r="BR160" s="944"/>
      <c r="BS160" s="944"/>
      <c r="BT160" s="944"/>
      <c r="BU160" s="944"/>
      <c r="BV160" s="945"/>
    </row>
    <row r="161" spans="1:74" ht="30" customHeight="1" x14ac:dyDescent="0.25">
      <c r="A161" s="232">
        <f t="shared" si="2"/>
        <v>147</v>
      </c>
      <c r="B161" s="294" t="s">
        <v>162</v>
      </c>
      <c r="C161" s="295"/>
      <c r="D161" s="936"/>
      <c r="E161" s="937"/>
      <c r="F161" s="937"/>
      <c r="G161" s="937"/>
      <c r="H161" s="937"/>
      <c r="I161" s="937"/>
      <c r="J161" s="937"/>
      <c r="K161" s="938"/>
      <c r="L161" s="932"/>
      <c r="M161" s="932"/>
      <c r="N161" s="932"/>
      <c r="O161" s="932"/>
      <c r="P161" s="931"/>
      <c r="Q161" s="931"/>
      <c r="R161" s="931"/>
      <c r="S161" s="931"/>
      <c r="T161" s="933"/>
      <c r="U161" s="934"/>
      <c r="V161" s="934"/>
      <c r="W161" s="935"/>
      <c r="X161" s="936"/>
      <c r="Y161" s="937"/>
      <c r="Z161" s="937"/>
      <c r="AA161" s="938"/>
      <c r="AB161" s="594"/>
      <c r="AC161" s="595"/>
      <c r="AD161" s="596"/>
      <c r="AE161" s="779"/>
      <c r="AF161" s="939"/>
      <c r="AG161" s="780"/>
      <c r="AH161" s="941"/>
      <c r="AI161" s="942"/>
      <c r="AJ161" s="943"/>
      <c r="AK161" s="745"/>
      <c r="AL161" s="940"/>
      <c r="AM161" s="746"/>
      <c r="AN161" s="281"/>
      <c r="AO161" s="282"/>
      <c r="AP161" s="281"/>
      <c r="AQ161" s="282"/>
      <c r="AR161" s="281"/>
      <c r="AS161" s="282"/>
      <c r="AT161" s="281"/>
      <c r="AU161" s="282"/>
      <c r="AV161" s="281"/>
      <c r="AW161" s="282"/>
      <c r="AX161" s="281"/>
      <c r="AY161" s="282"/>
      <c r="AZ161" s="117"/>
      <c r="BA161" s="331"/>
      <c r="BB161" s="117"/>
      <c r="BC161" s="331"/>
      <c r="BD161" s="117"/>
      <c r="BE161" s="331"/>
      <c r="BF161" s="117"/>
      <c r="BG161" s="331"/>
      <c r="BH161" s="117"/>
      <c r="BI161" s="944" t="s">
        <v>212</v>
      </c>
      <c r="BJ161" s="944"/>
      <c r="BK161" s="944"/>
      <c r="BL161" s="944"/>
      <c r="BM161" s="944"/>
      <c r="BN161" s="944"/>
      <c r="BO161" s="944"/>
      <c r="BP161" s="944"/>
      <c r="BQ161" s="944"/>
      <c r="BR161" s="944"/>
      <c r="BS161" s="944"/>
      <c r="BT161" s="944"/>
      <c r="BU161" s="944"/>
      <c r="BV161" s="945"/>
    </row>
    <row r="162" spans="1:74" ht="30" customHeight="1" x14ac:dyDescent="0.25">
      <c r="A162" s="200">
        <f t="shared" si="2"/>
        <v>148</v>
      </c>
      <c r="B162" s="294" t="s">
        <v>162</v>
      </c>
      <c r="C162" s="295"/>
      <c r="D162" s="936"/>
      <c r="E162" s="937"/>
      <c r="F162" s="937"/>
      <c r="G162" s="937"/>
      <c r="H162" s="937"/>
      <c r="I162" s="937"/>
      <c r="J162" s="937"/>
      <c r="K162" s="938"/>
      <c r="L162" s="932"/>
      <c r="M162" s="932"/>
      <c r="N162" s="932"/>
      <c r="O162" s="932"/>
      <c r="P162" s="931"/>
      <c r="Q162" s="931"/>
      <c r="R162" s="931"/>
      <c r="S162" s="931"/>
      <c r="T162" s="933"/>
      <c r="U162" s="934"/>
      <c r="V162" s="934"/>
      <c r="W162" s="935"/>
      <c r="X162" s="936"/>
      <c r="Y162" s="937"/>
      <c r="Z162" s="937"/>
      <c r="AA162" s="938"/>
      <c r="AB162" s="594"/>
      <c r="AC162" s="595"/>
      <c r="AD162" s="596"/>
      <c r="AE162" s="779"/>
      <c r="AF162" s="939"/>
      <c r="AG162" s="780"/>
      <c r="AH162" s="941"/>
      <c r="AI162" s="942"/>
      <c r="AJ162" s="943"/>
      <c r="AK162" s="745"/>
      <c r="AL162" s="940"/>
      <c r="AM162" s="746"/>
      <c r="AN162" s="281"/>
      <c r="AO162" s="282"/>
      <c r="AP162" s="281"/>
      <c r="AQ162" s="282"/>
      <c r="AR162" s="281"/>
      <c r="AS162" s="282"/>
      <c r="AT162" s="281"/>
      <c r="AU162" s="282"/>
      <c r="AV162" s="281"/>
      <c r="AW162" s="282"/>
      <c r="AX162" s="281"/>
      <c r="AY162" s="282"/>
      <c r="AZ162" s="117"/>
      <c r="BA162" s="331"/>
      <c r="BB162" s="117"/>
      <c r="BC162" s="331"/>
      <c r="BD162" s="117"/>
      <c r="BE162" s="331"/>
      <c r="BF162" s="117"/>
      <c r="BG162" s="331"/>
      <c r="BH162" s="117"/>
      <c r="BI162" s="944" t="s">
        <v>212</v>
      </c>
      <c r="BJ162" s="944"/>
      <c r="BK162" s="944"/>
      <c r="BL162" s="944"/>
      <c r="BM162" s="944"/>
      <c r="BN162" s="944"/>
      <c r="BO162" s="944"/>
      <c r="BP162" s="944"/>
      <c r="BQ162" s="944"/>
      <c r="BR162" s="944"/>
      <c r="BS162" s="944"/>
      <c r="BT162" s="944"/>
      <c r="BU162" s="944"/>
      <c r="BV162" s="945"/>
    </row>
    <row r="163" spans="1:74" ht="30" customHeight="1" x14ac:dyDescent="0.25">
      <c r="A163" s="200">
        <f t="shared" si="2"/>
        <v>149</v>
      </c>
      <c r="B163" s="294" t="s">
        <v>162</v>
      </c>
      <c r="C163" s="295"/>
      <c r="D163" s="936"/>
      <c r="E163" s="937"/>
      <c r="F163" s="937"/>
      <c r="G163" s="937"/>
      <c r="H163" s="937"/>
      <c r="I163" s="937"/>
      <c r="J163" s="937"/>
      <c r="K163" s="938"/>
      <c r="L163" s="932"/>
      <c r="M163" s="932"/>
      <c r="N163" s="932"/>
      <c r="O163" s="932"/>
      <c r="P163" s="931"/>
      <c r="Q163" s="931"/>
      <c r="R163" s="931"/>
      <c r="S163" s="931"/>
      <c r="T163" s="933"/>
      <c r="U163" s="934"/>
      <c r="V163" s="934"/>
      <c r="W163" s="935"/>
      <c r="X163" s="936"/>
      <c r="Y163" s="937"/>
      <c r="Z163" s="937"/>
      <c r="AA163" s="938"/>
      <c r="AB163" s="594"/>
      <c r="AC163" s="595"/>
      <c r="AD163" s="596"/>
      <c r="AE163" s="779"/>
      <c r="AF163" s="939"/>
      <c r="AG163" s="780"/>
      <c r="AH163" s="941"/>
      <c r="AI163" s="942"/>
      <c r="AJ163" s="943"/>
      <c r="AK163" s="745"/>
      <c r="AL163" s="940"/>
      <c r="AM163" s="746"/>
      <c r="AN163" s="281"/>
      <c r="AO163" s="282"/>
      <c r="AP163" s="281"/>
      <c r="AQ163" s="282"/>
      <c r="AR163" s="281"/>
      <c r="AS163" s="282"/>
      <c r="AT163" s="281"/>
      <c r="AU163" s="282"/>
      <c r="AV163" s="281"/>
      <c r="AW163" s="282"/>
      <c r="AX163" s="281"/>
      <c r="AY163" s="282"/>
      <c r="AZ163" s="117"/>
      <c r="BA163" s="331"/>
      <c r="BB163" s="117"/>
      <c r="BC163" s="331"/>
      <c r="BD163" s="117"/>
      <c r="BE163" s="331"/>
      <c r="BF163" s="117"/>
      <c r="BG163" s="331"/>
      <c r="BH163" s="117"/>
      <c r="BI163" s="944" t="s">
        <v>212</v>
      </c>
      <c r="BJ163" s="944"/>
      <c r="BK163" s="944"/>
      <c r="BL163" s="944"/>
      <c r="BM163" s="944"/>
      <c r="BN163" s="944"/>
      <c r="BO163" s="944"/>
      <c r="BP163" s="944"/>
      <c r="BQ163" s="944"/>
      <c r="BR163" s="944"/>
      <c r="BS163" s="944"/>
      <c r="BT163" s="944"/>
      <c r="BU163" s="944"/>
      <c r="BV163" s="945"/>
    </row>
    <row r="164" spans="1:74" ht="30" customHeight="1" x14ac:dyDescent="0.25">
      <c r="A164" s="200">
        <f t="shared" si="2"/>
        <v>150</v>
      </c>
      <c r="B164" s="294" t="s">
        <v>162</v>
      </c>
      <c r="C164" s="295"/>
      <c r="D164" s="936"/>
      <c r="E164" s="937"/>
      <c r="F164" s="937"/>
      <c r="G164" s="937"/>
      <c r="H164" s="937"/>
      <c r="I164" s="937"/>
      <c r="J164" s="937"/>
      <c r="K164" s="938"/>
      <c r="L164" s="932"/>
      <c r="M164" s="932"/>
      <c r="N164" s="932"/>
      <c r="O164" s="932"/>
      <c r="P164" s="931"/>
      <c r="Q164" s="931"/>
      <c r="R164" s="931"/>
      <c r="S164" s="931"/>
      <c r="T164" s="933"/>
      <c r="U164" s="934"/>
      <c r="V164" s="934"/>
      <c r="W164" s="935"/>
      <c r="X164" s="936"/>
      <c r="Y164" s="937"/>
      <c r="Z164" s="937"/>
      <c r="AA164" s="938"/>
      <c r="AB164" s="594"/>
      <c r="AC164" s="595"/>
      <c r="AD164" s="596"/>
      <c r="AE164" s="779"/>
      <c r="AF164" s="939"/>
      <c r="AG164" s="780"/>
      <c r="AH164" s="941"/>
      <c r="AI164" s="942"/>
      <c r="AJ164" s="943"/>
      <c r="AK164" s="745"/>
      <c r="AL164" s="940"/>
      <c r="AM164" s="746"/>
      <c r="AN164" s="281"/>
      <c r="AO164" s="282"/>
      <c r="AP164" s="281"/>
      <c r="AQ164" s="282"/>
      <c r="AR164" s="281"/>
      <c r="AS164" s="282"/>
      <c r="AT164" s="281"/>
      <c r="AU164" s="282"/>
      <c r="AV164" s="281"/>
      <c r="AW164" s="282"/>
      <c r="AX164" s="281"/>
      <c r="AY164" s="282"/>
      <c r="AZ164" s="117"/>
      <c r="BA164" s="331"/>
      <c r="BB164" s="117"/>
      <c r="BC164" s="331"/>
      <c r="BD164" s="117"/>
      <c r="BE164" s="331"/>
      <c r="BF164" s="117"/>
      <c r="BG164" s="331"/>
      <c r="BH164" s="117"/>
      <c r="BI164" s="944" t="s">
        <v>212</v>
      </c>
      <c r="BJ164" s="944"/>
      <c r="BK164" s="944"/>
      <c r="BL164" s="944"/>
      <c r="BM164" s="944"/>
      <c r="BN164" s="944"/>
      <c r="BO164" s="944"/>
      <c r="BP164" s="944"/>
      <c r="BQ164" s="944"/>
      <c r="BR164" s="944"/>
      <c r="BS164" s="944"/>
      <c r="BT164" s="944"/>
      <c r="BU164" s="944"/>
      <c r="BV164" s="945"/>
    </row>
    <row r="165" spans="1:74" ht="30" customHeight="1" x14ac:dyDescent="0.25">
      <c r="A165" s="200">
        <f t="shared" si="2"/>
        <v>151</v>
      </c>
      <c r="B165" s="294" t="s">
        <v>162</v>
      </c>
      <c r="C165" s="295"/>
      <c r="D165" s="936"/>
      <c r="E165" s="937"/>
      <c r="F165" s="937"/>
      <c r="G165" s="937"/>
      <c r="H165" s="937"/>
      <c r="I165" s="937"/>
      <c r="J165" s="937"/>
      <c r="K165" s="938"/>
      <c r="L165" s="932"/>
      <c r="M165" s="932"/>
      <c r="N165" s="932"/>
      <c r="O165" s="932"/>
      <c r="P165" s="931"/>
      <c r="Q165" s="931"/>
      <c r="R165" s="931"/>
      <c r="S165" s="931"/>
      <c r="T165" s="933"/>
      <c r="U165" s="934"/>
      <c r="V165" s="934"/>
      <c r="W165" s="935"/>
      <c r="X165" s="936"/>
      <c r="Y165" s="937"/>
      <c r="Z165" s="937"/>
      <c r="AA165" s="938"/>
      <c r="AB165" s="594"/>
      <c r="AC165" s="595"/>
      <c r="AD165" s="596"/>
      <c r="AE165" s="779"/>
      <c r="AF165" s="939"/>
      <c r="AG165" s="780"/>
      <c r="AH165" s="941"/>
      <c r="AI165" s="942"/>
      <c r="AJ165" s="943"/>
      <c r="AK165" s="745"/>
      <c r="AL165" s="940"/>
      <c r="AM165" s="746"/>
      <c r="AN165" s="281"/>
      <c r="AO165" s="282"/>
      <c r="AP165" s="281"/>
      <c r="AQ165" s="282"/>
      <c r="AR165" s="281"/>
      <c r="AS165" s="282"/>
      <c r="AT165" s="281"/>
      <c r="AU165" s="282"/>
      <c r="AV165" s="281"/>
      <c r="AW165" s="282"/>
      <c r="AX165" s="281"/>
      <c r="AY165" s="282"/>
      <c r="AZ165" s="117"/>
      <c r="BA165" s="331"/>
      <c r="BB165" s="117"/>
      <c r="BC165" s="331"/>
      <c r="BD165" s="117"/>
      <c r="BE165" s="331"/>
      <c r="BF165" s="117"/>
      <c r="BG165" s="331"/>
      <c r="BH165" s="117"/>
      <c r="BI165" s="944" t="s">
        <v>212</v>
      </c>
      <c r="BJ165" s="944"/>
      <c r="BK165" s="944"/>
      <c r="BL165" s="944"/>
      <c r="BM165" s="944"/>
      <c r="BN165" s="944"/>
      <c r="BO165" s="944"/>
      <c r="BP165" s="944"/>
      <c r="BQ165" s="944"/>
      <c r="BR165" s="944"/>
      <c r="BS165" s="944"/>
      <c r="BT165" s="944"/>
      <c r="BU165" s="944"/>
      <c r="BV165" s="945"/>
    </row>
    <row r="166" spans="1:74" ht="30" customHeight="1" x14ac:dyDescent="0.25">
      <c r="A166" s="200">
        <f t="shared" si="2"/>
        <v>152</v>
      </c>
      <c r="B166" s="294" t="s">
        <v>162</v>
      </c>
      <c r="C166" s="295"/>
      <c r="D166" s="936"/>
      <c r="E166" s="937"/>
      <c r="F166" s="937"/>
      <c r="G166" s="937"/>
      <c r="H166" s="937"/>
      <c r="I166" s="937"/>
      <c r="J166" s="937"/>
      <c r="K166" s="938"/>
      <c r="L166" s="932"/>
      <c r="M166" s="932"/>
      <c r="N166" s="932"/>
      <c r="O166" s="932"/>
      <c r="P166" s="931"/>
      <c r="Q166" s="931"/>
      <c r="R166" s="931"/>
      <c r="S166" s="931"/>
      <c r="T166" s="933"/>
      <c r="U166" s="934"/>
      <c r="V166" s="934"/>
      <c r="W166" s="935"/>
      <c r="X166" s="936"/>
      <c r="Y166" s="937"/>
      <c r="Z166" s="937"/>
      <c r="AA166" s="938"/>
      <c r="AB166" s="594"/>
      <c r="AC166" s="595"/>
      <c r="AD166" s="596"/>
      <c r="AE166" s="779"/>
      <c r="AF166" s="939"/>
      <c r="AG166" s="780"/>
      <c r="AH166" s="941"/>
      <c r="AI166" s="942"/>
      <c r="AJ166" s="943"/>
      <c r="AK166" s="745"/>
      <c r="AL166" s="940"/>
      <c r="AM166" s="746"/>
      <c r="AN166" s="281"/>
      <c r="AO166" s="282"/>
      <c r="AP166" s="281"/>
      <c r="AQ166" s="282"/>
      <c r="AR166" s="281"/>
      <c r="AS166" s="282"/>
      <c r="AT166" s="281"/>
      <c r="AU166" s="282"/>
      <c r="AV166" s="281"/>
      <c r="AW166" s="282"/>
      <c r="AX166" s="281"/>
      <c r="AY166" s="282"/>
      <c r="AZ166" s="117"/>
      <c r="BA166" s="331"/>
      <c r="BB166" s="117"/>
      <c r="BC166" s="331"/>
      <c r="BD166" s="117"/>
      <c r="BE166" s="331"/>
      <c r="BF166" s="117"/>
      <c r="BG166" s="331"/>
      <c r="BH166" s="117"/>
      <c r="BI166" s="944" t="s">
        <v>159</v>
      </c>
      <c r="BJ166" s="944"/>
      <c r="BK166" s="944"/>
      <c r="BL166" s="944"/>
      <c r="BM166" s="944"/>
      <c r="BN166" s="944"/>
      <c r="BO166" s="944"/>
      <c r="BP166" s="944"/>
      <c r="BQ166" s="944"/>
      <c r="BR166" s="944"/>
      <c r="BS166" s="944"/>
      <c r="BT166" s="944"/>
      <c r="BU166" s="944"/>
      <c r="BV166" s="945"/>
    </row>
    <row r="167" spans="1:74" ht="30" customHeight="1" x14ac:dyDescent="0.25">
      <c r="A167" s="200">
        <f t="shared" si="2"/>
        <v>153</v>
      </c>
      <c r="B167" s="294" t="s">
        <v>162</v>
      </c>
      <c r="C167" s="295"/>
      <c r="D167" s="936"/>
      <c r="E167" s="937"/>
      <c r="F167" s="937"/>
      <c r="G167" s="937"/>
      <c r="H167" s="937"/>
      <c r="I167" s="937"/>
      <c r="J167" s="937"/>
      <c r="K167" s="938"/>
      <c r="L167" s="932"/>
      <c r="M167" s="932"/>
      <c r="N167" s="932"/>
      <c r="O167" s="932"/>
      <c r="P167" s="931"/>
      <c r="Q167" s="931"/>
      <c r="R167" s="931"/>
      <c r="S167" s="931"/>
      <c r="T167" s="933"/>
      <c r="U167" s="934"/>
      <c r="V167" s="934"/>
      <c r="W167" s="935"/>
      <c r="X167" s="936"/>
      <c r="Y167" s="937"/>
      <c r="Z167" s="937"/>
      <c r="AA167" s="938"/>
      <c r="AB167" s="594"/>
      <c r="AC167" s="595"/>
      <c r="AD167" s="596"/>
      <c r="AE167" s="779"/>
      <c r="AF167" s="939"/>
      <c r="AG167" s="780"/>
      <c r="AH167" s="941"/>
      <c r="AI167" s="942"/>
      <c r="AJ167" s="943"/>
      <c r="AK167" s="745"/>
      <c r="AL167" s="940"/>
      <c r="AM167" s="746"/>
      <c r="AN167" s="281"/>
      <c r="AO167" s="282"/>
      <c r="AP167" s="281"/>
      <c r="AQ167" s="282"/>
      <c r="AR167" s="281"/>
      <c r="AS167" s="282"/>
      <c r="AT167" s="281"/>
      <c r="AU167" s="282"/>
      <c r="AV167" s="281"/>
      <c r="AW167" s="282"/>
      <c r="AX167" s="281"/>
      <c r="AY167" s="282"/>
      <c r="AZ167" s="117"/>
      <c r="BA167" s="331"/>
      <c r="BB167" s="117"/>
      <c r="BC167" s="331"/>
      <c r="BD167" s="117"/>
      <c r="BE167" s="331"/>
      <c r="BF167" s="117"/>
      <c r="BG167" s="331"/>
      <c r="BH167" s="117"/>
      <c r="BI167" s="944" t="s">
        <v>159</v>
      </c>
      <c r="BJ167" s="944"/>
      <c r="BK167" s="944"/>
      <c r="BL167" s="944"/>
      <c r="BM167" s="944"/>
      <c r="BN167" s="944"/>
      <c r="BO167" s="944"/>
      <c r="BP167" s="944"/>
      <c r="BQ167" s="944"/>
      <c r="BR167" s="944"/>
      <c r="BS167" s="944"/>
      <c r="BT167" s="944"/>
      <c r="BU167" s="944"/>
      <c r="BV167" s="945"/>
    </row>
    <row r="168" spans="1:74" ht="30" customHeight="1" x14ac:dyDescent="0.25">
      <c r="A168" s="232">
        <f t="shared" si="2"/>
        <v>154</v>
      </c>
      <c r="B168" s="294" t="s">
        <v>162</v>
      </c>
      <c r="C168" s="295"/>
      <c r="D168" s="936"/>
      <c r="E168" s="937"/>
      <c r="F168" s="937"/>
      <c r="G168" s="937"/>
      <c r="H168" s="937"/>
      <c r="I168" s="937"/>
      <c r="J168" s="937"/>
      <c r="K168" s="938"/>
      <c r="L168" s="932"/>
      <c r="M168" s="932"/>
      <c r="N168" s="932"/>
      <c r="O168" s="932"/>
      <c r="P168" s="931"/>
      <c r="Q168" s="931"/>
      <c r="R168" s="931"/>
      <c r="S168" s="931"/>
      <c r="T168" s="933"/>
      <c r="U168" s="934"/>
      <c r="V168" s="934"/>
      <c r="W168" s="935"/>
      <c r="X168" s="936"/>
      <c r="Y168" s="937"/>
      <c r="Z168" s="937"/>
      <c r="AA168" s="938"/>
      <c r="AB168" s="594"/>
      <c r="AC168" s="595"/>
      <c r="AD168" s="596"/>
      <c r="AE168" s="779"/>
      <c r="AF168" s="939"/>
      <c r="AG168" s="780"/>
      <c r="AH168" s="941"/>
      <c r="AI168" s="942"/>
      <c r="AJ168" s="943"/>
      <c r="AK168" s="745"/>
      <c r="AL168" s="940"/>
      <c r="AM168" s="746"/>
      <c r="AN168" s="281"/>
      <c r="AO168" s="282"/>
      <c r="AP168" s="281"/>
      <c r="AQ168" s="282"/>
      <c r="AR168" s="281"/>
      <c r="AS168" s="282"/>
      <c r="AT168" s="281"/>
      <c r="AU168" s="282"/>
      <c r="AV168" s="281"/>
      <c r="AW168" s="282"/>
      <c r="AX168" s="281"/>
      <c r="AY168" s="282"/>
      <c r="AZ168" s="117"/>
      <c r="BA168" s="331"/>
      <c r="BB168" s="117"/>
      <c r="BC168" s="331"/>
      <c r="BD168" s="117"/>
      <c r="BE168" s="331"/>
      <c r="BF168" s="117"/>
      <c r="BG168" s="331"/>
      <c r="BH168" s="117"/>
      <c r="BI168" s="944" t="s">
        <v>212</v>
      </c>
      <c r="BJ168" s="944"/>
      <c r="BK168" s="944"/>
      <c r="BL168" s="944"/>
      <c r="BM168" s="944"/>
      <c r="BN168" s="944"/>
      <c r="BO168" s="944"/>
      <c r="BP168" s="944"/>
      <c r="BQ168" s="944"/>
      <c r="BR168" s="944"/>
      <c r="BS168" s="944"/>
      <c r="BT168" s="944"/>
      <c r="BU168" s="944"/>
      <c r="BV168" s="945"/>
    </row>
    <row r="169" spans="1:74" ht="30" customHeight="1" x14ac:dyDescent="0.25">
      <c r="A169" s="200">
        <f t="shared" si="2"/>
        <v>155</v>
      </c>
      <c r="B169" s="294" t="s">
        <v>162</v>
      </c>
      <c r="C169" s="295"/>
      <c r="D169" s="936"/>
      <c r="E169" s="937"/>
      <c r="F169" s="937"/>
      <c r="G169" s="937"/>
      <c r="H169" s="937"/>
      <c r="I169" s="937"/>
      <c r="J169" s="937"/>
      <c r="K169" s="938"/>
      <c r="L169" s="932"/>
      <c r="M169" s="932"/>
      <c r="N169" s="932"/>
      <c r="O169" s="932"/>
      <c r="P169" s="931"/>
      <c r="Q169" s="931"/>
      <c r="R169" s="931"/>
      <c r="S169" s="931"/>
      <c r="T169" s="933"/>
      <c r="U169" s="934"/>
      <c r="V169" s="934"/>
      <c r="W169" s="935"/>
      <c r="X169" s="936"/>
      <c r="Y169" s="937"/>
      <c r="Z169" s="937"/>
      <c r="AA169" s="938"/>
      <c r="AB169" s="594"/>
      <c r="AC169" s="595"/>
      <c r="AD169" s="596"/>
      <c r="AE169" s="779"/>
      <c r="AF169" s="939"/>
      <c r="AG169" s="780"/>
      <c r="AH169" s="941"/>
      <c r="AI169" s="942"/>
      <c r="AJ169" s="943"/>
      <c r="AK169" s="745"/>
      <c r="AL169" s="940"/>
      <c r="AM169" s="746"/>
      <c r="AN169" s="281"/>
      <c r="AO169" s="282"/>
      <c r="AP169" s="281"/>
      <c r="AQ169" s="282"/>
      <c r="AR169" s="281"/>
      <c r="AS169" s="282"/>
      <c r="AT169" s="281"/>
      <c r="AU169" s="282"/>
      <c r="AV169" s="281"/>
      <c r="AW169" s="282"/>
      <c r="AX169" s="281"/>
      <c r="AY169" s="282"/>
      <c r="AZ169" s="117"/>
      <c r="BA169" s="331"/>
      <c r="BB169" s="117"/>
      <c r="BC169" s="331"/>
      <c r="BD169" s="117"/>
      <c r="BE169" s="331"/>
      <c r="BF169" s="117"/>
      <c r="BG169" s="331"/>
      <c r="BH169" s="117"/>
      <c r="BI169" s="944" t="s">
        <v>212</v>
      </c>
      <c r="BJ169" s="944"/>
      <c r="BK169" s="944"/>
      <c r="BL169" s="944"/>
      <c r="BM169" s="944"/>
      <c r="BN169" s="944"/>
      <c r="BO169" s="944"/>
      <c r="BP169" s="944"/>
      <c r="BQ169" s="944"/>
      <c r="BR169" s="944"/>
      <c r="BS169" s="944"/>
      <c r="BT169" s="944"/>
      <c r="BU169" s="944"/>
      <c r="BV169" s="945"/>
    </row>
    <row r="170" spans="1:74" ht="30" customHeight="1" x14ac:dyDescent="0.25">
      <c r="A170" s="200">
        <f t="shared" si="2"/>
        <v>156</v>
      </c>
      <c r="B170" s="294" t="s">
        <v>162</v>
      </c>
      <c r="C170" s="295"/>
      <c r="D170" s="936"/>
      <c r="E170" s="937"/>
      <c r="F170" s="937"/>
      <c r="G170" s="937"/>
      <c r="H170" s="937"/>
      <c r="I170" s="937"/>
      <c r="J170" s="937"/>
      <c r="K170" s="938"/>
      <c r="L170" s="932"/>
      <c r="M170" s="932"/>
      <c r="N170" s="932"/>
      <c r="O170" s="932"/>
      <c r="P170" s="931"/>
      <c r="Q170" s="931"/>
      <c r="R170" s="931"/>
      <c r="S170" s="931"/>
      <c r="T170" s="933"/>
      <c r="U170" s="934"/>
      <c r="V170" s="934"/>
      <c r="W170" s="935"/>
      <c r="X170" s="936"/>
      <c r="Y170" s="937"/>
      <c r="Z170" s="937"/>
      <c r="AA170" s="938"/>
      <c r="AB170" s="594"/>
      <c r="AC170" s="595"/>
      <c r="AD170" s="596"/>
      <c r="AE170" s="779"/>
      <c r="AF170" s="939"/>
      <c r="AG170" s="780"/>
      <c r="AH170" s="941"/>
      <c r="AI170" s="942"/>
      <c r="AJ170" s="943"/>
      <c r="AK170" s="745"/>
      <c r="AL170" s="940"/>
      <c r="AM170" s="746"/>
      <c r="AN170" s="281"/>
      <c r="AO170" s="282"/>
      <c r="AP170" s="281"/>
      <c r="AQ170" s="282"/>
      <c r="AR170" s="281"/>
      <c r="AS170" s="282"/>
      <c r="AT170" s="281"/>
      <c r="AU170" s="282"/>
      <c r="AV170" s="281"/>
      <c r="AW170" s="282"/>
      <c r="AX170" s="281"/>
      <c r="AY170" s="282"/>
      <c r="AZ170" s="117"/>
      <c r="BA170" s="331"/>
      <c r="BB170" s="117"/>
      <c r="BC170" s="331"/>
      <c r="BD170" s="117"/>
      <c r="BE170" s="331"/>
      <c r="BF170" s="117"/>
      <c r="BG170" s="331"/>
      <c r="BH170" s="117"/>
      <c r="BI170" s="944" t="s">
        <v>212</v>
      </c>
      <c r="BJ170" s="944"/>
      <c r="BK170" s="944"/>
      <c r="BL170" s="944"/>
      <c r="BM170" s="944"/>
      <c r="BN170" s="944"/>
      <c r="BO170" s="944"/>
      <c r="BP170" s="944"/>
      <c r="BQ170" s="944"/>
      <c r="BR170" s="944"/>
      <c r="BS170" s="944"/>
      <c r="BT170" s="944"/>
      <c r="BU170" s="944"/>
      <c r="BV170" s="945"/>
    </row>
    <row r="171" spans="1:74" ht="30" customHeight="1" x14ac:dyDescent="0.25">
      <c r="A171" s="200">
        <f t="shared" si="2"/>
        <v>157</v>
      </c>
      <c r="B171" s="294" t="s">
        <v>162</v>
      </c>
      <c r="C171" s="295"/>
      <c r="D171" s="936"/>
      <c r="E171" s="937"/>
      <c r="F171" s="937"/>
      <c r="G171" s="937"/>
      <c r="H171" s="937"/>
      <c r="I171" s="937"/>
      <c r="J171" s="937"/>
      <c r="K171" s="938"/>
      <c r="L171" s="932"/>
      <c r="M171" s="932"/>
      <c r="N171" s="932"/>
      <c r="O171" s="932"/>
      <c r="P171" s="931"/>
      <c r="Q171" s="931"/>
      <c r="R171" s="931"/>
      <c r="S171" s="931"/>
      <c r="T171" s="933"/>
      <c r="U171" s="934"/>
      <c r="V171" s="934"/>
      <c r="W171" s="935"/>
      <c r="X171" s="936"/>
      <c r="Y171" s="937"/>
      <c r="Z171" s="937"/>
      <c r="AA171" s="938"/>
      <c r="AB171" s="594"/>
      <c r="AC171" s="595"/>
      <c r="AD171" s="596"/>
      <c r="AE171" s="779"/>
      <c r="AF171" s="939"/>
      <c r="AG171" s="780"/>
      <c r="AH171" s="941"/>
      <c r="AI171" s="942"/>
      <c r="AJ171" s="943"/>
      <c r="AK171" s="745"/>
      <c r="AL171" s="940"/>
      <c r="AM171" s="746"/>
      <c r="AN171" s="281"/>
      <c r="AO171" s="282"/>
      <c r="AP171" s="281"/>
      <c r="AQ171" s="282"/>
      <c r="AR171" s="281"/>
      <c r="AS171" s="282"/>
      <c r="AT171" s="281"/>
      <c r="AU171" s="282"/>
      <c r="AV171" s="281"/>
      <c r="AW171" s="282"/>
      <c r="AX171" s="281"/>
      <c r="AY171" s="282"/>
      <c r="AZ171" s="117"/>
      <c r="BA171" s="331"/>
      <c r="BB171" s="117"/>
      <c r="BC171" s="331"/>
      <c r="BD171" s="117"/>
      <c r="BE171" s="331"/>
      <c r="BF171" s="117"/>
      <c r="BG171" s="331"/>
      <c r="BH171" s="117"/>
      <c r="BI171" s="944" t="s">
        <v>212</v>
      </c>
      <c r="BJ171" s="944"/>
      <c r="BK171" s="944"/>
      <c r="BL171" s="944"/>
      <c r="BM171" s="944"/>
      <c r="BN171" s="944"/>
      <c r="BO171" s="944"/>
      <c r="BP171" s="944"/>
      <c r="BQ171" s="944"/>
      <c r="BR171" s="944"/>
      <c r="BS171" s="944"/>
      <c r="BT171" s="944"/>
      <c r="BU171" s="944"/>
      <c r="BV171" s="945"/>
    </row>
    <row r="172" spans="1:74" ht="30" customHeight="1" x14ac:dyDescent="0.25">
      <c r="A172" s="200">
        <f t="shared" si="2"/>
        <v>158</v>
      </c>
      <c r="B172" s="294" t="s">
        <v>162</v>
      </c>
      <c r="C172" s="295"/>
      <c r="D172" s="936"/>
      <c r="E172" s="937"/>
      <c r="F172" s="937"/>
      <c r="G172" s="937"/>
      <c r="H172" s="937"/>
      <c r="I172" s="937"/>
      <c r="J172" s="937"/>
      <c r="K172" s="938"/>
      <c r="L172" s="932"/>
      <c r="M172" s="932"/>
      <c r="N172" s="932"/>
      <c r="O172" s="932"/>
      <c r="P172" s="931"/>
      <c r="Q172" s="931"/>
      <c r="R172" s="931"/>
      <c r="S172" s="931"/>
      <c r="T172" s="933"/>
      <c r="U172" s="934"/>
      <c r="V172" s="934"/>
      <c r="W172" s="935"/>
      <c r="X172" s="936"/>
      <c r="Y172" s="937"/>
      <c r="Z172" s="937"/>
      <c r="AA172" s="938"/>
      <c r="AB172" s="594"/>
      <c r="AC172" s="595"/>
      <c r="AD172" s="596"/>
      <c r="AE172" s="779"/>
      <c r="AF172" s="939"/>
      <c r="AG172" s="780"/>
      <c r="AH172" s="941"/>
      <c r="AI172" s="942"/>
      <c r="AJ172" s="943"/>
      <c r="AK172" s="745"/>
      <c r="AL172" s="940"/>
      <c r="AM172" s="746"/>
      <c r="AN172" s="281"/>
      <c r="AO172" s="282"/>
      <c r="AP172" s="281"/>
      <c r="AQ172" s="282"/>
      <c r="AR172" s="281"/>
      <c r="AS172" s="282"/>
      <c r="AT172" s="281"/>
      <c r="AU172" s="282"/>
      <c r="AV172" s="281"/>
      <c r="AW172" s="282"/>
      <c r="AX172" s="281"/>
      <c r="AY172" s="282"/>
      <c r="AZ172" s="117"/>
      <c r="BA172" s="331"/>
      <c r="BB172" s="117"/>
      <c r="BC172" s="331"/>
      <c r="BD172" s="117"/>
      <c r="BE172" s="331"/>
      <c r="BF172" s="117"/>
      <c r="BG172" s="331"/>
      <c r="BH172" s="117"/>
      <c r="BI172" s="944" t="s">
        <v>212</v>
      </c>
      <c r="BJ172" s="944"/>
      <c r="BK172" s="944"/>
      <c r="BL172" s="944"/>
      <c r="BM172" s="944"/>
      <c r="BN172" s="944"/>
      <c r="BO172" s="944"/>
      <c r="BP172" s="944"/>
      <c r="BQ172" s="944"/>
      <c r="BR172" s="944"/>
      <c r="BS172" s="944"/>
      <c r="BT172" s="944"/>
      <c r="BU172" s="944"/>
      <c r="BV172" s="945"/>
    </row>
    <row r="173" spans="1:74" ht="30" customHeight="1" x14ac:dyDescent="0.25">
      <c r="A173" s="200">
        <f t="shared" si="2"/>
        <v>159</v>
      </c>
      <c r="B173" s="294" t="s">
        <v>162</v>
      </c>
      <c r="C173" s="295"/>
      <c r="D173" s="936"/>
      <c r="E173" s="937"/>
      <c r="F173" s="937"/>
      <c r="G173" s="937"/>
      <c r="H173" s="937"/>
      <c r="I173" s="937"/>
      <c r="J173" s="937"/>
      <c r="K173" s="938"/>
      <c r="L173" s="932"/>
      <c r="M173" s="932"/>
      <c r="N173" s="932"/>
      <c r="O173" s="932"/>
      <c r="P173" s="931"/>
      <c r="Q173" s="931"/>
      <c r="R173" s="931"/>
      <c r="S173" s="931"/>
      <c r="T173" s="933"/>
      <c r="U173" s="934"/>
      <c r="V173" s="934"/>
      <c r="W173" s="935"/>
      <c r="X173" s="936"/>
      <c r="Y173" s="937"/>
      <c r="Z173" s="937"/>
      <c r="AA173" s="938"/>
      <c r="AB173" s="594"/>
      <c r="AC173" s="595"/>
      <c r="AD173" s="596"/>
      <c r="AE173" s="779"/>
      <c r="AF173" s="939"/>
      <c r="AG173" s="780"/>
      <c r="AH173" s="941"/>
      <c r="AI173" s="942"/>
      <c r="AJ173" s="943"/>
      <c r="AK173" s="745"/>
      <c r="AL173" s="940"/>
      <c r="AM173" s="746"/>
      <c r="AN173" s="281"/>
      <c r="AO173" s="282"/>
      <c r="AP173" s="281"/>
      <c r="AQ173" s="282"/>
      <c r="AR173" s="281"/>
      <c r="AS173" s="282"/>
      <c r="AT173" s="281"/>
      <c r="AU173" s="282"/>
      <c r="AV173" s="281"/>
      <c r="AW173" s="282"/>
      <c r="AX173" s="281"/>
      <c r="AY173" s="282"/>
      <c r="AZ173" s="117"/>
      <c r="BA173" s="331"/>
      <c r="BB173" s="117"/>
      <c r="BC173" s="331"/>
      <c r="BD173" s="117"/>
      <c r="BE173" s="331"/>
      <c r="BF173" s="117"/>
      <c r="BG173" s="331"/>
      <c r="BH173" s="117"/>
      <c r="BI173" s="944" t="s">
        <v>159</v>
      </c>
      <c r="BJ173" s="944"/>
      <c r="BK173" s="944"/>
      <c r="BL173" s="944"/>
      <c r="BM173" s="944"/>
      <c r="BN173" s="944"/>
      <c r="BO173" s="944"/>
      <c r="BP173" s="944"/>
      <c r="BQ173" s="944"/>
      <c r="BR173" s="944"/>
      <c r="BS173" s="944"/>
      <c r="BT173" s="944"/>
      <c r="BU173" s="944"/>
      <c r="BV173" s="945"/>
    </row>
    <row r="174" spans="1:74" ht="30" customHeight="1" x14ac:dyDescent="0.25">
      <c r="A174" s="200">
        <f t="shared" si="2"/>
        <v>160</v>
      </c>
      <c r="B174" s="294" t="s">
        <v>162</v>
      </c>
      <c r="C174" s="295"/>
      <c r="D174" s="936"/>
      <c r="E174" s="937"/>
      <c r="F174" s="937"/>
      <c r="G174" s="937"/>
      <c r="H174" s="937"/>
      <c r="I174" s="937"/>
      <c r="J174" s="937"/>
      <c r="K174" s="938"/>
      <c r="L174" s="932"/>
      <c r="M174" s="932"/>
      <c r="N174" s="932"/>
      <c r="O174" s="932"/>
      <c r="P174" s="931"/>
      <c r="Q174" s="931"/>
      <c r="R174" s="931"/>
      <c r="S174" s="931"/>
      <c r="T174" s="933"/>
      <c r="U174" s="934"/>
      <c r="V174" s="934"/>
      <c r="W174" s="935"/>
      <c r="X174" s="936"/>
      <c r="Y174" s="937"/>
      <c r="Z174" s="937"/>
      <c r="AA174" s="938"/>
      <c r="AB174" s="594"/>
      <c r="AC174" s="595"/>
      <c r="AD174" s="596"/>
      <c r="AE174" s="779"/>
      <c r="AF174" s="939"/>
      <c r="AG174" s="780"/>
      <c r="AH174" s="941"/>
      <c r="AI174" s="942"/>
      <c r="AJ174" s="943"/>
      <c r="AK174" s="745"/>
      <c r="AL174" s="940"/>
      <c r="AM174" s="746"/>
      <c r="AN174" s="281"/>
      <c r="AO174" s="282"/>
      <c r="AP174" s="281"/>
      <c r="AQ174" s="282"/>
      <c r="AR174" s="281"/>
      <c r="AS174" s="282"/>
      <c r="AT174" s="281"/>
      <c r="AU174" s="282"/>
      <c r="AV174" s="281"/>
      <c r="AW174" s="282"/>
      <c r="AX174" s="281"/>
      <c r="AY174" s="282"/>
      <c r="AZ174" s="117"/>
      <c r="BA174" s="331"/>
      <c r="BB174" s="117"/>
      <c r="BC174" s="331"/>
      <c r="BD174" s="117"/>
      <c r="BE174" s="331"/>
      <c r="BF174" s="117"/>
      <c r="BG174" s="331"/>
      <c r="BH174" s="117"/>
      <c r="BI174" s="944" t="s">
        <v>159</v>
      </c>
      <c r="BJ174" s="944"/>
      <c r="BK174" s="944"/>
      <c r="BL174" s="944"/>
      <c r="BM174" s="944"/>
      <c r="BN174" s="944"/>
      <c r="BO174" s="944"/>
      <c r="BP174" s="944"/>
      <c r="BQ174" s="944"/>
      <c r="BR174" s="944"/>
      <c r="BS174" s="944"/>
      <c r="BT174" s="944"/>
      <c r="BU174" s="944"/>
      <c r="BV174" s="945"/>
    </row>
    <row r="175" spans="1:74" ht="30" customHeight="1" x14ac:dyDescent="0.25">
      <c r="A175" s="232">
        <f t="shared" si="2"/>
        <v>161</v>
      </c>
      <c r="B175" s="294" t="s">
        <v>162</v>
      </c>
      <c r="C175" s="295"/>
      <c r="D175" s="936"/>
      <c r="E175" s="937"/>
      <c r="F175" s="937"/>
      <c r="G175" s="937"/>
      <c r="H175" s="937"/>
      <c r="I175" s="937"/>
      <c r="J175" s="937"/>
      <c r="K175" s="938"/>
      <c r="L175" s="932"/>
      <c r="M175" s="932"/>
      <c r="N175" s="932"/>
      <c r="O175" s="932"/>
      <c r="P175" s="931"/>
      <c r="Q175" s="931"/>
      <c r="R175" s="931"/>
      <c r="S175" s="931"/>
      <c r="T175" s="933"/>
      <c r="U175" s="934"/>
      <c r="V175" s="934"/>
      <c r="W175" s="935"/>
      <c r="X175" s="936"/>
      <c r="Y175" s="937"/>
      <c r="Z175" s="937"/>
      <c r="AA175" s="938"/>
      <c r="AB175" s="594"/>
      <c r="AC175" s="595"/>
      <c r="AD175" s="596"/>
      <c r="AE175" s="779"/>
      <c r="AF175" s="939"/>
      <c r="AG175" s="780"/>
      <c r="AH175" s="941"/>
      <c r="AI175" s="942"/>
      <c r="AJ175" s="943"/>
      <c r="AK175" s="745"/>
      <c r="AL175" s="940"/>
      <c r="AM175" s="746"/>
      <c r="AN175" s="281"/>
      <c r="AO175" s="282"/>
      <c r="AP175" s="281"/>
      <c r="AQ175" s="282"/>
      <c r="AR175" s="281"/>
      <c r="AS175" s="282"/>
      <c r="AT175" s="281"/>
      <c r="AU175" s="282"/>
      <c r="AV175" s="281"/>
      <c r="AW175" s="282"/>
      <c r="AX175" s="281"/>
      <c r="AY175" s="282"/>
      <c r="AZ175" s="117"/>
      <c r="BA175" s="331"/>
      <c r="BB175" s="117"/>
      <c r="BC175" s="331"/>
      <c r="BD175" s="117"/>
      <c r="BE175" s="331"/>
      <c r="BF175" s="117"/>
      <c r="BG175" s="331"/>
      <c r="BH175" s="117"/>
      <c r="BI175" s="944" t="s">
        <v>212</v>
      </c>
      <c r="BJ175" s="944"/>
      <c r="BK175" s="944"/>
      <c r="BL175" s="944"/>
      <c r="BM175" s="944"/>
      <c r="BN175" s="944"/>
      <c r="BO175" s="944"/>
      <c r="BP175" s="944"/>
      <c r="BQ175" s="944"/>
      <c r="BR175" s="944"/>
      <c r="BS175" s="944"/>
      <c r="BT175" s="944"/>
      <c r="BU175" s="944"/>
      <c r="BV175" s="945"/>
    </row>
    <row r="176" spans="1:74" ht="30" customHeight="1" x14ac:dyDescent="0.25">
      <c r="A176" s="200">
        <f t="shared" si="2"/>
        <v>162</v>
      </c>
      <c r="B176" s="294" t="s">
        <v>162</v>
      </c>
      <c r="C176" s="295"/>
      <c r="D176" s="936"/>
      <c r="E176" s="937"/>
      <c r="F176" s="937"/>
      <c r="G176" s="937"/>
      <c r="H176" s="937"/>
      <c r="I176" s="937"/>
      <c r="J176" s="937"/>
      <c r="K176" s="938"/>
      <c r="L176" s="932"/>
      <c r="M176" s="932"/>
      <c r="N176" s="932"/>
      <c r="O176" s="932"/>
      <c r="P176" s="931"/>
      <c r="Q176" s="931"/>
      <c r="R176" s="931"/>
      <c r="S176" s="931"/>
      <c r="T176" s="933"/>
      <c r="U176" s="934"/>
      <c r="V176" s="934"/>
      <c r="W176" s="935"/>
      <c r="X176" s="936"/>
      <c r="Y176" s="937"/>
      <c r="Z176" s="937"/>
      <c r="AA176" s="938"/>
      <c r="AB176" s="594"/>
      <c r="AC176" s="595"/>
      <c r="AD176" s="596"/>
      <c r="AE176" s="779"/>
      <c r="AF176" s="939"/>
      <c r="AG176" s="780"/>
      <c r="AH176" s="941"/>
      <c r="AI176" s="942"/>
      <c r="AJ176" s="943"/>
      <c r="AK176" s="745"/>
      <c r="AL176" s="940"/>
      <c r="AM176" s="746"/>
      <c r="AN176" s="281"/>
      <c r="AO176" s="282"/>
      <c r="AP176" s="281"/>
      <c r="AQ176" s="282"/>
      <c r="AR176" s="281"/>
      <c r="AS176" s="282"/>
      <c r="AT176" s="281"/>
      <c r="AU176" s="282"/>
      <c r="AV176" s="281"/>
      <c r="AW176" s="282"/>
      <c r="AX176" s="281"/>
      <c r="AY176" s="282"/>
      <c r="AZ176" s="117"/>
      <c r="BA176" s="331"/>
      <c r="BB176" s="117"/>
      <c r="BC176" s="331"/>
      <c r="BD176" s="117"/>
      <c r="BE176" s="331"/>
      <c r="BF176" s="117"/>
      <c r="BG176" s="331"/>
      <c r="BH176" s="117"/>
      <c r="BI176" s="944" t="s">
        <v>212</v>
      </c>
      <c r="BJ176" s="944"/>
      <c r="BK176" s="944"/>
      <c r="BL176" s="944"/>
      <c r="BM176" s="944"/>
      <c r="BN176" s="944"/>
      <c r="BO176" s="944"/>
      <c r="BP176" s="944"/>
      <c r="BQ176" s="944"/>
      <c r="BR176" s="944"/>
      <c r="BS176" s="944"/>
      <c r="BT176" s="944"/>
      <c r="BU176" s="944"/>
      <c r="BV176" s="945"/>
    </row>
    <row r="177" spans="1:74" ht="30" customHeight="1" x14ac:dyDescent="0.25">
      <c r="A177" s="200">
        <f t="shared" si="2"/>
        <v>163</v>
      </c>
      <c r="B177" s="294" t="s">
        <v>162</v>
      </c>
      <c r="C177" s="295"/>
      <c r="D177" s="936"/>
      <c r="E177" s="937"/>
      <c r="F177" s="937"/>
      <c r="G177" s="937"/>
      <c r="H177" s="937"/>
      <c r="I177" s="937"/>
      <c r="J177" s="937"/>
      <c r="K177" s="938"/>
      <c r="L177" s="932"/>
      <c r="M177" s="932"/>
      <c r="N177" s="932"/>
      <c r="O177" s="932"/>
      <c r="P177" s="931"/>
      <c r="Q177" s="931"/>
      <c r="R177" s="931"/>
      <c r="S177" s="931"/>
      <c r="T177" s="933"/>
      <c r="U177" s="934"/>
      <c r="V177" s="934"/>
      <c r="W177" s="935"/>
      <c r="X177" s="936"/>
      <c r="Y177" s="937"/>
      <c r="Z177" s="937"/>
      <c r="AA177" s="938"/>
      <c r="AB177" s="594"/>
      <c r="AC177" s="595"/>
      <c r="AD177" s="596"/>
      <c r="AE177" s="779"/>
      <c r="AF177" s="939"/>
      <c r="AG177" s="780"/>
      <c r="AH177" s="941"/>
      <c r="AI177" s="942"/>
      <c r="AJ177" s="943"/>
      <c r="AK177" s="745"/>
      <c r="AL177" s="940"/>
      <c r="AM177" s="746"/>
      <c r="AN177" s="281"/>
      <c r="AO177" s="282"/>
      <c r="AP177" s="281"/>
      <c r="AQ177" s="282"/>
      <c r="AR177" s="281"/>
      <c r="AS177" s="282"/>
      <c r="AT177" s="281"/>
      <c r="AU177" s="282"/>
      <c r="AV177" s="281"/>
      <c r="AW177" s="282"/>
      <c r="AX177" s="281"/>
      <c r="AY177" s="282"/>
      <c r="AZ177" s="117"/>
      <c r="BA177" s="331"/>
      <c r="BB177" s="117"/>
      <c r="BC177" s="331"/>
      <c r="BD177" s="117"/>
      <c r="BE177" s="331"/>
      <c r="BF177" s="117"/>
      <c r="BG177" s="331"/>
      <c r="BH177" s="117"/>
      <c r="BI177" s="944" t="s">
        <v>212</v>
      </c>
      <c r="BJ177" s="944"/>
      <c r="BK177" s="944"/>
      <c r="BL177" s="944"/>
      <c r="BM177" s="944"/>
      <c r="BN177" s="944"/>
      <c r="BO177" s="944"/>
      <c r="BP177" s="944"/>
      <c r="BQ177" s="944"/>
      <c r="BR177" s="944"/>
      <c r="BS177" s="944"/>
      <c r="BT177" s="944"/>
      <c r="BU177" s="944"/>
      <c r="BV177" s="945"/>
    </row>
    <row r="178" spans="1:74" ht="30" customHeight="1" x14ac:dyDescent="0.25">
      <c r="A178" s="200">
        <f t="shared" si="2"/>
        <v>164</v>
      </c>
      <c r="B178" s="294" t="s">
        <v>162</v>
      </c>
      <c r="C178" s="295"/>
      <c r="D178" s="936"/>
      <c r="E178" s="937"/>
      <c r="F178" s="937"/>
      <c r="G178" s="937"/>
      <c r="H178" s="937"/>
      <c r="I178" s="937"/>
      <c r="J178" s="937"/>
      <c r="K178" s="938"/>
      <c r="L178" s="932"/>
      <c r="M178" s="932"/>
      <c r="N178" s="932"/>
      <c r="O178" s="932"/>
      <c r="P178" s="931"/>
      <c r="Q178" s="931"/>
      <c r="R178" s="931"/>
      <c r="S178" s="931"/>
      <c r="T178" s="933"/>
      <c r="U178" s="934"/>
      <c r="V178" s="934"/>
      <c r="W178" s="935"/>
      <c r="X178" s="936"/>
      <c r="Y178" s="937"/>
      <c r="Z178" s="937"/>
      <c r="AA178" s="938"/>
      <c r="AB178" s="594"/>
      <c r="AC178" s="595"/>
      <c r="AD178" s="596"/>
      <c r="AE178" s="779"/>
      <c r="AF178" s="939"/>
      <c r="AG178" s="780"/>
      <c r="AH178" s="941"/>
      <c r="AI178" s="942"/>
      <c r="AJ178" s="943"/>
      <c r="AK178" s="745"/>
      <c r="AL178" s="940"/>
      <c r="AM178" s="746"/>
      <c r="AN178" s="281"/>
      <c r="AO178" s="282"/>
      <c r="AP178" s="281"/>
      <c r="AQ178" s="282"/>
      <c r="AR178" s="281"/>
      <c r="AS178" s="282"/>
      <c r="AT178" s="281"/>
      <c r="AU178" s="282"/>
      <c r="AV178" s="281"/>
      <c r="AW178" s="282"/>
      <c r="AX178" s="281"/>
      <c r="AY178" s="282"/>
      <c r="AZ178" s="117"/>
      <c r="BA178" s="331"/>
      <c r="BB178" s="117"/>
      <c r="BC178" s="331"/>
      <c r="BD178" s="117"/>
      <c r="BE178" s="331"/>
      <c r="BF178" s="117"/>
      <c r="BG178" s="331"/>
      <c r="BH178" s="117"/>
      <c r="BI178" s="944" t="s">
        <v>212</v>
      </c>
      <c r="BJ178" s="944"/>
      <c r="BK178" s="944"/>
      <c r="BL178" s="944"/>
      <c r="BM178" s="944"/>
      <c r="BN178" s="944"/>
      <c r="BO178" s="944"/>
      <c r="BP178" s="944"/>
      <c r="BQ178" s="944"/>
      <c r="BR178" s="944"/>
      <c r="BS178" s="944"/>
      <c r="BT178" s="944"/>
      <c r="BU178" s="944"/>
      <c r="BV178" s="945"/>
    </row>
    <row r="179" spans="1:74" ht="30" customHeight="1" x14ac:dyDescent="0.25">
      <c r="A179" s="200">
        <f t="shared" si="2"/>
        <v>165</v>
      </c>
      <c r="B179" s="294" t="s">
        <v>162</v>
      </c>
      <c r="C179" s="295"/>
      <c r="D179" s="936"/>
      <c r="E179" s="937"/>
      <c r="F179" s="937"/>
      <c r="G179" s="937"/>
      <c r="H179" s="937"/>
      <c r="I179" s="937"/>
      <c r="J179" s="937"/>
      <c r="K179" s="938"/>
      <c r="L179" s="932"/>
      <c r="M179" s="932"/>
      <c r="N179" s="932"/>
      <c r="O179" s="932"/>
      <c r="P179" s="931"/>
      <c r="Q179" s="931"/>
      <c r="R179" s="931"/>
      <c r="S179" s="931"/>
      <c r="T179" s="933"/>
      <c r="U179" s="934"/>
      <c r="V179" s="934"/>
      <c r="W179" s="935"/>
      <c r="X179" s="936"/>
      <c r="Y179" s="937"/>
      <c r="Z179" s="937"/>
      <c r="AA179" s="938"/>
      <c r="AB179" s="594"/>
      <c r="AC179" s="595"/>
      <c r="AD179" s="596"/>
      <c r="AE179" s="779"/>
      <c r="AF179" s="939"/>
      <c r="AG179" s="780"/>
      <c r="AH179" s="941"/>
      <c r="AI179" s="942"/>
      <c r="AJ179" s="943"/>
      <c r="AK179" s="745"/>
      <c r="AL179" s="940"/>
      <c r="AM179" s="746"/>
      <c r="AN179" s="281"/>
      <c r="AO179" s="282"/>
      <c r="AP179" s="281"/>
      <c r="AQ179" s="282"/>
      <c r="AR179" s="281"/>
      <c r="AS179" s="282"/>
      <c r="AT179" s="281"/>
      <c r="AU179" s="282"/>
      <c r="AV179" s="281"/>
      <c r="AW179" s="282"/>
      <c r="AX179" s="281"/>
      <c r="AY179" s="282"/>
      <c r="AZ179" s="117"/>
      <c r="BA179" s="331"/>
      <c r="BB179" s="117"/>
      <c r="BC179" s="331"/>
      <c r="BD179" s="117"/>
      <c r="BE179" s="331"/>
      <c r="BF179" s="117"/>
      <c r="BG179" s="331"/>
      <c r="BH179" s="117"/>
      <c r="BI179" s="944" t="s">
        <v>212</v>
      </c>
      <c r="BJ179" s="944"/>
      <c r="BK179" s="944"/>
      <c r="BL179" s="944"/>
      <c r="BM179" s="944"/>
      <c r="BN179" s="944"/>
      <c r="BO179" s="944"/>
      <c r="BP179" s="944"/>
      <c r="BQ179" s="944"/>
      <c r="BR179" s="944"/>
      <c r="BS179" s="944"/>
      <c r="BT179" s="944"/>
      <c r="BU179" s="944"/>
      <c r="BV179" s="945"/>
    </row>
    <row r="180" spans="1:74" ht="30" customHeight="1" x14ac:dyDescent="0.25">
      <c r="A180" s="200">
        <f t="shared" si="2"/>
        <v>166</v>
      </c>
      <c r="B180" s="294" t="s">
        <v>162</v>
      </c>
      <c r="C180" s="295"/>
      <c r="D180" s="936"/>
      <c r="E180" s="937"/>
      <c r="F180" s="937"/>
      <c r="G180" s="937"/>
      <c r="H180" s="937"/>
      <c r="I180" s="937"/>
      <c r="J180" s="937"/>
      <c r="K180" s="938"/>
      <c r="L180" s="932"/>
      <c r="M180" s="932"/>
      <c r="N180" s="932"/>
      <c r="O180" s="932"/>
      <c r="P180" s="931"/>
      <c r="Q180" s="931"/>
      <c r="R180" s="931"/>
      <c r="S180" s="931"/>
      <c r="T180" s="933"/>
      <c r="U180" s="934"/>
      <c r="V180" s="934"/>
      <c r="W180" s="935"/>
      <c r="X180" s="936"/>
      <c r="Y180" s="937"/>
      <c r="Z180" s="937"/>
      <c r="AA180" s="938"/>
      <c r="AB180" s="594"/>
      <c r="AC180" s="595"/>
      <c r="AD180" s="596"/>
      <c r="AE180" s="779"/>
      <c r="AF180" s="939"/>
      <c r="AG180" s="780"/>
      <c r="AH180" s="941"/>
      <c r="AI180" s="942"/>
      <c r="AJ180" s="943"/>
      <c r="AK180" s="745"/>
      <c r="AL180" s="940"/>
      <c r="AM180" s="746"/>
      <c r="AN180" s="281"/>
      <c r="AO180" s="282"/>
      <c r="AP180" s="281"/>
      <c r="AQ180" s="282"/>
      <c r="AR180" s="281"/>
      <c r="AS180" s="282"/>
      <c r="AT180" s="281"/>
      <c r="AU180" s="282"/>
      <c r="AV180" s="281"/>
      <c r="AW180" s="282"/>
      <c r="AX180" s="281"/>
      <c r="AY180" s="282"/>
      <c r="AZ180" s="117"/>
      <c r="BA180" s="331"/>
      <c r="BB180" s="117"/>
      <c r="BC180" s="331"/>
      <c r="BD180" s="117"/>
      <c r="BE180" s="331"/>
      <c r="BF180" s="117"/>
      <c r="BG180" s="331"/>
      <c r="BH180" s="117"/>
      <c r="BI180" s="944" t="s">
        <v>159</v>
      </c>
      <c r="BJ180" s="944"/>
      <c r="BK180" s="944"/>
      <c r="BL180" s="944"/>
      <c r="BM180" s="944"/>
      <c r="BN180" s="944"/>
      <c r="BO180" s="944"/>
      <c r="BP180" s="944"/>
      <c r="BQ180" s="944"/>
      <c r="BR180" s="944"/>
      <c r="BS180" s="944"/>
      <c r="BT180" s="944"/>
      <c r="BU180" s="944"/>
      <c r="BV180" s="945"/>
    </row>
    <row r="181" spans="1:74" ht="30" customHeight="1" x14ac:dyDescent="0.25">
      <c r="A181" s="200">
        <f t="shared" si="2"/>
        <v>167</v>
      </c>
      <c r="B181" s="294" t="s">
        <v>162</v>
      </c>
      <c r="C181" s="295"/>
      <c r="D181" s="936"/>
      <c r="E181" s="937"/>
      <c r="F181" s="937"/>
      <c r="G181" s="937"/>
      <c r="H181" s="937"/>
      <c r="I181" s="937"/>
      <c r="J181" s="937"/>
      <c r="K181" s="938"/>
      <c r="L181" s="932"/>
      <c r="M181" s="932"/>
      <c r="N181" s="932"/>
      <c r="O181" s="932"/>
      <c r="P181" s="931"/>
      <c r="Q181" s="931"/>
      <c r="R181" s="931"/>
      <c r="S181" s="931"/>
      <c r="T181" s="933"/>
      <c r="U181" s="934"/>
      <c r="V181" s="934"/>
      <c r="W181" s="935"/>
      <c r="X181" s="936"/>
      <c r="Y181" s="937"/>
      <c r="Z181" s="937"/>
      <c r="AA181" s="938"/>
      <c r="AB181" s="594"/>
      <c r="AC181" s="595"/>
      <c r="AD181" s="596"/>
      <c r="AE181" s="779"/>
      <c r="AF181" s="939"/>
      <c r="AG181" s="780"/>
      <c r="AH181" s="941"/>
      <c r="AI181" s="942"/>
      <c r="AJ181" s="943"/>
      <c r="AK181" s="745"/>
      <c r="AL181" s="940"/>
      <c r="AM181" s="746"/>
      <c r="AN181" s="281"/>
      <c r="AO181" s="282"/>
      <c r="AP181" s="281"/>
      <c r="AQ181" s="282"/>
      <c r="AR181" s="281"/>
      <c r="AS181" s="282"/>
      <c r="AT181" s="281"/>
      <c r="AU181" s="282"/>
      <c r="AV181" s="281"/>
      <c r="AW181" s="282"/>
      <c r="AX181" s="281"/>
      <c r="AY181" s="282"/>
      <c r="AZ181" s="117"/>
      <c r="BA181" s="331"/>
      <c r="BB181" s="117"/>
      <c r="BC181" s="331"/>
      <c r="BD181" s="117"/>
      <c r="BE181" s="331"/>
      <c r="BF181" s="117"/>
      <c r="BG181" s="331"/>
      <c r="BH181" s="117"/>
      <c r="BI181" s="944" t="s">
        <v>159</v>
      </c>
      <c r="BJ181" s="944"/>
      <c r="BK181" s="944"/>
      <c r="BL181" s="944"/>
      <c r="BM181" s="944"/>
      <c r="BN181" s="944"/>
      <c r="BO181" s="944"/>
      <c r="BP181" s="944"/>
      <c r="BQ181" s="944"/>
      <c r="BR181" s="944"/>
      <c r="BS181" s="944"/>
      <c r="BT181" s="944"/>
      <c r="BU181" s="944"/>
      <c r="BV181" s="945"/>
    </row>
    <row r="182" spans="1:74" ht="30" customHeight="1" x14ac:dyDescent="0.25">
      <c r="A182" s="232">
        <f t="shared" si="2"/>
        <v>168</v>
      </c>
      <c r="B182" s="294" t="s">
        <v>162</v>
      </c>
      <c r="C182" s="295"/>
      <c r="D182" s="936"/>
      <c r="E182" s="937"/>
      <c r="F182" s="937"/>
      <c r="G182" s="937"/>
      <c r="H182" s="937"/>
      <c r="I182" s="937"/>
      <c r="J182" s="937"/>
      <c r="K182" s="938"/>
      <c r="L182" s="932"/>
      <c r="M182" s="932"/>
      <c r="N182" s="932"/>
      <c r="O182" s="932"/>
      <c r="P182" s="931"/>
      <c r="Q182" s="931"/>
      <c r="R182" s="931"/>
      <c r="S182" s="931"/>
      <c r="T182" s="933"/>
      <c r="U182" s="934"/>
      <c r="V182" s="934"/>
      <c r="W182" s="935"/>
      <c r="X182" s="936"/>
      <c r="Y182" s="937"/>
      <c r="Z182" s="937"/>
      <c r="AA182" s="938"/>
      <c r="AB182" s="594"/>
      <c r="AC182" s="595"/>
      <c r="AD182" s="596"/>
      <c r="AE182" s="779"/>
      <c r="AF182" s="939"/>
      <c r="AG182" s="780"/>
      <c r="AH182" s="941"/>
      <c r="AI182" s="942"/>
      <c r="AJ182" s="943"/>
      <c r="AK182" s="745"/>
      <c r="AL182" s="940"/>
      <c r="AM182" s="746"/>
      <c r="AN182" s="281"/>
      <c r="AO182" s="282"/>
      <c r="AP182" s="281"/>
      <c r="AQ182" s="282"/>
      <c r="AR182" s="281"/>
      <c r="AS182" s="282"/>
      <c r="AT182" s="281"/>
      <c r="AU182" s="282"/>
      <c r="AV182" s="281"/>
      <c r="AW182" s="282"/>
      <c r="AX182" s="281"/>
      <c r="AY182" s="282"/>
      <c r="AZ182" s="117"/>
      <c r="BA182" s="331"/>
      <c r="BB182" s="117"/>
      <c r="BC182" s="331"/>
      <c r="BD182" s="117"/>
      <c r="BE182" s="331"/>
      <c r="BF182" s="117"/>
      <c r="BG182" s="331"/>
      <c r="BH182" s="117"/>
      <c r="BI182" s="944" t="s">
        <v>212</v>
      </c>
      <c r="BJ182" s="944"/>
      <c r="BK182" s="944"/>
      <c r="BL182" s="944"/>
      <c r="BM182" s="944"/>
      <c r="BN182" s="944"/>
      <c r="BO182" s="944"/>
      <c r="BP182" s="944"/>
      <c r="BQ182" s="944"/>
      <c r="BR182" s="944"/>
      <c r="BS182" s="944"/>
      <c r="BT182" s="944"/>
      <c r="BU182" s="944"/>
      <c r="BV182" s="945"/>
    </row>
    <row r="183" spans="1:74" ht="30" customHeight="1" x14ac:dyDescent="0.25">
      <c r="A183" s="200">
        <f t="shared" si="2"/>
        <v>169</v>
      </c>
      <c r="B183" s="294" t="s">
        <v>162</v>
      </c>
      <c r="C183" s="295"/>
      <c r="D183" s="936"/>
      <c r="E183" s="937"/>
      <c r="F183" s="937"/>
      <c r="G183" s="937"/>
      <c r="H183" s="937"/>
      <c r="I183" s="937"/>
      <c r="J183" s="937"/>
      <c r="K183" s="938"/>
      <c r="L183" s="932"/>
      <c r="M183" s="932"/>
      <c r="N183" s="932"/>
      <c r="O183" s="932"/>
      <c r="P183" s="931"/>
      <c r="Q183" s="931"/>
      <c r="R183" s="931"/>
      <c r="S183" s="931"/>
      <c r="T183" s="933"/>
      <c r="U183" s="934"/>
      <c r="V183" s="934"/>
      <c r="W183" s="935"/>
      <c r="X183" s="936"/>
      <c r="Y183" s="937"/>
      <c r="Z183" s="937"/>
      <c r="AA183" s="938"/>
      <c r="AB183" s="594"/>
      <c r="AC183" s="595"/>
      <c r="AD183" s="596"/>
      <c r="AE183" s="779"/>
      <c r="AF183" s="939"/>
      <c r="AG183" s="780"/>
      <c r="AH183" s="941"/>
      <c r="AI183" s="942"/>
      <c r="AJ183" s="943"/>
      <c r="AK183" s="745"/>
      <c r="AL183" s="940"/>
      <c r="AM183" s="746"/>
      <c r="AN183" s="281"/>
      <c r="AO183" s="282"/>
      <c r="AP183" s="281"/>
      <c r="AQ183" s="282"/>
      <c r="AR183" s="281"/>
      <c r="AS183" s="282"/>
      <c r="AT183" s="281"/>
      <c r="AU183" s="282"/>
      <c r="AV183" s="281"/>
      <c r="AW183" s="282"/>
      <c r="AX183" s="281"/>
      <c r="AY183" s="282"/>
      <c r="AZ183" s="117"/>
      <c r="BA183" s="331"/>
      <c r="BB183" s="117"/>
      <c r="BC183" s="331"/>
      <c r="BD183" s="117"/>
      <c r="BE183" s="331"/>
      <c r="BF183" s="117"/>
      <c r="BG183" s="331"/>
      <c r="BH183" s="117"/>
      <c r="BI183" s="944" t="s">
        <v>212</v>
      </c>
      <c r="BJ183" s="944"/>
      <c r="BK183" s="944"/>
      <c r="BL183" s="944"/>
      <c r="BM183" s="944"/>
      <c r="BN183" s="944"/>
      <c r="BO183" s="944"/>
      <c r="BP183" s="944"/>
      <c r="BQ183" s="944"/>
      <c r="BR183" s="944"/>
      <c r="BS183" s="944"/>
      <c r="BT183" s="944"/>
      <c r="BU183" s="944"/>
      <c r="BV183" s="945"/>
    </row>
    <row r="184" spans="1:74" ht="30" customHeight="1" x14ac:dyDescent="0.25">
      <c r="A184" s="200">
        <f t="shared" si="2"/>
        <v>170</v>
      </c>
      <c r="B184" s="294" t="s">
        <v>162</v>
      </c>
      <c r="C184" s="295"/>
      <c r="D184" s="936"/>
      <c r="E184" s="937"/>
      <c r="F184" s="937"/>
      <c r="G184" s="937"/>
      <c r="H184" s="937"/>
      <c r="I184" s="937"/>
      <c r="J184" s="937"/>
      <c r="K184" s="938"/>
      <c r="L184" s="932"/>
      <c r="M184" s="932"/>
      <c r="N184" s="932"/>
      <c r="O184" s="932"/>
      <c r="P184" s="931"/>
      <c r="Q184" s="931"/>
      <c r="R184" s="931"/>
      <c r="S184" s="931"/>
      <c r="T184" s="933"/>
      <c r="U184" s="934"/>
      <c r="V184" s="934"/>
      <c r="W184" s="935"/>
      <c r="X184" s="936"/>
      <c r="Y184" s="937"/>
      <c r="Z184" s="937"/>
      <c r="AA184" s="938"/>
      <c r="AB184" s="594"/>
      <c r="AC184" s="595"/>
      <c r="AD184" s="596"/>
      <c r="AE184" s="779"/>
      <c r="AF184" s="939"/>
      <c r="AG184" s="780"/>
      <c r="AH184" s="941"/>
      <c r="AI184" s="942"/>
      <c r="AJ184" s="943"/>
      <c r="AK184" s="745"/>
      <c r="AL184" s="940"/>
      <c r="AM184" s="746"/>
      <c r="AN184" s="281"/>
      <c r="AO184" s="282"/>
      <c r="AP184" s="281"/>
      <c r="AQ184" s="282"/>
      <c r="AR184" s="281"/>
      <c r="AS184" s="282"/>
      <c r="AT184" s="281"/>
      <c r="AU184" s="282"/>
      <c r="AV184" s="281"/>
      <c r="AW184" s="282"/>
      <c r="AX184" s="281"/>
      <c r="AY184" s="282"/>
      <c r="AZ184" s="117"/>
      <c r="BA184" s="331"/>
      <c r="BB184" s="117"/>
      <c r="BC184" s="331"/>
      <c r="BD184" s="117"/>
      <c r="BE184" s="331"/>
      <c r="BF184" s="117"/>
      <c r="BG184" s="331"/>
      <c r="BH184" s="117"/>
      <c r="BI184" s="944" t="s">
        <v>212</v>
      </c>
      <c r="BJ184" s="944"/>
      <c r="BK184" s="944"/>
      <c r="BL184" s="944"/>
      <c r="BM184" s="944"/>
      <c r="BN184" s="944"/>
      <c r="BO184" s="944"/>
      <c r="BP184" s="944"/>
      <c r="BQ184" s="944"/>
      <c r="BR184" s="944"/>
      <c r="BS184" s="944"/>
      <c r="BT184" s="944"/>
      <c r="BU184" s="944"/>
      <c r="BV184" s="945"/>
    </row>
    <row r="185" spans="1:74" ht="30" customHeight="1" x14ac:dyDescent="0.25">
      <c r="A185" s="200">
        <f t="shared" si="2"/>
        <v>171</v>
      </c>
      <c r="B185" s="294" t="s">
        <v>162</v>
      </c>
      <c r="C185" s="295"/>
      <c r="D185" s="936"/>
      <c r="E185" s="937"/>
      <c r="F185" s="937"/>
      <c r="G185" s="937"/>
      <c r="H185" s="937"/>
      <c r="I185" s="937"/>
      <c r="J185" s="937"/>
      <c r="K185" s="938"/>
      <c r="L185" s="932"/>
      <c r="M185" s="932"/>
      <c r="N185" s="932"/>
      <c r="O185" s="932"/>
      <c r="P185" s="931"/>
      <c r="Q185" s="931"/>
      <c r="R185" s="931"/>
      <c r="S185" s="931"/>
      <c r="T185" s="933"/>
      <c r="U185" s="934"/>
      <c r="V185" s="934"/>
      <c r="W185" s="935"/>
      <c r="X185" s="936"/>
      <c r="Y185" s="937"/>
      <c r="Z185" s="937"/>
      <c r="AA185" s="938"/>
      <c r="AB185" s="594"/>
      <c r="AC185" s="595"/>
      <c r="AD185" s="596"/>
      <c r="AE185" s="779"/>
      <c r="AF185" s="939"/>
      <c r="AG185" s="780"/>
      <c r="AH185" s="941"/>
      <c r="AI185" s="942"/>
      <c r="AJ185" s="943"/>
      <c r="AK185" s="745"/>
      <c r="AL185" s="940"/>
      <c r="AM185" s="746"/>
      <c r="AN185" s="281"/>
      <c r="AO185" s="282"/>
      <c r="AP185" s="281"/>
      <c r="AQ185" s="282"/>
      <c r="AR185" s="281"/>
      <c r="AS185" s="282"/>
      <c r="AT185" s="281"/>
      <c r="AU185" s="282"/>
      <c r="AV185" s="281"/>
      <c r="AW185" s="282"/>
      <c r="AX185" s="281"/>
      <c r="AY185" s="282"/>
      <c r="AZ185" s="117"/>
      <c r="BA185" s="331"/>
      <c r="BB185" s="117"/>
      <c r="BC185" s="331"/>
      <c r="BD185" s="117"/>
      <c r="BE185" s="331"/>
      <c r="BF185" s="117"/>
      <c r="BG185" s="331"/>
      <c r="BH185" s="117"/>
      <c r="BI185" s="944" t="s">
        <v>212</v>
      </c>
      <c r="BJ185" s="944"/>
      <c r="BK185" s="944"/>
      <c r="BL185" s="944"/>
      <c r="BM185" s="944"/>
      <c r="BN185" s="944"/>
      <c r="BO185" s="944"/>
      <c r="BP185" s="944"/>
      <c r="BQ185" s="944"/>
      <c r="BR185" s="944"/>
      <c r="BS185" s="944"/>
      <c r="BT185" s="944"/>
      <c r="BU185" s="944"/>
      <c r="BV185" s="945"/>
    </row>
    <row r="186" spans="1:74" ht="30" customHeight="1" x14ac:dyDescent="0.25">
      <c r="A186" s="200">
        <f t="shared" si="2"/>
        <v>172</v>
      </c>
      <c r="B186" s="294" t="s">
        <v>162</v>
      </c>
      <c r="C186" s="295"/>
      <c r="D186" s="936"/>
      <c r="E186" s="937"/>
      <c r="F186" s="937"/>
      <c r="G186" s="937"/>
      <c r="H186" s="937"/>
      <c r="I186" s="937"/>
      <c r="J186" s="937"/>
      <c r="K186" s="938"/>
      <c r="L186" s="932"/>
      <c r="M186" s="932"/>
      <c r="N186" s="932"/>
      <c r="O186" s="932"/>
      <c r="P186" s="931"/>
      <c r="Q186" s="931"/>
      <c r="R186" s="931"/>
      <c r="S186" s="931"/>
      <c r="T186" s="933"/>
      <c r="U186" s="934"/>
      <c r="V186" s="934"/>
      <c r="W186" s="935"/>
      <c r="X186" s="936"/>
      <c r="Y186" s="937"/>
      <c r="Z186" s="937"/>
      <c r="AA186" s="938"/>
      <c r="AB186" s="594"/>
      <c r="AC186" s="595"/>
      <c r="AD186" s="596"/>
      <c r="AE186" s="779"/>
      <c r="AF186" s="939"/>
      <c r="AG186" s="780"/>
      <c r="AH186" s="941"/>
      <c r="AI186" s="942"/>
      <c r="AJ186" s="943"/>
      <c r="AK186" s="745"/>
      <c r="AL186" s="940"/>
      <c r="AM186" s="746"/>
      <c r="AN186" s="281"/>
      <c r="AO186" s="282"/>
      <c r="AP186" s="281"/>
      <c r="AQ186" s="282"/>
      <c r="AR186" s="281"/>
      <c r="AS186" s="282"/>
      <c r="AT186" s="281"/>
      <c r="AU186" s="282"/>
      <c r="AV186" s="281"/>
      <c r="AW186" s="282"/>
      <c r="AX186" s="281"/>
      <c r="AY186" s="282"/>
      <c r="AZ186" s="117"/>
      <c r="BA186" s="331"/>
      <c r="BB186" s="117"/>
      <c r="BC186" s="331"/>
      <c r="BD186" s="117"/>
      <c r="BE186" s="331"/>
      <c r="BF186" s="117"/>
      <c r="BG186" s="331"/>
      <c r="BH186" s="117"/>
      <c r="BI186" s="944" t="s">
        <v>212</v>
      </c>
      <c r="BJ186" s="944"/>
      <c r="BK186" s="944"/>
      <c r="BL186" s="944"/>
      <c r="BM186" s="944"/>
      <c r="BN186" s="944"/>
      <c r="BO186" s="944"/>
      <c r="BP186" s="944"/>
      <c r="BQ186" s="944"/>
      <c r="BR186" s="944"/>
      <c r="BS186" s="944"/>
      <c r="BT186" s="944"/>
      <c r="BU186" s="944"/>
      <c r="BV186" s="945"/>
    </row>
    <row r="187" spans="1:74" ht="30" customHeight="1" x14ac:dyDescent="0.25">
      <c r="A187" s="200">
        <f t="shared" si="2"/>
        <v>173</v>
      </c>
      <c r="B187" s="294" t="s">
        <v>162</v>
      </c>
      <c r="C187" s="295"/>
      <c r="D187" s="936"/>
      <c r="E187" s="937"/>
      <c r="F187" s="937"/>
      <c r="G187" s="937"/>
      <c r="H187" s="937"/>
      <c r="I187" s="937"/>
      <c r="J187" s="937"/>
      <c r="K187" s="938"/>
      <c r="L187" s="932"/>
      <c r="M187" s="932"/>
      <c r="N187" s="932"/>
      <c r="O187" s="932"/>
      <c r="P187" s="931"/>
      <c r="Q187" s="931"/>
      <c r="R187" s="931"/>
      <c r="S187" s="931"/>
      <c r="T187" s="933"/>
      <c r="U187" s="934"/>
      <c r="V187" s="934"/>
      <c r="W187" s="935"/>
      <c r="X187" s="936"/>
      <c r="Y187" s="937"/>
      <c r="Z187" s="937"/>
      <c r="AA187" s="938"/>
      <c r="AB187" s="594"/>
      <c r="AC187" s="595"/>
      <c r="AD187" s="596"/>
      <c r="AE187" s="779"/>
      <c r="AF187" s="939"/>
      <c r="AG187" s="780"/>
      <c r="AH187" s="941"/>
      <c r="AI187" s="942"/>
      <c r="AJ187" s="943"/>
      <c r="AK187" s="745"/>
      <c r="AL187" s="940"/>
      <c r="AM187" s="746"/>
      <c r="AN187" s="281"/>
      <c r="AO187" s="282"/>
      <c r="AP187" s="281"/>
      <c r="AQ187" s="282"/>
      <c r="AR187" s="281"/>
      <c r="AS187" s="282"/>
      <c r="AT187" s="281"/>
      <c r="AU187" s="282"/>
      <c r="AV187" s="281"/>
      <c r="AW187" s="282"/>
      <c r="AX187" s="281"/>
      <c r="AY187" s="282"/>
      <c r="AZ187" s="117"/>
      <c r="BA187" s="331"/>
      <c r="BB187" s="117"/>
      <c r="BC187" s="331"/>
      <c r="BD187" s="117"/>
      <c r="BE187" s="331"/>
      <c r="BF187" s="117"/>
      <c r="BG187" s="331"/>
      <c r="BH187" s="117"/>
      <c r="BI187" s="944" t="s">
        <v>159</v>
      </c>
      <c r="BJ187" s="944"/>
      <c r="BK187" s="944"/>
      <c r="BL187" s="944"/>
      <c r="BM187" s="944"/>
      <c r="BN187" s="944"/>
      <c r="BO187" s="944"/>
      <c r="BP187" s="944"/>
      <c r="BQ187" s="944"/>
      <c r="BR187" s="944"/>
      <c r="BS187" s="944"/>
      <c r="BT187" s="944"/>
      <c r="BU187" s="944"/>
      <c r="BV187" s="945"/>
    </row>
    <row r="188" spans="1:74" ht="30" customHeight="1" x14ac:dyDescent="0.25">
      <c r="A188" s="200">
        <f t="shared" si="2"/>
        <v>174</v>
      </c>
      <c r="B188" s="294" t="s">
        <v>162</v>
      </c>
      <c r="C188" s="295"/>
      <c r="D188" s="936"/>
      <c r="E188" s="937"/>
      <c r="F188" s="937"/>
      <c r="G188" s="937"/>
      <c r="H188" s="937"/>
      <c r="I188" s="937"/>
      <c r="J188" s="937"/>
      <c r="K188" s="938"/>
      <c r="L188" s="932"/>
      <c r="M188" s="932"/>
      <c r="N188" s="932"/>
      <c r="O188" s="932"/>
      <c r="P188" s="931"/>
      <c r="Q188" s="931"/>
      <c r="R188" s="931"/>
      <c r="S188" s="931"/>
      <c r="T188" s="933"/>
      <c r="U188" s="934"/>
      <c r="V188" s="934"/>
      <c r="W188" s="935"/>
      <c r="X188" s="936"/>
      <c r="Y188" s="937"/>
      <c r="Z188" s="937"/>
      <c r="AA188" s="938"/>
      <c r="AB188" s="594"/>
      <c r="AC188" s="595"/>
      <c r="AD188" s="596"/>
      <c r="AE188" s="779"/>
      <c r="AF188" s="939"/>
      <c r="AG188" s="780"/>
      <c r="AH188" s="941"/>
      <c r="AI188" s="942"/>
      <c r="AJ188" s="943"/>
      <c r="AK188" s="745"/>
      <c r="AL188" s="940"/>
      <c r="AM188" s="746"/>
      <c r="AN188" s="281"/>
      <c r="AO188" s="282"/>
      <c r="AP188" s="281"/>
      <c r="AQ188" s="282"/>
      <c r="AR188" s="281"/>
      <c r="AS188" s="282"/>
      <c r="AT188" s="281"/>
      <c r="AU188" s="282"/>
      <c r="AV188" s="281"/>
      <c r="AW188" s="282"/>
      <c r="AX188" s="281"/>
      <c r="AY188" s="282"/>
      <c r="AZ188" s="117"/>
      <c r="BA188" s="331"/>
      <c r="BB188" s="117"/>
      <c r="BC188" s="331"/>
      <c r="BD188" s="117"/>
      <c r="BE188" s="331"/>
      <c r="BF188" s="117"/>
      <c r="BG188" s="331"/>
      <c r="BH188" s="117"/>
      <c r="BI188" s="944" t="s">
        <v>159</v>
      </c>
      <c r="BJ188" s="944"/>
      <c r="BK188" s="944"/>
      <c r="BL188" s="944"/>
      <c r="BM188" s="944"/>
      <c r="BN188" s="944"/>
      <c r="BO188" s="944"/>
      <c r="BP188" s="944"/>
      <c r="BQ188" s="944"/>
      <c r="BR188" s="944"/>
      <c r="BS188" s="944"/>
      <c r="BT188" s="944"/>
      <c r="BU188" s="944"/>
      <c r="BV188" s="945"/>
    </row>
    <row r="189" spans="1:74" ht="30" customHeight="1" x14ac:dyDescent="0.25">
      <c r="A189" s="232">
        <f t="shared" si="2"/>
        <v>175</v>
      </c>
      <c r="B189" s="294" t="s">
        <v>162</v>
      </c>
      <c r="C189" s="295"/>
      <c r="D189" s="936"/>
      <c r="E189" s="937"/>
      <c r="F189" s="937"/>
      <c r="G189" s="937"/>
      <c r="H189" s="937"/>
      <c r="I189" s="937"/>
      <c r="J189" s="937"/>
      <c r="K189" s="938"/>
      <c r="L189" s="932"/>
      <c r="M189" s="932"/>
      <c r="N189" s="932"/>
      <c r="O189" s="932"/>
      <c r="P189" s="931"/>
      <c r="Q189" s="931"/>
      <c r="R189" s="931"/>
      <c r="S189" s="931"/>
      <c r="T189" s="933"/>
      <c r="U189" s="934"/>
      <c r="V189" s="934"/>
      <c r="W189" s="935"/>
      <c r="X189" s="936"/>
      <c r="Y189" s="937"/>
      <c r="Z189" s="937"/>
      <c r="AA189" s="938"/>
      <c r="AB189" s="594"/>
      <c r="AC189" s="595"/>
      <c r="AD189" s="596"/>
      <c r="AE189" s="779"/>
      <c r="AF189" s="939"/>
      <c r="AG189" s="780"/>
      <c r="AH189" s="941"/>
      <c r="AI189" s="942"/>
      <c r="AJ189" s="943"/>
      <c r="AK189" s="745"/>
      <c r="AL189" s="940"/>
      <c r="AM189" s="746"/>
      <c r="AN189" s="281"/>
      <c r="AO189" s="282"/>
      <c r="AP189" s="281"/>
      <c r="AQ189" s="282"/>
      <c r="AR189" s="281"/>
      <c r="AS189" s="282"/>
      <c r="AT189" s="281"/>
      <c r="AU189" s="282"/>
      <c r="AV189" s="281"/>
      <c r="AW189" s="282"/>
      <c r="AX189" s="281"/>
      <c r="AY189" s="282"/>
      <c r="AZ189" s="117"/>
      <c r="BA189" s="331"/>
      <c r="BB189" s="117"/>
      <c r="BC189" s="331"/>
      <c r="BD189" s="117"/>
      <c r="BE189" s="331"/>
      <c r="BF189" s="117"/>
      <c r="BG189" s="331"/>
      <c r="BH189" s="117"/>
      <c r="BI189" s="944" t="s">
        <v>212</v>
      </c>
      <c r="BJ189" s="944"/>
      <c r="BK189" s="944"/>
      <c r="BL189" s="944"/>
      <c r="BM189" s="944"/>
      <c r="BN189" s="944"/>
      <c r="BO189" s="944"/>
      <c r="BP189" s="944"/>
      <c r="BQ189" s="944"/>
      <c r="BR189" s="944"/>
      <c r="BS189" s="944"/>
      <c r="BT189" s="944"/>
      <c r="BU189" s="944"/>
      <c r="BV189" s="945"/>
    </row>
    <row r="190" spans="1:74" ht="30" customHeight="1" x14ac:dyDescent="0.25">
      <c r="A190" s="200">
        <f t="shared" si="2"/>
        <v>176</v>
      </c>
      <c r="B190" s="294" t="s">
        <v>162</v>
      </c>
      <c r="C190" s="295"/>
      <c r="D190" s="936"/>
      <c r="E190" s="937"/>
      <c r="F190" s="937"/>
      <c r="G190" s="937"/>
      <c r="H190" s="937"/>
      <c r="I190" s="937"/>
      <c r="J190" s="937"/>
      <c r="K190" s="938"/>
      <c r="L190" s="932"/>
      <c r="M190" s="932"/>
      <c r="N190" s="932"/>
      <c r="O190" s="932"/>
      <c r="P190" s="931"/>
      <c r="Q190" s="931"/>
      <c r="R190" s="931"/>
      <c r="S190" s="931"/>
      <c r="T190" s="933"/>
      <c r="U190" s="934"/>
      <c r="V190" s="934"/>
      <c r="W190" s="935"/>
      <c r="X190" s="936"/>
      <c r="Y190" s="937"/>
      <c r="Z190" s="937"/>
      <c r="AA190" s="938"/>
      <c r="AB190" s="594"/>
      <c r="AC190" s="595"/>
      <c r="AD190" s="596"/>
      <c r="AE190" s="779"/>
      <c r="AF190" s="939"/>
      <c r="AG190" s="780"/>
      <c r="AH190" s="941"/>
      <c r="AI190" s="942"/>
      <c r="AJ190" s="943"/>
      <c r="AK190" s="745"/>
      <c r="AL190" s="940"/>
      <c r="AM190" s="746"/>
      <c r="AN190" s="281"/>
      <c r="AO190" s="282"/>
      <c r="AP190" s="281"/>
      <c r="AQ190" s="282"/>
      <c r="AR190" s="281"/>
      <c r="AS190" s="282"/>
      <c r="AT190" s="281"/>
      <c r="AU190" s="282"/>
      <c r="AV190" s="281"/>
      <c r="AW190" s="282"/>
      <c r="AX190" s="281"/>
      <c r="AY190" s="282"/>
      <c r="AZ190" s="117"/>
      <c r="BA190" s="331"/>
      <c r="BB190" s="117"/>
      <c r="BC190" s="331"/>
      <c r="BD190" s="117"/>
      <c r="BE190" s="331"/>
      <c r="BF190" s="117"/>
      <c r="BG190" s="331"/>
      <c r="BH190" s="117"/>
      <c r="BI190" s="944" t="s">
        <v>212</v>
      </c>
      <c r="BJ190" s="944"/>
      <c r="BK190" s="944"/>
      <c r="BL190" s="944"/>
      <c r="BM190" s="944"/>
      <c r="BN190" s="944"/>
      <c r="BO190" s="944"/>
      <c r="BP190" s="944"/>
      <c r="BQ190" s="944"/>
      <c r="BR190" s="944"/>
      <c r="BS190" s="944"/>
      <c r="BT190" s="944"/>
      <c r="BU190" s="944"/>
      <c r="BV190" s="945"/>
    </row>
    <row r="191" spans="1:74" ht="30" customHeight="1" x14ac:dyDescent="0.25">
      <c r="A191" s="200">
        <f t="shared" si="2"/>
        <v>177</v>
      </c>
      <c r="B191" s="294" t="s">
        <v>162</v>
      </c>
      <c r="C191" s="295"/>
      <c r="D191" s="936"/>
      <c r="E191" s="937"/>
      <c r="F191" s="937"/>
      <c r="G191" s="937"/>
      <c r="H191" s="937"/>
      <c r="I191" s="937"/>
      <c r="J191" s="937"/>
      <c r="K191" s="938"/>
      <c r="L191" s="932"/>
      <c r="M191" s="932"/>
      <c r="N191" s="932"/>
      <c r="O191" s="932"/>
      <c r="P191" s="931"/>
      <c r="Q191" s="931"/>
      <c r="R191" s="931"/>
      <c r="S191" s="931"/>
      <c r="T191" s="933"/>
      <c r="U191" s="934"/>
      <c r="V191" s="934"/>
      <c r="W191" s="935"/>
      <c r="X191" s="936"/>
      <c r="Y191" s="937"/>
      <c r="Z191" s="937"/>
      <c r="AA191" s="938"/>
      <c r="AB191" s="594"/>
      <c r="AC191" s="595"/>
      <c r="AD191" s="596"/>
      <c r="AE191" s="779"/>
      <c r="AF191" s="939"/>
      <c r="AG191" s="780"/>
      <c r="AH191" s="941"/>
      <c r="AI191" s="942"/>
      <c r="AJ191" s="943"/>
      <c r="AK191" s="745"/>
      <c r="AL191" s="940"/>
      <c r="AM191" s="746"/>
      <c r="AN191" s="281"/>
      <c r="AO191" s="282"/>
      <c r="AP191" s="281"/>
      <c r="AQ191" s="282"/>
      <c r="AR191" s="281"/>
      <c r="AS191" s="282"/>
      <c r="AT191" s="281"/>
      <c r="AU191" s="282"/>
      <c r="AV191" s="281"/>
      <c r="AW191" s="282"/>
      <c r="AX191" s="281"/>
      <c r="AY191" s="282"/>
      <c r="AZ191" s="117"/>
      <c r="BA191" s="331"/>
      <c r="BB191" s="117"/>
      <c r="BC191" s="331"/>
      <c r="BD191" s="117"/>
      <c r="BE191" s="331"/>
      <c r="BF191" s="117"/>
      <c r="BG191" s="331"/>
      <c r="BH191" s="117"/>
      <c r="BI191" s="944" t="s">
        <v>212</v>
      </c>
      <c r="BJ191" s="944"/>
      <c r="BK191" s="944"/>
      <c r="BL191" s="944"/>
      <c r="BM191" s="944"/>
      <c r="BN191" s="944"/>
      <c r="BO191" s="944"/>
      <c r="BP191" s="944"/>
      <c r="BQ191" s="944"/>
      <c r="BR191" s="944"/>
      <c r="BS191" s="944"/>
      <c r="BT191" s="944"/>
      <c r="BU191" s="944"/>
      <c r="BV191" s="945"/>
    </row>
    <row r="192" spans="1:74" ht="30" customHeight="1" x14ac:dyDescent="0.25">
      <c r="A192" s="200">
        <f t="shared" si="2"/>
        <v>178</v>
      </c>
      <c r="B192" s="294" t="s">
        <v>162</v>
      </c>
      <c r="C192" s="295"/>
      <c r="D192" s="936"/>
      <c r="E192" s="937"/>
      <c r="F192" s="937"/>
      <c r="G192" s="937"/>
      <c r="H192" s="937"/>
      <c r="I192" s="937"/>
      <c r="J192" s="937"/>
      <c r="K192" s="938"/>
      <c r="L192" s="932"/>
      <c r="M192" s="932"/>
      <c r="N192" s="932"/>
      <c r="O192" s="932"/>
      <c r="P192" s="931"/>
      <c r="Q192" s="931"/>
      <c r="R192" s="931"/>
      <c r="S192" s="931"/>
      <c r="T192" s="933"/>
      <c r="U192" s="934"/>
      <c r="V192" s="934"/>
      <c r="W192" s="935"/>
      <c r="X192" s="936"/>
      <c r="Y192" s="937"/>
      <c r="Z192" s="937"/>
      <c r="AA192" s="938"/>
      <c r="AB192" s="594"/>
      <c r="AC192" s="595"/>
      <c r="AD192" s="596"/>
      <c r="AE192" s="779"/>
      <c r="AF192" s="939"/>
      <c r="AG192" s="780"/>
      <c r="AH192" s="941"/>
      <c r="AI192" s="942"/>
      <c r="AJ192" s="943"/>
      <c r="AK192" s="745"/>
      <c r="AL192" s="940"/>
      <c r="AM192" s="746"/>
      <c r="AN192" s="281"/>
      <c r="AO192" s="282"/>
      <c r="AP192" s="281"/>
      <c r="AQ192" s="282"/>
      <c r="AR192" s="281"/>
      <c r="AS192" s="282"/>
      <c r="AT192" s="281"/>
      <c r="AU192" s="282"/>
      <c r="AV192" s="281"/>
      <c r="AW192" s="282"/>
      <c r="AX192" s="281"/>
      <c r="AY192" s="282"/>
      <c r="AZ192" s="117"/>
      <c r="BA192" s="331"/>
      <c r="BB192" s="117"/>
      <c r="BC192" s="331"/>
      <c r="BD192" s="117"/>
      <c r="BE192" s="331"/>
      <c r="BF192" s="117"/>
      <c r="BG192" s="331"/>
      <c r="BH192" s="117"/>
      <c r="BI192" s="944" t="s">
        <v>212</v>
      </c>
      <c r="BJ192" s="944"/>
      <c r="BK192" s="944"/>
      <c r="BL192" s="944"/>
      <c r="BM192" s="944"/>
      <c r="BN192" s="944"/>
      <c r="BO192" s="944"/>
      <c r="BP192" s="944"/>
      <c r="BQ192" s="944"/>
      <c r="BR192" s="944"/>
      <c r="BS192" s="944"/>
      <c r="BT192" s="944"/>
      <c r="BU192" s="944"/>
      <c r="BV192" s="945"/>
    </row>
    <row r="193" spans="1:74" ht="30" customHeight="1" x14ac:dyDescent="0.25">
      <c r="A193" s="200">
        <f t="shared" si="2"/>
        <v>179</v>
      </c>
      <c r="B193" s="294" t="s">
        <v>162</v>
      </c>
      <c r="C193" s="295"/>
      <c r="D193" s="936"/>
      <c r="E193" s="937"/>
      <c r="F193" s="937"/>
      <c r="G193" s="937"/>
      <c r="H193" s="937"/>
      <c r="I193" s="937"/>
      <c r="J193" s="937"/>
      <c r="K193" s="938"/>
      <c r="L193" s="932"/>
      <c r="M193" s="932"/>
      <c r="N193" s="932"/>
      <c r="O193" s="932"/>
      <c r="P193" s="931"/>
      <c r="Q193" s="931"/>
      <c r="R193" s="931"/>
      <c r="S193" s="931"/>
      <c r="T193" s="933"/>
      <c r="U193" s="934"/>
      <c r="V193" s="934"/>
      <c r="W193" s="935"/>
      <c r="X193" s="936"/>
      <c r="Y193" s="937"/>
      <c r="Z193" s="937"/>
      <c r="AA193" s="938"/>
      <c r="AB193" s="594"/>
      <c r="AC193" s="595"/>
      <c r="AD193" s="596"/>
      <c r="AE193" s="779"/>
      <c r="AF193" s="939"/>
      <c r="AG193" s="780"/>
      <c r="AH193" s="941"/>
      <c r="AI193" s="942"/>
      <c r="AJ193" s="943"/>
      <c r="AK193" s="745"/>
      <c r="AL193" s="940"/>
      <c r="AM193" s="746"/>
      <c r="AN193" s="281"/>
      <c r="AO193" s="282"/>
      <c r="AP193" s="281"/>
      <c r="AQ193" s="282"/>
      <c r="AR193" s="281"/>
      <c r="AS193" s="282"/>
      <c r="AT193" s="281"/>
      <c r="AU193" s="282"/>
      <c r="AV193" s="281"/>
      <c r="AW193" s="282"/>
      <c r="AX193" s="281"/>
      <c r="AY193" s="282"/>
      <c r="AZ193" s="117"/>
      <c r="BA193" s="331"/>
      <c r="BB193" s="117"/>
      <c r="BC193" s="331"/>
      <c r="BD193" s="117"/>
      <c r="BE193" s="331"/>
      <c r="BF193" s="117"/>
      <c r="BG193" s="331"/>
      <c r="BH193" s="117"/>
      <c r="BI193" s="944" t="s">
        <v>212</v>
      </c>
      <c r="BJ193" s="944"/>
      <c r="BK193" s="944"/>
      <c r="BL193" s="944"/>
      <c r="BM193" s="944"/>
      <c r="BN193" s="944"/>
      <c r="BO193" s="944"/>
      <c r="BP193" s="944"/>
      <c r="BQ193" s="944"/>
      <c r="BR193" s="944"/>
      <c r="BS193" s="944"/>
      <c r="BT193" s="944"/>
      <c r="BU193" s="944"/>
      <c r="BV193" s="945"/>
    </row>
    <row r="194" spans="1:74" ht="30" customHeight="1" x14ac:dyDescent="0.25">
      <c r="A194" s="200">
        <f t="shared" si="2"/>
        <v>180</v>
      </c>
      <c r="B194" s="294" t="s">
        <v>162</v>
      </c>
      <c r="C194" s="295"/>
      <c r="D194" s="936"/>
      <c r="E194" s="937"/>
      <c r="F194" s="937"/>
      <c r="G194" s="937"/>
      <c r="H194" s="937"/>
      <c r="I194" s="937"/>
      <c r="J194" s="937"/>
      <c r="K194" s="938"/>
      <c r="L194" s="932"/>
      <c r="M194" s="932"/>
      <c r="N194" s="932"/>
      <c r="O194" s="932"/>
      <c r="P194" s="931"/>
      <c r="Q194" s="931"/>
      <c r="R194" s="931"/>
      <c r="S194" s="931"/>
      <c r="T194" s="933"/>
      <c r="U194" s="934"/>
      <c r="V194" s="934"/>
      <c r="W194" s="935"/>
      <c r="X194" s="936"/>
      <c r="Y194" s="937"/>
      <c r="Z194" s="937"/>
      <c r="AA194" s="938"/>
      <c r="AB194" s="594"/>
      <c r="AC194" s="595"/>
      <c r="AD194" s="596"/>
      <c r="AE194" s="779"/>
      <c r="AF194" s="939"/>
      <c r="AG194" s="780"/>
      <c r="AH194" s="941"/>
      <c r="AI194" s="942"/>
      <c r="AJ194" s="943"/>
      <c r="AK194" s="745"/>
      <c r="AL194" s="940"/>
      <c r="AM194" s="746"/>
      <c r="AN194" s="281"/>
      <c r="AO194" s="282"/>
      <c r="AP194" s="281"/>
      <c r="AQ194" s="282"/>
      <c r="AR194" s="281"/>
      <c r="AS194" s="282"/>
      <c r="AT194" s="281"/>
      <c r="AU194" s="282"/>
      <c r="AV194" s="281"/>
      <c r="AW194" s="282"/>
      <c r="AX194" s="281"/>
      <c r="AY194" s="282"/>
      <c r="AZ194" s="117"/>
      <c r="BA194" s="331"/>
      <c r="BB194" s="117"/>
      <c r="BC194" s="331"/>
      <c r="BD194" s="117"/>
      <c r="BE194" s="331"/>
      <c r="BF194" s="117"/>
      <c r="BG194" s="331"/>
      <c r="BH194" s="117"/>
      <c r="BI194" s="944" t="s">
        <v>159</v>
      </c>
      <c r="BJ194" s="944"/>
      <c r="BK194" s="944"/>
      <c r="BL194" s="944"/>
      <c r="BM194" s="944"/>
      <c r="BN194" s="944"/>
      <c r="BO194" s="944"/>
      <c r="BP194" s="944"/>
      <c r="BQ194" s="944"/>
      <c r="BR194" s="944"/>
      <c r="BS194" s="944"/>
      <c r="BT194" s="944"/>
      <c r="BU194" s="944"/>
      <c r="BV194" s="945"/>
    </row>
    <row r="195" spans="1:74" ht="30" customHeight="1" x14ac:dyDescent="0.25">
      <c r="A195" s="200">
        <f t="shared" si="2"/>
        <v>181</v>
      </c>
      <c r="B195" s="294" t="s">
        <v>162</v>
      </c>
      <c r="C195" s="295"/>
      <c r="D195" s="936"/>
      <c r="E195" s="937"/>
      <c r="F195" s="937"/>
      <c r="G195" s="937"/>
      <c r="H195" s="937"/>
      <c r="I195" s="937"/>
      <c r="J195" s="937"/>
      <c r="K195" s="938"/>
      <c r="L195" s="932"/>
      <c r="M195" s="932"/>
      <c r="N195" s="932"/>
      <c r="O195" s="932"/>
      <c r="P195" s="931"/>
      <c r="Q195" s="931"/>
      <c r="R195" s="931"/>
      <c r="S195" s="931"/>
      <c r="T195" s="933"/>
      <c r="U195" s="934"/>
      <c r="V195" s="934"/>
      <c r="W195" s="935"/>
      <c r="X195" s="936"/>
      <c r="Y195" s="937"/>
      <c r="Z195" s="937"/>
      <c r="AA195" s="938"/>
      <c r="AB195" s="594"/>
      <c r="AC195" s="595"/>
      <c r="AD195" s="596"/>
      <c r="AE195" s="779"/>
      <c r="AF195" s="939"/>
      <c r="AG195" s="780"/>
      <c r="AH195" s="941"/>
      <c r="AI195" s="942"/>
      <c r="AJ195" s="943"/>
      <c r="AK195" s="745"/>
      <c r="AL195" s="940"/>
      <c r="AM195" s="746"/>
      <c r="AN195" s="281"/>
      <c r="AO195" s="282"/>
      <c r="AP195" s="281"/>
      <c r="AQ195" s="282"/>
      <c r="AR195" s="281"/>
      <c r="AS195" s="282"/>
      <c r="AT195" s="281"/>
      <c r="AU195" s="282"/>
      <c r="AV195" s="281"/>
      <c r="AW195" s="282"/>
      <c r="AX195" s="281"/>
      <c r="AY195" s="282"/>
      <c r="AZ195" s="117"/>
      <c r="BA195" s="331"/>
      <c r="BB195" s="117"/>
      <c r="BC195" s="331"/>
      <c r="BD195" s="117"/>
      <c r="BE195" s="331"/>
      <c r="BF195" s="117"/>
      <c r="BG195" s="331"/>
      <c r="BH195" s="117"/>
      <c r="BI195" s="944" t="s">
        <v>159</v>
      </c>
      <c r="BJ195" s="944"/>
      <c r="BK195" s="944"/>
      <c r="BL195" s="944"/>
      <c r="BM195" s="944"/>
      <c r="BN195" s="944"/>
      <c r="BO195" s="944"/>
      <c r="BP195" s="944"/>
      <c r="BQ195" s="944"/>
      <c r="BR195" s="944"/>
      <c r="BS195" s="944"/>
      <c r="BT195" s="944"/>
      <c r="BU195" s="944"/>
      <c r="BV195" s="945"/>
    </row>
    <row r="196" spans="1:74" ht="30" customHeight="1" x14ac:dyDescent="0.25">
      <c r="A196" s="232">
        <f t="shared" si="2"/>
        <v>182</v>
      </c>
      <c r="B196" s="294" t="s">
        <v>162</v>
      </c>
      <c r="C196" s="295"/>
      <c r="D196" s="936"/>
      <c r="E196" s="937"/>
      <c r="F196" s="937"/>
      <c r="G196" s="937"/>
      <c r="H196" s="937"/>
      <c r="I196" s="937"/>
      <c r="J196" s="937"/>
      <c r="K196" s="938"/>
      <c r="L196" s="932"/>
      <c r="M196" s="932"/>
      <c r="N196" s="932"/>
      <c r="O196" s="932"/>
      <c r="P196" s="931"/>
      <c r="Q196" s="931"/>
      <c r="R196" s="931"/>
      <c r="S196" s="931"/>
      <c r="T196" s="933"/>
      <c r="U196" s="934"/>
      <c r="V196" s="934"/>
      <c r="W196" s="935"/>
      <c r="X196" s="936"/>
      <c r="Y196" s="937"/>
      <c r="Z196" s="937"/>
      <c r="AA196" s="938"/>
      <c r="AB196" s="594"/>
      <c r="AC196" s="595"/>
      <c r="AD196" s="596"/>
      <c r="AE196" s="779"/>
      <c r="AF196" s="939"/>
      <c r="AG196" s="780"/>
      <c r="AH196" s="941"/>
      <c r="AI196" s="942"/>
      <c r="AJ196" s="943"/>
      <c r="AK196" s="745"/>
      <c r="AL196" s="940"/>
      <c r="AM196" s="746"/>
      <c r="AN196" s="281"/>
      <c r="AO196" s="282"/>
      <c r="AP196" s="281"/>
      <c r="AQ196" s="282"/>
      <c r="AR196" s="281"/>
      <c r="AS196" s="282"/>
      <c r="AT196" s="281"/>
      <c r="AU196" s="282"/>
      <c r="AV196" s="281"/>
      <c r="AW196" s="282"/>
      <c r="AX196" s="281"/>
      <c r="AY196" s="282"/>
      <c r="AZ196" s="117"/>
      <c r="BA196" s="331"/>
      <c r="BB196" s="117"/>
      <c r="BC196" s="331"/>
      <c r="BD196" s="117"/>
      <c r="BE196" s="331"/>
      <c r="BF196" s="117"/>
      <c r="BG196" s="331"/>
      <c r="BH196" s="117"/>
      <c r="BI196" s="944" t="s">
        <v>212</v>
      </c>
      <c r="BJ196" s="944"/>
      <c r="BK196" s="944"/>
      <c r="BL196" s="944"/>
      <c r="BM196" s="944"/>
      <c r="BN196" s="944"/>
      <c r="BO196" s="944"/>
      <c r="BP196" s="944"/>
      <c r="BQ196" s="944"/>
      <c r="BR196" s="944"/>
      <c r="BS196" s="944"/>
      <c r="BT196" s="944"/>
      <c r="BU196" s="944"/>
      <c r="BV196" s="945"/>
    </row>
    <row r="197" spans="1:74" ht="30" customHeight="1" x14ac:dyDescent="0.25">
      <c r="A197" s="200">
        <f t="shared" si="2"/>
        <v>183</v>
      </c>
      <c r="B197" s="294" t="s">
        <v>162</v>
      </c>
      <c r="C197" s="295"/>
      <c r="D197" s="936"/>
      <c r="E197" s="937"/>
      <c r="F197" s="937"/>
      <c r="G197" s="937"/>
      <c r="H197" s="937"/>
      <c r="I197" s="937"/>
      <c r="J197" s="937"/>
      <c r="K197" s="938"/>
      <c r="L197" s="932"/>
      <c r="M197" s="932"/>
      <c r="N197" s="932"/>
      <c r="O197" s="932"/>
      <c r="P197" s="931"/>
      <c r="Q197" s="931"/>
      <c r="R197" s="931"/>
      <c r="S197" s="931"/>
      <c r="T197" s="933"/>
      <c r="U197" s="934"/>
      <c r="V197" s="934"/>
      <c r="W197" s="935"/>
      <c r="X197" s="936"/>
      <c r="Y197" s="937"/>
      <c r="Z197" s="937"/>
      <c r="AA197" s="938"/>
      <c r="AB197" s="594"/>
      <c r="AC197" s="595"/>
      <c r="AD197" s="596"/>
      <c r="AE197" s="779"/>
      <c r="AF197" s="939"/>
      <c r="AG197" s="780"/>
      <c r="AH197" s="941"/>
      <c r="AI197" s="942"/>
      <c r="AJ197" s="943"/>
      <c r="AK197" s="745"/>
      <c r="AL197" s="940"/>
      <c r="AM197" s="746"/>
      <c r="AN197" s="281"/>
      <c r="AO197" s="282"/>
      <c r="AP197" s="281"/>
      <c r="AQ197" s="282"/>
      <c r="AR197" s="281"/>
      <c r="AS197" s="282"/>
      <c r="AT197" s="281"/>
      <c r="AU197" s="282"/>
      <c r="AV197" s="281"/>
      <c r="AW197" s="282"/>
      <c r="AX197" s="281"/>
      <c r="AY197" s="282"/>
      <c r="AZ197" s="117"/>
      <c r="BA197" s="331"/>
      <c r="BB197" s="117"/>
      <c r="BC197" s="331"/>
      <c r="BD197" s="117"/>
      <c r="BE197" s="331"/>
      <c r="BF197" s="117"/>
      <c r="BG197" s="331"/>
      <c r="BH197" s="117"/>
      <c r="BI197" s="944" t="s">
        <v>212</v>
      </c>
      <c r="BJ197" s="944"/>
      <c r="BK197" s="944"/>
      <c r="BL197" s="944"/>
      <c r="BM197" s="944"/>
      <c r="BN197" s="944"/>
      <c r="BO197" s="944"/>
      <c r="BP197" s="944"/>
      <c r="BQ197" s="944"/>
      <c r="BR197" s="944"/>
      <c r="BS197" s="944"/>
      <c r="BT197" s="944"/>
      <c r="BU197" s="944"/>
      <c r="BV197" s="945"/>
    </row>
    <row r="198" spans="1:74" ht="30" customHeight="1" x14ac:dyDescent="0.25">
      <c r="A198" s="200">
        <f t="shared" si="2"/>
        <v>184</v>
      </c>
      <c r="B198" s="294" t="s">
        <v>162</v>
      </c>
      <c r="C198" s="295"/>
      <c r="D198" s="936"/>
      <c r="E198" s="937"/>
      <c r="F198" s="937"/>
      <c r="G198" s="937"/>
      <c r="H198" s="937"/>
      <c r="I198" s="937"/>
      <c r="J198" s="937"/>
      <c r="K198" s="938"/>
      <c r="L198" s="932"/>
      <c r="M198" s="932"/>
      <c r="N198" s="932"/>
      <c r="O198" s="932"/>
      <c r="P198" s="931"/>
      <c r="Q198" s="931"/>
      <c r="R198" s="931"/>
      <c r="S198" s="931"/>
      <c r="T198" s="933"/>
      <c r="U198" s="934"/>
      <c r="V198" s="934"/>
      <c r="W198" s="935"/>
      <c r="X198" s="936"/>
      <c r="Y198" s="937"/>
      <c r="Z198" s="937"/>
      <c r="AA198" s="938"/>
      <c r="AB198" s="594"/>
      <c r="AC198" s="595"/>
      <c r="AD198" s="596"/>
      <c r="AE198" s="779"/>
      <c r="AF198" s="939"/>
      <c r="AG198" s="780"/>
      <c r="AH198" s="941"/>
      <c r="AI198" s="942"/>
      <c r="AJ198" s="943"/>
      <c r="AK198" s="745"/>
      <c r="AL198" s="940"/>
      <c r="AM198" s="746"/>
      <c r="AN198" s="281"/>
      <c r="AO198" s="282"/>
      <c r="AP198" s="281"/>
      <c r="AQ198" s="282"/>
      <c r="AR198" s="281"/>
      <c r="AS198" s="282"/>
      <c r="AT198" s="281"/>
      <c r="AU198" s="282"/>
      <c r="AV198" s="281"/>
      <c r="AW198" s="282"/>
      <c r="AX198" s="281"/>
      <c r="AY198" s="282"/>
      <c r="AZ198" s="117"/>
      <c r="BA198" s="331"/>
      <c r="BB198" s="117"/>
      <c r="BC198" s="331"/>
      <c r="BD198" s="117"/>
      <c r="BE198" s="331"/>
      <c r="BF198" s="117"/>
      <c r="BG198" s="331"/>
      <c r="BH198" s="117"/>
      <c r="BI198" s="944" t="s">
        <v>212</v>
      </c>
      <c r="BJ198" s="944"/>
      <c r="BK198" s="944"/>
      <c r="BL198" s="944"/>
      <c r="BM198" s="944"/>
      <c r="BN198" s="944"/>
      <c r="BO198" s="944"/>
      <c r="BP198" s="944"/>
      <c r="BQ198" s="944"/>
      <c r="BR198" s="944"/>
      <c r="BS198" s="944"/>
      <c r="BT198" s="944"/>
      <c r="BU198" s="944"/>
      <c r="BV198" s="945"/>
    </row>
    <row r="199" spans="1:74" ht="30" customHeight="1" x14ac:dyDescent="0.25">
      <c r="A199" s="200">
        <f t="shared" si="2"/>
        <v>185</v>
      </c>
      <c r="B199" s="294" t="s">
        <v>162</v>
      </c>
      <c r="C199" s="295"/>
      <c r="D199" s="936"/>
      <c r="E199" s="937"/>
      <c r="F199" s="937"/>
      <c r="G199" s="937"/>
      <c r="H199" s="937"/>
      <c r="I199" s="937"/>
      <c r="J199" s="937"/>
      <c r="K199" s="938"/>
      <c r="L199" s="932"/>
      <c r="M199" s="932"/>
      <c r="N199" s="932"/>
      <c r="O199" s="932"/>
      <c r="P199" s="931"/>
      <c r="Q199" s="931"/>
      <c r="R199" s="931"/>
      <c r="S199" s="931"/>
      <c r="T199" s="933"/>
      <c r="U199" s="934"/>
      <c r="V199" s="934"/>
      <c r="W199" s="935"/>
      <c r="X199" s="936"/>
      <c r="Y199" s="937"/>
      <c r="Z199" s="937"/>
      <c r="AA199" s="938"/>
      <c r="AB199" s="594"/>
      <c r="AC199" s="595"/>
      <c r="AD199" s="596"/>
      <c r="AE199" s="779"/>
      <c r="AF199" s="939"/>
      <c r="AG199" s="780"/>
      <c r="AH199" s="941"/>
      <c r="AI199" s="942"/>
      <c r="AJ199" s="943"/>
      <c r="AK199" s="745"/>
      <c r="AL199" s="940"/>
      <c r="AM199" s="746"/>
      <c r="AN199" s="281"/>
      <c r="AO199" s="282"/>
      <c r="AP199" s="281"/>
      <c r="AQ199" s="282"/>
      <c r="AR199" s="281"/>
      <c r="AS199" s="282"/>
      <c r="AT199" s="281"/>
      <c r="AU199" s="282"/>
      <c r="AV199" s="281"/>
      <c r="AW199" s="282"/>
      <c r="AX199" s="281"/>
      <c r="AY199" s="282"/>
      <c r="AZ199" s="117"/>
      <c r="BA199" s="331"/>
      <c r="BB199" s="117"/>
      <c r="BC199" s="331"/>
      <c r="BD199" s="117"/>
      <c r="BE199" s="331"/>
      <c r="BF199" s="117"/>
      <c r="BG199" s="331"/>
      <c r="BH199" s="117"/>
      <c r="BI199" s="944" t="s">
        <v>212</v>
      </c>
      <c r="BJ199" s="944"/>
      <c r="BK199" s="944"/>
      <c r="BL199" s="944"/>
      <c r="BM199" s="944"/>
      <c r="BN199" s="944"/>
      <c r="BO199" s="944"/>
      <c r="BP199" s="944"/>
      <c r="BQ199" s="944"/>
      <c r="BR199" s="944"/>
      <c r="BS199" s="944"/>
      <c r="BT199" s="944"/>
      <c r="BU199" s="944"/>
      <c r="BV199" s="945"/>
    </row>
    <row r="200" spans="1:74" ht="30" customHeight="1" x14ac:dyDescent="0.25">
      <c r="A200" s="200">
        <f t="shared" si="2"/>
        <v>186</v>
      </c>
      <c r="B200" s="294" t="s">
        <v>162</v>
      </c>
      <c r="C200" s="295"/>
      <c r="D200" s="936"/>
      <c r="E200" s="937"/>
      <c r="F200" s="937"/>
      <c r="G200" s="937"/>
      <c r="H200" s="937"/>
      <c r="I200" s="937"/>
      <c r="J200" s="937"/>
      <c r="K200" s="938"/>
      <c r="L200" s="932"/>
      <c r="M200" s="932"/>
      <c r="N200" s="932"/>
      <c r="O200" s="932"/>
      <c r="P200" s="931"/>
      <c r="Q200" s="931"/>
      <c r="R200" s="931"/>
      <c r="S200" s="931"/>
      <c r="T200" s="933"/>
      <c r="U200" s="934"/>
      <c r="V200" s="934"/>
      <c r="W200" s="935"/>
      <c r="X200" s="936"/>
      <c r="Y200" s="937"/>
      <c r="Z200" s="937"/>
      <c r="AA200" s="938"/>
      <c r="AB200" s="594"/>
      <c r="AC200" s="595"/>
      <c r="AD200" s="596"/>
      <c r="AE200" s="779"/>
      <c r="AF200" s="939"/>
      <c r="AG200" s="780"/>
      <c r="AH200" s="941"/>
      <c r="AI200" s="942"/>
      <c r="AJ200" s="943"/>
      <c r="AK200" s="745"/>
      <c r="AL200" s="940"/>
      <c r="AM200" s="746"/>
      <c r="AN200" s="281"/>
      <c r="AO200" s="282"/>
      <c r="AP200" s="281"/>
      <c r="AQ200" s="282"/>
      <c r="AR200" s="281"/>
      <c r="AS200" s="282"/>
      <c r="AT200" s="281"/>
      <c r="AU200" s="282"/>
      <c r="AV200" s="281"/>
      <c r="AW200" s="282"/>
      <c r="AX200" s="281"/>
      <c r="AY200" s="282"/>
      <c r="AZ200" s="117"/>
      <c r="BA200" s="331"/>
      <c r="BB200" s="117"/>
      <c r="BC200" s="331"/>
      <c r="BD200" s="117"/>
      <c r="BE200" s="331"/>
      <c r="BF200" s="117"/>
      <c r="BG200" s="331"/>
      <c r="BH200" s="117"/>
      <c r="BI200" s="944" t="s">
        <v>212</v>
      </c>
      <c r="BJ200" s="944"/>
      <c r="BK200" s="944"/>
      <c r="BL200" s="944"/>
      <c r="BM200" s="944"/>
      <c r="BN200" s="944"/>
      <c r="BO200" s="944"/>
      <c r="BP200" s="944"/>
      <c r="BQ200" s="944"/>
      <c r="BR200" s="944"/>
      <c r="BS200" s="944"/>
      <c r="BT200" s="944"/>
      <c r="BU200" s="944"/>
      <c r="BV200" s="945"/>
    </row>
    <row r="201" spans="1:74" ht="30" customHeight="1" x14ac:dyDescent="0.25">
      <c r="A201" s="200">
        <f t="shared" si="2"/>
        <v>187</v>
      </c>
      <c r="B201" s="294" t="s">
        <v>162</v>
      </c>
      <c r="C201" s="295"/>
      <c r="D201" s="936"/>
      <c r="E201" s="937"/>
      <c r="F201" s="937"/>
      <c r="G201" s="937"/>
      <c r="H201" s="937"/>
      <c r="I201" s="937"/>
      <c r="J201" s="937"/>
      <c r="K201" s="938"/>
      <c r="L201" s="932"/>
      <c r="M201" s="932"/>
      <c r="N201" s="932"/>
      <c r="O201" s="932"/>
      <c r="P201" s="931"/>
      <c r="Q201" s="931"/>
      <c r="R201" s="931"/>
      <c r="S201" s="931"/>
      <c r="T201" s="933"/>
      <c r="U201" s="934"/>
      <c r="V201" s="934"/>
      <c r="W201" s="935"/>
      <c r="X201" s="936"/>
      <c r="Y201" s="937"/>
      <c r="Z201" s="937"/>
      <c r="AA201" s="938"/>
      <c r="AB201" s="594"/>
      <c r="AC201" s="595"/>
      <c r="AD201" s="596"/>
      <c r="AE201" s="779"/>
      <c r="AF201" s="939"/>
      <c r="AG201" s="780"/>
      <c r="AH201" s="941"/>
      <c r="AI201" s="942"/>
      <c r="AJ201" s="943"/>
      <c r="AK201" s="745"/>
      <c r="AL201" s="940"/>
      <c r="AM201" s="746"/>
      <c r="AN201" s="281"/>
      <c r="AO201" s="282"/>
      <c r="AP201" s="281"/>
      <c r="AQ201" s="282"/>
      <c r="AR201" s="281"/>
      <c r="AS201" s="282"/>
      <c r="AT201" s="281"/>
      <c r="AU201" s="282"/>
      <c r="AV201" s="281"/>
      <c r="AW201" s="282"/>
      <c r="AX201" s="281"/>
      <c r="AY201" s="282"/>
      <c r="AZ201" s="117"/>
      <c r="BA201" s="331"/>
      <c r="BB201" s="117"/>
      <c r="BC201" s="331"/>
      <c r="BD201" s="117"/>
      <c r="BE201" s="331"/>
      <c r="BF201" s="117"/>
      <c r="BG201" s="331"/>
      <c r="BH201" s="117"/>
      <c r="BI201" s="944" t="s">
        <v>159</v>
      </c>
      <c r="BJ201" s="944"/>
      <c r="BK201" s="944"/>
      <c r="BL201" s="944"/>
      <c r="BM201" s="944"/>
      <c r="BN201" s="944"/>
      <c r="BO201" s="944"/>
      <c r="BP201" s="944"/>
      <c r="BQ201" s="944"/>
      <c r="BR201" s="944"/>
      <c r="BS201" s="944"/>
      <c r="BT201" s="944"/>
      <c r="BU201" s="944"/>
      <c r="BV201" s="945"/>
    </row>
    <row r="202" spans="1:74" ht="30" customHeight="1" x14ac:dyDescent="0.25">
      <c r="A202" s="200">
        <f t="shared" si="2"/>
        <v>188</v>
      </c>
      <c r="B202" s="294" t="s">
        <v>162</v>
      </c>
      <c r="C202" s="295"/>
      <c r="D202" s="936"/>
      <c r="E202" s="937"/>
      <c r="F202" s="937"/>
      <c r="G202" s="937"/>
      <c r="H202" s="937"/>
      <c r="I202" s="937"/>
      <c r="J202" s="937"/>
      <c r="K202" s="938"/>
      <c r="L202" s="932"/>
      <c r="M202" s="932"/>
      <c r="N202" s="932"/>
      <c r="O202" s="932"/>
      <c r="P202" s="931"/>
      <c r="Q202" s="931"/>
      <c r="R202" s="931"/>
      <c r="S202" s="931"/>
      <c r="T202" s="933"/>
      <c r="U202" s="934"/>
      <c r="V202" s="934"/>
      <c r="W202" s="935"/>
      <c r="X202" s="936"/>
      <c r="Y202" s="937"/>
      <c r="Z202" s="937"/>
      <c r="AA202" s="938"/>
      <c r="AB202" s="594"/>
      <c r="AC202" s="595"/>
      <c r="AD202" s="596"/>
      <c r="AE202" s="779"/>
      <c r="AF202" s="939"/>
      <c r="AG202" s="780"/>
      <c r="AH202" s="941"/>
      <c r="AI202" s="942"/>
      <c r="AJ202" s="943"/>
      <c r="AK202" s="745"/>
      <c r="AL202" s="940"/>
      <c r="AM202" s="746"/>
      <c r="AN202" s="281"/>
      <c r="AO202" s="282"/>
      <c r="AP202" s="281"/>
      <c r="AQ202" s="282"/>
      <c r="AR202" s="281"/>
      <c r="AS202" s="282"/>
      <c r="AT202" s="281"/>
      <c r="AU202" s="282"/>
      <c r="AV202" s="281"/>
      <c r="AW202" s="282"/>
      <c r="AX202" s="281"/>
      <c r="AY202" s="282"/>
      <c r="AZ202" s="117"/>
      <c r="BA202" s="331"/>
      <c r="BB202" s="117"/>
      <c r="BC202" s="331"/>
      <c r="BD202" s="117"/>
      <c r="BE202" s="331"/>
      <c r="BF202" s="117"/>
      <c r="BG202" s="331"/>
      <c r="BH202" s="117"/>
      <c r="BI202" s="944" t="s">
        <v>159</v>
      </c>
      <c r="BJ202" s="944"/>
      <c r="BK202" s="944"/>
      <c r="BL202" s="944"/>
      <c r="BM202" s="944"/>
      <c r="BN202" s="944"/>
      <c r="BO202" s="944"/>
      <c r="BP202" s="944"/>
      <c r="BQ202" s="944"/>
      <c r="BR202" s="944"/>
      <c r="BS202" s="944"/>
      <c r="BT202" s="944"/>
      <c r="BU202" s="944"/>
      <c r="BV202" s="945"/>
    </row>
    <row r="203" spans="1:74" ht="30" customHeight="1" x14ac:dyDescent="0.25">
      <c r="A203" s="232">
        <f t="shared" si="2"/>
        <v>189</v>
      </c>
      <c r="B203" s="294" t="s">
        <v>162</v>
      </c>
      <c r="C203" s="295"/>
      <c r="D203" s="936"/>
      <c r="E203" s="937"/>
      <c r="F203" s="937"/>
      <c r="G203" s="937"/>
      <c r="H203" s="937"/>
      <c r="I203" s="937"/>
      <c r="J203" s="937"/>
      <c r="K203" s="938"/>
      <c r="L203" s="932"/>
      <c r="M203" s="932"/>
      <c r="N203" s="932"/>
      <c r="O203" s="932"/>
      <c r="P203" s="931"/>
      <c r="Q203" s="931"/>
      <c r="R203" s="931"/>
      <c r="S203" s="931"/>
      <c r="T203" s="933"/>
      <c r="U203" s="934"/>
      <c r="V203" s="934"/>
      <c r="W203" s="935"/>
      <c r="X203" s="936"/>
      <c r="Y203" s="937"/>
      <c r="Z203" s="937"/>
      <c r="AA203" s="938"/>
      <c r="AB203" s="594"/>
      <c r="AC203" s="595"/>
      <c r="AD203" s="596"/>
      <c r="AE203" s="779"/>
      <c r="AF203" s="939"/>
      <c r="AG203" s="780"/>
      <c r="AH203" s="941"/>
      <c r="AI203" s="942"/>
      <c r="AJ203" s="943"/>
      <c r="AK203" s="745"/>
      <c r="AL203" s="940"/>
      <c r="AM203" s="746"/>
      <c r="AN203" s="281"/>
      <c r="AO203" s="282"/>
      <c r="AP203" s="281"/>
      <c r="AQ203" s="282"/>
      <c r="AR203" s="281"/>
      <c r="AS203" s="282"/>
      <c r="AT203" s="281"/>
      <c r="AU203" s="282"/>
      <c r="AV203" s="281"/>
      <c r="AW203" s="282"/>
      <c r="AX203" s="281"/>
      <c r="AY203" s="282"/>
      <c r="AZ203" s="117"/>
      <c r="BA203" s="331"/>
      <c r="BB203" s="117"/>
      <c r="BC203" s="331"/>
      <c r="BD203" s="117"/>
      <c r="BE203" s="331"/>
      <c r="BF203" s="117"/>
      <c r="BG203" s="331"/>
      <c r="BH203" s="117"/>
      <c r="BI203" s="944" t="s">
        <v>212</v>
      </c>
      <c r="BJ203" s="944"/>
      <c r="BK203" s="944"/>
      <c r="BL203" s="944"/>
      <c r="BM203" s="944"/>
      <c r="BN203" s="944"/>
      <c r="BO203" s="944"/>
      <c r="BP203" s="944"/>
      <c r="BQ203" s="944"/>
      <c r="BR203" s="944"/>
      <c r="BS203" s="944"/>
      <c r="BT203" s="944"/>
      <c r="BU203" s="944"/>
      <c r="BV203" s="945"/>
    </row>
    <row r="204" spans="1:74" ht="30" customHeight="1" x14ac:dyDescent="0.25">
      <c r="A204" s="200">
        <f t="shared" si="2"/>
        <v>190</v>
      </c>
      <c r="B204" s="294" t="s">
        <v>162</v>
      </c>
      <c r="C204" s="295"/>
      <c r="D204" s="936"/>
      <c r="E204" s="937"/>
      <c r="F204" s="937"/>
      <c r="G204" s="937"/>
      <c r="H204" s="937"/>
      <c r="I204" s="937"/>
      <c r="J204" s="937"/>
      <c r="K204" s="938"/>
      <c r="L204" s="932"/>
      <c r="M204" s="932"/>
      <c r="N204" s="932"/>
      <c r="O204" s="932"/>
      <c r="P204" s="931"/>
      <c r="Q204" s="931"/>
      <c r="R204" s="931"/>
      <c r="S204" s="931"/>
      <c r="T204" s="933"/>
      <c r="U204" s="934"/>
      <c r="V204" s="934"/>
      <c r="W204" s="935"/>
      <c r="X204" s="936"/>
      <c r="Y204" s="937"/>
      <c r="Z204" s="937"/>
      <c r="AA204" s="938"/>
      <c r="AB204" s="594"/>
      <c r="AC204" s="595"/>
      <c r="AD204" s="596"/>
      <c r="AE204" s="779"/>
      <c r="AF204" s="939"/>
      <c r="AG204" s="780"/>
      <c r="AH204" s="941"/>
      <c r="AI204" s="942"/>
      <c r="AJ204" s="943"/>
      <c r="AK204" s="745"/>
      <c r="AL204" s="940"/>
      <c r="AM204" s="746"/>
      <c r="AN204" s="281"/>
      <c r="AO204" s="282"/>
      <c r="AP204" s="281"/>
      <c r="AQ204" s="282"/>
      <c r="AR204" s="281"/>
      <c r="AS204" s="282"/>
      <c r="AT204" s="281"/>
      <c r="AU204" s="282"/>
      <c r="AV204" s="281"/>
      <c r="AW204" s="282"/>
      <c r="AX204" s="281"/>
      <c r="AY204" s="282"/>
      <c r="AZ204" s="117"/>
      <c r="BA204" s="331"/>
      <c r="BB204" s="117"/>
      <c r="BC204" s="331"/>
      <c r="BD204" s="117"/>
      <c r="BE204" s="331"/>
      <c r="BF204" s="117"/>
      <c r="BG204" s="331"/>
      <c r="BH204" s="117"/>
      <c r="BI204" s="944" t="s">
        <v>212</v>
      </c>
      <c r="BJ204" s="944"/>
      <c r="BK204" s="944"/>
      <c r="BL204" s="944"/>
      <c r="BM204" s="944"/>
      <c r="BN204" s="944"/>
      <c r="BO204" s="944"/>
      <c r="BP204" s="944"/>
      <c r="BQ204" s="944"/>
      <c r="BR204" s="944"/>
      <c r="BS204" s="944"/>
      <c r="BT204" s="944"/>
      <c r="BU204" s="944"/>
      <c r="BV204" s="945"/>
    </row>
    <row r="205" spans="1:74" ht="30" customHeight="1" x14ac:dyDescent="0.25">
      <c r="A205" s="200">
        <f t="shared" si="2"/>
        <v>191</v>
      </c>
      <c r="B205" s="294" t="s">
        <v>162</v>
      </c>
      <c r="C205" s="295"/>
      <c r="D205" s="936"/>
      <c r="E205" s="937"/>
      <c r="F205" s="937"/>
      <c r="G205" s="937"/>
      <c r="H205" s="937"/>
      <c r="I205" s="937"/>
      <c r="J205" s="937"/>
      <c r="K205" s="938"/>
      <c r="L205" s="932"/>
      <c r="M205" s="932"/>
      <c r="N205" s="932"/>
      <c r="O205" s="932"/>
      <c r="P205" s="931"/>
      <c r="Q205" s="931"/>
      <c r="R205" s="931"/>
      <c r="S205" s="931"/>
      <c r="T205" s="933"/>
      <c r="U205" s="934"/>
      <c r="V205" s="934"/>
      <c r="W205" s="935"/>
      <c r="X205" s="936"/>
      <c r="Y205" s="937"/>
      <c r="Z205" s="937"/>
      <c r="AA205" s="938"/>
      <c r="AB205" s="594"/>
      <c r="AC205" s="595"/>
      <c r="AD205" s="596"/>
      <c r="AE205" s="779"/>
      <c r="AF205" s="939"/>
      <c r="AG205" s="780"/>
      <c r="AH205" s="941"/>
      <c r="AI205" s="942"/>
      <c r="AJ205" s="943"/>
      <c r="AK205" s="745"/>
      <c r="AL205" s="940"/>
      <c r="AM205" s="746"/>
      <c r="AN205" s="281"/>
      <c r="AO205" s="282"/>
      <c r="AP205" s="281"/>
      <c r="AQ205" s="282"/>
      <c r="AR205" s="281"/>
      <c r="AS205" s="282"/>
      <c r="AT205" s="281"/>
      <c r="AU205" s="282"/>
      <c r="AV205" s="281"/>
      <c r="AW205" s="282"/>
      <c r="AX205" s="281"/>
      <c r="AY205" s="282"/>
      <c r="AZ205" s="117"/>
      <c r="BA205" s="331"/>
      <c r="BB205" s="117"/>
      <c r="BC205" s="331"/>
      <c r="BD205" s="117"/>
      <c r="BE205" s="331"/>
      <c r="BF205" s="117"/>
      <c r="BG205" s="331"/>
      <c r="BH205" s="117"/>
      <c r="BI205" s="944" t="s">
        <v>212</v>
      </c>
      <c r="BJ205" s="944"/>
      <c r="BK205" s="944"/>
      <c r="BL205" s="944"/>
      <c r="BM205" s="944"/>
      <c r="BN205" s="944"/>
      <c r="BO205" s="944"/>
      <c r="BP205" s="944"/>
      <c r="BQ205" s="944"/>
      <c r="BR205" s="944"/>
      <c r="BS205" s="944"/>
      <c r="BT205" s="944"/>
      <c r="BU205" s="944"/>
      <c r="BV205" s="945"/>
    </row>
    <row r="206" spans="1:74" ht="30" customHeight="1" x14ac:dyDescent="0.25">
      <c r="A206" s="200">
        <f t="shared" si="2"/>
        <v>192</v>
      </c>
      <c r="B206" s="294" t="s">
        <v>162</v>
      </c>
      <c r="C206" s="295"/>
      <c r="D206" s="936"/>
      <c r="E206" s="937"/>
      <c r="F206" s="937"/>
      <c r="G206" s="937"/>
      <c r="H206" s="937"/>
      <c r="I206" s="937"/>
      <c r="J206" s="937"/>
      <c r="K206" s="938"/>
      <c r="L206" s="932"/>
      <c r="M206" s="932"/>
      <c r="N206" s="932"/>
      <c r="O206" s="932"/>
      <c r="P206" s="931"/>
      <c r="Q206" s="931"/>
      <c r="R206" s="931"/>
      <c r="S206" s="931"/>
      <c r="T206" s="933"/>
      <c r="U206" s="934"/>
      <c r="V206" s="934"/>
      <c r="W206" s="935"/>
      <c r="X206" s="936"/>
      <c r="Y206" s="937"/>
      <c r="Z206" s="937"/>
      <c r="AA206" s="938"/>
      <c r="AB206" s="594"/>
      <c r="AC206" s="595"/>
      <c r="AD206" s="596"/>
      <c r="AE206" s="779"/>
      <c r="AF206" s="939"/>
      <c r="AG206" s="780"/>
      <c r="AH206" s="941"/>
      <c r="AI206" s="942"/>
      <c r="AJ206" s="943"/>
      <c r="AK206" s="745"/>
      <c r="AL206" s="940"/>
      <c r="AM206" s="746"/>
      <c r="AN206" s="281"/>
      <c r="AO206" s="282"/>
      <c r="AP206" s="281"/>
      <c r="AQ206" s="282"/>
      <c r="AR206" s="281"/>
      <c r="AS206" s="282"/>
      <c r="AT206" s="281"/>
      <c r="AU206" s="282"/>
      <c r="AV206" s="281"/>
      <c r="AW206" s="282"/>
      <c r="AX206" s="281"/>
      <c r="AY206" s="282"/>
      <c r="AZ206" s="117"/>
      <c r="BA206" s="331"/>
      <c r="BB206" s="117"/>
      <c r="BC206" s="331"/>
      <c r="BD206" s="117"/>
      <c r="BE206" s="331"/>
      <c r="BF206" s="117"/>
      <c r="BG206" s="331"/>
      <c r="BH206" s="117"/>
      <c r="BI206" s="944" t="s">
        <v>212</v>
      </c>
      <c r="BJ206" s="944"/>
      <c r="BK206" s="944"/>
      <c r="BL206" s="944"/>
      <c r="BM206" s="944"/>
      <c r="BN206" s="944"/>
      <c r="BO206" s="944"/>
      <c r="BP206" s="944"/>
      <c r="BQ206" s="944"/>
      <c r="BR206" s="944"/>
      <c r="BS206" s="944"/>
      <c r="BT206" s="944"/>
      <c r="BU206" s="944"/>
      <c r="BV206" s="945"/>
    </row>
    <row r="207" spans="1:74" ht="30" customHeight="1" x14ac:dyDescent="0.25">
      <c r="A207" s="200">
        <f t="shared" ref="A207:A270" si="3">ROW(A193)</f>
        <v>193</v>
      </c>
      <c r="B207" s="294" t="s">
        <v>162</v>
      </c>
      <c r="C207" s="295"/>
      <c r="D207" s="936"/>
      <c r="E207" s="937"/>
      <c r="F207" s="937"/>
      <c r="G207" s="937"/>
      <c r="H207" s="937"/>
      <c r="I207" s="937"/>
      <c r="J207" s="937"/>
      <c r="K207" s="938"/>
      <c r="L207" s="932"/>
      <c r="M207" s="932"/>
      <c r="N207" s="932"/>
      <c r="O207" s="932"/>
      <c r="P207" s="931"/>
      <c r="Q207" s="931"/>
      <c r="R207" s="931"/>
      <c r="S207" s="931"/>
      <c r="T207" s="933"/>
      <c r="U207" s="934"/>
      <c r="V207" s="934"/>
      <c r="W207" s="935"/>
      <c r="X207" s="936"/>
      <c r="Y207" s="937"/>
      <c r="Z207" s="937"/>
      <c r="AA207" s="938"/>
      <c r="AB207" s="594"/>
      <c r="AC207" s="595"/>
      <c r="AD207" s="596"/>
      <c r="AE207" s="779"/>
      <c r="AF207" s="939"/>
      <c r="AG207" s="780"/>
      <c r="AH207" s="941"/>
      <c r="AI207" s="942"/>
      <c r="AJ207" s="943"/>
      <c r="AK207" s="745"/>
      <c r="AL207" s="940"/>
      <c r="AM207" s="746"/>
      <c r="AN207" s="281"/>
      <c r="AO207" s="282"/>
      <c r="AP207" s="281"/>
      <c r="AQ207" s="282"/>
      <c r="AR207" s="281"/>
      <c r="AS207" s="282"/>
      <c r="AT207" s="281"/>
      <c r="AU207" s="282"/>
      <c r="AV207" s="281"/>
      <c r="AW207" s="282"/>
      <c r="AX207" s="281"/>
      <c r="AY207" s="282"/>
      <c r="AZ207" s="117"/>
      <c r="BA207" s="331"/>
      <c r="BB207" s="117"/>
      <c r="BC207" s="331"/>
      <c r="BD207" s="117"/>
      <c r="BE207" s="331"/>
      <c r="BF207" s="117"/>
      <c r="BG207" s="331"/>
      <c r="BH207" s="117"/>
      <c r="BI207" s="944" t="s">
        <v>212</v>
      </c>
      <c r="BJ207" s="944"/>
      <c r="BK207" s="944"/>
      <c r="BL207" s="944"/>
      <c r="BM207" s="944"/>
      <c r="BN207" s="944"/>
      <c r="BO207" s="944"/>
      <c r="BP207" s="944"/>
      <c r="BQ207" s="944"/>
      <c r="BR207" s="944"/>
      <c r="BS207" s="944"/>
      <c r="BT207" s="944"/>
      <c r="BU207" s="944"/>
      <c r="BV207" s="945"/>
    </row>
    <row r="208" spans="1:74" ht="30" customHeight="1" x14ac:dyDescent="0.25">
      <c r="A208" s="200">
        <f t="shared" si="3"/>
        <v>194</v>
      </c>
      <c r="B208" s="294" t="s">
        <v>162</v>
      </c>
      <c r="C208" s="295"/>
      <c r="D208" s="936"/>
      <c r="E208" s="937"/>
      <c r="F208" s="937"/>
      <c r="G208" s="937"/>
      <c r="H208" s="937"/>
      <c r="I208" s="937"/>
      <c r="J208" s="937"/>
      <c r="K208" s="938"/>
      <c r="L208" s="932"/>
      <c r="M208" s="932"/>
      <c r="N208" s="932"/>
      <c r="O208" s="932"/>
      <c r="P208" s="931"/>
      <c r="Q208" s="931"/>
      <c r="R208" s="931"/>
      <c r="S208" s="931"/>
      <c r="T208" s="933"/>
      <c r="U208" s="934"/>
      <c r="V208" s="934"/>
      <c r="W208" s="935"/>
      <c r="X208" s="936"/>
      <c r="Y208" s="937"/>
      <c r="Z208" s="937"/>
      <c r="AA208" s="938"/>
      <c r="AB208" s="594"/>
      <c r="AC208" s="595"/>
      <c r="AD208" s="596"/>
      <c r="AE208" s="779"/>
      <c r="AF208" s="939"/>
      <c r="AG208" s="780"/>
      <c r="AH208" s="941"/>
      <c r="AI208" s="942"/>
      <c r="AJ208" s="943"/>
      <c r="AK208" s="745"/>
      <c r="AL208" s="940"/>
      <c r="AM208" s="746"/>
      <c r="AN208" s="281"/>
      <c r="AO208" s="282"/>
      <c r="AP208" s="281"/>
      <c r="AQ208" s="282"/>
      <c r="AR208" s="281"/>
      <c r="AS208" s="282"/>
      <c r="AT208" s="281"/>
      <c r="AU208" s="282"/>
      <c r="AV208" s="281"/>
      <c r="AW208" s="282"/>
      <c r="AX208" s="281"/>
      <c r="AY208" s="282"/>
      <c r="AZ208" s="117"/>
      <c r="BA208" s="331"/>
      <c r="BB208" s="117"/>
      <c r="BC208" s="331"/>
      <c r="BD208" s="117"/>
      <c r="BE208" s="331"/>
      <c r="BF208" s="117"/>
      <c r="BG208" s="331"/>
      <c r="BH208" s="117"/>
      <c r="BI208" s="944" t="s">
        <v>159</v>
      </c>
      <c r="BJ208" s="944"/>
      <c r="BK208" s="944"/>
      <c r="BL208" s="944"/>
      <c r="BM208" s="944"/>
      <c r="BN208" s="944"/>
      <c r="BO208" s="944"/>
      <c r="BP208" s="944"/>
      <c r="BQ208" s="944"/>
      <c r="BR208" s="944"/>
      <c r="BS208" s="944"/>
      <c r="BT208" s="944"/>
      <c r="BU208" s="944"/>
      <c r="BV208" s="945"/>
    </row>
    <row r="209" spans="1:74" ht="30" customHeight="1" x14ac:dyDescent="0.25">
      <c r="A209" s="200">
        <f t="shared" si="3"/>
        <v>195</v>
      </c>
      <c r="B209" s="294" t="s">
        <v>162</v>
      </c>
      <c r="C209" s="295"/>
      <c r="D209" s="936"/>
      <c r="E209" s="937"/>
      <c r="F209" s="937"/>
      <c r="G209" s="937"/>
      <c r="H209" s="937"/>
      <c r="I209" s="937"/>
      <c r="J209" s="937"/>
      <c r="K209" s="938"/>
      <c r="L209" s="932"/>
      <c r="M209" s="932"/>
      <c r="N209" s="932"/>
      <c r="O209" s="932"/>
      <c r="P209" s="931"/>
      <c r="Q209" s="931"/>
      <c r="R209" s="931"/>
      <c r="S209" s="931"/>
      <c r="T209" s="933"/>
      <c r="U209" s="934"/>
      <c r="V209" s="934"/>
      <c r="W209" s="935"/>
      <c r="X209" s="936"/>
      <c r="Y209" s="937"/>
      <c r="Z209" s="937"/>
      <c r="AA209" s="938"/>
      <c r="AB209" s="594"/>
      <c r="AC209" s="595"/>
      <c r="AD209" s="596"/>
      <c r="AE209" s="779"/>
      <c r="AF209" s="939"/>
      <c r="AG209" s="780"/>
      <c r="AH209" s="941"/>
      <c r="AI209" s="942"/>
      <c r="AJ209" s="943"/>
      <c r="AK209" s="745"/>
      <c r="AL209" s="940"/>
      <c r="AM209" s="746"/>
      <c r="AN209" s="281"/>
      <c r="AO209" s="282"/>
      <c r="AP209" s="281"/>
      <c r="AQ209" s="282"/>
      <c r="AR209" s="281"/>
      <c r="AS209" s="282"/>
      <c r="AT209" s="281"/>
      <c r="AU209" s="282"/>
      <c r="AV209" s="281"/>
      <c r="AW209" s="282"/>
      <c r="AX209" s="281"/>
      <c r="AY209" s="282"/>
      <c r="AZ209" s="117"/>
      <c r="BA209" s="331"/>
      <c r="BB209" s="117"/>
      <c r="BC209" s="331"/>
      <c r="BD209" s="117"/>
      <c r="BE209" s="331"/>
      <c r="BF209" s="117"/>
      <c r="BG209" s="331"/>
      <c r="BH209" s="117"/>
      <c r="BI209" s="944" t="s">
        <v>159</v>
      </c>
      <c r="BJ209" s="944"/>
      <c r="BK209" s="944"/>
      <c r="BL209" s="944"/>
      <c r="BM209" s="944"/>
      <c r="BN209" s="944"/>
      <c r="BO209" s="944"/>
      <c r="BP209" s="944"/>
      <c r="BQ209" s="944"/>
      <c r="BR209" s="944"/>
      <c r="BS209" s="944"/>
      <c r="BT209" s="944"/>
      <c r="BU209" s="944"/>
      <c r="BV209" s="945"/>
    </row>
    <row r="210" spans="1:74" ht="30" customHeight="1" x14ac:dyDescent="0.25">
      <c r="A210" s="232">
        <f t="shared" si="3"/>
        <v>196</v>
      </c>
      <c r="B210" s="294" t="s">
        <v>162</v>
      </c>
      <c r="C210" s="295"/>
      <c r="D210" s="936"/>
      <c r="E210" s="937"/>
      <c r="F210" s="937"/>
      <c r="G210" s="937"/>
      <c r="H210" s="937"/>
      <c r="I210" s="937"/>
      <c r="J210" s="937"/>
      <c r="K210" s="938"/>
      <c r="L210" s="932"/>
      <c r="M210" s="932"/>
      <c r="N210" s="932"/>
      <c r="O210" s="932"/>
      <c r="P210" s="931"/>
      <c r="Q210" s="931"/>
      <c r="R210" s="931"/>
      <c r="S210" s="931"/>
      <c r="T210" s="933"/>
      <c r="U210" s="934"/>
      <c r="V210" s="934"/>
      <c r="W210" s="935"/>
      <c r="X210" s="936"/>
      <c r="Y210" s="937"/>
      <c r="Z210" s="937"/>
      <c r="AA210" s="938"/>
      <c r="AB210" s="594"/>
      <c r="AC210" s="595"/>
      <c r="AD210" s="596"/>
      <c r="AE210" s="779"/>
      <c r="AF210" s="939"/>
      <c r="AG210" s="780"/>
      <c r="AH210" s="941"/>
      <c r="AI210" s="942"/>
      <c r="AJ210" s="943"/>
      <c r="AK210" s="745"/>
      <c r="AL210" s="940"/>
      <c r="AM210" s="746"/>
      <c r="AN210" s="281"/>
      <c r="AO210" s="282"/>
      <c r="AP210" s="281"/>
      <c r="AQ210" s="282"/>
      <c r="AR210" s="281"/>
      <c r="AS210" s="282"/>
      <c r="AT210" s="281"/>
      <c r="AU210" s="282"/>
      <c r="AV210" s="281"/>
      <c r="AW210" s="282"/>
      <c r="AX210" s="281"/>
      <c r="AY210" s="282"/>
      <c r="AZ210" s="117"/>
      <c r="BA210" s="331"/>
      <c r="BB210" s="117"/>
      <c r="BC210" s="331"/>
      <c r="BD210" s="117"/>
      <c r="BE210" s="331"/>
      <c r="BF210" s="117"/>
      <c r="BG210" s="331"/>
      <c r="BH210" s="117"/>
      <c r="BI210" s="944" t="s">
        <v>212</v>
      </c>
      <c r="BJ210" s="944"/>
      <c r="BK210" s="944"/>
      <c r="BL210" s="944"/>
      <c r="BM210" s="944"/>
      <c r="BN210" s="944"/>
      <c r="BO210" s="944"/>
      <c r="BP210" s="944"/>
      <c r="BQ210" s="944"/>
      <c r="BR210" s="944"/>
      <c r="BS210" s="944"/>
      <c r="BT210" s="944"/>
      <c r="BU210" s="944"/>
      <c r="BV210" s="945"/>
    </row>
    <row r="211" spans="1:74" ht="30" customHeight="1" x14ac:dyDescent="0.25">
      <c r="A211" s="200">
        <f t="shared" si="3"/>
        <v>197</v>
      </c>
      <c r="B211" s="294" t="s">
        <v>162</v>
      </c>
      <c r="C211" s="295"/>
      <c r="D211" s="936"/>
      <c r="E211" s="937"/>
      <c r="F211" s="937"/>
      <c r="G211" s="937"/>
      <c r="H211" s="937"/>
      <c r="I211" s="937"/>
      <c r="J211" s="937"/>
      <c r="K211" s="938"/>
      <c r="L211" s="932"/>
      <c r="M211" s="932"/>
      <c r="N211" s="932"/>
      <c r="O211" s="932"/>
      <c r="P211" s="931"/>
      <c r="Q211" s="931"/>
      <c r="R211" s="931"/>
      <c r="S211" s="931"/>
      <c r="T211" s="933"/>
      <c r="U211" s="934"/>
      <c r="V211" s="934"/>
      <c r="W211" s="935"/>
      <c r="X211" s="936"/>
      <c r="Y211" s="937"/>
      <c r="Z211" s="937"/>
      <c r="AA211" s="938"/>
      <c r="AB211" s="594"/>
      <c r="AC211" s="595"/>
      <c r="AD211" s="596"/>
      <c r="AE211" s="779"/>
      <c r="AF211" s="939"/>
      <c r="AG211" s="780"/>
      <c r="AH211" s="941"/>
      <c r="AI211" s="942"/>
      <c r="AJ211" s="943"/>
      <c r="AK211" s="745"/>
      <c r="AL211" s="940"/>
      <c r="AM211" s="746"/>
      <c r="AN211" s="281"/>
      <c r="AO211" s="282"/>
      <c r="AP211" s="281"/>
      <c r="AQ211" s="282"/>
      <c r="AR211" s="281"/>
      <c r="AS211" s="282"/>
      <c r="AT211" s="281"/>
      <c r="AU211" s="282"/>
      <c r="AV211" s="281"/>
      <c r="AW211" s="282"/>
      <c r="AX211" s="281"/>
      <c r="AY211" s="282"/>
      <c r="AZ211" s="117"/>
      <c r="BA211" s="331"/>
      <c r="BB211" s="117"/>
      <c r="BC211" s="331"/>
      <c r="BD211" s="117"/>
      <c r="BE211" s="331"/>
      <c r="BF211" s="117"/>
      <c r="BG211" s="331"/>
      <c r="BH211" s="117"/>
      <c r="BI211" s="944" t="s">
        <v>212</v>
      </c>
      <c r="BJ211" s="944"/>
      <c r="BK211" s="944"/>
      <c r="BL211" s="944"/>
      <c r="BM211" s="944"/>
      <c r="BN211" s="944"/>
      <c r="BO211" s="944"/>
      <c r="BP211" s="944"/>
      <c r="BQ211" s="944"/>
      <c r="BR211" s="944"/>
      <c r="BS211" s="944"/>
      <c r="BT211" s="944"/>
      <c r="BU211" s="944"/>
      <c r="BV211" s="945"/>
    </row>
    <row r="212" spans="1:74" ht="30" customHeight="1" x14ac:dyDescent="0.25">
      <c r="A212" s="200">
        <f t="shared" si="3"/>
        <v>198</v>
      </c>
      <c r="B212" s="294" t="s">
        <v>162</v>
      </c>
      <c r="C212" s="295"/>
      <c r="D212" s="936"/>
      <c r="E212" s="937"/>
      <c r="F212" s="937"/>
      <c r="G212" s="937"/>
      <c r="H212" s="937"/>
      <c r="I212" s="937"/>
      <c r="J212" s="937"/>
      <c r="K212" s="938"/>
      <c r="L212" s="932"/>
      <c r="M212" s="932"/>
      <c r="N212" s="932"/>
      <c r="O212" s="932"/>
      <c r="P212" s="931"/>
      <c r="Q212" s="931"/>
      <c r="R212" s="931"/>
      <c r="S212" s="931"/>
      <c r="T212" s="933"/>
      <c r="U212" s="934"/>
      <c r="V212" s="934"/>
      <c r="W212" s="935"/>
      <c r="X212" s="936"/>
      <c r="Y212" s="937"/>
      <c r="Z212" s="937"/>
      <c r="AA212" s="938"/>
      <c r="AB212" s="594"/>
      <c r="AC212" s="595"/>
      <c r="AD212" s="596"/>
      <c r="AE212" s="779"/>
      <c r="AF212" s="939"/>
      <c r="AG212" s="780"/>
      <c r="AH212" s="941"/>
      <c r="AI212" s="942"/>
      <c r="AJ212" s="943"/>
      <c r="AK212" s="745"/>
      <c r="AL212" s="940"/>
      <c r="AM212" s="746"/>
      <c r="AN212" s="281"/>
      <c r="AO212" s="282"/>
      <c r="AP212" s="281"/>
      <c r="AQ212" s="282"/>
      <c r="AR212" s="281"/>
      <c r="AS212" s="282"/>
      <c r="AT212" s="281"/>
      <c r="AU212" s="282"/>
      <c r="AV212" s="281"/>
      <c r="AW212" s="282"/>
      <c r="AX212" s="281"/>
      <c r="AY212" s="282"/>
      <c r="AZ212" s="117"/>
      <c r="BA212" s="331"/>
      <c r="BB212" s="117"/>
      <c r="BC212" s="331"/>
      <c r="BD212" s="117"/>
      <c r="BE212" s="331"/>
      <c r="BF212" s="117"/>
      <c r="BG212" s="331"/>
      <c r="BH212" s="117"/>
      <c r="BI212" s="944" t="s">
        <v>212</v>
      </c>
      <c r="BJ212" s="944"/>
      <c r="BK212" s="944"/>
      <c r="BL212" s="944"/>
      <c r="BM212" s="944"/>
      <c r="BN212" s="944"/>
      <c r="BO212" s="944"/>
      <c r="BP212" s="944"/>
      <c r="BQ212" s="944"/>
      <c r="BR212" s="944"/>
      <c r="BS212" s="944"/>
      <c r="BT212" s="944"/>
      <c r="BU212" s="944"/>
      <c r="BV212" s="945"/>
    </row>
    <row r="213" spans="1:74" ht="30" customHeight="1" x14ac:dyDescent="0.25">
      <c r="A213" s="200">
        <f t="shared" si="3"/>
        <v>199</v>
      </c>
      <c r="B213" s="294" t="s">
        <v>162</v>
      </c>
      <c r="C213" s="295"/>
      <c r="D213" s="936"/>
      <c r="E213" s="937"/>
      <c r="F213" s="937"/>
      <c r="G213" s="937"/>
      <c r="H213" s="937"/>
      <c r="I213" s="937"/>
      <c r="J213" s="937"/>
      <c r="K213" s="938"/>
      <c r="L213" s="932"/>
      <c r="M213" s="932"/>
      <c r="N213" s="932"/>
      <c r="O213" s="932"/>
      <c r="P213" s="931"/>
      <c r="Q213" s="931"/>
      <c r="R213" s="931"/>
      <c r="S213" s="931"/>
      <c r="T213" s="933"/>
      <c r="U213" s="934"/>
      <c r="V213" s="934"/>
      <c r="W213" s="935"/>
      <c r="X213" s="936"/>
      <c r="Y213" s="937"/>
      <c r="Z213" s="937"/>
      <c r="AA213" s="938"/>
      <c r="AB213" s="594"/>
      <c r="AC213" s="595"/>
      <c r="AD213" s="596"/>
      <c r="AE213" s="779"/>
      <c r="AF213" s="939"/>
      <c r="AG213" s="780"/>
      <c r="AH213" s="941"/>
      <c r="AI213" s="942"/>
      <c r="AJ213" s="943"/>
      <c r="AK213" s="745"/>
      <c r="AL213" s="940"/>
      <c r="AM213" s="746"/>
      <c r="AN213" s="281"/>
      <c r="AO213" s="282"/>
      <c r="AP213" s="281"/>
      <c r="AQ213" s="282"/>
      <c r="AR213" s="281"/>
      <c r="AS213" s="282"/>
      <c r="AT213" s="281"/>
      <c r="AU213" s="282"/>
      <c r="AV213" s="281"/>
      <c r="AW213" s="282"/>
      <c r="AX213" s="281"/>
      <c r="AY213" s="282"/>
      <c r="AZ213" s="117"/>
      <c r="BA213" s="331"/>
      <c r="BB213" s="117"/>
      <c r="BC213" s="331"/>
      <c r="BD213" s="117"/>
      <c r="BE213" s="331"/>
      <c r="BF213" s="117"/>
      <c r="BG213" s="331"/>
      <c r="BH213" s="117"/>
      <c r="BI213" s="944" t="s">
        <v>212</v>
      </c>
      <c r="BJ213" s="944"/>
      <c r="BK213" s="944"/>
      <c r="BL213" s="944"/>
      <c r="BM213" s="944"/>
      <c r="BN213" s="944"/>
      <c r="BO213" s="944"/>
      <c r="BP213" s="944"/>
      <c r="BQ213" s="944"/>
      <c r="BR213" s="944"/>
      <c r="BS213" s="944"/>
      <c r="BT213" s="944"/>
      <c r="BU213" s="944"/>
      <c r="BV213" s="945"/>
    </row>
    <row r="214" spans="1:74" ht="30" customHeight="1" x14ac:dyDescent="0.25">
      <c r="A214" s="200">
        <f t="shared" si="3"/>
        <v>200</v>
      </c>
      <c r="B214" s="294" t="s">
        <v>162</v>
      </c>
      <c r="C214" s="295"/>
      <c r="D214" s="936"/>
      <c r="E214" s="937"/>
      <c r="F214" s="937"/>
      <c r="G214" s="937"/>
      <c r="H214" s="937"/>
      <c r="I214" s="937"/>
      <c r="J214" s="937"/>
      <c r="K214" s="938"/>
      <c r="L214" s="932"/>
      <c r="M214" s="932"/>
      <c r="N214" s="932"/>
      <c r="O214" s="932"/>
      <c r="P214" s="931"/>
      <c r="Q214" s="931"/>
      <c r="R214" s="931"/>
      <c r="S214" s="931"/>
      <c r="T214" s="933"/>
      <c r="U214" s="934"/>
      <c r="V214" s="934"/>
      <c r="W214" s="935"/>
      <c r="X214" s="936"/>
      <c r="Y214" s="937"/>
      <c r="Z214" s="937"/>
      <c r="AA214" s="938"/>
      <c r="AB214" s="594"/>
      <c r="AC214" s="595"/>
      <c r="AD214" s="596"/>
      <c r="AE214" s="779"/>
      <c r="AF214" s="939"/>
      <c r="AG214" s="780"/>
      <c r="AH214" s="941"/>
      <c r="AI214" s="942"/>
      <c r="AJ214" s="943"/>
      <c r="AK214" s="745"/>
      <c r="AL214" s="940"/>
      <c r="AM214" s="746"/>
      <c r="AN214" s="281"/>
      <c r="AO214" s="282"/>
      <c r="AP214" s="281"/>
      <c r="AQ214" s="282"/>
      <c r="AR214" s="281"/>
      <c r="AS214" s="282"/>
      <c r="AT214" s="281"/>
      <c r="AU214" s="282"/>
      <c r="AV214" s="281"/>
      <c r="AW214" s="282"/>
      <c r="AX214" s="281"/>
      <c r="AY214" s="282"/>
      <c r="AZ214" s="117"/>
      <c r="BA214" s="331"/>
      <c r="BB214" s="117"/>
      <c r="BC214" s="331"/>
      <c r="BD214" s="117"/>
      <c r="BE214" s="331"/>
      <c r="BF214" s="117"/>
      <c r="BG214" s="331"/>
      <c r="BH214" s="117"/>
      <c r="BI214" s="944" t="s">
        <v>212</v>
      </c>
      <c r="BJ214" s="944"/>
      <c r="BK214" s="944"/>
      <c r="BL214" s="944"/>
      <c r="BM214" s="944"/>
      <c r="BN214" s="944"/>
      <c r="BO214" s="944"/>
      <c r="BP214" s="944"/>
      <c r="BQ214" s="944"/>
      <c r="BR214" s="944"/>
      <c r="BS214" s="944"/>
      <c r="BT214" s="944"/>
      <c r="BU214" s="944"/>
      <c r="BV214" s="945"/>
    </row>
    <row r="215" spans="1:74" ht="30" customHeight="1" x14ac:dyDescent="0.25">
      <c r="A215" s="200">
        <f t="shared" si="3"/>
        <v>201</v>
      </c>
      <c r="B215" s="294" t="s">
        <v>162</v>
      </c>
      <c r="C215" s="295"/>
      <c r="D215" s="936"/>
      <c r="E215" s="937"/>
      <c r="F215" s="937"/>
      <c r="G215" s="937"/>
      <c r="H215" s="937"/>
      <c r="I215" s="937"/>
      <c r="J215" s="937"/>
      <c r="K215" s="938"/>
      <c r="L215" s="932"/>
      <c r="M215" s="932"/>
      <c r="N215" s="932"/>
      <c r="O215" s="932"/>
      <c r="P215" s="931"/>
      <c r="Q215" s="931"/>
      <c r="R215" s="931"/>
      <c r="S215" s="931"/>
      <c r="T215" s="933"/>
      <c r="U215" s="934"/>
      <c r="V215" s="934"/>
      <c r="W215" s="935"/>
      <c r="X215" s="936"/>
      <c r="Y215" s="937"/>
      <c r="Z215" s="937"/>
      <c r="AA215" s="938"/>
      <c r="AB215" s="594"/>
      <c r="AC215" s="595"/>
      <c r="AD215" s="596"/>
      <c r="AE215" s="779"/>
      <c r="AF215" s="939"/>
      <c r="AG215" s="780"/>
      <c r="AH215" s="941"/>
      <c r="AI215" s="942"/>
      <c r="AJ215" s="943"/>
      <c r="AK215" s="745"/>
      <c r="AL215" s="940"/>
      <c r="AM215" s="746"/>
      <c r="AN215" s="281"/>
      <c r="AO215" s="282"/>
      <c r="AP215" s="281"/>
      <c r="AQ215" s="282"/>
      <c r="AR215" s="281"/>
      <c r="AS215" s="282"/>
      <c r="AT215" s="281"/>
      <c r="AU215" s="282"/>
      <c r="AV215" s="281"/>
      <c r="AW215" s="282"/>
      <c r="AX215" s="281"/>
      <c r="AY215" s="282"/>
      <c r="AZ215" s="117"/>
      <c r="BA215" s="331"/>
      <c r="BB215" s="117"/>
      <c r="BC215" s="331"/>
      <c r="BD215" s="117"/>
      <c r="BE215" s="331"/>
      <c r="BF215" s="117"/>
      <c r="BG215" s="331"/>
      <c r="BH215" s="117"/>
      <c r="BI215" s="944" t="s">
        <v>159</v>
      </c>
      <c r="BJ215" s="944"/>
      <c r="BK215" s="944"/>
      <c r="BL215" s="944"/>
      <c r="BM215" s="944"/>
      <c r="BN215" s="944"/>
      <c r="BO215" s="944"/>
      <c r="BP215" s="944"/>
      <c r="BQ215" s="944"/>
      <c r="BR215" s="944"/>
      <c r="BS215" s="944"/>
      <c r="BT215" s="944"/>
      <c r="BU215" s="944"/>
      <c r="BV215" s="945"/>
    </row>
    <row r="216" spans="1:74" ht="30" customHeight="1" x14ac:dyDescent="0.25">
      <c r="A216" s="200">
        <f t="shared" si="3"/>
        <v>202</v>
      </c>
      <c r="B216" s="294" t="s">
        <v>162</v>
      </c>
      <c r="C216" s="295"/>
      <c r="D216" s="936"/>
      <c r="E216" s="937"/>
      <c r="F216" s="937"/>
      <c r="G216" s="937"/>
      <c r="H216" s="937"/>
      <c r="I216" s="937"/>
      <c r="J216" s="937"/>
      <c r="K216" s="938"/>
      <c r="L216" s="932"/>
      <c r="M216" s="932"/>
      <c r="N216" s="932"/>
      <c r="O216" s="932"/>
      <c r="P216" s="931"/>
      <c r="Q216" s="931"/>
      <c r="R216" s="931"/>
      <c r="S216" s="931"/>
      <c r="T216" s="933"/>
      <c r="U216" s="934"/>
      <c r="V216" s="934"/>
      <c r="W216" s="935"/>
      <c r="X216" s="936"/>
      <c r="Y216" s="937"/>
      <c r="Z216" s="937"/>
      <c r="AA216" s="938"/>
      <c r="AB216" s="594"/>
      <c r="AC216" s="595"/>
      <c r="AD216" s="596"/>
      <c r="AE216" s="779"/>
      <c r="AF216" s="939"/>
      <c r="AG216" s="780"/>
      <c r="AH216" s="941"/>
      <c r="AI216" s="942"/>
      <c r="AJ216" s="943"/>
      <c r="AK216" s="745"/>
      <c r="AL216" s="940"/>
      <c r="AM216" s="746"/>
      <c r="AN216" s="281"/>
      <c r="AO216" s="282"/>
      <c r="AP216" s="281"/>
      <c r="AQ216" s="282"/>
      <c r="AR216" s="281"/>
      <c r="AS216" s="282"/>
      <c r="AT216" s="281"/>
      <c r="AU216" s="282"/>
      <c r="AV216" s="281"/>
      <c r="AW216" s="282"/>
      <c r="AX216" s="281"/>
      <c r="AY216" s="282"/>
      <c r="AZ216" s="117"/>
      <c r="BA216" s="331"/>
      <c r="BB216" s="117"/>
      <c r="BC216" s="331"/>
      <c r="BD216" s="117"/>
      <c r="BE216" s="331"/>
      <c r="BF216" s="117"/>
      <c r="BG216" s="331"/>
      <c r="BH216" s="117"/>
      <c r="BI216" s="944" t="s">
        <v>159</v>
      </c>
      <c r="BJ216" s="944"/>
      <c r="BK216" s="944"/>
      <c r="BL216" s="944"/>
      <c r="BM216" s="944"/>
      <c r="BN216" s="944"/>
      <c r="BO216" s="944"/>
      <c r="BP216" s="944"/>
      <c r="BQ216" s="944"/>
      <c r="BR216" s="944"/>
      <c r="BS216" s="944"/>
      <c r="BT216" s="944"/>
      <c r="BU216" s="944"/>
      <c r="BV216" s="945"/>
    </row>
    <row r="217" spans="1:74" ht="30" customHeight="1" x14ac:dyDescent="0.25">
      <c r="A217" s="232">
        <f t="shared" si="3"/>
        <v>203</v>
      </c>
      <c r="B217" s="294" t="s">
        <v>162</v>
      </c>
      <c r="C217" s="295"/>
      <c r="D217" s="936"/>
      <c r="E217" s="937"/>
      <c r="F217" s="937"/>
      <c r="G217" s="937"/>
      <c r="H217" s="937"/>
      <c r="I217" s="937"/>
      <c r="J217" s="937"/>
      <c r="K217" s="938"/>
      <c r="L217" s="932"/>
      <c r="M217" s="932"/>
      <c r="N217" s="932"/>
      <c r="O217" s="932"/>
      <c r="P217" s="931"/>
      <c r="Q217" s="931"/>
      <c r="R217" s="931"/>
      <c r="S217" s="931"/>
      <c r="T217" s="933"/>
      <c r="U217" s="934"/>
      <c r="V217" s="934"/>
      <c r="W217" s="935"/>
      <c r="X217" s="936"/>
      <c r="Y217" s="937"/>
      <c r="Z217" s="937"/>
      <c r="AA217" s="938"/>
      <c r="AB217" s="594"/>
      <c r="AC217" s="595"/>
      <c r="AD217" s="596"/>
      <c r="AE217" s="779"/>
      <c r="AF217" s="939"/>
      <c r="AG217" s="780"/>
      <c r="AH217" s="941"/>
      <c r="AI217" s="942"/>
      <c r="AJ217" s="943"/>
      <c r="AK217" s="745"/>
      <c r="AL217" s="940"/>
      <c r="AM217" s="746"/>
      <c r="AN217" s="281"/>
      <c r="AO217" s="282"/>
      <c r="AP217" s="281"/>
      <c r="AQ217" s="282"/>
      <c r="AR217" s="281"/>
      <c r="AS217" s="282"/>
      <c r="AT217" s="281"/>
      <c r="AU217" s="282"/>
      <c r="AV217" s="281"/>
      <c r="AW217" s="282"/>
      <c r="AX217" s="281"/>
      <c r="AY217" s="282"/>
      <c r="AZ217" s="117"/>
      <c r="BA217" s="331"/>
      <c r="BB217" s="117"/>
      <c r="BC217" s="331"/>
      <c r="BD217" s="117"/>
      <c r="BE217" s="331"/>
      <c r="BF217" s="117"/>
      <c r="BG217" s="331"/>
      <c r="BH217" s="117"/>
      <c r="BI217" s="944" t="s">
        <v>212</v>
      </c>
      <c r="BJ217" s="944"/>
      <c r="BK217" s="944"/>
      <c r="BL217" s="944"/>
      <c r="BM217" s="944"/>
      <c r="BN217" s="944"/>
      <c r="BO217" s="944"/>
      <c r="BP217" s="944"/>
      <c r="BQ217" s="944"/>
      <c r="BR217" s="944"/>
      <c r="BS217" s="944"/>
      <c r="BT217" s="944"/>
      <c r="BU217" s="944"/>
      <c r="BV217" s="945"/>
    </row>
    <row r="218" spans="1:74" ht="30" customHeight="1" x14ac:dyDescent="0.25">
      <c r="A218" s="200">
        <f t="shared" si="3"/>
        <v>204</v>
      </c>
      <c r="B218" s="294" t="s">
        <v>162</v>
      </c>
      <c r="C218" s="295"/>
      <c r="D218" s="936"/>
      <c r="E218" s="937"/>
      <c r="F218" s="937"/>
      <c r="G218" s="937"/>
      <c r="H218" s="937"/>
      <c r="I218" s="937"/>
      <c r="J218" s="937"/>
      <c r="K218" s="938"/>
      <c r="L218" s="932"/>
      <c r="M218" s="932"/>
      <c r="N218" s="932"/>
      <c r="O218" s="932"/>
      <c r="P218" s="931"/>
      <c r="Q218" s="931"/>
      <c r="R218" s="931"/>
      <c r="S218" s="931"/>
      <c r="T218" s="933"/>
      <c r="U218" s="934"/>
      <c r="V218" s="934"/>
      <c r="W218" s="935"/>
      <c r="X218" s="936"/>
      <c r="Y218" s="937"/>
      <c r="Z218" s="937"/>
      <c r="AA218" s="938"/>
      <c r="AB218" s="594"/>
      <c r="AC218" s="595"/>
      <c r="AD218" s="596"/>
      <c r="AE218" s="779"/>
      <c r="AF218" s="939"/>
      <c r="AG218" s="780"/>
      <c r="AH218" s="941"/>
      <c r="AI218" s="942"/>
      <c r="AJ218" s="943"/>
      <c r="AK218" s="745"/>
      <c r="AL218" s="940"/>
      <c r="AM218" s="746"/>
      <c r="AN218" s="281"/>
      <c r="AO218" s="282"/>
      <c r="AP218" s="281"/>
      <c r="AQ218" s="282"/>
      <c r="AR218" s="281"/>
      <c r="AS218" s="282"/>
      <c r="AT218" s="281"/>
      <c r="AU218" s="282"/>
      <c r="AV218" s="281"/>
      <c r="AW218" s="282"/>
      <c r="AX218" s="281"/>
      <c r="AY218" s="282"/>
      <c r="AZ218" s="117"/>
      <c r="BA218" s="331"/>
      <c r="BB218" s="117"/>
      <c r="BC218" s="331"/>
      <c r="BD218" s="117"/>
      <c r="BE218" s="331"/>
      <c r="BF218" s="117"/>
      <c r="BG218" s="331"/>
      <c r="BH218" s="117"/>
      <c r="BI218" s="944" t="s">
        <v>212</v>
      </c>
      <c r="BJ218" s="944"/>
      <c r="BK218" s="944"/>
      <c r="BL218" s="944"/>
      <c r="BM218" s="944"/>
      <c r="BN218" s="944"/>
      <c r="BO218" s="944"/>
      <c r="BP218" s="944"/>
      <c r="BQ218" s="944"/>
      <c r="BR218" s="944"/>
      <c r="BS218" s="944"/>
      <c r="BT218" s="944"/>
      <c r="BU218" s="944"/>
      <c r="BV218" s="945"/>
    </row>
    <row r="219" spans="1:74" ht="30" customHeight="1" x14ac:dyDescent="0.25">
      <c r="A219" s="200">
        <f t="shared" si="3"/>
        <v>205</v>
      </c>
      <c r="B219" s="294" t="s">
        <v>162</v>
      </c>
      <c r="C219" s="295"/>
      <c r="D219" s="936"/>
      <c r="E219" s="937"/>
      <c r="F219" s="937"/>
      <c r="G219" s="937"/>
      <c r="H219" s="937"/>
      <c r="I219" s="937"/>
      <c r="J219" s="937"/>
      <c r="K219" s="938"/>
      <c r="L219" s="932"/>
      <c r="M219" s="932"/>
      <c r="N219" s="932"/>
      <c r="O219" s="932"/>
      <c r="P219" s="931"/>
      <c r="Q219" s="931"/>
      <c r="R219" s="931"/>
      <c r="S219" s="931"/>
      <c r="T219" s="933"/>
      <c r="U219" s="934"/>
      <c r="V219" s="934"/>
      <c r="W219" s="935"/>
      <c r="X219" s="936"/>
      <c r="Y219" s="937"/>
      <c r="Z219" s="937"/>
      <c r="AA219" s="938"/>
      <c r="AB219" s="594"/>
      <c r="AC219" s="595"/>
      <c r="AD219" s="596"/>
      <c r="AE219" s="779"/>
      <c r="AF219" s="939"/>
      <c r="AG219" s="780"/>
      <c r="AH219" s="941"/>
      <c r="AI219" s="942"/>
      <c r="AJ219" s="943"/>
      <c r="AK219" s="745"/>
      <c r="AL219" s="940"/>
      <c r="AM219" s="746"/>
      <c r="AN219" s="281"/>
      <c r="AO219" s="282"/>
      <c r="AP219" s="281"/>
      <c r="AQ219" s="282"/>
      <c r="AR219" s="281"/>
      <c r="AS219" s="282"/>
      <c r="AT219" s="281"/>
      <c r="AU219" s="282"/>
      <c r="AV219" s="281"/>
      <c r="AW219" s="282"/>
      <c r="AX219" s="281"/>
      <c r="AY219" s="282"/>
      <c r="AZ219" s="117"/>
      <c r="BA219" s="331"/>
      <c r="BB219" s="117"/>
      <c r="BC219" s="331"/>
      <c r="BD219" s="117"/>
      <c r="BE219" s="331"/>
      <c r="BF219" s="117"/>
      <c r="BG219" s="331"/>
      <c r="BH219" s="117"/>
      <c r="BI219" s="944" t="s">
        <v>212</v>
      </c>
      <c r="BJ219" s="944"/>
      <c r="BK219" s="944"/>
      <c r="BL219" s="944"/>
      <c r="BM219" s="944"/>
      <c r="BN219" s="944"/>
      <c r="BO219" s="944"/>
      <c r="BP219" s="944"/>
      <c r="BQ219" s="944"/>
      <c r="BR219" s="944"/>
      <c r="BS219" s="944"/>
      <c r="BT219" s="944"/>
      <c r="BU219" s="944"/>
      <c r="BV219" s="945"/>
    </row>
    <row r="220" spans="1:74" ht="30" customHeight="1" x14ac:dyDescent="0.25">
      <c r="A220" s="200">
        <f t="shared" si="3"/>
        <v>206</v>
      </c>
      <c r="B220" s="294" t="s">
        <v>162</v>
      </c>
      <c r="C220" s="295"/>
      <c r="D220" s="936"/>
      <c r="E220" s="937"/>
      <c r="F220" s="937"/>
      <c r="G220" s="937"/>
      <c r="H220" s="937"/>
      <c r="I220" s="937"/>
      <c r="J220" s="937"/>
      <c r="K220" s="938"/>
      <c r="L220" s="932"/>
      <c r="M220" s="932"/>
      <c r="N220" s="932"/>
      <c r="O220" s="932"/>
      <c r="P220" s="931"/>
      <c r="Q220" s="931"/>
      <c r="R220" s="931"/>
      <c r="S220" s="931"/>
      <c r="T220" s="933"/>
      <c r="U220" s="934"/>
      <c r="V220" s="934"/>
      <c r="W220" s="935"/>
      <c r="X220" s="936"/>
      <c r="Y220" s="937"/>
      <c r="Z220" s="937"/>
      <c r="AA220" s="938"/>
      <c r="AB220" s="594"/>
      <c r="AC220" s="595"/>
      <c r="AD220" s="596"/>
      <c r="AE220" s="779"/>
      <c r="AF220" s="939"/>
      <c r="AG220" s="780"/>
      <c r="AH220" s="941"/>
      <c r="AI220" s="942"/>
      <c r="AJ220" s="943"/>
      <c r="AK220" s="745"/>
      <c r="AL220" s="940"/>
      <c r="AM220" s="746"/>
      <c r="AN220" s="281"/>
      <c r="AO220" s="282"/>
      <c r="AP220" s="281"/>
      <c r="AQ220" s="282"/>
      <c r="AR220" s="281"/>
      <c r="AS220" s="282"/>
      <c r="AT220" s="281"/>
      <c r="AU220" s="282"/>
      <c r="AV220" s="281"/>
      <c r="AW220" s="282"/>
      <c r="AX220" s="281"/>
      <c r="AY220" s="282"/>
      <c r="AZ220" s="117"/>
      <c r="BA220" s="331"/>
      <c r="BB220" s="117"/>
      <c r="BC220" s="331"/>
      <c r="BD220" s="117"/>
      <c r="BE220" s="331"/>
      <c r="BF220" s="117"/>
      <c r="BG220" s="331"/>
      <c r="BH220" s="117"/>
      <c r="BI220" s="944" t="s">
        <v>212</v>
      </c>
      <c r="BJ220" s="944"/>
      <c r="BK220" s="944"/>
      <c r="BL220" s="944"/>
      <c r="BM220" s="944"/>
      <c r="BN220" s="944"/>
      <c r="BO220" s="944"/>
      <c r="BP220" s="944"/>
      <c r="BQ220" s="944"/>
      <c r="BR220" s="944"/>
      <c r="BS220" s="944"/>
      <c r="BT220" s="944"/>
      <c r="BU220" s="944"/>
      <c r="BV220" s="945"/>
    </row>
    <row r="221" spans="1:74" ht="30" customHeight="1" x14ac:dyDescent="0.25">
      <c r="A221" s="200">
        <f t="shared" si="3"/>
        <v>207</v>
      </c>
      <c r="B221" s="294" t="s">
        <v>162</v>
      </c>
      <c r="C221" s="295"/>
      <c r="D221" s="936"/>
      <c r="E221" s="937"/>
      <c r="F221" s="937"/>
      <c r="G221" s="937"/>
      <c r="H221" s="937"/>
      <c r="I221" s="937"/>
      <c r="J221" s="937"/>
      <c r="K221" s="938"/>
      <c r="L221" s="932"/>
      <c r="M221" s="932"/>
      <c r="N221" s="932"/>
      <c r="O221" s="932"/>
      <c r="P221" s="931"/>
      <c r="Q221" s="931"/>
      <c r="R221" s="931"/>
      <c r="S221" s="931"/>
      <c r="T221" s="933"/>
      <c r="U221" s="934"/>
      <c r="V221" s="934"/>
      <c r="W221" s="935"/>
      <c r="X221" s="936"/>
      <c r="Y221" s="937"/>
      <c r="Z221" s="937"/>
      <c r="AA221" s="938"/>
      <c r="AB221" s="594"/>
      <c r="AC221" s="595"/>
      <c r="AD221" s="596"/>
      <c r="AE221" s="779"/>
      <c r="AF221" s="939"/>
      <c r="AG221" s="780"/>
      <c r="AH221" s="941"/>
      <c r="AI221" s="942"/>
      <c r="AJ221" s="943"/>
      <c r="AK221" s="745"/>
      <c r="AL221" s="940"/>
      <c r="AM221" s="746"/>
      <c r="AN221" s="281"/>
      <c r="AO221" s="282"/>
      <c r="AP221" s="281"/>
      <c r="AQ221" s="282"/>
      <c r="AR221" s="281"/>
      <c r="AS221" s="282"/>
      <c r="AT221" s="281"/>
      <c r="AU221" s="282"/>
      <c r="AV221" s="281"/>
      <c r="AW221" s="282"/>
      <c r="AX221" s="281"/>
      <c r="AY221" s="282"/>
      <c r="AZ221" s="117"/>
      <c r="BA221" s="331"/>
      <c r="BB221" s="117"/>
      <c r="BC221" s="331"/>
      <c r="BD221" s="117"/>
      <c r="BE221" s="331"/>
      <c r="BF221" s="117"/>
      <c r="BG221" s="331"/>
      <c r="BH221" s="117"/>
      <c r="BI221" s="944" t="s">
        <v>212</v>
      </c>
      <c r="BJ221" s="944"/>
      <c r="BK221" s="944"/>
      <c r="BL221" s="944"/>
      <c r="BM221" s="944"/>
      <c r="BN221" s="944"/>
      <c r="BO221" s="944"/>
      <c r="BP221" s="944"/>
      <c r="BQ221" s="944"/>
      <c r="BR221" s="944"/>
      <c r="BS221" s="944"/>
      <c r="BT221" s="944"/>
      <c r="BU221" s="944"/>
      <c r="BV221" s="945"/>
    </row>
    <row r="222" spans="1:74" ht="30" customHeight="1" x14ac:dyDescent="0.25">
      <c r="A222" s="200">
        <f t="shared" si="3"/>
        <v>208</v>
      </c>
      <c r="B222" s="294" t="s">
        <v>162</v>
      </c>
      <c r="C222" s="295"/>
      <c r="D222" s="936"/>
      <c r="E222" s="937"/>
      <c r="F222" s="937"/>
      <c r="G222" s="937"/>
      <c r="H222" s="937"/>
      <c r="I222" s="937"/>
      <c r="J222" s="937"/>
      <c r="K222" s="938"/>
      <c r="L222" s="932"/>
      <c r="M222" s="932"/>
      <c r="N222" s="932"/>
      <c r="O222" s="932"/>
      <c r="P222" s="931"/>
      <c r="Q222" s="931"/>
      <c r="R222" s="931"/>
      <c r="S222" s="931"/>
      <c r="T222" s="933"/>
      <c r="U222" s="934"/>
      <c r="V222" s="934"/>
      <c r="W222" s="935"/>
      <c r="X222" s="936"/>
      <c r="Y222" s="937"/>
      <c r="Z222" s="937"/>
      <c r="AA222" s="938"/>
      <c r="AB222" s="594"/>
      <c r="AC222" s="595"/>
      <c r="AD222" s="596"/>
      <c r="AE222" s="779"/>
      <c r="AF222" s="939"/>
      <c r="AG222" s="780"/>
      <c r="AH222" s="941"/>
      <c r="AI222" s="942"/>
      <c r="AJ222" s="943"/>
      <c r="AK222" s="745"/>
      <c r="AL222" s="940"/>
      <c r="AM222" s="746"/>
      <c r="AN222" s="281"/>
      <c r="AO222" s="282"/>
      <c r="AP222" s="281"/>
      <c r="AQ222" s="282"/>
      <c r="AR222" s="281"/>
      <c r="AS222" s="282"/>
      <c r="AT222" s="281"/>
      <c r="AU222" s="282"/>
      <c r="AV222" s="281"/>
      <c r="AW222" s="282"/>
      <c r="AX222" s="281"/>
      <c r="AY222" s="282"/>
      <c r="AZ222" s="117"/>
      <c r="BA222" s="331"/>
      <c r="BB222" s="117"/>
      <c r="BC222" s="331"/>
      <c r="BD222" s="117"/>
      <c r="BE222" s="331"/>
      <c r="BF222" s="117"/>
      <c r="BG222" s="331"/>
      <c r="BH222" s="117"/>
      <c r="BI222" s="944" t="s">
        <v>159</v>
      </c>
      <c r="BJ222" s="944"/>
      <c r="BK222" s="944"/>
      <c r="BL222" s="944"/>
      <c r="BM222" s="944"/>
      <c r="BN222" s="944"/>
      <c r="BO222" s="944"/>
      <c r="BP222" s="944"/>
      <c r="BQ222" s="944"/>
      <c r="BR222" s="944"/>
      <c r="BS222" s="944"/>
      <c r="BT222" s="944"/>
      <c r="BU222" s="944"/>
      <c r="BV222" s="945"/>
    </row>
    <row r="223" spans="1:74" ht="30" customHeight="1" x14ac:dyDescent="0.25">
      <c r="A223" s="232">
        <f t="shared" si="3"/>
        <v>209</v>
      </c>
      <c r="B223" s="294" t="s">
        <v>162</v>
      </c>
      <c r="C223" s="295"/>
      <c r="D223" s="936"/>
      <c r="E223" s="937"/>
      <c r="F223" s="937"/>
      <c r="G223" s="937"/>
      <c r="H223" s="937"/>
      <c r="I223" s="937"/>
      <c r="J223" s="937"/>
      <c r="K223" s="938"/>
      <c r="L223" s="932"/>
      <c r="M223" s="932"/>
      <c r="N223" s="932"/>
      <c r="O223" s="932"/>
      <c r="P223" s="931"/>
      <c r="Q223" s="931"/>
      <c r="R223" s="931"/>
      <c r="S223" s="931"/>
      <c r="T223" s="933"/>
      <c r="U223" s="934"/>
      <c r="V223" s="934"/>
      <c r="W223" s="935"/>
      <c r="X223" s="936"/>
      <c r="Y223" s="937"/>
      <c r="Z223" s="937"/>
      <c r="AA223" s="938"/>
      <c r="AB223" s="594"/>
      <c r="AC223" s="595"/>
      <c r="AD223" s="596"/>
      <c r="AE223" s="779"/>
      <c r="AF223" s="939"/>
      <c r="AG223" s="780"/>
      <c r="AH223" s="941"/>
      <c r="AI223" s="942"/>
      <c r="AJ223" s="943"/>
      <c r="AK223" s="745"/>
      <c r="AL223" s="940"/>
      <c r="AM223" s="746"/>
      <c r="AN223" s="281"/>
      <c r="AO223" s="282"/>
      <c r="AP223" s="281"/>
      <c r="AQ223" s="282"/>
      <c r="AR223" s="281"/>
      <c r="AS223" s="282"/>
      <c r="AT223" s="281"/>
      <c r="AU223" s="282"/>
      <c r="AV223" s="281"/>
      <c r="AW223" s="282"/>
      <c r="AX223" s="281"/>
      <c r="AY223" s="282"/>
      <c r="AZ223" s="117"/>
      <c r="BA223" s="331"/>
      <c r="BB223" s="117"/>
      <c r="BC223" s="331"/>
      <c r="BD223" s="117"/>
      <c r="BE223" s="331"/>
      <c r="BF223" s="117"/>
      <c r="BG223" s="331"/>
      <c r="BH223" s="117"/>
      <c r="BI223" s="944" t="s">
        <v>212</v>
      </c>
      <c r="BJ223" s="944"/>
      <c r="BK223" s="944"/>
      <c r="BL223" s="944"/>
      <c r="BM223" s="944"/>
      <c r="BN223" s="944"/>
      <c r="BO223" s="944"/>
      <c r="BP223" s="944"/>
      <c r="BQ223" s="944"/>
      <c r="BR223" s="944"/>
      <c r="BS223" s="944"/>
      <c r="BT223" s="944"/>
      <c r="BU223" s="944"/>
      <c r="BV223" s="945"/>
    </row>
    <row r="224" spans="1:74" ht="30" customHeight="1" x14ac:dyDescent="0.25">
      <c r="A224" s="200">
        <f t="shared" si="3"/>
        <v>210</v>
      </c>
      <c r="B224" s="294" t="s">
        <v>162</v>
      </c>
      <c r="C224" s="295"/>
      <c r="D224" s="936"/>
      <c r="E224" s="937"/>
      <c r="F224" s="937"/>
      <c r="G224" s="937"/>
      <c r="H224" s="937"/>
      <c r="I224" s="937"/>
      <c r="J224" s="937"/>
      <c r="K224" s="938"/>
      <c r="L224" s="932"/>
      <c r="M224" s="932"/>
      <c r="N224" s="932"/>
      <c r="O224" s="932"/>
      <c r="P224" s="931"/>
      <c r="Q224" s="931"/>
      <c r="R224" s="931"/>
      <c r="S224" s="931"/>
      <c r="T224" s="933"/>
      <c r="U224" s="934"/>
      <c r="V224" s="934"/>
      <c r="W224" s="935"/>
      <c r="X224" s="936"/>
      <c r="Y224" s="937"/>
      <c r="Z224" s="937"/>
      <c r="AA224" s="938"/>
      <c r="AB224" s="594"/>
      <c r="AC224" s="595"/>
      <c r="AD224" s="596"/>
      <c r="AE224" s="779"/>
      <c r="AF224" s="939"/>
      <c r="AG224" s="780"/>
      <c r="AH224" s="941"/>
      <c r="AI224" s="942"/>
      <c r="AJ224" s="943"/>
      <c r="AK224" s="745"/>
      <c r="AL224" s="940"/>
      <c r="AM224" s="746"/>
      <c r="AN224" s="281"/>
      <c r="AO224" s="282"/>
      <c r="AP224" s="281"/>
      <c r="AQ224" s="282"/>
      <c r="AR224" s="281"/>
      <c r="AS224" s="282"/>
      <c r="AT224" s="281"/>
      <c r="AU224" s="282"/>
      <c r="AV224" s="281"/>
      <c r="AW224" s="282"/>
      <c r="AX224" s="281"/>
      <c r="AY224" s="282"/>
      <c r="AZ224" s="117"/>
      <c r="BA224" s="331"/>
      <c r="BB224" s="117"/>
      <c r="BC224" s="331"/>
      <c r="BD224" s="117"/>
      <c r="BE224" s="331"/>
      <c r="BF224" s="117"/>
      <c r="BG224" s="331"/>
      <c r="BH224" s="117"/>
      <c r="BI224" s="944" t="s">
        <v>212</v>
      </c>
      <c r="BJ224" s="944"/>
      <c r="BK224" s="944"/>
      <c r="BL224" s="944"/>
      <c r="BM224" s="944"/>
      <c r="BN224" s="944"/>
      <c r="BO224" s="944"/>
      <c r="BP224" s="944"/>
      <c r="BQ224" s="944"/>
      <c r="BR224" s="944"/>
      <c r="BS224" s="944"/>
      <c r="BT224" s="944"/>
      <c r="BU224" s="944"/>
      <c r="BV224" s="945"/>
    </row>
    <row r="225" spans="1:74" ht="30" customHeight="1" x14ac:dyDescent="0.25">
      <c r="A225" s="200">
        <f t="shared" si="3"/>
        <v>211</v>
      </c>
      <c r="B225" s="294" t="s">
        <v>162</v>
      </c>
      <c r="C225" s="295"/>
      <c r="D225" s="936"/>
      <c r="E225" s="937"/>
      <c r="F225" s="937"/>
      <c r="G225" s="937"/>
      <c r="H225" s="937"/>
      <c r="I225" s="937"/>
      <c r="J225" s="937"/>
      <c r="K225" s="938"/>
      <c r="L225" s="932"/>
      <c r="M225" s="932"/>
      <c r="N225" s="932"/>
      <c r="O225" s="932"/>
      <c r="P225" s="931"/>
      <c r="Q225" s="931"/>
      <c r="R225" s="931"/>
      <c r="S225" s="931"/>
      <c r="T225" s="933"/>
      <c r="U225" s="934"/>
      <c r="V225" s="934"/>
      <c r="W225" s="935"/>
      <c r="X225" s="936"/>
      <c r="Y225" s="937"/>
      <c r="Z225" s="937"/>
      <c r="AA225" s="938"/>
      <c r="AB225" s="594"/>
      <c r="AC225" s="595"/>
      <c r="AD225" s="596"/>
      <c r="AE225" s="779"/>
      <c r="AF225" s="939"/>
      <c r="AG225" s="780"/>
      <c r="AH225" s="941"/>
      <c r="AI225" s="942"/>
      <c r="AJ225" s="943"/>
      <c r="AK225" s="745"/>
      <c r="AL225" s="940"/>
      <c r="AM225" s="746"/>
      <c r="AN225" s="281"/>
      <c r="AO225" s="282"/>
      <c r="AP225" s="281"/>
      <c r="AQ225" s="282"/>
      <c r="AR225" s="281"/>
      <c r="AS225" s="282"/>
      <c r="AT225" s="281"/>
      <c r="AU225" s="282"/>
      <c r="AV225" s="281"/>
      <c r="AW225" s="282"/>
      <c r="AX225" s="281"/>
      <c r="AY225" s="282"/>
      <c r="AZ225" s="117"/>
      <c r="BA225" s="331"/>
      <c r="BB225" s="117"/>
      <c r="BC225" s="331"/>
      <c r="BD225" s="117"/>
      <c r="BE225" s="331"/>
      <c r="BF225" s="117"/>
      <c r="BG225" s="331"/>
      <c r="BH225" s="117"/>
      <c r="BI225" s="944" t="s">
        <v>212</v>
      </c>
      <c r="BJ225" s="944"/>
      <c r="BK225" s="944"/>
      <c r="BL225" s="944"/>
      <c r="BM225" s="944"/>
      <c r="BN225" s="944"/>
      <c r="BO225" s="944"/>
      <c r="BP225" s="944"/>
      <c r="BQ225" s="944"/>
      <c r="BR225" s="944"/>
      <c r="BS225" s="944"/>
      <c r="BT225" s="944"/>
      <c r="BU225" s="944"/>
      <c r="BV225" s="945"/>
    </row>
    <row r="226" spans="1:74" ht="30" customHeight="1" x14ac:dyDescent="0.25">
      <c r="A226" s="200">
        <f t="shared" si="3"/>
        <v>212</v>
      </c>
      <c r="B226" s="294" t="s">
        <v>162</v>
      </c>
      <c r="C226" s="295"/>
      <c r="D226" s="936"/>
      <c r="E226" s="937"/>
      <c r="F226" s="937"/>
      <c r="G226" s="937"/>
      <c r="H226" s="937"/>
      <c r="I226" s="937"/>
      <c r="J226" s="937"/>
      <c r="K226" s="938"/>
      <c r="L226" s="932"/>
      <c r="M226" s="932"/>
      <c r="N226" s="932"/>
      <c r="O226" s="932"/>
      <c r="P226" s="931"/>
      <c r="Q226" s="931"/>
      <c r="R226" s="931"/>
      <c r="S226" s="931"/>
      <c r="T226" s="933"/>
      <c r="U226" s="934"/>
      <c r="V226" s="934"/>
      <c r="W226" s="935"/>
      <c r="X226" s="936"/>
      <c r="Y226" s="937"/>
      <c r="Z226" s="937"/>
      <c r="AA226" s="938"/>
      <c r="AB226" s="594"/>
      <c r="AC226" s="595"/>
      <c r="AD226" s="596"/>
      <c r="AE226" s="779"/>
      <c r="AF226" s="939"/>
      <c r="AG226" s="780"/>
      <c r="AH226" s="941"/>
      <c r="AI226" s="942"/>
      <c r="AJ226" s="943"/>
      <c r="AK226" s="745"/>
      <c r="AL226" s="940"/>
      <c r="AM226" s="746"/>
      <c r="AN226" s="281"/>
      <c r="AO226" s="282"/>
      <c r="AP226" s="281"/>
      <c r="AQ226" s="282"/>
      <c r="AR226" s="281"/>
      <c r="AS226" s="282"/>
      <c r="AT226" s="281"/>
      <c r="AU226" s="282"/>
      <c r="AV226" s="281"/>
      <c r="AW226" s="282"/>
      <c r="AX226" s="281"/>
      <c r="AY226" s="282"/>
      <c r="AZ226" s="117"/>
      <c r="BA226" s="331"/>
      <c r="BB226" s="117"/>
      <c r="BC226" s="331"/>
      <c r="BD226" s="117"/>
      <c r="BE226" s="331"/>
      <c r="BF226" s="117"/>
      <c r="BG226" s="331"/>
      <c r="BH226" s="117"/>
      <c r="BI226" s="944" t="s">
        <v>212</v>
      </c>
      <c r="BJ226" s="944"/>
      <c r="BK226" s="944"/>
      <c r="BL226" s="944"/>
      <c r="BM226" s="944"/>
      <c r="BN226" s="944"/>
      <c r="BO226" s="944"/>
      <c r="BP226" s="944"/>
      <c r="BQ226" s="944"/>
      <c r="BR226" s="944"/>
      <c r="BS226" s="944"/>
      <c r="BT226" s="944"/>
      <c r="BU226" s="944"/>
      <c r="BV226" s="945"/>
    </row>
    <row r="227" spans="1:74" ht="30" customHeight="1" x14ac:dyDescent="0.25">
      <c r="A227" s="200">
        <f t="shared" si="3"/>
        <v>213</v>
      </c>
      <c r="B227" s="294" t="s">
        <v>162</v>
      </c>
      <c r="C227" s="295"/>
      <c r="D227" s="936"/>
      <c r="E227" s="937"/>
      <c r="F227" s="937"/>
      <c r="G227" s="937"/>
      <c r="H227" s="937"/>
      <c r="I227" s="937"/>
      <c r="J227" s="937"/>
      <c r="K227" s="938"/>
      <c r="L227" s="932"/>
      <c r="M227" s="932"/>
      <c r="N227" s="932"/>
      <c r="O227" s="932"/>
      <c r="P227" s="931"/>
      <c r="Q227" s="931"/>
      <c r="R227" s="931"/>
      <c r="S227" s="931"/>
      <c r="T227" s="933"/>
      <c r="U227" s="934"/>
      <c r="V227" s="934"/>
      <c r="W227" s="935"/>
      <c r="X227" s="936"/>
      <c r="Y227" s="937"/>
      <c r="Z227" s="937"/>
      <c r="AA227" s="938"/>
      <c r="AB227" s="594"/>
      <c r="AC227" s="595"/>
      <c r="AD227" s="596"/>
      <c r="AE227" s="779"/>
      <c r="AF227" s="939"/>
      <c r="AG227" s="780"/>
      <c r="AH227" s="941"/>
      <c r="AI227" s="942"/>
      <c r="AJ227" s="943"/>
      <c r="AK227" s="745"/>
      <c r="AL227" s="940"/>
      <c r="AM227" s="746"/>
      <c r="AN227" s="281"/>
      <c r="AO227" s="282"/>
      <c r="AP227" s="281"/>
      <c r="AQ227" s="282"/>
      <c r="AR227" s="281"/>
      <c r="AS227" s="282"/>
      <c r="AT227" s="281"/>
      <c r="AU227" s="282"/>
      <c r="AV227" s="281"/>
      <c r="AW227" s="282"/>
      <c r="AX227" s="281"/>
      <c r="AY227" s="282"/>
      <c r="AZ227" s="117"/>
      <c r="BA227" s="331"/>
      <c r="BB227" s="117"/>
      <c r="BC227" s="331"/>
      <c r="BD227" s="117"/>
      <c r="BE227" s="331"/>
      <c r="BF227" s="117"/>
      <c r="BG227" s="331"/>
      <c r="BH227" s="117"/>
      <c r="BI227" s="944" t="s">
        <v>212</v>
      </c>
      <c r="BJ227" s="944"/>
      <c r="BK227" s="944"/>
      <c r="BL227" s="944"/>
      <c r="BM227" s="944"/>
      <c r="BN227" s="944"/>
      <c r="BO227" s="944"/>
      <c r="BP227" s="944"/>
      <c r="BQ227" s="944"/>
      <c r="BR227" s="944"/>
      <c r="BS227" s="944"/>
      <c r="BT227" s="944"/>
      <c r="BU227" s="944"/>
      <c r="BV227" s="945"/>
    </row>
    <row r="228" spans="1:74" ht="30" customHeight="1" x14ac:dyDescent="0.25">
      <c r="A228" s="200">
        <f t="shared" si="3"/>
        <v>214</v>
      </c>
      <c r="B228" s="294" t="s">
        <v>162</v>
      </c>
      <c r="C228" s="295"/>
      <c r="D228" s="936"/>
      <c r="E228" s="937"/>
      <c r="F228" s="937"/>
      <c r="G228" s="937"/>
      <c r="H228" s="937"/>
      <c r="I228" s="937"/>
      <c r="J228" s="937"/>
      <c r="K228" s="938"/>
      <c r="L228" s="932"/>
      <c r="M228" s="932"/>
      <c r="N228" s="932"/>
      <c r="O228" s="932"/>
      <c r="P228" s="931"/>
      <c r="Q228" s="931"/>
      <c r="R228" s="931"/>
      <c r="S228" s="931"/>
      <c r="T228" s="933"/>
      <c r="U228" s="934"/>
      <c r="V228" s="934"/>
      <c r="W228" s="935"/>
      <c r="X228" s="936"/>
      <c r="Y228" s="937"/>
      <c r="Z228" s="937"/>
      <c r="AA228" s="938"/>
      <c r="AB228" s="594"/>
      <c r="AC228" s="595"/>
      <c r="AD228" s="596"/>
      <c r="AE228" s="779"/>
      <c r="AF228" s="939"/>
      <c r="AG228" s="780"/>
      <c r="AH228" s="941"/>
      <c r="AI228" s="942"/>
      <c r="AJ228" s="943"/>
      <c r="AK228" s="745"/>
      <c r="AL228" s="940"/>
      <c r="AM228" s="746"/>
      <c r="AN228" s="281"/>
      <c r="AO228" s="282"/>
      <c r="AP228" s="281"/>
      <c r="AQ228" s="282"/>
      <c r="AR228" s="281"/>
      <c r="AS228" s="282"/>
      <c r="AT228" s="281"/>
      <c r="AU228" s="282"/>
      <c r="AV228" s="281"/>
      <c r="AW228" s="282"/>
      <c r="AX228" s="281"/>
      <c r="AY228" s="282"/>
      <c r="AZ228" s="117"/>
      <c r="BA228" s="331"/>
      <c r="BB228" s="117"/>
      <c r="BC228" s="331"/>
      <c r="BD228" s="117"/>
      <c r="BE228" s="331"/>
      <c r="BF228" s="117"/>
      <c r="BG228" s="331"/>
      <c r="BH228" s="117"/>
      <c r="BI228" s="944" t="s">
        <v>159</v>
      </c>
      <c r="BJ228" s="944"/>
      <c r="BK228" s="944"/>
      <c r="BL228" s="944"/>
      <c r="BM228" s="944"/>
      <c r="BN228" s="944"/>
      <c r="BO228" s="944"/>
      <c r="BP228" s="944"/>
      <c r="BQ228" s="944"/>
      <c r="BR228" s="944"/>
      <c r="BS228" s="944"/>
      <c r="BT228" s="944"/>
      <c r="BU228" s="944"/>
      <c r="BV228" s="945"/>
    </row>
    <row r="229" spans="1:74" ht="30" customHeight="1" x14ac:dyDescent="0.25">
      <c r="A229" s="200">
        <f t="shared" si="3"/>
        <v>215</v>
      </c>
      <c r="B229" s="294" t="s">
        <v>162</v>
      </c>
      <c r="C229" s="295"/>
      <c r="D229" s="936"/>
      <c r="E229" s="937"/>
      <c r="F229" s="937"/>
      <c r="G229" s="937"/>
      <c r="H229" s="937"/>
      <c r="I229" s="937"/>
      <c r="J229" s="937"/>
      <c r="K229" s="938"/>
      <c r="L229" s="932"/>
      <c r="M229" s="932"/>
      <c r="N229" s="932"/>
      <c r="O229" s="932"/>
      <c r="P229" s="931"/>
      <c r="Q229" s="931"/>
      <c r="R229" s="931"/>
      <c r="S229" s="931"/>
      <c r="T229" s="933"/>
      <c r="U229" s="934"/>
      <c r="V229" s="934"/>
      <c r="W229" s="935"/>
      <c r="X229" s="936"/>
      <c r="Y229" s="937"/>
      <c r="Z229" s="937"/>
      <c r="AA229" s="938"/>
      <c r="AB229" s="594"/>
      <c r="AC229" s="595"/>
      <c r="AD229" s="596"/>
      <c r="AE229" s="779"/>
      <c r="AF229" s="939"/>
      <c r="AG229" s="780"/>
      <c r="AH229" s="941"/>
      <c r="AI229" s="942"/>
      <c r="AJ229" s="943"/>
      <c r="AK229" s="745"/>
      <c r="AL229" s="940"/>
      <c r="AM229" s="746"/>
      <c r="AN229" s="281"/>
      <c r="AO229" s="282"/>
      <c r="AP229" s="281"/>
      <c r="AQ229" s="282"/>
      <c r="AR229" s="281"/>
      <c r="AS229" s="282"/>
      <c r="AT229" s="281"/>
      <c r="AU229" s="282"/>
      <c r="AV229" s="281"/>
      <c r="AW229" s="282"/>
      <c r="AX229" s="281"/>
      <c r="AY229" s="282"/>
      <c r="AZ229" s="117"/>
      <c r="BA229" s="331"/>
      <c r="BB229" s="117"/>
      <c r="BC229" s="331"/>
      <c r="BD229" s="117"/>
      <c r="BE229" s="331"/>
      <c r="BF229" s="117"/>
      <c r="BG229" s="331"/>
      <c r="BH229" s="117"/>
      <c r="BI229" s="944" t="s">
        <v>159</v>
      </c>
      <c r="BJ229" s="944"/>
      <c r="BK229" s="944"/>
      <c r="BL229" s="944"/>
      <c r="BM229" s="944"/>
      <c r="BN229" s="944"/>
      <c r="BO229" s="944"/>
      <c r="BP229" s="944"/>
      <c r="BQ229" s="944"/>
      <c r="BR229" s="944"/>
      <c r="BS229" s="944"/>
      <c r="BT229" s="944"/>
      <c r="BU229" s="944"/>
      <c r="BV229" s="945"/>
    </row>
    <row r="230" spans="1:74" ht="30" customHeight="1" x14ac:dyDescent="0.25">
      <c r="A230" s="232">
        <f t="shared" si="3"/>
        <v>216</v>
      </c>
      <c r="B230" s="294" t="s">
        <v>162</v>
      </c>
      <c r="C230" s="295"/>
      <c r="D230" s="936"/>
      <c r="E230" s="937"/>
      <c r="F230" s="937"/>
      <c r="G230" s="937"/>
      <c r="H230" s="937"/>
      <c r="I230" s="937"/>
      <c r="J230" s="937"/>
      <c r="K230" s="938"/>
      <c r="L230" s="932"/>
      <c r="M230" s="932"/>
      <c r="N230" s="932"/>
      <c r="O230" s="932"/>
      <c r="P230" s="931"/>
      <c r="Q230" s="931"/>
      <c r="R230" s="931"/>
      <c r="S230" s="931"/>
      <c r="T230" s="933"/>
      <c r="U230" s="934"/>
      <c r="V230" s="934"/>
      <c r="W230" s="935"/>
      <c r="X230" s="936"/>
      <c r="Y230" s="937"/>
      <c r="Z230" s="937"/>
      <c r="AA230" s="938"/>
      <c r="AB230" s="594"/>
      <c r="AC230" s="595"/>
      <c r="AD230" s="596"/>
      <c r="AE230" s="779"/>
      <c r="AF230" s="939"/>
      <c r="AG230" s="780"/>
      <c r="AH230" s="941"/>
      <c r="AI230" s="942"/>
      <c r="AJ230" s="943"/>
      <c r="AK230" s="745"/>
      <c r="AL230" s="940"/>
      <c r="AM230" s="746"/>
      <c r="AN230" s="281"/>
      <c r="AO230" s="282"/>
      <c r="AP230" s="281"/>
      <c r="AQ230" s="282"/>
      <c r="AR230" s="281"/>
      <c r="AS230" s="282"/>
      <c r="AT230" s="281"/>
      <c r="AU230" s="282"/>
      <c r="AV230" s="281"/>
      <c r="AW230" s="282"/>
      <c r="AX230" s="281"/>
      <c r="AY230" s="282"/>
      <c r="AZ230" s="117"/>
      <c r="BA230" s="331"/>
      <c r="BB230" s="117"/>
      <c r="BC230" s="331"/>
      <c r="BD230" s="117"/>
      <c r="BE230" s="331"/>
      <c r="BF230" s="117"/>
      <c r="BG230" s="331"/>
      <c r="BH230" s="117"/>
      <c r="BI230" s="944" t="s">
        <v>212</v>
      </c>
      <c r="BJ230" s="944"/>
      <c r="BK230" s="944"/>
      <c r="BL230" s="944"/>
      <c r="BM230" s="944"/>
      <c r="BN230" s="944"/>
      <c r="BO230" s="944"/>
      <c r="BP230" s="944"/>
      <c r="BQ230" s="944"/>
      <c r="BR230" s="944"/>
      <c r="BS230" s="944"/>
      <c r="BT230" s="944"/>
      <c r="BU230" s="944"/>
      <c r="BV230" s="945"/>
    </row>
    <row r="231" spans="1:74" ht="30" customHeight="1" x14ac:dyDescent="0.25">
      <c r="A231" s="200">
        <f t="shared" si="3"/>
        <v>217</v>
      </c>
      <c r="B231" s="294" t="s">
        <v>162</v>
      </c>
      <c r="C231" s="295"/>
      <c r="D231" s="936"/>
      <c r="E231" s="937"/>
      <c r="F231" s="937"/>
      <c r="G231" s="937"/>
      <c r="H231" s="937"/>
      <c r="I231" s="937"/>
      <c r="J231" s="937"/>
      <c r="K231" s="938"/>
      <c r="L231" s="932"/>
      <c r="M231" s="932"/>
      <c r="N231" s="932"/>
      <c r="O231" s="932"/>
      <c r="P231" s="931"/>
      <c r="Q231" s="931"/>
      <c r="R231" s="931"/>
      <c r="S231" s="931"/>
      <c r="T231" s="933"/>
      <c r="U231" s="934"/>
      <c r="V231" s="934"/>
      <c r="W231" s="935"/>
      <c r="X231" s="936"/>
      <c r="Y231" s="937"/>
      <c r="Z231" s="937"/>
      <c r="AA231" s="938"/>
      <c r="AB231" s="594"/>
      <c r="AC231" s="595"/>
      <c r="AD231" s="596"/>
      <c r="AE231" s="779"/>
      <c r="AF231" s="939"/>
      <c r="AG231" s="780"/>
      <c r="AH231" s="941"/>
      <c r="AI231" s="942"/>
      <c r="AJ231" s="943"/>
      <c r="AK231" s="745"/>
      <c r="AL231" s="940"/>
      <c r="AM231" s="746"/>
      <c r="AN231" s="281"/>
      <c r="AO231" s="282"/>
      <c r="AP231" s="281"/>
      <c r="AQ231" s="282"/>
      <c r="AR231" s="281"/>
      <c r="AS231" s="282"/>
      <c r="AT231" s="281"/>
      <c r="AU231" s="282"/>
      <c r="AV231" s="281"/>
      <c r="AW231" s="282"/>
      <c r="AX231" s="281"/>
      <c r="AY231" s="282"/>
      <c r="AZ231" s="117"/>
      <c r="BA231" s="331"/>
      <c r="BB231" s="117"/>
      <c r="BC231" s="331"/>
      <c r="BD231" s="117"/>
      <c r="BE231" s="331"/>
      <c r="BF231" s="117"/>
      <c r="BG231" s="331"/>
      <c r="BH231" s="117"/>
      <c r="BI231" s="944" t="s">
        <v>212</v>
      </c>
      <c r="BJ231" s="944"/>
      <c r="BK231" s="944"/>
      <c r="BL231" s="944"/>
      <c r="BM231" s="944"/>
      <c r="BN231" s="944"/>
      <c r="BO231" s="944"/>
      <c r="BP231" s="944"/>
      <c r="BQ231" s="944"/>
      <c r="BR231" s="944"/>
      <c r="BS231" s="944"/>
      <c r="BT231" s="944"/>
      <c r="BU231" s="944"/>
      <c r="BV231" s="945"/>
    </row>
    <row r="232" spans="1:74" ht="30" customHeight="1" x14ac:dyDescent="0.25">
      <c r="A232" s="200">
        <f t="shared" si="3"/>
        <v>218</v>
      </c>
      <c r="B232" s="294" t="s">
        <v>162</v>
      </c>
      <c r="C232" s="295"/>
      <c r="D232" s="936"/>
      <c r="E232" s="937"/>
      <c r="F232" s="937"/>
      <c r="G232" s="937"/>
      <c r="H232" s="937"/>
      <c r="I232" s="937"/>
      <c r="J232" s="937"/>
      <c r="K232" s="938"/>
      <c r="L232" s="932"/>
      <c r="M232" s="932"/>
      <c r="N232" s="932"/>
      <c r="O232" s="932"/>
      <c r="P232" s="931"/>
      <c r="Q232" s="931"/>
      <c r="R232" s="931"/>
      <c r="S232" s="931"/>
      <c r="T232" s="933"/>
      <c r="U232" s="934"/>
      <c r="V232" s="934"/>
      <c r="W232" s="935"/>
      <c r="X232" s="936"/>
      <c r="Y232" s="937"/>
      <c r="Z232" s="937"/>
      <c r="AA232" s="938"/>
      <c r="AB232" s="594"/>
      <c r="AC232" s="595"/>
      <c r="AD232" s="596"/>
      <c r="AE232" s="779"/>
      <c r="AF232" s="939"/>
      <c r="AG232" s="780"/>
      <c r="AH232" s="941"/>
      <c r="AI232" s="942"/>
      <c r="AJ232" s="943"/>
      <c r="AK232" s="745"/>
      <c r="AL232" s="940"/>
      <c r="AM232" s="746"/>
      <c r="AN232" s="281"/>
      <c r="AO232" s="282"/>
      <c r="AP232" s="281"/>
      <c r="AQ232" s="282"/>
      <c r="AR232" s="281"/>
      <c r="AS232" s="282"/>
      <c r="AT232" s="281"/>
      <c r="AU232" s="282"/>
      <c r="AV232" s="281"/>
      <c r="AW232" s="282"/>
      <c r="AX232" s="281"/>
      <c r="AY232" s="282"/>
      <c r="AZ232" s="117"/>
      <c r="BA232" s="331"/>
      <c r="BB232" s="117"/>
      <c r="BC232" s="331"/>
      <c r="BD232" s="117"/>
      <c r="BE232" s="331"/>
      <c r="BF232" s="117"/>
      <c r="BG232" s="331"/>
      <c r="BH232" s="117"/>
      <c r="BI232" s="944" t="s">
        <v>212</v>
      </c>
      <c r="BJ232" s="944"/>
      <c r="BK232" s="944"/>
      <c r="BL232" s="944"/>
      <c r="BM232" s="944"/>
      <c r="BN232" s="944"/>
      <c r="BO232" s="944"/>
      <c r="BP232" s="944"/>
      <c r="BQ232" s="944"/>
      <c r="BR232" s="944"/>
      <c r="BS232" s="944"/>
      <c r="BT232" s="944"/>
      <c r="BU232" s="944"/>
      <c r="BV232" s="945"/>
    </row>
    <row r="233" spans="1:74" ht="30" customHeight="1" x14ac:dyDescent="0.25">
      <c r="A233" s="200">
        <f t="shared" si="3"/>
        <v>219</v>
      </c>
      <c r="B233" s="294" t="s">
        <v>162</v>
      </c>
      <c r="C233" s="295"/>
      <c r="D233" s="936"/>
      <c r="E233" s="937"/>
      <c r="F233" s="937"/>
      <c r="G233" s="937"/>
      <c r="H233" s="937"/>
      <c r="I233" s="937"/>
      <c r="J233" s="937"/>
      <c r="K233" s="938"/>
      <c r="L233" s="932"/>
      <c r="M233" s="932"/>
      <c r="N233" s="932"/>
      <c r="O233" s="932"/>
      <c r="P233" s="931"/>
      <c r="Q233" s="931"/>
      <c r="R233" s="931"/>
      <c r="S233" s="931"/>
      <c r="T233" s="933"/>
      <c r="U233" s="934"/>
      <c r="V233" s="934"/>
      <c r="W233" s="935"/>
      <c r="X233" s="936"/>
      <c r="Y233" s="937"/>
      <c r="Z233" s="937"/>
      <c r="AA233" s="938"/>
      <c r="AB233" s="594"/>
      <c r="AC233" s="595"/>
      <c r="AD233" s="596"/>
      <c r="AE233" s="779"/>
      <c r="AF233" s="939"/>
      <c r="AG233" s="780"/>
      <c r="AH233" s="941"/>
      <c r="AI233" s="942"/>
      <c r="AJ233" s="943"/>
      <c r="AK233" s="745"/>
      <c r="AL233" s="940"/>
      <c r="AM233" s="746"/>
      <c r="AN233" s="281"/>
      <c r="AO233" s="282"/>
      <c r="AP233" s="281"/>
      <c r="AQ233" s="282"/>
      <c r="AR233" s="281"/>
      <c r="AS233" s="282"/>
      <c r="AT233" s="281"/>
      <c r="AU233" s="282"/>
      <c r="AV233" s="281"/>
      <c r="AW233" s="282"/>
      <c r="AX233" s="281"/>
      <c r="AY233" s="282"/>
      <c r="AZ233" s="117"/>
      <c r="BA233" s="331"/>
      <c r="BB233" s="117"/>
      <c r="BC233" s="331"/>
      <c r="BD233" s="117"/>
      <c r="BE233" s="331"/>
      <c r="BF233" s="117"/>
      <c r="BG233" s="331"/>
      <c r="BH233" s="117"/>
      <c r="BI233" s="944" t="s">
        <v>212</v>
      </c>
      <c r="BJ233" s="944"/>
      <c r="BK233" s="944"/>
      <c r="BL233" s="944"/>
      <c r="BM233" s="944"/>
      <c r="BN233" s="944"/>
      <c r="BO233" s="944"/>
      <c r="BP233" s="944"/>
      <c r="BQ233" s="944"/>
      <c r="BR233" s="944"/>
      <c r="BS233" s="944"/>
      <c r="BT233" s="944"/>
      <c r="BU233" s="944"/>
      <c r="BV233" s="945"/>
    </row>
    <row r="234" spans="1:74" ht="30" customHeight="1" x14ac:dyDescent="0.25">
      <c r="A234" s="200">
        <f t="shared" si="3"/>
        <v>220</v>
      </c>
      <c r="B234" s="294" t="s">
        <v>162</v>
      </c>
      <c r="C234" s="295"/>
      <c r="D234" s="936"/>
      <c r="E234" s="937"/>
      <c r="F234" s="937"/>
      <c r="G234" s="937"/>
      <c r="H234" s="937"/>
      <c r="I234" s="937"/>
      <c r="J234" s="937"/>
      <c r="K234" s="938"/>
      <c r="L234" s="932"/>
      <c r="M234" s="932"/>
      <c r="N234" s="932"/>
      <c r="O234" s="932"/>
      <c r="P234" s="931"/>
      <c r="Q234" s="931"/>
      <c r="R234" s="931"/>
      <c r="S234" s="931"/>
      <c r="T234" s="933"/>
      <c r="U234" s="934"/>
      <c r="V234" s="934"/>
      <c r="W234" s="935"/>
      <c r="X234" s="936"/>
      <c r="Y234" s="937"/>
      <c r="Z234" s="937"/>
      <c r="AA234" s="938"/>
      <c r="AB234" s="594"/>
      <c r="AC234" s="595"/>
      <c r="AD234" s="596"/>
      <c r="AE234" s="779"/>
      <c r="AF234" s="939"/>
      <c r="AG234" s="780"/>
      <c r="AH234" s="941"/>
      <c r="AI234" s="942"/>
      <c r="AJ234" s="943"/>
      <c r="AK234" s="745"/>
      <c r="AL234" s="940"/>
      <c r="AM234" s="746"/>
      <c r="AN234" s="281"/>
      <c r="AO234" s="282"/>
      <c r="AP234" s="281"/>
      <c r="AQ234" s="282"/>
      <c r="AR234" s="281"/>
      <c r="AS234" s="282"/>
      <c r="AT234" s="281"/>
      <c r="AU234" s="282"/>
      <c r="AV234" s="281"/>
      <c r="AW234" s="282"/>
      <c r="AX234" s="281"/>
      <c r="AY234" s="282"/>
      <c r="AZ234" s="117"/>
      <c r="BA234" s="331"/>
      <c r="BB234" s="117"/>
      <c r="BC234" s="331"/>
      <c r="BD234" s="117"/>
      <c r="BE234" s="331"/>
      <c r="BF234" s="117"/>
      <c r="BG234" s="331"/>
      <c r="BH234" s="117"/>
      <c r="BI234" s="944" t="s">
        <v>212</v>
      </c>
      <c r="BJ234" s="944"/>
      <c r="BK234" s="944"/>
      <c r="BL234" s="944"/>
      <c r="BM234" s="944"/>
      <c r="BN234" s="944"/>
      <c r="BO234" s="944"/>
      <c r="BP234" s="944"/>
      <c r="BQ234" s="944"/>
      <c r="BR234" s="944"/>
      <c r="BS234" s="944"/>
      <c r="BT234" s="944"/>
      <c r="BU234" s="944"/>
      <c r="BV234" s="945"/>
    </row>
    <row r="235" spans="1:74" ht="30" customHeight="1" x14ac:dyDescent="0.25">
      <c r="A235" s="200">
        <f t="shared" si="3"/>
        <v>221</v>
      </c>
      <c r="B235" s="294" t="s">
        <v>162</v>
      </c>
      <c r="C235" s="295"/>
      <c r="D235" s="936"/>
      <c r="E235" s="937"/>
      <c r="F235" s="937"/>
      <c r="G235" s="937"/>
      <c r="H235" s="937"/>
      <c r="I235" s="937"/>
      <c r="J235" s="937"/>
      <c r="K235" s="938"/>
      <c r="L235" s="932"/>
      <c r="M235" s="932"/>
      <c r="N235" s="932"/>
      <c r="O235" s="932"/>
      <c r="P235" s="931"/>
      <c r="Q235" s="931"/>
      <c r="R235" s="931"/>
      <c r="S235" s="931"/>
      <c r="T235" s="933"/>
      <c r="U235" s="934"/>
      <c r="V235" s="934"/>
      <c r="W235" s="935"/>
      <c r="X235" s="936"/>
      <c r="Y235" s="937"/>
      <c r="Z235" s="937"/>
      <c r="AA235" s="938"/>
      <c r="AB235" s="594"/>
      <c r="AC235" s="595"/>
      <c r="AD235" s="596"/>
      <c r="AE235" s="779"/>
      <c r="AF235" s="939"/>
      <c r="AG235" s="780"/>
      <c r="AH235" s="941"/>
      <c r="AI235" s="942"/>
      <c r="AJ235" s="943"/>
      <c r="AK235" s="745"/>
      <c r="AL235" s="940"/>
      <c r="AM235" s="746"/>
      <c r="AN235" s="281"/>
      <c r="AO235" s="282"/>
      <c r="AP235" s="281"/>
      <c r="AQ235" s="282"/>
      <c r="AR235" s="281"/>
      <c r="AS235" s="282"/>
      <c r="AT235" s="281"/>
      <c r="AU235" s="282"/>
      <c r="AV235" s="281"/>
      <c r="AW235" s="282"/>
      <c r="AX235" s="281"/>
      <c r="AY235" s="282"/>
      <c r="AZ235" s="117"/>
      <c r="BA235" s="331"/>
      <c r="BB235" s="117"/>
      <c r="BC235" s="331"/>
      <c r="BD235" s="117"/>
      <c r="BE235" s="331"/>
      <c r="BF235" s="117"/>
      <c r="BG235" s="331"/>
      <c r="BH235" s="117"/>
      <c r="BI235" s="944" t="s">
        <v>159</v>
      </c>
      <c r="BJ235" s="944"/>
      <c r="BK235" s="944"/>
      <c r="BL235" s="944"/>
      <c r="BM235" s="944"/>
      <c r="BN235" s="944"/>
      <c r="BO235" s="944"/>
      <c r="BP235" s="944"/>
      <c r="BQ235" s="944"/>
      <c r="BR235" s="944"/>
      <c r="BS235" s="944"/>
      <c r="BT235" s="944"/>
      <c r="BU235" s="944"/>
      <c r="BV235" s="945"/>
    </row>
    <row r="236" spans="1:74" ht="30" customHeight="1" x14ac:dyDescent="0.25">
      <c r="A236" s="200">
        <f t="shared" si="3"/>
        <v>222</v>
      </c>
      <c r="B236" s="294" t="s">
        <v>162</v>
      </c>
      <c r="C236" s="295"/>
      <c r="D236" s="936"/>
      <c r="E236" s="937"/>
      <c r="F236" s="937"/>
      <c r="G236" s="937"/>
      <c r="H236" s="937"/>
      <c r="I236" s="937"/>
      <c r="J236" s="937"/>
      <c r="K236" s="938"/>
      <c r="L236" s="932"/>
      <c r="M236" s="932"/>
      <c r="N236" s="932"/>
      <c r="O236" s="932"/>
      <c r="P236" s="931"/>
      <c r="Q236" s="931"/>
      <c r="R236" s="931"/>
      <c r="S236" s="931"/>
      <c r="T236" s="933"/>
      <c r="U236" s="934"/>
      <c r="V236" s="934"/>
      <c r="W236" s="935"/>
      <c r="X236" s="936"/>
      <c r="Y236" s="937"/>
      <c r="Z236" s="937"/>
      <c r="AA236" s="938"/>
      <c r="AB236" s="594"/>
      <c r="AC236" s="595"/>
      <c r="AD236" s="596"/>
      <c r="AE236" s="779"/>
      <c r="AF236" s="939"/>
      <c r="AG236" s="780"/>
      <c r="AH236" s="941"/>
      <c r="AI236" s="942"/>
      <c r="AJ236" s="943"/>
      <c r="AK236" s="745"/>
      <c r="AL236" s="940"/>
      <c r="AM236" s="746"/>
      <c r="AN236" s="281"/>
      <c r="AO236" s="282"/>
      <c r="AP236" s="281"/>
      <c r="AQ236" s="282"/>
      <c r="AR236" s="281"/>
      <c r="AS236" s="282"/>
      <c r="AT236" s="281"/>
      <c r="AU236" s="282"/>
      <c r="AV236" s="281"/>
      <c r="AW236" s="282"/>
      <c r="AX236" s="281"/>
      <c r="AY236" s="282"/>
      <c r="AZ236" s="117"/>
      <c r="BA236" s="331"/>
      <c r="BB236" s="117"/>
      <c r="BC236" s="331"/>
      <c r="BD236" s="117"/>
      <c r="BE236" s="331"/>
      <c r="BF236" s="117"/>
      <c r="BG236" s="331"/>
      <c r="BH236" s="117"/>
      <c r="BI236" s="944" t="s">
        <v>159</v>
      </c>
      <c r="BJ236" s="944"/>
      <c r="BK236" s="944"/>
      <c r="BL236" s="944"/>
      <c r="BM236" s="944"/>
      <c r="BN236" s="944"/>
      <c r="BO236" s="944"/>
      <c r="BP236" s="944"/>
      <c r="BQ236" s="944"/>
      <c r="BR236" s="944"/>
      <c r="BS236" s="944"/>
      <c r="BT236" s="944"/>
      <c r="BU236" s="944"/>
      <c r="BV236" s="945"/>
    </row>
    <row r="237" spans="1:74" ht="30" customHeight="1" x14ac:dyDescent="0.25">
      <c r="A237" s="232">
        <f t="shared" si="3"/>
        <v>223</v>
      </c>
      <c r="B237" s="294" t="s">
        <v>162</v>
      </c>
      <c r="C237" s="295"/>
      <c r="D237" s="936"/>
      <c r="E237" s="937"/>
      <c r="F237" s="937"/>
      <c r="G237" s="937"/>
      <c r="H237" s="937"/>
      <c r="I237" s="937"/>
      <c r="J237" s="937"/>
      <c r="K237" s="938"/>
      <c r="L237" s="932"/>
      <c r="M237" s="932"/>
      <c r="N237" s="932"/>
      <c r="O237" s="932"/>
      <c r="P237" s="931"/>
      <c r="Q237" s="931"/>
      <c r="R237" s="931"/>
      <c r="S237" s="931"/>
      <c r="T237" s="933"/>
      <c r="U237" s="934"/>
      <c r="V237" s="934"/>
      <c r="W237" s="935"/>
      <c r="X237" s="936"/>
      <c r="Y237" s="937"/>
      <c r="Z237" s="937"/>
      <c r="AA237" s="938"/>
      <c r="AB237" s="594"/>
      <c r="AC237" s="595"/>
      <c r="AD237" s="596"/>
      <c r="AE237" s="779"/>
      <c r="AF237" s="939"/>
      <c r="AG237" s="780"/>
      <c r="AH237" s="941"/>
      <c r="AI237" s="942"/>
      <c r="AJ237" s="943"/>
      <c r="AK237" s="745"/>
      <c r="AL237" s="940"/>
      <c r="AM237" s="746"/>
      <c r="AN237" s="281"/>
      <c r="AO237" s="282"/>
      <c r="AP237" s="281"/>
      <c r="AQ237" s="282"/>
      <c r="AR237" s="281"/>
      <c r="AS237" s="282"/>
      <c r="AT237" s="281"/>
      <c r="AU237" s="282"/>
      <c r="AV237" s="281"/>
      <c r="AW237" s="282"/>
      <c r="AX237" s="281"/>
      <c r="AY237" s="282"/>
      <c r="AZ237" s="117"/>
      <c r="BA237" s="331"/>
      <c r="BB237" s="117"/>
      <c r="BC237" s="331"/>
      <c r="BD237" s="117"/>
      <c r="BE237" s="331"/>
      <c r="BF237" s="117"/>
      <c r="BG237" s="331"/>
      <c r="BH237" s="117"/>
      <c r="BI237" s="944" t="s">
        <v>212</v>
      </c>
      <c r="BJ237" s="944"/>
      <c r="BK237" s="944"/>
      <c r="BL237" s="944"/>
      <c r="BM237" s="944"/>
      <c r="BN237" s="944"/>
      <c r="BO237" s="944"/>
      <c r="BP237" s="944"/>
      <c r="BQ237" s="944"/>
      <c r="BR237" s="944"/>
      <c r="BS237" s="944"/>
      <c r="BT237" s="944"/>
      <c r="BU237" s="944"/>
      <c r="BV237" s="945"/>
    </row>
    <row r="238" spans="1:74" ht="30" customHeight="1" x14ac:dyDescent="0.25">
      <c r="A238" s="200">
        <f t="shared" si="3"/>
        <v>224</v>
      </c>
      <c r="B238" s="294" t="s">
        <v>162</v>
      </c>
      <c r="C238" s="295"/>
      <c r="D238" s="936"/>
      <c r="E238" s="937"/>
      <c r="F238" s="937"/>
      <c r="G238" s="937"/>
      <c r="H238" s="937"/>
      <c r="I238" s="937"/>
      <c r="J238" s="937"/>
      <c r="K238" s="938"/>
      <c r="L238" s="932"/>
      <c r="M238" s="932"/>
      <c r="N238" s="932"/>
      <c r="O238" s="932"/>
      <c r="P238" s="931"/>
      <c r="Q238" s="931"/>
      <c r="R238" s="931"/>
      <c r="S238" s="931"/>
      <c r="T238" s="933"/>
      <c r="U238" s="934"/>
      <c r="V238" s="934"/>
      <c r="W238" s="935"/>
      <c r="X238" s="936"/>
      <c r="Y238" s="937"/>
      <c r="Z238" s="937"/>
      <c r="AA238" s="938"/>
      <c r="AB238" s="594"/>
      <c r="AC238" s="595"/>
      <c r="AD238" s="596"/>
      <c r="AE238" s="779"/>
      <c r="AF238" s="939"/>
      <c r="AG238" s="780"/>
      <c r="AH238" s="941"/>
      <c r="AI238" s="942"/>
      <c r="AJ238" s="943"/>
      <c r="AK238" s="745"/>
      <c r="AL238" s="940"/>
      <c r="AM238" s="746"/>
      <c r="AN238" s="281"/>
      <c r="AO238" s="282"/>
      <c r="AP238" s="281"/>
      <c r="AQ238" s="282"/>
      <c r="AR238" s="281"/>
      <c r="AS238" s="282"/>
      <c r="AT238" s="281"/>
      <c r="AU238" s="282"/>
      <c r="AV238" s="281"/>
      <c r="AW238" s="282"/>
      <c r="AX238" s="281"/>
      <c r="AY238" s="282"/>
      <c r="AZ238" s="117"/>
      <c r="BA238" s="331"/>
      <c r="BB238" s="117"/>
      <c r="BC238" s="331"/>
      <c r="BD238" s="117"/>
      <c r="BE238" s="331"/>
      <c r="BF238" s="117"/>
      <c r="BG238" s="331"/>
      <c r="BH238" s="117"/>
      <c r="BI238" s="944" t="s">
        <v>212</v>
      </c>
      <c r="BJ238" s="944"/>
      <c r="BK238" s="944"/>
      <c r="BL238" s="944"/>
      <c r="BM238" s="944"/>
      <c r="BN238" s="944"/>
      <c r="BO238" s="944"/>
      <c r="BP238" s="944"/>
      <c r="BQ238" s="944"/>
      <c r="BR238" s="944"/>
      <c r="BS238" s="944"/>
      <c r="BT238" s="944"/>
      <c r="BU238" s="944"/>
      <c r="BV238" s="945"/>
    </row>
    <row r="239" spans="1:74" ht="30" customHeight="1" x14ac:dyDescent="0.25">
      <c r="A239" s="200">
        <f t="shared" si="3"/>
        <v>225</v>
      </c>
      <c r="B239" s="294" t="s">
        <v>162</v>
      </c>
      <c r="C239" s="295"/>
      <c r="D239" s="936"/>
      <c r="E239" s="937"/>
      <c r="F239" s="937"/>
      <c r="G239" s="937"/>
      <c r="H239" s="937"/>
      <c r="I239" s="937"/>
      <c r="J239" s="937"/>
      <c r="K239" s="938"/>
      <c r="L239" s="932"/>
      <c r="M239" s="932"/>
      <c r="N239" s="932"/>
      <c r="O239" s="932"/>
      <c r="P239" s="931"/>
      <c r="Q239" s="931"/>
      <c r="R239" s="931"/>
      <c r="S239" s="931"/>
      <c r="T239" s="933"/>
      <c r="U239" s="934"/>
      <c r="V239" s="934"/>
      <c r="W239" s="935"/>
      <c r="X239" s="936"/>
      <c r="Y239" s="937"/>
      <c r="Z239" s="937"/>
      <c r="AA239" s="938"/>
      <c r="AB239" s="594"/>
      <c r="AC239" s="595"/>
      <c r="AD239" s="596"/>
      <c r="AE239" s="779"/>
      <c r="AF239" s="939"/>
      <c r="AG239" s="780"/>
      <c r="AH239" s="941"/>
      <c r="AI239" s="942"/>
      <c r="AJ239" s="943"/>
      <c r="AK239" s="745"/>
      <c r="AL239" s="940"/>
      <c r="AM239" s="746"/>
      <c r="AN239" s="281"/>
      <c r="AO239" s="282"/>
      <c r="AP239" s="281"/>
      <c r="AQ239" s="282"/>
      <c r="AR239" s="281"/>
      <c r="AS239" s="282"/>
      <c r="AT239" s="281"/>
      <c r="AU239" s="282"/>
      <c r="AV239" s="281"/>
      <c r="AW239" s="282"/>
      <c r="AX239" s="281"/>
      <c r="AY239" s="282"/>
      <c r="AZ239" s="117"/>
      <c r="BA239" s="331"/>
      <c r="BB239" s="117"/>
      <c r="BC239" s="331"/>
      <c r="BD239" s="117"/>
      <c r="BE239" s="331"/>
      <c r="BF239" s="117"/>
      <c r="BG239" s="331"/>
      <c r="BH239" s="117"/>
      <c r="BI239" s="944" t="s">
        <v>212</v>
      </c>
      <c r="BJ239" s="944"/>
      <c r="BK239" s="944"/>
      <c r="BL239" s="944"/>
      <c r="BM239" s="944"/>
      <c r="BN239" s="944"/>
      <c r="BO239" s="944"/>
      <c r="BP239" s="944"/>
      <c r="BQ239" s="944"/>
      <c r="BR239" s="944"/>
      <c r="BS239" s="944"/>
      <c r="BT239" s="944"/>
      <c r="BU239" s="944"/>
      <c r="BV239" s="945"/>
    </row>
    <row r="240" spans="1:74" ht="30" customHeight="1" x14ac:dyDescent="0.25">
      <c r="A240" s="200">
        <f t="shared" si="3"/>
        <v>226</v>
      </c>
      <c r="B240" s="294" t="s">
        <v>162</v>
      </c>
      <c r="C240" s="295"/>
      <c r="D240" s="936"/>
      <c r="E240" s="937"/>
      <c r="F240" s="937"/>
      <c r="G240" s="937"/>
      <c r="H240" s="937"/>
      <c r="I240" s="937"/>
      <c r="J240" s="937"/>
      <c r="K240" s="938"/>
      <c r="L240" s="932"/>
      <c r="M240" s="932"/>
      <c r="N240" s="932"/>
      <c r="O240" s="932"/>
      <c r="P240" s="931"/>
      <c r="Q240" s="931"/>
      <c r="R240" s="931"/>
      <c r="S240" s="931"/>
      <c r="T240" s="933"/>
      <c r="U240" s="934"/>
      <c r="V240" s="934"/>
      <c r="W240" s="935"/>
      <c r="X240" s="936"/>
      <c r="Y240" s="937"/>
      <c r="Z240" s="937"/>
      <c r="AA240" s="938"/>
      <c r="AB240" s="594"/>
      <c r="AC240" s="595"/>
      <c r="AD240" s="596"/>
      <c r="AE240" s="779"/>
      <c r="AF240" s="939"/>
      <c r="AG240" s="780"/>
      <c r="AH240" s="941"/>
      <c r="AI240" s="942"/>
      <c r="AJ240" s="943"/>
      <c r="AK240" s="745"/>
      <c r="AL240" s="940"/>
      <c r="AM240" s="746"/>
      <c r="AN240" s="281"/>
      <c r="AO240" s="282"/>
      <c r="AP240" s="281"/>
      <c r="AQ240" s="282"/>
      <c r="AR240" s="281"/>
      <c r="AS240" s="282"/>
      <c r="AT240" s="281"/>
      <c r="AU240" s="282"/>
      <c r="AV240" s="281"/>
      <c r="AW240" s="282"/>
      <c r="AX240" s="281"/>
      <c r="AY240" s="282"/>
      <c r="AZ240" s="117"/>
      <c r="BA240" s="331"/>
      <c r="BB240" s="117"/>
      <c r="BC240" s="331"/>
      <c r="BD240" s="117"/>
      <c r="BE240" s="331"/>
      <c r="BF240" s="117"/>
      <c r="BG240" s="331"/>
      <c r="BH240" s="117"/>
      <c r="BI240" s="944" t="s">
        <v>212</v>
      </c>
      <c r="BJ240" s="944"/>
      <c r="BK240" s="944"/>
      <c r="BL240" s="944"/>
      <c r="BM240" s="944"/>
      <c r="BN240" s="944"/>
      <c r="BO240" s="944"/>
      <c r="BP240" s="944"/>
      <c r="BQ240" s="944"/>
      <c r="BR240" s="944"/>
      <c r="BS240" s="944"/>
      <c r="BT240" s="944"/>
      <c r="BU240" s="944"/>
      <c r="BV240" s="945"/>
    </row>
    <row r="241" spans="1:74" ht="30" customHeight="1" x14ac:dyDescent="0.25">
      <c r="A241" s="200">
        <f t="shared" si="3"/>
        <v>227</v>
      </c>
      <c r="B241" s="294" t="s">
        <v>162</v>
      </c>
      <c r="C241" s="295"/>
      <c r="D241" s="936"/>
      <c r="E241" s="937"/>
      <c r="F241" s="937"/>
      <c r="G241" s="937"/>
      <c r="H241" s="937"/>
      <c r="I241" s="937"/>
      <c r="J241" s="937"/>
      <c r="K241" s="938"/>
      <c r="L241" s="932"/>
      <c r="M241" s="932"/>
      <c r="N241" s="932"/>
      <c r="O241" s="932"/>
      <c r="P241" s="931"/>
      <c r="Q241" s="931"/>
      <c r="R241" s="931"/>
      <c r="S241" s="931"/>
      <c r="T241" s="933"/>
      <c r="U241" s="934"/>
      <c r="V241" s="934"/>
      <c r="W241" s="935"/>
      <c r="X241" s="936"/>
      <c r="Y241" s="937"/>
      <c r="Z241" s="937"/>
      <c r="AA241" s="938"/>
      <c r="AB241" s="594"/>
      <c r="AC241" s="595"/>
      <c r="AD241" s="596"/>
      <c r="AE241" s="779"/>
      <c r="AF241" s="939"/>
      <c r="AG241" s="780"/>
      <c r="AH241" s="941"/>
      <c r="AI241" s="942"/>
      <c r="AJ241" s="943"/>
      <c r="AK241" s="745"/>
      <c r="AL241" s="940"/>
      <c r="AM241" s="746"/>
      <c r="AN241" s="281"/>
      <c r="AO241" s="282"/>
      <c r="AP241" s="281"/>
      <c r="AQ241" s="282"/>
      <c r="AR241" s="281"/>
      <c r="AS241" s="282"/>
      <c r="AT241" s="281"/>
      <c r="AU241" s="282"/>
      <c r="AV241" s="281"/>
      <c r="AW241" s="282"/>
      <c r="AX241" s="281"/>
      <c r="AY241" s="282"/>
      <c r="AZ241" s="117"/>
      <c r="BA241" s="331"/>
      <c r="BB241" s="117"/>
      <c r="BC241" s="331"/>
      <c r="BD241" s="117"/>
      <c r="BE241" s="331"/>
      <c r="BF241" s="117"/>
      <c r="BG241" s="331"/>
      <c r="BH241" s="117"/>
      <c r="BI241" s="944" t="s">
        <v>212</v>
      </c>
      <c r="BJ241" s="944"/>
      <c r="BK241" s="944"/>
      <c r="BL241" s="944"/>
      <c r="BM241" s="944"/>
      <c r="BN241" s="944"/>
      <c r="BO241" s="944"/>
      <c r="BP241" s="944"/>
      <c r="BQ241" s="944"/>
      <c r="BR241" s="944"/>
      <c r="BS241" s="944"/>
      <c r="BT241" s="944"/>
      <c r="BU241" s="944"/>
      <c r="BV241" s="945"/>
    </row>
    <row r="242" spans="1:74" ht="30" customHeight="1" x14ac:dyDescent="0.25">
      <c r="A242" s="200">
        <f t="shared" si="3"/>
        <v>228</v>
      </c>
      <c r="B242" s="294" t="s">
        <v>162</v>
      </c>
      <c r="C242" s="295"/>
      <c r="D242" s="936"/>
      <c r="E242" s="937"/>
      <c r="F242" s="937"/>
      <c r="G242" s="937"/>
      <c r="H242" s="937"/>
      <c r="I242" s="937"/>
      <c r="J242" s="937"/>
      <c r="K242" s="938"/>
      <c r="L242" s="932"/>
      <c r="M242" s="932"/>
      <c r="N242" s="932"/>
      <c r="O242" s="932"/>
      <c r="P242" s="931"/>
      <c r="Q242" s="931"/>
      <c r="R242" s="931"/>
      <c r="S242" s="931"/>
      <c r="T242" s="933"/>
      <c r="U242" s="934"/>
      <c r="V242" s="934"/>
      <c r="W242" s="935"/>
      <c r="X242" s="936"/>
      <c r="Y242" s="937"/>
      <c r="Z242" s="937"/>
      <c r="AA242" s="938"/>
      <c r="AB242" s="594"/>
      <c r="AC242" s="595"/>
      <c r="AD242" s="596"/>
      <c r="AE242" s="779"/>
      <c r="AF242" s="939"/>
      <c r="AG242" s="780"/>
      <c r="AH242" s="941"/>
      <c r="AI242" s="942"/>
      <c r="AJ242" s="943"/>
      <c r="AK242" s="745"/>
      <c r="AL242" s="940"/>
      <c r="AM242" s="746"/>
      <c r="AN242" s="281"/>
      <c r="AO242" s="282"/>
      <c r="AP242" s="281"/>
      <c r="AQ242" s="282"/>
      <c r="AR242" s="281"/>
      <c r="AS242" s="282"/>
      <c r="AT242" s="281"/>
      <c r="AU242" s="282"/>
      <c r="AV242" s="281"/>
      <c r="AW242" s="282"/>
      <c r="AX242" s="281"/>
      <c r="AY242" s="282"/>
      <c r="AZ242" s="117"/>
      <c r="BA242" s="331"/>
      <c r="BB242" s="117"/>
      <c r="BC242" s="331"/>
      <c r="BD242" s="117"/>
      <c r="BE242" s="331"/>
      <c r="BF242" s="117"/>
      <c r="BG242" s="331"/>
      <c r="BH242" s="117"/>
      <c r="BI242" s="944" t="s">
        <v>159</v>
      </c>
      <c r="BJ242" s="944"/>
      <c r="BK242" s="944"/>
      <c r="BL242" s="944"/>
      <c r="BM242" s="944"/>
      <c r="BN242" s="944"/>
      <c r="BO242" s="944"/>
      <c r="BP242" s="944"/>
      <c r="BQ242" s="944"/>
      <c r="BR242" s="944"/>
      <c r="BS242" s="944"/>
      <c r="BT242" s="944"/>
      <c r="BU242" s="944"/>
      <c r="BV242" s="945"/>
    </row>
    <row r="243" spans="1:74" ht="30" customHeight="1" x14ac:dyDescent="0.25">
      <c r="A243" s="200">
        <f t="shared" si="3"/>
        <v>229</v>
      </c>
      <c r="B243" s="294" t="s">
        <v>162</v>
      </c>
      <c r="C243" s="295"/>
      <c r="D243" s="936"/>
      <c r="E243" s="937"/>
      <c r="F243" s="937"/>
      <c r="G243" s="937"/>
      <c r="H243" s="937"/>
      <c r="I243" s="937"/>
      <c r="J243" s="937"/>
      <c r="K243" s="938"/>
      <c r="L243" s="932"/>
      <c r="M243" s="932"/>
      <c r="N243" s="932"/>
      <c r="O243" s="932"/>
      <c r="P243" s="931"/>
      <c r="Q243" s="931"/>
      <c r="R243" s="931"/>
      <c r="S243" s="931"/>
      <c r="T243" s="933"/>
      <c r="U243" s="934"/>
      <c r="V243" s="934"/>
      <c r="W243" s="935"/>
      <c r="X243" s="936"/>
      <c r="Y243" s="937"/>
      <c r="Z243" s="937"/>
      <c r="AA243" s="938"/>
      <c r="AB243" s="594"/>
      <c r="AC243" s="595"/>
      <c r="AD243" s="596"/>
      <c r="AE243" s="779"/>
      <c r="AF243" s="939"/>
      <c r="AG243" s="780"/>
      <c r="AH243" s="941"/>
      <c r="AI243" s="942"/>
      <c r="AJ243" s="943"/>
      <c r="AK243" s="745"/>
      <c r="AL243" s="940"/>
      <c r="AM243" s="746"/>
      <c r="AN243" s="281"/>
      <c r="AO243" s="282"/>
      <c r="AP243" s="281"/>
      <c r="AQ243" s="282"/>
      <c r="AR243" s="281"/>
      <c r="AS243" s="282"/>
      <c r="AT243" s="281"/>
      <c r="AU243" s="282"/>
      <c r="AV243" s="281"/>
      <c r="AW243" s="282"/>
      <c r="AX243" s="281"/>
      <c r="AY243" s="282"/>
      <c r="AZ243" s="117"/>
      <c r="BA243" s="331"/>
      <c r="BB243" s="117"/>
      <c r="BC243" s="331"/>
      <c r="BD243" s="117"/>
      <c r="BE243" s="331"/>
      <c r="BF243" s="117"/>
      <c r="BG243" s="331"/>
      <c r="BH243" s="117"/>
      <c r="BI243" s="944" t="s">
        <v>159</v>
      </c>
      <c r="BJ243" s="944"/>
      <c r="BK243" s="944"/>
      <c r="BL243" s="944"/>
      <c r="BM243" s="944"/>
      <c r="BN243" s="944"/>
      <c r="BO243" s="944"/>
      <c r="BP243" s="944"/>
      <c r="BQ243" s="944"/>
      <c r="BR243" s="944"/>
      <c r="BS243" s="944"/>
      <c r="BT243" s="944"/>
      <c r="BU243" s="944"/>
      <c r="BV243" s="945"/>
    </row>
    <row r="244" spans="1:74" ht="30" customHeight="1" x14ac:dyDescent="0.25">
      <c r="A244" s="232">
        <f t="shared" si="3"/>
        <v>230</v>
      </c>
      <c r="B244" s="294" t="s">
        <v>162</v>
      </c>
      <c r="C244" s="295"/>
      <c r="D244" s="936"/>
      <c r="E244" s="937"/>
      <c r="F244" s="937"/>
      <c r="G244" s="937"/>
      <c r="H244" s="937"/>
      <c r="I244" s="937"/>
      <c r="J244" s="937"/>
      <c r="K244" s="938"/>
      <c r="L244" s="932"/>
      <c r="M244" s="932"/>
      <c r="N244" s="932"/>
      <c r="O244" s="932"/>
      <c r="P244" s="931"/>
      <c r="Q244" s="931"/>
      <c r="R244" s="931"/>
      <c r="S244" s="931"/>
      <c r="T244" s="933"/>
      <c r="U244" s="934"/>
      <c r="V244" s="934"/>
      <c r="W244" s="935"/>
      <c r="X244" s="936"/>
      <c r="Y244" s="937"/>
      <c r="Z244" s="937"/>
      <c r="AA244" s="938"/>
      <c r="AB244" s="594"/>
      <c r="AC244" s="595"/>
      <c r="AD244" s="596"/>
      <c r="AE244" s="779"/>
      <c r="AF244" s="939"/>
      <c r="AG244" s="780"/>
      <c r="AH244" s="941"/>
      <c r="AI244" s="942"/>
      <c r="AJ244" s="943"/>
      <c r="AK244" s="745"/>
      <c r="AL244" s="940"/>
      <c r="AM244" s="746"/>
      <c r="AN244" s="281"/>
      <c r="AO244" s="282"/>
      <c r="AP244" s="281"/>
      <c r="AQ244" s="282"/>
      <c r="AR244" s="281"/>
      <c r="AS244" s="282"/>
      <c r="AT244" s="281"/>
      <c r="AU244" s="282"/>
      <c r="AV244" s="281"/>
      <c r="AW244" s="282"/>
      <c r="AX244" s="281"/>
      <c r="AY244" s="282"/>
      <c r="AZ244" s="117"/>
      <c r="BA244" s="331"/>
      <c r="BB244" s="117"/>
      <c r="BC244" s="331"/>
      <c r="BD244" s="117"/>
      <c r="BE244" s="331"/>
      <c r="BF244" s="117"/>
      <c r="BG244" s="331"/>
      <c r="BH244" s="117"/>
      <c r="BI244" s="944" t="s">
        <v>212</v>
      </c>
      <c r="BJ244" s="944"/>
      <c r="BK244" s="944"/>
      <c r="BL244" s="944"/>
      <c r="BM244" s="944"/>
      <c r="BN244" s="944"/>
      <c r="BO244" s="944"/>
      <c r="BP244" s="944"/>
      <c r="BQ244" s="944"/>
      <c r="BR244" s="944"/>
      <c r="BS244" s="944"/>
      <c r="BT244" s="944"/>
      <c r="BU244" s="944"/>
      <c r="BV244" s="945"/>
    </row>
    <row r="245" spans="1:74" ht="30" customHeight="1" x14ac:dyDescent="0.25">
      <c r="A245" s="200">
        <f t="shared" si="3"/>
        <v>231</v>
      </c>
      <c r="B245" s="294" t="s">
        <v>162</v>
      </c>
      <c r="C245" s="295"/>
      <c r="D245" s="936"/>
      <c r="E245" s="937"/>
      <c r="F245" s="937"/>
      <c r="G245" s="937"/>
      <c r="H245" s="937"/>
      <c r="I245" s="937"/>
      <c r="J245" s="937"/>
      <c r="K245" s="938"/>
      <c r="L245" s="932"/>
      <c r="M245" s="932"/>
      <c r="N245" s="932"/>
      <c r="O245" s="932"/>
      <c r="P245" s="931"/>
      <c r="Q245" s="931"/>
      <c r="R245" s="931"/>
      <c r="S245" s="931"/>
      <c r="T245" s="933"/>
      <c r="U245" s="934"/>
      <c r="V245" s="934"/>
      <c r="W245" s="935"/>
      <c r="X245" s="936"/>
      <c r="Y245" s="937"/>
      <c r="Z245" s="937"/>
      <c r="AA245" s="938"/>
      <c r="AB245" s="594"/>
      <c r="AC245" s="595"/>
      <c r="AD245" s="596"/>
      <c r="AE245" s="779"/>
      <c r="AF245" s="939"/>
      <c r="AG245" s="780"/>
      <c r="AH245" s="941"/>
      <c r="AI245" s="942"/>
      <c r="AJ245" s="943"/>
      <c r="AK245" s="745"/>
      <c r="AL245" s="940"/>
      <c r="AM245" s="746"/>
      <c r="AN245" s="281"/>
      <c r="AO245" s="282"/>
      <c r="AP245" s="281"/>
      <c r="AQ245" s="282"/>
      <c r="AR245" s="281"/>
      <c r="AS245" s="282"/>
      <c r="AT245" s="281"/>
      <c r="AU245" s="282"/>
      <c r="AV245" s="281"/>
      <c r="AW245" s="282"/>
      <c r="AX245" s="281"/>
      <c r="AY245" s="282"/>
      <c r="AZ245" s="117"/>
      <c r="BA245" s="331"/>
      <c r="BB245" s="117"/>
      <c r="BC245" s="331"/>
      <c r="BD245" s="117"/>
      <c r="BE245" s="331"/>
      <c r="BF245" s="117"/>
      <c r="BG245" s="331"/>
      <c r="BH245" s="117"/>
      <c r="BI245" s="944" t="s">
        <v>212</v>
      </c>
      <c r="BJ245" s="944"/>
      <c r="BK245" s="944"/>
      <c r="BL245" s="944"/>
      <c r="BM245" s="944"/>
      <c r="BN245" s="944"/>
      <c r="BO245" s="944"/>
      <c r="BP245" s="944"/>
      <c r="BQ245" s="944"/>
      <c r="BR245" s="944"/>
      <c r="BS245" s="944"/>
      <c r="BT245" s="944"/>
      <c r="BU245" s="944"/>
      <c r="BV245" s="945"/>
    </row>
    <row r="246" spans="1:74" ht="30" customHeight="1" x14ac:dyDescent="0.25">
      <c r="A246" s="200">
        <f t="shared" si="3"/>
        <v>232</v>
      </c>
      <c r="B246" s="294" t="s">
        <v>162</v>
      </c>
      <c r="C246" s="295"/>
      <c r="D246" s="936"/>
      <c r="E246" s="937"/>
      <c r="F246" s="937"/>
      <c r="G246" s="937"/>
      <c r="H246" s="937"/>
      <c r="I246" s="937"/>
      <c r="J246" s="937"/>
      <c r="K246" s="938"/>
      <c r="L246" s="932"/>
      <c r="M246" s="932"/>
      <c r="N246" s="932"/>
      <c r="O246" s="932"/>
      <c r="P246" s="931"/>
      <c r="Q246" s="931"/>
      <c r="R246" s="931"/>
      <c r="S246" s="931"/>
      <c r="T246" s="933"/>
      <c r="U246" s="934"/>
      <c r="V246" s="934"/>
      <c r="W246" s="935"/>
      <c r="X246" s="936"/>
      <c r="Y246" s="937"/>
      <c r="Z246" s="937"/>
      <c r="AA246" s="938"/>
      <c r="AB246" s="594"/>
      <c r="AC246" s="595"/>
      <c r="AD246" s="596"/>
      <c r="AE246" s="779"/>
      <c r="AF246" s="939"/>
      <c r="AG246" s="780"/>
      <c r="AH246" s="941"/>
      <c r="AI246" s="942"/>
      <c r="AJ246" s="943"/>
      <c r="AK246" s="745"/>
      <c r="AL246" s="940"/>
      <c r="AM246" s="746"/>
      <c r="AN246" s="281"/>
      <c r="AO246" s="282"/>
      <c r="AP246" s="281"/>
      <c r="AQ246" s="282"/>
      <c r="AR246" s="281"/>
      <c r="AS246" s="282"/>
      <c r="AT246" s="281"/>
      <c r="AU246" s="282"/>
      <c r="AV246" s="281"/>
      <c r="AW246" s="282"/>
      <c r="AX246" s="281"/>
      <c r="AY246" s="282"/>
      <c r="AZ246" s="117"/>
      <c r="BA246" s="331"/>
      <c r="BB246" s="117"/>
      <c r="BC246" s="331"/>
      <c r="BD246" s="117"/>
      <c r="BE246" s="331"/>
      <c r="BF246" s="117"/>
      <c r="BG246" s="331"/>
      <c r="BH246" s="117"/>
      <c r="BI246" s="944" t="s">
        <v>212</v>
      </c>
      <c r="BJ246" s="944"/>
      <c r="BK246" s="944"/>
      <c r="BL246" s="944"/>
      <c r="BM246" s="944"/>
      <c r="BN246" s="944"/>
      <c r="BO246" s="944"/>
      <c r="BP246" s="944"/>
      <c r="BQ246" s="944"/>
      <c r="BR246" s="944"/>
      <c r="BS246" s="944"/>
      <c r="BT246" s="944"/>
      <c r="BU246" s="944"/>
      <c r="BV246" s="945"/>
    </row>
    <row r="247" spans="1:74" ht="30" customHeight="1" x14ac:dyDescent="0.25">
      <c r="A247" s="200">
        <f t="shared" si="3"/>
        <v>233</v>
      </c>
      <c r="B247" s="294" t="s">
        <v>162</v>
      </c>
      <c r="C247" s="295"/>
      <c r="D247" s="936"/>
      <c r="E247" s="937"/>
      <c r="F247" s="937"/>
      <c r="G247" s="937"/>
      <c r="H247" s="937"/>
      <c r="I247" s="937"/>
      <c r="J247" s="937"/>
      <c r="K247" s="938"/>
      <c r="L247" s="932"/>
      <c r="M247" s="932"/>
      <c r="N247" s="932"/>
      <c r="O247" s="932"/>
      <c r="P247" s="931"/>
      <c r="Q247" s="931"/>
      <c r="R247" s="931"/>
      <c r="S247" s="931"/>
      <c r="T247" s="933"/>
      <c r="U247" s="934"/>
      <c r="V247" s="934"/>
      <c r="W247" s="935"/>
      <c r="X247" s="936"/>
      <c r="Y247" s="937"/>
      <c r="Z247" s="937"/>
      <c r="AA247" s="938"/>
      <c r="AB247" s="594"/>
      <c r="AC247" s="595"/>
      <c r="AD247" s="596"/>
      <c r="AE247" s="779"/>
      <c r="AF247" s="939"/>
      <c r="AG247" s="780"/>
      <c r="AH247" s="941"/>
      <c r="AI247" s="942"/>
      <c r="AJ247" s="943"/>
      <c r="AK247" s="745"/>
      <c r="AL247" s="940"/>
      <c r="AM247" s="746"/>
      <c r="AN247" s="281"/>
      <c r="AO247" s="282"/>
      <c r="AP247" s="281"/>
      <c r="AQ247" s="282"/>
      <c r="AR247" s="281"/>
      <c r="AS247" s="282"/>
      <c r="AT247" s="281"/>
      <c r="AU247" s="282"/>
      <c r="AV247" s="281"/>
      <c r="AW247" s="282"/>
      <c r="AX247" s="281"/>
      <c r="AY247" s="282"/>
      <c r="AZ247" s="117"/>
      <c r="BA247" s="331"/>
      <c r="BB247" s="117"/>
      <c r="BC247" s="331"/>
      <c r="BD247" s="117"/>
      <c r="BE247" s="331"/>
      <c r="BF247" s="117"/>
      <c r="BG247" s="331"/>
      <c r="BH247" s="117"/>
      <c r="BI247" s="944" t="s">
        <v>212</v>
      </c>
      <c r="BJ247" s="944"/>
      <c r="BK247" s="944"/>
      <c r="BL247" s="944"/>
      <c r="BM247" s="944"/>
      <c r="BN247" s="944"/>
      <c r="BO247" s="944"/>
      <c r="BP247" s="944"/>
      <c r="BQ247" s="944"/>
      <c r="BR247" s="944"/>
      <c r="BS247" s="944"/>
      <c r="BT247" s="944"/>
      <c r="BU247" s="944"/>
      <c r="BV247" s="945"/>
    </row>
    <row r="248" spans="1:74" ht="30" customHeight="1" x14ac:dyDescent="0.25">
      <c r="A248" s="200">
        <f t="shared" si="3"/>
        <v>234</v>
      </c>
      <c r="B248" s="294" t="s">
        <v>162</v>
      </c>
      <c r="C248" s="295"/>
      <c r="D248" s="936"/>
      <c r="E248" s="937"/>
      <c r="F248" s="937"/>
      <c r="G248" s="937"/>
      <c r="H248" s="937"/>
      <c r="I248" s="937"/>
      <c r="J248" s="937"/>
      <c r="K248" s="938"/>
      <c r="L248" s="932"/>
      <c r="M248" s="932"/>
      <c r="N248" s="932"/>
      <c r="O248" s="932"/>
      <c r="P248" s="931"/>
      <c r="Q248" s="931"/>
      <c r="R248" s="931"/>
      <c r="S248" s="931"/>
      <c r="T248" s="933"/>
      <c r="U248" s="934"/>
      <c r="V248" s="934"/>
      <c r="W248" s="935"/>
      <c r="X248" s="936"/>
      <c r="Y248" s="937"/>
      <c r="Z248" s="937"/>
      <c r="AA248" s="938"/>
      <c r="AB248" s="594"/>
      <c r="AC248" s="595"/>
      <c r="AD248" s="596"/>
      <c r="AE248" s="779"/>
      <c r="AF248" s="939"/>
      <c r="AG248" s="780"/>
      <c r="AH248" s="941"/>
      <c r="AI248" s="942"/>
      <c r="AJ248" s="943"/>
      <c r="AK248" s="745"/>
      <c r="AL248" s="940"/>
      <c r="AM248" s="746"/>
      <c r="AN248" s="281"/>
      <c r="AO248" s="282"/>
      <c r="AP248" s="281"/>
      <c r="AQ248" s="282"/>
      <c r="AR248" s="281"/>
      <c r="AS248" s="282"/>
      <c r="AT248" s="281"/>
      <c r="AU248" s="282"/>
      <c r="AV248" s="281"/>
      <c r="AW248" s="282"/>
      <c r="AX248" s="281"/>
      <c r="AY248" s="282"/>
      <c r="AZ248" s="117"/>
      <c r="BA248" s="331"/>
      <c r="BB248" s="117"/>
      <c r="BC248" s="331"/>
      <c r="BD248" s="117"/>
      <c r="BE248" s="331"/>
      <c r="BF248" s="117"/>
      <c r="BG248" s="331"/>
      <c r="BH248" s="117"/>
      <c r="BI248" s="944" t="s">
        <v>212</v>
      </c>
      <c r="BJ248" s="944"/>
      <c r="BK248" s="944"/>
      <c r="BL248" s="944"/>
      <c r="BM248" s="944"/>
      <c r="BN248" s="944"/>
      <c r="BO248" s="944"/>
      <c r="BP248" s="944"/>
      <c r="BQ248" s="944"/>
      <c r="BR248" s="944"/>
      <c r="BS248" s="944"/>
      <c r="BT248" s="944"/>
      <c r="BU248" s="944"/>
      <c r="BV248" s="945"/>
    </row>
    <row r="249" spans="1:74" ht="30" customHeight="1" x14ac:dyDescent="0.25">
      <c r="A249" s="200">
        <f t="shared" si="3"/>
        <v>235</v>
      </c>
      <c r="B249" s="294" t="s">
        <v>162</v>
      </c>
      <c r="C249" s="295"/>
      <c r="D249" s="936"/>
      <c r="E249" s="937"/>
      <c r="F249" s="937"/>
      <c r="G249" s="937"/>
      <c r="H249" s="937"/>
      <c r="I249" s="937"/>
      <c r="J249" s="937"/>
      <c r="K249" s="938"/>
      <c r="L249" s="932"/>
      <c r="M249" s="932"/>
      <c r="N249" s="932"/>
      <c r="O249" s="932"/>
      <c r="P249" s="931"/>
      <c r="Q249" s="931"/>
      <c r="R249" s="931"/>
      <c r="S249" s="931"/>
      <c r="T249" s="933"/>
      <c r="U249" s="934"/>
      <c r="V249" s="934"/>
      <c r="W249" s="935"/>
      <c r="X249" s="936"/>
      <c r="Y249" s="937"/>
      <c r="Z249" s="937"/>
      <c r="AA249" s="938"/>
      <c r="AB249" s="594"/>
      <c r="AC249" s="595"/>
      <c r="AD249" s="596"/>
      <c r="AE249" s="779"/>
      <c r="AF249" s="939"/>
      <c r="AG249" s="780"/>
      <c r="AH249" s="941"/>
      <c r="AI249" s="942"/>
      <c r="AJ249" s="943"/>
      <c r="AK249" s="745"/>
      <c r="AL249" s="940"/>
      <c r="AM249" s="746"/>
      <c r="AN249" s="281"/>
      <c r="AO249" s="282"/>
      <c r="AP249" s="281"/>
      <c r="AQ249" s="282"/>
      <c r="AR249" s="281"/>
      <c r="AS249" s="282"/>
      <c r="AT249" s="281"/>
      <c r="AU249" s="282"/>
      <c r="AV249" s="281"/>
      <c r="AW249" s="282"/>
      <c r="AX249" s="281"/>
      <c r="AY249" s="282"/>
      <c r="AZ249" s="117"/>
      <c r="BA249" s="331"/>
      <c r="BB249" s="117"/>
      <c r="BC249" s="331"/>
      <c r="BD249" s="117"/>
      <c r="BE249" s="331"/>
      <c r="BF249" s="117"/>
      <c r="BG249" s="331"/>
      <c r="BH249" s="117"/>
      <c r="BI249" s="944" t="s">
        <v>159</v>
      </c>
      <c r="BJ249" s="944"/>
      <c r="BK249" s="944"/>
      <c r="BL249" s="944"/>
      <c r="BM249" s="944"/>
      <c r="BN249" s="944"/>
      <c r="BO249" s="944"/>
      <c r="BP249" s="944"/>
      <c r="BQ249" s="944"/>
      <c r="BR249" s="944"/>
      <c r="BS249" s="944"/>
      <c r="BT249" s="944"/>
      <c r="BU249" s="944"/>
      <c r="BV249" s="945"/>
    </row>
    <row r="250" spans="1:74" ht="30" customHeight="1" x14ac:dyDescent="0.25">
      <c r="A250" s="200">
        <f t="shared" si="3"/>
        <v>236</v>
      </c>
      <c r="B250" s="294" t="s">
        <v>162</v>
      </c>
      <c r="C250" s="295"/>
      <c r="D250" s="936"/>
      <c r="E250" s="937"/>
      <c r="F250" s="937"/>
      <c r="G250" s="937"/>
      <c r="H250" s="937"/>
      <c r="I250" s="937"/>
      <c r="J250" s="937"/>
      <c r="K250" s="938"/>
      <c r="L250" s="932"/>
      <c r="M250" s="932"/>
      <c r="N250" s="932"/>
      <c r="O250" s="932"/>
      <c r="P250" s="931"/>
      <c r="Q250" s="931"/>
      <c r="R250" s="931"/>
      <c r="S250" s="931"/>
      <c r="T250" s="933"/>
      <c r="U250" s="934"/>
      <c r="V250" s="934"/>
      <c r="W250" s="935"/>
      <c r="X250" s="936"/>
      <c r="Y250" s="937"/>
      <c r="Z250" s="937"/>
      <c r="AA250" s="938"/>
      <c r="AB250" s="594"/>
      <c r="AC250" s="595"/>
      <c r="AD250" s="596"/>
      <c r="AE250" s="779"/>
      <c r="AF250" s="939"/>
      <c r="AG250" s="780"/>
      <c r="AH250" s="941"/>
      <c r="AI250" s="942"/>
      <c r="AJ250" s="943"/>
      <c r="AK250" s="745"/>
      <c r="AL250" s="940"/>
      <c r="AM250" s="746"/>
      <c r="AN250" s="281"/>
      <c r="AO250" s="282"/>
      <c r="AP250" s="281"/>
      <c r="AQ250" s="282"/>
      <c r="AR250" s="281"/>
      <c r="AS250" s="282"/>
      <c r="AT250" s="281"/>
      <c r="AU250" s="282"/>
      <c r="AV250" s="281"/>
      <c r="AW250" s="282"/>
      <c r="AX250" s="281"/>
      <c r="AY250" s="282"/>
      <c r="AZ250" s="117"/>
      <c r="BA250" s="331"/>
      <c r="BB250" s="117"/>
      <c r="BC250" s="331"/>
      <c r="BD250" s="117"/>
      <c r="BE250" s="331"/>
      <c r="BF250" s="117"/>
      <c r="BG250" s="331"/>
      <c r="BH250" s="117"/>
      <c r="BI250" s="944" t="s">
        <v>159</v>
      </c>
      <c r="BJ250" s="944"/>
      <c r="BK250" s="944"/>
      <c r="BL250" s="944"/>
      <c r="BM250" s="944"/>
      <c r="BN250" s="944"/>
      <c r="BO250" s="944"/>
      <c r="BP250" s="944"/>
      <c r="BQ250" s="944"/>
      <c r="BR250" s="944"/>
      <c r="BS250" s="944"/>
      <c r="BT250" s="944"/>
      <c r="BU250" s="944"/>
      <c r="BV250" s="945"/>
    </row>
    <row r="251" spans="1:74" ht="30" customHeight="1" x14ac:dyDescent="0.25">
      <c r="A251" s="232">
        <f t="shared" si="3"/>
        <v>237</v>
      </c>
      <c r="B251" s="294" t="s">
        <v>162</v>
      </c>
      <c r="C251" s="295"/>
      <c r="D251" s="936"/>
      <c r="E251" s="937"/>
      <c r="F251" s="937"/>
      <c r="G251" s="937"/>
      <c r="H251" s="937"/>
      <c r="I251" s="937"/>
      <c r="J251" s="937"/>
      <c r="K251" s="938"/>
      <c r="L251" s="932"/>
      <c r="M251" s="932"/>
      <c r="N251" s="932"/>
      <c r="O251" s="932"/>
      <c r="P251" s="931"/>
      <c r="Q251" s="931"/>
      <c r="R251" s="931"/>
      <c r="S251" s="931"/>
      <c r="T251" s="933"/>
      <c r="U251" s="934"/>
      <c r="V251" s="934"/>
      <c r="W251" s="935"/>
      <c r="X251" s="936"/>
      <c r="Y251" s="937"/>
      <c r="Z251" s="937"/>
      <c r="AA251" s="938"/>
      <c r="AB251" s="594"/>
      <c r="AC251" s="595"/>
      <c r="AD251" s="596"/>
      <c r="AE251" s="779"/>
      <c r="AF251" s="939"/>
      <c r="AG251" s="780"/>
      <c r="AH251" s="941"/>
      <c r="AI251" s="942"/>
      <c r="AJ251" s="943"/>
      <c r="AK251" s="745"/>
      <c r="AL251" s="940"/>
      <c r="AM251" s="746"/>
      <c r="AN251" s="281"/>
      <c r="AO251" s="282"/>
      <c r="AP251" s="281"/>
      <c r="AQ251" s="282"/>
      <c r="AR251" s="281"/>
      <c r="AS251" s="282"/>
      <c r="AT251" s="281"/>
      <c r="AU251" s="282"/>
      <c r="AV251" s="281"/>
      <c r="AW251" s="282"/>
      <c r="AX251" s="281"/>
      <c r="AY251" s="282"/>
      <c r="AZ251" s="117"/>
      <c r="BA251" s="331"/>
      <c r="BB251" s="117"/>
      <c r="BC251" s="331"/>
      <c r="BD251" s="117"/>
      <c r="BE251" s="331"/>
      <c r="BF251" s="117"/>
      <c r="BG251" s="331"/>
      <c r="BH251" s="117"/>
      <c r="BI251" s="944" t="s">
        <v>212</v>
      </c>
      <c r="BJ251" s="944"/>
      <c r="BK251" s="944"/>
      <c r="BL251" s="944"/>
      <c r="BM251" s="944"/>
      <c r="BN251" s="944"/>
      <c r="BO251" s="944"/>
      <c r="BP251" s="944"/>
      <c r="BQ251" s="944"/>
      <c r="BR251" s="944"/>
      <c r="BS251" s="944"/>
      <c r="BT251" s="944"/>
      <c r="BU251" s="944"/>
      <c r="BV251" s="945"/>
    </row>
    <row r="252" spans="1:74" ht="30" customHeight="1" x14ac:dyDescent="0.25">
      <c r="A252" s="200">
        <f t="shared" si="3"/>
        <v>238</v>
      </c>
      <c r="B252" s="294" t="s">
        <v>162</v>
      </c>
      <c r="C252" s="295"/>
      <c r="D252" s="936"/>
      <c r="E252" s="937"/>
      <c r="F252" s="937"/>
      <c r="G252" s="937"/>
      <c r="H252" s="937"/>
      <c r="I252" s="937"/>
      <c r="J252" s="937"/>
      <c r="K252" s="938"/>
      <c r="L252" s="932"/>
      <c r="M252" s="932"/>
      <c r="N252" s="932"/>
      <c r="O252" s="932"/>
      <c r="P252" s="931"/>
      <c r="Q252" s="931"/>
      <c r="R252" s="931"/>
      <c r="S252" s="931"/>
      <c r="T252" s="933"/>
      <c r="U252" s="934"/>
      <c r="V252" s="934"/>
      <c r="W252" s="935"/>
      <c r="X252" s="936"/>
      <c r="Y252" s="937"/>
      <c r="Z252" s="937"/>
      <c r="AA252" s="938"/>
      <c r="AB252" s="594"/>
      <c r="AC252" s="595"/>
      <c r="AD252" s="596"/>
      <c r="AE252" s="779"/>
      <c r="AF252" s="939"/>
      <c r="AG252" s="780"/>
      <c r="AH252" s="941"/>
      <c r="AI252" s="942"/>
      <c r="AJ252" s="943"/>
      <c r="AK252" s="745"/>
      <c r="AL252" s="940"/>
      <c r="AM252" s="746"/>
      <c r="AN252" s="281"/>
      <c r="AO252" s="282"/>
      <c r="AP252" s="281"/>
      <c r="AQ252" s="282"/>
      <c r="AR252" s="281"/>
      <c r="AS252" s="282"/>
      <c r="AT252" s="281"/>
      <c r="AU252" s="282"/>
      <c r="AV252" s="281"/>
      <c r="AW252" s="282"/>
      <c r="AX252" s="281"/>
      <c r="AY252" s="282"/>
      <c r="AZ252" s="117"/>
      <c r="BA252" s="331"/>
      <c r="BB252" s="117"/>
      <c r="BC252" s="331"/>
      <c r="BD252" s="117"/>
      <c r="BE252" s="331"/>
      <c r="BF252" s="117"/>
      <c r="BG252" s="331"/>
      <c r="BH252" s="117"/>
      <c r="BI252" s="944" t="s">
        <v>212</v>
      </c>
      <c r="BJ252" s="944"/>
      <c r="BK252" s="944"/>
      <c r="BL252" s="944"/>
      <c r="BM252" s="944"/>
      <c r="BN252" s="944"/>
      <c r="BO252" s="944"/>
      <c r="BP252" s="944"/>
      <c r="BQ252" s="944"/>
      <c r="BR252" s="944"/>
      <c r="BS252" s="944"/>
      <c r="BT252" s="944"/>
      <c r="BU252" s="944"/>
      <c r="BV252" s="945"/>
    </row>
    <row r="253" spans="1:74" ht="30" customHeight="1" x14ac:dyDescent="0.25">
      <c r="A253" s="200">
        <f t="shared" si="3"/>
        <v>239</v>
      </c>
      <c r="B253" s="294" t="s">
        <v>162</v>
      </c>
      <c r="C253" s="295"/>
      <c r="D253" s="936"/>
      <c r="E253" s="937"/>
      <c r="F253" s="937"/>
      <c r="G253" s="937"/>
      <c r="H253" s="937"/>
      <c r="I253" s="937"/>
      <c r="J253" s="937"/>
      <c r="K253" s="938"/>
      <c r="L253" s="932"/>
      <c r="M253" s="932"/>
      <c r="N253" s="932"/>
      <c r="O253" s="932"/>
      <c r="P253" s="931"/>
      <c r="Q253" s="931"/>
      <c r="R253" s="931"/>
      <c r="S253" s="931"/>
      <c r="T253" s="933"/>
      <c r="U253" s="934"/>
      <c r="V253" s="934"/>
      <c r="W253" s="935"/>
      <c r="X253" s="936"/>
      <c r="Y253" s="937"/>
      <c r="Z253" s="937"/>
      <c r="AA253" s="938"/>
      <c r="AB253" s="594"/>
      <c r="AC253" s="595"/>
      <c r="AD253" s="596"/>
      <c r="AE253" s="779"/>
      <c r="AF253" s="939"/>
      <c r="AG253" s="780"/>
      <c r="AH253" s="941"/>
      <c r="AI253" s="942"/>
      <c r="AJ253" s="943"/>
      <c r="AK253" s="745"/>
      <c r="AL253" s="940"/>
      <c r="AM253" s="746"/>
      <c r="AN253" s="281"/>
      <c r="AO253" s="282"/>
      <c r="AP253" s="281"/>
      <c r="AQ253" s="282"/>
      <c r="AR253" s="281"/>
      <c r="AS253" s="282"/>
      <c r="AT253" s="281"/>
      <c r="AU253" s="282"/>
      <c r="AV253" s="281"/>
      <c r="AW253" s="282"/>
      <c r="AX253" s="281"/>
      <c r="AY253" s="282"/>
      <c r="AZ253" s="117"/>
      <c r="BA253" s="331"/>
      <c r="BB253" s="117"/>
      <c r="BC253" s="331"/>
      <c r="BD253" s="117"/>
      <c r="BE253" s="331"/>
      <c r="BF253" s="117"/>
      <c r="BG253" s="331"/>
      <c r="BH253" s="117"/>
      <c r="BI253" s="944" t="s">
        <v>212</v>
      </c>
      <c r="BJ253" s="944"/>
      <c r="BK253" s="944"/>
      <c r="BL253" s="944"/>
      <c r="BM253" s="944"/>
      <c r="BN253" s="944"/>
      <c r="BO253" s="944"/>
      <c r="BP253" s="944"/>
      <c r="BQ253" s="944"/>
      <c r="BR253" s="944"/>
      <c r="BS253" s="944"/>
      <c r="BT253" s="944"/>
      <c r="BU253" s="944"/>
      <c r="BV253" s="945"/>
    </row>
    <row r="254" spans="1:74" ht="30" customHeight="1" x14ac:dyDescent="0.25">
      <c r="A254" s="200">
        <f t="shared" si="3"/>
        <v>240</v>
      </c>
      <c r="B254" s="294" t="s">
        <v>162</v>
      </c>
      <c r="C254" s="295"/>
      <c r="D254" s="936"/>
      <c r="E254" s="937"/>
      <c r="F254" s="937"/>
      <c r="G254" s="937"/>
      <c r="H254" s="937"/>
      <c r="I254" s="937"/>
      <c r="J254" s="937"/>
      <c r="K254" s="938"/>
      <c r="L254" s="932"/>
      <c r="M254" s="932"/>
      <c r="N254" s="932"/>
      <c r="O254" s="932"/>
      <c r="P254" s="931"/>
      <c r="Q254" s="931"/>
      <c r="R254" s="931"/>
      <c r="S254" s="931"/>
      <c r="T254" s="933"/>
      <c r="U254" s="934"/>
      <c r="V254" s="934"/>
      <c r="W254" s="935"/>
      <c r="X254" s="936"/>
      <c r="Y254" s="937"/>
      <c r="Z254" s="937"/>
      <c r="AA254" s="938"/>
      <c r="AB254" s="594"/>
      <c r="AC254" s="595"/>
      <c r="AD254" s="596"/>
      <c r="AE254" s="779"/>
      <c r="AF254" s="939"/>
      <c r="AG254" s="780"/>
      <c r="AH254" s="941"/>
      <c r="AI254" s="942"/>
      <c r="AJ254" s="943"/>
      <c r="AK254" s="745"/>
      <c r="AL254" s="940"/>
      <c r="AM254" s="746"/>
      <c r="AN254" s="281"/>
      <c r="AO254" s="282"/>
      <c r="AP254" s="281"/>
      <c r="AQ254" s="282"/>
      <c r="AR254" s="281"/>
      <c r="AS254" s="282"/>
      <c r="AT254" s="281"/>
      <c r="AU254" s="282"/>
      <c r="AV254" s="281"/>
      <c r="AW254" s="282"/>
      <c r="AX254" s="281"/>
      <c r="AY254" s="282"/>
      <c r="AZ254" s="117"/>
      <c r="BA254" s="331"/>
      <c r="BB254" s="117"/>
      <c r="BC254" s="331"/>
      <c r="BD254" s="117"/>
      <c r="BE254" s="331"/>
      <c r="BF254" s="117"/>
      <c r="BG254" s="331"/>
      <c r="BH254" s="117"/>
      <c r="BI254" s="944" t="s">
        <v>212</v>
      </c>
      <c r="BJ254" s="944"/>
      <c r="BK254" s="944"/>
      <c r="BL254" s="944"/>
      <c r="BM254" s="944"/>
      <c r="BN254" s="944"/>
      <c r="BO254" s="944"/>
      <c r="BP254" s="944"/>
      <c r="BQ254" s="944"/>
      <c r="BR254" s="944"/>
      <c r="BS254" s="944"/>
      <c r="BT254" s="944"/>
      <c r="BU254" s="944"/>
      <c r="BV254" s="945"/>
    </row>
    <row r="255" spans="1:74" ht="30" customHeight="1" x14ac:dyDescent="0.25">
      <c r="A255" s="200">
        <f t="shared" si="3"/>
        <v>241</v>
      </c>
      <c r="B255" s="294" t="s">
        <v>162</v>
      </c>
      <c r="C255" s="295"/>
      <c r="D255" s="936"/>
      <c r="E255" s="937"/>
      <c r="F255" s="937"/>
      <c r="G255" s="937"/>
      <c r="H255" s="937"/>
      <c r="I255" s="937"/>
      <c r="J255" s="937"/>
      <c r="K255" s="938"/>
      <c r="L255" s="932"/>
      <c r="M255" s="932"/>
      <c r="N255" s="932"/>
      <c r="O255" s="932"/>
      <c r="P255" s="931"/>
      <c r="Q255" s="931"/>
      <c r="R255" s="931"/>
      <c r="S255" s="931"/>
      <c r="T255" s="933"/>
      <c r="U255" s="934"/>
      <c r="V255" s="934"/>
      <c r="W255" s="935"/>
      <c r="X255" s="936"/>
      <c r="Y255" s="937"/>
      <c r="Z255" s="937"/>
      <c r="AA255" s="938"/>
      <c r="AB255" s="594"/>
      <c r="AC255" s="595"/>
      <c r="AD255" s="596"/>
      <c r="AE255" s="779"/>
      <c r="AF255" s="939"/>
      <c r="AG255" s="780"/>
      <c r="AH255" s="941"/>
      <c r="AI255" s="942"/>
      <c r="AJ255" s="943"/>
      <c r="AK255" s="745"/>
      <c r="AL255" s="940"/>
      <c r="AM255" s="746"/>
      <c r="AN255" s="281"/>
      <c r="AO255" s="282"/>
      <c r="AP255" s="281"/>
      <c r="AQ255" s="282"/>
      <c r="AR255" s="281"/>
      <c r="AS255" s="282"/>
      <c r="AT255" s="281"/>
      <c r="AU255" s="282"/>
      <c r="AV255" s="281"/>
      <c r="AW255" s="282"/>
      <c r="AX255" s="281"/>
      <c r="AY255" s="282"/>
      <c r="AZ255" s="117"/>
      <c r="BA255" s="331"/>
      <c r="BB255" s="117"/>
      <c r="BC255" s="331"/>
      <c r="BD255" s="117"/>
      <c r="BE255" s="331"/>
      <c r="BF255" s="117"/>
      <c r="BG255" s="331"/>
      <c r="BH255" s="117"/>
      <c r="BI255" s="944" t="s">
        <v>212</v>
      </c>
      <c r="BJ255" s="944"/>
      <c r="BK255" s="944"/>
      <c r="BL255" s="944"/>
      <c r="BM255" s="944"/>
      <c r="BN255" s="944"/>
      <c r="BO255" s="944"/>
      <c r="BP255" s="944"/>
      <c r="BQ255" s="944"/>
      <c r="BR255" s="944"/>
      <c r="BS255" s="944"/>
      <c r="BT255" s="944"/>
      <c r="BU255" s="944"/>
      <c r="BV255" s="945"/>
    </row>
    <row r="256" spans="1:74" ht="30" customHeight="1" x14ac:dyDescent="0.25">
      <c r="A256" s="200">
        <f t="shared" si="3"/>
        <v>242</v>
      </c>
      <c r="B256" s="294" t="s">
        <v>162</v>
      </c>
      <c r="C256" s="295"/>
      <c r="D256" s="936"/>
      <c r="E256" s="937"/>
      <c r="F256" s="937"/>
      <c r="G256" s="937"/>
      <c r="H256" s="937"/>
      <c r="I256" s="937"/>
      <c r="J256" s="937"/>
      <c r="K256" s="938"/>
      <c r="L256" s="932"/>
      <c r="M256" s="932"/>
      <c r="N256" s="932"/>
      <c r="O256" s="932"/>
      <c r="P256" s="931"/>
      <c r="Q256" s="931"/>
      <c r="R256" s="931"/>
      <c r="S256" s="931"/>
      <c r="T256" s="933"/>
      <c r="U256" s="934"/>
      <c r="V256" s="934"/>
      <c r="W256" s="935"/>
      <c r="X256" s="936"/>
      <c r="Y256" s="937"/>
      <c r="Z256" s="937"/>
      <c r="AA256" s="938"/>
      <c r="AB256" s="594"/>
      <c r="AC256" s="595"/>
      <c r="AD256" s="596"/>
      <c r="AE256" s="779"/>
      <c r="AF256" s="939"/>
      <c r="AG256" s="780"/>
      <c r="AH256" s="941"/>
      <c r="AI256" s="942"/>
      <c r="AJ256" s="943"/>
      <c r="AK256" s="745"/>
      <c r="AL256" s="940"/>
      <c r="AM256" s="746"/>
      <c r="AN256" s="281"/>
      <c r="AO256" s="282"/>
      <c r="AP256" s="281"/>
      <c r="AQ256" s="282"/>
      <c r="AR256" s="281"/>
      <c r="AS256" s="282"/>
      <c r="AT256" s="281"/>
      <c r="AU256" s="282"/>
      <c r="AV256" s="281"/>
      <c r="AW256" s="282"/>
      <c r="AX256" s="281"/>
      <c r="AY256" s="282"/>
      <c r="AZ256" s="117"/>
      <c r="BA256" s="331"/>
      <c r="BB256" s="117"/>
      <c r="BC256" s="331"/>
      <c r="BD256" s="117"/>
      <c r="BE256" s="331"/>
      <c r="BF256" s="117"/>
      <c r="BG256" s="331"/>
      <c r="BH256" s="117"/>
      <c r="BI256" s="944" t="s">
        <v>159</v>
      </c>
      <c r="BJ256" s="944"/>
      <c r="BK256" s="944"/>
      <c r="BL256" s="944"/>
      <c r="BM256" s="944"/>
      <c r="BN256" s="944"/>
      <c r="BO256" s="944"/>
      <c r="BP256" s="944"/>
      <c r="BQ256" s="944"/>
      <c r="BR256" s="944"/>
      <c r="BS256" s="944"/>
      <c r="BT256" s="944"/>
      <c r="BU256" s="944"/>
      <c r="BV256" s="945"/>
    </row>
    <row r="257" spans="1:74" ht="30" customHeight="1" x14ac:dyDescent="0.25">
      <c r="A257" s="200">
        <f t="shared" si="3"/>
        <v>243</v>
      </c>
      <c r="B257" s="294" t="s">
        <v>162</v>
      </c>
      <c r="C257" s="295"/>
      <c r="D257" s="936"/>
      <c r="E257" s="937"/>
      <c r="F257" s="937"/>
      <c r="G257" s="937"/>
      <c r="H257" s="937"/>
      <c r="I257" s="937"/>
      <c r="J257" s="937"/>
      <c r="K257" s="938"/>
      <c r="L257" s="932"/>
      <c r="M257" s="932"/>
      <c r="N257" s="932"/>
      <c r="O257" s="932"/>
      <c r="P257" s="931"/>
      <c r="Q257" s="931"/>
      <c r="R257" s="931"/>
      <c r="S257" s="931"/>
      <c r="T257" s="933"/>
      <c r="U257" s="934"/>
      <c r="V257" s="934"/>
      <c r="W257" s="935"/>
      <c r="X257" s="936"/>
      <c r="Y257" s="937"/>
      <c r="Z257" s="937"/>
      <c r="AA257" s="938"/>
      <c r="AB257" s="594"/>
      <c r="AC257" s="595"/>
      <c r="AD257" s="596"/>
      <c r="AE257" s="779"/>
      <c r="AF257" s="939"/>
      <c r="AG257" s="780"/>
      <c r="AH257" s="941"/>
      <c r="AI257" s="942"/>
      <c r="AJ257" s="943"/>
      <c r="AK257" s="745"/>
      <c r="AL257" s="940"/>
      <c r="AM257" s="746"/>
      <c r="AN257" s="281"/>
      <c r="AO257" s="282"/>
      <c r="AP257" s="281"/>
      <c r="AQ257" s="282"/>
      <c r="AR257" s="281"/>
      <c r="AS257" s="282"/>
      <c r="AT257" s="281"/>
      <c r="AU257" s="282"/>
      <c r="AV257" s="281"/>
      <c r="AW257" s="282"/>
      <c r="AX257" s="281"/>
      <c r="AY257" s="282"/>
      <c r="AZ257" s="117"/>
      <c r="BA257" s="331"/>
      <c r="BB257" s="117"/>
      <c r="BC257" s="331"/>
      <c r="BD257" s="117"/>
      <c r="BE257" s="331"/>
      <c r="BF257" s="117"/>
      <c r="BG257" s="331"/>
      <c r="BH257" s="117"/>
      <c r="BI257" s="944" t="s">
        <v>159</v>
      </c>
      <c r="BJ257" s="944"/>
      <c r="BK257" s="944"/>
      <c r="BL257" s="944"/>
      <c r="BM257" s="944"/>
      <c r="BN257" s="944"/>
      <c r="BO257" s="944"/>
      <c r="BP257" s="944"/>
      <c r="BQ257" s="944"/>
      <c r="BR257" s="944"/>
      <c r="BS257" s="944"/>
      <c r="BT257" s="944"/>
      <c r="BU257" s="944"/>
      <c r="BV257" s="945"/>
    </row>
    <row r="258" spans="1:74" ht="30" customHeight="1" x14ac:dyDescent="0.25">
      <c r="A258" s="232">
        <f t="shared" si="3"/>
        <v>244</v>
      </c>
      <c r="B258" s="294" t="s">
        <v>162</v>
      </c>
      <c r="C258" s="295"/>
      <c r="D258" s="936"/>
      <c r="E258" s="937"/>
      <c r="F258" s="937"/>
      <c r="G258" s="937"/>
      <c r="H258" s="937"/>
      <c r="I258" s="937"/>
      <c r="J258" s="937"/>
      <c r="K258" s="938"/>
      <c r="L258" s="932"/>
      <c r="M258" s="932"/>
      <c r="N258" s="932"/>
      <c r="O258" s="932"/>
      <c r="P258" s="931"/>
      <c r="Q258" s="931"/>
      <c r="R258" s="931"/>
      <c r="S258" s="931"/>
      <c r="T258" s="933"/>
      <c r="U258" s="934"/>
      <c r="V258" s="934"/>
      <c r="W258" s="935"/>
      <c r="X258" s="936"/>
      <c r="Y258" s="937"/>
      <c r="Z258" s="937"/>
      <c r="AA258" s="938"/>
      <c r="AB258" s="594"/>
      <c r="AC258" s="595"/>
      <c r="AD258" s="596"/>
      <c r="AE258" s="779"/>
      <c r="AF258" s="939"/>
      <c r="AG258" s="780"/>
      <c r="AH258" s="941"/>
      <c r="AI258" s="942"/>
      <c r="AJ258" s="943"/>
      <c r="AK258" s="745"/>
      <c r="AL258" s="940"/>
      <c r="AM258" s="746"/>
      <c r="AN258" s="281"/>
      <c r="AO258" s="282"/>
      <c r="AP258" s="281"/>
      <c r="AQ258" s="282"/>
      <c r="AR258" s="281"/>
      <c r="AS258" s="282"/>
      <c r="AT258" s="281"/>
      <c r="AU258" s="282"/>
      <c r="AV258" s="281"/>
      <c r="AW258" s="282"/>
      <c r="AX258" s="281"/>
      <c r="AY258" s="282"/>
      <c r="AZ258" s="117"/>
      <c r="BA258" s="331"/>
      <c r="BB258" s="117"/>
      <c r="BC258" s="331"/>
      <c r="BD258" s="117"/>
      <c r="BE258" s="331"/>
      <c r="BF258" s="117"/>
      <c r="BG258" s="331"/>
      <c r="BH258" s="117"/>
      <c r="BI258" s="944" t="s">
        <v>212</v>
      </c>
      <c r="BJ258" s="944"/>
      <c r="BK258" s="944"/>
      <c r="BL258" s="944"/>
      <c r="BM258" s="944"/>
      <c r="BN258" s="944"/>
      <c r="BO258" s="944"/>
      <c r="BP258" s="944"/>
      <c r="BQ258" s="944"/>
      <c r="BR258" s="944"/>
      <c r="BS258" s="944"/>
      <c r="BT258" s="944"/>
      <c r="BU258" s="944"/>
      <c r="BV258" s="945"/>
    </row>
    <row r="259" spans="1:74" ht="30" customHeight="1" x14ac:dyDescent="0.25">
      <c r="A259" s="200">
        <f t="shared" si="3"/>
        <v>245</v>
      </c>
      <c r="B259" s="294" t="s">
        <v>162</v>
      </c>
      <c r="C259" s="295"/>
      <c r="D259" s="936"/>
      <c r="E259" s="937"/>
      <c r="F259" s="937"/>
      <c r="G259" s="937"/>
      <c r="H259" s="937"/>
      <c r="I259" s="937"/>
      <c r="J259" s="937"/>
      <c r="K259" s="938"/>
      <c r="L259" s="932"/>
      <c r="M259" s="932"/>
      <c r="N259" s="932"/>
      <c r="O259" s="932"/>
      <c r="P259" s="931"/>
      <c r="Q259" s="931"/>
      <c r="R259" s="931"/>
      <c r="S259" s="931"/>
      <c r="T259" s="933"/>
      <c r="U259" s="934"/>
      <c r="V259" s="934"/>
      <c r="W259" s="935"/>
      <c r="X259" s="936"/>
      <c r="Y259" s="937"/>
      <c r="Z259" s="937"/>
      <c r="AA259" s="938"/>
      <c r="AB259" s="594"/>
      <c r="AC259" s="595"/>
      <c r="AD259" s="596"/>
      <c r="AE259" s="779"/>
      <c r="AF259" s="939"/>
      <c r="AG259" s="780"/>
      <c r="AH259" s="941"/>
      <c r="AI259" s="942"/>
      <c r="AJ259" s="943"/>
      <c r="AK259" s="745"/>
      <c r="AL259" s="940"/>
      <c r="AM259" s="746"/>
      <c r="AN259" s="281"/>
      <c r="AO259" s="282"/>
      <c r="AP259" s="281"/>
      <c r="AQ259" s="282"/>
      <c r="AR259" s="281"/>
      <c r="AS259" s="282"/>
      <c r="AT259" s="281"/>
      <c r="AU259" s="282"/>
      <c r="AV259" s="281"/>
      <c r="AW259" s="282"/>
      <c r="AX259" s="281"/>
      <c r="AY259" s="282"/>
      <c r="AZ259" s="117"/>
      <c r="BA259" s="331"/>
      <c r="BB259" s="117"/>
      <c r="BC259" s="331"/>
      <c r="BD259" s="117"/>
      <c r="BE259" s="331"/>
      <c r="BF259" s="117"/>
      <c r="BG259" s="331"/>
      <c r="BH259" s="117"/>
      <c r="BI259" s="944" t="s">
        <v>212</v>
      </c>
      <c r="BJ259" s="944"/>
      <c r="BK259" s="944"/>
      <c r="BL259" s="944"/>
      <c r="BM259" s="944"/>
      <c r="BN259" s="944"/>
      <c r="BO259" s="944"/>
      <c r="BP259" s="944"/>
      <c r="BQ259" s="944"/>
      <c r="BR259" s="944"/>
      <c r="BS259" s="944"/>
      <c r="BT259" s="944"/>
      <c r="BU259" s="944"/>
      <c r="BV259" s="945"/>
    </row>
    <row r="260" spans="1:74" ht="30" customHeight="1" x14ac:dyDescent="0.25">
      <c r="A260" s="200">
        <f t="shared" si="3"/>
        <v>246</v>
      </c>
      <c r="B260" s="294" t="s">
        <v>162</v>
      </c>
      <c r="C260" s="295"/>
      <c r="D260" s="936"/>
      <c r="E260" s="937"/>
      <c r="F260" s="937"/>
      <c r="G260" s="937"/>
      <c r="H260" s="937"/>
      <c r="I260" s="937"/>
      <c r="J260" s="937"/>
      <c r="K260" s="938"/>
      <c r="L260" s="932"/>
      <c r="M260" s="932"/>
      <c r="N260" s="932"/>
      <c r="O260" s="932"/>
      <c r="P260" s="931"/>
      <c r="Q260" s="931"/>
      <c r="R260" s="931"/>
      <c r="S260" s="931"/>
      <c r="T260" s="933"/>
      <c r="U260" s="934"/>
      <c r="V260" s="934"/>
      <c r="W260" s="935"/>
      <c r="X260" s="936"/>
      <c r="Y260" s="937"/>
      <c r="Z260" s="937"/>
      <c r="AA260" s="938"/>
      <c r="AB260" s="594"/>
      <c r="AC260" s="595"/>
      <c r="AD260" s="596"/>
      <c r="AE260" s="779"/>
      <c r="AF260" s="939"/>
      <c r="AG260" s="780"/>
      <c r="AH260" s="941"/>
      <c r="AI260" s="942"/>
      <c r="AJ260" s="943"/>
      <c r="AK260" s="745"/>
      <c r="AL260" s="940"/>
      <c r="AM260" s="746"/>
      <c r="AN260" s="281"/>
      <c r="AO260" s="282"/>
      <c r="AP260" s="281"/>
      <c r="AQ260" s="282"/>
      <c r="AR260" s="281"/>
      <c r="AS260" s="282"/>
      <c r="AT260" s="281"/>
      <c r="AU260" s="282"/>
      <c r="AV260" s="281"/>
      <c r="AW260" s="282"/>
      <c r="AX260" s="281"/>
      <c r="AY260" s="282"/>
      <c r="AZ260" s="117"/>
      <c r="BA260" s="331"/>
      <c r="BB260" s="117"/>
      <c r="BC260" s="331"/>
      <c r="BD260" s="117"/>
      <c r="BE260" s="331"/>
      <c r="BF260" s="117"/>
      <c r="BG260" s="331"/>
      <c r="BH260" s="117"/>
      <c r="BI260" s="944" t="s">
        <v>212</v>
      </c>
      <c r="BJ260" s="944"/>
      <c r="BK260" s="944"/>
      <c r="BL260" s="944"/>
      <c r="BM260" s="944"/>
      <c r="BN260" s="944"/>
      <c r="BO260" s="944"/>
      <c r="BP260" s="944"/>
      <c r="BQ260" s="944"/>
      <c r="BR260" s="944"/>
      <c r="BS260" s="944"/>
      <c r="BT260" s="944"/>
      <c r="BU260" s="944"/>
      <c r="BV260" s="945"/>
    </row>
    <row r="261" spans="1:74" ht="30" customHeight="1" x14ac:dyDescent="0.25">
      <c r="A261" s="200">
        <f t="shared" si="3"/>
        <v>247</v>
      </c>
      <c r="B261" s="294" t="s">
        <v>162</v>
      </c>
      <c r="C261" s="295"/>
      <c r="D261" s="936"/>
      <c r="E261" s="937"/>
      <c r="F261" s="937"/>
      <c r="G261" s="937"/>
      <c r="H261" s="937"/>
      <c r="I261" s="937"/>
      <c r="J261" s="937"/>
      <c r="K261" s="938"/>
      <c r="L261" s="932"/>
      <c r="M261" s="932"/>
      <c r="N261" s="932"/>
      <c r="O261" s="932"/>
      <c r="P261" s="931"/>
      <c r="Q261" s="931"/>
      <c r="R261" s="931"/>
      <c r="S261" s="931"/>
      <c r="T261" s="933"/>
      <c r="U261" s="934"/>
      <c r="V261" s="934"/>
      <c r="W261" s="935"/>
      <c r="X261" s="936"/>
      <c r="Y261" s="937"/>
      <c r="Z261" s="937"/>
      <c r="AA261" s="938"/>
      <c r="AB261" s="594"/>
      <c r="AC261" s="595"/>
      <c r="AD261" s="596"/>
      <c r="AE261" s="779"/>
      <c r="AF261" s="939"/>
      <c r="AG261" s="780"/>
      <c r="AH261" s="941"/>
      <c r="AI261" s="942"/>
      <c r="AJ261" s="943"/>
      <c r="AK261" s="745"/>
      <c r="AL261" s="940"/>
      <c r="AM261" s="746"/>
      <c r="AN261" s="281"/>
      <c r="AO261" s="282"/>
      <c r="AP261" s="281"/>
      <c r="AQ261" s="282"/>
      <c r="AR261" s="281"/>
      <c r="AS261" s="282"/>
      <c r="AT261" s="281"/>
      <c r="AU261" s="282"/>
      <c r="AV261" s="281"/>
      <c r="AW261" s="282"/>
      <c r="AX261" s="281"/>
      <c r="AY261" s="282"/>
      <c r="AZ261" s="117"/>
      <c r="BA261" s="331"/>
      <c r="BB261" s="117"/>
      <c r="BC261" s="331"/>
      <c r="BD261" s="117"/>
      <c r="BE261" s="331"/>
      <c r="BF261" s="117"/>
      <c r="BG261" s="331"/>
      <c r="BH261" s="117"/>
      <c r="BI261" s="944" t="s">
        <v>212</v>
      </c>
      <c r="BJ261" s="944"/>
      <c r="BK261" s="944"/>
      <c r="BL261" s="944"/>
      <c r="BM261" s="944"/>
      <c r="BN261" s="944"/>
      <c r="BO261" s="944"/>
      <c r="BP261" s="944"/>
      <c r="BQ261" s="944"/>
      <c r="BR261" s="944"/>
      <c r="BS261" s="944"/>
      <c r="BT261" s="944"/>
      <c r="BU261" s="944"/>
      <c r="BV261" s="945"/>
    </row>
    <row r="262" spans="1:74" ht="30" customHeight="1" x14ac:dyDescent="0.25">
      <c r="A262" s="200">
        <f t="shared" si="3"/>
        <v>248</v>
      </c>
      <c r="B262" s="294" t="s">
        <v>162</v>
      </c>
      <c r="C262" s="295"/>
      <c r="D262" s="936"/>
      <c r="E262" s="937"/>
      <c r="F262" s="937"/>
      <c r="G262" s="937"/>
      <c r="H262" s="937"/>
      <c r="I262" s="937"/>
      <c r="J262" s="937"/>
      <c r="K262" s="938"/>
      <c r="L262" s="932"/>
      <c r="M262" s="932"/>
      <c r="N262" s="932"/>
      <c r="O262" s="932"/>
      <c r="P262" s="931"/>
      <c r="Q262" s="931"/>
      <c r="R262" s="931"/>
      <c r="S262" s="931"/>
      <c r="T262" s="933"/>
      <c r="U262" s="934"/>
      <c r="V262" s="934"/>
      <c r="W262" s="935"/>
      <c r="X262" s="936"/>
      <c r="Y262" s="937"/>
      <c r="Z262" s="937"/>
      <c r="AA262" s="938"/>
      <c r="AB262" s="594"/>
      <c r="AC262" s="595"/>
      <c r="AD262" s="596"/>
      <c r="AE262" s="779"/>
      <c r="AF262" s="939"/>
      <c r="AG262" s="780"/>
      <c r="AH262" s="941"/>
      <c r="AI262" s="942"/>
      <c r="AJ262" s="943"/>
      <c r="AK262" s="745"/>
      <c r="AL262" s="940"/>
      <c r="AM262" s="746"/>
      <c r="AN262" s="281"/>
      <c r="AO262" s="282"/>
      <c r="AP262" s="281"/>
      <c r="AQ262" s="282"/>
      <c r="AR262" s="281"/>
      <c r="AS262" s="282"/>
      <c r="AT262" s="281"/>
      <c r="AU262" s="282"/>
      <c r="AV262" s="281"/>
      <c r="AW262" s="282"/>
      <c r="AX262" s="281"/>
      <c r="AY262" s="282"/>
      <c r="AZ262" s="117"/>
      <c r="BA262" s="331"/>
      <c r="BB262" s="117"/>
      <c r="BC262" s="331"/>
      <c r="BD262" s="117"/>
      <c r="BE262" s="331"/>
      <c r="BF262" s="117"/>
      <c r="BG262" s="331"/>
      <c r="BH262" s="117"/>
      <c r="BI262" s="944" t="s">
        <v>212</v>
      </c>
      <c r="BJ262" s="944"/>
      <c r="BK262" s="944"/>
      <c r="BL262" s="944"/>
      <c r="BM262" s="944"/>
      <c r="BN262" s="944"/>
      <c r="BO262" s="944"/>
      <c r="BP262" s="944"/>
      <c r="BQ262" s="944"/>
      <c r="BR262" s="944"/>
      <c r="BS262" s="944"/>
      <c r="BT262" s="944"/>
      <c r="BU262" s="944"/>
      <c r="BV262" s="945"/>
    </row>
    <row r="263" spans="1:74" ht="30" customHeight="1" x14ac:dyDescent="0.25">
      <c r="A263" s="200">
        <f t="shared" si="3"/>
        <v>249</v>
      </c>
      <c r="B263" s="294" t="s">
        <v>162</v>
      </c>
      <c r="C263" s="295"/>
      <c r="D263" s="936"/>
      <c r="E263" s="937"/>
      <c r="F263" s="937"/>
      <c r="G263" s="937"/>
      <c r="H263" s="937"/>
      <c r="I263" s="937"/>
      <c r="J263" s="937"/>
      <c r="K263" s="938"/>
      <c r="L263" s="932"/>
      <c r="M263" s="932"/>
      <c r="N263" s="932"/>
      <c r="O263" s="932"/>
      <c r="P263" s="931"/>
      <c r="Q263" s="931"/>
      <c r="R263" s="931"/>
      <c r="S263" s="931"/>
      <c r="T263" s="933"/>
      <c r="U263" s="934"/>
      <c r="V263" s="934"/>
      <c r="W263" s="935"/>
      <c r="X263" s="936"/>
      <c r="Y263" s="937"/>
      <c r="Z263" s="937"/>
      <c r="AA263" s="938"/>
      <c r="AB263" s="594"/>
      <c r="AC263" s="595"/>
      <c r="AD263" s="596"/>
      <c r="AE263" s="779"/>
      <c r="AF263" s="939"/>
      <c r="AG263" s="780"/>
      <c r="AH263" s="941"/>
      <c r="AI263" s="942"/>
      <c r="AJ263" s="943"/>
      <c r="AK263" s="745"/>
      <c r="AL263" s="940"/>
      <c r="AM263" s="746"/>
      <c r="AN263" s="281"/>
      <c r="AO263" s="282"/>
      <c r="AP263" s="281"/>
      <c r="AQ263" s="282"/>
      <c r="AR263" s="281"/>
      <c r="AS263" s="282"/>
      <c r="AT263" s="281"/>
      <c r="AU263" s="282"/>
      <c r="AV263" s="281"/>
      <c r="AW263" s="282"/>
      <c r="AX263" s="281"/>
      <c r="AY263" s="282"/>
      <c r="AZ263" s="117"/>
      <c r="BA263" s="331"/>
      <c r="BB263" s="117"/>
      <c r="BC263" s="331"/>
      <c r="BD263" s="117"/>
      <c r="BE263" s="331"/>
      <c r="BF263" s="117"/>
      <c r="BG263" s="331"/>
      <c r="BH263" s="117"/>
      <c r="BI263" s="944" t="s">
        <v>159</v>
      </c>
      <c r="BJ263" s="944"/>
      <c r="BK263" s="944"/>
      <c r="BL263" s="944"/>
      <c r="BM263" s="944"/>
      <c r="BN263" s="944"/>
      <c r="BO263" s="944"/>
      <c r="BP263" s="944"/>
      <c r="BQ263" s="944"/>
      <c r="BR263" s="944"/>
      <c r="BS263" s="944"/>
      <c r="BT263" s="944"/>
      <c r="BU263" s="944"/>
      <c r="BV263" s="945"/>
    </row>
    <row r="264" spans="1:74" ht="30" customHeight="1" x14ac:dyDescent="0.25">
      <c r="A264" s="200">
        <f t="shared" si="3"/>
        <v>250</v>
      </c>
      <c r="B264" s="294" t="s">
        <v>162</v>
      </c>
      <c r="C264" s="295"/>
      <c r="D264" s="936"/>
      <c r="E264" s="937"/>
      <c r="F264" s="937"/>
      <c r="G264" s="937"/>
      <c r="H264" s="937"/>
      <c r="I264" s="937"/>
      <c r="J264" s="937"/>
      <c r="K264" s="938"/>
      <c r="L264" s="932"/>
      <c r="M264" s="932"/>
      <c r="N264" s="932"/>
      <c r="O264" s="932"/>
      <c r="P264" s="931"/>
      <c r="Q264" s="931"/>
      <c r="R264" s="931"/>
      <c r="S264" s="931"/>
      <c r="T264" s="933"/>
      <c r="U264" s="934"/>
      <c r="V264" s="934"/>
      <c r="W264" s="935"/>
      <c r="X264" s="936"/>
      <c r="Y264" s="937"/>
      <c r="Z264" s="937"/>
      <c r="AA264" s="938"/>
      <c r="AB264" s="594"/>
      <c r="AC264" s="595"/>
      <c r="AD264" s="596"/>
      <c r="AE264" s="779"/>
      <c r="AF264" s="939"/>
      <c r="AG264" s="780"/>
      <c r="AH264" s="941"/>
      <c r="AI264" s="942"/>
      <c r="AJ264" s="943"/>
      <c r="AK264" s="745"/>
      <c r="AL264" s="940"/>
      <c r="AM264" s="746"/>
      <c r="AN264" s="281"/>
      <c r="AO264" s="282"/>
      <c r="AP264" s="281"/>
      <c r="AQ264" s="282"/>
      <c r="AR264" s="281"/>
      <c r="AS264" s="282"/>
      <c r="AT264" s="281"/>
      <c r="AU264" s="282"/>
      <c r="AV264" s="281"/>
      <c r="AW264" s="282"/>
      <c r="AX264" s="281"/>
      <c r="AY264" s="282"/>
      <c r="AZ264" s="117"/>
      <c r="BA264" s="331"/>
      <c r="BB264" s="117"/>
      <c r="BC264" s="331"/>
      <c r="BD264" s="117"/>
      <c r="BE264" s="331"/>
      <c r="BF264" s="117"/>
      <c r="BG264" s="331"/>
      <c r="BH264" s="117"/>
      <c r="BI264" s="944" t="s">
        <v>159</v>
      </c>
      <c r="BJ264" s="944"/>
      <c r="BK264" s="944"/>
      <c r="BL264" s="944"/>
      <c r="BM264" s="944"/>
      <c r="BN264" s="944"/>
      <c r="BO264" s="944"/>
      <c r="BP264" s="944"/>
      <c r="BQ264" s="944"/>
      <c r="BR264" s="944"/>
      <c r="BS264" s="944"/>
      <c r="BT264" s="944"/>
      <c r="BU264" s="944"/>
      <c r="BV264" s="945"/>
    </row>
    <row r="265" spans="1:74" ht="30" customHeight="1" x14ac:dyDescent="0.25">
      <c r="A265" s="232">
        <f t="shared" si="3"/>
        <v>251</v>
      </c>
      <c r="B265" s="294" t="s">
        <v>162</v>
      </c>
      <c r="C265" s="295"/>
      <c r="D265" s="936"/>
      <c r="E265" s="937"/>
      <c r="F265" s="937"/>
      <c r="G265" s="937"/>
      <c r="H265" s="937"/>
      <c r="I265" s="937"/>
      <c r="J265" s="937"/>
      <c r="K265" s="938"/>
      <c r="L265" s="932"/>
      <c r="M265" s="932"/>
      <c r="N265" s="932"/>
      <c r="O265" s="932"/>
      <c r="P265" s="931"/>
      <c r="Q265" s="931"/>
      <c r="R265" s="931"/>
      <c r="S265" s="931"/>
      <c r="T265" s="933"/>
      <c r="U265" s="934"/>
      <c r="V265" s="934"/>
      <c r="W265" s="935"/>
      <c r="X265" s="936"/>
      <c r="Y265" s="937"/>
      <c r="Z265" s="937"/>
      <c r="AA265" s="938"/>
      <c r="AB265" s="594"/>
      <c r="AC265" s="595"/>
      <c r="AD265" s="596"/>
      <c r="AE265" s="779"/>
      <c r="AF265" s="939"/>
      <c r="AG265" s="780"/>
      <c r="AH265" s="941"/>
      <c r="AI265" s="942"/>
      <c r="AJ265" s="943"/>
      <c r="AK265" s="745"/>
      <c r="AL265" s="940"/>
      <c r="AM265" s="746"/>
      <c r="AN265" s="281"/>
      <c r="AO265" s="282"/>
      <c r="AP265" s="281"/>
      <c r="AQ265" s="282"/>
      <c r="AR265" s="281"/>
      <c r="AS265" s="282"/>
      <c r="AT265" s="281"/>
      <c r="AU265" s="282"/>
      <c r="AV265" s="281"/>
      <c r="AW265" s="282"/>
      <c r="AX265" s="281"/>
      <c r="AY265" s="282"/>
      <c r="AZ265" s="117"/>
      <c r="BA265" s="331"/>
      <c r="BB265" s="117"/>
      <c r="BC265" s="331"/>
      <c r="BD265" s="117"/>
      <c r="BE265" s="331"/>
      <c r="BF265" s="117"/>
      <c r="BG265" s="331"/>
      <c r="BH265" s="117"/>
      <c r="BI265" s="944" t="s">
        <v>212</v>
      </c>
      <c r="BJ265" s="944"/>
      <c r="BK265" s="944"/>
      <c r="BL265" s="944"/>
      <c r="BM265" s="944"/>
      <c r="BN265" s="944"/>
      <c r="BO265" s="944"/>
      <c r="BP265" s="944"/>
      <c r="BQ265" s="944"/>
      <c r="BR265" s="944"/>
      <c r="BS265" s="944"/>
      <c r="BT265" s="944"/>
      <c r="BU265" s="944"/>
      <c r="BV265" s="945"/>
    </row>
    <row r="266" spans="1:74" ht="30" customHeight="1" x14ac:dyDescent="0.25">
      <c r="A266" s="200">
        <f t="shared" si="3"/>
        <v>252</v>
      </c>
      <c r="B266" s="294" t="s">
        <v>162</v>
      </c>
      <c r="C266" s="295"/>
      <c r="D266" s="936"/>
      <c r="E266" s="937"/>
      <c r="F266" s="937"/>
      <c r="G266" s="937"/>
      <c r="H266" s="937"/>
      <c r="I266" s="937"/>
      <c r="J266" s="937"/>
      <c r="K266" s="938"/>
      <c r="L266" s="932"/>
      <c r="M266" s="932"/>
      <c r="N266" s="932"/>
      <c r="O266" s="932"/>
      <c r="P266" s="931"/>
      <c r="Q266" s="931"/>
      <c r="R266" s="931"/>
      <c r="S266" s="931"/>
      <c r="T266" s="933"/>
      <c r="U266" s="934"/>
      <c r="V266" s="934"/>
      <c r="W266" s="935"/>
      <c r="X266" s="936"/>
      <c r="Y266" s="937"/>
      <c r="Z266" s="937"/>
      <c r="AA266" s="938"/>
      <c r="AB266" s="594"/>
      <c r="AC266" s="595"/>
      <c r="AD266" s="596"/>
      <c r="AE266" s="779"/>
      <c r="AF266" s="939"/>
      <c r="AG266" s="780"/>
      <c r="AH266" s="941"/>
      <c r="AI266" s="942"/>
      <c r="AJ266" s="943"/>
      <c r="AK266" s="745"/>
      <c r="AL266" s="940"/>
      <c r="AM266" s="746"/>
      <c r="AN266" s="281"/>
      <c r="AO266" s="282"/>
      <c r="AP266" s="281"/>
      <c r="AQ266" s="282"/>
      <c r="AR266" s="281"/>
      <c r="AS266" s="282"/>
      <c r="AT266" s="281"/>
      <c r="AU266" s="282"/>
      <c r="AV266" s="281"/>
      <c r="AW266" s="282"/>
      <c r="AX266" s="281"/>
      <c r="AY266" s="282"/>
      <c r="AZ266" s="117"/>
      <c r="BA266" s="331"/>
      <c r="BB266" s="117"/>
      <c r="BC266" s="331"/>
      <c r="BD266" s="117"/>
      <c r="BE266" s="331"/>
      <c r="BF266" s="117"/>
      <c r="BG266" s="331"/>
      <c r="BH266" s="117"/>
      <c r="BI266" s="944" t="s">
        <v>212</v>
      </c>
      <c r="BJ266" s="944"/>
      <c r="BK266" s="944"/>
      <c r="BL266" s="944"/>
      <c r="BM266" s="944"/>
      <c r="BN266" s="944"/>
      <c r="BO266" s="944"/>
      <c r="BP266" s="944"/>
      <c r="BQ266" s="944"/>
      <c r="BR266" s="944"/>
      <c r="BS266" s="944"/>
      <c r="BT266" s="944"/>
      <c r="BU266" s="944"/>
      <c r="BV266" s="945"/>
    </row>
    <row r="267" spans="1:74" ht="30" customHeight="1" x14ac:dyDescent="0.25">
      <c r="A267" s="200">
        <f t="shared" si="3"/>
        <v>253</v>
      </c>
      <c r="B267" s="294" t="s">
        <v>162</v>
      </c>
      <c r="C267" s="295"/>
      <c r="D267" s="936"/>
      <c r="E267" s="937"/>
      <c r="F267" s="937"/>
      <c r="G267" s="937"/>
      <c r="H267" s="937"/>
      <c r="I267" s="937"/>
      <c r="J267" s="937"/>
      <c r="K267" s="938"/>
      <c r="L267" s="932"/>
      <c r="M267" s="932"/>
      <c r="N267" s="932"/>
      <c r="O267" s="932"/>
      <c r="P267" s="931"/>
      <c r="Q267" s="931"/>
      <c r="R267" s="931"/>
      <c r="S267" s="931"/>
      <c r="T267" s="933"/>
      <c r="U267" s="934"/>
      <c r="V267" s="934"/>
      <c r="W267" s="935"/>
      <c r="X267" s="936"/>
      <c r="Y267" s="937"/>
      <c r="Z267" s="937"/>
      <c r="AA267" s="938"/>
      <c r="AB267" s="594"/>
      <c r="AC267" s="595"/>
      <c r="AD267" s="596"/>
      <c r="AE267" s="779"/>
      <c r="AF267" s="939"/>
      <c r="AG267" s="780"/>
      <c r="AH267" s="941"/>
      <c r="AI267" s="942"/>
      <c r="AJ267" s="943"/>
      <c r="AK267" s="745"/>
      <c r="AL267" s="940"/>
      <c r="AM267" s="746"/>
      <c r="AN267" s="281"/>
      <c r="AO267" s="282"/>
      <c r="AP267" s="281"/>
      <c r="AQ267" s="282"/>
      <c r="AR267" s="281"/>
      <c r="AS267" s="282"/>
      <c r="AT267" s="281"/>
      <c r="AU267" s="282"/>
      <c r="AV267" s="281"/>
      <c r="AW267" s="282"/>
      <c r="AX267" s="281"/>
      <c r="AY267" s="282"/>
      <c r="AZ267" s="117"/>
      <c r="BA267" s="331"/>
      <c r="BB267" s="117"/>
      <c r="BC267" s="331"/>
      <c r="BD267" s="117"/>
      <c r="BE267" s="331"/>
      <c r="BF267" s="117"/>
      <c r="BG267" s="331"/>
      <c r="BH267" s="117"/>
      <c r="BI267" s="944" t="s">
        <v>212</v>
      </c>
      <c r="BJ267" s="944"/>
      <c r="BK267" s="944"/>
      <c r="BL267" s="944"/>
      <c r="BM267" s="944"/>
      <c r="BN267" s="944"/>
      <c r="BO267" s="944"/>
      <c r="BP267" s="944"/>
      <c r="BQ267" s="944"/>
      <c r="BR267" s="944"/>
      <c r="BS267" s="944"/>
      <c r="BT267" s="944"/>
      <c r="BU267" s="944"/>
      <c r="BV267" s="945"/>
    </row>
    <row r="268" spans="1:74" ht="30" customHeight="1" x14ac:dyDescent="0.25">
      <c r="A268" s="200">
        <f t="shared" si="3"/>
        <v>254</v>
      </c>
      <c r="B268" s="294" t="s">
        <v>162</v>
      </c>
      <c r="C268" s="295"/>
      <c r="D268" s="936"/>
      <c r="E268" s="937"/>
      <c r="F268" s="937"/>
      <c r="G268" s="937"/>
      <c r="H268" s="937"/>
      <c r="I268" s="937"/>
      <c r="J268" s="937"/>
      <c r="K268" s="938"/>
      <c r="L268" s="932"/>
      <c r="M268" s="932"/>
      <c r="N268" s="932"/>
      <c r="O268" s="932"/>
      <c r="P268" s="931"/>
      <c r="Q268" s="931"/>
      <c r="R268" s="931"/>
      <c r="S268" s="931"/>
      <c r="T268" s="933"/>
      <c r="U268" s="934"/>
      <c r="V268" s="934"/>
      <c r="W268" s="935"/>
      <c r="X268" s="936"/>
      <c r="Y268" s="937"/>
      <c r="Z268" s="937"/>
      <c r="AA268" s="938"/>
      <c r="AB268" s="594"/>
      <c r="AC268" s="595"/>
      <c r="AD268" s="596"/>
      <c r="AE268" s="779"/>
      <c r="AF268" s="939"/>
      <c r="AG268" s="780"/>
      <c r="AH268" s="941"/>
      <c r="AI268" s="942"/>
      <c r="AJ268" s="943"/>
      <c r="AK268" s="745"/>
      <c r="AL268" s="940"/>
      <c r="AM268" s="746"/>
      <c r="AN268" s="281"/>
      <c r="AO268" s="282"/>
      <c r="AP268" s="281"/>
      <c r="AQ268" s="282"/>
      <c r="AR268" s="281"/>
      <c r="AS268" s="282"/>
      <c r="AT268" s="281"/>
      <c r="AU268" s="282"/>
      <c r="AV268" s="281"/>
      <c r="AW268" s="282"/>
      <c r="AX268" s="281"/>
      <c r="AY268" s="282"/>
      <c r="AZ268" s="117"/>
      <c r="BA268" s="331"/>
      <c r="BB268" s="117"/>
      <c r="BC268" s="331"/>
      <c r="BD268" s="117"/>
      <c r="BE268" s="331"/>
      <c r="BF268" s="117"/>
      <c r="BG268" s="331"/>
      <c r="BH268" s="117"/>
      <c r="BI268" s="944" t="s">
        <v>212</v>
      </c>
      <c r="BJ268" s="944"/>
      <c r="BK268" s="944"/>
      <c r="BL268" s="944"/>
      <c r="BM268" s="944"/>
      <c r="BN268" s="944"/>
      <c r="BO268" s="944"/>
      <c r="BP268" s="944"/>
      <c r="BQ268" s="944"/>
      <c r="BR268" s="944"/>
      <c r="BS268" s="944"/>
      <c r="BT268" s="944"/>
      <c r="BU268" s="944"/>
      <c r="BV268" s="945"/>
    </row>
    <row r="269" spans="1:74" ht="30" customHeight="1" x14ac:dyDescent="0.25">
      <c r="A269" s="200">
        <f t="shared" si="3"/>
        <v>255</v>
      </c>
      <c r="B269" s="294" t="s">
        <v>162</v>
      </c>
      <c r="C269" s="295"/>
      <c r="D269" s="936"/>
      <c r="E269" s="937"/>
      <c r="F269" s="937"/>
      <c r="G269" s="937"/>
      <c r="H269" s="937"/>
      <c r="I269" s="937"/>
      <c r="J269" s="937"/>
      <c r="K269" s="938"/>
      <c r="L269" s="932"/>
      <c r="M269" s="932"/>
      <c r="N269" s="932"/>
      <c r="O269" s="932"/>
      <c r="P269" s="931"/>
      <c r="Q269" s="931"/>
      <c r="R269" s="931"/>
      <c r="S269" s="931"/>
      <c r="T269" s="933"/>
      <c r="U269" s="934"/>
      <c r="V269" s="934"/>
      <c r="W269" s="935"/>
      <c r="X269" s="936"/>
      <c r="Y269" s="937"/>
      <c r="Z269" s="937"/>
      <c r="AA269" s="938"/>
      <c r="AB269" s="594"/>
      <c r="AC269" s="595"/>
      <c r="AD269" s="596"/>
      <c r="AE269" s="779"/>
      <c r="AF269" s="939"/>
      <c r="AG269" s="780"/>
      <c r="AH269" s="941"/>
      <c r="AI269" s="942"/>
      <c r="AJ269" s="943"/>
      <c r="AK269" s="745"/>
      <c r="AL269" s="940"/>
      <c r="AM269" s="746"/>
      <c r="AN269" s="281"/>
      <c r="AO269" s="282"/>
      <c r="AP269" s="281"/>
      <c r="AQ269" s="282"/>
      <c r="AR269" s="281"/>
      <c r="AS269" s="282"/>
      <c r="AT269" s="281"/>
      <c r="AU269" s="282"/>
      <c r="AV269" s="281"/>
      <c r="AW269" s="282"/>
      <c r="AX269" s="281"/>
      <c r="AY269" s="282"/>
      <c r="AZ269" s="117"/>
      <c r="BA269" s="331"/>
      <c r="BB269" s="117"/>
      <c r="BC269" s="331"/>
      <c r="BD269" s="117"/>
      <c r="BE269" s="331"/>
      <c r="BF269" s="117"/>
      <c r="BG269" s="331"/>
      <c r="BH269" s="117"/>
      <c r="BI269" s="944" t="s">
        <v>212</v>
      </c>
      <c r="BJ269" s="944"/>
      <c r="BK269" s="944"/>
      <c r="BL269" s="944"/>
      <c r="BM269" s="944"/>
      <c r="BN269" s="944"/>
      <c r="BO269" s="944"/>
      <c r="BP269" s="944"/>
      <c r="BQ269" s="944"/>
      <c r="BR269" s="944"/>
      <c r="BS269" s="944"/>
      <c r="BT269" s="944"/>
      <c r="BU269" s="944"/>
      <c r="BV269" s="945"/>
    </row>
    <row r="270" spans="1:74" ht="30" customHeight="1" x14ac:dyDescent="0.25">
      <c r="A270" s="200">
        <f t="shared" si="3"/>
        <v>256</v>
      </c>
      <c r="B270" s="294" t="s">
        <v>162</v>
      </c>
      <c r="C270" s="295"/>
      <c r="D270" s="936"/>
      <c r="E270" s="937"/>
      <c r="F270" s="937"/>
      <c r="G270" s="937"/>
      <c r="H270" s="937"/>
      <c r="I270" s="937"/>
      <c r="J270" s="937"/>
      <c r="K270" s="938"/>
      <c r="L270" s="932"/>
      <c r="M270" s="932"/>
      <c r="N270" s="932"/>
      <c r="O270" s="932"/>
      <c r="P270" s="931"/>
      <c r="Q270" s="931"/>
      <c r="R270" s="931"/>
      <c r="S270" s="931"/>
      <c r="T270" s="933"/>
      <c r="U270" s="934"/>
      <c r="V270" s="934"/>
      <c r="W270" s="935"/>
      <c r="X270" s="936"/>
      <c r="Y270" s="937"/>
      <c r="Z270" s="937"/>
      <c r="AA270" s="938"/>
      <c r="AB270" s="594"/>
      <c r="AC270" s="595"/>
      <c r="AD270" s="596"/>
      <c r="AE270" s="779"/>
      <c r="AF270" s="939"/>
      <c r="AG270" s="780"/>
      <c r="AH270" s="941"/>
      <c r="AI270" s="942"/>
      <c r="AJ270" s="943"/>
      <c r="AK270" s="745"/>
      <c r="AL270" s="940"/>
      <c r="AM270" s="746"/>
      <c r="AN270" s="281"/>
      <c r="AO270" s="282"/>
      <c r="AP270" s="281"/>
      <c r="AQ270" s="282"/>
      <c r="AR270" s="281"/>
      <c r="AS270" s="282"/>
      <c r="AT270" s="281"/>
      <c r="AU270" s="282"/>
      <c r="AV270" s="281"/>
      <c r="AW270" s="282"/>
      <c r="AX270" s="281"/>
      <c r="AY270" s="282"/>
      <c r="AZ270" s="117"/>
      <c r="BA270" s="331"/>
      <c r="BB270" s="117"/>
      <c r="BC270" s="331"/>
      <c r="BD270" s="117"/>
      <c r="BE270" s="331"/>
      <c r="BF270" s="117"/>
      <c r="BG270" s="331"/>
      <c r="BH270" s="117"/>
      <c r="BI270" s="944" t="s">
        <v>159</v>
      </c>
      <c r="BJ270" s="944"/>
      <c r="BK270" s="944"/>
      <c r="BL270" s="944"/>
      <c r="BM270" s="944"/>
      <c r="BN270" s="944"/>
      <c r="BO270" s="944"/>
      <c r="BP270" s="944"/>
      <c r="BQ270" s="944"/>
      <c r="BR270" s="944"/>
      <c r="BS270" s="944"/>
      <c r="BT270" s="944"/>
      <c r="BU270" s="944"/>
      <c r="BV270" s="945"/>
    </row>
    <row r="271" spans="1:74" ht="30" customHeight="1" x14ac:dyDescent="0.25">
      <c r="A271" s="200">
        <f t="shared" ref="A271:A334" si="4">ROW(A257)</f>
        <v>257</v>
      </c>
      <c r="B271" s="294" t="s">
        <v>162</v>
      </c>
      <c r="C271" s="295"/>
      <c r="D271" s="936"/>
      <c r="E271" s="937"/>
      <c r="F271" s="937"/>
      <c r="G271" s="937"/>
      <c r="H271" s="937"/>
      <c r="I271" s="937"/>
      <c r="J271" s="937"/>
      <c r="K271" s="938"/>
      <c r="L271" s="932"/>
      <c r="M271" s="932"/>
      <c r="N271" s="932"/>
      <c r="O271" s="932"/>
      <c r="P271" s="931"/>
      <c r="Q271" s="931"/>
      <c r="R271" s="931"/>
      <c r="S271" s="931"/>
      <c r="T271" s="933"/>
      <c r="U271" s="934"/>
      <c r="V271" s="934"/>
      <c r="W271" s="935"/>
      <c r="X271" s="936"/>
      <c r="Y271" s="937"/>
      <c r="Z271" s="937"/>
      <c r="AA271" s="938"/>
      <c r="AB271" s="594"/>
      <c r="AC271" s="595"/>
      <c r="AD271" s="596"/>
      <c r="AE271" s="779"/>
      <c r="AF271" s="939"/>
      <c r="AG271" s="780"/>
      <c r="AH271" s="941"/>
      <c r="AI271" s="942"/>
      <c r="AJ271" s="943"/>
      <c r="AK271" s="745"/>
      <c r="AL271" s="940"/>
      <c r="AM271" s="746"/>
      <c r="AN271" s="281"/>
      <c r="AO271" s="282"/>
      <c r="AP271" s="281"/>
      <c r="AQ271" s="282"/>
      <c r="AR271" s="281"/>
      <c r="AS271" s="282"/>
      <c r="AT271" s="281"/>
      <c r="AU271" s="282"/>
      <c r="AV271" s="281"/>
      <c r="AW271" s="282"/>
      <c r="AX271" s="281"/>
      <c r="AY271" s="282"/>
      <c r="AZ271" s="117"/>
      <c r="BA271" s="331"/>
      <c r="BB271" s="117"/>
      <c r="BC271" s="331"/>
      <c r="BD271" s="117"/>
      <c r="BE271" s="331"/>
      <c r="BF271" s="117"/>
      <c r="BG271" s="331"/>
      <c r="BH271" s="117"/>
      <c r="BI271" s="944" t="s">
        <v>159</v>
      </c>
      <c r="BJ271" s="944"/>
      <c r="BK271" s="944"/>
      <c r="BL271" s="944"/>
      <c r="BM271" s="944"/>
      <c r="BN271" s="944"/>
      <c r="BO271" s="944"/>
      <c r="BP271" s="944"/>
      <c r="BQ271" s="944"/>
      <c r="BR271" s="944"/>
      <c r="BS271" s="944"/>
      <c r="BT271" s="944"/>
      <c r="BU271" s="944"/>
      <c r="BV271" s="945"/>
    </row>
    <row r="272" spans="1:74" ht="30" customHeight="1" x14ac:dyDescent="0.25">
      <c r="A272" s="232">
        <f t="shared" si="4"/>
        <v>258</v>
      </c>
      <c r="B272" s="294" t="s">
        <v>162</v>
      </c>
      <c r="C272" s="295"/>
      <c r="D272" s="936"/>
      <c r="E272" s="937"/>
      <c r="F272" s="937"/>
      <c r="G272" s="937"/>
      <c r="H272" s="937"/>
      <c r="I272" s="937"/>
      <c r="J272" s="937"/>
      <c r="K272" s="938"/>
      <c r="L272" s="932"/>
      <c r="M272" s="932"/>
      <c r="N272" s="932"/>
      <c r="O272" s="932"/>
      <c r="P272" s="931"/>
      <c r="Q272" s="931"/>
      <c r="R272" s="931"/>
      <c r="S272" s="931"/>
      <c r="T272" s="933"/>
      <c r="U272" s="934"/>
      <c r="V272" s="934"/>
      <c r="W272" s="935"/>
      <c r="X272" s="936"/>
      <c r="Y272" s="937"/>
      <c r="Z272" s="937"/>
      <c r="AA272" s="938"/>
      <c r="AB272" s="594"/>
      <c r="AC272" s="595"/>
      <c r="AD272" s="596"/>
      <c r="AE272" s="779"/>
      <c r="AF272" s="939"/>
      <c r="AG272" s="780"/>
      <c r="AH272" s="941"/>
      <c r="AI272" s="942"/>
      <c r="AJ272" s="943"/>
      <c r="AK272" s="745"/>
      <c r="AL272" s="940"/>
      <c r="AM272" s="746"/>
      <c r="AN272" s="281"/>
      <c r="AO272" s="282"/>
      <c r="AP272" s="281"/>
      <c r="AQ272" s="282"/>
      <c r="AR272" s="281"/>
      <c r="AS272" s="282"/>
      <c r="AT272" s="281"/>
      <c r="AU272" s="282"/>
      <c r="AV272" s="281"/>
      <c r="AW272" s="282"/>
      <c r="AX272" s="281"/>
      <c r="AY272" s="282"/>
      <c r="AZ272" s="117"/>
      <c r="BA272" s="331"/>
      <c r="BB272" s="117"/>
      <c r="BC272" s="331"/>
      <c r="BD272" s="117"/>
      <c r="BE272" s="331"/>
      <c r="BF272" s="117"/>
      <c r="BG272" s="331"/>
      <c r="BH272" s="117"/>
      <c r="BI272" s="944" t="s">
        <v>212</v>
      </c>
      <c r="BJ272" s="944"/>
      <c r="BK272" s="944"/>
      <c r="BL272" s="944"/>
      <c r="BM272" s="944"/>
      <c r="BN272" s="944"/>
      <c r="BO272" s="944"/>
      <c r="BP272" s="944"/>
      <c r="BQ272" s="944"/>
      <c r="BR272" s="944"/>
      <c r="BS272" s="944"/>
      <c r="BT272" s="944"/>
      <c r="BU272" s="944"/>
      <c r="BV272" s="945"/>
    </row>
    <row r="273" spans="1:74" ht="30" customHeight="1" x14ac:dyDescent="0.25">
      <c r="A273" s="200">
        <f t="shared" si="4"/>
        <v>259</v>
      </c>
      <c r="B273" s="294" t="s">
        <v>162</v>
      </c>
      <c r="C273" s="295"/>
      <c r="D273" s="936"/>
      <c r="E273" s="937"/>
      <c r="F273" s="937"/>
      <c r="G273" s="937"/>
      <c r="H273" s="937"/>
      <c r="I273" s="937"/>
      <c r="J273" s="937"/>
      <c r="K273" s="938"/>
      <c r="L273" s="932"/>
      <c r="M273" s="932"/>
      <c r="N273" s="932"/>
      <c r="O273" s="932"/>
      <c r="P273" s="931"/>
      <c r="Q273" s="931"/>
      <c r="R273" s="931"/>
      <c r="S273" s="931"/>
      <c r="T273" s="933"/>
      <c r="U273" s="934"/>
      <c r="V273" s="934"/>
      <c r="W273" s="935"/>
      <c r="X273" s="936"/>
      <c r="Y273" s="937"/>
      <c r="Z273" s="937"/>
      <c r="AA273" s="938"/>
      <c r="AB273" s="594"/>
      <c r="AC273" s="595"/>
      <c r="AD273" s="596"/>
      <c r="AE273" s="779"/>
      <c r="AF273" s="939"/>
      <c r="AG273" s="780"/>
      <c r="AH273" s="941"/>
      <c r="AI273" s="942"/>
      <c r="AJ273" s="943"/>
      <c r="AK273" s="745"/>
      <c r="AL273" s="940"/>
      <c r="AM273" s="746"/>
      <c r="AN273" s="281"/>
      <c r="AO273" s="282"/>
      <c r="AP273" s="281"/>
      <c r="AQ273" s="282"/>
      <c r="AR273" s="281"/>
      <c r="AS273" s="282"/>
      <c r="AT273" s="281"/>
      <c r="AU273" s="282"/>
      <c r="AV273" s="281"/>
      <c r="AW273" s="282"/>
      <c r="AX273" s="281"/>
      <c r="AY273" s="282"/>
      <c r="AZ273" s="117"/>
      <c r="BA273" s="331"/>
      <c r="BB273" s="117"/>
      <c r="BC273" s="331"/>
      <c r="BD273" s="117"/>
      <c r="BE273" s="331"/>
      <c r="BF273" s="117"/>
      <c r="BG273" s="331"/>
      <c r="BH273" s="117"/>
      <c r="BI273" s="944" t="s">
        <v>212</v>
      </c>
      <c r="BJ273" s="944"/>
      <c r="BK273" s="944"/>
      <c r="BL273" s="944"/>
      <c r="BM273" s="944"/>
      <c r="BN273" s="944"/>
      <c r="BO273" s="944"/>
      <c r="BP273" s="944"/>
      <c r="BQ273" s="944"/>
      <c r="BR273" s="944"/>
      <c r="BS273" s="944"/>
      <c r="BT273" s="944"/>
      <c r="BU273" s="944"/>
      <c r="BV273" s="945"/>
    </row>
    <row r="274" spans="1:74" ht="30" customHeight="1" x14ac:dyDescent="0.25">
      <c r="A274" s="200">
        <f t="shared" si="4"/>
        <v>260</v>
      </c>
      <c r="B274" s="294" t="s">
        <v>162</v>
      </c>
      <c r="C274" s="295"/>
      <c r="D274" s="936"/>
      <c r="E274" s="937"/>
      <c r="F274" s="937"/>
      <c r="G274" s="937"/>
      <c r="H274" s="937"/>
      <c r="I274" s="937"/>
      <c r="J274" s="937"/>
      <c r="K274" s="938"/>
      <c r="L274" s="932"/>
      <c r="M274" s="932"/>
      <c r="N274" s="932"/>
      <c r="O274" s="932"/>
      <c r="P274" s="931"/>
      <c r="Q274" s="931"/>
      <c r="R274" s="931"/>
      <c r="S274" s="931"/>
      <c r="T274" s="933"/>
      <c r="U274" s="934"/>
      <c r="V274" s="934"/>
      <c r="W274" s="935"/>
      <c r="X274" s="936"/>
      <c r="Y274" s="937"/>
      <c r="Z274" s="937"/>
      <c r="AA274" s="938"/>
      <c r="AB274" s="594"/>
      <c r="AC274" s="595"/>
      <c r="AD274" s="596"/>
      <c r="AE274" s="779"/>
      <c r="AF274" s="939"/>
      <c r="AG274" s="780"/>
      <c r="AH274" s="941"/>
      <c r="AI274" s="942"/>
      <c r="AJ274" s="943"/>
      <c r="AK274" s="745"/>
      <c r="AL274" s="940"/>
      <c r="AM274" s="746"/>
      <c r="AN274" s="281"/>
      <c r="AO274" s="282"/>
      <c r="AP274" s="281"/>
      <c r="AQ274" s="282"/>
      <c r="AR274" s="281"/>
      <c r="AS274" s="282"/>
      <c r="AT274" s="281"/>
      <c r="AU274" s="282"/>
      <c r="AV274" s="281"/>
      <c r="AW274" s="282"/>
      <c r="AX274" s="281"/>
      <c r="AY274" s="282"/>
      <c r="AZ274" s="117"/>
      <c r="BA274" s="331"/>
      <c r="BB274" s="117"/>
      <c r="BC274" s="331"/>
      <c r="BD274" s="117"/>
      <c r="BE274" s="331"/>
      <c r="BF274" s="117"/>
      <c r="BG274" s="331"/>
      <c r="BH274" s="117"/>
      <c r="BI274" s="944" t="s">
        <v>212</v>
      </c>
      <c r="BJ274" s="944"/>
      <c r="BK274" s="944"/>
      <c r="BL274" s="944"/>
      <c r="BM274" s="944"/>
      <c r="BN274" s="944"/>
      <c r="BO274" s="944"/>
      <c r="BP274" s="944"/>
      <c r="BQ274" s="944"/>
      <c r="BR274" s="944"/>
      <c r="BS274" s="944"/>
      <c r="BT274" s="944"/>
      <c r="BU274" s="944"/>
      <c r="BV274" s="945"/>
    </row>
    <row r="275" spans="1:74" ht="30" customHeight="1" x14ac:dyDescent="0.25">
      <c r="A275" s="200">
        <f t="shared" si="4"/>
        <v>261</v>
      </c>
      <c r="B275" s="294" t="s">
        <v>162</v>
      </c>
      <c r="C275" s="295"/>
      <c r="D275" s="936"/>
      <c r="E275" s="937"/>
      <c r="F275" s="937"/>
      <c r="G275" s="937"/>
      <c r="H275" s="937"/>
      <c r="I275" s="937"/>
      <c r="J275" s="937"/>
      <c r="K275" s="938"/>
      <c r="L275" s="932"/>
      <c r="M275" s="932"/>
      <c r="N275" s="932"/>
      <c r="O275" s="932"/>
      <c r="P275" s="931"/>
      <c r="Q275" s="931"/>
      <c r="R275" s="931"/>
      <c r="S275" s="931"/>
      <c r="T275" s="933"/>
      <c r="U275" s="934"/>
      <c r="V275" s="934"/>
      <c r="W275" s="935"/>
      <c r="X275" s="936"/>
      <c r="Y275" s="937"/>
      <c r="Z275" s="937"/>
      <c r="AA275" s="938"/>
      <c r="AB275" s="594"/>
      <c r="AC275" s="595"/>
      <c r="AD275" s="596"/>
      <c r="AE275" s="779"/>
      <c r="AF275" s="939"/>
      <c r="AG275" s="780"/>
      <c r="AH275" s="941"/>
      <c r="AI275" s="942"/>
      <c r="AJ275" s="943"/>
      <c r="AK275" s="745"/>
      <c r="AL275" s="940"/>
      <c r="AM275" s="746"/>
      <c r="AN275" s="281"/>
      <c r="AO275" s="282"/>
      <c r="AP275" s="281"/>
      <c r="AQ275" s="282"/>
      <c r="AR275" s="281"/>
      <c r="AS275" s="282"/>
      <c r="AT275" s="281"/>
      <c r="AU275" s="282"/>
      <c r="AV275" s="281"/>
      <c r="AW275" s="282"/>
      <c r="AX275" s="281"/>
      <c r="AY275" s="282"/>
      <c r="AZ275" s="117"/>
      <c r="BA275" s="331"/>
      <c r="BB275" s="117"/>
      <c r="BC275" s="331"/>
      <c r="BD275" s="117"/>
      <c r="BE275" s="331"/>
      <c r="BF275" s="117"/>
      <c r="BG275" s="331"/>
      <c r="BH275" s="117"/>
      <c r="BI275" s="944" t="s">
        <v>212</v>
      </c>
      <c r="BJ275" s="944"/>
      <c r="BK275" s="944"/>
      <c r="BL275" s="944"/>
      <c r="BM275" s="944"/>
      <c r="BN275" s="944"/>
      <c r="BO275" s="944"/>
      <c r="BP275" s="944"/>
      <c r="BQ275" s="944"/>
      <c r="BR275" s="944"/>
      <c r="BS275" s="944"/>
      <c r="BT275" s="944"/>
      <c r="BU275" s="944"/>
      <c r="BV275" s="945"/>
    </row>
    <row r="276" spans="1:74" ht="30" customHeight="1" x14ac:dyDescent="0.25">
      <c r="A276" s="200">
        <f t="shared" si="4"/>
        <v>262</v>
      </c>
      <c r="B276" s="294" t="s">
        <v>162</v>
      </c>
      <c r="C276" s="295"/>
      <c r="D276" s="936"/>
      <c r="E276" s="937"/>
      <c r="F276" s="937"/>
      <c r="G276" s="937"/>
      <c r="H276" s="937"/>
      <c r="I276" s="937"/>
      <c r="J276" s="937"/>
      <c r="K276" s="938"/>
      <c r="L276" s="932"/>
      <c r="M276" s="932"/>
      <c r="N276" s="932"/>
      <c r="O276" s="932"/>
      <c r="P276" s="931"/>
      <c r="Q276" s="931"/>
      <c r="R276" s="931"/>
      <c r="S276" s="931"/>
      <c r="T276" s="933"/>
      <c r="U276" s="934"/>
      <c r="V276" s="934"/>
      <c r="W276" s="935"/>
      <c r="X276" s="936"/>
      <c r="Y276" s="937"/>
      <c r="Z276" s="937"/>
      <c r="AA276" s="938"/>
      <c r="AB276" s="594"/>
      <c r="AC276" s="595"/>
      <c r="AD276" s="596"/>
      <c r="AE276" s="779"/>
      <c r="AF276" s="939"/>
      <c r="AG276" s="780"/>
      <c r="AH276" s="941"/>
      <c r="AI276" s="942"/>
      <c r="AJ276" s="943"/>
      <c r="AK276" s="745"/>
      <c r="AL276" s="940"/>
      <c r="AM276" s="746"/>
      <c r="AN276" s="281"/>
      <c r="AO276" s="282"/>
      <c r="AP276" s="281"/>
      <c r="AQ276" s="282"/>
      <c r="AR276" s="281"/>
      <c r="AS276" s="282"/>
      <c r="AT276" s="281"/>
      <c r="AU276" s="282"/>
      <c r="AV276" s="281"/>
      <c r="AW276" s="282"/>
      <c r="AX276" s="281"/>
      <c r="AY276" s="282"/>
      <c r="AZ276" s="117"/>
      <c r="BA276" s="331"/>
      <c r="BB276" s="117"/>
      <c r="BC276" s="331"/>
      <c r="BD276" s="117"/>
      <c r="BE276" s="331"/>
      <c r="BF276" s="117"/>
      <c r="BG276" s="331"/>
      <c r="BH276" s="117"/>
      <c r="BI276" s="944" t="s">
        <v>212</v>
      </c>
      <c r="BJ276" s="944"/>
      <c r="BK276" s="944"/>
      <c r="BL276" s="944"/>
      <c r="BM276" s="944"/>
      <c r="BN276" s="944"/>
      <c r="BO276" s="944"/>
      <c r="BP276" s="944"/>
      <c r="BQ276" s="944"/>
      <c r="BR276" s="944"/>
      <c r="BS276" s="944"/>
      <c r="BT276" s="944"/>
      <c r="BU276" s="944"/>
      <c r="BV276" s="945"/>
    </row>
    <row r="277" spans="1:74" ht="30" customHeight="1" x14ac:dyDescent="0.25">
      <c r="A277" s="200">
        <f t="shared" si="4"/>
        <v>263</v>
      </c>
      <c r="B277" s="294" t="s">
        <v>162</v>
      </c>
      <c r="C277" s="295"/>
      <c r="D277" s="936"/>
      <c r="E277" s="937"/>
      <c r="F277" s="937"/>
      <c r="G277" s="937"/>
      <c r="H277" s="937"/>
      <c r="I277" s="937"/>
      <c r="J277" s="937"/>
      <c r="K277" s="938"/>
      <c r="L277" s="932"/>
      <c r="M277" s="932"/>
      <c r="N277" s="932"/>
      <c r="O277" s="932"/>
      <c r="P277" s="931"/>
      <c r="Q277" s="931"/>
      <c r="R277" s="931"/>
      <c r="S277" s="931"/>
      <c r="T277" s="933"/>
      <c r="U277" s="934"/>
      <c r="V277" s="934"/>
      <c r="W277" s="935"/>
      <c r="X277" s="936"/>
      <c r="Y277" s="937"/>
      <c r="Z277" s="937"/>
      <c r="AA277" s="938"/>
      <c r="AB277" s="594"/>
      <c r="AC277" s="595"/>
      <c r="AD277" s="596"/>
      <c r="AE277" s="779"/>
      <c r="AF277" s="939"/>
      <c r="AG277" s="780"/>
      <c r="AH277" s="941"/>
      <c r="AI277" s="942"/>
      <c r="AJ277" s="943"/>
      <c r="AK277" s="745"/>
      <c r="AL277" s="940"/>
      <c r="AM277" s="746"/>
      <c r="AN277" s="281"/>
      <c r="AO277" s="282"/>
      <c r="AP277" s="281"/>
      <c r="AQ277" s="282"/>
      <c r="AR277" s="281"/>
      <c r="AS277" s="282"/>
      <c r="AT277" s="281"/>
      <c r="AU277" s="282"/>
      <c r="AV277" s="281"/>
      <c r="AW277" s="282"/>
      <c r="AX277" s="281"/>
      <c r="AY277" s="282"/>
      <c r="AZ277" s="117"/>
      <c r="BA277" s="331"/>
      <c r="BB277" s="117"/>
      <c r="BC277" s="331"/>
      <c r="BD277" s="117"/>
      <c r="BE277" s="331"/>
      <c r="BF277" s="117"/>
      <c r="BG277" s="331"/>
      <c r="BH277" s="117"/>
      <c r="BI277" s="944" t="s">
        <v>159</v>
      </c>
      <c r="BJ277" s="944"/>
      <c r="BK277" s="944"/>
      <c r="BL277" s="944"/>
      <c r="BM277" s="944"/>
      <c r="BN277" s="944"/>
      <c r="BO277" s="944"/>
      <c r="BP277" s="944"/>
      <c r="BQ277" s="944"/>
      <c r="BR277" s="944"/>
      <c r="BS277" s="944"/>
      <c r="BT277" s="944"/>
      <c r="BU277" s="944"/>
      <c r="BV277" s="945"/>
    </row>
    <row r="278" spans="1:74" ht="30" customHeight="1" x14ac:dyDescent="0.25">
      <c r="A278" s="200">
        <f t="shared" si="4"/>
        <v>264</v>
      </c>
      <c r="B278" s="294" t="s">
        <v>162</v>
      </c>
      <c r="C278" s="295"/>
      <c r="D278" s="936"/>
      <c r="E278" s="937"/>
      <c r="F278" s="937"/>
      <c r="G278" s="937"/>
      <c r="H278" s="937"/>
      <c r="I278" s="937"/>
      <c r="J278" s="937"/>
      <c r="K278" s="938"/>
      <c r="L278" s="932"/>
      <c r="M278" s="932"/>
      <c r="N278" s="932"/>
      <c r="O278" s="932"/>
      <c r="P278" s="931"/>
      <c r="Q278" s="931"/>
      <c r="R278" s="931"/>
      <c r="S278" s="931"/>
      <c r="T278" s="933"/>
      <c r="U278" s="934"/>
      <c r="V278" s="934"/>
      <c r="W278" s="935"/>
      <c r="X278" s="936"/>
      <c r="Y278" s="937"/>
      <c r="Z278" s="937"/>
      <c r="AA278" s="938"/>
      <c r="AB278" s="594"/>
      <c r="AC278" s="595"/>
      <c r="AD278" s="596"/>
      <c r="AE278" s="779"/>
      <c r="AF278" s="939"/>
      <c r="AG278" s="780"/>
      <c r="AH278" s="941"/>
      <c r="AI278" s="942"/>
      <c r="AJ278" s="943"/>
      <c r="AK278" s="745"/>
      <c r="AL278" s="940"/>
      <c r="AM278" s="746"/>
      <c r="AN278" s="281"/>
      <c r="AO278" s="282"/>
      <c r="AP278" s="281"/>
      <c r="AQ278" s="282"/>
      <c r="AR278" s="281"/>
      <c r="AS278" s="282"/>
      <c r="AT278" s="281"/>
      <c r="AU278" s="282"/>
      <c r="AV278" s="281"/>
      <c r="AW278" s="282"/>
      <c r="AX278" s="281"/>
      <c r="AY278" s="282"/>
      <c r="AZ278" s="117"/>
      <c r="BA278" s="331"/>
      <c r="BB278" s="117"/>
      <c r="BC278" s="331"/>
      <c r="BD278" s="117"/>
      <c r="BE278" s="331"/>
      <c r="BF278" s="117"/>
      <c r="BG278" s="331"/>
      <c r="BH278" s="117"/>
      <c r="BI278" s="944" t="s">
        <v>159</v>
      </c>
      <c r="BJ278" s="944"/>
      <c r="BK278" s="944"/>
      <c r="BL278" s="944"/>
      <c r="BM278" s="944"/>
      <c r="BN278" s="944"/>
      <c r="BO278" s="944"/>
      <c r="BP278" s="944"/>
      <c r="BQ278" s="944"/>
      <c r="BR278" s="944"/>
      <c r="BS278" s="944"/>
      <c r="BT278" s="944"/>
      <c r="BU278" s="944"/>
      <c r="BV278" s="945"/>
    </row>
    <row r="279" spans="1:74" ht="30" customHeight="1" x14ac:dyDescent="0.25">
      <c r="A279" s="232">
        <f t="shared" si="4"/>
        <v>265</v>
      </c>
      <c r="B279" s="294" t="s">
        <v>162</v>
      </c>
      <c r="C279" s="295"/>
      <c r="D279" s="936"/>
      <c r="E279" s="937"/>
      <c r="F279" s="937"/>
      <c r="G279" s="937"/>
      <c r="H279" s="937"/>
      <c r="I279" s="937"/>
      <c r="J279" s="937"/>
      <c r="K279" s="938"/>
      <c r="L279" s="932"/>
      <c r="M279" s="932"/>
      <c r="N279" s="932"/>
      <c r="O279" s="932"/>
      <c r="P279" s="931"/>
      <c r="Q279" s="931"/>
      <c r="R279" s="931"/>
      <c r="S279" s="931"/>
      <c r="T279" s="933"/>
      <c r="U279" s="934"/>
      <c r="V279" s="934"/>
      <c r="W279" s="935"/>
      <c r="X279" s="936"/>
      <c r="Y279" s="937"/>
      <c r="Z279" s="937"/>
      <c r="AA279" s="938"/>
      <c r="AB279" s="594"/>
      <c r="AC279" s="595"/>
      <c r="AD279" s="596"/>
      <c r="AE279" s="779"/>
      <c r="AF279" s="939"/>
      <c r="AG279" s="780"/>
      <c r="AH279" s="941"/>
      <c r="AI279" s="942"/>
      <c r="AJ279" s="943"/>
      <c r="AK279" s="745"/>
      <c r="AL279" s="940"/>
      <c r="AM279" s="746"/>
      <c r="AN279" s="281"/>
      <c r="AO279" s="282"/>
      <c r="AP279" s="281"/>
      <c r="AQ279" s="282"/>
      <c r="AR279" s="281"/>
      <c r="AS279" s="282"/>
      <c r="AT279" s="281"/>
      <c r="AU279" s="282"/>
      <c r="AV279" s="281"/>
      <c r="AW279" s="282"/>
      <c r="AX279" s="281"/>
      <c r="AY279" s="282"/>
      <c r="AZ279" s="117"/>
      <c r="BA279" s="331"/>
      <c r="BB279" s="117"/>
      <c r="BC279" s="331"/>
      <c r="BD279" s="117"/>
      <c r="BE279" s="331"/>
      <c r="BF279" s="117"/>
      <c r="BG279" s="331"/>
      <c r="BH279" s="117"/>
      <c r="BI279" s="944" t="s">
        <v>212</v>
      </c>
      <c r="BJ279" s="944"/>
      <c r="BK279" s="944"/>
      <c r="BL279" s="944"/>
      <c r="BM279" s="944"/>
      <c r="BN279" s="944"/>
      <c r="BO279" s="944"/>
      <c r="BP279" s="944"/>
      <c r="BQ279" s="944"/>
      <c r="BR279" s="944"/>
      <c r="BS279" s="944"/>
      <c r="BT279" s="944"/>
      <c r="BU279" s="944"/>
      <c r="BV279" s="945"/>
    </row>
    <row r="280" spans="1:74" ht="30" customHeight="1" x14ac:dyDescent="0.25">
      <c r="A280" s="200">
        <f t="shared" si="4"/>
        <v>266</v>
      </c>
      <c r="B280" s="294" t="s">
        <v>162</v>
      </c>
      <c r="C280" s="295"/>
      <c r="D280" s="936"/>
      <c r="E280" s="937"/>
      <c r="F280" s="937"/>
      <c r="G280" s="937"/>
      <c r="H280" s="937"/>
      <c r="I280" s="937"/>
      <c r="J280" s="937"/>
      <c r="K280" s="938"/>
      <c r="L280" s="932"/>
      <c r="M280" s="932"/>
      <c r="N280" s="932"/>
      <c r="O280" s="932"/>
      <c r="P280" s="931"/>
      <c r="Q280" s="931"/>
      <c r="R280" s="931"/>
      <c r="S280" s="931"/>
      <c r="T280" s="933"/>
      <c r="U280" s="934"/>
      <c r="V280" s="934"/>
      <c r="W280" s="935"/>
      <c r="X280" s="936"/>
      <c r="Y280" s="937"/>
      <c r="Z280" s="937"/>
      <c r="AA280" s="938"/>
      <c r="AB280" s="594"/>
      <c r="AC280" s="595"/>
      <c r="AD280" s="596"/>
      <c r="AE280" s="779"/>
      <c r="AF280" s="939"/>
      <c r="AG280" s="780"/>
      <c r="AH280" s="941"/>
      <c r="AI280" s="942"/>
      <c r="AJ280" s="943"/>
      <c r="AK280" s="745"/>
      <c r="AL280" s="940"/>
      <c r="AM280" s="746"/>
      <c r="AN280" s="281"/>
      <c r="AO280" s="282"/>
      <c r="AP280" s="281"/>
      <c r="AQ280" s="282"/>
      <c r="AR280" s="281"/>
      <c r="AS280" s="282"/>
      <c r="AT280" s="281"/>
      <c r="AU280" s="282"/>
      <c r="AV280" s="281"/>
      <c r="AW280" s="282"/>
      <c r="AX280" s="281"/>
      <c r="AY280" s="282"/>
      <c r="AZ280" s="117"/>
      <c r="BA280" s="331"/>
      <c r="BB280" s="117"/>
      <c r="BC280" s="331"/>
      <c r="BD280" s="117"/>
      <c r="BE280" s="331"/>
      <c r="BF280" s="117"/>
      <c r="BG280" s="331"/>
      <c r="BH280" s="117"/>
      <c r="BI280" s="944" t="s">
        <v>212</v>
      </c>
      <c r="BJ280" s="944"/>
      <c r="BK280" s="944"/>
      <c r="BL280" s="944"/>
      <c r="BM280" s="944"/>
      <c r="BN280" s="944"/>
      <c r="BO280" s="944"/>
      <c r="BP280" s="944"/>
      <c r="BQ280" s="944"/>
      <c r="BR280" s="944"/>
      <c r="BS280" s="944"/>
      <c r="BT280" s="944"/>
      <c r="BU280" s="944"/>
      <c r="BV280" s="945"/>
    </row>
    <row r="281" spans="1:74" ht="30" customHeight="1" x14ac:dyDescent="0.25">
      <c r="A281" s="200">
        <f t="shared" si="4"/>
        <v>267</v>
      </c>
      <c r="B281" s="294" t="s">
        <v>162</v>
      </c>
      <c r="C281" s="295"/>
      <c r="D281" s="936"/>
      <c r="E281" s="937"/>
      <c r="F281" s="937"/>
      <c r="G281" s="937"/>
      <c r="H281" s="937"/>
      <c r="I281" s="937"/>
      <c r="J281" s="937"/>
      <c r="K281" s="938"/>
      <c r="L281" s="932"/>
      <c r="M281" s="932"/>
      <c r="N281" s="932"/>
      <c r="O281" s="932"/>
      <c r="P281" s="931"/>
      <c r="Q281" s="931"/>
      <c r="R281" s="931"/>
      <c r="S281" s="931"/>
      <c r="T281" s="933"/>
      <c r="U281" s="934"/>
      <c r="V281" s="934"/>
      <c r="W281" s="935"/>
      <c r="X281" s="936"/>
      <c r="Y281" s="937"/>
      <c r="Z281" s="937"/>
      <c r="AA281" s="938"/>
      <c r="AB281" s="594"/>
      <c r="AC281" s="595"/>
      <c r="AD281" s="596"/>
      <c r="AE281" s="779"/>
      <c r="AF281" s="939"/>
      <c r="AG281" s="780"/>
      <c r="AH281" s="941"/>
      <c r="AI281" s="942"/>
      <c r="AJ281" s="943"/>
      <c r="AK281" s="745"/>
      <c r="AL281" s="940"/>
      <c r="AM281" s="746"/>
      <c r="AN281" s="281"/>
      <c r="AO281" s="282"/>
      <c r="AP281" s="281"/>
      <c r="AQ281" s="282"/>
      <c r="AR281" s="281"/>
      <c r="AS281" s="282"/>
      <c r="AT281" s="281"/>
      <c r="AU281" s="282"/>
      <c r="AV281" s="281"/>
      <c r="AW281" s="282"/>
      <c r="AX281" s="281"/>
      <c r="AY281" s="282"/>
      <c r="AZ281" s="117"/>
      <c r="BA281" s="331"/>
      <c r="BB281" s="117"/>
      <c r="BC281" s="331"/>
      <c r="BD281" s="117"/>
      <c r="BE281" s="331"/>
      <c r="BF281" s="117"/>
      <c r="BG281" s="331"/>
      <c r="BH281" s="117"/>
      <c r="BI281" s="944" t="s">
        <v>212</v>
      </c>
      <c r="BJ281" s="944"/>
      <c r="BK281" s="944"/>
      <c r="BL281" s="944"/>
      <c r="BM281" s="944"/>
      <c r="BN281" s="944"/>
      <c r="BO281" s="944"/>
      <c r="BP281" s="944"/>
      <c r="BQ281" s="944"/>
      <c r="BR281" s="944"/>
      <c r="BS281" s="944"/>
      <c r="BT281" s="944"/>
      <c r="BU281" s="944"/>
      <c r="BV281" s="945"/>
    </row>
    <row r="282" spans="1:74" ht="30" customHeight="1" x14ac:dyDescent="0.25">
      <c r="A282" s="200">
        <f t="shared" si="4"/>
        <v>268</v>
      </c>
      <c r="B282" s="294" t="s">
        <v>162</v>
      </c>
      <c r="C282" s="295"/>
      <c r="D282" s="936"/>
      <c r="E282" s="937"/>
      <c r="F282" s="937"/>
      <c r="G282" s="937"/>
      <c r="H282" s="937"/>
      <c r="I282" s="937"/>
      <c r="J282" s="937"/>
      <c r="K282" s="938"/>
      <c r="L282" s="932"/>
      <c r="M282" s="932"/>
      <c r="N282" s="932"/>
      <c r="O282" s="932"/>
      <c r="P282" s="931"/>
      <c r="Q282" s="931"/>
      <c r="R282" s="931"/>
      <c r="S282" s="931"/>
      <c r="T282" s="933"/>
      <c r="U282" s="934"/>
      <c r="V282" s="934"/>
      <c r="W282" s="935"/>
      <c r="X282" s="936"/>
      <c r="Y282" s="937"/>
      <c r="Z282" s="937"/>
      <c r="AA282" s="938"/>
      <c r="AB282" s="594"/>
      <c r="AC282" s="595"/>
      <c r="AD282" s="596"/>
      <c r="AE282" s="779"/>
      <c r="AF282" s="939"/>
      <c r="AG282" s="780"/>
      <c r="AH282" s="941"/>
      <c r="AI282" s="942"/>
      <c r="AJ282" s="943"/>
      <c r="AK282" s="745"/>
      <c r="AL282" s="940"/>
      <c r="AM282" s="746"/>
      <c r="AN282" s="281"/>
      <c r="AO282" s="282"/>
      <c r="AP282" s="281"/>
      <c r="AQ282" s="282"/>
      <c r="AR282" s="281"/>
      <c r="AS282" s="282"/>
      <c r="AT282" s="281"/>
      <c r="AU282" s="282"/>
      <c r="AV282" s="281"/>
      <c r="AW282" s="282"/>
      <c r="AX282" s="281"/>
      <c r="AY282" s="282"/>
      <c r="AZ282" s="117"/>
      <c r="BA282" s="331"/>
      <c r="BB282" s="117"/>
      <c r="BC282" s="331"/>
      <c r="BD282" s="117"/>
      <c r="BE282" s="331"/>
      <c r="BF282" s="117"/>
      <c r="BG282" s="331"/>
      <c r="BH282" s="117"/>
      <c r="BI282" s="944" t="s">
        <v>212</v>
      </c>
      <c r="BJ282" s="944"/>
      <c r="BK282" s="944"/>
      <c r="BL282" s="944"/>
      <c r="BM282" s="944"/>
      <c r="BN282" s="944"/>
      <c r="BO282" s="944"/>
      <c r="BP282" s="944"/>
      <c r="BQ282" s="944"/>
      <c r="BR282" s="944"/>
      <c r="BS282" s="944"/>
      <c r="BT282" s="944"/>
      <c r="BU282" s="944"/>
      <c r="BV282" s="945"/>
    </row>
    <row r="283" spans="1:74" ht="30" customHeight="1" x14ac:dyDescent="0.25">
      <c r="A283" s="200">
        <f t="shared" si="4"/>
        <v>269</v>
      </c>
      <c r="B283" s="294" t="s">
        <v>162</v>
      </c>
      <c r="C283" s="295"/>
      <c r="D283" s="936"/>
      <c r="E283" s="937"/>
      <c r="F283" s="937"/>
      <c r="G283" s="937"/>
      <c r="H283" s="937"/>
      <c r="I283" s="937"/>
      <c r="J283" s="937"/>
      <c r="K283" s="938"/>
      <c r="L283" s="932"/>
      <c r="M283" s="932"/>
      <c r="N283" s="932"/>
      <c r="O283" s="932"/>
      <c r="P283" s="931"/>
      <c r="Q283" s="931"/>
      <c r="R283" s="931"/>
      <c r="S283" s="931"/>
      <c r="T283" s="933"/>
      <c r="U283" s="934"/>
      <c r="V283" s="934"/>
      <c r="W283" s="935"/>
      <c r="X283" s="936"/>
      <c r="Y283" s="937"/>
      <c r="Z283" s="937"/>
      <c r="AA283" s="938"/>
      <c r="AB283" s="594"/>
      <c r="AC283" s="595"/>
      <c r="AD283" s="596"/>
      <c r="AE283" s="779"/>
      <c r="AF283" s="939"/>
      <c r="AG283" s="780"/>
      <c r="AH283" s="941"/>
      <c r="AI283" s="942"/>
      <c r="AJ283" s="943"/>
      <c r="AK283" s="745"/>
      <c r="AL283" s="940"/>
      <c r="AM283" s="746"/>
      <c r="AN283" s="281"/>
      <c r="AO283" s="282"/>
      <c r="AP283" s="281"/>
      <c r="AQ283" s="282"/>
      <c r="AR283" s="281"/>
      <c r="AS283" s="282"/>
      <c r="AT283" s="281"/>
      <c r="AU283" s="282"/>
      <c r="AV283" s="281"/>
      <c r="AW283" s="282"/>
      <c r="AX283" s="281"/>
      <c r="AY283" s="282"/>
      <c r="AZ283" s="117"/>
      <c r="BA283" s="331"/>
      <c r="BB283" s="117"/>
      <c r="BC283" s="331"/>
      <c r="BD283" s="117"/>
      <c r="BE283" s="331"/>
      <c r="BF283" s="117"/>
      <c r="BG283" s="331"/>
      <c r="BH283" s="117"/>
      <c r="BI283" s="944" t="s">
        <v>212</v>
      </c>
      <c r="BJ283" s="944"/>
      <c r="BK283" s="944"/>
      <c r="BL283" s="944"/>
      <c r="BM283" s="944"/>
      <c r="BN283" s="944"/>
      <c r="BO283" s="944"/>
      <c r="BP283" s="944"/>
      <c r="BQ283" s="944"/>
      <c r="BR283" s="944"/>
      <c r="BS283" s="944"/>
      <c r="BT283" s="944"/>
      <c r="BU283" s="944"/>
      <c r="BV283" s="945"/>
    </row>
    <row r="284" spans="1:74" ht="30" customHeight="1" x14ac:dyDescent="0.25">
      <c r="A284" s="200">
        <f t="shared" si="4"/>
        <v>270</v>
      </c>
      <c r="B284" s="294" t="s">
        <v>162</v>
      </c>
      <c r="C284" s="295"/>
      <c r="D284" s="936"/>
      <c r="E284" s="937"/>
      <c r="F284" s="937"/>
      <c r="G284" s="937"/>
      <c r="H284" s="937"/>
      <c r="I284" s="937"/>
      <c r="J284" s="937"/>
      <c r="K284" s="938"/>
      <c r="L284" s="932"/>
      <c r="M284" s="932"/>
      <c r="N284" s="932"/>
      <c r="O284" s="932"/>
      <c r="P284" s="931"/>
      <c r="Q284" s="931"/>
      <c r="R284" s="931"/>
      <c r="S284" s="931"/>
      <c r="T284" s="933"/>
      <c r="U284" s="934"/>
      <c r="V284" s="934"/>
      <c r="W284" s="935"/>
      <c r="X284" s="936"/>
      <c r="Y284" s="937"/>
      <c r="Z284" s="937"/>
      <c r="AA284" s="938"/>
      <c r="AB284" s="594"/>
      <c r="AC284" s="595"/>
      <c r="AD284" s="596"/>
      <c r="AE284" s="779"/>
      <c r="AF284" s="939"/>
      <c r="AG284" s="780"/>
      <c r="AH284" s="941"/>
      <c r="AI284" s="942"/>
      <c r="AJ284" s="943"/>
      <c r="AK284" s="745"/>
      <c r="AL284" s="940"/>
      <c r="AM284" s="746"/>
      <c r="AN284" s="281"/>
      <c r="AO284" s="282"/>
      <c r="AP284" s="281"/>
      <c r="AQ284" s="282"/>
      <c r="AR284" s="281"/>
      <c r="AS284" s="282"/>
      <c r="AT284" s="281"/>
      <c r="AU284" s="282"/>
      <c r="AV284" s="281"/>
      <c r="AW284" s="282"/>
      <c r="AX284" s="281"/>
      <c r="AY284" s="282"/>
      <c r="AZ284" s="117"/>
      <c r="BA284" s="331"/>
      <c r="BB284" s="117"/>
      <c r="BC284" s="331"/>
      <c r="BD284" s="117"/>
      <c r="BE284" s="331"/>
      <c r="BF284" s="117"/>
      <c r="BG284" s="331"/>
      <c r="BH284" s="117"/>
      <c r="BI284" s="944" t="s">
        <v>159</v>
      </c>
      <c r="BJ284" s="944"/>
      <c r="BK284" s="944"/>
      <c r="BL284" s="944"/>
      <c r="BM284" s="944"/>
      <c r="BN284" s="944"/>
      <c r="BO284" s="944"/>
      <c r="BP284" s="944"/>
      <c r="BQ284" s="944"/>
      <c r="BR284" s="944"/>
      <c r="BS284" s="944"/>
      <c r="BT284" s="944"/>
      <c r="BU284" s="944"/>
      <c r="BV284" s="945"/>
    </row>
    <row r="285" spans="1:74" ht="30" customHeight="1" x14ac:dyDescent="0.25">
      <c r="A285" s="200">
        <f t="shared" si="4"/>
        <v>271</v>
      </c>
      <c r="B285" s="294" t="s">
        <v>162</v>
      </c>
      <c r="C285" s="295"/>
      <c r="D285" s="936"/>
      <c r="E285" s="937"/>
      <c r="F285" s="937"/>
      <c r="G285" s="937"/>
      <c r="H285" s="937"/>
      <c r="I285" s="937"/>
      <c r="J285" s="937"/>
      <c r="K285" s="938"/>
      <c r="L285" s="932"/>
      <c r="M285" s="932"/>
      <c r="N285" s="932"/>
      <c r="O285" s="932"/>
      <c r="P285" s="931"/>
      <c r="Q285" s="931"/>
      <c r="R285" s="931"/>
      <c r="S285" s="931"/>
      <c r="T285" s="933"/>
      <c r="U285" s="934"/>
      <c r="V285" s="934"/>
      <c r="W285" s="935"/>
      <c r="X285" s="936"/>
      <c r="Y285" s="937"/>
      <c r="Z285" s="937"/>
      <c r="AA285" s="938"/>
      <c r="AB285" s="594"/>
      <c r="AC285" s="595"/>
      <c r="AD285" s="596"/>
      <c r="AE285" s="779"/>
      <c r="AF285" s="939"/>
      <c r="AG285" s="780"/>
      <c r="AH285" s="941"/>
      <c r="AI285" s="942"/>
      <c r="AJ285" s="943"/>
      <c r="AK285" s="745"/>
      <c r="AL285" s="940"/>
      <c r="AM285" s="746"/>
      <c r="AN285" s="281"/>
      <c r="AO285" s="282"/>
      <c r="AP285" s="281"/>
      <c r="AQ285" s="282"/>
      <c r="AR285" s="281"/>
      <c r="AS285" s="282"/>
      <c r="AT285" s="281"/>
      <c r="AU285" s="282"/>
      <c r="AV285" s="281"/>
      <c r="AW285" s="282"/>
      <c r="AX285" s="281"/>
      <c r="AY285" s="282"/>
      <c r="AZ285" s="117"/>
      <c r="BA285" s="331"/>
      <c r="BB285" s="117"/>
      <c r="BC285" s="331"/>
      <c r="BD285" s="117"/>
      <c r="BE285" s="331"/>
      <c r="BF285" s="117"/>
      <c r="BG285" s="331"/>
      <c r="BH285" s="117"/>
      <c r="BI285" s="944" t="s">
        <v>159</v>
      </c>
      <c r="BJ285" s="944"/>
      <c r="BK285" s="944"/>
      <c r="BL285" s="944"/>
      <c r="BM285" s="944"/>
      <c r="BN285" s="944"/>
      <c r="BO285" s="944"/>
      <c r="BP285" s="944"/>
      <c r="BQ285" s="944"/>
      <c r="BR285" s="944"/>
      <c r="BS285" s="944"/>
      <c r="BT285" s="944"/>
      <c r="BU285" s="944"/>
      <c r="BV285" s="945"/>
    </row>
    <row r="286" spans="1:74" ht="30" customHeight="1" x14ac:dyDescent="0.25">
      <c r="A286" s="232">
        <f t="shared" si="4"/>
        <v>272</v>
      </c>
      <c r="B286" s="294" t="s">
        <v>162</v>
      </c>
      <c r="C286" s="295"/>
      <c r="D286" s="936"/>
      <c r="E286" s="937"/>
      <c r="F286" s="937"/>
      <c r="G286" s="937"/>
      <c r="H286" s="937"/>
      <c r="I286" s="937"/>
      <c r="J286" s="937"/>
      <c r="K286" s="938"/>
      <c r="L286" s="932"/>
      <c r="M286" s="932"/>
      <c r="N286" s="932"/>
      <c r="O286" s="932"/>
      <c r="P286" s="931"/>
      <c r="Q286" s="931"/>
      <c r="R286" s="931"/>
      <c r="S286" s="931"/>
      <c r="T286" s="933"/>
      <c r="U286" s="934"/>
      <c r="V286" s="934"/>
      <c r="W286" s="935"/>
      <c r="X286" s="936"/>
      <c r="Y286" s="937"/>
      <c r="Z286" s="937"/>
      <c r="AA286" s="938"/>
      <c r="AB286" s="594"/>
      <c r="AC286" s="595"/>
      <c r="AD286" s="596"/>
      <c r="AE286" s="779"/>
      <c r="AF286" s="939"/>
      <c r="AG286" s="780"/>
      <c r="AH286" s="941"/>
      <c r="AI286" s="942"/>
      <c r="AJ286" s="943"/>
      <c r="AK286" s="745"/>
      <c r="AL286" s="940"/>
      <c r="AM286" s="746"/>
      <c r="AN286" s="281"/>
      <c r="AO286" s="282"/>
      <c r="AP286" s="281"/>
      <c r="AQ286" s="282"/>
      <c r="AR286" s="281"/>
      <c r="AS286" s="282"/>
      <c r="AT286" s="281"/>
      <c r="AU286" s="282"/>
      <c r="AV286" s="281"/>
      <c r="AW286" s="282"/>
      <c r="AX286" s="281"/>
      <c r="AY286" s="282"/>
      <c r="AZ286" s="117"/>
      <c r="BA286" s="331"/>
      <c r="BB286" s="117"/>
      <c r="BC286" s="331"/>
      <c r="BD286" s="117"/>
      <c r="BE286" s="331"/>
      <c r="BF286" s="117"/>
      <c r="BG286" s="331"/>
      <c r="BH286" s="117"/>
      <c r="BI286" s="944" t="s">
        <v>212</v>
      </c>
      <c r="BJ286" s="944"/>
      <c r="BK286" s="944"/>
      <c r="BL286" s="944"/>
      <c r="BM286" s="944"/>
      <c r="BN286" s="944"/>
      <c r="BO286" s="944"/>
      <c r="BP286" s="944"/>
      <c r="BQ286" s="944"/>
      <c r="BR286" s="944"/>
      <c r="BS286" s="944"/>
      <c r="BT286" s="944"/>
      <c r="BU286" s="944"/>
      <c r="BV286" s="945"/>
    </row>
    <row r="287" spans="1:74" ht="30" customHeight="1" x14ac:dyDescent="0.25">
      <c r="A287" s="200">
        <f t="shared" si="4"/>
        <v>273</v>
      </c>
      <c r="B287" s="294" t="s">
        <v>162</v>
      </c>
      <c r="C287" s="295"/>
      <c r="D287" s="936"/>
      <c r="E287" s="937"/>
      <c r="F287" s="937"/>
      <c r="G287" s="937"/>
      <c r="H287" s="937"/>
      <c r="I287" s="937"/>
      <c r="J287" s="937"/>
      <c r="K287" s="938"/>
      <c r="L287" s="932"/>
      <c r="M287" s="932"/>
      <c r="N287" s="932"/>
      <c r="O287" s="932"/>
      <c r="P287" s="931"/>
      <c r="Q287" s="931"/>
      <c r="R287" s="931"/>
      <c r="S287" s="931"/>
      <c r="T287" s="933"/>
      <c r="U287" s="934"/>
      <c r="V287" s="934"/>
      <c r="W287" s="935"/>
      <c r="X287" s="936"/>
      <c r="Y287" s="937"/>
      <c r="Z287" s="937"/>
      <c r="AA287" s="938"/>
      <c r="AB287" s="594"/>
      <c r="AC287" s="595"/>
      <c r="AD287" s="596"/>
      <c r="AE287" s="779"/>
      <c r="AF287" s="939"/>
      <c r="AG287" s="780"/>
      <c r="AH287" s="941"/>
      <c r="AI287" s="942"/>
      <c r="AJ287" s="943"/>
      <c r="AK287" s="745"/>
      <c r="AL287" s="940"/>
      <c r="AM287" s="746"/>
      <c r="AN287" s="281"/>
      <c r="AO287" s="282"/>
      <c r="AP287" s="281"/>
      <c r="AQ287" s="282"/>
      <c r="AR287" s="281"/>
      <c r="AS287" s="282"/>
      <c r="AT287" s="281"/>
      <c r="AU287" s="282"/>
      <c r="AV287" s="281"/>
      <c r="AW287" s="282"/>
      <c r="AX287" s="281"/>
      <c r="AY287" s="282"/>
      <c r="AZ287" s="117"/>
      <c r="BA287" s="331"/>
      <c r="BB287" s="117"/>
      <c r="BC287" s="331"/>
      <c r="BD287" s="117"/>
      <c r="BE287" s="331"/>
      <c r="BF287" s="117"/>
      <c r="BG287" s="331"/>
      <c r="BH287" s="117"/>
      <c r="BI287" s="944" t="s">
        <v>212</v>
      </c>
      <c r="BJ287" s="944"/>
      <c r="BK287" s="944"/>
      <c r="BL287" s="944"/>
      <c r="BM287" s="944"/>
      <c r="BN287" s="944"/>
      <c r="BO287" s="944"/>
      <c r="BP287" s="944"/>
      <c r="BQ287" s="944"/>
      <c r="BR287" s="944"/>
      <c r="BS287" s="944"/>
      <c r="BT287" s="944"/>
      <c r="BU287" s="944"/>
      <c r="BV287" s="945"/>
    </row>
    <row r="288" spans="1:74" ht="30" customHeight="1" x14ac:dyDescent="0.25">
      <c r="A288" s="200">
        <f t="shared" si="4"/>
        <v>274</v>
      </c>
      <c r="B288" s="294" t="s">
        <v>162</v>
      </c>
      <c r="C288" s="295"/>
      <c r="D288" s="936"/>
      <c r="E288" s="937"/>
      <c r="F288" s="937"/>
      <c r="G288" s="937"/>
      <c r="H288" s="937"/>
      <c r="I288" s="937"/>
      <c r="J288" s="937"/>
      <c r="K288" s="938"/>
      <c r="L288" s="932"/>
      <c r="M288" s="932"/>
      <c r="N288" s="932"/>
      <c r="O288" s="932"/>
      <c r="P288" s="931"/>
      <c r="Q288" s="931"/>
      <c r="R288" s="931"/>
      <c r="S288" s="931"/>
      <c r="T288" s="933"/>
      <c r="U288" s="934"/>
      <c r="V288" s="934"/>
      <c r="W288" s="935"/>
      <c r="X288" s="936"/>
      <c r="Y288" s="937"/>
      <c r="Z288" s="937"/>
      <c r="AA288" s="938"/>
      <c r="AB288" s="594"/>
      <c r="AC288" s="595"/>
      <c r="AD288" s="596"/>
      <c r="AE288" s="779"/>
      <c r="AF288" s="939"/>
      <c r="AG288" s="780"/>
      <c r="AH288" s="941"/>
      <c r="AI288" s="942"/>
      <c r="AJ288" s="943"/>
      <c r="AK288" s="745"/>
      <c r="AL288" s="940"/>
      <c r="AM288" s="746"/>
      <c r="AN288" s="281"/>
      <c r="AO288" s="282"/>
      <c r="AP288" s="281"/>
      <c r="AQ288" s="282"/>
      <c r="AR288" s="281"/>
      <c r="AS288" s="282"/>
      <c r="AT288" s="281"/>
      <c r="AU288" s="282"/>
      <c r="AV288" s="281"/>
      <c r="AW288" s="282"/>
      <c r="AX288" s="281"/>
      <c r="AY288" s="282"/>
      <c r="AZ288" s="117"/>
      <c r="BA288" s="331"/>
      <c r="BB288" s="117"/>
      <c r="BC288" s="331"/>
      <c r="BD288" s="117"/>
      <c r="BE288" s="331"/>
      <c r="BF288" s="117"/>
      <c r="BG288" s="331"/>
      <c r="BH288" s="117"/>
      <c r="BI288" s="944" t="s">
        <v>212</v>
      </c>
      <c r="BJ288" s="944"/>
      <c r="BK288" s="944"/>
      <c r="BL288" s="944"/>
      <c r="BM288" s="944"/>
      <c r="BN288" s="944"/>
      <c r="BO288" s="944"/>
      <c r="BP288" s="944"/>
      <c r="BQ288" s="944"/>
      <c r="BR288" s="944"/>
      <c r="BS288" s="944"/>
      <c r="BT288" s="944"/>
      <c r="BU288" s="944"/>
      <c r="BV288" s="945"/>
    </row>
    <row r="289" spans="1:74" ht="30" customHeight="1" x14ac:dyDescent="0.25">
      <c r="A289" s="200">
        <f t="shared" si="4"/>
        <v>275</v>
      </c>
      <c r="B289" s="294" t="s">
        <v>162</v>
      </c>
      <c r="C289" s="295"/>
      <c r="D289" s="936"/>
      <c r="E289" s="937"/>
      <c r="F289" s="937"/>
      <c r="G289" s="937"/>
      <c r="H289" s="937"/>
      <c r="I289" s="937"/>
      <c r="J289" s="937"/>
      <c r="K289" s="938"/>
      <c r="L289" s="932"/>
      <c r="M289" s="932"/>
      <c r="N289" s="932"/>
      <c r="O289" s="932"/>
      <c r="P289" s="931"/>
      <c r="Q289" s="931"/>
      <c r="R289" s="931"/>
      <c r="S289" s="931"/>
      <c r="T289" s="933"/>
      <c r="U289" s="934"/>
      <c r="V289" s="934"/>
      <c r="W289" s="935"/>
      <c r="X289" s="936"/>
      <c r="Y289" s="937"/>
      <c r="Z289" s="937"/>
      <c r="AA289" s="938"/>
      <c r="AB289" s="594"/>
      <c r="AC289" s="595"/>
      <c r="AD289" s="596"/>
      <c r="AE289" s="779"/>
      <c r="AF289" s="939"/>
      <c r="AG289" s="780"/>
      <c r="AH289" s="941"/>
      <c r="AI289" s="942"/>
      <c r="AJ289" s="943"/>
      <c r="AK289" s="745"/>
      <c r="AL289" s="940"/>
      <c r="AM289" s="746"/>
      <c r="AN289" s="281"/>
      <c r="AO289" s="282"/>
      <c r="AP289" s="281"/>
      <c r="AQ289" s="282"/>
      <c r="AR289" s="281"/>
      <c r="AS289" s="282"/>
      <c r="AT289" s="281"/>
      <c r="AU289" s="282"/>
      <c r="AV289" s="281"/>
      <c r="AW289" s="282"/>
      <c r="AX289" s="281"/>
      <c r="AY289" s="282"/>
      <c r="AZ289" s="117"/>
      <c r="BA289" s="331"/>
      <c r="BB289" s="117"/>
      <c r="BC289" s="331"/>
      <c r="BD289" s="117"/>
      <c r="BE289" s="331"/>
      <c r="BF289" s="117"/>
      <c r="BG289" s="331"/>
      <c r="BH289" s="117"/>
      <c r="BI289" s="944" t="s">
        <v>212</v>
      </c>
      <c r="BJ289" s="944"/>
      <c r="BK289" s="944"/>
      <c r="BL289" s="944"/>
      <c r="BM289" s="944"/>
      <c r="BN289" s="944"/>
      <c r="BO289" s="944"/>
      <c r="BP289" s="944"/>
      <c r="BQ289" s="944"/>
      <c r="BR289" s="944"/>
      <c r="BS289" s="944"/>
      <c r="BT289" s="944"/>
      <c r="BU289" s="944"/>
      <c r="BV289" s="945"/>
    </row>
    <row r="290" spans="1:74" ht="30" customHeight="1" x14ac:dyDescent="0.25">
      <c r="A290" s="200">
        <f t="shared" si="4"/>
        <v>276</v>
      </c>
      <c r="B290" s="294" t="s">
        <v>162</v>
      </c>
      <c r="C290" s="295"/>
      <c r="D290" s="936"/>
      <c r="E290" s="937"/>
      <c r="F290" s="937"/>
      <c r="G290" s="937"/>
      <c r="H290" s="937"/>
      <c r="I290" s="937"/>
      <c r="J290" s="937"/>
      <c r="K290" s="938"/>
      <c r="L290" s="932"/>
      <c r="M290" s="932"/>
      <c r="N290" s="932"/>
      <c r="O290" s="932"/>
      <c r="P290" s="931"/>
      <c r="Q290" s="931"/>
      <c r="R290" s="931"/>
      <c r="S290" s="931"/>
      <c r="T290" s="933"/>
      <c r="U290" s="934"/>
      <c r="V290" s="934"/>
      <c r="W290" s="935"/>
      <c r="X290" s="936"/>
      <c r="Y290" s="937"/>
      <c r="Z290" s="937"/>
      <c r="AA290" s="938"/>
      <c r="AB290" s="594"/>
      <c r="AC290" s="595"/>
      <c r="AD290" s="596"/>
      <c r="AE290" s="779"/>
      <c r="AF290" s="939"/>
      <c r="AG290" s="780"/>
      <c r="AH290" s="941"/>
      <c r="AI290" s="942"/>
      <c r="AJ290" s="943"/>
      <c r="AK290" s="745"/>
      <c r="AL290" s="940"/>
      <c r="AM290" s="746"/>
      <c r="AN290" s="281"/>
      <c r="AO290" s="282"/>
      <c r="AP290" s="281"/>
      <c r="AQ290" s="282"/>
      <c r="AR290" s="281"/>
      <c r="AS290" s="282"/>
      <c r="AT290" s="281"/>
      <c r="AU290" s="282"/>
      <c r="AV290" s="281"/>
      <c r="AW290" s="282"/>
      <c r="AX290" s="281"/>
      <c r="AY290" s="282"/>
      <c r="AZ290" s="117"/>
      <c r="BA290" s="331"/>
      <c r="BB290" s="117"/>
      <c r="BC290" s="331"/>
      <c r="BD290" s="117"/>
      <c r="BE290" s="331"/>
      <c r="BF290" s="117"/>
      <c r="BG290" s="331"/>
      <c r="BH290" s="117"/>
      <c r="BI290" s="944" t="s">
        <v>212</v>
      </c>
      <c r="BJ290" s="944"/>
      <c r="BK290" s="944"/>
      <c r="BL290" s="944"/>
      <c r="BM290" s="944"/>
      <c r="BN290" s="944"/>
      <c r="BO290" s="944"/>
      <c r="BP290" s="944"/>
      <c r="BQ290" s="944"/>
      <c r="BR290" s="944"/>
      <c r="BS290" s="944"/>
      <c r="BT290" s="944"/>
      <c r="BU290" s="944"/>
      <c r="BV290" s="945"/>
    </row>
    <row r="291" spans="1:74" ht="30" customHeight="1" x14ac:dyDescent="0.25">
      <c r="A291" s="200">
        <f t="shared" si="4"/>
        <v>277</v>
      </c>
      <c r="B291" s="294" t="s">
        <v>162</v>
      </c>
      <c r="C291" s="295"/>
      <c r="D291" s="936"/>
      <c r="E291" s="937"/>
      <c r="F291" s="937"/>
      <c r="G291" s="937"/>
      <c r="H291" s="937"/>
      <c r="I291" s="937"/>
      <c r="J291" s="937"/>
      <c r="K291" s="938"/>
      <c r="L291" s="932"/>
      <c r="M291" s="932"/>
      <c r="N291" s="932"/>
      <c r="O291" s="932"/>
      <c r="P291" s="931"/>
      <c r="Q291" s="931"/>
      <c r="R291" s="931"/>
      <c r="S291" s="931"/>
      <c r="T291" s="933"/>
      <c r="U291" s="934"/>
      <c r="V291" s="934"/>
      <c r="W291" s="935"/>
      <c r="X291" s="936"/>
      <c r="Y291" s="937"/>
      <c r="Z291" s="937"/>
      <c r="AA291" s="938"/>
      <c r="AB291" s="594"/>
      <c r="AC291" s="595"/>
      <c r="AD291" s="596"/>
      <c r="AE291" s="779"/>
      <c r="AF291" s="939"/>
      <c r="AG291" s="780"/>
      <c r="AH291" s="941"/>
      <c r="AI291" s="942"/>
      <c r="AJ291" s="943"/>
      <c r="AK291" s="745"/>
      <c r="AL291" s="940"/>
      <c r="AM291" s="746"/>
      <c r="AN291" s="281"/>
      <c r="AO291" s="282"/>
      <c r="AP291" s="281"/>
      <c r="AQ291" s="282"/>
      <c r="AR291" s="281"/>
      <c r="AS291" s="282"/>
      <c r="AT291" s="281"/>
      <c r="AU291" s="282"/>
      <c r="AV291" s="281"/>
      <c r="AW291" s="282"/>
      <c r="AX291" s="281"/>
      <c r="AY291" s="282"/>
      <c r="AZ291" s="117"/>
      <c r="BA291" s="331"/>
      <c r="BB291" s="117"/>
      <c r="BC291" s="331"/>
      <c r="BD291" s="117"/>
      <c r="BE291" s="331"/>
      <c r="BF291" s="117"/>
      <c r="BG291" s="331"/>
      <c r="BH291" s="117"/>
      <c r="BI291" s="944" t="s">
        <v>159</v>
      </c>
      <c r="BJ291" s="944"/>
      <c r="BK291" s="944"/>
      <c r="BL291" s="944"/>
      <c r="BM291" s="944"/>
      <c r="BN291" s="944"/>
      <c r="BO291" s="944"/>
      <c r="BP291" s="944"/>
      <c r="BQ291" s="944"/>
      <c r="BR291" s="944"/>
      <c r="BS291" s="944"/>
      <c r="BT291" s="944"/>
      <c r="BU291" s="944"/>
      <c r="BV291" s="945"/>
    </row>
    <row r="292" spans="1:74" ht="30" customHeight="1" x14ac:dyDescent="0.25">
      <c r="A292" s="200">
        <f t="shared" si="4"/>
        <v>278</v>
      </c>
      <c r="B292" s="294" t="s">
        <v>162</v>
      </c>
      <c r="C292" s="295"/>
      <c r="D292" s="936"/>
      <c r="E292" s="937"/>
      <c r="F292" s="937"/>
      <c r="G292" s="937"/>
      <c r="H292" s="937"/>
      <c r="I292" s="937"/>
      <c r="J292" s="937"/>
      <c r="K292" s="938"/>
      <c r="L292" s="932"/>
      <c r="M292" s="932"/>
      <c r="N292" s="932"/>
      <c r="O292" s="932"/>
      <c r="P292" s="931"/>
      <c r="Q292" s="931"/>
      <c r="R292" s="931"/>
      <c r="S292" s="931"/>
      <c r="T292" s="933"/>
      <c r="U292" s="934"/>
      <c r="V292" s="934"/>
      <c r="W292" s="935"/>
      <c r="X292" s="936"/>
      <c r="Y292" s="937"/>
      <c r="Z292" s="937"/>
      <c r="AA292" s="938"/>
      <c r="AB292" s="594"/>
      <c r="AC292" s="595"/>
      <c r="AD292" s="596"/>
      <c r="AE292" s="779"/>
      <c r="AF292" s="939"/>
      <c r="AG292" s="780"/>
      <c r="AH292" s="941"/>
      <c r="AI292" s="942"/>
      <c r="AJ292" s="943"/>
      <c r="AK292" s="745"/>
      <c r="AL292" s="940"/>
      <c r="AM292" s="746"/>
      <c r="AN292" s="281"/>
      <c r="AO292" s="282"/>
      <c r="AP292" s="281"/>
      <c r="AQ292" s="282"/>
      <c r="AR292" s="281"/>
      <c r="AS292" s="282"/>
      <c r="AT292" s="281"/>
      <c r="AU292" s="282"/>
      <c r="AV292" s="281"/>
      <c r="AW292" s="282"/>
      <c r="AX292" s="281"/>
      <c r="AY292" s="282"/>
      <c r="AZ292" s="117"/>
      <c r="BA292" s="331"/>
      <c r="BB292" s="117"/>
      <c r="BC292" s="331"/>
      <c r="BD292" s="117"/>
      <c r="BE292" s="331"/>
      <c r="BF292" s="117"/>
      <c r="BG292" s="331"/>
      <c r="BH292" s="117"/>
      <c r="BI292" s="944" t="s">
        <v>159</v>
      </c>
      <c r="BJ292" s="944"/>
      <c r="BK292" s="944"/>
      <c r="BL292" s="944"/>
      <c r="BM292" s="944"/>
      <c r="BN292" s="944"/>
      <c r="BO292" s="944"/>
      <c r="BP292" s="944"/>
      <c r="BQ292" s="944"/>
      <c r="BR292" s="944"/>
      <c r="BS292" s="944"/>
      <c r="BT292" s="944"/>
      <c r="BU292" s="944"/>
      <c r="BV292" s="945"/>
    </row>
    <row r="293" spans="1:74" ht="30" customHeight="1" x14ac:dyDescent="0.25">
      <c r="A293" s="232">
        <f t="shared" si="4"/>
        <v>279</v>
      </c>
      <c r="B293" s="294" t="s">
        <v>162</v>
      </c>
      <c r="C293" s="295"/>
      <c r="D293" s="936"/>
      <c r="E293" s="937"/>
      <c r="F293" s="937"/>
      <c r="G293" s="937"/>
      <c r="H293" s="937"/>
      <c r="I293" s="937"/>
      <c r="J293" s="937"/>
      <c r="K293" s="938"/>
      <c r="L293" s="932"/>
      <c r="M293" s="932"/>
      <c r="N293" s="932"/>
      <c r="O293" s="932"/>
      <c r="P293" s="931"/>
      <c r="Q293" s="931"/>
      <c r="R293" s="931"/>
      <c r="S293" s="931"/>
      <c r="T293" s="933"/>
      <c r="U293" s="934"/>
      <c r="V293" s="934"/>
      <c r="W293" s="935"/>
      <c r="X293" s="936"/>
      <c r="Y293" s="937"/>
      <c r="Z293" s="937"/>
      <c r="AA293" s="938"/>
      <c r="AB293" s="594"/>
      <c r="AC293" s="595"/>
      <c r="AD293" s="596"/>
      <c r="AE293" s="779"/>
      <c r="AF293" s="939"/>
      <c r="AG293" s="780"/>
      <c r="AH293" s="941"/>
      <c r="AI293" s="942"/>
      <c r="AJ293" s="943"/>
      <c r="AK293" s="745"/>
      <c r="AL293" s="940"/>
      <c r="AM293" s="746"/>
      <c r="AN293" s="281"/>
      <c r="AO293" s="282"/>
      <c r="AP293" s="281"/>
      <c r="AQ293" s="282"/>
      <c r="AR293" s="281"/>
      <c r="AS293" s="282"/>
      <c r="AT293" s="281"/>
      <c r="AU293" s="282"/>
      <c r="AV293" s="281"/>
      <c r="AW293" s="282"/>
      <c r="AX293" s="281"/>
      <c r="AY293" s="282"/>
      <c r="AZ293" s="117"/>
      <c r="BA293" s="331"/>
      <c r="BB293" s="117"/>
      <c r="BC293" s="331"/>
      <c r="BD293" s="117"/>
      <c r="BE293" s="331"/>
      <c r="BF293" s="117"/>
      <c r="BG293" s="331"/>
      <c r="BH293" s="117"/>
      <c r="BI293" s="944" t="s">
        <v>212</v>
      </c>
      <c r="BJ293" s="944"/>
      <c r="BK293" s="944"/>
      <c r="BL293" s="944"/>
      <c r="BM293" s="944"/>
      <c r="BN293" s="944"/>
      <c r="BO293" s="944"/>
      <c r="BP293" s="944"/>
      <c r="BQ293" s="944"/>
      <c r="BR293" s="944"/>
      <c r="BS293" s="944"/>
      <c r="BT293" s="944"/>
      <c r="BU293" s="944"/>
      <c r="BV293" s="945"/>
    </row>
    <row r="294" spans="1:74" ht="30" customHeight="1" x14ac:dyDescent="0.25">
      <c r="A294" s="200">
        <f t="shared" si="4"/>
        <v>280</v>
      </c>
      <c r="B294" s="294" t="s">
        <v>162</v>
      </c>
      <c r="C294" s="295"/>
      <c r="D294" s="936"/>
      <c r="E294" s="937"/>
      <c r="F294" s="937"/>
      <c r="G294" s="937"/>
      <c r="H294" s="937"/>
      <c r="I294" s="937"/>
      <c r="J294" s="937"/>
      <c r="K294" s="938"/>
      <c r="L294" s="932"/>
      <c r="M294" s="932"/>
      <c r="N294" s="932"/>
      <c r="O294" s="932"/>
      <c r="P294" s="931"/>
      <c r="Q294" s="931"/>
      <c r="R294" s="931"/>
      <c r="S294" s="931"/>
      <c r="T294" s="933"/>
      <c r="U294" s="934"/>
      <c r="V294" s="934"/>
      <c r="W294" s="935"/>
      <c r="X294" s="936"/>
      <c r="Y294" s="937"/>
      <c r="Z294" s="937"/>
      <c r="AA294" s="938"/>
      <c r="AB294" s="594"/>
      <c r="AC294" s="595"/>
      <c r="AD294" s="596"/>
      <c r="AE294" s="779"/>
      <c r="AF294" s="939"/>
      <c r="AG294" s="780"/>
      <c r="AH294" s="941"/>
      <c r="AI294" s="942"/>
      <c r="AJ294" s="943"/>
      <c r="AK294" s="745"/>
      <c r="AL294" s="940"/>
      <c r="AM294" s="746"/>
      <c r="AN294" s="281"/>
      <c r="AO294" s="282"/>
      <c r="AP294" s="281"/>
      <c r="AQ294" s="282"/>
      <c r="AR294" s="281"/>
      <c r="AS294" s="282"/>
      <c r="AT294" s="281"/>
      <c r="AU294" s="282"/>
      <c r="AV294" s="281"/>
      <c r="AW294" s="282"/>
      <c r="AX294" s="281"/>
      <c r="AY294" s="282"/>
      <c r="AZ294" s="117"/>
      <c r="BA294" s="331"/>
      <c r="BB294" s="117"/>
      <c r="BC294" s="331"/>
      <c r="BD294" s="117"/>
      <c r="BE294" s="331"/>
      <c r="BF294" s="117"/>
      <c r="BG294" s="331"/>
      <c r="BH294" s="117"/>
      <c r="BI294" s="944" t="s">
        <v>212</v>
      </c>
      <c r="BJ294" s="944"/>
      <c r="BK294" s="944"/>
      <c r="BL294" s="944"/>
      <c r="BM294" s="944"/>
      <c r="BN294" s="944"/>
      <c r="BO294" s="944"/>
      <c r="BP294" s="944"/>
      <c r="BQ294" s="944"/>
      <c r="BR294" s="944"/>
      <c r="BS294" s="944"/>
      <c r="BT294" s="944"/>
      <c r="BU294" s="944"/>
      <c r="BV294" s="945"/>
    </row>
    <row r="295" spans="1:74" ht="30" customHeight="1" x14ac:dyDescent="0.25">
      <c r="A295" s="200">
        <f t="shared" si="4"/>
        <v>281</v>
      </c>
      <c r="B295" s="294" t="s">
        <v>162</v>
      </c>
      <c r="C295" s="295"/>
      <c r="D295" s="936"/>
      <c r="E295" s="937"/>
      <c r="F295" s="937"/>
      <c r="G295" s="937"/>
      <c r="H295" s="937"/>
      <c r="I295" s="937"/>
      <c r="J295" s="937"/>
      <c r="K295" s="938"/>
      <c r="L295" s="932"/>
      <c r="M295" s="932"/>
      <c r="N295" s="932"/>
      <c r="O295" s="932"/>
      <c r="P295" s="931"/>
      <c r="Q295" s="931"/>
      <c r="R295" s="931"/>
      <c r="S295" s="931"/>
      <c r="T295" s="933"/>
      <c r="U295" s="934"/>
      <c r="V295" s="934"/>
      <c r="W295" s="935"/>
      <c r="X295" s="936"/>
      <c r="Y295" s="937"/>
      <c r="Z295" s="937"/>
      <c r="AA295" s="938"/>
      <c r="AB295" s="594"/>
      <c r="AC295" s="595"/>
      <c r="AD295" s="596"/>
      <c r="AE295" s="779"/>
      <c r="AF295" s="939"/>
      <c r="AG295" s="780"/>
      <c r="AH295" s="941"/>
      <c r="AI295" s="942"/>
      <c r="AJ295" s="943"/>
      <c r="AK295" s="745"/>
      <c r="AL295" s="940"/>
      <c r="AM295" s="746"/>
      <c r="AN295" s="281"/>
      <c r="AO295" s="282"/>
      <c r="AP295" s="281"/>
      <c r="AQ295" s="282"/>
      <c r="AR295" s="281"/>
      <c r="AS295" s="282"/>
      <c r="AT295" s="281"/>
      <c r="AU295" s="282"/>
      <c r="AV295" s="281"/>
      <c r="AW295" s="282"/>
      <c r="AX295" s="281"/>
      <c r="AY295" s="282"/>
      <c r="AZ295" s="117"/>
      <c r="BA295" s="331"/>
      <c r="BB295" s="117"/>
      <c r="BC295" s="331"/>
      <c r="BD295" s="117"/>
      <c r="BE295" s="331"/>
      <c r="BF295" s="117"/>
      <c r="BG295" s="331"/>
      <c r="BH295" s="117"/>
      <c r="BI295" s="944" t="s">
        <v>212</v>
      </c>
      <c r="BJ295" s="944"/>
      <c r="BK295" s="944"/>
      <c r="BL295" s="944"/>
      <c r="BM295" s="944"/>
      <c r="BN295" s="944"/>
      <c r="BO295" s="944"/>
      <c r="BP295" s="944"/>
      <c r="BQ295" s="944"/>
      <c r="BR295" s="944"/>
      <c r="BS295" s="944"/>
      <c r="BT295" s="944"/>
      <c r="BU295" s="944"/>
      <c r="BV295" s="945"/>
    </row>
    <row r="296" spans="1:74" ht="30" customHeight="1" x14ac:dyDescent="0.25">
      <c r="A296" s="200">
        <f t="shared" si="4"/>
        <v>282</v>
      </c>
      <c r="B296" s="294" t="s">
        <v>162</v>
      </c>
      <c r="C296" s="295"/>
      <c r="D296" s="936"/>
      <c r="E296" s="937"/>
      <c r="F296" s="937"/>
      <c r="G296" s="937"/>
      <c r="H296" s="937"/>
      <c r="I296" s="937"/>
      <c r="J296" s="937"/>
      <c r="K296" s="938"/>
      <c r="L296" s="932"/>
      <c r="M296" s="932"/>
      <c r="N296" s="932"/>
      <c r="O296" s="932"/>
      <c r="P296" s="931"/>
      <c r="Q296" s="931"/>
      <c r="R296" s="931"/>
      <c r="S296" s="931"/>
      <c r="T296" s="933"/>
      <c r="U296" s="934"/>
      <c r="V296" s="934"/>
      <c r="W296" s="935"/>
      <c r="X296" s="936"/>
      <c r="Y296" s="937"/>
      <c r="Z296" s="937"/>
      <c r="AA296" s="938"/>
      <c r="AB296" s="594"/>
      <c r="AC296" s="595"/>
      <c r="AD296" s="596"/>
      <c r="AE296" s="779"/>
      <c r="AF296" s="939"/>
      <c r="AG296" s="780"/>
      <c r="AH296" s="941"/>
      <c r="AI296" s="942"/>
      <c r="AJ296" s="943"/>
      <c r="AK296" s="745"/>
      <c r="AL296" s="940"/>
      <c r="AM296" s="746"/>
      <c r="AN296" s="281"/>
      <c r="AO296" s="282"/>
      <c r="AP296" s="281"/>
      <c r="AQ296" s="282"/>
      <c r="AR296" s="281"/>
      <c r="AS296" s="282"/>
      <c r="AT296" s="281"/>
      <c r="AU296" s="282"/>
      <c r="AV296" s="281"/>
      <c r="AW296" s="282"/>
      <c r="AX296" s="281"/>
      <c r="AY296" s="282"/>
      <c r="AZ296" s="117"/>
      <c r="BA296" s="331"/>
      <c r="BB296" s="117"/>
      <c r="BC296" s="331"/>
      <c r="BD296" s="117"/>
      <c r="BE296" s="331"/>
      <c r="BF296" s="117"/>
      <c r="BG296" s="331"/>
      <c r="BH296" s="117"/>
      <c r="BI296" s="944" t="s">
        <v>212</v>
      </c>
      <c r="BJ296" s="944"/>
      <c r="BK296" s="944"/>
      <c r="BL296" s="944"/>
      <c r="BM296" s="944"/>
      <c r="BN296" s="944"/>
      <c r="BO296" s="944"/>
      <c r="BP296" s="944"/>
      <c r="BQ296" s="944"/>
      <c r="BR296" s="944"/>
      <c r="BS296" s="944"/>
      <c r="BT296" s="944"/>
      <c r="BU296" s="944"/>
      <c r="BV296" s="945"/>
    </row>
    <row r="297" spans="1:74" ht="30" customHeight="1" x14ac:dyDescent="0.25">
      <c r="A297" s="200">
        <f t="shared" si="4"/>
        <v>283</v>
      </c>
      <c r="B297" s="294" t="s">
        <v>162</v>
      </c>
      <c r="C297" s="295"/>
      <c r="D297" s="936"/>
      <c r="E297" s="937"/>
      <c r="F297" s="937"/>
      <c r="G297" s="937"/>
      <c r="H297" s="937"/>
      <c r="I297" s="937"/>
      <c r="J297" s="937"/>
      <c r="K297" s="938"/>
      <c r="L297" s="932"/>
      <c r="M297" s="932"/>
      <c r="N297" s="932"/>
      <c r="O297" s="932"/>
      <c r="P297" s="931"/>
      <c r="Q297" s="931"/>
      <c r="R297" s="931"/>
      <c r="S297" s="931"/>
      <c r="T297" s="933"/>
      <c r="U297" s="934"/>
      <c r="V297" s="934"/>
      <c r="W297" s="935"/>
      <c r="X297" s="936"/>
      <c r="Y297" s="937"/>
      <c r="Z297" s="937"/>
      <c r="AA297" s="938"/>
      <c r="AB297" s="594"/>
      <c r="AC297" s="595"/>
      <c r="AD297" s="596"/>
      <c r="AE297" s="779"/>
      <c r="AF297" s="939"/>
      <c r="AG297" s="780"/>
      <c r="AH297" s="941"/>
      <c r="AI297" s="942"/>
      <c r="AJ297" s="943"/>
      <c r="AK297" s="745"/>
      <c r="AL297" s="940"/>
      <c r="AM297" s="746"/>
      <c r="AN297" s="281"/>
      <c r="AO297" s="282"/>
      <c r="AP297" s="281"/>
      <c r="AQ297" s="282"/>
      <c r="AR297" s="281"/>
      <c r="AS297" s="282"/>
      <c r="AT297" s="281"/>
      <c r="AU297" s="282"/>
      <c r="AV297" s="281"/>
      <c r="AW297" s="282"/>
      <c r="AX297" s="281"/>
      <c r="AY297" s="282"/>
      <c r="AZ297" s="117"/>
      <c r="BA297" s="331"/>
      <c r="BB297" s="117"/>
      <c r="BC297" s="331"/>
      <c r="BD297" s="117"/>
      <c r="BE297" s="331"/>
      <c r="BF297" s="117"/>
      <c r="BG297" s="331"/>
      <c r="BH297" s="117"/>
      <c r="BI297" s="944" t="s">
        <v>212</v>
      </c>
      <c r="BJ297" s="944"/>
      <c r="BK297" s="944"/>
      <c r="BL297" s="944"/>
      <c r="BM297" s="944"/>
      <c r="BN297" s="944"/>
      <c r="BO297" s="944"/>
      <c r="BP297" s="944"/>
      <c r="BQ297" s="944"/>
      <c r="BR297" s="944"/>
      <c r="BS297" s="944"/>
      <c r="BT297" s="944"/>
      <c r="BU297" s="944"/>
      <c r="BV297" s="945"/>
    </row>
    <row r="298" spans="1:74" ht="30" customHeight="1" x14ac:dyDescent="0.25">
      <c r="A298" s="200">
        <f t="shared" si="4"/>
        <v>284</v>
      </c>
      <c r="B298" s="294" t="s">
        <v>162</v>
      </c>
      <c r="C298" s="295"/>
      <c r="D298" s="936"/>
      <c r="E298" s="937"/>
      <c r="F298" s="937"/>
      <c r="G298" s="937"/>
      <c r="H298" s="937"/>
      <c r="I298" s="937"/>
      <c r="J298" s="937"/>
      <c r="K298" s="938"/>
      <c r="L298" s="932"/>
      <c r="M298" s="932"/>
      <c r="N298" s="932"/>
      <c r="O298" s="932"/>
      <c r="P298" s="931"/>
      <c r="Q298" s="931"/>
      <c r="R298" s="931"/>
      <c r="S298" s="931"/>
      <c r="T298" s="933"/>
      <c r="U298" s="934"/>
      <c r="V298" s="934"/>
      <c r="W298" s="935"/>
      <c r="X298" s="936"/>
      <c r="Y298" s="937"/>
      <c r="Z298" s="937"/>
      <c r="AA298" s="938"/>
      <c r="AB298" s="594"/>
      <c r="AC298" s="595"/>
      <c r="AD298" s="596"/>
      <c r="AE298" s="779"/>
      <c r="AF298" s="939"/>
      <c r="AG298" s="780"/>
      <c r="AH298" s="941"/>
      <c r="AI298" s="942"/>
      <c r="AJ298" s="943"/>
      <c r="AK298" s="745"/>
      <c r="AL298" s="940"/>
      <c r="AM298" s="746"/>
      <c r="AN298" s="281"/>
      <c r="AO298" s="282"/>
      <c r="AP298" s="281"/>
      <c r="AQ298" s="282"/>
      <c r="AR298" s="281"/>
      <c r="AS298" s="282"/>
      <c r="AT298" s="281"/>
      <c r="AU298" s="282"/>
      <c r="AV298" s="281"/>
      <c r="AW298" s="282"/>
      <c r="AX298" s="281"/>
      <c r="AY298" s="282"/>
      <c r="AZ298" s="117"/>
      <c r="BA298" s="331"/>
      <c r="BB298" s="117"/>
      <c r="BC298" s="331"/>
      <c r="BD298" s="117"/>
      <c r="BE298" s="331"/>
      <c r="BF298" s="117"/>
      <c r="BG298" s="331"/>
      <c r="BH298" s="117"/>
      <c r="BI298" s="944" t="s">
        <v>159</v>
      </c>
      <c r="BJ298" s="944"/>
      <c r="BK298" s="944"/>
      <c r="BL298" s="944"/>
      <c r="BM298" s="944"/>
      <c r="BN298" s="944"/>
      <c r="BO298" s="944"/>
      <c r="BP298" s="944"/>
      <c r="BQ298" s="944"/>
      <c r="BR298" s="944"/>
      <c r="BS298" s="944"/>
      <c r="BT298" s="944"/>
      <c r="BU298" s="944"/>
      <c r="BV298" s="945"/>
    </row>
    <row r="299" spans="1:74" ht="30" customHeight="1" x14ac:dyDescent="0.25">
      <c r="A299" s="200">
        <f t="shared" si="4"/>
        <v>285</v>
      </c>
      <c r="B299" s="294" t="s">
        <v>162</v>
      </c>
      <c r="C299" s="295"/>
      <c r="D299" s="936"/>
      <c r="E299" s="937"/>
      <c r="F299" s="937"/>
      <c r="G299" s="937"/>
      <c r="H299" s="937"/>
      <c r="I299" s="937"/>
      <c r="J299" s="937"/>
      <c r="K299" s="938"/>
      <c r="L299" s="932"/>
      <c r="M299" s="932"/>
      <c r="N299" s="932"/>
      <c r="O299" s="932"/>
      <c r="P299" s="931"/>
      <c r="Q299" s="931"/>
      <c r="R299" s="931"/>
      <c r="S299" s="931"/>
      <c r="T299" s="933"/>
      <c r="U299" s="934"/>
      <c r="V299" s="934"/>
      <c r="W299" s="935"/>
      <c r="X299" s="936"/>
      <c r="Y299" s="937"/>
      <c r="Z299" s="937"/>
      <c r="AA299" s="938"/>
      <c r="AB299" s="594"/>
      <c r="AC299" s="595"/>
      <c r="AD299" s="596"/>
      <c r="AE299" s="779"/>
      <c r="AF299" s="939"/>
      <c r="AG299" s="780"/>
      <c r="AH299" s="941"/>
      <c r="AI299" s="942"/>
      <c r="AJ299" s="943"/>
      <c r="AK299" s="745"/>
      <c r="AL299" s="940"/>
      <c r="AM299" s="746"/>
      <c r="AN299" s="281"/>
      <c r="AO299" s="282"/>
      <c r="AP299" s="281"/>
      <c r="AQ299" s="282"/>
      <c r="AR299" s="281"/>
      <c r="AS299" s="282"/>
      <c r="AT299" s="281"/>
      <c r="AU299" s="282"/>
      <c r="AV299" s="281"/>
      <c r="AW299" s="282"/>
      <c r="AX299" s="281"/>
      <c r="AY299" s="282"/>
      <c r="AZ299" s="117"/>
      <c r="BA299" s="331"/>
      <c r="BB299" s="117"/>
      <c r="BC299" s="331"/>
      <c r="BD299" s="117"/>
      <c r="BE299" s="331"/>
      <c r="BF299" s="117"/>
      <c r="BG299" s="331"/>
      <c r="BH299" s="117"/>
      <c r="BI299" s="944" t="s">
        <v>159</v>
      </c>
      <c r="BJ299" s="944"/>
      <c r="BK299" s="944"/>
      <c r="BL299" s="944"/>
      <c r="BM299" s="944"/>
      <c r="BN299" s="944"/>
      <c r="BO299" s="944"/>
      <c r="BP299" s="944"/>
      <c r="BQ299" s="944"/>
      <c r="BR299" s="944"/>
      <c r="BS299" s="944"/>
      <c r="BT299" s="944"/>
      <c r="BU299" s="944"/>
      <c r="BV299" s="945"/>
    </row>
    <row r="300" spans="1:74" ht="30" customHeight="1" x14ac:dyDescent="0.25">
      <c r="A300" s="232">
        <f t="shared" si="4"/>
        <v>286</v>
      </c>
      <c r="B300" s="294" t="s">
        <v>162</v>
      </c>
      <c r="C300" s="295"/>
      <c r="D300" s="936"/>
      <c r="E300" s="937"/>
      <c r="F300" s="937"/>
      <c r="G300" s="937"/>
      <c r="H300" s="937"/>
      <c r="I300" s="937"/>
      <c r="J300" s="937"/>
      <c r="K300" s="938"/>
      <c r="L300" s="932"/>
      <c r="M300" s="932"/>
      <c r="N300" s="932"/>
      <c r="O300" s="932"/>
      <c r="P300" s="931"/>
      <c r="Q300" s="931"/>
      <c r="R300" s="931"/>
      <c r="S300" s="931"/>
      <c r="T300" s="933"/>
      <c r="U300" s="934"/>
      <c r="V300" s="934"/>
      <c r="W300" s="935"/>
      <c r="X300" s="936"/>
      <c r="Y300" s="937"/>
      <c r="Z300" s="937"/>
      <c r="AA300" s="938"/>
      <c r="AB300" s="594"/>
      <c r="AC300" s="595"/>
      <c r="AD300" s="596"/>
      <c r="AE300" s="779"/>
      <c r="AF300" s="939"/>
      <c r="AG300" s="780"/>
      <c r="AH300" s="941"/>
      <c r="AI300" s="942"/>
      <c r="AJ300" s="943"/>
      <c r="AK300" s="745"/>
      <c r="AL300" s="940"/>
      <c r="AM300" s="746"/>
      <c r="AN300" s="281"/>
      <c r="AO300" s="282"/>
      <c r="AP300" s="281"/>
      <c r="AQ300" s="282"/>
      <c r="AR300" s="281"/>
      <c r="AS300" s="282"/>
      <c r="AT300" s="281"/>
      <c r="AU300" s="282"/>
      <c r="AV300" s="281"/>
      <c r="AW300" s="282"/>
      <c r="AX300" s="281"/>
      <c r="AY300" s="282"/>
      <c r="AZ300" s="117"/>
      <c r="BA300" s="331"/>
      <c r="BB300" s="117"/>
      <c r="BC300" s="331"/>
      <c r="BD300" s="117"/>
      <c r="BE300" s="331"/>
      <c r="BF300" s="117"/>
      <c r="BG300" s="331"/>
      <c r="BH300" s="117"/>
      <c r="BI300" s="944" t="s">
        <v>212</v>
      </c>
      <c r="BJ300" s="944"/>
      <c r="BK300" s="944"/>
      <c r="BL300" s="944"/>
      <c r="BM300" s="944"/>
      <c r="BN300" s="944"/>
      <c r="BO300" s="944"/>
      <c r="BP300" s="944"/>
      <c r="BQ300" s="944"/>
      <c r="BR300" s="944"/>
      <c r="BS300" s="944"/>
      <c r="BT300" s="944"/>
      <c r="BU300" s="944"/>
      <c r="BV300" s="945"/>
    </row>
    <row r="301" spans="1:74" ht="30" customHeight="1" x14ac:dyDescent="0.25">
      <c r="A301" s="200">
        <f t="shared" si="4"/>
        <v>287</v>
      </c>
      <c r="B301" s="294" t="s">
        <v>162</v>
      </c>
      <c r="C301" s="295"/>
      <c r="D301" s="936"/>
      <c r="E301" s="937"/>
      <c r="F301" s="937"/>
      <c r="G301" s="937"/>
      <c r="H301" s="937"/>
      <c r="I301" s="937"/>
      <c r="J301" s="937"/>
      <c r="K301" s="938"/>
      <c r="L301" s="932"/>
      <c r="M301" s="932"/>
      <c r="N301" s="932"/>
      <c r="O301" s="932"/>
      <c r="P301" s="931"/>
      <c r="Q301" s="931"/>
      <c r="R301" s="931"/>
      <c r="S301" s="931"/>
      <c r="T301" s="933"/>
      <c r="U301" s="934"/>
      <c r="V301" s="934"/>
      <c r="W301" s="935"/>
      <c r="X301" s="936"/>
      <c r="Y301" s="937"/>
      <c r="Z301" s="937"/>
      <c r="AA301" s="938"/>
      <c r="AB301" s="594"/>
      <c r="AC301" s="595"/>
      <c r="AD301" s="596"/>
      <c r="AE301" s="779"/>
      <c r="AF301" s="939"/>
      <c r="AG301" s="780"/>
      <c r="AH301" s="941"/>
      <c r="AI301" s="942"/>
      <c r="AJ301" s="943"/>
      <c r="AK301" s="745"/>
      <c r="AL301" s="940"/>
      <c r="AM301" s="746"/>
      <c r="AN301" s="281"/>
      <c r="AO301" s="282"/>
      <c r="AP301" s="281"/>
      <c r="AQ301" s="282"/>
      <c r="AR301" s="281"/>
      <c r="AS301" s="282"/>
      <c r="AT301" s="281"/>
      <c r="AU301" s="282"/>
      <c r="AV301" s="281"/>
      <c r="AW301" s="282"/>
      <c r="AX301" s="281"/>
      <c r="AY301" s="282"/>
      <c r="AZ301" s="117"/>
      <c r="BA301" s="331"/>
      <c r="BB301" s="117"/>
      <c r="BC301" s="331"/>
      <c r="BD301" s="117"/>
      <c r="BE301" s="331"/>
      <c r="BF301" s="117"/>
      <c r="BG301" s="331"/>
      <c r="BH301" s="117"/>
      <c r="BI301" s="944" t="s">
        <v>212</v>
      </c>
      <c r="BJ301" s="944"/>
      <c r="BK301" s="944"/>
      <c r="BL301" s="944"/>
      <c r="BM301" s="944"/>
      <c r="BN301" s="944"/>
      <c r="BO301" s="944"/>
      <c r="BP301" s="944"/>
      <c r="BQ301" s="944"/>
      <c r="BR301" s="944"/>
      <c r="BS301" s="944"/>
      <c r="BT301" s="944"/>
      <c r="BU301" s="944"/>
      <c r="BV301" s="945"/>
    </row>
    <row r="302" spans="1:74" ht="30" customHeight="1" x14ac:dyDescent="0.25">
      <c r="A302" s="200">
        <f t="shared" si="4"/>
        <v>288</v>
      </c>
      <c r="B302" s="294" t="s">
        <v>162</v>
      </c>
      <c r="C302" s="295"/>
      <c r="D302" s="936"/>
      <c r="E302" s="937"/>
      <c r="F302" s="937"/>
      <c r="G302" s="937"/>
      <c r="H302" s="937"/>
      <c r="I302" s="937"/>
      <c r="J302" s="937"/>
      <c r="K302" s="938"/>
      <c r="L302" s="932"/>
      <c r="M302" s="932"/>
      <c r="N302" s="932"/>
      <c r="O302" s="932"/>
      <c r="P302" s="931"/>
      <c r="Q302" s="931"/>
      <c r="R302" s="931"/>
      <c r="S302" s="931"/>
      <c r="T302" s="933"/>
      <c r="U302" s="934"/>
      <c r="V302" s="934"/>
      <c r="W302" s="935"/>
      <c r="X302" s="936"/>
      <c r="Y302" s="937"/>
      <c r="Z302" s="937"/>
      <c r="AA302" s="938"/>
      <c r="AB302" s="594"/>
      <c r="AC302" s="595"/>
      <c r="AD302" s="596"/>
      <c r="AE302" s="779"/>
      <c r="AF302" s="939"/>
      <c r="AG302" s="780"/>
      <c r="AH302" s="941"/>
      <c r="AI302" s="942"/>
      <c r="AJ302" s="943"/>
      <c r="AK302" s="745"/>
      <c r="AL302" s="940"/>
      <c r="AM302" s="746"/>
      <c r="AN302" s="281"/>
      <c r="AO302" s="282"/>
      <c r="AP302" s="281"/>
      <c r="AQ302" s="282"/>
      <c r="AR302" s="281"/>
      <c r="AS302" s="282"/>
      <c r="AT302" s="281"/>
      <c r="AU302" s="282"/>
      <c r="AV302" s="281"/>
      <c r="AW302" s="282"/>
      <c r="AX302" s="281"/>
      <c r="AY302" s="282"/>
      <c r="AZ302" s="117"/>
      <c r="BA302" s="331"/>
      <c r="BB302" s="117"/>
      <c r="BC302" s="331"/>
      <c r="BD302" s="117"/>
      <c r="BE302" s="331"/>
      <c r="BF302" s="117"/>
      <c r="BG302" s="331"/>
      <c r="BH302" s="117"/>
      <c r="BI302" s="944" t="s">
        <v>212</v>
      </c>
      <c r="BJ302" s="944"/>
      <c r="BK302" s="944"/>
      <c r="BL302" s="944"/>
      <c r="BM302" s="944"/>
      <c r="BN302" s="944"/>
      <c r="BO302" s="944"/>
      <c r="BP302" s="944"/>
      <c r="BQ302" s="944"/>
      <c r="BR302" s="944"/>
      <c r="BS302" s="944"/>
      <c r="BT302" s="944"/>
      <c r="BU302" s="944"/>
      <c r="BV302" s="945"/>
    </row>
    <row r="303" spans="1:74" ht="30" customHeight="1" x14ac:dyDescent="0.25">
      <c r="A303" s="200">
        <f t="shared" si="4"/>
        <v>289</v>
      </c>
      <c r="B303" s="294" t="s">
        <v>162</v>
      </c>
      <c r="C303" s="295"/>
      <c r="D303" s="936"/>
      <c r="E303" s="937"/>
      <c r="F303" s="937"/>
      <c r="G303" s="937"/>
      <c r="H303" s="937"/>
      <c r="I303" s="937"/>
      <c r="J303" s="937"/>
      <c r="K303" s="938"/>
      <c r="L303" s="932"/>
      <c r="M303" s="932"/>
      <c r="N303" s="932"/>
      <c r="O303" s="932"/>
      <c r="P303" s="931"/>
      <c r="Q303" s="931"/>
      <c r="R303" s="931"/>
      <c r="S303" s="931"/>
      <c r="T303" s="933"/>
      <c r="U303" s="934"/>
      <c r="V303" s="934"/>
      <c r="W303" s="935"/>
      <c r="X303" s="936"/>
      <c r="Y303" s="937"/>
      <c r="Z303" s="937"/>
      <c r="AA303" s="938"/>
      <c r="AB303" s="594"/>
      <c r="AC303" s="595"/>
      <c r="AD303" s="596"/>
      <c r="AE303" s="779"/>
      <c r="AF303" s="939"/>
      <c r="AG303" s="780"/>
      <c r="AH303" s="941"/>
      <c r="AI303" s="942"/>
      <c r="AJ303" s="943"/>
      <c r="AK303" s="745"/>
      <c r="AL303" s="940"/>
      <c r="AM303" s="746"/>
      <c r="AN303" s="281"/>
      <c r="AO303" s="282"/>
      <c r="AP303" s="281"/>
      <c r="AQ303" s="282"/>
      <c r="AR303" s="281"/>
      <c r="AS303" s="282"/>
      <c r="AT303" s="281"/>
      <c r="AU303" s="282"/>
      <c r="AV303" s="281"/>
      <c r="AW303" s="282"/>
      <c r="AX303" s="281"/>
      <c r="AY303" s="282"/>
      <c r="AZ303" s="117"/>
      <c r="BA303" s="331"/>
      <c r="BB303" s="117"/>
      <c r="BC303" s="331"/>
      <c r="BD303" s="117"/>
      <c r="BE303" s="331"/>
      <c r="BF303" s="117"/>
      <c r="BG303" s="331"/>
      <c r="BH303" s="117"/>
      <c r="BI303" s="944" t="s">
        <v>212</v>
      </c>
      <c r="BJ303" s="944"/>
      <c r="BK303" s="944"/>
      <c r="BL303" s="944"/>
      <c r="BM303" s="944"/>
      <c r="BN303" s="944"/>
      <c r="BO303" s="944"/>
      <c r="BP303" s="944"/>
      <c r="BQ303" s="944"/>
      <c r="BR303" s="944"/>
      <c r="BS303" s="944"/>
      <c r="BT303" s="944"/>
      <c r="BU303" s="944"/>
      <c r="BV303" s="945"/>
    </row>
    <row r="304" spans="1:74" ht="30" customHeight="1" x14ac:dyDescent="0.25">
      <c r="A304" s="200">
        <f t="shared" si="4"/>
        <v>290</v>
      </c>
      <c r="B304" s="294" t="s">
        <v>162</v>
      </c>
      <c r="C304" s="295"/>
      <c r="D304" s="936"/>
      <c r="E304" s="937"/>
      <c r="F304" s="937"/>
      <c r="G304" s="937"/>
      <c r="H304" s="937"/>
      <c r="I304" s="937"/>
      <c r="J304" s="937"/>
      <c r="K304" s="938"/>
      <c r="L304" s="932"/>
      <c r="M304" s="932"/>
      <c r="N304" s="932"/>
      <c r="O304" s="932"/>
      <c r="P304" s="931"/>
      <c r="Q304" s="931"/>
      <c r="R304" s="931"/>
      <c r="S304" s="931"/>
      <c r="T304" s="933"/>
      <c r="U304" s="934"/>
      <c r="V304" s="934"/>
      <c r="W304" s="935"/>
      <c r="X304" s="936"/>
      <c r="Y304" s="937"/>
      <c r="Z304" s="937"/>
      <c r="AA304" s="938"/>
      <c r="AB304" s="594"/>
      <c r="AC304" s="595"/>
      <c r="AD304" s="596"/>
      <c r="AE304" s="779"/>
      <c r="AF304" s="939"/>
      <c r="AG304" s="780"/>
      <c r="AH304" s="941"/>
      <c r="AI304" s="942"/>
      <c r="AJ304" s="943"/>
      <c r="AK304" s="745"/>
      <c r="AL304" s="940"/>
      <c r="AM304" s="746"/>
      <c r="AN304" s="281"/>
      <c r="AO304" s="282"/>
      <c r="AP304" s="281"/>
      <c r="AQ304" s="282"/>
      <c r="AR304" s="281"/>
      <c r="AS304" s="282"/>
      <c r="AT304" s="281"/>
      <c r="AU304" s="282"/>
      <c r="AV304" s="281"/>
      <c r="AW304" s="282"/>
      <c r="AX304" s="281"/>
      <c r="AY304" s="282"/>
      <c r="AZ304" s="117"/>
      <c r="BA304" s="331"/>
      <c r="BB304" s="117"/>
      <c r="BC304" s="331"/>
      <c r="BD304" s="117"/>
      <c r="BE304" s="331"/>
      <c r="BF304" s="117"/>
      <c r="BG304" s="331"/>
      <c r="BH304" s="117"/>
      <c r="BI304" s="944" t="s">
        <v>212</v>
      </c>
      <c r="BJ304" s="944"/>
      <c r="BK304" s="944"/>
      <c r="BL304" s="944"/>
      <c r="BM304" s="944"/>
      <c r="BN304" s="944"/>
      <c r="BO304" s="944"/>
      <c r="BP304" s="944"/>
      <c r="BQ304" s="944"/>
      <c r="BR304" s="944"/>
      <c r="BS304" s="944"/>
      <c r="BT304" s="944"/>
      <c r="BU304" s="944"/>
      <c r="BV304" s="945"/>
    </row>
    <row r="305" spans="1:74" ht="30" customHeight="1" x14ac:dyDescent="0.25">
      <c r="A305" s="200">
        <f t="shared" si="4"/>
        <v>291</v>
      </c>
      <c r="B305" s="294" t="s">
        <v>162</v>
      </c>
      <c r="C305" s="295"/>
      <c r="D305" s="936"/>
      <c r="E305" s="937"/>
      <c r="F305" s="937"/>
      <c r="G305" s="937"/>
      <c r="H305" s="937"/>
      <c r="I305" s="937"/>
      <c r="J305" s="937"/>
      <c r="K305" s="938"/>
      <c r="L305" s="932"/>
      <c r="M305" s="932"/>
      <c r="N305" s="932"/>
      <c r="O305" s="932"/>
      <c r="P305" s="931"/>
      <c r="Q305" s="931"/>
      <c r="R305" s="931"/>
      <c r="S305" s="931"/>
      <c r="T305" s="933"/>
      <c r="U305" s="934"/>
      <c r="V305" s="934"/>
      <c r="W305" s="935"/>
      <c r="X305" s="936"/>
      <c r="Y305" s="937"/>
      <c r="Z305" s="937"/>
      <c r="AA305" s="938"/>
      <c r="AB305" s="594"/>
      <c r="AC305" s="595"/>
      <c r="AD305" s="596"/>
      <c r="AE305" s="779"/>
      <c r="AF305" s="939"/>
      <c r="AG305" s="780"/>
      <c r="AH305" s="941"/>
      <c r="AI305" s="942"/>
      <c r="AJ305" s="943"/>
      <c r="AK305" s="745"/>
      <c r="AL305" s="940"/>
      <c r="AM305" s="746"/>
      <c r="AN305" s="281"/>
      <c r="AO305" s="282"/>
      <c r="AP305" s="281"/>
      <c r="AQ305" s="282"/>
      <c r="AR305" s="281"/>
      <c r="AS305" s="282"/>
      <c r="AT305" s="281"/>
      <c r="AU305" s="282"/>
      <c r="AV305" s="281"/>
      <c r="AW305" s="282"/>
      <c r="AX305" s="281"/>
      <c r="AY305" s="282"/>
      <c r="AZ305" s="117"/>
      <c r="BA305" s="331"/>
      <c r="BB305" s="117"/>
      <c r="BC305" s="331"/>
      <c r="BD305" s="117"/>
      <c r="BE305" s="331"/>
      <c r="BF305" s="117"/>
      <c r="BG305" s="331"/>
      <c r="BH305" s="117"/>
      <c r="BI305" s="944" t="s">
        <v>159</v>
      </c>
      <c r="BJ305" s="944"/>
      <c r="BK305" s="944"/>
      <c r="BL305" s="944"/>
      <c r="BM305" s="944"/>
      <c r="BN305" s="944"/>
      <c r="BO305" s="944"/>
      <c r="BP305" s="944"/>
      <c r="BQ305" s="944"/>
      <c r="BR305" s="944"/>
      <c r="BS305" s="944"/>
      <c r="BT305" s="944"/>
      <c r="BU305" s="944"/>
      <c r="BV305" s="945"/>
    </row>
    <row r="306" spans="1:74" ht="30" customHeight="1" x14ac:dyDescent="0.25">
      <c r="A306" s="200">
        <f t="shared" si="4"/>
        <v>292</v>
      </c>
      <c r="B306" s="294" t="s">
        <v>162</v>
      </c>
      <c r="C306" s="295"/>
      <c r="D306" s="936"/>
      <c r="E306" s="937"/>
      <c r="F306" s="937"/>
      <c r="G306" s="937"/>
      <c r="H306" s="937"/>
      <c r="I306" s="937"/>
      <c r="J306" s="937"/>
      <c r="K306" s="938"/>
      <c r="L306" s="932"/>
      <c r="M306" s="932"/>
      <c r="N306" s="932"/>
      <c r="O306" s="932"/>
      <c r="P306" s="931"/>
      <c r="Q306" s="931"/>
      <c r="R306" s="931"/>
      <c r="S306" s="931"/>
      <c r="T306" s="933"/>
      <c r="U306" s="934"/>
      <c r="V306" s="934"/>
      <c r="W306" s="935"/>
      <c r="X306" s="936"/>
      <c r="Y306" s="937"/>
      <c r="Z306" s="937"/>
      <c r="AA306" s="938"/>
      <c r="AB306" s="594"/>
      <c r="AC306" s="595"/>
      <c r="AD306" s="596"/>
      <c r="AE306" s="779"/>
      <c r="AF306" s="939"/>
      <c r="AG306" s="780"/>
      <c r="AH306" s="941"/>
      <c r="AI306" s="942"/>
      <c r="AJ306" s="943"/>
      <c r="AK306" s="745"/>
      <c r="AL306" s="940"/>
      <c r="AM306" s="746"/>
      <c r="AN306" s="281"/>
      <c r="AO306" s="282"/>
      <c r="AP306" s="281"/>
      <c r="AQ306" s="282"/>
      <c r="AR306" s="281"/>
      <c r="AS306" s="282"/>
      <c r="AT306" s="281"/>
      <c r="AU306" s="282"/>
      <c r="AV306" s="281"/>
      <c r="AW306" s="282"/>
      <c r="AX306" s="281"/>
      <c r="AY306" s="282"/>
      <c r="AZ306" s="117"/>
      <c r="BA306" s="331"/>
      <c r="BB306" s="117"/>
      <c r="BC306" s="331"/>
      <c r="BD306" s="117"/>
      <c r="BE306" s="331"/>
      <c r="BF306" s="117"/>
      <c r="BG306" s="331"/>
      <c r="BH306" s="117"/>
      <c r="BI306" s="944" t="s">
        <v>159</v>
      </c>
      <c r="BJ306" s="944"/>
      <c r="BK306" s="944"/>
      <c r="BL306" s="944"/>
      <c r="BM306" s="944"/>
      <c r="BN306" s="944"/>
      <c r="BO306" s="944"/>
      <c r="BP306" s="944"/>
      <c r="BQ306" s="944"/>
      <c r="BR306" s="944"/>
      <c r="BS306" s="944"/>
      <c r="BT306" s="944"/>
      <c r="BU306" s="944"/>
      <c r="BV306" s="945"/>
    </row>
    <row r="307" spans="1:74" ht="30" customHeight="1" x14ac:dyDescent="0.25">
      <c r="A307" s="232">
        <f t="shared" si="4"/>
        <v>293</v>
      </c>
      <c r="B307" s="294" t="s">
        <v>162</v>
      </c>
      <c r="C307" s="295"/>
      <c r="D307" s="936"/>
      <c r="E307" s="937"/>
      <c r="F307" s="937"/>
      <c r="G307" s="937"/>
      <c r="H307" s="937"/>
      <c r="I307" s="937"/>
      <c r="J307" s="937"/>
      <c r="K307" s="938"/>
      <c r="L307" s="932"/>
      <c r="M307" s="932"/>
      <c r="N307" s="932"/>
      <c r="O307" s="932"/>
      <c r="P307" s="931"/>
      <c r="Q307" s="931"/>
      <c r="R307" s="931"/>
      <c r="S307" s="931"/>
      <c r="T307" s="933"/>
      <c r="U307" s="934"/>
      <c r="V307" s="934"/>
      <c r="W307" s="935"/>
      <c r="X307" s="936"/>
      <c r="Y307" s="937"/>
      <c r="Z307" s="937"/>
      <c r="AA307" s="938"/>
      <c r="AB307" s="594"/>
      <c r="AC307" s="595"/>
      <c r="AD307" s="596"/>
      <c r="AE307" s="779"/>
      <c r="AF307" s="939"/>
      <c r="AG307" s="780"/>
      <c r="AH307" s="941"/>
      <c r="AI307" s="942"/>
      <c r="AJ307" s="943"/>
      <c r="AK307" s="745"/>
      <c r="AL307" s="940"/>
      <c r="AM307" s="746"/>
      <c r="AN307" s="281"/>
      <c r="AO307" s="282"/>
      <c r="AP307" s="281"/>
      <c r="AQ307" s="282"/>
      <c r="AR307" s="281"/>
      <c r="AS307" s="282"/>
      <c r="AT307" s="281"/>
      <c r="AU307" s="282"/>
      <c r="AV307" s="281"/>
      <c r="AW307" s="282"/>
      <c r="AX307" s="281"/>
      <c r="AY307" s="282"/>
      <c r="AZ307" s="117"/>
      <c r="BA307" s="331"/>
      <c r="BB307" s="117"/>
      <c r="BC307" s="331"/>
      <c r="BD307" s="117"/>
      <c r="BE307" s="331"/>
      <c r="BF307" s="117"/>
      <c r="BG307" s="331"/>
      <c r="BH307" s="117"/>
      <c r="BI307" s="944" t="s">
        <v>212</v>
      </c>
      <c r="BJ307" s="944"/>
      <c r="BK307" s="944"/>
      <c r="BL307" s="944"/>
      <c r="BM307" s="944"/>
      <c r="BN307" s="944"/>
      <c r="BO307" s="944"/>
      <c r="BP307" s="944"/>
      <c r="BQ307" s="944"/>
      <c r="BR307" s="944"/>
      <c r="BS307" s="944"/>
      <c r="BT307" s="944"/>
      <c r="BU307" s="944"/>
      <c r="BV307" s="945"/>
    </row>
    <row r="308" spans="1:74" ht="30" customHeight="1" x14ac:dyDescent="0.25">
      <c r="A308" s="200">
        <f t="shared" si="4"/>
        <v>294</v>
      </c>
      <c r="B308" s="294" t="s">
        <v>162</v>
      </c>
      <c r="C308" s="295"/>
      <c r="D308" s="936"/>
      <c r="E308" s="937"/>
      <c r="F308" s="937"/>
      <c r="G308" s="937"/>
      <c r="H308" s="937"/>
      <c r="I308" s="937"/>
      <c r="J308" s="937"/>
      <c r="K308" s="938"/>
      <c r="L308" s="932"/>
      <c r="M308" s="932"/>
      <c r="N308" s="932"/>
      <c r="O308" s="932"/>
      <c r="P308" s="931"/>
      <c r="Q308" s="931"/>
      <c r="R308" s="931"/>
      <c r="S308" s="931"/>
      <c r="T308" s="933"/>
      <c r="U308" s="934"/>
      <c r="V308" s="934"/>
      <c r="W308" s="935"/>
      <c r="X308" s="936"/>
      <c r="Y308" s="937"/>
      <c r="Z308" s="937"/>
      <c r="AA308" s="938"/>
      <c r="AB308" s="594"/>
      <c r="AC308" s="595"/>
      <c r="AD308" s="596"/>
      <c r="AE308" s="779"/>
      <c r="AF308" s="939"/>
      <c r="AG308" s="780"/>
      <c r="AH308" s="941"/>
      <c r="AI308" s="942"/>
      <c r="AJ308" s="943"/>
      <c r="AK308" s="745"/>
      <c r="AL308" s="940"/>
      <c r="AM308" s="746"/>
      <c r="AN308" s="281"/>
      <c r="AO308" s="282"/>
      <c r="AP308" s="281"/>
      <c r="AQ308" s="282"/>
      <c r="AR308" s="281"/>
      <c r="AS308" s="282"/>
      <c r="AT308" s="281"/>
      <c r="AU308" s="282"/>
      <c r="AV308" s="281"/>
      <c r="AW308" s="282"/>
      <c r="AX308" s="281"/>
      <c r="AY308" s="282"/>
      <c r="AZ308" s="117"/>
      <c r="BA308" s="331"/>
      <c r="BB308" s="117"/>
      <c r="BC308" s="331"/>
      <c r="BD308" s="117"/>
      <c r="BE308" s="331"/>
      <c r="BF308" s="117"/>
      <c r="BG308" s="331"/>
      <c r="BH308" s="117"/>
      <c r="BI308" s="944" t="s">
        <v>212</v>
      </c>
      <c r="BJ308" s="944"/>
      <c r="BK308" s="944"/>
      <c r="BL308" s="944"/>
      <c r="BM308" s="944"/>
      <c r="BN308" s="944"/>
      <c r="BO308" s="944"/>
      <c r="BP308" s="944"/>
      <c r="BQ308" s="944"/>
      <c r="BR308" s="944"/>
      <c r="BS308" s="944"/>
      <c r="BT308" s="944"/>
      <c r="BU308" s="944"/>
      <c r="BV308" s="945"/>
    </row>
    <row r="309" spans="1:74" ht="30" customHeight="1" x14ac:dyDescent="0.25">
      <c r="A309" s="200">
        <f t="shared" si="4"/>
        <v>295</v>
      </c>
      <c r="B309" s="294" t="s">
        <v>162</v>
      </c>
      <c r="C309" s="295"/>
      <c r="D309" s="936"/>
      <c r="E309" s="937"/>
      <c r="F309" s="937"/>
      <c r="G309" s="937"/>
      <c r="H309" s="937"/>
      <c r="I309" s="937"/>
      <c r="J309" s="937"/>
      <c r="K309" s="938"/>
      <c r="L309" s="932"/>
      <c r="M309" s="932"/>
      <c r="N309" s="932"/>
      <c r="O309" s="932"/>
      <c r="P309" s="931"/>
      <c r="Q309" s="931"/>
      <c r="R309" s="931"/>
      <c r="S309" s="931"/>
      <c r="T309" s="933"/>
      <c r="U309" s="934"/>
      <c r="V309" s="934"/>
      <c r="W309" s="935"/>
      <c r="X309" s="936"/>
      <c r="Y309" s="937"/>
      <c r="Z309" s="937"/>
      <c r="AA309" s="938"/>
      <c r="AB309" s="594"/>
      <c r="AC309" s="595"/>
      <c r="AD309" s="596"/>
      <c r="AE309" s="779"/>
      <c r="AF309" s="939"/>
      <c r="AG309" s="780"/>
      <c r="AH309" s="941"/>
      <c r="AI309" s="942"/>
      <c r="AJ309" s="943"/>
      <c r="AK309" s="745"/>
      <c r="AL309" s="940"/>
      <c r="AM309" s="746"/>
      <c r="AN309" s="281"/>
      <c r="AO309" s="282"/>
      <c r="AP309" s="281"/>
      <c r="AQ309" s="282"/>
      <c r="AR309" s="281"/>
      <c r="AS309" s="282"/>
      <c r="AT309" s="281"/>
      <c r="AU309" s="282"/>
      <c r="AV309" s="281"/>
      <c r="AW309" s="282"/>
      <c r="AX309" s="281"/>
      <c r="AY309" s="282"/>
      <c r="AZ309" s="117"/>
      <c r="BA309" s="331"/>
      <c r="BB309" s="117"/>
      <c r="BC309" s="331"/>
      <c r="BD309" s="117"/>
      <c r="BE309" s="331"/>
      <c r="BF309" s="117"/>
      <c r="BG309" s="331"/>
      <c r="BH309" s="117"/>
      <c r="BI309" s="944" t="s">
        <v>212</v>
      </c>
      <c r="BJ309" s="944"/>
      <c r="BK309" s="944"/>
      <c r="BL309" s="944"/>
      <c r="BM309" s="944"/>
      <c r="BN309" s="944"/>
      <c r="BO309" s="944"/>
      <c r="BP309" s="944"/>
      <c r="BQ309" s="944"/>
      <c r="BR309" s="944"/>
      <c r="BS309" s="944"/>
      <c r="BT309" s="944"/>
      <c r="BU309" s="944"/>
      <c r="BV309" s="945"/>
    </row>
    <row r="310" spans="1:74" ht="30" customHeight="1" x14ac:dyDescent="0.25">
      <c r="A310" s="200">
        <f t="shared" si="4"/>
        <v>296</v>
      </c>
      <c r="B310" s="294" t="s">
        <v>162</v>
      </c>
      <c r="C310" s="295"/>
      <c r="D310" s="936"/>
      <c r="E310" s="937"/>
      <c r="F310" s="937"/>
      <c r="G310" s="937"/>
      <c r="H310" s="937"/>
      <c r="I310" s="937"/>
      <c r="J310" s="937"/>
      <c r="K310" s="938"/>
      <c r="L310" s="932"/>
      <c r="M310" s="932"/>
      <c r="N310" s="932"/>
      <c r="O310" s="932"/>
      <c r="P310" s="931"/>
      <c r="Q310" s="931"/>
      <c r="R310" s="931"/>
      <c r="S310" s="931"/>
      <c r="T310" s="933"/>
      <c r="U310" s="934"/>
      <c r="V310" s="934"/>
      <c r="W310" s="935"/>
      <c r="X310" s="936"/>
      <c r="Y310" s="937"/>
      <c r="Z310" s="937"/>
      <c r="AA310" s="938"/>
      <c r="AB310" s="594"/>
      <c r="AC310" s="595"/>
      <c r="AD310" s="596"/>
      <c r="AE310" s="779"/>
      <c r="AF310" s="939"/>
      <c r="AG310" s="780"/>
      <c r="AH310" s="941"/>
      <c r="AI310" s="942"/>
      <c r="AJ310" s="943"/>
      <c r="AK310" s="745"/>
      <c r="AL310" s="940"/>
      <c r="AM310" s="746"/>
      <c r="AN310" s="281"/>
      <c r="AO310" s="282"/>
      <c r="AP310" s="281"/>
      <c r="AQ310" s="282"/>
      <c r="AR310" s="281"/>
      <c r="AS310" s="282"/>
      <c r="AT310" s="281"/>
      <c r="AU310" s="282"/>
      <c r="AV310" s="281"/>
      <c r="AW310" s="282"/>
      <c r="AX310" s="281"/>
      <c r="AY310" s="282"/>
      <c r="AZ310" s="117"/>
      <c r="BA310" s="331"/>
      <c r="BB310" s="117"/>
      <c r="BC310" s="331"/>
      <c r="BD310" s="117"/>
      <c r="BE310" s="331"/>
      <c r="BF310" s="117"/>
      <c r="BG310" s="331"/>
      <c r="BH310" s="117"/>
      <c r="BI310" s="944" t="s">
        <v>212</v>
      </c>
      <c r="BJ310" s="944"/>
      <c r="BK310" s="944"/>
      <c r="BL310" s="944"/>
      <c r="BM310" s="944"/>
      <c r="BN310" s="944"/>
      <c r="BO310" s="944"/>
      <c r="BP310" s="944"/>
      <c r="BQ310" s="944"/>
      <c r="BR310" s="944"/>
      <c r="BS310" s="944"/>
      <c r="BT310" s="944"/>
      <c r="BU310" s="944"/>
      <c r="BV310" s="945"/>
    </row>
    <row r="311" spans="1:74" ht="30" customHeight="1" x14ac:dyDescent="0.25">
      <c r="A311" s="200">
        <f t="shared" si="4"/>
        <v>297</v>
      </c>
      <c r="B311" s="294" t="s">
        <v>162</v>
      </c>
      <c r="C311" s="295"/>
      <c r="D311" s="936"/>
      <c r="E311" s="937"/>
      <c r="F311" s="937"/>
      <c r="G311" s="937"/>
      <c r="H311" s="937"/>
      <c r="I311" s="937"/>
      <c r="J311" s="937"/>
      <c r="K311" s="938"/>
      <c r="L311" s="932"/>
      <c r="M311" s="932"/>
      <c r="N311" s="932"/>
      <c r="O311" s="932"/>
      <c r="P311" s="931"/>
      <c r="Q311" s="931"/>
      <c r="R311" s="931"/>
      <c r="S311" s="931"/>
      <c r="T311" s="933"/>
      <c r="U311" s="934"/>
      <c r="V311" s="934"/>
      <c r="W311" s="935"/>
      <c r="X311" s="936"/>
      <c r="Y311" s="937"/>
      <c r="Z311" s="937"/>
      <c r="AA311" s="938"/>
      <c r="AB311" s="594"/>
      <c r="AC311" s="595"/>
      <c r="AD311" s="596"/>
      <c r="AE311" s="779"/>
      <c r="AF311" s="939"/>
      <c r="AG311" s="780"/>
      <c r="AH311" s="941"/>
      <c r="AI311" s="942"/>
      <c r="AJ311" s="943"/>
      <c r="AK311" s="745"/>
      <c r="AL311" s="940"/>
      <c r="AM311" s="746"/>
      <c r="AN311" s="281"/>
      <c r="AO311" s="282"/>
      <c r="AP311" s="281"/>
      <c r="AQ311" s="282"/>
      <c r="AR311" s="281"/>
      <c r="AS311" s="282"/>
      <c r="AT311" s="281"/>
      <c r="AU311" s="282"/>
      <c r="AV311" s="281"/>
      <c r="AW311" s="282"/>
      <c r="AX311" s="281"/>
      <c r="AY311" s="282"/>
      <c r="AZ311" s="117"/>
      <c r="BA311" s="331"/>
      <c r="BB311" s="117"/>
      <c r="BC311" s="331"/>
      <c r="BD311" s="117"/>
      <c r="BE311" s="331"/>
      <c r="BF311" s="117"/>
      <c r="BG311" s="331"/>
      <c r="BH311" s="117"/>
      <c r="BI311" s="944" t="s">
        <v>212</v>
      </c>
      <c r="BJ311" s="944"/>
      <c r="BK311" s="944"/>
      <c r="BL311" s="944"/>
      <c r="BM311" s="944"/>
      <c r="BN311" s="944"/>
      <c r="BO311" s="944"/>
      <c r="BP311" s="944"/>
      <c r="BQ311" s="944"/>
      <c r="BR311" s="944"/>
      <c r="BS311" s="944"/>
      <c r="BT311" s="944"/>
      <c r="BU311" s="944"/>
      <c r="BV311" s="945"/>
    </row>
    <row r="312" spans="1:74" ht="30" customHeight="1" x14ac:dyDescent="0.25">
      <c r="A312" s="200">
        <f t="shared" si="4"/>
        <v>298</v>
      </c>
      <c r="B312" s="294" t="s">
        <v>162</v>
      </c>
      <c r="C312" s="295"/>
      <c r="D312" s="936"/>
      <c r="E312" s="937"/>
      <c r="F312" s="937"/>
      <c r="G312" s="937"/>
      <c r="H312" s="937"/>
      <c r="I312" s="937"/>
      <c r="J312" s="937"/>
      <c r="K312" s="938"/>
      <c r="L312" s="932"/>
      <c r="M312" s="932"/>
      <c r="N312" s="932"/>
      <c r="O312" s="932"/>
      <c r="P312" s="931"/>
      <c r="Q312" s="931"/>
      <c r="R312" s="931"/>
      <c r="S312" s="931"/>
      <c r="T312" s="933"/>
      <c r="U312" s="934"/>
      <c r="V312" s="934"/>
      <c r="W312" s="935"/>
      <c r="X312" s="936"/>
      <c r="Y312" s="937"/>
      <c r="Z312" s="937"/>
      <c r="AA312" s="938"/>
      <c r="AB312" s="594"/>
      <c r="AC312" s="595"/>
      <c r="AD312" s="596"/>
      <c r="AE312" s="779"/>
      <c r="AF312" s="939"/>
      <c r="AG312" s="780"/>
      <c r="AH312" s="941"/>
      <c r="AI312" s="942"/>
      <c r="AJ312" s="943"/>
      <c r="AK312" s="745"/>
      <c r="AL312" s="940"/>
      <c r="AM312" s="746"/>
      <c r="AN312" s="281"/>
      <c r="AO312" s="282"/>
      <c r="AP312" s="281"/>
      <c r="AQ312" s="282"/>
      <c r="AR312" s="281"/>
      <c r="AS312" s="282"/>
      <c r="AT312" s="281"/>
      <c r="AU312" s="282"/>
      <c r="AV312" s="281"/>
      <c r="AW312" s="282"/>
      <c r="AX312" s="281"/>
      <c r="AY312" s="282"/>
      <c r="AZ312" s="117"/>
      <c r="BA312" s="331"/>
      <c r="BB312" s="117"/>
      <c r="BC312" s="331"/>
      <c r="BD312" s="117"/>
      <c r="BE312" s="331"/>
      <c r="BF312" s="117"/>
      <c r="BG312" s="331"/>
      <c r="BH312" s="117"/>
      <c r="BI312" s="944" t="s">
        <v>159</v>
      </c>
      <c r="BJ312" s="944"/>
      <c r="BK312" s="944"/>
      <c r="BL312" s="944"/>
      <c r="BM312" s="944"/>
      <c r="BN312" s="944"/>
      <c r="BO312" s="944"/>
      <c r="BP312" s="944"/>
      <c r="BQ312" s="944"/>
      <c r="BR312" s="944"/>
      <c r="BS312" s="944"/>
      <c r="BT312" s="944"/>
      <c r="BU312" s="944"/>
      <c r="BV312" s="945"/>
    </row>
    <row r="313" spans="1:74" ht="30" customHeight="1" x14ac:dyDescent="0.25">
      <c r="A313" s="200">
        <f t="shared" si="4"/>
        <v>299</v>
      </c>
      <c r="B313" s="294" t="s">
        <v>162</v>
      </c>
      <c r="C313" s="295"/>
      <c r="D313" s="936"/>
      <c r="E313" s="937"/>
      <c r="F313" s="937"/>
      <c r="G313" s="937"/>
      <c r="H313" s="937"/>
      <c r="I313" s="937"/>
      <c r="J313" s="937"/>
      <c r="K313" s="938"/>
      <c r="L313" s="932"/>
      <c r="M313" s="932"/>
      <c r="N313" s="932"/>
      <c r="O313" s="932"/>
      <c r="P313" s="931"/>
      <c r="Q313" s="931"/>
      <c r="R313" s="931"/>
      <c r="S313" s="931"/>
      <c r="T313" s="933"/>
      <c r="U313" s="934"/>
      <c r="V313" s="934"/>
      <c r="W313" s="935"/>
      <c r="X313" s="936"/>
      <c r="Y313" s="937"/>
      <c r="Z313" s="937"/>
      <c r="AA313" s="938"/>
      <c r="AB313" s="594"/>
      <c r="AC313" s="595"/>
      <c r="AD313" s="596"/>
      <c r="AE313" s="779"/>
      <c r="AF313" s="939"/>
      <c r="AG313" s="780"/>
      <c r="AH313" s="941"/>
      <c r="AI313" s="942"/>
      <c r="AJ313" s="943"/>
      <c r="AK313" s="745"/>
      <c r="AL313" s="940"/>
      <c r="AM313" s="746"/>
      <c r="AN313" s="281"/>
      <c r="AO313" s="282"/>
      <c r="AP313" s="281"/>
      <c r="AQ313" s="282"/>
      <c r="AR313" s="281"/>
      <c r="AS313" s="282"/>
      <c r="AT313" s="281"/>
      <c r="AU313" s="282"/>
      <c r="AV313" s="281"/>
      <c r="AW313" s="282"/>
      <c r="AX313" s="281"/>
      <c r="AY313" s="282"/>
      <c r="AZ313" s="117"/>
      <c r="BA313" s="331"/>
      <c r="BB313" s="117"/>
      <c r="BC313" s="331"/>
      <c r="BD313" s="117"/>
      <c r="BE313" s="331"/>
      <c r="BF313" s="117"/>
      <c r="BG313" s="331"/>
      <c r="BH313" s="117"/>
      <c r="BI313" s="944" t="s">
        <v>159</v>
      </c>
      <c r="BJ313" s="944"/>
      <c r="BK313" s="944"/>
      <c r="BL313" s="944"/>
      <c r="BM313" s="944"/>
      <c r="BN313" s="944"/>
      <c r="BO313" s="944"/>
      <c r="BP313" s="944"/>
      <c r="BQ313" s="944"/>
      <c r="BR313" s="944"/>
      <c r="BS313" s="944"/>
      <c r="BT313" s="944"/>
      <c r="BU313" s="944"/>
      <c r="BV313" s="945"/>
    </row>
    <row r="314" spans="1:74" ht="30" customHeight="1" x14ac:dyDescent="0.25">
      <c r="A314" s="232">
        <f t="shared" si="4"/>
        <v>300</v>
      </c>
      <c r="B314" s="294" t="s">
        <v>162</v>
      </c>
      <c r="C314" s="295"/>
      <c r="D314" s="936"/>
      <c r="E314" s="937"/>
      <c r="F314" s="937"/>
      <c r="G314" s="937"/>
      <c r="H314" s="937"/>
      <c r="I314" s="937"/>
      <c r="J314" s="937"/>
      <c r="K314" s="938"/>
      <c r="L314" s="932"/>
      <c r="M314" s="932"/>
      <c r="N314" s="932"/>
      <c r="O314" s="932"/>
      <c r="P314" s="931"/>
      <c r="Q314" s="931"/>
      <c r="R314" s="931"/>
      <c r="S314" s="931"/>
      <c r="T314" s="933"/>
      <c r="U314" s="934"/>
      <c r="V314" s="934"/>
      <c r="W314" s="935"/>
      <c r="X314" s="936"/>
      <c r="Y314" s="937"/>
      <c r="Z314" s="937"/>
      <c r="AA314" s="938"/>
      <c r="AB314" s="594"/>
      <c r="AC314" s="595"/>
      <c r="AD314" s="596"/>
      <c r="AE314" s="779"/>
      <c r="AF314" s="939"/>
      <c r="AG314" s="780"/>
      <c r="AH314" s="941"/>
      <c r="AI314" s="942"/>
      <c r="AJ314" s="943"/>
      <c r="AK314" s="745"/>
      <c r="AL314" s="940"/>
      <c r="AM314" s="746"/>
      <c r="AN314" s="281"/>
      <c r="AO314" s="282"/>
      <c r="AP314" s="281"/>
      <c r="AQ314" s="282"/>
      <c r="AR314" s="281"/>
      <c r="AS314" s="282"/>
      <c r="AT314" s="281"/>
      <c r="AU314" s="282"/>
      <c r="AV314" s="281"/>
      <c r="AW314" s="282"/>
      <c r="AX314" s="281"/>
      <c r="AY314" s="282"/>
      <c r="AZ314" s="117"/>
      <c r="BA314" s="331"/>
      <c r="BB314" s="117"/>
      <c r="BC314" s="331"/>
      <c r="BD314" s="117"/>
      <c r="BE314" s="331"/>
      <c r="BF314" s="117"/>
      <c r="BG314" s="331"/>
      <c r="BH314" s="117"/>
      <c r="BI314" s="944" t="s">
        <v>212</v>
      </c>
      <c r="BJ314" s="944"/>
      <c r="BK314" s="944"/>
      <c r="BL314" s="944"/>
      <c r="BM314" s="944"/>
      <c r="BN314" s="944"/>
      <c r="BO314" s="944"/>
      <c r="BP314" s="944"/>
      <c r="BQ314" s="944"/>
      <c r="BR314" s="944"/>
      <c r="BS314" s="944"/>
      <c r="BT314" s="944"/>
      <c r="BU314" s="944"/>
      <c r="BV314" s="945"/>
    </row>
    <row r="315" spans="1:74" ht="30" customHeight="1" x14ac:dyDescent="0.25">
      <c r="A315" s="200">
        <f t="shared" si="4"/>
        <v>301</v>
      </c>
      <c r="B315" s="294" t="s">
        <v>162</v>
      </c>
      <c r="C315" s="295"/>
      <c r="D315" s="936"/>
      <c r="E315" s="937"/>
      <c r="F315" s="937"/>
      <c r="G315" s="937"/>
      <c r="H315" s="937"/>
      <c r="I315" s="937"/>
      <c r="J315" s="937"/>
      <c r="K315" s="938"/>
      <c r="L315" s="932"/>
      <c r="M315" s="932"/>
      <c r="N315" s="932"/>
      <c r="O315" s="932"/>
      <c r="P315" s="931"/>
      <c r="Q315" s="931"/>
      <c r="R315" s="931"/>
      <c r="S315" s="931"/>
      <c r="T315" s="933"/>
      <c r="U315" s="934"/>
      <c r="V315" s="934"/>
      <c r="W315" s="935"/>
      <c r="X315" s="936"/>
      <c r="Y315" s="937"/>
      <c r="Z315" s="937"/>
      <c r="AA315" s="938"/>
      <c r="AB315" s="594"/>
      <c r="AC315" s="595"/>
      <c r="AD315" s="596"/>
      <c r="AE315" s="779"/>
      <c r="AF315" s="939"/>
      <c r="AG315" s="780"/>
      <c r="AH315" s="941"/>
      <c r="AI315" s="942"/>
      <c r="AJ315" s="943"/>
      <c r="AK315" s="745"/>
      <c r="AL315" s="940"/>
      <c r="AM315" s="746"/>
      <c r="AN315" s="281"/>
      <c r="AO315" s="282"/>
      <c r="AP315" s="281"/>
      <c r="AQ315" s="282"/>
      <c r="AR315" s="281"/>
      <c r="AS315" s="282"/>
      <c r="AT315" s="281"/>
      <c r="AU315" s="282"/>
      <c r="AV315" s="281"/>
      <c r="AW315" s="282"/>
      <c r="AX315" s="281"/>
      <c r="AY315" s="282"/>
      <c r="AZ315" s="117"/>
      <c r="BA315" s="331"/>
      <c r="BB315" s="117"/>
      <c r="BC315" s="331"/>
      <c r="BD315" s="117"/>
      <c r="BE315" s="331"/>
      <c r="BF315" s="117"/>
      <c r="BG315" s="331"/>
      <c r="BH315" s="117"/>
      <c r="BI315" s="944" t="s">
        <v>212</v>
      </c>
      <c r="BJ315" s="944"/>
      <c r="BK315" s="944"/>
      <c r="BL315" s="944"/>
      <c r="BM315" s="944"/>
      <c r="BN315" s="944"/>
      <c r="BO315" s="944"/>
      <c r="BP315" s="944"/>
      <c r="BQ315" s="944"/>
      <c r="BR315" s="944"/>
      <c r="BS315" s="944"/>
      <c r="BT315" s="944"/>
      <c r="BU315" s="944"/>
      <c r="BV315" s="945"/>
    </row>
    <row r="316" spans="1:74" ht="30" customHeight="1" x14ac:dyDescent="0.25">
      <c r="A316" s="200">
        <f t="shared" si="4"/>
        <v>302</v>
      </c>
      <c r="B316" s="294" t="s">
        <v>162</v>
      </c>
      <c r="C316" s="295"/>
      <c r="D316" s="936"/>
      <c r="E316" s="937"/>
      <c r="F316" s="937"/>
      <c r="G316" s="937"/>
      <c r="H316" s="937"/>
      <c r="I316" s="937"/>
      <c r="J316" s="937"/>
      <c r="K316" s="938"/>
      <c r="L316" s="932"/>
      <c r="M316" s="932"/>
      <c r="N316" s="932"/>
      <c r="O316" s="932"/>
      <c r="P316" s="931"/>
      <c r="Q316" s="931"/>
      <c r="R316" s="931"/>
      <c r="S316" s="931"/>
      <c r="T316" s="933"/>
      <c r="U316" s="934"/>
      <c r="V316" s="934"/>
      <c r="W316" s="935"/>
      <c r="X316" s="936"/>
      <c r="Y316" s="937"/>
      <c r="Z316" s="937"/>
      <c r="AA316" s="938"/>
      <c r="AB316" s="594"/>
      <c r="AC316" s="595"/>
      <c r="AD316" s="596"/>
      <c r="AE316" s="779"/>
      <c r="AF316" s="939"/>
      <c r="AG316" s="780"/>
      <c r="AH316" s="941"/>
      <c r="AI316" s="942"/>
      <c r="AJ316" s="943"/>
      <c r="AK316" s="745"/>
      <c r="AL316" s="940"/>
      <c r="AM316" s="746"/>
      <c r="AN316" s="281"/>
      <c r="AO316" s="282"/>
      <c r="AP316" s="281"/>
      <c r="AQ316" s="282"/>
      <c r="AR316" s="281"/>
      <c r="AS316" s="282"/>
      <c r="AT316" s="281"/>
      <c r="AU316" s="282"/>
      <c r="AV316" s="281"/>
      <c r="AW316" s="282"/>
      <c r="AX316" s="281"/>
      <c r="AY316" s="282"/>
      <c r="AZ316" s="117"/>
      <c r="BA316" s="331"/>
      <c r="BB316" s="117"/>
      <c r="BC316" s="331"/>
      <c r="BD316" s="117"/>
      <c r="BE316" s="331"/>
      <c r="BF316" s="117"/>
      <c r="BG316" s="331"/>
      <c r="BH316" s="117"/>
      <c r="BI316" s="944" t="s">
        <v>212</v>
      </c>
      <c r="BJ316" s="944"/>
      <c r="BK316" s="944"/>
      <c r="BL316" s="944"/>
      <c r="BM316" s="944"/>
      <c r="BN316" s="944"/>
      <c r="BO316" s="944"/>
      <c r="BP316" s="944"/>
      <c r="BQ316" s="944"/>
      <c r="BR316" s="944"/>
      <c r="BS316" s="944"/>
      <c r="BT316" s="944"/>
      <c r="BU316" s="944"/>
      <c r="BV316" s="945"/>
    </row>
    <row r="317" spans="1:74" ht="30" customHeight="1" x14ac:dyDescent="0.25">
      <c r="A317" s="200">
        <f t="shared" si="4"/>
        <v>303</v>
      </c>
      <c r="B317" s="294" t="s">
        <v>162</v>
      </c>
      <c r="C317" s="295"/>
      <c r="D317" s="936"/>
      <c r="E317" s="937"/>
      <c r="F317" s="937"/>
      <c r="G317" s="937"/>
      <c r="H317" s="937"/>
      <c r="I317" s="937"/>
      <c r="J317" s="937"/>
      <c r="K317" s="938"/>
      <c r="L317" s="932"/>
      <c r="M317" s="932"/>
      <c r="N317" s="932"/>
      <c r="O317" s="932"/>
      <c r="P317" s="931"/>
      <c r="Q317" s="931"/>
      <c r="R317" s="931"/>
      <c r="S317" s="931"/>
      <c r="T317" s="933"/>
      <c r="U317" s="934"/>
      <c r="V317" s="934"/>
      <c r="W317" s="935"/>
      <c r="X317" s="936"/>
      <c r="Y317" s="937"/>
      <c r="Z317" s="937"/>
      <c r="AA317" s="938"/>
      <c r="AB317" s="594"/>
      <c r="AC317" s="595"/>
      <c r="AD317" s="596"/>
      <c r="AE317" s="779"/>
      <c r="AF317" s="939"/>
      <c r="AG317" s="780"/>
      <c r="AH317" s="941"/>
      <c r="AI317" s="942"/>
      <c r="AJ317" s="943"/>
      <c r="AK317" s="745"/>
      <c r="AL317" s="940"/>
      <c r="AM317" s="746"/>
      <c r="AN317" s="281"/>
      <c r="AO317" s="282"/>
      <c r="AP317" s="281"/>
      <c r="AQ317" s="282"/>
      <c r="AR317" s="281"/>
      <c r="AS317" s="282"/>
      <c r="AT317" s="281"/>
      <c r="AU317" s="282"/>
      <c r="AV317" s="281"/>
      <c r="AW317" s="282"/>
      <c r="AX317" s="281"/>
      <c r="AY317" s="282"/>
      <c r="AZ317" s="117"/>
      <c r="BA317" s="331"/>
      <c r="BB317" s="117"/>
      <c r="BC317" s="331"/>
      <c r="BD317" s="117"/>
      <c r="BE317" s="331"/>
      <c r="BF317" s="117"/>
      <c r="BG317" s="331"/>
      <c r="BH317" s="117"/>
      <c r="BI317" s="944" t="s">
        <v>212</v>
      </c>
      <c r="BJ317" s="944"/>
      <c r="BK317" s="944"/>
      <c r="BL317" s="944"/>
      <c r="BM317" s="944"/>
      <c r="BN317" s="944"/>
      <c r="BO317" s="944"/>
      <c r="BP317" s="944"/>
      <c r="BQ317" s="944"/>
      <c r="BR317" s="944"/>
      <c r="BS317" s="944"/>
      <c r="BT317" s="944"/>
      <c r="BU317" s="944"/>
      <c r="BV317" s="945"/>
    </row>
    <row r="318" spans="1:74" ht="30" customHeight="1" x14ac:dyDescent="0.25">
      <c r="A318" s="200">
        <f t="shared" si="4"/>
        <v>304</v>
      </c>
      <c r="B318" s="294" t="s">
        <v>162</v>
      </c>
      <c r="C318" s="295"/>
      <c r="D318" s="936"/>
      <c r="E318" s="937"/>
      <c r="F318" s="937"/>
      <c r="G318" s="937"/>
      <c r="H318" s="937"/>
      <c r="I318" s="937"/>
      <c r="J318" s="937"/>
      <c r="K318" s="938"/>
      <c r="L318" s="932"/>
      <c r="M318" s="932"/>
      <c r="N318" s="932"/>
      <c r="O318" s="932"/>
      <c r="P318" s="931"/>
      <c r="Q318" s="931"/>
      <c r="R318" s="931"/>
      <c r="S318" s="931"/>
      <c r="T318" s="933"/>
      <c r="U318" s="934"/>
      <c r="V318" s="934"/>
      <c r="W318" s="935"/>
      <c r="X318" s="936"/>
      <c r="Y318" s="937"/>
      <c r="Z318" s="937"/>
      <c r="AA318" s="938"/>
      <c r="AB318" s="594"/>
      <c r="AC318" s="595"/>
      <c r="AD318" s="596"/>
      <c r="AE318" s="779"/>
      <c r="AF318" s="939"/>
      <c r="AG318" s="780"/>
      <c r="AH318" s="941"/>
      <c r="AI318" s="942"/>
      <c r="AJ318" s="943"/>
      <c r="AK318" s="745"/>
      <c r="AL318" s="940"/>
      <c r="AM318" s="746"/>
      <c r="AN318" s="281"/>
      <c r="AO318" s="282"/>
      <c r="AP318" s="281"/>
      <c r="AQ318" s="282"/>
      <c r="AR318" s="281"/>
      <c r="AS318" s="282"/>
      <c r="AT318" s="281"/>
      <c r="AU318" s="282"/>
      <c r="AV318" s="281"/>
      <c r="AW318" s="282"/>
      <c r="AX318" s="281"/>
      <c r="AY318" s="282"/>
      <c r="AZ318" s="117"/>
      <c r="BA318" s="331"/>
      <c r="BB318" s="117"/>
      <c r="BC318" s="331"/>
      <c r="BD318" s="117"/>
      <c r="BE318" s="331"/>
      <c r="BF318" s="117"/>
      <c r="BG318" s="331"/>
      <c r="BH318" s="117"/>
      <c r="BI318" s="944" t="s">
        <v>212</v>
      </c>
      <c r="BJ318" s="944"/>
      <c r="BK318" s="944"/>
      <c r="BL318" s="944"/>
      <c r="BM318" s="944"/>
      <c r="BN318" s="944"/>
      <c r="BO318" s="944"/>
      <c r="BP318" s="944"/>
      <c r="BQ318" s="944"/>
      <c r="BR318" s="944"/>
      <c r="BS318" s="944"/>
      <c r="BT318" s="944"/>
      <c r="BU318" s="944"/>
      <c r="BV318" s="945"/>
    </row>
    <row r="319" spans="1:74" ht="30" customHeight="1" x14ac:dyDescent="0.25">
      <c r="A319" s="200">
        <f t="shared" si="4"/>
        <v>305</v>
      </c>
      <c r="B319" s="294" t="s">
        <v>162</v>
      </c>
      <c r="C319" s="295"/>
      <c r="D319" s="936"/>
      <c r="E319" s="937"/>
      <c r="F319" s="937"/>
      <c r="G319" s="937"/>
      <c r="H319" s="937"/>
      <c r="I319" s="937"/>
      <c r="J319" s="937"/>
      <c r="K319" s="938"/>
      <c r="L319" s="932"/>
      <c r="M319" s="932"/>
      <c r="N319" s="932"/>
      <c r="O319" s="932"/>
      <c r="P319" s="931"/>
      <c r="Q319" s="931"/>
      <c r="R319" s="931"/>
      <c r="S319" s="931"/>
      <c r="T319" s="933"/>
      <c r="U319" s="934"/>
      <c r="V319" s="934"/>
      <c r="W319" s="935"/>
      <c r="X319" s="936"/>
      <c r="Y319" s="937"/>
      <c r="Z319" s="937"/>
      <c r="AA319" s="938"/>
      <c r="AB319" s="594"/>
      <c r="AC319" s="595"/>
      <c r="AD319" s="596"/>
      <c r="AE319" s="779"/>
      <c r="AF319" s="939"/>
      <c r="AG319" s="780"/>
      <c r="AH319" s="941"/>
      <c r="AI319" s="942"/>
      <c r="AJ319" s="943"/>
      <c r="AK319" s="745"/>
      <c r="AL319" s="940"/>
      <c r="AM319" s="746"/>
      <c r="AN319" s="281"/>
      <c r="AO319" s="282"/>
      <c r="AP319" s="281"/>
      <c r="AQ319" s="282"/>
      <c r="AR319" s="281"/>
      <c r="AS319" s="282"/>
      <c r="AT319" s="281"/>
      <c r="AU319" s="282"/>
      <c r="AV319" s="281"/>
      <c r="AW319" s="282"/>
      <c r="AX319" s="281"/>
      <c r="AY319" s="282"/>
      <c r="AZ319" s="117"/>
      <c r="BA319" s="331"/>
      <c r="BB319" s="117"/>
      <c r="BC319" s="331"/>
      <c r="BD319" s="117"/>
      <c r="BE319" s="331"/>
      <c r="BF319" s="117"/>
      <c r="BG319" s="331"/>
      <c r="BH319" s="117"/>
      <c r="BI319" s="944" t="s">
        <v>159</v>
      </c>
      <c r="BJ319" s="944"/>
      <c r="BK319" s="944"/>
      <c r="BL319" s="944"/>
      <c r="BM319" s="944"/>
      <c r="BN319" s="944"/>
      <c r="BO319" s="944"/>
      <c r="BP319" s="944"/>
      <c r="BQ319" s="944"/>
      <c r="BR319" s="944"/>
      <c r="BS319" s="944"/>
      <c r="BT319" s="944"/>
      <c r="BU319" s="944"/>
      <c r="BV319" s="945"/>
    </row>
    <row r="320" spans="1:74" ht="30" customHeight="1" x14ac:dyDescent="0.25">
      <c r="A320" s="200">
        <f t="shared" si="4"/>
        <v>306</v>
      </c>
      <c r="B320" s="294" t="s">
        <v>162</v>
      </c>
      <c r="C320" s="295"/>
      <c r="D320" s="936"/>
      <c r="E320" s="937"/>
      <c r="F320" s="937"/>
      <c r="G320" s="937"/>
      <c r="H320" s="937"/>
      <c r="I320" s="937"/>
      <c r="J320" s="937"/>
      <c r="K320" s="938"/>
      <c r="L320" s="932"/>
      <c r="M320" s="932"/>
      <c r="N320" s="932"/>
      <c r="O320" s="932"/>
      <c r="P320" s="931"/>
      <c r="Q320" s="931"/>
      <c r="R320" s="931"/>
      <c r="S320" s="931"/>
      <c r="T320" s="933"/>
      <c r="U320" s="934"/>
      <c r="V320" s="934"/>
      <c r="W320" s="935"/>
      <c r="X320" s="936"/>
      <c r="Y320" s="937"/>
      <c r="Z320" s="937"/>
      <c r="AA320" s="938"/>
      <c r="AB320" s="594"/>
      <c r="AC320" s="595"/>
      <c r="AD320" s="596"/>
      <c r="AE320" s="779"/>
      <c r="AF320" s="939"/>
      <c r="AG320" s="780"/>
      <c r="AH320" s="941"/>
      <c r="AI320" s="942"/>
      <c r="AJ320" s="943"/>
      <c r="AK320" s="745"/>
      <c r="AL320" s="940"/>
      <c r="AM320" s="746"/>
      <c r="AN320" s="281"/>
      <c r="AO320" s="282"/>
      <c r="AP320" s="281"/>
      <c r="AQ320" s="282"/>
      <c r="AR320" s="281"/>
      <c r="AS320" s="282"/>
      <c r="AT320" s="281"/>
      <c r="AU320" s="282"/>
      <c r="AV320" s="281"/>
      <c r="AW320" s="282"/>
      <c r="AX320" s="281"/>
      <c r="AY320" s="282"/>
      <c r="AZ320" s="117"/>
      <c r="BA320" s="331"/>
      <c r="BB320" s="117"/>
      <c r="BC320" s="331"/>
      <c r="BD320" s="117"/>
      <c r="BE320" s="331"/>
      <c r="BF320" s="117"/>
      <c r="BG320" s="331"/>
      <c r="BH320" s="117"/>
      <c r="BI320" s="944" t="s">
        <v>159</v>
      </c>
      <c r="BJ320" s="944"/>
      <c r="BK320" s="944"/>
      <c r="BL320" s="944"/>
      <c r="BM320" s="944"/>
      <c r="BN320" s="944"/>
      <c r="BO320" s="944"/>
      <c r="BP320" s="944"/>
      <c r="BQ320" s="944"/>
      <c r="BR320" s="944"/>
      <c r="BS320" s="944"/>
      <c r="BT320" s="944"/>
      <c r="BU320" s="944"/>
      <c r="BV320" s="945"/>
    </row>
    <row r="321" spans="1:74" ht="30" customHeight="1" x14ac:dyDescent="0.25">
      <c r="A321" s="232">
        <f t="shared" si="4"/>
        <v>307</v>
      </c>
      <c r="B321" s="294" t="s">
        <v>162</v>
      </c>
      <c r="C321" s="295"/>
      <c r="D321" s="936"/>
      <c r="E321" s="937"/>
      <c r="F321" s="937"/>
      <c r="G321" s="937"/>
      <c r="H321" s="937"/>
      <c r="I321" s="937"/>
      <c r="J321" s="937"/>
      <c r="K321" s="938"/>
      <c r="L321" s="932"/>
      <c r="M321" s="932"/>
      <c r="N321" s="932"/>
      <c r="O321" s="932"/>
      <c r="P321" s="931"/>
      <c r="Q321" s="931"/>
      <c r="R321" s="931"/>
      <c r="S321" s="931"/>
      <c r="T321" s="933"/>
      <c r="U321" s="934"/>
      <c r="V321" s="934"/>
      <c r="W321" s="935"/>
      <c r="X321" s="936"/>
      <c r="Y321" s="937"/>
      <c r="Z321" s="937"/>
      <c r="AA321" s="938"/>
      <c r="AB321" s="594"/>
      <c r="AC321" s="595"/>
      <c r="AD321" s="596"/>
      <c r="AE321" s="779"/>
      <c r="AF321" s="939"/>
      <c r="AG321" s="780"/>
      <c r="AH321" s="941"/>
      <c r="AI321" s="942"/>
      <c r="AJ321" s="943"/>
      <c r="AK321" s="745"/>
      <c r="AL321" s="940"/>
      <c r="AM321" s="746"/>
      <c r="AN321" s="281"/>
      <c r="AO321" s="282"/>
      <c r="AP321" s="281"/>
      <c r="AQ321" s="282"/>
      <c r="AR321" s="281"/>
      <c r="AS321" s="282"/>
      <c r="AT321" s="281"/>
      <c r="AU321" s="282"/>
      <c r="AV321" s="281"/>
      <c r="AW321" s="282"/>
      <c r="AX321" s="281"/>
      <c r="AY321" s="282"/>
      <c r="AZ321" s="117"/>
      <c r="BA321" s="331"/>
      <c r="BB321" s="117"/>
      <c r="BC321" s="331"/>
      <c r="BD321" s="117"/>
      <c r="BE321" s="331"/>
      <c r="BF321" s="117"/>
      <c r="BG321" s="331"/>
      <c r="BH321" s="117"/>
      <c r="BI321" s="944" t="s">
        <v>212</v>
      </c>
      <c r="BJ321" s="944"/>
      <c r="BK321" s="944"/>
      <c r="BL321" s="944"/>
      <c r="BM321" s="944"/>
      <c r="BN321" s="944"/>
      <c r="BO321" s="944"/>
      <c r="BP321" s="944"/>
      <c r="BQ321" s="944"/>
      <c r="BR321" s="944"/>
      <c r="BS321" s="944"/>
      <c r="BT321" s="944"/>
      <c r="BU321" s="944"/>
      <c r="BV321" s="945"/>
    </row>
    <row r="322" spans="1:74" ht="30" customHeight="1" x14ac:dyDescent="0.25">
      <c r="A322" s="200">
        <f t="shared" si="4"/>
        <v>308</v>
      </c>
      <c r="B322" s="294" t="s">
        <v>162</v>
      </c>
      <c r="C322" s="295"/>
      <c r="D322" s="936"/>
      <c r="E322" s="937"/>
      <c r="F322" s="937"/>
      <c r="G322" s="937"/>
      <c r="H322" s="937"/>
      <c r="I322" s="937"/>
      <c r="J322" s="937"/>
      <c r="K322" s="938"/>
      <c r="L322" s="932"/>
      <c r="M322" s="932"/>
      <c r="N322" s="932"/>
      <c r="O322" s="932"/>
      <c r="P322" s="931"/>
      <c r="Q322" s="931"/>
      <c r="R322" s="931"/>
      <c r="S322" s="931"/>
      <c r="T322" s="933"/>
      <c r="U322" s="934"/>
      <c r="V322" s="934"/>
      <c r="W322" s="935"/>
      <c r="X322" s="936"/>
      <c r="Y322" s="937"/>
      <c r="Z322" s="937"/>
      <c r="AA322" s="938"/>
      <c r="AB322" s="594"/>
      <c r="AC322" s="595"/>
      <c r="AD322" s="596"/>
      <c r="AE322" s="779"/>
      <c r="AF322" s="939"/>
      <c r="AG322" s="780"/>
      <c r="AH322" s="941"/>
      <c r="AI322" s="942"/>
      <c r="AJ322" s="943"/>
      <c r="AK322" s="745"/>
      <c r="AL322" s="940"/>
      <c r="AM322" s="746"/>
      <c r="AN322" s="281"/>
      <c r="AO322" s="282"/>
      <c r="AP322" s="281"/>
      <c r="AQ322" s="282"/>
      <c r="AR322" s="281"/>
      <c r="AS322" s="282"/>
      <c r="AT322" s="281"/>
      <c r="AU322" s="282"/>
      <c r="AV322" s="281"/>
      <c r="AW322" s="282"/>
      <c r="AX322" s="281"/>
      <c r="AY322" s="282"/>
      <c r="AZ322" s="117"/>
      <c r="BA322" s="331"/>
      <c r="BB322" s="117"/>
      <c r="BC322" s="331"/>
      <c r="BD322" s="117"/>
      <c r="BE322" s="331"/>
      <c r="BF322" s="117"/>
      <c r="BG322" s="331"/>
      <c r="BH322" s="117"/>
      <c r="BI322" s="944" t="s">
        <v>212</v>
      </c>
      <c r="BJ322" s="944"/>
      <c r="BK322" s="944"/>
      <c r="BL322" s="944"/>
      <c r="BM322" s="944"/>
      <c r="BN322" s="944"/>
      <c r="BO322" s="944"/>
      <c r="BP322" s="944"/>
      <c r="BQ322" s="944"/>
      <c r="BR322" s="944"/>
      <c r="BS322" s="944"/>
      <c r="BT322" s="944"/>
      <c r="BU322" s="944"/>
      <c r="BV322" s="945"/>
    </row>
    <row r="323" spans="1:74" ht="30" customHeight="1" x14ac:dyDescent="0.25">
      <c r="A323" s="200">
        <f t="shared" si="4"/>
        <v>309</v>
      </c>
      <c r="B323" s="294" t="s">
        <v>162</v>
      </c>
      <c r="C323" s="295"/>
      <c r="D323" s="936"/>
      <c r="E323" s="937"/>
      <c r="F323" s="937"/>
      <c r="G323" s="937"/>
      <c r="H323" s="937"/>
      <c r="I323" s="937"/>
      <c r="J323" s="937"/>
      <c r="K323" s="938"/>
      <c r="L323" s="932"/>
      <c r="M323" s="932"/>
      <c r="N323" s="932"/>
      <c r="O323" s="932"/>
      <c r="P323" s="931"/>
      <c r="Q323" s="931"/>
      <c r="R323" s="931"/>
      <c r="S323" s="931"/>
      <c r="T323" s="933"/>
      <c r="U323" s="934"/>
      <c r="V323" s="934"/>
      <c r="W323" s="935"/>
      <c r="X323" s="936"/>
      <c r="Y323" s="937"/>
      <c r="Z323" s="937"/>
      <c r="AA323" s="938"/>
      <c r="AB323" s="594"/>
      <c r="AC323" s="595"/>
      <c r="AD323" s="596"/>
      <c r="AE323" s="779"/>
      <c r="AF323" s="939"/>
      <c r="AG323" s="780"/>
      <c r="AH323" s="941"/>
      <c r="AI323" s="942"/>
      <c r="AJ323" s="943"/>
      <c r="AK323" s="745"/>
      <c r="AL323" s="940"/>
      <c r="AM323" s="746"/>
      <c r="AN323" s="281"/>
      <c r="AO323" s="282"/>
      <c r="AP323" s="281"/>
      <c r="AQ323" s="282"/>
      <c r="AR323" s="281"/>
      <c r="AS323" s="282"/>
      <c r="AT323" s="281"/>
      <c r="AU323" s="282"/>
      <c r="AV323" s="281"/>
      <c r="AW323" s="282"/>
      <c r="AX323" s="281"/>
      <c r="AY323" s="282"/>
      <c r="AZ323" s="117"/>
      <c r="BA323" s="331"/>
      <c r="BB323" s="117"/>
      <c r="BC323" s="331"/>
      <c r="BD323" s="117"/>
      <c r="BE323" s="331"/>
      <c r="BF323" s="117"/>
      <c r="BG323" s="331"/>
      <c r="BH323" s="117"/>
      <c r="BI323" s="944" t="s">
        <v>212</v>
      </c>
      <c r="BJ323" s="944"/>
      <c r="BK323" s="944"/>
      <c r="BL323" s="944"/>
      <c r="BM323" s="944"/>
      <c r="BN323" s="944"/>
      <c r="BO323" s="944"/>
      <c r="BP323" s="944"/>
      <c r="BQ323" s="944"/>
      <c r="BR323" s="944"/>
      <c r="BS323" s="944"/>
      <c r="BT323" s="944"/>
      <c r="BU323" s="944"/>
      <c r="BV323" s="945"/>
    </row>
    <row r="324" spans="1:74" ht="30" customHeight="1" x14ac:dyDescent="0.25">
      <c r="A324" s="200">
        <f t="shared" si="4"/>
        <v>310</v>
      </c>
      <c r="B324" s="294" t="s">
        <v>162</v>
      </c>
      <c r="C324" s="295"/>
      <c r="D324" s="936"/>
      <c r="E324" s="937"/>
      <c r="F324" s="937"/>
      <c r="G324" s="937"/>
      <c r="H324" s="937"/>
      <c r="I324" s="937"/>
      <c r="J324" s="937"/>
      <c r="K324" s="938"/>
      <c r="L324" s="932"/>
      <c r="M324" s="932"/>
      <c r="N324" s="932"/>
      <c r="O324" s="932"/>
      <c r="P324" s="931"/>
      <c r="Q324" s="931"/>
      <c r="R324" s="931"/>
      <c r="S324" s="931"/>
      <c r="T324" s="933"/>
      <c r="U324" s="934"/>
      <c r="V324" s="934"/>
      <c r="W324" s="935"/>
      <c r="X324" s="936"/>
      <c r="Y324" s="937"/>
      <c r="Z324" s="937"/>
      <c r="AA324" s="938"/>
      <c r="AB324" s="594"/>
      <c r="AC324" s="595"/>
      <c r="AD324" s="596"/>
      <c r="AE324" s="779"/>
      <c r="AF324" s="939"/>
      <c r="AG324" s="780"/>
      <c r="AH324" s="941"/>
      <c r="AI324" s="942"/>
      <c r="AJ324" s="943"/>
      <c r="AK324" s="745"/>
      <c r="AL324" s="940"/>
      <c r="AM324" s="746"/>
      <c r="AN324" s="281"/>
      <c r="AO324" s="282"/>
      <c r="AP324" s="281"/>
      <c r="AQ324" s="282"/>
      <c r="AR324" s="281"/>
      <c r="AS324" s="282"/>
      <c r="AT324" s="281"/>
      <c r="AU324" s="282"/>
      <c r="AV324" s="281"/>
      <c r="AW324" s="282"/>
      <c r="AX324" s="281"/>
      <c r="AY324" s="282"/>
      <c r="AZ324" s="117"/>
      <c r="BA324" s="331"/>
      <c r="BB324" s="117"/>
      <c r="BC324" s="331"/>
      <c r="BD324" s="117"/>
      <c r="BE324" s="331"/>
      <c r="BF324" s="117"/>
      <c r="BG324" s="331"/>
      <c r="BH324" s="117"/>
      <c r="BI324" s="944" t="s">
        <v>212</v>
      </c>
      <c r="BJ324" s="944"/>
      <c r="BK324" s="944"/>
      <c r="BL324" s="944"/>
      <c r="BM324" s="944"/>
      <c r="BN324" s="944"/>
      <c r="BO324" s="944"/>
      <c r="BP324" s="944"/>
      <c r="BQ324" s="944"/>
      <c r="BR324" s="944"/>
      <c r="BS324" s="944"/>
      <c r="BT324" s="944"/>
      <c r="BU324" s="944"/>
      <c r="BV324" s="945"/>
    </row>
    <row r="325" spans="1:74" ht="30" customHeight="1" x14ac:dyDescent="0.25">
      <c r="A325" s="200">
        <f t="shared" si="4"/>
        <v>311</v>
      </c>
      <c r="B325" s="294" t="s">
        <v>162</v>
      </c>
      <c r="C325" s="295"/>
      <c r="D325" s="936"/>
      <c r="E325" s="937"/>
      <c r="F325" s="937"/>
      <c r="G325" s="937"/>
      <c r="H325" s="937"/>
      <c r="I325" s="937"/>
      <c r="J325" s="937"/>
      <c r="K325" s="938"/>
      <c r="L325" s="932"/>
      <c r="M325" s="932"/>
      <c r="N325" s="932"/>
      <c r="O325" s="932"/>
      <c r="P325" s="931"/>
      <c r="Q325" s="931"/>
      <c r="R325" s="931"/>
      <c r="S325" s="931"/>
      <c r="T325" s="933"/>
      <c r="U325" s="934"/>
      <c r="V325" s="934"/>
      <c r="W325" s="935"/>
      <c r="X325" s="936"/>
      <c r="Y325" s="937"/>
      <c r="Z325" s="937"/>
      <c r="AA325" s="938"/>
      <c r="AB325" s="594"/>
      <c r="AC325" s="595"/>
      <c r="AD325" s="596"/>
      <c r="AE325" s="779"/>
      <c r="AF325" s="939"/>
      <c r="AG325" s="780"/>
      <c r="AH325" s="941"/>
      <c r="AI325" s="942"/>
      <c r="AJ325" s="943"/>
      <c r="AK325" s="745"/>
      <c r="AL325" s="940"/>
      <c r="AM325" s="746"/>
      <c r="AN325" s="281"/>
      <c r="AO325" s="282"/>
      <c r="AP325" s="281"/>
      <c r="AQ325" s="282"/>
      <c r="AR325" s="281"/>
      <c r="AS325" s="282"/>
      <c r="AT325" s="281"/>
      <c r="AU325" s="282"/>
      <c r="AV325" s="281"/>
      <c r="AW325" s="282"/>
      <c r="AX325" s="281"/>
      <c r="AY325" s="282"/>
      <c r="AZ325" s="117"/>
      <c r="BA325" s="331"/>
      <c r="BB325" s="117"/>
      <c r="BC325" s="331"/>
      <c r="BD325" s="117"/>
      <c r="BE325" s="331"/>
      <c r="BF325" s="117"/>
      <c r="BG325" s="331"/>
      <c r="BH325" s="117"/>
      <c r="BI325" s="944" t="s">
        <v>212</v>
      </c>
      <c r="BJ325" s="944"/>
      <c r="BK325" s="944"/>
      <c r="BL325" s="944"/>
      <c r="BM325" s="944"/>
      <c r="BN325" s="944"/>
      <c r="BO325" s="944"/>
      <c r="BP325" s="944"/>
      <c r="BQ325" s="944"/>
      <c r="BR325" s="944"/>
      <c r="BS325" s="944"/>
      <c r="BT325" s="944"/>
      <c r="BU325" s="944"/>
      <c r="BV325" s="945"/>
    </row>
    <row r="326" spans="1:74" ht="30" customHeight="1" x14ac:dyDescent="0.25">
      <c r="A326" s="200">
        <f t="shared" si="4"/>
        <v>312</v>
      </c>
      <c r="B326" s="294" t="s">
        <v>162</v>
      </c>
      <c r="C326" s="295"/>
      <c r="D326" s="936"/>
      <c r="E326" s="937"/>
      <c r="F326" s="937"/>
      <c r="G326" s="937"/>
      <c r="H326" s="937"/>
      <c r="I326" s="937"/>
      <c r="J326" s="937"/>
      <c r="K326" s="938"/>
      <c r="L326" s="932"/>
      <c r="M326" s="932"/>
      <c r="N326" s="932"/>
      <c r="O326" s="932"/>
      <c r="P326" s="931"/>
      <c r="Q326" s="931"/>
      <c r="R326" s="931"/>
      <c r="S326" s="931"/>
      <c r="T326" s="933"/>
      <c r="U326" s="934"/>
      <c r="V326" s="934"/>
      <c r="W326" s="935"/>
      <c r="X326" s="936"/>
      <c r="Y326" s="937"/>
      <c r="Z326" s="937"/>
      <c r="AA326" s="938"/>
      <c r="AB326" s="594"/>
      <c r="AC326" s="595"/>
      <c r="AD326" s="596"/>
      <c r="AE326" s="779"/>
      <c r="AF326" s="939"/>
      <c r="AG326" s="780"/>
      <c r="AH326" s="941"/>
      <c r="AI326" s="942"/>
      <c r="AJ326" s="943"/>
      <c r="AK326" s="745"/>
      <c r="AL326" s="940"/>
      <c r="AM326" s="746"/>
      <c r="AN326" s="281"/>
      <c r="AO326" s="282"/>
      <c r="AP326" s="281"/>
      <c r="AQ326" s="282"/>
      <c r="AR326" s="281"/>
      <c r="AS326" s="282"/>
      <c r="AT326" s="281"/>
      <c r="AU326" s="282"/>
      <c r="AV326" s="281"/>
      <c r="AW326" s="282"/>
      <c r="AX326" s="281"/>
      <c r="AY326" s="282"/>
      <c r="AZ326" s="117"/>
      <c r="BA326" s="331"/>
      <c r="BB326" s="117"/>
      <c r="BC326" s="331"/>
      <c r="BD326" s="117"/>
      <c r="BE326" s="331"/>
      <c r="BF326" s="117"/>
      <c r="BG326" s="331"/>
      <c r="BH326" s="117"/>
      <c r="BI326" s="944" t="s">
        <v>159</v>
      </c>
      <c r="BJ326" s="944"/>
      <c r="BK326" s="944"/>
      <c r="BL326" s="944"/>
      <c r="BM326" s="944"/>
      <c r="BN326" s="944"/>
      <c r="BO326" s="944"/>
      <c r="BP326" s="944"/>
      <c r="BQ326" s="944"/>
      <c r="BR326" s="944"/>
      <c r="BS326" s="944"/>
      <c r="BT326" s="944"/>
      <c r="BU326" s="944"/>
      <c r="BV326" s="945"/>
    </row>
    <row r="327" spans="1:74" ht="30" customHeight="1" x14ac:dyDescent="0.25">
      <c r="A327" s="232">
        <f t="shared" si="4"/>
        <v>313</v>
      </c>
      <c r="B327" s="294" t="s">
        <v>162</v>
      </c>
      <c r="C327" s="295"/>
      <c r="D327" s="936"/>
      <c r="E327" s="937"/>
      <c r="F327" s="937"/>
      <c r="G327" s="937"/>
      <c r="H327" s="937"/>
      <c r="I327" s="937"/>
      <c r="J327" s="937"/>
      <c r="K327" s="938"/>
      <c r="L327" s="932"/>
      <c r="M327" s="932"/>
      <c r="N327" s="932"/>
      <c r="O327" s="932"/>
      <c r="P327" s="931"/>
      <c r="Q327" s="931"/>
      <c r="R327" s="931"/>
      <c r="S327" s="931"/>
      <c r="T327" s="933"/>
      <c r="U327" s="934"/>
      <c r="V327" s="934"/>
      <c r="W327" s="935"/>
      <c r="X327" s="936"/>
      <c r="Y327" s="937"/>
      <c r="Z327" s="937"/>
      <c r="AA327" s="938"/>
      <c r="AB327" s="594"/>
      <c r="AC327" s="595"/>
      <c r="AD327" s="596"/>
      <c r="AE327" s="779"/>
      <c r="AF327" s="939"/>
      <c r="AG327" s="780"/>
      <c r="AH327" s="941"/>
      <c r="AI327" s="942"/>
      <c r="AJ327" s="943"/>
      <c r="AK327" s="745"/>
      <c r="AL327" s="940"/>
      <c r="AM327" s="746"/>
      <c r="AN327" s="281"/>
      <c r="AO327" s="282"/>
      <c r="AP327" s="281"/>
      <c r="AQ327" s="282"/>
      <c r="AR327" s="281"/>
      <c r="AS327" s="282"/>
      <c r="AT327" s="281"/>
      <c r="AU327" s="282"/>
      <c r="AV327" s="281"/>
      <c r="AW327" s="282"/>
      <c r="AX327" s="281"/>
      <c r="AY327" s="282"/>
      <c r="AZ327" s="117"/>
      <c r="BA327" s="331"/>
      <c r="BB327" s="117"/>
      <c r="BC327" s="331"/>
      <c r="BD327" s="117"/>
      <c r="BE327" s="331"/>
      <c r="BF327" s="117"/>
      <c r="BG327" s="331"/>
      <c r="BH327" s="117"/>
      <c r="BI327" s="944" t="s">
        <v>212</v>
      </c>
      <c r="BJ327" s="944"/>
      <c r="BK327" s="944"/>
      <c r="BL327" s="944"/>
      <c r="BM327" s="944"/>
      <c r="BN327" s="944"/>
      <c r="BO327" s="944"/>
      <c r="BP327" s="944"/>
      <c r="BQ327" s="944"/>
      <c r="BR327" s="944"/>
      <c r="BS327" s="944"/>
      <c r="BT327" s="944"/>
      <c r="BU327" s="944"/>
      <c r="BV327" s="945"/>
    </row>
    <row r="328" spans="1:74" ht="30" customHeight="1" x14ac:dyDescent="0.25">
      <c r="A328" s="200">
        <f t="shared" si="4"/>
        <v>314</v>
      </c>
      <c r="B328" s="294" t="s">
        <v>162</v>
      </c>
      <c r="C328" s="295"/>
      <c r="D328" s="936"/>
      <c r="E328" s="937"/>
      <c r="F328" s="937"/>
      <c r="G328" s="937"/>
      <c r="H328" s="937"/>
      <c r="I328" s="937"/>
      <c r="J328" s="937"/>
      <c r="K328" s="938"/>
      <c r="L328" s="932"/>
      <c r="M328" s="932"/>
      <c r="N328" s="932"/>
      <c r="O328" s="932"/>
      <c r="P328" s="931"/>
      <c r="Q328" s="931"/>
      <c r="R328" s="931"/>
      <c r="S328" s="931"/>
      <c r="T328" s="933"/>
      <c r="U328" s="934"/>
      <c r="V328" s="934"/>
      <c r="W328" s="935"/>
      <c r="X328" s="936"/>
      <c r="Y328" s="937"/>
      <c r="Z328" s="937"/>
      <c r="AA328" s="938"/>
      <c r="AB328" s="594"/>
      <c r="AC328" s="595"/>
      <c r="AD328" s="596"/>
      <c r="AE328" s="779"/>
      <c r="AF328" s="939"/>
      <c r="AG328" s="780"/>
      <c r="AH328" s="941"/>
      <c r="AI328" s="942"/>
      <c r="AJ328" s="943"/>
      <c r="AK328" s="745"/>
      <c r="AL328" s="940"/>
      <c r="AM328" s="746"/>
      <c r="AN328" s="281"/>
      <c r="AO328" s="282"/>
      <c r="AP328" s="281"/>
      <c r="AQ328" s="282"/>
      <c r="AR328" s="281"/>
      <c r="AS328" s="282"/>
      <c r="AT328" s="281"/>
      <c r="AU328" s="282"/>
      <c r="AV328" s="281"/>
      <c r="AW328" s="282"/>
      <c r="AX328" s="281"/>
      <c r="AY328" s="282"/>
      <c r="AZ328" s="117"/>
      <c r="BA328" s="331"/>
      <c r="BB328" s="117"/>
      <c r="BC328" s="331"/>
      <c r="BD328" s="117"/>
      <c r="BE328" s="331"/>
      <c r="BF328" s="117"/>
      <c r="BG328" s="331"/>
      <c r="BH328" s="117"/>
      <c r="BI328" s="944" t="s">
        <v>212</v>
      </c>
      <c r="BJ328" s="944"/>
      <c r="BK328" s="944"/>
      <c r="BL328" s="944"/>
      <c r="BM328" s="944"/>
      <c r="BN328" s="944"/>
      <c r="BO328" s="944"/>
      <c r="BP328" s="944"/>
      <c r="BQ328" s="944"/>
      <c r="BR328" s="944"/>
      <c r="BS328" s="944"/>
      <c r="BT328" s="944"/>
      <c r="BU328" s="944"/>
      <c r="BV328" s="945"/>
    </row>
    <row r="329" spans="1:74" ht="30" customHeight="1" x14ac:dyDescent="0.25">
      <c r="A329" s="200">
        <f t="shared" si="4"/>
        <v>315</v>
      </c>
      <c r="B329" s="294" t="s">
        <v>162</v>
      </c>
      <c r="C329" s="295"/>
      <c r="D329" s="936"/>
      <c r="E329" s="937"/>
      <c r="F329" s="937"/>
      <c r="G329" s="937"/>
      <c r="H329" s="937"/>
      <c r="I329" s="937"/>
      <c r="J329" s="937"/>
      <c r="K329" s="938"/>
      <c r="L329" s="932"/>
      <c r="M329" s="932"/>
      <c r="N329" s="932"/>
      <c r="O329" s="932"/>
      <c r="P329" s="931"/>
      <c r="Q329" s="931"/>
      <c r="R329" s="931"/>
      <c r="S329" s="931"/>
      <c r="T329" s="933"/>
      <c r="U329" s="934"/>
      <c r="V329" s="934"/>
      <c r="W329" s="935"/>
      <c r="X329" s="936"/>
      <c r="Y329" s="937"/>
      <c r="Z329" s="937"/>
      <c r="AA329" s="938"/>
      <c r="AB329" s="594"/>
      <c r="AC329" s="595"/>
      <c r="AD329" s="596"/>
      <c r="AE329" s="779"/>
      <c r="AF329" s="939"/>
      <c r="AG329" s="780"/>
      <c r="AH329" s="941"/>
      <c r="AI329" s="942"/>
      <c r="AJ329" s="943"/>
      <c r="AK329" s="745"/>
      <c r="AL329" s="940"/>
      <c r="AM329" s="746"/>
      <c r="AN329" s="281"/>
      <c r="AO329" s="282"/>
      <c r="AP329" s="281"/>
      <c r="AQ329" s="282"/>
      <c r="AR329" s="281"/>
      <c r="AS329" s="282"/>
      <c r="AT329" s="281"/>
      <c r="AU329" s="282"/>
      <c r="AV329" s="281"/>
      <c r="AW329" s="282"/>
      <c r="AX329" s="281"/>
      <c r="AY329" s="282"/>
      <c r="AZ329" s="117"/>
      <c r="BA329" s="331"/>
      <c r="BB329" s="117"/>
      <c r="BC329" s="331"/>
      <c r="BD329" s="117"/>
      <c r="BE329" s="331"/>
      <c r="BF329" s="117"/>
      <c r="BG329" s="331"/>
      <c r="BH329" s="117"/>
      <c r="BI329" s="944" t="s">
        <v>212</v>
      </c>
      <c r="BJ329" s="944"/>
      <c r="BK329" s="944"/>
      <c r="BL329" s="944"/>
      <c r="BM329" s="944"/>
      <c r="BN329" s="944"/>
      <c r="BO329" s="944"/>
      <c r="BP329" s="944"/>
      <c r="BQ329" s="944"/>
      <c r="BR329" s="944"/>
      <c r="BS329" s="944"/>
      <c r="BT329" s="944"/>
      <c r="BU329" s="944"/>
      <c r="BV329" s="945"/>
    </row>
    <row r="330" spans="1:74" ht="30" customHeight="1" x14ac:dyDescent="0.25">
      <c r="A330" s="200">
        <f t="shared" si="4"/>
        <v>316</v>
      </c>
      <c r="B330" s="294" t="s">
        <v>162</v>
      </c>
      <c r="C330" s="295"/>
      <c r="D330" s="936"/>
      <c r="E330" s="937"/>
      <c r="F330" s="937"/>
      <c r="G330" s="937"/>
      <c r="H330" s="937"/>
      <c r="I330" s="937"/>
      <c r="J330" s="937"/>
      <c r="K330" s="938"/>
      <c r="L330" s="932"/>
      <c r="M330" s="932"/>
      <c r="N330" s="932"/>
      <c r="O330" s="932"/>
      <c r="P330" s="931"/>
      <c r="Q330" s="931"/>
      <c r="R330" s="931"/>
      <c r="S330" s="931"/>
      <c r="T330" s="933"/>
      <c r="U330" s="934"/>
      <c r="V330" s="934"/>
      <c r="W330" s="935"/>
      <c r="X330" s="936"/>
      <c r="Y330" s="937"/>
      <c r="Z330" s="937"/>
      <c r="AA330" s="938"/>
      <c r="AB330" s="594"/>
      <c r="AC330" s="595"/>
      <c r="AD330" s="596"/>
      <c r="AE330" s="779"/>
      <c r="AF330" s="939"/>
      <c r="AG330" s="780"/>
      <c r="AH330" s="941"/>
      <c r="AI330" s="942"/>
      <c r="AJ330" s="943"/>
      <c r="AK330" s="745"/>
      <c r="AL330" s="940"/>
      <c r="AM330" s="746"/>
      <c r="AN330" s="281"/>
      <c r="AO330" s="282"/>
      <c r="AP330" s="281"/>
      <c r="AQ330" s="282"/>
      <c r="AR330" s="281"/>
      <c r="AS330" s="282"/>
      <c r="AT330" s="281"/>
      <c r="AU330" s="282"/>
      <c r="AV330" s="281"/>
      <c r="AW330" s="282"/>
      <c r="AX330" s="281"/>
      <c r="AY330" s="282"/>
      <c r="AZ330" s="117"/>
      <c r="BA330" s="331"/>
      <c r="BB330" s="117"/>
      <c r="BC330" s="331"/>
      <c r="BD330" s="117"/>
      <c r="BE330" s="331"/>
      <c r="BF330" s="117"/>
      <c r="BG330" s="331"/>
      <c r="BH330" s="117"/>
      <c r="BI330" s="944" t="s">
        <v>212</v>
      </c>
      <c r="BJ330" s="944"/>
      <c r="BK330" s="944"/>
      <c r="BL330" s="944"/>
      <c r="BM330" s="944"/>
      <c r="BN330" s="944"/>
      <c r="BO330" s="944"/>
      <c r="BP330" s="944"/>
      <c r="BQ330" s="944"/>
      <c r="BR330" s="944"/>
      <c r="BS330" s="944"/>
      <c r="BT330" s="944"/>
      <c r="BU330" s="944"/>
      <c r="BV330" s="945"/>
    </row>
    <row r="331" spans="1:74" ht="30" customHeight="1" x14ac:dyDescent="0.25">
      <c r="A331" s="200">
        <f t="shared" si="4"/>
        <v>317</v>
      </c>
      <c r="B331" s="294" t="s">
        <v>162</v>
      </c>
      <c r="C331" s="295"/>
      <c r="D331" s="936"/>
      <c r="E331" s="937"/>
      <c r="F331" s="937"/>
      <c r="G331" s="937"/>
      <c r="H331" s="937"/>
      <c r="I331" s="937"/>
      <c r="J331" s="937"/>
      <c r="K331" s="938"/>
      <c r="L331" s="932"/>
      <c r="M331" s="932"/>
      <c r="N331" s="932"/>
      <c r="O331" s="932"/>
      <c r="P331" s="931"/>
      <c r="Q331" s="931"/>
      <c r="R331" s="931"/>
      <c r="S331" s="931"/>
      <c r="T331" s="933"/>
      <c r="U331" s="934"/>
      <c r="V331" s="934"/>
      <c r="W331" s="935"/>
      <c r="X331" s="936"/>
      <c r="Y331" s="937"/>
      <c r="Z331" s="937"/>
      <c r="AA331" s="938"/>
      <c r="AB331" s="594"/>
      <c r="AC331" s="595"/>
      <c r="AD331" s="596"/>
      <c r="AE331" s="779"/>
      <c r="AF331" s="939"/>
      <c r="AG331" s="780"/>
      <c r="AH331" s="941"/>
      <c r="AI331" s="942"/>
      <c r="AJ331" s="943"/>
      <c r="AK331" s="745"/>
      <c r="AL331" s="940"/>
      <c r="AM331" s="746"/>
      <c r="AN331" s="281"/>
      <c r="AO331" s="282"/>
      <c r="AP331" s="281"/>
      <c r="AQ331" s="282"/>
      <c r="AR331" s="281"/>
      <c r="AS331" s="282"/>
      <c r="AT331" s="281"/>
      <c r="AU331" s="282"/>
      <c r="AV331" s="281"/>
      <c r="AW331" s="282"/>
      <c r="AX331" s="281"/>
      <c r="AY331" s="282"/>
      <c r="AZ331" s="117"/>
      <c r="BA331" s="331"/>
      <c r="BB331" s="117"/>
      <c r="BC331" s="331"/>
      <c r="BD331" s="117"/>
      <c r="BE331" s="331"/>
      <c r="BF331" s="117"/>
      <c r="BG331" s="331"/>
      <c r="BH331" s="117"/>
      <c r="BI331" s="944" t="s">
        <v>212</v>
      </c>
      <c r="BJ331" s="944"/>
      <c r="BK331" s="944"/>
      <c r="BL331" s="944"/>
      <c r="BM331" s="944"/>
      <c r="BN331" s="944"/>
      <c r="BO331" s="944"/>
      <c r="BP331" s="944"/>
      <c r="BQ331" s="944"/>
      <c r="BR331" s="944"/>
      <c r="BS331" s="944"/>
      <c r="BT331" s="944"/>
      <c r="BU331" s="944"/>
      <c r="BV331" s="945"/>
    </row>
    <row r="332" spans="1:74" ht="30" customHeight="1" x14ac:dyDescent="0.25">
      <c r="A332" s="200">
        <f t="shared" si="4"/>
        <v>318</v>
      </c>
      <c r="B332" s="294" t="s">
        <v>162</v>
      </c>
      <c r="C332" s="295"/>
      <c r="D332" s="936"/>
      <c r="E332" s="937"/>
      <c r="F332" s="937"/>
      <c r="G332" s="937"/>
      <c r="H332" s="937"/>
      <c r="I332" s="937"/>
      <c r="J332" s="937"/>
      <c r="K332" s="938"/>
      <c r="L332" s="932"/>
      <c r="M332" s="932"/>
      <c r="N332" s="932"/>
      <c r="O332" s="932"/>
      <c r="P332" s="931"/>
      <c r="Q332" s="931"/>
      <c r="R332" s="931"/>
      <c r="S332" s="931"/>
      <c r="T332" s="933"/>
      <c r="U332" s="934"/>
      <c r="V332" s="934"/>
      <c r="W332" s="935"/>
      <c r="X332" s="936"/>
      <c r="Y332" s="937"/>
      <c r="Z332" s="937"/>
      <c r="AA332" s="938"/>
      <c r="AB332" s="594"/>
      <c r="AC332" s="595"/>
      <c r="AD332" s="596"/>
      <c r="AE332" s="779"/>
      <c r="AF332" s="939"/>
      <c r="AG332" s="780"/>
      <c r="AH332" s="941"/>
      <c r="AI332" s="942"/>
      <c r="AJ332" s="943"/>
      <c r="AK332" s="745"/>
      <c r="AL332" s="940"/>
      <c r="AM332" s="746"/>
      <c r="AN332" s="281"/>
      <c r="AO332" s="282"/>
      <c r="AP332" s="281"/>
      <c r="AQ332" s="282"/>
      <c r="AR332" s="281"/>
      <c r="AS332" s="282"/>
      <c r="AT332" s="281"/>
      <c r="AU332" s="282"/>
      <c r="AV332" s="281"/>
      <c r="AW332" s="282"/>
      <c r="AX332" s="281"/>
      <c r="AY332" s="282"/>
      <c r="AZ332" s="117"/>
      <c r="BA332" s="331"/>
      <c r="BB332" s="117"/>
      <c r="BC332" s="331"/>
      <c r="BD332" s="117"/>
      <c r="BE332" s="331"/>
      <c r="BF332" s="117"/>
      <c r="BG332" s="331"/>
      <c r="BH332" s="117"/>
      <c r="BI332" s="944" t="s">
        <v>159</v>
      </c>
      <c r="BJ332" s="944"/>
      <c r="BK332" s="944"/>
      <c r="BL332" s="944"/>
      <c r="BM332" s="944"/>
      <c r="BN332" s="944"/>
      <c r="BO332" s="944"/>
      <c r="BP332" s="944"/>
      <c r="BQ332" s="944"/>
      <c r="BR332" s="944"/>
      <c r="BS332" s="944"/>
      <c r="BT332" s="944"/>
      <c r="BU332" s="944"/>
      <c r="BV332" s="945"/>
    </row>
    <row r="333" spans="1:74" ht="30" customHeight="1" x14ac:dyDescent="0.25">
      <c r="A333" s="200">
        <f t="shared" si="4"/>
        <v>319</v>
      </c>
      <c r="B333" s="294" t="s">
        <v>162</v>
      </c>
      <c r="C333" s="295"/>
      <c r="D333" s="936"/>
      <c r="E333" s="937"/>
      <c r="F333" s="937"/>
      <c r="G333" s="937"/>
      <c r="H333" s="937"/>
      <c r="I333" s="937"/>
      <c r="J333" s="937"/>
      <c r="K333" s="938"/>
      <c r="L333" s="932"/>
      <c r="M333" s="932"/>
      <c r="N333" s="932"/>
      <c r="O333" s="932"/>
      <c r="P333" s="931"/>
      <c r="Q333" s="931"/>
      <c r="R333" s="931"/>
      <c r="S333" s="931"/>
      <c r="T333" s="933"/>
      <c r="U333" s="934"/>
      <c r="V333" s="934"/>
      <c r="W333" s="935"/>
      <c r="X333" s="936"/>
      <c r="Y333" s="937"/>
      <c r="Z333" s="937"/>
      <c r="AA333" s="938"/>
      <c r="AB333" s="594"/>
      <c r="AC333" s="595"/>
      <c r="AD333" s="596"/>
      <c r="AE333" s="779"/>
      <c r="AF333" s="939"/>
      <c r="AG333" s="780"/>
      <c r="AH333" s="941"/>
      <c r="AI333" s="942"/>
      <c r="AJ333" s="943"/>
      <c r="AK333" s="745"/>
      <c r="AL333" s="940"/>
      <c r="AM333" s="746"/>
      <c r="AN333" s="281"/>
      <c r="AO333" s="282"/>
      <c r="AP333" s="281"/>
      <c r="AQ333" s="282"/>
      <c r="AR333" s="281"/>
      <c r="AS333" s="282"/>
      <c r="AT333" s="281"/>
      <c r="AU333" s="282"/>
      <c r="AV333" s="281"/>
      <c r="AW333" s="282"/>
      <c r="AX333" s="281"/>
      <c r="AY333" s="282"/>
      <c r="AZ333" s="117"/>
      <c r="BA333" s="331"/>
      <c r="BB333" s="117"/>
      <c r="BC333" s="331"/>
      <c r="BD333" s="117"/>
      <c r="BE333" s="331"/>
      <c r="BF333" s="117"/>
      <c r="BG333" s="331"/>
      <c r="BH333" s="117"/>
      <c r="BI333" s="944" t="s">
        <v>159</v>
      </c>
      <c r="BJ333" s="944"/>
      <c r="BK333" s="944"/>
      <c r="BL333" s="944"/>
      <c r="BM333" s="944"/>
      <c r="BN333" s="944"/>
      <c r="BO333" s="944"/>
      <c r="BP333" s="944"/>
      <c r="BQ333" s="944"/>
      <c r="BR333" s="944"/>
      <c r="BS333" s="944"/>
      <c r="BT333" s="944"/>
      <c r="BU333" s="944"/>
      <c r="BV333" s="945"/>
    </row>
    <row r="334" spans="1:74" ht="30" customHeight="1" x14ac:dyDescent="0.25">
      <c r="A334" s="232">
        <f t="shared" si="4"/>
        <v>320</v>
      </c>
      <c r="B334" s="294" t="s">
        <v>162</v>
      </c>
      <c r="C334" s="295"/>
      <c r="D334" s="936"/>
      <c r="E334" s="937"/>
      <c r="F334" s="937"/>
      <c r="G334" s="937"/>
      <c r="H334" s="937"/>
      <c r="I334" s="937"/>
      <c r="J334" s="937"/>
      <c r="K334" s="938"/>
      <c r="L334" s="932"/>
      <c r="M334" s="932"/>
      <c r="N334" s="932"/>
      <c r="O334" s="932"/>
      <c r="P334" s="931"/>
      <c r="Q334" s="931"/>
      <c r="R334" s="931"/>
      <c r="S334" s="931"/>
      <c r="T334" s="933"/>
      <c r="U334" s="934"/>
      <c r="V334" s="934"/>
      <c r="W334" s="935"/>
      <c r="X334" s="936"/>
      <c r="Y334" s="937"/>
      <c r="Z334" s="937"/>
      <c r="AA334" s="938"/>
      <c r="AB334" s="594"/>
      <c r="AC334" s="595"/>
      <c r="AD334" s="596"/>
      <c r="AE334" s="779"/>
      <c r="AF334" s="939"/>
      <c r="AG334" s="780"/>
      <c r="AH334" s="941"/>
      <c r="AI334" s="942"/>
      <c r="AJ334" s="943"/>
      <c r="AK334" s="745"/>
      <c r="AL334" s="940"/>
      <c r="AM334" s="746"/>
      <c r="AN334" s="281"/>
      <c r="AO334" s="282"/>
      <c r="AP334" s="281"/>
      <c r="AQ334" s="282"/>
      <c r="AR334" s="281"/>
      <c r="AS334" s="282"/>
      <c r="AT334" s="281"/>
      <c r="AU334" s="282"/>
      <c r="AV334" s="281"/>
      <c r="AW334" s="282"/>
      <c r="AX334" s="281"/>
      <c r="AY334" s="282"/>
      <c r="AZ334" s="117"/>
      <c r="BA334" s="331"/>
      <c r="BB334" s="117"/>
      <c r="BC334" s="331"/>
      <c r="BD334" s="117"/>
      <c r="BE334" s="331"/>
      <c r="BF334" s="117"/>
      <c r="BG334" s="331"/>
      <c r="BH334" s="117"/>
      <c r="BI334" s="944" t="s">
        <v>212</v>
      </c>
      <c r="BJ334" s="944"/>
      <c r="BK334" s="944"/>
      <c r="BL334" s="944"/>
      <c r="BM334" s="944"/>
      <c r="BN334" s="944"/>
      <c r="BO334" s="944"/>
      <c r="BP334" s="944"/>
      <c r="BQ334" s="944"/>
      <c r="BR334" s="944"/>
      <c r="BS334" s="944"/>
      <c r="BT334" s="944"/>
      <c r="BU334" s="944"/>
      <c r="BV334" s="945"/>
    </row>
    <row r="335" spans="1:74" ht="30" customHeight="1" x14ac:dyDescent="0.25">
      <c r="A335" s="200">
        <f t="shared" ref="A335:A398" si="5">ROW(A321)</f>
        <v>321</v>
      </c>
      <c r="B335" s="294" t="s">
        <v>162</v>
      </c>
      <c r="C335" s="295"/>
      <c r="D335" s="936"/>
      <c r="E335" s="937"/>
      <c r="F335" s="937"/>
      <c r="G335" s="937"/>
      <c r="H335" s="937"/>
      <c r="I335" s="937"/>
      <c r="J335" s="937"/>
      <c r="K335" s="938"/>
      <c r="L335" s="932"/>
      <c r="M335" s="932"/>
      <c r="N335" s="932"/>
      <c r="O335" s="932"/>
      <c r="P335" s="931"/>
      <c r="Q335" s="931"/>
      <c r="R335" s="931"/>
      <c r="S335" s="931"/>
      <c r="T335" s="933"/>
      <c r="U335" s="934"/>
      <c r="V335" s="934"/>
      <c r="W335" s="935"/>
      <c r="X335" s="936"/>
      <c r="Y335" s="937"/>
      <c r="Z335" s="937"/>
      <c r="AA335" s="938"/>
      <c r="AB335" s="594"/>
      <c r="AC335" s="595"/>
      <c r="AD335" s="596"/>
      <c r="AE335" s="779"/>
      <c r="AF335" s="939"/>
      <c r="AG335" s="780"/>
      <c r="AH335" s="941"/>
      <c r="AI335" s="942"/>
      <c r="AJ335" s="943"/>
      <c r="AK335" s="745"/>
      <c r="AL335" s="940"/>
      <c r="AM335" s="746"/>
      <c r="AN335" s="281"/>
      <c r="AO335" s="282"/>
      <c r="AP335" s="281"/>
      <c r="AQ335" s="282"/>
      <c r="AR335" s="281"/>
      <c r="AS335" s="282"/>
      <c r="AT335" s="281"/>
      <c r="AU335" s="282"/>
      <c r="AV335" s="281"/>
      <c r="AW335" s="282"/>
      <c r="AX335" s="281"/>
      <c r="AY335" s="282"/>
      <c r="AZ335" s="117"/>
      <c r="BA335" s="331"/>
      <c r="BB335" s="117"/>
      <c r="BC335" s="331"/>
      <c r="BD335" s="117"/>
      <c r="BE335" s="331"/>
      <c r="BF335" s="117"/>
      <c r="BG335" s="331"/>
      <c r="BH335" s="117"/>
      <c r="BI335" s="944" t="s">
        <v>212</v>
      </c>
      <c r="BJ335" s="944"/>
      <c r="BK335" s="944"/>
      <c r="BL335" s="944"/>
      <c r="BM335" s="944"/>
      <c r="BN335" s="944"/>
      <c r="BO335" s="944"/>
      <c r="BP335" s="944"/>
      <c r="BQ335" s="944"/>
      <c r="BR335" s="944"/>
      <c r="BS335" s="944"/>
      <c r="BT335" s="944"/>
      <c r="BU335" s="944"/>
      <c r="BV335" s="945"/>
    </row>
    <row r="336" spans="1:74" ht="30" customHeight="1" x14ac:dyDescent="0.25">
      <c r="A336" s="200">
        <f t="shared" si="5"/>
        <v>322</v>
      </c>
      <c r="B336" s="294" t="s">
        <v>162</v>
      </c>
      <c r="C336" s="295"/>
      <c r="D336" s="936"/>
      <c r="E336" s="937"/>
      <c r="F336" s="937"/>
      <c r="G336" s="937"/>
      <c r="H336" s="937"/>
      <c r="I336" s="937"/>
      <c r="J336" s="937"/>
      <c r="K336" s="938"/>
      <c r="L336" s="932"/>
      <c r="M336" s="932"/>
      <c r="N336" s="932"/>
      <c r="O336" s="932"/>
      <c r="P336" s="931"/>
      <c r="Q336" s="931"/>
      <c r="R336" s="931"/>
      <c r="S336" s="931"/>
      <c r="T336" s="933"/>
      <c r="U336" s="934"/>
      <c r="V336" s="934"/>
      <c r="W336" s="935"/>
      <c r="X336" s="936"/>
      <c r="Y336" s="937"/>
      <c r="Z336" s="937"/>
      <c r="AA336" s="938"/>
      <c r="AB336" s="594"/>
      <c r="AC336" s="595"/>
      <c r="AD336" s="596"/>
      <c r="AE336" s="779"/>
      <c r="AF336" s="939"/>
      <c r="AG336" s="780"/>
      <c r="AH336" s="941"/>
      <c r="AI336" s="942"/>
      <c r="AJ336" s="943"/>
      <c r="AK336" s="745"/>
      <c r="AL336" s="940"/>
      <c r="AM336" s="746"/>
      <c r="AN336" s="281"/>
      <c r="AO336" s="282"/>
      <c r="AP336" s="281"/>
      <c r="AQ336" s="282"/>
      <c r="AR336" s="281"/>
      <c r="AS336" s="282"/>
      <c r="AT336" s="281"/>
      <c r="AU336" s="282"/>
      <c r="AV336" s="281"/>
      <c r="AW336" s="282"/>
      <c r="AX336" s="281"/>
      <c r="AY336" s="282"/>
      <c r="AZ336" s="117"/>
      <c r="BA336" s="331"/>
      <c r="BB336" s="117"/>
      <c r="BC336" s="331"/>
      <c r="BD336" s="117"/>
      <c r="BE336" s="331"/>
      <c r="BF336" s="117"/>
      <c r="BG336" s="331"/>
      <c r="BH336" s="117"/>
      <c r="BI336" s="944" t="s">
        <v>212</v>
      </c>
      <c r="BJ336" s="944"/>
      <c r="BK336" s="944"/>
      <c r="BL336" s="944"/>
      <c r="BM336" s="944"/>
      <c r="BN336" s="944"/>
      <c r="BO336" s="944"/>
      <c r="BP336" s="944"/>
      <c r="BQ336" s="944"/>
      <c r="BR336" s="944"/>
      <c r="BS336" s="944"/>
      <c r="BT336" s="944"/>
      <c r="BU336" s="944"/>
      <c r="BV336" s="945"/>
    </row>
    <row r="337" spans="1:74" ht="30" customHeight="1" x14ac:dyDescent="0.25">
      <c r="A337" s="200">
        <f t="shared" si="5"/>
        <v>323</v>
      </c>
      <c r="B337" s="294" t="s">
        <v>162</v>
      </c>
      <c r="C337" s="295"/>
      <c r="D337" s="936"/>
      <c r="E337" s="937"/>
      <c r="F337" s="937"/>
      <c r="G337" s="937"/>
      <c r="H337" s="937"/>
      <c r="I337" s="937"/>
      <c r="J337" s="937"/>
      <c r="K337" s="938"/>
      <c r="L337" s="932"/>
      <c r="M337" s="932"/>
      <c r="N337" s="932"/>
      <c r="O337" s="932"/>
      <c r="P337" s="931"/>
      <c r="Q337" s="931"/>
      <c r="R337" s="931"/>
      <c r="S337" s="931"/>
      <c r="T337" s="933"/>
      <c r="U337" s="934"/>
      <c r="V337" s="934"/>
      <c r="W337" s="935"/>
      <c r="X337" s="936"/>
      <c r="Y337" s="937"/>
      <c r="Z337" s="937"/>
      <c r="AA337" s="938"/>
      <c r="AB337" s="594"/>
      <c r="AC337" s="595"/>
      <c r="AD337" s="596"/>
      <c r="AE337" s="779"/>
      <c r="AF337" s="939"/>
      <c r="AG337" s="780"/>
      <c r="AH337" s="941"/>
      <c r="AI337" s="942"/>
      <c r="AJ337" s="943"/>
      <c r="AK337" s="745"/>
      <c r="AL337" s="940"/>
      <c r="AM337" s="746"/>
      <c r="AN337" s="281"/>
      <c r="AO337" s="282"/>
      <c r="AP337" s="281"/>
      <c r="AQ337" s="282"/>
      <c r="AR337" s="281"/>
      <c r="AS337" s="282"/>
      <c r="AT337" s="281"/>
      <c r="AU337" s="282"/>
      <c r="AV337" s="281"/>
      <c r="AW337" s="282"/>
      <c r="AX337" s="281"/>
      <c r="AY337" s="282"/>
      <c r="AZ337" s="117"/>
      <c r="BA337" s="331"/>
      <c r="BB337" s="117"/>
      <c r="BC337" s="331"/>
      <c r="BD337" s="117"/>
      <c r="BE337" s="331"/>
      <c r="BF337" s="117"/>
      <c r="BG337" s="331"/>
      <c r="BH337" s="117"/>
      <c r="BI337" s="944" t="s">
        <v>212</v>
      </c>
      <c r="BJ337" s="944"/>
      <c r="BK337" s="944"/>
      <c r="BL337" s="944"/>
      <c r="BM337" s="944"/>
      <c r="BN337" s="944"/>
      <c r="BO337" s="944"/>
      <c r="BP337" s="944"/>
      <c r="BQ337" s="944"/>
      <c r="BR337" s="944"/>
      <c r="BS337" s="944"/>
      <c r="BT337" s="944"/>
      <c r="BU337" s="944"/>
      <c r="BV337" s="945"/>
    </row>
    <row r="338" spans="1:74" ht="30" customHeight="1" x14ac:dyDescent="0.25">
      <c r="A338" s="200">
        <f t="shared" si="5"/>
        <v>324</v>
      </c>
      <c r="B338" s="294" t="s">
        <v>162</v>
      </c>
      <c r="C338" s="295"/>
      <c r="D338" s="936"/>
      <c r="E338" s="937"/>
      <c r="F338" s="937"/>
      <c r="G338" s="937"/>
      <c r="H338" s="937"/>
      <c r="I338" s="937"/>
      <c r="J338" s="937"/>
      <c r="K338" s="938"/>
      <c r="L338" s="932"/>
      <c r="M338" s="932"/>
      <c r="N338" s="932"/>
      <c r="O338" s="932"/>
      <c r="P338" s="931"/>
      <c r="Q338" s="931"/>
      <c r="R338" s="931"/>
      <c r="S338" s="931"/>
      <c r="T338" s="933"/>
      <c r="U338" s="934"/>
      <c r="V338" s="934"/>
      <c r="W338" s="935"/>
      <c r="X338" s="936"/>
      <c r="Y338" s="937"/>
      <c r="Z338" s="937"/>
      <c r="AA338" s="938"/>
      <c r="AB338" s="594"/>
      <c r="AC338" s="595"/>
      <c r="AD338" s="596"/>
      <c r="AE338" s="779"/>
      <c r="AF338" s="939"/>
      <c r="AG338" s="780"/>
      <c r="AH338" s="941"/>
      <c r="AI338" s="942"/>
      <c r="AJ338" s="943"/>
      <c r="AK338" s="745"/>
      <c r="AL338" s="940"/>
      <c r="AM338" s="746"/>
      <c r="AN338" s="281"/>
      <c r="AO338" s="282"/>
      <c r="AP338" s="281"/>
      <c r="AQ338" s="282"/>
      <c r="AR338" s="281"/>
      <c r="AS338" s="282"/>
      <c r="AT338" s="281"/>
      <c r="AU338" s="282"/>
      <c r="AV338" s="281"/>
      <c r="AW338" s="282"/>
      <c r="AX338" s="281"/>
      <c r="AY338" s="282"/>
      <c r="AZ338" s="117"/>
      <c r="BA338" s="331"/>
      <c r="BB338" s="117"/>
      <c r="BC338" s="331"/>
      <c r="BD338" s="117"/>
      <c r="BE338" s="331"/>
      <c r="BF338" s="117"/>
      <c r="BG338" s="331"/>
      <c r="BH338" s="117"/>
      <c r="BI338" s="944" t="s">
        <v>212</v>
      </c>
      <c r="BJ338" s="944"/>
      <c r="BK338" s="944"/>
      <c r="BL338" s="944"/>
      <c r="BM338" s="944"/>
      <c r="BN338" s="944"/>
      <c r="BO338" s="944"/>
      <c r="BP338" s="944"/>
      <c r="BQ338" s="944"/>
      <c r="BR338" s="944"/>
      <c r="BS338" s="944"/>
      <c r="BT338" s="944"/>
      <c r="BU338" s="944"/>
      <c r="BV338" s="945"/>
    </row>
    <row r="339" spans="1:74" ht="30" customHeight="1" x14ac:dyDescent="0.25">
      <c r="A339" s="200">
        <f t="shared" si="5"/>
        <v>325</v>
      </c>
      <c r="B339" s="294" t="s">
        <v>162</v>
      </c>
      <c r="C339" s="295"/>
      <c r="D339" s="936"/>
      <c r="E339" s="937"/>
      <c r="F339" s="937"/>
      <c r="G339" s="937"/>
      <c r="H339" s="937"/>
      <c r="I339" s="937"/>
      <c r="J339" s="937"/>
      <c r="K339" s="938"/>
      <c r="L339" s="932"/>
      <c r="M339" s="932"/>
      <c r="N339" s="932"/>
      <c r="O339" s="932"/>
      <c r="P339" s="931"/>
      <c r="Q339" s="931"/>
      <c r="R339" s="931"/>
      <c r="S339" s="931"/>
      <c r="T339" s="933"/>
      <c r="U339" s="934"/>
      <c r="V339" s="934"/>
      <c r="W339" s="935"/>
      <c r="X339" s="936"/>
      <c r="Y339" s="937"/>
      <c r="Z339" s="937"/>
      <c r="AA339" s="938"/>
      <c r="AB339" s="594"/>
      <c r="AC339" s="595"/>
      <c r="AD339" s="596"/>
      <c r="AE339" s="779"/>
      <c r="AF339" s="939"/>
      <c r="AG339" s="780"/>
      <c r="AH339" s="941"/>
      <c r="AI339" s="942"/>
      <c r="AJ339" s="943"/>
      <c r="AK339" s="745"/>
      <c r="AL339" s="940"/>
      <c r="AM339" s="746"/>
      <c r="AN339" s="281"/>
      <c r="AO339" s="282"/>
      <c r="AP339" s="281"/>
      <c r="AQ339" s="282"/>
      <c r="AR339" s="281"/>
      <c r="AS339" s="282"/>
      <c r="AT339" s="281"/>
      <c r="AU339" s="282"/>
      <c r="AV339" s="281"/>
      <c r="AW339" s="282"/>
      <c r="AX339" s="281"/>
      <c r="AY339" s="282"/>
      <c r="AZ339" s="117"/>
      <c r="BA339" s="331"/>
      <c r="BB339" s="117"/>
      <c r="BC339" s="331"/>
      <c r="BD339" s="117"/>
      <c r="BE339" s="331"/>
      <c r="BF339" s="117"/>
      <c r="BG339" s="331"/>
      <c r="BH339" s="117"/>
      <c r="BI339" s="944" t="s">
        <v>159</v>
      </c>
      <c r="BJ339" s="944"/>
      <c r="BK339" s="944"/>
      <c r="BL339" s="944"/>
      <c r="BM339" s="944"/>
      <c r="BN339" s="944"/>
      <c r="BO339" s="944"/>
      <c r="BP339" s="944"/>
      <c r="BQ339" s="944"/>
      <c r="BR339" s="944"/>
      <c r="BS339" s="944"/>
      <c r="BT339" s="944"/>
      <c r="BU339" s="944"/>
      <c r="BV339" s="945"/>
    </row>
    <row r="340" spans="1:74" ht="30" customHeight="1" x14ac:dyDescent="0.25">
      <c r="A340" s="200">
        <f t="shared" si="5"/>
        <v>326</v>
      </c>
      <c r="B340" s="294" t="s">
        <v>162</v>
      </c>
      <c r="C340" s="295"/>
      <c r="D340" s="936"/>
      <c r="E340" s="937"/>
      <c r="F340" s="937"/>
      <c r="G340" s="937"/>
      <c r="H340" s="937"/>
      <c r="I340" s="937"/>
      <c r="J340" s="937"/>
      <c r="K340" s="938"/>
      <c r="L340" s="932"/>
      <c r="M340" s="932"/>
      <c r="N340" s="932"/>
      <c r="O340" s="932"/>
      <c r="P340" s="931"/>
      <c r="Q340" s="931"/>
      <c r="R340" s="931"/>
      <c r="S340" s="931"/>
      <c r="T340" s="933"/>
      <c r="U340" s="934"/>
      <c r="V340" s="934"/>
      <c r="W340" s="935"/>
      <c r="X340" s="936"/>
      <c r="Y340" s="937"/>
      <c r="Z340" s="937"/>
      <c r="AA340" s="938"/>
      <c r="AB340" s="594"/>
      <c r="AC340" s="595"/>
      <c r="AD340" s="596"/>
      <c r="AE340" s="779"/>
      <c r="AF340" s="939"/>
      <c r="AG340" s="780"/>
      <c r="AH340" s="941"/>
      <c r="AI340" s="942"/>
      <c r="AJ340" s="943"/>
      <c r="AK340" s="745"/>
      <c r="AL340" s="940"/>
      <c r="AM340" s="746"/>
      <c r="AN340" s="281"/>
      <c r="AO340" s="282"/>
      <c r="AP340" s="281"/>
      <c r="AQ340" s="282"/>
      <c r="AR340" s="281"/>
      <c r="AS340" s="282"/>
      <c r="AT340" s="281"/>
      <c r="AU340" s="282"/>
      <c r="AV340" s="281"/>
      <c r="AW340" s="282"/>
      <c r="AX340" s="281"/>
      <c r="AY340" s="282"/>
      <c r="AZ340" s="117"/>
      <c r="BA340" s="331"/>
      <c r="BB340" s="117"/>
      <c r="BC340" s="331"/>
      <c r="BD340" s="117"/>
      <c r="BE340" s="331"/>
      <c r="BF340" s="117"/>
      <c r="BG340" s="331"/>
      <c r="BH340" s="117"/>
      <c r="BI340" s="944" t="s">
        <v>159</v>
      </c>
      <c r="BJ340" s="944"/>
      <c r="BK340" s="944"/>
      <c r="BL340" s="944"/>
      <c r="BM340" s="944"/>
      <c r="BN340" s="944"/>
      <c r="BO340" s="944"/>
      <c r="BP340" s="944"/>
      <c r="BQ340" s="944"/>
      <c r="BR340" s="944"/>
      <c r="BS340" s="944"/>
      <c r="BT340" s="944"/>
      <c r="BU340" s="944"/>
      <c r="BV340" s="945"/>
    </row>
    <row r="341" spans="1:74" ht="30" customHeight="1" x14ac:dyDescent="0.25">
      <c r="A341" s="232">
        <f t="shared" si="5"/>
        <v>327</v>
      </c>
      <c r="B341" s="294" t="s">
        <v>162</v>
      </c>
      <c r="C341" s="295"/>
      <c r="D341" s="936"/>
      <c r="E341" s="937"/>
      <c r="F341" s="937"/>
      <c r="G341" s="937"/>
      <c r="H341" s="937"/>
      <c r="I341" s="937"/>
      <c r="J341" s="937"/>
      <c r="K341" s="938"/>
      <c r="L341" s="932"/>
      <c r="M341" s="932"/>
      <c r="N341" s="932"/>
      <c r="O341" s="932"/>
      <c r="P341" s="931"/>
      <c r="Q341" s="931"/>
      <c r="R341" s="931"/>
      <c r="S341" s="931"/>
      <c r="T341" s="933"/>
      <c r="U341" s="934"/>
      <c r="V341" s="934"/>
      <c r="W341" s="935"/>
      <c r="X341" s="936"/>
      <c r="Y341" s="937"/>
      <c r="Z341" s="937"/>
      <c r="AA341" s="938"/>
      <c r="AB341" s="594"/>
      <c r="AC341" s="595"/>
      <c r="AD341" s="596"/>
      <c r="AE341" s="779"/>
      <c r="AF341" s="939"/>
      <c r="AG341" s="780"/>
      <c r="AH341" s="941"/>
      <c r="AI341" s="942"/>
      <c r="AJ341" s="943"/>
      <c r="AK341" s="745"/>
      <c r="AL341" s="940"/>
      <c r="AM341" s="746"/>
      <c r="AN341" s="281"/>
      <c r="AO341" s="282"/>
      <c r="AP341" s="281"/>
      <c r="AQ341" s="282"/>
      <c r="AR341" s="281"/>
      <c r="AS341" s="282"/>
      <c r="AT341" s="281"/>
      <c r="AU341" s="282"/>
      <c r="AV341" s="281"/>
      <c r="AW341" s="282"/>
      <c r="AX341" s="281"/>
      <c r="AY341" s="282"/>
      <c r="AZ341" s="117"/>
      <c r="BA341" s="331"/>
      <c r="BB341" s="117"/>
      <c r="BC341" s="331"/>
      <c r="BD341" s="117"/>
      <c r="BE341" s="331"/>
      <c r="BF341" s="117"/>
      <c r="BG341" s="331"/>
      <c r="BH341" s="117"/>
      <c r="BI341" s="944" t="s">
        <v>212</v>
      </c>
      <c r="BJ341" s="944"/>
      <c r="BK341" s="944"/>
      <c r="BL341" s="944"/>
      <c r="BM341" s="944"/>
      <c r="BN341" s="944"/>
      <c r="BO341" s="944"/>
      <c r="BP341" s="944"/>
      <c r="BQ341" s="944"/>
      <c r="BR341" s="944"/>
      <c r="BS341" s="944"/>
      <c r="BT341" s="944"/>
      <c r="BU341" s="944"/>
      <c r="BV341" s="945"/>
    </row>
    <row r="342" spans="1:74" ht="30" customHeight="1" x14ac:dyDescent="0.25">
      <c r="A342" s="200">
        <f t="shared" si="5"/>
        <v>328</v>
      </c>
      <c r="B342" s="294" t="s">
        <v>162</v>
      </c>
      <c r="C342" s="295"/>
      <c r="D342" s="936"/>
      <c r="E342" s="937"/>
      <c r="F342" s="937"/>
      <c r="G342" s="937"/>
      <c r="H342" s="937"/>
      <c r="I342" s="937"/>
      <c r="J342" s="937"/>
      <c r="K342" s="938"/>
      <c r="L342" s="932"/>
      <c r="M342" s="932"/>
      <c r="N342" s="932"/>
      <c r="O342" s="932"/>
      <c r="P342" s="931"/>
      <c r="Q342" s="931"/>
      <c r="R342" s="931"/>
      <c r="S342" s="931"/>
      <c r="T342" s="933"/>
      <c r="U342" s="934"/>
      <c r="V342" s="934"/>
      <c r="W342" s="935"/>
      <c r="X342" s="936"/>
      <c r="Y342" s="937"/>
      <c r="Z342" s="937"/>
      <c r="AA342" s="938"/>
      <c r="AB342" s="594"/>
      <c r="AC342" s="595"/>
      <c r="AD342" s="596"/>
      <c r="AE342" s="779"/>
      <c r="AF342" s="939"/>
      <c r="AG342" s="780"/>
      <c r="AH342" s="941"/>
      <c r="AI342" s="942"/>
      <c r="AJ342" s="943"/>
      <c r="AK342" s="745"/>
      <c r="AL342" s="940"/>
      <c r="AM342" s="746"/>
      <c r="AN342" s="281"/>
      <c r="AO342" s="282"/>
      <c r="AP342" s="281"/>
      <c r="AQ342" s="282"/>
      <c r="AR342" s="281"/>
      <c r="AS342" s="282"/>
      <c r="AT342" s="281"/>
      <c r="AU342" s="282"/>
      <c r="AV342" s="281"/>
      <c r="AW342" s="282"/>
      <c r="AX342" s="281"/>
      <c r="AY342" s="282"/>
      <c r="AZ342" s="117"/>
      <c r="BA342" s="331"/>
      <c r="BB342" s="117"/>
      <c r="BC342" s="331"/>
      <c r="BD342" s="117"/>
      <c r="BE342" s="331"/>
      <c r="BF342" s="117"/>
      <c r="BG342" s="331"/>
      <c r="BH342" s="117"/>
      <c r="BI342" s="944" t="s">
        <v>212</v>
      </c>
      <c r="BJ342" s="944"/>
      <c r="BK342" s="944"/>
      <c r="BL342" s="944"/>
      <c r="BM342" s="944"/>
      <c r="BN342" s="944"/>
      <c r="BO342" s="944"/>
      <c r="BP342" s="944"/>
      <c r="BQ342" s="944"/>
      <c r="BR342" s="944"/>
      <c r="BS342" s="944"/>
      <c r="BT342" s="944"/>
      <c r="BU342" s="944"/>
      <c r="BV342" s="945"/>
    </row>
    <row r="343" spans="1:74" ht="30" customHeight="1" x14ac:dyDescent="0.25">
      <c r="A343" s="200">
        <f t="shared" si="5"/>
        <v>329</v>
      </c>
      <c r="B343" s="294" t="s">
        <v>162</v>
      </c>
      <c r="C343" s="295"/>
      <c r="D343" s="936"/>
      <c r="E343" s="937"/>
      <c r="F343" s="937"/>
      <c r="G343" s="937"/>
      <c r="H343" s="937"/>
      <c r="I343" s="937"/>
      <c r="J343" s="937"/>
      <c r="K343" s="938"/>
      <c r="L343" s="932"/>
      <c r="M343" s="932"/>
      <c r="N343" s="932"/>
      <c r="O343" s="932"/>
      <c r="P343" s="931"/>
      <c r="Q343" s="931"/>
      <c r="R343" s="931"/>
      <c r="S343" s="931"/>
      <c r="T343" s="933"/>
      <c r="U343" s="934"/>
      <c r="V343" s="934"/>
      <c r="W343" s="935"/>
      <c r="X343" s="936"/>
      <c r="Y343" s="937"/>
      <c r="Z343" s="937"/>
      <c r="AA343" s="938"/>
      <c r="AB343" s="594"/>
      <c r="AC343" s="595"/>
      <c r="AD343" s="596"/>
      <c r="AE343" s="779"/>
      <c r="AF343" s="939"/>
      <c r="AG343" s="780"/>
      <c r="AH343" s="941"/>
      <c r="AI343" s="942"/>
      <c r="AJ343" s="943"/>
      <c r="AK343" s="745"/>
      <c r="AL343" s="940"/>
      <c r="AM343" s="746"/>
      <c r="AN343" s="281"/>
      <c r="AO343" s="282"/>
      <c r="AP343" s="281"/>
      <c r="AQ343" s="282"/>
      <c r="AR343" s="281"/>
      <c r="AS343" s="282"/>
      <c r="AT343" s="281"/>
      <c r="AU343" s="282"/>
      <c r="AV343" s="281"/>
      <c r="AW343" s="282"/>
      <c r="AX343" s="281"/>
      <c r="AY343" s="282"/>
      <c r="AZ343" s="117"/>
      <c r="BA343" s="331"/>
      <c r="BB343" s="117"/>
      <c r="BC343" s="331"/>
      <c r="BD343" s="117"/>
      <c r="BE343" s="331"/>
      <c r="BF343" s="117"/>
      <c r="BG343" s="331"/>
      <c r="BH343" s="117"/>
      <c r="BI343" s="944" t="s">
        <v>212</v>
      </c>
      <c r="BJ343" s="944"/>
      <c r="BK343" s="944"/>
      <c r="BL343" s="944"/>
      <c r="BM343" s="944"/>
      <c r="BN343" s="944"/>
      <c r="BO343" s="944"/>
      <c r="BP343" s="944"/>
      <c r="BQ343" s="944"/>
      <c r="BR343" s="944"/>
      <c r="BS343" s="944"/>
      <c r="BT343" s="944"/>
      <c r="BU343" s="944"/>
      <c r="BV343" s="945"/>
    </row>
    <row r="344" spans="1:74" ht="30" customHeight="1" x14ac:dyDescent="0.25">
      <c r="A344" s="200">
        <f t="shared" si="5"/>
        <v>330</v>
      </c>
      <c r="B344" s="294" t="s">
        <v>162</v>
      </c>
      <c r="C344" s="295"/>
      <c r="D344" s="936"/>
      <c r="E344" s="937"/>
      <c r="F344" s="937"/>
      <c r="G344" s="937"/>
      <c r="H344" s="937"/>
      <c r="I344" s="937"/>
      <c r="J344" s="937"/>
      <c r="K344" s="938"/>
      <c r="L344" s="932"/>
      <c r="M344" s="932"/>
      <c r="N344" s="932"/>
      <c r="O344" s="932"/>
      <c r="P344" s="931"/>
      <c r="Q344" s="931"/>
      <c r="R344" s="931"/>
      <c r="S344" s="931"/>
      <c r="T344" s="933"/>
      <c r="U344" s="934"/>
      <c r="V344" s="934"/>
      <c r="W344" s="935"/>
      <c r="X344" s="936"/>
      <c r="Y344" s="937"/>
      <c r="Z344" s="937"/>
      <c r="AA344" s="938"/>
      <c r="AB344" s="594"/>
      <c r="AC344" s="595"/>
      <c r="AD344" s="596"/>
      <c r="AE344" s="779"/>
      <c r="AF344" s="939"/>
      <c r="AG344" s="780"/>
      <c r="AH344" s="941"/>
      <c r="AI344" s="942"/>
      <c r="AJ344" s="943"/>
      <c r="AK344" s="745"/>
      <c r="AL344" s="940"/>
      <c r="AM344" s="746"/>
      <c r="AN344" s="281"/>
      <c r="AO344" s="282"/>
      <c r="AP344" s="281"/>
      <c r="AQ344" s="282"/>
      <c r="AR344" s="281"/>
      <c r="AS344" s="282"/>
      <c r="AT344" s="281"/>
      <c r="AU344" s="282"/>
      <c r="AV344" s="281"/>
      <c r="AW344" s="282"/>
      <c r="AX344" s="281"/>
      <c r="AY344" s="282"/>
      <c r="AZ344" s="117"/>
      <c r="BA344" s="331"/>
      <c r="BB344" s="117"/>
      <c r="BC344" s="331"/>
      <c r="BD344" s="117"/>
      <c r="BE344" s="331"/>
      <c r="BF344" s="117"/>
      <c r="BG344" s="331"/>
      <c r="BH344" s="117"/>
      <c r="BI344" s="944" t="s">
        <v>212</v>
      </c>
      <c r="BJ344" s="944"/>
      <c r="BK344" s="944"/>
      <c r="BL344" s="944"/>
      <c r="BM344" s="944"/>
      <c r="BN344" s="944"/>
      <c r="BO344" s="944"/>
      <c r="BP344" s="944"/>
      <c r="BQ344" s="944"/>
      <c r="BR344" s="944"/>
      <c r="BS344" s="944"/>
      <c r="BT344" s="944"/>
      <c r="BU344" s="944"/>
      <c r="BV344" s="945"/>
    </row>
    <row r="345" spans="1:74" ht="30" customHeight="1" x14ac:dyDescent="0.25">
      <c r="A345" s="200">
        <f t="shared" si="5"/>
        <v>331</v>
      </c>
      <c r="B345" s="294" t="s">
        <v>162</v>
      </c>
      <c r="C345" s="295"/>
      <c r="D345" s="936"/>
      <c r="E345" s="937"/>
      <c r="F345" s="937"/>
      <c r="G345" s="937"/>
      <c r="H345" s="937"/>
      <c r="I345" s="937"/>
      <c r="J345" s="937"/>
      <c r="K345" s="938"/>
      <c r="L345" s="932"/>
      <c r="M345" s="932"/>
      <c r="N345" s="932"/>
      <c r="O345" s="932"/>
      <c r="P345" s="931"/>
      <c r="Q345" s="931"/>
      <c r="R345" s="931"/>
      <c r="S345" s="931"/>
      <c r="T345" s="933"/>
      <c r="U345" s="934"/>
      <c r="V345" s="934"/>
      <c r="W345" s="935"/>
      <c r="X345" s="936"/>
      <c r="Y345" s="937"/>
      <c r="Z345" s="937"/>
      <c r="AA345" s="938"/>
      <c r="AB345" s="594"/>
      <c r="AC345" s="595"/>
      <c r="AD345" s="596"/>
      <c r="AE345" s="779"/>
      <c r="AF345" s="939"/>
      <c r="AG345" s="780"/>
      <c r="AH345" s="941"/>
      <c r="AI345" s="942"/>
      <c r="AJ345" s="943"/>
      <c r="AK345" s="745"/>
      <c r="AL345" s="940"/>
      <c r="AM345" s="746"/>
      <c r="AN345" s="281"/>
      <c r="AO345" s="282"/>
      <c r="AP345" s="281"/>
      <c r="AQ345" s="282"/>
      <c r="AR345" s="281"/>
      <c r="AS345" s="282"/>
      <c r="AT345" s="281"/>
      <c r="AU345" s="282"/>
      <c r="AV345" s="281"/>
      <c r="AW345" s="282"/>
      <c r="AX345" s="281"/>
      <c r="AY345" s="282"/>
      <c r="AZ345" s="117"/>
      <c r="BA345" s="331"/>
      <c r="BB345" s="117"/>
      <c r="BC345" s="331"/>
      <c r="BD345" s="117"/>
      <c r="BE345" s="331"/>
      <c r="BF345" s="117"/>
      <c r="BG345" s="331"/>
      <c r="BH345" s="117"/>
      <c r="BI345" s="944" t="s">
        <v>212</v>
      </c>
      <c r="BJ345" s="944"/>
      <c r="BK345" s="944"/>
      <c r="BL345" s="944"/>
      <c r="BM345" s="944"/>
      <c r="BN345" s="944"/>
      <c r="BO345" s="944"/>
      <c r="BP345" s="944"/>
      <c r="BQ345" s="944"/>
      <c r="BR345" s="944"/>
      <c r="BS345" s="944"/>
      <c r="BT345" s="944"/>
      <c r="BU345" s="944"/>
      <c r="BV345" s="945"/>
    </row>
    <row r="346" spans="1:74" ht="30" customHeight="1" x14ac:dyDescent="0.25">
      <c r="A346" s="200">
        <f t="shared" si="5"/>
        <v>332</v>
      </c>
      <c r="B346" s="294" t="s">
        <v>162</v>
      </c>
      <c r="C346" s="295"/>
      <c r="D346" s="936"/>
      <c r="E346" s="937"/>
      <c r="F346" s="937"/>
      <c r="G346" s="937"/>
      <c r="H346" s="937"/>
      <c r="I346" s="937"/>
      <c r="J346" s="937"/>
      <c r="K346" s="938"/>
      <c r="L346" s="932"/>
      <c r="M346" s="932"/>
      <c r="N346" s="932"/>
      <c r="O346" s="932"/>
      <c r="P346" s="931"/>
      <c r="Q346" s="931"/>
      <c r="R346" s="931"/>
      <c r="S346" s="931"/>
      <c r="T346" s="933"/>
      <c r="U346" s="934"/>
      <c r="V346" s="934"/>
      <c r="W346" s="935"/>
      <c r="X346" s="936"/>
      <c r="Y346" s="937"/>
      <c r="Z346" s="937"/>
      <c r="AA346" s="938"/>
      <c r="AB346" s="594"/>
      <c r="AC346" s="595"/>
      <c r="AD346" s="596"/>
      <c r="AE346" s="779"/>
      <c r="AF346" s="939"/>
      <c r="AG346" s="780"/>
      <c r="AH346" s="941"/>
      <c r="AI346" s="942"/>
      <c r="AJ346" s="943"/>
      <c r="AK346" s="745"/>
      <c r="AL346" s="940"/>
      <c r="AM346" s="746"/>
      <c r="AN346" s="281"/>
      <c r="AO346" s="282"/>
      <c r="AP346" s="281"/>
      <c r="AQ346" s="282"/>
      <c r="AR346" s="281"/>
      <c r="AS346" s="282"/>
      <c r="AT346" s="281"/>
      <c r="AU346" s="282"/>
      <c r="AV346" s="281"/>
      <c r="AW346" s="282"/>
      <c r="AX346" s="281"/>
      <c r="AY346" s="282"/>
      <c r="AZ346" s="117"/>
      <c r="BA346" s="331"/>
      <c r="BB346" s="117"/>
      <c r="BC346" s="331"/>
      <c r="BD346" s="117"/>
      <c r="BE346" s="331"/>
      <c r="BF346" s="117"/>
      <c r="BG346" s="331"/>
      <c r="BH346" s="117"/>
      <c r="BI346" s="944" t="s">
        <v>159</v>
      </c>
      <c r="BJ346" s="944"/>
      <c r="BK346" s="944"/>
      <c r="BL346" s="944"/>
      <c r="BM346" s="944"/>
      <c r="BN346" s="944"/>
      <c r="BO346" s="944"/>
      <c r="BP346" s="944"/>
      <c r="BQ346" s="944"/>
      <c r="BR346" s="944"/>
      <c r="BS346" s="944"/>
      <c r="BT346" s="944"/>
      <c r="BU346" s="944"/>
      <c r="BV346" s="945"/>
    </row>
    <row r="347" spans="1:74" ht="30" customHeight="1" x14ac:dyDescent="0.25">
      <c r="A347" s="200">
        <f t="shared" si="5"/>
        <v>333</v>
      </c>
      <c r="B347" s="294" t="s">
        <v>162</v>
      </c>
      <c r="C347" s="295"/>
      <c r="D347" s="936"/>
      <c r="E347" s="937"/>
      <c r="F347" s="937"/>
      <c r="G347" s="937"/>
      <c r="H347" s="937"/>
      <c r="I347" s="937"/>
      <c r="J347" s="937"/>
      <c r="K347" s="938"/>
      <c r="L347" s="932"/>
      <c r="M347" s="932"/>
      <c r="N347" s="932"/>
      <c r="O347" s="932"/>
      <c r="P347" s="931"/>
      <c r="Q347" s="931"/>
      <c r="R347" s="931"/>
      <c r="S347" s="931"/>
      <c r="T347" s="933"/>
      <c r="U347" s="934"/>
      <c r="V347" s="934"/>
      <c r="W347" s="935"/>
      <c r="X347" s="936"/>
      <c r="Y347" s="937"/>
      <c r="Z347" s="937"/>
      <c r="AA347" s="938"/>
      <c r="AB347" s="594"/>
      <c r="AC347" s="595"/>
      <c r="AD347" s="596"/>
      <c r="AE347" s="779"/>
      <c r="AF347" s="939"/>
      <c r="AG347" s="780"/>
      <c r="AH347" s="941"/>
      <c r="AI347" s="942"/>
      <c r="AJ347" s="943"/>
      <c r="AK347" s="745"/>
      <c r="AL347" s="940"/>
      <c r="AM347" s="746"/>
      <c r="AN347" s="281"/>
      <c r="AO347" s="282"/>
      <c r="AP347" s="281"/>
      <c r="AQ347" s="282"/>
      <c r="AR347" s="281"/>
      <c r="AS347" s="282"/>
      <c r="AT347" s="281"/>
      <c r="AU347" s="282"/>
      <c r="AV347" s="281"/>
      <c r="AW347" s="282"/>
      <c r="AX347" s="281"/>
      <c r="AY347" s="282"/>
      <c r="AZ347" s="117"/>
      <c r="BA347" s="331"/>
      <c r="BB347" s="117"/>
      <c r="BC347" s="331"/>
      <c r="BD347" s="117"/>
      <c r="BE347" s="331"/>
      <c r="BF347" s="117"/>
      <c r="BG347" s="331"/>
      <c r="BH347" s="117"/>
      <c r="BI347" s="944" t="s">
        <v>159</v>
      </c>
      <c r="BJ347" s="944"/>
      <c r="BK347" s="944"/>
      <c r="BL347" s="944"/>
      <c r="BM347" s="944"/>
      <c r="BN347" s="944"/>
      <c r="BO347" s="944"/>
      <c r="BP347" s="944"/>
      <c r="BQ347" s="944"/>
      <c r="BR347" s="944"/>
      <c r="BS347" s="944"/>
      <c r="BT347" s="944"/>
      <c r="BU347" s="944"/>
      <c r="BV347" s="945"/>
    </row>
    <row r="348" spans="1:74" ht="30" customHeight="1" x14ac:dyDescent="0.25">
      <c r="A348" s="232">
        <f t="shared" si="5"/>
        <v>334</v>
      </c>
      <c r="B348" s="294" t="s">
        <v>162</v>
      </c>
      <c r="C348" s="295"/>
      <c r="D348" s="936"/>
      <c r="E348" s="937"/>
      <c r="F348" s="937"/>
      <c r="G348" s="937"/>
      <c r="H348" s="937"/>
      <c r="I348" s="937"/>
      <c r="J348" s="937"/>
      <c r="K348" s="938"/>
      <c r="L348" s="932"/>
      <c r="M348" s="932"/>
      <c r="N348" s="932"/>
      <c r="O348" s="932"/>
      <c r="P348" s="931"/>
      <c r="Q348" s="931"/>
      <c r="R348" s="931"/>
      <c r="S348" s="931"/>
      <c r="T348" s="933"/>
      <c r="U348" s="934"/>
      <c r="V348" s="934"/>
      <c r="W348" s="935"/>
      <c r="X348" s="936"/>
      <c r="Y348" s="937"/>
      <c r="Z348" s="937"/>
      <c r="AA348" s="938"/>
      <c r="AB348" s="594"/>
      <c r="AC348" s="595"/>
      <c r="AD348" s="596"/>
      <c r="AE348" s="779"/>
      <c r="AF348" s="939"/>
      <c r="AG348" s="780"/>
      <c r="AH348" s="941"/>
      <c r="AI348" s="942"/>
      <c r="AJ348" s="943"/>
      <c r="AK348" s="745"/>
      <c r="AL348" s="940"/>
      <c r="AM348" s="746"/>
      <c r="AN348" s="281"/>
      <c r="AO348" s="282"/>
      <c r="AP348" s="281"/>
      <c r="AQ348" s="282"/>
      <c r="AR348" s="281"/>
      <c r="AS348" s="282"/>
      <c r="AT348" s="281"/>
      <c r="AU348" s="282"/>
      <c r="AV348" s="281"/>
      <c r="AW348" s="282"/>
      <c r="AX348" s="281"/>
      <c r="AY348" s="282"/>
      <c r="AZ348" s="117"/>
      <c r="BA348" s="331"/>
      <c r="BB348" s="117"/>
      <c r="BC348" s="331"/>
      <c r="BD348" s="117"/>
      <c r="BE348" s="331"/>
      <c r="BF348" s="117"/>
      <c r="BG348" s="331"/>
      <c r="BH348" s="117"/>
      <c r="BI348" s="944" t="s">
        <v>212</v>
      </c>
      <c r="BJ348" s="944"/>
      <c r="BK348" s="944"/>
      <c r="BL348" s="944"/>
      <c r="BM348" s="944"/>
      <c r="BN348" s="944"/>
      <c r="BO348" s="944"/>
      <c r="BP348" s="944"/>
      <c r="BQ348" s="944"/>
      <c r="BR348" s="944"/>
      <c r="BS348" s="944"/>
      <c r="BT348" s="944"/>
      <c r="BU348" s="944"/>
      <c r="BV348" s="945"/>
    </row>
    <row r="349" spans="1:74" ht="30" customHeight="1" x14ac:dyDescent="0.25">
      <c r="A349" s="200">
        <f t="shared" si="5"/>
        <v>335</v>
      </c>
      <c r="B349" s="294" t="s">
        <v>162</v>
      </c>
      <c r="C349" s="295"/>
      <c r="D349" s="936"/>
      <c r="E349" s="937"/>
      <c r="F349" s="937"/>
      <c r="G349" s="937"/>
      <c r="H349" s="937"/>
      <c r="I349" s="937"/>
      <c r="J349" s="937"/>
      <c r="K349" s="938"/>
      <c r="L349" s="932"/>
      <c r="M349" s="932"/>
      <c r="N349" s="932"/>
      <c r="O349" s="932"/>
      <c r="P349" s="931"/>
      <c r="Q349" s="931"/>
      <c r="R349" s="931"/>
      <c r="S349" s="931"/>
      <c r="T349" s="933"/>
      <c r="U349" s="934"/>
      <c r="V349" s="934"/>
      <c r="W349" s="935"/>
      <c r="X349" s="936"/>
      <c r="Y349" s="937"/>
      <c r="Z349" s="937"/>
      <c r="AA349" s="938"/>
      <c r="AB349" s="594"/>
      <c r="AC349" s="595"/>
      <c r="AD349" s="596"/>
      <c r="AE349" s="779"/>
      <c r="AF349" s="939"/>
      <c r="AG349" s="780"/>
      <c r="AH349" s="941"/>
      <c r="AI349" s="942"/>
      <c r="AJ349" s="943"/>
      <c r="AK349" s="745"/>
      <c r="AL349" s="940"/>
      <c r="AM349" s="746"/>
      <c r="AN349" s="281"/>
      <c r="AO349" s="282"/>
      <c r="AP349" s="281"/>
      <c r="AQ349" s="282"/>
      <c r="AR349" s="281"/>
      <c r="AS349" s="282"/>
      <c r="AT349" s="281"/>
      <c r="AU349" s="282"/>
      <c r="AV349" s="281"/>
      <c r="AW349" s="282"/>
      <c r="AX349" s="281"/>
      <c r="AY349" s="282"/>
      <c r="AZ349" s="117"/>
      <c r="BA349" s="331"/>
      <c r="BB349" s="117"/>
      <c r="BC349" s="331"/>
      <c r="BD349" s="117"/>
      <c r="BE349" s="331"/>
      <c r="BF349" s="117"/>
      <c r="BG349" s="331"/>
      <c r="BH349" s="117"/>
      <c r="BI349" s="944" t="s">
        <v>212</v>
      </c>
      <c r="BJ349" s="944"/>
      <c r="BK349" s="944"/>
      <c r="BL349" s="944"/>
      <c r="BM349" s="944"/>
      <c r="BN349" s="944"/>
      <c r="BO349" s="944"/>
      <c r="BP349" s="944"/>
      <c r="BQ349" s="944"/>
      <c r="BR349" s="944"/>
      <c r="BS349" s="944"/>
      <c r="BT349" s="944"/>
      <c r="BU349" s="944"/>
      <c r="BV349" s="945"/>
    </row>
    <row r="350" spans="1:74" ht="30" customHeight="1" x14ac:dyDescent="0.25">
      <c r="A350" s="200">
        <f t="shared" si="5"/>
        <v>336</v>
      </c>
      <c r="B350" s="294" t="s">
        <v>162</v>
      </c>
      <c r="C350" s="295"/>
      <c r="D350" s="936"/>
      <c r="E350" s="937"/>
      <c r="F350" s="937"/>
      <c r="G350" s="937"/>
      <c r="H350" s="937"/>
      <c r="I350" s="937"/>
      <c r="J350" s="937"/>
      <c r="K350" s="938"/>
      <c r="L350" s="932"/>
      <c r="M350" s="932"/>
      <c r="N350" s="932"/>
      <c r="O350" s="932"/>
      <c r="P350" s="931"/>
      <c r="Q350" s="931"/>
      <c r="R350" s="931"/>
      <c r="S350" s="931"/>
      <c r="T350" s="933"/>
      <c r="U350" s="934"/>
      <c r="V350" s="934"/>
      <c r="W350" s="935"/>
      <c r="X350" s="936"/>
      <c r="Y350" s="937"/>
      <c r="Z350" s="937"/>
      <c r="AA350" s="938"/>
      <c r="AB350" s="594"/>
      <c r="AC350" s="595"/>
      <c r="AD350" s="596"/>
      <c r="AE350" s="779"/>
      <c r="AF350" s="939"/>
      <c r="AG350" s="780"/>
      <c r="AH350" s="941"/>
      <c r="AI350" s="942"/>
      <c r="AJ350" s="943"/>
      <c r="AK350" s="745"/>
      <c r="AL350" s="940"/>
      <c r="AM350" s="746"/>
      <c r="AN350" s="281"/>
      <c r="AO350" s="282"/>
      <c r="AP350" s="281"/>
      <c r="AQ350" s="282"/>
      <c r="AR350" s="281"/>
      <c r="AS350" s="282"/>
      <c r="AT350" s="281"/>
      <c r="AU350" s="282"/>
      <c r="AV350" s="281"/>
      <c r="AW350" s="282"/>
      <c r="AX350" s="281"/>
      <c r="AY350" s="282"/>
      <c r="AZ350" s="117"/>
      <c r="BA350" s="331"/>
      <c r="BB350" s="117"/>
      <c r="BC350" s="331"/>
      <c r="BD350" s="117"/>
      <c r="BE350" s="331"/>
      <c r="BF350" s="117"/>
      <c r="BG350" s="331"/>
      <c r="BH350" s="117"/>
      <c r="BI350" s="944" t="s">
        <v>212</v>
      </c>
      <c r="BJ350" s="944"/>
      <c r="BK350" s="944"/>
      <c r="BL350" s="944"/>
      <c r="BM350" s="944"/>
      <c r="BN350" s="944"/>
      <c r="BO350" s="944"/>
      <c r="BP350" s="944"/>
      <c r="BQ350" s="944"/>
      <c r="BR350" s="944"/>
      <c r="BS350" s="944"/>
      <c r="BT350" s="944"/>
      <c r="BU350" s="944"/>
      <c r="BV350" s="945"/>
    </row>
    <row r="351" spans="1:74" ht="30" customHeight="1" x14ac:dyDescent="0.25">
      <c r="A351" s="200">
        <f t="shared" si="5"/>
        <v>337</v>
      </c>
      <c r="B351" s="294" t="s">
        <v>162</v>
      </c>
      <c r="C351" s="295"/>
      <c r="D351" s="936"/>
      <c r="E351" s="937"/>
      <c r="F351" s="937"/>
      <c r="G351" s="937"/>
      <c r="H351" s="937"/>
      <c r="I351" s="937"/>
      <c r="J351" s="937"/>
      <c r="K351" s="938"/>
      <c r="L351" s="932"/>
      <c r="M351" s="932"/>
      <c r="N351" s="932"/>
      <c r="O351" s="932"/>
      <c r="P351" s="931"/>
      <c r="Q351" s="931"/>
      <c r="R351" s="931"/>
      <c r="S351" s="931"/>
      <c r="T351" s="933"/>
      <c r="U351" s="934"/>
      <c r="V351" s="934"/>
      <c r="W351" s="935"/>
      <c r="X351" s="936"/>
      <c r="Y351" s="937"/>
      <c r="Z351" s="937"/>
      <c r="AA351" s="938"/>
      <c r="AB351" s="594"/>
      <c r="AC351" s="595"/>
      <c r="AD351" s="596"/>
      <c r="AE351" s="779"/>
      <c r="AF351" s="939"/>
      <c r="AG351" s="780"/>
      <c r="AH351" s="941"/>
      <c r="AI351" s="942"/>
      <c r="AJ351" s="943"/>
      <c r="AK351" s="745"/>
      <c r="AL351" s="940"/>
      <c r="AM351" s="746"/>
      <c r="AN351" s="281"/>
      <c r="AO351" s="282"/>
      <c r="AP351" s="281"/>
      <c r="AQ351" s="282"/>
      <c r="AR351" s="281"/>
      <c r="AS351" s="282"/>
      <c r="AT351" s="281"/>
      <c r="AU351" s="282"/>
      <c r="AV351" s="281"/>
      <c r="AW351" s="282"/>
      <c r="AX351" s="281"/>
      <c r="AY351" s="282"/>
      <c r="AZ351" s="117"/>
      <c r="BA351" s="331"/>
      <c r="BB351" s="117"/>
      <c r="BC351" s="331"/>
      <c r="BD351" s="117"/>
      <c r="BE351" s="331"/>
      <c r="BF351" s="117"/>
      <c r="BG351" s="331"/>
      <c r="BH351" s="117"/>
      <c r="BI351" s="944" t="s">
        <v>212</v>
      </c>
      <c r="BJ351" s="944"/>
      <c r="BK351" s="944"/>
      <c r="BL351" s="944"/>
      <c r="BM351" s="944"/>
      <c r="BN351" s="944"/>
      <c r="BO351" s="944"/>
      <c r="BP351" s="944"/>
      <c r="BQ351" s="944"/>
      <c r="BR351" s="944"/>
      <c r="BS351" s="944"/>
      <c r="BT351" s="944"/>
      <c r="BU351" s="944"/>
      <c r="BV351" s="945"/>
    </row>
    <row r="352" spans="1:74" ht="30" customHeight="1" x14ac:dyDescent="0.25">
      <c r="A352" s="200">
        <f t="shared" si="5"/>
        <v>338</v>
      </c>
      <c r="B352" s="294" t="s">
        <v>162</v>
      </c>
      <c r="C352" s="295"/>
      <c r="D352" s="936"/>
      <c r="E352" s="937"/>
      <c r="F352" s="937"/>
      <c r="G352" s="937"/>
      <c r="H352" s="937"/>
      <c r="I352" s="937"/>
      <c r="J352" s="937"/>
      <c r="K352" s="938"/>
      <c r="L352" s="932"/>
      <c r="M352" s="932"/>
      <c r="N352" s="932"/>
      <c r="O352" s="932"/>
      <c r="P352" s="931"/>
      <c r="Q352" s="931"/>
      <c r="R352" s="931"/>
      <c r="S352" s="931"/>
      <c r="T352" s="933"/>
      <c r="U352" s="934"/>
      <c r="V352" s="934"/>
      <c r="W352" s="935"/>
      <c r="X352" s="936"/>
      <c r="Y352" s="937"/>
      <c r="Z352" s="937"/>
      <c r="AA352" s="938"/>
      <c r="AB352" s="594"/>
      <c r="AC352" s="595"/>
      <c r="AD352" s="596"/>
      <c r="AE352" s="779"/>
      <c r="AF352" s="939"/>
      <c r="AG352" s="780"/>
      <c r="AH352" s="941"/>
      <c r="AI352" s="942"/>
      <c r="AJ352" s="943"/>
      <c r="AK352" s="745"/>
      <c r="AL352" s="940"/>
      <c r="AM352" s="746"/>
      <c r="AN352" s="281"/>
      <c r="AO352" s="282"/>
      <c r="AP352" s="281"/>
      <c r="AQ352" s="282"/>
      <c r="AR352" s="281"/>
      <c r="AS352" s="282"/>
      <c r="AT352" s="281"/>
      <c r="AU352" s="282"/>
      <c r="AV352" s="281"/>
      <c r="AW352" s="282"/>
      <c r="AX352" s="281"/>
      <c r="AY352" s="282"/>
      <c r="AZ352" s="117"/>
      <c r="BA352" s="331"/>
      <c r="BB352" s="117"/>
      <c r="BC352" s="331"/>
      <c r="BD352" s="117"/>
      <c r="BE352" s="331"/>
      <c r="BF352" s="117"/>
      <c r="BG352" s="331"/>
      <c r="BH352" s="117"/>
      <c r="BI352" s="944" t="s">
        <v>212</v>
      </c>
      <c r="BJ352" s="944"/>
      <c r="BK352" s="944"/>
      <c r="BL352" s="944"/>
      <c r="BM352" s="944"/>
      <c r="BN352" s="944"/>
      <c r="BO352" s="944"/>
      <c r="BP352" s="944"/>
      <c r="BQ352" s="944"/>
      <c r="BR352" s="944"/>
      <c r="BS352" s="944"/>
      <c r="BT352" s="944"/>
      <c r="BU352" s="944"/>
      <c r="BV352" s="945"/>
    </row>
    <row r="353" spans="1:74" ht="30" customHeight="1" x14ac:dyDescent="0.25">
      <c r="A353" s="200">
        <f t="shared" si="5"/>
        <v>339</v>
      </c>
      <c r="B353" s="294" t="s">
        <v>162</v>
      </c>
      <c r="C353" s="295"/>
      <c r="D353" s="936"/>
      <c r="E353" s="937"/>
      <c r="F353" s="937"/>
      <c r="G353" s="937"/>
      <c r="H353" s="937"/>
      <c r="I353" s="937"/>
      <c r="J353" s="937"/>
      <c r="K353" s="938"/>
      <c r="L353" s="932"/>
      <c r="M353" s="932"/>
      <c r="N353" s="932"/>
      <c r="O353" s="932"/>
      <c r="P353" s="931"/>
      <c r="Q353" s="931"/>
      <c r="R353" s="931"/>
      <c r="S353" s="931"/>
      <c r="T353" s="933"/>
      <c r="U353" s="934"/>
      <c r="V353" s="934"/>
      <c r="W353" s="935"/>
      <c r="X353" s="936"/>
      <c r="Y353" s="937"/>
      <c r="Z353" s="937"/>
      <c r="AA353" s="938"/>
      <c r="AB353" s="594"/>
      <c r="AC353" s="595"/>
      <c r="AD353" s="596"/>
      <c r="AE353" s="779"/>
      <c r="AF353" s="939"/>
      <c r="AG353" s="780"/>
      <c r="AH353" s="941"/>
      <c r="AI353" s="942"/>
      <c r="AJ353" s="943"/>
      <c r="AK353" s="745"/>
      <c r="AL353" s="940"/>
      <c r="AM353" s="746"/>
      <c r="AN353" s="281"/>
      <c r="AO353" s="282"/>
      <c r="AP353" s="281"/>
      <c r="AQ353" s="282"/>
      <c r="AR353" s="281"/>
      <c r="AS353" s="282"/>
      <c r="AT353" s="281"/>
      <c r="AU353" s="282"/>
      <c r="AV353" s="281"/>
      <c r="AW353" s="282"/>
      <c r="AX353" s="281"/>
      <c r="AY353" s="282"/>
      <c r="AZ353" s="117"/>
      <c r="BA353" s="331"/>
      <c r="BB353" s="117"/>
      <c r="BC353" s="331"/>
      <c r="BD353" s="117"/>
      <c r="BE353" s="331"/>
      <c r="BF353" s="117"/>
      <c r="BG353" s="331"/>
      <c r="BH353" s="117"/>
      <c r="BI353" s="944" t="s">
        <v>159</v>
      </c>
      <c r="BJ353" s="944"/>
      <c r="BK353" s="944"/>
      <c r="BL353" s="944"/>
      <c r="BM353" s="944"/>
      <c r="BN353" s="944"/>
      <c r="BO353" s="944"/>
      <c r="BP353" s="944"/>
      <c r="BQ353" s="944"/>
      <c r="BR353" s="944"/>
      <c r="BS353" s="944"/>
      <c r="BT353" s="944"/>
      <c r="BU353" s="944"/>
      <c r="BV353" s="945"/>
    </row>
    <row r="354" spans="1:74" ht="30" customHeight="1" x14ac:dyDescent="0.25">
      <c r="A354" s="200">
        <f t="shared" si="5"/>
        <v>340</v>
      </c>
      <c r="B354" s="294" t="s">
        <v>162</v>
      </c>
      <c r="C354" s="295"/>
      <c r="D354" s="936"/>
      <c r="E354" s="937"/>
      <c r="F354" s="937"/>
      <c r="G354" s="937"/>
      <c r="H354" s="937"/>
      <c r="I354" s="937"/>
      <c r="J354" s="937"/>
      <c r="K354" s="938"/>
      <c r="L354" s="932"/>
      <c r="M354" s="932"/>
      <c r="N354" s="932"/>
      <c r="O354" s="932"/>
      <c r="P354" s="931"/>
      <c r="Q354" s="931"/>
      <c r="R354" s="931"/>
      <c r="S354" s="931"/>
      <c r="T354" s="933"/>
      <c r="U354" s="934"/>
      <c r="V354" s="934"/>
      <c r="W354" s="935"/>
      <c r="X354" s="936"/>
      <c r="Y354" s="937"/>
      <c r="Z354" s="937"/>
      <c r="AA354" s="938"/>
      <c r="AB354" s="594"/>
      <c r="AC354" s="595"/>
      <c r="AD354" s="596"/>
      <c r="AE354" s="779"/>
      <c r="AF354" s="939"/>
      <c r="AG354" s="780"/>
      <c r="AH354" s="941"/>
      <c r="AI354" s="942"/>
      <c r="AJ354" s="943"/>
      <c r="AK354" s="745"/>
      <c r="AL354" s="940"/>
      <c r="AM354" s="746"/>
      <c r="AN354" s="281"/>
      <c r="AO354" s="282"/>
      <c r="AP354" s="281"/>
      <c r="AQ354" s="282"/>
      <c r="AR354" s="281"/>
      <c r="AS354" s="282"/>
      <c r="AT354" s="281"/>
      <c r="AU354" s="282"/>
      <c r="AV354" s="281"/>
      <c r="AW354" s="282"/>
      <c r="AX354" s="281"/>
      <c r="AY354" s="282"/>
      <c r="AZ354" s="117"/>
      <c r="BA354" s="331"/>
      <c r="BB354" s="117"/>
      <c r="BC354" s="331"/>
      <c r="BD354" s="117"/>
      <c r="BE354" s="331"/>
      <c r="BF354" s="117"/>
      <c r="BG354" s="331"/>
      <c r="BH354" s="117"/>
      <c r="BI354" s="944" t="s">
        <v>159</v>
      </c>
      <c r="BJ354" s="944"/>
      <c r="BK354" s="944"/>
      <c r="BL354" s="944"/>
      <c r="BM354" s="944"/>
      <c r="BN354" s="944"/>
      <c r="BO354" s="944"/>
      <c r="BP354" s="944"/>
      <c r="BQ354" s="944"/>
      <c r="BR354" s="944"/>
      <c r="BS354" s="944"/>
      <c r="BT354" s="944"/>
      <c r="BU354" s="944"/>
      <c r="BV354" s="945"/>
    </row>
    <row r="355" spans="1:74" ht="30" customHeight="1" x14ac:dyDescent="0.25">
      <c r="A355" s="232">
        <f t="shared" si="5"/>
        <v>341</v>
      </c>
      <c r="B355" s="294" t="s">
        <v>162</v>
      </c>
      <c r="C355" s="295"/>
      <c r="D355" s="936"/>
      <c r="E355" s="937"/>
      <c r="F355" s="937"/>
      <c r="G355" s="937"/>
      <c r="H355" s="937"/>
      <c r="I355" s="937"/>
      <c r="J355" s="937"/>
      <c r="K355" s="938"/>
      <c r="L355" s="932"/>
      <c r="M355" s="932"/>
      <c r="N355" s="932"/>
      <c r="O355" s="932"/>
      <c r="P355" s="931"/>
      <c r="Q355" s="931"/>
      <c r="R355" s="931"/>
      <c r="S355" s="931"/>
      <c r="T355" s="933"/>
      <c r="U355" s="934"/>
      <c r="V355" s="934"/>
      <c r="W355" s="935"/>
      <c r="X355" s="936"/>
      <c r="Y355" s="937"/>
      <c r="Z355" s="937"/>
      <c r="AA355" s="938"/>
      <c r="AB355" s="594"/>
      <c r="AC355" s="595"/>
      <c r="AD355" s="596"/>
      <c r="AE355" s="779"/>
      <c r="AF355" s="939"/>
      <c r="AG355" s="780"/>
      <c r="AH355" s="941"/>
      <c r="AI355" s="942"/>
      <c r="AJ355" s="943"/>
      <c r="AK355" s="745"/>
      <c r="AL355" s="940"/>
      <c r="AM355" s="746"/>
      <c r="AN355" s="281"/>
      <c r="AO355" s="282"/>
      <c r="AP355" s="281"/>
      <c r="AQ355" s="282"/>
      <c r="AR355" s="281"/>
      <c r="AS355" s="282"/>
      <c r="AT355" s="281"/>
      <c r="AU355" s="282"/>
      <c r="AV355" s="281"/>
      <c r="AW355" s="282"/>
      <c r="AX355" s="281"/>
      <c r="AY355" s="282"/>
      <c r="AZ355" s="117"/>
      <c r="BA355" s="331"/>
      <c r="BB355" s="117"/>
      <c r="BC355" s="331"/>
      <c r="BD355" s="117"/>
      <c r="BE355" s="331"/>
      <c r="BF355" s="117"/>
      <c r="BG355" s="331"/>
      <c r="BH355" s="117"/>
      <c r="BI355" s="944" t="s">
        <v>212</v>
      </c>
      <c r="BJ355" s="944"/>
      <c r="BK355" s="944"/>
      <c r="BL355" s="944"/>
      <c r="BM355" s="944"/>
      <c r="BN355" s="944"/>
      <c r="BO355" s="944"/>
      <c r="BP355" s="944"/>
      <c r="BQ355" s="944"/>
      <c r="BR355" s="944"/>
      <c r="BS355" s="944"/>
      <c r="BT355" s="944"/>
      <c r="BU355" s="944"/>
      <c r="BV355" s="945"/>
    </row>
    <row r="356" spans="1:74" ht="30" customHeight="1" x14ac:dyDescent="0.25">
      <c r="A356" s="200">
        <f t="shared" si="5"/>
        <v>342</v>
      </c>
      <c r="B356" s="294" t="s">
        <v>162</v>
      </c>
      <c r="C356" s="295"/>
      <c r="D356" s="936"/>
      <c r="E356" s="937"/>
      <c r="F356" s="937"/>
      <c r="G356" s="937"/>
      <c r="H356" s="937"/>
      <c r="I356" s="937"/>
      <c r="J356" s="937"/>
      <c r="K356" s="938"/>
      <c r="L356" s="932"/>
      <c r="M356" s="932"/>
      <c r="N356" s="932"/>
      <c r="O356" s="932"/>
      <c r="P356" s="931"/>
      <c r="Q356" s="931"/>
      <c r="R356" s="931"/>
      <c r="S356" s="931"/>
      <c r="T356" s="933"/>
      <c r="U356" s="934"/>
      <c r="V356" s="934"/>
      <c r="W356" s="935"/>
      <c r="X356" s="936"/>
      <c r="Y356" s="937"/>
      <c r="Z356" s="937"/>
      <c r="AA356" s="938"/>
      <c r="AB356" s="594"/>
      <c r="AC356" s="595"/>
      <c r="AD356" s="596"/>
      <c r="AE356" s="779"/>
      <c r="AF356" s="939"/>
      <c r="AG356" s="780"/>
      <c r="AH356" s="941"/>
      <c r="AI356" s="942"/>
      <c r="AJ356" s="943"/>
      <c r="AK356" s="745"/>
      <c r="AL356" s="940"/>
      <c r="AM356" s="746"/>
      <c r="AN356" s="281"/>
      <c r="AO356" s="282"/>
      <c r="AP356" s="281"/>
      <c r="AQ356" s="282"/>
      <c r="AR356" s="281"/>
      <c r="AS356" s="282"/>
      <c r="AT356" s="281"/>
      <c r="AU356" s="282"/>
      <c r="AV356" s="281"/>
      <c r="AW356" s="282"/>
      <c r="AX356" s="281"/>
      <c r="AY356" s="282"/>
      <c r="AZ356" s="117"/>
      <c r="BA356" s="331"/>
      <c r="BB356" s="117"/>
      <c r="BC356" s="331"/>
      <c r="BD356" s="117"/>
      <c r="BE356" s="331"/>
      <c r="BF356" s="117"/>
      <c r="BG356" s="331"/>
      <c r="BH356" s="117"/>
      <c r="BI356" s="944" t="s">
        <v>212</v>
      </c>
      <c r="BJ356" s="944"/>
      <c r="BK356" s="944"/>
      <c r="BL356" s="944"/>
      <c r="BM356" s="944"/>
      <c r="BN356" s="944"/>
      <c r="BO356" s="944"/>
      <c r="BP356" s="944"/>
      <c r="BQ356" s="944"/>
      <c r="BR356" s="944"/>
      <c r="BS356" s="944"/>
      <c r="BT356" s="944"/>
      <c r="BU356" s="944"/>
      <c r="BV356" s="945"/>
    </row>
    <row r="357" spans="1:74" ht="30" customHeight="1" x14ac:dyDescent="0.25">
      <c r="A357" s="200">
        <f t="shared" si="5"/>
        <v>343</v>
      </c>
      <c r="B357" s="294" t="s">
        <v>162</v>
      </c>
      <c r="C357" s="295"/>
      <c r="D357" s="936"/>
      <c r="E357" s="937"/>
      <c r="F357" s="937"/>
      <c r="G357" s="937"/>
      <c r="H357" s="937"/>
      <c r="I357" s="937"/>
      <c r="J357" s="937"/>
      <c r="K357" s="938"/>
      <c r="L357" s="932"/>
      <c r="M357" s="932"/>
      <c r="N357" s="932"/>
      <c r="O357" s="932"/>
      <c r="P357" s="931"/>
      <c r="Q357" s="931"/>
      <c r="R357" s="931"/>
      <c r="S357" s="931"/>
      <c r="T357" s="933"/>
      <c r="U357" s="934"/>
      <c r="V357" s="934"/>
      <c r="W357" s="935"/>
      <c r="X357" s="936"/>
      <c r="Y357" s="937"/>
      <c r="Z357" s="937"/>
      <c r="AA357" s="938"/>
      <c r="AB357" s="594"/>
      <c r="AC357" s="595"/>
      <c r="AD357" s="596"/>
      <c r="AE357" s="779"/>
      <c r="AF357" s="939"/>
      <c r="AG357" s="780"/>
      <c r="AH357" s="941"/>
      <c r="AI357" s="942"/>
      <c r="AJ357" s="943"/>
      <c r="AK357" s="745"/>
      <c r="AL357" s="940"/>
      <c r="AM357" s="746"/>
      <c r="AN357" s="281"/>
      <c r="AO357" s="282"/>
      <c r="AP357" s="281"/>
      <c r="AQ357" s="282"/>
      <c r="AR357" s="281"/>
      <c r="AS357" s="282"/>
      <c r="AT357" s="281"/>
      <c r="AU357" s="282"/>
      <c r="AV357" s="281"/>
      <c r="AW357" s="282"/>
      <c r="AX357" s="281"/>
      <c r="AY357" s="282"/>
      <c r="AZ357" s="117"/>
      <c r="BA357" s="331"/>
      <c r="BB357" s="117"/>
      <c r="BC357" s="331"/>
      <c r="BD357" s="117"/>
      <c r="BE357" s="331"/>
      <c r="BF357" s="117"/>
      <c r="BG357" s="331"/>
      <c r="BH357" s="117"/>
      <c r="BI357" s="944" t="s">
        <v>212</v>
      </c>
      <c r="BJ357" s="944"/>
      <c r="BK357" s="944"/>
      <c r="BL357" s="944"/>
      <c r="BM357" s="944"/>
      <c r="BN357" s="944"/>
      <c r="BO357" s="944"/>
      <c r="BP357" s="944"/>
      <c r="BQ357" s="944"/>
      <c r="BR357" s="944"/>
      <c r="BS357" s="944"/>
      <c r="BT357" s="944"/>
      <c r="BU357" s="944"/>
      <c r="BV357" s="945"/>
    </row>
    <row r="358" spans="1:74" ht="30" customHeight="1" x14ac:dyDescent="0.25">
      <c r="A358" s="200">
        <f t="shared" si="5"/>
        <v>344</v>
      </c>
      <c r="B358" s="294" t="s">
        <v>162</v>
      </c>
      <c r="C358" s="295"/>
      <c r="D358" s="936"/>
      <c r="E358" s="937"/>
      <c r="F358" s="937"/>
      <c r="G358" s="937"/>
      <c r="H358" s="937"/>
      <c r="I358" s="937"/>
      <c r="J358" s="937"/>
      <c r="K358" s="938"/>
      <c r="L358" s="932"/>
      <c r="M358" s="932"/>
      <c r="N358" s="932"/>
      <c r="O358" s="932"/>
      <c r="P358" s="931"/>
      <c r="Q358" s="931"/>
      <c r="R358" s="931"/>
      <c r="S358" s="931"/>
      <c r="T358" s="933"/>
      <c r="U358" s="934"/>
      <c r="V358" s="934"/>
      <c r="W358" s="935"/>
      <c r="X358" s="936"/>
      <c r="Y358" s="937"/>
      <c r="Z358" s="937"/>
      <c r="AA358" s="938"/>
      <c r="AB358" s="594"/>
      <c r="AC358" s="595"/>
      <c r="AD358" s="596"/>
      <c r="AE358" s="779"/>
      <c r="AF358" s="939"/>
      <c r="AG358" s="780"/>
      <c r="AH358" s="941"/>
      <c r="AI358" s="942"/>
      <c r="AJ358" s="943"/>
      <c r="AK358" s="745"/>
      <c r="AL358" s="940"/>
      <c r="AM358" s="746"/>
      <c r="AN358" s="281"/>
      <c r="AO358" s="282"/>
      <c r="AP358" s="281"/>
      <c r="AQ358" s="282"/>
      <c r="AR358" s="281"/>
      <c r="AS358" s="282"/>
      <c r="AT358" s="281"/>
      <c r="AU358" s="282"/>
      <c r="AV358" s="281"/>
      <c r="AW358" s="282"/>
      <c r="AX358" s="281"/>
      <c r="AY358" s="282"/>
      <c r="AZ358" s="117"/>
      <c r="BA358" s="331"/>
      <c r="BB358" s="117"/>
      <c r="BC358" s="331"/>
      <c r="BD358" s="117"/>
      <c r="BE358" s="331"/>
      <c r="BF358" s="117"/>
      <c r="BG358" s="331"/>
      <c r="BH358" s="117"/>
      <c r="BI358" s="944" t="s">
        <v>212</v>
      </c>
      <c r="BJ358" s="944"/>
      <c r="BK358" s="944"/>
      <c r="BL358" s="944"/>
      <c r="BM358" s="944"/>
      <c r="BN358" s="944"/>
      <c r="BO358" s="944"/>
      <c r="BP358" s="944"/>
      <c r="BQ358" s="944"/>
      <c r="BR358" s="944"/>
      <c r="BS358" s="944"/>
      <c r="BT358" s="944"/>
      <c r="BU358" s="944"/>
      <c r="BV358" s="945"/>
    </row>
    <row r="359" spans="1:74" ht="30" customHeight="1" x14ac:dyDescent="0.25">
      <c r="A359" s="200">
        <f t="shared" si="5"/>
        <v>345</v>
      </c>
      <c r="B359" s="294" t="s">
        <v>162</v>
      </c>
      <c r="C359" s="295"/>
      <c r="D359" s="936"/>
      <c r="E359" s="937"/>
      <c r="F359" s="937"/>
      <c r="G359" s="937"/>
      <c r="H359" s="937"/>
      <c r="I359" s="937"/>
      <c r="J359" s="937"/>
      <c r="K359" s="938"/>
      <c r="L359" s="932"/>
      <c r="M359" s="932"/>
      <c r="N359" s="932"/>
      <c r="O359" s="932"/>
      <c r="P359" s="931"/>
      <c r="Q359" s="931"/>
      <c r="R359" s="931"/>
      <c r="S359" s="931"/>
      <c r="T359" s="933"/>
      <c r="U359" s="934"/>
      <c r="V359" s="934"/>
      <c r="W359" s="935"/>
      <c r="X359" s="936"/>
      <c r="Y359" s="937"/>
      <c r="Z359" s="937"/>
      <c r="AA359" s="938"/>
      <c r="AB359" s="594"/>
      <c r="AC359" s="595"/>
      <c r="AD359" s="596"/>
      <c r="AE359" s="779"/>
      <c r="AF359" s="939"/>
      <c r="AG359" s="780"/>
      <c r="AH359" s="941"/>
      <c r="AI359" s="942"/>
      <c r="AJ359" s="943"/>
      <c r="AK359" s="745"/>
      <c r="AL359" s="940"/>
      <c r="AM359" s="746"/>
      <c r="AN359" s="281"/>
      <c r="AO359" s="282"/>
      <c r="AP359" s="281"/>
      <c r="AQ359" s="282"/>
      <c r="AR359" s="281"/>
      <c r="AS359" s="282"/>
      <c r="AT359" s="281"/>
      <c r="AU359" s="282"/>
      <c r="AV359" s="281"/>
      <c r="AW359" s="282"/>
      <c r="AX359" s="281"/>
      <c r="AY359" s="282"/>
      <c r="AZ359" s="117"/>
      <c r="BA359" s="331"/>
      <c r="BB359" s="117"/>
      <c r="BC359" s="331"/>
      <c r="BD359" s="117"/>
      <c r="BE359" s="331"/>
      <c r="BF359" s="117"/>
      <c r="BG359" s="331"/>
      <c r="BH359" s="117"/>
      <c r="BI359" s="944" t="s">
        <v>212</v>
      </c>
      <c r="BJ359" s="944"/>
      <c r="BK359" s="944"/>
      <c r="BL359" s="944"/>
      <c r="BM359" s="944"/>
      <c r="BN359" s="944"/>
      <c r="BO359" s="944"/>
      <c r="BP359" s="944"/>
      <c r="BQ359" s="944"/>
      <c r="BR359" s="944"/>
      <c r="BS359" s="944"/>
      <c r="BT359" s="944"/>
      <c r="BU359" s="944"/>
      <c r="BV359" s="945"/>
    </row>
    <row r="360" spans="1:74" ht="30" customHeight="1" x14ac:dyDescent="0.25">
      <c r="A360" s="200">
        <f t="shared" si="5"/>
        <v>346</v>
      </c>
      <c r="B360" s="294" t="s">
        <v>162</v>
      </c>
      <c r="C360" s="295"/>
      <c r="D360" s="936"/>
      <c r="E360" s="937"/>
      <c r="F360" s="937"/>
      <c r="G360" s="937"/>
      <c r="H360" s="937"/>
      <c r="I360" s="937"/>
      <c r="J360" s="937"/>
      <c r="K360" s="938"/>
      <c r="L360" s="932"/>
      <c r="M360" s="932"/>
      <c r="N360" s="932"/>
      <c r="O360" s="932"/>
      <c r="P360" s="931"/>
      <c r="Q360" s="931"/>
      <c r="R360" s="931"/>
      <c r="S360" s="931"/>
      <c r="T360" s="933"/>
      <c r="U360" s="934"/>
      <c r="V360" s="934"/>
      <c r="W360" s="935"/>
      <c r="X360" s="936"/>
      <c r="Y360" s="937"/>
      <c r="Z360" s="937"/>
      <c r="AA360" s="938"/>
      <c r="AB360" s="594"/>
      <c r="AC360" s="595"/>
      <c r="AD360" s="596"/>
      <c r="AE360" s="779"/>
      <c r="AF360" s="939"/>
      <c r="AG360" s="780"/>
      <c r="AH360" s="941"/>
      <c r="AI360" s="942"/>
      <c r="AJ360" s="943"/>
      <c r="AK360" s="745"/>
      <c r="AL360" s="940"/>
      <c r="AM360" s="746"/>
      <c r="AN360" s="281"/>
      <c r="AO360" s="282"/>
      <c r="AP360" s="281"/>
      <c r="AQ360" s="282"/>
      <c r="AR360" s="281"/>
      <c r="AS360" s="282"/>
      <c r="AT360" s="281"/>
      <c r="AU360" s="282"/>
      <c r="AV360" s="281"/>
      <c r="AW360" s="282"/>
      <c r="AX360" s="281"/>
      <c r="AY360" s="282"/>
      <c r="AZ360" s="117"/>
      <c r="BA360" s="331"/>
      <c r="BB360" s="117"/>
      <c r="BC360" s="331"/>
      <c r="BD360" s="117"/>
      <c r="BE360" s="331"/>
      <c r="BF360" s="117"/>
      <c r="BG360" s="331"/>
      <c r="BH360" s="117"/>
      <c r="BI360" s="944" t="s">
        <v>159</v>
      </c>
      <c r="BJ360" s="944"/>
      <c r="BK360" s="944"/>
      <c r="BL360" s="944"/>
      <c r="BM360" s="944"/>
      <c r="BN360" s="944"/>
      <c r="BO360" s="944"/>
      <c r="BP360" s="944"/>
      <c r="BQ360" s="944"/>
      <c r="BR360" s="944"/>
      <c r="BS360" s="944"/>
      <c r="BT360" s="944"/>
      <c r="BU360" s="944"/>
      <c r="BV360" s="945"/>
    </row>
    <row r="361" spans="1:74" ht="30" customHeight="1" x14ac:dyDescent="0.25">
      <c r="A361" s="200">
        <f t="shared" si="5"/>
        <v>347</v>
      </c>
      <c r="B361" s="294" t="s">
        <v>162</v>
      </c>
      <c r="C361" s="295"/>
      <c r="D361" s="936"/>
      <c r="E361" s="937"/>
      <c r="F361" s="937"/>
      <c r="G361" s="937"/>
      <c r="H361" s="937"/>
      <c r="I361" s="937"/>
      <c r="J361" s="937"/>
      <c r="K361" s="938"/>
      <c r="L361" s="932"/>
      <c r="M361" s="932"/>
      <c r="N361" s="932"/>
      <c r="O361" s="932"/>
      <c r="P361" s="931"/>
      <c r="Q361" s="931"/>
      <c r="R361" s="931"/>
      <c r="S361" s="931"/>
      <c r="T361" s="933"/>
      <c r="U361" s="934"/>
      <c r="V361" s="934"/>
      <c r="W361" s="935"/>
      <c r="X361" s="936"/>
      <c r="Y361" s="937"/>
      <c r="Z361" s="937"/>
      <c r="AA361" s="938"/>
      <c r="AB361" s="594"/>
      <c r="AC361" s="595"/>
      <c r="AD361" s="596"/>
      <c r="AE361" s="779"/>
      <c r="AF361" s="939"/>
      <c r="AG361" s="780"/>
      <c r="AH361" s="941"/>
      <c r="AI361" s="942"/>
      <c r="AJ361" s="943"/>
      <c r="AK361" s="745"/>
      <c r="AL361" s="940"/>
      <c r="AM361" s="746"/>
      <c r="AN361" s="281"/>
      <c r="AO361" s="282"/>
      <c r="AP361" s="281"/>
      <c r="AQ361" s="282"/>
      <c r="AR361" s="281"/>
      <c r="AS361" s="282"/>
      <c r="AT361" s="281"/>
      <c r="AU361" s="282"/>
      <c r="AV361" s="281"/>
      <c r="AW361" s="282"/>
      <c r="AX361" s="281"/>
      <c r="AY361" s="282"/>
      <c r="AZ361" s="117"/>
      <c r="BA361" s="331"/>
      <c r="BB361" s="117"/>
      <c r="BC361" s="331"/>
      <c r="BD361" s="117"/>
      <c r="BE361" s="331"/>
      <c r="BF361" s="117"/>
      <c r="BG361" s="331"/>
      <c r="BH361" s="117"/>
      <c r="BI361" s="944" t="s">
        <v>159</v>
      </c>
      <c r="BJ361" s="944"/>
      <c r="BK361" s="944"/>
      <c r="BL361" s="944"/>
      <c r="BM361" s="944"/>
      <c r="BN361" s="944"/>
      <c r="BO361" s="944"/>
      <c r="BP361" s="944"/>
      <c r="BQ361" s="944"/>
      <c r="BR361" s="944"/>
      <c r="BS361" s="944"/>
      <c r="BT361" s="944"/>
      <c r="BU361" s="944"/>
      <c r="BV361" s="945"/>
    </row>
    <row r="362" spans="1:74" ht="30" customHeight="1" x14ac:dyDescent="0.25">
      <c r="A362" s="232">
        <f t="shared" si="5"/>
        <v>348</v>
      </c>
      <c r="B362" s="294" t="s">
        <v>162</v>
      </c>
      <c r="C362" s="295"/>
      <c r="D362" s="936"/>
      <c r="E362" s="937"/>
      <c r="F362" s="937"/>
      <c r="G362" s="937"/>
      <c r="H362" s="937"/>
      <c r="I362" s="937"/>
      <c r="J362" s="937"/>
      <c r="K362" s="938"/>
      <c r="L362" s="932"/>
      <c r="M362" s="932"/>
      <c r="N362" s="932"/>
      <c r="O362" s="932"/>
      <c r="P362" s="931"/>
      <c r="Q362" s="931"/>
      <c r="R362" s="931"/>
      <c r="S362" s="931"/>
      <c r="T362" s="933"/>
      <c r="U362" s="934"/>
      <c r="V362" s="934"/>
      <c r="W362" s="935"/>
      <c r="X362" s="936"/>
      <c r="Y362" s="937"/>
      <c r="Z362" s="937"/>
      <c r="AA362" s="938"/>
      <c r="AB362" s="594"/>
      <c r="AC362" s="595"/>
      <c r="AD362" s="596"/>
      <c r="AE362" s="779"/>
      <c r="AF362" s="939"/>
      <c r="AG362" s="780"/>
      <c r="AH362" s="941"/>
      <c r="AI362" s="942"/>
      <c r="AJ362" s="943"/>
      <c r="AK362" s="745"/>
      <c r="AL362" s="940"/>
      <c r="AM362" s="746"/>
      <c r="AN362" s="281"/>
      <c r="AO362" s="282"/>
      <c r="AP362" s="281"/>
      <c r="AQ362" s="282"/>
      <c r="AR362" s="281"/>
      <c r="AS362" s="282"/>
      <c r="AT362" s="281"/>
      <c r="AU362" s="282"/>
      <c r="AV362" s="281"/>
      <c r="AW362" s="282"/>
      <c r="AX362" s="281"/>
      <c r="AY362" s="282"/>
      <c r="AZ362" s="117"/>
      <c r="BA362" s="331"/>
      <c r="BB362" s="117"/>
      <c r="BC362" s="331"/>
      <c r="BD362" s="117"/>
      <c r="BE362" s="331"/>
      <c r="BF362" s="117"/>
      <c r="BG362" s="331"/>
      <c r="BH362" s="117"/>
      <c r="BI362" s="944" t="s">
        <v>212</v>
      </c>
      <c r="BJ362" s="944"/>
      <c r="BK362" s="944"/>
      <c r="BL362" s="944"/>
      <c r="BM362" s="944"/>
      <c r="BN362" s="944"/>
      <c r="BO362" s="944"/>
      <c r="BP362" s="944"/>
      <c r="BQ362" s="944"/>
      <c r="BR362" s="944"/>
      <c r="BS362" s="944"/>
      <c r="BT362" s="944"/>
      <c r="BU362" s="944"/>
      <c r="BV362" s="945"/>
    </row>
    <row r="363" spans="1:74" ht="30" customHeight="1" x14ac:dyDescent="0.25">
      <c r="A363" s="200">
        <f t="shared" si="5"/>
        <v>349</v>
      </c>
      <c r="B363" s="294" t="s">
        <v>162</v>
      </c>
      <c r="C363" s="295"/>
      <c r="D363" s="936"/>
      <c r="E363" s="937"/>
      <c r="F363" s="937"/>
      <c r="G363" s="937"/>
      <c r="H363" s="937"/>
      <c r="I363" s="937"/>
      <c r="J363" s="937"/>
      <c r="K363" s="938"/>
      <c r="L363" s="932"/>
      <c r="M363" s="932"/>
      <c r="N363" s="932"/>
      <c r="O363" s="932"/>
      <c r="P363" s="931"/>
      <c r="Q363" s="931"/>
      <c r="R363" s="931"/>
      <c r="S363" s="931"/>
      <c r="T363" s="933"/>
      <c r="U363" s="934"/>
      <c r="V363" s="934"/>
      <c r="W363" s="935"/>
      <c r="X363" s="936"/>
      <c r="Y363" s="937"/>
      <c r="Z363" s="937"/>
      <c r="AA363" s="938"/>
      <c r="AB363" s="594"/>
      <c r="AC363" s="595"/>
      <c r="AD363" s="596"/>
      <c r="AE363" s="779"/>
      <c r="AF363" s="939"/>
      <c r="AG363" s="780"/>
      <c r="AH363" s="941"/>
      <c r="AI363" s="942"/>
      <c r="AJ363" s="943"/>
      <c r="AK363" s="745"/>
      <c r="AL363" s="940"/>
      <c r="AM363" s="746"/>
      <c r="AN363" s="281"/>
      <c r="AO363" s="282"/>
      <c r="AP363" s="281"/>
      <c r="AQ363" s="282"/>
      <c r="AR363" s="281"/>
      <c r="AS363" s="282"/>
      <c r="AT363" s="281"/>
      <c r="AU363" s="282"/>
      <c r="AV363" s="281"/>
      <c r="AW363" s="282"/>
      <c r="AX363" s="281"/>
      <c r="AY363" s="282"/>
      <c r="AZ363" s="117"/>
      <c r="BA363" s="331"/>
      <c r="BB363" s="117"/>
      <c r="BC363" s="331"/>
      <c r="BD363" s="117"/>
      <c r="BE363" s="331"/>
      <c r="BF363" s="117"/>
      <c r="BG363" s="331"/>
      <c r="BH363" s="117"/>
      <c r="BI363" s="944" t="s">
        <v>212</v>
      </c>
      <c r="BJ363" s="944"/>
      <c r="BK363" s="944"/>
      <c r="BL363" s="944"/>
      <c r="BM363" s="944"/>
      <c r="BN363" s="944"/>
      <c r="BO363" s="944"/>
      <c r="BP363" s="944"/>
      <c r="BQ363" s="944"/>
      <c r="BR363" s="944"/>
      <c r="BS363" s="944"/>
      <c r="BT363" s="944"/>
      <c r="BU363" s="944"/>
      <c r="BV363" s="945"/>
    </row>
    <row r="364" spans="1:74" ht="30" customHeight="1" x14ac:dyDescent="0.25">
      <c r="A364" s="200">
        <f t="shared" si="5"/>
        <v>350</v>
      </c>
      <c r="B364" s="294" t="s">
        <v>162</v>
      </c>
      <c r="C364" s="295"/>
      <c r="D364" s="936"/>
      <c r="E364" s="937"/>
      <c r="F364" s="937"/>
      <c r="G364" s="937"/>
      <c r="H364" s="937"/>
      <c r="I364" s="937"/>
      <c r="J364" s="937"/>
      <c r="K364" s="938"/>
      <c r="L364" s="932"/>
      <c r="M364" s="932"/>
      <c r="N364" s="932"/>
      <c r="O364" s="932"/>
      <c r="P364" s="931"/>
      <c r="Q364" s="931"/>
      <c r="R364" s="931"/>
      <c r="S364" s="931"/>
      <c r="T364" s="933"/>
      <c r="U364" s="934"/>
      <c r="V364" s="934"/>
      <c r="W364" s="935"/>
      <c r="X364" s="936"/>
      <c r="Y364" s="937"/>
      <c r="Z364" s="937"/>
      <c r="AA364" s="938"/>
      <c r="AB364" s="594"/>
      <c r="AC364" s="595"/>
      <c r="AD364" s="596"/>
      <c r="AE364" s="779"/>
      <c r="AF364" s="939"/>
      <c r="AG364" s="780"/>
      <c r="AH364" s="941"/>
      <c r="AI364" s="942"/>
      <c r="AJ364" s="943"/>
      <c r="AK364" s="745"/>
      <c r="AL364" s="940"/>
      <c r="AM364" s="746"/>
      <c r="AN364" s="281"/>
      <c r="AO364" s="282"/>
      <c r="AP364" s="281"/>
      <c r="AQ364" s="282"/>
      <c r="AR364" s="281"/>
      <c r="AS364" s="282"/>
      <c r="AT364" s="281"/>
      <c r="AU364" s="282"/>
      <c r="AV364" s="281"/>
      <c r="AW364" s="282"/>
      <c r="AX364" s="281"/>
      <c r="AY364" s="282"/>
      <c r="AZ364" s="117"/>
      <c r="BA364" s="331"/>
      <c r="BB364" s="117"/>
      <c r="BC364" s="331"/>
      <c r="BD364" s="117"/>
      <c r="BE364" s="331"/>
      <c r="BF364" s="117"/>
      <c r="BG364" s="331"/>
      <c r="BH364" s="117"/>
      <c r="BI364" s="944" t="s">
        <v>212</v>
      </c>
      <c r="BJ364" s="944"/>
      <c r="BK364" s="944"/>
      <c r="BL364" s="944"/>
      <c r="BM364" s="944"/>
      <c r="BN364" s="944"/>
      <c r="BO364" s="944"/>
      <c r="BP364" s="944"/>
      <c r="BQ364" s="944"/>
      <c r="BR364" s="944"/>
      <c r="BS364" s="944"/>
      <c r="BT364" s="944"/>
      <c r="BU364" s="944"/>
      <c r="BV364" s="945"/>
    </row>
    <row r="365" spans="1:74" ht="30" customHeight="1" x14ac:dyDescent="0.25">
      <c r="A365" s="200">
        <f t="shared" si="5"/>
        <v>351</v>
      </c>
      <c r="B365" s="294" t="s">
        <v>162</v>
      </c>
      <c r="C365" s="295"/>
      <c r="D365" s="936"/>
      <c r="E365" s="937"/>
      <c r="F365" s="937"/>
      <c r="G365" s="937"/>
      <c r="H365" s="937"/>
      <c r="I365" s="937"/>
      <c r="J365" s="937"/>
      <c r="K365" s="938"/>
      <c r="L365" s="932"/>
      <c r="M365" s="932"/>
      <c r="N365" s="932"/>
      <c r="O365" s="932"/>
      <c r="P365" s="931"/>
      <c r="Q365" s="931"/>
      <c r="R365" s="931"/>
      <c r="S365" s="931"/>
      <c r="T365" s="933"/>
      <c r="U365" s="934"/>
      <c r="V365" s="934"/>
      <c r="W365" s="935"/>
      <c r="X365" s="936"/>
      <c r="Y365" s="937"/>
      <c r="Z365" s="937"/>
      <c r="AA365" s="938"/>
      <c r="AB365" s="594"/>
      <c r="AC365" s="595"/>
      <c r="AD365" s="596"/>
      <c r="AE365" s="779"/>
      <c r="AF365" s="939"/>
      <c r="AG365" s="780"/>
      <c r="AH365" s="941"/>
      <c r="AI365" s="942"/>
      <c r="AJ365" s="943"/>
      <c r="AK365" s="745"/>
      <c r="AL365" s="940"/>
      <c r="AM365" s="746"/>
      <c r="AN365" s="281"/>
      <c r="AO365" s="282"/>
      <c r="AP365" s="281"/>
      <c r="AQ365" s="282"/>
      <c r="AR365" s="281"/>
      <c r="AS365" s="282"/>
      <c r="AT365" s="281"/>
      <c r="AU365" s="282"/>
      <c r="AV365" s="281"/>
      <c r="AW365" s="282"/>
      <c r="AX365" s="281"/>
      <c r="AY365" s="282"/>
      <c r="AZ365" s="117"/>
      <c r="BA365" s="331"/>
      <c r="BB365" s="117"/>
      <c r="BC365" s="331"/>
      <c r="BD365" s="117"/>
      <c r="BE365" s="331"/>
      <c r="BF365" s="117"/>
      <c r="BG365" s="331"/>
      <c r="BH365" s="117"/>
      <c r="BI365" s="944" t="s">
        <v>212</v>
      </c>
      <c r="BJ365" s="944"/>
      <c r="BK365" s="944"/>
      <c r="BL365" s="944"/>
      <c r="BM365" s="944"/>
      <c r="BN365" s="944"/>
      <c r="BO365" s="944"/>
      <c r="BP365" s="944"/>
      <c r="BQ365" s="944"/>
      <c r="BR365" s="944"/>
      <c r="BS365" s="944"/>
      <c r="BT365" s="944"/>
      <c r="BU365" s="944"/>
      <c r="BV365" s="945"/>
    </row>
    <row r="366" spans="1:74" ht="30" customHeight="1" x14ac:dyDescent="0.25">
      <c r="A366" s="200">
        <f t="shared" si="5"/>
        <v>352</v>
      </c>
      <c r="B366" s="294" t="s">
        <v>162</v>
      </c>
      <c r="C366" s="295"/>
      <c r="D366" s="936"/>
      <c r="E366" s="937"/>
      <c r="F366" s="937"/>
      <c r="G366" s="937"/>
      <c r="H366" s="937"/>
      <c r="I366" s="937"/>
      <c r="J366" s="937"/>
      <c r="K366" s="938"/>
      <c r="L366" s="932"/>
      <c r="M366" s="932"/>
      <c r="N366" s="932"/>
      <c r="O366" s="932"/>
      <c r="P366" s="931"/>
      <c r="Q366" s="931"/>
      <c r="R366" s="931"/>
      <c r="S366" s="931"/>
      <c r="T366" s="933"/>
      <c r="U366" s="934"/>
      <c r="V366" s="934"/>
      <c r="W366" s="935"/>
      <c r="X366" s="936"/>
      <c r="Y366" s="937"/>
      <c r="Z366" s="937"/>
      <c r="AA366" s="938"/>
      <c r="AB366" s="594"/>
      <c r="AC366" s="595"/>
      <c r="AD366" s="596"/>
      <c r="AE366" s="779"/>
      <c r="AF366" s="939"/>
      <c r="AG366" s="780"/>
      <c r="AH366" s="941"/>
      <c r="AI366" s="942"/>
      <c r="AJ366" s="943"/>
      <c r="AK366" s="745"/>
      <c r="AL366" s="940"/>
      <c r="AM366" s="746"/>
      <c r="AN366" s="281"/>
      <c r="AO366" s="282"/>
      <c r="AP366" s="281"/>
      <c r="AQ366" s="282"/>
      <c r="AR366" s="281"/>
      <c r="AS366" s="282"/>
      <c r="AT366" s="281"/>
      <c r="AU366" s="282"/>
      <c r="AV366" s="281"/>
      <c r="AW366" s="282"/>
      <c r="AX366" s="281"/>
      <c r="AY366" s="282"/>
      <c r="AZ366" s="117"/>
      <c r="BA366" s="331"/>
      <c r="BB366" s="117"/>
      <c r="BC366" s="331"/>
      <c r="BD366" s="117"/>
      <c r="BE366" s="331"/>
      <c r="BF366" s="117"/>
      <c r="BG366" s="331"/>
      <c r="BH366" s="117"/>
      <c r="BI366" s="944" t="s">
        <v>212</v>
      </c>
      <c r="BJ366" s="944"/>
      <c r="BK366" s="944"/>
      <c r="BL366" s="944"/>
      <c r="BM366" s="944"/>
      <c r="BN366" s="944"/>
      <c r="BO366" s="944"/>
      <c r="BP366" s="944"/>
      <c r="BQ366" s="944"/>
      <c r="BR366" s="944"/>
      <c r="BS366" s="944"/>
      <c r="BT366" s="944"/>
      <c r="BU366" s="944"/>
      <c r="BV366" s="945"/>
    </row>
    <row r="367" spans="1:74" ht="30" customHeight="1" x14ac:dyDescent="0.25">
      <c r="A367" s="200">
        <f t="shared" si="5"/>
        <v>353</v>
      </c>
      <c r="B367" s="294" t="s">
        <v>162</v>
      </c>
      <c r="C367" s="295"/>
      <c r="D367" s="936"/>
      <c r="E367" s="937"/>
      <c r="F367" s="937"/>
      <c r="G367" s="937"/>
      <c r="H367" s="937"/>
      <c r="I367" s="937"/>
      <c r="J367" s="937"/>
      <c r="K367" s="938"/>
      <c r="L367" s="932"/>
      <c r="M367" s="932"/>
      <c r="N367" s="932"/>
      <c r="O367" s="932"/>
      <c r="P367" s="931"/>
      <c r="Q367" s="931"/>
      <c r="R367" s="931"/>
      <c r="S367" s="931"/>
      <c r="T367" s="933"/>
      <c r="U367" s="934"/>
      <c r="V367" s="934"/>
      <c r="W367" s="935"/>
      <c r="X367" s="936"/>
      <c r="Y367" s="937"/>
      <c r="Z367" s="937"/>
      <c r="AA367" s="938"/>
      <c r="AB367" s="594"/>
      <c r="AC367" s="595"/>
      <c r="AD367" s="596"/>
      <c r="AE367" s="779"/>
      <c r="AF367" s="939"/>
      <c r="AG367" s="780"/>
      <c r="AH367" s="941"/>
      <c r="AI367" s="942"/>
      <c r="AJ367" s="943"/>
      <c r="AK367" s="745"/>
      <c r="AL367" s="940"/>
      <c r="AM367" s="746"/>
      <c r="AN367" s="281"/>
      <c r="AO367" s="282"/>
      <c r="AP367" s="281"/>
      <c r="AQ367" s="282"/>
      <c r="AR367" s="281"/>
      <c r="AS367" s="282"/>
      <c r="AT367" s="281"/>
      <c r="AU367" s="282"/>
      <c r="AV367" s="281"/>
      <c r="AW367" s="282"/>
      <c r="AX367" s="281"/>
      <c r="AY367" s="282"/>
      <c r="AZ367" s="117"/>
      <c r="BA367" s="331"/>
      <c r="BB367" s="117"/>
      <c r="BC367" s="331"/>
      <c r="BD367" s="117"/>
      <c r="BE367" s="331"/>
      <c r="BF367" s="117"/>
      <c r="BG367" s="331"/>
      <c r="BH367" s="117"/>
      <c r="BI367" s="944" t="s">
        <v>159</v>
      </c>
      <c r="BJ367" s="944"/>
      <c r="BK367" s="944"/>
      <c r="BL367" s="944"/>
      <c r="BM367" s="944"/>
      <c r="BN367" s="944"/>
      <c r="BO367" s="944"/>
      <c r="BP367" s="944"/>
      <c r="BQ367" s="944"/>
      <c r="BR367" s="944"/>
      <c r="BS367" s="944"/>
      <c r="BT367" s="944"/>
      <c r="BU367" s="944"/>
      <c r="BV367" s="945"/>
    </row>
    <row r="368" spans="1:74" ht="30" customHeight="1" x14ac:dyDescent="0.25">
      <c r="A368" s="200">
        <f t="shared" si="5"/>
        <v>354</v>
      </c>
      <c r="B368" s="294" t="s">
        <v>162</v>
      </c>
      <c r="C368" s="295"/>
      <c r="D368" s="936"/>
      <c r="E368" s="937"/>
      <c r="F368" s="937"/>
      <c r="G368" s="937"/>
      <c r="H368" s="937"/>
      <c r="I368" s="937"/>
      <c r="J368" s="937"/>
      <c r="K368" s="938"/>
      <c r="L368" s="932"/>
      <c r="M368" s="932"/>
      <c r="N368" s="932"/>
      <c r="O368" s="932"/>
      <c r="P368" s="931"/>
      <c r="Q368" s="931"/>
      <c r="R368" s="931"/>
      <c r="S368" s="931"/>
      <c r="T368" s="933"/>
      <c r="U368" s="934"/>
      <c r="V368" s="934"/>
      <c r="W368" s="935"/>
      <c r="X368" s="936"/>
      <c r="Y368" s="937"/>
      <c r="Z368" s="937"/>
      <c r="AA368" s="938"/>
      <c r="AB368" s="594"/>
      <c r="AC368" s="595"/>
      <c r="AD368" s="596"/>
      <c r="AE368" s="779"/>
      <c r="AF368" s="939"/>
      <c r="AG368" s="780"/>
      <c r="AH368" s="941"/>
      <c r="AI368" s="942"/>
      <c r="AJ368" s="943"/>
      <c r="AK368" s="745"/>
      <c r="AL368" s="940"/>
      <c r="AM368" s="746"/>
      <c r="AN368" s="281"/>
      <c r="AO368" s="282"/>
      <c r="AP368" s="281"/>
      <c r="AQ368" s="282"/>
      <c r="AR368" s="281"/>
      <c r="AS368" s="282"/>
      <c r="AT368" s="281"/>
      <c r="AU368" s="282"/>
      <c r="AV368" s="281"/>
      <c r="AW368" s="282"/>
      <c r="AX368" s="281"/>
      <c r="AY368" s="282"/>
      <c r="AZ368" s="117"/>
      <c r="BA368" s="331"/>
      <c r="BB368" s="117"/>
      <c r="BC368" s="331"/>
      <c r="BD368" s="117"/>
      <c r="BE368" s="331"/>
      <c r="BF368" s="117"/>
      <c r="BG368" s="331"/>
      <c r="BH368" s="117"/>
      <c r="BI368" s="944" t="s">
        <v>159</v>
      </c>
      <c r="BJ368" s="944"/>
      <c r="BK368" s="944"/>
      <c r="BL368" s="944"/>
      <c r="BM368" s="944"/>
      <c r="BN368" s="944"/>
      <c r="BO368" s="944"/>
      <c r="BP368" s="944"/>
      <c r="BQ368" s="944"/>
      <c r="BR368" s="944"/>
      <c r="BS368" s="944"/>
      <c r="BT368" s="944"/>
      <c r="BU368" s="944"/>
      <c r="BV368" s="945"/>
    </row>
    <row r="369" spans="1:74" ht="30" customHeight="1" x14ac:dyDescent="0.25">
      <c r="A369" s="232">
        <f t="shared" si="5"/>
        <v>355</v>
      </c>
      <c r="B369" s="294" t="s">
        <v>162</v>
      </c>
      <c r="C369" s="295"/>
      <c r="D369" s="936"/>
      <c r="E369" s="937"/>
      <c r="F369" s="937"/>
      <c r="G369" s="937"/>
      <c r="H369" s="937"/>
      <c r="I369" s="937"/>
      <c r="J369" s="937"/>
      <c r="K369" s="938"/>
      <c r="L369" s="932"/>
      <c r="M369" s="932"/>
      <c r="N369" s="932"/>
      <c r="O369" s="932"/>
      <c r="P369" s="931"/>
      <c r="Q369" s="931"/>
      <c r="R369" s="931"/>
      <c r="S369" s="931"/>
      <c r="T369" s="933"/>
      <c r="U369" s="934"/>
      <c r="V369" s="934"/>
      <c r="W369" s="935"/>
      <c r="X369" s="936"/>
      <c r="Y369" s="937"/>
      <c r="Z369" s="937"/>
      <c r="AA369" s="938"/>
      <c r="AB369" s="594"/>
      <c r="AC369" s="595"/>
      <c r="AD369" s="596"/>
      <c r="AE369" s="779"/>
      <c r="AF369" s="939"/>
      <c r="AG369" s="780"/>
      <c r="AH369" s="941"/>
      <c r="AI369" s="942"/>
      <c r="AJ369" s="943"/>
      <c r="AK369" s="745"/>
      <c r="AL369" s="940"/>
      <c r="AM369" s="746"/>
      <c r="AN369" s="281"/>
      <c r="AO369" s="282"/>
      <c r="AP369" s="281"/>
      <c r="AQ369" s="282"/>
      <c r="AR369" s="281"/>
      <c r="AS369" s="282"/>
      <c r="AT369" s="281"/>
      <c r="AU369" s="282"/>
      <c r="AV369" s="281"/>
      <c r="AW369" s="282"/>
      <c r="AX369" s="281"/>
      <c r="AY369" s="282"/>
      <c r="AZ369" s="117"/>
      <c r="BA369" s="331"/>
      <c r="BB369" s="117"/>
      <c r="BC369" s="331"/>
      <c r="BD369" s="117"/>
      <c r="BE369" s="331"/>
      <c r="BF369" s="117"/>
      <c r="BG369" s="331"/>
      <c r="BH369" s="117"/>
      <c r="BI369" s="944" t="s">
        <v>212</v>
      </c>
      <c r="BJ369" s="944"/>
      <c r="BK369" s="944"/>
      <c r="BL369" s="944"/>
      <c r="BM369" s="944"/>
      <c r="BN369" s="944"/>
      <c r="BO369" s="944"/>
      <c r="BP369" s="944"/>
      <c r="BQ369" s="944"/>
      <c r="BR369" s="944"/>
      <c r="BS369" s="944"/>
      <c r="BT369" s="944"/>
      <c r="BU369" s="944"/>
      <c r="BV369" s="945"/>
    </row>
    <row r="370" spans="1:74" ht="30" customHeight="1" x14ac:dyDescent="0.25">
      <c r="A370" s="200">
        <f t="shared" si="5"/>
        <v>356</v>
      </c>
      <c r="B370" s="294" t="s">
        <v>162</v>
      </c>
      <c r="C370" s="295"/>
      <c r="D370" s="936"/>
      <c r="E370" s="937"/>
      <c r="F370" s="937"/>
      <c r="G370" s="937"/>
      <c r="H370" s="937"/>
      <c r="I370" s="937"/>
      <c r="J370" s="937"/>
      <c r="K370" s="938"/>
      <c r="L370" s="932"/>
      <c r="M370" s="932"/>
      <c r="N370" s="932"/>
      <c r="O370" s="932"/>
      <c r="P370" s="931"/>
      <c r="Q370" s="931"/>
      <c r="R370" s="931"/>
      <c r="S370" s="931"/>
      <c r="T370" s="933"/>
      <c r="U370" s="934"/>
      <c r="V370" s="934"/>
      <c r="W370" s="935"/>
      <c r="X370" s="936"/>
      <c r="Y370" s="937"/>
      <c r="Z370" s="937"/>
      <c r="AA370" s="938"/>
      <c r="AB370" s="594"/>
      <c r="AC370" s="595"/>
      <c r="AD370" s="596"/>
      <c r="AE370" s="779"/>
      <c r="AF370" s="939"/>
      <c r="AG370" s="780"/>
      <c r="AH370" s="941"/>
      <c r="AI370" s="942"/>
      <c r="AJ370" s="943"/>
      <c r="AK370" s="745"/>
      <c r="AL370" s="940"/>
      <c r="AM370" s="746"/>
      <c r="AN370" s="281"/>
      <c r="AO370" s="282"/>
      <c r="AP370" s="281"/>
      <c r="AQ370" s="282"/>
      <c r="AR370" s="281"/>
      <c r="AS370" s="282"/>
      <c r="AT370" s="281"/>
      <c r="AU370" s="282"/>
      <c r="AV370" s="281"/>
      <c r="AW370" s="282"/>
      <c r="AX370" s="281"/>
      <c r="AY370" s="282"/>
      <c r="AZ370" s="117"/>
      <c r="BA370" s="331"/>
      <c r="BB370" s="117"/>
      <c r="BC370" s="331"/>
      <c r="BD370" s="117"/>
      <c r="BE370" s="331"/>
      <c r="BF370" s="117"/>
      <c r="BG370" s="331"/>
      <c r="BH370" s="117"/>
      <c r="BI370" s="944" t="s">
        <v>212</v>
      </c>
      <c r="BJ370" s="944"/>
      <c r="BK370" s="944"/>
      <c r="BL370" s="944"/>
      <c r="BM370" s="944"/>
      <c r="BN370" s="944"/>
      <c r="BO370" s="944"/>
      <c r="BP370" s="944"/>
      <c r="BQ370" s="944"/>
      <c r="BR370" s="944"/>
      <c r="BS370" s="944"/>
      <c r="BT370" s="944"/>
      <c r="BU370" s="944"/>
      <c r="BV370" s="945"/>
    </row>
    <row r="371" spans="1:74" ht="30" customHeight="1" x14ac:dyDescent="0.25">
      <c r="A371" s="200">
        <f t="shared" si="5"/>
        <v>357</v>
      </c>
      <c r="B371" s="294" t="s">
        <v>162</v>
      </c>
      <c r="C371" s="295"/>
      <c r="D371" s="936"/>
      <c r="E371" s="937"/>
      <c r="F371" s="937"/>
      <c r="G371" s="937"/>
      <c r="H371" s="937"/>
      <c r="I371" s="937"/>
      <c r="J371" s="937"/>
      <c r="K371" s="938"/>
      <c r="L371" s="932"/>
      <c r="M371" s="932"/>
      <c r="N371" s="932"/>
      <c r="O371" s="932"/>
      <c r="P371" s="931"/>
      <c r="Q371" s="931"/>
      <c r="R371" s="931"/>
      <c r="S371" s="931"/>
      <c r="T371" s="933"/>
      <c r="U371" s="934"/>
      <c r="V371" s="934"/>
      <c r="W371" s="935"/>
      <c r="X371" s="936"/>
      <c r="Y371" s="937"/>
      <c r="Z371" s="937"/>
      <c r="AA371" s="938"/>
      <c r="AB371" s="594"/>
      <c r="AC371" s="595"/>
      <c r="AD371" s="596"/>
      <c r="AE371" s="779"/>
      <c r="AF371" s="939"/>
      <c r="AG371" s="780"/>
      <c r="AH371" s="941"/>
      <c r="AI371" s="942"/>
      <c r="AJ371" s="943"/>
      <c r="AK371" s="745"/>
      <c r="AL371" s="940"/>
      <c r="AM371" s="746"/>
      <c r="AN371" s="281"/>
      <c r="AO371" s="282"/>
      <c r="AP371" s="281"/>
      <c r="AQ371" s="282"/>
      <c r="AR371" s="281"/>
      <c r="AS371" s="282"/>
      <c r="AT371" s="281"/>
      <c r="AU371" s="282"/>
      <c r="AV371" s="281"/>
      <c r="AW371" s="282"/>
      <c r="AX371" s="281"/>
      <c r="AY371" s="282"/>
      <c r="AZ371" s="117"/>
      <c r="BA371" s="331"/>
      <c r="BB371" s="117"/>
      <c r="BC371" s="331"/>
      <c r="BD371" s="117"/>
      <c r="BE371" s="331"/>
      <c r="BF371" s="117"/>
      <c r="BG371" s="331"/>
      <c r="BH371" s="117"/>
      <c r="BI371" s="944" t="s">
        <v>212</v>
      </c>
      <c r="BJ371" s="944"/>
      <c r="BK371" s="944"/>
      <c r="BL371" s="944"/>
      <c r="BM371" s="944"/>
      <c r="BN371" s="944"/>
      <c r="BO371" s="944"/>
      <c r="BP371" s="944"/>
      <c r="BQ371" s="944"/>
      <c r="BR371" s="944"/>
      <c r="BS371" s="944"/>
      <c r="BT371" s="944"/>
      <c r="BU371" s="944"/>
      <c r="BV371" s="945"/>
    </row>
    <row r="372" spans="1:74" ht="30" customHeight="1" x14ac:dyDescent="0.25">
      <c r="A372" s="200">
        <f t="shared" si="5"/>
        <v>358</v>
      </c>
      <c r="B372" s="294" t="s">
        <v>162</v>
      </c>
      <c r="C372" s="295"/>
      <c r="D372" s="936"/>
      <c r="E372" s="937"/>
      <c r="F372" s="937"/>
      <c r="G372" s="937"/>
      <c r="H372" s="937"/>
      <c r="I372" s="937"/>
      <c r="J372" s="937"/>
      <c r="K372" s="938"/>
      <c r="L372" s="932"/>
      <c r="M372" s="932"/>
      <c r="N372" s="932"/>
      <c r="O372" s="932"/>
      <c r="P372" s="931"/>
      <c r="Q372" s="931"/>
      <c r="R372" s="931"/>
      <c r="S372" s="931"/>
      <c r="T372" s="933"/>
      <c r="U372" s="934"/>
      <c r="V372" s="934"/>
      <c r="W372" s="935"/>
      <c r="X372" s="936"/>
      <c r="Y372" s="937"/>
      <c r="Z372" s="937"/>
      <c r="AA372" s="938"/>
      <c r="AB372" s="594"/>
      <c r="AC372" s="595"/>
      <c r="AD372" s="596"/>
      <c r="AE372" s="779"/>
      <c r="AF372" s="939"/>
      <c r="AG372" s="780"/>
      <c r="AH372" s="941"/>
      <c r="AI372" s="942"/>
      <c r="AJ372" s="943"/>
      <c r="AK372" s="745"/>
      <c r="AL372" s="940"/>
      <c r="AM372" s="746"/>
      <c r="AN372" s="281"/>
      <c r="AO372" s="282"/>
      <c r="AP372" s="281"/>
      <c r="AQ372" s="282"/>
      <c r="AR372" s="281"/>
      <c r="AS372" s="282"/>
      <c r="AT372" s="281"/>
      <c r="AU372" s="282"/>
      <c r="AV372" s="281"/>
      <c r="AW372" s="282"/>
      <c r="AX372" s="281"/>
      <c r="AY372" s="282"/>
      <c r="AZ372" s="117"/>
      <c r="BA372" s="331"/>
      <c r="BB372" s="117"/>
      <c r="BC372" s="331"/>
      <c r="BD372" s="117"/>
      <c r="BE372" s="331"/>
      <c r="BF372" s="117"/>
      <c r="BG372" s="331"/>
      <c r="BH372" s="117"/>
      <c r="BI372" s="944" t="s">
        <v>212</v>
      </c>
      <c r="BJ372" s="944"/>
      <c r="BK372" s="944"/>
      <c r="BL372" s="944"/>
      <c r="BM372" s="944"/>
      <c r="BN372" s="944"/>
      <c r="BO372" s="944"/>
      <c r="BP372" s="944"/>
      <c r="BQ372" s="944"/>
      <c r="BR372" s="944"/>
      <c r="BS372" s="944"/>
      <c r="BT372" s="944"/>
      <c r="BU372" s="944"/>
      <c r="BV372" s="945"/>
    </row>
    <row r="373" spans="1:74" ht="30" customHeight="1" x14ac:dyDescent="0.25">
      <c r="A373" s="200">
        <f t="shared" si="5"/>
        <v>359</v>
      </c>
      <c r="B373" s="294" t="s">
        <v>162</v>
      </c>
      <c r="C373" s="295"/>
      <c r="D373" s="936"/>
      <c r="E373" s="937"/>
      <c r="F373" s="937"/>
      <c r="G373" s="937"/>
      <c r="H373" s="937"/>
      <c r="I373" s="937"/>
      <c r="J373" s="937"/>
      <c r="K373" s="938"/>
      <c r="L373" s="932"/>
      <c r="M373" s="932"/>
      <c r="N373" s="932"/>
      <c r="O373" s="932"/>
      <c r="P373" s="931"/>
      <c r="Q373" s="931"/>
      <c r="R373" s="931"/>
      <c r="S373" s="931"/>
      <c r="T373" s="933"/>
      <c r="U373" s="934"/>
      <c r="V373" s="934"/>
      <c r="W373" s="935"/>
      <c r="X373" s="936"/>
      <c r="Y373" s="937"/>
      <c r="Z373" s="937"/>
      <c r="AA373" s="938"/>
      <c r="AB373" s="594"/>
      <c r="AC373" s="595"/>
      <c r="AD373" s="596"/>
      <c r="AE373" s="779"/>
      <c r="AF373" s="939"/>
      <c r="AG373" s="780"/>
      <c r="AH373" s="941"/>
      <c r="AI373" s="942"/>
      <c r="AJ373" s="943"/>
      <c r="AK373" s="745"/>
      <c r="AL373" s="940"/>
      <c r="AM373" s="746"/>
      <c r="AN373" s="281"/>
      <c r="AO373" s="282"/>
      <c r="AP373" s="281"/>
      <c r="AQ373" s="282"/>
      <c r="AR373" s="281"/>
      <c r="AS373" s="282"/>
      <c r="AT373" s="281"/>
      <c r="AU373" s="282"/>
      <c r="AV373" s="281"/>
      <c r="AW373" s="282"/>
      <c r="AX373" s="281"/>
      <c r="AY373" s="282"/>
      <c r="AZ373" s="117"/>
      <c r="BA373" s="331"/>
      <c r="BB373" s="117"/>
      <c r="BC373" s="331"/>
      <c r="BD373" s="117"/>
      <c r="BE373" s="331"/>
      <c r="BF373" s="117"/>
      <c r="BG373" s="331"/>
      <c r="BH373" s="117"/>
      <c r="BI373" s="944" t="s">
        <v>212</v>
      </c>
      <c r="BJ373" s="944"/>
      <c r="BK373" s="944"/>
      <c r="BL373" s="944"/>
      <c r="BM373" s="944"/>
      <c r="BN373" s="944"/>
      <c r="BO373" s="944"/>
      <c r="BP373" s="944"/>
      <c r="BQ373" s="944"/>
      <c r="BR373" s="944"/>
      <c r="BS373" s="944"/>
      <c r="BT373" s="944"/>
      <c r="BU373" s="944"/>
      <c r="BV373" s="945"/>
    </row>
    <row r="374" spans="1:74" ht="30" customHeight="1" x14ac:dyDescent="0.25">
      <c r="A374" s="200">
        <f t="shared" si="5"/>
        <v>360</v>
      </c>
      <c r="B374" s="294" t="s">
        <v>162</v>
      </c>
      <c r="C374" s="295"/>
      <c r="D374" s="936"/>
      <c r="E374" s="937"/>
      <c r="F374" s="937"/>
      <c r="G374" s="937"/>
      <c r="H374" s="937"/>
      <c r="I374" s="937"/>
      <c r="J374" s="937"/>
      <c r="K374" s="938"/>
      <c r="L374" s="932"/>
      <c r="M374" s="932"/>
      <c r="N374" s="932"/>
      <c r="O374" s="932"/>
      <c r="P374" s="931"/>
      <c r="Q374" s="931"/>
      <c r="R374" s="931"/>
      <c r="S374" s="931"/>
      <c r="T374" s="933"/>
      <c r="U374" s="934"/>
      <c r="V374" s="934"/>
      <c r="W374" s="935"/>
      <c r="X374" s="936"/>
      <c r="Y374" s="937"/>
      <c r="Z374" s="937"/>
      <c r="AA374" s="938"/>
      <c r="AB374" s="594"/>
      <c r="AC374" s="595"/>
      <c r="AD374" s="596"/>
      <c r="AE374" s="779"/>
      <c r="AF374" s="939"/>
      <c r="AG374" s="780"/>
      <c r="AH374" s="941"/>
      <c r="AI374" s="942"/>
      <c r="AJ374" s="943"/>
      <c r="AK374" s="745"/>
      <c r="AL374" s="940"/>
      <c r="AM374" s="746"/>
      <c r="AN374" s="281"/>
      <c r="AO374" s="282"/>
      <c r="AP374" s="281"/>
      <c r="AQ374" s="282"/>
      <c r="AR374" s="281"/>
      <c r="AS374" s="282"/>
      <c r="AT374" s="281"/>
      <c r="AU374" s="282"/>
      <c r="AV374" s="281"/>
      <c r="AW374" s="282"/>
      <c r="AX374" s="281"/>
      <c r="AY374" s="282"/>
      <c r="AZ374" s="117"/>
      <c r="BA374" s="331"/>
      <c r="BB374" s="117"/>
      <c r="BC374" s="331"/>
      <c r="BD374" s="117"/>
      <c r="BE374" s="331"/>
      <c r="BF374" s="117"/>
      <c r="BG374" s="331"/>
      <c r="BH374" s="117"/>
      <c r="BI374" s="944" t="s">
        <v>159</v>
      </c>
      <c r="BJ374" s="944"/>
      <c r="BK374" s="944"/>
      <c r="BL374" s="944"/>
      <c r="BM374" s="944"/>
      <c r="BN374" s="944"/>
      <c r="BO374" s="944"/>
      <c r="BP374" s="944"/>
      <c r="BQ374" s="944"/>
      <c r="BR374" s="944"/>
      <c r="BS374" s="944"/>
      <c r="BT374" s="944"/>
      <c r="BU374" s="944"/>
      <c r="BV374" s="945"/>
    </row>
    <row r="375" spans="1:74" ht="30" customHeight="1" x14ac:dyDescent="0.25">
      <c r="A375" s="200">
        <f t="shared" si="5"/>
        <v>361</v>
      </c>
      <c r="B375" s="294" t="s">
        <v>162</v>
      </c>
      <c r="C375" s="295"/>
      <c r="D375" s="936"/>
      <c r="E375" s="937"/>
      <c r="F375" s="937"/>
      <c r="G375" s="937"/>
      <c r="H375" s="937"/>
      <c r="I375" s="937"/>
      <c r="J375" s="937"/>
      <c r="K375" s="938"/>
      <c r="L375" s="932"/>
      <c r="M375" s="932"/>
      <c r="N375" s="932"/>
      <c r="O375" s="932"/>
      <c r="P375" s="931"/>
      <c r="Q375" s="931"/>
      <c r="R375" s="931"/>
      <c r="S375" s="931"/>
      <c r="T375" s="933"/>
      <c r="U375" s="934"/>
      <c r="V375" s="934"/>
      <c r="W375" s="935"/>
      <c r="X375" s="936"/>
      <c r="Y375" s="937"/>
      <c r="Z375" s="937"/>
      <c r="AA375" s="938"/>
      <c r="AB375" s="594"/>
      <c r="AC375" s="595"/>
      <c r="AD375" s="596"/>
      <c r="AE375" s="779"/>
      <c r="AF375" s="939"/>
      <c r="AG375" s="780"/>
      <c r="AH375" s="941"/>
      <c r="AI375" s="942"/>
      <c r="AJ375" s="943"/>
      <c r="AK375" s="745"/>
      <c r="AL375" s="940"/>
      <c r="AM375" s="746"/>
      <c r="AN375" s="281"/>
      <c r="AO375" s="282"/>
      <c r="AP375" s="281"/>
      <c r="AQ375" s="282"/>
      <c r="AR375" s="281"/>
      <c r="AS375" s="282"/>
      <c r="AT375" s="281"/>
      <c r="AU375" s="282"/>
      <c r="AV375" s="281"/>
      <c r="AW375" s="282"/>
      <c r="AX375" s="281"/>
      <c r="AY375" s="282"/>
      <c r="AZ375" s="117"/>
      <c r="BA375" s="331"/>
      <c r="BB375" s="117"/>
      <c r="BC375" s="331"/>
      <c r="BD375" s="117"/>
      <c r="BE375" s="331"/>
      <c r="BF375" s="117"/>
      <c r="BG375" s="331"/>
      <c r="BH375" s="117"/>
      <c r="BI375" s="944" t="s">
        <v>159</v>
      </c>
      <c r="BJ375" s="944"/>
      <c r="BK375" s="944"/>
      <c r="BL375" s="944"/>
      <c r="BM375" s="944"/>
      <c r="BN375" s="944"/>
      <c r="BO375" s="944"/>
      <c r="BP375" s="944"/>
      <c r="BQ375" s="944"/>
      <c r="BR375" s="944"/>
      <c r="BS375" s="944"/>
      <c r="BT375" s="944"/>
      <c r="BU375" s="944"/>
      <c r="BV375" s="945"/>
    </row>
    <row r="376" spans="1:74" ht="30" customHeight="1" x14ac:dyDescent="0.25">
      <c r="A376" s="232">
        <f t="shared" si="5"/>
        <v>362</v>
      </c>
      <c r="B376" s="294" t="s">
        <v>162</v>
      </c>
      <c r="C376" s="295"/>
      <c r="D376" s="936"/>
      <c r="E376" s="937"/>
      <c r="F376" s="937"/>
      <c r="G376" s="937"/>
      <c r="H376" s="937"/>
      <c r="I376" s="937"/>
      <c r="J376" s="937"/>
      <c r="K376" s="938"/>
      <c r="L376" s="932"/>
      <c r="M376" s="932"/>
      <c r="N376" s="932"/>
      <c r="O376" s="932"/>
      <c r="P376" s="931"/>
      <c r="Q376" s="931"/>
      <c r="R376" s="931"/>
      <c r="S376" s="931"/>
      <c r="T376" s="933"/>
      <c r="U376" s="934"/>
      <c r="V376" s="934"/>
      <c r="W376" s="935"/>
      <c r="X376" s="936"/>
      <c r="Y376" s="937"/>
      <c r="Z376" s="937"/>
      <c r="AA376" s="938"/>
      <c r="AB376" s="594"/>
      <c r="AC376" s="595"/>
      <c r="AD376" s="596"/>
      <c r="AE376" s="779"/>
      <c r="AF376" s="939"/>
      <c r="AG376" s="780"/>
      <c r="AH376" s="941"/>
      <c r="AI376" s="942"/>
      <c r="AJ376" s="943"/>
      <c r="AK376" s="745"/>
      <c r="AL376" s="940"/>
      <c r="AM376" s="746"/>
      <c r="AN376" s="281"/>
      <c r="AO376" s="282"/>
      <c r="AP376" s="281"/>
      <c r="AQ376" s="282"/>
      <c r="AR376" s="281"/>
      <c r="AS376" s="282"/>
      <c r="AT376" s="281"/>
      <c r="AU376" s="282"/>
      <c r="AV376" s="281"/>
      <c r="AW376" s="282"/>
      <c r="AX376" s="281"/>
      <c r="AY376" s="282"/>
      <c r="AZ376" s="117"/>
      <c r="BA376" s="331"/>
      <c r="BB376" s="117"/>
      <c r="BC376" s="331"/>
      <c r="BD376" s="117"/>
      <c r="BE376" s="331"/>
      <c r="BF376" s="117"/>
      <c r="BG376" s="331"/>
      <c r="BH376" s="117"/>
      <c r="BI376" s="944" t="s">
        <v>212</v>
      </c>
      <c r="BJ376" s="944"/>
      <c r="BK376" s="944"/>
      <c r="BL376" s="944"/>
      <c r="BM376" s="944"/>
      <c r="BN376" s="944"/>
      <c r="BO376" s="944"/>
      <c r="BP376" s="944"/>
      <c r="BQ376" s="944"/>
      <c r="BR376" s="944"/>
      <c r="BS376" s="944"/>
      <c r="BT376" s="944"/>
      <c r="BU376" s="944"/>
      <c r="BV376" s="945"/>
    </row>
    <row r="377" spans="1:74" ht="30" customHeight="1" x14ac:dyDescent="0.25">
      <c r="A377" s="200">
        <f t="shared" si="5"/>
        <v>363</v>
      </c>
      <c r="B377" s="294" t="s">
        <v>162</v>
      </c>
      <c r="C377" s="295"/>
      <c r="D377" s="936"/>
      <c r="E377" s="937"/>
      <c r="F377" s="937"/>
      <c r="G377" s="937"/>
      <c r="H377" s="937"/>
      <c r="I377" s="937"/>
      <c r="J377" s="937"/>
      <c r="K377" s="938"/>
      <c r="L377" s="932"/>
      <c r="M377" s="932"/>
      <c r="N377" s="932"/>
      <c r="O377" s="932"/>
      <c r="P377" s="931"/>
      <c r="Q377" s="931"/>
      <c r="R377" s="931"/>
      <c r="S377" s="931"/>
      <c r="T377" s="933"/>
      <c r="U377" s="934"/>
      <c r="V377" s="934"/>
      <c r="W377" s="935"/>
      <c r="X377" s="936"/>
      <c r="Y377" s="937"/>
      <c r="Z377" s="937"/>
      <c r="AA377" s="938"/>
      <c r="AB377" s="594"/>
      <c r="AC377" s="595"/>
      <c r="AD377" s="596"/>
      <c r="AE377" s="779"/>
      <c r="AF377" s="939"/>
      <c r="AG377" s="780"/>
      <c r="AH377" s="941"/>
      <c r="AI377" s="942"/>
      <c r="AJ377" s="943"/>
      <c r="AK377" s="745"/>
      <c r="AL377" s="940"/>
      <c r="AM377" s="746"/>
      <c r="AN377" s="281"/>
      <c r="AO377" s="282"/>
      <c r="AP377" s="281"/>
      <c r="AQ377" s="282"/>
      <c r="AR377" s="281"/>
      <c r="AS377" s="282"/>
      <c r="AT377" s="281"/>
      <c r="AU377" s="282"/>
      <c r="AV377" s="281"/>
      <c r="AW377" s="282"/>
      <c r="AX377" s="281"/>
      <c r="AY377" s="282"/>
      <c r="AZ377" s="117"/>
      <c r="BA377" s="331"/>
      <c r="BB377" s="117"/>
      <c r="BC377" s="331"/>
      <c r="BD377" s="117"/>
      <c r="BE377" s="331"/>
      <c r="BF377" s="117"/>
      <c r="BG377" s="331"/>
      <c r="BH377" s="117"/>
      <c r="BI377" s="944" t="s">
        <v>212</v>
      </c>
      <c r="BJ377" s="944"/>
      <c r="BK377" s="944"/>
      <c r="BL377" s="944"/>
      <c r="BM377" s="944"/>
      <c r="BN377" s="944"/>
      <c r="BO377" s="944"/>
      <c r="BP377" s="944"/>
      <c r="BQ377" s="944"/>
      <c r="BR377" s="944"/>
      <c r="BS377" s="944"/>
      <c r="BT377" s="944"/>
      <c r="BU377" s="944"/>
      <c r="BV377" s="945"/>
    </row>
    <row r="378" spans="1:74" ht="30" customHeight="1" x14ac:dyDescent="0.25">
      <c r="A378" s="200">
        <f t="shared" si="5"/>
        <v>364</v>
      </c>
      <c r="B378" s="294" t="s">
        <v>162</v>
      </c>
      <c r="C378" s="295"/>
      <c r="D378" s="936"/>
      <c r="E378" s="937"/>
      <c r="F378" s="937"/>
      <c r="G378" s="937"/>
      <c r="H378" s="937"/>
      <c r="I378" s="937"/>
      <c r="J378" s="937"/>
      <c r="K378" s="938"/>
      <c r="L378" s="932"/>
      <c r="M378" s="932"/>
      <c r="N378" s="932"/>
      <c r="O378" s="932"/>
      <c r="P378" s="931"/>
      <c r="Q378" s="931"/>
      <c r="R378" s="931"/>
      <c r="S378" s="931"/>
      <c r="T378" s="933"/>
      <c r="U378" s="934"/>
      <c r="V378" s="934"/>
      <c r="W378" s="935"/>
      <c r="X378" s="936"/>
      <c r="Y378" s="937"/>
      <c r="Z378" s="937"/>
      <c r="AA378" s="938"/>
      <c r="AB378" s="594"/>
      <c r="AC378" s="595"/>
      <c r="AD378" s="596"/>
      <c r="AE378" s="779"/>
      <c r="AF378" s="939"/>
      <c r="AG378" s="780"/>
      <c r="AH378" s="941"/>
      <c r="AI378" s="942"/>
      <c r="AJ378" s="943"/>
      <c r="AK378" s="745"/>
      <c r="AL378" s="940"/>
      <c r="AM378" s="746"/>
      <c r="AN378" s="281"/>
      <c r="AO378" s="282"/>
      <c r="AP378" s="281"/>
      <c r="AQ378" s="282"/>
      <c r="AR378" s="281"/>
      <c r="AS378" s="282"/>
      <c r="AT378" s="281"/>
      <c r="AU378" s="282"/>
      <c r="AV378" s="281"/>
      <c r="AW378" s="282"/>
      <c r="AX378" s="281"/>
      <c r="AY378" s="282"/>
      <c r="AZ378" s="117"/>
      <c r="BA378" s="331"/>
      <c r="BB378" s="117"/>
      <c r="BC378" s="331"/>
      <c r="BD378" s="117"/>
      <c r="BE378" s="331"/>
      <c r="BF378" s="117"/>
      <c r="BG378" s="331"/>
      <c r="BH378" s="117"/>
      <c r="BI378" s="944" t="s">
        <v>212</v>
      </c>
      <c r="BJ378" s="944"/>
      <c r="BK378" s="944"/>
      <c r="BL378" s="944"/>
      <c r="BM378" s="944"/>
      <c r="BN378" s="944"/>
      <c r="BO378" s="944"/>
      <c r="BP378" s="944"/>
      <c r="BQ378" s="944"/>
      <c r="BR378" s="944"/>
      <c r="BS378" s="944"/>
      <c r="BT378" s="944"/>
      <c r="BU378" s="944"/>
      <c r="BV378" s="945"/>
    </row>
    <row r="379" spans="1:74" ht="30" customHeight="1" x14ac:dyDescent="0.25">
      <c r="A379" s="200">
        <f t="shared" si="5"/>
        <v>365</v>
      </c>
      <c r="B379" s="294" t="s">
        <v>162</v>
      </c>
      <c r="C379" s="295"/>
      <c r="D379" s="936"/>
      <c r="E379" s="937"/>
      <c r="F379" s="937"/>
      <c r="G379" s="937"/>
      <c r="H379" s="937"/>
      <c r="I379" s="937"/>
      <c r="J379" s="937"/>
      <c r="K379" s="938"/>
      <c r="L379" s="932"/>
      <c r="M379" s="932"/>
      <c r="N379" s="932"/>
      <c r="O379" s="932"/>
      <c r="P379" s="931"/>
      <c r="Q379" s="931"/>
      <c r="R379" s="931"/>
      <c r="S379" s="931"/>
      <c r="T379" s="933"/>
      <c r="U379" s="934"/>
      <c r="V379" s="934"/>
      <c r="W379" s="935"/>
      <c r="X379" s="936"/>
      <c r="Y379" s="937"/>
      <c r="Z379" s="937"/>
      <c r="AA379" s="938"/>
      <c r="AB379" s="594"/>
      <c r="AC379" s="595"/>
      <c r="AD379" s="596"/>
      <c r="AE379" s="779"/>
      <c r="AF379" s="939"/>
      <c r="AG379" s="780"/>
      <c r="AH379" s="941"/>
      <c r="AI379" s="942"/>
      <c r="AJ379" s="943"/>
      <c r="AK379" s="745"/>
      <c r="AL379" s="940"/>
      <c r="AM379" s="746"/>
      <c r="AN379" s="281"/>
      <c r="AO379" s="282"/>
      <c r="AP379" s="281"/>
      <c r="AQ379" s="282"/>
      <c r="AR379" s="281"/>
      <c r="AS379" s="282"/>
      <c r="AT379" s="281"/>
      <c r="AU379" s="282"/>
      <c r="AV379" s="281"/>
      <c r="AW379" s="282"/>
      <c r="AX379" s="281"/>
      <c r="AY379" s="282"/>
      <c r="AZ379" s="117"/>
      <c r="BA379" s="331"/>
      <c r="BB379" s="117"/>
      <c r="BC379" s="331"/>
      <c r="BD379" s="117"/>
      <c r="BE379" s="331"/>
      <c r="BF379" s="117"/>
      <c r="BG379" s="331"/>
      <c r="BH379" s="117"/>
      <c r="BI379" s="944" t="s">
        <v>212</v>
      </c>
      <c r="BJ379" s="944"/>
      <c r="BK379" s="944"/>
      <c r="BL379" s="944"/>
      <c r="BM379" s="944"/>
      <c r="BN379" s="944"/>
      <c r="BO379" s="944"/>
      <c r="BP379" s="944"/>
      <c r="BQ379" s="944"/>
      <c r="BR379" s="944"/>
      <c r="BS379" s="944"/>
      <c r="BT379" s="944"/>
      <c r="BU379" s="944"/>
      <c r="BV379" s="945"/>
    </row>
    <row r="380" spans="1:74" ht="30" customHeight="1" x14ac:dyDescent="0.25">
      <c r="A380" s="200">
        <f t="shared" si="5"/>
        <v>366</v>
      </c>
      <c r="B380" s="294" t="s">
        <v>162</v>
      </c>
      <c r="C380" s="295"/>
      <c r="D380" s="936"/>
      <c r="E380" s="937"/>
      <c r="F380" s="937"/>
      <c r="G380" s="937"/>
      <c r="H380" s="937"/>
      <c r="I380" s="937"/>
      <c r="J380" s="937"/>
      <c r="K380" s="938"/>
      <c r="L380" s="932"/>
      <c r="M380" s="932"/>
      <c r="N380" s="932"/>
      <c r="O380" s="932"/>
      <c r="P380" s="931"/>
      <c r="Q380" s="931"/>
      <c r="R380" s="931"/>
      <c r="S380" s="931"/>
      <c r="T380" s="933"/>
      <c r="U380" s="934"/>
      <c r="V380" s="934"/>
      <c r="W380" s="935"/>
      <c r="X380" s="936"/>
      <c r="Y380" s="937"/>
      <c r="Z380" s="937"/>
      <c r="AA380" s="938"/>
      <c r="AB380" s="594"/>
      <c r="AC380" s="595"/>
      <c r="AD380" s="596"/>
      <c r="AE380" s="779"/>
      <c r="AF380" s="939"/>
      <c r="AG380" s="780"/>
      <c r="AH380" s="941"/>
      <c r="AI380" s="942"/>
      <c r="AJ380" s="943"/>
      <c r="AK380" s="745"/>
      <c r="AL380" s="940"/>
      <c r="AM380" s="746"/>
      <c r="AN380" s="281"/>
      <c r="AO380" s="282"/>
      <c r="AP380" s="281"/>
      <c r="AQ380" s="282"/>
      <c r="AR380" s="281"/>
      <c r="AS380" s="282"/>
      <c r="AT380" s="281"/>
      <c r="AU380" s="282"/>
      <c r="AV380" s="281"/>
      <c r="AW380" s="282"/>
      <c r="AX380" s="281"/>
      <c r="AY380" s="282"/>
      <c r="AZ380" s="117"/>
      <c r="BA380" s="331"/>
      <c r="BB380" s="117"/>
      <c r="BC380" s="331"/>
      <c r="BD380" s="117"/>
      <c r="BE380" s="331"/>
      <c r="BF380" s="117"/>
      <c r="BG380" s="331"/>
      <c r="BH380" s="117"/>
      <c r="BI380" s="944" t="s">
        <v>212</v>
      </c>
      <c r="BJ380" s="944"/>
      <c r="BK380" s="944"/>
      <c r="BL380" s="944"/>
      <c r="BM380" s="944"/>
      <c r="BN380" s="944"/>
      <c r="BO380" s="944"/>
      <c r="BP380" s="944"/>
      <c r="BQ380" s="944"/>
      <c r="BR380" s="944"/>
      <c r="BS380" s="944"/>
      <c r="BT380" s="944"/>
      <c r="BU380" s="944"/>
      <c r="BV380" s="945"/>
    </row>
    <row r="381" spans="1:74" ht="30" customHeight="1" x14ac:dyDescent="0.25">
      <c r="A381" s="200">
        <f t="shared" si="5"/>
        <v>367</v>
      </c>
      <c r="B381" s="294" t="s">
        <v>162</v>
      </c>
      <c r="C381" s="295"/>
      <c r="D381" s="936"/>
      <c r="E381" s="937"/>
      <c r="F381" s="937"/>
      <c r="G381" s="937"/>
      <c r="H381" s="937"/>
      <c r="I381" s="937"/>
      <c r="J381" s="937"/>
      <c r="K381" s="938"/>
      <c r="L381" s="932"/>
      <c r="M381" s="932"/>
      <c r="N381" s="932"/>
      <c r="O381" s="932"/>
      <c r="P381" s="931"/>
      <c r="Q381" s="931"/>
      <c r="R381" s="931"/>
      <c r="S381" s="931"/>
      <c r="T381" s="933"/>
      <c r="U381" s="934"/>
      <c r="V381" s="934"/>
      <c r="W381" s="935"/>
      <c r="X381" s="936"/>
      <c r="Y381" s="937"/>
      <c r="Z381" s="937"/>
      <c r="AA381" s="938"/>
      <c r="AB381" s="594"/>
      <c r="AC381" s="595"/>
      <c r="AD381" s="596"/>
      <c r="AE381" s="779"/>
      <c r="AF381" s="939"/>
      <c r="AG381" s="780"/>
      <c r="AH381" s="941"/>
      <c r="AI381" s="942"/>
      <c r="AJ381" s="943"/>
      <c r="AK381" s="745"/>
      <c r="AL381" s="940"/>
      <c r="AM381" s="746"/>
      <c r="AN381" s="281"/>
      <c r="AO381" s="282"/>
      <c r="AP381" s="281"/>
      <c r="AQ381" s="282"/>
      <c r="AR381" s="281"/>
      <c r="AS381" s="282"/>
      <c r="AT381" s="281"/>
      <c r="AU381" s="282"/>
      <c r="AV381" s="281"/>
      <c r="AW381" s="282"/>
      <c r="AX381" s="281"/>
      <c r="AY381" s="282"/>
      <c r="AZ381" s="117"/>
      <c r="BA381" s="331"/>
      <c r="BB381" s="117"/>
      <c r="BC381" s="331"/>
      <c r="BD381" s="117"/>
      <c r="BE381" s="331"/>
      <c r="BF381" s="117"/>
      <c r="BG381" s="331"/>
      <c r="BH381" s="117"/>
      <c r="BI381" s="944" t="s">
        <v>159</v>
      </c>
      <c r="BJ381" s="944"/>
      <c r="BK381" s="944"/>
      <c r="BL381" s="944"/>
      <c r="BM381" s="944"/>
      <c r="BN381" s="944"/>
      <c r="BO381" s="944"/>
      <c r="BP381" s="944"/>
      <c r="BQ381" s="944"/>
      <c r="BR381" s="944"/>
      <c r="BS381" s="944"/>
      <c r="BT381" s="944"/>
      <c r="BU381" s="944"/>
      <c r="BV381" s="945"/>
    </row>
    <row r="382" spans="1:74" ht="30" customHeight="1" x14ac:dyDescent="0.25">
      <c r="A382" s="200">
        <f t="shared" si="5"/>
        <v>368</v>
      </c>
      <c r="B382" s="294" t="s">
        <v>162</v>
      </c>
      <c r="C382" s="295"/>
      <c r="D382" s="936"/>
      <c r="E382" s="937"/>
      <c r="F382" s="937"/>
      <c r="G382" s="937"/>
      <c r="H382" s="937"/>
      <c r="I382" s="937"/>
      <c r="J382" s="937"/>
      <c r="K382" s="938"/>
      <c r="L382" s="932"/>
      <c r="M382" s="932"/>
      <c r="N382" s="932"/>
      <c r="O382" s="932"/>
      <c r="P382" s="931"/>
      <c r="Q382" s="931"/>
      <c r="R382" s="931"/>
      <c r="S382" s="931"/>
      <c r="T382" s="933"/>
      <c r="U382" s="934"/>
      <c r="V382" s="934"/>
      <c r="W382" s="935"/>
      <c r="X382" s="936"/>
      <c r="Y382" s="937"/>
      <c r="Z382" s="937"/>
      <c r="AA382" s="938"/>
      <c r="AB382" s="594"/>
      <c r="AC382" s="595"/>
      <c r="AD382" s="596"/>
      <c r="AE382" s="779"/>
      <c r="AF382" s="939"/>
      <c r="AG382" s="780"/>
      <c r="AH382" s="941"/>
      <c r="AI382" s="942"/>
      <c r="AJ382" s="943"/>
      <c r="AK382" s="745"/>
      <c r="AL382" s="940"/>
      <c r="AM382" s="746"/>
      <c r="AN382" s="281"/>
      <c r="AO382" s="282"/>
      <c r="AP382" s="281"/>
      <c r="AQ382" s="282"/>
      <c r="AR382" s="281"/>
      <c r="AS382" s="282"/>
      <c r="AT382" s="281"/>
      <c r="AU382" s="282"/>
      <c r="AV382" s="281"/>
      <c r="AW382" s="282"/>
      <c r="AX382" s="281"/>
      <c r="AY382" s="282"/>
      <c r="AZ382" s="117"/>
      <c r="BA382" s="331"/>
      <c r="BB382" s="117"/>
      <c r="BC382" s="331"/>
      <c r="BD382" s="117"/>
      <c r="BE382" s="331"/>
      <c r="BF382" s="117"/>
      <c r="BG382" s="331"/>
      <c r="BH382" s="117"/>
      <c r="BI382" s="944" t="s">
        <v>159</v>
      </c>
      <c r="BJ382" s="944"/>
      <c r="BK382" s="944"/>
      <c r="BL382" s="944"/>
      <c r="BM382" s="944"/>
      <c r="BN382" s="944"/>
      <c r="BO382" s="944"/>
      <c r="BP382" s="944"/>
      <c r="BQ382" s="944"/>
      <c r="BR382" s="944"/>
      <c r="BS382" s="944"/>
      <c r="BT382" s="944"/>
      <c r="BU382" s="944"/>
      <c r="BV382" s="945"/>
    </row>
    <row r="383" spans="1:74" ht="30" customHeight="1" x14ac:dyDescent="0.25">
      <c r="A383" s="232">
        <f t="shared" si="5"/>
        <v>369</v>
      </c>
      <c r="B383" s="294" t="s">
        <v>162</v>
      </c>
      <c r="C383" s="295"/>
      <c r="D383" s="936"/>
      <c r="E383" s="937"/>
      <c r="F383" s="937"/>
      <c r="G383" s="937"/>
      <c r="H383" s="937"/>
      <c r="I383" s="937"/>
      <c r="J383" s="937"/>
      <c r="K383" s="938"/>
      <c r="L383" s="932"/>
      <c r="M383" s="932"/>
      <c r="N383" s="932"/>
      <c r="O383" s="932"/>
      <c r="P383" s="931"/>
      <c r="Q383" s="931"/>
      <c r="R383" s="931"/>
      <c r="S383" s="931"/>
      <c r="T383" s="933"/>
      <c r="U383" s="934"/>
      <c r="V383" s="934"/>
      <c r="W383" s="935"/>
      <c r="X383" s="936"/>
      <c r="Y383" s="937"/>
      <c r="Z383" s="937"/>
      <c r="AA383" s="938"/>
      <c r="AB383" s="594"/>
      <c r="AC383" s="595"/>
      <c r="AD383" s="596"/>
      <c r="AE383" s="779"/>
      <c r="AF383" s="939"/>
      <c r="AG383" s="780"/>
      <c r="AH383" s="941"/>
      <c r="AI383" s="942"/>
      <c r="AJ383" s="943"/>
      <c r="AK383" s="745"/>
      <c r="AL383" s="940"/>
      <c r="AM383" s="746"/>
      <c r="AN383" s="281"/>
      <c r="AO383" s="282"/>
      <c r="AP383" s="281"/>
      <c r="AQ383" s="282"/>
      <c r="AR383" s="281"/>
      <c r="AS383" s="282"/>
      <c r="AT383" s="281"/>
      <c r="AU383" s="282"/>
      <c r="AV383" s="281"/>
      <c r="AW383" s="282"/>
      <c r="AX383" s="281"/>
      <c r="AY383" s="282"/>
      <c r="AZ383" s="117"/>
      <c r="BA383" s="331"/>
      <c r="BB383" s="117"/>
      <c r="BC383" s="331"/>
      <c r="BD383" s="117"/>
      <c r="BE383" s="331"/>
      <c r="BF383" s="117"/>
      <c r="BG383" s="331"/>
      <c r="BH383" s="117"/>
      <c r="BI383" s="944" t="s">
        <v>212</v>
      </c>
      <c r="BJ383" s="944"/>
      <c r="BK383" s="944"/>
      <c r="BL383" s="944"/>
      <c r="BM383" s="944"/>
      <c r="BN383" s="944"/>
      <c r="BO383" s="944"/>
      <c r="BP383" s="944"/>
      <c r="BQ383" s="944"/>
      <c r="BR383" s="944"/>
      <c r="BS383" s="944"/>
      <c r="BT383" s="944"/>
      <c r="BU383" s="944"/>
      <c r="BV383" s="945"/>
    </row>
    <row r="384" spans="1:74" ht="30" customHeight="1" x14ac:dyDescent="0.25">
      <c r="A384" s="200">
        <f t="shared" si="5"/>
        <v>370</v>
      </c>
      <c r="B384" s="294" t="s">
        <v>162</v>
      </c>
      <c r="C384" s="295"/>
      <c r="D384" s="936"/>
      <c r="E384" s="937"/>
      <c r="F384" s="937"/>
      <c r="G384" s="937"/>
      <c r="H384" s="937"/>
      <c r="I384" s="937"/>
      <c r="J384" s="937"/>
      <c r="K384" s="938"/>
      <c r="L384" s="932"/>
      <c r="M384" s="932"/>
      <c r="N384" s="932"/>
      <c r="O384" s="932"/>
      <c r="P384" s="931"/>
      <c r="Q384" s="931"/>
      <c r="R384" s="931"/>
      <c r="S384" s="931"/>
      <c r="T384" s="933"/>
      <c r="U384" s="934"/>
      <c r="V384" s="934"/>
      <c r="W384" s="935"/>
      <c r="X384" s="936"/>
      <c r="Y384" s="937"/>
      <c r="Z384" s="937"/>
      <c r="AA384" s="938"/>
      <c r="AB384" s="594"/>
      <c r="AC384" s="595"/>
      <c r="AD384" s="596"/>
      <c r="AE384" s="779"/>
      <c r="AF384" s="939"/>
      <c r="AG384" s="780"/>
      <c r="AH384" s="941"/>
      <c r="AI384" s="942"/>
      <c r="AJ384" s="943"/>
      <c r="AK384" s="745"/>
      <c r="AL384" s="940"/>
      <c r="AM384" s="746"/>
      <c r="AN384" s="281"/>
      <c r="AO384" s="282"/>
      <c r="AP384" s="281"/>
      <c r="AQ384" s="282"/>
      <c r="AR384" s="281"/>
      <c r="AS384" s="282"/>
      <c r="AT384" s="281"/>
      <c r="AU384" s="282"/>
      <c r="AV384" s="281"/>
      <c r="AW384" s="282"/>
      <c r="AX384" s="281"/>
      <c r="AY384" s="282"/>
      <c r="AZ384" s="117"/>
      <c r="BA384" s="331"/>
      <c r="BB384" s="117"/>
      <c r="BC384" s="331"/>
      <c r="BD384" s="117"/>
      <c r="BE384" s="331"/>
      <c r="BF384" s="117"/>
      <c r="BG384" s="331"/>
      <c r="BH384" s="117"/>
      <c r="BI384" s="944" t="s">
        <v>212</v>
      </c>
      <c r="BJ384" s="944"/>
      <c r="BK384" s="944"/>
      <c r="BL384" s="944"/>
      <c r="BM384" s="944"/>
      <c r="BN384" s="944"/>
      <c r="BO384" s="944"/>
      <c r="BP384" s="944"/>
      <c r="BQ384" s="944"/>
      <c r="BR384" s="944"/>
      <c r="BS384" s="944"/>
      <c r="BT384" s="944"/>
      <c r="BU384" s="944"/>
      <c r="BV384" s="945"/>
    </row>
    <row r="385" spans="1:74" ht="30" customHeight="1" x14ac:dyDescent="0.25">
      <c r="A385" s="200">
        <f t="shared" si="5"/>
        <v>371</v>
      </c>
      <c r="B385" s="294" t="s">
        <v>162</v>
      </c>
      <c r="C385" s="295"/>
      <c r="D385" s="936"/>
      <c r="E385" s="937"/>
      <c r="F385" s="937"/>
      <c r="G385" s="937"/>
      <c r="H385" s="937"/>
      <c r="I385" s="937"/>
      <c r="J385" s="937"/>
      <c r="K385" s="938"/>
      <c r="L385" s="932"/>
      <c r="M385" s="932"/>
      <c r="N385" s="932"/>
      <c r="O385" s="932"/>
      <c r="P385" s="931"/>
      <c r="Q385" s="931"/>
      <c r="R385" s="931"/>
      <c r="S385" s="931"/>
      <c r="T385" s="933"/>
      <c r="U385" s="934"/>
      <c r="V385" s="934"/>
      <c r="W385" s="935"/>
      <c r="X385" s="936"/>
      <c r="Y385" s="937"/>
      <c r="Z385" s="937"/>
      <c r="AA385" s="938"/>
      <c r="AB385" s="594"/>
      <c r="AC385" s="595"/>
      <c r="AD385" s="596"/>
      <c r="AE385" s="779"/>
      <c r="AF385" s="939"/>
      <c r="AG385" s="780"/>
      <c r="AH385" s="941"/>
      <c r="AI385" s="942"/>
      <c r="AJ385" s="943"/>
      <c r="AK385" s="745"/>
      <c r="AL385" s="940"/>
      <c r="AM385" s="746"/>
      <c r="AN385" s="281"/>
      <c r="AO385" s="282"/>
      <c r="AP385" s="281"/>
      <c r="AQ385" s="282"/>
      <c r="AR385" s="281"/>
      <c r="AS385" s="282"/>
      <c r="AT385" s="281"/>
      <c r="AU385" s="282"/>
      <c r="AV385" s="281"/>
      <c r="AW385" s="282"/>
      <c r="AX385" s="281"/>
      <c r="AY385" s="282"/>
      <c r="AZ385" s="117"/>
      <c r="BA385" s="331"/>
      <c r="BB385" s="117"/>
      <c r="BC385" s="331"/>
      <c r="BD385" s="117"/>
      <c r="BE385" s="331"/>
      <c r="BF385" s="117"/>
      <c r="BG385" s="331"/>
      <c r="BH385" s="117"/>
      <c r="BI385" s="944" t="s">
        <v>212</v>
      </c>
      <c r="BJ385" s="944"/>
      <c r="BK385" s="944"/>
      <c r="BL385" s="944"/>
      <c r="BM385" s="944"/>
      <c r="BN385" s="944"/>
      <c r="BO385" s="944"/>
      <c r="BP385" s="944"/>
      <c r="BQ385" s="944"/>
      <c r="BR385" s="944"/>
      <c r="BS385" s="944"/>
      <c r="BT385" s="944"/>
      <c r="BU385" s="944"/>
      <c r="BV385" s="945"/>
    </row>
    <row r="386" spans="1:74" ht="30" customHeight="1" x14ac:dyDescent="0.25">
      <c r="A386" s="200">
        <f t="shared" si="5"/>
        <v>372</v>
      </c>
      <c r="B386" s="294" t="s">
        <v>162</v>
      </c>
      <c r="C386" s="295"/>
      <c r="D386" s="936"/>
      <c r="E386" s="937"/>
      <c r="F386" s="937"/>
      <c r="G386" s="937"/>
      <c r="H386" s="937"/>
      <c r="I386" s="937"/>
      <c r="J386" s="937"/>
      <c r="K386" s="938"/>
      <c r="L386" s="932"/>
      <c r="M386" s="932"/>
      <c r="N386" s="932"/>
      <c r="O386" s="932"/>
      <c r="P386" s="931"/>
      <c r="Q386" s="931"/>
      <c r="R386" s="931"/>
      <c r="S386" s="931"/>
      <c r="T386" s="933"/>
      <c r="U386" s="934"/>
      <c r="V386" s="934"/>
      <c r="W386" s="935"/>
      <c r="X386" s="936"/>
      <c r="Y386" s="937"/>
      <c r="Z386" s="937"/>
      <c r="AA386" s="938"/>
      <c r="AB386" s="594"/>
      <c r="AC386" s="595"/>
      <c r="AD386" s="596"/>
      <c r="AE386" s="779"/>
      <c r="AF386" s="939"/>
      <c r="AG386" s="780"/>
      <c r="AH386" s="941"/>
      <c r="AI386" s="942"/>
      <c r="AJ386" s="943"/>
      <c r="AK386" s="745"/>
      <c r="AL386" s="940"/>
      <c r="AM386" s="746"/>
      <c r="AN386" s="281"/>
      <c r="AO386" s="282"/>
      <c r="AP386" s="281"/>
      <c r="AQ386" s="282"/>
      <c r="AR386" s="281"/>
      <c r="AS386" s="282"/>
      <c r="AT386" s="281"/>
      <c r="AU386" s="282"/>
      <c r="AV386" s="281"/>
      <c r="AW386" s="282"/>
      <c r="AX386" s="281"/>
      <c r="AY386" s="282"/>
      <c r="AZ386" s="117"/>
      <c r="BA386" s="331"/>
      <c r="BB386" s="117"/>
      <c r="BC386" s="331"/>
      <c r="BD386" s="117"/>
      <c r="BE386" s="331"/>
      <c r="BF386" s="117"/>
      <c r="BG386" s="331"/>
      <c r="BH386" s="117"/>
      <c r="BI386" s="944" t="s">
        <v>212</v>
      </c>
      <c r="BJ386" s="944"/>
      <c r="BK386" s="944"/>
      <c r="BL386" s="944"/>
      <c r="BM386" s="944"/>
      <c r="BN386" s="944"/>
      <c r="BO386" s="944"/>
      <c r="BP386" s="944"/>
      <c r="BQ386" s="944"/>
      <c r="BR386" s="944"/>
      <c r="BS386" s="944"/>
      <c r="BT386" s="944"/>
      <c r="BU386" s="944"/>
      <c r="BV386" s="945"/>
    </row>
    <row r="387" spans="1:74" ht="30" customHeight="1" x14ac:dyDescent="0.25">
      <c r="A387" s="200">
        <f t="shared" si="5"/>
        <v>373</v>
      </c>
      <c r="B387" s="294" t="s">
        <v>162</v>
      </c>
      <c r="C387" s="295"/>
      <c r="D387" s="936"/>
      <c r="E387" s="937"/>
      <c r="F387" s="937"/>
      <c r="G387" s="937"/>
      <c r="H387" s="937"/>
      <c r="I387" s="937"/>
      <c r="J387" s="937"/>
      <c r="K387" s="938"/>
      <c r="L387" s="932"/>
      <c r="M387" s="932"/>
      <c r="N387" s="932"/>
      <c r="O387" s="932"/>
      <c r="P387" s="931"/>
      <c r="Q387" s="931"/>
      <c r="R387" s="931"/>
      <c r="S387" s="931"/>
      <c r="T387" s="933"/>
      <c r="U387" s="934"/>
      <c r="V387" s="934"/>
      <c r="W387" s="935"/>
      <c r="X387" s="936"/>
      <c r="Y387" s="937"/>
      <c r="Z387" s="937"/>
      <c r="AA387" s="938"/>
      <c r="AB387" s="594"/>
      <c r="AC387" s="595"/>
      <c r="AD387" s="596"/>
      <c r="AE387" s="779"/>
      <c r="AF387" s="939"/>
      <c r="AG387" s="780"/>
      <c r="AH387" s="941"/>
      <c r="AI387" s="942"/>
      <c r="AJ387" s="943"/>
      <c r="AK387" s="745"/>
      <c r="AL387" s="940"/>
      <c r="AM387" s="746"/>
      <c r="AN387" s="281"/>
      <c r="AO387" s="282"/>
      <c r="AP387" s="281"/>
      <c r="AQ387" s="282"/>
      <c r="AR387" s="281"/>
      <c r="AS387" s="282"/>
      <c r="AT387" s="281"/>
      <c r="AU387" s="282"/>
      <c r="AV387" s="281"/>
      <c r="AW387" s="282"/>
      <c r="AX387" s="281"/>
      <c r="AY387" s="282"/>
      <c r="AZ387" s="117"/>
      <c r="BA387" s="331"/>
      <c r="BB387" s="117"/>
      <c r="BC387" s="331"/>
      <c r="BD387" s="117"/>
      <c r="BE387" s="331"/>
      <c r="BF387" s="117"/>
      <c r="BG387" s="331"/>
      <c r="BH387" s="117"/>
      <c r="BI387" s="944" t="s">
        <v>212</v>
      </c>
      <c r="BJ387" s="944"/>
      <c r="BK387" s="944"/>
      <c r="BL387" s="944"/>
      <c r="BM387" s="944"/>
      <c r="BN387" s="944"/>
      <c r="BO387" s="944"/>
      <c r="BP387" s="944"/>
      <c r="BQ387" s="944"/>
      <c r="BR387" s="944"/>
      <c r="BS387" s="944"/>
      <c r="BT387" s="944"/>
      <c r="BU387" s="944"/>
      <c r="BV387" s="945"/>
    </row>
    <row r="388" spans="1:74" ht="30" customHeight="1" x14ac:dyDescent="0.25">
      <c r="A388" s="200">
        <f t="shared" si="5"/>
        <v>374</v>
      </c>
      <c r="B388" s="294" t="s">
        <v>162</v>
      </c>
      <c r="C388" s="295"/>
      <c r="D388" s="936"/>
      <c r="E388" s="937"/>
      <c r="F388" s="937"/>
      <c r="G388" s="937"/>
      <c r="H388" s="937"/>
      <c r="I388" s="937"/>
      <c r="J388" s="937"/>
      <c r="K388" s="938"/>
      <c r="L388" s="932"/>
      <c r="M388" s="932"/>
      <c r="N388" s="932"/>
      <c r="O388" s="932"/>
      <c r="P388" s="931"/>
      <c r="Q388" s="931"/>
      <c r="R388" s="931"/>
      <c r="S388" s="931"/>
      <c r="T388" s="933"/>
      <c r="U388" s="934"/>
      <c r="V388" s="934"/>
      <c r="W388" s="935"/>
      <c r="X388" s="936"/>
      <c r="Y388" s="937"/>
      <c r="Z388" s="937"/>
      <c r="AA388" s="938"/>
      <c r="AB388" s="594"/>
      <c r="AC388" s="595"/>
      <c r="AD388" s="596"/>
      <c r="AE388" s="779"/>
      <c r="AF388" s="939"/>
      <c r="AG388" s="780"/>
      <c r="AH388" s="941"/>
      <c r="AI388" s="942"/>
      <c r="AJ388" s="943"/>
      <c r="AK388" s="745"/>
      <c r="AL388" s="940"/>
      <c r="AM388" s="746"/>
      <c r="AN388" s="281"/>
      <c r="AO388" s="282"/>
      <c r="AP388" s="281"/>
      <c r="AQ388" s="282"/>
      <c r="AR388" s="281"/>
      <c r="AS388" s="282"/>
      <c r="AT388" s="281"/>
      <c r="AU388" s="282"/>
      <c r="AV388" s="281"/>
      <c r="AW388" s="282"/>
      <c r="AX388" s="281"/>
      <c r="AY388" s="282"/>
      <c r="AZ388" s="117"/>
      <c r="BA388" s="331"/>
      <c r="BB388" s="117"/>
      <c r="BC388" s="331"/>
      <c r="BD388" s="117"/>
      <c r="BE388" s="331"/>
      <c r="BF388" s="117"/>
      <c r="BG388" s="331"/>
      <c r="BH388" s="117"/>
      <c r="BI388" s="944" t="s">
        <v>159</v>
      </c>
      <c r="BJ388" s="944"/>
      <c r="BK388" s="944"/>
      <c r="BL388" s="944"/>
      <c r="BM388" s="944"/>
      <c r="BN388" s="944"/>
      <c r="BO388" s="944"/>
      <c r="BP388" s="944"/>
      <c r="BQ388" s="944"/>
      <c r="BR388" s="944"/>
      <c r="BS388" s="944"/>
      <c r="BT388" s="944"/>
      <c r="BU388" s="944"/>
      <c r="BV388" s="945"/>
    </row>
    <row r="389" spans="1:74" ht="30" customHeight="1" x14ac:dyDescent="0.25">
      <c r="A389" s="200">
        <f t="shared" si="5"/>
        <v>375</v>
      </c>
      <c r="B389" s="294" t="s">
        <v>162</v>
      </c>
      <c r="C389" s="295"/>
      <c r="D389" s="936"/>
      <c r="E389" s="937"/>
      <c r="F389" s="937"/>
      <c r="G389" s="937"/>
      <c r="H389" s="937"/>
      <c r="I389" s="937"/>
      <c r="J389" s="937"/>
      <c r="K389" s="938"/>
      <c r="L389" s="932"/>
      <c r="M389" s="932"/>
      <c r="N389" s="932"/>
      <c r="O389" s="932"/>
      <c r="P389" s="931"/>
      <c r="Q389" s="931"/>
      <c r="R389" s="931"/>
      <c r="S389" s="931"/>
      <c r="T389" s="933"/>
      <c r="U389" s="934"/>
      <c r="V389" s="934"/>
      <c r="W389" s="935"/>
      <c r="X389" s="936"/>
      <c r="Y389" s="937"/>
      <c r="Z389" s="937"/>
      <c r="AA389" s="938"/>
      <c r="AB389" s="594"/>
      <c r="AC389" s="595"/>
      <c r="AD389" s="596"/>
      <c r="AE389" s="779"/>
      <c r="AF389" s="939"/>
      <c r="AG389" s="780"/>
      <c r="AH389" s="941"/>
      <c r="AI389" s="942"/>
      <c r="AJ389" s="943"/>
      <c r="AK389" s="745"/>
      <c r="AL389" s="940"/>
      <c r="AM389" s="746"/>
      <c r="AN389" s="281"/>
      <c r="AO389" s="282"/>
      <c r="AP389" s="281"/>
      <c r="AQ389" s="282"/>
      <c r="AR389" s="281"/>
      <c r="AS389" s="282"/>
      <c r="AT389" s="281"/>
      <c r="AU389" s="282"/>
      <c r="AV389" s="281"/>
      <c r="AW389" s="282"/>
      <c r="AX389" s="281"/>
      <c r="AY389" s="282"/>
      <c r="AZ389" s="117"/>
      <c r="BA389" s="331"/>
      <c r="BB389" s="117"/>
      <c r="BC389" s="331"/>
      <c r="BD389" s="117"/>
      <c r="BE389" s="331"/>
      <c r="BF389" s="117"/>
      <c r="BG389" s="331"/>
      <c r="BH389" s="117"/>
      <c r="BI389" s="944" t="s">
        <v>159</v>
      </c>
      <c r="BJ389" s="944"/>
      <c r="BK389" s="944"/>
      <c r="BL389" s="944"/>
      <c r="BM389" s="944"/>
      <c r="BN389" s="944"/>
      <c r="BO389" s="944"/>
      <c r="BP389" s="944"/>
      <c r="BQ389" s="944"/>
      <c r="BR389" s="944"/>
      <c r="BS389" s="944"/>
      <c r="BT389" s="944"/>
      <c r="BU389" s="944"/>
      <c r="BV389" s="945"/>
    </row>
    <row r="390" spans="1:74" ht="30" customHeight="1" x14ac:dyDescent="0.25">
      <c r="A390" s="232">
        <f t="shared" si="5"/>
        <v>376</v>
      </c>
      <c r="B390" s="294" t="s">
        <v>162</v>
      </c>
      <c r="C390" s="295"/>
      <c r="D390" s="936"/>
      <c r="E390" s="937"/>
      <c r="F390" s="937"/>
      <c r="G390" s="937"/>
      <c r="H390" s="937"/>
      <c r="I390" s="937"/>
      <c r="J390" s="937"/>
      <c r="K390" s="938"/>
      <c r="L390" s="932"/>
      <c r="M390" s="932"/>
      <c r="N390" s="932"/>
      <c r="O390" s="932"/>
      <c r="P390" s="931"/>
      <c r="Q390" s="931"/>
      <c r="R390" s="931"/>
      <c r="S390" s="931"/>
      <c r="T390" s="933"/>
      <c r="U390" s="934"/>
      <c r="V390" s="934"/>
      <c r="W390" s="935"/>
      <c r="X390" s="936"/>
      <c r="Y390" s="937"/>
      <c r="Z390" s="937"/>
      <c r="AA390" s="938"/>
      <c r="AB390" s="594"/>
      <c r="AC390" s="595"/>
      <c r="AD390" s="596"/>
      <c r="AE390" s="779"/>
      <c r="AF390" s="939"/>
      <c r="AG390" s="780"/>
      <c r="AH390" s="941"/>
      <c r="AI390" s="942"/>
      <c r="AJ390" s="943"/>
      <c r="AK390" s="745"/>
      <c r="AL390" s="940"/>
      <c r="AM390" s="746"/>
      <c r="AN390" s="281"/>
      <c r="AO390" s="282"/>
      <c r="AP390" s="281"/>
      <c r="AQ390" s="282"/>
      <c r="AR390" s="281"/>
      <c r="AS390" s="282"/>
      <c r="AT390" s="281"/>
      <c r="AU390" s="282"/>
      <c r="AV390" s="281"/>
      <c r="AW390" s="282"/>
      <c r="AX390" s="281"/>
      <c r="AY390" s="282"/>
      <c r="AZ390" s="117"/>
      <c r="BA390" s="331"/>
      <c r="BB390" s="117"/>
      <c r="BC390" s="331"/>
      <c r="BD390" s="117"/>
      <c r="BE390" s="331"/>
      <c r="BF390" s="117"/>
      <c r="BG390" s="331"/>
      <c r="BH390" s="117"/>
      <c r="BI390" s="944" t="s">
        <v>212</v>
      </c>
      <c r="BJ390" s="944"/>
      <c r="BK390" s="944"/>
      <c r="BL390" s="944"/>
      <c r="BM390" s="944"/>
      <c r="BN390" s="944"/>
      <c r="BO390" s="944"/>
      <c r="BP390" s="944"/>
      <c r="BQ390" s="944"/>
      <c r="BR390" s="944"/>
      <c r="BS390" s="944"/>
      <c r="BT390" s="944"/>
      <c r="BU390" s="944"/>
      <c r="BV390" s="945"/>
    </row>
    <row r="391" spans="1:74" ht="30" customHeight="1" x14ac:dyDescent="0.25">
      <c r="A391" s="200">
        <f t="shared" si="5"/>
        <v>377</v>
      </c>
      <c r="B391" s="294" t="s">
        <v>162</v>
      </c>
      <c r="C391" s="295"/>
      <c r="D391" s="936"/>
      <c r="E391" s="937"/>
      <c r="F391" s="937"/>
      <c r="G391" s="937"/>
      <c r="H391" s="937"/>
      <c r="I391" s="937"/>
      <c r="J391" s="937"/>
      <c r="K391" s="938"/>
      <c r="L391" s="932"/>
      <c r="M391" s="932"/>
      <c r="N391" s="932"/>
      <c r="O391" s="932"/>
      <c r="P391" s="931"/>
      <c r="Q391" s="931"/>
      <c r="R391" s="931"/>
      <c r="S391" s="931"/>
      <c r="T391" s="933"/>
      <c r="U391" s="934"/>
      <c r="V391" s="934"/>
      <c r="W391" s="935"/>
      <c r="X391" s="936"/>
      <c r="Y391" s="937"/>
      <c r="Z391" s="937"/>
      <c r="AA391" s="938"/>
      <c r="AB391" s="594"/>
      <c r="AC391" s="595"/>
      <c r="AD391" s="596"/>
      <c r="AE391" s="779"/>
      <c r="AF391" s="939"/>
      <c r="AG391" s="780"/>
      <c r="AH391" s="941"/>
      <c r="AI391" s="942"/>
      <c r="AJ391" s="943"/>
      <c r="AK391" s="745"/>
      <c r="AL391" s="940"/>
      <c r="AM391" s="746"/>
      <c r="AN391" s="281"/>
      <c r="AO391" s="282"/>
      <c r="AP391" s="281"/>
      <c r="AQ391" s="282"/>
      <c r="AR391" s="281"/>
      <c r="AS391" s="282"/>
      <c r="AT391" s="281"/>
      <c r="AU391" s="282"/>
      <c r="AV391" s="281"/>
      <c r="AW391" s="282"/>
      <c r="AX391" s="281"/>
      <c r="AY391" s="282"/>
      <c r="AZ391" s="117"/>
      <c r="BA391" s="331"/>
      <c r="BB391" s="117"/>
      <c r="BC391" s="331"/>
      <c r="BD391" s="117"/>
      <c r="BE391" s="331"/>
      <c r="BF391" s="117"/>
      <c r="BG391" s="331"/>
      <c r="BH391" s="117"/>
      <c r="BI391" s="944" t="s">
        <v>212</v>
      </c>
      <c r="BJ391" s="944"/>
      <c r="BK391" s="944"/>
      <c r="BL391" s="944"/>
      <c r="BM391" s="944"/>
      <c r="BN391" s="944"/>
      <c r="BO391" s="944"/>
      <c r="BP391" s="944"/>
      <c r="BQ391" s="944"/>
      <c r="BR391" s="944"/>
      <c r="BS391" s="944"/>
      <c r="BT391" s="944"/>
      <c r="BU391" s="944"/>
      <c r="BV391" s="945"/>
    </row>
    <row r="392" spans="1:74" ht="30" customHeight="1" x14ac:dyDescent="0.25">
      <c r="A392" s="200">
        <f t="shared" si="5"/>
        <v>378</v>
      </c>
      <c r="B392" s="294" t="s">
        <v>162</v>
      </c>
      <c r="C392" s="295"/>
      <c r="D392" s="936"/>
      <c r="E392" s="937"/>
      <c r="F392" s="937"/>
      <c r="G392" s="937"/>
      <c r="H392" s="937"/>
      <c r="I392" s="937"/>
      <c r="J392" s="937"/>
      <c r="K392" s="938"/>
      <c r="L392" s="932"/>
      <c r="M392" s="932"/>
      <c r="N392" s="932"/>
      <c r="O392" s="932"/>
      <c r="P392" s="931"/>
      <c r="Q392" s="931"/>
      <c r="R392" s="931"/>
      <c r="S392" s="931"/>
      <c r="T392" s="933"/>
      <c r="U392" s="934"/>
      <c r="V392" s="934"/>
      <c r="W392" s="935"/>
      <c r="X392" s="936"/>
      <c r="Y392" s="937"/>
      <c r="Z392" s="937"/>
      <c r="AA392" s="938"/>
      <c r="AB392" s="594"/>
      <c r="AC392" s="595"/>
      <c r="AD392" s="596"/>
      <c r="AE392" s="779"/>
      <c r="AF392" s="939"/>
      <c r="AG392" s="780"/>
      <c r="AH392" s="941"/>
      <c r="AI392" s="942"/>
      <c r="AJ392" s="943"/>
      <c r="AK392" s="745"/>
      <c r="AL392" s="940"/>
      <c r="AM392" s="746"/>
      <c r="AN392" s="281"/>
      <c r="AO392" s="282"/>
      <c r="AP392" s="281"/>
      <c r="AQ392" s="282"/>
      <c r="AR392" s="281"/>
      <c r="AS392" s="282"/>
      <c r="AT392" s="281"/>
      <c r="AU392" s="282"/>
      <c r="AV392" s="281"/>
      <c r="AW392" s="282"/>
      <c r="AX392" s="281"/>
      <c r="AY392" s="282"/>
      <c r="AZ392" s="117"/>
      <c r="BA392" s="331"/>
      <c r="BB392" s="117"/>
      <c r="BC392" s="331"/>
      <c r="BD392" s="117"/>
      <c r="BE392" s="331"/>
      <c r="BF392" s="117"/>
      <c r="BG392" s="331"/>
      <c r="BH392" s="117"/>
      <c r="BI392" s="944" t="s">
        <v>212</v>
      </c>
      <c r="BJ392" s="944"/>
      <c r="BK392" s="944"/>
      <c r="BL392" s="944"/>
      <c r="BM392" s="944"/>
      <c r="BN392" s="944"/>
      <c r="BO392" s="944"/>
      <c r="BP392" s="944"/>
      <c r="BQ392" s="944"/>
      <c r="BR392" s="944"/>
      <c r="BS392" s="944"/>
      <c r="BT392" s="944"/>
      <c r="BU392" s="944"/>
      <c r="BV392" s="945"/>
    </row>
    <row r="393" spans="1:74" ht="30" customHeight="1" x14ac:dyDescent="0.25">
      <c r="A393" s="200">
        <f t="shared" si="5"/>
        <v>379</v>
      </c>
      <c r="B393" s="294" t="s">
        <v>162</v>
      </c>
      <c r="C393" s="295"/>
      <c r="D393" s="936"/>
      <c r="E393" s="937"/>
      <c r="F393" s="937"/>
      <c r="G393" s="937"/>
      <c r="H393" s="937"/>
      <c r="I393" s="937"/>
      <c r="J393" s="937"/>
      <c r="K393" s="938"/>
      <c r="L393" s="932"/>
      <c r="M393" s="932"/>
      <c r="N393" s="932"/>
      <c r="O393" s="932"/>
      <c r="P393" s="931"/>
      <c r="Q393" s="931"/>
      <c r="R393" s="931"/>
      <c r="S393" s="931"/>
      <c r="T393" s="933"/>
      <c r="U393" s="934"/>
      <c r="V393" s="934"/>
      <c r="W393" s="935"/>
      <c r="X393" s="936"/>
      <c r="Y393" s="937"/>
      <c r="Z393" s="937"/>
      <c r="AA393" s="938"/>
      <c r="AB393" s="594"/>
      <c r="AC393" s="595"/>
      <c r="AD393" s="596"/>
      <c r="AE393" s="779"/>
      <c r="AF393" s="939"/>
      <c r="AG393" s="780"/>
      <c r="AH393" s="941"/>
      <c r="AI393" s="942"/>
      <c r="AJ393" s="943"/>
      <c r="AK393" s="745"/>
      <c r="AL393" s="940"/>
      <c r="AM393" s="746"/>
      <c r="AN393" s="281"/>
      <c r="AO393" s="282"/>
      <c r="AP393" s="281"/>
      <c r="AQ393" s="282"/>
      <c r="AR393" s="281"/>
      <c r="AS393" s="282"/>
      <c r="AT393" s="281"/>
      <c r="AU393" s="282"/>
      <c r="AV393" s="281"/>
      <c r="AW393" s="282"/>
      <c r="AX393" s="281"/>
      <c r="AY393" s="282"/>
      <c r="AZ393" s="117"/>
      <c r="BA393" s="331"/>
      <c r="BB393" s="117"/>
      <c r="BC393" s="331"/>
      <c r="BD393" s="117"/>
      <c r="BE393" s="331"/>
      <c r="BF393" s="117"/>
      <c r="BG393" s="331"/>
      <c r="BH393" s="117"/>
      <c r="BI393" s="944" t="s">
        <v>212</v>
      </c>
      <c r="BJ393" s="944"/>
      <c r="BK393" s="944"/>
      <c r="BL393" s="944"/>
      <c r="BM393" s="944"/>
      <c r="BN393" s="944"/>
      <c r="BO393" s="944"/>
      <c r="BP393" s="944"/>
      <c r="BQ393" s="944"/>
      <c r="BR393" s="944"/>
      <c r="BS393" s="944"/>
      <c r="BT393" s="944"/>
      <c r="BU393" s="944"/>
      <c r="BV393" s="945"/>
    </row>
    <row r="394" spans="1:74" ht="30" customHeight="1" x14ac:dyDescent="0.25">
      <c r="A394" s="200">
        <f t="shared" si="5"/>
        <v>380</v>
      </c>
      <c r="B394" s="294" t="s">
        <v>162</v>
      </c>
      <c r="C394" s="295"/>
      <c r="D394" s="936"/>
      <c r="E394" s="937"/>
      <c r="F394" s="937"/>
      <c r="G394" s="937"/>
      <c r="H394" s="937"/>
      <c r="I394" s="937"/>
      <c r="J394" s="937"/>
      <c r="K394" s="938"/>
      <c r="L394" s="932"/>
      <c r="M394" s="932"/>
      <c r="N394" s="932"/>
      <c r="O394" s="932"/>
      <c r="P394" s="931"/>
      <c r="Q394" s="931"/>
      <c r="R394" s="931"/>
      <c r="S394" s="931"/>
      <c r="T394" s="933"/>
      <c r="U394" s="934"/>
      <c r="V394" s="934"/>
      <c r="W394" s="935"/>
      <c r="X394" s="936"/>
      <c r="Y394" s="937"/>
      <c r="Z394" s="937"/>
      <c r="AA394" s="938"/>
      <c r="AB394" s="594"/>
      <c r="AC394" s="595"/>
      <c r="AD394" s="596"/>
      <c r="AE394" s="779"/>
      <c r="AF394" s="939"/>
      <c r="AG394" s="780"/>
      <c r="AH394" s="941"/>
      <c r="AI394" s="942"/>
      <c r="AJ394" s="943"/>
      <c r="AK394" s="745"/>
      <c r="AL394" s="940"/>
      <c r="AM394" s="746"/>
      <c r="AN394" s="281"/>
      <c r="AO394" s="282"/>
      <c r="AP394" s="281"/>
      <c r="AQ394" s="282"/>
      <c r="AR394" s="281"/>
      <c r="AS394" s="282"/>
      <c r="AT394" s="281"/>
      <c r="AU394" s="282"/>
      <c r="AV394" s="281"/>
      <c r="AW394" s="282"/>
      <c r="AX394" s="281"/>
      <c r="AY394" s="282"/>
      <c r="AZ394" s="117"/>
      <c r="BA394" s="331"/>
      <c r="BB394" s="117"/>
      <c r="BC394" s="331"/>
      <c r="BD394" s="117"/>
      <c r="BE394" s="331"/>
      <c r="BF394" s="117"/>
      <c r="BG394" s="331"/>
      <c r="BH394" s="117"/>
      <c r="BI394" s="944" t="s">
        <v>212</v>
      </c>
      <c r="BJ394" s="944"/>
      <c r="BK394" s="944"/>
      <c r="BL394" s="944"/>
      <c r="BM394" s="944"/>
      <c r="BN394" s="944"/>
      <c r="BO394" s="944"/>
      <c r="BP394" s="944"/>
      <c r="BQ394" s="944"/>
      <c r="BR394" s="944"/>
      <c r="BS394" s="944"/>
      <c r="BT394" s="944"/>
      <c r="BU394" s="944"/>
      <c r="BV394" s="945"/>
    </row>
    <row r="395" spans="1:74" ht="30" customHeight="1" x14ac:dyDescent="0.25">
      <c r="A395" s="200">
        <f t="shared" si="5"/>
        <v>381</v>
      </c>
      <c r="B395" s="294" t="s">
        <v>162</v>
      </c>
      <c r="C395" s="295"/>
      <c r="D395" s="936"/>
      <c r="E395" s="937"/>
      <c r="F395" s="937"/>
      <c r="G395" s="937"/>
      <c r="H395" s="937"/>
      <c r="I395" s="937"/>
      <c r="J395" s="937"/>
      <c r="K395" s="938"/>
      <c r="L395" s="932"/>
      <c r="M395" s="932"/>
      <c r="N395" s="932"/>
      <c r="O395" s="932"/>
      <c r="P395" s="931"/>
      <c r="Q395" s="931"/>
      <c r="R395" s="931"/>
      <c r="S395" s="931"/>
      <c r="T395" s="933"/>
      <c r="U395" s="934"/>
      <c r="V395" s="934"/>
      <c r="W395" s="935"/>
      <c r="X395" s="936"/>
      <c r="Y395" s="937"/>
      <c r="Z395" s="937"/>
      <c r="AA395" s="938"/>
      <c r="AB395" s="594"/>
      <c r="AC395" s="595"/>
      <c r="AD395" s="596"/>
      <c r="AE395" s="779"/>
      <c r="AF395" s="939"/>
      <c r="AG395" s="780"/>
      <c r="AH395" s="941"/>
      <c r="AI395" s="942"/>
      <c r="AJ395" s="943"/>
      <c r="AK395" s="745"/>
      <c r="AL395" s="940"/>
      <c r="AM395" s="746"/>
      <c r="AN395" s="281"/>
      <c r="AO395" s="282"/>
      <c r="AP395" s="281"/>
      <c r="AQ395" s="282"/>
      <c r="AR395" s="281"/>
      <c r="AS395" s="282"/>
      <c r="AT395" s="281"/>
      <c r="AU395" s="282"/>
      <c r="AV395" s="281"/>
      <c r="AW395" s="282"/>
      <c r="AX395" s="281"/>
      <c r="AY395" s="282"/>
      <c r="AZ395" s="117"/>
      <c r="BA395" s="331"/>
      <c r="BB395" s="117"/>
      <c r="BC395" s="331"/>
      <c r="BD395" s="117"/>
      <c r="BE395" s="331"/>
      <c r="BF395" s="117"/>
      <c r="BG395" s="331"/>
      <c r="BH395" s="117"/>
      <c r="BI395" s="944" t="s">
        <v>159</v>
      </c>
      <c r="BJ395" s="944"/>
      <c r="BK395" s="944"/>
      <c r="BL395" s="944"/>
      <c r="BM395" s="944"/>
      <c r="BN395" s="944"/>
      <c r="BO395" s="944"/>
      <c r="BP395" s="944"/>
      <c r="BQ395" s="944"/>
      <c r="BR395" s="944"/>
      <c r="BS395" s="944"/>
      <c r="BT395" s="944"/>
      <c r="BU395" s="944"/>
      <c r="BV395" s="945"/>
    </row>
    <row r="396" spans="1:74" ht="30" customHeight="1" x14ac:dyDescent="0.25">
      <c r="A396" s="200">
        <f t="shared" si="5"/>
        <v>382</v>
      </c>
      <c r="B396" s="294" t="s">
        <v>162</v>
      </c>
      <c r="C396" s="295"/>
      <c r="D396" s="936"/>
      <c r="E396" s="937"/>
      <c r="F396" s="937"/>
      <c r="G396" s="937"/>
      <c r="H396" s="937"/>
      <c r="I396" s="937"/>
      <c r="J396" s="937"/>
      <c r="K396" s="938"/>
      <c r="L396" s="932"/>
      <c r="M396" s="932"/>
      <c r="N396" s="932"/>
      <c r="O396" s="932"/>
      <c r="P396" s="931"/>
      <c r="Q396" s="931"/>
      <c r="R396" s="931"/>
      <c r="S396" s="931"/>
      <c r="T396" s="933"/>
      <c r="U396" s="934"/>
      <c r="V396" s="934"/>
      <c r="W396" s="935"/>
      <c r="X396" s="936"/>
      <c r="Y396" s="937"/>
      <c r="Z396" s="937"/>
      <c r="AA396" s="938"/>
      <c r="AB396" s="594"/>
      <c r="AC396" s="595"/>
      <c r="AD396" s="596"/>
      <c r="AE396" s="779"/>
      <c r="AF396" s="939"/>
      <c r="AG396" s="780"/>
      <c r="AH396" s="941"/>
      <c r="AI396" s="942"/>
      <c r="AJ396" s="943"/>
      <c r="AK396" s="745"/>
      <c r="AL396" s="940"/>
      <c r="AM396" s="746"/>
      <c r="AN396" s="281"/>
      <c r="AO396" s="282"/>
      <c r="AP396" s="281"/>
      <c r="AQ396" s="282"/>
      <c r="AR396" s="281"/>
      <c r="AS396" s="282"/>
      <c r="AT396" s="281"/>
      <c r="AU396" s="282"/>
      <c r="AV396" s="281"/>
      <c r="AW396" s="282"/>
      <c r="AX396" s="281"/>
      <c r="AY396" s="282"/>
      <c r="AZ396" s="117"/>
      <c r="BA396" s="331"/>
      <c r="BB396" s="117"/>
      <c r="BC396" s="331"/>
      <c r="BD396" s="117"/>
      <c r="BE396" s="331"/>
      <c r="BF396" s="117"/>
      <c r="BG396" s="331"/>
      <c r="BH396" s="117"/>
      <c r="BI396" s="944" t="s">
        <v>159</v>
      </c>
      <c r="BJ396" s="944"/>
      <c r="BK396" s="944"/>
      <c r="BL396" s="944"/>
      <c r="BM396" s="944"/>
      <c r="BN396" s="944"/>
      <c r="BO396" s="944"/>
      <c r="BP396" s="944"/>
      <c r="BQ396" s="944"/>
      <c r="BR396" s="944"/>
      <c r="BS396" s="944"/>
      <c r="BT396" s="944"/>
      <c r="BU396" s="944"/>
      <c r="BV396" s="945"/>
    </row>
    <row r="397" spans="1:74" ht="30" customHeight="1" x14ac:dyDescent="0.25">
      <c r="A397" s="232">
        <f t="shared" si="5"/>
        <v>383</v>
      </c>
      <c r="B397" s="294" t="s">
        <v>162</v>
      </c>
      <c r="C397" s="295"/>
      <c r="D397" s="936"/>
      <c r="E397" s="937"/>
      <c r="F397" s="937"/>
      <c r="G397" s="937"/>
      <c r="H397" s="937"/>
      <c r="I397" s="937"/>
      <c r="J397" s="937"/>
      <c r="K397" s="938"/>
      <c r="L397" s="932"/>
      <c r="M397" s="932"/>
      <c r="N397" s="932"/>
      <c r="O397" s="932"/>
      <c r="P397" s="931"/>
      <c r="Q397" s="931"/>
      <c r="R397" s="931"/>
      <c r="S397" s="931"/>
      <c r="T397" s="933"/>
      <c r="U397" s="934"/>
      <c r="V397" s="934"/>
      <c r="W397" s="935"/>
      <c r="X397" s="936"/>
      <c r="Y397" s="937"/>
      <c r="Z397" s="937"/>
      <c r="AA397" s="938"/>
      <c r="AB397" s="594"/>
      <c r="AC397" s="595"/>
      <c r="AD397" s="596"/>
      <c r="AE397" s="779"/>
      <c r="AF397" s="939"/>
      <c r="AG397" s="780"/>
      <c r="AH397" s="941"/>
      <c r="AI397" s="942"/>
      <c r="AJ397" s="943"/>
      <c r="AK397" s="745"/>
      <c r="AL397" s="940"/>
      <c r="AM397" s="746"/>
      <c r="AN397" s="281"/>
      <c r="AO397" s="282"/>
      <c r="AP397" s="281"/>
      <c r="AQ397" s="282"/>
      <c r="AR397" s="281"/>
      <c r="AS397" s="282"/>
      <c r="AT397" s="281"/>
      <c r="AU397" s="282"/>
      <c r="AV397" s="281"/>
      <c r="AW397" s="282"/>
      <c r="AX397" s="281"/>
      <c r="AY397" s="282"/>
      <c r="AZ397" s="117"/>
      <c r="BA397" s="331"/>
      <c r="BB397" s="117"/>
      <c r="BC397" s="331"/>
      <c r="BD397" s="117"/>
      <c r="BE397" s="331"/>
      <c r="BF397" s="117"/>
      <c r="BG397" s="331"/>
      <c r="BH397" s="117"/>
      <c r="BI397" s="944" t="s">
        <v>212</v>
      </c>
      <c r="BJ397" s="944"/>
      <c r="BK397" s="944"/>
      <c r="BL397" s="944"/>
      <c r="BM397" s="944"/>
      <c r="BN397" s="944"/>
      <c r="BO397" s="944"/>
      <c r="BP397" s="944"/>
      <c r="BQ397" s="944"/>
      <c r="BR397" s="944"/>
      <c r="BS397" s="944"/>
      <c r="BT397" s="944"/>
      <c r="BU397" s="944"/>
      <c r="BV397" s="945"/>
    </row>
    <row r="398" spans="1:74" ht="30" customHeight="1" x14ac:dyDescent="0.25">
      <c r="A398" s="200">
        <f t="shared" si="5"/>
        <v>384</v>
      </c>
      <c r="B398" s="294" t="s">
        <v>162</v>
      </c>
      <c r="C398" s="295"/>
      <c r="D398" s="936"/>
      <c r="E398" s="937"/>
      <c r="F398" s="937"/>
      <c r="G398" s="937"/>
      <c r="H398" s="937"/>
      <c r="I398" s="937"/>
      <c r="J398" s="937"/>
      <c r="K398" s="938"/>
      <c r="L398" s="932"/>
      <c r="M398" s="932"/>
      <c r="N398" s="932"/>
      <c r="O398" s="932"/>
      <c r="P398" s="931"/>
      <c r="Q398" s="931"/>
      <c r="R398" s="931"/>
      <c r="S398" s="931"/>
      <c r="T398" s="933"/>
      <c r="U398" s="934"/>
      <c r="V398" s="934"/>
      <c r="W398" s="935"/>
      <c r="X398" s="936"/>
      <c r="Y398" s="937"/>
      <c r="Z398" s="937"/>
      <c r="AA398" s="938"/>
      <c r="AB398" s="594"/>
      <c r="AC398" s="595"/>
      <c r="AD398" s="596"/>
      <c r="AE398" s="779"/>
      <c r="AF398" s="939"/>
      <c r="AG398" s="780"/>
      <c r="AH398" s="941"/>
      <c r="AI398" s="942"/>
      <c r="AJ398" s="943"/>
      <c r="AK398" s="745"/>
      <c r="AL398" s="940"/>
      <c r="AM398" s="746"/>
      <c r="AN398" s="281"/>
      <c r="AO398" s="282"/>
      <c r="AP398" s="281"/>
      <c r="AQ398" s="282"/>
      <c r="AR398" s="281"/>
      <c r="AS398" s="282"/>
      <c r="AT398" s="281"/>
      <c r="AU398" s="282"/>
      <c r="AV398" s="281"/>
      <c r="AW398" s="282"/>
      <c r="AX398" s="281"/>
      <c r="AY398" s="282"/>
      <c r="AZ398" s="117"/>
      <c r="BA398" s="331"/>
      <c r="BB398" s="117"/>
      <c r="BC398" s="331"/>
      <c r="BD398" s="117"/>
      <c r="BE398" s="331"/>
      <c r="BF398" s="117"/>
      <c r="BG398" s="331"/>
      <c r="BH398" s="117"/>
      <c r="BI398" s="944" t="s">
        <v>212</v>
      </c>
      <c r="BJ398" s="944"/>
      <c r="BK398" s="944"/>
      <c r="BL398" s="944"/>
      <c r="BM398" s="944"/>
      <c r="BN398" s="944"/>
      <c r="BO398" s="944"/>
      <c r="BP398" s="944"/>
      <c r="BQ398" s="944"/>
      <c r="BR398" s="944"/>
      <c r="BS398" s="944"/>
      <c r="BT398" s="944"/>
      <c r="BU398" s="944"/>
      <c r="BV398" s="945"/>
    </row>
    <row r="399" spans="1:74" ht="30" customHeight="1" x14ac:dyDescent="0.25">
      <c r="A399" s="200">
        <f t="shared" ref="A399:A462" si="6">ROW(A385)</f>
        <v>385</v>
      </c>
      <c r="B399" s="294" t="s">
        <v>162</v>
      </c>
      <c r="C399" s="295"/>
      <c r="D399" s="936"/>
      <c r="E399" s="937"/>
      <c r="F399" s="937"/>
      <c r="G399" s="937"/>
      <c r="H399" s="937"/>
      <c r="I399" s="937"/>
      <c r="J399" s="937"/>
      <c r="K399" s="938"/>
      <c r="L399" s="932"/>
      <c r="M399" s="932"/>
      <c r="N399" s="932"/>
      <c r="O399" s="932"/>
      <c r="P399" s="931"/>
      <c r="Q399" s="931"/>
      <c r="R399" s="931"/>
      <c r="S399" s="931"/>
      <c r="T399" s="933"/>
      <c r="U399" s="934"/>
      <c r="V399" s="934"/>
      <c r="W399" s="935"/>
      <c r="X399" s="936"/>
      <c r="Y399" s="937"/>
      <c r="Z399" s="937"/>
      <c r="AA399" s="938"/>
      <c r="AB399" s="594"/>
      <c r="AC399" s="595"/>
      <c r="AD399" s="596"/>
      <c r="AE399" s="779"/>
      <c r="AF399" s="939"/>
      <c r="AG399" s="780"/>
      <c r="AH399" s="941"/>
      <c r="AI399" s="942"/>
      <c r="AJ399" s="943"/>
      <c r="AK399" s="745"/>
      <c r="AL399" s="940"/>
      <c r="AM399" s="746"/>
      <c r="AN399" s="281"/>
      <c r="AO399" s="282"/>
      <c r="AP399" s="281"/>
      <c r="AQ399" s="282"/>
      <c r="AR399" s="281"/>
      <c r="AS399" s="282"/>
      <c r="AT399" s="281"/>
      <c r="AU399" s="282"/>
      <c r="AV399" s="281"/>
      <c r="AW399" s="282"/>
      <c r="AX399" s="281"/>
      <c r="AY399" s="282"/>
      <c r="AZ399" s="117"/>
      <c r="BA399" s="331"/>
      <c r="BB399" s="117"/>
      <c r="BC399" s="331"/>
      <c r="BD399" s="117"/>
      <c r="BE399" s="331"/>
      <c r="BF399" s="117"/>
      <c r="BG399" s="331"/>
      <c r="BH399" s="117"/>
      <c r="BI399" s="944" t="s">
        <v>212</v>
      </c>
      <c r="BJ399" s="944"/>
      <c r="BK399" s="944"/>
      <c r="BL399" s="944"/>
      <c r="BM399" s="944"/>
      <c r="BN399" s="944"/>
      <c r="BO399" s="944"/>
      <c r="BP399" s="944"/>
      <c r="BQ399" s="944"/>
      <c r="BR399" s="944"/>
      <c r="BS399" s="944"/>
      <c r="BT399" s="944"/>
      <c r="BU399" s="944"/>
      <c r="BV399" s="945"/>
    </row>
    <row r="400" spans="1:74" ht="30" customHeight="1" x14ac:dyDescent="0.25">
      <c r="A400" s="200">
        <f t="shared" si="6"/>
        <v>386</v>
      </c>
      <c r="B400" s="294" t="s">
        <v>162</v>
      </c>
      <c r="C400" s="295"/>
      <c r="D400" s="936"/>
      <c r="E400" s="937"/>
      <c r="F400" s="937"/>
      <c r="G400" s="937"/>
      <c r="H400" s="937"/>
      <c r="I400" s="937"/>
      <c r="J400" s="937"/>
      <c r="K400" s="938"/>
      <c r="L400" s="932"/>
      <c r="M400" s="932"/>
      <c r="N400" s="932"/>
      <c r="O400" s="932"/>
      <c r="P400" s="931"/>
      <c r="Q400" s="931"/>
      <c r="R400" s="931"/>
      <c r="S400" s="931"/>
      <c r="T400" s="933"/>
      <c r="U400" s="934"/>
      <c r="V400" s="934"/>
      <c r="W400" s="935"/>
      <c r="X400" s="936"/>
      <c r="Y400" s="937"/>
      <c r="Z400" s="937"/>
      <c r="AA400" s="938"/>
      <c r="AB400" s="594"/>
      <c r="AC400" s="595"/>
      <c r="AD400" s="596"/>
      <c r="AE400" s="779"/>
      <c r="AF400" s="939"/>
      <c r="AG400" s="780"/>
      <c r="AH400" s="941"/>
      <c r="AI400" s="942"/>
      <c r="AJ400" s="943"/>
      <c r="AK400" s="745"/>
      <c r="AL400" s="940"/>
      <c r="AM400" s="746"/>
      <c r="AN400" s="281"/>
      <c r="AO400" s="282"/>
      <c r="AP400" s="281"/>
      <c r="AQ400" s="282"/>
      <c r="AR400" s="281"/>
      <c r="AS400" s="282"/>
      <c r="AT400" s="281"/>
      <c r="AU400" s="282"/>
      <c r="AV400" s="281"/>
      <c r="AW400" s="282"/>
      <c r="AX400" s="281"/>
      <c r="AY400" s="282"/>
      <c r="AZ400" s="117"/>
      <c r="BA400" s="331"/>
      <c r="BB400" s="117"/>
      <c r="BC400" s="331"/>
      <c r="BD400" s="117"/>
      <c r="BE400" s="331"/>
      <c r="BF400" s="117"/>
      <c r="BG400" s="331"/>
      <c r="BH400" s="117"/>
      <c r="BI400" s="944" t="s">
        <v>212</v>
      </c>
      <c r="BJ400" s="944"/>
      <c r="BK400" s="944"/>
      <c r="BL400" s="944"/>
      <c r="BM400" s="944"/>
      <c r="BN400" s="944"/>
      <c r="BO400" s="944"/>
      <c r="BP400" s="944"/>
      <c r="BQ400" s="944"/>
      <c r="BR400" s="944"/>
      <c r="BS400" s="944"/>
      <c r="BT400" s="944"/>
      <c r="BU400" s="944"/>
      <c r="BV400" s="945"/>
    </row>
    <row r="401" spans="1:74" ht="30" customHeight="1" x14ac:dyDescent="0.25">
      <c r="A401" s="200">
        <f t="shared" si="6"/>
        <v>387</v>
      </c>
      <c r="B401" s="294" t="s">
        <v>162</v>
      </c>
      <c r="C401" s="295"/>
      <c r="D401" s="936"/>
      <c r="E401" s="937"/>
      <c r="F401" s="937"/>
      <c r="G401" s="937"/>
      <c r="H401" s="937"/>
      <c r="I401" s="937"/>
      <c r="J401" s="937"/>
      <c r="K401" s="938"/>
      <c r="L401" s="932"/>
      <c r="M401" s="932"/>
      <c r="N401" s="932"/>
      <c r="O401" s="932"/>
      <c r="P401" s="931"/>
      <c r="Q401" s="931"/>
      <c r="R401" s="931"/>
      <c r="S401" s="931"/>
      <c r="T401" s="933"/>
      <c r="U401" s="934"/>
      <c r="V401" s="934"/>
      <c r="W401" s="935"/>
      <c r="X401" s="936"/>
      <c r="Y401" s="937"/>
      <c r="Z401" s="937"/>
      <c r="AA401" s="938"/>
      <c r="AB401" s="594"/>
      <c r="AC401" s="595"/>
      <c r="AD401" s="596"/>
      <c r="AE401" s="779"/>
      <c r="AF401" s="939"/>
      <c r="AG401" s="780"/>
      <c r="AH401" s="941"/>
      <c r="AI401" s="942"/>
      <c r="AJ401" s="943"/>
      <c r="AK401" s="745"/>
      <c r="AL401" s="940"/>
      <c r="AM401" s="746"/>
      <c r="AN401" s="281"/>
      <c r="AO401" s="282"/>
      <c r="AP401" s="281"/>
      <c r="AQ401" s="282"/>
      <c r="AR401" s="281"/>
      <c r="AS401" s="282"/>
      <c r="AT401" s="281"/>
      <c r="AU401" s="282"/>
      <c r="AV401" s="281"/>
      <c r="AW401" s="282"/>
      <c r="AX401" s="281"/>
      <c r="AY401" s="282"/>
      <c r="AZ401" s="117"/>
      <c r="BA401" s="331"/>
      <c r="BB401" s="117"/>
      <c r="BC401" s="331"/>
      <c r="BD401" s="117"/>
      <c r="BE401" s="331"/>
      <c r="BF401" s="117"/>
      <c r="BG401" s="331"/>
      <c r="BH401" s="117"/>
      <c r="BI401" s="944" t="s">
        <v>212</v>
      </c>
      <c r="BJ401" s="944"/>
      <c r="BK401" s="944"/>
      <c r="BL401" s="944"/>
      <c r="BM401" s="944"/>
      <c r="BN401" s="944"/>
      <c r="BO401" s="944"/>
      <c r="BP401" s="944"/>
      <c r="BQ401" s="944"/>
      <c r="BR401" s="944"/>
      <c r="BS401" s="944"/>
      <c r="BT401" s="944"/>
      <c r="BU401" s="944"/>
      <c r="BV401" s="945"/>
    </row>
    <row r="402" spans="1:74" ht="30" customHeight="1" x14ac:dyDescent="0.25">
      <c r="A402" s="200">
        <f t="shared" si="6"/>
        <v>388</v>
      </c>
      <c r="B402" s="294" t="s">
        <v>162</v>
      </c>
      <c r="C402" s="295"/>
      <c r="D402" s="936"/>
      <c r="E402" s="937"/>
      <c r="F402" s="937"/>
      <c r="G402" s="937"/>
      <c r="H402" s="937"/>
      <c r="I402" s="937"/>
      <c r="J402" s="937"/>
      <c r="K402" s="938"/>
      <c r="L402" s="932"/>
      <c r="M402" s="932"/>
      <c r="N402" s="932"/>
      <c r="O402" s="932"/>
      <c r="P402" s="931"/>
      <c r="Q402" s="931"/>
      <c r="R402" s="931"/>
      <c r="S402" s="931"/>
      <c r="T402" s="933"/>
      <c r="U402" s="934"/>
      <c r="V402" s="934"/>
      <c r="W402" s="935"/>
      <c r="X402" s="936"/>
      <c r="Y402" s="937"/>
      <c r="Z402" s="937"/>
      <c r="AA402" s="938"/>
      <c r="AB402" s="594"/>
      <c r="AC402" s="595"/>
      <c r="AD402" s="596"/>
      <c r="AE402" s="779"/>
      <c r="AF402" s="939"/>
      <c r="AG402" s="780"/>
      <c r="AH402" s="941"/>
      <c r="AI402" s="942"/>
      <c r="AJ402" s="943"/>
      <c r="AK402" s="745"/>
      <c r="AL402" s="940"/>
      <c r="AM402" s="746"/>
      <c r="AN402" s="281"/>
      <c r="AO402" s="282"/>
      <c r="AP402" s="281"/>
      <c r="AQ402" s="282"/>
      <c r="AR402" s="281"/>
      <c r="AS402" s="282"/>
      <c r="AT402" s="281"/>
      <c r="AU402" s="282"/>
      <c r="AV402" s="281"/>
      <c r="AW402" s="282"/>
      <c r="AX402" s="281"/>
      <c r="AY402" s="282"/>
      <c r="AZ402" s="117"/>
      <c r="BA402" s="331"/>
      <c r="BB402" s="117"/>
      <c r="BC402" s="331"/>
      <c r="BD402" s="117"/>
      <c r="BE402" s="331"/>
      <c r="BF402" s="117"/>
      <c r="BG402" s="331"/>
      <c r="BH402" s="117"/>
      <c r="BI402" s="944" t="s">
        <v>159</v>
      </c>
      <c r="BJ402" s="944"/>
      <c r="BK402" s="944"/>
      <c r="BL402" s="944"/>
      <c r="BM402" s="944"/>
      <c r="BN402" s="944"/>
      <c r="BO402" s="944"/>
      <c r="BP402" s="944"/>
      <c r="BQ402" s="944"/>
      <c r="BR402" s="944"/>
      <c r="BS402" s="944"/>
      <c r="BT402" s="944"/>
      <c r="BU402" s="944"/>
      <c r="BV402" s="945"/>
    </row>
    <row r="403" spans="1:74" ht="30" customHeight="1" x14ac:dyDescent="0.25">
      <c r="A403" s="200">
        <f t="shared" si="6"/>
        <v>389</v>
      </c>
      <c r="B403" s="294" t="s">
        <v>162</v>
      </c>
      <c r="C403" s="295"/>
      <c r="D403" s="936"/>
      <c r="E403" s="937"/>
      <c r="F403" s="937"/>
      <c r="G403" s="937"/>
      <c r="H403" s="937"/>
      <c r="I403" s="937"/>
      <c r="J403" s="937"/>
      <c r="K403" s="938"/>
      <c r="L403" s="932"/>
      <c r="M403" s="932"/>
      <c r="N403" s="932"/>
      <c r="O403" s="932"/>
      <c r="P403" s="931"/>
      <c r="Q403" s="931"/>
      <c r="R403" s="931"/>
      <c r="S403" s="931"/>
      <c r="T403" s="933"/>
      <c r="U403" s="934"/>
      <c r="V403" s="934"/>
      <c r="W403" s="935"/>
      <c r="X403" s="936"/>
      <c r="Y403" s="937"/>
      <c r="Z403" s="937"/>
      <c r="AA403" s="938"/>
      <c r="AB403" s="594"/>
      <c r="AC403" s="595"/>
      <c r="AD403" s="596"/>
      <c r="AE403" s="779"/>
      <c r="AF403" s="939"/>
      <c r="AG403" s="780"/>
      <c r="AH403" s="941"/>
      <c r="AI403" s="942"/>
      <c r="AJ403" s="943"/>
      <c r="AK403" s="745"/>
      <c r="AL403" s="940"/>
      <c r="AM403" s="746"/>
      <c r="AN403" s="281"/>
      <c r="AO403" s="282"/>
      <c r="AP403" s="281"/>
      <c r="AQ403" s="282"/>
      <c r="AR403" s="281"/>
      <c r="AS403" s="282"/>
      <c r="AT403" s="281"/>
      <c r="AU403" s="282"/>
      <c r="AV403" s="281"/>
      <c r="AW403" s="282"/>
      <c r="AX403" s="281"/>
      <c r="AY403" s="282"/>
      <c r="AZ403" s="117"/>
      <c r="BA403" s="331"/>
      <c r="BB403" s="117"/>
      <c r="BC403" s="331"/>
      <c r="BD403" s="117"/>
      <c r="BE403" s="331"/>
      <c r="BF403" s="117"/>
      <c r="BG403" s="331"/>
      <c r="BH403" s="117"/>
      <c r="BI403" s="944" t="s">
        <v>159</v>
      </c>
      <c r="BJ403" s="944"/>
      <c r="BK403" s="944"/>
      <c r="BL403" s="944"/>
      <c r="BM403" s="944"/>
      <c r="BN403" s="944"/>
      <c r="BO403" s="944"/>
      <c r="BP403" s="944"/>
      <c r="BQ403" s="944"/>
      <c r="BR403" s="944"/>
      <c r="BS403" s="944"/>
      <c r="BT403" s="944"/>
      <c r="BU403" s="944"/>
      <c r="BV403" s="945"/>
    </row>
    <row r="404" spans="1:74" ht="30" customHeight="1" x14ac:dyDescent="0.25">
      <c r="A404" s="232">
        <f t="shared" si="6"/>
        <v>390</v>
      </c>
      <c r="B404" s="294" t="s">
        <v>162</v>
      </c>
      <c r="C404" s="295"/>
      <c r="D404" s="936"/>
      <c r="E404" s="937"/>
      <c r="F404" s="937"/>
      <c r="G404" s="937"/>
      <c r="H404" s="937"/>
      <c r="I404" s="937"/>
      <c r="J404" s="937"/>
      <c r="K404" s="938"/>
      <c r="L404" s="932"/>
      <c r="M404" s="932"/>
      <c r="N404" s="932"/>
      <c r="O404" s="932"/>
      <c r="P404" s="931"/>
      <c r="Q404" s="931"/>
      <c r="R404" s="931"/>
      <c r="S404" s="931"/>
      <c r="T404" s="933"/>
      <c r="U404" s="934"/>
      <c r="V404" s="934"/>
      <c r="W404" s="935"/>
      <c r="X404" s="936"/>
      <c r="Y404" s="937"/>
      <c r="Z404" s="937"/>
      <c r="AA404" s="938"/>
      <c r="AB404" s="594"/>
      <c r="AC404" s="595"/>
      <c r="AD404" s="596"/>
      <c r="AE404" s="779"/>
      <c r="AF404" s="939"/>
      <c r="AG404" s="780"/>
      <c r="AH404" s="941"/>
      <c r="AI404" s="942"/>
      <c r="AJ404" s="943"/>
      <c r="AK404" s="745"/>
      <c r="AL404" s="940"/>
      <c r="AM404" s="746"/>
      <c r="AN404" s="281"/>
      <c r="AO404" s="282"/>
      <c r="AP404" s="281"/>
      <c r="AQ404" s="282"/>
      <c r="AR404" s="281"/>
      <c r="AS404" s="282"/>
      <c r="AT404" s="281"/>
      <c r="AU404" s="282"/>
      <c r="AV404" s="281"/>
      <c r="AW404" s="282"/>
      <c r="AX404" s="281"/>
      <c r="AY404" s="282"/>
      <c r="AZ404" s="117"/>
      <c r="BA404" s="331"/>
      <c r="BB404" s="117"/>
      <c r="BC404" s="331"/>
      <c r="BD404" s="117"/>
      <c r="BE404" s="331"/>
      <c r="BF404" s="117"/>
      <c r="BG404" s="331"/>
      <c r="BH404" s="117"/>
      <c r="BI404" s="944" t="s">
        <v>212</v>
      </c>
      <c r="BJ404" s="944"/>
      <c r="BK404" s="944"/>
      <c r="BL404" s="944"/>
      <c r="BM404" s="944"/>
      <c r="BN404" s="944"/>
      <c r="BO404" s="944"/>
      <c r="BP404" s="944"/>
      <c r="BQ404" s="944"/>
      <c r="BR404" s="944"/>
      <c r="BS404" s="944"/>
      <c r="BT404" s="944"/>
      <c r="BU404" s="944"/>
      <c r="BV404" s="945"/>
    </row>
    <row r="405" spans="1:74" ht="30" customHeight="1" x14ac:dyDescent="0.25">
      <c r="A405" s="200">
        <f t="shared" si="6"/>
        <v>391</v>
      </c>
      <c r="B405" s="294" t="s">
        <v>162</v>
      </c>
      <c r="C405" s="295"/>
      <c r="D405" s="936"/>
      <c r="E405" s="937"/>
      <c r="F405" s="937"/>
      <c r="G405" s="937"/>
      <c r="H405" s="937"/>
      <c r="I405" s="937"/>
      <c r="J405" s="937"/>
      <c r="K405" s="938"/>
      <c r="L405" s="932"/>
      <c r="M405" s="932"/>
      <c r="N405" s="932"/>
      <c r="O405" s="932"/>
      <c r="P405" s="931"/>
      <c r="Q405" s="931"/>
      <c r="R405" s="931"/>
      <c r="S405" s="931"/>
      <c r="T405" s="933"/>
      <c r="U405" s="934"/>
      <c r="V405" s="934"/>
      <c r="W405" s="935"/>
      <c r="X405" s="936"/>
      <c r="Y405" s="937"/>
      <c r="Z405" s="937"/>
      <c r="AA405" s="938"/>
      <c r="AB405" s="594"/>
      <c r="AC405" s="595"/>
      <c r="AD405" s="596"/>
      <c r="AE405" s="779"/>
      <c r="AF405" s="939"/>
      <c r="AG405" s="780"/>
      <c r="AH405" s="941"/>
      <c r="AI405" s="942"/>
      <c r="AJ405" s="943"/>
      <c r="AK405" s="745"/>
      <c r="AL405" s="940"/>
      <c r="AM405" s="746"/>
      <c r="AN405" s="281"/>
      <c r="AO405" s="282"/>
      <c r="AP405" s="281"/>
      <c r="AQ405" s="282"/>
      <c r="AR405" s="281"/>
      <c r="AS405" s="282"/>
      <c r="AT405" s="281"/>
      <c r="AU405" s="282"/>
      <c r="AV405" s="281"/>
      <c r="AW405" s="282"/>
      <c r="AX405" s="281"/>
      <c r="AY405" s="282"/>
      <c r="AZ405" s="117"/>
      <c r="BA405" s="331"/>
      <c r="BB405" s="117"/>
      <c r="BC405" s="331"/>
      <c r="BD405" s="117"/>
      <c r="BE405" s="331"/>
      <c r="BF405" s="117"/>
      <c r="BG405" s="331"/>
      <c r="BH405" s="117"/>
      <c r="BI405" s="944" t="s">
        <v>212</v>
      </c>
      <c r="BJ405" s="944"/>
      <c r="BK405" s="944"/>
      <c r="BL405" s="944"/>
      <c r="BM405" s="944"/>
      <c r="BN405" s="944"/>
      <c r="BO405" s="944"/>
      <c r="BP405" s="944"/>
      <c r="BQ405" s="944"/>
      <c r="BR405" s="944"/>
      <c r="BS405" s="944"/>
      <c r="BT405" s="944"/>
      <c r="BU405" s="944"/>
      <c r="BV405" s="945"/>
    </row>
    <row r="406" spans="1:74" ht="30" customHeight="1" x14ac:dyDescent="0.25">
      <c r="A406" s="200">
        <f t="shared" si="6"/>
        <v>392</v>
      </c>
      <c r="B406" s="294" t="s">
        <v>162</v>
      </c>
      <c r="C406" s="295"/>
      <c r="D406" s="936"/>
      <c r="E406" s="937"/>
      <c r="F406" s="937"/>
      <c r="G406" s="937"/>
      <c r="H406" s="937"/>
      <c r="I406" s="937"/>
      <c r="J406" s="937"/>
      <c r="K406" s="938"/>
      <c r="L406" s="932"/>
      <c r="M406" s="932"/>
      <c r="N406" s="932"/>
      <c r="O406" s="932"/>
      <c r="P406" s="931"/>
      <c r="Q406" s="931"/>
      <c r="R406" s="931"/>
      <c r="S406" s="931"/>
      <c r="T406" s="933"/>
      <c r="U406" s="934"/>
      <c r="V406" s="934"/>
      <c r="W406" s="935"/>
      <c r="X406" s="936"/>
      <c r="Y406" s="937"/>
      <c r="Z406" s="937"/>
      <c r="AA406" s="938"/>
      <c r="AB406" s="594"/>
      <c r="AC406" s="595"/>
      <c r="AD406" s="596"/>
      <c r="AE406" s="779"/>
      <c r="AF406" s="939"/>
      <c r="AG406" s="780"/>
      <c r="AH406" s="941"/>
      <c r="AI406" s="942"/>
      <c r="AJ406" s="943"/>
      <c r="AK406" s="745"/>
      <c r="AL406" s="940"/>
      <c r="AM406" s="746"/>
      <c r="AN406" s="281"/>
      <c r="AO406" s="282"/>
      <c r="AP406" s="281"/>
      <c r="AQ406" s="282"/>
      <c r="AR406" s="281"/>
      <c r="AS406" s="282"/>
      <c r="AT406" s="281"/>
      <c r="AU406" s="282"/>
      <c r="AV406" s="281"/>
      <c r="AW406" s="282"/>
      <c r="AX406" s="281"/>
      <c r="AY406" s="282"/>
      <c r="AZ406" s="117"/>
      <c r="BA406" s="331"/>
      <c r="BB406" s="117"/>
      <c r="BC406" s="331"/>
      <c r="BD406" s="117"/>
      <c r="BE406" s="331"/>
      <c r="BF406" s="117"/>
      <c r="BG406" s="331"/>
      <c r="BH406" s="117"/>
      <c r="BI406" s="944" t="s">
        <v>212</v>
      </c>
      <c r="BJ406" s="944"/>
      <c r="BK406" s="944"/>
      <c r="BL406" s="944"/>
      <c r="BM406" s="944"/>
      <c r="BN406" s="944"/>
      <c r="BO406" s="944"/>
      <c r="BP406" s="944"/>
      <c r="BQ406" s="944"/>
      <c r="BR406" s="944"/>
      <c r="BS406" s="944"/>
      <c r="BT406" s="944"/>
      <c r="BU406" s="944"/>
      <c r="BV406" s="945"/>
    </row>
    <row r="407" spans="1:74" ht="30" customHeight="1" x14ac:dyDescent="0.25">
      <c r="A407" s="200">
        <f t="shared" si="6"/>
        <v>393</v>
      </c>
      <c r="B407" s="294" t="s">
        <v>162</v>
      </c>
      <c r="C407" s="295"/>
      <c r="D407" s="936"/>
      <c r="E407" s="937"/>
      <c r="F407" s="937"/>
      <c r="G407" s="937"/>
      <c r="H407" s="937"/>
      <c r="I407" s="937"/>
      <c r="J407" s="937"/>
      <c r="K407" s="938"/>
      <c r="L407" s="932"/>
      <c r="M407" s="932"/>
      <c r="N407" s="932"/>
      <c r="O407" s="932"/>
      <c r="P407" s="931"/>
      <c r="Q407" s="931"/>
      <c r="R407" s="931"/>
      <c r="S407" s="931"/>
      <c r="T407" s="933"/>
      <c r="U407" s="934"/>
      <c r="V407" s="934"/>
      <c r="W407" s="935"/>
      <c r="X407" s="936"/>
      <c r="Y407" s="937"/>
      <c r="Z407" s="937"/>
      <c r="AA407" s="938"/>
      <c r="AB407" s="594"/>
      <c r="AC407" s="595"/>
      <c r="AD407" s="596"/>
      <c r="AE407" s="779"/>
      <c r="AF407" s="939"/>
      <c r="AG407" s="780"/>
      <c r="AH407" s="941"/>
      <c r="AI407" s="942"/>
      <c r="AJ407" s="943"/>
      <c r="AK407" s="745"/>
      <c r="AL407" s="940"/>
      <c r="AM407" s="746"/>
      <c r="AN407" s="281"/>
      <c r="AO407" s="282"/>
      <c r="AP407" s="281"/>
      <c r="AQ407" s="282"/>
      <c r="AR407" s="281"/>
      <c r="AS407" s="282"/>
      <c r="AT407" s="281"/>
      <c r="AU407" s="282"/>
      <c r="AV407" s="281"/>
      <c r="AW407" s="282"/>
      <c r="AX407" s="281"/>
      <c r="AY407" s="282"/>
      <c r="AZ407" s="117"/>
      <c r="BA407" s="331"/>
      <c r="BB407" s="117"/>
      <c r="BC407" s="331"/>
      <c r="BD407" s="117"/>
      <c r="BE407" s="331"/>
      <c r="BF407" s="117"/>
      <c r="BG407" s="331"/>
      <c r="BH407" s="117"/>
      <c r="BI407" s="944" t="s">
        <v>212</v>
      </c>
      <c r="BJ407" s="944"/>
      <c r="BK407" s="944"/>
      <c r="BL407" s="944"/>
      <c r="BM407" s="944"/>
      <c r="BN407" s="944"/>
      <c r="BO407" s="944"/>
      <c r="BP407" s="944"/>
      <c r="BQ407" s="944"/>
      <c r="BR407" s="944"/>
      <c r="BS407" s="944"/>
      <c r="BT407" s="944"/>
      <c r="BU407" s="944"/>
      <c r="BV407" s="945"/>
    </row>
    <row r="408" spans="1:74" ht="30" customHeight="1" x14ac:dyDescent="0.25">
      <c r="A408" s="200">
        <f t="shared" si="6"/>
        <v>394</v>
      </c>
      <c r="B408" s="294" t="s">
        <v>162</v>
      </c>
      <c r="C408" s="295"/>
      <c r="D408" s="936"/>
      <c r="E408" s="937"/>
      <c r="F408" s="937"/>
      <c r="G408" s="937"/>
      <c r="H408" s="937"/>
      <c r="I408" s="937"/>
      <c r="J408" s="937"/>
      <c r="K408" s="938"/>
      <c r="L408" s="932"/>
      <c r="M408" s="932"/>
      <c r="N408" s="932"/>
      <c r="O408" s="932"/>
      <c r="P408" s="931"/>
      <c r="Q408" s="931"/>
      <c r="R408" s="931"/>
      <c r="S408" s="931"/>
      <c r="T408" s="933"/>
      <c r="U408" s="934"/>
      <c r="V408" s="934"/>
      <c r="W408" s="935"/>
      <c r="X408" s="936"/>
      <c r="Y408" s="937"/>
      <c r="Z408" s="937"/>
      <c r="AA408" s="938"/>
      <c r="AB408" s="594"/>
      <c r="AC408" s="595"/>
      <c r="AD408" s="596"/>
      <c r="AE408" s="779"/>
      <c r="AF408" s="939"/>
      <c r="AG408" s="780"/>
      <c r="AH408" s="941"/>
      <c r="AI408" s="942"/>
      <c r="AJ408" s="943"/>
      <c r="AK408" s="745"/>
      <c r="AL408" s="940"/>
      <c r="AM408" s="746"/>
      <c r="AN408" s="281"/>
      <c r="AO408" s="282"/>
      <c r="AP408" s="281"/>
      <c r="AQ408" s="282"/>
      <c r="AR408" s="281"/>
      <c r="AS408" s="282"/>
      <c r="AT408" s="281"/>
      <c r="AU408" s="282"/>
      <c r="AV408" s="281"/>
      <c r="AW408" s="282"/>
      <c r="AX408" s="281"/>
      <c r="AY408" s="282"/>
      <c r="AZ408" s="117"/>
      <c r="BA408" s="331"/>
      <c r="BB408" s="117"/>
      <c r="BC408" s="331"/>
      <c r="BD408" s="117"/>
      <c r="BE408" s="331"/>
      <c r="BF408" s="117"/>
      <c r="BG408" s="331"/>
      <c r="BH408" s="117"/>
      <c r="BI408" s="944" t="s">
        <v>212</v>
      </c>
      <c r="BJ408" s="944"/>
      <c r="BK408" s="944"/>
      <c r="BL408" s="944"/>
      <c r="BM408" s="944"/>
      <c r="BN408" s="944"/>
      <c r="BO408" s="944"/>
      <c r="BP408" s="944"/>
      <c r="BQ408" s="944"/>
      <c r="BR408" s="944"/>
      <c r="BS408" s="944"/>
      <c r="BT408" s="944"/>
      <c r="BU408" s="944"/>
      <c r="BV408" s="945"/>
    </row>
    <row r="409" spans="1:74" ht="30" customHeight="1" x14ac:dyDescent="0.25">
      <c r="A409" s="200">
        <f t="shared" si="6"/>
        <v>395</v>
      </c>
      <c r="B409" s="294" t="s">
        <v>162</v>
      </c>
      <c r="C409" s="295"/>
      <c r="D409" s="936"/>
      <c r="E409" s="937"/>
      <c r="F409" s="937"/>
      <c r="G409" s="937"/>
      <c r="H409" s="937"/>
      <c r="I409" s="937"/>
      <c r="J409" s="937"/>
      <c r="K409" s="938"/>
      <c r="L409" s="932"/>
      <c r="M409" s="932"/>
      <c r="N409" s="932"/>
      <c r="O409" s="932"/>
      <c r="P409" s="931"/>
      <c r="Q409" s="931"/>
      <c r="R409" s="931"/>
      <c r="S409" s="931"/>
      <c r="T409" s="933"/>
      <c r="U409" s="934"/>
      <c r="V409" s="934"/>
      <c r="W409" s="935"/>
      <c r="X409" s="936"/>
      <c r="Y409" s="937"/>
      <c r="Z409" s="937"/>
      <c r="AA409" s="938"/>
      <c r="AB409" s="594"/>
      <c r="AC409" s="595"/>
      <c r="AD409" s="596"/>
      <c r="AE409" s="779"/>
      <c r="AF409" s="939"/>
      <c r="AG409" s="780"/>
      <c r="AH409" s="941"/>
      <c r="AI409" s="942"/>
      <c r="AJ409" s="943"/>
      <c r="AK409" s="745"/>
      <c r="AL409" s="940"/>
      <c r="AM409" s="746"/>
      <c r="AN409" s="281"/>
      <c r="AO409" s="282"/>
      <c r="AP409" s="281"/>
      <c r="AQ409" s="282"/>
      <c r="AR409" s="281"/>
      <c r="AS409" s="282"/>
      <c r="AT409" s="281"/>
      <c r="AU409" s="282"/>
      <c r="AV409" s="281"/>
      <c r="AW409" s="282"/>
      <c r="AX409" s="281"/>
      <c r="AY409" s="282"/>
      <c r="AZ409" s="117"/>
      <c r="BA409" s="331"/>
      <c r="BB409" s="117"/>
      <c r="BC409" s="331"/>
      <c r="BD409" s="117"/>
      <c r="BE409" s="331"/>
      <c r="BF409" s="117"/>
      <c r="BG409" s="331"/>
      <c r="BH409" s="117"/>
      <c r="BI409" s="944" t="s">
        <v>159</v>
      </c>
      <c r="BJ409" s="944"/>
      <c r="BK409" s="944"/>
      <c r="BL409" s="944"/>
      <c r="BM409" s="944"/>
      <c r="BN409" s="944"/>
      <c r="BO409" s="944"/>
      <c r="BP409" s="944"/>
      <c r="BQ409" s="944"/>
      <c r="BR409" s="944"/>
      <c r="BS409" s="944"/>
      <c r="BT409" s="944"/>
      <c r="BU409" s="944"/>
      <c r="BV409" s="945"/>
    </row>
    <row r="410" spans="1:74" ht="30" customHeight="1" x14ac:dyDescent="0.25">
      <c r="A410" s="200">
        <f t="shared" si="6"/>
        <v>396</v>
      </c>
      <c r="B410" s="294" t="s">
        <v>162</v>
      </c>
      <c r="C410" s="295"/>
      <c r="D410" s="936"/>
      <c r="E410" s="937"/>
      <c r="F410" s="937"/>
      <c r="G410" s="937"/>
      <c r="H410" s="937"/>
      <c r="I410" s="937"/>
      <c r="J410" s="937"/>
      <c r="K410" s="938"/>
      <c r="L410" s="932"/>
      <c r="M410" s="932"/>
      <c r="N410" s="932"/>
      <c r="O410" s="932"/>
      <c r="P410" s="931"/>
      <c r="Q410" s="931"/>
      <c r="R410" s="931"/>
      <c r="S410" s="931"/>
      <c r="T410" s="933"/>
      <c r="U410" s="934"/>
      <c r="V410" s="934"/>
      <c r="W410" s="935"/>
      <c r="X410" s="936"/>
      <c r="Y410" s="937"/>
      <c r="Z410" s="937"/>
      <c r="AA410" s="938"/>
      <c r="AB410" s="594"/>
      <c r="AC410" s="595"/>
      <c r="AD410" s="596"/>
      <c r="AE410" s="779"/>
      <c r="AF410" s="939"/>
      <c r="AG410" s="780"/>
      <c r="AH410" s="941"/>
      <c r="AI410" s="942"/>
      <c r="AJ410" s="943"/>
      <c r="AK410" s="745"/>
      <c r="AL410" s="940"/>
      <c r="AM410" s="746"/>
      <c r="AN410" s="281"/>
      <c r="AO410" s="282"/>
      <c r="AP410" s="281"/>
      <c r="AQ410" s="282"/>
      <c r="AR410" s="281"/>
      <c r="AS410" s="282"/>
      <c r="AT410" s="281"/>
      <c r="AU410" s="282"/>
      <c r="AV410" s="281"/>
      <c r="AW410" s="282"/>
      <c r="AX410" s="281"/>
      <c r="AY410" s="282"/>
      <c r="AZ410" s="117"/>
      <c r="BA410" s="331"/>
      <c r="BB410" s="117"/>
      <c r="BC410" s="331"/>
      <c r="BD410" s="117"/>
      <c r="BE410" s="331"/>
      <c r="BF410" s="117"/>
      <c r="BG410" s="331"/>
      <c r="BH410" s="117"/>
      <c r="BI410" s="944" t="s">
        <v>159</v>
      </c>
      <c r="BJ410" s="944"/>
      <c r="BK410" s="944"/>
      <c r="BL410" s="944"/>
      <c r="BM410" s="944"/>
      <c r="BN410" s="944"/>
      <c r="BO410" s="944"/>
      <c r="BP410" s="944"/>
      <c r="BQ410" s="944"/>
      <c r="BR410" s="944"/>
      <c r="BS410" s="944"/>
      <c r="BT410" s="944"/>
      <c r="BU410" s="944"/>
      <c r="BV410" s="945"/>
    </row>
    <row r="411" spans="1:74" ht="30" customHeight="1" x14ac:dyDescent="0.25">
      <c r="A411" s="232">
        <f t="shared" si="6"/>
        <v>397</v>
      </c>
      <c r="B411" s="294" t="s">
        <v>162</v>
      </c>
      <c r="C411" s="295"/>
      <c r="D411" s="936"/>
      <c r="E411" s="937"/>
      <c r="F411" s="937"/>
      <c r="G411" s="937"/>
      <c r="H411" s="937"/>
      <c r="I411" s="937"/>
      <c r="J411" s="937"/>
      <c r="K411" s="938"/>
      <c r="L411" s="932"/>
      <c r="M411" s="932"/>
      <c r="N411" s="932"/>
      <c r="O411" s="932"/>
      <c r="P411" s="931"/>
      <c r="Q411" s="931"/>
      <c r="R411" s="931"/>
      <c r="S411" s="931"/>
      <c r="T411" s="933"/>
      <c r="U411" s="934"/>
      <c r="V411" s="934"/>
      <c r="W411" s="935"/>
      <c r="X411" s="936"/>
      <c r="Y411" s="937"/>
      <c r="Z411" s="937"/>
      <c r="AA411" s="938"/>
      <c r="AB411" s="594"/>
      <c r="AC411" s="595"/>
      <c r="AD411" s="596"/>
      <c r="AE411" s="779"/>
      <c r="AF411" s="939"/>
      <c r="AG411" s="780"/>
      <c r="AH411" s="941"/>
      <c r="AI411" s="942"/>
      <c r="AJ411" s="943"/>
      <c r="AK411" s="745"/>
      <c r="AL411" s="940"/>
      <c r="AM411" s="746"/>
      <c r="AN411" s="281"/>
      <c r="AO411" s="282"/>
      <c r="AP411" s="281"/>
      <c r="AQ411" s="282"/>
      <c r="AR411" s="281"/>
      <c r="AS411" s="282"/>
      <c r="AT411" s="281"/>
      <c r="AU411" s="282"/>
      <c r="AV411" s="281"/>
      <c r="AW411" s="282"/>
      <c r="AX411" s="281"/>
      <c r="AY411" s="282"/>
      <c r="AZ411" s="117"/>
      <c r="BA411" s="331"/>
      <c r="BB411" s="117"/>
      <c r="BC411" s="331"/>
      <c r="BD411" s="117"/>
      <c r="BE411" s="331"/>
      <c r="BF411" s="117"/>
      <c r="BG411" s="331"/>
      <c r="BH411" s="117"/>
      <c r="BI411" s="944" t="s">
        <v>212</v>
      </c>
      <c r="BJ411" s="944"/>
      <c r="BK411" s="944"/>
      <c r="BL411" s="944"/>
      <c r="BM411" s="944"/>
      <c r="BN411" s="944"/>
      <c r="BO411" s="944"/>
      <c r="BP411" s="944"/>
      <c r="BQ411" s="944"/>
      <c r="BR411" s="944"/>
      <c r="BS411" s="944"/>
      <c r="BT411" s="944"/>
      <c r="BU411" s="944"/>
      <c r="BV411" s="945"/>
    </row>
    <row r="412" spans="1:74" ht="30" customHeight="1" x14ac:dyDescent="0.25">
      <c r="A412" s="200">
        <f t="shared" si="6"/>
        <v>398</v>
      </c>
      <c r="B412" s="294" t="s">
        <v>162</v>
      </c>
      <c r="C412" s="295"/>
      <c r="D412" s="936"/>
      <c r="E412" s="937"/>
      <c r="F412" s="937"/>
      <c r="G412" s="937"/>
      <c r="H412" s="937"/>
      <c r="I412" s="937"/>
      <c r="J412" s="937"/>
      <c r="K412" s="938"/>
      <c r="L412" s="932"/>
      <c r="M412" s="932"/>
      <c r="N412" s="932"/>
      <c r="O412" s="932"/>
      <c r="P412" s="931"/>
      <c r="Q412" s="931"/>
      <c r="R412" s="931"/>
      <c r="S412" s="931"/>
      <c r="T412" s="933"/>
      <c r="U412" s="934"/>
      <c r="V412" s="934"/>
      <c r="W412" s="935"/>
      <c r="X412" s="936"/>
      <c r="Y412" s="937"/>
      <c r="Z412" s="937"/>
      <c r="AA412" s="938"/>
      <c r="AB412" s="594"/>
      <c r="AC412" s="595"/>
      <c r="AD412" s="596"/>
      <c r="AE412" s="779"/>
      <c r="AF412" s="939"/>
      <c r="AG412" s="780"/>
      <c r="AH412" s="941"/>
      <c r="AI412" s="942"/>
      <c r="AJ412" s="943"/>
      <c r="AK412" s="745"/>
      <c r="AL412" s="940"/>
      <c r="AM412" s="746"/>
      <c r="AN412" s="281"/>
      <c r="AO412" s="282"/>
      <c r="AP412" s="281"/>
      <c r="AQ412" s="282"/>
      <c r="AR412" s="281"/>
      <c r="AS412" s="282"/>
      <c r="AT412" s="281"/>
      <c r="AU412" s="282"/>
      <c r="AV412" s="281"/>
      <c r="AW412" s="282"/>
      <c r="AX412" s="281"/>
      <c r="AY412" s="282"/>
      <c r="AZ412" s="117"/>
      <c r="BA412" s="331"/>
      <c r="BB412" s="117"/>
      <c r="BC412" s="331"/>
      <c r="BD412" s="117"/>
      <c r="BE412" s="331"/>
      <c r="BF412" s="117"/>
      <c r="BG412" s="331"/>
      <c r="BH412" s="117"/>
      <c r="BI412" s="944" t="s">
        <v>212</v>
      </c>
      <c r="BJ412" s="944"/>
      <c r="BK412" s="944"/>
      <c r="BL412" s="944"/>
      <c r="BM412" s="944"/>
      <c r="BN412" s="944"/>
      <c r="BO412" s="944"/>
      <c r="BP412" s="944"/>
      <c r="BQ412" s="944"/>
      <c r="BR412" s="944"/>
      <c r="BS412" s="944"/>
      <c r="BT412" s="944"/>
      <c r="BU412" s="944"/>
      <c r="BV412" s="945"/>
    </row>
    <row r="413" spans="1:74" ht="30" customHeight="1" x14ac:dyDescent="0.25">
      <c r="A413" s="200">
        <f t="shared" si="6"/>
        <v>399</v>
      </c>
      <c r="B413" s="294" t="s">
        <v>162</v>
      </c>
      <c r="C413" s="295"/>
      <c r="D413" s="936"/>
      <c r="E413" s="937"/>
      <c r="F413" s="937"/>
      <c r="G413" s="937"/>
      <c r="H413" s="937"/>
      <c r="I413" s="937"/>
      <c r="J413" s="937"/>
      <c r="K413" s="938"/>
      <c r="L413" s="932"/>
      <c r="M413" s="932"/>
      <c r="N413" s="932"/>
      <c r="O413" s="932"/>
      <c r="P413" s="931"/>
      <c r="Q413" s="931"/>
      <c r="R413" s="931"/>
      <c r="S413" s="931"/>
      <c r="T413" s="933"/>
      <c r="U413" s="934"/>
      <c r="V413" s="934"/>
      <c r="W413" s="935"/>
      <c r="X413" s="936"/>
      <c r="Y413" s="937"/>
      <c r="Z413" s="937"/>
      <c r="AA413" s="938"/>
      <c r="AB413" s="594"/>
      <c r="AC413" s="595"/>
      <c r="AD413" s="596"/>
      <c r="AE413" s="779"/>
      <c r="AF413" s="939"/>
      <c r="AG413" s="780"/>
      <c r="AH413" s="941"/>
      <c r="AI413" s="942"/>
      <c r="AJ413" s="943"/>
      <c r="AK413" s="745"/>
      <c r="AL413" s="940"/>
      <c r="AM413" s="746"/>
      <c r="AN413" s="281"/>
      <c r="AO413" s="282"/>
      <c r="AP413" s="281"/>
      <c r="AQ413" s="282"/>
      <c r="AR413" s="281"/>
      <c r="AS413" s="282"/>
      <c r="AT413" s="281"/>
      <c r="AU413" s="282"/>
      <c r="AV413" s="281"/>
      <c r="AW413" s="282"/>
      <c r="AX413" s="281"/>
      <c r="AY413" s="282"/>
      <c r="AZ413" s="117"/>
      <c r="BA413" s="331"/>
      <c r="BB413" s="117"/>
      <c r="BC413" s="331"/>
      <c r="BD413" s="117"/>
      <c r="BE413" s="331"/>
      <c r="BF413" s="117"/>
      <c r="BG413" s="331"/>
      <c r="BH413" s="117"/>
      <c r="BI413" s="944" t="s">
        <v>212</v>
      </c>
      <c r="BJ413" s="944"/>
      <c r="BK413" s="944"/>
      <c r="BL413" s="944"/>
      <c r="BM413" s="944"/>
      <c r="BN413" s="944"/>
      <c r="BO413" s="944"/>
      <c r="BP413" s="944"/>
      <c r="BQ413" s="944"/>
      <c r="BR413" s="944"/>
      <c r="BS413" s="944"/>
      <c r="BT413" s="944"/>
      <c r="BU413" s="944"/>
      <c r="BV413" s="945"/>
    </row>
    <row r="414" spans="1:74" ht="30" customHeight="1" x14ac:dyDescent="0.25">
      <c r="A414" s="200">
        <f t="shared" si="6"/>
        <v>400</v>
      </c>
      <c r="B414" s="294" t="s">
        <v>162</v>
      </c>
      <c r="C414" s="295"/>
      <c r="D414" s="936"/>
      <c r="E414" s="937"/>
      <c r="F414" s="937"/>
      <c r="G414" s="937"/>
      <c r="H414" s="937"/>
      <c r="I414" s="937"/>
      <c r="J414" s="937"/>
      <c r="K414" s="938"/>
      <c r="L414" s="932"/>
      <c r="M414" s="932"/>
      <c r="N414" s="932"/>
      <c r="O414" s="932"/>
      <c r="P414" s="931"/>
      <c r="Q414" s="931"/>
      <c r="R414" s="931"/>
      <c r="S414" s="931"/>
      <c r="T414" s="933"/>
      <c r="U414" s="934"/>
      <c r="V414" s="934"/>
      <c r="W414" s="935"/>
      <c r="X414" s="936"/>
      <c r="Y414" s="937"/>
      <c r="Z414" s="937"/>
      <c r="AA414" s="938"/>
      <c r="AB414" s="594"/>
      <c r="AC414" s="595"/>
      <c r="AD414" s="596"/>
      <c r="AE414" s="779"/>
      <c r="AF414" s="939"/>
      <c r="AG414" s="780"/>
      <c r="AH414" s="941"/>
      <c r="AI414" s="942"/>
      <c r="AJ414" s="943"/>
      <c r="AK414" s="745"/>
      <c r="AL414" s="940"/>
      <c r="AM414" s="746"/>
      <c r="AN414" s="281"/>
      <c r="AO414" s="282"/>
      <c r="AP414" s="281"/>
      <c r="AQ414" s="282"/>
      <c r="AR414" s="281"/>
      <c r="AS414" s="282"/>
      <c r="AT414" s="281"/>
      <c r="AU414" s="282"/>
      <c r="AV414" s="281"/>
      <c r="AW414" s="282"/>
      <c r="AX414" s="281"/>
      <c r="AY414" s="282"/>
      <c r="AZ414" s="117"/>
      <c r="BA414" s="331"/>
      <c r="BB414" s="117"/>
      <c r="BC414" s="331"/>
      <c r="BD414" s="117"/>
      <c r="BE414" s="331"/>
      <c r="BF414" s="117"/>
      <c r="BG414" s="331"/>
      <c r="BH414" s="117"/>
      <c r="BI414" s="944" t="s">
        <v>212</v>
      </c>
      <c r="BJ414" s="944"/>
      <c r="BK414" s="944"/>
      <c r="BL414" s="944"/>
      <c r="BM414" s="944"/>
      <c r="BN414" s="944"/>
      <c r="BO414" s="944"/>
      <c r="BP414" s="944"/>
      <c r="BQ414" s="944"/>
      <c r="BR414" s="944"/>
      <c r="BS414" s="944"/>
      <c r="BT414" s="944"/>
      <c r="BU414" s="944"/>
      <c r="BV414" s="945"/>
    </row>
    <row r="415" spans="1:74" ht="30" customHeight="1" x14ac:dyDescent="0.25">
      <c r="A415" s="200">
        <f t="shared" si="6"/>
        <v>401</v>
      </c>
      <c r="B415" s="294" t="s">
        <v>162</v>
      </c>
      <c r="C415" s="295"/>
      <c r="D415" s="936"/>
      <c r="E415" s="937"/>
      <c r="F415" s="937"/>
      <c r="G415" s="937"/>
      <c r="H415" s="937"/>
      <c r="I415" s="937"/>
      <c r="J415" s="937"/>
      <c r="K415" s="938"/>
      <c r="L415" s="932"/>
      <c r="M415" s="932"/>
      <c r="N415" s="932"/>
      <c r="O415" s="932"/>
      <c r="P415" s="931"/>
      <c r="Q415" s="931"/>
      <c r="R415" s="931"/>
      <c r="S415" s="931"/>
      <c r="T415" s="933"/>
      <c r="U415" s="934"/>
      <c r="V415" s="934"/>
      <c r="W415" s="935"/>
      <c r="X415" s="936"/>
      <c r="Y415" s="937"/>
      <c r="Z415" s="937"/>
      <c r="AA415" s="938"/>
      <c r="AB415" s="594"/>
      <c r="AC415" s="595"/>
      <c r="AD415" s="596"/>
      <c r="AE415" s="779"/>
      <c r="AF415" s="939"/>
      <c r="AG415" s="780"/>
      <c r="AH415" s="941"/>
      <c r="AI415" s="942"/>
      <c r="AJ415" s="943"/>
      <c r="AK415" s="745"/>
      <c r="AL415" s="940"/>
      <c r="AM415" s="746"/>
      <c r="AN415" s="281"/>
      <c r="AO415" s="282"/>
      <c r="AP415" s="281"/>
      <c r="AQ415" s="282"/>
      <c r="AR415" s="281"/>
      <c r="AS415" s="282"/>
      <c r="AT415" s="281"/>
      <c r="AU415" s="282"/>
      <c r="AV415" s="281"/>
      <c r="AW415" s="282"/>
      <c r="AX415" s="281"/>
      <c r="AY415" s="282"/>
      <c r="AZ415" s="117"/>
      <c r="BA415" s="331"/>
      <c r="BB415" s="117"/>
      <c r="BC415" s="331"/>
      <c r="BD415" s="117"/>
      <c r="BE415" s="331"/>
      <c r="BF415" s="117"/>
      <c r="BG415" s="331"/>
      <c r="BH415" s="117"/>
      <c r="BI415" s="944" t="s">
        <v>212</v>
      </c>
      <c r="BJ415" s="944"/>
      <c r="BK415" s="944"/>
      <c r="BL415" s="944"/>
      <c r="BM415" s="944"/>
      <c r="BN415" s="944"/>
      <c r="BO415" s="944"/>
      <c r="BP415" s="944"/>
      <c r="BQ415" s="944"/>
      <c r="BR415" s="944"/>
      <c r="BS415" s="944"/>
      <c r="BT415" s="944"/>
      <c r="BU415" s="944"/>
      <c r="BV415" s="945"/>
    </row>
    <row r="416" spans="1:74" ht="30" customHeight="1" x14ac:dyDescent="0.25">
      <c r="A416" s="200">
        <f t="shared" si="6"/>
        <v>402</v>
      </c>
      <c r="B416" s="294" t="s">
        <v>162</v>
      </c>
      <c r="C416" s="295"/>
      <c r="D416" s="936"/>
      <c r="E416" s="937"/>
      <c r="F416" s="937"/>
      <c r="G416" s="937"/>
      <c r="H416" s="937"/>
      <c r="I416" s="937"/>
      <c r="J416" s="937"/>
      <c r="K416" s="938"/>
      <c r="L416" s="932"/>
      <c r="M416" s="932"/>
      <c r="N416" s="932"/>
      <c r="O416" s="932"/>
      <c r="P416" s="931"/>
      <c r="Q416" s="931"/>
      <c r="R416" s="931"/>
      <c r="S416" s="931"/>
      <c r="T416" s="933"/>
      <c r="U416" s="934"/>
      <c r="V416" s="934"/>
      <c r="W416" s="935"/>
      <c r="X416" s="936"/>
      <c r="Y416" s="937"/>
      <c r="Z416" s="937"/>
      <c r="AA416" s="938"/>
      <c r="AB416" s="594"/>
      <c r="AC416" s="595"/>
      <c r="AD416" s="596"/>
      <c r="AE416" s="779"/>
      <c r="AF416" s="939"/>
      <c r="AG416" s="780"/>
      <c r="AH416" s="941"/>
      <c r="AI416" s="942"/>
      <c r="AJ416" s="943"/>
      <c r="AK416" s="745"/>
      <c r="AL416" s="940"/>
      <c r="AM416" s="746"/>
      <c r="AN416" s="281"/>
      <c r="AO416" s="282"/>
      <c r="AP416" s="281"/>
      <c r="AQ416" s="282"/>
      <c r="AR416" s="281"/>
      <c r="AS416" s="282"/>
      <c r="AT416" s="281"/>
      <c r="AU416" s="282"/>
      <c r="AV416" s="281"/>
      <c r="AW416" s="282"/>
      <c r="AX416" s="281"/>
      <c r="AY416" s="282"/>
      <c r="AZ416" s="117"/>
      <c r="BA416" s="331"/>
      <c r="BB416" s="117"/>
      <c r="BC416" s="331"/>
      <c r="BD416" s="117"/>
      <c r="BE416" s="331"/>
      <c r="BF416" s="117"/>
      <c r="BG416" s="331"/>
      <c r="BH416" s="117"/>
      <c r="BI416" s="944" t="s">
        <v>159</v>
      </c>
      <c r="BJ416" s="944"/>
      <c r="BK416" s="944"/>
      <c r="BL416" s="944"/>
      <c r="BM416" s="944"/>
      <c r="BN416" s="944"/>
      <c r="BO416" s="944"/>
      <c r="BP416" s="944"/>
      <c r="BQ416" s="944"/>
      <c r="BR416" s="944"/>
      <c r="BS416" s="944"/>
      <c r="BT416" s="944"/>
      <c r="BU416" s="944"/>
      <c r="BV416" s="945"/>
    </row>
    <row r="417" spans="1:74" ht="30" customHeight="1" x14ac:dyDescent="0.25">
      <c r="A417" s="200">
        <f t="shared" si="6"/>
        <v>403</v>
      </c>
      <c r="B417" s="294" t="s">
        <v>162</v>
      </c>
      <c r="C417" s="295"/>
      <c r="D417" s="936"/>
      <c r="E417" s="937"/>
      <c r="F417" s="937"/>
      <c r="G417" s="937"/>
      <c r="H417" s="937"/>
      <c r="I417" s="937"/>
      <c r="J417" s="937"/>
      <c r="K417" s="938"/>
      <c r="L417" s="932"/>
      <c r="M417" s="932"/>
      <c r="N417" s="932"/>
      <c r="O417" s="932"/>
      <c r="P417" s="931"/>
      <c r="Q417" s="931"/>
      <c r="R417" s="931"/>
      <c r="S417" s="931"/>
      <c r="T417" s="933"/>
      <c r="U417" s="934"/>
      <c r="V417" s="934"/>
      <c r="W417" s="935"/>
      <c r="X417" s="936"/>
      <c r="Y417" s="937"/>
      <c r="Z417" s="937"/>
      <c r="AA417" s="938"/>
      <c r="AB417" s="594"/>
      <c r="AC417" s="595"/>
      <c r="AD417" s="596"/>
      <c r="AE417" s="779"/>
      <c r="AF417" s="939"/>
      <c r="AG417" s="780"/>
      <c r="AH417" s="941"/>
      <c r="AI417" s="942"/>
      <c r="AJ417" s="943"/>
      <c r="AK417" s="745"/>
      <c r="AL417" s="940"/>
      <c r="AM417" s="746"/>
      <c r="AN417" s="281"/>
      <c r="AO417" s="282"/>
      <c r="AP417" s="281"/>
      <c r="AQ417" s="282"/>
      <c r="AR417" s="281"/>
      <c r="AS417" s="282"/>
      <c r="AT417" s="281"/>
      <c r="AU417" s="282"/>
      <c r="AV417" s="281"/>
      <c r="AW417" s="282"/>
      <c r="AX417" s="281"/>
      <c r="AY417" s="282"/>
      <c r="AZ417" s="117"/>
      <c r="BA417" s="331"/>
      <c r="BB417" s="117"/>
      <c r="BC417" s="331"/>
      <c r="BD417" s="117"/>
      <c r="BE417" s="331"/>
      <c r="BF417" s="117"/>
      <c r="BG417" s="331"/>
      <c r="BH417" s="117"/>
      <c r="BI417" s="944" t="s">
        <v>159</v>
      </c>
      <c r="BJ417" s="944"/>
      <c r="BK417" s="944"/>
      <c r="BL417" s="944"/>
      <c r="BM417" s="944"/>
      <c r="BN417" s="944"/>
      <c r="BO417" s="944"/>
      <c r="BP417" s="944"/>
      <c r="BQ417" s="944"/>
      <c r="BR417" s="944"/>
      <c r="BS417" s="944"/>
      <c r="BT417" s="944"/>
      <c r="BU417" s="944"/>
      <c r="BV417" s="945"/>
    </row>
    <row r="418" spans="1:74" ht="30" customHeight="1" x14ac:dyDescent="0.25">
      <c r="A418" s="232">
        <f t="shared" si="6"/>
        <v>404</v>
      </c>
      <c r="B418" s="294" t="s">
        <v>162</v>
      </c>
      <c r="C418" s="295"/>
      <c r="D418" s="936"/>
      <c r="E418" s="937"/>
      <c r="F418" s="937"/>
      <c r="G418" s="937"/>
      <c r="H418" s="937"/>
      <c r="I418" s="937"/>
      <c r="J418" s="937"/>
      <c r="K418" s="938"/>
      <c r="L418" s="932"/>
      <c r="M418" s="932"/>
      <c r="N418" s="932"/>
      <c r="O418" s="932"/>
      <c r="P418" s="931"/>
      <c r="Q418" s="931"/>
      <c r="R418" s="931"/>
      <c r="S418" s="931"/>
      <c r="T418" s="933"/>
      <c r="U418" s="934"/>
      <c r="V418" s="934"/>
      <c r="W418" s="935"/>
      <c r="X418" s="936"/>
      <c r="Y418" s="937"/>
      <c r="Z418" s="937"/>
      <c r="AA418" s="938"/>
      <c r="AB418" s="594"/>
      <c r="AC418" s="595"/>
      <c r="AD418" s="596"/>
      <c r="AE418" s="779"/>
      <c r="AF418" s="939"/>
      <c r="AG418" s="780"/>
      <c r="AH418" s="941"/>
      <c r="AI418" s="942"/>
      <c r="AJ418" s="943"/>
      <c r="AK418" s="745"/>
      <c r="AL418" s="940"/>
      <c r="AM418" s="746"/>
      <c r="AN418" s="281"/>
      <c r="AO418" s="282"/>
      <c r="AP418" s="281"/>
      <c r="AQ418" s="282"/>
      <c r="AR418" s="281"/>
      <c r="AS418" s="282"/>
      <c r="AT418" s="281"/>
      <c r="AU418" s="282"/>
      <c r="AV418" s="281"/>
      <c r="AW418" s="282"/>
      <c r="AX418" s="281"/>
      <c r="AY418" s="282"/>
      <c r="AZ418" s="117"/>
      <c r="BA418" s="331"/>
      <c r="BB418" s="117"/>
      <c r="BC418" s="331"/>
      <c r="BD418" s="117"/>
      <c r="BE418" s="331"/>
      <c r="BF418" s="117"/>
      <c r="BG418" s="331"/>
      <c r="BH418" s="117"/>
      <c r="BI418" s="944" t="s">
        <v>212</v>
      </c>
      <c r="BJ418" s="944"/>
      <c r="BK418" s="944"/>
      <c r="BL418" s="944"/>
      <c r="BM418" s="944"/>
      <c r="BN418" s="944"/>
      <c r="BO418" s="944"/>
      <c r="BP418" s="944"/>
      <c r="BQ418" s="944"/>
      <c r="BR418" s="944"/>
      <c r="BS418" s="944"/>
      <c r="BT418" s="944"/>
      <c r="BU418" s="944"/>
      <c r="BV418" s="945"/>
    </row>
    <row r="419" spans="1:74" ht="30" customHeight="1" x14ac:dyDescent="0.25">
      <c r="A419" s="200">
        <f t="shared" si="6"/>
        <v>405</v>
      </c>
      <c r="B419" s="294" t="s">
        <v>162</v>
      </c>
      <c r="C419" s="295"/>
      <c r="D419" s="936"/>
      <c r="E419" s="937"/>
      <c r="F419" s="937"/>
      <c r="G419" s="937"/>
      <c r="H419" s="937"/>
      <c r="I419" s="937"/>
      <c r="J419" s="937"/>
      <c r="K419" s="938"/>
      <c r="L419" s="932"/>
      <c r="M419" s="932"/>
      <c r="N419" s="932"/>
      <c r="O419" s="932"/>
      <c r="P419" s="931"/>
      <c r="Q419" s="931"/>
      <c r="R419" s="931"/>
      <c r="S419" s="931"/>
      <c r="T419" s="933"/>
      <c r="U419" s="934"/>
      <c r="V419" s="934"/>
      <c r="W419" s="935"/>
      <c r="X419" s="936"/>
      <c r="Y419" s="937"/>
      <c r="Z419" s="937"/>
      <c r="AA419" s="938"/>
      <c r="AB419" s="594"/>
      <c r="AC419" s="595"/>
      <c r="AD419" s="596"/>
      <c r="AE419" s="779"/>
      <c r="AF419" s="939"/>
      <c r="AG419" s="780"/>
      <c r="AH419" s="941"/>
      <c r="AI419" s="942"/>
      <c r="AJ419" s="943"/>
      <c r="AK419" s="745"/>
      <c r="AL419" s="940"/>
      <c r="AM419" s="746"/>
      <c r="AN419" s="281"/>
      <c r="AO419" s="282"/>
      <c r="AP419" s="281"/>
      <c r="AQ419" s="282"/>
      <c r="AR419" s="281"/>
      <c r="AS419" s="282"/>
      <c r="AT419" s="281"/>
      <c r="AU419" s="282"/>
      <c r="AV419" s="281"/>
      <c r="AW419" s="282"/>
      <c r="AX419" s="281"/>
      <c r="AY419" s="282"/>
      <c r="AZ419" s="117"/>
      <c r="BA419" s="331"/>
      <c r="BB419" s="117"/>
      <c r="BC419" s="331"/>
      <c r="BD419" s="117"/>
      <c r="BE419" s="331"/>
      <c r="BF419" s="117"/>
      <c r="BG419" s="331"/>
      <c r="BH419" s="117"/>
      <c r="BI419" s="944" t="s">
        <v>212</v>
      </c>
      <c r="BJ419" s="944"/>
      <c r="BK419" s="944"/>
      <c r="BL419" s="944"/>
      <c r="BM419" s="944"/>
      <c r="BN419" s="944"/>
      <c r="BO419" s="944"/>
      <c r="BP419" s="944"/>
      <c r="BQ419" s="944"/>
      <c r="BR419" s="944"/>
      <c r="BS419" s="944"/>
      <c r="BT419" s="944"/>
      <c r="BU419" s="944"/>
      <c r="BV419" s="945"/>
    </row>
    <row r="420" spans="1:74" ht="30" customHeight="1" x14ac:dyDescent="0.25">
      <c r="A420" s="200">
        <f t="shared" si="6"/>
        <v>406</v>
      </c>
      <c r="B420" s="294" t="s">
        <v>162</v>
      </c>
      <c r="C420" s="295"/>
      <c r="D420" s="936"/>
      <c r="E420" s="937"/>
      <c r="F420" s="937"/>
      <c r="G420" s="937"/>
      <c r="H420" s="937"/>
      <c r="I420" s="937"/>
      <c r="J420" s="937"/>
      <c r="K420" s="938"/>
      <c r="L420" s="932"/>
      <c r="M420" s="932"/>
      <c r="N420" s="932"/>
      <c r="O420" s="932"/>
      <c r="P420" s="931"/>
      <c r="Q420" s="931"/>
      <c r="R420" s="931"/>
      <c r="S420" s="931"/>
      <c r="T420" s="933"/>
      <c r="U420" s="934"/>
      <c r="V420" s="934"/>
      <c r="W420" s="935"/>
      <c r="X420" s="936"/>
      <c r="Y420" s="937"/>
      <c r="Z420" s="937"/>
      <c r="AA420" s="938"/>
      <c r="AB420" s="594"/>
      <c r="AC420" s="595"/>
      <c r="AD420" s="596"/>
      <c r="AE420" s="779"/>
      <c r="AF420" s="939"/>
      <c r="AG420" s="780"/>
      <c r="AH420" s="941"/>
      <c r="AI420" s="942"/>
      <c r="AJ420" s="943"/>
      <c r="AK420" s="745"/>
      <c r="AL420" s="940"/>
      <c r="AM420" s="746"/>
      <c r="AN420" s="281"/>
      <c r="AO420" s="282"/>
      <c r="AP420" s="281"/>
      <c r="AQ420" s="282"/>
      <c r="AR420" s="281"/>
      <c r="AS420" s="282"/>
      <c r="AT420" s="281"/>
      <c r="AU420" s="282"/>
      <c r="AV420" s="281"/>
      <c r="AW420" s="282"/>
      <c r="AX420" s="281"/>
      <c r="AY420" s="282"/>
      <c r="AZ420" s="117"/>
      <c r="BA420" s="331"/>
      <c r="BB420" s="117"/>
      <c r="BC420" s="331"/>
      <c r="BD420" s="117"/>
      <c r="BE420" s="331"/>
      <c r="BF420" s="117"/>
      <c r="BG420" s="331"/>
      <c r="BH420" s="117"/>
      <c r="BI420" s="944" t="s">
        <v>212</v>
      </c>
      <c r="BJ420" s="944"/>
      <c r="BK420" s="944"/>
      <c r="BL420" s="944"/>
      <c r="BM420" s="944"/>
      <c r="BN420" s="944"/>
      <c r="BO420" s="944"/>
      <c r="BP420" s="944"/>
      <c r="BQ420" s="944"/>
      <c r="BR420" s="944"/>
      <c r="BS420" s="944"/>
      <c r="BT420" s="944"/>
      <c r="BU420" s="944"/>
      <c r="BV420" s="945"/>
    </row>
    <row r="421" spans="1:74" ht="30" customHeight="1" x14ac:dyDescent="0.25">
      <c r="A421" s="200">
        <f t="shared" si="6"/>
        <v>407</v>
      </c>
      <c r="B421" s="294" t="s">
        <v>162</v>
      </c>
      <c r="C421" s="295"/>
      <c r="D421" s="936"/>
      <c r="E421" s="937"/>
      <c r="F421" s="937"/>
      <c r="G421" s="937"/>
      <c r="H421" s="937"/>
      <c r="I421" s="937"/>
      <c r="J421" s="937"/>
      <c r="K421" s="938"/>
      <c r="L421" s="932"/>
      <c r="M421" s="932"/>
      <c r="N421" s="932"/>
      <c r="O421" s="932"/>
      <c r="P421" s="931"/>
      <c r="Q421" s="931"/>
      <c r="R421" s="931"/>
      <c r="S421" s="931"/>
      <c r="T421" s="933"/>
      <c r="U421" s="934"/>
      <c r="V421" s="934"/>
      <c r="W421" s="935"/>
      <c r="X421" s="936"/>
      <c r="Y421" s="937"/>
      <c r="Z421" s="937"/>
      <c r="AA421" s="938"/>
      <c r="AB421" s="594"/>
      <c r="AC421" s="595"/>
      <c r="AD421" s="596"/>
      <c r="AE421" s="779"/>
      <c r="AF421" s="939"/>
      <c r="AG421" s="780"/>
      <c r="AH421" s="941"/>
      <c r="AI421" s="942"/>
      <c r="AJ421" s="943"/>
      <c r="AK421" s="745"/>
      <c r="AL421" s="940"/>
      <c r="AM421" s="746"/>
      <c r="AN421" s="281"/>
      <c r="AO421" s="282"/>
      <c r="AP421" s="281"/>
      <c r="AQ421" s="282"/>
      <c r="AR421" s="281"/>
      <c r="AS421" s="282"/>
      <c r="AT421" s="281"/>
      <c r="AU421" s="282"/>
      <c r="AV421" s="281"/>
      <c r="AW421" s="282"/>
      <c r="AX421" s="281"/>
      <c r="AY421" s="282"/>
      <c r="AZ421" s="117"/>
      <c r="BA421" s="331"/>
      <c r="BB421" s="117"/>
      <c r="BC421" s="331"/>
      <c r="BD421" s="117"/>
      <c r="BE421" s="331"/>
      <c r="BF421" s="117"/>
      <c r="BG421" s="331"/>
      <c r="BH421" s="117"/>
      <c r="BI421" s="944" t="s">
        <v>212</v>
      </c>
      <c r="BJ421" s="944"/>
      <c r="BK421" s="944"/>
      <c r="BL421" s="944"/>
      <c r="BM421" s="944"/>
      <c r="BN421" s="944"/>
      <c r="BO421" s="944"/>
      <c r="BP421" s="944"/>
      <c r="BQ421" s="944"/>
      <c r="BR421" s="944"/>
      <c r="BS421" s="944"/>
      <c r="BT421" s="944"/>
      <c r="BU421" s="944"/>
      <c r="BV421" s="945"/>
    </row>
    <row r="422" spans="1:74" ht="30" customHeight="1" x14ac:dyDescent="0.25">
      <c r="A422" s="200">
        <f t="shared" si="6"/>
        <v>408</v>
      </c>
      <c r="B422" s="294" t="s">
        <v>162</v>
      </c>
      <c r="C422" s="295"/>
      <c r="D422" s="936"/>
      <c r="E422" s="937"/>
      <c r="F422" s="937"/>
      <c r="G422" s="937"/>
      <c r="H422" s="937"/>
      <c r="I422" s="937"/>
      <c r="J422" s="937"/>
      <c r="K422" s="938"/>
      <c r="L422" s="932"/>
      <c r="M422" s="932"/>
      <c r="N422" s="932"/>
      <c r="O422" s="932"/>
      <c r="P422" s="931"/>
      <c r="Q422" s="931"/>
      <c r="R422" s="931"/>
      <c r="S422" s="931"/>
      <c r="T422" s="933"/>
      <c r="U422" s="934"/>
      <c r="V422" s="934"/>
      <c r="W422" s="935"/>
      <c r="X422" s="936"/>
      <c r="Y422" s="937"/>
      <c r="Z422" s="937"/>
      <c r="AA422" s="938"/>
      <c r="AB422" s="594"/>
      <c r="AC422" s="595"/>
      <c r="AD422" s="596"/>
      <c r="AE422" s="779"/>
      <c r="AF422" s="939"/>
      <c r="AG422" s="780"/>
      <c r="AH422" s="941"/>
      <c r="AI422" s="942"/>
      <c r="AJ422" s="943"/>
      <c r="AK422" s="745"/>
      <c r="AL422" s="940"/>
      <c r="AM422" s="746"/>
      <c r="AN422" s="281"/>
      <c r="AO422" s="282"/>
      <c r="AP422" s="281"/>
      <c r="AQ422" s="282"/>
      <c r="AR422" s="281"/>
      <c r="AS422" s="282"/>
      <c r="AT422" s="281"/>
      <c r="AU422" s="282"/>
      <c r="AV422" s="281"/>
      <c r="AW422" s="282"/>
      <c r="AX422" s="281"/>
      <c r="AY422" s="282"/>
      <c r="AZ422" s="117"/>
      <c r="BA422" s="331"/>
      <c r="BB422" s="117"/>
      <c r="BC422" s="331"/>
      <c r="BD422" s="117"/>
      <c r="BE422" s="331"/>
      <c r="BF422" s="117"/>
      <c r="BG422" s="331"/>
      <c r="BH422" s="117"/>
      <c r="BI422" s="944" t="s">
        <v>212</v>
      </c>
      <c r="BJ422" s="944"/>
      <c r="BK422" s="944"/>
      <c r="BL422" s="944"/>
      <c r="BM422" s="944"/>
      <c r="BN422" s="944"/>
      <c r="BO422" s="944"/>
      <c r="BP422" s="944"/>
      <c r="BQ422" s="944"/>
      <c r="BR422" s="944"/>
      <c r="BS422" s="944"/>
      <c r="BT422" s="944"/>
      <c r="BU422" s="944"/>
      <c r="BV422" s="945"/>
    </row>
    <row r="423" spans="1:74" ht="30" customHeight="1" x14ac:dyDescent="0.25">
      <c r="A423" s="200">
        <f t="shared" si="6"/>
        <v>409</v>
      </c>
      <c r="B423" s="294" t="s">
        <v>162</v>
      </c>
      <c r="C423" s="295"/>
      <c r="D423" s="936"/>
      <c r="E423" s="937"/>
      <c r="F423" s="937"/>
      <c r="G423" s="937"/>
      <c r="H423" s="937"/>
      <c r="I423" s="937"/>
      <c r="J423" s="937"/>
      <c r="K423" s="938"/>
      <c r="L423" s="932"/>
      <c r="M423" s="932"/>
      <c r="N423" s="932"/>
      <c r="O423" s="932"/>
      <c r="P423" s="931"/>
      <c r="Q423" s="931"/>
      <c r="R423" s="931"/>
      <c r="S423" s="931"/>
      <c r="T423" s="933"/>
      <c r="U423" s="934"/>
      <c r="V423" s="934"/>
      <c r="W423" s="935"/>
      <c r="X423" s="936"/>
      <c r="Y423" s="937"/>
      <c r="Z423" s="937"/>
      <c r="AA423" s="938"/>
      <c r="AB423" s="594"/>
      <c r="AC423" s="595"/>
      <c r="AD423" s="596"/>
      <c r="AE423" s="779"/>
      <c r="AF423" s="939"/>
      <c r="AG423" s="780"/>
      <c r="AH423" s="941"/>
      <c r="AI423" s="942"/>
      <c r="AJ423" s="943"/>
      <c r="AK423" s="745"/>
      <c r="AL423" s="940"/>
      <c r="AM423" s="746"/>
      <c r="AN423" s="281"/>
      <c r="AO423" s="282"/>
      <c r="AP423" s="281"/>
      <c r="AQ423" s="282"/>
      <c r="AR423" s="281"/>
      <c r="AS423" s="282"/>
      <c r="AT423" s="281"/>
      <c r="AU423" s="282"/>
      <c r="AV423" s="281"/>
      <c r="AW423" s="282"/>
      <c r="AX423" s="281"/>
      <c r="AY423" s="282"/>
      <c r="AZ423" s="117"/>
      <c r="BA423" s="331"/>
      <c r="BB423" s="117"/>
      <c r="BC423" s="331"/>
      <c r="BD423" s="117"/>
      <c r="BE423" s="331"/>
      <c r="BF423" s="117"/>
      <c r="BG423" s="331"/>
      <c r="BH423" s="117"/>
      <c r="BI423" s="944" t="s">
        <v>159</v>
      </c>
      <c r="BJ423" s="944"/>
      <c r="BK423" s="944"/>
      <c r="BL423" s="944"/>
      <c r="BM423" s="944"/>
      <c r="BN423" s="944"/>
      <c r="BO423" s="944"/>
      <c r="BP423" s="944"/>
      <c r="BQ423" s="944"/>
      <c r="BR423" s="944"/>
      <c r="BS423" s="944"/>
      <c r="BT423" s="944"/>
      <c r="BU423" s="944"/>
      <c r="BV423" s="945"/>
    </row>
    <row r="424" spans="1:74" ht="30" customHeight="1" x14ac:dyDescent="0.25">
      <c r="A424" s="200">
        <f t="shared" si="6"/>
        <v>410</v>
      </c>
      <c r="B424" s="294" t="s">
        <v>162</v>
      </c>
      <c r="C424" s="295"/>
      <c r="D424" s="936"/>
      <c r="E424" s="937"/>
      <c r="F424" s="937"/>
      <c r="G424" s="937"/>
      <c r="H424" s="937"/>
      <c r="I424" s="937"/>
      <c r="J424" s="937"/>
      <c r="K424" s="938"/>
      <c r="L424" s="932"/>
      <c r="M424" s="932"/>
      <c r="N424" s="932"/>
      <c r="O424" s="932"/>
      <c r="P424" s="931"/>
      <c r="Q424" s="931"/>
      <c r="R424" s="931"/>
      <c r="S424" s="931"/>
      <c r="T424" s="933"/>
      <c r="U424" s="934"/>
      <c r="V424" s="934"/>
      <c r="W424" s="935"/>
      <c r="X424" s="936"/>
      <c r="Y424" s="937"/>
      <c r="Z424" s="937"/>
      <c r="AA424" s="938"/>
      <c r="AB424" s="594"/>
      <c r="AC424" s="595"/>
      <c r="AD424" s="596"/>
      <c r="AE424" s="779"/>
      <c r="AF424" s="939"/>
      <c r="AG424" s="780"/>
      <c r="AH424" s="941"/>
      <c r="AI424" s="942"/>
      <c r="AJ424" s="943"/>
      <c r="AK424" s="745"/>
      <c r="AL424" s="940"/>
      <c r="AM424" s="746"/>
      <c r="AN424" s="281"/>
      <c r="AO424" s="282"/>
      <c r="AP424" s="281"/>
      <c r="AQ424" s="282"/>
      <c r="AR424" s="281"/>
      <c r="AS424" s="282"/>
      <c r="AT424" s="281"/>
      <c r="AU424" s="282"/>
      <c r="AV424" s="281"/>
      <c r="AW424" s="282"/>
      <c r="AX424" s="281"/>
      <c r="AY424" s="282"/>
      <c r="AZ424" s="117"/>
      <c r="BA424" s="331"/>
      <c r="BB424" s="117"/>
      <c r="BC424" s="331"/>
      <c r="BD424" s="117"/>
      <c r="BE424" s="331"/>
      <c r="BF424" s="117"/>
      <c r="BG424" s="331"/>
      <c r="BH424" s="117"/>
      <c r="BI424" s="944" t="s">
        <v>159</v>
      </c>
      <c r="BJ424" s="944"/>
      <c r="BK424" s="944"/>
      <c r="BL424" s="944"/>
      <c r="BM424" s="944"/>
      <c r="BN424" s="944"/>
      <c r="BO424" s="944"/>
      <c r="BP424" s="944"/>
      <c r="BQ424" s="944"/>
      <c r="BR424" s="944"/>
      <c r="BS424" s="944"/>
      <c r="BT424" s="944"/>
      <c r="BU424" s="944"/>
      <c r="BV424" s="945"/>
    </row>
    <row r="425" spans="1:74" ht="30" customHeight="1" x14ac:dyDescent="0.25">
      <c r="A425" s="232">
        <f t="shared" si="6"/>
        <v>411</v>
      </c>
      <c r="B425" s="294" t="s">
        <v>162</v>
      </c>
      <c r="C425" s="295"/>
      <c r="D425" s="936"/>
      <c r="E425" s="937"/>
      <c r="F425" s="937"/>
      <c r="G425" s="937"/>
      <c r="H425" s="937"/>
      <c r="I425" s="937"/>
      <c r="J425" s="937"/>
      <c r="K425" s="938"/>
      <c r="L425" s="932"/>
      <c r="M425" s="932"/>
      <c r="N425" s="932"/>
      <c r="O425" s="932"/>
      <c r="P425" s="931"/>
      <c r="Q425" s="931"/>
      <c r="R425" s="931"/>
      <c r="S425" s="931"/>
      <c r="T425" s="933"/>
      <c r="U425" s="934"/>
      <c r="V425" s="934"/>
      <c r="W425" s="935"/>
      <c r="X425" s="936"/>
      <c r="Y425" s="937"/>
      <c r="Z425" s="937"/>
      <c r="AA425" s="938"/>
      <c r="AB425" s="594"/>
      <c r="AC425" s="595"/>
      <c r="AD425" s="596"/>
      <c r="AE425" s="779"/>
      <c r="AF425" s="939"/>
      <c r="AG425" s="780"/>
      <c r="AH425" s="941"/>
      <c r="AI425" s="942"/>
      <c r="AJ425" s="943"/>
      <c r="AK425" s="745"/>
      <c r="AL425" s="940"/>
      <c r="AM425" s="746"/>
      <c r="AN425" s="281"/>
      <c r="AO425" s="282"/>
      <c r="AP425" s="281"/>
      <c r="AQ425" s="282"/>
      <c r="AR425" s="281"/>
      <c r="AS425" s="282"/>
      <c r="AT425" s="281"/>
      <c r="AU425" s="282"/>
      <c r="AV425" s="281"/>
      <c r="AW425" s="282"/>
      <c r="AX425" s="281"/>
      <c r="AY425" s="282"/>
      <c r="AZ425" s="117"/>
      <c r="BA425" s="331"/>
      <c r="BB425" s="117"/>
      <c r="BC425" s="331"/>
      <c r="BD425" s="117"/>
      <c r="BE425" s="331"/>
      <c r="BF425" s="117"/>
      <c r="BG425" s="331"/>
      <c r="BH425" s="117"/>
      <c r="BI425" s="944" t="s">
        <v>212</v>
      </c>
      <c r="BJ425" s="944"/>
      <c r="BK425" s="944"/>
      <c r="BL425" s="944"/>
      <c r="BM425" s="944"/>
      <c r="BN425" s="944"/>
      <c r="BO425" s="944"/>
      <c r="BP425" s="944"/>
      <c r="BQ425" s="944"/>
      <c r="BR425" s="944"/>
      <c r="BS425" s="944"/>
      <c r="BT425" s="944"/>
      <c r="BU425" s="944"/>
      <c r="BV425" s="945"/>
    </row>
    <row r="426" spans="1:74" ht="30" customHeight="1" x14ac:dyDescent="0.25">
      <c r="A426" s="200">
        <f t="shared" si="6"/>
        <v>412</v>
      </c>
      <c r="B426" s="294" t="s">
        <v>162</v>
      </c>
      <c r="C426" s="295"/>
      <c r="D426" s="936"/>
      <c r="E426" s="937"/>
      <c r="F426" s="937"/>
      <c r="G426" s="937"/>
      <c r="H426" s="937"/>
      <c r="I426" s="937"/>
      <c r="J426" s="937"/>
      <c r="K426" s="938"/>
      <c r="L426" s="932"/>
      <c r="M426" s="932"/>
      <c r="N426" s="932"/>
      <c r="O426" s="932"/>
      <c r="P426" s="931"/>
      <c r="Q426" s="931"/>
      <c r="R426" s="931"/>
      <c r="S426" s="931"/>
      <c r="T426" s="933"/>
      <c r="U426" s="934"/>
      <c r="V426" s="934"/>
      <c r="W426" s="935"/>
      <c r="X426" s="936"/>
      <c r="Y426" s="937"/>
      <c r="Z426" s="937"/>
      <c r="AA426" s="938"/>
      <c r="AB426" s="594"/>
      <c r="AC426" s="595"/>
      <c r="AD426" s="596"/>
      <c r="AE426" s="779"/>
      <c r="AF426" s="939"/>
      <c r="AG426" s="780"/>
      <c r="AH426" s="941"/>
      <c r="AI426" s="942"/>
      <c r="AJ426" s="943"/>
      <c r="AK426" s="745"/>
      <c r="AL426" s="940"/>
      <c r="AM426" s="746"/>
      <c r="AN426" s="281"/>
      <c r="AO426" s="282"/>
      <c r="AP426" s="281"/>
      <c r="AQ426" s="282"/>
      <c r="AR426" s="281"/>
      <c r="AS426" s="282"/>
      <c r="AT426" s="281"/>
      <c r="AU426" s="282"/>
      <c r="AV426" s="281"/>
      <c r="AW426" s="282"/>
      <c r="AX426" s="281"/>
      <c r="AY426" s="282"/>
      <c r="AZ426" s="117"/>
      <c r="BA426" s="331"/>
      <c r="BB426" s="117"/>
      <c r="BC426" s="331"/>
      <c r="BD426" s="117"/>
      <c r="BE426" s="331"/>
      <c r="BF426" s="117"/>
      <c r="BG426" s="331"/>
      <c r="BH426" s="117"/>
      <c r="BI426" s="944" t="s">
        <v>212</v>
      </c>
      <c r="BJ426" s="944"/>
      <c r="BK426" s="944"/>
      <c r="BL426" s="944"/>
      <c r="BM426" s="944"/>
      <c r="BN426" s="944"/>
      <c r="BO426" s="944"/>
      <c r="BP426" s="944"/>
      <c r="BQ426" s="944"/>
      <c r="BR426" s="944"/>
      <c r="BS426" s="944"/>
      <c r="BT426" s="944"/>
      <c r="BU426" s="944"/>
      <c r="BV426" s="945"/>
    </row>
    <row r="427" spans="1:74" ht="30" customHeight="1" x14ac:dyDescent="0.25">
      <c r="A427" s="200">
        <f t="shared" si="6"/>
        <v>413</v>
      </c>
      <c r="B427" s="294" t="s">
        <v>162</v>
      </c>
      <c r="C427" s="295"/>
      <c r="D427" s="936"/>
      <c r="E427" s="937"/>
      <c r="F427" s="937"/>
      <c r="G427" s="937"/>
      <c r="H427" s="937"/>
      <c r="I427" s="937"/>
      <c r="J427" s="937"/>
      <c r="K427" s="938"/>
      <c r="L427" s="932"/>
      <c r="M427" s="932"/>
      <c r="N427" s="932"/>
      <c r="O427" s="932"/>
      <c r="P427" s="931"/>
      <c r="Q427" s="931"/>
      <c r="R427" s="931"/>
      <c r="S427" s="931"/>
      <c r="T427" s="933"/>
      <c r="U427" s="934"/>
      <c r="V427" s="934"/>
      <c r="W427" s="935"/>
      <c r="X427" s="936"/>
      <c r="Y427" s="937"/>
      <c r="Z427" s="937"/>
      <c r="AA427" s="938"/>
      <c r="AB427" s="594"/>
      <c r="AC427" s="595"/>
      <c r="AD427" s="596"/>
      <c r="AE427" s="779"/>
      <c r="AF427" s="939"/>
      <c r="AG427" s="780"/>
      <c r="AH427" s="941"/>
      <c r="AI427" s="942"/>
      <c r="AJ427" s="943"/>
      <c r="AK427" s="745"/>
      <c r="AL427" s="940"/>
      <c r="AM427" s="746"/>
      <c r="AN427" s="281"/>
      <c r="AO427" s="282"/>
      <c r="AP427" s="281"/>
      <c r="AQ427" s="282"/>
      <c r="AR427" s="281"/>
      <c r="AS427" s="282"/>
      <c r="AT427" s="281"/>
      <c r="AU427" s="282"/>
      <c r="AV427" s="281"/>
      <c r="AW427" s="282"/>
      <c r="AX427" s="281"/>
      <c r="AY427" s="282"/>
      <c r="AZ427" s="117"/>
      <c r="BA427" s="331"/>
      <c r="BB427" s="117"/>
      <c r="BC427" s="331"/>
      <c r="BD427" s="117"/>
      <c r="BE427" s="331"/>
      <c r="BF427" s="117"/>
      <c r="BG427" s="331"/>
      <c r="BH427" s="117"/>
      <c r="BI427" s="944" t="s">
        <v>212</v>
      </c>
      <c r="BJ427" s="944"/>
      <c r="BK427" s="944"/>
      <c r="BL427" s="944"/>
      <c r="BM427" s="944"/>
      <c r="BN427" s="944"/>
      <c r="BO427" s="944"/>
      <c r="BP427" s="944"/>
      <c r="BQ427" s="944"/>
      <c r="BR427" s="944"/>
      <c r="BS427" s="944"/>
      <c r="BT427" s="944"/>
      <c r="BU427" s="944"/>
      <c r="BV427" s="945"/>
    </row>
    <row r="428" spans="1:74" ht="30" customHeight="1" x14ac:dyDescent="0.25">
      <c r="A428" s="200">
        <f t="shared" si="6"/>
        <v>414</v>
      </c>
      <c r="B428" s="294" t="s">
        <v>162</v>
      </c>
      <c r="C428" s="295"/>
      <c r="D428" s="936"/>
      <c r="E428" s="937"/>
      <c r="F428" s="937"/>
      <c r="G428" s="937"/>
      <c r="H428" s="937"/>
      <c r="I428" s="937"/>
      <c r="J428" s="937"/>
      <c r="K428" s="938"/>
      <c r="L428" s="932"/>
      <c r="M428" s="932"/>
      <c r="N428" s="932"/>
      <c r="O428" s="932"/>
      <c r="P428" s="931"/>
      <c r="Q428" s="931"/>
      <c r="R428" s="931"/>
      <c r="S428" s="931"/>
      <c r="T428" s="933"/>
      <c r="U428" s="934"/>
      <c r="V428" s="934"/>
      <c r="W428" s="935"/>
      <c r="X428" s="936"/>
      <c r="Y428" s="937"/>
      <c r="Z428" s="937"/>
      <c r="AA428" s="938"/>
      <c r="AB428" s="594"/>
      <c r="AC428" s="595"/>
      <c r="AD428" s="596"/>
      <c r="AE428" s="779"/>
      <c r="AF428" s="939"/>
      <c r="AG428" s="780"/>
      <c r="AH428" s="941"/>
      <c r="AI428" s="942"/>
      <c r="AJ428" s="943"/>
      <c r="AK428" s="745"/>
      <c r="AL428" s="940"/>
      <c r="AM428" s="746"/>
      <c r="AN428" s="281"/>
      <c r="AO428" s="282"/>
      <c r="AP428" s="281"/>
      <c r="AQ428" s="282"/>
      <c r="AR428" s="281"/>
      <c r="AS428" s="282"/>
      <c r="AT428" s="281"/>
      <c r="AU428" s="282"/>
      <c r="AV428" s="281"/>
      <c r="AW428" s="282"/>
      <c r="AX428" s="281"/>
      <c r="AY428" s="282"/>
      <c r="AZ428" s="117"/>
      <c r="BA428" s="331"/>
      <c r="BB428" s="117"/>
      <c r="BC428" s="331"/>
      <c r="BD428" s="117"/>
      <c r="BE428" s="331"/>
      <c r="BF428" s="117"/>
      <c r="BG428" s="331"/>
      <c r="BH428" s="117"/>
      <c r="BI428" s="944" t="s">
        <v>212</v>
      </c>
      <c r="BJ428" s="944"/>
      <c r="BK428" s="944"/>
      <c r="BL428" s="944"/>
      <c r="BM428" s="944"/>
      <c r="BN428" s="944"/>
      <c r="BO428" s="944"/>
      <c r="BP428" s="944"/>
      <c r="BQ428" s="944"/>
      <c r="BR428" s="944"/>
      <c r="BS428" s="944"/>
      <c r="BT428" s="944"/>
      <c r="BU428" s="944"/>
      <c r="BV428" s="945"/>
    </row>
    <row r="429" spans="1:74" ht="30" customHeight="1" x14ac:dyDescent="0.25">
      <c r="A429" s="200">
        <f t="shared" si="6"/>
        <v>415</v>
      </c>
      <c r="B429" s="294" t="s">
        <v>162</v>
      </c>
      <c r="C429" s="295"/>
      <c r="D429" s="936"/>
      <c r="E429" s="937"/>
      <c r="F429" s="937"/>
      <c r="G429" s="937"/>
      <c r="H429" s="937"/>
      <c r="I429" s="937"/>
      <c r="J429" s="937"/>
      <c r="K429" s="938"/>
      <c r="L429" s="932"/>
      <c r="M429" s="932"/>
      <c r="N429" s="932"/>
      <c r="O429" s="932"/>
      <c r="P429" s="931"/>
      <c r="Q429" s="931"/>
      <c r="R429" s="931"/>
      <c r="S429" s="931"/>
      <c r="T429" s="933"/>
      <c r="U429" s="934"/>
      <c r="V429" s="934"/>
      <c r="W429" s="935"/>
      <c r="X429" s="936"/>
      <c r="Y429" s="937"/>
      <c r="Z429" s="937"/>
      <c r="AA429" s="938"/>
      <c r="AB429" s="594"/>
      <c r="AC429" s="595"/>
      <c r="AD429" s="596"/>
      <c r="AE429" s="779"/>
      <c r="AF429" s="939"/>
      <c r="AG429" s="780"/>
      <c r="AH429" s="941"/>
      <c r="AI429" s="942"/>
      <c r="AJ429" s="943"/>
      <c r="AK429" s="745"/>
      <c r="AL429" s="940"/>
      <c r="AM429" s="746"/>
      <c r="AN429" s="281"/>
      <c r="AO429" s="282"/>
      <c r="AP429" s="281"/>
      <c r="AQ429" s="282"/>
      <c r="AR429" s="281"/>
      <c r="AS429" s="282"/>
      <c r="AT429" s="281"/>
      <c r="AU429" s="282"/>
      <c r="AV429" s="281"/>
      <c r="AW429" s="282"/>
      <c r="AX429" s="281"/>
      <c r="AY429" s="282"/>
      <c r="AZ429" s="117"/>
      <c r="BA429" s="331"/>
      <c r="BB429" s="117"/>
      <c r="BC429" s="331"/>
      <c r="BD429" s="117"/>
      <c r="BE429" s="331"/>
      <c r="BF429" s="117"/>
      <c r="BG429" s="331"/>
      <c r="BH429" s="117"/>
      <c r="BI429" s="944" t="s">
        <v>212</v>
      </c>
      <c r="BJ429" s="944"/>
      <c r="BK429" s="944"/>
      <c r="BL429" s="944"/>
      <c r="BM429" s="944"/>
      <c r="BN429" s="944"/>
      <c r="BO429" s="944"/>
      <c r="BP429" s="944"/>
      <c r="BQ429" s="944"/>
      <c r="BR429" s="944"/>
      <c r="BS429" s="944"/>
      <c r="BT429" s="944"/>
      <c r="BU429" s="944"/>
      <c r="BV429" s="945"/>
    </row>
    <row r="430" spans="1:74" ht="30" customHeight="1" x14ac:dyDescent="0.25">
      <c r="A430" s="200">
        <f t="shared" si="6"/>
        <v>416</v>
      </c>
      <c r="B430" s="294" t="s">
        <v>162</v>
      </c>
      <c r="C430" s="295"/>
      <c r="D430" s="936"/>
      <c r="E430" s="937"/>
      <c r="F430" s="937"/>
      <c r="G430" s="937"/>
      <c r="H430" s="937"/>
      <c r="I430" s="937"/>
      <c r="J430" s="937"/>
      <c r="K430" s="938"/>
      <c r="L430" s="932"/>
      <c r="M430" s="932"/>
      <c r="N430" s="932"/>
      <c r="O430" s="932"/>
      <c r="P430" s="931"/>
      <c r="Q430" s="931"/>
      <c r="R430" s="931"/>
      <c r="S430" s="931"/>
      <c r="T430" s="933"/>
      <c r="U430" s="934"/>
      <c r="V430" s="934"/>
      <c r="W430" s="935"/>
      <c r="X430" s="936"/>
      <c r="Y430" s="937"/>
      <c r="Z430" s="937"/>
      <c r="AA430" s="938"/>
      <c r="AB430" s="594"/>
      <c r="AC430" s="595"/>
      <c r="AD430" s="596"/>
      <c r="AE430" s="779"/>
      <c r="AF430" s="939"/>
      <c r="AG430" s="780"/>
      <c r="AH430" s="941"/>
      <c r="AI430" s="942"/>
      <c r="AJ430" s="943"/>
      <c r="AK430" s="745"/>
      <c r="AL430" s="940"/>
      <c r="AM430" s="746"/>
      <c r="AN430" s="281"/>
      <c r="AO430" s="282"/>
      <c r="AP430" s="281"/>
      <c r="AQ430" s="282"/>
      <c r="AR430" s="281"/>
      <c r="AS430" s="282"/>
      <c r="AT430" s="281"/>
      <c r="AU430" s="282"/>
      <c r="AV430" s="281"/>
      <c r="AW430" s="282"/>
      <c r="AX430" s="281"/>
      <c r="AY430" s="282"/>
      <c r="AZ430" s="117"/>
      <c r="BA430" s="331"/>
      <c r="BB430" s="117"/>
      <c r="BC430" s="331"/>
      <c r="BD430" s="117"/>
      <c r="BE430" s="331"/>
      <c r="BF430" s="117"/>
      <c r="BG430" s="331"/>
      <c r="BH430" s="117"/>
      <c r="BI430" s="944" t="s">
        <v>159</v>
      </c>
      <c r="BJ430" s="944"/>
      <c r="BK430" s="944"/>
      <c r="BL430" s="944"/>
      <c r="BM430" s="944"/>
      <c r="BN430" s="944"/>
      <c r="BO430" s="944"/>
      <c r="BP430" s="944"/>
      <c r="BQ430" s="944"/>
      <c r="BR430" s="944"/>
      <c r="BS430" s="944"/>
      <c r="BT430" s="944"/>
      <c r="BU430" s="944"/>
      <c r="BV430" s="945"/>
    </row>
    <row r="431" spans="1:74" ht="30" customHeight="1" x14ac:dyDescent="0.25">
      <c r="A431" s="232">
        <f t="shared" si="6"/>
        <v>417</v>
      </c>
      <c r="B431" s="294" t="s">
        <v>162</v>
      </c>
      <c r="C431" s="295"/>
      <c r="D431" s="936"/>
      <c r="E431" s="937"/>
      <c r="F431" s="937"/>
      <c r="G431" s="937"/>
      <c r="H431" s="937"/>
      <c r="I431" s="937"/>
      <c r="J431" s="937"/>
      <c r="K431" s="938"/>
      <c r="L431" s="932"/>
      <c r="M431" s="932"/>
      <c r="N431" s="932"/>
      <c r="O431" s="932"/>
      <c r="P431" s="931"/>
      <c r="Q431" s="931"/>
      <c r="R431" s="931"/>
      <c r="S431" s="931"/>
      <c r="T431" s="933"/>
      <c r="U431" s="934"/>
      <c r="V431" s="934"/>
      <c r="W431" s="935"/>
      <c r="X431" s="936"/>
      <c r="Y431" s="937"/>
      <c r="Z431" s="937"/>
      <c r="AA431" s="938"/>
      <c r="AB431" s="594"/>
      <c r="AC431" s="595"/>
      <c r="AD431" s="596"/>
      <c r="AE431" s="779"/>
      <c r="AF431" s="939"/>
      <c r="AG431" s="780"/>
      <c r="AH431" s="941"/>
      <c r="AI431" s="942"/>
      <c r="AJ431" s="943"/>
      <c r="AK431" s="745"/>
      <c r="AL431" s="940"/>
      <c r="AM431" s="746"/>
      <c r="AN431" s="281"/>
      <c r="AO431" s="282"/>
      <c r="AP431" s="281"/>
      <c r="AQ431" s="282"/>
      <c r="AR431" s="281"/>
      <c r="AS431" s="282"/>
      <c r="AT431" s="281"/>
      <c r="AU431" s="282"/>
      <c r="AV431" s="281"/>
      <c r="AW431" s="282"/>
      <c r="AX431" s="281"/>
      <c r="AY431" s="282"/>
      <c r="AZ431" s="117"/>
      <c r="BA431" s="331"/>
      <c r="BB431" s="117"/>
      <c r="BC431" s="331"/>
      <c r="BD431" s="117"/>
      <c r="BE431" s="331"/>
      <c r="BF431" s="117"/>
      <c r="BG431" s="331"/>
      <c r="BH431" s="117"/>
      <c r="BI431" s="944" t="s">
        <v>212</v>
      </c>
      <c r="BJ431" s="944"/>
      <c r="BK431" s="944"/>
      <c r="BL431" s="944"/>
      <c r="BM431" s="944"/>
      <c r="BN431" s="944"/>
      <c r="BO431" s="944"/>
      <c r="BP431" s="944"/>
      <c r="BQ431" s="944"/>
      <c r="BR431" s="944"/>
      <c r="BS431" s="944"/>
      <c r="BT431" s="944"/>
      <c r="BU431" s="944"/>
      <c r="BV431" s="945"/>
    </row>
    <row r="432" spans="1:74" ht="30" customHeight="1" x14ac:dyDescent="0.25">
      <c r="A432" s="200">
        <f t="shared" si="6"/>
        <v>418</v>
      </c>
      <c r="B432" s="294" t="s">
        <v>162</v>
      </c>
      <c r="C432" s="295"/>
      <c r="D432" s="936"/>
      <c r="E432" s="937"/>
      <c r="F432" s="937"/>
      <c r="G432" s="937"/>
      <c r="H432" s="937"/>
      <c r="I432" s="937"/>
      <c r="J432" s="937"/>
      <c r="K432" s="938"/>
      <c r="L432" s="932"/>
      <c r="M432" s="932"/>
      <c r="N432" s="932"/>
      <c r="O432" s="932"/>
      <c r="P432" s="931"/>
      <c r="Q432" s="931"/>
      <c r="R432" s="931"/>
      <c r="S432" s="931"/>
      <c r="T432" s="933"/>
      <c r="U432" s="934"/>
      <c r="V432" s="934"/>
      <c r="W432" s="935"/>
      <c r="X432" s="936"/>
      <c r="Y432" s="937"/>
      <c r="Z432" s="937"/>
      <c r="AA432" s="938"/>
      <c r="AB432" s="594"/>
      <c r="AC432" s="595"/>
      <c r="AD432" s="596"/>
      <c r="AE432" s="779"/>
      <c r="AF432" s="939"/>
      <c r="AG432" s="780"/>
      <c r="AH432" s="941"/>
      <c r="AI432" s="942"/>
      <c r="AJ432" s="943"/>
      <c r="AK432" s="745"/>
      <c r="AL432" s="940"/>
      <c r="AM432" s="746"/>
      <c r="AN432" s="281"/>
      <c r="AO432" s="282"/>
      <c r="AP432" s="281"/>
      <c r="AQ432" s="282"/>
      <c r="AR432" s="281"/>
      <c r="AS432" s="282"/>
      <c r="AT432" s="281"/>
      <c r="AU432" s="282"/>
      <c r="AV432" s="281"/>
      <c r="AW432" s="282"/>
      <c r="AX432" s="281"/>
      <c r="AY432" s="282"/>
      <c r="AZ432" s="117"/>
      <c r="BA432" s="331"/>
      <c r="BB432" s="117"/>
      <c r="BC432" s="331"/>
      <c r="BD432" s="117"/>
      <c r="BE432" s="331"/>
      <c r="BF432" s="117"/>
      <c r="BG432" s="331"/>
      <c r="BH432" s="117"/>
      <c r="BI432" s="944" t="s">
        <v>212</v>
      </c>
      <c r="BJ432" s="944"/>
      <c r="BK432" s="944"/>
      <c r="BL432" s="944"/>
      <c r="BM432" s="944"/>
      <c r="BN432" s="944"/>
      <c r="BO432" s="944"/>
      <c r="BP432" s="944"/>
      <c r="BQ432" s="944"/>
      <c r="BR432" s="944"/>
      <c r="BS432" s="944"/>
      <c r="BT432" s="944"/>
      <c r="BU432" s="944"/>
      <c r="BV432" s="945"/>
    </row>
    <row r="433" spans="1:74" ht="30" customHeight="1" x14ac:dyDescent="0.25">
      <c r="A433" s="200">
        <f t="shared" si="6"/>
        <v>419</v>
      </c>
      <c r="B433" s="294" t="s">
        <v>162</v>
      </c>
      <c r="C433" s="295"/>
      <c r="D433" s="936"/>
      <c r="E433" s="937"/>
      <c r="F433" s="937"/>
      <c r="G433" s="937"/>
      <c r="H433" s="937"/>
      <c r="I433" s="937"/>
      <c r="J433" s="937"/>
      <c r="K433" s="938"/>
      <c r="L433" s="932"/>
      <c r="M433" s="932"/>
      <c r="N433" s="932"/>
      <c r="O433" s="932"/>
      <c r="P433" s="931"/>
      <c r="Q433" s="931"/>
      <c r="R433" s="931"/>
      <c r="S433" s="931"/>
      <c r="T433" s="933"/>
      <c r="U433" s="934"/>
      <c r="V433" s="934"/>
      <c r="W433" s="935"/>
      <c r="X433" s="936"/>
      <c r="Y433" s="937"/>
      <c r="Z433" s="937"/>
      <c r="AA433" s="938"/>
      <c r="AB433" s="594"/>
      <c r="AC433" s="595"/>
      <c r="AD433" s="596"/>
      <c r="AE433" s="779"/>
      <c r="AF433" s="939"/>
      <c r="AG433" s="780"/>
      <c r="AH433" s="941"/>
      <c r="AI433" s="942"/>
      <c r="AJ433" s="943"/>
      <c r="AK433" s="745"/>
      <c r="AL433" s="940"/>
      <c r="AM433" s="746"/>
      <c r="AN433" s="281"/>
      <c r="AO433" s="282"/>
      <c r="AP433" s="281"/>
      <c r="AQ433" s="282"/>
      <c r="AR433" s="281"/>
      <c r="AS433" s="282"/>
      <c r="AT433" s="281"/>
      <c r="AU433" s="282"/>
      <c r="AV433" s="281"/>
      <c r="AW433" s="282"/>
      <c r="AX433" s="281"/>
      <c r="AY433" s="282"/>
      <c r="AZ433" s="117"/>
      <c r="BA433" s="331"/>
      <c r="BB433" s="117"/>
      <c r="BC433" s="331"/>
      <c r="BD433" s="117"/>
      <c r="BE433" s="331"/>
      <c r="BF433" s="117"/>
      <c r="BG433" s="331"/>
      <c r="BH433" s="117"/>
      <c r="BI433" s="944" t="s">
        <v>212</v>
      </c>
      <c r="BJ433" s="944"/>
      <c r="BK433" s="944"/>
      <c r="BL433" s="944"/>
      <c r="BM433" s="944"/>
      <c r="BN433" s="944"/>
      <c r="BO433" s="944"/>
      <c r="BP433" s="944"/>
      <c r="BQ433" s="944"/>
      <c r="BR433" s="944"/>
      <c r="BS433" s="944"/>
      <c r="BT433" s="944"/>
      <c r="BU433" s="944"/>
      <c r="BV433" s="945"/>
    </row>
    <row r="434" spans="1:74" ht="30" customHeight="1" x14ac:dyDescent="0.25">
      <c r="A434" s="200">
        <f t="shared" si="6"/>
        <v>420</v>
      </c>
      <c r="B434" s="294" t="s">
        <v>162</v>
      </c>
      <c r="C434" s="295"/>
      <c r="D434" s="936"/>
      <c r="E434" s="937"/>
      <c r="F434" s="937"/>
      <c r="G434" s="937"/>
      <c r="H434" s="937"/>
      <c r="I434" s="937"/>
      <c r="J434" s="937"/>
      <c r="K434" s="938"/>
      <c r="L434" s="932"/>
      <c r="M434" s="932"/>
      <c r="N434" s="932"/>
      <c r="O434" s="932"/>
      <c r="P434" s="931"/>
      <c r="Q434" s="931"/>
      <c r="R434" s="931"/>
      <c r="S434" s="931"/>
      <c r="T434" s="933"/>
      <c r="U434" s="934"/>
      <c r="V434" s="934"/>
      <c r="W434" s="935"/>
      <c r="X434" s="936"/>
      <c r="Y434" s="937"/>
      <c r="Z434" s="937"/>
      <c r="AA434" s="938"/>
      <c r="AB434" s="594"/>
      <c r="AC434" s="595"/>
      <c r="AD434" s="596"/>
      <c r="AE434" s="779"/>
      <c r="AF434" s="939"/>
      <c r="AG434" s="780"/>
      <c r="AH434" s="941"/>
      <c r="AI434" s="942"/>
      <c r="AJ434" s="943"/>
      <c r="AK434" s="745"/>
      <c r="AL434" s="940"/>
      <c r="AM434" s="746"/>
      <c r="AN434" s="281"/>
      <c r="AO434" s="282"/>
      <c r="AP434" s="281"/>
      <c r="AQ434" s="282"/>
      <c r="AR434" s="281"/>
      <c r="AS434" s="282"/>
      <c r="AT434" s="281"/>
      <c r="AU434" s="282"/>
      <c r="AV434" s="281"/>
      <c r="AW434" s="282"/>
      <c r="AX434" s="281"/>
      <c r="AY434" s="282"/>
      <c r="AZ434" s="117"/>
      <c r="BA434" s="331"/>
      <c r="BB434" s="117"/>
      <c r="BC434" s="331"/>
      <c r="BD434" s="117"/>
      <c r="BE434" s="331"/>
      <c r="BF434" s="117"/>
      <c r="BG434" s="331"/>
      <c r="BH434" s="117"/>
      <c r="BI434" s="944" t="s">
        <v>212</v>
      </c>
      <c r="BJ434" s="944"/>
      <c r="BK434" s="944"/>
      <c r="BL434" s="944"/>
      <c r="BM434" s="944"/>
      <c r="BN434" s="944"/>
      <c r="BO434" s="944"/>
      <c r="BP434" s="944"/>
      <c r="BQ434" s="944"/>
      <c r="BR434" s="944"/>
      <c r="BS434" s="944"/>
      <c r="BT434" s="944"/>
      <c r="BU434" s="944"/>
      <c r="BV434" s="945"/>
    </row>
    <row r="435" spans="1:74" ht="30" customHeight="1" x14ac:dyDescent="0.25">
      <c r="A435" s="200">
        <f t="shared" si="6"/>
        <v>421</v>
      </c>
      <c r="B435" s="294" t="s">
        <v>162</v>
      </c>
      <c r="C435" s="295"/>
      <c r="D435" s="936"/>
      <c r="E435" s="937"/>
      <c r="F435" s="937"/>
      <c r="G435" s="937"/>
      <c r="H435" s="937"/>
      <c r="I435" s="937"/>
      <c r="J435" s="937"/>
      <c r="K435" s="938"/>
      <c r="L435" s="932"/>
      <c r="M435" s="932"/>
      <c r="N435" s="932"/>
      <c r="O435" s="932"/>
      <c r="P435" s="931"/>
      <c r="Q435" s="931"/>
      <c r="R435" s="931"/>
      <c r="S435" s="931"/>
      <c r="T435" s="933"/>
      <c r="U435" s="934"/>
      <c r="V435" s="934"/>
      <c r="W435" s="935"/>
      <c r="X435" s="936"/>
      <c r="Y435" s="937"/>
      <c r="Z435" s="937"/>
      <c r="AA435" s="938"/>
      <c r="AB435" s="594"/>
      <c r="AC435" s="595"/>
      <c r="AD435" s="596"/>
      <c r="AE435" s="779"/>
      <c r="AF435" s="939"/>
      <c r="AG435" s="780"/>
      <c r="AH435" s="941"/>
      <c r="AI435" s="942"/>
      <c r="AJ435" s="943"/>
      <c r="AK435" s="745"/>
      <c r="AL435" s="940"/>
      <c r="AM435" s="746"/>
      <c r="AN435" s="281"/>
      <c r="AO435" s="282"/>
      <c r="AP435" s="281"/>
      <c r="AQ435" s="282"/>
      <c r="AR435" s="281"/>
      <c r="AS435" s="282"/>
      <c r="AT435" s="281"/>
      <c r="AU435" s="282"/>
      <c r="AV435" s="281"/>
      <c r="AW435" s="282"/>
      <c r="AX435" s="281"/>
      <c r="AY435" s="282"/>
      <c r="AZ435" s="117"/>
      <c r="BA435" s="331"/>
      <c r="BB435" s="117"/>
      <c r="BC435" s="331"/>
      <c r="BD435" s="117"/>
      <c r="BE435" s="331"/>
      <c r="BF435" s="117"/>
      <c r="BG435" s="331"/>
      <c r="BH435" s="117"/>
      <c r="BI435" s="944" t="s">
        <v>212</v>
      </c>
      <c r="BJ435" s="944"/>
      <c r="BK435" s="944"/>
      <c r="BL435" s="944"/>
      <c r="BM435" s="944"/>
      <c r="BN435" s="944"/>
      <c r="BO435" s="944"/>
      <c r="BP435" s="944"/>
      <c r="BQ435" s="944"/>
      <c r="BR435" s="944"/>
      <c r="BS435" s="944"/>
      <c r="BT435" s="944"/>
      <c r="BU435" s="944"/>
      <c r="BV435" s="945"/>
    </row>
    <row r="436" spans="1:74" ht="30" customHeight="1" x14ac:dyDescent="0.25">
      <c r="A436" s="200">
        <f t="shared" si="6"/>
        <v>422</v>
      </c>
      <c r="B436" s="294" t="s">
        <v>162</v>
      </c>
      <c r="C436" s="295"/>
      <c r="D436" s="936"/>
      <c r="E436" s="937"/>
      <c r="F436" s="937"/>
      <c r="G436" s="937"/>
      <c r="H436" s="937"/>
      <c r="I436" s="937"/>
      <c r="J436" s="937"/>
      <c r="K436" s="938"/>
      <c r="L436" s="932"/>
      <c r="M436" s="932"/>
      <c r="N436" s="932"/>
      <c r="O436" s="932"/>
      <c r="P436" s="931"/>
      <c r="Q436" s="931"/>
      <c r="R436" s="931"/>
      <c r="S436" s="931"/>
      <c r="T436" s="933"/>
      <c r="U436" s="934"/>
      <c r="V436" s="934"/>
      <c r="W436" s="935"/>
      <c r="X436" s="936"/>
      <c r="Y436" s="937"/>
      <c r="Z436" s="937"/>
      <c r="AA436" s="938"/>
      <c r="AB436" s="594"/>
      <c r="AC436" s="595"/>
      <c r="AD436" s="596"/>
      <c r="AE436" s="779"/>
      <c r="AF436" s="939"/>
      <c r="AG436" s="780"/>
      <c r="AH436" s="941"/>
      <c r="AI436" s="942"/>
      <c r="AJ436" s="943"/>
      <c r="AK436" s="745"/>
      <c r="AL436" s="940"/>
      <c r="AM436" s="746"/>
      <c r="AN436" s="281"/>
      <c r="AO436" s="282"/>
      <c r="AP436" s="281"/>
      <c r="AQ436" s="282"/>
      <c r="AR436" s="281"/>
      <c r="AS436" s="282"/>
      <c r="AT436" s="281"/>
      <c r="AU436" s="282"/>
      <c r="AV436" s="281"/>
      <c r="AW436" s="282"/>
      <c r="AX436" s="281"/>
      <c r="AY436" s="282"/>
      <c r="AZ436" s="117"/>
      <c r="BA436" s="331"/>
      <c r="BB436" s="117"/>
      <c r="BC436" s="331"/>
      <c r="BD436" s="117"/>
      <c r="BE436" s="331"/>
      <c r="BF436" s="117"/>
      <c r="BG436" s="331"/>
      <c r="BH436" s="117"/>
      <c r="BI436" s="944" t="s">
        <v>159</v>
      </c>
      <c r="BJ436" s="944"/>
      <c r="BK436" s="944"/>
      <c r="BL436" s="944"/>
      <c r="BM436" s="944"/>
      <c r="BN436" s="944"/>
      <c r="BO436" s="944"/>
      <c r="BP436" s="944"/>
      <c r="BQ436" s="944"/>
      <c r="BR436" s="944"/>
      <c r="BS436" s="944"/>
      <c r="BT436" s="944"/>
      <c r="BU436" s="944"/>
      <c r="BV436" s="945"/>
    </row>
    <row r="437" spans="1:74" ht="30" customHeight="1" x14ac:dyDescent="0.25">
      <c r="A437" s="200">
        <f t="shared" si="6"/>
        <v>423</v>
      </c>
      <c r="B437" s="294" t="s">
        <v>162</v>
      </c>
      <c r="C437" s="295"/>
      <c r="D437" s="936"/>
      <c r="E437" s="937"/>
      <c r="F437" s="937"/>
      <c r="G437" s="937"/>
      <c r="H437" s="937"/>
      <c r="I437" s="937"/>
      <c r="J437" s="937"/>
      <c r="K437" s="938"/>
      <c r="L437" s="932"/>
      <c r="M437" s="932"/>
      <c r="N437" s="932"/>
      <c r="O437" s="932"/>
      <c r="P437" s="931"/>
      <c r="Q437" s="931"/>
      <c r="R437" s="931"/>
      <c r="S437" s="931"/>
      <c r="T437" s="933"/>
      <c r="U437" s="934"/>
      <c r="V437" s="934"/>
      <c r="W437" s="935"/>
      <c r="X437" s="936"/>
      <c r="Y437" s="937"/>
      <c r="Z437" s="937"/>
      <c r="AA437" s="938"/>
      <c r="AB437" s="594"/>
      <c r="AC437" s="595"/>
      <c r="AD437" s="596"/>
      <c r="AE437" s="779"/>
      <c r="AF437" s="939"/>
      <c r="AG437" s="780"/>
      <c r="AH437" s="941"/>
      <c r="AI437" s="942"/>
      <c r="AJ437" s="943"/>
      <c r="AK437" s="745"/>
      <c r="AL437" s="940"/>
      <c r="AM437" s="746"/>
      <c r="AN437" s="281"/>
      <c r="AO437" s="282"/>
      <c r="AP437" s="281"/>
      <c r="AQ437" s="282"/>
      <c r="AR437" s="281"/>
      <c r="AS437" s="282"/>
      <c r="AT437" s="281"/>
      <c r="AU437" s="282"/>
      <c r="AV437" s="281"/>
      <c r="AW437" s="282"/>
      <c r="AX437" s="281"/>
      <c r="AY437" s="282"/>
      <c r="AZ437" s="117"/>
      <c r="BA437" s="331"/>
      <c r="BB437" s="117"/>
      <c r="BC437" s="331"/>
      <c r="BD437" s="117"/>
      <c r="BE437" s="331"/>
      <c r="BF437" s="117"/>
      <c r="BG437" s="331"/>
      <c r="BH437" s="117"/>
      <c r="BI437" s="944" t="s">
        <v>159</v>
      </c>
      <c r="BJ437" s="944"/>
      <c r="BK437" s="944"/>
      <c r="BL437" s="944"/>
      <c r="BM437" s="944"/>
      <c r="BN437" s="944"/>
      <c r="BO437" s="944"/>
      <c r="BP437" s="944"/>
      <c r="BQ437" s="944"/>
      <c r="BR437" s="944"/>
      <c r="BS437" s="944"/>
      <c r="BT437" s="944"/>
      <c r="BU437" s="944"/>
      <c r="BV437" s="945"/>
    </row>
    <row r="438" spans="1:74" ht="30" customHeight="1" x14ac:dyDescent="0.25">
      <c r="A438" s="232">
        <f t="shared" si="6"/>
        <v>424</v>
      </c>
      <c r="B438" s="294" t="s">
        <v>162</v>
      </c>
      <c r="C438" s="295"/>
      <c r="D438" s="936"/>
      <c r="E438" s="937"/>
      <c r="F438" s="937"/>
      <c r="G438" s="937"/>
      <c r="H438" s="937"/>
      <c r="I438" s="937"/>
      <c r="J438" s="937"/>
      <c r="K438" s="938"/>
      <c r="L438" s="932"/>
      <c r="M438" s="932"/>
      <c r="N438" s="932"/>
      <c r="O438" s="932"/>
      <c r="P438" s="931"/>
      <c r="Q438" s="931"/>
      <c r="R438" s="931"/>
      <c r="S438" s="931"/>
      <c r="T438" s="933"/>
      <c r="U438" s="934"/>
      <c r="V438" s="934"/>
      <c r="W438" s="935"/>
      <c r="X438" s="936"/>
      <c r="Y438" s="937"/>
      <c r="Z438" s="937"/>
      <c r="AA438" s="938"/>
      <c r="AB438" s="594"/>
      <c r="AC438" s="595"/>
      <c r="AD438" s="596"/>
      <c r="AE438" s="779"/>
      <c r="AF438" s="939"/>
      <c r="AG438" s="780"/>
      <c r="AH438" s="941"/>
      <c r="AI438" s="942"/>
      <c r="AJ438" s="943"/>
      <c r="AK438" s="745"/>
      <c r="AL438" s="940"/>
      <c r="AM438" s="746"/>
      <c r="AN438" s="281"/>
      <c r="AO438" s="282"/>
      <c r="AP438" s="281"/>
      <c r="AQ438" s="282"/>
      <c r="AR438" s="281"/>
      <c r="AS438" s="282"/>
      <c r="AT438" s="281"/>
      <c r="AU438" s="282"/>
      <c r="AV438" s="281"/>
      <c r="AW438" s="282"/>
      <c r="AX438" s="281"/>
      <c r="AY438" s="282"/>
      <c r="AZ438" s="117"/>
      <c r="BA438" s="331"/>
      <c r="BB438" s="117"/>
      <c r="BC438" s="331"/>
      <c r="BD438" s="117"/>
      <c r="BE438" s="331"/>
      <c r="BF438" s="117"/>
      <c r="BG438" s="331"/>
      <c r="BH438" s="117"/>
      <c r="BI438" s="944" t="s">
        <v>212</v>
      </c>
      <c r="BJ438" s="944"/>
      <c r="BK438" s="944"/>
      <c r="BL438" s="944"/>
      <c r="BM438" s="944"/>
      <c r="BN438" s="944"/>
      <c r="BO438" s="944"/>
      <c r="BP438" s="944"/>
      <c r="BQ438" s="944"/>
      <c r="BR438" s="944"/>
      <c r="BS438" s="944"/>
      <c r="BT438" s="944"/>
      <c r="BU438" s="944"/>
      <c r="BV438" s="945"/>
    </row>
    <row r="439" spans="1:74" ht="30" customHeight="1" x14ac:dyDescent="0.25">
      <c r="A439" s="200">
        <f t="shared" si="6"/>
        <v>425</v>
      </c>
      <c r="B439" s="294" t="s">
        <v>162</v>
      </c>
      <c r="C439" s="295"/>
      <c r="D439" s="936"/>
      <c r="E439" s="937"/>
      <c r="F439" s="937"/>
      <c r="G439" s="937"/>
      <c r="H439" s="937"/>
      <c r="I439" s="937"/>
      <c r="J439" s="937"/>
      <c r="K439" s="938"/>
      <c r="L439" s="932"/>
      <c r="M439" s="932"/>
      <c r="N439" s="932"/>
      <c r="O439" s="932"/>
      <c r="P439" s="931"/>
      <c r="Q439" s="931"/>
      <c r="R439" s="931"/>
      <c r="S439" s="931"/>
      <c r="T439" s="933"/>
      <c r="U439" s="934"/>
      <c r="V439" s="934"/>
      <c r="W439" s="935"/>
      <c r="X439" s="936"/>
      <c r="Y439" s="937"/>
      <c r="Z439" s="937"/>
      <c r="AA439" s="938"/>
      <c r="AB439" s="594"/>
      <c r="AC439" s="595"/>
      <c r="AD439" s="596"/>
      <c r="AE439" s="779"/>
      <c r="AF439" s="939"/>
      <c r="AG439" s="780"/>
      <c r="AH439" s="941"/>
      <c r="AI439" s="942"/>
      <c r="AJ439" s="943"/>
      <c r="AK439" s="745"/>
      <c r="AL439" s="940"/>
      <c r="AM439" s="746"/>
      <c r="AN439" s="281"/>
      <c r="AO439" s="282"/>
      <c r="AP439" s="281"/>
      <c r="AQ439" s="282"/>
      <c r="AR439" s="281"/>
      <c r="AS439" s="282"/>
      <c r="AT439" s="281"/>
      <c r="AU439" s="282"/>
      <c r="AV439" s="281"/>
      <c r="AW439" s="282"/>
      <c r="AX439" s="281"/>
      <c r="AY439" s="282"/>
      <c r="AZ439" s="117"/>
      <c r="BA439" s="331"/>
      <c r="BB439" s="117"/>
      <c r="BC439" s="331"/>
      <c r="BD439" s="117"/>
      <c r="BE439" s="331"/>
      <c r="BF439" s="117"/>
      <c r="BG439" s="331"/>
      <c r="BH439" s="117"/>
      <c r="BI439" s="944" t="s">
        <v>212</v>
      </c>
      <c r="BJ439" s="944"/>
      <c r="BK439" s="944"/>
      <c r="BL439" s="944"/>
      <c r="BM439" s="944"/>
      <c r="BN439" s="944"/>
      <c r="BO439" s="944"/>
      <c r="BP439" s="944"/>
      <c r="BQ439" s="944"/>
      <c r="BR439" s="944"/>
      <c r="BS439" s="944"/>
      <c r="BT439" s="944"/>
      <c r="BU439" s="944"/>
      <c r="BV439" s="945"/>
    </row>
    <row r="440" spans="1:74" ht="30" customHeight="1" x14ac:dyDescent="0.25">
      <c r="A440" s="200">
        <f t="shared" si="6"/>
        <v>426</v>
      </c>
      <c r="B440" s="294" t="s">
        <v>162</v>
      </c>
      <c r="C440" s="295"/>
      <c r="D440" s="936"/>
      <c r="E440" s="937"/>
      <c r="F440" s="937"/>
      <c r="G440" s="937"/>
      <c r="H440" s="937"/>
      <c r="I440" s="937"/>
      <c r="J440" s="937"/>
      <c r="K440" s="938"/>
      <c r="L440" s="932"/>
      <c r="M440" s="932"/>
      <c r="N440" s="932"/>
      <c r="O440" s="932"/>
      <c r="P440" s="931"/>
      <c r="Q440" s="931"/>
      <c r="R440" s="931"/>
      <c r="S440" s="931"/>
      <c r="T440" s="933"/>
      <c r="U440" s="934"/>
      <c r="V440" s="934"/>
      <c r="W440" s="935"/>
      <c r="X440" s="936"/>
      <c r="Y440" s="937"/>
      <c r="Z440" s="937"/>
      <c r="AA440" s="938"/>
      <c r="AB440" s="594"/>
      <c r="AC440" s="595"/>
      <c r="AD440" s="596"/>
      <c r="AE440" s="779"/>
      <c r="AF440" s="939"/>
      <c r="AG440" s="780"/>
      <c r="AH440" s="941"/>
      <c r="AI440" s="942"/>
      <c r="AJ440" s="943"/>
      <c r="AK440" s="745"/>
      <c r="AL440" s="940"/>
      <c r="AM440" s="746"/>
      <c r="AN440" s="281"/>
      <c r="AO440" s="282"/>
      <c r="AP440" s="281"/>
      <c r="AQ440" s="282"/>
      <c r="AR440" s="281"/>
      <c r="AS440" s="282"/>
      <c r="AT440" s="281"/>
      <c r="AU440" s="282"/>
      <c r="AV440" s="281"/>
      <c r="AW440" s="282"/>
      <c r="AX440" s="281"/>
      <c r="AY440" s="282"/>
      <c r="AZ440" s="117"/>
      <c r="BA440" s="331"/>
      <c r="BB440" s="117"/>
      <c r="BC440" s="331"/>
      <c r="BD440" s="117"/>
      <c r="BE440" s="331"/>
      <c r="BF440" s="117"/>
      <c r="BG440" s="331"/>
      <c r="BH440" s="117"/>
      <c r="BI440" s="944" t="s">
        <v>212</v>
      </c>
      <c r="BJ440" s="944"/>
      <c r="BK440" s="944"/>
      <c r="BL440" s="944"/>
      <c r="BM440" s="944"/>
      <c r="BN440" s="944"/>
      <c r="BO440" s="944"/>
      <c r="BP440" s="944"/>
      <c r="BQ440" s="944"/>
      <c r="BR440" s="944"/>
      <c r="BS440" s="944"/>
      <c r="BT440" s="944"/>
      <c r="BU440" s="944"/>
      <c r="BV440" s="945"/>
    </row>
    <row r="441" spans="1:74" ht="30" customHeight="1" x14ac:dyDescent="0.25">
      <c r="A441" s="200">
        <f t="shared" si="6"/>
        <v>427</v>
      </c>
      <c r="B441" s="294" t="s">
        <v>162</v>
      </c>
      <c r="C441" s="295"/>
      <c r="D441" s="936"/>
      <c r="E441" s="937"/>
      <c r="F441" s="937"/>
      <c r="G441" s="937"/>
      <c r="H441" s="937"/>
      <c r="I441" s="937"/>
      <c r="J441" s="937"/>
      <c r="K441" s="938"/>
      <c r="L441" s="932"/>
      <c r="M441" s="932"/>
      <c r="N441" s="932"/>
      <c r="O441" s="932"/>
      <c r="P441" s="931"/>
      <c r="Q441" s="931"/>
      <c r="R441" s="931"/>
      <c r="S441" s="931"/>
      <c r="T441" s="933"/>
      <c r="U441" s="934"/>
      <c r="V441" s="934"/>
      <c r="W441" s="935"/>
      <c r="X441" s="936"/>
      <c r="Y441" s="937"/>
      <c r="Z441" s="937"/>
      <c r="AA441" s="938"/>
      <c r="AB441" s="594"/>
      <c r="AC441" s="595"/>
      <c r="AD441" s="596"/>
      <c r="AE441" s="779"/>
      <c r="AF441" s="939"/>
      <c r="AG441" s="780"/>
      <c r="AH441" s="941"/>
      <c r="AI441" s="942"/>
      <c r="AJ441" s="943"/>
      <c r="AK441" s="745"/>
      <c r="AL441" s="940"/>
      <c r="AM441" s="746"/>
      <c r="AN441" s="281"/>
      <c r="AO441" s="282"/>
      <c r="AP441" s="281"/>
      <c r="AQ441" s="282"/>
      <c r="AR441" s="281"/>
      <c r="AS441" s="282"/>
      <c r="AT441" s="281"/>
      <c r="AU441" s="282"/>
      <c r="AV441" s="281"/>
      <c r="AW441" s="282"/>
      <c r="AX441" s="281"/>
      <c r="AY441" s="282"/>
      <c r="AZ441" s="117"/>
      <c r="BA441" s="331"/>
      <c r="BB441" s="117"/>
      <c r="BC441" s="331"/>
      <c r="BD441" s="117"/>
      <c r="BE441" s="331"/>
      <c r="BF441" s="117"/>
      <c r="BG441" s="331"/>
      <c r="BH441" s="117"/>
      <c r="BI441" s="944" t="s">
        <v>212</v>
      </c>
      <c r="BJ441" s="944"/>
      <c r="BK441" s="944"/>
      <c r="BL441" s="944"/>
      <c r="BM441" s="944"/>
      <c r="BN441" s="944"/>
      <c r="BO441" s="944"/>
      <c r="BP441" s="944"/>
      <c r="BQ441" s="944"/>
      <c r="BR441" s="944"/>
      <c r="BS441" s="944"/>
      <c r="BT441" s="944"/>
      <c r="BU441" s="944"/>
      <c r="BV441" s="945"/>
    </row>
    <row r="442" spans="1:74" ht="30" customHeight="1" x14ac:dyDescent="0.25">
      <c r="A442" s="200">
        <f t="shared" si="6"/>
        <v>428</v>
      </c>
      <c r="B442" s="294" t="s">
        <v>162</v>
      </c>
      <c r="C442" s="295"/>
      <c r="D442" s="936"/>
      <c r="E442" s="937"/>
      <c r="F442" s="937"/>
      <c r="G442" s="937"/>
      <c r="H442" s="937"/>
      <c r="I442" s="937"/>
      <c r="J442" s="937"/>
      <c r="K442" s="938"/>
      <c r="L442" s="932"/>
      <c r="M442" s="932"/>
      <c r="N442" s="932"/>
      <c r="O442" s="932"/>
      <c r="P442" s="931"/>
      <c r="Q442" s="931"/>
      <c r="R442" s="931"/>
      <c r="S442" s="931"/>
      <c r="T442" s="933"/>
      <c r="U442" s="934"/>
      <c r="V442" s="934"/>
      <c r="W442" s="935"/>
      <c r="X442" s="936"/>
      <c r="Y442" s="937"/>
      <c r="Z442" s="937"/>
      <c r="AA442" s="938"/>
      <c r="AB442" s="594"/>
      <c r="AC442" s="595"/>
      <c r="AD442" s="596"/>
      <c r="AE442" s="779"/>
      <c r="AF442" s="939"/>
      <c r="AG442" s="780"/>
      <c r="AH442" s="941"/>
      <c r="AI442" s="942"/>
      <c r="AJ442" s="943"/>
      <c r="AK442" s="745"/>
      <c r="AL442" s="940"/>
      <c r="AM442" s="746"/>
      <c r="AN442" s="281"/>
      <c r="AO442" s="282"/>
      <c r="AP442" s="281"/>
      <c r="AQ442" s="282"/>
      <c r="AR442" s="281"/>
      <c r="AS442" s="282"/>
      <c r="AT442" s="281"/>
      <c r="AU442" s="282"/>
      <c r="AV442" s="281"/>
      <c r="AW442" s="282"/>
      <c r="AX442" s="281"/>
      <c r="AY442" s="282"/>
      <c r="AZ442" s="117"/>
      <c r="BA442" s="331"/>
      <c r="BB442" s="117"/>
      <c r="BC442" s="331"/>
      <c r="BD442" s="117"/>
      <c r="BE442" s="331"/>
      <c r="BF442" s="117"/>
      <c r="BG442" s="331"/>
      <c r="BH442" s="117"/>
      <c r="BI442" s="944" t="s">
        <v>212</v>
      </c>
      <c r="BJ442" s="944"/>
      <c r="BK442" s="944"/>
      <c r="BL442" s="944"/>
      <c r="BM442" s="944"/>
      <c r="BN442" s="944"/>
      <c r="BO442" s="944"/>
      <c r="BP442" s="944"/>
      <c r="BQ442" s="944"/>
      <c r="BR442" s="944"/>
      <c r="BS442" s="944"/>
      <c r="BT442" s="944"/>
      <c r="BU442" s="944"/>
      <c r="BV442" s="945"/>
    </row>
    <row r="443" spans="1:74" ht="30" customHeight="1" x14ac:dyDescent="0.25">
      <c r="A443" s="200">
        <f t="shared" si="6"/>
        <v>429</v>
      </c>
      <c r="B443" s="294" t="s">
        <v>162</v>
      </c>
      <c r="C443" s="295"/>
      <c r="D443" s="936"/>
      <c r="E443" s="937"/>
      <c r="F443" s="937"/>
      <c r="G443" s="937"/>
      <c r="H443" s="937"/>
      <c r="I443" s="937"/>
      <c r="J443" s="937"/>
      <c r="K443" s="938"/>
      <c r="L443" s="932"/>
      <c r="M443" s="932"/>
      <c r="N443" s="932"/>
      <c r="O443" s="932"/>
      <c r="P443" s="931"/>
      <c r="Q443" s="931"/>
      <c r="R443" s="931"/>
      <c r="S443" s="931"/>
      <c r="T443" s="933"/>
      <c r="U443" s="934"/>
      <c r="V443" s="934"/>
      <c r="W443" s="935"/>
      <c r="X443" s="936"/>
      <c r="Y443" s="937"/>
      <c r="Z443" s="937"/>
      <c r="AA443" s="938"/>
      <c r="AB443" s="594"/>
      <c r="AC443" s="595"/>
      <c r="AD443" s="596"/>
      <c r="AE443" s="779"/>
      <c r="AF443" s="939"/>
      <c r="AG443" s="780"/>
      <c r="AH443" s="941"/>
      <c r="AI443" s="942"/>
      <c r="AJ443" s="943"/>
      <c r="AK443" s="745"/>
      <c r="AL443" s="940"/>
      <c r="AM443" s="746"/>
      <c r="AN443" s="281"/>
      <c r="AO443" s="282"/>
      <c r="AP443" s="281"/>
      <c r="AQ443" s="282"/>
      <c r="AR443" s="281"/>
      <c r="AS443" s="282"/>
      <c r="AT443" s="281"/>
      <c r="AU443" s="282"/>
      <c r="AV443" s="281"/>
      <c r="AW443" s="282"/>
      <c r="AX443" s="281"/>
      <c r="AY443" s="282"/>
      <c r="AZ443" s="117"/>
      <c r="BA443" s="331"/>
      <c r="BB443" s="117"/>
      <c r="BC443" s="331"/>
      <c r="BD443" s="117"/>
      <c r="BE443" s="331"/>
      <c r="BF443" s="117"/>
      <c r="BG443" s="331"/>
      <c r="BH443" s="117"/>
      <c r="BI443" s="944" t="s">
        <v>159</v>
      </c>
      <c r="BJ443" s="944"/>
      <c r="BK443" s="944"/>
      <c r="BL443" s="944"/>
      <c r="BM443" s="944"/>
      <c r="BN443" s="944"/>
      <c r="BO443" s="944"/>
      <c r="BP443" s="944"/>
      <c r="BQ443" s="944"/>
      <c r="BR443" s="944"/>
      <c r="BS443" s="944"/>
      <c r="BT443" s="944"/>
      <c r="BU443" s="944"/>
      <c r="BV443" s="945"/>
    </row>
    <row r="444" spans="1:74" ht="30" customHeight="1" x14ac:dyDescent="0.25">
      <c r="A444" s="200">
        <f t="shared" si="6"/>
        <v>430</v>
      </c>
      <c r="B444" s="294" t="s">
        <v>162</v>
      </c>
      <c r="C444" s="295"/>
      <c r="D444" s="936"/>
      <c r="E444" s="937"/>
      <c r="F444" s="937"/>
      <c r="G444" s="937"/>
      <c r="H444" s="937"/>
      <c r="I444" s="937"/>
      <c r="J444" s="937"/>
      <c r="K444" s="938"/>
      <c r="L444" s="932"/>
      <c r="M444" s="932"/>
      <c r="N444" s="932"/>
      <c r="O444" s="932"/>
      <c r="P444" s="931"/>
      <c r="Q444" s="931"/>
      <c r="R444" s="931"/>
      <c r="S444" s="931"/>
      <c r="T444" s="933"/>
      <c r="U444" s="934"/>
      <c r="V444" s="934"/>
      <c r="W444" s="935"/>
      <c r="X444" s="936"/>
      <c r="Y444" s="937"/>
      <c r="Z444" s="937"/>
      <c r="AA444" s="938"/>
      <c r="AB444" s="594"/>
      <c r="AC444" s="595"/>
      <c r="AD444" s="596"/>
      <c r="AE444" s="779"/>
      <c r="AF444" s="939"/>
      <c r="AG444" s="780"/>
      <c r="AH444" s="941"/>
      <c r="AI444" s="942"/>
      <c r="AJ444" s="943"/>
      <c r="AK444" s="745"/>
      <c r="AL444" s="940"/>
      <c r="AM444" s="746"/>
      <c r="AN444" s="281"/>
      <c r="AO444" s="282"/>
      <c r="AP444" s="281"/>
      <c r="AQ444" s="282"/>
      <c r="AR444" s="281"/>
      <c r="AS444" s="282"/>
      <c r="AT444" s="281"/>
      <c r="AU444" s="282"/>
      <c r="AV444" s="281"/>
      <c r="AW444" s="282"/>
      <c r="AX444" s="281"/>
      <c r="AY444" s="282"/>
      <c r="AZ444" s="117"/>
      <c r="BA444" s="331"/>
      <c r="BB444" s="117"/>
      <c r="BC444" s="331"/>
      <c r="BD444" s="117"/>
      <c r="BE444" s="331"/>
      <c r="BF444" s="117"/>
      <c r="BG444" s="331"/>
      <c r="BH444" s="117"/>
      <c r="BI444" s="944" t="s">
        <v>159</v>
      </c>
      <c r="BJ444" s="944"/>
      <c r="BK444" s="944"/>
      <c r="BL444" s="944"/>
      <c r="BM444" s="944"/>
      <c r="BN444" s="944"/>
      <c r="BO444" s="944"/>
      <c r="BP444" s="944"/>
      <c r="BQ444" s="944"/>
      <c r="BR444" s="944"/>
      <c r="BS444" s="944"/>
      <c r="BT444" s="944"/>
      <c r="BU444" s="944"/>
      <c r="BV444" s="945"/>
    </row>
    <row r="445" spans="1:74" ht="30" customHeight="1" x14ac:dyDescent="0.25">
      <c r="A445" s="232">
        <f t="shared" si="6"/>
        <v>431</v>
      </c>
      <c r="B445" s="294" t="s">
        <v>162</v>
      </c>
      <c r="C445" s="295"/>
      <c r="D445" s="936"/>
      <c r="E445" s="937"/>
      <c r="F445" s="937"/>
      <c r="G445" s="937"/>
      <c r="H445" s="937"/>
      <c r="I445" s="937"/>
      <c r="J445" s="937"/>
      <c r="K445" s="938"/>
      <c r="L445" s="932"/>
      <c r="M445" s="932"/>
      <c r="N445" s="932"/>
      <c r="O445" s="932"/>
      <c r="P445" s="931"/>
      <c r="Q445" s="931"/>
      <c r="R445" s="931"/>
      <c r="S445" s="931"/>
      <c r="T445" s="933"/>
      <c r="U445" s="934"/>
      <c r="V445" s="934"/>
      <c r="W445" s="935"/>
      <c r="X445" s="936"/>
      <c r="Y445" s="937"/>
      <c r="Z445" s="937"/>
      <c r="AA445" s="938"/>
      <c r="AB445" s="594"/>
      <c r="AC445" s="595"/>
      <c r="AD445" s="596"/>
      <c r="AE445" s="779"/>
      <c r="AF445" s="939"/>
      <c r="AG445" s="780"/>
      <c r="AH445" s="941"/>
      <c r="AI445" s="942"/>
      <c r="AJ445" s="943"/>
      <c r="AK445" s="745"/>
      <c r="AL445" s="940"/>
      <c r="AM445" s="746"/>
      <c r="AN445" s="281"/>
      <c r="AO445" s="282"/>
      <c r="AP445" s="281"/>
      <c r="AQ445" s="282"/>
      <c r="AR445" s="281"/>
      <c r="AS445" s="282"/>
      <c r="AT445" s="281"/>
      <c r="AU445" s="282"/>
      <c r="AV445" s="281"/>
      <c r="AW445" s="282"/>
      <c r="AX445" s="281"/>
      <c r="AY445" s="282"/>
      <c r="AZ445" s="117"/>
      <c r="BA445" s="331"/>
      <c r="BB445" s="117"/>
      <c r="BC445" s="331"/>
      <c r="BD445" s="117"/>
      <c r="BE445" s="331"/>
      <c r="BF445" s="117"/>
      <c r="BG445" s="331"/>
      <c r="BH445" s="117"/>
      <c r="BI445" s="944" t="s">
        <v>212</v>
      </c>
      <c r="BJ445" s="944"/>
      <c r="BK445" s="944"/>
      <c r="BL445" s="944"/>
      <c r="BM445" s="944"/>
      <c r="BN445" s="944"/>
      <c r="BO445" s="944"/>
      <c r="BP445" s="944"/>
      <c r="BQ445" s="944"/>
      <c r="BR445" s="944"/>
      <c r="BS445" s="944"/>
      <c r="BT445" s="944"/>
      <c r="BU445" s="944"/>
      <c r="BV445" s="945"/>
    </row>
    <row r="446" spans="1:74" ht="30" customHeight="1" x14ac:dyDescent="0.25">
      <c r="A446" s="200">
        <f t="shared" si="6"/>
        <v>432</v>
      </c>
      <c r="B446" s="294" t="s">
        <v>162</v>
      </c>
      <c r="C446" s="295"/>
      <c r="D446" s="936"/>
      <c r="E446" s="937"/>
      <c r="F446" s="937"/>
      <c r="G446" s="937"/>
      <c r="H446" s="937"/>
      <c r="I446" s="937"/>
      <c r="J446" s="937"/>
      <c r="K446" s="938"/>
      <c r="L446" s="932"/>
      <c r="M446" s="932"/>
      <c r="N446" s="932"/>
      <c r="O446" s="932"/>
      <c r="P446" s="931"/>
      <c r="Q446" s="931"/>
      <c r="R446" s="931"/>
      <c r="S446" s="931"/>
      <c r="T446" s="933"/>
      <c r="U446" s="934"/>
      <c r="V446" s="934"/>
      <c r="W446" s="935"/>
      <c r="X446" s="936"/>
      <c r="Y446" s="937"/>
      <c r="Z446" s="937"/>
      <c r="AA446" s="938"/>
      <c r="AB446" s="594"/>
      <c r="AC446" s="595"/>
      <c r="AD446" s="596"/>
      <c r="AE446" s="779"/>
      <c r="AF446" s="939"/>
      <c r="AG446" s="780"/>
      <c r="AH446" s="941"/>
      <c r="AI446" s="942"/>
      <c r="AJ446" s="943"/>
      <c r="AK446" s="745"/>
      <c r="AL446" s="940"/>
      <c r="AM446" s="746"/>
      <c r="AN446" s="281"/>
      <c r="AO446" s="282"/>
      <c r="AP446" s="281"/>
      <c r="AQ446" s="282"/>
      <c r="AR446" s="281"/>
      <c r="AS446" s="282"/>
      <c r="AT446" s="281"/>
      <c r="AU446" s="282"/>
      <c r="AV446" s="281"/>
      <c r="AW446" s="282"/>
      <c r="AX446" s="281"/>
      <c r="AY446" s="282"/>
      <c r="AZ446" s="117"/>
      <c r="BA446" s="331"/>
      <c r="BB446" s="117"/>
      <c r="BC446" s="331"/>
      <c r="BD446" s="117"/>
      <c r="BE446" s="331"/>
      <c r="BF446" s="117"/>
      <c r="BG446" s="331"/>
      <c r="BH446" s="117"/>
      <c r="BI446" s="944" t="s">
        <v>212</v>
      </c>
      <c r="BJ446" s="944"/>
      <c r="BK446" s="944"/>
      <c r="BL446" s="944"/>
      <c r="BM446" s="944"/>
      <c r="BN446" s="944"/>
      <c r="BO446" s="944"/>
      <c r="BP446" s="944"/>
      <c r="BQ446" s="944"/>
      <c r="BR446" s="944"/>
      <c r="BS446" s="944"/>
      <c r="BT446" s="944"/>
      <c r="BU446" s="944"/>
      <c r="BV446" s="945"/>
    </row>
    <row r="447" spans="1:74" ht="30" customHeight="1" x14ac:dyDescent="0.25">
      <c r="A447" s="200">
        <f t="shared" si="6"/>
        <v>433</v>
      </c>
      <c r="B447" s="294" t="s">
        <v>162</v>
      </c>
      <c r="C447" s="295"/>
      <c r="D447" s="936"/>
      <c r="E447" s="937"/>
      <c r="F447" s="937"/>
      <c r="G447" s="937"/>
      <c r="H447" s="937"/>
      <c r="I447" s="937"/>
      <c r="J447" s="937"/>
      <c r="K447" s="938"/>
      <c r="L447" s="932"/>
      <c r="M447" s="932"/>
      <c r="N447" s="932"/>
      <c r="O447" s="932"/>
      <c r="P447" s="931"/>
      <c r="Q447" s="931"/>
      <c r="R447" s="931"/>
      <c r="S447" s="931"/>
      <c r="T447" s="933"/>
      <c r="U447" s="934"/>
      <c r="V447" s="934"/>
      <c r="W447" s="935"/>
      <c r="X447" s="936"/>
      <c r="Y447" s="937"/>
      <c r="Z447" s="937"/>
      <c r="AA447" s="938"/>
      <c r="AB447" s="594"/>
      <c r="AC447" s="595"/>
      <c r="AD447" s="596"/>
      <c r="AE447" s="779"/>
      <c r="AF447" s="939"/>
      <c r="AG447" s="780"/>
      <c r="AH447" s="941"/>
      <c r="AI447" s="942"/>
      <c r="AJ447" s="943"/>
      <c r="AK447" s="745"/>
      <c r="AL447" s="940"/>
      <c r="AM447" s="746"/>
      <c r="AN447" s="281"/>
      <c r="AO447" s="282"/>
      <c r="AP447" s="281"/>
      <c r="AQ447" s="282"/>
      <c r="AR447" s="281"/>
      <c r="AS447" s="282"/>
      <c r="AT447" s="281"/>
      <c r="AU447" s="282"/>
      <c r="AV447" s="281"/>
      <c r="AW447" s="282"/>
      <c r="AX447" s="281"/>
      <c r="AY447" s="282"/>
      <c r="AZ447" s="117"/>
      <c r="BA447" s="331"/>
      <c r="BB447" s="117"/>
      <c r="BC447" s="331"/>
      <c r="BD447" s="117"/>
      <c r="BE447" s="331"/>
      <c r="BF447" s="117"/>
      <c r="BG447" s="331"/>
      <c r="BH447" s="117"/>
      <c r="BI447" s="944" t="s">
        <v>212</v>
      </c>
      <c r="BJ447" s="944"/>
      <c r="BK447" s="944"/>
      <c r="BL447" s="944"/>
      <c r="BM447" s="944"/>
      <c r="BN447" s="944"/>
      <c r="BO447" s="944"/>
      <c r="BP447" s="944"/>
      <c r="BQ447" s="944"/>
      <c r="BR447" s="944"/>
      <c r="BS447" s="944"/>
      <c r="BT447" s="944"/>
      <c r="BU447" s="944"/>
      <c r="BV447" s="945"/>
    </row>
    <row r="448" spans="1:74" ht="30" customHeight="1" x14ac:dyDescent="0.25">
      <c r="A448" s="200">
        <f t="shared" si="6"/>
        <v>434</v>
      </c>
      <c r="B448" s="294" t="s">
        <v>162</v>
      </c>
      <c r="C448" s="295"/>
      <c r="D448" s="936"/>
      <c r="E448" s="937"/>
      <c r="F448" s="937"/>
      <c r="G448" s="937"/>
      <c r="H448" s="937"/>
      <c r="I448" s="937"/>
      <c r="J448" s="937"/>
      <c r="K448" s="938"/>
      <c r="L448" s="932"/>
      <c r="M448" s="932"/>
      <c r="N448" s="932"/>
      <c r="O448" s="932"/>
      <c r="P448" s="931"/>
      <c r="Q448" s="931"/>
      <c r="R448" s="931"/>
      <c r="S448" s="931"/>
      <c r="T448" s="933"/>
      <c r="U448" s="934"/>
      <c r="V448" s="934"/>
      <c r="W448" s="935"/>
      <c r="X448" s="936"/>
      <c r="Y448" s="937"/>
      <c r="Z448" s="937"/>
      <c r="AA448" s="938"/>
      <c r="AB448" s="594"/>
      <c r="AC448" s="595"/>
      <c r="AD448" s="596"/>
      <c r="AE448" s="779"/>
      <c r="AF448" s="939"/>
      <c r="AG448" s="780"/>
      <c r="AH448" s="941"/>
      <c r="AI448" s="942"/>
      <c r="AJ448" s="943"/>
      <c r="AK448" s="745"/>
      <c r="AL448" s="940"/>
      <c r="AM448" s="746"/>
      <c r="AN448" s="281"/>
      <c r="AO448" s="282"/>
      <c r="AP448" s="281"/>
      <c r="AQ448" s="282"/>
      <c r="AR448" s="281"/>
      <c r="AS448" s="282"/>
      <c r="AT448" s="281"/>
      <c r="AU448" s="282"/>
      <c r="AV448" s="281"/>
      <c r="AW448" s="282"/>
      <c r="AX448" s="281"/>
      <c r="AY448" s="282"/>
      <c r="AZ448" s="117"/>
      <c r="BA448" s="331"/>
      <c r="BB448" s="117"/>
      <c r="BC448" s="331"/>
      <c r="BD448" s="117"/>
      <c r="BE448" s="331"/>
      <c r="BF448" s="117"/>
      <c r="BG448" s="331"/>
      <c r="BH448" s="117"/>
      <c r="BI448" s="944" t="s">
        <v>212</v>
      </c>
      <c r="BJ448" s="944"/>
      <c r="BK448" s="944"/>
      <c r="BL448" s="944"/>
      <c r="BM448" s="944"/>
      <c r="BN448" s="944"/>
      <c r="BO448" s="944"/>
      <c r="BP448" s="944"/>
      <c r="BQ448" s="944"/>
      <c r="BR448" s="944"/>
      <c r="BS448" s="944"/>
      <c r="BT448" s="944"/>
      <c r="BU448" s="944"/>
      <c r="BV448" s="945"/>
    </row>
    <row r="449" spans="1:74" ht="30" customHeight="1" x14ac:dyDescent="0.25">
      <c r="A449" s="200">
        <f t="shared" si="6"/>
        <v>435</v>
      </c>
      <c r="B449" s="294" t="s">
        <v>162</v>
      </c>
      <c r="C449" s="295"/>
      <c r="D449" s="936"/>
      <c r="E449" s="937"/>
      <c r="F449" s="937"/>
      <c r="G449" s="937"/>
      <c r="H449" s="937"/>
      <c r="I449" s="937"/>
      <c r="J449" s="937"/>
      <c r="K449" s="938"/>
      <c r="L449" s="932"/>
      <c r="M449" s="932"/>
      <c r="N449" s="932"/>
      <c r="O449" s="932"/>
      <c r="P449" s="931"/>
      <c r="Q449" s="931"/>
      <c r="R449" s="931"/>
      <c r="S449" s="931"/>
      <c r="T449" s="933"/>
      <c r="U449" s="934"/>
      <c r="V449" s="934"/>
      <c r="W449" s="935"/>
      <c r="X449" s="936"/>
      <c r="Y449" s="937"/>
      <c r="Z449" s="937"/>
      <c r="AA449" s="938"/>
      <c r="AB449" s="594"/>
      <c r="AC449" s="595"/>
      <c r="AD449" s="596"/>
      <c r="AE449" s="779"/>
      <c r="AF449" s="939"/>
      <c r="AG449" s="780"/>
      <c r="AH449" s="941"/>
      <c r="AI449" s="942"/>
      <c r="AJ449" s="943"/>
      <c r="AK449" s="745"/>
      <c r="AL449" s="940"/>
      <c r="AM449" s="746"/>
      <c r="AN449" s="281"/>
      <c r="AO449" s="282"/>
      <c r="AP449" s="281"/>
      <c r="AQ449" s="282"/>
      <c r="AR449" s="281"/>
      <c r="AS449" s="282"/>
      <c r="AT449" s="281"/>
      <c r="AU449" s="282"/>
      <c r="AV449" s="281"/>
      <c r="AW449" s="282"/>
      <c r="AX449" s="281"/>
      <c r="AY449" s="282"/>
      <c r="AZ449" s="117"/>
      <c r="BA449" s="331"/>
      <c r="BB449" s="117"/>
      <c r="BC449" s="331"/>
      <c r="BD449" s="117"/>
      <c r="BE449" s="331"/>
      <c r="BF449" s="117"/>
      <c r="BG449" s="331"/>
      <c r="BH449" s="117"/>
      <c r="BI449" s="944" t="s">
        <v>212</v>
      </c>
      <c r="BJ449" s="944"/>
      <c r="BK449" s="944"/>
      <c r="BL449" s="944"/>
      <c r="BM449" s="944"/>
      <c r="BN449" s="944"/>
      <c r="BO449" s="944"/>
      <c r="BP449" s="944"/>
      <c r="BQ449" s="944"/>
      <c r="BR449" s="944"/>
      <c r="BS449" s="944"/>
      <c r="BT449" s="944"/>
      <c r="BU449" s="944"/>
      <c r="BV449" s="945"/>
    </row>
    <row r="450" spans="1:74" ht="30" customHeight="1" x14ac:dyDescent="0.25">
      <c r="A450" s="200">
        <f t="shared" si="6"/>
        <v>436</v>
      </c>
      <c r="B450" s="294" t="s">
        <v>162</v>
      </c>
      <c r="C450" s="295"/>
      <c r="D450" s="936"/>
      <c r="E450" s="937"/>
      <c r="F450" s="937"/>
      <c r="G450" s="937"/>
      <c r="H450" s="937"/>
      <c r="I450" s="937"/>
      <c r="J450" s="937"/>
      <c r="K450" s="938"/>
      <c r="L450" s="932"/>
      <c r="M450" s="932"/>
      <c r="N450" s="932"/>
      <c r="O450" s="932"/>
      <c r="P450" s="931"/>
      <c r="Q450" s="931"/>
      <c r="R450" s="931"/>
      <c r="S450" s="931"/>
      <c r="T450" s="933"/>
      <c r="U450" s="934"/>
      <c r="V450" s="934"/>
      <c r="W450" s="935"/>
      <c r="X450" s="936"/>
      <c r="Y450" s="937"/>
      <c r="Z450" s="937"/>
      <c r="AA450" s="938"/>
      <c r="AB450" s="594"/>
      <c r="AC450" s="595"/>
      <c r="AD450" s="596"/>
      <c r="AE450" s="779"/>
      <c r="AF450" s="939"/>
      <c r="AG450" s="780"/>
      <c r="AH450" s="941"/>
      <c r="AI450" s="942"/>
      <c r="AJ450" s="943"/>
      <c r="AK450" s="745"/>
      <c r="AL450" s="940"/>
      <c r="AM450" s="746"/>
      <c r="AN450" s="281"/>
      <c r="AO450" s="282"/>
      <c r="AP450" s="281"/>
      <c r="AQ450" s="282"/>
      <c r="AR450" s="281"/>
      <c r="AS450" s="282"/>
      <c r="AT450" s="281"/>
      <c r="AU450" s="282"/>
      <c r="AV450" s="281"/>
      <c r="AW450" s="282"/>
      <c r="AX450" s="281"/>
      <c r="AY450" s="282"/>
      <c r="AZ450" s="117"/>
      <c r="BA450" s="331"/>
      <c r="BB450" s="117"/>
      <c r="BC450" s="331"/>
      <c r="BD450" s="117"/>
      <c r="BE450" s="331"/>
      <c r="BF450" s="117"/>
      <c r="BG450" s="331"/>
      <c r="BH450" s="117"/>
      <c r="BI450" s="944" t="s">
        <v>159</v>
      </c>
      <c r="BJ450" s="944"/>
      <c r="BK450" s="944"/>
      <c r="BL450" s="944"/>
      <c r="BM450" s="944"/>
      <c r="BN450" s="944"/>
      <c r="BO450" s="944"/>
      <c r="BP450" s="944"/>
      <c r="BQ450" s="944"/>
      <c r="BR450" s="944"/>
      <c r="BS450" s="944"/>
      <c r="BT450" s="944"/>
      <c r="BU450" s="944"/>
      <c r="BV450" s="945"/>
    </row>
    <row r="451" spans="1:74" ht="30" customHeight="1" x14ac:dyDescent="0.25">
      <c r="A451" s="200">
        <f t="shared" si="6"/>
        <v>437</v>
      </c>
      <c r="B451" s="294" t="s">
        <v>162</v>
      </c>
      <c r="C451" s="295"/>
      <c r="D451" s="936"/>
      <c r="E451" s="937"/>
      <c r="F451" s="937"/>
      <c r="G451" s="937"/>
      <c r="H451" s="937"/>
      <c r="I451" s="937"/>
      <c r="J451" s="937"/>
      <c r="K451" s="938"/>
      <c r="L451" s="932"/>
      <c r="M451" s="932"/>
      <c r="N451" s="932"/>
      <c r="O451" s="932"/>
      <c r="P451" s="931"/>
      <c r="Q451" s="931"/>
      <c r="R451" s="931"/>
      <c r="S451" s="931"/>
      <c r="T451" s="933"/>
      <c r="U451" s="934"/>
      <c r="V451" s="934"/>
      <c r="W451" s="935"/>
      <c r="X451" s="936"/>
      <c r="Y451" s="937"/>
      <c r="Z451" s="937"/>
      <c r="AA451" s="938"/>
      <c r="AB451" s="594"/>
      <c r="AC451" s="595"/>
      <c r="AD451" s="596"/>
      <c r="AE451" s="779"/>
      <c r="AF451" s="939"/>
      <c r="AG451" s="780"/>
      <c r="AH451" s="941"/>
      <c r="AI451" s="942"/>
      <c r="AJ451" s="943"/>
      <c r="AK451" s="745"/>
      <c r="AL451" s="940"/>
      <c r="AM451" s="746"/>
      <c r="AN451" s="281"/>
      <c r="AO451" s="282"/>
      <c r="AP451" s="281"/>
      <c r="AQ451" s="282"/>
      <c r="AR451" s="281"/>
      <c r="AS451" s="282"/>
      <c r="AT451" s="281"/>
      <c r="AU451" s="282"/>
      <c r="AV451" s="281"/>
      <c r="AW451" s="282"/>
      <c r="AX451" s="281"/>
      <c r="AY451" s="282"/>
      <c r="AZ451" s="117"/>
      <c r="BA451" s="331"/>
      <c r="BB451" s="117"/>
      <c r="BC451" s="331"/>
      <c r="BD451" s="117"/>
      <c r="BE451" s="331"/>
      <c r="BF451" s="117"/>
      <c r="BG451" s="331"/>
      <c r="BH451" s="117"/>
      <c r="BI451" s="944" t="s">
        <v>159</v>
      </c>
      <c r="BJ451" s="944"/>
      <c r="BK451" s="944"/>
      <c r="BL451" s="944"/>
      <c r="BM451" s="944"/>
      <c r="BN451" s="944"/>
      <c r="BO451" s="944"/>
      <c r="BP451" s="944"/>
      <c r="BQ451" s="944"/>
      <c r="BR451" s="944"/>
      <c r="BS451" s="944"/>
      <c r="BT451" s="944"/>
      <c r="BU451" s="944"/>
      <c r="BV451" s="945"/>
    </row>
    <row r="452" spans="1:74" ht="30" customHeight="1" x14ac:dyDescent="0.25">
      <c r="A452" s="232">
        <f t="shared" si="6"/>
        <v>438</v>
      </c>
      <c r="B452" s="294" t="s">
        <v>162</v>
      </c>
      <c r="C452" s="295"/>
      <c r="D452" s="936"/>
      <c r="E452" s="937"/>
      <c r="F452" s="937"/>
      <c r="G452" s="937"/>
      <c r="H452" s="937"/>
      <c r="I452" s="937"/>
      <c r="J452" s="937"/>
      <c r="K452" s="938"/>
      <c r="L452" s="932"/>
      <c r="M452" s="932"/>
      <c r="N452" s="932"/>
      <c r="O452" s="932"/>
      <c r="P452" s="931"/>
      <c r="Q452" s="931"/>
      <c r="R452" s="931"/>
      <c r="S452" s="931"/>
      <c r="T452" s="933"/>
      <c r="U452" s="934"/>
      <c r="V452" s="934"/>
      <c r="W452" s="935"/>
      <c r="X452" s="936"/>
      <c r="Y452" s="937"/>
      <c r="Z452" s="937"/>
      <c r="AA452" s="938"/>
      <c r="AB452" s="594"/>
      <c r="AC452" s="595"/>
      <c r="AD452" s="596"/>
      <c r="AE452" s="779"/>
      <c r="AF452" s="939"/>
      <c r="AG452" s="780"/>
      <c r="AH452" s="941"/>
      <c r="AI452" s="942"/>
      <c r="AJ452" s="943"/>
      <c r="AK452" s="745"/>
      <c r="AL452" s="940"/>
      <c r="AM452" s="746"/>
      <c r="AN452" s="281"/>
      <c r="AO452" s="282"/>
      <c r="AP452" s="281"/>
      <c r="AQ452" s="282"/>
      <c r="AR452" s="281"/>
      <c r="AS452" s="282"/>
      <c r="AT452" s="281"/>
      <c r="AU452" s="282"/>
      <c r="AV452" s="281"/>
      <c r="AW452" s="282"/>
      <c r="AX452" s="281"/>
      <c r="AY452" s="282"/>
      <c r="AZ452" s="117"/>
      <c r="BA452" s="331"/>
      <c r="BB452" s="117"/>
      <c r="BC452" s="331"/>
      <c r="BD452" s="117"/>
      <c r="BE452" s="331"/>
      <c r="BF452" s="117"/>
      <c r="BG452" s="331"/>
      <c r="BH452" s="117"/>
      <c r="BI452" s="944" t="s">
        <v>212</v>
      </c>
      <c r="BJ452" s="944"/>
      <c r="BK452" s="944"/>
      <c r="BL452" s="944"/>
      <c r="BM452" s="944"/>
      <c r="BN452" s="944"/>
      <c r="BO452" s="944"/>
      <c r="BP452" s="944"/>
      <c r="BQ452" s="944"/>
      <c r="BR452" s="944"/>
      <c r="BS452" s="944"/>
      <c r="BT452" s="944"/>
      <c r="BU452" s="944"/>
      <c r="BV452" s="945"/>
    </row>
    <row r="453" spans="1:74" ht="30" customHeight="1" x14ac:dyDescent="0.25">
      <c r="A453" s="200">
        <f t="shared" si="6"/>
        <v>439</v>
      </c>
      <c r="B453" s="294" t="s">
        <v>162</v>
      </c>
      <c r="C453" s="295"/>
      <c r="D453" s="936"/>
      <c r="E453" s="937"/>
      <c r="F453" s="937"/>
      <c r="G453" s="937"/>
      <c r="H453" s="937"/>
      <c r="I453" s="937"/>
      <c r="J453" s="937"/>
      <c r="K453" s="938"/>
      <c r="L453" s="932"/>
      <c r="M453" s="932"/>
      <c r="N453" s="932"/>
      <c r="O453" s="932"/>
      <c r="P453" s="931"/>
      <c r="Q453" s="931"/>
      <c r="R453" s="931"/>
      <c r="S453" s="931"/>
      <c r="T453" s="933"/>
      <c r="U453" s="934"/>
      <c r="V453" s="934"/>
      <c r="W453" s="935"/>
      <c r="X453" s="936"/>
      <c r="Y453" s="937"/>
      <c r="Z453" s="937"/>
      <c r="AA453" s="938"/>
      <c r="AB453" s="594"/>
      <c r="AC453" s="595"/>
      <c r="AD453" s="596"/>
      <c r="AE453" s="779"/>
      <c r="AF453" s="939"/>
      <c r="AG453" s="780"/>
      <c r="AH453" s="941"/>
      <c r="AI453" s="942"/>
      <c r="AJ453" s="943"/>
      <c r="AK453" s="745"/>
      <c r="AL453" s="940"/>
      <c r="AM453" s="746"/>
      <c r="AN453" s="281"/>
      <c r="AO453" s="282"/>
      <c r="AP453" s="281"/>
      <c r="AQ453" s="282"/>
      <c r="AR453" s="281"/>
      <c r="AS453" s="282"/>
      <c r="AT453" s="281"/>
      <c r="AU453" s="282"/>
      <c r="AV453" s="281"/>
      <c r="AW453" s="282"/>
      <c r="AX453" s="281"/>
      <c r="AY453" s="282"/>
      <c r="AZ453" s="117"/>
      <c r="BA453" s="331"/>
      <c r="BB453" s="117"/>
      <c r="BC453" s="331"/>
      <c r="BD453" s="117"/>
      <c r="BE453" s="331"/>
      <c r="BF453" s="117"/>
      <c r="BG453" s="331"/>
      <c r="BH453" s="117"/>
      <c r="BI453" s="944" t="s">
        <v>212</v>
      </c>
      <c r="BJ453" s="944"/>
      <c r="BK453" s="944"/>
      <c r="BL453" s="944"/>
      <c r="BM453" s="944"/>
      <c r="BN453" s="944"/>
      <c r="BO453" s="944"/>
      <c r="BP453" s="944"/>
      <c r="BQ453" s="944"/>
      <c r="BR453" s="944"/>
      <c r="BS453" s="944"/>
      <c r="BT453" s="944"/>
      <c r="BU453" s="944"/>
      <c r="BV453" s="945"/>
    </row>
    <row r="454" spans="1:74" ht="30" customHeight="1" x14ac:dyDescent="0.25">
      <c r="A454" s="200">
        <f t="shared" si="6"/>
        <v>440</v>
      </c>
      <c r="B454" s="294" t="s">
        <v>162</v>
      </c>
      <c r="C454" s="295"/>
      <c r="D454" s="936"/>
      <c r="E454" s="937"/>
      <c r="F454" s="937"/>
      <c r="G454" s="937"/>
      <c r="H454" s="937"/>
      <c r="I454" s="937"/>
      <c r="J454" s="937"/>
      <c r="K454" s="938"/>
      <c r="L454" s="932"/>
      <c r="M454" s="932"/>
      <c r="N454" s="932"/>
      <c r="O454" s="932"/>
      <c r="P454" s="931"/>
      <c r="Q454" s="931"/>
      <c r="R454" s="931"/>
      <c r="S454" s="931"/>
      <c r="T454" s="933"/>
      <c r="U454" s="934"/>
      <c r="V454" s="934"/>
      <c r="W454" s="935"/>
      <c r="X454" s="936"/>
      <c r="Y454" s="937"/>
      <c r="Z454" s="937"/>
      <c r="AA454" s="938"/>
      <c r="AB454" s="594"/>
      <c r="AC454" s="595"/>
      <c r="AD454" s="596"/>
      <c r="AE454" s="779"/>
      <c r="AF454" s="939"/>
      <c r="AG454" s="780"/>
      <c r="AH454" s="941"/>
      <c r="AI454" s="942"/>
      <c r="AJ454" s="943"/>
      <c r="AK454" s="745"/>
      <c r="AL454" s="940"/>
      <c r="AM454" s="746"/>
      <c r="AN454" s="281"/>
      <c r="AO454" s="282"/>
      <c r="AP454" s="281"/>
      <c r="AQ454" s="282"/>
      <c r="AR454" s="281"/>
      <c r="AS454" s="282"/>
      <c r="AT454" s="281"/>
      <c r="AU454" s="282"/>
      <c r="AV454" s="281"/>
      <c r="AW454" s="282"/>
      <c r="AX454" s="281"/>
      <c r="AY454" s="282"/>
      <c r="AZ454" s="117"/>
      <c r="BA454" s="331"/>
      <c r="BB454" s="117"/>
      <c r="BC454" s="331"/>
      <c r="BD454" s="117"/>
      <c r="BE454" s="331"/>
      <c r="BF454" s="117"/>
      <c r="BG454" s="331"/>
      <c r="BH454" s="117"/>
      <c r="BI454" s="944" t="s">
        <v>212</v>
      </c>
      <c r="BJ454" s="944"/>
      <c r="BK454" s="944"/>
      <c r="BL454" s="944"/>
      <c r="BM454" s="944"/>
      <c r="BN454" s="944"/>
      <c r="BO454" s="944"/>
      <c r="BP454" s="944"/>
      <c r="BQ454" s="944"/>
      <c r="BR454" s="944"/>
      <c r="BS454" s="944"/>
      <c r="BT454" s="944"/>
      <c r="BU454" s="944"/>
      <c r="BV454" s="945"/>
    </row>
    <row r="455" spans="1:74" ht="30" customHeight="1" x14ac:dyDescent="0.25">
      <c r="A455" s="200">
        <f t="shared" si="6"/>
        <v>441</v>
      </c>
      <c r="B455" s="294" t="s">
        <v>162</v>
      </c>
      <c r="C455" s="295"/>
      <c r="D455" s="936"/>
      <c r="E455" s="937"/>
      <c r="F455" s="937"/>
      <c r="G455" s="937"/>
      <c r="H455" s="937"/>
      <c r="I455" s="937"/>
      <c r="J455" s="937"/>
      <c r="K455" s="938"/>
      <c r="L455" s="932"/>
      <c r="M455" s="932"/>
      <c r="N455" s="932"/>
      <c r="O455" s="932"/>
      <c r="P455" s="931"/>
      <c r="Q455" s="931"/>
      <c r="R455" s="931"/>
      <c r="S455" s="931"/>
      <c r="T455" s="933"/>
      <c r="U455" s="934"/>
      <c r="V455" s="934"/>
      <c r="W455" s="935"/>
      <c r="X455" s="936"/>
      <c r="Y455" s="937"/>
      <c r="Z455" s="937"/>
      <c r="AA455" s="938"/>
      <c r="AB455" s="594"/>
      <c r="AC455" s="595"/>
      <c r="AD455" s="596"/>
      <c r="AE455" s="779"/>
      <c r="AF455" s="939"/>
      <c r="AG455" s="780"/>
      <c r="AH455" s="941"/>
      <c r="AI455" s="942"/>
      <c r="AJ455" s="943"/>
      <c r="AK455" s="745"/>
      <c r="AL455" s="940"/>
      <c r="AM455" s="746"/>
      <c r="AN455" s="281"/>
      <c r="AO455" s="282"/>
      <c r="AP455" s="281"/>
      <c r="AQ455" s="282"/>
      <c r="AR455" s="281"/>
      <c r="AS455" s="282"/>
      <c r="AT455" s="281"/>
      <c r="AU455" s="282"/>
      <c r="AV455" s="281"/>
      <c r="AW455" s="282"/>
      <c r="AX455" s="281"/>
      <c r="AY455" s="282"/>
      <c r="AZ455" s="117"/>
      <c r="BA455" s="331"/>
      <c r="BB455" s="117"/>
      <c r="BC455" s="331"/>
      <c r="BD455" s="117"/>
      <c r="BE455" s="331"/>
      <c r="BF455" s="117"/>
      <c r="BG455" s="331"/>
      <c r="BH455" s="117"/>
      <c r="BI455" s="944" t="s">
        <v>212</v>
      </c>
      <c r="BJ455" s="944"/>
      <c r="BK455" s="944"/>
      <c r="BL455" s="944"/>
      <c r="BM455" s="944"/>
      <c r="BN455" s="944"/>
      <c r="BO455" s="944"/>
      <c r="BP455" s="944"/>
      <c r="BQ455" s="944"/>
      <c r="BR455" s="944"/>
      <c r="BS455" s="944"/>
      <c r="BT455" s="944"/>
      <c r="BU455" s="944"/>
      <c r="BV455" s="945"/>
    </row>
    <row r="456" spans="1:74" ht="30" customHeight="1" x14ac:dyDescent="0.25">
      <c r="A456" s="200">
        <f t="shared" si="6"/>
        <v>442</v>
      </c>
      <c r="B456" s="294" t="s">
        <v>162</v>
      </c>
      <c r="C456" s="295"/>
      <c r="D456" s="936"/>
      <c r="E456" s="937"/>
      <c r="F456" s="937"/>
      <c r="G456" s="937"/>
      <c r="H456" s="937"/>
      <c r="I456" s="937"/>
      <c r="J456" s="937"/>
      <c r="K456" s="938"/>
      <c r="L456" s="932"/>
      <c r="M456" s="932"/>
      <c r="N456" s="932"/>
      <c r="O456" s="932"/>
      <c r="P456" s="931"/>
      <c r="Q456" s="931"/>
      <c r="R456" s="931"/>
      <c r="S456" s="931"/>
      <c r="T456" s="933"/>
      <c r="U456" s="934"/>
      <c r="V456" s="934"/>
      <c r="W456" s="935"/>
      <c r="X456" s="936"/>
      <c r="Y456" s="937"/>
      <c r="Z456" s="937"/>
      <c r="AA456" s="938"/>
      <c r="AB456" s="594"/>
      <c r="AC456" s="595"/>
      <c r="AD456" s="596"/>
      <c r="AE456" s="779"/>
      <c r="AF456" s="939"/>
      <c r="AG456" s="780"/>
      <c r="AH456" s="941"/>
      <c r="AI456" s="942"/>
      <c r="AJ456" s="943"/>
      <c r="AK456" s="745"/>
      <c r="AL456" s="940"/>
      <c r="AM456" s="746"/>
      <c r="AN456" s="281"/>
      <c r="AO456" s="282"/>
      <c r="AP456" s="281"/>
      <c r="AQ456" s="282"/>
      <c r="AR456" s="281"/>
      <c r="AS456" s="282"/>
      <c r="AT456" s="281"/>
      <c r="AU456" s="282"/>
      <c r="AV456" s="281"/>
      <c r="AW456" s="282"/>
      <c r="AX456" s="281"/>
      <c r="AY456" s="282"/>
      <c r="AZ456" s="117"/>
      <c r="BA456" s="331"/>
      <c r="BB456" s="117"/>
      <c r="BC456" s="331"/>
      <c r="BD456" s="117"/>
      <c r="BE456" s="331"/>
      <c r="BF456" s="117"/>
      <c r="BG456" s="331"/>
      <c r="BH456" s="117"/>
      <c r="BI456" s="944" t="s">
        <v>212</v>
      </c>
      <c r="BJ456" s="944"/>
      <c r="BK456" s="944"/>
      <c r="BL456" s="944"/>
      <c r="BM456" s="944"/>
      <c r="BN456" s="944"/>
      <c r="BO456" s="944"/>
      <c r="BP456" s="944"/>
      <c r="BQ456" s="944"/>
      <c r="BR456" s="944"/>
      <c r="BS456" s="944"/>
      <c r="BT456" s="944"/>
      <c r="BU456" s="944"/>
      <c r="BV456" s="945"/>
    </row>
    <row r="457" spans="1:74" ht="30" customHeight="1" x14ac:dyDescent="0.25">
      <c r="A457" s="200">
        <f t="shared" si="6"/>
        <v>443</v>
      </c>
      <c r="B457" s="294" t="s">
        <v>162</v>
      </c>
      <c r="C457" s="295"/>
      <c r="D457" s="936"/>
      <c r="E457" s="937"/>
      <c r="F457" s="937"/>
      <c r="G457" s="937"/>
      <c r="H457" s="937"/>
      <c r="I457" s="937"/>
      <c r="J457" s="937"/>
      <c r="K457" s="938"/>
      <c r="L457" s="932"/>
      <c r="M457" s="932"/>
      <c r="N457" s="932"/>
      <c r="O457" s="932"/>
      <c r="P457" s="931"/>
      <c r="Q457" s="931"/>
      <c r="R457" s="931"/>
      <c r="S457" s="931"/>
      <c r="T457" s="933"/>
      <c r="U457" s="934"/>
      <c r="V457" s="934"/>
      <c r="W457" s="935"/>
      <c r="X457" s="936"/>
      <c r="Y457" s="937"/>
      <c r="Z457" s="937"/>
      <c r="AA457" s="938"/>
      <c r="AB457" s="594"/>
      <c r="AC457" s="595"/>
      <c r="AD457" s="596"/>
      <c r="AE457" s="779"/>
      <c r="AF457" s="939"/>
      <c r="AG457" s="780"/>
      <c r="AH457" s="941"/>
      <c r="AI457" s="942"/>
      <c r="AJ457" s="943"/>
      <c r="AK457" s="745"/>
      <c r="AL457" s="940"/>
      <c r="AM457" s="746"/>
      <c r="AN457" s="281"/>
      <c r="AO457" s="282"/>
      <c r="AP457" s="281"/>
      <c r="AQ457" s="282"/>
      <c r="AR457" s="281"/>
      <c r="AS457" s="282"/>
      <c r="AT457" s="281"/>
      <c r="AU457" s="282"/>
      <c r="AV457" s="281"/>
      <c r="AW457" s="282"/>
      <c r="AX457" s="281"/>
      <c r="AY457" s="282"/>
      <c r="AZ457" s="117"/>
      <c r="BA457" s="331"/>
      <c r="BB457" s="117"/>
      <c r="BC457" s="331"/>
      <c r="BD457" s="117"/>
      <c r="BE457" s="331"/>
      <c r="BF457" s="117"/>
      <c r="BG457" s="331"/>
      <c r="BH457" s="117"/>
      <c r="BI457" s="944" t="s">
        <v>159</v>
      </c>
      <c r="BJ457" s="944"/>
      <c r="BK457" s="944"/>
      <c r="BL457" s="944"/>
      <c r="BM457" s="944"/>
      <c r="BN457" s="944"/>
      <c r="BO457" s="944"/>
      <c r="BP457" s="944"/>
      <c r="BQ457" s="944"/>
      <c r="BR457" s="944"/>
      <c r="BS457" s="944"/>
      <c r="BT457" s="944"/>
      <c r="BU457" s="944"/>
      <c r="BV457" s="945"/>
    </row>
    <row r="458" spans="1:74" ht="30" customHeight="1" x14ac:dyDescent="0.25">
      <c r="A458" s="200">
        <f t="shared" si="6"/>
        <v>444</v>
      </c>
      <c r="B458" s="294" t="s">
        <v>162</v>
      </c>
      <c r="C458" s="295"/>
      <c r="D458" s="936"/>
      <c r="E458" s="937"/>
      <c r="F458" s="937"/>
      <c r="G458" s="937"/>
      <c r="H458" s="937"/>
      <c r="I458" s="937"/>
      <c r="J458" s="937"/>
      <c r="K458" s="938"/>
      <c r="L458" s="932"/>
      <c r="M458" s="932"/>
      <c r="N458" s="932"/>
      <c r="O458" s="932"/>
      <c r="P458" s="931"/>
      <c r="Q458" s="931"/>
      <c r="R458" s="931"/>
      <c r="S458" s="931"/>
      <c r="T458" s="933"/>
      <c r="U458" s="934"/>
      <c r="V458" s="934"/>
      <c r="W458" s="935"/>
      <c r="X458" s="936"/>
      <c r="Y458" s="937"/>
      <c r="Z458" s="937"/>
      <c r="AA458" s="938"/>
      <c r="AB458" s="594"/>
      <c r="AC458" s="595"/>
      <c r="AD458" s="596"/>
      <c r="AE458" s="779"/>
      <c r="AF458" s="939"/>
      <c r="AG458" s="780"/>
      <c r="AH458" s="941"/>
      <c r="AI458" s="942"/>
      <c r="AJ458" s="943"/>
      <c r="AK458" s="745"/>
      <c r="AL458" s="940"/>
      <c r="AM458" s="746"/>
      <c r="AN458" s="281"/>
      <c r="AO458" s="282"/>
      <c r="AP458" s="281"/>
      <c r="AQ458" s="282"/>
      <c r="AR458" s="281"/>
      <c r="AS458" s="282"/>
      <c r="AT458" s="281"/>
      <c r="AU458" s="282"/>
      <c r="AV458" s="281"/>
      <c r="AW458" s="282"/>
      <c r="AX458" s="281"/>
      <c r="AY458" s="282"/>
      <c r="AZ458" s="117"/>
      <c r="BA458" s="331"/>
      <c r="BB458" s="117"/>
      <c r="BC458" s="331"/>
      <c r="BD458" s="117"/>
      <c r="BE458" s="331"/>
      <c r="BF458" s="117"/>
      <c r="BG458" s="331"/>
      <c r="BH458" s="117"/>
      <c r="BI458" s="944" t="s">
        <v>159</v>
      </c>
      <c r="BJ458" s="944"/>
      <c r="BK458" s="944"/>
      <c r="BL458" s="944"/>
      <c r="BM458" s="944"/>
      <c r="BN458" s="944"/>
      <c r="BO458" s="944"/>
      <c r="BP458" s="944"/>
      <c r="BQ458" s="944"/>
      <c r="BR458" s="944"/>
      <c r="BS458" s="944"/>
      <c r="BT458" s="944"/>
      <c r="BU458" s="944"/>
      <c r="BV458" s="945"/>
    </row>
    <row r="459" spans="1:74" ht="30" customHeight="1" x14ac:dyDescent="0.25">
      <c r="A459" s="232">
        <f t="shared" si="6"/>
        <v>445</v>
      </c>
      <c r="B459" s="294" t="s">
        <v>162</v>
      </c>
      <c r="C459" s="295"/>
      <c r="D459" s="936"/>
      <c r="E459" s="937"/>
      <c r="F459" s="937"/>
      <c r="G459" s="937"/>
      <c r="H459" s="937"/>
      <c r="I459" s="937"/>
      <c r="J459" s="937"/>
      <c r="K459" s="938"/>
      <c r="L459" s="932"/>
      <c r="M459" s="932"/>
      <c r="N459" s="932"/>
      <c r="O459" s="932"/>
      <c r="P459" s="931"/>
      <c r="Q459" s="931"/>
      <c r="R459" s="931"/>
      <c r="S459" s="931"/>
      <c r="T459" s="933"/>
      <c r="U459" s="934"/>
      <c r="V459" s="934"/>
      <c r="W459" s="935"/>
      <c r="X459" s="936"/>
      <c r="Y459" s="937"/>
      <c r="Z459" s="937"/>
      <c r="AA459" s="938"/>
      <c r="AB459" s="594"/>
      <c r="AC459" s="595"/>
      <c r="AD459" s="596"/>
      <c r="AE459" s="779"/>
      <c r="AF459" s="939"/>
      <c r="AG459" s="780"/>
      <c r="AH459" s="941"/>
      <c r="AI459" s="942"/>
      <c r="AJ459" s="943"/>
      <c r="AK459" s="745"/>
      <c r="AL459" s="940"/>
      <c r="AM459" s="746"/>
      <c r="AN459" s="281"/>
      <c r="AO459" s="282"/>
      <c r="AP459" s="281"/>
      <c r="AQ459" s="282"/>
      <c r="AR459" s="281"/>
      <c r="AS459" s="282"/>
      <c r="AT459" s="281"/>
      <c r="AU459" s="282"/>
      <c r="AV459" s="281"/>
      <c r="AW459" s="282"/>
      <c r="AX459" s="281"/>
      <c r="AY459" s="282"/>
      <c r="AZ459" s="117"/>
      <c r="BA459" s="331"/>
      <c r="BB459" s="117"/>
      <c r="BC459" s="331"/>
      <c r="BD459" s="117"/>
      <c r="BE459" s="331"/>
      <c r="BF459" s="117"/>
      <c r="BG459" s="331"/>
      <c r="BH459" s="117"/>
      <c r="BI459" s="944" t="s">
        <v>212</v>
      </c>
      <c r="BJ459" s="944"/>
      <c r="BK459" s="944"/>
      <c r="BL459" s="944"/>
      <c r="BM459" s="944"/>
      <c r="BN459" s="944"/>
      <c r="BO459" s="944"/>
      <c r="BP459" s="944"/>
      <c r="BQ459" s="944"/>
      <c r="BR459" s="944"/>
      <c r="BS459" s="944"/>
      <c r="BT459" s="944"/>
      <c r="BU459" s="944"/>
      <c r="BV459" s="945"/>
    </row>
    <row r="460" spans="1:74" ht="30" customHeight="1" x14ac:dyDescent="0.25">
      <c r="A460" s="200">
        <f t="shared" si="6"/>
        <v>446</v>
      </c>
      <c r="B460" s="294" t="s">
        <v>162</v>
      </c>
      <c r="C460" s="295"/>
      <c r="D460" s="936"/>
      <c r="E460" s="937"/>
      <c r="F460" s="937"/>
      <c r="G460" s="937"/>
      <c r="H460" s="937"/>
      <c r="I460" s="937"/>
      <c r="J460" s="937"/>
      <c r="K460" s="938"/>
      <c r="L460" s="932"/>
      <c r="M460" s="932"/>
      <c r="N460" s="932"/>
      <c r="O460" s="932"/>
      <c r="P460" s="931"/>
      <c r="Q460" s="931"/>
      <c r="R460" s="931"/>
      <c r="S460" s="931"/>
      <c r="T460" s="933"/>
      <c r="U460" s="934"/>
      <c r="V460" s="934"/>
      <c r="W460" s="935"/>
      <c r="X460" s="936"/>
      <c r="Y460" s="937"/>
      <c r="Z460" s="937"/>
      <c r="AA460" s="938"/>
      <c r="AB460" s="594"/>
      <c r="AC460" s="595"/>
      <c r="AD460" s="596"/>
      <c r="AE460" s="779"/>
      <c r="AF460" s="939"/>
      <c r="AG460" s="780"/>
      <c r="AH460" s="941"/>
      <c r="AI460" s="942"/>
      <c r="AJ460" s="943"/>
      <c r="AK460" s="745"/>
      <c r="AL460" s="940"/>
      <c r="AM460" s="746"/>
      <c r="AN460" s="281"/>
      <c r="AO460" s="282"/>
      <c r="AP460" s="281"/>
      <c r="AQ460" s="282"/>
      <c r="AR460" s="281"/>
      <c r="AS460" s="282"/>
      <c r="AT460" s="281"/>
      <c r="AU460" s="282"/>
      <c r="AV460" s="281"/>
      <c r="AW460" s="282"/>
      <c r="AX460" s="281"/>
      <c r="AY460" s="282"/>
      <c r="AZ460" s="117"/>
      <c r="BA460" s="331"/>
      <c r="BB460" s="117"/>
      <c r="BC460" s="331"/>
      <c r="BD460" s="117"/>
      <c r="BE460" s="331"/>
      <c r="BF460" s="117"/>
      <c r="BG460" s="331"/>
      <c r="BH460" s="117"/>
      <c r="BI460" s="944" t="s">
        <v>212</v>
      </c>
      <c r="BJ460" s="944"/>
      <c r="BK460" s="944"/>
      <c r="BL460" s="944"/>
      <c r="BM460" s="944"/>
      <c r="BN460" s="944"/>
      <c r="BO460" s="944"/>
      <c r="BP460" s="944"/>
      <c r="BQ460" s="944"/>
      <c r="BR460" s="944"/>
      <c r="BS460" s="944"/>
      <c r="BT460" s="944"/>
      <c r="BU460" s="944"/>
      <c r="BV460" s="945"/>
    </row>
    <row r="461" spans="1:74" ht="30" customHeight="1" x14ac:dyDescent="0.25">
      <c r="A461" s="200">
        <f t="shared" si="6"/>
        <v>447</v>
      </c>
      <c r="B461" s="294" t="s">
        <v>162</v>
      </c>
      <c r="C461" s="295"/>
      <c r="D461" s="936"/>
      <c r="E461" s="937"/>
      <c r="F461" s="937"/>
      <c r="G461" s="937"/>
      <c r="H461" s="937"/>
      <c r="I461" s="937"/>
      <c r="J461" s="937"/>
      <c r="K461" s="938"/>
      <c r="L461" s="932"/>
      <c r="M461" s="932"/>
      <c r="N461" s="932"/>
      <c r="O461" s="932"/>
      <c r="P461" s="931"/>
      <c r="Q461" s="931"/>
      <c r="R461" s="931"/>
      <c r="S461" s="931"/>
      <c r="T461" s="933"/>
      <c r="U461" s="934"/>
      <c r="V461" s="934"/>
      <c r="W461" s="935"/>
      <c r="X461" s="936"/>
      <c r="Y461" s="937"/>
      <c r="Z461" s="937"/>
      <c r="AA461" s="938"/>
      <c r="AB461" s="594"/>
      <c r="AC461" s="595"/>
      <c r="AD461" s="596"/>
      <c r="AE461" s="779"/>
      <c r="AF461" s="939"/>
      <c r="AG461" s="780"/>
      <c r="AH461" s="941"/>
      <c r="AI461" s="942"/>
      <c r="AJ461" s="943"/>
      <c r="AK461" s="745"/>
      <c r="AL461" s="940"/>
      <c r="AM461" s="746"/>
      <c r="AN461" s="281"/>
      <c r="AO461" s="282"/>
      <c r="AP461" s="281"/>
      <c r="AQ461" s="282"/>
      <c r="AR461" s="281"/>
      <c r="AS461" s="282"/>
      <c r="AT461" s="281"/>
      <c r="AU461" s="282"/>
      <c r="AV461" s="281"/>
      <c r="AW461" s="282"/>
      <c r="AX461" s="281"/>
      <c r="AY461" s="282"/>
      <c r="AZ461" s="117"/>
      <c r="BA461" s="331"/>
      <c r="BB461" s="117"/>
      <c r="BC461" s="331"/>
      <c r="BD461" s="117"/>
      <c r="BE461" s="331"/>
      <c r="BF461" s="117"/>
      <c r="BG461" s="331"/>
      <c r="BH461" s="117"/>
      <c r="BI461" s="944" t="s">
        <v>212</v>
      </c>
      <c r="BJ461" s="944"/>
      <c r="BK461" s="944"/>
      <c r="BL461" s="944"/>
      <c r="BM461" s="944"/>
      <c r="BN461" s="944"/>
      <c r="BO461" s="944"/>
      <c r="BP461" s="944"/>
      <c r="BQ461" s="944"/>
      <c r="BR461" s="944"/>
      <c r="BS461" s="944"/>
      <c r="BT461" s="944"/>
      <c r="BU461" s="944"/>
      <c r="BV461" s="945"/>
    </row>
    <row r="462" spans="1:74" ht="30" customHeight="1" x14ac:dyDescent="0.25">
      <c r="A462" s="200">
        <f t="shared" si="6"/>
        <v>448</v>
      </c>
      <c r="B462" s="294" t="s">
        <v>162</v>
      </c>
      <c r="C462" s="295"/>
      <c r="D462" s="936"/>
      <c r="E462" s="937"/>
      <c r="F462" s="937"/>
      <c r="G462" s="937"/>
      <c r="H462" s="937"/>
      <c r="I462" s="937"/>
      <c r="J462" s="937"/>
      <c r="K462" s="938"/>
      <c r="L462" s="932"/>
      <c r="M462" s="932"/>
      <c r="N462" s="932"/>
      <c r="O462" s="932"/>
      <c r="P462" s="931"/>
      <c r="Q462" s="931"/>
      <c r="R462" s="931"/>
      <c r="S462" s="931"/>
      <c r="T462" s="933"/>
      <c r="U462" s="934"/>
      <c r="V462" s="934"/>
      <c r="W462" s="935"/>
      <c r="X462" s="936"/>
      <c r="Y462" s="937"/>
      <c r="Z462" s="937"/>
      <c r="AA462" s="938"/>
      <c r="AB462" s="594"/>
      <c r="AC462" s="595"/>
      <c r="AD462" s="596"/>
      <c r="AE462" s="779"/>
      <c r="AF462" s="939"/>
      <c r="AG462" s="780"/>
      <c r="AH462" s="941"/>
      <c r="AI462" s="942"/>
      <c r="AJ462" s="943"/>
      <c r="AK462" s="745"/>
      <c r="AL462" s="940"/>
      <c r="AM462" s="746"/>
      <c r="AN462" s="281"/>
      <c r="AO462" s="282"/>
      <c r="AP462" s="281"/>
      <c r="AQ462" s="282"/>
      <c r="AR462" s="281"/>
      <c r="AS462" s="282"/>
      <c r="AT462" s="281"/>
      <c r="AU462" s="282"/>
      <c r="AV462" s="281"/>
      <c r="AW462" s="282"/>
      <c r="AX462" s="281"/>
      <c r="AY462" s="282"/>
      <c r="AZ462" s="117"/>
      <c r="BA462" s="331"/>
      <c r="BB462" s="117"/>
      <c r="BC462" s="331"/>
      <c r="BD462" s="117"/>
      <c r="BE462" s="331"/>
      <c r="BF462" s="117"/>
      <c r="BG462" s="331"/>
      <c r="BH462" s="117"/>
      <c r="BI462" s="944" t="s">
        <v>212</v>
      </c>
      <c r="BJ462" s="944"/>
      <c r="BK462" s="944"/>
      <c r="BL462" s="944"/>
      <c r="BM462" s="944"/>
      <c r="BN462" s="944"/>
      <c r="BO462" s="944"/>
      <c r="BP462" s="944"/>
      <c r="BQ462" s="944"/>
      <c r="BR462" s="944"/>
      <c r="BS462" s="944"/>
      <c r="BT462" s="944"/>
      <c r="BU462" s="944"/>
      <c r="BV462" s="945"/>
    </row>
    <row r="463" spans="1:74" ht="30" customHeight="1" x14ac:dyDescent="0.25">
      <c r="A463" s="200">
        <f t="shared" ref="A463:A526" si="7">ROW(A449)</f>
        <v>449</v>
      </c>
      <c r="B463" s="294" t="s">
        <v>162</v>
      </c>
      <c r="C463" s="295"/>
      <c r="D463" s="936"/>
      <c r="E463" s="937"/>
      <c r="F463" s="937"/>
      <c r="G463" s="937"/>
      <c r="H463" s="937"/>
      <c r="I463" s="937"/>
      <c r="J463" s="937"/>
      <c r="K463" s="938"/>
      <c r="L463" s="932"/>
      <c r="M463" s="932"/>
      <c r="N463" s="932"/>
      <c r="O463" s="932"/>
      <c r="P463" s="931"/>
      <c r="Q463" s="931"/>
      <c r="R463" s="931"/>
      <c r="S463" s="931"/>
      <c r="T463" s="933"/>
      <c r="U463" s="934"/>
      <c r="V463" s="934"/>
      <c r="W463" s="935"/>
      <c r="X463" s="936"/>
      <c r="Y463" s="937"/>
      <c r="Z463" s="937"/>
      <c r="AA463" s="938"/>
      <c r="AB463" s="594"/>
      <c r="AC463" s="595"/>
      <c r="AD463" s="596"/>
      <c r="AE463" s="779"/>
      <c r="AF463" s="939"/>
      <c r="AG463" s="780"/>
      <c r="AH463" s="941"/>
      <c r="AI463" s="942"/>
      <c r="AJ463" s="943"/>
      <c r="AK463" s="745"/>
      <c r="AL463" s="940"/>
      <c r="AM463" s="746"/>
      <c r="AN463" s="281"/>
      <c r="AO463" s="282"/>
      <c r="AP463" s="281"/>
      <c r="AQ463" s="282"/>
      <c r="AR463" s="281"/>
      <c r="AS463" s="282"/>
      <c r="AT463" s="281"/>
      <c r="AU463" s="282"/>
      <c r="AV463" s="281"/>
      <c r="AW463" s="282"/>
      <c r="AX463" s="281"/>
      <c r="AY463" s="282"/>
      <c r="AZ463" s="117"/>
      <c r="BA463" s="331"/>
      <c r="BB463" s="117"/>
      <c r="BC463" s="331"/>
      <c r="BD463" s="117"/>
      <c r="BE463" s="331"/>
      <c r="BF463" s="117"/>
      <c r="BG463" s="331"/>
      <c r="BH463" s="117"/>
      <c r="BI463" s="944" t="s">
        <v>212</v>
      </c>
      <c r="BJ463" s="944"/>
      <c r="BK463" s="944"/>
      <c r="BL463" s="944"/>
      <c r="BM463" s="944"/>
      <c r="BN463" s="944"/>
      <c r="BO463" s="944"/>
      <c r="BP463" s="944"/>
      <c r="BQ463" s="944"/>
      <c r="BR463" s="944"/>
      <c r="BS463" s="944"/>
      <c r="BT463" s="944"/>
      <c r="BU463" s="944"/>
      <c r="BV463" s="945"/>
    </row>
    <row r="464" spans="1:74" ht="30" customHeight="1" x14ac:dyDescent="0.25">
      <c r="A464" s="200">
        <f t="shared" si="7"/>
        <v>450</v>
      </c>
      <c r="B464" s="294" t="s">
        <v>162</v>
      </c>
      <c r="C464" s="295"/>
      <c r="D464" s="936"/>
      <c r="E464" s="937"/>
      <c r="F464" s="937"/>
      <c r="G464" s="937"/>
      <c r="H464" s="937"/>
      <c r="I464" s="937"/>
      <c r="J464" s="937"/>
      <c r="K464" s="938"/>
      <c r="L464" s="932"/>
      <c r="M464" s="932"/>
      <c r="N464" s="932"/>
      <c r="O464" s="932"/>
      <c r="P464" s="931"/>
      <c r="Q464" s="931"/>
      <c r="R464" s="931"/>
      <c r="S464" s="931"/>
      <c r="T464" s="933"/>
      <c r="U464" s="934"/>
      <c r="V464" s="934"/>
      <c r="W464" s="935"/>
      <c r="X464" s="936"/>
      <c r="Y464" s="937"/>
      <c r="Z464" s="937"/>
      <c r="AA464" s="938"/>
      <c r="AB464" s="594"/>
      <c r="AC464" s="595"/>
      <c r="AD464" s="596"/>
      <c r="AE464" s="779"/>
      <c r="AF464" s="939"/>
      <c r="AG464" s="780"/>
      <c r="AH464" s="941"/>
      <c r="AI464" s="942"/>
      <c r="AJ464" s="943"/>
      <c r="AK464" s="745"/>
      <c r="AL464" s="940"/>
      <c r="AM464" s="746"/>
      <c r="AN464" s="281"/>
      <c r="AO464" s="282"/>
      <c r="AP464" s="281"/>
      <c r="AQ464" s="282"/>
      <c r="AR464" s="281"/>
      <c r="AS464" s="282"/>
      <c r="AT464" s="281"/>
      <c r="AU464" s="282"/>
      <c r="AV464" s="281"/>
      <c r="AW464" s="282"/>
      <c r="AX464" s="281"/>
      <c r="AY464" s="282"/>
      <c r="AZ464" s="117"/>
      <c r="BA464" s="331"/>
      <c r="BB464" s="117"/>
      <c r="BC464" s="331"/>
      <c r="BD464" s="117"/>
      <c r="BE464" s="331"/>
      <c r="BF464" s="117"/>
      <c r="BG464" s="331"/>
      <c r="BH464" s="117"/>
      <c r="BI464" s="944" t="s">
        <v>159</v>
      </c>
      <c r="BJ464" s="944"/>
      <c r="BK464" s="944"/>
      <c r="BL464" s="944"/>
      <c r="BM464" s="944"/>
      <c r="BN464" s="944"/>
      <c r="BO464" s="944"/>
      <c r="BP464" s="944"/>
      <c r="BQ464" s="944"/>
      <c r="BR464" s="944"/>
      <c r="BS464" s="944"/>
      <c r="BT464" s="944"/>
      <c r="BU464" s="944"/>
      <c r="BV464" s="945"/>
    </row>
    <row r="465" spans="1:74" ht="30" customHeight="1" x14ac:dyDescent="0.25">
      <c r="A465" s="200">
        <f t="shared" si="7"/>
        <v>451</v>
      </c>
      <c r="B465" s="294" t="s">
        <v>162</v>
      </c>
      <c r="C465" s="295"/>
      <c r="D465" s="936"/>
      <c r="E465" s="937"/>
      <c r="F465" s="937"/>
      <c r="G465" s="937"/>
      <c r="H465" s="937"/>
      <c r="I465" s="937"/>
      <c r="J465" s="937"/>
      <c r="K465" s="938"/>
      <c r="L465" s="932"/>
      <c r="M465" s="932"/>
      <c r="N465" s="932"/>
      <c r="O465" s="932"/>
      <c r="P465" s="931"/>
      <c r="Q465" s="931"/>
      <c r="R465" s="931"/>
      <c r="S465" s="931"/>
      <c r="T465" s="933"/>
      <c r="U465" s="934"/>
      <c r="V465" s="934"/>
      <c r="W465" s="935"/>
      <c r="X465" s="936"/>
      <c r="Y465" s="937"/>
      <c r="Z465" s="937"/>
      <c r="AA465" s="938"/>
      <c r="AB465" s="594"/>
      <c r="AC465" s="595"/>
      <c r="AD465" s="596"/>
      <c r="AE465" s="779"/>
      <c r="AF465" s="939"/>
      <c r="AG465" s="780"/>
      <c r="AH465" s="941"/>
      <c r="AI465" s="942"/>
      <c r="AJ465" s="943"/>
      <c r="AK465" s="745"/>
      <c r="AL465" s="940"/>
      <c r="AM465" s="746"/>
      <c r="AN465" s="281"/>
      <c r="AO465" s="282"/>
      <c r="AP465" s="281"/>
      <c r="AQ465" s="282"/>
      <c r="AR465" s="281"/>
      <c r="AS465" s="282"/>
      <c r="AT465" s="281"/>
      <c r="AU465" s="282"/>
      <c r="AV465" s="281"/>
      <c r="AW465" s="282"/>
      <c r="AX465" s="281"/>
      <c r="AY465" s="282"/>
      <c r="AZ465" s="117"/>
      <c r="BA465" s="331"/>
      <c r="BB465" s="117"/>
      <c r="BC465" s="331"/>
      <c r="BD465" s="117"/>
      <c r="BE465" s="331"/>
      <c r="BF465" s="117"/>
      <c r="BG465" s="331"/>
      <c r="BH465" s="117"/>
      <c r="BI465" s="944" t="s">
        <v>159</v>
      </c>
      <c r="BJ465" s="944"/>
      <c r="BK465" s="944"/>
      <c r="BL465" s="944"/>
      <c r="BM465" s="944"/>
      <c r="BN465" s="944"/>
      <c r="BO465" s="944"/>
      <c r="BP465" s="944"/>
      <c r="BQ465" s="944"/>
      <c r="BR465" s="944"/>
      <c r="BS465" s="944"/>
      <c r="BT465" s="944"/>
      <c r="BU465" s="944"/>
      <c r="BV465" s="945"/>
    </row>
    <row r="466" spans="1:74" ht="30" customHeight="1" x14ac:dyDescent="0.25">
      <c r="A466" s="232">
        <f t="shared" si="7"/>
        <v>452</v>
      </c>
      <c r="B466" s="294" t="s">
        <v>162</v>
      </c>
      <c r="C466" s="295"/>
      <c r="D466" s="936"/>
      <c r="E466" s="937"/>
      <c r="F466" s="937"/>
      <c r="G466" s="937"/>
      <c r="H466" s="937"/>
      <c r="I466" s="937"/>
      <c r="J466" s="937"/>
      <c r="K466" s="938"/>
      <c r="L466" s="932"/>
      <c r="M466" s="932"/>
      <c r="N466" s="932"/>
      <c r="O466" s="932"/>
      <c r="P466" s="931"/>
      <c r="Q466" s="931"/>
      <c r="R466" s="931"/>
      <c r="S466" s="931"/>
      <c r="T466" s="933"/>
      <c r="U466" s="934"/>
      <c r="V466" s="934"/>
      <c r="W466" s="935"/>
      <c r="X466" s="936"/>
      <c r="Y466" s="937"/>
      <c r="Z466" s="937"/>
      <c r="AA466" s="938"/>
      <c r="AB466" s="594"/>
      <c r="AC466" s="595"/>
      <c r="AD466" s="596"/>
      <c r="AE466" s="779"/>
      <c r="AF466" s="939"/>
      <c r="AG466" s="780"/>
      <c r="AH466" s="941"/>
      <c r="AI466" s="942"/>
      <c r="AJ466" s="943"/>
      <c r="AK466" s="745"/>
      <c r="AL466" s="940"/>
      <c r="AM466" s="746"/>
      <c r="AN466" s="281"/>
      <c r="AO466" s="282"/>
      <c r="AP466" s="281"/>
      <c r="AQ466" s="282"/>
      <c r="AR466" s="281"/>
      <c r="AS466" s="282"/>
      <c r="AT466" s="281"/>
      <c r="AU466" s="282"/>
      <c r="AV466" s="281"/>
      <c r="AW466" s="282"/>
      <c r="AX466" s="281"/>
      <c r="AY466" s="282"/>
      <c r="AZ466" s="117"/>
      <c r="BA466" s="331"/>
      <c r="BB466" s="117"/>
      <c r="BC466" s="331"/>
      <c r="BD466" s="117"/>
      <c r="BE466" s="331"/>
      <c r="BF466" s="117"/>
      <c r="BG466" s="331"/>
      <c r="BH466" s="117"/>
      <c r="BI466" s="944" t="s">
        <v>212</v>
      </c>
      <c r="BJ466" s="944"/>
      <c r="BK466" s="944"/>
      <c r="BL466" s="944"/>
      <c r="BM466" s="944"/>
      <c r="BN466" s="944"/>
      <c r="BO466" s="944"/>
      <c r="BP466" s="944"/>
      <c r="BQ466" s="944"/>
      <c r="BR466" s="944"/>
      <c r="BS466" s="944"/>
      <c r="BT466" s="944"/>
      <c r="BU466" s="944"/>
      <c r="BV466" s="945"/>
    </row>
    <row r="467" spans="1:74" ht="30" customHeight="1" x14ac:dyDescent="0.25">
      <c r="A467" s="200">
        <f t="shared" si="7"/>
        <v>453</v>
      </c>
      <c r="B467" s="294" t="s">
        <v>162</v>
      </c>
      <c r="C467" s="295"/>
      <c r="D467" s="936"/>
      <c r="E467" s="937"/>
      <c r="F467" s="937"/>
      <c r="G467" s="937"/>
      <c r="H467" s="937"/>
      <c r="I467" s="937"/>
      <c r="J467" s="937"/>
      <c r="K467" s="938"/>
      <c r="L467" s="932"/>
      <c r="M467" s="932"/>
      <c r="N467" s="932"/>
      <c r="O467" s="932"/>
      <c r="P467" s="931"/>
      <c r="Q467" s="931"/>
      <c r="R467" s="931"/>
      <c r="S467" s="931"/>
      <c r="T467" s="933"/>
      <c r="U467" s="934"/>
      <c r="V467" s="934"/>
      <c r="W467" s="935"/>
      <c r="X467" s="936"/>
      <c r="Y467" s="937"/>
      <c r="Z467" s="937"/>
      <c r="AA467" s="938"/>
      <c r="AB467" s="594"/>
      <c r="AC467" s="595"/>
      <c r="AD467" s="596"/>
      <c r="AE467" s="779"/>
      <c r="AF467" s="939"/>
      <c r="AG467" s="780"/>
      <c r="AH467" s="941"/>
      <c r="AI467" s="942"/>
      <c r="AJ467" s="943"/>
      <c r="AK467" s="745"/>
      <c r="AL467" s="940"/>
      <c r="AM467" s="746"/>
      <c r="AN467" s="281"/>
      <c r="AO467" s="282"/>
      <c r="AP467" s="281"/>
      <c r="AQ467" s="282"/>
      <c r="AR467" s="281"/>
      <c r="AS467" s="282"/>
      <c r="AT467" s="281"/>
      <c r="AU467" s="282"/>
      <c r="AV467" s="281"/>
      <c r="AW467" s="282"/>
      <c r="AX467" s="281"/>
      <c r="AY467" s="282"/>
      <c r="AZ467" s="117"/>
      <c r="BA467" s="331"/>
      <c r="BB467" s="117"/>
      <c r="BC467" s="331"/>
      <c r="BD467" s="117"/>
      <c r="BE467" s="331"/>
      <c r="BF467" s="117"/>
      <c r="BG467" s="331"/>
      <c r="BH467" s="117"/>
      <c r="BI467" s="944" t="s">
        <v>212</v>
      </c>
      <c r="BJ467" s="944"/>
      <c r="BK467" s="944"/>
      <c r="BL467" s="944"/>
      <c r="BM467" s="944"/>
      <c r="BN467" s="944"/>
      <c r="BO467" s="944"/>
      <c r="BP467" s="944"/>
      <c r="BQ467" s="944"/>
      <c r="BR467" s="944"/>
      <c r="BS467" s="944"/>
      <c r="BT467" s="944"/>
      <c r="BU467" s="944"/>
      <c r="BV467" s="945"/>
    </row>
    <row r="468" spans="1:74" ht="30" customHeight="1" x14ac:dyDescent="0.25">
      <c r="A468" s="200">
        <f t="shared" si="7"/>
        <v>454</v>
      </c>
      <c r="B468" s="294" t="s">
        <v>162</v>
      </c>
      <c r="C468" s="295"/>
      <c r="D468" s="936"/>
      <c r="E468" s="937"/>
      <c r="F468" s="937"/>
      <c r="G468" s="937"/>
      <c r="H468" s="937"/>
      <c r="I468" s="937"/>
      <c r="J468" s="937"/>
      <c r="K468" s="938"/>
      <c r="L468" s="932"/>
      <c r="M468" s="932"/>
      <c r="N468" s="932"/>
      <c r="O468" s="932"/>
      <c r="P468" s="931"/>
      <c r="Q468" s="931"/>
      <c r="R468" s="931"/>
      <c r="S468" s="931"/>
      <c r="T468" s="933"/>
      <c r="U468" s="934"/>
      <c r="V468" s="934"/>
      <c r="W468" s="935"/>
      <c r="X468" s="936"/>
      <c r="Y468" s="937"/>
      <c r="Z468" s="937"/>
      <c r="AA468" s="938"/>
      <c r="AB468" s="594"/>
      <c r="AC468" s="595"/>
      <c r="AD468" s="596"/>
      <c r="AE468" s="779"/>
      <c r="AF468" s="939"/>
      <c r="AG468" s="780"/>
      <c r="AH468" s="941"/>
      <c r="AI468" s="942"/>
      <c r="AJ468" s="943"/>
      <c r="AK468" s="745"/>
      <c r="AL468" s="940"/>
      <c r="AM468" s="746"/>
      <c r="AN468" s="281"/>
      <c r="AO468" s="282"/>
      <c r="AP468" s="281"/>
      <c r="AQ468" s="282"/>
      <c r="AR468" s="281"/>
      <c r="AS468" s="282"/>
      <c r="AT468" s="281"/>
      <c r="AU468" s="282"/>
      <c r="AV468" s="281"/>
      <c r="AW468" s="282"/>
      <c r="AX468" s="281"/>
      <c r="AY468" s="282"/>
      <c r="AZ468" s="117"/>
      <c r="BA468" s="331"/>
      <c r="BB468" s="117"/>
      <c r="BC468" s="331"/>
      <c r="BD468" s="117"/>
      <c r="BE468" s="331"/>
      <c r="BF468" s="117"/>
      <c r="BG468" s="331"/>
      <c r="BH468" s="117"/>
      <c r="BI468" s="944" t="s">
        <v>212</v>
      </c>
      <c r="BJ468" s="944"/>
      <c r="BK468" s="944"/>
      <c r="BL468" s="944"/>
      <c r="BM468" s="944"/>
      <c r="BN468" s="944"/>
      <c r="BO468" s="944"/>
      <c r="BP468" s="944"/>
      <c r="BQ468" s="944"/>
      <c r="BR468" s="944"/>
      <c r="BS468" s="944"/>
      <c r="BT468" s="944"/>
      <c r="BU468" s="944"/>
      <c r="BV468" s="945"/>
    </row>
    <row r="469" spans="1:74" ht="30" customHeight="1" x14ac:dyDescent="0.25">
      <c r="A469" s="200">
        <f t="shared" si="7"/>
        <v>455</v>
      </c>
      <c r="B469" s="294" t="s">
        <v>162</v>
      </c>
      <c r="C469" s="295"/>
      <c r="D469" s="936"/>
      <c r="E469" s="937"/>
      <c r="F469" s="937"/>
      <c r="G469" s="937"/>
      <c r="H469" s="937"/>
      <c r="I469" s="937"/>
      <c r="J469" s="937"/>
      <c r="K469" s="938"/>
      <c r="L469" s="932"/>
      <c r="M469" s="932"/>
      <c r="N469" s="932"/>
      <c r="O469" s="932"/>
      <c r="P469" s="931"/>
      <c r="Q469" s="931"/>
      <c r="R469" s="931"/>
      <c r="S469" s="931"/>
      <c r="T469" s="933"/>
      <c r="U469" s="934"/>
      <c r="V469" s="934"/>
      <c r="W469" s="935"/>
      <c r="X469" s="936"/>
      <c r="Y469" s="937"/>
      <c r="Z469" s="937"/>
      <c r="AA469" s="938"/>
      <c r="AB469" s="594"/>
      <c r="AC469" s="595"/>
      <c r="AD469" s="596"/>
      <c r="AE469" s="779"/>
      <c r="AF469" s="939"/>
      <c r="AG469" s="780"/>
      <c r="AH469" s="941"/>
      <c r="AI469" s="942"/>
      <c r="AJ469" s="943"/>
      <c r="AK469" s="745"/>
      <c r="AL469" s="940"/>
      <c r="AM469" s="746"/>
      <c r="AN469" s="281"/>
      <c r="AO469" s="282"/>
      <c r="AP469" s="281"/>
      <c r="AQ469" s="282"/>
      <c r="AR469" s="281"/>
      <c r="AS469" s="282"/>
      <c r="AT469" s="281"/>
      <c r="AU469" s="282"/>
      <c r="AV469" s="281"/>
      <c r="AW469" s="282"/>
      <c r="AX469" s="281"/>
      <c r="AY469" s="282"/>
      <c r="AZ469" s="117"/>
      <c r="BA469" s="331"/>
      <c r="BB469" s="117"/>
      <c r="BC469" s="331"/>
      <c r="BD469" s="117"/>
      <c r="BE469" s="331"/>
      <c r="BF469" s="117"/>
      <c r="BG469" s="331"/>
      <c r="BH469" s="117"/>
      <c r="BI469" s="944" t="s">
        <v>212</v>
      </c>
      <c r="BJ469" s="944"/>
      <c r="BK469" s="944"/>
      <c r="BL469" s="944"/>
      <c r="BM469" s="944"/>
      <c r="BN469" s="944"/>
      <c r="BO469" s="944"/>
      <c r="BP469" s="944"/>
      <c r="BQ469" s="944"/>
      <c r="BR469" s="944"/>
      <c r="BS469" s="944"/>
      <c r="BT469" s="944"/>
      <c r="BU469" s="944"/>
      <c r="BV469" s="945"/>
    </row>
    <row r="470" spans="1:74" ht="30" customHeight="1" x14ac:dyDescent="0.25">
      <c r="A470" s="200">
        <f t="shared" si="7"/>
        <v>456</v>
      </c>
      <c r="B470" s="294" t="s">
        <v>162</v>
      </c>
      <c r="C470" s="295"/>
      <c r="D470" s="936"/>
      <c r="E470" s="937"/>
      <c r="F470" s="937"/>
      <c r="G470" s="937"/>
      <c r="H470" s="937"/>
      <c r="I470" s="937"/>
      <c r="J470" s="937"/>
      <c r="K470" s="938"/>
      <c r="L470" s="932"/>
      <c r="M470" s="932"/>
      <c r="N470" s="932"/>
      <c r="O470" s="932"/>
      <c r="P470" s="931"/>
      <c r="Q470" s="931"/>
      <c r="R470" s="931"/>
      <c r="S470" s="931"/>
      <c r="T470" s="933"/>
      <c r="U470" s="934"/>
      <c r="V470" s="934"/>
      <c r="W470" s="935"/>
      <c r="X470" s="936"/>
      <c r="Y470" s="937"/>
      <c r="Z470" s="937"/>
      <c r="AA470" s="938"/>
      <c r="AB470" s="594"/>
      <c r="AC470" s="595"/>
      <c r="AD470" s="596"/>
      <c r="AE470" s="779"/>
      <c r="AF470" s="939"/>
      <c r="AG470" s="780"/>
      <c r="AH470" s="941"/>
      <c r="AI470" s="942"/>
      <c r="AJ470" s="943"/>
      <c r="AK470" s="745"/>
      <c r="AL470" s="940"/>
      <c r="AM470" s="746"/>
      <c r="AN470" s="281"/>
      <c r="AO470" s="282"/>
      <c r="AP470" s="281"/>
      <c r="AQ470" s="282"/>
      <c r="AR470" s="281"/>
      <c r="AS470" s="282"/>
      <c r="AT470" s="281"/>
      <c r="AU470" s="282"/>
      <c r="AV470" s="281"/>
      <c r="AW470" s="282"/>
      <c r="AX470" s="281"/>
      <c r="AY470" s="282"/>
      <c r="AZ470" s="117"/>
      <c r="BA470" s="331"/>
      <c r="BB470" s="117"/>
      <c r="BC470" s="331"/>
      <c r="BD470" s="117"/>
      <c r="BE470" s="331"/>
      <c r="BF470" s="117"/>
      <c r="BG470" s="331"/>
      <c r="BH470" s="117"/>
      <c r="BI470" s="944" t="s">
        <v>212</v>
      </c>
      <c r="BJ470" s="944"/>
      <c r="BK470" s="944"/>
      <c r="BL470" s="944"/>
      <c r="BM470" s="944"/>
      <c r="BN470" s="944"/>
      <c r="BO470" s="944"/>
      <c r="BP470" s="944"/>
      <c r="BQ470" s="944"/>
      <c r="BR470" s="944"/>
      <c r="BS470" s="944"/>
      <c r="BT470" s="944"/>
      <c r="BU470" s="944"/>
      <c r="BV470" s="945"/>
    </row>
    <row r="471" spans="1:74" ht="30" customHeight="1" x14ac:dyDescent="0.25">
      <c r="A471" s="200">
        <f t="shared" si="7"/>
        <v>457</v>
      </c>
      <c r="B471" s="294" t="s">
        <v>162</v>
      </c>
      <c r="C471" s="295"/>
      <c r="D471" s="936"/>
      <c r="E471" s="937"/>
      <c r="F471" s="937"/>
      <c r="G471" s="937"/>
      <c r="H471" s="937"/>
      <c r="I471" s="937"/>
      <c r="J471" s="937"/>
      <c r="K471" s="938"/>
      <c r="L471" s="932"/>
      <c r="M471" s="932"/>
      <c r="N471" s="932"/>
      <c r="O471" s="932"/>
      <c r="P471" s="931"/>
      <c r="Q471" s="931"/>
      <c r="R471" s="931"/>
      <c r="S471" s="931"/>
      <c r="T471" s="933"/>
      <c r="U471" s="934"/>
      <c r="V471" s="934"/>
      <c r="W471" s="935"/>
      <c r="X471" s="936"/>
      <c r="Y471" s="937"/>
      <c r="Z471" s="937"/>
      <c r="AA471" s="938"/>
      <c r="AB471" s="594"/>
      <c r="AC471" s="595"/>
      <c r="AD471" s="596"/>
      <c r="AE471" s="779"/>
      <c r="AF471" s="939"/>
      <c r="AG471" s="780"/>
      <c r="AH471" s="941"/>
      <c r="AI471" s="942"/>
      <c r="AJ471" s="943"/>
      <c r="AK471" s="745"/>
      <c r="AL471" s="940"/>
      <c r="AM471" s="746"/>
      <c r="AN471" s="281"/>
      <c r="AO471" s="282"/>
      <c r="AP471" s="281"/>
      <c r="AQ471" s="282"/>
      <c r="AR471" s="281"/>
      <c r="AS471" s="282"/>
      <c r="AT471" s="281"/>
      <c r="AU471" s="282"/>
      <c r="AV471" s="281"/>
      <c r="AW471" s="282"/>
      <c r="AX471" s="281"/>
      <c r="AY471" s="282"/>
      <c r="AZ471" s="117"/>
      <c r="BA471" s="331"/>
      <c r="BB471" s="117"/>
      <c r="BC471" s="331"/>
      <c r="BD471" s="117"/>
      <c r="BE471" s="331"/>
      <c r="BF471" s="117"/>
      <c r="BG471" s="331"/>
      <c r="BH471" s="117"/>
      <c r="BI471" s="944" t="s">
        <v>159</v>
      </c>
      <c r="BJ471" s="944"/>
      <c r="BK471" s="944"/>
      <c r="BL471" s="944"/>
      <c r="BM471" s="944"/>
      <c r="BN471" s="944"/>
      <c r="BO471" s="944"/>
      <c r="BP471" s="944"/>
      <c r="BQ471" s="944"/>
      <c r="BR471" s="944"/>
      <c r="BS471" s="944"/>
      <c r="BT471" s="944"/>
      <c r="BU471" s="944"/>
      <c r="BV471" s="945"/>
    </row>
    <row r="472" spans="1:74" ht="30" customHeight="1" x14ac:dyDescent="0.25">
      <c r="A472" s="200">
        <f t="shared" si="7"/>
        <v>458</v>
      </c>
      <c r="B472" s="294" t="s">
        <v>162</v>
      </c>
      <c r="C472" s="295"/>
      <c r="D472" s="936"/>
      <c r="E472" s="937"/>
      <c r="F472" s="937"/>
      <c r="G472" s="937"/>
      <c r="H472" s="937"/>
      <c r="I472" s="937"/>
      <c r="J472" s="937"/>
      <c r="K472" s="938"/>
      <c r="L472" s="932"/>
      <c r="M472" s="932"/>
      <c r="N472" s="932"/>
      <c r="O472" s="932"/>
      <c r="P472" s="931"/>
      <c r="Q472" s="931"/>
      <c r="R472" s="931"/>
      <c r="S472" s="931"/>
      <c r="T472" s="933"/>
      <c r="U472" s="934"/>
      <c r="V472" s="934"/>
      <c r="W472" s="935"/>
      <c r="X472" s="936"/>
      <c r="Y472" s="937"/>
      <c r="Z472" s="937"/>
      <c r="AA472" s="938"/>
      <c r="AB472" s="594"/>
      <c r="AC472" s="595"/>
      <c r="AD472" s="596"/>
      <c r="AE472" s="779"/>
      <c r="AF472" s="939"/>
      <c r="AG472" s="780"/>
      <c r="AH472" s="941"/>
      <c r="AI472" s="942"/>
      <c r="AJ472" s="943"/>
      <c r="AK472" s="745"/>
      <c r="AL472" s="940"/>
      <c r="AM472" s="746"/>
      <c r="AN472" s="281"/>
      <c r="AO472" s="282"/>
      <c r="AP472" s="281"/>
      <c r="AQ472" s="282"/>
      <c r="AR472" s="281"/>
      <c r="AS472" s="282"/>
      <c r="AT472" s="281"/>
      <c r="AU472" s="282"/>
      <c r="AV472" s="281"/>
      <c r="AW472" s="282"/>
      <c r="AX472" s="281"/>
      <c r="AY472" s="282"/>
      <c r="AZ472" s="117"/>
      <c r="BA472" s="331"/>
      <c r="BB472" s="117"/>
      <c r="BC472" s="331"/>
      <c r="BD472" s="117"/>
      <c r="BE472" s="331"/>
      <c r="BF472" s="117"/>
      <c r="BG472" s="331"/>
      <c r="BH472" s="117"/>
      <c r="BI472" s="944" t="s">
        <v>159</v>
      </c>
      <c r="BJ472" s="944"/>
      <c r="BK472" s="944"/>
      <c r="BL472" s="944"/>
      <c r="BM472" s="944"/>
      <c r="BN472" s="944"/>
      <c r="BO472" s="944"/>
      <c r="BP472" s="944"/>
      <c r="BQ472" s="944"/>
      <c r="BR472" s="944"/>
      <c r="BS472" s="944"/>
      <c r="BT472" s="944"/>
      <c r="BU472" s="944"/>
      <c r="BV472" s="945"/>
    </row>
    <row r="473" spans="1:74" ht="30" customHeight="1" x14ac:dyDescent="0.25">
      <c r="A473" s="232">
        <f t="shared" si="7"/>
        <v>459</v>
      </c>
      <c r="B473" s="294" t="s">
        <v>162</v>
      </c>
      <c r="C473" s="295"/>
      <c r="D473" s="936"/>
      <c r="E473" s="937"/>
      <c r="F473" s="937"/>
      <c r="G473" s="937"/>
      <c r="H473" s="937"/>
      <c r="I473" s="937"/>
      <c r="J473" s="937"/>
      <c r="K473" s="938"/>
      <c r="L473" s="932"/>
      <c r="M473" s="932"/>
      <c r="N473" s="932"/>
      <c r="O473" s="932"/>
      <c r="P473" s="931"/>
      <c r="Q473" s="931"/>
      <c r="R473" s="931"/>
      <c r="S473" s="931"/>
      <c r="T473" s="933"/>
      <c r="U473" s="934"/>
      <c r="V473" s="934"/>
      <c r="W473" s="935"/>
      <c r="X473" s="936"/>
      <c r="Y473" s="937"/>
      <c r="Z473" s="937"/>
      <c r="AA473" s="938"/>
      <c r="AB473" s="594"/>
      <c r="AC473" s="595"/>
      <c r="AD473" s="596"/>
      <c r="AE473" s="779"/>
      <c r="AF473" s="939"/>
      <c r="AG473" s="780"/>
      <c r="AH473" s="941"/>
      <c r="AI473" s="942"/>
      <c r="AJ473" s="943"/>
      <c r="AK473" s="745"/>
      <c r="AL473" s="940"/>
      <c r="AM473" s="746"/>
      <c r="AN473" s="281"/>
      <c r="AO473" s="282"/>
      <c r="AP473" s="281"/>
      <c r="AQ473" s="282"/>
      <c r="AR473" s="281"/>
      <c r="AS473" s="282"/>
      <c r="AT473" s="281"/>
      <c r="AU473" s="282"/>
      <c r="AV473" s="281"/>
      <c r="AW473" s="282"/>
      <c r="AX473" s="281"/>
      <c r="AY473" s="282"/>
      <c r="AZ473" s="117"/>
      <c r="BA473" s="331"/>
      <c r="BB473" s="117"/>
      <c r="BC473" s="331"/>
      <c r="BD473" s="117"/>
      <c r="BE473" s="331"/>
      <c r="BF473" s="117"/>
      <c r="BG473" s="331"/>
      <c r="BH473" s="117"/>
      <c r="BI473" s="944" t="s">
        <v>212</v>
      </c>
      <c r="BJ473" s="944"/>
      <c r="BK473" s="944"/>
      <c r="BL473" s="944"/>
      <c r="BM473" s="944"/>
      <c r="BN473" s="944"/>
      <c r="BO473" s="944"/>
      <c r="BP473" s="944"/>
      <c r="BQ473" s="944"/>
      <c r="BR473" s="944"/>
      <c r="BS473" s="944"/>
      <c r="BT473" s="944"/>
      <c r="BU473" s="944"/>
      <c r="BV473" s="945"/>
    </row>
    <row r="474" spans="1:74" ht="30" customHeight="1" x14ac:dyDescent="0.25">
      <c r="A474" s="200">
        <f t="shared" si="7"/>
        <v>460</v>
      </c>
      <c r="B474" s="294" t="s">
        <v>162</v>
      </c>
      <c r="C474" s="295"/>
      <c r="D474" s="936"/>
      <c r="E474" s="937"/>
      <c r="F474" s="937"/>
      <c r="G474" s="937"/>
      <c r="H474" s="937"/>
      <c r="I474" s="937"/>
      <c r="J474" s="937"/>
      <c r="K474" s="938"/>
      <c r="L474" s="932"/>
      <c r="M474" s="932"/>
      <c r="N474" s="932"/>
      <c r="O474" s="932"/>
      <c r="P474" s="931"/>
      <c r="Q474" s="931"/>
      <c r="R474" s="931"/>
      <c r="S474" s="931"/>
      <c r="T474" s="933"/>
      <c r="U474" s="934"/>
      <c r="V474" s="934"/>
      <c r="W474" s="935"/>
      <c r="X474" s="936"/>
      <c r="Y474" s="937"/>
      <c r="Z474" s="937"/>
      <c r="AA474" s="938"/>
      <c r="AB474" s="594"/>
      <c r="AC474" s="595"/>
      <c r="AD474" s="596"/>
      <c r="AE474" s="779"/>
      <c r="AF474" s="939"/>
      <c r="AG474" s="780"/>
      <c r="AH474" s="941"/>
      <c r="AI474" s="942"/>
      <c r="AJ474" s="943"/>
      <c r="AK474" s="745"/>
      <c r="AL474" s="940"/>
      <c r="AM474" s="746"/>
      <c r="AN474" s="281"/>
      <c r="AO474" s="282"/>
      <c r="AP474" s="281"/>
      <c r="AQ474" s="282"/>
      <c r="AR474" s="281"/>
      <c r="AS474" s="282"/>
      <c r="AT474" s="281"/>
      <c r="AU474" s="282"/>
      <c r="AV474" s="281"/>
      <c r="AW474" s="282"/>
      <c r="AX474" s="281"/>
      <c r="AY474" s="282"/>
      <c r="AZ474" s="117"/>
      <c r="BA474" s="331"/>
      <c r="BB474" s="117"/>
      <c r="BC474" s="331"/>
      <c r="BD474" s="117"/>
      <c r="BE474" s="331"/>
      <c r="BF474" s="117"/>
      <c r="BG474" s="331"/>
      <c r="BH474" s="117"/>
      <c r="BI474" s="944" t="s">
        <v>212</v>
      </c>
      <c r="BJ474" s="944"/>
      <c r="BK474" s="944"/>
      <c r="BL474" s="944"/>
      <c r="BM474" s="944"/>
      <c r="BN474" s="944"/>
      <c r="BO474" s="944"/>
      <c r="BP474" s="944"/>
      <c r="BQ474" s="944"/>
      <c r="BR474" s="944"/>
      <c r="BS474" s="944"/>
      <c r="BT474" s="944"/>
      <c r="BU474" s="944"/>
      <c r="BV474" s="945"/>
    </row>
    <row r="475" spans="1:74" ht="30" customHeight="1" x14ac:dyDescent="0.25">
      <c r="A475" s="200">
        <f t="shared" si="7"/>
        <v>461</v>
      </c>
      <c r="B475" s="294" t="s">
        <v>162</v>
      </c>
      <c r="C475" s="295"/>
      <c r="D475" s="936"/>
      <c r="E475" s="937"/>
      <c r="F475" s="937"/>
      <c r="G475" s="937"/>
      <c r="H475" s="937"/>
      <c r="I475" s="937"/>
      <c r="J475" s="937"/>
      <c r="K475" s="938"/>
      <c r="L475" s="932"/>
      <c r="M475" s="932"/>
      <c r="N475" s="932"/>
      <c r="O475" s="932"/>
      <c r="P475" s="931"/>
      <c r="Q475" s="931"/>
      <c r="R475" s="931"/>
      <c r="S475" s="931"/>
      <c r="T475" s="933"/>
      <c r="U475" s="934"/>
      <c r="V475" s="934"/>
      <c r="W475" s="935"/>
      <c r="X475" s="936"/>
      <c r="Y475" s="937"/>
      <c r="Z475" s="937"/>
      <c r="AA475" s="938"/>
      <c r="AB475" s="594"/>
      <c r="AC475" s="595"/>
      <c r="AD475" s="596"/>
      <c r="AE475" s="779"/>
      <c r="AF475" s="939"/>
      <c r="AG475" s="780"/>
      <c r="AH475" s="941"/>
      <c r="AI475" s="942"/>
      <c r="AJ475" s="943"/>
      <c r="AK475" s="745"/>
      <c r="AL475" s="940"/>
      <c r="AM475" s="746"/>
      <c r="AN475" s="281"/>
      <c r="AO475" s="282"/>
      <c r="AP475" s="281"/>
      <c r="AQ475" s="282"/>
      <c r="AR475" s="281"/>
      <c r="AS475" s="282"/>
      <c r="AT475" s="281"/>
      <c r="AU475" s="282"/>
      <c r="AV475" s="281"/>
      <c r="AW475" s="282"/>
      <c r="AX475" s="281"/>
      <c r="AY475" s="282"/>
      <c r="AZ475" s="117"/>
      <c r="BA475" s="331"/>
      <c r="BB475" s="117"/>
      <c r="BC475" s="331"/>
      <c r="BD475" s="117"/>
      <c r="BE475" s="331"/>
      <c r="BF475" s="117"/>
      <c r="BG475" s="331"/>
      <c r="BH475" s="117"/>
      <c r="BI475" s="944" t="s">
        <v>212</v>
      </c>
      <c r="BJ475" s="944"/>
      <c r="BK475" s="944"/>
      <c r="BL475" s="944"/>
      <c r="BM475" s="944"/>
      <c r="BN475" s="944"/>
      <c r="BO475" s="944"/>
      <c r="BP475" s="944"/>
      <c r="BQ475" s="944"/>
      <c r="BR475" s="944"/>
      <c r="BS475" s="944"/>
      <c r="BT475" s="944"/>
      <c r="BU475" s="944"/>
      <c r="BV475" s="945"/>
    </row>
    <row r="476" spans="1:74" ht="30" customHeight="1" x14ac:dyDescent="0.25">
      <c r="A476" s="200">
        <f t="shared" si="7"/>
        <v>462</v>
      </c>
      <c r="B476" s="294" t="s">
        <v>162</v>
      </c>
      <c r="C476" s="295"/>
      <c r="D476" s="936"/>
      <c r="E476" s="937"/>
      <c r="F476" s="937"/>
      <c r="G476" s="937"/>
      <c r="H476" s="937"/>
      <c r="I476" s="937"/>
      <c r="J476" s="937"/>
      <c r="K476" s="938"/>
      <c r="L476" s="932"/>
      <c r="M476" s="932"/>
      <c r="N476" s="932"/>
      <c r="O476" s="932"/>
      <c r="P476" s="931"/>
      <c r="Q476" s="931"/>
      <c r="R476" s="931"/>
      <c r="S476" s="931"/>
      <c r="T476" s="933"/>
      <c r="U476" s="934"/>
      <c r="V476" s="934"/>
      <c r="W476" s="935"/>
      <c r="X476" s="936"/>
      <c r="Y476" s="937"/>
      <c r="Z476" s="937"/>
      <c r="AA476" s="938"/>
      <c r="AB476" s="594"/>
      <c r="AC476" s="595"/>
      <c r="AD476" s="596"/>
      <c r="AE476" s="779"/>
      <c r="AF476" s="939"/>
      <c r="AG476" s="780"/>
      <c r="AH476" s="941"/>
      <c r="AI476" s="942"/>
      <c r="AJ476" s="943"/>
      <c r="AK476" s="745"/>
      <c r="AL476" s="940"/>
      <c r="AM476" s="746"/>
      <c r="AN476" s="281"/>
      <c r="AO476" s="282"/>
      <c r="AP476" s="281"/>
      <c r="AQ476" s="282"/>
      <c r="AR476" s="281"/>
      <c r="AS476" s="282"/>
      <c r="AT476" s="281"/>
      <c r="AU476" s="282"/>
      <c r="AV476" s="281"/>
      <c r="AW476" s="282"/>
      <c r="AX476" s="281"/>
      <c r="AY476" s="282"/>
      <c r="AZ476" s="117"/>
      <c r="BA476" s="331"/>
      <c r="BB476" s="117"/>
      <c r="BC476" s="331"/>
      <c r="BD476" s="117"/>
      <c r="BE476" s="331"/>
      <c r="BF476" s="117"/>
      <c r="BG476" s="331"/>
      <c r="BH476" s="117"/>
      <c r="BI476" s="944" t="s">
        <v>212</v>
      </c>
      <c r="BJ476" s="944"/>
      <c r="BK476" s="944"/>
      <c r="BL476" s="944"/>
      <c r="BM476" s="944"/>
      <c r="BN476" s="944"/>
      <c r="BO476" s="944"/>
      <c r="BP476" s="944"/>
      <c r="BQ476" s="944"/>
      <c r="BR476" s="944"/>
      <c r="BS476" s="944"/>
      <c r="BT476" s="944"/>
      <c r="BU476" s="944"/>
      <c r="BV476" s="945"/>
    </row>
    <row r="477" spans="1:74" ht="30" customHeight="1" x14ac:dyDescent="0.25">
      <c r="A477" s="200">
        <f t="shared" si="7"/>
        <v>463</v>
      </c>
      <c r="B477" s="294" t="s">
        <v>162</v>
      </c>
      <c r="C477" s="295"/>
      <c r="D477" s="936"/>
      <c r="E477" s="937"/>
      <c r="F477" s="937"/>
      <c r="G477" s="937"/>
      <c r="H477" s="937"/>
      <c r="I477" s="937"/>
      <c r="J477" s="937"/>
      <c r="K477" s="938"/>
      <c r="L477" s="932"/>
      <c r="M477" s="932"/>
      <c r="N477" s="932"/>
      <c r="O477" s="932"/>
      <c r="P477" s="931"/>
      <c r="Q477" s="931"/>
      <c r="R477" s="931"/>
      <c r="S477" s="931"/>
      <c r="T477" s="933"/>
      <c r="U477" s="934"/>
      <c r="V477" s="934"/>
      <c r="W477" s="935"/>
      <c r="X477" s="936"/>
      <c r="Y477" s="937"/>
      <c r="Z477" s="937"/>
      <c r="AA477" s="938"/>
      <c r="AB477" s="594"/>
      <c r="AC477" s="595"/>
      <c r="AD477" s="596"/>
      <c r="AE477" s="779"/>
      <c r="AF477" s="939"/>
      <c r="AG477" s="780"/>
      <c r="AH477" s="941"/>
      <c r="AI477" s="942"/>
      <c r="AJ477" s="943"/>
      <c r="AK477" s="745"/>
      <c r="AL477" s="940"/>
      <c r="AM477" s="746"/>
      <c r="AN477" s="281"/>
      <c r="AO477" s="282"/>
      <c r="AP477" s="281"/>
      <c r="AQ477" s="282"/>
      <c r="AR477" s="281"/>
      <c r="AS477" s="282"/>
      <c r="AT477" s="281"/>
      <c r="AU477" s="282"/>
      <c r="AV477" s="281"/>
      <c r="AW477" s="282"/>
      <c r="AX477" s="281"/>
      <c r="AY477" s="282"/>
      <c r="AZ477" s="117"/>
      <c r="BA477" s="331"/>
      <c r="BB477" s="117"/>
      <c r="BC477" s="331"/>
      <c r="BD477" s="117"/>
      <c r="BE477" s="331"/>
      <c r="BF477" s="117"/>
      <c r="BG477" s="331"/>
      <c r="BH477" s="117"/>
      <c r="BI477" s="944" t="s">
        <v>212</v>
      </c>
      <c r="BJ477" s="944"/>
      <c r="BK477" s="944"/>
      <c r="BL477" s="944"/>
      <c r="BM477" s="944"/>
      <c r="BN477" s="944"/>
      <c r="BO477" s="944"/>
      <c r="BP477" s="944"/>
      <c r="BQ477" s="944"/>
      <c r="BR477" s="944"/>
      <c r="BS477" s="944"/>
      <c r="BT477" s="944"/>
      <c r="BU477" s="944"/>
      <c r="BV477" s="945"/>
    </row>
    <row r="478" spans="1:74" ht="30" customHeight="1" x14ac:dyDescent="0.25">
      <c r="A478" s="200">
        <f t="shared" si="7"/>
        <v>464</v>
      </c>
      <c r="B478" s="294" t="s">
        <v>162</v>
      </c>
      <c r="C478" s="295"/>
      <c r="D478" s="936"/>
      <c r="E478" s="937"/>
      <c r="F478" s="937"/>
      <c r="G478" s="937"/>
      <c r="H478" s="937"/>
      <c r="I478" s="937"/>
      <c r="J478" s="937"/>
      <c r="K478" s="938"/>
      <c r="L478" s="932"/>
      <c r="M478" s="932"/>
      <c r="N478" s="932"/>
      <c r="O478" s="932"/>
      <c r="P478" s="931"/>
      <c r="Q478" s="931"/>
      <c r="R478" s="931"/>
      <c r="S478" s="931"/>
      <c r="T478" s="933"/>
      <c r="U478" s="934"/>
      <c r="V478" s="934"/>
      <c r="W478" s="935"/>
      <c r="X478" s="936"/>
      <c r="Y478" s="937"/>
      <c r="Z478" s="937"/>
      <c r="AA478" s="938"/>
      <c r="AB478" s="594"/>
      <c r="AC478" s="595"/>
      <c r="AD478" s="596"/>
      <c r="AE478" s="779"/>
      <c r="AF478" s="939"/>
      <c r="AG478" s="780"/>
      <c r="AH478" s="941"/>
      <c r="AI478" s="942"/>
      <c r="AJ478" s="943"/>
      <c r="AK478" s="745"/>
      <c r="AL478" s="940"/>
      <c r="AM478" s="746"/>
      <c r="AN478" s="281"/>
      <c r="AO478" s="282"/>
      <c r="AP478" s="281"/>
      <c r="AQ478" s="282"/>
      <c r="AR478" s="281"/>
      <c r="AS478" s="282"/>
      <c r="AT478" s="281"/>
      <c r="AU478" s="282"/>
      <c r="AV478" s="281"/>
      <c r="AW478" s="282"/>
      <c r="AX478" s="281"/>
      <c r="AY478" s="282"/>
      <c r="AZ478" s="117"/>
      <c r="BA478" s="331"/>
      <c r="BB478" s="117"/>
      <c r="BC478" s="331"/>
      <c r="BD478" s="117"/>
      <c r="BE478" s="331"/>
      <c r="BF478" s="117"/>
      <c r="BG478" s="331"/>
      <c r="BH478" s="117"/>
      <c r="BI478" s="944" t="s">
        <v>159</v>
      </c>
      <c r="BJ478" s="944"/>
      <c r="BK478" s="944"/>
      <c r="BL478" s="944"/>
      <c r="BM478" s="944"/>
      <c r="BN478" s="944"/>
      <c r="BO478" s="944"/>
      <c r="BP478" s="944"/>
      <c r="BQ478" s="944"/>
      <c r="BR478" s="944"/>
      <c r="BS478" s="944"/>
      <c r="BT478" s="944"/>
      <c r="BU478" s="944"/>
      <c r="BV478" s="945"/>
    </row>
    <row r="479" spans="1:74" ht="30" customHeight="1" x14ac:dyDescent="0.25">
      <c r="A479" s="200">
        <f t="shared" si="7"/>
        <v>465</v>
      </c>
      <c r="B479" s="294" t="s">
        <v>162</v>
      </c>
      <c r="C479" s="295"/>
      <c r="D479" s="936"/>
      <c r="E479" s="937"/>
      <c r="F479" s="937"/>
      <c r="G479" s="937"/>
      <c r="H479" s="937"/>
      <c r="I479" s="937"/>
      <c r="J479" s="937"/>
      <c r="K479" s="938"/>
      <c r="L479" s="932"/>
      <c r="M479" s="932"/>
      <c r="N479" s="932"/>
      <c r="O479" s="932"/>
      <c r="P479" s="931"/>
      <c r="Q479" s="931"/>
      <c r="R479" s="931"/>
      <c r="S479" s="931"/>
      <c r="T479" s="933"/>
      <c r="U479" s="934"/>
      <c r="V479" s="934"/>
      <c r="W479" s="935"/>
      <c r="X479" s="936"/>
      <c r="Y479" s="937"/>
      <c r="Z479" s="937"/>
      <c r="AA479" s="938"/>
      <c r="AB479" s="594"/>
      <c r="AC479" s="595"/>
      <c r="AD479" s="596"/>
      <c r="AE479" s="779"/>
      <c r="AF479" s="939"/>
      <c r="AG479" s="780"/>
      <c r="AH479" s="941"/>
      <c r="AI479" s="942"/>
      <c r="AJ479" s="943"/>
      <c r="AK479" s="745"/>
      <c r="AL479" s="940"/>
      <c r="AM479" s="746"/>
      <c r="AN479" s="281"/>
      <c r="AO479" s="282"/>
      <c r="AP479" s="281"/>
      <c r="AQ479" s="282"/>
      <c r="AR479" s="281"/>
      <c r="AS479" s="282"/>
      <c r="AT479" s="281"/>
      <c r="AU479" s="282"/>
      <c r="AV479" s="281"/>
      <c r="AW479" s="282"/>
      <c r="AX479" s="281"/>
      <c r="AY479" s="282"/>
      <c r="AZ479" s="117"/>
      <c r="BA479" s="331"/>
      <c r="BB479" s="117"/>
      <c r="BC479" s="331"/>
      <c r="BD479" s="117"/>
      <c r="BE479" s="331"/>
      <c r="BF479" s="117"/>
      <c r="BG479" s="331"/>
      <c r="BH479" s="117"/>
      <c r="BI479" s="944" t="s">
        <v>159</v>
      </c>
      <c r="BJ479" s="944"/>
      <c r="BK479" s="944"/>
      <c r="BL479" s="944"/>
      <c r="BM479" s="944"/>
      <c r="BN479" s="944"/>
      <c r="BO479" s="944"/>
      <c r="BP479" s="944"/>
      <c r="BQ479" s="944"/>
      <c r="BR479" s="944"/>
      <c r="BS479" s="944"/>
      <c r="BT479" s="944"/>
      <c r="BU479" s="944"/>
      <c r="BV479" s="945"/>
    </row>
    <row r="480" spans="1:74" ht="30" customHeight="1" x14ac:dyDescent="0.25">
      <c r="A480" s="232">
        <f t="shared" si="7"/>
        <v>466</v>
      </c>
      <c r="B480" s="294" t="s">
        <v>162</v>
      </c>
      <c r="C480" s="295"/>
      <c r="D480" s="936"/>
      <c r="E480" s="937"/>
      <c r="F480" s="937"/>
      <c r="G480" s="937"/>
      <c r="H480" s="937"/>
      <c r="I480" s="937"/>
      <c r="J480" s="937"/>
      <c r="K480" s="938"/>
      <c r="L480" s="932"/>
      <c r="M480" s="932"/>
      <c r="N480" s="932"/>
      <c r="O480" s="932"/>
      <c r="P480" s="931"/>
      <c r="Q480" s="931"/>
      <c r="R480" s="931"/>
      <c r="S480" s="931"/>
      <c r="T480" s="933"/>
      <c r="U480" s="934"/>
      <c r="V480" s="934"/>
      <c r="W480" s="935"/>
      <c r="X480" s="936"/>
      <c r="Y480" s="937"/>
      <c r="Z480" s="937"/>
      <c r="AA480" s="938"/>
      <c r="AB480" s="594"/>
      <c r="AC480" s="595"/>
      <c r="AD480" s="596"/>
      <c r="AE480" s="779"/>
      <c r="AF480" s="939"/>
      <c r="AG480" s="780"/>
      <c r="AH480" s="941"/>
      <c r="AI480" s="942"/>
      <c r="AJ480" s="943"/>
      <c r="AK480" s="745"/>
      <c r="AL480" s="940"/>
      <c r="AM480" s="746"/>
      <c r="AN480" s="281"/>
      <c r="AO480" s="282"/>
      <c r="AP480" s="281"/>
      <c r="AQ480" s="282"/>
      <c r="AR480" s="281"/>
      <c r="AS480" s="282"/>
      <c r="AT480" s="281"/>
      <c r="AU480" s="282"/>
      <c r="AV480" s="281"/>
      <c r="AW480" s="282"/>
      <c r="AX480" s="281"/>
      <c r="AY480" s="282"/>
      <c r="AZ480" s="117"/>
      <c r="BA480" s="331"/>
      <c r="BB480" s="117"/>
      <c r="BC480" s="331"/>
      <c r="BD480" s="117"/>
      <c r="BE480" s="331"/>
      <c r="BF480" s="117"/>
      <c r="BG480" s="331"/>
      <c r="BH480" s="117"/>
      <c r="BI480" s="944" t="s">
        <v>212</v>
      </c>
      <c r="BJ480" s="944"/>
      <c r="BK480" s="944"/>
      <c r="BL480" s="944"/>
      <c r="BM480" s="944"/>
      <c r="BN480" s="944"/>
      <c r="BO480" s="944"/>
      <c r="BP480" s="944"/>
      <c r="BQ480" s="944"/>
      <c r="BR480" s="944"/>
      <c r="BS480" s="944"/>
      <c r="BT480" s="944"/>
      <c r="BU480" s="944"/>
      <c r="BV480" s="945"/>
    </row>
    <row r="481" spans="1:74" ht="30" customHeight="1" x14ac:dyDescent="0.25">
      <c r="A481" s="200">
        <f t="shared" si="7"/>
        <v>467</v>
      </c>
      <c r="B481" s="294" t="s">
        <v>162</v>
      </c>
      <c r="C481" s="295"/>
      <c r="D481" s="936"/>
      <c r="E481" s="937"/>
      <c r="F481" s="937"/>
      <c r="G481" s="937"/>
      <c r="H481" s="937"/>
      <c r="I481" s="937"/>
      <c r="J481" s="937"/>
      <c r="K481" s="938"/>
      <c r="L481" s="932"/>
      <c r="M481" s="932"/>
      <c r="N481" s="932"/>
      <c r="O481" s="932"/>
      <c r="P481" s="931"/>
      <c r="Q481" s="931"/>
      <c r="R481" s="931"/>
      <c r="S481" s="931"/>
      <c r="T481" s="933"/>
      <c r="U481" s="934"/>
      <c r="V481" s="934"/>
      <c r="W481" s="935"/>
      <c r="X481" s="936"/>
      <c r="Y481" s="937"/>
      <c r="Z481" s="937"/>
      <c r="AA481" s="938"/>
      <c r="AB481" s="594"/>
      <c r="AC481" s="595"/>
      <c r="AD481" s="596"/>
      <c r="AE481" s="779"/>
      <c r="AF481" s="939"/>
      <c r="AG481" s="780"/>
      <c r="AH481" s="941"/>
      <c r="AI481" s="942"/>
      <c r="AJ481" s="943"/>
      <c r="AK481" s="745"/>
      <c r="AL481" s="940"/>
      <c r="AM481" s="746"/>
      <c r="AN481" s="281"/>
      <c r="AO481" s="282"/>
      <c r="AP481" s="281"/>
      <c r="AQ481" s="282"/>
      <c r="AR481" s="281"/>
      <c r="AS481" s="282"/>
      <c r="AT481" s="281"/>
      <c r="AU481" s="282"/>
      <c r="AV481" s="281"/>
      <c r="AW481" s="282"/>
      <c r="AX481" s="281"/>
      <c r="AY481" s="282"/>
      <c r="AZ481" s="117"/>
      <c r="BA481" s="331"/>
      <c r="BB481" s="117"/>
      <c r="BC481" s="331"/>
      <c r="BD481" s="117"/>
      <c r="BE481" s="331"/>
      <c r="BF481" s="117"/>
      <c r="BG481" s="331"/>
      <c r="BH481" s="117"/>
      <c r="BI481" s="944" t="s">
        <v>212</v>
      </c>
      <c r="BJ481" s="944"/>
      <c r="BK481" s="944"/>
      <c r="BL481" s="944"/>
      <c r="BM481" s="944"/>
      <c r="BN481" s="944"/>
      <c r="BO481" s="944"/>
      <c r="BP481" s="944"/>
      <c r="BQ481" s="944"/>
      <c r="BR481" s="944"/>
      <c r="BS481" s="944"/>
      <c r="BT481" s="944"/>
      <c r="BU481" s="944"/>
      <c r="BV481" s="945"/>
    </row>
    <row r="482" spans="1:74" ht="30" customHeight="1" x14ac:dyDescent="0.25">
      <c r="A482" s="200">
        <f t="shared" si="7"/>
        <v>468</v>
      </c>
      <c r="B482" s="294" t="s">
        <v>162</v>
      </c>
      <c r="C482" s="295"/>
      <c r="D482" s="936"/>
      <c r="E482" s="937"/>
      <c r="F482" s="937"/>
      <c r="G482" s="937"/>
      <c r="H482" s="937"/>
      <c r="I482" s="937"/>
      <c r="J482" s="937"/>
      <c r="K482" s="938"/>
      <c r="L482" s="932"/>
      <c r="M482" s="932"/>
      <c r="N482" s="932"/>
      <c r="O482" s="932"/>
      <c r="P482" s="931"/>
      <c r="Q482" s="931"/>
      <c r="R482" s="931"/>
      <c r="S482" s="931"/>
      <c r="T482" s="933"/>
      <c r="U482" s="934"/>
      <c r="V482" s="934"/>
      <c r="W482" s="935"/>
      <c r="X482" s="936"/>
      <c r="Y482" s="937"/>
      <c r="Z482" s="937"/>
      <c r="AA482" s="938"/>
      <c r="AB482" s="594"/>
      <c r="AC482" s="595"/>
      <c r="AD482" s="596"/>
      <c r="AE482" s="779"/>
      <c r="AF482" s="939"/>
      <c r="AG482" s="780"/>
      <c r="AH482" s="941"/>
      <c r="AI482" s="942"/>
      <c r="AJ482" s="943"/>
      <c r="AK482" s="745"/>
      <c r="AL482" s="940"/>
      <c r="AM482" s="746"/>
      <c r="AN482" s="281"/>
      <c r="AO482" s="282"/>
      <c r="AP482" s="281"/>
      <c r="AQ482" s="282"/>
      <c r="AR482" s="281"/>
      <c r="AS482" s="282"/>
      <c r="AT482" s="281"/>
      <c r="AU482" s="282"/>
      <c r="AV482" s="281"/>
      <c r="AW482" s="282"/>
      <c r="AX482" s="281"/>
      <c r="AY482" s="282"/>
      <c r="AZ482" s="117"/>
      <c r="BA482" s="331"/>
      <c r="BB482" s="117"/>
      <c r="BC482" s="331"/>
      <c r="BD482" s="117"/>
      <c r="BE482" s="331"/>
      <c r="BF482" s="117"/>
      <c r="BG482" s="331"/>
      <c r="BH482" s="117"/>
      <c r="BI482" s="944" t="s">
        <v>212</v>
      </c>
      <c r="BJ482" s="944"/>
      <c r="BK482" s="944"/>
      <c r="BL482" s="944"/>
      <c r="BM482" s="944"/>
      <c r="BN482" s="944"/>
      <c r="BO482" s="944"/>
      <c r="BP482" s="944"/>
      <c r="BQ482" s="944"/>
      <c r="BR482" s="944"/>
      <c r="BS482" s="944"/>
      <c r="BT482" s="944"/>
      <c r="BU482" s="944"/>
      <c r="BV482" s="945"/>
    </row>
    <row r="483" spans="1:74" ht="30" customHeight="1" x14ac:dyDescent="0.25">
      <c r="A483" s="200">
        <f t="shared" si="7"/>
        <v>469</v>
      </c>
      <c r="B483" s="294" t="s">
        <v>162</v>
      </c>
      <c r="C483" s="295"/>
      <c r="D483" s="936"/>
      <c r="E483" s="937"/>
      <c r="F483" s="937"/>
      <c r="G483" s="937"/>
      <c r="H483" s="937"/>
      <c r="I483" s="937"/>
      <c r="J483" s="937"/>
      <c r="K483" s="938"/>
      <c r="L483" s="932"/>
      <c r="M483" s="932"/>
      <c r="N483" s="932"/>
      <c r="O483" s="932"/>
      <c r="P483" s="931"/>
      <c r="Q483" s="931"/>
      <c r="R483" s="931"/>
      <c r="S483" s="931"/>
      <c r="T483" s="933"/>
      <c r="U483" s="934"/>
      <c r="V483" s="934"/>
      <c r="W483" s="935"/>
      <c r="X483" s="936"/>
      <c r="Y483" s="937"/>
      <c r="Z483" s="937"/>
      <c r="AA483" s="938"/>
      <c r="AB483" s="594"/>
      <c r="AC483" s="595"/>
      <c r="AD483" s="596"/>
      <c r="AE483" s="779"/>
      <c r="AF483" s="939"/>
      <c r="AG483" s="780"/>
      <c r="AH483" s="941"/>
      <c r="AI483" s="942"/>
      <c r="AJ483" s="943"/>
      <c r="AK483" s="745"/>
      <c r="AL483" s="940"/>
      <c r="AM483" s="746"/>
      <c r="AN483" s="281"/>
      <c r="AO483" s="282"/>
      <c r="AP483" s="281"/>
      <c r="AQ483" s="282"/>
      <c r="AR483" s="281"/>
      <c r="AS483" s="282"/>
      <c r="AT483" s="281"/>
      <c r="AU483" s="282"/>
      <c r="AV483" s="281"/>
      <c r="AW483" s="282"/>
      <c r="AX483" s="281"/>
      <c r="AY483" s="282"/>
      <c r="AZ483" s="117"/>
      <c r="BA483" s="331"/>
      <c r="BB483" s="117"/>
      <c r="BC483" s="331"/>
      <c r="BD483" s="117"/>
      <c r="BE483" s="331"/>
      <c r="BF483" s="117"/>
      <c r="BG483" s="331"/>
      <c r="BH483" s="117"/>
      <c r="BI483" s="944" t="s">
        <v>212</v>
      </c>
      <c r="BJ483" s="944"/>
      <c r="BK483" s="944"/>
      <c r="BL483" s="944"/>
      <c r="BM483" s="944"/>
      <c r="BN483" s="944"/>
      <c r="BO483" s="944"/>
      <c r="BP483" s="944"/>
      <c r="BQ483" s="944"/>
      <c r="BR483" s="944"/>
      <c r="BS483" s="944"/>
      <c r="BT483" s="944"/>
      <c r="BU483" s="944"/>
      <c r="BV483" s="945"/>
    </row>
    <row r="484" spans="1:74" ht="30" customHeight="1" x14ac:dyDescent="0.25">
      <c r="A484" s="200">
        <f t="shared" si="7"/>
        <v>470</v>
      </c>
      <c r="B484" s="294" t="s">
        <v>162</v>
      </c>
      <c r="C484" s="295"/>
      <c r="D484" s="936"/>
      <c r="E484" s="937"/>
      <c r="F484" s="937"/>
      <c r="G484" s="937"/>
      <c r="H484" s="937"/>
      <c r="I484" s="937"/>
      <c r="J484" s="937"/>
      <c r="K484" s="938"/>
      <c r="L484" s="932"/>
      <c r="M484" s="932"/>
      <c r="N484" s="932"/>
      <c r="O484" s="932"/>
      <c r="P484" s="931"/>
      <c r="Q484" s="931"/>
      <c r="R484" s="931"/>
      <c r="S484" s="931"/>
      <c r="T484" s="933"/>
      <c r="U484" s="934"/>
      <c r="V484" s="934"/>
      <c r="W484" s="935"/>
      <c r="X484" s="936"/>
      <c r="Y484" s="937"/>
      <c r="Z484" s="937"/>
      <c r="AA484" s="938"/>
      <c r="AB484" s="594"/>
      <c r="AC484" s="595"/>
      <c r="AD484" s="596"/>
      <c r="AE484" s="779"/>
      <c r="AF484" s="939"/>
      <c r="AG484" s="780"/>
      <c r="AH484" s="941"/>
      <c r="AI484" s="942"/>
      <c r="AJ484" s="943"/>
      <c r="AK484" s="745"/>
      <c r="AL484" s="940"/>
      <c r="AM484" s="746"/>
      <c r="AN484" s="281"/>
      <c r="AO484" s="282"/>
      <c r="AP484" s="281"/>
      <c r="AQ484" s="282"/>
      <c r="AR484" s="281"/>
      <c r="AS484" s="282"/>
      <c r="AT484" s="281"/>
      <c r="AU484" s="282"/>
      <c r="AV484" s="281"/>
      <c r="AW484" s="282"/>
      <c r="AX484" s="281"/>
      <c r="AY484" s="282"/>
      <c r="AZ484" s="117"/>
      <c r="BA484" s="331"/>
      <c r="BB484" s="117"/>
      <c r="BC484" s="331"/>
      <c r="BD484" s="117"/>
      <c r="BE484" s="331"/>
      <c r="BF484" s="117"/>
      <c r="BG484" s="331"/>
      <c r="BH484" s="117"/>
      <c r="BI484" s="944" t="s">
        <v>212</v>
      </c>
      <c r="BJ484" s="944"/>
      <c r="BK484" s="944"/>
      <c r="BL484" s="944"/>
      <c r="BM484" s="944"/>
      <c r="BN484" s="944"/>
      <c r="BO484" s="944"/>
      <c r="BP484" s="944"/>
      <c r="BQ484" s="944"/>
      <c r="BR484" s="944"/>
      <c r="BS484" s="944"/>
      <c r="BT484" s="944"/>
      <c r="BU484" s="944"/>
      <c r="BV484" s="945"/>
    </row>
    <row r="485" spans="1:74" ht="30" customHeight="1" x14ac:dyDescent="0.25">
      <c r="A485" s="200">
        <f t="shared" si="7"/>
        <v>471</v>
      </c>
      <c r="B485" s="294" t="s">
        <v>162</v>
      </c>
      <c r="C485" s="295"/>
      <c r="D485" s="936"/>
      <c r="E485" s="937"/>
      <c r="F485" s="937"/>
      <c r="G485" s="937"/>
      <c r="H485" s="937"/>
      <c r="I485" s="937"/>
      <c r="J485" s="937"/>
      <c r="K485" s="938"/>
      <c r="L485" s="932"/>
      <c r="M485" s="932"/>
      <c r="N485" s="932"/>
      <c r="O485" s="932"/>
      <c r="P485" s="931"/>
      <c r="Q485" s="931"/>
      <c r="R485" s="931"/>
      <c r="S485" s="931"/>
      <c r="T485" s="933"/>
      <c r="U485" s="934"/>
      <c r="V485" s="934"/>
      <c r="W485" s="935"/>
      <c r="X485" s="936"/>
      <c r="Y485" s="937"/>
      <c r="Z485" s="937"/>
      <c r="AA485" s="938"/>
      <c r="AB485" s="594"/>
      <c r="AC485" s="595"/>
      <c r="AD485" s="596"/>
      <c r="AE485" s="779"/>
      <c r="AF485" s="939"/>
      <c r="AG485" s="780"/>
      <c r="AH485" s="941"/>
      <c r="AI485" s="942"/>
      <c r="AJ485" s="943"/>
      <c r="AK485" s="745"/>
      <c r="AL485" s="940"/>
      <c r="AM485" s="746"/>
      <c r="AN485" s="281"/>
      <c r="AO485" s="282"/>
      <c r="AP485" s="281"/>
      <c r="AQ485" s="282"/>
      <c r="AR485" s="281"/>
      <c r="AS485" s="282"/>
      <c r="AT485" s="281"/>
      <c r="AU485" s="282"/>
      <c r="AV485" s="281"/>
      <c r="AW485" s="282"/>
      <c r="AX485" s="281"/>
      <c r="AY485" s="282"/>
      <c r="AZ485" s="117"/>
      <c r="BA485" s="331"/>
      <c r="BB485" s="117"/>
      <c r="BC485" s="331"/>
      <c r="BD485" s="117"/>
      <c r="BE485" s="331"/>
      <c r="BF485" s="117"/>
      <c r="BG485" s="331"/>
      <c r="BH485" s="117"/>
      <c r="BI485" s="944" t="s">
        <v>159</v>
      </c>
      <c r="BJ485" s="944"/>
      <c r="BK485" s="944"/>
      <c r="BL485" s="944"/>
      <c r="BM485" s="944"/>
      <c r="BN485" s="944"/>
      <c r="BO485" s="944"/>
      <c r="BP485" s="944"/>
      <c r="BQ485" s="944"/>
      <c r="BR485" s="944"/>
      <c r="BS485" s="944"/>
      <c r="BT485" s="944"/>
      <c r="BU485" s="944"/>
      <c r="BV485" s="945"/>
    </row>
    <row r="486" spans="1:74" ht="30" customHeight="1" x14ac:dyDescent="0.25">
      <c r="A486" s="200">
        <f t="shared" si="7"/>
        <v>472</v>
      </c>
      <c r="B486" s="294" t="s">
        <v>162</v>
      </c>
      <c r="C486" s="295"/>
      <c r="D486" s="936"/>
      <c r="E486" s="937"/>
      <c r="F486" s="937"/>
      <c r="G486" s="937"/>
      <c r="H486" s="937"/>
      <c r="I486" s="937"/>
      <c r="J486" s="937"/>
      <c r="K486" s="938"/>
      <c r="L486" s="932"/>
      <c r="M486" s="932"/>
      <c r="N486" s="932"/>
      <c r="O486" s="932"/>
      <c r="P486" s="931"/>
      <c r="Q486" s="931"/>
      <c r="R486" s="931"/>
      <c r="S486" s="931"/>
      <c r="T486" s="933"/>
      <c r="U486" s="934"/>
      <c r="V486" s="934"/>
      <c r="W486" s="935"/>
      <c r="X486" s="936"/>
      <c r="Y486" s="937"/>
      <c r="Z486" s="937"/>
      <c r="AA486" s="938"/>
      <c r="AB486" s="594"/>
      <c r="AC486" s="595"/>
      <c r="AD486" s="596"/>
      <c r="AE486" s="779"/>
      <c r="AF486" s="939"/>
      <c r="AG486" s="780"/>
      <c r="AH486" s="941"/>
      <c r="AI486" s="942"/>
      <c r="AJ486" s="943"/>
      <c r="AK486" s="745"/>
      <c r="AL486" s="940"/>
      <c r="AM486" s="746"/>
      <c r="AN486" s="281"/>
      <c r="AO486" s="282"/>
      <c r="AP486" s="281"/>
      <c r="AQ486" s="282"/>
      <c r="AR486" s="281"/>
      <c r="AS486" s="282"/>
      <c r="AT486" s="281"/>
      <c r="AU486" s="282"/>
      <c r="AV486" s="281"/>
      <c r="AW486" s="282"/>
      <c r="AX486" s="281"/>
      <c r="AY486" s="282"/>
      <c r="AZ486" s="117"/>
      <c r="BA486" s="331"/>
      <c r="BB486" s="117"/>
      <c r="BC486" s="331"/>
      <c r="BD486" s="117"/>
      <c r="BE486" s="331"/>
      <c r="BF486" s="117"/>
      <c r="BG486" s="331"/>
      <c r="BH486" s="117"/>
      <c r="BI486" s="944" t="s">
        <v>159</v>
      </c>
      <c r="BJ486" s="944"/>
      <c r="BK486" s="944"/>
      <c r="BL486" s="944"/>
      <c r="BM486" s="944"/>
      <c r="BN486" s="944"/>
      <c r="BO486" s="944"/>
      <c r="BP486" s="944"/>
      <c r="BQ486" s="944"/>
      <c r="BR486" s="944"/>
      <c r="BS486" s="944"/>
      <c r="BT486" s="944"/>
      <c r="BU486" s="944"/>
      <c r="BV486" s="945"/>
    </row>
    <row r="487" spans="1:74" ht="30" customHeight="1" x14ac:dyDescent="0.25">
      <c r="A487" s="232">
        <f t="shared" si="7"/>
        <v>473</v>
      </c>
      <c r="B487" s="294" t="s">
        <v>162</v>
      </c>
      <c r="C487" s="295"/>
      <c r="D487" s="936"/>
      <c r="E487" s="937"/>
      <c r="F487" s="937"/>
      <c r="G487" s="937"/>
      <c r="H487" s="937"/>
      <c r="I487" s="937"/>
      <c r="J487" s="937"/>
      <c r="K487" s="938"/>
      <c r="L487" s="932"/>
      <c r="M487" s="932"/>
      <c r="N487" s="932"/>
      <c r="O487" s="932"/>
      <c r="P487" s="931"/>
      <c r="Q487" s="931"/>
      <c r="R487" s="931"/>
      <c r="S487" s="931"/>
      <c r="T487" s="933"/>
      <c r="U487" s="934"/>
      <c r="V487" s="934"/>
      <c r="W487" s="935"/>
      <c r="X487" s="936"/>
      <c r="Y487" s="937"/>
      <c r="Z487" s="937"/>
      <c r="AA487" s="938"/>
      <c r="AB487" s="594"/>
      <c r="AC487" s="595"/>
      <c r="AD487" s="596"/>
      <c r="AE487" s="779"/>
      <c r="AF487" s="939"/>
      <c r="AG487" s="780"/>
      <c r="AH487" s="941"/>
      <c r="AI487" s="942"/>
      <c r="AJ487" s="943"/>
      <c r="AK487" s="745"/>
      <c r="AL487" s="940"/>
      <c r="AM487" s="746"/>
      <c r="AN487" s="281"/>
      <c r="AO487" s="282"/>
      <c r="AP487" s="281"/>
      <c r="AQ487" s="282"/>
      <c r="AR487" s="281"/>
      <c r="AS487" s="282"/>
      <c r="AT487" s="281"/>
      <c r="AU487" s="282"/>
      <c r="AV487" s="281"/>
      <c r="AW487" s="282"/>
      <c r="AX487" s="281"/>
      <c r="AY487" s="282"/>
      <c r="AZ487" s="117"/>
      <c r="BA487" s="331"/>
      <c r="BB487" s="117"/>
      <c r="BC487" s="331"/>
      <c r="BD487" s="117"/>
      <c r="BE487" s="331"/>
      <c r="BF487" s="117"/>
      <c r="BG487" s="331"/>
      <c r="BH487" s="117"/>
      <c r="BI487" s="944" t="s">
        <v>212</v>
      </c>
      <c r="BJ487" s="944"/>
      <c r="BK487" s="944"/>
      <c r="BL487" s="944"/>
      <c r="BM487" s="944"/>
      <c r="BN487" s="944"/>
      <c r="BO487" s="944"/>
      <c r="BP487" s="944"/>
      <c r="BQ487" s="944"/>
      <c r="BR487" s="944"/>
      <c r="BS487" s="944"/>
      <c r="BT487" s="944"/>
      <c r="BU487" s="944"/>
      <c r="BV487" s="945"/>
    </row>
    <row r="488" spans="1:74" ht="30" customHeight="1" x14ac:dyDescent="0.25">
      <c r="A488" s="200">
        <f t="shared" si="7"/>
        <v>474</v>
      </c>
      <c r="B488" s="294" t="s">
        <v>162</v>
      </c>
      <c r="C488" s="295"/>
      <c r="D488" s="936"/>
      <c r="E488" s="937"/>
      <c r="F488" s="937"/>
      <c r="G488" s="937"/>
      <c r="H488" s="937"/>
      <c r="I488" s="937"/>
      <c r="J488" s="937"/>
      <c r="K488" s="938"/>
      <c r="L488" s="932"/>
      <c r="M488" s="932"/>
      <c r="N488" s="932"/>
      <c r="O488" s="932"/>
      <c r="P488" s="931"/>
      <c r="Q488" s="931"/>
      <c r="R488" s="931"/>
      <c r="S488" s="931"/>
      <c r="T488" s="933"/>
      <c r="U488" s="934"/>
      <c r="V488" s="934"/>
      <c r="W488" s="935"/>
      <c r="X488" s="936"/>
      <c r="Y488" s="937"/>
      <c r="Z488" s="937"/>
      <c r="AA488" s="938"/>
      <c r="AB488" s="594"/>
      <c r="AC488" s="595"/>
      <c r="AD488" s="596"/>
      <c r="AE488" s="779"/>
      <c r="AF488" s="939"/>
      <c r="AG488" s="780"/>
      <c r="AH488" s="941"/>
      <c r="AI488" s="942"/>
      <c r="AJ488" s="943"/>
      <c r="AK488" s="745"/>
      <c r="AL488" s="940"/>
      <c r="AM488" s="746"/>
      <c r="AN488" s="281"/>
      <c r="AO488" s="282"/>
      <c r="AP488" s="281"/>
      <c r="AQ488" s="282"/>
      <c r="AR488" s="281"/>
      <c r="AS488" s="282"/>
      <c r="AT488" s="281"/>
      <c r="AU488" s="282"/>
      <c r="AV488" s="281"/>
      <c r="AW488" s="282"/>
      <c r="AX488" s="281"/>
      <c r="AY488" s="282"/>
      <c r="AZ488" s="117"/>
      <c r="BA488" s="331"/>
      <c r="BB488" s="117"/>
      <c r="BC488" s="331"/>
      <c r="BD488" s="117"/>
      <c r="BE488" s="331"/>
      <c r="BF488" s="117"/>
      <c r="BG488" s="331"/>
      <c r="BH488" s="117"/>
      <c r="BI488" s="944" t="s">
        <v>212</v>
      </c>
      <c r="BJ488" s="944"/>
      <c r="BK488" s="944"/>
      <c r="BL488" s="944"/>
      <c r="BM488" s="944"/>
      <c r="BN488" s="944"/>
      <c r="BO488" s="944"/>
      <c r="BP488" s="944"/>
      <c r="BQ488" s="944"/>
      <c r="BR488" s="944"/>
      <c r="BS488" s="944"/>
      <c r="BT488" s="944"/>
      <c r="BU488" s="944"/>
      <c r="BV488" s="945"/>
    </row>
    <row r="489" spans="1:74" ht="30" customHeight="1" x14ac:dyDescent="0.25">
      <c r="A489" s="200">
        <f t="shared" si="7"/>
        <v>475</v>
      </c>
      <c r="B489" s="294" t="s">
        <v>162</v>
      </c>
      <c r="C489" s="295"/>
      <c r="D489" s="936"/>
      <c r="E489" s="937"/>
      <c r="F489" s="937"/>
      <c r="G489" s="937"/>
      <c r="H489" s="937"/>
      <c r="I489" s="937"/>
      <c r="J489" s="937"/>
      <c r="K489" s="938"/>
      <c r="L489" s="932"/>
      <c r="M489" s="932"/>
      <c r="N489" s="932"/>
      <c r="O489" s="932"/>
      <c r="P489" s="931"/>
      <c r="Q489" s="931"/>
      <c r="R489" s="931"/>
      <c r="S489" s="931"/>
      <c r="T489" s="933"/>
      <c r="U489" s="934"/>
      <c r="V489" s="934"/>
      <c r="W489" s="935"/>
      <c r="X489" s="936"/>
      <c r="Y489" s="937"/>
      <c r="Z489" s="937"/>
      <c r="AA489" s="938"/>
      <c r="AB489" s="594"/>
      <c r="AC489" s="595"/>
      <c r="AD489" s="596"/>
      <c r="AE489" s="779"/>
      <c r="AF489" s="939"/>
      <c r="AG489" s="780"/>
      <c r="AH489" s="941"/>
      <c r="AI489" s="942"/>
      <c r="AJ489" s="943"/>
      <c r="AK489" s="745"/>
      <c r="AL489" s="940"/>
      <c r="AM489" s="746"/>
      <c r="AN489" s="281"/>
      <c r="AO489" s="282"/>
      <c r="AP489" s="281"/>
      <c r="AQ489" s="282"/>
      <c r="AR489" s="281"/>
      <c r="AS489" s="282"/>
      <c r="AT489" s="281"/>
      <c r="AU489" s="282"/>
      <c r="AV489" s="281"/>
      <c r="AW489" s="282"/>
      <c r="AX489" s="281"/>
      <c r="AY489" s="282"/>
      <c r="AZ489" s="117"/>
      <c r="BA489" s="331"/>
      <c r="BB489" s="117"/>
      <c r="BC489" s="331"/>
      <c r="BD489" s="117"/>
      <c r="BE489" s="331"/>
      <c r="BF489" s="117"/>
      <c r="BG489" s="331"/>
      <c r="BH489" s="117"/>
      <c r="BI489" s="944" t="s">
        <v>212</v>
      </c>
      <c r="BJ489" s="944"/>
      <c r="BK489" s="944"/>
      <c r="BL489" s="944"/>
      <c r="BM489" s="944"/>
      <c r="BN489" s="944"/>
      <c r="BO489" s="944"/>
      <c r="BP489" s="944"/>
      <c r="BQ489" s="944"/>
      <c r="BR489" s="944"/>
      <c r="BS489" s="944"/>
      <c r="BT489" s="944"/>
      <c r="BU489" s="944"/>
      <c r="BV489" s="945"/>
    </row>
    <row r="490" spans="1:74" ht="30" customHeight="1" x14ac:dyDescent="0.25">
      <c r="A490" s="200">
        <f t="shared" si="7"/>
        <v>476</v>
      </c>
      <c r="B490" s="294" t="s">
        <v>162</v>
      </c>
      <c r="C490" s="295"/>
      <c r="D490" s="936"/>
      <c r="E490" s="937"/>
      <c r="F490" s="937"/>
      <c r="G490" s="937"/>
      <c r="H490" s="937"/>
      <c r="I490" s="937"/>
      <c r="J490" s="937"/>
      <c r="K490" s="938"/>
      <c r="L490" s="932"/>
      <c r="M490" s="932"/>
      <c r="N490" s="932"/>
      <c r="O490" s="932"/>
      <c r="P490" s="931"/>
      <c r="Q490" s="931"/>
      <c r="R490" s="931"/>
      <c r="S490" s="931"/>
      <c r="T490" s="933"/>
      <c r="U490" s="934"/>
      <c r="V490" s="934"/>
      <c r="W490" s="935"/>
      <c r="X490" s="936"/>
      <c r="Y490" s="937"/>
      <c r="Z490" s="937"/>
      <c r="AA490" s="938"/>
      <c r="AB490" s="594"/>
      <c r="AC490" s="595"/>
      <c r="AD490" s="596"/>
      <c r="AE490" s="779"/>
      <c r="AF490" s="939"/>
      <c r="AG490" s="780"/>
      <c r="AH490" s="941"/>
      <c r="AI490" s="942"/>
      <c r="AJ490" s="943"/>
      <c r="AK490" s="745"/>
      <c r="AL490" s="940"/>
      <c r="AM490" s="746"/>
      <c r="AN490" s="281"/>
      <c r="AO490" s="282"/>
      <c r="AP490" s="281"/>
      <c r="AQ490" s="282"/>
      <c r="AR490" s="281"/>
      <c r="AS490" s="282"/>
      <c r="AT490" s="281"/>
      <c r="AU490" s="282"/>
      <c r="AV490" s="281"/>
      <c r="AW490" s="282"/>
      <c r="AX490" s="281"/>
      <c r="AY490" s="282"/>
      <c r="AZ490" s="117"/>
      <c r="BA490" s="331"/>
      <c r="BB490" s="117"/>
      <c r="BC490" s="331"/>
      <c r="BD490" s="117"/>
      <c r="BE490" s="331"/>
      <c r="BF490" s="117"/>
      <c r="BG490" s="331"/>
      <c r="BH490" s="117"/>
      <c r="BI490" s="944" t="s">
        <v>212</v>
      </c>
      <c r="BJ490" s="944"/>
      <c r="BK490" s="944"/>
      <c r="BL490" s="944"/>
      <c r="BM490" s="944"/>
      <c r="BN490" s="944"/>
      <c r="BO490" s="944"/>
      <c r="BP490" s="944"/>
      <c r="BQ490" s="944"/>
      <c r="BR490" s="944"/>
      <c r="BS490" s="944"/>
      <c r="BT490" s="944"/>
      <c r="BU490" s="944"/>
      <c r="BV490" s="945"/>
    </row>
    <row r="491" spans="1:74" ht="30" customHeight="1" x14ac:dyDescent="0.25">
      <c r="A491" s="200">
        <f t="shared" si="7"/>
        <v>477</v>
      </c>
      <c r="B491" s="294" t="s">
        <v>162</v>
      </c>
      <c r="C491" s="295"/>
      <c r="D491" s="936"/>
      <c r="E491" s="937"/>
      <c r="F491" s="937"/>
      <c r="G491" s="937"/>
      <c r="H491" s="937"/>
      <c r="I491" s="937"/>
      <c r="J491" s="937"/>
      <c r="K491" s="938"/>
      <c r="L491" s="932"/>
      <c r="M491" s="932"/>
      <c r="N491" s="932"/>
      <c r="O491" s="932"/>
      <c r="P491" s="931"/>
      <c r="Q491" s="931"/>
      <c r="R491" s="931"/>
      <c r="S491" s="931"/>
      <c r="T491" s="933"/>
      <c r="U491" s="934"/>
      <c r="V491" s="934"/>
      <c r="W491" s="935"/>
      <c r="X491" s="936"/>
      <c r="Y491" s="937"/>
      <c r="Z491" s="937"/>
      <c r="AA491" s="938"/>
      <c r="AB491" s="594"/>
      <c r="AC491" s="595"/>
      <c r="AD491" s="596"/>
      <c r="AE491" s="779"/>
      <c r="AF491" s="939"/>
      <c r="AG491" s="780"/>
      <c r="AH491" s="941"/>
      <c r="AI491" s="942"/>
      <c r="AJ491" s="943"/>
      <c r="AK491" s="745"/>
      <c r="AL491" s="940"/>
      <c r="AM491" s="746"/>
      <c r="AN491" s="281"/>
      <c r="AO491" s="282"/>
      <c r="AP491" s="281"/>
      <c r="AQ491" s="282"/>
      <c r="AR491" s="281"/>
      <c r="AS491" s="282"/>
      <c r="AT491" s="281"/>
      <c r="AU491" s="282"/>
      <c r="AV491" s="281"/>
      <c r="AW491" s="282"/>
      <c r="AX491" s="281"/>
      <c r="AY491" s="282"/>
      <c r="AZ491" s="117"/>
      <c r="BA491" s="331"/>
      <c r="BB491" s="117"/>
      <c r="BC491" s="331"/>
      <c r="BD491" s="117"/>
      <c r="BE491" s="331"/>
      <c r="BF491" s="117"/>
      <c r="BG491" s="331"/>
      <c r="BH491" s="117"/>
      <c r="BI491" s="944" t="s">
        <v>212</v>
      </c>
      <c r="BJ491" s="944"/>
      <c r="BK491" s="944"/>
      <c r="BL491" s="944"/>
      <c r="BM491" s="944"/>
      <c r="BN491" s="944"/>
      <c r="BO491" s="944"/>
      <c r="BP491" s="944"/>
      <c r="BQ491" s="944"/>
      <c r="BR491" s="944"/>
      <c r="BS491" s="944"/>
      <c r="BT491" s="944"/>
      <c r="BU491" s="944"/>
      <c r="BV491" s="945"/>
    </row>
    <row r="492" spans="1:74" ht="30" customHeight="1" x14ac:dyDescent="0.25">
      <c r="A492" s="200">
        <f t="shared" si="7"/>
        <v>478</v>
      </c>
      <c r="B492" s="294" t="s">
        <v>162</v>
      </c>
      <c r="C492" s="295"/>
      <c r="D492" s="936"/>
      <c r="E492" s="937"/>
      <c r="F492" s="937"/>
      <c r="G492" s="937"/>
      <c r="H492" s="937"/>
      <c r="I492" s="937"/>
      <c r="J492" s="937"/>
      <c r="K492" s="938"/>
      <c r="L492" s="932"/>
      <c r="M492" s="932"/>
      <c r="N492" s="932"/>
      <c r="O492" s="932"/>
      <c r="P492" s="931"/>
      <c r="Q492" s="931"/>
      <c r="R492" s="931"/>
      <c r="S492" s="931"/>
      <c r="T492" s="933"/>
      <c r="U492" s="934"/>
      <c r="V492" s="934"/>
      <c r="W492" s="935"/>
      <c r="X492" s="936"/>
      <c r="Y492" s="937"/>
      <c r="Z492" s="937"/>
      <c r="AA492" s="938"/>
      <c r="AB492" s="594"/>
      <c r="AC492" s="595"/>
      <c r="AD492" s="596"/>
      <c r="AE492" s="779"/>
      <c r="AF492" s="939"/>
      <c r="AG492" s="780"/>
      <c r="AH492" s="941"/>
      <c r="AI492" s="942"/>
      <c r="AJ492" s="943"/>
      <c r="AK492" s="745"/>
      <c r="AL492" s="940"/>
      <c r="AM492" s="746"/>
      <c r="AN492" s="281"/>
      <c r="AO492" s="282"/>
      <c r="AP492" s="281"/>
      <c r="AQ492" s="282"/>
      <c r="AR492" s="281"/>
      <c r="AS492" s="282"/>
      <c r="AT492" s="281"/>
      <c r="AU492" s="282"/>
      <c r="AV492" s="281"/>
      <c r="AW492" s="282"/>
      <c r="AX492" s="281"/>
      <c r="AY492" s="282"/>
      <c r="AZ492" s="117"/>
      <c r="BA492" s="331"/>
      <c r="BB492" s="117"/>
      <c r="BC492" s="331"/>
      <c r="BD492" s="117"/>
      <c r="BE492" s="331"/>
      <c r="BF492" s="117"/>
      <c r="BG492" s="331"/>
      <c r="BH492" s="117"/>
      <c r="BI492" s="944" t="s">
        <v>159</v>
      </c>
      <c r="BJ492" s="944"/>
      <c r="BK492" s="944"/>
      <c r="BL492" s="944"/>
      <c r="BM492" s="944"/>
      <c r="BN492" s="944"/>
      <c r="BO492" s="944"/>
      <c r="BP492" s="944"/>
      <c r="BQ492" s="944"/>
      <c r="BR492" s="944"/>
      <c r="BS492" s="944"/>
      <c r="BT492" s="944"/>
      <c r="BU492" s="944"/>
      <c r="BV492" s="945"/>
    </row>
    <row r="493" spans="1:74" ht="30" customHeight="1" x14ac:dyDescent="0.25">
      <c r="A493" s="200">
        <f t="shared" si="7"/>
        <v>479</v>
      </c>
      <c r="B493" s="294" t="s">
        <v>162</v>
      </c>
      <c r="C493" s="295"/>
      <c r="D493" s="936"/>
      <c r="E493" s="937"/>
      <c r="F493" s="937"/>
      <c r="G493" s="937"/>
      <c r="H493" s="937"/>
      <c r="I493" s="937"/>
      <c r="J493" s="937"/>
      <c r="K493" s="938"/>
      <c r="L493" s="932"/>
      <c r="M493" s="932"/>
      <c r="N493" s="932"/>
      <c r="O493" s="932"/>
      <c r="P493" s="931"/>
      <c r="Q493" s="931"/>
      <c r="R493" s="931"/>
      <c r="S493" s="931"/>
      <c r="T493" s="933"/>
      <c r="U493" s="934"/>
      <c r="V493" s="934"/>
      <c r="W493" s="935"/>
      <c r="X493" s="936"/>
      <c r="Y493" s="937"/>
      <c r="Z493" s="937"/>
      <c r="AA493" s="938"/>
      <c r="AB493" s="594"/>
      <c r="AC493" s="595"/>
      <c r="AD493" s="596"/>
      <c r="AE493" s="779"/>
      <c r="AF493" s="939"/>
      <c r="AG493" s="780"/>
      <c r="AH493" s="941"/>
      <c r="AI493" s="942"/>
      <c r="AJ493" s="943"/>
      <c r="AK493" s="745"/>
      <c r="AL493" s="940"/>
      <c r="AM493" s="746"/>
      <c r="AN493" s="281"/>
      <c r="AO493" s="282"/>
      <c r="AP493" s="281"/>
      <c r="AQ493" s="282"/>
      <c r="AR493" s="281"/>
      <c r="AS493" s="282"/>
      <c r="AT493" s="281"/>
      <c r="AU493" s="282"/>
      <c r="AV493" s="281"/>
      <c r="AW493" s="282"/>
      <c r="AX493" s="281"/>
      <c r="AY493" s="282"/>
      <c r="AZ493" s="117"/>
      <c r="BA493" s="331"/>
      <c r="BB493" s="117"/>
      <c r="BC493" s="331"/>
      <c r="BD493" s="117"/>
      <c r="BE493" s="331"/>
      <c r="BF493" s="117"/>
      <c r="BG493" s="331"/>
      <c r="BH493" s="117"/>
      <c r="BI493" s="944" t="s">
        <v>159</v>
      </c>
      <c r="BJ493" s="944"/>
      <c r="BK493" s="944"/>
      <c r="BL493" s="944"/>
      <c r="BM493" s="944"/>
      <c r="BN493" s="944"/>
      <c r="BO493" s="944"/>
      <c r="BP493" s="944"/>
      <c r="BQ493" s="944"/>
      <c r="BR493" s="944"/>
      <c r="BS493" s="944"/>
      <c r="BT493" s="944"/>
      <c r="BU493" s="944"/>
      <c r="BV493" s="945"/>
    </row>
    <row r="494" spans="1:74" ht="30" customHeight="1" x14ac:dyDescent="0.25">
      <c r="A494" s="232">
        <f t="shared" si="7"/>
        <v>480</v>
      </c>
      <c r="B494" s="294" t="s">
        <v>162</v>
      </c>
      <c r="C494" s="295"/>
      <c r="D494" s="936"/>
      <c r="E494" s="937"/>
      <c r="F494" s="937"/>
      <c r="G494" s="937"/>
      <c r="H494" s="937"/>
      <c r="I494" s="937"/>
      <c r="J494" s="937"/>
      <c r="K494" s="938"/>
      <c r="L494" s="932"/>
      <c r="M494" s="932"/>
      <c r="N494" s="932"/>
      <c r="O494" s="932"/>
      <c r="P494" s="931"/>
      <c r="Q494" s="931"/>
      <c r="R494" s="931"/>
      <c r="S494" s="931"/>
      <c r="T494" s="933"/>
      <c r="U494" s="934"/>
      <c r="V494" s="934"/>
      <c r="W494" s="935"/>
      <c r="X494" s="936"/>
      <c r="Y494" s="937"/>
      <c r="Z494" s="937"/>
      <c r="AA494" s="938"/>
      <c r="AB494" s="594"/>
      <c r="AC494" s="595"/>
      <c r="AD494" s="596"/>
      <c r="AE494" s="779"/>
      <c r="AF494" s="939"/>
      <c r="AG494" s="780"/>
      <c r="AH494" s="941"/>
      <c r="AI494" s="942"/>
      <c r="AJ494" s="943"/>
      <c r="AK494" s="745"/>
      <c r="AL494" s="940"/>
      <c r="AM494" s="746"/>
      <c r="AN494" s="281"/>
      <c r="AO494" s="282"/>
      <c r="AP494" s="281"/>
      <c r="AQ494" s="282"/>
      <c r="AR494" s="281"/>
      <c r="AS494" s="282"/>
      <c r="AT494" s="281"/>
      <c r="AU494" s="282"/>
      <c r="AV494" s="281"/>
      <c r="AW494" s="282"/>
      <c r="AX494" s="281"/>
      <c r="AY494" s="282"/>
      <c r="AZ494" s="117"/>
      <c r="BA494" s="331"/>
      <c r="BB494" s="117"/>
      <c r="BC494" s="331"/>
      <c r="BD494" s="117"/>
      <c r="BE494" s="331"/>
      <c r="BF494" s="117"/>
      <c r="BG494" s="331"/>
      <c r="BH494" s="117"/>
      <c r="BI494" s="944" t="s">
        <v>212</v>
      </c>
      <c r="BJ494" s="944"/>
      <c r="BK494" s="944"/>
      <c r="BL494" s="944"/>
      <c r="BM494" s="944"/>
      <c r="BN494" s="944"/>
      <c r="BO494" s="944"/>
      <c r="BP494" s="944"/>
      <c r="BQ494" s="944"/>
      <c r="BR494" s="944"/>
      <c r="BS494" s="944"/>
      <c r="BT494" s="944"/>
      <c r="BU494" s="944"/>
      <c r="BV494" s="945"/>
    </row>
    <row r="495" spans="1:74" ht="30" customHeight="1" x14ac:dyDescent="0.25">
      <c r="A495" s="200">
        <f t="shared" si="7"/>
        <v>481</v>
      </c>
      <c r="B495" s="294" t="s">
        <v>162</v>
      </c>
      <c r="C495" s="295"/>
      <c r="D495" s="936"/>
      <c r="E495" s="937"/>
      <c r="F495" s="937"/>
      <c r="G495" s="937"/>
      <c r="H495" s="937"/>
      <c r="I495" s="937"/>
      <c r="J495" s="937"/>
      <c r="K495" s="938"/>
      <c r="L495" s="932"/>
      <c r="M495" s="932"/>
      <c r="N495" s="932"/>
      <c r="O495" s="932"/>
      <c r="P495" s="931"/>
      <c r="Q495" s="931"/>
      <c r="R495" s="931"/>
      <c r="S495" s="931"/>
      <c r="T495" s="933"/>
      <c r="U495" s="934"/>
      <c r="V495" s="934"/>
      <c r="W495" s="935"/>
      <c r="X495" s="936"/>
      <c r="Y495" s="937"/>
      <c r="Z495" s="937"/>
      <c r="AA495" s="938"/>
      <c r="AB495" s="594"/>
      <c r="AC495" s="595"/>
      <c r="AD495" s="596"/>
      <c r="AE495" s="779"/>
      <c r="AF495" s="939"/>
      <c r="AG495" s="780"/>
      <c r="AH495" s="941"/>
      <c r="AI495" s="942"/>
      <c r="AJ495" s="943"/>
      <c r="AK495" s="745"/>
      <c r="AL495" s="940"/>
      <c r="AM495" s="746"/>
      <c r="AN495" s="281"/>
      <c r="AO495" s="282"/>
      <c r="AP495" s="281"/>
      <c r="AQ495" s="282"/>
      <c r="AR495" s="281"/>
      <c r="AS495" s="282"/>
      <c r="AT495" s="281"/>
      <c r="AU495" s="282"/>
      <c r="AV495" s="281"/>
      <c r="AW495" s="282"/>
      <c r="AX495" s="281"/>
      <c r="AY495" s="282"/>
      <c r="AZ495" s="117"/>
      <c r="BA495" s="331"/>
      <c r="BB495" s="117"/>
      <c r="BC495" s="331"/>
      <c r="BD495" s="117"/>
      <c r="BE495" s="331"/>
      <c r="BF495" s="117"/>
      <c r="BG495" s="331"/>
      <c r="BH495" s="117"/>
      <c r="BI495" s="944" t="s">
        <v>212</v>
      </c>
      <c r="BJ495" s="944"/>
      <c r="BK495" s="944"/>
      <c r="BL495" s="944"/>
      <c r="BM495" s="944"/>
      <c r="BN495" s="944"/>
      <c r="BO495" s="944"/>
      <c r="BP495" s="944"/>
      <c r="BQ495" s="944"/>
      <c r="BR495" s="944"/>
      <c r="BS495" s="944"/>
      <c r="BT495" s="944"/>
      <c r="BU495" s="944"/>
      <c r="BV495" s="945"/>
    </row>
    <row r="496" spans="1:74" ht="30" customHeight="1" x14ac:dyDescent="0.25">
      <c r="A496" s="200">
        <f t="shared" si="7"/>
        <v>482</v>
      </c>
      <c r="B496" s="294" t="s">
        <v>162</v>
      </c>
      <c r="C496" s="295"/>
      <c r="D496" s="936"/>
      <c r="E496" s="937"/>
      <c r="F496" s="937"/>
      <c r="G496" s="937"/>
      <c r="H496" s="937"/>
      <c r="I496" s="937"/>
      <c r="J496" s="937"/>
      <c r="K496" s="938"/>
      <c r="L496" s="932"/>
      <c r="M496" s="932"/>
      <c r="N496" s="932"/>
      <c r="O496" s="932"/>
      <c r="P496" s="931"/>
      <c r="Q496" s="931"/>
      <c r="R496" s="931"/>
      <c r="S496" s="931"/>
      <c r="T496" s="933"/>
      <c r="U496" s="934"/>
      <c r="V496" s="934"/>
      <c r="W496" s="935"/>
      <c r="X496" s="936"/>
      <c r="Y496" s="937"/>
      <c r="Z496" s="937"/>
      <c r="AA496" s="938"/>
      <c r="AB496" s="594"/>
      <c r="AC496" s="595"/>
      <c r="AD496" s="596"/>
      <c r="AE496" s="779"/>
      <c r="AF496" s="939"/>
      <c r="AG496" s="780"/>
      <c r="AH496" s="941"/>
      <c r="AI496" s="942"/>
      <c r="AJ496" s="943"/>
      <c r="AK496" s="745"/>
      <c r="AL496" s="940"/>
      <c r="AM496" s="746"/>
      <c r="AN496" s="281"/>
      <c r="AO496" s="282"/>
      <c r="AP496" s="281"/>
      <c r="AQ496" s="282"/>
      <c r="AR496" s="281"/>
      <c r="AS496" s="282"/>
      <c r="AT496" s="281"/>
      <c r="AU496" s="282"/>
      <c r="AV496" s="281"/>
      <c r="AW496" s="282"/>
      <c r="AX496" s="281"/>
      <c r="AY496" s="282"/>
      <c r="AZ496" s="117"/>
      <c r="BA496" s="331"/>
      <c r="BB496" s="117"/>
      <c r="BC496" s="331"/>
      <c r="BD496" s="117"/>
      <c r="BE496" s="331"/>
      <c r="BF496" s="117"/>
      <c r="BG496" s="331"/>
      <c r="BH496" s="117"/>
      <c r="BI496" s="944" t="s">
        <v>212</v>
      </c>
      <c r="BJ496" s="944"/>
      <c r="BK496" s="944"/>
      <c r="BL496" s="944"/>
      <c r="BM496" s="944"/>
      <c r="BN496" s="944"/>
      <c r="BO496" s="944"/>
      <c r="BP496" s="944"/>
      <c r="BQ496" s="944"/>
      <c r="BR496" s="944"/>
      <c r="BS496" s="944"/>
      <c r="BT496" s="944"/>
      <c r="BU496" s="944"/>
      <c r="BV496" s="945"/>
    </row>
    <row r="497" spans="1:74" ht="30" customHeight="1" x14ac:dyDescent="0.25">
      <c r="A497" s="200">
        <f t="shared" si="7"/>
        <v>483</v>
      </c>
      <c r="B497" s="294" t="s">
        <v>162</v>
      </c>
      <c r="C497" s="295"/>
      <c r="D497" s="936"/>
      <c r="E497" s="937"/>
      <c r="F497" s="937"/>
      <c r="G497" s="937"/>
      <c r="H497" s="937"/>
      <c r="I497" s="937"/>
      <c r="J497" s="937"/>
      <c r="K497" s="938"/>
      <c r="L497" s="932"/>
      <c r="M497" s="932"/>
      <c r="N497" s="932"/>
      <c r="O497" s="932"/>
      <c r="P497" s="931"/>
      <c r="Q497" s="931"/>
      <c r="R497" s="931"/>
      <c r="S497" s="931"/>
      <c r="T497" s="933"/>
      <c r="U497" s="934"/>
      <c r="V497" s="934"/>
      <c r="W497" s="935"/>
      <c r="X497" s="936"/>
      <c r="Y497" s="937"/>
      <c r="Z497" s="937"/>
      <c r="AA497" s="938"/>
      <c r="AB497" s="594"/>
      <c r="AC497" s="595"/>
      <c r="AD497" s="596"/>
      <c r="AE497" s="779"/>
      <c r="AF497" s="939"/>
      <c r="AG497" s="780"/>
      <c r="AH497" s="941"/>
      <c r="AI497" s="942"/>
      <c r="AJ497" s="943"/>
      <c r="AK497" s="745"/>
      <c r="AL497" s="940"/>
      <c r="AM497" s="746"/>
      <c r="AN497" s="281"/>
      <c r="AO497" s="282"/>
      <c r="AP497" s="281"/>
      <c r="AQ497" s="282"/>
      <c r="AR497" s="281"/>
      <c r="AS497" s="282"/>
      <c r="AT497" s="281"/>
      <c r="AU497" s="282"/>
      <c r="AV497" s="281"/>
      <c r="AW497" s="282"/>
      <c r="AX497" s="281"/>
      <c r="AY497" s="282"/>
      <c r="AZ497" s="117"/>
      <c r="BA497" s="331"/>
      <c r="BB497" s="117"/>
      <c r="BC497" s="331"/>
      <c r="BD497" s="117"/>
      <c r="BE497" s="331"/>
      <c r="BF497" s="117"/>
      <c r="BG497" s="331"/>
      <c r="BH497" s="117"/>
      <c r="BI497" s="944" t="s">
        <v>212</v>
      </c>
      <c r="BJ497" s="944"/>
      <c r="BK497" s="944"/>
      <c r="BL497" s="944"/>
      <c r="BM497" s="944"/>
      <c r="BN497" s="944"/>
      <c r="BO497" s="944"/>
      <c r="BP497" s="944"/>
      <c r="BQ497" s="944"/>
      <c r="BR497" s="944"/>
      <c r="BS497" s="944"/>
      <c r="BT497" s="944"/>
      <c r="BU497" s="944"/>
      <c r="BV497" s="945"/>
    </row>
    <row r="498" spans="1:74" ht="30" customHeight="1" x14ac:dyDescent="0.25">
      <c r="A498" s="200">
        <f t="shared" si="7"/>
        <v>484</v>
      </c>
      <c r="B498" s="294" t="s">
        <v>162</v>
      </c>
      <c r="C498" s="295"/>
      <c r="D498" s="936"/>
      <c r="E498" s="937"/>
      <c r="F498" s="937"/>
      <c r="G498" s="937"/>
      <c r="H498" s="937"/>
      <c r="I498" s="937"/>
      <c r="J498" s="937"/>
      <c r="K498" s="938"/>
      <c r="L498" s="932"/>
      <c r="M498" s="932"/>
      <c r="N498" s="932"/>
      <c r="O498" s="932"/>
      <c r="P498" s="931"/>
      <c r="Q498" s="931"/>
      <c r="R498" s="931"/>
      <c r="S498" s="931"/>
      <c r="T498" s="933"/>
      <c r="U498" s="934"/>
      <c r="V498" s="934"/>
      <c r="W498" s="935"/>
      <c r="X498" s="936"/>
      <c r="Y498" s="937"/>
      <c r="Z498" s="937"/>
      <c r="AA498" s="938"/>
      <c r="AB498" s="594"/>
      <c r="AC498" s="595"/>
      <c r="AD498" s="596"/>
      <c r="AE498" s="779"/>
      <c r="AF498" s="939"/>
      <c r="AG498" s="780"/>
      <c r="AH498" s="941"/>
      <c r="AI498" s="942"/>
      <c r="AJ498" s="943"/>
      <c r="AK498" s="745"/>
      <c r="AL498" s="940"/>
      <c r="AM498" s="746"/>
      <c r="AN498" s="281"/>
      <c r="AO498" s="282"/>
      <c r="AP498" s="281"/>
      <c r="AQ498" s="282"/>
      <c r="AR498" s="281"/>
      <c r="AS498" s="282"/>
      <c r="AT498" s="281"/>
      <c r="AU498" s="282"/>
      <c r="AV498" s="281"/>
      <c r="AW498" s="282"/>
      <c r="AX498" s="281"/>
      <c r="AY498" s="282"/>
      <c r="AZ498" s="117"/>
      <c r="BA498" s="331"/>
      <c r="BB498" s="117"/>
      <c r="BC498" s="331"/>
      <c r="BD498" s="117"/>
      <c r="BE498" s="331"/>
      <c r="BF498" s="117"/>
      <c r="BG498" s="331"/>
      <c r="BH498" s="117"/>
      <c r="BI498" s="944" t="s">
        <v>212</v>
      </c>
      <c r="BJ498" s="944"/>
      <c r="BK498" s="944"/>
      <c r="BL498" s="944"/>
      <c r="BM498" s="944"/>
      <c r="BN498" s="944"/>
      <c r="BO498" s="944"/>
      <c r="BP498" s="944"/>
      <c r="BQ498" s="944"/>
      <c r="BR498" s="944"/>
      <c r="BS498" s="944"/>
      <c r="BT498" s="944"/>
      <c r="BU498" s="944"/>
      <c r="BV498" s="945"/>
    </row>
    <row r="499" spans="1:74" ht="30" customHeight="1" x14ac:dyDescent="0.25">
      <c r="A499" s="200">
        <f t="shared" si="7"/>
        <v>485</v>
      </c>
      <c r="B499" s="294" t="s">
        <v>162</v>
      </c>
      <c r="C499" s="295"/>
      <c r="D499" s="936"/>
      <c r="E499" s="937"/>
      <c r="F499" s="937"/>
      <c r="G499" s="937"/>
      <c r="H499" s="937"/>
      <c r="I499" s="937"/>
      <c r="J499" s="937"/>
      <c r="K499" s="938"/>
      <c r="L499" s="932"/>
      <c r="M499" s="932"/>
      <c r="N499" s="932"/>
      <c r="O499" s="932"/>
      <c r="P499" s="931"/>
      <c r="Q499" s="931"/>
      <c r="R499" s="931"/>
      <c r="S499" s="931"/>
      <c r="T499" s="933"/>
      <c r="U499" s="934"/>
      <c r="V499" s="934"/>
      <c r="W499" s="935"/>
      <c r="X499" s="936"/>
      <c r="Y499" s="937"/>
      <c r="Z499" s="937"/>
      <c r="AA499" s="938"/>
      <c r="AB499" s="594"/>
      <c r="AC499" s="595"/>
      <c r="AD499" s="596"/>
      <c r="AE499" s="779"/>
      <c r="AF499" s="939"/>
      <c r="AG499" s="780"/>
      <c r="AH499" s="941"/>
      <c r="AI499" s="942"/>
      <c r="AJ499" s="943"/>
      <c r="AK499" s="745"/>
      <c r="AL499" s="940"/>
      <c r="AM499" s="746"/>
      <c r="AN499" s="281"/>
      <c r="AO499" s="282"/>
      <c r="AP499" s="281"/>
      <c r="AQ499" s="282"/>
      <c r="AR499" s="281"/>
      <c r="AS499" s="282"/>
      <c r="AT499" s="281"/>
      <c r="AU499" s="282"/>
      <c r="AV499" s="281"/>
      <c r="AW499" s="282"/>
      <c r="AX499" s="281"/>
      <c r="AY499" s="282"/>
      <c r="AZ499" s="117"/>
      <c r="BA499" s="331"/>
      <c r="BB499" s="117"/>
      <c r="BC499" s="331"/>
      <c r="BD499" s="117"/>
      <c r="BE499" s="331"/>
      <c r="BF499" s="117"/>
      <c r="BG499" s="331"/>
      <c r="BH499" s="117"/>
      <c r="BI499" s="944" t="s">
        <v>159</v>
      </c>
      <c r="BJ499" s="944"/>
      <c r="BK499" s="944"/>
      <c r="BL499" s="944"/>
      <c r="BM499" s="944"/>
      <c r="BN499" s="944"/>
      <c r="BO499" s="944"/>
      <c r="BP499" s="944"/>
      <c r="BQ499" s="944"/>
      <c r="BR499" s="944"/>
      <c r="BS499" s="944"/>
      <c r="BT499" s="944"/>
      <c r="BU499" s="944"/>
      <c r="BV499" s="945"/>
    </row>
    <row r="500" spans="1:74" ht="30" customHeight="1" x14ac:dyDescent="0.25">
      <c r="A500" s="200">
        <f t="shared" si="7"/>
        <v>486</v>
      </c>
      <c r="B500" s="294" t="s">
        <v>162</v>
      </c>
      <c r="C500" s="295"/>
      <c r="D500" s="936"/>
      <c r="E500" s="937"/>
      <c r="F500" s="937"/>
      <c r="G500" s="937"/>
      <c r="H500" s="937"/>
      <c r="I500" s="937"/>
      <c r="J500" s="937"/>
      <c r="K500" s="938"/>
      <c r="L500" s="932"/>
      <c r="M500" s="932"/>
      <c r="N500" s="932"/>
      <c r="O500" s="932"/>
      <c r="P500" s="931"/>
      <c r="Q500" s="931"/>
      <c r="R500" s="931"/>
      <c r="S500" s="931"/>
      <c r="T500" s="933"/>
      <c r="U500" s="934"/>
      <c r="V500" s="934"/>
      <c r="W500" s="935"/>
      <c r="X500" s="936"/>
      <c r="Y500" s="937"/>
      <c r="Z500" s="937"/>
      <c r="AA500" s="938"/>
      <c r="AB500" s="594"/>
      <c r="AC500" s="595"/>
      <c r="AD500" s="596"/>
      <c r="AE500" s="779"/>
      <c r="AF500" s="939"/>
      <c r="AG500" s="780"/>
      <c r="AH500" s="941"/>
      <c r="AI500" s="942"/>
      <c r="AJ500" s="943"/>
      <c r="AK500" s="745"/>
      <c r="AL500" s="940"/>
      <c r="AM500" s="746"/>
      <c r="AN500" s="281"/>
      <c r="AO500" s="282"/>
      <c r="AP500" s="281"/>
      <c r="AQ500" s="282"/>
      <c r="AR500" s="281"/>
      <c r="AS500" s="282"/>
      <c r="AT500" s="281"/>
      <c r="AU500" s="282"/>
      <c r="AV500" s="281"/>
      <c r="AW500" s="282"/>
      <c r="AX500" s="281"/>
      <c r="AY500" s="282"/>
      <c r="AZ500" s="117"/>
      <c r="BA500" s="331"/>
      <c r="BB500" s="117"/>
      <c r="BC500" s="331"/>
      <c r="BD500" s="117"/>
      <c r="BE500" s="331"/>
      <c r="BF500" s="117"/>
      <c r="BG500" s="331"/>
      <c r="BH500" s="117"/>
      <c r="BI500" s="944" t="s">
        <v>159</v>
      </c>
      <c r="BJ500" s="944"/>
      <c r="BK500" s="944"/>
      <c r="BL500" s="944"/>
      <c r="BM500" s="944"/>
      <c r="BN500" s="944"/>
      <c r="BO500" s="944"/>
      <c r="BP500" s="944"/>
      <c r="BQ500" s="944"/>
      <c r="BR500" s="944"/>
      <c r="BS500" s="944"/>
      <c r="BT500" s="944"/>
      <c r="BU500" s="944"/>
      <c r="BV500" s="945"/>
    </row>
    <row r="501" spans="1:74" ht="30" customHeight="1" x14ac:dyDescent="0.25">
      <c r="A501" s="232">
        <f t="shared" si="7"/>
        <v>487</v>
      </c>
      <c r="B501" s="294" t="s">
        <v>162</v>
      </c>
      <c r="C501" s="295"/>
      <c r="D501" s="936"/>
      <c r="E501" s="937"/>
      <c r="F501" s="937"/>
      <c r="G501" s="937"/>
      <c r="H501" s="937"/>
      <c r="I501" s="937"/>
      <c r="J501" s="937"/>
      <c r="K501" s="938"/>
      <c r="L501" s="932"/>
      <c r="M501" s="932"/>
      <c r="N501" s="932"/>
      <c r="O501" s="932"/>
      <c r="P501" s="931"/>
      <c r="Q501" s="931"/>
      <c r="R501" s="931"/>
      <c r="S501" s="931"/>
      <c r="T501" s="933"/>
      <c r="U501" s="934"/>
      <c r="V501" s="934"/>
      <c r="W501" s="935"/>
      <c r="X501" s="936"/>
      <c r="Y501" s="937"/>
      <c r="Z501" s="937"/>
      <c r="AA501" s="938"/>
      <c r="AB501" s="594"/>
      <c r="AC501" s="595"/>
      <c r="AD501" s="596"/>
      <c r="AE501" s="779"/>
      <c r="AF501" s="939"/>
      <c r="AG501" s="780"/>
      <c r="AH501" s="941"/>
      <c r="AI501" s="942"/>
      <c r="AJ501" s="943"/>
      <c r="AK501" s="745"/>
      <c r="AL501" s="940"/>
      <c r="AM501" s="746"/>
      <c r="AN501" s="281"/>
      <c r="AO501" s="282"/>
      <c r="AP501" s="281"/>
      <c r="AQ501" s="282"/>
      <c r="AR501" s="281"/>
      <c r="AS501" s="282"/>
      <c r="AT501" s="281"/>
      <c r="AU501" s="282"/>
      <c r="AV501" s="281"/>
      <c r="AW501" s="282"/>
      <c r="AX501" s="281"/>
      <c r="AY501" s="282"/>
      <c r="AZ501" s="117"/>
      <c r="BA501" s="331"/>
      <c r="BB501" s="117"/>
      <c r="BC501" s="331"/>
      <c r="BD501" s="117"/>
      <c r="BE501" s="331"/>
      <c r="BF501" s="117"/>
      <c r="BG501" s="331"/>
      <c r="BH501" s="117"/>
      <c r="BI501" s="944" t="s">
        <v>212</v>
      </c>
      <c r="BJ501" s="944"/>
      <c r="BK501" s="944"/>
      <c r="BL501" s="944"/>
      <c r="BM501" s="944"/>
      <c r="BN501" s="944"/>
      <c r="BO501" s="944"/>
      <c r="BP501" s="944"/>
      <c r="BQ501" s="944"/>
      <c r="BR501" s="944"/>
      <c r="BS501" s="944"/>
      <c r="BT501" s="944"/>
      <c r="BU501" s="944"/>
      <c r="BV501" s="945"/>
    </row>
    <row r="502" spans="1:74" ht="30" customHeight="1" x14ac:dyDescent="0.25">
      <c r="A502" s="200">
        <f t="shared" si="7"/>
        <v>488</v>
      </c>
      <c r="B502" s="294" t="s">
        <v>162</v>
      </c>
      <c r="C502" s="295"/>
      <c r="D502" s="936"/>
      <c r="E502" s="937"/>
      <c r="F502" s="937"/>
      <c r="G502" s="937"/>
      <c r="H502" s="937"/>
      <c r="I502" s="937"/>
      <c r="J502" s="937"/>
      <c r="K502" s="938"/>
      <c r="L502" s="932"/>
      <c r="M502" s="932"/>
      <c r="N502" s="932"/>
      <c r="O502" s="932"/>
      <c r="P502" s="931"/>
      <c r="Q502" s="931"/>
      <c r="R502" s="931"/>
      <c r="S502" s="931"/>
      <c r="T502" s="933"/>
      <c r="U502" s="934"/>
      <c r="V502" s="934"/>
      <c r="W502" s="935"/>
      <c r="X502" s="936"/>
      <c r="Y502" s="937"/>
      <c r="Z502" s="937"/>
      <c r="AA502" s="938"/>
      <c r="AB502" s="594"/>
      <c r="AC502" s="595"/>
      <c r="AD502" s="596"/>
      <c r="AE502" s="779"/>
      <c r="AF502" s="939"/>
      <c r="AG502" s="780"/>
      <c r="AH502" s="941"/>
      <c r="AI502" s="942"/>
      <c r="AJ502" s="943"/>
      <c r="AK502" s="745"/>
      <c r="AL502" s="940"/>
      <c r="AM502" s="746"/>
      <c r="AN502" s="281"/>
      <c r="AO502" s="282"/>
      <c r="AP502" s="281"/>
      <c r="AQ502" s="282"/>
      <c r="AR502" s="281"/>
      <c r="AS502" s="282"/>
      <c r="AT502" s="281"/>
      <c r="AU502" s="282"/>
      <c r="AV502" s="281"/>
      <c r="AW502" s="282"/>
      <c r="AX502" s="281"/>
      <c r="AY502" s="282"/>
      <c r="AZ502" s="117"/>
      <c r="BA502" s="331"/>
      <c r="BB502" s="117"/>
      <c r="BC502" s="331"/>
      <c r="BD502" s="117"/>
      <c r="BE502" s="331"/>
      <c r="BF502" s="117"/>
      <c r="BG502" s="331"/>
      <c r="BH502" s="117"/>
      <c r="BI502" s="944" t="s">
        <v>212</v>
      </c>
      <c r="BJ502" s="944"/>
      <c r="BK502" s="944"/>
      <c r="BL502" s="944"/>
      <c r="BM502" s="944"/>
      <c r="BN502" s="944"/>
      <c r="BO502" s="944"/>
      <c r="BP502" s="944"/>
      <c r="BQ502" s="944"/>
      <c r="BR502" s="944"/>
      <c r="BS502" s="944"/>
      <c r="BT502" s="944"/>
      <c r="BU502" s="944"/>
      <c r="BV502" s="945"/>
    </row>
    <row r="503" spans="1:74" ht="30" customHeight="1" x14ac:dyDescent="0.25">
      <c r="A503" s="200">
        <f t="shared" si="7"/>
        <v>489</v>
      </c>
      <c r="B503" s="294" t="s">
        <v>162</v>
      </c>
      <c r="C503" s="295"/>
      <c r="D503" s="936"/>
      <c r="E503" s="937"/>
      <c r="F503" s="937"/>
      <c r="G503" s="937"/>
      <c r="H503" s="937"/>
      <c r="I503" s="937"/>
      <c r="J503" s="937"/>
      <c r="K503" s="938"/>
      <c r="L503" s="932"/>
      <c r="M503" s="932"/>
      <c r="N503" s="932"/>
      <c r="O503" s="932"/>
      <c r="P503" s="931"/>
      <c r="Q503" s="931"/>
      <c r="R503" s="931"/>
      <c r="S503" s="931"/>
      <c r="T503" s="933"/>
      <c r="U503" s="934"/>
      <c r="V503" s="934"/>
      <c r="W503" s="935"/>
      <c r="X503" s="936"/>
      <c r="Y503" s="937"/>
      <c r="Z503" s="937"/>
      <c r="AA503" s="938"/>
      <c r="AB503" s="594"/>
      <c r="AC503" s="595"/>
      <c r="AD503" s="596"/>
      <c r="AE503" s="779"/>
      <c r="AF503" s="939"/>
      <c r="AG503" s="780"/>
      <c r="AH503" s="941"/>
      <c r="AI503" s="942"/>
      <c r="AJ503" s="943"/>
      <c r="AK503" s="745"/>
      <c r="AL503" s="940"/>
      <c r="AM503" s="746"/>
      <c r="AN503" s="281"/>
      <c r="AO503" s="282"/>
      <c r="AP503" s="281"/>
      <c r="AQ503" s="282"/>
      <c r="AR503" s="281"/>
      <c r="AS503" s="282"/>
      <c r="AT503" s="281"/>
      <c r="AU503" s="282"/>
      <c r="AV503" s="281"/>
      <c r="AW503" s="282"/>
      <c r="AX503" s="281"/>
      <c r="AY503" s="282"/>
      <c r="AZ503" s="117"/>
      <c r="BA503" s="331"/>
      <c r="BB503" s="117"/>
      <c r="BC503" s="331"/>
      <c r="BD503" s="117"/>
      <c r="BE503" s="331"/>
      <c r="BF503" s="117"/>
      <c r="BG503" s="331"/>
      <c r="BH503" s="117"/>
      <c r="BI503" s="944" t="s">
        <v>212</v>
      </c>
      <c r="BJ503" s="944"/>
      <c r="BK503" s="944"/>
      <c r="BL503" s="944"/>
      <c r="BM503" s="944"/>
      <c r="BN503" s="944"/>
      <c r="BO503" s="944"/>
      <c r="BP503" s="944"/>
      <c r="BQ503" s="944"/>
      <c r="BR503" s="944"/>
      <c r="BS503" s="944"/>
      <c r="BT503" s="944"/>
      <c r="BU503" s="944"/>
      <c r="BV503" s="945"/>
    </row>
    <row r="504" spans="1:74" ht="30" customHeight="1" x14ac:dyDescent="0.25">
      <c r="A504" s="200">
        <f t="shared" si="7"/>
        <v>490</v>
      </c>
      <c r="B504" s="294" t="s">
        <v>162</v>
      </c>
      <c r="C504" s="295"/>
      <c r="D504" s="936"/>
      <c r="E504" s="937"/>
      <c r="F504" s="937"/>
      <c r="G504" s="937"/>
      <c r="H504" s="937"/>
      <c r="I504" s="937"/>
      <c r="J504" s="937"/>
      <c r="K504" s="938"/>
      <c r="L504" s="932"/>
      <c r="M504" s="932"/>
      <c r="N504" s="932"/>
      <c r="O504" s="932"/>
      <c r="P504" s="931"/>
      <c r="Q504" s="931"/>
      <c r="R504" s="931"/>
      <c r="S504" s="931"/>
      <c r="T504" s="933"/>
      <c r="U504" s="934"/>
      <c r="V504" s="934"/>
      <c r="W504" s="935"/>
      <c r="X504" s="936"/>
      <c r="Y504" s="937"/>
      <c r="Z504" s="937"/>
      <c r="AA504" s="938"/>
      <c r="AB504" s="594"/>
      <c r="AC504" s="595"/>
      <c r="AD504" s="596"/>
      <c r="AE504" s="779"/>
      <c r="AF504" s="939"/>
      <c r="AG504" s="780"/>
      <c r="AH504" s="941"/>
      <c r="AI504" s="942"/>
      <c r="AJ504" s="943"/>
      <c r="AK504" s="745"/>
      <c r="AL504" s="940"/>
      <c r="AM504" s="746"/>
      <c r="AN504" s="281"/>
      <c r="AO504" s="282"/>
      <c r="AP504" s="281"/>
      <c r="AQ504" s="282"/>
      <c r="AR504" s="281"/>
      <c r="AS504" s="282"/>
      <c r="AT504" s="281"/>
      <c r="AU504" s="282"/>
      <c r="AV504" s="281"/>
      <c r="AW504" s="282"/>
      <c r="AX504" s="281"/>
      <c r="AY504" s="282"/>
      <c r="AZ504" s="117"/>
      <c r="BA504" s="331"/>
      <c r="BB504" s="117"/>
      <c r="BC504" s="331"/>
      <c r="BD504" s="117"/>
      <c r="BE504" s="331"/>
      <c r="BF504" s="117"/>
      <c r="BG504" s="331"/>
      <c r="BH504" s="117"/>
      <c r="BI504" s="944" t="s">
        <v>212</v>
      </c>
      <c r="BJ504" s="944"/>
      <c r="BK504" s="944"/>
      <c r="BL504" s="944"/>
      <c r="BM504" s="944"/>
      <c r="BN504" s="944"/>
      <c r="BO504" s="944"/>
      <c r="BP504" s="944"/>
      <c r="BQ504" s="944"/>
      <c r="BR504" s="944"/>
      <c r="BS504" s="944"/>
      <c r="BT504" s="944"/>
      <c r="BU504" s="944"/>
      <c r="BV504" s="945"/>
    </row>
    <row r="505" spans="1:74" ht="30" customHeight="1" x14ac:dyDescent="0.25">
      <c r="A505" s="200">
        <f t="shared" si="7"/>
        <v>491</v>
      </c>
      <c r="B505" s="294" t="s">
        <v>162</v>
      </c>
      <c r="C505" s="295"/>
      <c r="D505" s="936"/>
      <c r="E505" s="937"/>
      <c r="F505" s="937"/>
      <c r="G505" s="937"/>
      <c r="H505" s="937"/>
      <c r="I505" s="937"/>
      <c r="J505" s="937"/>
      <c r="K505" s="938"/>
      <c r="L505" s="932"/>
      <c r="M505" s="932"/>
      <c r="N505" s="932"/>
      <c r="O505" s="932"/>
      <c r="P505" s="931"/>
      <c r="Q505" s="931"/>
      <c r="R505" s="931"/>
      <c r="S505" s="931"/>
      <c r="T505" s="933"/>
      <c r="U505" s="934"/>
      <c r="V505" s="934"/>
      <c r="W505" s="935"/>
      <c r="X505" s="936"/>
      <c r="Y505" s="937"/>
      <c r="Z505" s="937"/>
      <c r="AA505" s="938"/>
      <c r="AB505" s="594"/>
      <c r="AC505" s="595"/>
      <c r="AD505" s="596"/>
      <c r="AE505" s="779"/>
      <c r="AF505" s="939"/>
      <c r="AG505" s="780"/>
      <c r="AH505" s="941"/>
      <c r="AI505" s="942"/>
      <c r="AJ505" s="943"/>
      <c r="AK505" s="745"/>
      <c r="AL505" s="940"/>
      <c r="AM505" s="746"/>
      <c r="AN505" s="281"/>
      <c r="AO505" s="282"/>
      <c r="AP505" s="281"/>
      <c r="AQ505" s="282"/>
      <c r="AR505" s="281"/>
      <c r="AS505" s="282"/>
      <c r="AT505" s="281"/>
      <c r="AU505" s="282"/>
      <c r="AV505" s="281"/>
      <c r="AW505" s="282"/>
      <c r="AX505" s="281"/>
      <c r="AY505" s="282"/>
      <c r="AZ505" s="117"/>
      <c r="BA505" s="331"/>
      <c r="BB505" s="117"/>
      <c r="BC505" s="331"/>
      <c r="BD505" s="117"/>
      <c r="BE505" s="331"/>
      <c r="BF505" s="117"/>
      <c r="BG505" s="331"/>
      <c r="BH505" s="117"/>
      <c r="BI505" s="944" t="s">
        <v>212</v>
      </c>
      <c r="BJ505" s="944"/>
      <c r="BK505" s="944"/>
      <c r="BL505" s="944"/>
      <c r="BM505" s="944"/>
      <c r="BN505" s="944"/>
      <c r="BO505" s="944"/>
      <c r="BP505" s="944"/>
      <c r="BQ505" s="944"/>
      <c r="BR505" s="944"/>
      <c r="BS505" s="944"/>
      <c r="BT505" s="944"/>
      <c r="BU505" s="944"/>
      <c r="BV505" s="945"/>
    </row>
    <row r="506" spans="1:74" ht="30" customHeight="1" x14ac:dyDescent="0.25">
      <c r="A506" s="200">
        <f t="shared" si="7"/>
        <v>492</v>
      </c>
      <c r="B506" s="294" t="s">
        <v>162</v>
      </c>
      <c r="C506" s="295"/>
      <c r="D506" s="936"/>
      <c r="E506" s="937"/>
      <c r="F506" s="937"/>
      <c r="G506" s="937"/>
      <c r="H506" s="937"/>
      <c r="I506" s="937"/>
      <c r="J506" s="937"/>
      <c r="K506" s="938"/>
      <c r="L506" s="932"/>
      <c r="M506" s="932"/>
      <c r="N506" s="932"/>
      <c r="O506" s="932"/>
      <c r="P506" s="931"/>
      <c r="Q506" s="931"/>
      <c r="R506" s="931"/>
      <c r="S506" s="931"/>
      <c r="T506" s="933"/>
      <c r="U506" s="934"/>
      <c r="V506" s="934"/>
      <c r="W506" s="935"/>
      <c r="X506" s="936"/>
      <c r="Y506" s="937"/>
      <c r="Z506" s="937"/>
      <c r="AA506" s="938"/>
      <c r="AB506" s="594"/>
      <c r="AC506" s="595"/>
      <c r="AD506" s="596"/>
      <c r="AE506" s="779"/>
      <c r="AF506" s="939"/>
      <c r="AG506" s="780"/>
      <c r="AH506" s="941"/>
      <c r="AI506" s="942"/>
      <c r="AJ506" s="943"/>
      <c r="AK506" s="745"/>
      <c r="AL506" s="940"/>
      <c r="AM506" s="746"/>
      <c r="AN506" s="281"/>
      <c r="AO506" s="282"/>
      <c r="AP506" s="281"/>
      <c r="AQ506" s="282"/>
      <c r="AR506" s="281"/>
      <c r="AS506" s="282"/>
      <c r="AT506" s="281"/>
      <c r="AU506" s="282"/>
      <c r="AV506" s="281"/>
      <c r="AW506" s="282"/>
      <c r="AX506" s="281"/>
      <c r="AY506" s="282"/>
      <c r="AZ506" s="117"/>
      <c r="BA506" s="331"/>
      <c r="BB506" s="117"/>
      <c r="BC506" s="331"/>
      <c r="BD506" s="117"/>
      <c r="BE506" s="331"/>
      <c r="BF506" s="117"/>
      <c r="BG506" s="331"/>
      <c r="BH506" s="117"/>
      <c r="BI506" s="944" t="s">
        <v>159</v>
      </c>
      <c r="BJ506" s="944"/>
      <c r="BK506" s="944"/>
      <c r="BL506" s="944"/>
      <c r="BM506" s="944"/>
      <c r="BN506" s="944"/>
      <c r="BO506" s="944"/>
      <c r="BP506" s="944"/>
      <c r="BQ506" s="944"/>
      <c r="BR506" s="944"/>
      <c r="BS506" s="944"/>
      <c r="BT506" s="944"/>
      <c r="BU506" s="944"/>
      <c r="BV506" s="945"/>
    </row>
    <row r="507" spans="1:74" ht="30" customHeight="1" x14ac:dyDescent="0.25">
      <c r="A507" s="200">
        <f t="shared" si="7"/>
        <v>493</v>
      </c>
      <c r="B507" s="294" t="s">
        <v>162</v>
      </c>
      <c r="C507" s="295"/>
      <c r="D507" s="936"/>
      <c r="E507" s="937"/>
      <c r="F507" s="937"/>
      <c r="G507" s="937"/>
      <c r="H507" s="937"/>
      <c r="I507" s="937"/>
      <c r="J507" s="937"/>
      <c r="K507" s="938"/>
      <c r="L507" s="932"/>
      <c r="M507" s="932"/>
      <c r="N507" s="932"/>
      <c r="O507" s="932"/>
      <c r="P507" s="931"/>
      <c r="Q507" s="931"/>
      <c r="R507" s="931"/>
      <c r="S507" s="931"/>
      <c r="T507" s="933"/>
      <c r="U507" s="934"/>
      <c r="V507" s="934"/>
      <c r="W507" s="935"/>
      <c r="X507" s="936"/>
      <c r="Y507" s="937"/>
      <c r="Z507" s="937"/>
      <c r="AA507" s="938"/>
      <c r="AB507" s="594"/>
      <c r="AC507" s="595"/>
      <c r="AD507" s="596"/>
      <c r="AE507" s="779"/>
      <c r="AF507" s="939"/>
      <c r="AG507" s="780"/>
      <c r="AH507" s="941"/>
      <c r="AI507" s="942"/>
      <c r="AJ507" s="943"/>
      <c r="AK507" s="745"/>
      <c r="AL507" s="940"/>
      <c r="AM507" s="746"/>
      <c r="AN507" s="281"/>
      <c r="AO507" s="282"/>
      <c r="AP507" s="281"/>
      <c r="AQ507" s="282"/>
      <c r="AR507" s="281"/>
      <c r="AS507" s="282"/>
      <c r="AT507" s="281"/>
      <c r="AU507" s="282"/>
      <c r="AV507" s="281"/>
      <c r="AW507" s="282"/>
      <c r="AX507" s="281"/>
      <c r="AY507" s="282"/>
      <c r="AZ507" s="117"/>
      <c r="BA507" s="331"/>
      <c r="BB507" s="117"/>
      <c r="BC507" s="331"/>
      <c r="BD507" s="117"/>
      <c r="BE507" s="331"/>
      <c r="BF507" s="117"/>
      <c r="BG507" s="331"/>
      <c r="BH507" s="117"/>
      <c r="BI507" s="944" t="s">
        <v>159</v>
      </c>
      <c r="BJ507" s="944"/>
      <c r="BK507" s="944"/>
      <c r="BL507" s="944"/>
      <c r="BM507" s="944"/>
      <c r="BN507" s="944"/>
      <c r="BO507" s="944"/>
      <c r="BP507" s="944"/>
      <c r="BQ507" s="944"/>
      <c r="BR507" s="944"/>
      <c r="BS507" s="944"/>
      <c r="BT507" s="944"/>
      <c r="BU507" s="944"/>
      <c r="BV507" s="945"/>
    </row>
    <row r="508" spans="1:74" ht="30" customHeight="1" x14ac:dyDescent="0.25">
      <c r="A508" s="232">
        <f t="shared" si="7"/>
        <v>494</v>
      </c>
      <c r="B508" s="294" t="s">
        <v>162</v>
      </c>
      <c r="C508" s="295"/>
      <c r="D508" s="936"/>
      <c r="E508" s="937"/>
      <c r="F508" s="937"/>
      <c r="G508" s="937"/>
      <c r="H508" s="937"/>
      <c r="I508" s="937"/>
      <c r="J508" s="937"/>
      <c r="K508" s="938"/>
      <c r="L508" s="932"/>
      <c r="M508" s="932"/>
      <c r="N508" s="932"/>
      <c r="O508" s="932"/>
      <c r="P508" s="931"/>
      <c r="Q508" s="931"/>
      <c r="R508" s="931"/>
      <c r="S508" s="931"/>
      <c r="T508" s="933"/>
      <c r="U508" s="934"/>
      <c r="V508" s="934"/>
      <c r="W508" s="935"/>
      <c r="X508" s="936"/>
      <c r="Y508" s="937"/>
      <c r="Z508" s="937"/>
      <c r="AA508" s="938"/>
      <c r="AB508" s="594"/>
      <c r="AC508" s="595"/>
      <c r="AD508" s="596"/>
      <c r="AE508" s="779"/>
      <c r="AF508" s="939"/>
      <c r="AG508" s="780"/>
      <c r="AH508" s="941"/>
      <c r="AI508" s="942"/>
      <c r="AJ508" s="943"/>
      <c r="AK508" s="745"/>
      <c r="AL508" s="940"/>
      <c r="AM508" s="746"/>
      <c r="AN508" s="281"/>
      <c r="AO508" s="282"/>
      <c r="AP508" s="281"/>
      <c r="AQ508" s="282"/>
      <c r="AR508" s="281"/>
      <c r="AS508" s="282"/>
      <c r="AT508" s="281"/>
      <c r="AU508" s="282"/>
      <c r="AV508" s="281"/>
      <c r="AW508" s="282"/>
      <c r="AX508" s="281"/>
      <c r="AY508" s="282"/>
      <c r="AZ508" s="117"/>
      <c r="BA508" s="331"/>
      <c r="BB508" s="117"/>
      <c r="BC508" s="331"/>
      <c r="BD508" s="117"/>
      <c r="BE508" s="331"/>
      <c r="BF508" s="117"/>
      <c r="BG508" s="331"/>
      <c r="BH508" s="117"/>
      <c r="BI508" s="944" t="s">
        <v>212</v>
      </c>
      <c r="BJ508" s="944"/>
      <c r="BK508" s="944"/>
      <c r="BL508" s="944"/>
      <c r="BM508" s="944"/>
      <c r="BN508" s="944"/>
      <c r="BO508" s="944"/>
      <c r="BP508" s="944"/>
      <c r="BQ508" s="944"/>
      <c r="BR508" s="944"/>
      <c r="BS508" s="944"/>
      <c r="BT508" s="944"/>
      <c r="BU508" s="944"/>
      <c r="BV508" s="945"/>
    </row>
    <row r="509" spans="1:74" ht="30" customHeight="1" x14ac:dyDescent="0.25">
      <c r="A509" s="200">
        <f t="shared" si="7"/>
        <v>495</v>
      </c>
      <c r="B509" s="294" t="s">
        <v>162</v>
      </c>
      <c r="C509" s="295"/>
      <c r="D509" s="936"/>
      <c r="E509" s="937"/>
      <c r="F509" s="937"/>
      <c r="G509" s="937"/>
      <c r="H509" s="937"/>
      <c r="I509" s="937"/>
      <c r="J509" s="937"/>
      <c r="K509" s="938"/>
      <c r="L509" s="932"/>
      <c r="M509" s="932"/>
      <c r="N509" s="932"/>
      <c r="O509" s="932"/>
      <c r="P509" s="931"/>
      <c r="Q509" s="931"/>
      <c r="R509" s="931"/>
      <c r="S509" s="931"/>
      <c r="T509" s="933"/>
      <c r="U509" s="934"/>
      <c r="V509" s="934"/>
      <c r="W509" s="935"/>
      <c r="X509" s="936"/>
      <c r="Y509" s="937"/>
      <c r="Z509" s="937"/>
      <c r="AA509" s="938"/>
      <c r="AB509" s="594"/>
      <c r="AC509" s="595"/>
      <c r="AD509" s="596"/>
      <c r="AE509" s="779"/>
      <c r="AF509" s="939"/>
      <c r="AG509" s="780"/>
      <c r="AH509" s="941"/>
      <c r="AI509" s="942"/>
      <c r="AJ509" s="943"/>
      <c r="AK509" s="745"/>
      <c r="AL509" s="940"/>
      <c r="AM509" s="746"/>
      <c r="AN509" s="281"/>
      <c r="AO509" s="282"/>
      <c r="AP509" s="281"/>
      <c r="AQ509" s="282"/>
      <c r="AR509" s="281"/>
      <c r="AS509" s="282"/>
      <c r="AT509" s="281"/>
      <c r="AU509" s="282"/>
      <c r="AV509" s="281"/>
      <c r="AW509" s="282"/>
      <c r="AX509" s="281"/>
      <c r="AY509" s="282"/>
      <c r="AZ509" s="117"/>
      <c r="BA509" s="331"/>
      <c r="BB509" s="117"/>
      <c r="BC509" s="331"/>
      <c r="BD509" s="117"/>
      <c r="BE509" s="331"/>
      <c r="BF509" s="117"/>
      <c r="BG509" s="331"/>
      <c r="BH509" s="117"/>
      <c r="BI509" s="944" t="s">
        <v>212</v>
      </c>
      <c r="BJ509" s="944"/>
      <c r="BK509" s="944"/>
      <c r="BL509" s="944"/>
      <c r="BM509" s="944"/>
      <c r="BN509" s="944"/>
      <c r="BO509" s="944"/>
      <c r="BP509" s="944"/>
      <c r="BQ509" s="944"/>
      <c r="BR509" s="944"/>
      <c r="BS509" s="944"/>
      <c r="BT509" s="944"/>
      <c r="BU509" s="944"/>
      <c r="BV509" s="945"/>
    </row>
    <row r="510" spans="1:74" ht="30" customHeight="1" x14ac:dyDescent="0.25">
      <c r="A510" s="200">
        <f t="shared" si="7"/>
        <v>496</v>
      </c>
      <c r="B510" s="294" t="s">
        <v>162</v>
      </c>
      <c r="C510" s="295"/>
      <c r="D510" s="936"/>
      <c r="E510" s="937"/>
      <c r="F510" s="937"/>
      <c r="G510" s="937"/>
      <c r="H510" s="937"/>
      <c r="I510" s="937"/>
      <c r="J510" s="937"/>
      <c r="K510" s="938"/>
      <c r="L510" s="932"/>
      <c r="M510" s="932"/>
      <c r="N510" s="932"/>
      <c r="O510" s="932"/>
      <c r="P510" s="931"/>
      <c r="Q510" s="931"/>
      <c r="R510" s="931"/>
      <c r="S510" s="931"/>
      <c r="T510" s="933"/>
      <c r="U510" s="934"/>
      <c r="V510" s="934"/>
      <c r="W510" s="935"/>
      <c r="X510" s="936"/>
      <c r="Y510" s="937"/>
      <c r="Z510" s="937"/>
      <c r="AA510" s="938"/>
      <c r="AB510" s="594"/>
      <c r="AC510" s="595"/>
      <c r="AD510" s="596"/>
      <c r="AE510" s="779"/>
      <c r="AF510" s="939"/>
      <c r="AG510" s="780"/>
      <c r="AH510" s="941"/>
      <c r="AI510" s="942"/>
      <c r="AJ510" s="943"/>
      <c r="AK510" s="745"/>
      <c r="AL510" s="940"/>
      <c r="AM510" s="746"/>
      <c r="AN510" s="281"/>
      <c r="AO510" s="282"/>
      <c r="AP510" s="281"/>
      <c r="AQ510" s="282"/>
      <c r="AR510" s="281"/>
      <c r="AS510" s="282"/>
      <c r="AT510" s="281"/>
      <c r="AU510" s="282"/>
      <c r="AV510" s="281"/>
      <c r="AW510" s="282"/>
      <c r="AX510" s="281"/>
      <c r="AY510" s="282"/>
      <c r="AZ510" s="117"/>
      <c r="BA510" s="331"/>
      <c r="BB510" s="117"/>
      <c r="BC510" s="331"/>
      <c r="BD510" s="117"/>
      <c r="BE510" s="331"/>
      <c r="BF510" s="117"/>
      <c r="BG510" s="331"/>
      <c r="BH510" s="117"/>
      <c r="BI510" s="944" t="s">
        <v>212</v>
      </c>
      <c r="BJ510" s="944"/>
      <c r="BK510" s="944"/>
      <c r="BL510" s="944"/>
      <c r="BM510" s="944"/>
      <c r="BN510" s="944"/>
      <c r="BO510" s="944"/>
      <c r="BP510" s="944"/>
      <c r="BQ510" s="944"/>
      <c r="BR510" s="944"/>
      <c r="BS510" s="944"/>
      <c r="BT510" s="944"/>
      <c r="BU510" s="944"/>
      <c r="BV510" s="945"/>
    </row>
    <row r="511" spans="1:74" ht="30" customHeight="1" x14ac:dyDescent="0.25">
      <c r="A511" s="200">
        <f t="shared" si="7"/>
        <v>497</v>
      </c>
      <c r="B511" s="294" t="s">
        <v>162</v>
      </c>
      <c r="C511" s="295"/>
      <c r="D511" s="936"/>
      <c r="E511" s="937"/>
      <c r="F511" s="937"/>
      <c r="G511" s="937"/>
      <c r="H511" s="937"/>
      <c r="I511" s="937"/>
      <c r="J511" s="937"/>
      <c r="K511" s="938"/>
      <c r="L511" s="932"/>
      <c r="M511" s="932"/>
      <c r="N511" s="932"/>
      <c r="O511" s="932"/>
      <c r="P511" s="931"/>
      <c r="Q511" s="931"/>
      <c r="R511" s="931"/>
      <c r="S511" s="931"/>
      <c r="T511" s="933"/>
      <c r="U511" s="934"/>
      <c r="V511" s="934"/>
      <c r="W511" s="935"/>
      <c r="X511" s="936"/>
      <c r="Y511" s="937"/>
      <c r="Z511" s="937"/>
      <c r="AA511" s="938"/>
      <c r="AB511" s="594"/>
      <c r="AC511" s="595"/>
      <c r="AD511" s="596"/>
      <c r="AE511" s="779"/>
      <c r="AF511" s="939"/>
      <c r="AG511" s="780"/>
      <c r="AH511" s="941"/>
      <c r="AI511" s="942"/>
      <c r="AJ511" s="943"/>
      <c r="AK511" s="745"/>
      <c r="AL511" s="940"/>
      <c r="AM511" s="746"/>
      <c r="AN511" s="281"/>
      <c r="AO511" s="282"/>
      <c r="AP511" s="281"/>
      <c r="AQ511" s="282"/>
      <c r="AR511" s="281"/>
      <c r="AS511" s="282"/>
      <c r="AT511" s="281"/>
      <c r="AU511" s="282"/>
      <c r="AV511" s="281"/>
      <c r="AW511" s="282"/>
      <c r="AX511" s="281"/>
      <c r="AY511" s="282"/>
      <c r="AZ511" s="117"/>
      <c r="BA511" s="331"/>
      <c r="BB511" s="117"/>
      <c r="BC511" s="331"/>
      <c r="BD511" s="117"/>
      <c r="BE511" s="331"/>
      <c r="BF511" s="117"/>
      <c r="BG511" s="331"/>
      <c r="BH511" s="117"/>
      <c r="BI511" s="944" t="s">
        <v>212</v>
      </c>
      <c r="BJ511" s="944"/>
      <c r="BK511" s="944"/>
      <c r="BL511" s="944"/>
      <c r="BM511" s="944"/>
      <c r="BN511" s="944"/>
      <c r="BO511" s="944"/>
      <c r="BP511" s="944"/>
      <c r="BQ511" s="944"/>
      <c r="BR511" s="944"/>
      <c r="BS511" s="944"/>
      <c r="BT511" s="944"/>
      <c r="BU511" s="944"/>
      <c r="BV511" s="945"/>
    </row>
    <row r="512" spans="1:74" ht="30" customHeight="1" x14ac:dyDescent="0.25">
      <c r="A512" s="200">
        <f t="shared" si="7"/>
        <v>498</v>
      </c>
      <c r="B512" s="294" t="s">
        <v>162</v>
      </c>
      <c r="C512" s="295"/>
      <c r="D512" s="936"/>
      <c r="E512" s="937"/>
      <c r="F512" s="937"/>
      <c r="G512" s="937"/>
      <c r="H512" s="937"/>
      <c r="I512" s="937"/>
      <c r="J512" s="937"/>
      <c r="K512" s="938"/>
      <c r="L512" s="932"/>
      <c r="M512" s="932"/>
      <c r="N512" s="932"/>
      <c r="O512" s="932"/>
      <c r="P512" s="931"/>
      <c r="Q512" s="931"/>
      <c r="R512" s="931"/>
      <c r="S512" s="931"/>
      <c r="T512" s="933"/>
      <c r="U512" s="934"/>
      <c r="V512" s="934"/>
      <c r="W512" s="935"/>
      <c r="X512" s="936"/>
      <c r="Y512" s="937"/>
      <c r="Z512" s="937"/>
      <c r="AA512" s="938"/>
      <c r="AB512" s="594"/>
      <c r="AC512" s="595"/>
      <c r="AD512" s="596"/>
      <c r="AE512" s="779"/>
      <c r="AF512" s="939"/>
      <c r="AG512" s="780"/>
      <c r="AH512" s="941"/>
      <c r="AI512" s="942"/>
      <c r="AJ512" s="943"/>
      <c r="AK512" s="745"/>
      <c r="AL512" s="940"/>
      <c r="AM512" s="746"/>
      <c r="AN512" s="281"/>
      <c r="AO512" s="282"/>
      <c r="AP512" s="281"/>
      <c r="AQ512" s="282"/>
      <c r="AR512" s="281"/>
      <c r="AS512" s="282"/>
      <c r="AT512" s="281"/>
      <c r="AU512" s="282"/>
      <c r="AV512" s="281"/>
      <c r="AW512" s="282"/>
      <c r="AX512" s="281"/>
      <c r="AY512" s="282"/>
      <c r="AZ512" s="117"/>
      <c r="BA512" s="331"/>
      <c r="BB512" s="117"/>
      <c r="BC512" s="331"/>
      <c r="BD512" s="117"/>
      <c r="BE512" s="331"/>
      <c r="BF512" s="117"/>
      <c r="BG512" s="331"/>
      <c r="BH512" s="117"/>
      <c r="BI512" s="944" t="s">
        <v>212</v>
      </c>
      <c r="BJ512" s="944"/>
      <c r="BK512" s="944"/>
      <c r="BL512" s="944"/>
      <c r="BM512" s="944"/>
      <c r="BN512" s="944"/>
      <c r="BO512" s="944"/>
      <c r="BP512" s="944"/>
      <c r="BQ512" s="944"/>
      <c r="BR512" s="944"/>
      <c r="BS512" s="944"/>
      <c r="BT512" s="944"/>
      <c r="BU512" s="944"/>
      <c r="BV512" s="945"/>
    </row>
    <row r="513" spans="1:74" ht="30" customHeight="1" x14ac:dyDescent="0.25">
      <c r="A513" s="200">
        <f t="shared" si="7"/>
        <v>499</v>
      </c>
      <c r="B513" s="294" t="s">
        <v>162</v>
      </c>
      <c r="C513" s="295"/>
      <c r="D513" s="936"/>
      <c r="E513" s="937"/>
      <c r="F513" s="937"/>
      <c r="G513" s="937"/>
      <c r="H513" s="937"/>
      <c r="I513" s="937"/>
      <c r="J513" s="937"/>
      <c r="K513" s="938"/>
      <c r="L513" s="932"/>
      <c r="M513" s="932"/>
      <c r="N513" s="932"/>
      <c r="O513" s="932"/>
      <c r="P513" s="931"/>
      <c r="Q513" s="931"/>
      <c r="R513" s="931"/>
      <c r="S513" s="931"/>
      <c r="T513" s="933"/>
      <c r="U513" s="934"/>
      <c r="V513" s="934"/>
      <c r="W513" s="935"/>
      <c r="X513" s="936"/>
      <c r="Y513" s="937"/>
      <c r="Z513" s="937"/>
      <c r="AA513" s="938"/>
      <c r="AB513" s="594"/>
      <c r="AC513" s="595"/>
      <c r="AD513" s="596"/>
      <c r="AE513" s="779"/>
      <c r="AF513" s="939"/>
      <c r="AG513" s="780"/>
      <c r="AH513" s="941"/>
      <c r="AI513" s="942"/>
      <c r="AJ513" s="943"/>
      <c r="AK513" s="745"/>
      <c r="AL513" s="940"/>
      <c r="AM513" s="746"/>
      <c r="AN513" s="281"/>
      <c r="AO513" s="282"/>
      <c r="AP513" s="281"/>
      <c r="AQ513" s="282"/>
      <c r="AR513" s="281"/>
      <c r="AS513" s="282"/>
      <c r="AT513" s="281"/>
      <c r="AU513" s="282"/>
      <c r="AV513" s="281"/>
      <c r="AW513" s="282"/>
      <c r="AX513" s="281"/>
      <c r="AY513" s="282"/>
      <c r="AZ513" s="117"/>
      <c r="BA513" s="331"/>
      <c r="BB513" s="117"/>
      <c r="BC513" s="331"/>
      <c r="BD513" s="117"/>
      <c r="BE513" s="331"/>
      <c r="BF513" s="117"/>
      <c r="BG513" s="331"/>
      <c r="BH513" s="117"/>
      <c r="BI513" s="944" t="s">
        <v>159</v>
      </c>
      <c r="BJ513" s="944"/>
      <c r="BK513" s="944"/>
      <c r="BL513" s="944"/>
      <c r="BM513" s="944"/>
      <c r="BN513" s="944"/>
      <c r="BO513" s="944"/>
      <c r="BP513" s="944"/>
      <c r="BQ513" s="944"/>
      <c r="BR513" s="944"/>
      <c r="BS513" s="944"/>
      <c r="BT513" s="944"/>
      <c r="BU513" s="944"/>
      <c r="BV513" s="945"/>
    </row>
    <row r="514" spans="1:74" ht="30" customHeight="1" x14ac:dyDescent="0.25">
      <c r="A514" s="200">
        <f t="shared" si="7"/>
        <v>500</v>
      </c>
      <c r="B514" s="294" t="s">
        <v>162</v>
      </c>
      <c r="C514" s="295"/>
      <c r="D514" s="936"/>
      <c r="E514" s="937"/>
      <c r="F514" s="937"/>
      <c r="G514" s="937"/>
      <c r="H514" s="937"/>
      <c r="I514" s="937"/>
      <c r="J514" s="937"/>
      <c r="K514" s="938"/>
      <c r="L514" s="932"/>
      <c r="M514" s="932"/>
      <c r="N514" s="932"/>
      <c r="O514" s="932"/>
      <c r="P514" s="931"/>
      <c r="Q514" s="931"/>
      <c r="R514" s="931"/>
      <c r="S514" s="931"/>
      <c r="T514" s="933"/>
      <c r="U514" s="934"/>
      <c r="V514" s="934"/>
      <c r="W514" s="935"/>
      <c r="X514" s="936"/>
      <c r="Y514" s="937"/>
      <c r="Z514" s="937"/>
      <c r="AA514" s="938"/>
      <c r="AB514" s="594"/>
      <c r="AC514" s="595"/>
      <c r="AD514" s="596"/>
      <c r="AE514" s="779"/>
      <c r="AF514" s="939"/>
      <c r="AG514" s="780"/>
      <c r="AH514" s="941"/>
      <c r="AI514" s="942"/>
      <c r="AJ514" s="943"/>
      <c r="AK514" s="745"/>
      <c r="AL514" s="940"/>
      <c r="AM514" s="746"/>
      <c r="AN514" s="281"/>
      <c r="AO514" s="282"/>
      <c r="AP514" s="281"/>
      <c r="AQ514" s="282"/>
      <c r="AR514" s="281"/>
      <c r="AS514" s="282"/>
      <c r="AT514" s="281"/>
      <c r="AU514" s="282"/>
      <c r="AV514" s="281"/>
      <c r="AW514" s="282"/>
      <c r="AX514" s="281"/>
      <c r="AY514" s="282"/>
      <c r="AZ514" s="117"/>
      <c r="BA514" s="331"/>
      <c r="BB514" s="117"/>
      <c r="BC514" s="331"/>
      <c r="BD514" s="117"/>
      <c r="BE514" s="331"/>
      <c r="BF514" s="117"/>
      <c r="BG514" s="331"/>
      <c r="BH514" s="117"/>
      <c r="BI514" s="944" t="s">
        <v>159</v>
      </c>
      <c r="BJ514" s="944"/>
      <c r="BK514" s="944"/>
      <c r="BL514" s="944"/>
      <c r="BM514" s="944"/>
      <c r="BN514" s="944"/>
      <c r="BO514" s="944"/>
      <c r="BP514" s="944"/>
      <c r="BQ514" s="944"/>
      <c r="BR514" s="944"/>
      <c r="BS514" s="944"/>
      <c r="BT514" s="944"/>
      <c r="BU514" s="944"/>
      <c r="BV514" s="945"/>
    </row>
    <row r="515" spans="1:74" ht="30" customHeight="1" x14ac:dyDescent="0.25">
      <c r="A515" s="232">
        <f t="shared" si="7"/>
        <v>501</v>
      </c>
      <c r="B515" s="294" t="s">
        <v>162</v>
      </c>
      <c r="C515" s="295"/>
      <c r="D515" s="936"/>
      <c r="E515" s="937"/>
      <c r="F515" s="937"/>
      <c r="G515" s="937"/>
      <c r="H515" s="937"/>
      <c r="I515" s="937"/>
      <c r="J515" s="937"/>
      <c r="K515" s="938"/>
      <c r="L515" s="932"/>
      <c r="M515" s="932"/>
      <c r="N515" s="932"/>
      <c r="O515" s="932"/>
      <c r="P515" s="931"/>
      <c r="Q515" s="931"/>
      <c r="R515" s="931"/>
      <c r="S515" s="931"/>
      <c r="T515" s="933"/>
      <c r="U515" s="934"/>
      <c r="V515" s="934"/>
      <c r="W515" s="935"/>
      <c r="X515" s="936"/>
      <c r="Y515" s="937"/>
      <c r="Z515" s="937"/>
      <c r="AA515" s="938"/>
      <c r="AB515" s="594"/>
      <c r="AC515" s="595"/>
      <c r="AD515" s="596"/>
      <c r="AE515" s="779"/>
      <c r="AF515" s="939"/>
      <c r="AG515" s="780"/>
      <c r="AH515" s="941"/>
      <c r="AI515" s="942"/>
      <c r="AJ515" s="943"/>
      <c r="AK515" s="745"/>
      <c r="AL515" s="940"/>
      <c r="AM515" s="746"/>
      <c r="AN515" s="281"/>
      <c r="AO515" s="282"/>
      <c r="AP515" s="281"/>
      <c r="AQ515" s="282"/>
      <c r="AR515" s="281"/>
      <c r="AS515" s="282"/>
      <c r="AT515" s="281"/>
      <c r="AU515" s="282"/>
      <c r="AV515" s="281"/>
      <c r="AW515" s="282"/>
      <c r="AX515" s="281"/>
      <c r="AY515" s="282"/>
      <c r="AZ515" s="117"/>
      <c r="BA515" s="331"/>
      <c r="BB515" s="117"/>
      <c r="BC515" s="331"/>
      <c r="BD515" s="117"/>
      <c r="BE515" s="331"/>
      <c r="BF515" s="117"/>
      <c r="BG515" s="331"/>
      <c r="BH515" s="117"/>
      <c r="BI515" s="944" t="s">
        <v>212</v>
      </c>
      <c r="BJ515" s="944"/>
      <c r="BK515" s="944"/>
      <c r="BL515" s="944"/>
      <c r="BM515" s="944"/>
      <c r="BN515" s="944"/>
      <c r="BO515" s="944"/>
      <c r="BP515" s="944"/>
      <c r="BQ515" s="944"/>
      <c r="BR515" s="944"/>
      <c r="BS515" s="944"/>
      <c r="BT515" s="944"/>
      <c r="BU515" s="944"/>
      <c r="BV515" s="945"/>
    </row>
    <row r="516" spans="1:74" ht="30" customHeight="1" x14ac:dyDescent="0.25">
      <c r="A516" s="200">
        <f t="shared" si="7"/>
        <v>502</v>
      </c>
      <c r="B516" s="294" t="s">
        <v>162</v>
      </c>
      <c r="C516" s="295"/>
      <c r="D516" s="936"/>
      <c r="E516" s="937"/>
      <c r="F516" s="937"/>
      <c r="G516" s="937"/>
      <c r="H516" s="937"/>
      <c r="I516" s="937"/>
      <c r="J516" s="937"/>
      <c r="K516" s="938"/>
      <c r="L516" s="932"/>
      <c r="M516" s="932"/>
      <c r="N516" s="932"/>
      <c r="O516" s="932"/>
      <c r="P516" s="931"/>
      <c r="Q516" s="931"/>
      <c r="R516" s="931"/>
      <c r="S516" s="931"/>
      <c r="T516" s="933"/>
      <c r="U516" s="934"/>
      <c r="V516" s="934"/>
      <c r="W516" s="935"/>
      <c r="X516" s="936"/>
      <c r="Y516" s="937"/>
      <c r="Z516" s="937"/>
      <c r="AA516" s="938"/>
      <c r="AB516" s="594"/>
      <c r="AC516" s="595"/>
      <c r="AD516" s="596"/>
      <c r="AE516" s="779"/>
      <c r="AF516" s="939"/>
      <c r="AG516" s="780"/>
      <c r="AH516" s="941"/>
      <c r="AI516" s="942"/>
      <c r="AJ516" s="943"/>
      <c r="AK516" s="745"/>
      <c r="AL516" s="940"/>
      <c r="AM516" s="746"/>
      <c r="AN516" s="281"/>
      <c r="AO516" s="282"/>
      <c r="AP516" s="281"/>
      <c r="AQ516" s="282"/>
      <c r="AR516" s="281"/>
      <c r="AS516" s="282"/>
      <c r="AT516" s="281"/>
      <c r="AU516" s="282"/>
      <c r="AV516" s="281"/>
      <c r="AW516" s="282"/>
      <c r="AX516" s="281"/>
      <c r="AY516" s="282"/>
      <c r="AZ516" s="117"/>
      <c r="BA516" s="331"/>
      <c r="BB516" s="117"/>
      <c r="BC516" s="331"/>
      <c r="BD516" s="117"/>
      <c r="BE516" s="331"/>
      <c r="BF516" s="117"/>
      <c r="BG516" s="331"/>
      <c r="BH516" s="117"/>
      <c r="BI516" s="944" t="s">
        <v>212</v>
      </c>
      <c r="BJ516" s="944"/>
      <c r="BK516" s="944"/>
      <c r="BL516" s="944"/>
      <c r="BM516" s="944"/>
      <c r="BN516" s="944"/>
      <c r="BO516" s="944"/>
      <c r="BP516" s="944"/>
      <c r="BQ516" s="944"/>
      <c r="BR516" s="944"/>
      <c r="BS516" s="944"/>
      <c r="BT516" s="944"/>
      <c r="BU516" s="944"/>
      <c r="BV516" s="945"/>
    </row>
    <row r="517" spans="1:74" ht="30" customHeight="1" x14ac:dyDescent="0.25">
      <c r="A517" s="200">
        <f t="shared" si="7"/>
        <v>503</v>
      </c>
      <c r="B517" s="294" t="s">
        <v>162</v>
      </c>
      <c r="C517" s="295"/>
      <c r="D517" s="936"/>
      <c r="E517" s="937"/>
      <c r="F517" s="937"/>
      <c r="G517" s="937"/>
      <c r="H517" s="937"/>
      <c r="I517" s="937"/>
      <c r="J517" s="937"/>
      <c r="K517" s="938"/>
      <c r="L517" s="932"/>
      <c r="M517" s="932"/>
      <c r="N517" s="932"/>
      <c r="O517" s="932"/>
      <c r="P517" s="931"/>
      <c r="Q517" s="931"/>
      <c r="R517" s="931"/>
      <c r="S517" s="931"/>
      <c r="T517" s="933"/>
      <c r="U517" s="934"/>
      <c r="V517" s="934"/>
      <c r="W517" s="935"/>
      <c r="X517" s="936"/>
      <c r="Y517" s="937"/>
      <c r="Z517" s="937"/>
      <c r="AA517" s="938"/>
      <c r="AB517" s="594"/>
      <c r="AC517" s="595"/>
      <c r="AD517" s="596"/>
      <c r="AE517" s="779"/>
      <c r="AF517" s="939"/>
      <c r="AG517" s="780"/>
      <c r="AH517" s="941"/>
      <c r="AI517" s="942"/>
      <c r="AJ517" s="943"/>
      <c r="AK517" s="745"/>
      <c r="AL517" s="940"/>
      <c r="AM517" s="746"/>
      <c r="AN517" s="281"/>
      <c r="AO517" s="282"/>
      <c r="AP517" s="281"/>
      <c r="AQ517" s="282"/>
      <c r="AR517" s="281"/>
      <c r="AS517" s="282"/>
      <c r="AT517" s="281"/>
      <c r="AU517" s="282"/>
      <c r="AV517" s="281"/>
      <c r="AW517" s="282"/>
      <c r="AX517" s="281"/>
      <c r="AY517" s="282"/>
      <c r="AZ517" s="117"/>
      <c r="BA517" s="331"/>
      <c r="BB517" s="117"/>
      <c r="BC517" s="331"/>
      <c r="BD517" s="117"/>
      <c r="BE517" s="331"/>
      <c r="BF517" s="117"/>
      <c r="BG517" s="331"/>
      <c r="BH517" s="117"/>
      <c r="BI517" s="944" t="s">
        <v>212</v>
      </c>
      <c r="BJ517" s="944"/>
      <c r="BK517" s="944"/>
      <c r="BL517" s="944"/>
      <c r="BM517" s="944"/>
      <c r="BN517" s="944"/>
      <c r="BO517" s="944"/>
      <c r="BP517" s="944"/>
      <c r="BQ517" s="944"/>
      <c r="BR517" s="944"/>
      <c r="BS517" s="944"/>
      <c r="BT517" s="944"/>
      <c r="BU517" s="944"/>
      <c r="BV517" s="945"/>
    </row>
    <row r="518" spans="1:74" ht="30" customHeight="1" x14ac:dyDescent="0.25">
      <c r="A518" s="200">
        <f t="shared" si="7"/>
        <v>504</v>
      </c>
      <c r="B518" s="294" t="s">
        <v>162</v>
      </c>
      <c r="C518" s="295"/>
      <c r="D518" s="936"/>
      <c r="E518" s="937"/>
      <c r="F518" s="937"/>
      <c r="G518" s="937"/>
      <c r="H518" s="937"/>
      <c r="I518" s="937"/>
      <c r="J518" s="937"/>
      <c r="K518" s="938"/>
      <c r="L518" s="932"/>
      <c r="M518" s="932"/>
      <c r="N518" s="932"/>
      <c r="O518" s="932"/>
      <c r="P518" s="931"/>
      <c r="Q518" s="931"/>
      <c r="R518" s="931"/>
      <c r="S518" s="931"/>
      <c r="T518" s="933"/>
      <c r="U518" s="934"/>
      <c r="V518" s="934"/>
      <c r="W518" s="935"/>
      <c r="X518" s="936"/>
      <c r="Y518" s="937"/>
      <c r="Z518" s="937"/>
      <c r="AA518" s="938"/>
      <c r="AB518" s="594"/>
      <c r="AC518" s="595"/>
      <c r="AD518" s="596"/>
      <c r="AE518" s="779"/>
      <c r="AF518" s="939"/>
      <c r="AG518" s="780"/>
      <c r="AH518" s="941"/>
      <c r="AI518" s="942"/>
      <c r="AJ518" s="943"/>
      <c r="AK518" s="745"/>
      <c r="AL518" s="940"/>
      <c r="AM518" s="746"/>
      <c r="AN518" s="281"/>
      <c r="AO518" s="282"/>
      <c r="AP518" s="281"/>
      <c r="AQ518" s="282"/>
      <c r="AR518" s="281"/>
      <c r="AS518" s="282"/>
      <c r="AT518" s="281"/>
      <c r="AU518" s="282"/>
      <c r="AV518" s="281"/>
      <c r="AW518" s="282"/>
      <c r="AX518" s="281"/>
      <c r="AY518" s="282"/>
      <c r="AZ518" s="117"/>
      <c r="BA518" s="331"/>
      <c r="BB518" s="117"/>
      <c r="BC518" s="331"/>
      <c r="BD518" s="117"/>
      <c r="BE518" s="331"/>
      <c r="BF518" s="117"/>
      <c r="BG518" s="331"/>
      <c r="BH518" s="117"/>
      <c r="BI518" s="944" t="s">
        <v>212</v>
      </c>
      <c r="BJ518" s="944"/>
      <c r="BK518" s="944"/>
      <c r="BL518" s="944"/>
      <c r="BM518" s="944"/>
      <c r="BN518" s="944"/>
      <c r="BO518" s="944"/>
      <c r="BP518" s="944"/>
      <c r="BQ518" s="944"/>
      <c r="BR518" s="944"/>
      <c r="BS518" s="944"/>
      <c r="BT518" s="944"/>
      <c r="BU518" s="944"/>
      <c r="BV518" s="945"/>
    </row>
    <row r="519" spans="1:74" ht="30" customHeight="1" x14ac:dyDescent="0.25">
      <c r="A519" s="200">
        <f t="shared" si="7"/>
        <v>505</v>
      </c>
      <c r="B519" s="294" t="s">
        <v>162</v>
      </c>
      <c r="C519" s="295"/>
      <c r="D519" s="936"/>
      <c r="E519" s="937"/>
      <c r="F519" s="937"/>
      <c r="G519" s="937"/>
      <c r="H519" s="937"/>
      <c r="I519" s="937"/>
      <c r="J519" s="937"/>
      <c r="K519" s="938"/>
      <c r="L519" s="932"/>
      <c r="M519" s="932"/>
      <c r="N519" s="932"/>
      <c r="O519" s="932"/>
      <c r="P519" s="931"/>
      <c r="Q519" s="931"/>
      <c r="R519" s="931"/>
      <c r="S519" s="931"/>
      <c r="T519" s="933"/>
      <c r="U519" s="934"/>
      <c r="V519" s="934"/>
      <c r="W519" s="935"/>
      <c r="X519" s="936"/>
      <c r="Y519" s="937"/>
      <c r="Z519" s="937"/>
      <c r="AA519" s="938"/>
      <c r="AB519" s="594"/>
      <c r="AC519" s="595"/>
      <c r="AD519" s="596"/>
      <c r="AE519" s="779"/>
      <c r="AF519" s="939"/>
      <c r="AG519" s="780"/>
      <c r="AH519" s="941"/>
      <c r="AI519" s="942"/>
      <c r="AJ519" s="943"/>
      <c r="AK519" s="745"/>
      <c r="AL519" s="940"/>
      <c r="AM519" s="746"/>
      <c r="AN519" s="281"/>
      <c r="AO519" s="282"/>
      <c r="AP519" s="281"/>
      <c r="AQ519" s="282"/>
      <c r="AR519" s="281"/>
      <c r="AS519" s="282"/>
      <c r="AT519" s="281"/>
      <c r="AU519" s="282"/>
      <c r="AV519" s="281"/>
      <c r="AW519" s="282"/>
      <c r="AX519" s="281"/>
      <c r="AY519" s="282"/>
      <c r="AZ519" s="117"/>
      <c r="BA519" s="331"/>
      <c r="BB519" s="117"/>
      <c r="BC519" s="331"/>
      <c r="BD519" s="117"/>
      <c r="BE519" s="331"/>
      <c r="BF519" s="117"/>
      <c r="BG519" s="331"/>
      <c r="BH519" s="117"/>
      <c r="BI519" s="944" t="s">
        <v>212</v>
      </c>
      <c r="BJ519" s="944"/>
      <c r="BK519" s="944"/>
      <c r="BL519" s="944"/>
      <c r="BM519" s="944"/>
      <c r="BN519" s="944"/>
      <c r="BO519" s="944"/>
      <c r="BP519" s="944"/>
      <c r="BQ519" s="944"/>
      <c r="BR519" s="944"/>
      <c r="BS519" s="944"/>
      <c r="BT519" s="944"/>
      <c r="BU519" s="944"/>
      <c r="BV519" s="945"/>
    </row>
    <row r="520" spans="1:74" ht="30" customHeight="1" x14ac:dyDescent="0.25">
      <c r="A520" s="200">
        <f t="shared" si="7"/>
        <v>506</v>
      </c>
      <c r="B520" s="294" t="s">
        <v>162</v>
      </c>
      <c r="C520" s="295"/>
      <c r="D520" s="936"/>
      <c r="E520" s="937"/>
      <c r="F520" s="937"/>
      <c r="G520" s="937"/>
      <c r="H520" s="937"/>
      <c r="I520" s="937"/>
      <c r="J520" s="937"/>
      <c r="K520" s="938"/>
      <c r="L520" s="932"/>
      <c r="M520" s="932"/>
      <c r="N520" s="932"/>
      <c r="O520" s="932"/>
      <c r="P520" s="931"/>
      <c r="Q520" s="931"/>
      <c r="R520" s="931"/>
      <c r="S520" s="931"/>
      <c r="T520" s="933"/>
      <c r="U520" s="934"/>
      <c r="V520" s="934"/>
      <c r="W520" s="935"/>
      <c r="X520" s="936"/>
      <c r="Y520" s="937"/>
      <c r="Z520" s="937"/>
      <c r="AA520" s="938"/>
      <c r="AB520" s="594"/>
      <c r="AC520" s="595"/>
      <c r="AD520" s="596"/>
      <c r="AE520" s="779"/>
      <c r="AF520" s="939"/>
      <c r="AG520" s="780"/>
      <c r="AH520" s="941"/>
      <c r="AI520" s="942"/>
      <c r="AJ520" s="943"/>
      <c r="AK520" s="745"/>
      <c r="AL520" s="940"/>
      <c r="AM520" s="746"/>
      <c r="AN520" s="281"/>
      <c r="AO520" s="282"/>
      <c r="AP520" s="281"/>
      <c r="AQ520" s="282"/>
      <c r="AR520" s="281"/>
      <c r="AS520" s="282"/>
      <c r="AT520" s="281"/>
      <c r="AU520" s="282"/>
      <c r="AV520" s="281"/>
      <c r="AW520" s="282"/>
      <c r="AX520" s="281"/>
      <c r="AY520" s="282"/>
      <c r="AZ520" s="117"/>
      <c r="BA520" s="331"/>
      <c r="BB520" s="117"/>
      <c r="BC520" s="331"/>
      <c r="BD520" s="117"/>
      <c r="BE520" s="331"/>
      <c r="BF520" s="117"/>
      <c r="BG520" s="331"/>
      <c r="BH520" s="117"/>
      <c r="BI520" s="944" t="s">
        <v>159</v>
      </c>
      <c r="BJ520" s="944"/>
      <c r="BK520" s="944"/>
      <c r="BL520" s="944"/>
      <c r="BM520" s="944"/>
      <c r="BN520" s="944"/>
      <c r="BO520" s="944"/>
      <c r="BP520" s="944"/>
      <c r="BQ520" s="944"/>
      <c r="BR520" s="944"/>
      <c r="BS520" s="944"/>
      <c r="BT520" s="944"/>
      <c r="BU520" s="944"/>
      <c r="BV520" s="945"/>
    </row>
    <row r="521" spans="1:74" ht="30" customHeight="1" x14ac:dyDescent="0.25">
      <c r="A521" s="200">
        <f t="shared" si="7"/>
        <v>507</v>
      </c>
      <c r="B521" s="294" t="s">
        <v>162</v>
      </c>
      <c r="C521" s="295"/>
      <c r="D521" s="936"/>
      <c r="E521" s="937"/>
      <c r="F521" s="937"/>
      <c r="G521" s="937"/>
      <c r="H521" s="937"/>
      <c r="I521" s="937"/>
      <c r="J521" s="937"/>
      <c r="K521" s="938"/>
      <c r="L521" s="932"/>
      <c r="M521" s="932"/>
      <c r="N521" s="932"/>
      <c r="O521" s="932"/>
      <c r="P521" s="931"/>
      <c r="Q521" s="931"/>
      <c r="R521" s="931"/>
      <c r="S521" s="931"/>
      <c r="T521" s="933"/>
      <c r="U521" s="934"/>
      <c r="V521" s="934"/>
      <c r="W521" s="935"/>
      <c r="X521" s="936"/>
      <c r="Y521" s="937"/>
      <c r="Z521" s="937"/>
      <c r="AA521" s="938"/>
      <c r="AB521" s="594"/>
      <c r="AC521" s="595"/>
      <c r="AD521" s="596"/>
      <c r="AE521" s="779"/>
      <c r="AF521" s="939"/>
      <c r="AG521" s="780"/>
      <c r="AH521" s="941"/>
      <c r="AI521" s="942"/>
      <c r="AJ521" s="943"/>
      <c r="AK521" s="745"/>
      <c r="AL521" s="940"/>
      <c r="AM521" s="746"/>
      <c r="AN521" s="281"/>
      <c r="AO521" s="282"/>
      <c r="AP521" s="281"/>
      <c r="AQ521" s="282"/>
      <c r="AR521" s="281"/>
      <c r="AS521" s="282"/>
      <c r="AT521" s="281"/>
      <c r="AU521" s="282"/>
      <c r="AV521" s="281"/>
      <c r="AW521" s="282"/>
      <c r="AX521" s="281"/>
      <c r="AY521" s="282"/>
      <c r="AZ521" s="117"/>
      <c r="BA521" s="331"/>
      <c r="BB521" s="117"/>
      <c r="BC521" s="331"/>
      <c r="BD521" s="117"/>
      <c r="BE521" s="331"/>
      <c r="BF521" s="117"/>
      <c r="BG521" s="331"/>
      <c r="BH521" s="117"/>
      <c r="BI521" s="944" t="s">
        <v>159</v>
      </c>
      <c r="BJ521" s="944"/>
      <c r="BK521" s="944"/>
      <c r="BL521" s="944"/>
      <c r="BM521" s="944"/>
      <c r="BN521" s="944"/>
      <c r="BO521" s="944"/>
      <c r="BP521" s="944"/>
      <c r="BQ521" s="944"/>
      <c r="BR521" s="944"/>
      <c r="BS521" s="944"/>
      <c r="BT521" s="944"/>
      <c r="BU521" s="944"/>
      <c r="BV521" s="945"/>
    </row>
    <row r="522" spans="1:74" ht="30" customHeight="1" x14ac:dyDescent="0.25">
      <c r="A522" s="232">
        <f t="shared" si="7"/>
        <v>508</v>
      </c>
      <c r="B522" s="294" t="s">
        <v>162</v>
      </c>
      <c r="C522" s="295"/>
      <c r="D522" s="936"/>
      <c r="E522" s="937"/>
      <c r="F522" s="937"/>
      <c r="G522" s="937"/>
      <c r="H522" s="937"/>
      <c r="I522" s="937"/>
      <c r="J522" s="937"/>
      <c r="K522" s="938"/>
      <c r="L522" s="932"/>
      <c r="M522" s="932"/>
      <c r="N522" s="932"/>
      <c r="O522" s="932"/>
      <c r="P522" s="931"/>
      <c r="Q522" s="931"/>
      <c r="R522" s="931"/>
      <c r="S522" s="931"/>
      <c r="T522" s="933"/>
      <c r="U522" s="934"/>
      <c r="V522" s="934"/>
      <c r="W522" s="935"/>
      <c r="X522" s="936"/>
      <c r="Y522" s="937"/>
      <c r="Z522" s="937"/>
      <c r="AA522" s="938"/>
      <c r="AB522" s="594"/>
      <c r="AC522" s="595"/>
      <c r="AD522" s="596"/>
      <c r="AE522" s="779"/>
      <c r="AF522" s="939"/>
      <c r="AG522" s="780"/>
      <c r="AH522" s="941"/>
      <c r="AI522" s="942"/>
      <c r="AJ522" s="943"/>
      <c r="AK522" s="745"/>
      <c r="AL522" s="940"/>
      <c r="AM522" s="746"/>
      <c r="AN522" s="281"/>
      <c r="AO522" s="282"/>
      <c r="AP522" s="281"/>
      <c r="AQ522" s="282"/>
      <c r="AR522" s="281"/>
      <c r="AS522" s="282"/>
      <c r="AT522" s="281"/>
      <c r="AU522" s="282"/>
      <c r="AV522" s="281"/>
      <c r="AW522" s="282"/>
      <c r="AX522" s="281"/>
      <c r="AY522" s="282"/>
      <c r="AZ522" s="117"/>
      <c r="BA522" s="331"/>
      <c r="BB522" s="117"/>
      <c r="BC522" s="331"/>
      <c r="BD522" s="117"/>
      <c r="BE522" s="331"/>
      <c r="BF522" s="117"/>
      <c r="BG522" s="331"/>
      <c r="BH522" s="117"/>
      <c r="BI522" s="944" t="s">
        <v>212</v>
      </c>
      <c r="BJ522" s="944"/>
      <c r="BK522" s="944"/>
      <c r="BL522" s="944"/>
      <c r="BM522" s="944"/>
      <c r="BN522" s="944"/>
      <c r="BO522" s="944"/>
      <c r="BP522" s="944"/>
      <c r="BQ522" s="944"/>
      <c r="BR522" s="944"/>
      <c r="BS522" s="944"/>
      <c r="BT522" s="944"/>
      <c r="BU522" s="944"/>
      <c r="BV522" s="945"/>
    </row>
    <row r="523" spans="1:74" ht="30" customHeight="1" x14ac:dyDescent="0.25">
      <c r="A523" s="200">
        <f t="shared" si="7"/>
        <v>509</v>
      </c>
      <c r="B523" s="294" t="s">
        <v>162</v>
      </c>
      <c r="C523" s="295"/>
      <c r="D523" s="936"/>
      <c r="E523" s="937"/>
      <c r="F523" s="937"/>
      <c r="G523" s="937"/>
      <c r="H523" s="937"/>
      <c r="I523" s="937"/>
      <c r="J523" s="937"/>
      <c r="K523" s="938"/>
      <c r="L523" s="932"/>
      <c r="M523" s="932"/>
      <c r="N523" s="932"/>
      <c r="O523" s="932"/>
      <c r="P523" s="931"/>
      <c r="Q523" s="931"/>
      <c r="R523" s="931"/>
      <c r="S523" s="931"/>
      <c r="T523" s="933"/>
      <c r="U523" s="934"/>
      <c r="V523" s="934"/>
      <c r="W523" s="935"/>
      <c r="X523" s="936"/>
      <c r="Y523" s="937"/>
      <c r="Z523" s="937"/>
      <c r="AA523" s="938"/>
      <c r="AB523" s="594"/>
      <c r="AC523" s="595"/>
      <c r="AD523" s="596"/>
      <c r="AE523" s="779"/>
      <c r="AF523" s="939"/>
      <c r="AG523" s="780"/>
      <c r="AH523" s="941"/>
      <c r="AI523" s="942"/>
      <c r="AJ523" s="943"/>
      <c r="AK523" s="745"/>
      <c r="AL523" s="940"/>
      <c r="AM523" s="746"/>
      <c r="AN523" s="281"/>
      <c r="AO523" s="282"/>
      <c r="AP523" s="281"/>
      <c r="AQ523" s="282"/>
      <c r="AR523" s="281"/>
      <c r="AS523" s="282"/>
      <c r="AT523" s="281"/>
      <c r="AU523" s="282"/>
      <c r="AV523" s="281"/>
      <c r="AW523" s="282"/>
      <c r="AX523" s="281"/>
      <c r="AY523" s="282"/>
      <c r="AZ523" s="117"/>
      <c r="BA523" s="331"/>
      <c r="BB523" s="117"/>
      <c r="BC523" s="331"/>
      <c r="BD523" s="117"/>
      <c r="BE523" s="331"/>
      <c r="BF523" s="117"/>
      <c r="BG523" s="331"/>
      <c r="BH523" s="117"/>
      <c r="BI523" s="944" t="s">
        <v>212</v>
      </c>
      <c r="BJ523" s="944"/>
      <c r="BK523" s="944"/>
      <c r="BL523" s="944"/>
      <c r="BM523" s="944"/>
      <c r="BN523" s="944"/>
      <c r="BO523" s="944"/>
      <c r="BP523" s="944"/>
      <c r="BQ523" s="944"/>
      <c r="BR523" s="944"/>
      <c r="BS523" s="944"/>
      <c r="BT523" s="944"/>
      <c r="BU523" s="944"/>
      <c r="BV523" s="945"/>
    </row>
    <row r="524" spans="1:74" ht="30" customHeight="1" x14ac:dyDescent="0.25">
      <c r="A524" s="200">
        <f t="shared" si="7"/>
        <v>510</v>
      </c>
      <c r="B524" s="294" t="s">
        <v>162</v>
      </c>
      <c r="C524" s="295"/>
      <c r="D524" s="936"/>
      <c r="E524" s="937"/>
      <c r="F524" s="937"/>
      <c r="G524" s="937"/>
      <c r="H524" s="937"/>
      <c r="I524" s="937"/>
      <c r="J524" s="937"/>
      <c r="K524" s="938"/>
      <c r="L524" s="932"/>
      <c r="M524" s="932"/>
      <c r="N524" s="932"/>
      <c r="O524" s="932"/>
      <c r="P524" s="931"/>
      <c r="Q524" s="931"/>
      <c r="R524" s="931"/>
      <c r="S524" s="931"/>
      <c r="T524" s="933"/>
      <c r="U524" s="934"/>
      <c r="V524" s="934"/>
      <c r="W524" s="935"/>
      <c r="X524" s="936"/>
      <c r="Y524" s="937"/>
      <c r="Z524" s="937"/>
      <c r="AA524" s="938"/>
      <c r="AB524" s="594"/>
      <c r="AC524" s="595"/>
      <c r="AD524" s="596"/>
      <c r="AE524" s="779"/>
      <c r="AF524" s="939"/>
      <c r="AG524" s="780"/>
      <c r="AH524" s="941"/>
      <c r="AI524" s="942"/>
      <c r="AJ524" s="943"/>
      <c r="AK524" s="745"/>
      <c r="AL524" s="940"/>
      <c r="AM524" s="746"/>
      <c r="AN524" s="281"/>
      <c r="AO524" s="282"/>
      <c r="AP524" s="281"/>
      <c r="AQ524" s="282"/>
      <c r="AR524" s="281"/>
      <c r="AS524" s="282"/>
      <c r="AT524" s="281"/>
      <c r="AU524" s="282"/>
      <c r="AV524" s="281"/>
      <c r="AW524" s="282"/>
      <c r="AX524" s="281"/>
      <c r="AY524" s="282"/>
      <c r="AZ524" s="117"/>
      <c r="BA524" s="331"/>
      <c r="BB524" s="117"/>
      <c r="BC524" s="331"/>
      <c r="BD524" s="117"/>
      <c r="BE524" s="331"/>
      <c r="BF524" s="117"/>
      <c r="BG524" s="331"/>
      <c r="BH524" s="117"/>
      <c r="BI524" s="944" t="s">
        <v>212</v>
      </c>
      <c r="BJ524" s="944"/>
      <c r="BK524" s="944"/>
      <c r="BL524" s="944"/>
      <c r="BM524" s="944"/>
      <c r="BN524" s="944"/>
      <c r="BO524" s="944"/>
      <c r="BP524" s="944"/>
      <c r="BQ524" s="944"/>
      <c r="BR524" s="944"/>
      <c r="BS524" s="944"/>
      <c r="BT524" s="944"/>
      <c r="BU524" s="944"/>
      <c r="BV524" s="945"/>
    </row>
    <row r="525" spans="1:74" ht="30" customHeight="1" x14ac:dyDescent="0.25">
      <c r="A525" s="200">
        <f t="shared" si="7"/>
        <v>511</v>
      </c>
      <c r="B525" s="294" t="s">
        <v>162</v>
      </c>
      <c r="C525" s="295"/>
      <c r="D525" s="936"/>
      <c r="E525" s="937"/>
      <c r="F525" s="937"/>
      <c r="G525" s="937"/>
      <c r="H525" s="937"/>
      <c r="I525" s="937"/>
      <c r="J525" s="937"/>
      <c r="K525" s="938"/>
      <c r="L525" s="932"/>
      <c r="M525" s="932"/>
      <c r="N525" s="932"/>
      <c r="O525" s="932"/>
      <c r="P525" s="931"/>
      <c r="Q525" s="931"/>
      <c r="R525" s="931"/>
      <c r="S525" s="931"/>
      <c r="T525" s="933"/>
      <c r="U525" s="934"/>
      <c r="V525" s="934"/>
      <c r="W525" s="935"/>
      <c r="X525" s="936"/>
      <c r="Y525" s="937"/>
      <c r="Z525" s="937"/>
      <c r="AA525" s="938"/>
      <c r="AB525" s="594"/>
      <c r="AC525" s="595"/>
      <c r="AD525" s="596"/>
      <c r="AE525" s="779"/>
      <c r="AF525" s="939"/>
      <c r="AG525" s="780"/>
      <c r="AH525" s="941"/>
      <c r="AI525" s="942"/>
      <c r="AJ525" s="943"/>
      <c r="AK525" s="745"/>
      <c r="AL525" s="940"/>
      <c r="AM525" s="746"/>
      <c r="AN525" s="281"/>
      <c r="AO525" s="282"/>
      <c r="AP525" s="281"/>
      <c r="AQ525" s="282"/>
      <c r="AR525" s="281"/>
      <c r="AS525" s="282"/>
      <c r="AT525" s="281"/>
      <c r="AU525" s="282"/>
      <c r="AV525" s="281"/>
      <c r="AW525" s="282"/>
      <c r="AX525" s="281"/>
      <c r="AY525" s="282"/>
      <c r="AZ525" s="117"/>
      <c r="BA525" s="331"/>
      <c r="BB525" s="117"/>
      <c r="BC525" s="331"/>
      <c r="BD525" s="117"/>
      <c r="BE525" s="331"/>
      <c r="BF525" s="117"/>
      <c r="BG525" s="331"/>
      <c r="BH525" s="117"/>
      <c r="BI525" s="944" t="s">
        <v>212</v>
      </c>
      <c r="BJ525" s="944"/>
      <c r="BK525" s="944"/>
      <c r="BL525" s="944"/>
      <c r="BM525" s="944"/>
      <c r="BN525" s="944"/>
      <c r="BO525" s="944"/>
      <c r="BP525" s="944"/>
      <c r="BQ525" s="944"/>
      <c r="BR525" s="944"/>
      <c r="BS525" s="944"/>
      <c r="BT525" s="944"/>
      <c r="BU525" s="944"/>
      <c r="BV525" s="945"/>
    </row>
    <row r="526" spans="1:74" ht="30" customHeight="1" x14ac:dyDescent="0.25">
      <c r="A526" s="200">
        <f t="shared" si="7"/>
        <v>512</v>
      </c>
      <c r="B526" s="294" t="s">
        <v>162</v>
      </c>
      <c r="C526" s="295"/>
      <c r="D526" s="936"/>
      <c r="E526" s="937"/>
      <c r="F526" s="937"/>
      <c r="G526" s="937"/>
      <c r="H526" s="937"/>
      <c r="I526" s="937"/>
      <c r="J526" s="937"/>
      <c r="K526" s="938"/>
      <c r="L526" s="932"/>
      <c r="M526" s="932"/>
      <c r="N526" s="932"/>
      <c r="O526" s="932"/>
      <c r="P526" s="931"/>
      <c r="Q526" s="931"/>
      <c r="R526" s="931"/>
      <c r="S526" s="931"/>
      <c r="T526" s="933"/>
      <c r="U526" s="934"/>
      <c r="V526" s="934"/>
      <c r="W526" s="935"/>
      <c r="X526" s="936"/>
      <c r="Y526" s="937"/>
      <c r="Z526" s="937"/>
      <c r="AA526" s="938"/>
      <c r="AB526" s="594"/>
      <c r="AC526" s="595"/>
      <c r="AD526" s="596"/>
      <c r="AE526" s="779"/>
      <c r="AF526" s="939"/>
      <c r="AG526" s="780"/>
      <c r="AH526" s="941"/>
      <c r="AI526" s="942"/>
      <c r="AJ526" s="943"/>
      <c r="AK526" s="745"/>
      <c r="AL526" s="940"/>
      <c r="AM526" s="746"/>
      <c r="AN526" s="281"/>
      <c r="AO526" s="282"/>
      <c r="AP526" s="281"/>
      <c r="AQ526" s="282"/>
      <c r="AR526" s="281"/>
      <c r="AS526" s="282"/>
      <c r="AT526" s="281"/>
      <c r="AU526" s="282"/>
      <c r="AV526" s="281"/>
      <c r="AW526" s="282"/>
      <c r="AX526" s="281"/>
      <c r="AY526" s="282"/>
      <c r="AZ526" s="117"/>
      <c r="BA526" s="331"/>
      <c r="BB526" s="117"/>
      <c r="BC526" s="331"/>
      <c r="BD526" s="117"/>
      <c r="BE526" s="331"/>
      <c r="BF526" s="117"/>
      <c r="BG526" s="331"/>
      <c r="BH526" s="117"/>
      <c r="BI526" s="944" t="s">
        <v>212</v>
      </c>
      <c r="BJ526" s="944"/>
      <c r="BK526" s="944"/>
      <c r="BL526" s="944"/>
      <c r="BM526" s="944"/>
      <c r="BN526" s="944"/>
      <c r="BO526" s="944"/>
      <c r="BP526" s="944"/>
      <c r="BQ526" s="944"/>
      <c r="BR526" s="944"/>
      <c r="BS526" s="944"/>
      <c r="BT526" s="944"/>
      <c r="BU526" s="944"/>
      <c r="BV526" s="945"/>
    </row>
    <row r="527" spans="1:74" ht="30" customHeight="1" x14ac:dyDescent="0.25">
      <c r="A527" s="200">
        <f t="shared" ref="A527:A534" si="8">ROW(A513)</f>
        <v>513</v>
      </c>
      <c r="B527" s="294" t="s">
        <v>162</v>
      </c>
      <c r="C527" s="295"/>
      <c r="D527" s="936"/>
      <c r="E527" s="937"/>
      <c r="F527" s="937"/>
      <c r="G527" s="937"/>
      <c r="H527" s="937"/>
      <c r="I527" s="937"/>
      <c r="J527" s="937"/>
      <c r="K527" s="938"/>
      <c r="L527" s="932"/>
      <c r="M527" s="932"/>
      <c r="N527" s="932"/>
      <c r="O527" s="932"/>
      <c r="P527" s="931"/>
      <c r="Q527" s="931"/>
      <c r="R527" s="931"/>
      <c r="S527" s="931"/>
      <c r="T527" s="933"/>
      <c r="U527" s="934"/>
      <c r="V527" s="934"/>
      <c r="W527" s="935"/>
      <c r="X527" s="936"/>
      <c r="Y527" s="937"/>
      <c r="Z527" s="937"/>
      <c r="AA527" s="938"/>
      <c r="AB527" s="594"/>
      <c r="AC527" s="595"/>
      <c r="AD527" s="596"/>
      <c r="AE527" s="779"/>
      <c r="AF527" s="939"/>
      <c r="AG527" s="780"/>
      <c r="AH527" s="941"/>
      <c r="AI527" s="942"/>
      <c r="AJ527" s="943"/>
      <c r="AK527" s="745"/>
      <c r="AL527" s="940"/>
      <c r="AM527" s="746"/>
      <c r="AN527" s="281"/>
      <c r="AO527" s="282"/>
      <c r="AP527" s="281"/>
      <c r="AQ527" s="282"/>
      <c r="AR527" s="281"/>
      <c r="AS527" s="282"/>
      <c r="AT527" s="281"/>
      <c r="AU527" s="282"/>
      <c r="AV527" s="281"/>
      <c r="AW527" s="282"/>
      <c r="AX527" s="281"/>
      <c r="AY527" s="282"/>
      <c r="AZ527" s="117"/>
      <c r="BA527" s="331"/>
      <c r="BB527" s="117"/>
      <c r="BC527" s="331"/>
      <c r="BD527" s="117"/>
      <c r="BE527" s="331"/>
      <c r="BF527" s="117"/>
      <c r="BG527" s="331"/>
      <c r="BH527" s="117"/>
      <c r="BI527" s="944" t="s">
        <v>159</v>
      </c>
      <c r="BJ527" s="944"/>
      <c r="BK527" s="944"/>
      <c r="BL527" s="944"/>
      <c r="BM527" s="944"/>
      <c r="BN527" s="944"/>
      <c r="BO527" s="944"/>
      <c r="BP527" s="944"/>
      <c r="BQ527" s="944"/>
      <c r="BR527" s="944"/>
      <c r="BS527" s="944"/>
      <c r="BT527" s="944"/>
      <c r="BU527" s="944"/>
      <c r="BV527" s="945"/>
    </row>
    <row r="528" spans="1:74" ht="30" customHeight="1" x14ac:dyDescent="0.25">
      <c r="A528" s="200">
        <f t="shared" si="8"/>
        <v>514</v>
      </c>
      <c r="B528" s="294" t="s">
        <v>162</v>
      </c>
      <c r="C528" s="295"/>
      <c r="D528" s="936"/>
      <c r="E528" s="937"/>
      <c r="F528" s="937"/>
      <c r="G528" s="937"/>
      <c r="H528" s="937"/>
      <c r="I528" s="937"/>
      <c r="J528" s="937"/>
      <c r="K528" s="938"/>
      <c r="L528" s="932"/>
      <c r="M528" s="932"/>
      <c r="N528" s="932"/>
      <c r="O528" s="932"/>
      <c r="P528" s="931"/>
      <c r="Q528" s="931"/>
      <c r="R528" s="931"/>
      <c r="S528" s="931"/>
      <c r="T528" s="933"/>
      <c r="U528" s="934"/>
      <c r="V528" s="934"/>
      <c r="W528" s="935"/>
      <c r="X528" s="936"/>
      <c r="Y528" s="937"/>
      <c r="Z528" s="937"/>
      <c r="AA528" s="938"/>
      <c r="AB528" s="594"/>
      <c r="AC528" s="595"/>
      <c r="AD528" s="596"/>
      <c r="AE528" s="779"/>
      <c r="AF528" s="939"/>
      <c r="AG528" s="780"/>
      <c r="AH528" s="941"/>
      <c r="AI528" s="942"/>
      <c r="AJ528" s="943"/>
      <c r="AK528" s="745"/>
      <c r="AL528" s="940"/>
      <c r="AM528" s="746"/>
      <c r="AN528" s="281"/>
      <c r="AO528" s="282"/>
      <c r="AP528" s="281"/>
      <c r="AQ528" s="282"/>
      <c r="AR528" s="281"/>
      <c r="AS528" s="282"/>
      <c r="AT528" s="281"/>
      <c r="AU528" s="282"/>
      <c r="AV528" s="281"/>
      <c r="AW528" s="282"/>
      <c r="AX528" s="281"/>
      <c r="AY528" s="282"/>
      <c r="AZ528" s="117"/>
      <c r="BA528" s="331"/>
      <c r="BB528" s="117"/>
      <c r="BC528" s="331"/>
      <c r="BD528" s="117"/>
      <c r="BE528" s="331"/>
      <c r="BF528" s="117"/>
      <c r="BG528" s="331"/>
      <c r="BH528" s="117"/>
      <c r="BI528" s="944" t="s">
        <v>159</v>
      </c>
      <c r="BJ528" s="944"/>
      <c r="BK528" s="944"/>
      <c r="BL528" s="944"/>
      <c r="BM528" s="944"/>
      <c r="BN528" s="944"/>
      <c r="BO528" s="944"/>
      <c r="BP528" s="944"/>
      <c r="BQ528" s="944"/>
      <c r="BR528" s="944"/>
      <c r="BS528" s="944"/>
      <c r="BT528" s="944"/>
      <c r="BU528" s="944"/>
      <c r="BV528" s="945"/>
    </row>
    <row r="529" spans="1:74" ht="30" customHeight="1" x14ac:dyDescent="0.25">
      <c r="A529" s="232">
        <f t="shared" si="8"/>
        <v>515</v>
      </c>
      <c r="B529" s="294" t="s">
        <v>162</v>
      </c>
      <c r="C529" s="295"/>
      <c r="D529" s="936"/>
      <c r="E529" s="937"/>
      <c r="F529" s="937"/>
      <c r="G529" s="937"/>
      <c r="H529" s="937"/>
      <c r="I529" s="937"/>
      <c r="J529" s="937"/>
      <c r="K529" s="938"/>
      <c r="L529" s="932"/>
      <c r="M529" s="932"/>
      <c r="N529" s="932"/>
      <c r="O529" s="932"/>
      <c r="P529" s="931"/>
      <c r="Q529" s="931"/>
      <c r="R529" s="931"/>
      <c r="S529" s="931"/>
      <c r="T529" s="933"/>
      <c r="U529" s="934"/>
      <c r="V529" s="934"/>
      <c r="W529" s="935"/>
      <c r="X529" s="936"/>
      <c r="Y529" s="937"/>
      <c r="Z529" s="937"/>
      <c r="AA529" s="938"/>
      <c r="AB529" s="594"/>
      <c r="AC529" s="595"/>
      <c r="AD529" s="596"/>
      <c r="AE529" s="779"/>
      <c r="AF529" s="939"/>
      <c r="AG529" s="780"/>
      <c r="AH529" s="941"/>
      <c r="AI529" s="942"/>
      <c r="AJ529" s="943"/>
      <c r="AK529" s="745"/>
      <c r="AL529" s="940"/>
      <c r="AM529" s="746"/>
      <c r="AN529" s="281"/>
      <c r="AO529" s="282"/>
      <c r="AP529" s="281"/>
      <c r="AQ529" s="282"/>
      <c r="AR529" s="281"/>
      <c r="AS529" s="282"/>
      <c r="AT529" s="281"/>
      <c r="AU529" s="282"/>
      <c r="AV529" s="281"/>
      <c r="AW529" s="282"/>
      <c r="AX529" s="281"/>
      <c r="AY529" s="282"/>
      <c r="AZ529" s="117"/>
      <c r="BA529" s="331"/>
      <c r="BB529" s="117"/>
      <c r="BC529" s="331"/>
      <c r="BD529" s="117"/>
      <c r="BE529" s="331"/>
      <c r="BF529" s="117"/>
      <c r="BG529" s="331"/>
      <c r="BH529" s="117"/>
      <c r="BI529" s="944" t="s">
        <v>212</v>
      </c>
      <c r="BJ529" s="944"/>
      <c r="BK529" s="944"/>
      <c r="BL529" s="944"/>
      <c r="BM529" s="944"/>
      <c r="BN529" s="944"/>
      <c r="BO529" s="944"/>
      <c r="BP529" s="944"/>
      <c r="BQ529" s="944"/>
      <c r="BR529" s="944"/>
      <c r="BS529" s="944"/>
      <c r="BT529" s="944"/>
      <c r="BU529" s="944"/>
      <c r="BV529" s="945"/>
    </row>
    <row r="530" spans="1:74" ht="30" customHeight="1" x14ac:dyDescent="0.25">
      <c r="A530" s="200">
        <f t="shared" si="8"/>
        <v>516</v>
      </c>
      <c r="B530" s="294" t="s">
        <v>162</v>
      </c>
      <c r="C530" s="295"/>
      <c r="D530" s="936"/>
      <c r="E530" s="937"/>
      <c r="F530" s="937"/>
      <c r="G530" s="937"/>
      <c r="H530" s="937"/>
      <c r="I530" s="937"/>
      <c r="J530" s="937"/>
      <c r="K530" s="938"/>
      <c r="L530" s="932"/>
      <c r="M530" s="932"/>
      <c r="N530" s="932"/>
      <c r="O530" s="932"/>
      <c r="P530" s="931"/>
      <c r="Q530" s="931"/>
      <c r="R530" s="931"/>
      <c r="S530" s="931"/>
      <c r="T530" s="933"/>
      <c r="U530" s="934"/>
      <c r="V530" s="934"/>
      <c r="W530" s="935"/>
      <c r="X530" s="936"/>
      <c r="Y530" s="937"/>
      <c r="Z530" s="937"/>
      <c r="AA530" s="938"/>
      <c r="AB530" s="594"/>
      <c r="AC530" s="595"/>
      <c r="AD530" s="596"/>
      <c r="AE530" s="779"/>
      <c r="AF530" s="939"/>
      <c r="AG530" s="780"/>
      <c r="AH530" s="941"/>
      <c r="AI530" s="942"/>
      <c r="AJ530" s="943"/>
      <c r="AK530" s="745"/>
      <c r="AL530" s="940"/>
      <c r="AM530" s="746"/>
      <c r="AN530" s="281"/>
      <c r="AO530" s="282"/>
      <c r="AP530" s="281"/>
      <c r="AQ530" s="282"/>
      <c r="AR530" s="281"/>
      <c r="AS530" s="282"/>
      <c r="AT530" s="281"/>
      <c r="AU530" s="282"/>
      <c r="AV530" s="281"/>
      <c r="AW530" s="282"/>
      <c r="AX530" s="281"/>
      <c r="AY530" s="282"/>
      <c r="AZ530" s="117"/>
      <c r="BA530" s="331"/>
      <c r="BB530" s="117"/>
      <c r="BC530" s="331"/>
      <c r="BD530" s="117"/>
      <c r="BE530" s="331"/>
      <c r="BF530" s="117"/>
      <c r="BG530" s="331"/>
      <c r="BH530" s="117"/>
      <c r="BI530" s="944" t="s">
        <v>212</v>
      </c>
      <c r="BJ530" s="944"/>
      <c r="BK530" s="944"/>
      <c r="BL530" s="944"/>
      <c r="BM530" s="944"/>
      <c r="BN530" s="944"/>
      <c r="BO530" s="944"/>
      <c r="BP530" s="944"/>
      <c r="BQ530" s="944"/>
      <c r="BR530" s="944"/>
      <c r="BS530" s="944"/>
      <c r="BT530" s="944"/>
      <c r="BU530" s="944"/>
      <c r="BV530" s="945"/>
    </row>
    <row r="531" spans="1:74" ht="30" customHeight="1" x14ac:dyDescent="0.25">
      <c r="A531" s="200">
        <f t="shared" si="8"/>
        <v>517</v>
      </c>
      <c r="B531" s="294" t="s">
        <v>162</v>
      </c>
      <c r="C531" s="295"/>
      <c r="D531" s="936"/>
      <c r="E531" s="937"/>
      <c r="F531" s="937"/>
      <c r="G531" s="937"/>
      <c r="H531" s="937"/>
      <c r="I531" s="937"/>
      <c r="J531" s="937"/>
      <c r="K531" s="938"/>
      <c r="L531" s="932"/>
      <c r="M531" s="932"/>
      <c r="N531" s="932"/>
      <c r="O531" s="932"/>
      <c r="P531" s="931"/>
      <c r="Q531" s="931"/>
      <c r="R531" s="931"/>
      <c r="S531" s="931"/>
      <c r="T531" s="933"/>
      <c r="U531" s="934"/>
      <c r="V531" s="934"/>
      <c r="W531" s="935"/>
      <c r="X531" s="936"/>
      <c r="Y531" s="937"/>
      <c r="Z531" s="937"/>
      <c r="AA531" s="938"/>
      <c r="AB531" s="594"/>
      <c r="AC531" s="595"/>
      <c r="AD531" s="596"/>
      <c r="AE531" s="779"/>
      <c r="AF531" s="939"/>
      <c r="AG531" s="780"/>
      <c r="AH531" s="941"/>
      <c r="AI531" s="942"/>
      <c r="AJ531" s="943"/>
      <c r="AK531" s="745"/>
      <c r="AL531" s="940"/>
      <c r="AM531" s="746"/>
      <c r="AN531" s="281"/>
      <c r="AO531" s="282"/>
      <c r="AP531" s="281"/>
      <c r="AQ531" s="282"/>
      <c r="AR531" s="281"/>
      <c r="AS531" s="282"/>
      <c r="AT531" s="281"/>
      <c r="AU531" s="282"/>
      <c r="AV531" s="281"/>
      <c r="AW531" s="282"/>
      <c r="AX531" s="281"/>
      <c r="AY531" s="282"/>
      <c r="AZ531" s="117"/>
      <c r="BA531" s="331"/>
      <c r="BB531" s="117"/>
      <c r="BC531" s="331"/>
      <c r="BD531" s="117"/>
      <c r="BE531" s="331"/>
      <c r="BF531" s="117"/>
      <c r="BG531" s="331"/>
      <c r="BH531" s="117"/>
      <c r="BI531" s="944" t="s">
        <v>212</v>
      </c>
      <c r="BJ531" s="944"/>
      <c r="BK531" s="944"/>
      <c r="BL531" s="944"/>
      <c r="BM531" s="944"/>
      <c r="BN531" s="944"/>
      <c r="BO531" s="944"/>
      <c r="BP531" s="944"/>
      <c r="BQ531" s="944"/>
      <c r="BR531" s="944"/>
      <c r="BS531" s="944"/>
      <c r="BT531" s="944"/>
      <c r="BU531" s="944"/>
      <c r="BV531" s="945"/>
    </row>
    <row r="532" spans="1:74" ht="30" customHeight="1" x14ac:dyDescent="0.25">
      <c r="A532" s="200">
        <f t="shared" si="8"/>
        <v>518</v>
      </c>
      <c r="B532" s="294" t="s">
        <v>162</v>
      </c>
      <c r="C532" s="295"/>
      <c r="D532" s="936"/>
      <c r="E532" s="937"/>
      <c r="F532" s="937"/>
      <c r="G532" s="937"/>
      <c r="H532" s="937"/>
      <c r="I532" s="937"/>
      <c r="J532" s="937"/>
      <c r="K532" s="938"/>
      <c r="L532" s="932"/>
      <c r="M532" s="932"/>
      <c r="N532" s="932"/>
      <c r="O532" s="932"/>
      <c r="P532" s="931"/>
      <c r="Q532" s="931"/>
      <c r="R532" s="931"/>
      <c r="S532" s="931"/>
      <c r="T532" s="933"/>
      <c r="U532" s="934"/>
      <c r="V532" s="934"/>
      <c r="W532" s="935"/>
      <c r="X532" s="936"/>
      <c r="Y532" s="937"/>
      <c r="Z532" s="937"/>
      <c r="AA532" s="938"/>
      <c r="AB532" s="594"/>
      <c r="AC532" s="595"/>
      <c r="AD532" s="596"/>
      <c r="AE532" s="779"/>
      <c r="AF532" s="939"/>
      <c r="AG532" s="780"/>
      <c r="AH532" s="941"/>
      <c r="AI532" s="942"/>
      <c r="AJ532" s="943"/>
      <c r="AK532" s="745"/>
      <c r="AL532" s="940"/>
      <c r="AM532" s="746"/>
      <c r="AN532" s="281"/>
      <c r="AO532" s="282"/>
      <c r="AP532" s="281"/>
      <c r="AQ532" s="282"/>
      <c r="AR532" s="281"/>
      <c r="AS532" s="282"/>
      <c r="AT532" s="281"/>
      <c r="AU532" s="282"/>
      <c r="AV532" s="281"/>
      <c r="AW532" s="282"/>
      <c r="AX532" s="281"/>
      <c r="AY532" s="282"/>
      <c r="AZ532" s="117"/>
      <c r="BA532" s="331"/>
      <c r="BB532" s="117"/>
      <c r="BC532" s="331"/>
      <c r="BD532" s="117"/>
      <c r="BE532" s="331"/>
      <c r="BF532" s="117"/>
      <c r="BG532" s="331"/>
      <c r="BH532" s="117"/>
      <c r="BI532" s="944" t="s">
        <v>212</v>
      </c>
      <c r="BJ532" s="944"/>
      <c r="BK532" s="944"/>
      <c r="BL532" s="944"/>
      <c r="BM532" s="944"/>
      <c r="BN532" s="944"/>
      <c r="BO532" s="944"/>
      <c r="BP532" s="944"/>
      <c r="BQ532" s="944"/>
      <c r="BR532" s="944"/>
      <c r="BS532" s="944"/>
      <c r="BT532" s="944"/>
      <c r="BU532" s="944"/>
      <c r="BV532" s="945"/>
    </row>
    <row r="533" spans="1:74" ht="30" customHeight="1" x14ac:dyDescent="0.25">
      <c r="A533" s="200">
        <f t="shared" si="8"/>
        <v>519</v>
      </c>
      <c r="B533" s="294" t="s">
        <v>162</v>
      </c>
      <c r="C533" s="295"/>
      <c r="D533" s="936"/>
      <c r="E533" s="937"/>
      <c r="F533" s="937"/>
      <c r="G533" s="937"/>
      <c r="H533" s="937"/>
      <c r="I533" s="937"/>
      <c r="J533" s="937"/>
      <c r="K533" s="938"/>
      <c r="L533" s="932"/>
      <c r="M533" s="932"/>
      <c r="N533" s="932"/>
      <c r="O533" s="932"/>
      <c r="P533" s="931"/>
      <c r="Q533" s="931"/>
      <c r="R533" s="931"/>
      <c r="S533" s="931"/>
      <c r="T533" s="933"/>
      <c r="U533" s="934"/>
      <c r="V533" s="934"/>
      <c r="W533" s="935"/>
      <c r="X533" s="936"/>
      <c r="Y533" s="937"/>
      <c r="Z533" s="937"/>
      <c r="AA533" s="938"/>
      <c r="AB533" s="594"/>
      <c r="AC533" s="595"/>
      <c r="AD533" s="596"/>
      <c r="AE533" s="779"/>
      <c r="AF533" s="939"/>
      <c r="AG533" s="780"/>
      <c r="AH533" s="941"/>
      <c r="AI533" s="942"/>
      <c r="AJ533" s="943"/>
      <c r="AK533" s="745"/>
      <c r="AL533" s="940"/>
      <c r="AM533" s="746"/>
      <c r="AN533" s="281"/>
      <c r="AO533" s="282"/>
      <c r="AP533" s="281"/>
      <c r="AQ533" s="282"/>
      <c r="AR533" s="281"/>
      <c r="AS533" s="282"/>
      <c r="AT533" s="281"/>
      <c r="AU533" s="282"/>
      <c r="AV533" s="281"/>
      <c r="AW533" s="282"/>
      <c r="AX533" s="281"/>
      <c r="AY533" s="282"/>
      <c r="AZ533" s="117"/>
      <c r="BA533" s="331"/>
      <c r="BB533" s="117"/>
      <c r="BC533" s="331"/>
      <c r="BD533" s="117"/>
      <c r="BE533" s="331"/>
      <c r="BF533" s="117"/>
      <c r="BG533" s="331"/>
      <c r="BH533" s="117"/>
      <c r="BI533" s="944" t="s">
        <v>212</v>
      </c>
      <c r="BJ533" s="944"/>
      <c r="BK533" s="944"/>
      <c r="BL533" s="944"/>
      <c r="BM533" s="944"/>
      <c r="BN533" s="944"/>
      <c r="BO533" s="944"/>
      <c r="BP533" s="944"/>
      <c r="BQ533" s="944"/>
      <c r="BR533" s="944"/>
      <c r="BS533" s="944"/>
      <c r="BT533" s="944"/>
      <c r="BU533" s="944"/>
      <c r="BV533" s="945"/>
    </row>
    <row r="534" spans="1:74" ht="30" customHeight="1" x14ac:dyDescent="0.25">
      <c r="A534" s="200">
        <f t="shared" si="8"/>
        <v>520</v>
      </c>
      <c r="B534" s="294" t="s">
        <v>162</v>
      </c>
      <c r="C534" s="295"/>
      <c r="D534" s="936"/>
      <c r="E534" s="937"/>
      <c r="F534" s="937"/>
      <c r="G534" s="937"/>
      <c r="H534" s="937"/>
      <c r="I534" s="937"/>
      <c r="J534" s="937"/>
      <c r="K534" s="938"/>
      <c r="L534" s="932"/>
      <c r="M534" s="932"/>
      <c r="N534" s="932"/>
      <c r="O534" s="932"/>
      <c r="P534" s="931"/>
      <c r="Q534" s="931"/>
      <c r="R534" s="931"/>
      <c r="S534" s="931"/>
      <c r="T534" s="933"/>
      <c r="U534" s="934"/>
      <c r="V534" s="934"/>
      <c r="W534" s="935"/>
      <c r="X534" s="936"/>
      <c r="Y534" s="937"/>
      <c r="Z534" s="937"/>
      <c r="AA534" s="938"/>
      <c r="AB534" s="594"/>
      <c r="AC534" s="595"/>
      <c r="AD534" s="596"/>
      <c r="AE534" s="779"/>
      <c r="AF534" s="939"/>
      <c r="AG534" s="780"/>
      <c r="AH534" s="941"/>
      <c r="AI534" s="942"/>
      <c r="AJ534" s="943"/>
      <c r="AK534" s="745"/>
      <c r="AL534" s="940"/>
      <c r="AM534" s="746"/>
      <c r="AN534" s="281"/>
      <c r="AO534" s="282"/>
      <c r="AP534" s="281"/>
      <c r="AQ534" s="282"/>
      <c r="AR534" s="281"/>
      <c r="AS534" s="282"/>
      <c r="AT534" s="281"/>
      <c r="AU534" s="282"/>
      <c r="AV534" s="281"/>
      <c r="AW534" s="282"/>
      <c r="AX534" s="281"/>
      <c r="AY534" s="282"/>
      <c r="AZ534" s="117"/>
      <c r="BA534" s="331"/>
      <c r="BB534" s="117"/>
      <c r="BC534" s="331"/>
      <c r="BD534" s="117"/>
      <c r="BE534" s="331"/>
      <c r="BF534" s="117"/>
      <c r="BG534" s="331"/>
      <c r="BH534" s="117"/>
      <c r="BI534" s="944" t="s">
        <v>159</v>
      </c>
      <c r="BJ534" s="944"/>
      <c r="BK534" s="944"/>
      <c r="BL534" s="944"/>
      <c r="BM534" s="944"/>
      <c r="BN534" s="944"/>
      <c r="BO534" s="944"/>
      <c r="BP534" s="944"/>
      <c r="BQ534" s="944"/>
      <c r="BR534" s="944"/>
      <c r="BS534" s="944"/>
      <c r="BT534" s="944"/>
      <c r="BU534" s="944"/>
      <c r="BV534" s="945"/>
    </row>
  </sheetData>
  <sheetProtection algorithmName="SHA-512" hashValue="PZjDgvaLepDnLb6/To0xpWMsV7VGGHqWrnKjVFCcgM1xYWLLppD9sSFBI+CFRE4uvCC8OFXQ7GGITj6mAbh98w==" saltValue="O5t/R+kEP69CQa7zE5XYhQ==" spinCount="100000" sheet="1" objects="1" scenarios="1"/>
  <mergeCells count="5260">
    <mergeCell ref="A3:BW3"/>
    <mergeCell ref="A4:BW4"/>
    <mergeCell ref="BI1:BV1"/>
    <mergeCell ref="B1:C1"/>
    <mergeCell ref="T1:W1"/>
    <mergeCell ref="X1:AA1"/>
    <mergeCell ref="AB1:AD1"/>
    <mergeCell ref="AE1:AG1"/>
    <mergeCell ref="AK1:AM1"/>
    <mergeCell ref="D1:K1"/>
    <mergeCell ref="A2:BW2"/>
    <mergeCell ref="L1:O1"/>
    <mergeCell ref="P1:S1"/>
    <mergeCell ref="AH1:AJ1"/>
    <mergeCell ref="BI13:BV14"/>
    <mergeCell ref="D19:K19"/>
    <mergeCell ref="D20:K20"/>
    <mergeCell ref="A10:BH10"/>
    <mergeCell ref="AN12:AY12"/>
    <mergeCell ref="A13:A14"/>
    <mergeCell ref="B13:C14"/>
    <mergeCell ref="D13:K14"/>
    <mergeCell ref="T13:W14"/>
    <mergeCell ref="X13:AA14"/>
    <mergeCell ref="AB13:AD14"/>
    <mergeCell ref="AE13:AG14"/>
    <mergeCell ref="AK13:AM14"/>
    <mergeCell ref="T19:W19"/>
    <mergeCell ref="T20:W20"/>
    <mergeCell ref="AK19:AM19"/>
    <mergeCell ref="AK20:AM20"/>
    <mergeCell ref="AE19:AG19"/>
    <mergeCell ref="D21:K21"/>
    <mergeCell ref="T21:W21"/>
    <mergeCell ref="AK21:AM21"/>
    <mergeCell ref="AE20:AG20"/>
    <mergeCell ref="AB20:AD20"/>
    <mergeCell ref="AB21:AD21"/>
    <mergeCell ref="AZ13:AZ14"/>
    <mergeCell ref="BA13:BA14"/>
    <mergeCell ref="AO9:BA9"/>
    <mergeCell ref="AO5:BA5"/>
    <mergeCell ref="A6:J6"/>
    <mergeCell ref="AG6:AN6"/>
    <mergeCell ref="AO6:BA6"/>
    <mergeCell ref="A7:J8"/>
    <mergeCell ref="AG7:AN7"/>
    <mergeCell ref="AO7:BA7"/>
    <mergeCell ref="AG8:AN8"/>
    <mergeCell ref="AO8:BA8"/>
    <mergeCell ref="A5:J5"/>
    <mergeCell ref="AG5:AN5"/>
    <mergeCell ref="A9:J9"/>
    <mergeCell ref="Z9:AE9"/>
    <mergeCell ref="AG9:AN9"/>
    <mergeCell ref="K5:AE5"/>
    <mergeCell ref="K6:AE6"/>
    <mergeCell ref="K7:AE8"/>
    <mergeCell ref="K9:Y9"/>
    <mergeCell ref="B12:AM12"/>
    <mergeCell ref="A11:AR11"/>
    <mergeCell ref="AB15:AD15"/>
    <mergeCell ref="AK15:AM15"/>
    <mergeCell ref="AE15:AG15"/>
    <mergeCell ref="X15:AA15"/>
    <mergeCell ref="AB19:AD19"/>
    <mergeCell ref="BI15:BV15"/>
    <mergeCell ref="BI16:BV16"/>
    <mergeCell ref="BI17:BV17"/>
    <mergeCell ref="AK18:AM18"/>
    <mergeCell ref="BI12:BV12"/>
    <mergeCell ref="AZ12:BH12"/>
    <mergeCell ref="T15:W15"/>
    <mergeCell ref="T16:W16"/>
    <mergeCell ref="T17:W17"/>
    <mergeCell ref="T18:W18"/>
    <mergeCell ref="AE18:AG18"/>
    <mergeCell ref="AB16:AD16"/>
    <mergeCell ref="AB17:AD17"/>
    <mergeCell ref="AB18:AD18"/>
    <mergeCell ref="D15:K15"/>
    <mergeCell ref="D16:K16"/>
    <mergeCell ref="BB13:BB14"/>
    <mergeCell ref="BC13:BC14"/>
    <mergeCell ref="BD13:BD14"/>
    <mergeCell ref="BE13:BE14"/>
    <mergeCell ref="BF13:BF14"/>
    <mergeCell ref="BG13:BG14"/>
    <mergeCell ref="BH13:BH14"/>
    <mergeCell ref="X16:AA16"/>
    <mergeCell ref="X17:AA17"/>
    <mergeCell ref="X18:AA18"/>
    <mergeCell ref="X19:AA19"/>
    <mergeCell ref="BI18:BV18"/>
    <mergeCell ref="BI19:BV19"/>
    <mergeCell ref="P19:S19"/>
    <mergeCell ref="BI20:BV20"/>
    <mergeCell ref="BI21:BV21"/>
    <mergeCell ref="AE21:AG21"/>
    <mergeCell ref="X20:AA20"/>
    <mergeCell ref="X21:AA21"/>
    <mergeCell ref="AH13:AJ14"/>
    <mergeCell ref="AH18:AJ18"/>
    <mergeCell ref="AH19:AJ19"/>
    <mergeCell ref="AH20:AJ20"/>
    <mergeCell ref="AH21:AJ21"/>
    <mergeCell ref="D17:K17"/>
    <mergeCell ref="D18:K18"/>
    <mergeCell ref="AK16:AM16"/>
    <mergeCell ref="AK17:AM17"/>
    <mergeCell ref="AE16:AG16"/>
    <mergeCell ref="AE17:AG17"/>
    <mergeCell ref="L15:O15"/>
    <mergeCell ref="L16:O16"/>
    <mergeCell ref="L17:O17"/>
    <mergeCell ref="L18:O18"/>
    <mergeCell ref="L19:O19"/>
    <mergeCell ref="L20:O20"/>
    <mergeCell ref="AH15:AJ15"/>
    <mergeCell ref="AH16:AJ16"/>
    <mergeCell ref="AH17:AJ17"/>
    <mergeCell ref="P21:S21"/>
    <mergeCell ref="L13:O14"/>
    <mergeCell ref="P13:S14"/>
    <mergeCell ref="P15:S15"/>
    <mergeCell ref="P16:S16"/>
    <mergeCell ref="P17:S17"/>
    <mergeCell ref="P18:S18"/>
    <mergeCell ref="D22:K22"/>
    <mergeCell ref="T22:W22"/>
    <mergeCell ref="X22:AA22"/>
    <mergeCell ref="AB22:AD22"/>
    <mergeCell ref="AE22:AG22"/>
    <mergeCell ref="AK22:AM22"/>
    <mergeCell ref="BI22:BV22"/>
    <mergeCell ref="D23:K23"/>
    <mergeCell ref="T23:W23"/>
    <mergeCell ref="X23:AA23"/>
    <mergeCell ref="AB23:AD23"/>
    <mergeCell ref="AE23:AG23"/>
    <mergeCell ref="AK23:AM23"/>
    <mergeCell ref="BI23:BV23"/>
    <mergeCell ref="L22:O22"/>
    <mergeCell ref="L23:O23"/>
    <mergeCell ref="AH23:AJ23"/>
    <mergeCell ref="AH22:AJ22"/>
    <mergeCell ref="P22:S22"/>
    <mergeCell ref="P23:S23"/>
    <mergeCell ref="D24:K24"/>
    <mergeCell ref="T24:W24"/>
    <mergeCell ref="X24:AA24"/>
    <mergeCell ref="AB24:AD24"/>
    <mergeCell ref="AE24:AG24"/>
    <mergeCell ref="AK24:AM24"/>
    <mergeCell ref="BI24:BV24"/>
    <mergeCell ref="D25:K25"/>
    <mergeCell ref="T25:W25"/>
    <mergeCell ref="X25:AA25"/>
    <mergeCell ref="AB25:AD25"/>
    <mergeCell ref="AE25:AG25"/>
    <mergeCell ref="AK25:AM25"/>
    <mergeCell ref="BI25:BV25"/>
    <mergeCell ref="L24:O24"/>
    <mergeCell ref="L25:O25"/>
    <mergeCell ref="AH24:AJ24"/>
    <mergeCell ref="AH25:AJ25"/>
    <mergeCell ref="P24:S24"/>
    <mergeCell ref="P25:S25"/>
    <mergeCell ref="D26:K26"/>
    <mergeCell ref="T26:W26"/>
    <mergeCell ref="X26:AA26"/>
    <mergeCell ref="AB26:AD26"/>
    <mergeCell ref="AE26:AG26"/>
    <mergeCell ref="AK26:AM26"/>
    <mergeCell ref="BI26:BV26"/>
    <mergeCell ref="D27:K27"/>
    <mergeCell ref="T27:W27"/>
    <mergeCell ref="X27:AA27"/>
    <mergeCell ref="AB27:AD27"/>
    <mergeCell ref="AE27:AG27"/>
    <mergeCell ref="AK27:AM27"/>
    <mergeCell ref="BI27:BV27"/>
    <mergeCell ref="L26:O26"/>
    <mergeCell ref="L27:O27"/>
    <mergeCell ref="AH26:AJ26"/>
    <mergeCell ref="AH27:AJ27"/>
    <mergeCell ref="P26:S26"/>
    <mergeCell ref="P27:S27"/>
    <mergeCell ref="D28:K28"/>
    <mergeCell ref="T28:W28"/>
    <mergeCell ref="X28:AA28"/>
    <mergeCell ref="AB28:AD28"/>
    <mergeCell ref="AE28:AG28"/>
    <mergeCell ref="AK28:AM28"/>
    <mergeCell ref="BI28:BV28"/>
    <mergeCell ref="D29:K29"/>
    <mergeCell ref="T29:W29"/>
    <mergeCell ref="X29:AA29"/>
    <mergeCell ref="AB29:AD29"/>
    <mergeCell ref="AE29:AG29"/>
    <mergeCell ref="AK29:AM29"/>
    <mergeCell ref="BI29:BV29"/>
    <mergeCell ref="L28:O28"/>
    <mergeCell ref="L29:O29"/>
    <mergeCell ref="AH28:AJ28"/>
    <mergeCell ref="AH29:AJ29"/>
    <mergeCell ref="P29:S29"/>
    <mergeCell ref="P28:S28"/>
    <mergeCell ref="D30:K30"/>
    <mergeCell ref="T30:W30"/>
    <mergeCell ref="X30:AA30"/>
    <mergeCell ref="AB30:AD30"/>
    <mergeCell ref="AE30:AG30"/>
    <mergeCell ref="AK30:AM30"/>
    <mergeCell ref="BI30:BV30"/>
    <mergeCell ref="D31:K31"/>
    <mergeCell ref="T31:W31"/>
    <mergeCell ref="X31:AA31"/>
    <mergeCell ref="AB31:AD31"/>
    <mergeCell ref="AE31:AG31"/>
    <mergeCell ref="AK31:AM31"/>
    <mergeCell ref="BI31:BV31"/>
    <mergeCell ref="L30:O30"/>
    <mergeCell ref="L31:O31"/>
    <mergeCell ref="P30:S30"/>
    <mergeCell ref="P31:S31"/>
    <mergeCell ref="AH30:AJ30"/>
    <mergeCell ref="AH31:AJ31"/>
    <mergeCell ref="D32:K32"/>
    <mergeCell ref="T32:W32"/>
    <mergeCell ref="X32:AA32"/>
    <mergeCell ref="AB32:AD32"/>
    <mergeCell ref="AE32:AG32"/>
    <mergeCell ref="AK32:AM32"/>
    <mergeCell ref="BI32:BV32"/>
    <mergeCell ref="D33:K33"/>
    <mergeCell ref="T33:W33"/>
    <mergeCell ref="X33:AA33"/>
    <mergeCell ref="AB33:AD33"/>
    <mergeCell ref="AE33:AG33"/>
    <mergeCell ref="AK33:AM33"/>
    <mergeCell ref="BI33:BV33"/>
    <mergeCell ref="L32:O32"/>
    <mergeCell ref="L33:O33"/>
    <mergeCell ref="P32:S32"/>
    <mergeCell ref="P33:S33"/>
    <mergeCell ref="AH32:AJ32"/>
    <mergeCell ref="AH33:AJ33"/>
    <mergeCell ref="D34:K34"/>
    <mergeCell ref="T34:W34"/>
    <mergeCell ref="X34:AA34"/>
    <mergeCell ref="AB34:AD34"/>
    <mergeCell ref="AE34:AG34"/>
    <mergeCell ref="AK34:AM34"/>
    <mergeCell ref="BI34:BV34"/>
    <mergeCell ref="D35:K35"/>
    <mergeCell ref="T35:W35"/>
    <mergeCell ref="X35:AA35"/>
    <mergeCell ref="AB35:AD35"/>
    <mergeCell ref="AE35:AG35"/>
    <mergeCell ref="AK35:AM35"/>
    <mergeCell ref="BI35:BV35"/>
    <mergeCell ref="L34:O34"/>
    <mergeCell ref="L35:O35"/>
    <mergeCell ref="P34:S34"/>
    <mergeCell ref="P35:S35"/>
    <mergeCell ref="AH34:AJ34"/>
    <mergeCell ref="AH35:AJ35"/>
    <mergeCell ref="D36:K36"/>
    <mergeCell ref="T36:W36"/>
    <mergeCell ref="X36:AA36"/>
    <mergeCell ref="AB36:AD36"/>
    <mergeCell ref="AE36:AG36"/>
    <mergeCell ref="AK36:AM36"/>
    <mergeCell ref="BI36:BV36"/>
    <mergeCell ref="D37:K37"/>
    <mergeCell ref="T37:W37"/>
    <mergeCell ref="X37:AA37"/>
    <mergeCell ref="AB37:AD37"/>
    <mergeCell ref="AE37:AG37"/>
    <mergeCell ref="AK37:AM37"/>
    <mergeCell ref="BI37:BV37"/>
    <mergeCell ref="L36:O36"/>
    <mergeCell ref="L37:O37"/>
    <mergeCell ref="P36:S36"/>
    <mergeCell ref="P37:S37"/>
    <mergeCell ref="AH36:AJ36"/>
    <mergeCell ref="AH37:AJ37"/>
    <mergeCell ref="D38:K38"/>
    <mergeCell ref="T38:W38"/>
    <mergeCell ref="X38:AA38"/>
    <mergeCell ref="AB38:AD38"/>
    <mergeCell ref="AE38:AG38"/>
    <mergeCell ref="AK38:AM38"/>
    <mergeCell ref="BI38:BV38"/>
    <mergeCell ref="D39:K39"/>
    <mergeCell ref="T39:W39"/>
    <mergeCell ref="X39:AA39"/>
    <mergeCell ref="AB39:AD39"/>
    <mergeCell ref="AE39:AG39"/>
    <mergeCell ref="AK39:AM39"/>
    <mergeCell ref="BI39:BV39"/>
    <mergeCell ref="L38:O38"/>
    <mergeCell ref="L39:O39"/>
    <mergeCell ref="P38:S38"/>
    <mergeCell ref="P39:S39"/>
    <mergeCell ref="AH38:AJ38"/>
    <mergeCell ref="AH39:AJ39"/>
    <mergeCell ref="D40:K40"/>
    <mergeCell ref="T40:W40"/>
    <mergeCell ref="X40:AA40"/>
    <mergeCell ref="AB40:AD40"/>
    <mergeCell ref="AE40:AG40"/>
    <mergeCell ref="AK40:AM40"/>
    <mergeCell ref="BI40:BV40"/>
    <mergeCell ref="D41:K41"/>
    <mergeCell ref="T41:W41"/>
    <mergeCell ref="X41:AA41"/>
    <mergeCell ref="AB41:AD41"/>
    <mergeCell ref="AE41:AG41"/>
    <mergeCell ref="AK41:AM41"/>
    <mergeCell ref="BI41:BV41"/>
    <mergeCell ref="L40:O40"/>
    <mergeCell ref="L41:O41"/>
    <mergeCell ref="P40:S40"/>
    <mergeCell ref="P41:S41"/>
    <mergeCell ref="AH40:AJ40"/>
    <mergeCell ref="AH41:AJ41"/>
    <mergeCell ref="D42:K42"/>
    <mergeCell ref="T42:W42"/>
    <mergeCell ref="X42:AA42"/>
    <mergeCell ref="AB42:AD42"/>
    <mergeCell ref="AE42:AG42"/>
    <mergeCell ref="AK42:AM42"/>
    <mergeCell ref="BI42:BV42"/>
    <mergeCell ref="D43:K43"/>
    <mergeCell ref="T43:W43"/>
    <mergeCell ref="X43:AA43"/>
    <mergeCell ref="AB43:AD43"/>
    <mergeCell ref="AE43:AG43"/>
    <mergeCell ref="AK43:AM43"/>
    <mergeCell ref="BI43:BV43"/>
    <mergeCell ref="L42:O42"/>
    <mergeCell ref="L43:O43"/>
    <mergeCell ref="P42:S42"/>
    <mergeCell ref="P43:S43"/>
    <mergeCell ref="AH42:AJ42"/>
    <mergeCell ref="AH43:AJ43"/>
    <mergeCell ref="D44:K44"/>
    <mergeCell ref="T44:W44"/>
    <mergeCell ref="X44:AA44"/>
    <mergeCell ref="AB44:AD44"/>
    <mergeCell ref="AE44:AG44"/>
    <mergeCell ref="AK44:AM44"/>
    <mergeCell ref="BI44:BV44"/>
    <mergeCell ref="D45:K45"/>
    <mergeCell ref="T45:W45"/>
    <mergeCell ref="X45:AA45"/>
    <mergeCell ref="AB45:AD45"/>
    <mergeCell ref="AE45:AG45"/>
    <mergeCell ref="AK45:AM45"/>
    <mergeCell ref="BI45:BV45"/>
    <mergeCell ref="L44:O44"/>
    <mergeCell ref="L45:O45"/>
    <mergeCell ref="P44:S44"/>
    <mergeCell ref="P45:S45"/>
    <mergeCell ref="AH44:AJ44"/>
    <mergeCell ref="AH45:AJ45"/>
    <mergeCell ref="D46:K46"/>
    <mergeCell ref="T46:W46"/>
    <mergeCell ref="X46:AA46"/>
    <mergeCell ref="AB46:AD46"/>
    <mergeCell ref="AE46:AG46"/>
    <mergeCell ref="AK46:AM46"/>
    <mergeCell ref="BI46:BV46"/>
    <mergeCell ref="D47:K47"/>
    <mergeCell ref="T47:W47"/>
    <mergeCell ref="X47:AA47"/>
    <mergeCell ref="AB47:AD47"/>
    <mergeCell ref="AE47:AG47"/>
    <mergeCell ref="AK47:AM47"/>
    <mergeCell ref="BI47:BV47"/>
    <mergeCell ref="L46:O46"/>
    <mergeCell ref="L47:O47"/>
    <mergeCell ref="P46:S46"/>
    <mergeCell ref="P47:S47"/>
    <mergeCell ref="AH46:AJ46"/>
    <mergeCell ref="AH47:AJ47"/>
    <mergeCell ref="D48:K48"/>
    <mergeCell ref="T48:W48"/>
    <mergeCell ref="X48:AA48"/>
    <mergeCell ref="AB48:AD48"/>
    <mergeCell ref="AE48:AG48"/>
    <mergeCell ref="AK48:AM48"/>
    <mergeCell ref="BI48:BV48"/>
    <mergeCell ref="D49:K49"/>
    <mergeCell ref="T49:W49"/>
    <mergeCell ref="X49:AA49"/>
    <mergeCell ref="AB49:AD49"/>
    <mergeCell ref="AE49:AG49"/>
    <mergeCell ref="AK49:AM49"/>
    <mergeCell ref="BI49:BV49"/>
    <mergeCell ref="L48:O48"/>
    <mergeCell ref="L49:O49"/>
    <mergeCell ref="P48:S48"/>
    <mergeCell ref="P49:S49"/>
    <mergeCell ref="AH48:AJ48"/>
    <mergeCell ref="AH49:AJ49"/>
    <mergeCell ref="D50:K50"/>
    <mergeCell ref="T50:W50"/>
    <mergeCell ref="X50:AA50"/>
    <mergeCell ref="AB50:AD50"/>
    <mergeCell ref="AE50:AG50"/>
    <mergeCell ref="AK50:AM50"/>
    <mergeCell ref="BI50:BV50"/>
    <mergeCell ref="D51:K51"/>
    <mergeCell ref="T51:W51"/>
    <mergeCell ref="X51:AA51"/>
    <mergeCell ref="AB51:AD51"/>
    <mergeCell ref="AE51:AG51"/>
    <mergeCell ref="AK51:AM51"/>
    <mergeCell ref="BI51:BV51"/>
    <mergeCell ref="L50:O50"/>
    <mergeCell ref="L51:O51"/>
    <mergeCell ref="P50:S50"/>
    <mergeCell ref="P51:S51"/>
    <mergeCell ref="AH50:AJ50"/>
    <mergeCell ref="AH51:AJ51"/>
    <mergeCell ref="D52:K52"/>
    <mergeCell ref="T52:W52"/>
    <mergeCell ref="X52:AA52"/>
    <mergeCell ref="AB52:AD52"/>
    <mergeCell ref="AE52:AG52"/>
    <mergeCell ref="AK52:AM52"/>
    <mergeCell ref="BI52:BV52"/>
    <mergeCell ref="D53:K53"/>
    <mergeCell ref="T53:W53"/>
    <mergeCell ref="X53:AA53"/>
    <mergeCell ref="AB53:AD53"/>
    <mergeCell ref="AE53:AG53"/>
    <mergeCell ref="AK53:AM53"/>
    <mergeCell ref="BI53:BV53"/>
    <mergeCell ref="L52:O52"/>
    <mergeCell ref="L53:O53"/>
    <mergeCell ref="P52:S52"/>
    <mergeCell ref="P53:S53"/>
    <mergeCell ref="AH52:AJ52"/>
    <mergeCell ref="AH53:AJ53"/>
    <mergeCell ref="D54:K54"/>
    <mergeCell ref="T54:W54"/>
    <mergeCell ref="X54:AA54"/>
    <mergeCell ref="AB54:AD54"/>
    <mergeCell ref="AE54:AG54"/>
    <mergeCell ref="AK54:AM54"/>
    <mergeCell ref="BI54:BV54"/>
    <mergeCell ref="D55:K55"/>
    <mergeCell ref="T55:W55"/>
    <mergeCell ref="X55:AA55"/>
    <mergeCell ref="AB55:AD55"/>
    <mergeCell ref="AE55:AG55"/>
    <mergeCell ref="AK55:AM55"/>
    <mergeCell ref="BI55:BV55"/>
    <mergeCell ref="L54:O54"/>
    <mergeCell ref="L55:O55"/>
    <mergeCell ref="P54:S54"/>
    <mergeCell ref="P55:S55"/>
    <mergeCell ref="AH54:AJ54"/>
    <mergeCell ref="AH55:AJ55"/>
    <mergeCell ref="D56:K56"/>
    <mergeCell ref="T56:W56"/>
    <mergeCell ref="X56:AA56"/>
    <mergeCell ref="AB56:AD56"/>
    <mergeCell ref="AE56:AG56"/>
    <mergeCell ref="AK56:AM56"/>
    <mergeCell ref="BI56:BV56"/>
    <mergeCell ref="D57:K57"/>
    <mergeCell ref="T57:W57"/>
    <mergeCell ref="X57:AA57"/>
    <mergeCell ref="AB57:AD57"/>
    <mergeCell ref="AE57:AG57"/>
    <mergeCell ref="AK57:AM57"/>
    <mergeCell ref="BI57:BV57"/>
    <mergeCell ref="L56:O56"/>
    <mergeCell ref="L57:O57"/>
    <mergeCell ref="P56:S56"/>
    <mergeCell ref="P57:S57"/>
    <mergeCell ref="AH56:AJ56"/>
    <mergeCell ref="AH57:AJ57"/>
    <mergeCell ref="D58:K58"/>
    <mergeCell ref="T58:W58"/>
    <mergeCell ref="X58:AA58"/>
    <mergeCell ref="AB58:AD58"/>
    <mergeCell ref="AE58:AG58"/>
    <mergeCell ref="AK58:AM58"/>
    <mergeCell ref="BI58:BV58"/>
    <mergeCell ref="D59:K59"/>
    <mergeCell ref="T59:W59"/>
    <mergeCell ref="X59:AA59"/>
    <mergeCell ref="AB59:AD59"/>
    <mergeCell ref="AE59:AG59"/>
    <mergeCell ref="AK59:AM59"/>
    <mergeCell ref="BI59:BV59"/>
    <mergeCell ref="L58:O58"/>
    <mergeCell ref="L59:O59"/>
    <mergeCell ref="P58:S58"/>
    <mergeCell ref="P59:S59"/>
    <mergeCell ref="AH58:AJ58"/>
    <mergeCell ref="AH59:AJ59"/>
    <mergeCell ref="D60:K60"/>
    <mergeCell ref="T60:W60"/>
    <mergeCell ref="X60:AA60"/>
    <mergeCell ref="AB60:AD60"/>
    <mergeCell ref="AE60:AG60"/>
    <mergeCell ref="AK60:AM60"/>
    <mergeCell ref="BI60:BV60"/>
    <mergeCell ref="D61:K61"/>
    <mergeCell ref="T61:W61"/>
    <mergeCell ref="X61:AA61"/>
    <mergeCell ref="AB61:AD61"/>
    <mergeCell ref="AE61:AG61"/>
    <mergeCell ref="AK61:AM61"/>
    <mergeCell ref="BI61:BV61"/>
    <mergeCell ref="L60:O60"/>
    <mergeCell ref="L61:O61"/>
    <mergeCell ref="P60:S60"/>
    <mergeCell ref="P61:S61"/>
    <mergeCell ref="AH60:AJ60"/>
    <mergeCell ref="AH61:AJ61"/>
    <mergeCell ref="D62:K62"/>
    <mergeCell ref="T62:W62"/>
    <mergeCell ref="X62:AA62"/>
    <mergeCell ref="AB62:AD62"/>
    <mergeCell ref="AE62:AG62"/>
    <mergeCell ref="AK62:AM62"/>
    <mergeCell ref="BI62:BV62"/>
    <mergeCell ref="D63:K63"/>
    <mergeCell ref="T63:W63"/>
    <mergeCell ref="X63:AA63"/>
    <mergeCell ref="AB63:AD63"/>
    <mergeCell ref="AE63:AG63"/>
    <mergeCell ref="AK63:AM63"/>
    <mergeCell ref="BI63:BV63"/>
    <mergeCell ref="L62:O62"/>
    <mergeCell ref="L63:O63"/>
    <mergeCell ref="P62:S62"/>
    <mergeCell ref="P63:S63"/>
    <mergeCell ref="AH62:AJ62"/>
    <mergeCell ref="AH63:AJ63"/>
    <mergeCell ref="D64:K64"/>
    <mergeCell ref="T64:W64"/>
    <mergeCell ref="X64:AA64"/>
    <mergeCell ref="AB64:AD64"/>
    <mergeCell ref="AE64:AG64"/>
    <mergeCell ref="AK64:AM64"/>
    <mergeCell ref="BI64:BV64"/>
    <mergeCell ref="D65:K65"/>
    <mergeCell ref="T65:W65"/>
    <mergeCell ref="X65:AA65"/>
    <mergeCell ref="AB65:AD65"/>
    <mergeCell ref="AE65:AG65"/>
    <mergeCell ref="AK65:AM65"/>
    <mergeCell ref="BI65:BV65"/>
    <mergeCell ref="L64:O64"/>
    <mergeCell ref="L65:O65"/>
    <mergeCell ref="P64:S64"/>
    <mergeCell ref="P65:S65"/>
    <mergeCell ref="AH64:AJ64"/>
    <mergeCell ref="AH65:AJ65"/>
    <mergeCell ref="D66:K66"/>
    <mergeCell ref="T66:W66"/>
    <mergeCell ref="X66:AA66"/>
    <mergeCell ref="AB66:AD66"/>
    <mergeCell ref="AE66:AG66"/>
    <mergeCell ref="AK66:AM66"/>
    <mergeCell ref="BI66:BV66"/>
    <mergeCell ref="D67:K67"/>
    <mergeCell ref="T67:W67"/>
    <mergeCell ref="X67:AA67"/>
    <mergeCell ref="AB67:AD67"/>
    <mergeCell ref="AE67:AG67"/>
    <mergeCell ref="AK67:AM67"/>
    <mergeCell ref="BI67:BV67"/>
    <mergeCell ref="L66:O66"/>
    <mergeCell ref="L67:O67"/>
    <mergeCell ref="P66:S66"/>
    <mergeCell ref="P67:S67"/>
    <mergeCell ref="AH66:AJ66"/>
    <mergeCell ref="AH67:AJ67"/>
    <mergeCell ref="D68:K68"/>
    <mergeCell ref="T68:W68"/>
    <mergeCell ref="X68:AA68"/>
    <mergeCell ref="AB68:AD68"/>
    <mergeCell ref="AE68:AG68"/>
    <mergeCell ref="AK68:AM68"/>
    <mergeCell ref="BI68:BV68"/>
    <mergeCell ref="D69:K69"/>
    <mergeCell ref="T69:W69"/>
    <mergeCell ref="X69:AA69"/>
    <mergeCell ref="AB69:AD69"/>
    <mergeCell ref="AE69:AG69"/>
    <mergeCell ref="AK69:AM69"/>
    <mergeCell ref="BI69:BV69"/>
    <mergeCell ref="L68:O68"/>
    <mergeCell ref="L69:O69"/>
    <mergeCell ref="P68:S68"/>
    <mergeCell ref="P69:S69"/>
    <mergeCell ref="AH68:AJ68"/>
    <mergeCell ref="AH69:AJ69"/>
    <mergeCell ref="D70:K70"/>
    <mergeCell ref="T70:W70"/>
    <mergeCell ref="X70:AA70"/>
    <mergeCell ref="AB70:AD70"/>
    <mergeCell ref="AE70:AG70"/>
    <mergeCell ref="AK70:AM70"/>
    <mergeCell ref="BI70:BV70"/>
    <mergeCell ref="D71:K71"/>
    <mergeCell ref="T71:W71"/>
    <mergeCell ref="X71:AA71"/>
    <mergeCell ref="AB71:AD71"/>
    <mergeCell ref="AE71:AG71"/>
    <mergeCell ref="AK71:AM71"/>
    <mergeCell ref="BI71:BV71"/>
    <mergeCell ref="L70:O70"/>
    <mergeCell ref="L71:O71"/>
    <mergeCell ref="P70:S70"/>
    <mergeCell ref="P71:S71"/>
    <mergeCell ref="AH70:AJ70"/>
    <mergeCell ref="AH71:AJ71"/>
    <mergeCell ref="D72:K72"/>
    <mergeCell ref="T72:W72"/>
    <mergeCell ref="X72:AA72"/>
    <mergeCell ref="AB72:AD72"/>
    <mergeCell ref="AE72:AG72"/>
    <mergeCell ref="AK72:AM72"/>
    <mergeCell ref="BI72:BV72"/>
    <mergeCell ref="D73:K73"/>
    <mergeCell ref="T73:W73"/>
    <mergeCell ref="X73:AA73"/>
    <mergeCell ref="AB73:AD73"/>
    <mergeCell ref="AE73:AG73"/>
    <mergeCell ref="AK73:AM73"/>
    <mergeCell ref="BI73:BV73"/>
    <mergeCell ref="L72:O72"/>
    <mergeCell ref="L73:O73"/>
    <mergeCell ref="P72:S72"/>
    <mergeCell ref="P73:S73"/>
    <mergeCell ref="AH72:AJ72"/>
    <mergeCell ref="AH73:AJ73"/>
    <mergeCell ref="D74:K74"/>
    <mergeCell ref="T74:W74"/>
    <mergeCell ref="X74:AA74"/>
    <mergeCell ref="AB74:AD74"/>
    <mergeCell ref="AE74:AG74"/>
    <mergeCell ref="AK74:AM74"/>
    <mergeCell ref="BI74:BV74"/>
    <mergeCell ref="D75:K75"/>
    <mergeCell ref="T75:W75"/>
    <mergeCell ref="X75:AA75"/>
    <mergeCell ref="AB75:AD75"/>
    <mergeCell ref="AE75:AG75"/>
    <mergeCell ref="AK75:AM75"/>
    <mergeCell ref="BI75:BV75"/>
    <mergeCell ref="L74:O74"/>
    <mergeCell ref="L75:O75"/>
    <mergeCell ref="P74:S74"/>
    <mergeCell ref="P75:S75"/>
    <mergeCell ref="AH74:AJ74"/>
    <mergeCell ref="AH75:AJ75"/>
    <mergeCell ref="D76:K76"/>
    <mergeCell ref="T76:W76"/>
    <mergeCell ref="X76:AA76"/>
    <mergeCell ref="AB76:AD76"/>
    <mergeCell ref="AE76:AG76"/>
    <mergeCell ref="AK76:AM76"/>
    <mergeCell ref="BI76:BV76"/>
    <mergeCell ref="D77:K77"/>
    <mergeCell ref="T77:W77"/>
    <mergeCell ref="X77:AA77"/>
    <mergeCell ref="AB77:AD77"/>
    <mergeCell ref="AE77:AG77"/>
    <mergeCell ref="AK77:AM77"/>
    <mergeCell ref="BI77:BV77"/>
    <mergeCell ref="L76:O76"/>
    <mergeCell ref="L77:O77"/>
    <mergeCell ref="P76:S76"/>
    <mergeCell ref="P77:S77"/>
    <mergeCell ref="AH76:AJ76"/>
    <mergeCell ref="AH77:AJ77"/>
    <mergeCell ref="D78:K78"/>
    <mergeCell ref="T78:W78"/>
    <mergeCell ref="X78:AA78"/>
    <mergeCell ref="AB78:AD78"/>
    <mergeCell ref="AE78:AG78"/>
    <mergeCell ref="AK78:AM78"/>
    <mergeCell ref="BI78:BV78"/>
    <mergeCell ref="D79:K79"/>
    <mergeCell ref="T79:W79"/>
    <mergeCell ref="X79:AA79"/>
    <mergeCell ref="AB79:AD79"/>
    <mergeCell ref="AE79:AG79"/>
    <mergeCell ref="AK79:AM79"/>
    <mergeCell ref="BI79:BV79"/>
    <mergeCell ref="L78:O78"/>
    <mergeCell ref="L79:O79"/>
    <mergeCell ref="P78:S78"/>
    <mergeCell ref="P79:S79"/>
    <mergeCell ref="AH78:AJ78"/>
    <mergeCell ref="AH79:AJ79"/>
    <mergeCell ref="D80:K80"/>
    <mergeCell ref="T80:W80"/>
    <mergeCell ref="X80:AA80"/>
    <mergeCell ref="AB80:AD80"/>
    <mergeCell ref="AE80:AG80"/>
    <mergeCell ref="AK80:AM80"/>
    <mergeCell ref="BI80:BV80"/>
    <mergeCell ref="D81:K81"/>
    <mergeCell ref="T81:W81"/>
    <mergeCell ref="X81:AA81"/>
    <mergeCell ref="AB81:AD81"/>
    <mergeCell ref="AE81:AG81"/>
    <mergeCell ref="AK81:AM81"/>
    <mergeCell ref="BI81:BV81"/>
    <mergeCell ref="L80:O80"/>
    <mergeCell ref="L81:O81"/>
    <mergeCell ref="P80:S80"/>
    <mergeCell ref="P81:S81"/>
    <mergeCell ref="AH80:AJ80"/>
    <mergeCell ref="AH81:AJ81"/>
    <mergeCell ref="D82:K82"/>
    <mergeCell ref="T82:W82"/>
    <mergeCell ref="X82:AA82"/>
    <mergeCell ref="AB82:AD82"/>
    <mergeCell ref="AE82:AG82"/>
    <mergeCell ref="AK82:AM82"/>
    <mergeCell ref="BI82:BV82"/>
    <mergeCell ref="D83:K83"/>
    <mergeCell ref="T83:W83"/>
    <mergeCell ref="X83:AA83"/>
    <mergeCell ref="AB83:AD83"/>
    <mergeCell ref="AE83:AG83"/>
    <mergeCell ref="AK83:AM83"/>
    <mergeCell ref="BI83:BV83"/>
    <mergeCell ref="L82:O82"/>
    <mergeCell ref="L83:O83"/>
    <mergeCell ref="P82:S82"/>
    <mergeCell ref="P83:S83"/>
    <mergeCell ref="AH82:AJ82"/>
    <mergeCell ref="AH83:AJ83"/>
    <mergeCell ref="D84:K84"/>
    <mergeCell ref="T84:W84"/>
    <mergeCell ref="X84:AA84"/>
    <mergeCell ref="AB84:AD84"/>
    <mergeCell ref="AE84:AG84"/>
    <mergeCell ref="AK84:AM84"/>
    <mergeCell ref="BI84:BV84"/>
    <mergeCell ref="D85:K85"/>
    <mergeCell ref="T85:W85"/>
    <mergeCell ref="X85:AA85"/>
    <mergeCell ref="AB85:AD85"/>
    <mergeCell ref="AE85:AG85"/>
    <mergeCell ref="AK85:AM85"/>
    <mergeCell ref="BI85:BV85"/>
    <mergeCell ref="L84:O84"/>
    <mergeCell ref="L85:O85"/>
    <mergeCell ref="P84:S84"/>
    <mergeCell ref="P85:S85"/>
    <mergeCell ref="AH84:AJ84"/>
    <mergeCell ref="AH85:AJ85"/>
    <mergeCell ref="D86:K86"/>
    <mergeCell ref="T86:W86"/>
    <mergeCell ref="X86:AA86"/>
    <mergeCell ref="AB86:AD86"/>
    <mergeCell ref="AE86:AG86"/>
    <mergeCell ref="AK86:AM86"/>
    <mergeCell ref="BI86:BV86"/>
    <mergeCell ref="D87:K87"/>
    <mergeCell ref="T87:W87"/>
    <mergeCell ref="X87:AA87"/>
    <mergeCell ref="AB87:AD87"/>
    <mergeCell ref="AE87:AG87"/>
    <mergeCell ref="AK87:AM87"/>
    <mergeCell ref="BI87:BV87"/>
    <mergeCell ref="L86:O86"/>
    <mergeCell ref="L87:O87"/>
    <mergeCell ref="P86:S86"/>
    <mergeCell ref="P87:S87"/>
    <mergeCell ref="AH86:AJ86"/>
    <mergeCell ref="AH87:AJ87"/>
    <mergeCell ref="D88:K88"/>
    <mergeCell ref="T88:W88"/>
    <mergeCell ref="X88:AA88"/>
    <mergeCell ref="AB88:AD88"/>
    <mergeCell ref="AE88:AG88"/>
    <mergeCell ref="AK88:AM88"/>
    <mergeCell ref="BI88:BV88"/>
    <mergeCell ref="D89:K89"/>
    <mergeCell ref="T89:W89"/>
    <mergeCell ref="X89:AA89"/>
    <mergeCell ref="AB89:AD89"/>
    <mergeCell ref="AE89:AG89"/>
    <mergeCell ref="AK89:AM89"/>
    <mergeCell ref="BI89:BV89"/>
    <mergeCell ref="L88:O88"/>
    <mergeCell ref="L89:O89"/>
    <mergeCell ref="P88:S88"/>
    <mergeCell ref="P89:S89"/>
    <mergeCell ref="AH88:AJ88"/>
    <mergeCell ref="AH89:AJ89"/>
    <mergeCell ref="D90:K90"/>
    <mergeCell ref="T90:W90"/>
    <mergeCell ref="X90:AA90"/>
    <mergeCell ref="AB90:AD90"/>
    <mergeCell ref="AE90:AG90"/>
    <mergeCell ref="AK90:AM90"/>
    <mergeCell ref="BI90:BV90"/>
    <mergeCell ref="D91:K91"/>
    <mergeCell ref="T91:W91"/>
    <mergeCell ref="X91:AA91"/>
    <mergeCell ref="AB91:AD91"/>
    <mergeCell ref="AE91:AG91"/>
    <mergeCell ref="AK91:AM91"/>
    <mergeCell ref="BI91:BV91"/>
    <mergeCell ref="L90:O90"/>
    <mergeCell ref="L91:O91"/>
    <mergeCell ref="P90:S90"/>
    <mergeCell ref="P91:S91"/>
    <mergeCell ref="AH90:AJ90"/>
    <mergeCell ref="AH91:AJ91"/>
    <mergeCell ref="D92:K92"/>
    <mergeCell ref="T92:W92"/>
    <mergeCell ref="X92:AA92"/>
    <mergeCell ref="AB92:AD92"/>
    <mergeCell ref="AE92:AG92"/>
    <mergeCell ref="AK92:AM92"/>
    <mergeCell ref="BI92:BV92"/>
    <mergeCell ref="D93:K93"/>
    <mergeCell ref="T93:W93"/>
    <mergeCell ref="X93:AA93"/>
    <mergeCell ref="AB93:AD93"/>
    <mergeCell ref="AE93:AG93"/>
    <mergeCell ref="AK93:AM93"/>
    <mergeCell ref="BI93:BV93"/>
    <mergeCell ref="L92:O92"/>
    <mergeCell ref="L93:O93"/>
    <mergeCell ref="P92:S92"/>
    <mergeCell ref="P93:S93"/>
    <mergeCell ref="AH92:AJ92"/>
    <mergeCell ref="AH93:AJ93"/>
    <mergeCell ref="D94:K94"/>
    <mergeCell ref="T94:W94"/>
    <mergeCell ref="X94:AA94"/>
    <mergeCell ref="AB94:AD94"/>
    <mergeCell ref="AE94:AG94"/>
    <mergeCell ref="AK94:AM94"/>
    <mergeCell ref="BI94:BV94"/>
    <mergeCell ref="D95:K95"/>
    <mergeCell ref="T95:W95"/>
    <mergeCell ref="X95:AA95"/>
    <mergeCell ref="AB95:AD95"/>
    <mergeCell ref="AE95:AG95"/>
    <mergeCell ref="AK95:AM95"/>
    <mergeCell ref="BI95:BV95"/>
    <mergeCell ref="L94:O94"/>
    <mergeCell ref="L95:O95"/>
    <mergeCell ref="P94:S94"/>
    <mergeCell ref="P95:S95"/>
    <mergeCell ref="AH94:AJ94"/>
    <mergeCell ref="AH95:AJ95"/>
    <mergeCell ref="D96:K96"/>
    <mergeCell ref="T96:W96"/>
    <mergeCell ref="X96:AA96"/>
    <mergeCell ref="AB96:AD96"/>
    <mergeCell ref="AE96:AG96"/>
    <mergeCell ref="AK96:AM96"/>
    <mergeCell ref="BI96:BV96"/>
    <mergeCell ref="D97:K97"/>
    <mergeCell ref="T97:W97"/>
    <mergeCell ref="X97:AA97"/>
    <mergeCell ref="AB97:AD97"/>
    <mergeCell ref="AE97:AG97"/>
    <mergeCell ref="AK97:AM97"/>
    <mergeCell ref="BI97:BV97"/>
    <mergeCell ref="L96:O96"/>
    <mergeCell ref="L97:O97"/>
    <mergeCell ref="P96:S96"/>
    <mergeCell ref="P97:S97"/>
    <mergeCell ref="AH96:AJ96"/>
    <mergeCell ref="AH97:AJ97"/>
    <mergeCell ref="D98:K98"/>
    <mergeCell ref="T98:W98"/>
    <mergeCell ref="X98:AA98"/>
    <mergeCell ref="AB98:AD98"/>
    <mergeCell ref="AE98:AG98"/>
    <mergeCell ref="AK98:AM98"/>
    <mergeCell ref="BI98:BV98"/>
    <mergeCell ref="D99:K99"/>
    <mergeCell ref="T99:W99"/>
    <mergeCell ref="X99:AA99"/>
    <mergeCell ref="AB99:AD99"/>
    <mergeCell ref="AE99:AG99"/>
    <mergeCell ref="AK99:AM99"/>
    <mergeCell ref="BI99:BV99"/>
    <mergeCell ref="L98:O98"/>
    <mergeCell ref="L99:O99"/>
    <mergeCell ref="P98:S98"/>
    <mergeCell ref="P99:S99"/>
    <mergeCell ref="AH98:AJ98"/>
    <mergeCell ref="AH99:AJ99"/>
    <mergeCell ref="D100:K100"/>
    <mergeCell ref="T100:W100"/>
    <mergeCell ref="X100:AA100"/>
    <mergeCell ref="AB100:AD100"/>
    <mergeCell ref="AE100:AG100"/>
    <mergeCell ref="AK100:AM100"/>
    <mergeCell ref="BI100:BV100"/>
    <mergeCell ref="D101:K101"/>
    <mergeCell ref="T101:W101"/>
    <mergeCell ref="X101:AA101"/>
    <mergeCell ref="AB101:AD101"/>
    <mergeCell ref="AE101:AG101"/>
    <mergeCell ref="AK101:AM101"/>
    <mergeCell ref="BI101:BV101"/>
    <mergeCell ref="L100:O100"/>
    <mergeCell ref="L101:O101"/>
    <mergeCell ref="P100:S100"/>
    <mergeCell ref="P101:S101"/>
    <mergeCell ref="AH100:AJ100"/>
    <mergeCell ref="AH101:AJ101"/>
    <mergeCell ref="D102:K102"/>
    <mergeCell ref="T102:W102"/>
    <mergeCell ref="X102:AA102"/>
    <mergeCell ref="AB102:AD102"/>
    <mergeCell ref="AE102:AG102"/>
    <mergeCell ref="AK102:AM102"/>
    <mergeCell ref="BI102:BV102"/>
    <mergeCell ref="D103:K103"/>
    <mergeCell ref="T103:W103"/>
    <mergeCell ref="X103:AA103"/>
    <mergeCell ref="AB103:AD103"/>
    <mergeCell ref="AE103:AG103"/>
    <mergeCell ref="AK103:AM103"/>
    <mergeCell ref="BI103:BV103"/>
    <mergeCell ref="L102:O102"/>
    <mergeCell ref="L103:O103"/>
    <mergeCell ref="P102:S102"/>
    <mergeCell ref="P103:S103"/>
    <mergeCell ref="AH102:AJ102"/>
    <mergeCell ref="AH103:AJ103"/>
    <mergeCell ref="D104:K104"/>
    <mergeCell ref="T104:W104"/>
    <mergeCell ref="X104:AA104"/>
    <mergeCell ref="AB104:AD104"/>
    <mergeCell ref="AE104:AG104"/>
    <mergeCell ref="AK104:AM104"/>
    <mergeCell ref="BI104:BV104"/>
    <mergeCell ref="D105:K105"/>
    <mergeCell ref="T105:W105"/>
    <mergeCell ref="X105:AA105"/>
    <mergeCell ref="AB105:AD105"/>
    <mergeCell ref="AE105:AG105"/>
    <mergeCell ref="AK105:AM105"/>
    <mergeCell ref="BI105:BV105"/>
    <mergeCell ref="L104:O104"/>
    <mergeCell ref="L105:O105"/>
    <mergeCell ref="P104:S104"/>
    <mergeCell ref="P105:S105"/>
    <mergeCell ref="AH104:AJ104"/>
    <mergeCell ref="AH105:AJ105"/>
    <mergeCell ref="D106:K106"/>
    <mergeCell ref="T106:W106"/>
    <mergeCell ref="X106:AA106"/>
    <mergeCell ref="AB106:AD106"/>
    <mergeCell ref="AE106:AG106"/>
    <mergeCell ref="AK106:AM106"/>
    <mergeCell ref="BI106:BV106"/>
    <mergeCell ref="D107:K107"/>
    <mergeCell ref="T107:W107"/>
    <mergeCell ref="X107:AA107"/>
    <mergeCell ref="AB107:AD107"/>
    <mergeCell ref="AE107:AG107"/>
    <mergeCell ref="AK107:AM107"/>
    <mergeCell ref="BI107:BV107"/>
    <mergeCell ref="L106:O106"/>
    <mergeCell ref="L107:O107"/>
    <mergeCell ref="P106:S106"/>
    <mergeCell ref="P107:S107"/>
    <mergeCell ref="AH106:AJ106"/>
    <mergeCell ref="AH107:AJ107"/>
    <mergeCell ref="D108:K108"/>
    <mergeCell ref="T108:W108"/>
    <mergeCell ref="X108:AA108"/>
    <mergeCell ref="AB108:AD108"/>
    <mergeCell ref="AE108:AG108"/>
    <mergeCell ref="AK108:AM108"/>
    <mergeCell ref="BI108:BV108"/>
    <mergeCell ref="D109:K109"/>
    <mergeCell ref="T109:W109"/>
    <mergeCell ref="X109:AA109"/>
    <mergeCell ref="AB109:AD109"/>
    <mergeCell ref="AE109:AG109"/>
    <mergeCell ref="AK109:AM109"/>
    <mergeCell ref="BI109:BV109"/>
    <mergeCell ref="L108:O108"/>
    <mergeCell ref="L109:O109"/>
    <mergeCell ref="P108:S108"/>
    <mergeCell ref="P109:S109"/>
    <mergeCell ref="AH108:AJ108"/>
    <mergeCell ref="AH109:AJ109"/>
    <mergeCell ref="D110:K110"/>
    <mergeCell ref="T110:W110"/>
    <mergeCell ref="X110:AA110"/>
    <mergeCell ref="AB110:AD110"/>
    <mergeCell ref="AE110:AG110"/>
    <mergeCell ref="AK110:AM110"/>
    <mergeCell ref="BI110:BV110"/>
    <mergeCell ref="D111:K111"/>
    <mergeCell ref="T111:W111"/>
    <mergeCell ref="X111:AA111"/>
    <mergeCell ref="AB111:AD111"/>
    <mergeCell ref="AE111:AG111"/>
    <mergeCell ref="AK111:AM111"/>
    <mergeCell ref="BI111:BV111"/>
    <mergeCell ref="L110:O110"/>
    <mergeCell ref="L111:O111"/>
    <mergeCell ref="P110:S110"/>
    <mergeCell ref="P111:S111"/>
    <mergeCell ref="AH110:AJ110"/>
    <mergeCell ref="AH111:AJ111"/>
    <mergeCell ref="D112:K112"/>
    <mergeCell ref="T112:W112"/>
    <mergeCell ref="X112:AA112"/>
    <mergeCell ref="AB112:AD112"/>
    <mergeCell ref="AE112:AG112"/>
    <mergeCell ref="AK112:AM112"/>
    <mergeCell ref="BI112:BV112"/>
    <mergeCell ref="D113:K113"/>
    <mergeCell ref="T113:W113"/>
    <mergeCell ref="X113:AA113"/>
    <mergeCell ref="AB113:AD113"/>
    <mergeCell ref="AE113:AG113"/>
    <mergeCell ref="AK113:AM113"/>
    <mergeCell ref="BI113:BV113"/>
    <mergeCell ref="L112:O112"/>
    <mergeCell ref="L113:O113"/>
    <mergeCell ref="P112:S112"/>
    <mergeCell ref="P113:S113"/>
    <mergeCell ref="AH112:AJ112"/>
    <mergeCell ref="AH113:AJ113"/>
    <mergeCell ref="D114:K114"/>
    <mergeCell ref="T114:W114"/>
    <mergeCell ref="X114:AA114"/>
    <mergeCell ref="AB114:AD114"/>
    <mergeCell ref="AE114:AG114"/>
    <mergeCell ref="AK114:AM114"/>
    <mergeCell ref="BI114:BV114"/>
    <mergeCell ref="D115:K115"/>
    <mergeCell ref="T115:W115"/>
    <mergeCell ref="X115:AA115"/>
    <mergeCell ref="AB115:AD115"/>
    <mergeCell ref="AE115:AG115"/>
    <mergeCell ref="AK115:AM115"/>
    <mergeCell ref="BI115:BV115"/>
    <mergeCell ref="L114:O114"/>
    <mergeCell ref="L115:O115"/>
    <mergeCell ref="P114:S114"/>
    <mergeCell ref="P115:S115"/>
    <mergeCell ref="AH114:AJ114"/>
    <mergeCell ref="AH115:AJ115"/>
    <mergeCell ref="D116:K116"/>
    <mergeCell ref="T116:W116"/>
    <mergeCell ref="X116:AA116"/>
    <mergeCell ref="AB116:AD116"/>
    <mergeCell ref="AE116:AG116"/>
    <mergeCell ref="AK116:AM116"/>
    <mergeCell ref="BI116:BV116"/>
    <mergeCell ref="D117:K117"/>
    <mergeCell ref="T117:W117"/>
    <mergeCell ref="X117:AA117"/>
    <mergeCell ref="AB117:AD117"/>
    <mergeCell ref="AE117:AG117"/>
    <mergeCell ref="AK117:AM117"/>
    <mergeCell ref="BI117:BV117"/>
    <mergeCell ref="L116:O116"/>
    <mergeCell ref="L117:O117"/>
    <mergeCell ref="P116:S116"/>
    <mergeCell ref="P117:S117"/>
    <mergeCell ref="AH116:AJ116"/>
    <mergeCell ref="AH117:AJ117"/>
    <mergeCell ref="D118:K118"/>
    <mergeCell ref="T118:W118"/>
    <mergeCell ref="X118:AA118"/>
    <mergeCell ref="AB118:AD118"/>
    <mergeCell ref="AE118:AG118"/>
    <mergeCell ref="AK118:AM118"/>
    <mergeCell ref="BI118:BV118"/>
    <mergeCell ref="D119:K119"/>
    <mergeCell ref="T119:W119"/>
    <mergeCell ref="X119:AA119"/>
    <mergeCell ref="AB119:AD119"/>
    <mergeCell ref="AE119:AG119"/>
    <mergeCell ref="AK119:AM119"/>
    <mergeCell ref="BI119:BV119"/>
    <mergeCell ref="L118:O118"/>
    <mergeCell ref="L119:O119"/>
    <mergeCell ref="P118:S118"/>
    <mergeCell ref="P119:S119"/>
    <mergeCell ref="AH118:AJ118"/>
    <mergeCell ref="AH119:AJ119"/>
    <mergeCell ref="D120:K120"/>
    <mergeCell ref="T120:W120"/>
    <mergeCell ref="X120:AA120"/>
    <mergeCell ref="AB120:AD120"/>
    <mergeCell ref="AE120:AG120"/>
    <mergeCell ref="AK120:AM120"/>
    <mergeCell ref="BI120:BV120"/>
    <mergeCell ref="D121:K121"/>
    <mergeCell ref="T121:W121"/>
    <mergeCell ref="X121:AA121"/>
    <mergeCell ref="AB121:AD121"/>
    <mergeCell ref="AE121:AG121"/>
    <mergeCell ref="AK121:AM121"/>
    <mergeCell ref="BI121:BV121"/>
    <mergeCell ref="L120:O120"/>
    <mergeCell ref="L121:O121"/>
    <mergeCell ref="P120:S120"/>
    <mergeCell ref="P121:S121"/>
    <mergeCell ref="AH120:AJ120"/>
    <mergeCell ref="AH121:AJ121"/>
    <mergeCell ref="D122:K122"/>
    <mergeCell ref="T122:W122"/>
    <mergeCell ref="X122:AA122"/>
    <mergeCell ref="AB122:AD122"/>
    <mergeCell ref="AE122:AG122"/>
    <mergeCell ref="AK122:AM122"/>
    <mergeCell ref="BI122:BV122"/>
    <mergeCell ref="D123:K123"/>
    <mergeCell ref="T123:W123"/>
    <mergeCell ref="X123:AA123"/>
    <mergeCell ref="AB123:AD123"/>
    <mergeCell ref="AE123:AG123"/>
    <mergeCell ref="AK123:AM123"/>
    <mergeCell ref="BI123:BV123"/>
    <mergeCell ref="L122:O122"/>
    <mergeCell ref="L123:O123"/>
    <mergeCell ref="P122:S122"/>
    <mergeCell ref="P123:S123"/>
    <mergeCell ref="AH122:AJ122"/>
    <mergeCell ref="AH123:AJ123"/>
    <mergeCell ref="D124:K124"/>
    <mergeCell ref="T124:W124"/>
    <mergeCell ref="X124:AA124"/>
    <mergeCell ref="AB124:AD124"/>
    <mergeCell ref="AE124:AG124"/>
    <mergeCell ref="AK124:AM124"/>
    <mergeCell ref="BI124:BV124"/>
    <mergeCell ref="D125:K125"/>
    <mergeCell ref="T125:W125"/>
    <mergeCell ref="X125:AA125"/>
    <mergeCell ref="AB125:AD125"/>
    <mergeCell ref="AE125:AG125"/>
    <mergeCell ref="AK125:AM125"/>
    <mergeCell ref="BI125:BV125"/>
    <mergeCell ref="L124:O124"/>
    <mergeCell ref="L125:O125"/>
    <mergeCell ref="P124:S124"/>
    <mergeCell ref="P125:S125"/>
    <mergeCell ref="AH124:AJ124"/>
    <mergeCell ref="AH125:AJ125"/>
    <mergeCell ref="D126:K126"/>
    <mergeCell ref="T126:W126"/>
    <mergeCell ref="X126:AA126"/>
    <mergeCell ref="AB126:AD126"/>
    <mergeCell ref="AE126:AG126"/>
    <mergeCell ref="AK126:AM126"/>
    <mergeCell ref="BI126:BV126"/>
    <mergeCell ref="D127:K127"/>
    <mergeCell ref="T127:W127"/>
    <mergeCell ref="X127:AA127"/>
    <mergeCell ref="AB127:AD127"/>
    <mergeCell ref="AE127:AG127"/>
    <mergeCell ref="AK127:AM127"/>
    <mergeCell ref="BI127:BV127"/>
    <mergeCell ref="L126:O126"/>
    <mergeCell ref="L127:O127"/>
    <mergeCell ref="P126:S126"/>
    <mergeCell ref="P127:S127"/>
    <mergeCell ref="AH126:AJ126"/>
    <mergeCell ref="AH127:AJ127"/>
    <mergeCell ref="D128:K128"/>
    <mergeCell ref="T128:W128"/>
    <mergeCell ref="X128:AA128"/>
    <mergeCell ref="AB128:AD128"/>
    <mergeCell ref="AE128:AG128"/>
    <mergeCell ref="AK128:AM128"/>
    <mergeCell ref="BI128:BV128"/>
    <mergeCell ref="D129:K129"/>
    <mergeCell ref="T129:W129"/>
    <mergeCell ref="X129:AA129"/>
    <mergeCell ref="AB129:AD129"/>
    <mergeCell ref="AE129:AG129"/>
    <mergeCell ref="AK129:AM129"/>
    <mergeCell ref="BI129:BV129"/>
    <mergeCell ref="L128:O128"/>
    <mergeCell ref="L129:O129"/>
    <mergeCell ref="P128:S128"/>
    <mergeCell ref="P129:S129"/>
    <mergeCell ref="AH128:AJ128"/>
    <mergeCell ref="AH129:AJ129"/>
    <mergeCell ref="D130:K130"/>
    <mergeCell ref="T130:W130"/>
    <mergeCell ref="X130:AA130"/>
    <mergeCell ref="AB130:AD130"/>
    <mergeCell ref="AE130:AG130"/>
    <mergeCell ref="AK130:AM130"/>
    <mergeCell ref="BI130:BV130"/>
    <mergeCell ref="D131:K131"/>
    <mergeCell ref="T131:W131"/>
    <mergeCell ref="X131:AA131"/>
    <mergeCell ref="AB131:AD131"/>
    <mergeCell ref="AE131:AG131"/>
    <mergeCell ref="AK131:AM131"/>
    <mergeCell ref="BI131:BV131"/>
    <mergeCell ref="L130:O130"/>
    <mergeCell ref="L131:O131"/>
    <mergeCell ref="P130:S130"/>
    <mergeCell ref="P131:S131"/>
    <mergeCell ref="AH130:AJ130"/>
    <mergeCell ref="AH131:AJ131"/>
    <mergeCell ref="D132:K132"/>
    <mergeCell ref="T132:W132"/>
    <mergeCell ref="X132:AA132"/>
    <mergeCell ref="AB132:AD132"/>
    <mergeCell ref="AE132:AG132"/>
    <mergeCell ref="AK132:AM132"/>
    <mergeCell ref="BI132:BV132"/>
    <mergeCell ref="D133:K133"/>
    <mergeCell ref="T133:W133"/>
    <mergeCell ref="X133:AA133"/>
    <mergeCell ref="AB133:AD133"/>
    <mergeCell ref="AE133:AG133"/>
    <mergeCell ref="AK133:AM133"/>
    <mergeCell ref="BI133:BV133"/>
    <mergeCell ref="L132:O132"/>
    <mergeCell ref="L133:O133"/>
    <mergeCell ref="P132:S132"/>
    <mergeCell ref="P133:S133"/>
    <mergeCell ref="AH132:AJ132"/>
    <mergeCell ref="AH133:AJ133"/>
    <mergeCell ref="D134:K134"/>
    <mergeCell ref="T134:W134"/>
    <mergeCell ref="X134:AA134"/>
    <mergeCell ref="AB134:AD134"/>
    <mergeCell ref="AE134:AG134"/>
    <mergeCell ref="AK134:AM134"/>
    <mergeCell ref="BI134:BV134"/>
    <mergeCell ref="D135:K135"/>
    <mergeCell ref="T135:W135"/>
    <mergeCell ref="X135:AA135"/>
    <mergeCell ref="AB135:AD135"/>
    <mergeCell ref="AE135:AG135"/>
    <mergeCell ref="AK135:AM135"/>
    <mergeCell ref="BI135:BV135"/>
    <mergeCell ref="L134:O134"/>
    <mergeCell ref="L135:O135"/>
    <mergeCell ref="P134:S134"/>
    <mergeCell ref="P135:S135"/>
    <mergeCell ref="AH134:AJ134"/>
    <mergeCell ref="AH135:AJ135"/>
    <mergeCell ref="D136:K136"/>
    <mergeCell ref="T136:W136"/>
    <mergeCell ref="X136:AA136"/>
    <mergeCell ref="AB136:AD136"/>
    <mergeCell ref="AE136:AG136"/>
    <mergeCell ref="AK136:AM136"/>
    <mergeCell ref="BI136:BV136"/>
    <mergeCell ref="D137:K137"/>
    <mergeCell ref="T137:W137"/>
    <mergeCell ref="X137:AA137"/>
    <mergeCell ref="AB137:AD137"/>
    <mergeCell ref="AE137:AG137"/>
    <mergeCell ref="AK137:AM137"/>
    <mergeCell ref="BI137:BV137"/>
    <mergeCell ref="L136:O136"/>
    <mergeCell ref="L137:O137"/>
    <mergeCell ref="P136:S136"/>
    <mergeCell ref="P137:S137"/>
    <mergeCell ref="AH136:AJ136"/>
    <mergeCell ref="AH137:AJ137"/>
    <mergeCell ref="D138:K138"/>
    <mergeCell ref="T138:W138"/>
    <mergeCell ref="X138:AA138"/>
    <mergeCell ref="AB138:AD138"/>
    <mergeCell ref="AE138:AG138"/>
    <mergeCell ref="AK138:AM138"/>
    <mergeCell ref="BI138:BV138"/>
    <mergeCell ref="D139:K139"/>
    <mergeCell ref="T139:W139"/>
    <mergeCell ref="X139:AA139"/>
    <mergeCell ref="AB139:AD139"/>
    <mergeCell ref="AE139:AG139"/>
    <mergeCell ref="AK139:AM139"/>
    <mergeCell ref="BI139:BV139"/>
    <mergeCell ref="L138:O138"/>
    <mergeCell ref="L139:O139"/>
    <mergeCell ref="P138:S138"/>
    <mergeCell ref="P139:S139"/>
    <mergeCell ref="AH138:AJ138"/>
    <mergeCell ref="AH139:AJ139"/>
    <mergeCell ref="D140:K140"/>
    <mergeCell ref="T140:W140"/>
    <mergeCell ref="X140:AA140"/>
    <mergeCell ref="AB140:AD140"/>
    <mergeCell ref="AE140:AG140"/>
    <mergeCell ref="AK140:AM140"/>
    <mergeCell ref="BI140:BV140"/>
    <mergeCell ref="D141:K141"/>
    <mergeCell ref="T141:W141"/>
    <mergeCell ref="X141:AA141"/>
    <mergeCell ref="AB141:AD141"/>
    <mergeCell ref="AE141:AG141"/>
    <mergeCell ref="AK141:AM141"/>
    <mergeCell ref="BI141:BV141"/>
    <mergeCell ref="L140:O140"/>
    <mergeCell ref="L141:O141"/>
    <mergeCell ref="P140:S140"/>
    <mergeCell ref="P141:S141"/>
    <mergeCell ref="AH140:AJ140"/>
    <mergeCell ref="AH141:AJ141"/>
    <mergeCell ref="D142:K142"/>
    <mergeCell ref="T142:W142"/>
    <mergeCell ref="X142:AA142"/>
    <mergeCell ref="AB142:AD142"/>
    <mergeCell ref="AE142:AG142"/>
    <mergeCell ref="AK142:AM142"/>
    <mergeCell ref="BI142:BV142"/>
    <mergeCell ref="D143:K143"/>
    <mergeCell ref="T143:W143"/>
    <mergeCell ref="X143:AA143"/>
    <mergeCell ref="AB143:AD143"/>
    <mergeCell ref="AE143:AG143"/>
    <mergeCell ref="AK143:AM143"/>
    <mergeCell ref="BI143:BV143"/>
    <mergeCell ref="L142:O142"/>
    <mergeCell ref="L143:O143"/>
    <mergeCell ref="P142:S142"/>
    <mergeCell ref="P143:S143"/>
    <mergeCell ref="AH142:AJ142"/>
    <mergeCell ref="AH143:AJ143"/>
    <mergeCell ref="D144:K144"/>
    <mergeCell ref="T144:W144"/>
    <mergeCell ref="X144:AA144"/>
    <mergeCell ref="AB144:AD144"/>
    <mergeCell ref="AE144:AG144"/>
    <mergeCell ref="AK144:AM144"/>
    <mergeCell ref="BI144:BV144"/>
    <mergeCell ref="D145:K145"/>
    <mergeCell ref="T145:W145"/>
    <mergeCell ref="X145:AA145"/>
    <mergeCell ref="AB145:AD145"/>
    <mergeCell ref="AE145:AG145"/>
    <mergeCell ref="AK145:AM145"/>
    <mergeCell ref="BI145:BV145"/>
    <mergeCell ref="L144:O144"/>
    <mergeCell ref="L145:O145"/>
    <mergeCell ref="P144:S144"/>
    <mergeCell ref="P145:S145"/>
    <mergeCell ref="AH144:AJ144"/>
    <mergeCell ref="AH145:AJ145"/>
    <mergeCell ref="D146:K146"/>
    <mergeCell ref="T146:W146"/>
    <mergeCell ref="X146:AA146"/>
    <mergeCell ref="AB146:AD146"/>
    <mergeCell ref="AE146:AG146"/>
    <mergeCell ref="AK146:AM146"/>
    <mergeCell ref="BI146:BV146"/>
    <mergeCell ref="D147:K147"/>
    <mergeCell ref="T147:W147"/>
    <mergeCell ref="X147:AA147"/>
    <mergeCell ref="AB147:AD147"/>
    <mergeCell ref="AE147:AG147"/>
    <mergeCell ref="AK147:AM147"/>
    <mergeCell ref="BI147:BV147"/>
    <mergeCell ref="L146:O146"/>
    <mergeCell ref="L147:O147"/>
    <mergeCell ref="P146:S146"/>
    <mergeCell ref="P147:S147"/>
    <mergeCell ref="AH146:AJ146"/>
    <mergeCell ref="AH147:AJ147"/>
    <mergeCell ref="D148:K148"/>
    <mergeCell ref="T148:W148"/>
    <mergeCell ref="X148:AA148"/>
    <mergeCell ref="AB148:AD148"/>
    <mergeCell ref="AE148:AG148"/>
    <mergeCell ref="AK148:AM148"/>
    <mergeCell ref="BI148:BV148"/>
    <mergeCell ref="D149:K149"/>
    <mergeCell ref="T149:W149"/>
    <mergeCell ref="X149:AA149"/>
    <mergeCell ref="AB149:AD149"/>
    <mergeCell ref="AE149:AG149"/>
    <mergeCell ref="AK149:AM149"/>
    <mergeCell ref="BI149:BV149"/>
    <mergeCell ref="L148:O148"/>
    <mergeCell ref="L149:O149"/>
    <mergeCell ref="P148:S148"/>
    <mergeCell ref="P149:S149"/>
    <mergeCell ref="AH148:AJ148"/>
    <mergeCell ref="AH149:AJ149"/>
    <mergeCell ref="D150:K150"/>
    <mergeCell ref="T150:W150"/>
    <mergeCell ref="X150:AA150"/>
    <mergeCell ref="AB150:AD150"/>
    <mergeCell ref="AE150:AG150"/>
    <mergeCell ref="AK150:AM150"/>
    <mergeCell ref="BI150:BV150"/>
    <mergeCell ref="D151:K151"/>
    <mergeCell ref="T151:W151"/>
    <mergeCell ref="X151:AA151"/>
    <mergeCell ref="AB151:AD151"/>
    <mergeCell ref="AE151:AG151"/>
    <mergeCell ref="AK151:AM151"/>
    <mergeCell ref="BI151:BV151"/>
    <mergeCell ref="L150:O150"/>
    <mergeCell ref="L151:O151"/>
    <mergeCell ref="P150:S150"/>
    <mergeCell ref="P151:S151"/>
    <mergeCell ref="AH150:AJ150"/>
    <mergeCell ref="AH151:AJ151"/>
    <mergeCell ref="D152:K152"/>
    <mergeCell ref="T152:W152"/>
    <mergeCell ref="X152:AA152"/>
    <mergeCell ref="AB152:AD152"/>
    <mergeCell ref="AE152:AG152"/>
    <mergeCell ref="AK152:AM152"/>
    <mergeCell ref="BI152:BV152"/>
    <mergeCell ref="D153:K153"/>
    <mergeCell ref="T153:W153"/>
    <mergeCell ref="X153:AA153"/>
    <mergeCell ref="AB153:AD153"/>
    <mergeCell ref="AE153:AG153"/>
    <mergeCell ref="AK153:AM153"/>
    <mergeCell ref="BI153:BV153"/>
    <mergeCell ref="L152:O152"/>
    <mergeCell ref="L153:O153"/>
    <mergeCell ref="P152:S152"/>
    <mergeCell ref="P153:S153"/>
    <mergeCell ref="AH152:AJ152"/>
    <mergeCell ref="AH153:AJ153"/>
    <mergeCell ref="D154:K154"/>
    <mergeCell ref="T154:W154"/>
    <mergeCell ref="X154:AA154"/>
    <mergeCell ref="AB154:AD154"/>
    <mergeCell ref="AE154:AG154"/>
    <mergeCell ref="AK154:AM154"/>
    <mergeCell ref="BI154:BV154"/>
    <mergeCell ref="D155:K155"/>
    <mergeCell ref="T155:W155"/>
    <mergeCell ref="X155:AA155"/>
    <mergeCell ref="AB155:AD155"/>
    <mergeCell ref="AE155:AG155"/>
    <mergeCell ref="AK155:AM155"/>
    <mergeCell ref="BI155:BV155"/>
    <mergeCell ref="L154:O154"/>
    <mergeCell ref="L155:O155"/>
    <mergeCell ref="P154:S154"/>
    <mergeCell ref="P155:S155"/>
    <mergeCell ref="AH154:AJ154"/>
    <mergeCell ref="AH155:AJ155"/>
    <mergeCell ref="D156:K156"/>
    <mergeCell ref="T156:W156"/>
    <mergeCell ref="X156:AA156"/>
    <mergeCell ref="AB156:AD156"/>
    <mergeCell ref="AE156:AG156"/>
    <mergeCell ref="AK156:AM156"/>
    <mergeCell ref="BI156:BV156"/>
    <mergeCell ref="D157:K157"/>
    <mergeCell ref="T157:W157"/>
    <mergeCell ref="X157:AA157"/>
    <mergeCell ref="AB157:AD157"/>
    <mergeCell ref="AE157:AG157"/>
    <mergeCell ref="AK157:AM157"/>
    <mergeCell ref="BI157:BV157"/>
    <mergeCell ref="L156:O156"/>
    <mergeCell ref="L157:O157"/>
    <mergeCell ref="P156:S156"/>
    <mergeCell ref="P157:S157"/>
    <mergeCell ref="AH156:AJ156"/>
    <mergeCell ref="AH157:AJ157"/>
    <mergeCell ref="D158:K158"/>
    <mergeCell ref="T158:W158"/>
    <mergeCell ref="X158:AA158"/>
    <mergeCell ref="AB158:AD158"/>
    <mergeCell ref="AE158:AG158"/>
    <mergeCell ref="AK158:AM158"/>
    <mergeCell ref="BI158:BV158"/>
    <mergeCell ref="D159:K159"/>
    <mergeCell ref="T159:W159"/>
    <mergeCell ref="X159:AA159"/>
    <mergeCell ref="AB159:AD159"/>
    <mergeCell ref="AE159:AG159"/>
    <mergeCell ref="AK159:AM159"/>
    <mergeCell ref="BI159:BV159"/>
    <mergeCell ref="L158:O158"/>
    <mergeCell ref="L159:O159"/>
    <mergeCell ref="P158:S158"/>
    <mergeCell ref="P159:S159"/>
    <mergeCell ref="AH158:AJ158"/>
    <mergeCell ref="AH159:AJ159"/>
    <mergeCell ref="D160:K160"/>
    <mergeCell ref="T160:W160"/>
    <mergeCell ref="X160:AA160"/>
    <mergeCell ref="AB160:AD160"/>
    <mergeCell ref="AE160:AG160"/>
    <mergeCell ref="AK160:AM160"/>
    <mergeCell ref="BI160:BV160"/>
    <mergeCell ref="D161:K161"/>
    <mergeCell ref="T161:W161"/>
    <mergeCell ref="X161:AA161"/>
    <mergeCell ref="AB161:AD161"/>
    <mergeCell ref="AE161:AG161"/>
    <mergeCell ref="AK161:AM161"/>
    <mergeCell ref="BI161:BV161"/>
    <mergeCell ref="L160:O160"/>
    <mergeCell ref="L161:O161"/>
    <mergeCell ref="P160:S160"/>
    <mergeCell ref="P161:S161"/>
    <mergeCell ref="AH160:AJ160"/>
    <mergeCell ref="AH161:AJ161"/>
    <mergeCell ref="D162:K162"/>
    <mergeCell ref="T162:W162"/>
    <mergeCell ref="X162:AA162"/>
    <mergeCell ref="AB162:AD162"/>
    <mergeCell ref="AE162:AG162"/>
    <mergeCell ref="AK162:AM162"/>
    <mergeCell ref="BI162:BV162"/>
    <mergeCell ref="D163:K163"/>
    <mergeCell ref="T163:W163"/>
    <mergeCell ref="X163:AA163"/>
    <mergeCell ref="AB163:AD163"/>
    <mergeCell ref="AE163:AG163"/>
    <mergeCell ref="AK163:AM163"/>
    <mergeCell ref="BI163:BV163"/>
    <mergeCell ref="L162:O162"/>
    <mergeCell ref="L163:O163"/>
    <mergeCell ref="P162:S162"/>
    <mergeCell ref="P163:S163"/>
    <mergeCell ref="AH162:AJ162"/>
    <mergeCell ref="AH163:AJ163"/>
    <mergeCell ref="D164:K164"/>
    <mergeCell ref="T164:W164"/>
    <mergeCell ref="X164:AA164"/>
    <mergeCell ref="AB164:AD164"/>
    <mergeCell ref="AE164:AG164"/>
    <mergeCell ref="AK164:AM164"/>
    <mergeCell ref="BI164:BV164"/>
    <mergeCell ref="D165:K165"/>
    <mergeCell ref="T165:W165"/>
    <mergeCell ref="X165:AA165"/>
    <mergeCell ref="AB165:AD165"/>
    <mergeCell ref="AE165:AG165"/>
    <mergeCell ref="AK165:AM165"/>
    <mergeCell ref="BI165:BV165"/>
    <mergeCell ref="L164:O164"/>
    <mergeCell ref="L165:O165"/>
    <mergeCell ref="P164:S164"/>
    <mergeCell ref="P165:S165"/>
    <mergeCell ref="AH164:AJ164"/>
    <mergeCell ref="AH165:AJ165"/>
    <mergeCell ref="D166:K166"/>
    <mergeCell ref="T166:W166"/>
    <mergeCell ref="X166:AA166"/>
    <mergeCell ref="AB166:AD166"/>
    <mergeCell ref="AE166:AG166"/>
    <mergeCell ref="AK166:AM166"/>
    <mergeCell ref="BI166:BV166"/>
    <mergeCell ref="D167:K167"/>
    <mergeCell ref="T167:W167"/>
    <mergeCell ref="X167:AA167"/>
    <mergeCell ref="AB167:AD167"/>
    <mergeCell ref="AE167:AG167"/>
    <mergeCell ref="AK167:AM167"/>
    <mergeCell ref="BI167:BV167"/>
    <mergeCell ref="L166:O166"/>
    <mergeCell ref="L167:O167"/>
    <mergeCell ref="P166:S166"/>
    <mergeCell ref="P167:S167"/>
    <mergeCell ref="AH166:AJ166"/>
    <mergeCell ref="AH167:AJ167"/>
    <mergeCell ref="D168:K168"/>
    <mergeCell ref="T168:W168"/>
    <mergeCell ref="X168:AA168"/>
    <mergeCell ref="AB168:AD168"/>
    <mergeCell ref="AE168:AG168"/>
    <mergeCell ref="AK168:AM168"/>
    <mergeCell ref="BI168:BV168"/>
    <mergeCell ref="D169:K169"/>
    <mergeCell ref="T169:W169"/>
    <mergeCell ref="X169:AA169"/>
    <mergeCell ref="AB169:AD169"/>
    <mergeCell ref="AE169:AG169"/>
    <mergeCell ref="AK169:AM169"/>
    <mergeCell ref="BI169:BV169"/>
    <mergeCell ref="L168:O168"/>
    <mergeCell ref="L169:O169"/>
    <mergeCell ref="P168:S168"/>
    <mergeCell ref="P169:S169"/>
    <mergeCell ref="AH168:AJ168"/>
    <mergeCell ref="AH169:AJ169"/>
    <mergeCell ref="D170:K170"/>
    <mergeCell ref="T170:W170"/>
    <mergeCell ref="X170:AA170"/>
    <mergeCell ref="AB170:AD170"/>
    <mergeCell ref="AE170:AG170"/>
    <mergeCell ref="AK170:AM170"/>
    <mergeCell ref="BI170:BV170"/>
    <mergeCell ref="D171:K171"/>
    <mergeCell ref="T171:W171"/>
    <mergeCell ref="X171:AA171"/>
    <mergeCell ref="AB171:AD171"/>
    <mergeCell ref="AE171:AG171"/>
    <mergeCell ref="AK171:AM171"/>
    <mergeCell ref="BI171:BV171"/>
    <mergeCell ref="L170:O170"/>
    <mergeCell ref="L171:O171"/>
    <mergeCell ref="P170:S170"/>
    <mergeCell ref="P171:S171"/>
    <mergeCell ref="AH170:AJ170"/>
    <mergeCell ref="AH171:AJ171"/>
    <mergeCell ref="D172:K172"/>
    <mergeCell ref="T172:W172"/>
    <mergeCell ref="X172:AA172"/>
    <mergeCell ref="AB172:AD172"/>
    <mergeCell ref="AE172:AG172"/>
    <mergeCell ref="AK172:AM172"/>
    <mergeCell ref="BI172:BV172"/>
    <mergeCell ref="D173:K173"/>
    <mergeCell ref="T173:W173"/>
    <mergeCell ref="X173:AA173"/>
    <mergeCell ref="AB173:AD173"/>
    <mergeCell ref="AE173:AG173"/>
    <mergeCell ref="AK173:AM173"/>
    <mergeCell ref="BI173:BV173"/>
    <mergeCell ref="L172:O172"/>
    <mergeCell ref="L173:O173"/>
    <mergeCell ref="P172:S172"/>
    <mergeCell ref="P173:S173"/>
    <mergeCell ref="AH172:AJ172"/>
    <mergeCell ref="AH173:AJ173"/>
    <mergeCell ref="D174:K174"/>
    <mergeCell ref="T174:W174"/>
    <mergeCell ref="X174:AA174"/>
    <mergeCell ref="AB174:AD174"/>
    <mergeCell ref="AE174:AG174"/>
    <mergeCell ref="AK174:AM174"/>
    <mergeCell ref="BI174:BV174"/>
    <mergeCell ref="D175:K175"/>
    <mergeCell ref="T175:W175"/>
    <mergeCell ref="X175:AA175"/>
    <mergeCell ref="AB175:AD175"/>
    <mergeCell ref="AE175:AG175"/>
    <mergeCell ref="AK175:AM175"/>
    <mergeCell ref="BI175:BV175"/>
    <mergeCell ref="L174:O174"/>
    <mergeCell ref="L175:O175"/>
    <mergeCell ref="P174:S174"/>
    <mergeCell ref="P175:S175"/>
    <mergeCell ref="AH174:AJ174"/>
    <mergeCell ref="AH175:AJ175"/>
    <mergeCell ref="D176:K176"/>
    <mergeCell ref="T176:W176"/>
    <mergeCell ref="X176:AA176"/>
    <mergeCell ref="AB176:AD176"/>
    <mergeCell ref="AE176:AG176"/>
    <mergeCell ref="AK176:AM176"/>
    <mergeCell ref="BI176:BV176"/>
    <mergeCell ref="D177:K177"/>
    <mergeCell ref="T177:W177"/>
    <mergeCell ref="X177:AA177"/>
    <mergeCell ref="AB177:AD177"/>
    <mergeCell ref="AE177:AG177"/>
    <mergeCell ref="AK177:AM177"/>
    <mergeCell ref="BI177:BV177"/>
    <mergeCell ref="L176:O176"/>
    <mergeCell ref="L177:O177"/>
    <mergeCell ref="P176:S176"/>
    <mergeCell ref="P177:S177"/>
    <mergeCell ref="AH176:AJ176"/>
    <mergeCell ref="AH177:AJ177"/>
    <mergeCell ref="D178:K178"/>
    <mergeCell ref="T178:W178"/>
    <mergeCell ref="X178:AA178"/>
    <mergeCell ref="AB178:AD178"/>
    <mergeCell ref="AE178:AG178"/>
    <mergeCell ref="AK178:AM178"/>
    <mergeCell ref="BI178:BV178"/>
    <mergeCell ref="D179:K179"/>
    <mergeCell ref="T179:W179"/>
    <mergeCell ref="X179:AA179"/>
    <mergeCell ref="AB179:AD179"/>
    <mergeCell ref="AE179:AG179"/>
    <mergeCell ref="AK179:AM179"/>
    <mergeCell ref="BI179:BV179"/>
    <mergeCell ref="L178:O178"/>
    <mergeCell ref="L179:O179"/>
    <mergeCell ref="P178:S178"/>
    <mergeCell ref="P179:S179"/>
    <mergeCell ref="AH178:AJ178"/>
    <mergeCell ref="AH179:AJ179"/>
    <mergeCell ref="D180:K180"/>
    <mergeCell ref="T180:W180"/>
    <mergeCell ref="X180:AA180"/>
    <mergeCell ref="AB180:AD180"/>
    <mergeCell ref="AE180:AG180"/>
    <mergeCell ref="AK180:AM180"/>
    <mergeCell ref="BI180:BV180"/>
    <mergeCell ref="D181:K181"/>
    <mergeCell ref="T181:W181"/>
    <mergeCell ref="X181:AA181"/>
    <mergeCell ref="AB181:AD181"/>
    <mergeCell ref="AE181:AG181"/>
    <mergeCell ref="AK181:AM181"/>
    <mergeCell ref="BI181:BV181"/>
    <mergeCell ref="L180:O180"/>
    <mergeCell ref="L181:O181"/>
    <mergeCell ref="P180:S180"/>
    <mergeCell ref="P181:S181"/>
    <mergeCell ref="AH180:AJ180"/>
    <mergeCell ref="AH181:AJ181"/>
    <mergeCell ref="D182:K182"/>
    <mergeCell ref="T182:W182"/>
    <mergeCell ref="X182:AA182"/>
    <mergeCell ref="AB182:AD182"/>
    <mergeCell ref="AE182:AG182"/>
    <mergeCell ref="AK182:AM182"/>
    <mergeCell ref="BI182:BV182"/>
    <mergeCell ref="D183:K183"/>
    <mergeCell ref="T183:W183"/>
    <mergeCell ref="X183:AA183"/>
    <mergeCell ref="AB183:AD183"/>
    <mergeCell ref="AE183:AG183"/>
    <mergeCell ref="AK183:AM183"/>
    <mergeCell ref="BI183:BV183"/>
    <mergeCell ref="L182:O182"/>
    <mergeCell ref="L183:O183"/>
    <mergeCell ref="P182:S182"/>
    <mergeCell ref="P183:S183"/>
    <mergeCell ref="AH182:AJ182"/>
    <mergeCell ref="AH183:AJ183"/>
    <mergeCell ref="D184:K184"/>
    <mergeCell ref="T184:W184"/>
    <mergeCell ref="X184:AA184"/>
    <mergeCell ref="AB184:AD184"/>
    <mergeCell ref="AE184:AG184"/>
    <mergeCell ref="AK184:AM184"/>
    <mergeCell ref="BI184:BV184"/>
    <mergeCell ref="D185:K185"/>
    <mergeCell ref="T185:W185"/>
    <mergeCell ref="X185:AA185"/>
    <mergeCell ref="AB185:AD185"/>
    <mergeCell ref="AE185:AG185"/>
    <mergeCell ref="AK185:AM185"/>
    <mergeCell ref="BI185:BV185"/>
    <mergeCell ref="L184:O184"/>
    <mergeCell ref="L185:O185"/>
    <mergeCell ref="P184:S184"/>
    <mergeCell ref="P185:S185"/>
    <mergeCell ref="AH184:AJ184"/>
    <mergeCell ref="AH185:AJ185"/>
    <mergeCell ref="D186:K186"/>
    <mergeCell ref="T186:W186"/>
    <mergeCell ref="X186:AA186"/>
    <mergeCell ref="AB186:AD186"/>
    <mergeCell ref="AE186:AG186"/>
    <mergeCell ref="AK186:AM186"/>
    <mergeCell ref="BI186:BV186"/>
    <mergeCell ref="D187:K187"/>
    <mergeCell ref="T187:W187"/>
    <mergeCell ref="X187:AA187"/>
    <mergeCell ref="AB187:AD187"/>
    <mergeCell ref="AE187:AG187"/>
    <mergeCell ref="AK187:AM187"/>
    <mergeCell ref="BI187:BV187"/>
    <mergeCell ref="L186:O186"/>
    <mergeCell ref="L187:O187"/>
    <mergeCell ref="P186:S186"/>
    <mergeCell ref="P187:S187"/>
    <mergeCell ref="AH186:AJ186"/>
    <mergeCell ref="AH187:AJ187"/>
    <mergeCell ref="D188:K188"/>
    <mergeCell ref="T188:W188"/>
    <mergeCell ref="X188:AA188"/>
    <mergeCell ref="AB188:AD188"/>
    <mergeCell ref="AE188:AG188"/>
    <mergeCell ref="AK188:AM188"/>
    <mergeCell ref="BI188:BV188"/>
    <mergeCell ref="D189:K189"/>
    <mergeCell ref="T189:W189"/>
    <mergeCell ref="X189:AA189"/>
    <mergeCell ref="AB189:AD189"/>
    <mergeCell ref="AE189:AG189"/>
    <mergeCell ref="AK189:AM189"/>
    <mergeCell ref="BI189:BV189"/>
    <mergeCell ref="L188:O188"/>
    <mergeCell ref="L189:O189"/>
    <mergeCell ref="P188:S188"/>
    <mergeCell ref="P189:S189"/>
    <mergeCell ref="AH188:AJ188"/>
    <mergeCell ref="AH189:AJ189"/>
    <mergeCell ref="D190:K190"/>
    <mergeCell ref="T190:W190"/>
    <mergeCell ref="X190:AA190"/>
    <mergeCell ref="AB190:AD190"/>
    <mergeCell ref="AE190:AG190"/>
    <mergeCell ref="AK190:AM190"/>
    <mergeCell ref="BI190:BV190"/>
    <mergeCell ref="D191:K191"/>
    <mergeCell ref="T191:W191"/>
    <mergeCell ref="X191:AA191"/>
    <mergeCell ref="AB191:AD191"/>
    <mergeCell ref="AE191:AG191"/>
    <mergeCell ref="AK191:AM191"/>
    <mergeCell ref="BI191:BV191"/>
    <mergeCell ref="L190:O190"/>
    <mergeCell ref="L191:O191"/>
    <mergeCell ref="P190:S190"/>
    <mergeCell ref="P191:S191"/>
    <mergeCell ref="AH190:AJ190"/>
    <mergeCell ref="AH191:AJ191"/>
    <mergeCell ref="D192:K192"/>
    <mergeCell ref="T192:W192"/>
    <mergeCell ref="X192:AA192"/>
    <mergeCell ref="AB192:AD192"/>
    <mergeCell ref="AE192:AG192"/>
    <mergeCell ref="AK192:AM192"/>
    <mergeCell ref="BI192:BV192"/>
    <mergeCell ref="D193:K193"/>
    <mergeCell ref="T193:W193"/>
    <mergeCell ref="X193:AA193"/>
    <mergeCell ref="AB193:AD193"/>
    <mergeCell ref="AE193:AG193"/>
    <mergeCell ref="AK193:AM193"/>
    <mergeCell ref="BI193:BV193"/>
    <mergeCell ref="L192:O192"/>
    <mergeCell ref="L193:O193"/>
    <mergeCell ref="P192:S192"/>
    <mergeCell ref="P193:S193"/>
    <mergeCell ref="AH192:AJ192"/>
    <mergeCell ref="AH193:AJ193"/>
    <mergeCell ref="D194:K194"/>
    <mergeCell ref="T194:W194"/>
    <mergeCell ref="X194:AA194"/>
    <mergeCell ref="AB194:AD194"/>
    <mergeCell ref="AE194:AG194"/>
    <mergeCell ref="AK194:AM194"/>
    <mergeCell ref="BI194:BV194"/>
    <mergeCell ref="D195:K195"/>
    <mergeCell ref="T195:W195"/>
    <mergeCell ref="X195:AA195"/>
    <mergeCell ref="AB195:AD195"/>
    <mergeCell ref="AE195:AG195"/>
    <mergeCell ref="AK195:AM195"/>
    <mergeCell ref="BI195:BV195"/>
    <mergeCell ref="L194:O194"/>
    <mergeCell ref="L195:O195"/>
    <mergeCell ref="P194:S194"/>
    <mergeCell ref="P195:S195"/>
    <mergeCell ref="AH194:AJ194"/>
    <mergeCell ref="AH195:AJ195"/>
    <mergeCell ref="D196:K196"/>
    <mergeCell ref="T196:W196"/>
    <mergeCell ref="X196:AA196"/>
    <mergeCell ref="AB196:AD196"/>
    <mergeCell ref="AE196:AG196"/>
    <mergeCell ref="AK196:AM196"/>
    <mergeCell ref="BI196:BV196"/>
    <mergeCell ref="D197:K197"/>
    <mergeCell ref="T197:W197"/>
    <mergeCell ref="X197:AA197"/>
    <mergeCell ref="AB197:AD197"/>
    <mergeCell ref="AE197:AG197"/>
    <mergeCell ref="AK197:AM197"/>
    <mergeCell ref="BI197:BV197"/>
    <mergeCell ref="L196:O196"/>
    <mergeCell ref="L197:O197"/>
    <mergeCell ref="P196:S196"/>
    <mergeCell ref="P197:S197"/>
    <mergeCell ref="AH196:AJ196"/>
    <mergeCell ref="AH197:AJ197"/>
    <mergeCell ref="D198:K198"/>
    <mergeCell ref="T198:W198"/>
    <mergeCell ref="X198:AA198"/>
    <mergeCell ref="AB198:AD198"/>
    <mergeCell ref="AE198:AG198"/>
    <mergeCell ref="AK198:AM198"/>
    <mergeCell ref="BI198:BV198"/>
    <mergeCell ref="D199:K199"/>
    <mergeCell ref="T199:W199"/>
    <mergeCell ref="X199:AA199"/>
    <mergeCell ref="AB199:AD199"/>
    <mergeCell ref="AE199:AG199"/>
    <mergeCell ref="AK199:AM199"/>
    <mergeCell ref="BI199:BV199"/>
    <mergeCell ref="L198:O198"/>
    <mergeCell ref="L199:O199"/>
    <mergeCell ref="P198:S198"/>
    <mergeCell ref="P199:S199"/>
    <mergeCell ref="AH198:AJ198"/>
    <mergeCell ref="AH199:AJ199"/>
    <mergeCell ref="D200:K200"/>
    <mergeCell ref="T200:W200"/>
    <mergeCell ref="X200:AA200"/>
    <mergeCell ref="AB200:AD200"/>
    <mergeCell ref="AE200:AG200"/>
    <mergeCell ref="AK200:AM200"/>
    <mergeCell ref="BI200:BV200"/>
    <mergeCell ref="D201:K201"/>
    <mergeCell ref="T201:W201"/>
    <mergeCell ref="X201:AA201"/>
    <mergeCell ref="AB201:AD201"/>
    <mergeCell ref="AE201:AG201"/>
    <mergeCell ref="AK201:AM201"/>
    <mergeCell ref="BI201:BV201"/>
    <mergeCell ref="L200:O200"/>
    <mergeCell ref="L201:O201"/>
    <mergeCell ref="P200:S200"/>
    <mergeCell ref="P201:S201"/>
    <mergeCell ref="AH200:AJ200"/>
    <mergeCell ref="AH201:AJ201"/>
    <mergeCell ref="D202:K202"/>
    <mergeCell ref="T202:W202"/>
    <mergeCell ref="X202:AA202"/>
    <mergeCell ref="AB202:AD202"/>
    <mergeCell ref="AE202:AG202"/>
    <mergeCell ref="AK202:AM202"/>
    <mergeCell ref="BI202:BV202"/>
    <mergeCell ref="D203:K203"/>
    <mergeCell ref="T203:W203"/>
    <mergeCell ref="X203:AA203"/>
    <mergeCell ref="AB203:AD203"/>
    <mergeCell ref="AE203:AG203"/>
    <mergeCell ref="AK203:AM203"/>
    <mergeCell ref="BI203:BV203"/>
    <mergeCell ref="L202:O202"/>
    <mergeCell ref="L203:O203"/>
    <mergeCell ref="P202:S202"/>
    <mergeCell ref="P203:S203"/>
    <mergeCell ref="AH202:AJ202"/>
    <mergeCell ref="AH203:AJ203"/>
    <mergeCell ref="D204:K204"/>
    <mergeCell ref="T204:W204"/>
    <mergeCell ref="X204:AA204"/>
    <mergeCell ref="AB204:AD204"/>
    <mergeCell ref="AE204:AG204"/>
    <mergeCell ref="AK204:AM204"/>
    <mergeCell ref="BI204:BV204"/>
    <mergeCell ref="D205:K205"/>
    <mergeCell ref="T205:W205"/>
    <mergeCell ref="X205:AA205"/>
    <mergeCell ref="AB205:AD205"/>
    <mergeCell ref="AE205:AG205"/>
    <mergeCell ref="AK205:AM205"/>
    <mergeCell ref="BI205:BV205"/>
    <mergeCell ref="L204:O204"/>
    <mergeCell ref="L205:O205"/>
    <mergeCell ref="P204:S204"/>
    <mergeCell ref="P205:S205"/>
    <mergeCell ref="AH204:AJ204"/>
    <mergeCell ref="AH205:AJ205"/>
    <mergeCell ref="D206:K206"/>
    <mergeCell ref="T206:W206"/>
    <mergeCell ref="X206:AA206"/>
    <mergeCell ref="AB206:AD206"/>
    <mergeCell ref="AE206:AG206"/>
    <mergeCell ref="AK206:AM206"/>
    <mergeCell ref="BI206:BV206"/>
    <mergeCell ref="D207:K207"/>
    <mergeCell ref="T207:W207"/>
    <mergeCell ref="X207:AA207"/>
    <mergeCell ref="AB207:AD207"/>
    <mergeCell ref="AE207:AG207"/>
    <mergeCell ref="AK207:AM207"/>
    <mergeCell ref="BI207:BV207"/>
    <mergeCell ref="L206:O206"/>
    <mergeCell ref="L207:O207"/>
    <mergeCell ref="P206:S206"/>
    <mergeCell ref="P207:S207"/>
    <mergeCell ref="AH206:AJ206"/>
    <mergeCell ref="AH207:AJ207"/>
    <mergeCell ref="D208:K208"/>
    <mergeCell ref="T208:W208"/>
    <mergeCell ref="X208:AA208"/>
    <mergeCell ref="AB208:AD208"/>
    <mergeCell ref="AE208:AG208"/>
    <mergeCell ref="AK208:AM208"/>
    <mergeCell ref="BI208:BV208"/>
    <mergeCell ref="D209:K209"/>
    <mergeCell ref="T209:W209"/>
    <mergeCell ref="X209:AA209"/>
    <mergeCell ref="AB209:AD209"/>
    <mergeCell ref="AE209:AG209"/>
    <mergeCell ref="AK209:AM209"/>
    <mergeCell ref="BI209:BV209"/>
    <mergeCell ref="L208:O208"/>
    <mergeCell ref="L209:O209"/>
    <mergeCell ref="P208:S208"/>
    <mergeCell ref="P209:S209"/>
    <mergeCell ref="AH208:AJ208"/>
    <mergeCell ref="AH209:AJ209"/>
    <mergeCell ref="D210:K210"/>
    <mergeCell ref="T210:W210"/>
    <mergeCell ref="X210:AA210"/>
    <mergeCell ref="AB210:AD210"/>
    <mergeCell ref="AE210:AG210"/>
    <mergeCell ref="AK210:AM210"/>
    <mergeCell ref="BI210:BV210"/>
    <mergeCell ref="D211:K211"/>
    <mergeCell ref="T211:W211"/>
    <mergeCell ref="X211:AA211"/>
    <mergeCell ref="AB211:AD211"/>
    <mergeCell ref="AE211:AG211"/>
    <mergeCell ref="AK211:AM211"/>
    <mergeCell ref="BI211:BV211"/>
    <mergeCell ref="L210:O210"/>
    <mergeCell ref="L211:O211"/>
    <mergeCell ref="P210:S210"/>
    <mergeCell ref="P211:S211"/>
    <mergeCell ref="AH210:AJ210"/>
    <mergeCell ref="AH211:AJ211"/>
    <mergeCell ref="D212:K212"/>
    <mergeCell ref="T212:W212"/>
    <mergeCell ref="X212:AA212"/>
    <mergeCell ref="AB212:AD212"/>
    <mergeCell ref="AE212:AG212"/>
    <mergeCell ref="AK212:AM212"/>
    <mergeCell ref="BI212:BV212"/>
    <mergeCell ref="D213:K213"/>
    <mergeCell ref="T213:W213"/>
    <mergeCell ref="X213:AA213"/>
    <mergeCell ref="AB213:AD213"/>
    <mergeCell ref="AE213:AG213"/>
    <mergeCell ref="AK213:AM213"/>
    <mergeCell ref="BI213:BV213"/>
    <mergeCell ref="L212:O212"/>
    <mergeCell ref="L213:O213"/>
    <mergeCell ref="P212:S212"/>
    <mergeCell ref="P213:S213"/>
    <mergeCell ref="AH212:AJ212"/>
    <mergeCell ref="AH213:AJ213"/>
    <mergeCell ref="D214:K214"/>
    <mergeCell ref="T214:W214"/>
    <mergeCell ref="X214:AA214"/>
    <mergeCell ref="AB214:AD214"/>
    <mergeCell ref="AE214:AG214"/>
    <mergeCell ref="AK214:AM214"/>
    <mergeCell ref="BI214:BV214"/>
    <mergeCell ref="D215:K215"/>
    <mergeCell ref="T215:W215"/>
    <mergeCell ref="X215:AA215"/>
    <mergeCell ref="AB215:AD215"/>
    <mergeCell ref="AE215:AG215"/>
    <mergeCell ref="AK215:AM215"/>
    <mergeCell ref="BI215:BV215"/>
    <mergeCell ref="L214:O214"/>
    <mergeCell ref="L215:O215"/>
    <mergeCell ref="P214:S214"/>
    <mergeCell ref="P215:S215"/>
    <mergeCell ref="AH214:AJ214"/>
    <mergeCell ref="AH215:AJ215"/>
    <mergeCell ref="D216:K216"/>
    <mergeCell ref="T216:W216"/>
    <mergeCell ref="X216:AA216"/>
    <mergeCell ref="AB216:AD216"/>
    <mergeCell ref="AE216:AG216"/>
    <mergeCell ref="AK216:AM216"/>
    <mergeCell ref="BI216:BV216"/>
    <mergeCell ref="D217:K217"/>
    <mergeCell ref="T217:W217"/>
    <mergeCell ref="X217:AA217"/>
    <mergeCell ref="AB217:AD217"/>
    <mergeCell ref="AE217:AG217"/>
    <mergeCell ref="AK217:AM217"/>
    <mergeCell ref="BI217:BV217"/>
    <mergeCell ref="L216:O216"/>
    <mergeCell ref="L217:O217"/>
    <mergeCell ref="P216:S216"/>
    <mergeCell ref="P217:S217"/>
    <mergeCell ref="AH216:AJ216"/>
    <mergeCell ref="AH217:AJ217"/>
    <mergeCell ref="D218:K218"/>
    <mergeCell ref="T218:W218"/>
    <mergeCell ref="X218:AA218"/>
    <mergeCell ref="AB218:AD218"/>
    <mergeCell ref="AE218:AG218"/>
    <mergeCell ref="AK218:AM218"/>
    <mergeCell ref="BI218:BV218"/>
    <mergeCell ref="D219:K219"/>
    <mergeCell ref="T219:W219"/>
    <mergeCell ref="X219:AA219"/>
    <mergeCell ref="AB219:AD219"/>
    <mergeCell ref="AE219:AG219"/>
    <mergeCell ref="AK219:AM219"/>
    <mergeCell ref="BI219:BV219"/>
    <mergeCell ref="L218:O218"/>
    <mergeCell ref="L219:O219"/>
    <mergeCell ref="P218:S218"/>
    <mergeCell ref="P219:S219"/>
    <mergeCell ref="AH218:AJ218"/>
    <mergeCell ref="AH219:AJ219"/>
    <mergeCell ref="D220:K220"/>
    <mergeCell ref="T220:W220"/>
    <mergeCell ref="X220:AA220"/>
    <mergeCell ref="AB220:AD220"/>
    <mergeCell ref="AE220:AG220"/>
    <mergeCell ref="AK220:AM220"/>
    <mergeCell ref="BI220:BV220"/>
    <mergeCell ref="D221:K221"/>
    <mergeCell ref="T221:W221"/>
    <mergeCell ref="X221:AA221"/>
    <mergeCell ref="AB221:AD221"/>
    <mergeCell ref="AE221:AG221"/>
    <mergeCell ref="AK221:AM221"/>
    <mergeCell ref="BI221:BV221"/>
    <mergeCell ref="L220:O220"/>
    <mergeCell ref="L221:O221"/>
    <mergeCell ref="P220:S220"/>
    <mergeCell ref="P221:S221"/>
    <mergeCell ref="AH220:AJ220"/>
    <mergeCell ref="AH221:AJ221"/>
    <mergeCell ref="D222:K222"/>
    <mergeCell ref="T222:W222"/>
    <mergeCell ref="X222:AA222"/>
    <mergeCell ref="AB222:AD222"/>
    <mergeCell ref="AE222:AG222"/>
    <mergeCell ref="AK222:AM222"/>
    <mergeCell ref="BI222:BV222"/>
    <mergeCell ref="D223:K223"/>
    <mergeCell ref="T223:W223"/>
    <mergeCell ref="X223:AA223"/>
    <mergeCell ref="AB223:AD223"/>
    <mergeCell ref="AE223:AG223"/>
    <mergeCell ref="AK223:AM223"/>
    <mergeCell ref="BI223:BV223"/>
    <mergeCell ref="L222:O222"/>
    <mergeCell ref="L223:O223"/>
    <mergeCell ref="P222:S222"/>
    <mergeCell ref="P223:S223"/>
    <mergeCell ref="AH222:AJ222"/>
    <mergeCell ref="AH223:AJ223"/>
    <mergeCell ref="D224:K224"/>
    <mergeCell ref="T224:W224"/>
    <mergeCell ref="X224:AA224"/>
    <mergeCell ref="AB224:AD224"/>
    <mergeCell ref="AE224:AG224"/>
    <mergeCell ref="AK224:AM224"/>
    <mergeCell ref="BI224:BV224"/>
    <mergeCell ref="D225:K225"/>
    <mergeCell ref="T225:W225"/>
    <mergeCell ref="X225:AA225"/>
    <mergeCell ref="AB225:AD225"/>
    <mergeCell ref="AE225:AG225"/>
    <mergeCell ref="AK225:AM225"/>
    <mergeCell ref="BI225:BV225"/>
    <mergeCell ref="L224:O224"/>
    <mergeCell ref="L225:O225"/>
    <mergeCell ref="P224:S224"/>
    <mergeCell ref="P225:S225"/>
    <mergeCell ref="AH224:AJ224"/>
    <mergeCell ref="AH225:AJ225"/>
    <mergeCell ref="D226:K226"/>
    <mergeCell ref="T226:W226"/>
    <mergeCell ref="X226:AA226"/>
    <mergeCell ref="AB226:AD226"/>
    <mergeCell ref="AE226:AG226"/>
    <mergeCell ref="AK226:AM226"/>
    <mergeCell ref="BI226:BV226"/>
    <mergeCell ref="D227:K227"/>
    <mergeCell ref="T227:W227"/>
    <mergeCell ref="X227:AA227"/>
    <mergeCell ref="AB227:AD227"/>
    <mergeCell ref="AE227:AG227"/>
    <mergeCell ref="AK227:AM227"/>
    <mergeCell ref="BI227:BV227"/>
    <mergeCell ref="L226:O226"/>
    <mergeCell ref="L227:O227"/>
    <mergeCell ref="P226:S226"/>
    <mergeCell ref="P227:S227"/>
    <mergeCell ref="AH226:AJ226"/>
    <mergeCell ref="AH227:AJ227"/>
    <mergeCell ref="D228:K228"/>
    <mergeCell ref="T228:W228"/>
    <mergeCell ref="X228:AA228"/>
    <mergeCell ref="AB228:AD228"/>
    <mergeCell ref="AE228:AG228"/>
    <mergeCell ref="AK228:AM228"/>
    <mergeCell ref="BI228:BV228"/>
    <mergeCell ref="D229:K229"/>
    <mergeCell ref="T229:W229"/>
    <mergeCell ref="X229:AA229"/>
    <mergeCell ref="AB229:AD229"/>
    <mergeCell ref="AE229:AG229"/>
    <mergeCell ref="AK229:AM229"/>
    <mergeCell ref="BI229:BV229"/>
    <mergeCell ref="L228:O228"/>
    <mergeCell ref="L229:O229"/>
    <mergeCell ref="P228:S228"/>
    <mergeCell ref="P229:S229"/>
    <mergeCell ref="AH228:AJ228"/>
    <mergeCell ref="AH229:AJ229"/>
    <mergeCell ref="D230:K230"/>
    <mergeCell ref="T230:W230"/>
    <mergeCell ref="X230:AA230"/>
    <mergeCell ref="AB230:AD230"/>
    <mergeCell ref="AE230:AG230"/>
    <mergeCell ref="AK230:AM230"/>
    <mergeCell ref="BI230:BV230"/>
    <mergeCell ref="D231:K231"/>
    <mergeCell ref="T231:W231"/>
    <mergeCell ref="X231:AA231"/>
    <mergeCell ref="AB231:AD231"/>
    <mergeCell ref="AE231:AG231"/>
    <mergeCell ref="AK231:AM231"/>
    <mergeCell ref="BI231:BV231"/>
    <mergeCell ref="L230:O230"/>
    <mergeCell ref="L231:O231"/>
    <mergeCell ref="P230:S230"/>
    <mergeCell ref="P231:S231"/>
    <mergeCell ref="AH230:AJ230"/>
    <mergeCell ref="AH231:AJ231"/>
    <mergeCell ref="D232:K232"/>
    <mergeCell ref="T232:W232"/>
    <mergeCell ref="X232:AA232"/>
    <mergeCell ref="AB232:AD232"/>
    <mergeCell ref="AE232:AG232"/>
    <mergeCell ref="AK232:AM232"/>
    <mergeCell ref="BI232:BV232"/>
    <mergeCell ref="D233:K233"/>
    <mergeCell ref="T233:W233"/>
    <mergeCell ref="X233:AA233"/>
    <mergeCell ref="AB233:AD233"/>
    <mergeCell ref="AE233:AG233"/>
    <mergeCell ref="AK233:AM233"/>
    <mergeCell ref="BI233:BV233"/>
    <mergeCell ref="L232:O232"/>
    <mergeCell ref="L233:O233"/>
    <mergeCell ref="P232:S232"/>
    <mergeCell ref="P233:S233"/>
    <mergeCell ref="AH232:AJ232"/>
    <mergeCell ref="AH233:AJ233"/>
    <mergeCell ref="D234:K234"/>
    <mergeCell ref="T234:W234"/>
    <mergeCell ref="X234:AA234"/>
    <mergeCell ref="AB234:AD234"/>
    <mergeCell ref="AE234:AG234"/>
    <mergeCell ref="AK234:AM234"/>
    <mergeCell ref="BI234:BV234"/>
    <mergeCell ref="D235:K235"/>
    <mergeCell ref="T235:W235"/>
    <mergeCell ref="X235:AA235"/>
    <mergeCell ref="AB235:AD235"/>
    <mergeCell ref="AE235:AG235"/>
    <mergeCell ref="AK235:AM235"/>
    <mergeCell ref="BI235:BV235"/>
    <mergeCell ref="L234:O234"/>
    <mergeCell ref="L235:O235"/>
    <mergeCell ref="P234:S234"/>
    <mergeCell ref="P235:S235"/>
    <mergeCell ref="AH234:AJ234"/>
    <mergeCell ref="AH235:AJ235"/>
    <mergeCell ref="D236:K236"/>
    <mergeCell ref="T236:W236"/>
    <mergeCell ref="X236:AA236"/>
    <mergeCell ref="AB236:AD236"/>
    <mergeCell ref="AE236:AG236"/>
    <mergeCell ref="AK236:AM236"/>
    <mergeCell ref="BI236:BV236"/>
    <mergeCell ref="D237:K237"/>
    <mergeCell ref="T237:W237"/>
    <mergeCell ref="X237:AA237"/>
    <mergeCell ref="AB237:AD237"/>
    <mergeCell ref="AE237:AG237"/>
    <mergeCell ref="AK237:AM237"/>
    <mergeCell ref="BI237:BV237"/>
    <mergeCell ref="L236:O236"/>
    <mergeCell ref="L237:O237"/>
    <mergeCell ref="P236:S236"/>
    <mergeCell ref="P237:S237"/>
    <mergeCell ref="AH236:AJ236"/>
    <mergeCell ref="AH237:AJ237"/>
    <mergeCell ref="D238:K238"/>
    <mergeCell ref="T238:W238"/>
    <mergeCell ref="X238:AA238"/>
    <mergeCell ref="AB238:AD238"/>
    <mergeCell ref="AE238:AG238"/>
    <mergeCell ref="AK238:AM238"/>
    <mergeCell ref="BI238:BV238"/>
    <mergeCell ref="D239:K239"/>
    <mergeCell ref="T239:W239"/>
    <mergeCell ref="X239:AA239"/>
    <mergeCell ref="AB239:AD239"/>
    <mergeCell ref="AE239:AG239"/>
    <mergeCell ref="AK239:AM239"/>
    <mergeCell ref="BI239:BV239"/>
    <mergeCell ref="L238:O238"/>
    <mergeCell ref="L239:O239"/>
    <mergeCell ref="P238:S238"/>
    <mergeCell ref="P239:S239"/>
    <mergeCell ref="AH238:AJ238"/>
    <mergeCell ref="AH239:AJ239"/>
    <mergeCell ref="D240:K240"/>
    <mergeCell ref="T240:W240"/>
    <mergeCell ref="X240:AA240"/>
    <mergeCell ref="AB240:AD240"/>
    <mergeCell ref="AE240:AG240"/>
    <mergeCell ref="AK240:AM240"/>
    <mergeCell ref="BI240:BV240"/>
    <mergeCell ref="D241:K241"/>
    <mergeCell ref="T241:W241"/>
    <mergeCell ref="X241:AA241"/>
    <mergeCell ref="AB241:AD241"/>
    <mergeCell ref="AE241:AG241"/>
    <mergeCell ref="AK241:AM241"/>
    <mergeCell ref="BI241:BV241"/>
    <mergeCell ref="L240:O240"/>
    <mergeCell ref="L241:O241"/>
    <mergeCell ref="P240:S240"/>
    <mergeCell ref="P241:S241"/>
    <mergeCell ref="AH240:AJ240"/>
    <mergeCell ref="AH241:AJ241"/>
    <mergeCell ref="D242:K242"/>
    <mergeCell ref="T242:W242"/>
    <mergeCell ref="X242:AA242"/>
    <mergeCell ref="AB242:AD242"/>
    <mergeCell ref="AE242:AG242"/>
    <mergeCell ref="AK242:AM242"/>
    <mergeCell ref="BI242:BV242"/>
    <mergeCell ref="D243:K243"/>
    <mergeCell ref="T243:W243"/>
    <mergeCell ref="X243:AA243"/>
    <mergeCell ref="AB243:AD243"/>
    <mergeCell ref="AE243:AG243"/>
    <mergeCell ref="AK243:AM243"/>
    <mergeCell ref="BI243:BV243"/>
    <mergeCell ref="L242:O242"/>
    <mergeCell ref="L243:O243"/>
    <mergeCell ref="P242:S242"/>
    <mergeCell ref="P243:S243"/>
    <mergeCell ref="AH242:AJ242"/>
    <mergeCell ref="AH243:AJ243"/>
    <mergeCell ref="D244:K244"/>
    <mergeCell ref="T244:W244"/>
    <mergeCell ref="X244:AA244"/>
    <mergeCell ref="AB244:AD244"/>
    <mergeCell ref="AE244:AG244"/>
    <mergeCell ref="AK244:AM244"/>
    <mergeCell ref="BI244:BV244"/>
    <mergeCell ref="D245:K245"/>
    <mergeCell ref="T245:W245"/>
    <mergeCell ref="X245:AA245"/>
    <mergeCell ref="AB245:AD245"/>
    <mergeCell ref="AE245:AG245"/>
    <mergeCell ref="AK245:AM245"/>
    <mergeCell ref="BI245:BV245"/>
    <mergeCell ref="L244:O244"/>
    <mergeCell ref="L245:O245"/>
    <mergeCell ref="P244:S244"/>
    <mergeCell ref="P245:S245"/>
    <mergeCell ref="AH244:AJ244"/>
    <mergeCell ref="AH245:AJ245"/>
    <mergeCell ref="D246:K246"/>
    <mergeCell ref="T246:W246"/>
    <mergeCell ref="X246:AA246"/>
    <mergeCell ref="AB246:AD246"/>
    <mergeCell ref="AE246:AG246"/>
    <mergeCell ref="AK246:AM246"/>
    <mergeCell ref="BI246:BV246"/>
    <mergeCell ref="D247:K247"/>
    <mergeCell ref="T247:W247"/>
    <mergeCell ref="X247:AA247"/>
    <mergeCell ref="AB247:AD247"/>
    <mergeCell ref="AE247:AG247"/>
    <mergeCell ref="AK247:AM247"/>
    <mergeCell ref="BI247:BV247"/>
    <mergeCell ref="L246:O246"/>
    <mergeCell ref="L247:O247"/>
    <mergeCell ref="P246:S246"/>
    <mergeCell ref="P247:S247"/>
    <mergeCell ref="AH246:AJ246"/>
    <mergeCell ref="AH247:AJ247"/>
    <mergeCell ref="D248:K248"/>
    <mergeCell ref="T248:W248"/>
    <mergeCell ref="X248:AA248"/>
    <mergeCell ref="AB248:AD248"/>
    <mergeCell ref="AE248:AG248"/>
    <mergeCell ref="AK248:AM248"/>
    <mergeCell ref="BI248:BV248"/>
    <mergeCell ref="D249:K249"/>
    <mergeCell ref="T249:W249"/>
    <mergeCell ref="X249:AA249"/>
    <mergeCell ref="AB249:AD249"/>
    <mergeCell ref="AE249:AG249"/>
    <mergeCell ref="AK249:AM249"/>
    <mergeCell ref="BI249:BV249"/>
    <mergeCell ref="L248:O248"/>
    <mergeCell ref="L249:O249"/>
    <mergeCell ref="P248:S248"/>
    <mergeCell ref="P249:S249"/>
    <mergeCell ref="AH248:AJ248"/>
    <mergeCell ref="AH249:AJ249"/>
    <mergeCell ref="D250:K250"/>
    <mergeCell ref="T250:W250"/>
    <mergeCell ref="X250:AA250"/>
    <mergeCell ref="AB250:AD250"/>
    <mergeCell ref="AE250:AG250"/>
    <mergeCell ref="AK250:AM250"/>
    <mergeCell ref="BI250:BV250"/>
    <mergeCell ref="D251:K251"/>
    <mergeCell ref="T251:W251"/>
    <mergeCell ref="X251:AA251"/>
    <mergeCell ref="AB251:AD251"/>
    <mergeCell ref="AE251:AG251"/>
    <mergeCell ref="AK251:AM251"/>
    <mergeCell ref="BI251:BV251"/>
    <mergeCell ref="L250:O250"/>
    <mergeCell ref="L251:O251"/>
    <mergeCell ref="P250:S250"/>
    <mergeCell ref="P251:S251"/>
    <mergeCell ref="AH250:AJ250"/>
    <mergeCell ref="AH251:AJ251"/>
    <mergeCell ref="D252:K252"/>
    <mergeCell ref="T252:W252"/>
    <mergeCell ref="X252:AA252"/>
    <mergeCell ref="AB252:AD252"/>
    <mergeCell ref="AE252:AG252"/>
    <mergeCell ref="AK252:AM252"/>
    <mergeCell ref="BI252:BV252"/>
    <mergeCell ref="D253:K253"/>
    <mergeCell ref="T253:W253"/>
    <mergeCell ref="X253:AA253"/>
    <mergeCell ref="AB253:AD253"/>
    <mergeCell ref="AE253:AG253"/>
    <mergeCell ref="AK253:AM253"/>
    <mergeCell ref="BI253:BV253"/>
    <mergeCell ref="L252:O252"/>
    <mergeCell ref="L253:O253"/>
    <mergeCell ref="P252:S252"/>
    <mergeCell ref="P253:S253"/>
    <mergeCell ref="AH252:AJ252"/>
    <mergeCell ref="AH253:AJ253"/>
    <mergeCell ref="D254:K254"/>
    <mergeCell ref="T254:W254"/>
    <mergeCell ref="X254:AA254"/>
    <mergeCell ref="AB254:AD254"/>
    <mergeCell ref="AE254:AG254"/>
    <mergeCell ref="AK254:AM254"/>
    <mergeCell ref="BI254:BV254"/>
    <mergeCell ref="D255:K255"/>
    <mergeCell ref="T255:W255"/>
    <mergeCell ref="X255:AA255"/>
    <mergeCell ref="AB255:AD255"/>
    <mergeCell ref="AE255:AG255"/>
    <mergeCell ref="AK255:AM255"/>
    <mergeCell ref="BI255:BV255"/>
    <mergeCell ref="L254:O254"/>
    <mergeCell ref="L255:O255"/>
    <mergeCell ref="P254:S254"/>
    <mergeCell ref="P255:S255"/>
    <mergeCell ref="AH254:AJ254"/>
    <mergeCell ref="AH255:AJ255"/>
    <mergeCell ref="D256:K256"/>
    <mergeCell ref="T256:W256"/>
    <mergeCell ref="X256:AA256"/>
    <mergeCell ref="AB256:AD256"/>
    <mergeCell ref="AE256:AG256"/>
    <mergeCell ref="AK256:AM256"/>
    <mergeCell ref="BI256:BV256"/>
    <mergeCell ref="D257:K257"/>
    <mergeCell ref="T257:W257"/>
    <mergeCell ref="X257:AA257"/>
    <mergeCell ref="AB257:AD257"/>
    <mergeCell ref="AE257:AG257"/>
    <mergeCell ref="AK257:AM257"/>
    <mergeCell ref="BI257:BV257"/>
    <mergeCell ref="L256:O256"/>
    <mergeCell ref="L257:O257"/>
    <mergeCell ref="P256:S256"/>
    <mergeCell ref="P257:S257"/>
    <mergeCell ref="AH256:AJ256"/>
    <mergeCell ref="AH257:AJ257"/>
    <mergeCell ref="D258:K258"/>
    <mergeCell ref="T258:W258"/>
    <mergeCell ref="X258:AA258"/>
    <mergeCell ref="AB258:AD258"/>
    <mergeCell ref="AE258:AG258"/>
    <mergeCell ref="AK258:AM258"/>
    <mergeCell ref="BI258:BV258"/>
    <mergeCell ref="D259:K259"/>
    <mergeCell ref="T259:W259"/>
    <mergeCell ref="X259:AA259"/>
    <mergeCell ref="AB259:AD259"/>
    <mergeCell ref="AE259:AG259"/>
    <mergeCell ref="AK259:AM259"/>
    <mergeCell ref="BI259:BV259"/>
    <mergeCell ref="L258:O258"/>
    <mergeCell ref="L259:O259"/>
    <mergeCell ref="P258:S258"/>
    <mergeCell ref="P259:S259"/>
    <mergeCell ref="AH258:AJ258"/>
    <mergeCell ref="AH259:AJ259"/>
    <mergeCell ref="D260:K260"/>
    <mergeCell ref="T260:W260"/>
    <mergeCell ref="X260:AA260"/>
    <mergeCell ref="AB260:AD260"/>
    <mergeCell ref="AE260:AG260"/>
    <mergeCell ref="AK260:AM260"/>
    <mergeCell ref="BI260:BV260"/>
    <mergeCell ref="D261:K261"/>
    <mergeCell ref="T261:W261"/>
    <mergeCell ref="X261:AA261"/>
    <mergeCell ref="AB261:AD261"/>
    <mergeCell ref="AE261:AG261"/>
    <mergeCell ref="AK261:AM261"/>
    <mergeCell ref="BI261:BV261"/>
    <mergeCell ref="L260:O260"/>
    <mergeCell ref="L261:O261"/>
    <mergeCell ref="P260:S260"/>
    <mergeCell ref="P261:S261"/>
    <mergeCell ref="AH260:AJ260"/>
    <mergeCell ref="AH261:AJ261"/>
    <mergeCell ref="D262:K262"/>
    <mergeCell ref="T262:W262"/>
    <mergeCell ref="X262:AA262"/>
    <mergeCell ref="AB262:AD262"/>
    <mergeCell ref="AE262:AG262"/>
    <mergeCell ref="AK262:AM262"/>
    <mergeCell ref="BI262:BV262"/>
    <mergeCell ref="D263:K263"/>
    <mergeCell ref="T263:W263"/>
    <mergeCell ref="X263:AA263"/>
    <mergeCell ref="AB263:AD263"/>
    <mergeCell ref="AE263:AG263"/>
    <mergeCell ref="AK263:AM263"/>
    <mergeCell ref="BI263:BV263"/>
    <mergeCell ref="L262:O262"/>
    <mergeCell ref="L263:O263"/>
    <mergeCell ref="P262:S262"/>
    <mergeCell ref="P263:S263"/>
    <mergeCell ref="AH262:AJ262"/>
    <mergeCell ref="AH263:AJ263"/>
    <mergeCell ref="D264:K264"/>
    <mergeCell ref="T264:W264"/>
    <mergeCell ref="X264:AA264"/>
    <mergeCell ref="AB264:AD264"/>
    <mergeCell ref="AE264:AG264"/>
    <mergeCell ref="AK264:AM264"/>
    <mergeCell ref="BI264:BV264"/>
    <mergeCell ref="D265:K265"/>
    <mergeCell ref="T265:W265"/>
    <mergeCell ref="X265:AA265"/>
    <mergeCell ref="AB265:AD265"/>
    <mergeCell ref="AE265:AG265"/>
    <mergeCell ref="AK265:AM265"/>
    <mergeCell ref="BI265:BV265"/>
    <mergeCell ref="L264:O264"/>
    <mergeCell ref="L265:O265"/>
    <mergeCell ref="P264:S264"/>
    <mergeCell ref="P265:S265"/>
    <mergeCell ref="AH264:AJ264"/>
    <mergeCell ref="AH265:AJ265"/>
    <mergeCell ref="D266:K266"/>
    <mergeCell ref="T266:W266"/>
    <mergeCell ref="X266:AA266"/>
    <mergeCell ref="AB266:AD266"/>
    <mergeCell ref="AE266:AG266"/>
    <mergeCell ref="AK266:AM266"/>
    <mergeCell ref="BI266:BV266"/>
    <mergeCell ref="D267:K267"/>
    <mergeCell ref="T267:W267"/>
    <mergeCell ref="X267:AA267"/>
    <mergeCell ref="AB267:AD267"/>
    <mergeCell ref="AE267:AG267"/>
    <mergeCell ref="AK267:AM267"/>
    <mergeCell ref="BI267:BV267"/>
    <mergeCell ref="L266:O266"/>
    <mergeCell ref="L267:O267"/>
    <mergeCell ref="P266:S266"/>
    <mergeCell ref="P267:S267"/>
    <mergeCell ref="AH266:AJ266"/>
    <mergeCell ref="AH267:AJ267"/>
    <mergeCell ref="D268:K268"/>
    <mergeCell ref="T268:W268"/>
    <mergeCell ref="X268:AA268"/>
    <mergeCell ref="AB268:AD268"/>
    <mergeCell ref="AE268:AG268"/>
    <mergeCell ref="AK268:AM268"/>
    <mergeCell ref="BI268:BV268"/>
    <mergeCell ref="D269:K269"/>
    <mergeCell ref="T269:W269"/>
    <mergeCell ref="X269:AA269"/>
    <mergeCell ref="AB269:AD269"/>
    <mergeCell ref="AE269:AG269"/>
    <mergeCell ref="AK269:AM269"/>
    <mergeCell ref="BI269:BV269"/>
    <mergeCell ref="L268:O268"/>
    <mergeCell ref="L269:O269"/>
    <mergeCell ref="P268:S268"/>
    <mergeCell ref="P269:S269"/>
    <mergeCell ref="AH268:AJ268"/>
    <mergeCell ref="AH269:AJ269"/>
    <mergeCell ref="D270:K270"/>
    <mergeCell ref="T270:W270"/>
    <mergeCell ref="X270:AA270"/>
    <mergeCell ref="AB270:AD270"/>
    <mergeCell ref="AE270:AG270"/>
    <mergeCell ref="AK270:AM270"/>
    <mergeCell ref="BI270:BV270"/>
    <mergeCell ref="D271:K271"/>
    <mergeCell ref="T271:W271"/>
    <mergeCell ref="X271:AA271"/>
    <mergeCell ref="AB271:AD271"/>
    <mergeCell ref="AE271:AG271"/>
    <mergeCell ref="AK271:AM271"/>
    <mergeCell ref="BI271:BV271"/>
    <mergeCell ref="L270:O270"/>
    <mergeCell ref="L271:O271"/>
    <mergeCell ref="P270:S270"/>
    <mergeCell ref="P271:S271"/>
    <mergeCell ref="AH270:AJ270"/>
    <mergeCell ref="AH271:AJ271"/>
    <mergeCell ref="D272:K272"/>
    <mergeCell ref="T272:W272"/>
    <mergeCell ref="X272:AA272"/>
    <mergeCell ref="AB272:AD272"/>
    <mergeCell ref="AE272:AG272"/>
    <mergeCell ref="AK272:AM272"/>
    <mergeCell ref="BI272:BV272"/>
    <mergeCell ref="D273:K273"/>
    <mergeCell ref="T273:W273"/>
    <mergeCell ref="X273:AA273"/>
    <mergeCell ref="AB273:AD273"/>
    <mergeCell ref="AE273:AG273"/>
    <mergeCell ref="AK273:AM273"/>
    <mergeCell ref="BI273:BV273"/>
    <mergeCell ref="L272:O272"/>
    <mergeCell ref="L273:O273"/>
    <mergeCell ref="P272:S272"/>
    <mergeCell ref="P273:S273"/>
    <mergeCell ref="AH272:AJ272"/>
    <mergeCell ref="AH273:AJ273"/>
    <mergeCell ref="D274:K274"/>
    <mergeCell ref="T274:W274"/>
    <mergeCell ref="X274:AA274"/>
    <mergeCell ref="AB274:AD274"/>
    <mergeCell ref="AE274:AG274"/>
    <mergeCell ref="AK274:AM274"/>
    <mergeCell ref="BI274:BV274"/>
    <mergeCell ref="D275:K275"/>
    <mergeCell ref="T275:W275"/>
    <mergeCell ref="X275:AA275"/>
    <mergeCell ref="AB275:AD275"/>
    <mergeCell ref="AE275:AG275"/>
    <mergeCell ref="AK275:AM275"/>
    <mergeCell ref="BI275:BV275"/>
    <mergeCell ref="L274:O274"/>
    <mergeCell ref="L275:O275"/>
    <mergeCell ref="P274:S274"/>
    <mergeCell ref="P275:S275"/>
    <mergeCell ref="AH274:AJ274"/>
    <mergeCell ref="AH275:AJ275"/>
    <mergeCell ref="D276:K276"/>
    <mergeCell ref="T276:W276"/>
    <mergeCell ref="X276:AA276"/>
    <mergeCell ref="AB276:AD276"/>
    <mergeCell ref="AE276:AG276"/>
    <mergeCell ref="AK276:AM276"/>
    <mergeCell ref="BI276:BV276"/>
    <mergeCell ref="D277:K277"/>
    <mergeCell ref="T277:W277"/>
    <mergeCell ref="X277:AA277"/>
    <mergeCell ref="AB277:AD277"/>
    <mergeCell ref="AE277:AG277"/>
    <mergeCell ref="AK277:AM277"/>
    <mergeCell ref="BI277:BV277"/>
    <mergeCell ref="L276:O276"/>
    <mergeCell ref="L277:O277"/>
    <mergeCell ref="P276:S276"/>
    <mergeCell ref="P277:S277"/>
    <mergeCell ref="AH276:AJ276"/>
    <mergeCell ref="AH277:AJ277"/>
    <mergeCell ref="D278:K278"/>
    <mergeCell ref="T278:W278"/>
    <mergeCell ref="X278:AA278"/>
    <mergeCell ref="AB278:AD278"/>
    <mergeCell ref="AE278:AG278"/>
    <mergeCell ref="AK278:AM278"/>
    <mergeCell ref="BI278:BV278"/>
    <mergeCell ref="D279:K279"/>
    <mergeCell ref="T279:W279"/>
    <mergeCell ref="X279:AA279"/>
    <mergeCell ref="AB279:AD279"/>
    <mergeCell ref="AE279:AG279"/>
    <mergeCell ref="AK279:AM279"/>
    <mergeCell ref="BI279:BV279"/>
    <mergeCell ref="L278:O278"/>
    <mergeCell ref="L279:O279"/>
    <mergeCell ref="P278:S278"/>
    <mergeCell ref="P279:S279"/>
    <mergeCell ref="AH278:AJ278"/>
    <mergeCell ref="AH279:AJ279"/>
    <mergeCell ref="D280:K280"/>
    <mergeCell ref="T280:W280"/>
    <mergeCell ref="X280:AA280"/>
    <mergeCell ref="AB280:AD280"/>
    <mergeCell ref="AE280:AG280"/>
    <mergeCell ref="AK280:AM280"/>
    <mergeCell ref="BI280:BV280"/>
    <mergeCell ref="D281:K281"/>
    <mergeCell ref="T281:W281"/>
    <mergeCell ref="X281:AA281"/>
    <mergeCell ref="AB281:AD281"/>
    <mergeCell ref="AE281:AG281"/>
    <mergeCell ref="AK281:AM281"/>
    <mergeCell ref="BI281:BV281"/>
    <mergeCell ref="L280:O280"/>
    <mergeCell ref="L281:O281"/>
    <mergeCell ref="P280:S280"/>
    <mergeCell ref="P281:S281"/>
    <mergeCell ref="AH280:AJ280"/>
    <mergeCell ref="AH281:AJ281"/>
    <mergeCell ref="D282:K282"/>
    <mergeCell ref="T282:W282"/>
    <mergeCell ref="X282:AA282"/>
    <mergeCell ref="AB282:AD282"/>
    <mergeCell ref="AE282:AG282"/>
    <mergeCell ref="AK282:AM282"/>
    <mergeCell ref="BI282:BV282"/>
    <mergeCell ref="D283:K283"/>
    <mergeCell ref="T283:W283"/>
    <mergeCell ref="X283:AA283"/>
    <mergeCell ref="AB283:AD283"/>
    <mergeCell ref="AE283:AG283"/>
    <mergeCell ref="AK283:AM283"/>
    <mergeCell ref="BI283:BV283"/>
    <mergeCell ref="L282:O282"/>
    <mergeCell ref="L283:O283"/>
    <mergeCell ref="P282:S282"/>
    <mergeCell ref="P283:S283"/>
    <mergeCell ref="AH282:AJ282"/>
    <mergeCell ref="AH283:AJ283"/>
    <mergeCell ref="D284:K284"/>
    <mergeCell ref="T284:W284"/>
    <mergeCell ref="X284:AA284"/>
    <mergeCell ref="AB284:AD284"/>
    <mergeCell ref="AE284:AG284"/>
    <mergeCell ref="AK284:AM284"/>
    <mergeCell ref="BI284:BV284"/>
    <mergeCell ref="D285:K285"/>
    <mergeCell ref="T285:W285"/>
    <mergeCell ref="X285:AA285"/>
    <mergeCell ref="AB285:AD285"/>
    <mergeCell ref="AE285:AG285"/>
    <mergeCell ref="AK285:AM285"/>
    <mergeCell ref="BI285:BV285"/>
    <mergeCell ref="L284:O284"/>
    <mergeCell ref="L285:O285"/>
    <mergeCell ref="P284:S284"/>
    <mergeCell ref="P285:S285"/>
    <mergeCell ref="AH284:AJ284"/>
    <mergeCell ref="AH285:AJ285"/>
    <mergeCell ref="D286:K286"/>
    <mergeCell ref="T286:W286"/>
    <mergeCell ref="X286:AA286"/>
    <mergeCell ref="AB286:AD286"/>
    <mergeCell ref="AE286:AG286"/>
    <mergeCell ref="AK286:AM286"/>
    <mergeCell ref="BI286:BV286"/>
    <mergeCell ref="D287:K287"/>
    <mergeCell ref="T287:W287"/>
    <mergeCell ref="X287:AA287"/>
    <mergeCell ref="AB287:AD287"/>
    <mergeCell ref="AE287:AG287"/>
    <mergeCell ref="AK287:AM287"/>
    <mergeCell ref="BI287:BV287"/>
    <mergeCell ref="L286:O286"/>
    <mergeCell ref="L287:O287"/>
    <mergeCell ref="P286:S286"/>
    <mergeCell ref="P287:S287"/>
    <mergeCell ref="AH286:AJ286"/>
    <mergeCell ref="AH287:AJ287"/>
    <mergeCell ref="D288:K288"/>
    <mergeCell ref="T288:W288"/>
    <mergeCell ref="X288:AA288"/>
    <mergeCell ref="AB288:AD288"/>
    <mergeCell ref="AE288:AG288"/>
    <mergeCell ref="AK288:AM288"/>
    <mergeCell ref="BI288:BV288"/>
    <mergeCell ref="D289:K289"/>
    <mergeCell ref="T289:W289"/>
    <mergeCell ref="X289:AA289"/>
    <mergeCell ref="AB289:AD289"/>
    <mergeCell ref="AE289:AG289"/>
    <mergeCell ref="AK289:AM289"/>
    <mergeCell ref="BI289:BV289"/>
    <mergeCell ref="L288:O288"/>
    <mergeCell ref="L289:O289"/>
    <mergeCell ref="P288:S288"/>
    <mergeCell ref="P289:S289"/>
    <mergeCell ref="AH288:AJ288"/>
    <mergeCell ref="AH289:AJ289"/>
    <mergeCell ref="D290:K290"/>
    <mergeCell ref="T290:W290"/>
    <mergeCell ref="X290:AA290"/>
    <mergeCell ref="AB290:AD290"/>
    <mergeCell ref="AE290:AG290"/>
    <mergeCell ref="AK290:AM290"/>
    <mergeCell ref="BI290:BV290"/>
    <mergeCell ref="D291:K291"/>
    <mergeCell ref="T291:W291"/>
    <mergeCell ref="X291:AA291"/>
    <mergeCell ref="AB291:AD291"/>
    <mergeCell ref="AE291:AG291"/>
    <mergeCell ref="AK291:AM291"/>
    <mergeCell ref="BI291:BV291"/>
    <mergeCell ref="L290:O290"/>
    <mergeCell ref="L291:O291"/>
    <mergeCell ref="P290:S290"/>
    <mergeCell ref="P291:S291"/>
    <mergeCell ref="AH290:AJ290"/>
    <mergeCell ref="AH291:AJ291"/>
    <mergeCell ref="D292:K292"/>
    <mergeCell ref="T292:W292"/>
    <mergeCell ref="X292:AA292"/>
    <mergeCell ref="AB292:AD292"/>
    <mergeCell ref="AE292:AG292"/>
    <mergeCell ref="AK292:AM292"/>
    <mergeCell ref="BI292:BV292"/>
    <mergeCell ref="D293:K293"/>
    <mergeCell ref="T293:W293"/>
    <mergeCell ref="X293:AA293"/>
    <mergeCell ref="AB293:AD293"/>
    <mergeCell ref="AE293:AG293"/>
    <mergeCell ref="AK293:AM293"/>
    <mergeCell ref="BI293:BV293"/>
    <mergeCell ref="L292:O292"/>
    <mergeCell ref="L293:O293"/>
    <mergeCell ref="P292:S292"/>
    <mergeCell ref="P293:S293"/>
    <mergeCell ref="AH292:AJ292"/>
    <mergeCell ref="AH293:AJ293"/>
    <mergeCell ref="D294:K294"/>
    <mergeCell ref="T294:W294"/>
    <mergeCell ref="X294:AA294"/>
    <mergeCell ref="AB294:AD294"/>
    <mergeCell ref="AE294:AG294"/>
    <mergeCell ref="AK294:AM294"/>
    <mergeCell ref="BI294:BV294"/>
    <mergeCell ref="D295:K295"/>
    <mergeCell ref="T295:W295"/>
    <mergeCell ref="X295:AA295"/>
    <mergeCell ref="AB295:AD295"/>
    <mergeCell ref="AE295:AG295"/>
    <mergeCell ref="AK295:AM295"/>
    <mergeCell ref="BI295:BV295"/>
    <mergeCell ref="L294:O294"/>
    <mergeCell ref="L295:O295"/>
    <mergeCell ref="P294:S294"/>
    <mergeCell ref="P295:S295"/>
    <mergeCell ref="AH294:AJ294"/>
    <mergeCell ref="AH295:AJ295"/>
    <mergeCell ref="D296:K296"/>
    <mergeCell ref="T296:W296"/>
    <mergeCell ref="X296:AA296"/>
    <mergeCell ref="AB296:AD296"/>
    <mergeCell ref="AE296:AG296"/>
    <mergeCell ref="AK296:AM296"/>
    <mergeCell ref="BI296:BV296"/>
    <mergeCell ref="D297:K297"/>
    <mergeCell ref="T297:W297"/>
    <mergeCell ref="X297:AA297"/>
    <mergeCell ref="AB297:AD297"/>
    <mergeCell ref="AE297:AG297"/>
    <mergeCell ref="AK297:AM297"/>
    <mergeCell ref="BI297:BV297"/>
    <mergeCell ref="L296:O296"/>
    <mergeCell ref="L297:O297"/>
    <mergeCell ref="P296:S296"/>
    <mergeCell ref="P297:S297"/>
    <mergeCell ref="AH296:AJ296"/>
    <mergeCell ref="AH297:AJ297"/>
    <mergeCell ref="D298:K298"/>
    <mergeCell ref="T298:W298"/>
    <mergeCell ref="X298:AA298"/>
    <mergeCell ref="AB298:AD298"/>
    <mergeCell ref="AE298:AG298"/>
    <mergeCell ref="AK298:AM298"/>
    <mergeCell ref="BI298:BV298"/>
    <mergeCell ref="D299:K299"/>
    <mergeCell ref="T299:W299"/>
    <mergeCell ref="X299:AA299"/>
    <mergeCell ref="AB299:AD299"/>
    <mergeCell ref="AE299:AG299"/>
    <mergeCell ref="AK299:AM299"/>
    <mergeCell ref="BI299:BV299"/>
    <mergeCell ref="L298:O298"/>
    <mergeCell ref="L299:O299"/>
    <mergeCell ref="P298:S298"/>
    <mergeCell ref="P299:S299"/>
    <mergeCell ref="AH298:AJ298"/>
    <mergeCell ref="AH299:AJ299"/>
    <mergeCell ref="D300:K300"/>
    <mergeCell ref="T300:W300"/>
    <mergeCell ref="X300:AA300"/>
    <mergeCell ref="AB300:AD300"/>
    <mergeCell ref="AE300:AG300"/>
    <mergeCell ref="AK300:AM300"/>
    <mergeCell ref="BI300:BV300"/>
    <mergeCell ref="D301:K301"/>
    <mergeCell ref="T301:W301"/>
    <mergeCell ref="X301:AA301"/>
    <mergeCell ref="AB301:AD301"/>
    <mergeCell ref="AE301:AG301"/>
    <mergeCell ref="AK301:AM301"/>
    <mergeCell ref="BI301:BV301"/>
    <mergeCell ref="L300:O300"/>
    <mergeCell ref="L301:O301"/>
    <mergeCell ref="P300:S300"/>
    <mergeCell ref="P301:S301"/>
    <mergeCell ref="AH300:AJ300"/>
    <mergeCell ref="AH301:AJ301"/>
    <mergeCell ref="D302:K302"/>
    <mergeCell ref="T302:W302"/>
    <mergeCell ref="X302:AA302"/>
    <mergeCell ref="AB302:AD302"/>
    <mergeCell ref="AE302:AG302"/>
    <mergeCell ref="AK302:AM302"/>
    <mergeCell ref="BI302:BV302"/>
    <mergeCell ref="D303:K303"/>
    <mergeCell ref="T303:W303"/>
    <mergeCell ref="X303:AA303"/>
    <mergeCell ref="AB303:AD303"/>
    <mergeCell ref="AE303:AG303"/>
    <mergeCell ref="AK303:AM303"/>
    <mergeCell ref="BI303:BV303"/>
    <mergeCell ref="L302:O302"/>
    <mergeCell ref="L303:O303"/>
    <mergeCell ref="P302:S302"/>
    <mergeCell ref="P303:S303"/>
    <mergeCell ref="AH302:AJ302"/>
    <mergeCell ref="AH303:AJ303"/>
    <mergeCell ref="D304:K304"/>
    <mergeCell ref="T304:W304"/>
    <mergeCell ref="X304:AA304"/>
    <mergeCell ref="AB304:AD304"/>
    <mergeCell ref="AE304:AG304"/>
    <mergeCell ref="AK304:AM304"/>
    <mergeCell ref="BI304:BV304"/>
    <mergeCell ref="D305:K305"/>
    <mergeCell ref="T305:W305"/>
    <mergeCell ref="X305:AA305"/>
    <mergeCell ref="AB305:AD305"/>
    <mergeCell ref="AE305:AG305"/>
    <mergeCell ref="AK305:AM305"/>
    <mergeCell ref="BI305:BV305"/>
    <mergeCell ref="L304:O304"/>
    <mergeCell ref="L305:O305"/>
    <mergeCell ref="P304:S304"/>
    <mergeCell ref="P305:S305"/>
    <mergeCell ref="AH304:AJ304"/>
    <mergeCell ref="AH305:AJ305"/>
    <mergeCell ref="D306:K306"/>
    <mergeCell ref="T306:W306"/>
    <mergeCell ref="X306:AA306"/>
    <mergeCell ref="AB306:AD306"/>
    <mergeCell ref="AE306:AG306"/>
    <mergeCell ref="AK306:AM306"/>
    <mergeCell ref="BI306:BV306"/>
    <mergeCell ref="D307:K307"/>
    <mergeCell ref="T307:W307"/>
    <mergeCell ref="X307:AA307"/>
    <mergeCell ref="AB307:AD307"/>
    <mergeCell ref="AE307:AG307"/>
    <mergeCell ref="AK307:AM307"/>
    <mergeCell ref="BI307:BV307"/>
    <mergeCell ref="L306:O306"/>
    <mergeCell ref="L307:O307"/>
    <mergeCell ref="P306:S306"/>
    <mergeCell ref="P307:S307"/>
    <mergeCell ref="AH306:AJ306"/>
    <mergeCell ref="AH307:AJ307"/>
    <mergeCell ref="D308:K308"/>
    <mergeCell ref="T308:W308"/>
    <mergeCell ref="X308:AA308"/>
    <mergeCell ref="AB308:AD308"/>
    <mergeCell ref="AE308:AG308"/>
    <mergeCell ref="AK308:AM308"/>
    <mergeCell ref="BI308:BV308"/>
    <mergeCell ref="D309:K309"/>
    <mergeCell ref="T309:W309"/>
    <mergeCell ref="X309:AA309"/>
    <mergeCell ref="AB309:AD309"/>
    <mergeCell ref="AE309:AG309"/>
    <mergeCell ref="AK309:AM309"/>
    <mergeCell ref="BI309:BV309"/>
    <mergeCell ref="L308:O308"/>
    <mergeCell ref="L309:O309"/>
    <mergeCell ref="P308:S308"/>
    <mergeCell ref="P309:S309"/>
    <mergeCell ref="AH308:AJ308"/>
    <mergeCell ref="AH309:AJ309"/>
    <mergeCell ref="D310:K310"/>
    <mergeCell ref="T310:W310"/>
    <mergeCell ref="X310:AA310"/>
    <mergeCell ref="AB310:AD310"/>
    <mergeCell ref="AE310:AG310"/>
    <mergeCell ref="AK310:AM310"/>
    <mergeCell ref="BI310:BV310"/>
    <mergeCell ref="D311:K311"/>
    <mergeCell ref="T311:W311"/>
    <mergeCell ref="X311:AA311"/>
    <mergeCell ref="AB311:AD311"/>
    <mergeCell ref="AE311:AG311"/>
    <mergeCell ref="AK311:AM311"/>
    <mergeCell ref="BI311:BV311"/>
    <mergeCell ref="L310:O310"/>
    <mergeCell ref="L311:O311"/>
    <mergeCell ref="P310:S310"/>
    <mergeCell ref="P311:S311"/>
    <mergeCell ref="AH310:AJ310"/>
    <mergeCell ref="AH311:AJ311"/>
    <mergeCell ref="D312:K312"/>
    <mergeCell ref="T312:W312"/>
    <mergeCell ref="X312:AA312"/>
    <mergeCell ref="AB312:AD312"/>
    <mergeCell ref="AE312:AG312"/>
    <mergeCell ref="AK312:AM312"/>
    <mergeCell ref="BI312:BV312"/>
    <mergeCell ref="D313:K313"/>
    <mergeCell ref="T313:W313"/>
    <mergeCell ref="X313:AA313"/>
    <mergeCell ref="AB313:AD313"/>
    <mergeCell ref="AE313:AG313"/>
    <mergeCell ref="AK313:AM313"/>
    <mergeCell ref="BI313:BV313"/>
    <mergeCell ref="L312:O312"/>
    <mergeCell ref="L313:O313"/>
    <mergeCell ref="P312:S312"/>
    <mergeCell ref="P313:S313"/>
    <mergeCell ref="AH312:AJ312"/>
    <mergeCell ref="AH313:AJ313"/>
    <mergeCell ref="D314:K314"/>
    <mergeCell ref="T314:W314"/>
    <mergeCell ref="X314:AA314"/>
    <mergeCell ref="AB314:AD314"/>
    <mergeCell ref="AE314:AG314"/>
    <mergeCell ref="AK314:AM314"/>
    <mergeCell ref="BI314:BV314"/>
    <mergeCell ref="D315:K315"/>
    <mergeCell ref="T315:W315"/>
    <mergeCell ref="X315:AA315"/>
    <mergeCell ref="AB315:AD315"/>
    <mergeCell ref="AE315:AG315"/>
    <mergeCell ref="AK315:AM315"/>
    <mergeCell ref="BI315:BV315"/>
    <mergeCell ref="L314:O314"/>
    <mergeCell ref="L315:O315"/>
    <mergeCell ref="P314:S314"/>
    <mergeCell ref="P315:S315"/>
    <mergeCell ref="AH314:AJ314"/>
    <mergeCell ref="AH315:AJ315"/>
    <mergeCell ref="D316:K316"/>
    <mergeCell ref="T316:W316"/>
    <mergeCell ref="X316:AA316"/>
    <mergeCell ref="AB316:AD316"/>
    <mergeCell ref="AE316:AG316"/>
    <mergeCell ref="AK316:AM316"/>
    <mergeCell ref="BI316:BV316"/>
    <mergeCell ref="D317:K317"/>
    <mergeCell ref="T317:W317"/>
    <mergeCell ref="X317:AA317"/>
    <mergeCell ref="AB317:AD317"/>
    <mergeCell ref="AE317:AG317"/>
    <mergeCell ref="AK317:AM317"/>
    <mergeCell ref="BI317:BV317"/>
    <mergeCell ref="L316:O316"/>
    <mergeCell ref="L317:O317"/>
    <mergeCell ref="P316:S316"/>
    <mergeCell ref="P317:S317"/>
    <mergeCell ref="AH316:AJ316"/>
    <mergeCell ref="AH317:AJ317"/>
    <mergeCell ref="D318:K318"/>
    <mergeCell ref="T318:W318"/>
    <mergeCell ref="X318:AA318"/>
    <mergeCell ref="AB318:AD318"/>
    <mergeCell ref="AE318:AG318"/>
    <mergeCell ref="AK318:AM318"/>
    <mergeCell ref="BI318:BV318"/>
    <mergeCell ref="D319:K319"/>
    <mergeCell ref="T319:W319"/>
    <mergeCell ref="X319:AA319"/>
    <mergeCell ref="AB319:AD319"/>
    <mergeCell ref="AE319:AG319"/>
    <mergeCell ref="AK319:AM319"/>
    <mergeCell ref="BI319:BV319"/>
    <mergeCell ref="L318:O318"/>
    <mergeCell ref="L319:O319"/>
    <mergeCell ref="P318:S318"/>
    <mergeCell ref="P319:S319"/>
    <mergeCell ref="AH318:AJ318"/>
    <mergeCell ref="AH319:AJ319"/>
    <mergeCell ref="D320:K320"/>
    <mergeCell ref="T320:W320"/>
    <mergeCell ref="X320:AA320"/>
    <mergeCell ref="AB320:AD320"/>
    <mergeCell ref="AE320:AG320"/>
    <mergeCell ref="AK320:AM320"/>
    <mergeCell ref="BI320:BV320"/>
    <mergeCell ref="D321:K321"/>
    <mergeCell ref="T321:W321"/>
    <mergeCell ref="X321:AA321"/>
    <mergeCell ref="AB321:AD321"/>
    <mergeCell ref="AE321:AG321"/>
    <mergeCell ref="AK321:AM321"/>
    <mergeCell ref="BI321:BV321"/>
    <mergeCell ref="L320:O320"/>
    <mergeCell ref="L321:O321"/>
    <mergeCell ref="P320:S320"/>
    <mergeCell ref="P321:S321"/>
    <mergeCell ref="AH320:AJ320"/>
    <mergeCell ref="AH321:AJ321"/>
    <mergeCell ref="D322:K322"/>
    <mergeCell ref="T322:W322"/>
    <mergeCell ref="X322:AA322"/>
    <mergeCell ref="AB322:AD322"/>
    <mergeCell ref="AE322:AG322"/>
    <mergeCell ref="AK322:AM322"/>
    <mergeCell ref="BI322:BV322"/>
    <mergeCell ref="D323:K323"/>
    <mergeCell ref="T323:W323"/>
    <mergeCell ref="X323:AA323"/>
    <mergeCell ref="AB323:AD323"/>
    <mergeCell ref="AE323:AG323"/>
    <mergeCell ref="AK323:AM323"/>
    <mergeCell ref="BI323:BV323"/>
    <mergeCell ref="L322:O322"/>
    <mergeCell ref="L323:O323"/>
    <mergeCell ref="P322:S322"/>
    <mergeCell ref="P323:S323"/>
    <mergeCell ref="AH322:AJ322"/>
    <mergeCell ref="AH323:AJ323"/>
    <mergeCell ref="D324:K324"/>
    <mergeCell ref="T324:W324"/>
    <mergeCell ref="X324:AA324"/>
    <mergeCell ref="AB324:AD324"/>
    <mergeCell ref="AE324:AG324"/>
    <mergeCell ref="AK324:AM324"/>
    <mergeCell ref="BI324:BV324"/>
    <mergeCell ref="D325:K325"/>
    <mergeCell ref="T325:W325"/>
    <mergeCell ref="X325:AA325"/>
    <mergeCell ref="AB325:AD325"/>
    <mergeCell ref="AE325:AG325"/>
    <mergeCell ref="AK325:AM325"/>
    <mergeCell ref="BI325:BV325"/>
    <mergeCell ref="L324:O324"/>
    <mergeCell ref="L325:O325"/>
    <mergeCell ref="P324:S324"/>
    <mergeCell ref="P325:S325"/>
    <mergeCell ref="AH324:AJ324"/>
    <mergeCell ref="AH325:AJ325"/>
    <mergeCell ref="D326:K326"/>
    <mergeCell ref="T326:W326"/>
    <mergeCell ref="X326:AA326"/>
    <mergeCell ref="AB326:AD326"/>
    <mergeCell ref="AE326:AG326"/>
    <mergeCell ref="AK326:AM326"/>
    <mergeCell ref="BI326:BV326"/>
    <mergeCell ref="D327:K327"/>
    <mergeCell ref="T327:W327"/>
    <mergeCell ref="X327:AA327"/>
    <mergeCell ref="AB327:AD327"/>
    <mergeCell ref="AE327:AG327"/>
    <mergeCell ref="AK327:AM327"/>
    <mergeCell ref="BI327:BV327"/>
    <mergeCell ref="L326:O326"/>
    <mergeCell ref="L327:O327"/>
    <mergeCell ref="P326:S326"/>
    <mergeCell ref="P327:S327"/>
    <mergeCell ref="AH326:AJ326"/>
    <mergeCell ref="AH327:AJ327"/>
    <mergeCell ref="D328:K328"/>
    <mergeCell ref="T328:W328"/>
    <mergeCell ref="X328:AA328"/>
    <mergeCell ref="AB328:AD328"/>
    <mergeCell ref="AE328:AG328"/>
    <mergeCell ref="AK328:AM328"/>
    <mergeCell ref="BI328:BV328"/>
    <mergeCell ref="D329:K329"/>
    <mergeCell ref="T329:W329"/>
    <mergeCell ref="X329:AA329"/>
    <mergeCell ref="AB329:AD329"/>
    <mergeCell ref="AE329:AG329"/>
    <mergeCell ref="AK329:AM329"/>
    <mergeCell ref="BI329:BV329"/>
    <mergeCell ref="L328:O328"/>
    <mergeCell ref="L329:O329"/>
    <mergeCell ref="P328:S328"/>
    <mergeCell ref="P329:S329"/>
    <mergeCell ref="AH328:AJ328"/>
    <mergeCell ref="AH329:AJ329"/>
    <mergeCell ref="D330:K330"/>
    <mergeCell ref="T330:W330"/>
    <mergeCell ref="X330:AA330"/>
    <mergeCell ref="AB330:AD330"/>
    <mergeCell ref="AE330:AG330"/>
    <mergeCell ref="AK330:AM330"/>
    <mergeCell ref="BI330:BV330"/>
    <mergeCell ref="D331:K331"/>
    <mergeCell ref="T331:W331"/>
    <mergeCell ref="X331:AA331"/>
    <mergeCell ref="AB331:AD331"/>
    <mergeCell ref="AE331:AG331"/>
    <mergeCell ref="AK331:AM331"/>
    <mergeCell ref="BI331:BV331"/>
    <mergeCell ref="L330:O330"/>
    <mergeCell ref="L331:O331"/>
    <mergeCell ref="P330:S330"/>
    <mergeCell ref="P331:S331"/>
    <mergeCell ref="AH330:AJ330"/>
    <mergeCell ref="AH331:AJ331"/>
    <mergeCell ref="D332:K332"/>
    <mergeCell ref="T332:W332"/>
    <mergeCell ref="X332:AA332"/>
    <mergeCell ref="AB332:AD332"/>
    <mergeCell ref="AE332:AG332"/>
    <mergeCell ref="AK332:AM332"/>
    <mergeCell ref="BI332:BV332"/>
    <mergeCell ref="D333:K333"/>
    <mergeCell ref="T333:W333"/>
    <mergeCell ref="X333:AA333"/>
    <mergeCell ref="AB333:AD333"/>
    <mergeCell ref="AE333:AG333"/>
    <mergeCell ref="AK333:AM333"/>
    <mergeCell ref="BI333:BV333"/>
    <mergeCell ref="L332:O332"/>
    <mergeCell ref="L333:O333"/>
    <mergeCell ref="P332:S332"/>
    <mergeCell ref="P333:S333"/>
    <mergeCell ref="AH332:AJ332"/>
    <mergeCell ref="AH333:AJ333"/>
    <mergeCell ref="D334:K334"/>
    <mergeCell ref="T334:W334"/>
    <mergeCell ref="X334:AA334"/>
    <mergeCell ref="AB334:AD334"/>
    <mergeCell ref="AE334:AG334"/>
    <mergeCell ref="AK334:AM334"/>
    <mergeCell ref="BI334:BV334"/>
    <mergeCell ref="D335:K335"/>
    <mergeCell ref="T335:W335"/>
    <mergeCell ref="X335:AA335"/>
    <mergeCell ref="AB335:AD335"/>
    <mergeCell ref="AE335:AG335"/>
    <mergeCell ref="AK335:AM335"/>
    <mergeCell ref="BI335:BV335"/>
    <mergeCell ref="L334:O334"/>
    <mergeCell ref="L335:O335"/>
    <mergeCell ref="P334:S334"/>
    <mergeCell ref="P335:S335"/>
    <mergeCell ref="AH334:AJ334"/>
    <mergeCell ref="AH335:AJ335"/>
    <mergeCell ref="D336:K336"/>
    <mergeCell ref="T336:W336"/>
    <mergeCell ref="X336:AA336"/>
    <mergeCell ref="AB336:AD336"/>
    <mergeCell ref="AE336:AG336"/>
    <mergeCell ref="AK336:AM336"/>
    <mergeCell ref="BI336:BV336"/>
    <mergeCell ref="D337:K337"/>
    <mergeCell ref="T337:W337"/>
    <mergeCell ref="X337:AA337"/>
    <mergeCell ref="AB337:AD337"/>
    <mergeCell ref="AE337:AG337"/>
    <mergeCell ref="AK337:AM337"/>
    <mergeCell ref="BI337:BV337"/>
    <mergeCell ref="L336:O336"/>
    <mergeCell ref="L337:O337"/>
    <mergeCell ref="P336:S336"/>
    <mergeCell ref="P337:S337"/>
    <mergeCell ref="AH336:AJ336"/>
    <mergeCell ref="AH337:AJ337"/>
    <mergeCell ref="D338:K338"/>
    <mergeCell ref="T338:W338"/>
    <mergeCell ref="X338:AA338"/>
    <mergeCell ref="AB338:AD338"/>
    <mergeCell ref="AE338:AG338"/>
    <mergeCell ref="AK338:AM338"/>
    <mergeCell ref="BI338:BV338"/>
    <mergeCell ref="D339:K339"/>
    <mergeCell ref="T339:W339"/>
    <mergeCell ref="X339:AA339"/>
    <mergeCell ref="AB339:AD339"/>
    <mergeCell ref="AE339:AG339"/>
    <mergeCell ref="AK339:AM339"/>
    <mergeCell ref="BI339:BV339"/>
    <mergeCell ref="L338:O338"/>
    <mergeCell ref="L339:O339"/>
    <mergeCell ref="P338:S338"/>
    <mergeCell ref="P339:S339"/>
    <mergeCell ref="AH338:AJ338"/>
    <mergeCell ref="AH339:AJ339"/>
    <mergeCell ref="D340:K340"/>
    <mergeCell ref="T340:W340"/>
    <mergeCell ref="X340:AA340"/>
    <mergeCell ref="AB340:AD340"/>
    <mergeCell ref="AE340:AG340"/>
    <mergeCell ref="AK340:AM340"/>
    <mergeCell ref="BI340:BV340"/>
    <mergeCell ref="D341:K341"/>
    <mergeCell ref="T341:W341"/>
    <mergeCell ref="X341:AA341"/>
    <mergeCell ref="AB341:AD341"/>
    <mergeCell ref="AE341:AG341"/>
    <mergeCell ref="AK341:AM341"/>
    <mergeCell ref="BI341:BV341"/>
    <mergeCell ref="L340:O340"/>
    <mergeCell ref="L341:O341"/>
    <mergeCell ref="P340:S340"/>
    <mergeCell ref="P341:S341"/>
    <mergeCell ref="AH340:AJ340"/>
    <mergeCell ref="AH341:AJ341"/>
    <mergeCell ref="D342:K342"/>
    <mergeCell ref="T342:W342"/>
    <mergeCell ref="X342:AA342"/>
    <mergeCell ref="AB342:AD342"/>
    <mergeCell ref="AE342:AG342"/>
    <mergeCell ref="AK342:AM342"/>
    <mergeCell ref="BI342:BV342"/>
    <mergeCell ref="D343:K343"/>
    <mergeCell ref="T343:W343"/>
    <mergeCell ref="X343:AA343"/>
    <mergeCell ref="AB343:AD343"/>
    <mergeCell ref="AE343:AG343"/>
    <mergeCell ref="AK343:AM343"/>
    <mergeCell ref="BI343:BV343"/>
    <mergeCell ref="L342:O342"/>
    <mergeCell ref="L343:O343"/>
    <mergeCell ref="P342:S342"/>
    <mergeCell ref="P343:S343"/>
    <mergeCell ref="AH342:AJ342"/>
    <mergeCell ref="AH343:AJ343"/>
    <mergeCell ref="D344:K344"/>
    <mergeCell ref="T344:W344"/>
    <mergeCell ref="X344:AA344"/>
    <mergeCell ref="AB344:AD344"/>
    <mergeCell ref="AE344:AG344"/>
    <mergeCell ref="AK344:AM344"/>
    <mergeCell ref="BI344:BV344"/>
    <mergeCell ref="D345:K345"/>
    <mergeCell ref="T345:W345"/>
    <mergeCell ref="X345:AA345"/>
    <mergeCell ref="AB345:AD345"/>
    <mergeCell ref="AE345:AG345"/>
    <mergeCell ref="AK345:AM345"/>
    <mergeCell ref="BI345:BV345"/>
    <mergeCell ref="L344:O344"/>
    <mergeCell ref="L345:O345"/>
    <mergeCell ref="P344:S344"/>
    <mergeCell ref="P345:S345"/>
    <mergeCell ref="AH344:AJ344"/>
    <mergeCell ref="AH345:AJ345"/>
    <mergeCell ref="D346:K346"/>
    <mergeCell ref="T346:W346"/>
    <mergeCell ref="X346:AA346"/>
    <mergeCell ref="AB346:AD346"/>
    <mergeCell ref="AE346:AG346"/>
    <mergeCell ref="AK346:AM346"/>
    <mergeCell ref="BI346:BV346"/>
    <mergeCell ref="D347:K347"/>
    <mergeCell ref="T347:W347"/>
    <mergeCell ref="X347:AA347"/>
    <mergeCell ref="AB347:AD347"/>
    <mergeCell ref="AE347:AG347"/>
    <mergeCell ref="AK347:AM347"/>
    <mergeCell ref="BI347:BV347"/>
    <mergeCell ref="L346:O346"/>
    <mergeCell ref="L347:O347"/>
    <mergeCell ref="P346:S346"/>
    <mergeCell ref="P347:S347"/>
    <mergeCell ref="AH346:AJ346"/>
    <mergeCell ref="AH347:AJ347"/>
    <mergeCell ref="D348:K348"/>
    <mergeCell ref="T348:W348"/>
    <mergeCell ref="X348:AA348"/>
    <mergeCell ref="AB348:AD348"/>
    <mergeCell ref="AE348:AG348"/>
    <mergeCell ref="AK348:AM348"/>
    <mergeCell ref="BI348:BV348"/>
    <mergeCell ref="D349:K349"/>
    <mergeCell ref="T349:W349"/>
    <mergeCell ref="X349:AA349"/>
    <mergeCell ref="AB349:AD349"/>
    <mergeCell ref="AE349:AG349"/>
    <mergeCell ref="AK349:AM349"/>
    <mergeCell ref="BI349:BV349"/>
    <mergeCell ref="L348:O348"/>
    <mergeCell ref="L349:O349"/>
    <mergeCell ref="P348:S348"/>
    <mergeCell ref="P349:S349"/>
    <mergeCell ref="AH348:AJ348"/>
    <mergeCell ref="AH349:AJ349"/>
    <mergeCell ref="D350:K350"/>
    <mergeCell ref="T350:W350"/>
    <mergeCell ref="X350:AA350"/>
    <mergeCell ref="AB350:AD350"/>
    <mergeCell ref="AE350:AG350"/>
    <mergeCell ref="AK350:AM350"/>
    <mergeCell ref="BI350:BV350"/>
    <mergeCell ref="D351:K351"/>
    <mergeCell ref="T351:W351"/>
    <mergeCell ref="X351:AA351"/>
    <mergeCell ref="AB351:AD351"/>
    <mergeCell ref="AE351:AG351"/>
    <mergeCell ref="AK351:AM351"/>
    <mergeCell ref="BI351:BV351"/>
    <mergeCell ref="L350:O350"/>
    <mergeCell ref="L351:O351"/>
    <mergeCell ref="P350:S350"/>
    <mergeCell ref="P351:S351"/>
    <mergeCell ref="AH350:AJ350"/>
    <mergeCell ref="AH351:AJ351"/>
    <mergeCell ref="D352:K352"/>
    <mergeCell ref="T352:W352"/>
    <mergeCell ref="X352:AA352"/>
    <mergeCell ref="AB352:AD352"/>
    <mergeCell ref="AE352:AG352"/>
    <mergeCell ref="AK352:AM352"/>
    <mergeCell ref="BI352:BV352"/>
    <mergeCell ref="D353:K353"/>
    <mergeCell ref="T353:W353"/>
    <mergeCell ref="X353:AA353"/>
    <mergeCell ref="AB353:AD353"/>
    <mergeCell ref="AE353:AG353"/>
    <mergeCell ref="AK353:AM353"/>
    <mergeCell ref="BI353:BV353"/>
    <mergeCell ref="L352:O352"/>
    <mergeCell ref="L353:O353"/>
    <mergeCell ref="P352:S352"/>
    <mergeCell ref="P353:S353"/>
    <mergeCell ref="AH352:AJ352"/>
    <mergeCell ref="AH353:AJ353"/>
    <mergeCell ref="D354:K354"/>
    <mergeCell ref="T354:W354"/>
    <mergeCell ref="X354:AA354"/>
    <mergeCell ref="AB354:AD354"/>
    <mergeCell ref="AE354:AG354"/>
    <mergeCell ref="AK354:AM354"/>
    <mergeCell ref="BI354:BV354"/>
    <mergeCell ref="D355:K355"/>
    <mergeCell ref="T355:W355"/>
    <mergeCell ref="X355:AA355"/>
    <mergeCell ref="AB355:AD355"/>
    <mergeCell ref="AE355:AG355"/>
    <mergeCell ref="AK355:AM355"/>
    <mergeCell ref="BI355:BV355"/>
    <mergeCell ref="L354:O354"/>
    <mergeCell ref="L355:O355"/>
    <mergeCell ref="P354:S354"/>
    <mergeCell ref="P355:S355"/>
    <mergeCell ref="AH354:AJ354"/>
    <mergeCell ref="AH355:AJ355"/>
    <mergeCell ref="D356:K356"/>
    <mergeCell ref="T356:W356"/>
    <mergeCell ref="X356:AA356"/>
    <mergeCell ref="AB356:AD356"/>
    <mergeCell ref="AE356:AG356"/>
    <mergeCell ref="AK356:AM356"/>
    <mergeCell ref="BI356:BV356"/>
    <mergeCell ref="D357:K357"/>
    <mergeCell ref="T357:W357"/>
    <mergeCell ref="X357:AA357"/>
    <mergeCell ref="AB357:AD357"/>
    <mergeCell ref="AE357:AG357"/>
    <mergeCell ref="AK357:AM357"/>
    <mergeCell ref="BI357:BV357"/>
    <mergeCell ref="L356:O356"/>
    <mergeCell ref="L357:O357"/>
    <mergeCell ref="P356:S356"/>
    <mergeCell ref="P357:S357"/>
    <mergeCell ref="AH356:AJ356"/>
    <mergeCell ref="AH357:AJ357"/>
    <mergeCell ref="D358:K358"/>
    <mergeCell ref="T358:W358"/>
    <mergeCell ref="X358:AA358"/>
    <mergeCell ref="AB358:AD358"/>
    <mergeCell ref="AE358:AG358"/>
    <mergeCell ref="AK358:AM358"/>
    <mergeCell ref="BI358:BV358"/>
    <mergeCell ref="D359:K359"/>
    <mergeCell ref="T359:W359"/>
    <mergeCell ref="X359:AA359"/>
    <mergeCell ref="AB359:AD359"/>
    <mergeCell ref="AE359:AG359"/>
    <mergeCell ref="AK359:AM359"/>
    <mergeCell ref="BI359:BV359"/>
    <mergeCell ref="L358:O358"/>
    <mergeCell ref="L359:O359"/>
    <mergeCell ref="P358:S358"/>
    <mergeCell ref="P359:S359"/>
    <mergeCell ref="AH358:AJ358"/>
    <mergeCell ref="AH359:AJ359"/>
    <mergeCell ref="D360:K360"/>
    <mergeCell ref="T360:W360"/>
    <mergeCell ref="X360:AA360"/>
    <mergeCell ref="AB360:AD360"/>
    <mergeCell ref="AE360:AG360"/>
    <mergeCell ref="AK360:AM360"/>
    <mergeCell ref="BI360:BV360"/>
    <mergeCell ref="D361:K361"/>
    <mergeCell ref="T361:W361"/>
    <mergeCell ref="X361:AA361"/>
    <mergeCell ref="AB361:AD361"/>
    <mergeCell ref="AE361:AG361"/>
    <mergeCell ref="AK361:AM361"/>
    <mergeCell ref="BI361:BV361"/>
    <mergeCell ref="L360:O360"/>
    <mergeCell ref="L361:O361"/>
    <mergeCell ref="P360:S360"/>
    <mergeCell ref="P361:S361"/>
    <mergeCell ref="AH360:AJ360"/>
    <mergeCell ref="AH361:AJ361"/>
    <mergeCell ref="D362:K362"/>
    <mergeCell ref="T362:W362"/>
    <mergeCell ref="X362:AA362"/>
    <mergeCell ref="AB362:AD362"/>
    <mergeCell ref="AE362:AG362"/>
    <mergeCell ref="AK362:AM362"/>
    <mergeCell ref="BI362:BV362"/>
    <mergeCell ref="D363:K363"/>
    <mergeCell ref="T363:W363"/>
    <mergeCell ref="X363:AA363"/>
    <mergeCell ref="AB363:AD363"/>
    <mergeCell ref="AE363:AG363"/>
    <mergeCell ref="AK363:AM363"/>
    <mergeCell ref="BI363:BV363"/>
    <mergeCell ref="L362:O362"/>
    <mergeCell ref="L363:O363"/>
    <mergeCell ref="P362:S362"/>
    <mergeCell ref="P363:S363"/>
    <mergeCell ref="AH362:AJ362"/>
    <mergeCell ref="AH363:AJ363"/>
    <mergeCell ref="D364:K364"/>
    <mergeCell ref="T364:W364"/>
    <mergeCell ref="X364:AA364"/>
    <mergeCell ref="AB364:AD364"/>
    <mergeCell ref="AE364:AG364"/>
    <mergeCell ref="AK364:AM364"/>
    <mergeCell ref="BI364:BV364"/>
    <mergeCell ref="D365:K365"/>
    <mergeCell ref="T365:W365"/>
    <mergeCell ref="X365:AA365"/>
    <mergeCell ref="AB365:AD365"/>
    <mergeCell ref="AE365:AG365"/>
    <mergeCell ref="AK365:AM365"/>
    <mergeCell ref="BI365:BV365"/>
    <mergeCell ref="L364:O364"/>
    <mergeCell ref="L365:O365"/>
    <mergeCell ref="P364:S364"/>
    <mergeCell ref="P365:S365"/>
    <mergeCell ref="AH364:AJ364"/>
    <mergeCell ref="AH365:AJ365"/>
    <mergeCell ref="D366:K366"/>
    <mergeCell ref="T366:W366"/>
    <mergeCell ref="X366:AA366"/>
    <mergeCell ref="AB366:AD366"/>
    <mergeCell ref="AE366:AG366"/>
    <mergeCell ref="AK366:AM366"/>
    <mergeCell ref="BI366:BV366"/>
    <mergeCell ref="D367:K367"/>
    <mergeCell ref="T367:W367"/>
    <mergeCell ref="X367:AA367"/>
    <mergeCell ref="AB367:AD367"/>
    <mergeCell ref="AE367:AG367"/>
    <mergeCell ref="AK367:AM367"/>
    <mergeCell ref="BI367:BV367"/>
    <mergeCell ref="L366:O366"/>
    <mergeCell ref="L367:O367"/>
    <mergeCell ref="P366:S366"/>
    <mergeCell ref="P367:S367"/>
    <mergeCell ref="AH366:AJ366"/>
    <mergeCell ref="AH367:AJ367"/>
    <mergeCell ref="D368:K368"/>
    <mergeCell ref="T368:W368"/>
    <mergeCell ref="X368:AA368"/>
    <mergeCell ref="AB368:AD368"/>
    <mergeCell ref="AE368:AG368"/>
    <mergeCell ref="AK368:AM368"/>
    <mergeCell ref="BI368:BV368"/>
    <mergeCell ref="D369:K369"/>
    <mergeCell ref="T369:W369"/>
    <mergeCell ref="X369:AA369"/>
    <mergeCell ref="AB369:AD369"/>
    <mergeCell ref="AE369:AG369"/>
    <mergeCell ref="AK369:AM369"/>
    <mergeCell ref="BI369:BV369"/>
    <mergeCell ref="L368:O368"/>
    <mergeCell ref="L369:O369"/>
    <mergeCell ref="P368:S368"/>
    <mergeCell ref="P369:S369"/>
    <mergeCell ref="AH368:AJ368"/>
    <mergeCell ref="AH369:AJ369"/>
    <mergeCell ref="D370:K370"/>
    <mergeCell ref="T370:W370"/>
    <mergeCell ref="X370:AA370"/>
    <mergeCell ref="AB370:AD370"/>
    <mergeCell ref="AE370:AG370"/>
    <mergeCell ref="AK370:AM370"/>
    <mergeCell ref="BI370:BV370"/>
    <mergeCell ref="D371:K371"/>
    <mergeCell ref="T371:W371"/>
    <mergeCell ref="X371:AA371"/>
    <mergeCell ref="AB371:AD371"/>
    <mergeCell ref="AE371:AG371"/>
    <mergeCell ref="AK371:AM371"/>
    <mergeCell ref="BI371:BV371"/>
    <mergeCell ref="L370:O370"/>
    <mergeCell ref="L371:O371"/>
    <mergeCell ref="P370:S370"/>
    <mergeCell ref="P371:S371"/>
    <mergeCell ref="AH370:AJ370"/>
    <mergeCell ref="AH371:AJ371"/>
    <mergeCell ref="D372:K372"/>
    <mergeCell ref="T372:W372"/>
    <mergeCell ref="X372:AA372"/>
    <mergeCell ref="AB372:AD372"/>
    <mergeCell ref="AE372:AG372"/>
    <mergeCell ref="AK372:AM372"/>
    <mergeCell ref="BI372:BV372"/>
    <mergeCell ref="D373:K373"/>
    <mergeCell ref="T373:W373"/>
    <mergeCell ref="X373:AA373"/>
    <mergeCell ref="AB373:AD373"/>
    <mergeCell ref="AE373:AG373"/>
    <mergeCell ref="AK373:AM373"/>
    <mergeCell ref="BI373:BV373"/>
    <mergeCell ref="L372:O372"/>
    <mergeCell ref="L373:O373"/>
    <mergeCell ref="P372:S372"/>
    <mergeCell ref="P373:S373"/>
    <mergeCell ref="AH372:AJ372"/>
    <mergeCell ref="AH373:AJ373"/>
    <mergeCell ref="D374:K374"/>
    <mergeCell ref="T374:W374"/>
    <mergeCell ref="X374:AA374"/>
    <mergeCell ref="AB374:AD374"/>
    <mergeCell ref="AE374:AG374"/>
    <mergeCell ref="AK374:AM374"/>
    <mergeCell ref="BI374:BV374"/>
    <mergeCell ref="D375:K375"/>
    <mergeCell ref="T375:W375"/>
    <mergeCell ref="X375:AA375"/>
    <mergeCell ref="AB375:AD375"/>
    <mergeCell ref="AE375:AG375"/>
    <mergeCell ref="AK375:AM375"/>
    <mergeCell ref="BI375:BV375"/>
    <mergeCell ref="L374:O374"/>
    <mergeCell ref="L375:O375"/>
    <mergeCell ref="P374:S374"/>
    <mergeCell ref="P375:S375"/>
    <mergeCell ref="AH374:AJ374"/>
    <mergeCell ref="AH375:AJ375"/>
    <mergeCell ref="D376:K376"/>
    <mergeCell ref="T376:W376"/>
    <mergeCell ref="X376:AA376"/>
    <mergeCell ref="AB376:AD376"/>
    <mergeCell ref="AE376:AG376"/>
    <mergeCell ref="AK376:AM376"/>
    <mergeCell ref="BI376:BV376"/>
    <mergeCell ref="D377:K377"/>
    <mergeCell ref="T377:W377"/>
    <mergeCell ref="X377:AA377"/>
    <mergeCell ref="AB377:AD377"/>
    <mergeCell ref="AE377:AG377"/>
    <mergeCell ref="AK377:AM377"/>
    <mergeCell ref="BI377:BV377"/>
    <mergeCell ref="L376:O376"/>
    <mergeCell ref="L377:O377"/>
    <mergeCell ref="P376:S376"/>
    <mergeCell ref="P377:S377"/>
    <mergeCell ref="AH376:AJ376"/>
    <mergeCell ref="AH377:AJ377"/>
    <mergeCell ref="D378:K378"/>
    <mergeCell ref="T378:W378"/>
    <mergeCell ref="X378:AA378"/>
    <mergeCell ref="AB378:AD378"/>
    <mergeCell ref="AE378:AG378"/>
    <mergeCell ref="AK378:AM378"/>
    <mergeCell ref="BI378:BV378"/>
    <mergeCell ref="D379:K379"/>
    <mergeCell ref="T379:W379"/>
    <mergeCell ref="X379:AA379"/>
    <mergeCell ref="AB379:AD379"/>
    <mergeCell ref="AE379:AG379"/>
    <mergeCell ref="AK379:AM379"/>
    <mergeCell ref="BI379:BV379"/>
    <mergeCell ref="L378:O378"/>
    <mergeCell ref="L379:O379"/>
    <mergeCell ref="P378:S378"/>
    <mergeCell ref="P379:S379"/>
    <mergeCell ref="AH378:AJ378"/>
    <mergeCell ref="AH379:AJ379"/>
    <mergeCell ref="D380:K380"/>
    <mergeCell ref="T380:W380"/>
    <mergeCell ref="X380:AA380"/>
    <mergeCell ref="AB380:AD380"/>
    <mergeCell ref="AE380:AG380"/>
    <mergeCell ref="AK380:AM380"/>
    <mergeCell ref="BI380:BV380"/>
    <mergeCell ref="D381:K381"/>
    <mergeCell ref="T381:W381"/>
    <mergeCell ref="X381:AA381"/>
    <mergeCell ref="AB381:AD381"/>
    <mergeCell ref="AE381:AG381"/>
    <mergeCell ref="AK381:AM381"/>
    <mergeCell ref="BI381:BV381"/>
    <mergeCell ref="L380:O380"/>
    <mergeCell ref="L381:O381"/>
    <mergeCell ref="P380:S380"/>
    <mergeCell ref="P381:S381"/>
    <mergeCell ref="AH380:AJ380"/>
    <mergeCell ref="AH381:AJ381"/>
    <mergeCell ref="D382:K382"/>
    <mergeCell ref="T382:W382"/>
    <mergeCell ref="X382:AA382"/>
    <mergeCell ref="AB382:AD382"/>
    <mergeCell ref="AE382:AG382"/>
    <mergeCell ref="AK382:AM382"/>
    <mergeCell ref="BI382:BV382"/>
    <mergeCell ref="D383:K383"/>
    <mergeCell ref="T383:W383"/>
    <mergeCell ref="X383:AA383"/>
    <mergeCell ref="AB383:AD383"/>
    <mergeCell ref="AE383:AG383"/>
    <mergeCell ref="AK383:AM383"/>
    <mergeCell ref="BI383:BV383"/>
    <mergeCell ref="L382:O382"/>
    <mergeCell ref="L383:O383"/>
    <mergeCell ref="P382:S382"/>
    <mergeCell ref="P383:S383"/>
    <mergeCell ref="AH382:AJ382"/>
    <mergeCell ref="AH383:AJ383"/>
    <mergeCell ref="D384:K384"/>
    <mergeCell ref="T384:W384"/>
    <mergeCell ref="X384:AA384"/>
    <mergeCell ref="AB384:AD384"/>
    <mergeCell ref="AE384:AG384"/>
    <mergeCell ref="AK384:AM384"/>
    <mergeCell ref="BI384:BV384"/>
    <mergeCell ref="D385:K385"/>
    <mergeCell ref="T385:W385"/>
    <mergeCell ref="X385:AA385"/>
    <mergeCell ref="AB385:AD385"/>
    <mergeCell ref="AE385:AG385"/>
    <mergeCell ref="AK385:AM385"/>
    <mergeCell ref="BI385:BV385"/>
    <mergeCell ref="L384:O384"/>
    <mergeCell ref="L385:O385"/>
    <mergeCell ref="P384:S384"/>
    <mergeCell ref="P385:S385"/>
    <mergeCell ref="AH384:AJ384"/>
    <mergeCell ref="AH385:AJ385"/>
    <mergeCell ref="D386:K386"/>
    <mergeCell ref="T386:W386"/>
    <mergeCell ref="X386:AA386"/>
    <mergeCell ref="AB386:AD386"/>
    <mergeCell ref="AE386:AG386"/>
    <mergeCell ref="AK386:AM386"/>
    <mergeCell ref="BI386:BV386"/>
    <mergeCell ref="D387:K387"/>
    <mergeCell ref="T387:W387"/>
    <mergeCell ref="X387:AA387"/>
    <mergeCell ref="AB387:AD387"/>
    <mergeCell ref="AE387:AG387"/>
    <mergeCell ref="AK387:AM387"/>
    <mergeCell ref="BI387:BV387"/>
    <mergeCell ref="L386:O386"/>
    <mergeCell ref="L387:O387"/>
    <mergeCell ref="P386:S386"/>
    <mergeCell ref="P387:S387"/>
    <mergeCell ref="AH386:AJ386"/>
    <mergeCell ref="AH387:AJ387"/>
    <mergeCell ref="D388:K388"/>
    <mergeCell ref="T388:W388"/>
    <mergeCell ref="X388:AA388"/>
    <mergeCell ref="AB388:AD388"/>
    <mergeCell ref="AE388:AG388"/>
    <mergeCell ref="AK388:AM388"/>
    <mergeCell ref="BI388:BV388"/>
    <mergeCell ref="D389:K389"/>
    <mergeCell ref="T389:W389"/>
    <mergeCell ref="X389:AA389"/>
    <mergeCell ref="AB389:AD389"/>
    <mergeCell ref="AE389:AG389"/>
    <mergeCell ref="AK389:AM389"/>
    <mergeCell ref="BI389:BV389"/>
    <mergeCell ref="L388:O388"/>
    <mergeCell ref="L389:O389"/>
    <mergeCell ref="P388:S388"/>
    <mergeCell ref="P389:S389"/>
    <mergeCell ref="AH388:AJ388"/>
    <mergeCell ref="AH389:AJ389"/>
    <mergeCell ref="D390:K390"/>
    <mergeCell ref="T390:W390"/>
    <mergeCell ref="X390:AA390"/>
    <mergeCell ref="AB390:AD390"/>
    <mergeCell ref="AE390:AG390"/>
    <mergeCell ref="AK390:AM390"/>
    <mergeCell ref="BI390:BV390"/>
    <mergeCell ref="D391:K391"/>
    <mergeCell ref="T391:W391"/>
    <mergeCell ref="X391:AA391"/>
    <mergeCell ref="AB391:AD391"/>
    <mergeCell ref="AE391:AG391"/>
    <mergeCell ref="AK391:AM391"/>
    <mergeCell ref="BI391:BV391"/>
    <mergeCell ref="L390:O390"/>
    <mergeCell ref="L391:O391"/>
    <mergeCell ref="P390:S390"/>
    <mergeCell ref="P391:S391"/>
    <mergeCell ref="AH390:AJ390"/>
    <mergeCell ref="AH391:AJ391"/>
    <mergeCell ref="D392:K392"/>
    <mergeCell ref="T392:W392"/>
    <mergeCell ref="X392:AA392"/>
    <mergeCell ref="AB392:AD392"/>
    <mergeCell ref="AE392:AG392"/>
    <mergeCell ref="AK392:AM392"/>
    <mergeCell ref="BI392:BV392"/>
    <mergeCell ref="D393:K393"/>
    <mergeCell ref="T393:W393"/>
    <mergeCell ref="X393:AA393"/>
    <mergeCell ref="AB393:AD393"/>
    <mergeCell ref="AE393:AG393"/>
    <mergeCell ref="AK393:AM393"/>
    <mergeCell ref="BI393:BV393"/>
    <mergeCell ref="L392:O392"/>
    <mergeCell ref="L393:O393"/>
    <mergeCell ref="P392:S392"/>
    <mergeCell ref="P393:S393"/>
    <mergeCell ref="AH392:AJ392"/>
    <mergeCell ref="AH393:AJ393"/>
    <mergeCell ref="D394:K394"/>
    <mergeCell ref="T394:W394"/>
    <mergeCell ref="X394:AA394"/>
    <mergeCell ref="AB394:AD394"/>
    <mergeCell ref="AE394:AG394"/>
    <mergeCell ref="AK394:AM394"/>
    <mergeCell ref="BI394:BV394"/>
    <mergeCell ref="D395:K395"/>
    <mergeCell ref="T395:W395"/>
    <mergeCell ref="X395:AA395"/>
    <mergeCell ref="AB395:AD395"/>
    <mergeCell ref="AE395:AG395"/>
    <mergeCell ref="AK395:AM395"/>
    <mergeCell ref="BI395:BV395"/>
    <mergeCell ref="L394:O394"/>
    <mergeCell ref="L395:O395"/>
    <mergeCell ref="P394:S394"/>
    <mergeCell ref="P395:S395"/>
    <mergeCell ref="AH394:AJ394"/>
    <mergeCell ref="AH395:AJ395"/>
    <mergeCell ref="D396:K396"/>
    <mergeCell ref="T396:W396"/>
    <mergeCell ref="X396:AA396"/>
    <mergeCell ref="AB396:AD396"/>
    <mergeCell ref="AE396:AG396"/>
    <mergeCell ref="AK396:AM396"/>
    <mergeCell ref="BI396:BV396"/>
    <mergeCell ref="D397:K397"/>
    <mergeCell ref="T397:W397"/>
    <mergeCell ref="X397:AA397"/>
    <mergeCell ref="AB397:AD397"/>
    <mergeCell ref="AE397:AG397"/>
    <mergeCell ref="AK397:AM397"/>
    <mergeCell ref="BI397:BV397"/>
    <mergeCell ref="L396:O396"/>
    <mergeCell ref="L397:O397"/>
    <mergeCell ref="P396:S396"/>
    <mergeCell ref="P397:S397"/>
    <mergeCell ref="AH396:AJ396"/>
    <mergeCell ref="AH397:AJ397"/>
    <mergeCell ref="D398:K398"/>
    <mergeCell ref="T398:W398"/>
    <mergeCell ref="X398:AA398"/>
    <mergeCell ref="AB398:AD398"/>
    <mergeCell ref="AE398:AG398"/>
    <mergeCell ref="AK398:AM398"/>
    <mergeCell ref="BI398:BV398"/>
    <mergeCell ref="D399:K399"/>
    <mergeCell ref="T399:W399"/>
    <mergeCell ref="X399:AA399"/>
    <mergeCell ref="AB399:AD399"/>
    <mergeCell ref="AE399:AG399"/>
    <mergeCell ref="AK399:AM399"/>
    <mergeCell ref="BI399:BV399"/>
    <mergeCell ref="L398:O398"/>
    <mergeCell ref="L399:O399"/>
    <mergeCell ref="P398:S398"/>
    <mergeCell ref="P399:S399"/>
    <mergeCell ref="AH398:AJ398"/>
    <mergeCell ref="AH399:AJ399"/>
    <mergeCell ref="D400:K400"/>
    <mergeCell ref="T400:W400"/>
    <mergeCell ref="X400:AA400"/>
    <mergeCell ref="AB400:AD400"/>
    <mergeCell ref="AE400:AG400"/>
    <mergeCell ref="AK400:AM400"/>
    <mergeCell ref="BI400:BV400"/>
    <mergeCell ref="D401:K401"/>
    <mergeCell ref="T401:W401"/>
    <mergeCell ref="X401:AA401"/>
    <mergeCell ref="AB401:AD401"/>
    <mergeCell ref="AE401:AG401"/>
    <mergeCell ref="AK401:AM401"/>
    <mergeCell ref="BI401:BV401"/>
    <mergeCell ref="L400:O400"/>
    <mergeCell ref="L401:O401"/>
    <mergeCell ref="P400:S400"/>
    <mergeCell ref="P401:S401"/>
    <mergeCell ref="AH400:AJ400"/>
    <mergeCell ref="AH401:AJ401"/>
    <mergeCell ref="D402:K402"/>
    <mergeCell ref="T402:W402"/>
    <mergeCell ref="X402:AA402"/>
    <mergeCell ref="AB402:AD402"/>
    <mergeCell ref="AE402:AG402"/>
    <mergeCell ref="AK402:AM402"/>
    <mergeCell ref="BI402:BV402"/>
    <mergeCell ref="D403:K403"/>
    <mergeCell ref="T403:W403"/>
    <mergeCell ref="X403:AA403"/>
    <mergeCell ref="AB403:AD403"/>
    <mergeCell ref="AE403:AG403"/>
    <mergeCell ref="AK403:AM403"/>
    <mergeCell ref="BI403:BV403"/>
    <mergeCell ref="L402:O402"/>
    <mergeCell ref="L403:O403"/>
    <mergeCell ref="P402:S402"/>
    <mergeCell ref="P403:S403"/>
    <mergeCell ref="AH402:AJ402"/>
    <mergeCell ref="AH403:AJ403"/>
    <mergeCell ref="D404:K404"/>
    <mergeCell ref="T404:W404"/>
    <mergeCell ref="X404:AA404"/>
    <mergeCell ref="AB404:AD404"/>
    <mergeCell ref="AE404:AG404"/>
    <mergeCell ref="AK404:AM404"/>
    <mergeCell ref="BI404:BV404"/>
    <mergeCell ref="D405:K405"/>
    <mergeCell ref="T405:W405"/>
    <mergeCell ref="X405:AA405"/>
    <mergeCell ref="AB405:AD405"/>
    <mergeCell ref="AE405:AG405"/>
    <mergeCell ref="AK405:AM405"/>
    <mergeCell ref="BI405:BV405"/>
    <mergeCell ref="L404:O404"/>
    <mergeCell ref="L405:O405"/>
    <mergeCell ref="P404:S404"/>
    <mergeCell ref="P405:S405"/>
    <mergeCell ref="AH404:AJ404"/>
    <mergeCell ref="AH405:AJ405"/>
    <mergeCell ref="D406:K406"/>
    <mergeCell ref="T406:W406"/>
    <mergeCell ref="X406:AA406"/>
    <mergeCell ref="AB406:AD406"/>
    <mergeCell ref="AE406:AG406"/>
    <mergeCell ref="AK406:AM406"/>
    <mergeCell ref="BI406:BV406"/>
    <mergeCell ref="D407:K407"/>
    <mergeCell ref="T407:W407"/>
    <mergeCell ref="X407:AA407"/>
    <mergeCell ref="AB407:AD407"/>
    <mergeCell ref="AE407:AG407"/>
    <mergeCell ref="AK407:AM407"/>
    <mergeCell ref="BI407:BV407"/>
    <mergeCell ref="L406:O406"/>
    <mergeCell ref="L407:O407"/>
    <mergeCell ref="P406:S406"/>
    <mergeCell ref="P407:S407"/>
    <mergeCell ref="AH406:AJ406"/>
    <mergeCell ref="AH407:AJ407"/>
    <mergeCell ref="D408:K408"/>
    <mergeCell ref="T408:W408"/>
    <mergeCell ref="X408:AA408"/>
    <mergeCell ref="AB408:AD408"/>
    <mergeCell ref="AE408:AG408"/>
    <mergeCell ref="AK408:AM408"/>
    <mergeCell ref="BI408:BV408"/>
    <mergeCell ref="D409:K409"/>
    <mergeCell ref="T409:W409"/>
    <mergeCell ref="X409:AA409"/>
    <mergeCell ref="AB409:AD409"/>
    <mergeCell ref="AE409:AG409"/>
    <mergeCell ref="AK409:AM409"/>
    <mergeCell ref="BI409:BV409"/>
    <mergeCell ref="L408:O408"/>
    <mergeCell ref="L409:O409"/>
    <mergeCell ref="P408:S408"/>
    <mergeCell ref="P409:S409"/>
    <mergeCell ref="AH408:AJ408"/>
    <mergeCell ref="AH409:AJ409"/>
    <mergeCell ref="D410:K410"/>
    <mergeCell ref="T410:W410"/>
    <mergeCell ref="X410:AA410"/>
    <mergeCell ref="AB410:AD410"/>
    <mergeCell ref="AE410:AG410"/>
    <mergeCell ref="AK410:AM410"/>
    <mergeCell ref="BI410:BV410"/>
    <mergeCell ref="D411:K411"/>
    <mergeCell ref="T411:W411"/>
    <mergeCell ref="X411:AA411"/>
    <mergeCell ref="AB411:AD411"/>
    <mergeCell ref="AE411:AG411"/>
    <mergeCell ref="AK411:AM411"/>
    <mergeCell ref="BI411:BV411"/>
    <mergeCell ref="L410:O410"/>
    <mergeCell ref="L411:O411"/>
    <mergeCell ref="P410:S410"/>
    <mergeCell ref="P411:S411"/>
    <mergeCell ref="AH410:AJ410"/>
    <mergeCell ref="AH411:AJ411"/>
    <mergeCell ref="D412:K412"/>
    <mergeCell ref="T412:W412"/>
    <mergeCell ref="X412:AA412"/>
    <mergeCell ref="AB412:AD412"/>
    <mergeCell ref="AE412:AG412"/>
    <mergeCell ref="AK412:AM412"/>
    <mergeCell ref="BI412:BV412"/>
    <mergeCell ref="D413:K413"/>
    <mergeCell ref="T413:W413"/>
    <mergeCell ref="X413:AA413"/>
    <mergeCell ref="AB413:AD413"/>
    <mergeCell ref="AE413:AG413"/>
    <mergeCell ref="AK413:AM413"/>
    <mergeCell ref="BI413:BV413"/>
    <mergeCell ref="L412:O412"/>
    <mergeCell ref="L413:O413"/>
    <mergeCell ref="P412:S412"/>
    <mergeCell ref="P413:S413"/>
    <mergeCell ref="AH412:AJ412"/>
    <mergeCell ref="AH413:AJ413"/>
    <mergeCell ref="D414:K414"/>
    <mergeCell ref="T414:W414"/>
    <mergeCell ref="X414:AA414"/>
    <mergeCell ref="AB414:AD414"/>
    <mergeCell ref="AE414:AG414"/>
    <mergeCell ref="AK414:AM414"/>
    <mergeCell ref="BI414:BV414"/>
    <mergeCell ref="D415:K415"/>
    <mergeCell ref="T415:W415"/>
    <mergeCell ref="X415:AA415"/>
    <mergeCell ref="AB415:AD415"/>
    <mergeCell ref="AE415:AG415"/>
    <mergeCell ref="AK415:AM415"/>
    <mergeCell ref="BI415:BV415"/>
    <mergeCell ref="L414:O414"/>
    <mergeCell ref="L415:O415"/>
    <mergeCell ref="P414:S414"/>
    <mergeCell ref="P415:S415"/>
    <mergeCell ref="AH414:AJ414"/>
    <mergeCell ref="AH415:AJ415"/>
    <mergeCell ref="D416:K416"/>
    <mergeCell ref="T416:W416"/>
    <mergeCell ref="X416:AA416"/>
    <mergeCell ref="AB416:AD416"/>
    <mergeCell ref="AE416:AG416"/>
    <mergeCell ref="AK416:AM416"/>
    <mergeCell ref="BI416:BV416"/>
    <mergeCell ref="D417:K417"/>
    <mergeCell ref="T417:W417"/>
    <mergeCell ref="X417:AA417"/>
    <mergeCell ref="AB417:AD417"/>
    <mergeCell ref="AE417:AG417"/>
    <mergeCell ref="AK417:AM417"/>
    <mergeCell ref="BI417:BV417"/>
    <mergeCell ref="L416:O416"/>
    <mergeCell ref="L417:O417"/>
    <mergeCell ref="P416:S416"/>
    <mergeCell ref="P417:S417"/>
    <mergeCell ref="AH416:AJ416"/>
    <mergeCell ref="AH417:AJ417"/>
    <mergeCell ref="D418:K418"/>
    <mergeCell ref="T418:W418"/>
    <mergeCell ref="X418:AA418"/>
    <mergeCell ref="AB418:AD418"/>
    <mergeCell ref="AE418:AG418"/>
    <mergeCell ref="AK418:AM418"/>
    <mergeCell ref="BI418:BV418"/>
    <mergeCell ref="D419:K419"/>
    <mergeCell ref="T419:W419"/>
    <mergeCell ref="X419:AA419"/>
    <mergeCell ref="AB419:AD419"/>
    <mergeCell ref="AE419:AG419"/>
    <mergeCell ref="AK419:AM419"/>
    <mergeCell ref="BI419:BV419"/>
    <mergeCell ref="L418:O418"/>
    <mergeCell ref="L419:O419"/>
    <mergeCell ref="P418:S418"/>
    <mergeCell ref="P419:S419"/>
    <mergeCell ref="AH418:AJ418"/>
    <mergeCell ref="AH419:AJ419"/>
    <mergeCell ref="D420:K420"/>
    <mergeCell ref="T420:W420"/>
    <mergeCell ref="X420:AA420"/>
    <mergeCell ref="AB420:AD420"/>
    <mergeCell ref="AE420:AG420"/>
    <mergeCell ref="AK420:AM420"/>
    <mergeCell ref="BI420:BV420"/>
    <mergeCell ref="D421:K421"/>
    <mergeCell ref="T421:W421"/>
    <mergeCell ref="X421:AA421"/>
    <mergeCell ref="AB421:AD421"/>
    <mergeCell ref="AE421:AG421"/>
    <mergeCell ref="AK421:AM421"/>
    <mergeCell ref="BI421:BV421"/>
    <mergeCell ref="L420:O420"/>
    <mergeCell ref="L421:O421"/>
    <mergeCell ref="P420:S420"/>
    <mergeCell ref="P421:S421"/>
    <mergeCell ref="AH420:AJ420"/>
    <mergeCell ref="AH421:AJ421"/>
    <mergeCell ref="D422:K422"/>
    <mergeCell ref="T422:W422"/>
    <mergeCell ref="X422:AA422"/>
    <mergeCell ref="AB422:AD422"/>
    <mergeCell ref="AE422:AG422"/>
    <mergeCell ref="AK422:AM422"/>
    <mergeCell ref="BI422:BV422"/>
    <mergeCell ref="D423:K423"/>
    <mergeCell ref="T423:W423"/>
    <mergeCell ref="X423:AA423"/>
    <mergeCell ref="AB423:AD423"/>
    <mergeCell ref="AE423:AG423"/>
    <mergeCell ref="AK423:AM423"/>
    <mergeCell ref="BI423:BV423"/>
    <mergeCell ref="L422:O422"/>
    <mergeCell ref="L423:O423"/>
    <mergeCell ref="P422:S422"/>
    <mergeCell ref="P423:S423"/>
    <mergeCell ref="AH422:AJ422"/>
    <mergeCell ref="AH423:AJ423"/>
    <mergeCell ref="D424:K424"/>
    <mergeCell ref="T424:W424"/>
    <mergeCell ref="X424:AA424"/>
    <mergeCell ref="AB424:AD424"/>
    <mergeCell ref="AE424:AG424"/>
    <mergeCell ref="AK424:AM424"/>
    <mergeCell ref="BI424:BV424"/>
    <mergeCell ref="D425:K425"/>
    <mergeCell ref="T425:W425"/>
    <mergeCell ref="X425:AA425"/>
    <mergeCell ref="AB425:AD425"/>
    <mergeCell ref="AE425:AG425"/>
    <mergeCell ref="AK425:AM425"/>
    <mergeCell ref="BI425:BV425"/>
    <mergeCell ref="L424:O424"/>
    <mergeCell ref="L425:O425"/>
    <mergeCell ref="P424:S424"/>
    <mergeCell ref="P425:S425"/>
    <mergeCell ref="AH424:AJ424"/>
    <mergeCell ref="AH425:AJ425"/>
    <mergeCell ref="D426:K426"/>
    <mergeCell ref="T426:W426"/>
    <mergeCell ref="X426:AA426"/>
    <mergeCell ref="AB426:AD426"/>
    <mergeCell ref="AE426:AG426"/>
    <mergeCell ref="AK426:AM426"/>
    <mergeCell ref="BI426:BV426"/>
    <mergeCell ref="D427:K427"/>
    <mergeCell ref="T427:W427"/>
    <mergeCell ref="X427:AA427"/>
    <mergeCell ref="AB427:AD427"/>
    <mergeCell ref="AE427:AG427"/>
    <mergeCell ref="AK427:AM427"/>
    <mergeCell ref="BI427:BV427"/>
    <mergeCell ref="L426:O426"/>
    <mergeCell ref="L427:O427"/>
    <mergeCell ref="P426:S426"/>
    <mergeCell ref="P427:S427"/>
    <mergeCell ref="AH426:AJ426"/>
    <mergeCell ref="AH427:AJ427"/>
    <mergeCell ref="D428:K428"/>
    <mergeCell ref="T428:W428"/>
    <mergeCell ref="X428:AA428"/>
    <mergeCell ref="AB428:AD428"/>
    <mergeCell ref="AE428:AG428"/>
    <mergeCell ref="AK428:AM428"/>
    <mergeCell ref="BI428:BV428"/>
    <mergeCell ref="D429:K429"/>
    <mergeCell ref="T429:W429"/>
    <mergeCell ref="X429:AA429"/>
    <mergeCell ref="AB429:AD429"/>
    <mergeCell ref="AE429:AG429"/>
    <mergeCell ref="AK429:AM429"/>
    <mergeCell ref="BI429:BV429"/>
    <mergeCell ref="L428:O428"/>
    <mergeCell ref="L429:O429"/>
    <mergeCell ref="P428:S428"/>
    <mergeCell ref="P429:S429"/>
    <mergeCell ref="AH428:AJ428"/>
    <mergeCell ref="AH429:AJ429"/>
    <mergeCell ref="D430:K430"/>
    <mergeCell ref="T430:W430"/>
    <mergeCell ref="X430:AA430"/>
    <mergeCell ref="AB430:AD430"/>
    <mergeCell ref="AE430:AG430"/>
    <mergeCell ref="AK430:AM430"/>
    <mergeCell ref="BI430:BV430"/>
    <mergeCell ref="D431:K431"/>
    <mergeCell ref="T431:W431"/>
    <mergeCell ref="X431:AA431"/>
    <mergeCell ref="AB431:AD431"/>
    <mergeCell ref="AE431:AG431"/>
    <mergeCell ref="AK431:AM431"/>
    <mergeCell ref="BI431:BV431"/>
    <mergeCell ref="L430:O430"/>
    <mergeCell ref="L431:O431"/>
    <mergeCell ref="P430:S430"/>
    <mergeCell ref="P431:S431"/>
    <mergeCell ref="AH430:AJ430"/>
    <mergeCell ref="AH431:AJ431"/>
    <mergeCell ref="D432:K432"/>
    <mergeCell ref="T432:W432"/>
    <mergeCell ref="X432:AA432"/>
    <mergeCell ref="AB432:AD432"/>
    <mergeCell ref="AE432:AG432"/>
    <mergeCell ref="AK432:AM432"/>
    <mergeCell ref="BI432:BV432"/>
    <mergeCell ref="D433:K433"/>
    <mergeCell ref="T433:W433"/>
    <mergeCell ref="X433:AA433"/>
    <mergeCell ref="AB433:AD433"/>
    <mergeCell ref="AE433:AG433"/>
    <mergeCell ref="AK433:AM433"/>
    <mergeCell ref="BI433:BV433"/>
    <mergeCell ref="L432:O432"/>
    <mergeCell ref="L433:O433"/>
    <mergeCell ref="P432:S432"/>
    <mergeCell ref="P433:S433"/>
    <mergeCell ref="AH432:AJ432"/>
    <mergeCell ref="AH433:AJ433"/>
    <mergeCell ref="D434:K434"/>
    <mergeCell ref="T434:W434"/>
    <mergeCell ref="X434:AA434"/>
    <mergeCell ref="AB434:AD434"/>
    <mergeCell ref="AE434:AG434"/>
    <mergeCell ref="AK434:AM434"/>
    <mergeCell ref="BI434:BV434"/>
    <mergeCell ref="D435:K435"/>
    <mergeCell ref="T435:W435"/>
    <mergeCell ref="X435:AA435"/>
    <mergeCell ref="AB435:AD435"/>
    <mergeCell ref="AE435:AG435"/>
    <mergeCell ref="AK435:AM435"/>
    <mergeCell ref="BI435:BV435"/>
    <mergeCell ref="L434:O434"/>
    <mergeCell ref="L435:O435"/>
    <mergeCell ref="P434:S434"/>
    <mergeCell ref="P435:S435"/>
    <mergeCell ref="AH434:AJ434"/>
    <mergeCell ref="AH435:AJ435"/>
    <mergeCell ref="D436:K436"/>
    <mergeCell ref="T436:W436"/>
    <mergeCell ref="X436:AA436"/>
    <mergeCell ref="AB436:AD436"/>
    <mergeCell ref="AE436:AG436"/>
    <mergeCell ref="AK436:AM436"/>
    <mergeCell ref="BI436:BV436"/>
    <mergeCell ref="D437:K437"/>
    <mergeCell ref="T437:W437"/>
    <mergeCell ref="X437:AA437"/>
    <mergeCell ref="AB437:AD437"/>
    <mergeCell ref="AE437:AG437"/>
    <mergeCell ref="AK437:AM437"/>
    <mergeCell ref="BI437:BV437"/>
    <mergeCell ref="L436:O436"/>
    <mergeCell ref="L437:O437"/>
    <mergeCell ref="P436:S436"/>
    <mergeCell ref="P437:S437"/>
    <mergeCell ref="AH436:AJ436"/>
    <mergeCell ref="AH437:AJ437"/>
    <mergeCell ref="D438:K438"/>
    <mergeCell ref="T438:W438"/>
    <mergeCell ref="X438:AA438"/>
    <mergeCell ref="AB438:AD438"/>
    <mergeCell ref="AE438:AG438"/>
    <mergeCell ref="AK438:AM438"/>
    <mergeCell ref="BI438:BV438"/>
    <mergeCell ref="D439:K439"/>
    <mergeCell ref="T439:W439"/>
    <mergeCell ref="X439:AA439"/>
    <mergeCell ref="AB439:AD439"/>
    <mergeCell ref="AE439:AG439"/>
    <mergeCell ref="AK439:AM439"/>
    <mergeCell ref="BI439:BV439"/>
    <mergeCell ref="L438:O438"/>
    <mergeCell ref="L439:O439"/>
    <mergeCell ref="P438:S438"/>
    <mergeCell ref="P439:S439"/>
    <mergeCell ref="AH438:AJ438"/>
    <mergeCell ref="AH439:AJ439"/>
    <mergeCell ref="D440:K440"/>
    <mergeCell ref="T440:W440"/>
    <mergeCell ref="X440:AA440"/>
    <mergeCell ref="AB440:AD440"/>
    <mergeCell ref="AE440:AG440"/>
    <mergeCell ref="AK440:AM440"/>
    <mergeCell ref="BI440:BV440"/>
    <mergeCell ref="D441:K441"/>
    <mergeCell ref="T441:W441"/>
    <mergeCell ref="X441:AA441"/>
    <mergeCell ref="AB441:AD441"/>
    <mergeCell ref="AE441:AG441"/>
    <mergeCell ref="AK441:AM441"/>
    <mergeCell ref="BI441:BV441"/>
    <mergeCell ref="L440:O440"/>
    <mergeCell ref="L441:O441"/>
    <mergeCell ref="P440:S440"/>
    <mergeCell ref="P441:S441"/>
    <mergeCell ref="AH440:AJ440"/>
    <mergeCell ref="AH441:AJ441"/>
    <mergeCell ref="D442:K442"/>
    <mergeCell ref="T442:W442"/>
    <mergeCell ref="X442:AA442"/>
    <mergeCell ref="AB442:AD442"/>
    <mergeCell ref="AE442:AG442"/>
    <mergeCell ref="AK442:AM442"/>
    <mergeCell ref="BI442:BV442"/>
    <mergeCell ref="D443:K443"/>
    <mergeCell ref="T443:W443"/>
    <mergeCell ref="X443:AA443"/>
    <mergeCell ref="AB443:AD443"/>
    <mergeCell ref="AE443:AG443"/>
    <mergeCell ref="AK443:AM443"/>
    <mergeCell ref="BI443:BV443"/>
    <mergeCell ref="L442:O442"/>
    <mergeCell ref="L443:O443"/>
    <mergeCell ref="P442:S442"/>
    <mergeCell ref="P443:S443"/>
    <mergeCell ref="AH442:AJ442"/>
    <mergeCell ref="AH443:AJ443"/>
    <mergeCell ref="D444:K444"/>
    <mergeCell ref="T444:W444"/>
    <mergeCell ref="X444:AA444"/>
    <mergeCell ref="AB444:AD444"/>
    <mergeCell ref="AE444:AG444"/>
    <mergeCell ref="AK444:AM444"/>
    <mergeCell ref="BI444:BV444"/>
    <mergeCell ref="D445:K445"/>
    <mergeCell ref="T445:W445"/>
    <mergeCell ref="X445:AA445"/>
    <mergeCell ref="AB445:AD445"/>
    <mergeCell ref="AE445:AG445"/>
    <mergeCell ref="AK445:AM445"/>
    <mergeCell ref="BI445:BV445"/>
    <mergeCell ref="L444:O444"/>
    <mergeCell ref="L445:O445"/>
    <mergeCell ref="P444:S444"/>
    <mergeCell ref="P445:S445"/>
    <mergeCell ref="AH444:AJ444"/>
    <mergeCell ref="AH445:AJ445"/>
    <mergeCell ref="D446:K446"/>
    <mergeCell ref="T446:W446"/>
    <mergeCell ref="X446:AA446"/>
    <mergeCell ref="AB446:AD446"/>
    <mergeCell ref="AE446:AG446"/>
    <mergeCell ref="AK446:AM446"/>
    <mergeCell ref="BI446:BV446"/>
    <mergeCell ref="D447:K447"/>
    <mergeCell ref="T447:W447"/>
    <mergeCell ref="X447:AA447"/>
    <mergeCell ref="AB447:AD447"/>
    <mergeCell ref="AE447:AG447"/>
    <mergeCell ref="AK447:AM447"/>
    <mergeCell ref="BI447:BV447"/>
    <mergeCell ref="L446:O446"/>
    <mergeCell ref="L447:O447"/>
    <mergeCell ref="P446:S446"/>
    <mergeCell ref="P447:S447"/>
    <mergeCell ref="AH446:AJ446"/>
    <mergeCell ref="AH447:AJ447"/>
    <mergeCell ref="D448:K448"/>
    <mergeCell ref="T448:W448"/>
    <mergeCell ref="X448:AA448"/>
    <mergeCell ref="AB448:AD448"/>
    <mergeCell ref="AE448:AG448"/>
    <mergeCell ref="AK448:AM448"/>
    <mergeCell ref="BI448:BV448"/>
    <mergeCell ref="D449:K449"/>
    <mergeCell ref="T449:W449"/>
    <mergeCell ref="X449:AA449"/>
    <mergeCell ref="AB449:AD449"/>
    <mergeCell ref="AE449:AG449"/>
    <mergeCell ref="AK449:AM449"/>
    <mergeCell ref="BI449:BV449"/>
    <mergeCell ref="L448:O448"/>
    <mergeCell ref="L449:O449"/>
    <mergeCell ref="P448:S448"/>
    <mergeCell ref="P449:S449"/>
    <mergeCell ref="AH448:AJ448"/>
    <mergeCell ref="AH449:AJ449"/>
    <mergeCell ref="D450:K450"/>
    <mergeCell ref="T450:W450"/>
    <mergeCell ref="X450:AA450"/>
    <mergeCell ref="AB450:AD450"/>
    <mergeCell ref="AE450:AG450"/>
    <mergeCell ref="AK450:AM450"/>
    <mergeCell ref="BI450:BV450"/>
    <mergeCell ref="D451:K451"/>
    <mergeCell ref="T451:W451"/>
    <mergeCell ref="X451:AA451"/>
    <mergeCell ref="AB451:AD451"/>
    <mergeCell ref="AE451:AG451"/>
    <mergeCell ref="AK451:AM451"/>
    <mergeCell ref="BI451:BV451"/>
    <mergeCell ref="L450:O450"/>
    <mergeCell ref="L451:O451"/>
    <mergeCell ref="P450:S450"/>
    <mergeCell ref="P451:S451"/>
    <mergeCell ref="AH450:AJ450"/>
    <mergeCell ref="AH451:AJ451"/>
    <mergeCell ref="D452:K452"/>
    <mergeCell ref="T452:W452"/>
    <mergeCell ref="X452:AA452"/>
    <mergeCell ref="AB452:AD452"/>
    <mergeCell ref="AE452:AG452"/>
    <mergeCell ref="AK452:AM452"/>
    <mergeCell ref="BI452:BV452"/>
    <mergeCell ref="D453:K453"/>
    <mergeCell ref="T453:W453"/>
    <mergeCell ref="X453:AA453"/>
    <mergeCell ref="AB453:AD453"/>
    <mergeCell ref="AE453:AG453"/>
    <mergeCell ref="AK453:AM453"/>
    <mergeCell ref="BI453:BV453"/>
    <mergeCell ref="L452:O452"/>
    <mergeCell ref="L453:O453"/>
    <mergeCell ref="P452:S452"/>
    <mergeCell ref="P453:S453"/>
    <mergeCell ref="AH452:AJ452"/>
    <mergeCell ref="AH453:AJ453"/>
    <mergeCell ref="D454:K454"/>
    <mergeCell ref="T454:W454"/>
    <mergeCell ref="X454:AA454"/>
    <mergeCell ref="AB454:AD454"/>
    <mergeCell ref="AE454:AG454"/>
    <mergeCell ref="AK454:AM454"/>
    <mergeCell ref="BI454:BV454"/>
    <mergeCell ref="D455:K455"/>
    <mergeCell ref="T455:W455"/>
    <mergeCell ref="X455:AA455"/>
    <mergeCell ref="AB455:AD455"/>
    <mergeCell ref="AE455:AG455"/>
    <mergeCell ref="AK455:AM455"/>
    <mergeCell ref="BI455:BV455"/>
    <mergeCell ref="L454:O454"/>
    <mergeCell ref="L455:O455"/>
    <mergeCell ref="P454:S454"/>
    <mergeCell ref="P455:S455"/>
    <mergeCell ref="AH454:AJ454"/>
    <mergeCell ref="AH455:AJ455"/>
    <mergeCell ref="D456:K456"/>
    <mergeCell ref="T456:W456"/>
    <mergeCell ref="X456:AA456"/>
    <mergeCell ref="AB456:AD456"/>
    <mergeCell ref="AE456:AG456"/>
    <mergeCell ref="AK456:AM456"/>
    <mergeCell ref="BI456:BV456"/>
    <mergeCell ref="D457:K457"/>
    <mergeCell ref="T457:W457"/>
    <mergeCell ref="X457:AA457"/>
    <mergeCell ref="AB457:AD457"/>
    <mergeCell ref="AE457:AG457"/>
    <mergeCell ref="AK457:AM457"/>
    <mergeCell ref="BI457:BV457"/>
    <mergeCell ref="L456:O456"/>
    <mergeCell ref="L457:O457"/>
    <mergeCell ref="P456:S456"/>
    <mergeCell ref="P457:S457"/>
    <mergeCell ref="AH456:AJ456"/>
    <mergeCell ref="AH457:AJ457"/>
    <mergeCell ref="D458:K458"/>
    <mergeCell ref="T458:W458"/>
    <mergeCell ref="X458:AA458"/>
    <mergeCell ref="AB458:AD458"/>
    <mergeCell ref="AE458:AG458"/>
    <mergeCell ref="AK458:AM458"/>
    <mergeCell ref="BI458:BV458"/>
    <mergeCell ref="D459:K459"/>
    <mergeCell ref="T459:W459"/>
    <mergeCell ref="X459:AA459"/>
    <mergeCell ref="AB459:AD459"/>
    <mergeCell ref="AE459:AG459"/>
    <mergeCell ref="AK459:AM459"/>
    <mergeCell ref="BI459:BV459"/>
    <mergeCell ref="L458:O458"/>
    <mergeCell ref="L459:O459"/>
    <mergeCell ref="P458:S458"/>
    <mergeCell ref="P459:S459"/>
    <mergeCell ref="AH458:AJ458"/>
    <mergeCell ref="AH459:AJ459"/>
    <mergeCell ref="D460:K460"/>
    <mergeCell ref="T460:W460"/>
    <mergeCell ref="X460:AA460"/>
    <mergeCell ref="AB460:AD460"/>
    <mergeCell ref="AE460:AG460"/>
    <mergeCell ref="AK460:AM460"/>
    <mergeCell ref="BI460:BV460"/>
    <mergeCell ref="D461:K461"/>
    <mergeCell ref="T461:W461"/>
    <mergeCell ref="X461:AA461"/>
    <mergeCell ref="AB461:AD461"/>
    <mergeCell ref="AE461:AG461"/>
    <mergeCell ref="AK461:AM461"/>
    <mergeCell ref="BI461:BV461"/>
    <mergeCell ref="L460:O460"/>
    <mergeCell ref="L461:O461"/>
    <mergeCell ref="P460:S460"/>
    <mergeCell ref="P461:S461"/>
    <mergeCell ref="AH460:AJ460"/>
    <mergeCell ref="AH461:AJ461"/>
    <mergeCell ref="D462:K462"/>
    <mergeCell ref="T462:W462"/>
    <mergeCell ref="X462:AA462"/>
    <mergeCell ref="AB462:AD462"/>
    <mergeCell ref="AE462:AG462"/>
    <mergeCell ref="AK462:AM462"/>
    <mergeCell ref="BI462:BV462"/>
    <mergeCell ref="D463:K463"/>
    <mergeCell ref="T463:W463"/>
    <mergeCell ref="X463:AA463"/>
    <mergeCell ref="AB463:AD463"/>
    <mergeCell ref="AE463:AG463"/>
    <mergeCell ref="AK463:AM463"/>
    <mergeCell ref="BI463:BV463"/>
    <mergeCell ref="L462:O462"/>
    <mergeCell ref="L463:O463"/>
    <mergeCell ref="P462:S462"/>
    <mergeCell ref="P463:S463"/>
    <mergeCell ref="AH462:AJ462"/>
    <mergeCell ref="AH463:AJ463"/>
    <mergeCell ref="D464:K464"/>
    <mergeCell ref="T464:W464"/>
    <mergeCell ref="X464:AA464"/>
    <mergeCell ref="AB464:AD464"/>
    <mergeCell ref="AE464:AG464"/>
    <mergeCell ref="AK464:AM464"/>
    <mergeCell ref="BI464:BV464"/>
    <mergeCell ref="D465:K465"/>
    <mergeCell ref="T465:W465"/>
    <mergeCell ref="X465:AA465"/>
    <mergeCell ref="AB465:AD465"/>
    <mergeCell ref="AE465:AG465"/>
    <mergeCell ref="AK465:AM465"/>
    <mergeCell ref="BI465:BV465"/>
    <mergeCell ref="L464:O464"/>
    <mergeCell ref="L465:O465"/>
    <mergeCell ref="P464:S464"/>
    <mergeCell ref="P465:S465"/>
    <mergeCell ref="AH464:AJ464"/>
    <mergeCell ref="AH465:AJ465"/>
    <mergeCell ref="D466:K466"/>
    <mergeCell ref="T466:W466"/>
    <mergeCell ref="X466:AA466"/>
    <mergeCell ref="AB466:AD466"/>
    <mergeCell ref="AE466:AG466"/>
    <mergeCell ref="AK466:AM466"/>
    <mergeCell ref="BI466:BV466"/>
    <mergeCell ref="D467:K467"/>
    <mergeCell ref="T467:W467"/>
    <mergeCell ref="X467:AA467"/>
    <mergeCell ref="AB467:AD467"/>
    <mergeCell ref="AE467:AG467"/>
    <mergeCell ref="AK467:AM467"/>
    <mergeCell ref="BI467:BV467"/>
    <mergeCell ref="L466:O466"/>
    <mergeCell ref="L467:O467"/>
    <mergeCell ref="P466:S466"/>
    <mergeCell ref="P467:S467"/>
    <mergeCell ref="AH466:AJ466"/>
    <mergeCell ref="AH467:AJ467"/>
    <mergeCell ref="D468:K468"/>
    <mergeCell ref="T468:W468"/>
    <mergeCell ref="X468:AA468"/>
    <mergeCell ref="AB468:AD468"/>
    <mergeCell ref="AE468:AG468"/>
    <mergeCell ref="AK468:AM468"/>
    <mergeCell ref="BI468:BV468"/>
    <mergeCell ref="D469:K469"/>
    <mergeCell ref="T469:W469"/>
    <mergeCell ref="X469:AA469"/>
    <mergeCell ref="AB469:AD469"/>
    <mergeCell ref="AE469:AG469"/>
    <mergeCell ref="AK469:AM469"/>
    <mergeCell ref="BI469:BV469"/>
    <mergeCell ref="L468:O468"/>
    <mergeCell ref="L469:O469"/>
    <mergeCell ref="P468:S468"/>
    <mergeCell ref="P469:S469"/>
    <mergeCell ref="AH468:AJ468"/>
    <mergeCell ref="AH469:AJ469"/>
    <mergeCell ref="D470:K470"/>
    <mergeCell ref="T470:W470"/>
    <mergeCell ref="X470:AA470"/>
    <mergeCell ref="AB470:AD470"/>
    <mergeCell ref="AE470:AG470"/>
    <mergeCell ref="AK470:AM470"/>
    <mergeCell ref="BI470:BV470"/>
    <mergeCell ref="D471:K471"/>
    <mergeCell ref="T471:W471"/>
    <mergeCell ref="X471:AA471"/>
    <mergeCell ref="AB471:AD471"/>
    <mergeCell ref="AE471:AG471"/>
    <mergeCell ref="AK471:AM471"/>
    <mergeCell ref="BI471:BV471"/>
    <mergeCell ref="L470:O470"/>
    <mergeCell ref="L471:O471"/>
    <mergeCell ref="P470:S470"/>
    <mergeCell ref="P471:S471"/>
    <mergeCell ref="AH470:AJ470"/>
    <mergeCell ref="AH471:AJ471"/>
    <mergeCell ref="D472:K472"/>
    <mergeCell ref="T472:W472"/>
    <mergeCell ref="X472:AA472"/>
    <mergeCell ref="AB472:AD472"/>
    <mergeCell ref="AE472:AG472"/>
    <mergeCell ref="AK472:AM472"/>
    <mergeCell ref="BI472:BV472"/>
    <mergeCell ref="D473:K473"/>
    <mergeCell ref="T473:W473"/>
    <mergeCell ref="X473:AA473"/>
    <mergeCell ref="AB473:AD473"/>
    <mergeCell ref="AE473:AG473"/>
    <mergeCell ref="AK473:AM473"/>
    <mergeCell ref="BI473:BV473"/>
    <mergeCell ref="L472:O472"/>
    <mergeCell ref="L473:O473"/>
    <mergeCell ref="P472:S472"/>
    <mergeCell ref="P473:S473"/>
    <mergeCell ref="AH472:AJ472"/>
    <mergeCell ref="AH473:AJ473"/>
    <mergeCell ref="D474:K474"/>
    <mergeCell ref="T474:W474"/>
    <mergeCell ref="X474:AA474"/>
    <mergeCell ref="AB474:AD474"/>
    <mergeCell ref="AE474:AG474"/>
    <mergeCell ref="AK474:AM474"/>
    <mergeCell ref="BI474:BV474"/>
    <mergeCell ref="D475:K475"/>
    <mergeCell ref="T475:W475"/>
    <mergeCell ref="X475:AA475"/>
    <mergeCell ref="AB475:AD475"/>
    <mergeCell ref="AE475:AG475"/>
    <mergeCell ref="AK475:AM475"/>
    <mergeCell ref="BI475:BV475"/>
    <mergeCell ref="L474:O474"/>
    <mergeCell ref="L475:O475"/>
    <mergeCell ref="P474:S474"/>
    <mergeCell ref="P475:S475"/>
    <mergeCell ref="AH474:AJ474"/>
    <mergeCell ref="AH475:AJ475"/>
    <mergeCell ref="D476:K476"/>
    <mergeCell ref="T476:W476"/>
    <mergeCell ref="X476:AA476"/>
    <mergeCell ref="AB476:AD476"/>
    <mergeCell ref="AE476:AG476"/>
    <mergeCell ref="AK476:AM476"/>
    <mergeCell ref="BI476:BV476"/>
    <mergeCell ref="D477:K477"/>
    <mergeCell ref="T477:W477"/>
    <mergeCell ref="X477:AA477"/>
    <mergeCell ref="AB477:AD477"/>
    <mergeCell ref="AE477:AG477"/>
    <mergeCell ref="AK477:AM477"/>
    <mergeCell ref="BI477:BV477"/>
    <mergeCell ref="L476:O476"/>
    <mergeCell ref="L477:O477"/>
    <mergeCell ref="P476:S476"/>
    <mergeCell ref="P477:S477"/>
    <mergeCell ref="AH476:AJ476"/>
    <mergeCell ref="AH477:AJ477"/>
    <mergeCell ref="D478:K478"/>
    <mergeCell ref="T478:W478"/>
    <mergeCell ref="X478:AA478"/>
    <mergeCell ref="AB478:AD478"/>
    <mergeCell ref="AE478:AG478"/>
    <mergeCell ref="AK478:AM478"/>
    <mergeCell ref="BI478:BV478"/>
    <mergeCell ref="D479:K479"/>
    <mergeCell ref="T479:W479"/>
    <mergeCell ref="X479:AA479"/>
    <mergeCell ref="AB479:AD479"/>
    <mergeCell ref="AE479:AG479"/>
    <mergeCell ref="AK479:AM479"/>
    <mergeCell ref="BI479:BV479"/>
    <mergeCell ref="L478:O478"/>
    <mergeCell ref="L479:O479"/>
    <mergeCell ref="P478:S478"/>
    <mergeCell ref="P479:S479"/>
    <mergeCell ref="AH478:AJ478"/>
    <mergeCell ref="AH479:AJ479"/>
    <mergeCell ref="D480:K480"/>
    <mergeCell ref="T480:W480"/>
    <mergeCell ref="X480:AA480"/>
    <mergeCell ref="AB480:AD480"/>
    <mergeCell ref="AE480:AG480"/>
    <mergeCell ref="AK480:AM480"/>
    <mergeCell ref="BI480:BV480"/>
    <mergeCell ref="D481:K481"/>
    <mergeCell ref="T481:W481"/>
    <mergeCell ref="X481:AA481"/>
    <mergeCell ref="AB481:AD481"/>
    <mergeCell ref="AE481:AG481"/>
    <mergeCell ref="AK481:AM481"/>
    <mergeCell ref="BI481:BV481"/>
    <mergeCell ref="L480:O480"/>
    <mergeCell ref="L481:O481"/>
    <mergeCell ref="P480:S480"/>
    <mergeCell ref="P481:S481"/>
    <mergeCell ref="AH480:AJ480"/>
    <mergeCell ref="AH481:AJ481"/>
    <mergeCell ref="D482:K482"/>
    <mergeCell ref="T482:W482"/>
    <mergeCell ref="X482:AA482"/>
    <mergeCell ref="AB482:AD482"/>
    <mergeCell ref="AE482:AG482"/>
    <mergeCell ref="AK482:AM482"/>
    <mergeCell ref="BI482:BV482"/>
    <mergeCell ref="D483:K483"/>
    <mergeCell ref="T483:W483"/>
    <mergeCell ref="X483:AA483"/>
    <mergeCell ref="AB483:AD483"/>
    <mergeCell ref="AE483:AG483"/>
    <mergeCell ref="AK483:AM483"/>
    <mergeCell ref="BI483:BV483"/>
    <mergeCell ref="L482:O482"/>
    <mergeCell ref="L483:O483"/>
    <mergeCell ref="P482:S482"/>
    <mergeCell ref="P483:S483"/>
    <mergeCell ref="AH482:AJ482"/>
    <mergeCell ref="AH483:AJ483"/>
    <mergeCell ref="D484:K484"/>
    <mergeCell ref="T484:W484"/>
    <mergeCell ref="X484:AA484"/>
    <mergeCell ref="AB484:AD484"/>
    <mergeCell ref="AE484:AG484"/>
    <mergeCell ref="AK484:AM484"/>
    <mergeCell ref="BI484:BV484"/>
    <mergeCell ref="D485:K485"/>
    <mergeCell ref="T485:W485"/>
    <mergeCell ref="X485:AA485"/>
    <mergeCell ref="AB485:AD485"/>
    <mergeCell ref="AE485:AG485"/>
    <mergeCell ref="AK485:AM485"/>
    <mergeCell ref="BI485:BV485"/>
    <mergeCell ref="L484:O484"/>
    <mergeCell ref="L485:O485"/>
    <mergeCell ref="P484:S484"/>
    <mergeCell ref="P485:S485"/>
    <mergeCell ref="AH484:AJ484"/>
    <mergeCell ref="AH485:AJ485"/>
    <mergeCell ref="D486:K486"/>
    <mergeCell ref="T486:W486"/>
    <mergeCell ref="X486:AA486"/>
    <mergeCell ref="AB486:AD486"/>
    <mergeCell ref="AE486:AG486"/>
    <mergeCell ref="AK486:AM486"/>
    <mergeCell ref="BI486:BV486"/>
    <mergeCell ref="D487:K487"/>
    <mergeCell ref="T487:W487"/>
    <mergeCell ref="X487:AA487"/>
    <mergeCell ref="AB487:AD487"/>
    <mergeCell ref="AE487:AG487"/>
    <mergeCell ref="AK487:AM487"/>
    <mergeCell ref="BI487:BV487"/>
    <mergeCell ref="L486:O486"/>
    <mergeCell ref="L487:O487"/>
    <mergeCell ref="P486:S486"/>
    <mergeCell ref="P487:S487"/>
    <mergeCell ref="AH486:AJ486"/>
    <mergeCell ref="AH487:AJ487"/>
    <mergeCell ref="D488:K488"/>
    <mergeCell ref="T488:W488"/>
    <mergeCell ref="X488:AA488"/>
    <mergeCell ref="AB488:AD488"/>
    <mergeCell ref="AE488:AG488"/>
    <mergeCell ref="AK488:AM488"/>
    <mergeCell ref="BI488:BV488"/>
    <mergeCell ref="D489:K489"/>
    <mergeCell ref="T489:W489"/>
    <mergeCell ref="X489:AA489"/>
    <mergeCell ref="AB489:AD489"/>
    <mergeCell ref="AE489:AG489"/>
    <mergeCell ref="AK489:AM489"/>
    <mergeCell ref="BI489:BV489"/>
    <mergeCell ref="L488:O488"/>
    <mergeCell ref="L489:O489"/>
    <mergeCell ref="P488:S488"/>
    <mergeCell ref="P489:S489"/>
    <mergeCell ref="AH488:AJ488"/>
    <mergeCell ref="AH489:AJ489"/>
    <mergeCell ref="D490:K490"/>
    <mergeCell ref="T490:W490"/>
    <mergeCell ref="X490:AA490"/>
    <mergeCell ref="AB490:AD490"/>
    <mergeCell ref="AE490:AG490"/>
    <mergeCell ref="AK490:AM490"/>
    <mergeCell ref="BI490:BV490"/>
    <mergeCell ref="D491:K491"/>
    <mergeCell ref="T491:W491"/>
    <mergeCell ref="X491:AA491"/>
    <mergeCell ref="AB491:AD491"/>
    <mergeCell ref="AE491:AG491"/>
    <mergeCell ref="AK491:AM491"/>
    <mergeCell ref="BI491:BV491"/>
    <mergeCell ref="L490:O490"/>
    <mergeCell ref="L491:O491"/>
    <mergeCell ref="P490:S490"/>
    <mergeCell ref="P491:S491"/>
    <mergeCell ref="AH490:AJ490"/>
    <mergeCell ref="AH491:AJ491"/>
    <mergeCell ref="D492:K492"/>
    <mergeCell ref="T492:W492"/>
    <mergeCell ref="X492:AA492"/>
    <mergeCell ref="AB492:AD492"/>
    <mergeCell ref="AE492:AG492"/>
    <mergeCell ref="AK492:AM492"/>
    <mergeCell ref="BI492:BV492"/>
    <mergeCell ref="D493:K493"/>
    <mergeCell ref="T493:W493"/>
    <mergeCell ref="X493:AA493"/>
    <mergeCell ref="AB493:AD493"/>
    <mergeCell ref="AE493:AG493"/>
    <mergeCell ref="AK493:AM493"/>
    <mergeCell ref="BI493:BV493"/>
    <mergeCell ref="L492:O492"/>
    <mergeCell ref="L493:O493"/>
    <mergeCell ref="P492:S492"/>
    <mergeCell ref="P493:S493"/>
    <mergeCell ref="AH492:AJ492"/>
    <mergeCell ref="AH493:AJ493"/>
    <mergeCell ref="D494:K494"/>
    <mergeCell ref="T494:W494"/>
    <mergeCell ref="X494:AA494"/>
    <mergeCell ref="AB494:AD494"/>
    <mergeCell ref="AE494:AG494"/>
    <mergeCell ref="AK494:AM494"/>
    <mergeCell ref="BI494:BV494"/>
    <mergeCell ref="D495:K495"/>
    <mergeCell ref="T495:W495"/>
    <mergeCell ref="X495:AA495"/>
    <mergeCell ref="AB495:AD495"/>
    <mergeCell ref="AE495:AG495"/>
    <mergeCell ref="AK495:AM495"/>
    <mergeCell ref="BI495:BV495"/>
    <mergeCell ref="L494:O494"/>
    <mergeCell ref="L495:O495"/>
    <mergeCell ref="P494:S494"/>
    <mergeCell ref="P495:S495"/>
    <mergeCell ref="AH494:AJ494"/>
    <mergeCell ref="AH495:AJ495"/>
    <mergeCell ref="D496:K496"/>
    <mergeCell ref="T496:W496"/>
    <mergeCell ref="X496:AA496"/>
    <mergeCell ref="AB496:AD496"/>
    <mergeCell ref="AE496:AG496"/>
    <mergeCell ref="AK496:AM496"/>
    <mergeCell ref="BI496:BV496"/>
    <mergeCell ref="D497:K497"/>
    <mergeCell ref="T497:W497"/>
    <mergeCell ref="X497:AA497"/>
    <mergeCell ref="AB497:AD497"/>
    <mergeCell ref="AE497:AG497"/>
    <mergeCell ref="AK497:AM497"/>
    <mergeCell ref="BI497:BV497"/>
    <mergeCell ref="L496:O496"/>
    <mergeCell ref="L497:O497"/>
    <mergeCell ref="P496:S496"/>
    <mergeCell ref="P497:S497"/>
    <mergeCell ref="AH496:AJ496"/>
    <mergeCell ref="AH497:AJ497"/>
    <mergeCell ref="D498:K498"/>
    <mergeCell ref="T498:W498"/>
    <mergeCell ref="X498:AA498"/>
    <mergeCell ref="AB498:AD498"/>
    <mergeCell ref="AE498:AG498"/>
    <mergeCell ref="AK498:AM498"/>
    <mergeCell ref="BI498:BV498"/>
    <mergeCell ref="D499:K499"/>
    <mergeCell ref="T499:W499"/>
    <mergeCell ref="X499:AA499"/>
    <mergeCell ref="AB499:AD499"/>
    <mergeCell ref="AE499:AG499"/>
    <mergeCell ref="AK499:AM499"/>
    <mergeCell ref="BI499:BV499"/>
    <mergeCell ref="L498:O498"/>
    <mergeCell ref="L499:O499"/>
    <mergeCell ref="P498:S498"/>
    <mergeCell ref="P499:S499"/>
    <mergeCell ref="AH498:AJ498"/>
    <mergeCell ref="AH499:AJ499"/>
    <mergeCell ref="D500:K500"/>
    <mergeCell ref="T500:W500"/>
    <mergeCell ref="X500:AA500"/>
    <mergeCell ref="AB500:AD500"/>
    <mergeCell ref="AE500:AG500"/>
    <mergeCell ref="AK500:AM500"/>
    <mergeCell ref="BI500:BV500"/>
    <mergeCell ref="D501:K501"/>
    <mergeCell ref="T501:W501"/>
    <mergeCell ref="X501:AA501"/>
    <mergeCell ref="AB501:AD501"/>
    <mergeCell ref="AE501:AG501"/>
    <mergeCell ref="AK501:AM501"/>
    <mergeCell ref="BI501:BV501"/>
    <mergeCell ref="L500:O500"/>
    <mergeCell ref="L501:O501"/>
    <mergeCell ref="P500:S500"/>
    <mergeCell ref="P501:S501"/>
    <mergeCell ref="AH500:AJ500"/>
    <mergeCell ref="AH501:AJ501"/>
    <mergeCell ref="D502:K502"/>
    <mergeCell ref="T502:W502"/>
    <mergeCell ref="X502:AA502"/>
    <mergeCell ref="AB502:AD502"/>
    <mergeCell ref="AE502:AG502"/>
    <mergeCell ref="AK502:AM502"/>
    <mergeCell ref="BI502:BV502"/>
    <mergeCell ref="D503:K503"/>
    <mergeCell ref="T503:W503"/>
    <mergeCell ref="X503:AA503"/>
    <mergeCell ref="AB503:AD503"/>
    <mergeCell ref="AE503:AG503"/>
    <mergeCell ref="AK503:AM503"/>
    <mergeCell ref="BI503:BV503"/>
    <mergeCell ref="L502:O502"/>
    <mergeCell ref="L503:O503"/>
    <mergeCell ref="P502:S502"/>
    <mergeCell ref="P503:S503"/>
    <mergeCell ref="AH502:AJ502"/>
    <mergeCell ref="AH503:AJ503"/>
    <mergeCell ref="D504:K504"/>
    <mergeCell ref="T504:W504"/>
    <mergeCell ref="X504:AA504"/>
    <mergeCell ref="AB504:AD504"/>
    <mergeCell ref="AE504:AG504"/>
    <mergeCell ref="AK504:AM504"/>
    <mergeCell ref="BI504:BV504"/>
    <mergeCell ref="D505:K505"/>
    <mergeCell ref="T505:W505"/>
    <mergeCell ref="X505:AA505"/>
    <mergeCell ref="AB505:AD505"/>
    <mergeCell ref="AE505:AG505"/>
    <mergeCell ref="AK505:AM505"/>
    <mergeCell ref="BI505:BV505"/>
    <mergeCell ref="L504:O504"/>
    <mergeCell ref="L505:O505"/>
    <mergeCell ref="P504:S504"/>
    <mergeCell ref="P505:S505"/>
    <mergeCell ref="AH504:AJ504"/>
    <mergeCell ref="AH505:AJ505"/>
    <mergeCell ref="D506:K506"/>
    <mergeCell ref="T506:W506"/>
    <mergeCell ref="X506:AA506"/>
    <mergeCell ref="AB506:AD506"/>
    <mergeCell ref="AE506:AG506"/>
    <mergeCell ref="AK506:AM506"/>
    <mergeCell ref="BI506:BV506"/>
    <mergeCell ref="D507:K507"/>
    <mergeCell ref="T507:W507"/>
    <mergeCell ref="X507:AA507"/>
    <mergeCell ref="AB507:AD507"/>
    <mergeCell ref="AE507:AG507"/>
    <mergeCell ref="AK507:AM507"/>
    <mergeCell ref="BI507:BV507"/>
    <mergeCell ref="L506:O506"/>
    <mergeCell ref="L507:O507"/>
    <mergeCell ref="P506:S506"/>
    <mergeCell ref="P507:S507"/>
    <mergeCell ref="AH506:AJ506"/>
    <mergeCell ref="AH507:AJ507"/>
    <mergeCell ref="D508:K508"/>
    <mergeCell ref="T508:W508"/>
    <mergeCell ref="X508:AA508"/>
    <mergeCell ref="AB508:AD508"/>
    <mergeCell ref="AE508:AG508"/>
    <mergeCell ref="AK508:AM508"/>
    <mergeCell ref="BI508:BV508"/>
    <mergeCell ref="D509:K509"/>
    <mergeCell ref="T509:W509"/>
    <mergeCell ref="X509:AA509"/>
    <mergeCell ref="AB509:AD509"/>
    <mergeCell ref="AE509:AG509"/>
    <mergeCell ref="AK509:AM509"/>
    <mergeCell ref="BI509:BV509"/>
    <mergeCell ref="L508:O508"/>
    <mergeCell ref="L509:O509"/>
    <mergeCell ref="P508:S508"/>
    <mergeCell ref="P509:S509"/>
    <mergeCell ref="AH508:AJ508"/>
    <mergeCell ref="AH509:AJ509"/>
    <mergeCell ref="D510:K510"/>
    <mergeCell ref="T510:W510"/>
    <mergeCell ref="X510:AA510"/>
    <mergeCell ref="AB510:AD510"/>
    <mergeCell ref="AE510:AG510"/>
    <mergeCell ref="AK510:AM510"/>
    <mergeCell ref="BI510:BV510"/>
    <mergeCell ref="D511:K511"/>
    <mergeCell ref="T511:W511"/>
    <mergeCell ref="X511:AA511"/>
    <mergeCell ref="AB511:AD511"/>
    <mergeCell ref="AE511:AG511"/>
    <mergeCell ref="AK511:AM511"/>
    <mergeCell ref="BI511:BV511"/>
    <mergeCell ref="L510:O510"/>
    <mergeCell ref="L511:O511"/>
    <mergeCell ref="P510:S510"/>
    <mergeCell ref="P511:S511"/>
    <mergeCell ref="AH510:AJ510"/>
    <mergeCell ref="AH511:AJ511"/>
    <mergeCell ref="D512:K512"/>
    <mergeCell ref="T512:W512"/>
    <mergeCell ref="X512:AA512"/>
    <mergeCell ref="AB512:AD512"/>
    <mergeCell ref="AE512:AG512"/>
    <mergeCell ref="AK512:AM512"/>
    <mergeCell ref="BI512:BV512"/>
    <mergeCell ref="D513:K513"/>
    <mergeCell ref="T513:W513"/>
    <mergeCell ref="X513:AA513"/>
    <mergeCell ref="AB513:AD513"/>
    <mergeCell ref="AE513:AG513"/>
    <mergeCell ref="AK513:AM513"/>
    <mergeCell ref="BI513:BV513"/>
    <mergeCell ref="L512:O512"/>
    <mergeCell ref="L513:O513"/>
    <mergeCell ref="P512:S512"/>
    <mergeCell ref="P513:S513"/>
    <mergeCell ref="AH512:AJ512"/>
    <mergeCell ref="AH513:AJ513"/>
    <mergeCell ref="D514:K514"/>
    <mergeCell ref="T514:W514"/>
    <mergeCell ref="X514:AA514"/>
    <mergeCell ref="AB514:AD514"/>
    <mergeCell ref="AE514:AG514"/>
    <mergeCell ref="AK514:AM514"/>
    <mergeCell ref="BI514:BV514"/>
    <mergeCell ref="D515:K515"/>
    <mergeCell ref="T515:W515"/>
    <mergeCell ref="X515:AA515"/>
    <mergeCell ref="AB515:AD515"/>
    <mergeCell ref="AE515:AG515"/>
    <mergeCell ref="AK515:AM515"/>
    <mergeCell ref="BI515:BV515"/>
    <mergeCell ref="L514:O514"/>
    <mergeCell ref="L515:O515"/>
    <mergeCell ref="P514:S514"/>
    <mergeCell ref="P515:S515"/>
    <mergeCell ref="AH514:AJ514"/>
    <mergeCell ref="AH515:AJ515"/>
    <mergeCell ref="D516:K516"/>
    <mergeCell ref="T516:W516"/>
    <mergeCell ref="X516:AA516"/>
    <mergeCell ref="AB516:AD516"/>
    <mergeCell ref="AE516:AG516"/>
    <mergeCell ref="AK516:AM516"/>
    <mergeCell ref="BI516:BV516"/>
    <mergeCell ref="D517:K517"/>
    <mergeCell ref="T517:W517"/>
    <mergeCell ref="X517:AA517"/>
    <mergeCell ref="AB517:AD517"/>
    <mergeCell ref="AE517:AG517"/>
    <mergeCell ref="AK517:AM517"/>
    <mergeCell ref="BI517:BV517"/>
    <mergeCell ref="L516:O516"/>
    <mergeCell ref="L517:O517"/>
    <mergeCell ref="P516:S516"/>
    <mergeCell ref="P517:S517"/>
    <mergeCell ref="AH516:AJ516"/>
    <mergeCell ref="AH517:AJ517"/>
    <mergeCell ref="AB518:AD518"/>
    <mergeCell ref="AE518:AG518"/>
    <mergeCell ref="AK518:AM518"/>
    <mergeCell ref="BI518:BV518"/>
    <mergeCell ref="D519:K519"/>
    <mergeCell ref="T519:W519"/>
    <mergeCell ref="X519:AA519"/>
    <mergeCell ref="AB519:AD519"/>
    <mergeCell ref="AE519:AG519"/>
    <mergeCell ref="AK519:AM519"/>
    <mergeCell ref="BI519:BV519"/>
    <mergeCell ref="L518:O518"/>
    <mergeCell ref="L519:O519"/>
    <mergeCell ref="P518:S518"/>
    <mergeCell ref="P519:S519"/>
    <mergeCell ref="AH518:AJ518"/>
    <mergeCell ref="AH519:AJ519"/>
    <mergeCell ref="BI522:BV522"/>
    <mergeCell ref="D523:K523"/>
    <mergeCell ref="T523:W523"/>
    <mergeCell ref="X523:AA523"/>
    <mergeCell ref="AB523:AD523"/>
    <mergeCell ref="AE523:AG523"/>
    <mergeCell ref="AK523:AM523"/>
    <mergeCell ref="BI523:BV523"/>
    <mergeCell ref="L522:O522"/>
    <mergeCell ref="L523:O523"/>
    <mergeCell ref="P522:S522"/>
    <mergeCell ref="P523:S523"/>
    <mergeCell ref="AH522:AJ522"/>
    <mergeCell ref="AH523:AJ523"/>
    <mergeCell ref="D520:K520"/>
    <mergeCell ref="T520:W520"/>
    <mergeCell ref="X520:AA520"/>
    <mergeCell ref="AB520:AD520"/>
    <mergeCell ref="AE520:AG520"/>
    <mergeCell ref="AK520:AM520"/>
    <mergeCell ref="BI520:BV520"/>
    <mergeCell ref="D521:K521"/>
    <mergeCell ref="T521:W521"/>
    <mergeCell ref="X521:AA521"/>
    <mergeCell ref="AB521:AD521"/>
    <mergeCell ref="AE521:AG521"/>
    <mergeCell ref="AK521:AM521"/>
    <mergeCell ref="BI521:BV521"/>
    <mergeCell ref="L520:O520"/>
    <mergeCell ref="L521:O521"/>
    <mergeCell ref="P520:S520"/>
    <mergeCell ref="P521:S521"/>
    <mergeCell ref="BI526:BV526"/>
    <mergeCell ref="D527:K527"/>
    <mergeCell ref="T527:W527"/>
    <mergeCell ref="X527:AA527"/>
    <mergeCell ref="AB527:AD527"/>
    <mergeCell ref="AE527:AG527"/>
    <mergeCell ref="AK527:AM527"/>
    <mergeCell ref="BI527:BV527"/>
    <mergeCell ref="L526:O526"/>
    <mergeCell ref="L527:O527"/>
    <mergeCell ref="P526:S526"/>
    <mergeCell ref="P527:S527"/>
    <mergeCell ref="AH526:AJ526"/>
    <mergeCell ref="AH527:AJ527"/>
    <mergeCell ref="X524:AA524"/>
    <mergeCell ref="AB524:AD524"/>
    <mergeCell ref="AE524:AG524"/>
    <mergeCell ref="AK524:AM524"/>
    <mergeCell ref="BI524:BV524"/>
    <mergeCell ref="D525:K525"/>
    <mergeCell ref="T525:W525"/>
    <mergeCell ref="X525:AA525"/>
    <mergeCell ref="AB525:AD525"/>
    <mergeCell ref="AE525:AG525"/>
    <mergeCell ref="AK525:AM525"/>
    <mergeCell ref="BI525:BV525"/>
    <mergeCell ref="L524:O524"/>
    <mergeCell ref="L525:O525"/>
    <mergeCell ref="P524:S524"/>
    <mergeCell ref="P525:S525"/>
    <mergeCell ref="AH524:AJ524"/>
    <mergeCell ref="AH525:AJ525"/>
    <mergeCell ref="BI530:BV530"/>
    <mergeCell ref="D531:K531"/>
    <mergeCell ref="T531:W531"/>
    <mergeCell ref="X531:AA531"/>
    <mergeCell ref="AB531:AD531"/>
    <mergeCell ref="AE531:AG531"/>
    <mergeCell ref="AK531:AM531"/>
    <mergeCell ref="BI531:BV531"/>
    <mergeCell ref="L530:O530"/>
    <mergeCell ref="L531:O531"/>
    <mergeCell ref="P530:S530"/>
    <mergeCell ref="P531:S531"/>
    <mergeCell ref="AH530:AJ530"/>
    <mergeCell ref="AH531:AJ531"/>
    <mergeCell ref="AB528:AD528"/>
    <mergeCell ref="AE528:AG528"/>
    <mergeCell ref="AK528:AM528"/>
    <mergeCell ref="BI528:BV528"/>
    <mergeCell ref="D529:K529"/>
    <mergeCell ref="T529:W529"/>
    <mergeCell ref="X529:AA529"/>
    <mergeCell ref="AB529:AD529"/>
    <mergeCell ref="AE529:AG529"/>
    <mergeCell ref="AK529:AM529"/>
    <mergeCell ref="BI529:BV529"/>
    <mergeCell ref="L528:O528"/>
    <mergeCell ref="L529:O529"/>
    <mergeCell ref="P528:S528"/>
    <mergeCell ref="P529:S529"/>
    <mergeCell ref="AH528:AJ528"/>
    <mergeCell ref="AH529:AJ529"/>
    <mergeCell ref="D530:K530"/>
    <mergeCell ref="BI534:BV534"/>
    <mergeCell ref="L534:O534"/>
    <mergeCell ref="P534:S534"/>
    <mergeCell ref="AH534:AJ534"/>
    <mergeCell ref="D532:K532"/>
    <mergeCell ref="T532:W532"/>
    <mergeCell ref="X532:AA532"/>
    <mergeCell ref="AB532:AD532"/>
    <mergeCell ref="AE532:AG532"/>
    <mergeCell ref="AK532:AM532"/>
    <mergeCell ref="BI532:BV532"/>
    <mergeCell ref="D533:K533"/>
    <mergeCell ref="T533:W533"/>
    <mergeCell ref="X533:AA533"/>
    <mergeCell ref="AB533:AD533"/>
    <mergeCell ref="AE533:AG533"/>
    <mergeCell ref="AK533:AM533"/>
    <mergeCell ref="BI533:BV533"/>
    <mergeCell ref="L532:O532"/>
    <mergeCell ref="L533:O533"/>
    <mergeCell ref="P532:S532"/>
    <mergeCell ref="P533:S533"/>
    <mergeCell ref="AH532:AJ532"/>
    <mergeCell ref="AH533:AJ533"/>
    <mergeCell ref="D534:K534"/>
    <mergeCell ref="T534:W534"/>
    <mergeCell ref="X534:AA534"/>
    <mergeCell ref="P20:S20"/>
    <mergeCell ref="L21:O21"/>
    <mergeCell ref="T530:W530"/>
    <mergeCell ref="X530:AA530"/>
    <mergeCell ref="D528:K528"/>
    <mergeCell ref="T528:W528"/>
    <mergeCell ref="X528:AA528"/>
    <mergeCell ref="D526:K526"/>
    <mergeCell ref="T526:W526"/>
    <mergeCell ref="X526:AA526"/>
    <mergeCell ref="D524:K524"/>
    <mergeCell ref="T524:W524"/>
    <mergeCell ref="AB534:AD534"/>
    <mergeCell ref="AE534:AG534"/>
    <mergeCell ref="AK534:AM534"/>
    <mergeCell ref="AB530:AD530"/>
    <mergeCell ref="AE530:AG530"/>
    <mergeCell ref="AK530:AM530"/>
    <mergeCell ref="AB526:AD526"/>
    <mergeCell ref="AE526:AG526"/>
    <mergeCell ref="AK526:AM526"/>
    <mergeCell ref="D522:K522"/>
    <mergeCell ref="T522:W522"/>
    <mergeCell ref="X522:AA522"/>
    <mergeCell ref="AB522:AD522"/>
    <mergeCell ref="AE522:AG522"/>
    <mergeCell ref="AK522:AM522"/>
    <mergeCell ref="AH520:AJ520"/>
    <mergeCell ref="AH521:AJ521"/>
    <mergeCell ref="D518:K518"/>
    <mergeCell ref="T518:W518"/>
    <mergeCell ref="X518:AA518"/>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235EFEA-A5ED-4873-990A-0D2A70CE9732}">
          <x14:formula1>
            <xm:f>'Drop-Down Boxes '!$H$89:$H$90</xm:f>
          </x14:formula1>
          <xm:sqref>AH15:AY534</xm:sqref>
        </x14:dataValidation>
        <x14:dataValidation type="list" allowBlank="1" showInputMessage="1" showErrorMessage="1" xr:uid="{66A77A0C-B3A1-4D8E-8415-5EAEB68765DD}">
          <x14:formula1>
            <xm:f>'Drop-Down Boxes '!$O$98:$O$101</xm:f>
          </x14:formula1>
          <xm:sqref>D15:K534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AC56-B502-47DF-A58F-3CE995C61087}">
  <sheetPr>
    <tabColor theme="5" tint="-0.249977111117893"/>
  </sheetPr>
  <dimension ref="A1:BU522"/>
  <sheetViews>
    <sheetView zoomScale="90" zoomScaleNormal="90" workbookViewId="0">
      <pane ySplit="1" topLeftCell="A2" activePane="bottomLeft" state="frozen"/>
      <selection pane="bottomLeft" activeCell="U506" sqref="U506:W506"/>
    </sheetView>
  </sheetViews>
  <sheetFormatPr defaultColWidth="8.85546875" defaultRowHeight="15" x14ac:dyDescent="0.25"/>
  <cols>
    <col min="1" max="2" width="4.7109375" customWidth="1"/>
    <col min="3" max="3" width="6.28515625" customWidth="1"/>
    <col min="4" max="53" width="4.7109375" customWidth="1"/>
    <col min="54" max="55" width="5.28515625" customWidth="1"/>
    <col min="56" max="69" width="4.7109375" customWidth="1"/>
  </cols>
  <sheetData>
    <row r="1" spans="1:73" ht="69.95" customHeight="1" x14ac:dyDescent="0.25">
      <c r="A1" s="198" t="s">
        <v>15</v>
      </c>
      <c r="B1" s="1217" t="s">
        <v>438</v>
      </c>
      <c r="C1" s="1217"/>
      <c r="D1" s="1160" t="s">
        <v>416</v>
      </c>
      <c r="E1" s="1161"/>
      <c r="F1" s="1161"/>
      <c r="G1" s="1162"/>
      <c r="H1" s="1163" t="s">
        <v>424</v>
      </c>
      <c r="I1" s="1164"/>
      <c r="J1" s="1164"/>
      <c r="K1" s="1165"/>
      <c r="L1" s="1127" t="s">
        <v>417</v>
      </c>
      <c r="M1" s="1128"/>
      <c r="N1" s="1129"/>
      <c r="O1" s="1021" t="s">
        <v>418</v>
      </c>
      <c r="P1" s="1131"/>
      <c r="Q1" s="1022"/>
      <c r="R1" s="1127" t="s">
        <v>452</v>
      </c>
      <c r="S1" s="1128"/>
      <c r="T1" s="1129"/>
      <c r="U1" s="1021" t="s">
        <v>644</v>
      </c>
      <c r="V1" s="1131"/>
      <c r="W1" s="1022"/>
      <c r="X1" s="310" t="s">
        <v>558</v>
      </c>
      <c r="Y1" s="311" t="s">
        <v>559</v>
      </c>
      <c r="Z1" s="310" t="s">
        <v>560</v>
      </c>
      <c r="AA1" s="311" t="s">
        <v>561</v>
      </c>
      <c r="AB1" s="310" t="s">
        <v>562</v>
      </c>
      <c r="AC1" s="311" t="s">
        <v>563</v>
      </c>
      <c r="AD1" s="310" t="s">
        <v>564</v>
      </c>
      <c r="AE1" s="311" t="s">
        <v>565</v>
      </c>
      <c r="AF1" s="310" t="s">
        <v>566</v>
      </c>
      <c r="AG1" s="311" t="s">
        <v>567</v>
      </c>
      <c r="AH1" s="310" t="s">
        <v>568</v>
      </c>
      <c r="AI1" s="311" t="s">
        <v>569</v>
      </c>
      <c r="AJ1" s="325" t="s">
        <v>239</v>
      </c>
      <c r="AK1" s="326" t="s">
        <v>240</v>
      </c>
      <c r="AL1" s="325" t="s">
        <v>241</v>
      </c>
      <c r="AM1" s="326" t="s">
        <v>247</v>
      </c>
      <c r="AN1" s="325" t="s">
        <v>242</v>
      </c>
      <c r="AO1" s="326" t="s">
        <v>243</v>
      </c>
      <c r="AP1" s="325" t="s">
        <v>244</v>
      </c>
      <c r="AQ1" s="326" t="s">
        <v>245</v>
      </c>
      <c r="AR1" s="325" t="s">
        <v>246</v>
      </c>
      <c r="AS1" s="1206" t="s">
        <v>30</v>
      </c>
      <c r="AT1" s="1207"/>
      <c r="AU1" s="1207"/>
      <c r="AV1" s="1207"/>
      <c r="AW1" s="1207"/>
      <c r="AX1" s="1207"/>
      <c r="AY1" s="1208"/>
      <c r="AZ1" s="247"/>
      <c r="BA1" s="247"/>
      <c r="BB1" s="1209" t="s">
        <v>453</v>
      </c>
      <c r="BC1" s="1209"/>
      <c r="BD1" s="1210" t="s">
        <v>415</v>
      </c>
      <c r="BE1" s="1210"/>
      <c r="BF1" s="1210"/>
      <c r="BG1" s="1205" t="s">
        <v>576</v>
      </c>
      <c r="BH1" s="1205"/>
      <c r="BI1" s="1205"/>
      <c r="BJ1" s="1205"/>
      <c r="BK1" s="1211" t="s">
        <v>454</v>
      </c>
      <c r="BL1" s="1211"/>
      <c r="BM1" s="1211"/>
      <c r="BN1" s="258"/>
      <c r="BO1" s="258"/>
      <c r="BP1" s="1201" t="s">
        <v>571</v>
      </c>
      <c r="BQ1" s="1202"/>
      <c r="BR1" s="1203"/>
      <c r="BS1" s="1205" t="s">
        <v>455</v>
      </c>
      <c r="BT1" s="1205"/>
      <c r="BU1" s="1205"/>
    </row>
    <row r="2" spans="1:73" ht="16.149999999999999" customHeight="1" x14ac:dyDescent="0.25">
      <c r="A2" s="556" t="str">
        <f>'GRANTEE SET UP INFO &amp; DATE '!A1</f>
        <v>WV Bureau for Behavioral Health  - Peer Recovery Support Services  V 20200110</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261"/>
      <c r="BT2" s="261"/>
      <c r="BU2" s="261"/>
    </row>
    <row r="3" spans="1:73" ht="15" customHeight="1" x14ac:dyDescent="0.25">
      <c r="A3" s="557" t="str">
        <f>'GRANTEE SET UP INFO &amp; DATE '!A2</f>
        <v xml:space="preserve">Program reports need to be submitted electronically, via e-mail to DHHRBBHReporting@wv.gov  within 25 calendar days of the end of each month </v>
      </c>
      <c r="B3" s="557"/>
      <c r="C3" s="557"/>
      <c r="D3" s="557"/>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261"/>
      <c r="BT3" s="261"/>
      <c r="BU3" s="261"/>
    </row>
    <row r="4" spans="1:73" ht="20.100000000000001" customHeight="1" x14ac:dyDescent="0.25">
      <c r="A4" s="638" t="s">
        <v>1007</v>
      </c>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2"/>
      <c r="AZ4" s="2"/>
      <c r="BA4" s="2"/>
      <c r="BB4" s="2"/>
      <c r="BC4" s="2"/>
      <c r="BD4" s="2"/>
      <c r="BE4" s="2"/>
      <c r="BF4" s="2"/>
      <c r="BG4" s="2"/>
      <c r="BH4" s="2"/>
      <c r="BI4" s="2"/>
      <c r="BJ4" s="2"/>
      <c r="BK4" s="2"/>
      <c r="BL4" s="2"/>
      <c r="BM4" s="2"/>
      <c r="BN4" s="2"/>
      <c r="BO4" s="2"/>
      <c r="BP4" s="2"/>
      <c r="BQ4" s="2"/>
      <c r="BR4" s="2"/>
      <c r="BS4" s="2"/>
      <c r="BT4" s="2"/>
      <c r="BU4" s="2"/>
    </row>
    <row r="5" spans="1:73" x14ac:dyDescent="0.25">
      <c r="A5" s="1214" t="s">
        <v>642</v>
      </c>
      <c r="B5" s="1215"/>
      <c r="C5" s="1215"/>
      <c r="D5" s="1215"/>
      <c r="E5" s="1215"/>
      <c r="F5" s="1215"/>
      <c r="G5" s="1216"/>
      <c r="H5" s="643" t="str">
        <f>'GRANTEE SET UP INFO &amp; DATE '!H4</f>
        <v>Jobs and Hope</v>
      </c>
      <c r="I5" s="644"/>
      <c r="J5" s="644"/>
      <c r="K5" s="644"/>
      <c r="L5" s="644"/>
      <c r="M5" s="644"/>
      <c r="N5" s="644"/>
      <c r="O5" s="644"/>
      <c r="P5" s="644"/>
      <c r="Q5" s="644"/>
      <c r="R5" s="644"/>
      <c r="S5" s="645"/>
      <c r="T5" s="11"/>
      <c r="U5" s="388" t="s">
        <v>158</v>
      </c>
      <c r="V5" s="389"/>
      <c r="W5" s="389"/>
      <c r="X5" s="389"/>
      <c r="Y5" s="883"/>
      <c r="Z5" s="649" t="str">
        <f>'GRANTEE SET UP INFO &amp; DATE '!Z4</f>
        <v xml:space="preserve">Grantee formal Name (name on grant agreement) </v>
      </c>
      <c r="AA5" s="650"/>
      <c r="AB5" s="650"/>
      <c r="AC5" s="650"/>
      <c r="AD5" s="650"/>
      <c r="AE5" s="650"/>
      <c r="AF5" s="650"/>
      <c r="AG5" s="650"/>
      <c r="AH5" s="650"/>
      <c r="AI5" s="650"/>
      <c r="AJ5" s="650"/>
      <c r="AK5" s="650"/>
      <c r="AL5" s="651"/>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row>
    <row r="6" spans="1:73" ht="14.45" customHeight="1" x14ac:dyDescent="0.25">
      <c r="A6" s="377" t="s">
        <v>984</v>
      </c>
      <c r="B6" s="378"/>
      <c r="C6" s="378"/>
      <c r="D6" s="378"/>
      <c r="E6" s="378"/>
      <c r="F6" s="378"/>
      <c r="G6" s="379"/>
      <c r="H6" s="634" t="str">
        <f>'GRANTEE SET UP INFO &amp; DATE '!H5</f>
        <v>Jobs and Hope</v>
      </c>
      <c r="I6" s="509"/>
      <c r="J6" s="509"/>
      <c r="K6" s="509"/>
      <c r="L6" s="509"/>
      <c r="M6" s="509"/>
      <c r="N6" s="509"/>
      <c r="O6" s="509"/>
      <c r="P6" s="509"/>
      <c r="Q6" s="509"/>
      <c r="R6" s="509"/>
      <c r="S6" s="510"/>
      <c r="T6" s="11"/>
      <c r="U6" s="884" t="s">
        <v>1008</v>
      </c>
      <c r="V6" s="885"/>
      <c r="W6" s="885"/>
      <c r="X6" s="885"/>
      <c r="Y6" s="886"/>
      <c r="Z6" s="616" t="str">
        <f>'GRANTEE SET UP INFO &amp; DATE '!Z5</f>
        <v>Names of Contact(s):</v>
      </c>
      <c r="AA6" s="617"/>
      <c r="AB6" s="617"/>
      <c r="AC6" s="617"/>
      <c r="AD6" s="617"/>
      <c r="AE6" s="617"/>
      <c r="AF6" s="617"/>
      <c r="AG6" s="617"/>
      <c r="AH6" s="617"/>
      <c r="AI6" s="617"/>
      <c r="AJ6" s="617"/>
      <c r="AK6" s="617"/>
      <c r="AL6" s="618"/>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row>
    <row r="7" spans="1:73" x14ac:dyDescent="0.25">
      <c r="A7" s="874" t="s">
        <v>1</v>
      </c>
      <c r="B7" s="875"/>
      <c r="C7" s="875"/>
      <c r="D7" s="875"/>
      <c r="E7" s="875"/>
      <c r="F7" s="875"/>
      <c r="G7" s="876"/>
      <c r="H7" s="622" t="str">
        <f>'GRANTEE SET UP INFO &amp; DATE '!H6</f>
        <v>123 Any Street, Any City, WV 12345</v>
      </c>
      <c r="I7" s="623"/>
      <c r="J7" s="623"/>
      <c r="K7" s="623"/>
      <c r="L7" s="623"/>
      <c r="M7" s="623"/>
      <c r="N7" s="623"/>
      <c r="O7" s="623"/>
      <c r="P7" s="623"/>
      <c r="Q7" s="623"/>
      <c r="R7" s="623"/>
      <c r="S7" s="624"/>
      <c r="T7" s="11"/>
      <c r="U7" s="377" t="s">
        <v>612</v>
      </c>
      <c r="V7" s="378"/>
      <c r="W7" s="378"/>
      <c r="X7" s="378"/>
      <c r="Y7" s="379"/>
      <c r="Z7" s="634" t="str">
        <f>'GRANTEE SET UP INFO &amp; DATE '!Z6</f>
        <v>Phone numbers for contacts</v>
      </c>
      <c r="AA7" s="509"/>
      <c r="AB7" s="509"/>
      <c r="AC7" s="509"/>
      <c r="AD7" s="509"/>
      <c r="AE7" s="509"/>
      <c r="AF7" s="509"/>
      <c r="AG7" s="509"/>
      <c r="AH7" s="509"/>
      <c r="AI7" s="509"/>
      <c r="AJ7" s="509"/>
      <c r="AK7" s="509"/>
      <c r="AL7" s="510"/>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row>
    <row r="8" spans="1:73" ht="15.6" customHeight="1" x14ac:dyDescent="0.25">
      <c r="A8" s="877"/>
      <c r="B8" s="878"/>
      <c r="C8" s="878"/>
      <c r="D8" s="878"/>
      <c r="E8" s="878"/>
      <c r="F8" s="878"/>
      <c r="G8" s="879"/>
      <c r="H8" s="625"/>
      <c r="I8" s="626"/>
      <c r="J8" s="626"/>
      <c r="K8" s="626"/>
      <c r="L8" s="626"/>
      <c r="M8" s="626"/>
      <c r="N8" s="626"/>
      <c r="O8" s="626"/>
      <c r="P8" s="626"/>
      <c r="Q8" s="626"/>
      <c r="R8" s="626"/>
      <c r="S8" s="627"/>
      <c r="T8" s="11"/>
      <c r="U8" s="377" t="s">
        <v>31</v>
      </c>
      <c r="V8" s="378"/>
      <c r="W8" s="378"/>
      <c r="X8" s="378"/>
      <c r="Y8" s="379"/>
      <c r="Z8" s="634" t="str">
        <f>'GRANTEE SET UP INFO &amp; DATE '!Z7</f>
        <v xml:space="preserve">number on grant agreement or TFB </v>
      </c>
      <c r="AA8" s="509"/>
      <c r="AB8" s="509"/>
      <c r="AC8" s="509"/>
      <c r="AD8" s="509"/>
      <c r="AE8" s="509"/>
      <c r="AF8" s="509"/>
      <c r="AG8" s="509"/>
      <c r="AH8" s="509"/>
      <c r="AI8" s="509"/>
      <c r="AJ8" s="509"/>
      <c r="AK8" s="509"/>
      <c r="AL8" s="510"/>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row>
    <row r="9" spans="1:73" ht="25.15" customHeight="1" x14ac:dyDescent="0.25">
      <c r="A9" s="628" t="s">
        <v>44</v>
      </c>
      <c r="B9" s="629"/>
      <c r="C9" s="629"/>
      <c r="D9" s="629"/>
      <c r="E9" s="629"/>
      <c r="F9" s="629"/>
      <c r="G9" s="630"/>
      <c r="H9" s="1146" t="str">
        <f>'GRANTEE SET UP INFO &amp; DATE '!H8</f>
        <v>October 1 - 31</v>
      </c>
      <c r="I9" s="1147"/>
      <c r="J9" s="1147"/>
      <c r="K9" s="1147"/>
      <c r="L9" s="1147"/>
      <c r="M9" s="1147"/>
      <c r="N9" s="1147"/>
      <c r="O9" s="1148"/>
      <c r="P9" s="1149">
        <f>'GRANTEE SET UP INFO &amp; DATE '!P8</f>
        <v>2024</v>
      </c>
      <c r="Q9" s="1150"/>
      <c r="R9" s="1150"/>
      <c r="S9" s="1151"/>
      <c r="T9" s="11"/>
      <c r="U9" s="1152" t="s">
        <v>155</v>
      </c>
      <c r="V9" s="1153"/>
      <c r="W9" s="1153"/>
      <c r="X9" s="1153"/>
      <c r="Y9" s="1154"/>
      <c r="Z9" s="649" t="str">
        <f>'GRANTEE SET UP INFO &amp; DATE '!Z8</f>
        <v>program code can locate on SOW or  TFB</v>
      </c>
      <c r="AA9" s="650"/>
      <c r="AB9" s="650"/>
      <c r="AC9" s="650"/>
      <c r="AD9" s="650"/>
      <c r="AE9" s="650"/>
      <c r="AF9" s="650"/>
      <c r="AG9" s="650"/>
      <c r="AH9" s="650"/>
      <c r="AI9" s="650"/>
      <c r="AJ9" s="650"/>
      <c r="AK9" s="650"/>
      <c r="AL9" s="651"/>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row>
    <row r="10" spans="1:73" ht="39.950000000000003" customHeight="1" thickBot="1" x14ac:dyDescent="0.3">
      <c r="A10" s="849" t="s">
        <v>643</v>
      </c>
      <c r="B10" s="849"/>
      <c r="C10" s="849"/>
      <c r="D10" s="849"/>
      <c r="E10" s="849"/>
      <c r="F10" s="849"/>
      <c r="G10" s="849"/>
      <c r="H10" s="849"/>
      <c r="I10" s="849"/>
      <c r="J10" s="849"/>
      <c r="K10" s="849"/>
      <c r="L10" s="849"/>
      <c r="M10" s="849"/>
      <c r="N10" s="849"/>
      <c r="O10" s="849"/>
      <c r="P10" s="849"/>
      <c r="Q10" s="849"/>
      <c r="R10" s="849"/>
      <c r="S10" s="849"/>
      <c r="T10" s="849"/>
      <c r="U10" s="849"/>
      <c r="V10" s="849"/>
      <c r="W10" s="849"/>
      <c r="X10" s="849"/>
      <c r="Y10" s="849"/>
      <c r="Z10" s="850"/>
      <c r="AA10" s="850"/>
      <c r="AB10" s="850"/>
      <c r="AC10" s="850"/>
      <c r="AD10" s="850"/>
      <c r="AE10" s="850"/>
      <c r="AF10" s="850"/>
      <c r="AG10" s="850"/>
      <c r="AH10" s="850"/>
      <c r="AI10" s="850"/>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row>
    <row r="11" spans="1:73" ht="15" customHeight="1" thickTop="1" x14ac:dyDescent="0.25">
      <c r="A11" s="978" t="s">
        <v>735</v>
      </c>
      <c r="B11" s="979"/>
      <c r="C11" s="979"/>
      <c r="D11" s="979"/>
      <c r="E11" s="979"/>
      <c r="F11" s="979"/>
      <c r="G11" s="979"/>
      <c r="H11" s="980"/>
      <c r="I11" s="980"/>
      <c r="J11" s="980"/>
      <c r="K11" s="980"/>
      <c r="L11" s="980"/>
      <c r="M11" s="980"/>
      <c r="N11" s="980"/>
      <c r="O11" s="980"/>
      <c r="P11" s="979"/>
      <c r="Q11" s="979"/>
      <c r="R11" s="979"/>
      <c r="S11" s="980"/>
      <c r="T11" s="980"/>
      <c r="U11" s="980"/>
      <c r="V11" s="980"/>
      <c r="W11" s="980"/>
      <c r="X11" s="980"/>
      <c r="Y11" s="980"/>
      <c r="Z11" s="980"/>
      <c r="AA11" s="980"/>
      <c r="AB11" s="979"/>
      <c r="AC11" s="979"/>
      <c r="AD11" s="979"/>
      <c r="AE11" s="980"/>
      <c r="AF11" s="980"/>
      <c r="AG11" s="980"/>
      <c r="AH11" s="980"/>
      <c r="AI11" s="980"/>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row>
    <row r="12" spans="1:73" ht="60" customHeight="1" x14ac:dyDescent="0.25">
      <c r="A12" s="91" t="s">
        <v>15</v>
      </c>
      <c r="B12" s="1157" t="s">
        <v>437</v>
      </c>
      <c r="C12" s="1158"/>
      <c r="D12" s="1158"/>
      <c r="E12" s="1158"/>
      <c r="F12" s="1158"/>
      <c r="G12" s="1158"/>
      <c r="H12" s="1158"/>
      <c r="I12" s="1158"/>
      <c r="J12" s="1158"/>
      <c r="K12" s="1158"/>
      <c r="L12" s="1158"/>
      <c r="M12" s="1158"/>
      <c r="N12" s="1158"/>
      <c r="O12" s="1158"/>
      <c r="P12" s="1158"/>
      <c r="Q12" s="1158"/>
      <c r="R12" s="1158"/>
      <c r="S12" s="1158"/>
      <c r="T12" s="1158"/>
      <c r="U12" s="1158"/>
      <c r="V12" s="1158"/>
      <c r="W12" s="1159"/>
      <c r="X12" s="1155" t="s">
        <v>646</v>
      </c>
      <c r="Y12" s="1156"/>
      <c r="Z12" s="1156"/>
      <c r="AA12" s="1156"/>
      <c r="AB12" s="1156"/>
      <c r="AC12" s="1156"/>
      <c r="AD12" s="1156"/>
      <c r="AE12" s="1156"/>
      <c r="AF12" s="1156"/>
      <c r="AG12" s="1156"/>
      <c r="AH12" s="1156"/>
      <c r="AI12" s="1156"/>
      <c r="AJ12" s="959" t="s">
        <v>900</v>
      </c>
      <c r="AK12" s="959"/>
      <c r="AL12" s="959"/>
      <c r="AM12" s="959"/>
      <c r="AN12" s="959"/>
      <c r="AO12" s="959"/>
      <c r="AP12" s="959"/>
      <c r="AQ12" s="959"/>
      <c r="AR12" s="960"/>
      <c r="AS12" s="1212" t="s">
        <v>30</v>
      </c>
      <c r="AT12" s="1213"/>
      <c r="AU12" s="1213"/>
      <c r="AV12" s="1213"/>
      <c r="AW12" s="1213"/>
      <c r="AX12" s="1213"/>
      <c r="AY12" s="1213"/>
      <c r="AZ12" s="256"/>
      <c r="BA12" s="256"/>
      <c r="BB12" s="1200" t="s">
        <v>572</v>
      </c>
      <c r="BC12" s="1200"/>
      <c r="BD12" s="1200"/>
      <c r="BE12" s="1200"/>
      <c r="BF12" s="1200"/>
      <c r="BG12" s="1200"/>
      <c r="BH12" s="1200"/>
      <c r="BI12" s="1200"/>
      <c r="BJ12" s="1200"/>
      <c r="BK12" s="1200"/>
      <c r="BL12" s="1200"/>
      <c r="BM12" s="1200"/>
      <c r="BN12" s="260"/>
      <c r="BO12" s="260"/>
      <c r="BP12" s="1204" t="s">
        <v>574</v>
      </c>
      <c r="BQ12" s="1204"/>
      <c r="BR12" s="1204"/>
      <c r="BS12" s="1204"/>
      <c r="BT12" s="1204"/>
      <c r="BU12" s="1204"/>
    </row>
    <row r="13" spans="1:73" ht="65.099999999999994" customHeight="1" x14ac:dyDescent="0.25">
      <c r="A13" s="1132" t="s">
        <v>15</v>
      </c>
      <c r="B13" s="1108" t="s">
        <v>438</v>
      </c>
      <c r="C13" s="1109"/>
      <c r="D13" s="1112" t="s">
        <v>416</v>
      </c>
      <c r="E13" s="1113"/>
      <c r="F13" s="1113"/>
      <c r="G13" s="1114"/>
      <c r="H13" s="1118" t="s">
        <v>424</v>
      </c>
      <c r="I13" s="1119"/>
      <c r="J13" s="1119"/>
      <c r="K13" s="1120"/>
      <c r="L13" s="1124" t="s">
        <v>417</v>
      </c>
      <c r="M13" s="1125"/>
      <c r="N13" s="1126"/>
      <c r="O13" s="1019" t="s">
        <v>418</v>
      </c>
      <c r="P13" s="1130"/>
      <c r="Q13" s="1020"/>
      <c r="R13" s="1134" t="s">
        <v>452</v>
      </c>
      <c r="S13" s="1135"/>
      <c r="T13" s="1136"/>
      <c r="U13" s="1140" t="s">
        <v>644</v>
      </c>
      <c r="V13" s="1141"/>
      <c r="W13" s="1142"/>
      <c r="X13" s="254" t="s">
        <v>558</v>
      </c>
      <c r="Y13" s="255" t="s">
        <v>559</v>
      </c>
      <c r="Z13" s="254" t="s">
        <v>560</v>
      </c>
      <c r="AA13" s="255" t="s">
        <v>561</v>
      </c>
      <c r="AB13" s="254" t="s">
        <v>562</v>
      </c>
      <c r="AC13" s="255" t="s">
        <v>563</v>
      </c>
      <c r="AD13" s="254" t="s">
        <v>564</v>
      </c>
      <c r="AE13" s="255" t="s">
        <v>565</v>
      </c>
      <c r="AF13" s="254" t="s">
        <v>566</v>
      </c>
      <c r="AG13" s="255" t="s">
        <v>567</v>
      </c>
      <c r="AH13" s="254" t="s">
        <v>568</v>
      </c>
      <c r="AI13" s="311" t="s">
        <v>569</v>
      </c>
      <c r="AJ13" s="1104" t="s">
        <v>239</v>
      </c>
      <c r="AK13" s="1106" t="s">
        <v>240</v>
      </c>
      <c r="AL13" s="1104" t="s">
        <v>241</v>
      </c>
      <c r="AM13" s="1106" t="s">
        <v>247</v>
      </c>
      <c r="AN13" s="1104" t="s">
        <v>242</v>
      </c>
      <c r="AO13" s="1106" t="s">
        <v>243</v>
      </c>
      <c r="AP13" s="1104" t="s">
        <v>244</v>
      </c>
      <c r="AQ13" s="1106" t="s">
        <v>245</v>
      </c>
      <c r="AR13" s="1104" t="s">
        <v>246</v>
      </c>
      <c r="AS13" s="1166" t="s">
        <v>30</v>
      </c>
      <c r="AT13" s="1167"/>
      <c r="AU13" s="1167"/>
      <c r="AV13" s="1167"/>
      <c r="AW13" s="1167"/>
      <c r="AX13" s="1167"/>
      <c r="AY13" s="1168"/>
      <c r="AZ13" s="247"/>
      <c r="BA13" s="247"/>
      <c r="BB13" s="1172" t="s">
        <v>453</v>
      </c>
      <c r="BC13" s="1173"/>
      <c r="BD13" s="1176" t="s">
        <v>415</v>
      </c>
      <c r="BE13" s="1177"/>
      <c r="BF13" s="1178"/>
      <c r="BG13" s="1182" t="s">
        <v>576</v>
      </c>
      <c r="BH13" s="1183"/>
      <c r="BI13" s="1183"/>
      <c r="BJ13" s="1184"/>
      <c r="BK13" s="1188" t="s">
        <v>454</v>
      </c>
      <c r="BL13" s="1189"/>
      <c r="BM13" s="1190"/>
      <c r="BN13" s="258"/>
      <c r="BO13" s="258"/>
      <c r="BP13" s="1194" t="s">
        <v>570</v>
      </c>
      <c r="BQ13" s="1195"/>
      <c r="BR13" s="1196"/>
      <c r="BS13" s="1176" t="s">
        <v>573</v>
      </c>
      <c r="BT13" s="1177"/>
      <c r="BU13" s="1178"/>
    </row>
    <row r="14" spans="1:73" ht="24.95" customHeight="1" x14ac:dyDescent="0.25">
      <c r="A14" s="1133"/>
      <c r="B14" s="1110"/>
      <c r="C14" s="1111"/>
      <c r="D14" s="1115"/>
      <c r="E14" s="1116"/>
      <c r="F14" s="1116"/>
      <c r="G14" s="1117"/>
      <c r="H14" s="1121"/>
      <c r="I14" s="1122"/>
      <c r="J14" s="1122"/>
      <c r="K14" s="1123"/>
      <c r="L14" s="1127"/>
      <c r="M14" s="1128"/>
      <c r="N14" s="1129"/>
      <c r="O14" s="1021"/>
      <c r="P14" s="1131"/>
      <c r="Q14" s="1022"/>
      <c r="R14" s="1137"/>
      <c r="S14" s="1138"/>
      <c r="T14" s="1139"/>
      <c r="U14" s="1143"/>
      <c r="V14" s="1144"/>
      <c r="W14" s="1145"/>
      <c r="X14" s="269">
        <f>'GRANTEE SET UP INFO &amp; DATE '!C11</f>
        <v>0</v>
      </c>
      <c r="Y14" s="270">
        <f>'GRANTEE SET UP INFO &amp; DATE '!C12</f>
        <v>0</v>
      </c>
      <c r="Z14" s="269">
        <f>'GRANTEE SET UP INFO &amp; DATE '!C13</f>
        <v>0</v>
      </c>
      <c r="AA14" s="270">
        <f>'GRANTEE SET UP INFO &amp; DATE '!C14</f>
        <v>0</v>
      </c>
      <c r="AB14" s="269">
        <f>'GRANTEE SET UP INFO &amp; DATE '!C15</f>
        <v>0</v>
      </c>
      <c r="AC14" s="270">
        <f>'GRANTEE SET UP INFO &amp; DATE '!C16</f>
        <v>0</v>
      </c>
      <c r="AD14" s="269">
        <f>'GRANTEE SET UP INFO &amp; DATE '!C17</f>
        <v>0</v>
      </c>
      <c r="AE14" s="270">
        <f>'GRANTEE SET UP INFO &amp; DATE '!C18</f>
        <v>0</v>
      </c>
      <c r="AF14" s="269">
        <f>'GRANTEE SET UP INFO &amp; DATE '!C19</f>
        <v>0</v>
      </c>
      <c r="AG14" s="270">
        <f>'GRANTEE SET UP INFO &amp; DATE '!C18</f>
        <v>0</v>
      </c>
      <c r="AH14" s="269">
        <f>'GRANTEE SET UP INFO &amp; DATE '!D18</f>
        <v>0</v>
      </c>
      <c r="AI14" s="270">
        <f>'GRANTEE SET UP INFO &amp; DATE '!E18</f>
        <v>0</v>
      </c>
      <c r="AJ14" s="1105"/>
      <c r="AK14" s="1107"/>
      <c r="AL14" s="1105"/>
      <c r="AM14" s="1107"/>
      <c r="AN14" s="1105"/>
      <c r="AO14" s="1107"/>
      <c r="AP14" s="1105"/>
      <c r="AQ14" s="1107"/>
      <c r="AR14" s="1105"/>
      <c r="AS14" s="1169"/>
      <c r="AT14" s="1170"/>
      <c r="AU14" s="1170"/>
      <c r="AV14" s="1170"/>
      <c r="AW14" s="1170"/>
      <c r="AX14" s="1170"/>
      <c r="AY14" s="1171"/>
      <c r="AZ14" s="247"/>
      <c r="BA14" s="247"/>
      <c r="BB14" s="1174"/>
      <c r="BC14" s="1175"/>
      <c r="BD14" s="1179"/>
      <c r="BE14" s="1180"/>
      <c r="BF14" s="1181"/>
      <c r="BG14" s="1185"/>
      <c r="BH14" s="1186"/>
      <c r="BI14" s="1186"/>
      <c r="BJ14" s="1187"/>
      <c r="BK14" s="1191"/>
      <c r="BL14" s="1192"/>
      <c r="BM14" s="1193"/>
      <c r="BN14" s="230"/>
      <c r="BO14" s="230"/>
      <c r="BP14" s="1197"/>
      <c r="BQ14" s="1198"/>
      <c r="BR14" s="1199"/>
      <c r="BS14" s="1179"/>
      <c r="BT14" s="1180"/>
      <c r="BU14" s="1181"/>
    </row>
    <row r="15" spans="1:73" ht="30" customHeight="1" x14ac:dyDescent="0.25">
      <c r="A15" s="199">
        <f>ROW(A1)</f>
        <v>1</v>
      </c>
      <c r="B15" s="1081" t="s">
        <v>162</v>
      </c>
      <c r="C15" s="1082"/>
      <c r="D15" s="1083" t="s">
        <v>159</v>
      </c>
      <c r="E15" s="1084"/>
      <c r="F15" s="1084"/>
      <c r="G15" s="1085"/>
      <c r="H15" s="1086" t="s">
        <v>159</v>
      </c>
      <c r="I15" s="1087"/>
      <c r="J15" s="1087"/>
      <c r="K15" s="1088"/>
      <c r="L15" s="1089" t="s">
        <v>159</v>
      </c>
      <c r="M15" s="1090"/>
      <c r="N15" s="1091"/>
      <c r="O15" s="1092" t="s">
        <v>159</v>
      </c>
      <c r="P15" s="1093"/>
      <c r="Q15" s="1094"/>
      <c r="R15" s="812"/>
      <c r="S15" s="1095"/>
      <c r="T15" s="813"/>
      <c r="U15" s="812"/>
      <c r="V15" s="1095"/>
      <c r="W15" s="813"/>
      <c r="X15" s="312"/>
      <c r="Y15" s="308"/>
      <c r="Z15" s="312"/>
      <c r="AA15" s="308"/>
      <c r="AB15" s="312"/>
      <c r="AC15" s="308"/>
      <c r="AD15" s="312"/>
      <c r="AE15" s="308"/>
      <c r="AF15" s="312"/>
      <c r="AG15" s="308"/>
      <c r="AH15" s="312"/>
      <c r="AI15" s="308"/>
      <c r="AJ15" s="327"/>
      <c r="AK15" s="330"/>
      <c r="AL15" s="327"/>
      <c r="AM15" s="330"/>
      <c r="AN15" s="327"/>
      <c r="AO15" s="330"/>
      <c r="AP15" s="327"/>
      <c r="AQ15" s="330"/>
      <c r="AR15" s="327"/>
      <c r="AS15" s="1096" t="s">
        <v>159</v>
      </c>
      <c r="AT15" s="1097"/>
      <c r="AU15" s="1097"/>
      <c r="AV15" s="1097"/>
      <c r="AW15" s="1097"/>
      <c r="AX15" s="1097"/>
      <c r="AY15" s="1100"/>
      <c r="AZ15" s="257"/>
      <c r="BA15" s="257"/>
      <c r="BB15" s="1079" t="s">
        <v>162</v>
      </c>
      <c r="BC15" s="1080"/>
      <c r="BD15" s="1075">
        <v>1</v>
      </c>
      <c r="BE15" s="1075"/>
      <c r="BF15" s="1075"/>
      <c r="BG15" s="1076" t="s">
        <v>159</v>
      </c>
      <c r="BH15" s="1077"/>
      <c r="BI15" s="1077"/>
      <c r="BJ15" s="1078"/>
      <c r="BK15" s="1065" t="s">
        <v>116</v>
      </c>
      <c r="BL15" s="1066"/>
      <c r="BM15" s="1067"/>
      <c r="BN15" s="259"/>
      <c r="BO15" s="259"/>
      <c r="BP15" s="1076"/>
      <c r="BQ15" s="1077"/>
      <c r="BR15" s="1078"/>
      <c r="BS15" s="1075" t="s">
        <v>159</v>
      </c>
      <c r="BT15" s="1075"/>
      <c r="BU15" s="1075"/>
    </row>
    <row r="16" spans="1:73" ht="30" customHeight="1" x14ac:dyDescent="0.25">
      <c r="A16" s="199">
        <f t="shared" ref="A16:A79" si="0">ROW(A2)</f>
        <v>2</v>
      </c>
      <c r="B16" s="1081" t="s">
        <v>162</v>
      </c>
      <c r="C16" s="1082"/>
      <c r="D16" s="1083" t="s">
        <v>159</v>
      </c>
      <c r="E16" s="1084"/>
      <c r="F16" s="1084"/>
      <c r="G16" s="1085"/>
      <c r="H16" s="1086" t="s">
        <v>159</v>
      </c>
      <c r="I16" s="1087"/>
      <c r="J16" s="1087"/>
      <c r="K16" s="1088"/>
      <c r="L16" s="1089" t="s">
        <v>159</v>
      </c>
      <c r="M16" s="1090"/>
      <c r="N16" s="1091"/>
      <c r="O16" s="1092" t="s">
        <v>159</v>
      </c>
      <c r="P16" s="1093"/>
      <c r="Q16" s="1094"/>
      <c r="R16" s="812"/>
      <c r="S16" s="1095"/>
      <c r="T16" s="813"/>
      <c r="U16" s="812"/>
      <c r="V16" s="1095"/>
      <c r="W16" s="813"/>
      <c r="X16" s="312"/>
      <c r="Y16" s="308"/>
      <c r="Z16" s="312"/>
      <c r="AA16" s="308"/>
      <c r="AB16" s="312"/>
      <c r="AC16" s="308"/>
      <c r="AD16" s="312"/>
      <c r="AE16" s="308"/>
      <c r="AF16" s="312"/>
      <c r="AG16" s="308"/>
      <c r="AH16" s="312"/>
      <c r="AI16" s="308"/>
      <c r="AJ16" s="327"/>
      <c r="AK16" s="330"/>
      <c r="AL16" s="327"/>
      <c r="AM16" s="330"/>
      <c r="AN16" s="327"/>
      <c r="AO16" s="330"/>
      <c r="AP16" s="327"/>
      <c r="AQ16" s="330"/>
      <c r="AR16" s="327"/>
      <c r="AS16" s="1096" t="s">
        <v>159</v>
      </c>
      <c r="AT16" s="1097"/>
      <c r="AU16" s="1097"/>
      <c r="AV16" s="1097"/>
      <c r="AW16" s="1097"/>
      <c r="AX16" s="1097"/>
      <c r="AY16" s="1100"/>
      <c r="AZ16" s="257"/>
      <c r="BA16" s="257"/>
      <c r="BB16" s="1059" t="s">
        <v>162</v>
      </c>
      <c r="BC16" s="1060"/>
      <c r="BD16" s="1075">
        <v>1</v>
      </c>
      <c r="BE16" s="1075"/>
      <c r="BF16" s="1075"/>
      <c r="BG16" s="1076" t="s">
        <v>159</v>
      </c>
      <c r="BH16" s="1077"/>
      <c r="BI16" s="1077"/>
      <c r="BJ16" s="1078"/>
      <c r="BK16" s="1065" t="s">
        <v>116</v>
      </c>
      <c r="BL16" s="1066"/>
      <c r="BM16" s="1067"/>
      <c r="BN16" s="259"/>
      <c r="BO16" s="259"/>
      <c r="BP16" s="1076"/>
      <c r="BQ16" s="1077"/>
      <c r="BR16" s="1078"/>
      <c r="BS16" s="1075" t="s">
        <v>159</v>
      </c>
      <c r="BT16" s="1075"/>
      <c r="BU16" s="1075"/>
    </row>
    <row r="17" spans="1:73" ht="30" customHeight="1" x14ac:dyDescent="0.25">
      <c r="A17" s="199">
        <f t="shared" si="0"/>
        <v>3</v>
      </c>
      <c r="B17" s="1081" t="s">
        <v>162</v>
      </c>
      <c r="C17" s="1082"/>
      <c r="D17" s="1083" t="s">
        <v>159</v>
      </c>
      <c r="E17" s="1084"/>
      <c r="F17" s="1084"/>
      <c r="G17" s="1085"/>
      <c r="H17" s="1086" t="s">
        <v>159</v>
      </c>
      <c r="I17" s="1087"/>
      <c r="J17" s="1087"/>
      <c r="K17" s="1088"/>
      <c r="L17" s="1089" t="s">
        <v>159</v>
      </c>
      <c r="M17" s="1090"/>
      <c r="N17" s="1091"/>
      <c r="O17" s="1092" t="s">
        <v>159</v>
      </c>
      <c r="P17" s="1093"/>
      <c r="Q17" s="1094"/>
      <c r="R17" s="812"/>
      <c r="S17" s="1095"/>
      <c r="T17" s="813"/>
      <c r="U17" s="812"/>
      <c r="V17" s="1095"/>
      <c r="W17" s="813"/>
      <c r="X17" s="312"/>
      <c r="Y17" s="308"/>
      <c r="Z17" s="312"/>
      <c r="AA17" s="308"/>
      <c r="AB17" s="312"/>
      <c r="AC17" s="308"/>
      <c r="AD17" s="312"/>
      <c r="AE17" s="308"/>
      <c r="AF17" s="312"/>
      <c r="AG17" s="308"/>
      <c r="AH17" s="312"/>
      <c r="AI17" s="308"/>
      <c r="AJ17" s="327"/>
      <c r="AK17" s="330"/>
      <c r="AL17" s="327"/>
      <c r="AM17" s="330"/>
      <c r="AN17" s="327"/>
      <c r="AO17" s="330"/>
      <c r="AP17" s="327"/>
      <c r="AQ17" s="330"/>
      <c r="AR17" s="327"/>
      <c r="AS17" s="1096" t="s">
        <v>159</v>
      </c>
      <c r="AT17" s="1097"/>
      <c r="AU17" s="1097"/>
      <c r="AV17" s="1097"/>
      <c r="AW17" s="1097"/>
      <c r="AX17" s="1097"/>
      <c r="AY17" s="1100"/>
      <c r="AZ17" s="257"/>
      <c r="BA17" s="257"/>
      <c r="BB17" s="1059" t="s">
        <v>162</v>
      </c>
      <c r="BC17" s="1060"/>
      <c r="BD17" s="1075">
        <v>1</v>
      </c>
      <c r="BE17" s="1075"/>
      <c r="BF17" s="1075"/>
      <c r="BG17" s="1076" t="s">
        <v>159</v>
      </c>
      <c r="BH17" s="1077"/>
      <c r="BI17" s="1077"/>
      <c r="BJ17" s="1078"/>
      <c r="BK17" s="1065" t="s">
        <v>116</v>
      </c>
      <c r="BL17" s="1066"/>
      <c r="BM17" s="1067"/>
      <c r="BN17" s="259"/>
      <c r="BO17" s="259"/>
      <c r="BP17" s="1076"/>
      <c r="BQ17" s="1077"/>
      <c r="BR17" s="1078"/>
      <c r="BS17" s="1075" t="s">
        <v>159</v>
      </c>
      <c r="BT17" s="1075"/>
      <c r="BU17" s="1075"/>
    </row>
    <row r="18" spans="1:73" ht="30" customHeight="1" x14ac:dyDescent="0.25">
      <c r="A18" s="199">
        <f t="shared" si="0"/>
        <v>4</v>
      </c>
      <c r="B18" s="1081" t="s">
        <v>162</v>
      </c>
      <c r="C18" s="1082"/>
      <c r="D18" s="1083" t="s">
        <v>159</v>
      </c>
      <c r="E18" s="1084"/>
      <c r="F18" s="1084"/>
      <c r="G18" s="1085"/>
      <c r="H18" s="1086" t="s">
        <v>159</v>
      </c>
      <c r="I18" s="1087"/>
      <c r="J18" s="1087"/>
      <c r="K18" s="1088"/>
      <c r="L18" s="1089" t="s">
        <v>159</v>
      </c>
      <c r="M18" s="1090"/>
      <c r="N18" s="1091"/>
      <c r="O18" s="1092" t="s">
        <v>159</v>
      </c>
      <c r="P18" s="1093"/>
      <c r="Q18" s="1094"/>
      <c r="R18" s="812"/>
      <c r="S18" s="1095"/>
      <c r="T18" s="813"/>
      <c r="U18" s="812"/>
      <c r="V18" s="1095"/>
      <c r="W18" s="813"/>
      <c r="X18" s="312"/>
      <c r="Y18" s="308"/>
      <c r="Z18" s="312"/>
      <c r="AA18" s="308"/>
      <c r="AB18" s="312"/>
      <c r="AC18" s="308"/>
      <c r="AD18" s="312"/>
      <c r="AE18" s="308"/>
      <c r="AF18" s="312"/>
      <c r="AG18" s="308"/>
      <c r="AH18" s="312"/>
      <c r="AI18" s="308"/>
      <c r="AJ18" s="327"/>
      <c r="AK18" s="330"/>
      <c r="AL18" s="327"/>
      <c r="AM18" s="330"/>
      <c r="AN18" s="327"/>
      <c r="AO18" s="330"/>
      <c r="AP18" s="327"/>
      <c r="AQ18" s="330"/>
      <c r="AR18" s="327"/>
      <c r="AS18" s="1096" t="s">
        <v>159</v>
      </c>
      <c r="AT18" s="1097"/>
      <c r="AU18" s="1097"/>
      <c r="AV18" s="1097"/>
      <c r="AW18" s="1097"/>
      <c r="AX18" s="1097"/>
      <c r="AY18" s="1100"/>
      <c r="AZ18" s="257"/>
      <c r="BA18" s="257"/>
      <c r="BB18" s="1059" t="s">
        <v>162</v>
      </c>
      <c r="BC18" s="1060"/>
      <c r="BD18" s="1075">
        <v>1</v>
      </c>
      <c r="BE18" s="1075"/>
      <c r="BF18" s="1075"/>
      <c r="BG18" s="1076" t="s">
        <v>159</v>
      </c>
      <c r="BH18" s="1077"/>
      <c r="BI18" s="1077"/>
      <c r="BJ18" s="1078"/>
      <c r="BK18" s="1065" t="s">
        <v>116</v>
      </c>
      <c r="BL18" s="1066"/>
      <c r="BM18" s="1067"/>
      <c r="BN18" s="259"/>
      <c r="BO18" s="259"/>
      <c r="BP18" s="1076"/>
      <c r="BQ18" s="1077"/>
      <c r="BR18" s="1078"/>
      <c r="BS18" s="1075" t="s">
        <v>159</v>
      </c>
      <c r="BT18" s="1075"/>
      <c r="BU18" s="1075"/>
    </row>
    <row r="19" spans="1:73" ht="30" customHeight="1" x14ac:dyDescent="0.25">
      <c r="A19" s="199">
        <f t="shared" si="0"/>
        <v>5</v>
      </c>
      <c r="B19" s="1081" t="s">
        <v>162</v>
      </c>
      <c r="C19" s="1082"/>
      <c r="D19" s="1083" t="s">
        <v>159</v>
      </c>
      <c r="E19" s="1084"/>
      <c r="F19" s="1084"/>
      <c r="G19" s="1085"/>
      <c r="H19" s="1086" t="s">
        <v>159</v>
      </c>
      <c r="I19" s="1087"/>
      <c r="J19" s="1087"/>
      <c r="K19" s="1088"/>
      <c r="L19" s="1089" t="s">
        <v>159</v>
      </c>
      <c r="M19" s="1090"/>
      <c r="N19" s="1091"/>
      <c r="O19" s="1092" t="s">
        <v>159</v>
      </c>
      <c r="P19" s="1093"/>
      <c r="Q19" s="1094"/>
      <c r="R19" s="812"/>
      <c r="S19" s="1095"/>
      <c r="T19" s="813"/>
      <c r="U19" s="812"/>
      <c r="V19" s="1095"/>
      <c r="W19" s="813"/>
      <c r="X19" s="312"/>
      <c r="Y19" s="308"/>
      <c r="Z19" s="312"/>
      <c r="AA19" s="308"/>
      <c r="AB19" s="312"/>
      <c r="AC19" s="308"/>
      <c r="AD19" s="312"/>
      <c r="AE19" s="308"/>
      <c r="AF19" s="312"/>
      <c r="AG19" s="308"/>
      <c r="AH19" s="312"/>
      <c r="AI19" s="308"/>
      <c r="AJ19" s="327"/>
      <c r="AK19" s="330"/>
      <c r="AL19" s="327"/>
      <c r="AM19" s="330"/>
      <c r="AN19" s="327"/>
      <c r="AO19" s="330"/>
      <c r="AP19" s="327"/>
      <c r="AQ19" s="330"/>
      <c r="AR19" s="327"/>
      <c r="AS19" s="1096" t="s">
        <v>159</v>
      </c>
      <c r="AT19" s="1097"/>
      <c r="AU19" s="1097"/>
      <c r="AV19" s="1097"/>
      <c r="AW19" s="1097"/>
      <c r="AX19" s="1097"/>
      <c r="AY19" s="1100"/>
      <c r="AZ19" s="257"/>
      <c r="BA19" s="257"/>
      <c r="BB19" s="1059" t="s">
        <v>162</v>
      </c>
      <c r="BC19" s="1060"/>
      <c r="BD19" s="1075">
        <v>1</v>
      </c>
      <c r="BE19" s="1075"/>
      <c r="BF19" s="1075"/>
      <c r="BG19" s="1076" t="s">
        <v>159</v>
      </c>
      <c r="BH19" s="1077"/>
      <c r="BI19" s="1077"/>
      <c r="BJ19" s="1078"/>
      <c r="BK19" s="1065" t="s">
        <v>116</v>
      </c>
      <c r="BL19" s="1066"/>
      <c r="BM19" s="1067"/>
      <c r="BN19" s="259"/>
      <c r="BO19" s="259"/>
      <c r="BP19" s="1076"/>
      <c r="BQ19" s="1077"/>
      <c r="BR19" s="1078"/>
      <c r="BS19" s="1075" t="s">
        <v>159</v>
      </c>
      <c r="BT19" s="1075"/>
      <c r="BU19" s="1075"/>
    </row>
    <row r="20" spans="1:73" ht="30" customHeight="1" x14ac:dyDescent="0.25">
      <c r="A20" s="199">
        <f t="shared" si="0"/>
        <v>6</v>
      </c>
      <c r="B20" s="1081" t="s">
        <v>162</v>
      </c>
      <c r="C20" s="1082"/>
      <c r="D20" s="1083" t="s">
        <v>159</v>
      </c>
      <c r="E20" s="1084"/>
      <c r="F20" s="1084"/>
      <c r="G20" s="1085"/>
      <c r="H20" s="1086" t="s">
        <v>159</v>
      </c>
      <c r="I20" s="1087"/>
      <c r="J20" s="1087"/>
      <c r="K20" s="1088"/>
      <c r="L20" s="1089" t="s">
        <v>159</v>
      </c>
      <c r="M20" s="1090"/>
      <c r="N20" s="1091"/>
      <c r="O20" s="1092" t="s">
        <v>159</v>
      </c>
      <c r="P20" s="1093"/>
      <c r="Q20" s="1094"/>
      <c r="R20" s="812"/>
      <c r="S20" s="1095"/>
      <c r="T20" s="813"/>
      <c r="U20" s="812"/>
      <c r="V20" s="1095"/>
      <c r="W20" s="813"/>
      <c r="X20" s="312"/>
      <c r="Y20" s="308"/>
      <c r="Z20" s="312"/>
      <c r="AA20" s="308"/>
      <c r="AB20" s="312"/>
      <c r="AC20" s="308"/>
      <c r="AD20" s="312"/>
      <c r="AE20" s="308"/>
      <c r="AF20" s="312"/>
      <c r="AG20" s="308"/>
      <c r="AH20" s="312"/>
      <c r="AI20" s="308"/>
      <c r="AJ20" s="327"/>
      <c r="AK20" s="330"/>
      <c r="AL20" s="327"/>
      <c r="AM20" s="330"/>
      <c r="AN20" s="327"/>
      <c r="AO20" s="330"/>
      <c r="AP20" s="327"/>
      <c r="AQ20" s="330"/>
      <c r="AR20" s="327"/>
      <c r="AS20" s="1096" t="s">
        <v>159</v>
      </c>
      <c r="AT20" s="1097"/>
      <c r="AU20" s="1097"/>
      <c r="AV20" s="1097"/>
      <c r="AW20" s="1097"/>
      <c r="AX20" s="1097"/>
      <c r="AY20" s="1100"/>
      <c r="AZ20" s="257"/>
      <c r="BA20" s="257"/>
      <c r="BB20" s="1059" t="s">
        <v>162</v>
      </c>
      <c r="BC20" s="1060"/>
      <c r="BD20" s="1075">
        <v>1</v>
      </c>
      <c r="BE20" s="1075"/>
      <c r="BF20" s="1075"/>
      <c r="BG20" s="1076" t="s">
        <v>159</v>
      </c>
      <c r="BH20" s="1077"/>
      <c r="BI20" s="1077"/>
      <c r="BJ20" s="1078"/>
      <c r="BK20" s="1065" t="s">
        <v>116</v>
      </c>
      <c r="BL20" s="1066"/>
      <c r="BM20" s="1067"/>
      <c r="BN20" s="259"/>
      <c r="BO20" s="259"/>
      <c r="BP20" s="1076"/>
      <c r="BQ20" s="1077"/>
      <c r="BR20" s="1078"/>
      <c r="BS20" s="1075" t="s">
        <v>159</v>
      </c>
      <c r="BT20" s="1075"/>
      <c r="BU20" s="1075"/>
    </row>
    <row r="21" spans="1:73" ht="30" customHeight="1" x14ac:dyDescent="0.25">
      <c r="A21" s="199">
        <f t="shared" si="0"/>
        <v>7</v>
      </c>
      <c r="B21" s="1081" t="s">
        <v>162</v>
      </c>
      <c r="C21" s="1082"/>
      <c r="D21" s="1083" t="s">
        <v>159</v>
      </c>
      <c r="E21" s="1084"/>
      <c r="F21" s="1084"/>
      <c r="G21" s="1085"/>
      <c r="H21" s="1086" t="s">
        <v>159</v>
      </c>
      <c r="I21" s="1087"/>
      <c r="J21" s="1087"/>
      <c r="K21" s="1088"/>
      <c r="L21" s="1089" t="s">
        <v>159</v>
      </c>
      <c r="M21" s="1090"/>
      <c r="N21" s="1091"/>
      <c r="O21" s="1092" t="s">
        <v>159</v>
      </c>
      <c r="P21" s="1093"/>
      <c r="Q21" s="1094"/>
      <c r="R21" s="812"/>
      <c r="S21" s="1095"/>
      <c r="T21" s="813"/>
      <c r="U21" s="812"/>
      <c r="V21" s="1095"/>
      <c r="W21" s="813"/>
      <c r="X21" s="312"/>
      <c r="Y21" s="308"/>
      <c r="Z21" s="312"/>
      <c r="AA21" s="308"/>
      <c r="AB21" s="312"/>
      <c r="AC21" s="308"/>
      <c r="AD21" s="312"/>
      <c r="AE21" s="308"/>
      <c r="AF21" s="312"/>
      <c r="AG21" s="308"/>
      <c r="AH21" s="312"/>
      <c r="AI21" s="308"/>
      <c r="AJ21" s="327"/>
      <c r="AK21" s="330"/>
      <c r="AL21" s="327"/>
      <c r="AM21" s="330"/>
      <c r="AN21" s="327"/>
      <c r="AO21" s="330"/>
      <c r="AP21" s="327"/>
      <c r="AQ21" s="330"/>
      <c r="AR21" s="327"/>
      <c r="AS21" s="1096" t="s">
        <v>159</v>
      </c>
      <c r="AT21" s="1097"/>
      <c r="AU21" s="1097"/>
      <c r="AV21" s="1097"/>
      <c r="AW21" s="1097"/>
      <c r="AX21" s="1097"/>
      <c r="AY21" s="1100"/>
      <c r="AZ21" s="257"/>
      <c r="BA21" s="257"/>
      <c r="BB21" s="1059" t="s">
        <v>162</v>
      </c>
      <c r="BC21" s="1060"/>
      <c r="BD21" s="1075">
        <v>1</v>
      </c>
      <c r="BE21" s="1075"/>
      <c r="BF21" s="1075"/>
      <c r="BG21" s="1076" t="s">
        <v>159</v>
      </c>
      <c r="BH21" s="1077"/>
      <c r="BI21" s="1077"/>
      <c r="BJ21" s="1078"/>
      <c r="BK21" s="1065" t="s">
        <v>116</v>
      </c>
      <c r="BL21" s="1066"/>
      <c r="BM21" s="1067"/>
      <c r="BN21" s="259"/>
      <c r="BO21" s="259"/>
      <c r="BP21" s="1076"/>
      <c r="BQ21" s="1077"/>
      <c r="BR21" s="1078"/>
      <c r="BS21" s="1075" t="s">
        <v>159</v>
      </c>
      <c r="BT21" s="1075"/>
      <c r="BU21" s="1075"/>
    </row>
    <row r="22" spans="1:73" ht="30" customHeight="1" x14ac:dyDescent="0.25">
      <c r="A22" s="199">
        <f t="shared" si="0"/>
        <v>8</v>
      </c>
      <c r="B22" s="1081" t="s">
        <v>162</v>
      </c>
      <c r="C22" s="1082"/>
      <c r="D22" s="1083" t="s">
        <v>159</v>
      </c>
      <c r="E22" s="1084"/>
      <c r="F22" s="1084"/>
      <c r="G22" s="1085"/>
      <c r="H22" s="1086" t="s">
        <v>159</v>
      </c>
      <c r="I22" s="1087"/>
      <c r="J22" s="1087"/>
      <c r="K22" s="1088"/>
      <c r="L22" s="1089" t="s">
        <v>159</v>
      </c>
      <c r="M22" s="1090"/>
      <c r="N22" s="1091"/>
      <c r="O22" s="1092" t="s">
        <v>159</v>
      </c>
      <c r="P22" s="1093"/>
      <c r="Q22" s="1094"/>
      <c r="R22" s="812"/>
      <c r="S22" s="1095"/>
      <c r="T22" s="813"/>
      <c r="U22" s="812"/>
      <c r="V22" s="1095"/>
      <c r="W22" s="813"/>
      <c r="X22" s="312"/>
      <c r="Y22" s="308"/>
      <c r="Z22" s="312"/>
      <c r="AA22" s="308"/>
      <c r="AB22" s="312"/>
      <c r="AC22" s="308"/>
      <c r="AD22" s="312"/>
      <c r="AE22" s="308"/>
      <c r="AF22" s="312"/>
      <c r="AG22" s="308"/>
      <c r="AH22" s="312"/>
      <c r="AI22" s="308"/>
      <c r="AJ22" s="327"/>
      <c r="AK22" s="330"/>
      <c r="AL22" s="327"/>
      <c r="AM22" s="330"/>
      <c r="AN22" s="327"/>
      <c r="AO22" s="330"/>
      <c r="AP22" s="327"/>
      <c r="AQ22" s="330"/>
      <c r="AR22" s="327"/>
      <c r="AS22" s="1096" t="s">
        <v>159</v>
      </c>
      <c r="AT22" s="1097"/>
      <c r="AU22" s="1097"/>
      <c r="AV22" s="1097"/>
      <c r="AW22" s="1097"/>
      <c r="AX22" s="1097"/>
      <c r="AY22" s="1100"/>
      <c r="AZ22" s="257"/>
      <c r="BA22" s="257"/>
      <c r="BB22" s="1079" t="s">
        <v>162</v>
      </c>
      <c r="BC22" s="1080"/>
      <c r="BD22" s="1075">
        <v>1</v>
      </c>
      <c r="BE22" s="1075"/>
      <c r="BF22" s="1075"/>
      <c r="BG22" s="1076" t="s">
        <v>159</v>
      </c>
      <c r="BH22" s="1077"/>
      <c r="BI22" s="1077"/>
      <c r="BJ22" s="1078"/>
      <c r="BK22" s="1065" t="s">
        <v>116</v>
      </c>
      <c r="BL22" s="1066"/>
      <c r="BM22" s="1067"/>
      <c r="BN22" s="259"/>
      <c r="BO22" s="259"/>
      <c r="BP22" s="1076"/>
      <c r="BQ22" s="1077"/>
      <c r="BR22" s="1078"/>
      <c r="BS22" s="1075" t="s">
        <v>159</v>
      </c>
      <c r="BT22" s="1075"/>
      <c r="BU22" s="1075"/>
    </row>
    <row r="23" spans="1:73" ht="30" customHeight="1" x14ac:dyDescent="0.25">
      <c r="A23" s="199">
        <f t="shared" si="0"/>
        <v>9</v>
      </c>
      <c r="B23" s="1081" t="s">
        <v>162</v>
      </c>
      <c r="C23" s="1082"/>
      <c r="D23" s="1083" t="s">
        <v>159</v>
      </c>
      <c r="E23" s="1084"/>
      <c r="F23" s="1084"/>
      <c r="G23" s="1085"/>
      <c r="H23" s="1086" t="s">
        <v>159</v>
      </c>
      <c r="I23" s="1087"/>
      <c r="J23" s="1087"/>
      <c r="K23" s="1088"/>
      <c r="L23" s="1089" t="s">
        <v>159</v>
      </c>
      <c r="M23" s="1090"/>
      <c r="N23" s="1091"/>
      <c r="O23" s="1092" t="s">
        <v>159</v>
      </c>
      <c r="P23" s="1093"/>
      <c r="Q23" s="1094"/>
      <c r="R23" s="812"/>
      <c r="S23" s="1095"/>
      <c r="T23" s="813"/>
      <c r="U23" s="812"/>
      <c r="V23" s="1095"/>
      <c r="W23" s="813"/>
      <c r="X23" s="312"/>
      <c r="Y23" s="308"/>
      <c r="Z23" s="312"/>
      <c r="AA23" s="308"/>
      <c r="AB23" s="312"/>
      <c r="AC23" s="308"/>
      <c r="AD23" s="312"/>
      <c r="AE23" s="308"/>
      <c r="AF23" s="312"/>
      <c r="AG23" s="308"/>
      <c r="AH23" s="312"/>
      <c r="AI23" s="308"/>
      <c r="AJ23" s="327"/>
      <c r="AK23" s="330"/>
      <c r="AL23" s="327"/>
      <c r="AM23" s="330"/>
      <c r="AN23" s="327"/>
      <c r="AO23" s="330"/>
      <c r="AP23" s="327"/>
      <c r="AQ23" s="330"/>
      <c r="AR23" s="327"/>
      <c r="AS23" s="1096" t="s">
        <v>159</v>
      </c>
      <c r="AT23" s="1097"/>
      <c r="AU23" s="1097"/>
      <c r="AV23" s="1097"/>
      <c r="AW23" s="1097"/>
      <c r="AX23" s="1097"/>
      <c r="AY23" s="1100"/>
      <c r="AZ23" s="257"/>
      <c r="BA23" s="257"/>
      <c r="BB23" s="1059" t="s">
        <v>162</v>
      </c>
      <c r="BC23" s="1060"/>
      <c r="BD23" s="1075">
        <v>1</v>
      </c>
      <c r="BE23" s="1075"/>
      <c r="BF23" s="1075"/>
      <c r="BG23" s="1076" t="s">
        <v>159</v>
      </c>
      <c r="BH23" s="1077"/>
      <c r="BI23" s="1077"/>
      <c r="BJ23" s="1078"/>
      <c r="BK23" s="1065" t="s">
        <v>116</v>
      </c>
      <c r="BL23" s="1066"/>
      <c r="BM23" s="1067"/>
      <c r="BN23" s="259"/>
      <c r="BO23" s="259"/>
      <c r="BP23" s="1076"/>
      <c r="BQ23" s="1077"/>
      <c r="BR23" s="1078"/>
      <c r="BS23" s="1075" t="s">
        <v>159</v>
      </c>
      <c r="BT23" s="1075"/>
      <c r="BU23" s="1075"/>
    </row>
    <row r="24" spans="1:73" ht="30" customHeight="1" x14ac:dyDescent="0.25">
      <c r="A24" s="199">
        <f t="shared" si="0"/>
        <v>10</v>
      </c>
      <c r="B24" s="1081" t="s">
        <v>162</v>
      </c>
      <c r="C24" s="1082"/>
      <c r="D24" s="1083" t="s">
        <v>159</v>
      </c>
      <c r="E24" s="1084"/>
      <c r="F24" s="1084"/>
      <c r="G24" s="1085"/>
      <c r="H24" s="1086" t="s">
        <v>159</v>
      </c>
      <c r="I24" s="1087"/>
      <c r="J24" s="1087"/>
      <c r="K24" s="1088"/>
      <c r="L24" s="1089" t="s">
        <v>159</v>
      </c>
      <c r="M24" s="1090"/>
      <c r="N24" s="1091"/>
      <c r="O24" s="1092" t="s">
        <v>159</v>
      </c>
      <c r="P24" s="1093"/>
      <c r="Q24" s="1094"/>
      <c r="R24" s="812"/>
      <c r="S24" s="1095"/>
      <c r="T24" s="813"/>
      <c r="U24" s="812"/>
      <c r="V24" s="1095"/>
      <c r="W24" s="813"/>
      <c r="X24" s="312"/>
      <c r="Y24" s="308"/>
      <c r="Z24" s="312"/>
      <c r="AA24" s="308"/>
      <c r="AB24" s="312"/>
      <c r="AC24" s="308"/>
      <c r="AD24" s="312"/>
      <c r="AE24" s="308"/>
      <c r="AF24" s="312"/>
      <c r="AG24" s="308"/>
      <c r="AH24" s="312"/>
      <c r="AI24" s="308"/>
      <c r="AJ24" s="327"/>
      <c r="AK24" s="330"/>
      <c r="AL24" s="327"/>
      <c r="AM24" s="330"/>
      <c r="AN24" s="327"/>
      <c r="AO24" s="330"/>
      <c r="AP24" s="327"/>
      <c r="AQ24" s="330"/>
      <c r="AR24" s="327"/>
      <c r="AS24" s="1096" t="s">
        <v>159</v>
      </c>
      <c r="AT24" s="1097"/>
      <c r="AU24" s="1097"/>
      <c r="AV24" s="1097"/>
      <c r="AW24" s="1097"/>
      <c r="AX24" s="1097"/>
      <c r="AY24" s="1100"/>
      <c r="AZ24" s="257"/>
      <c r="BA24" s="257"/>
      <c r="BB24" s="1059" t="s">
        <v>162</v>
      </c>
      <c r="BC24" s="1060"/>
      <c r="BD24" s="1075">
        <v>1</v>
      </c>
      <c r="BE24" s="1075"/>
      <c r="BF24" s="1075"/>
      <c r="BG24" s="1076" t="s">
        <v>159</v>
      </c>
      <c r="BH24" s="1077"/>
      <c r="BI24" s="1077"/>
      <c r="BJ24" s="1078"/>
      <c r="BK24" s="1065" t="s">
        <v>116</v>
      </c>
      <c r="BL24" s="1066"/>
      <c r="BM24" s="1067"/>
      <c r="BN24" s="259"/>
      <c r="BO24" s="259"/>
      <c r="BP24" s="1076"/>
      <c r="BQ24" s="1077"/>
      <c r="BR24" s="1078"/>
      <c r="BS24" s="1075" t="s">
        <v>159</v>
      </c>
      <c r="BT24" s="1075"/>
      <c r="BU24" s="1075"/>
    </row>
    <row r="25" spans="1:73" ht="30" customHeight="1" x14ac:dyDescent="0.25">
      <c r="A25" s="199">
        <f t="shared" si="0"/>
        <v>11</v>
      </c>
      <c r="B25" s="1081" t="s">
        <v>162</v>
      </c>
      <c r="C25" s="1082"/>
      <c r="D25" s="1083" t="s">
        <v>159</v>
      </c>
      <c r="E25" s="1084"/>
      <c r="F25" s="1084"/>
      <c r="G25" s="1085"/>
      <c r="H25" s="1086" t="s">
        <v>159</v>
      </c>
      <c r="I25" s="1087"/>
      <c r="J25" s="1087"/>
      <c r="K25" s="1088"/>
      <c r="L25" s="1089" t="s">
        <v>159</v>
      </c>
      <c r="M25" s="1090"/>
      <c r="N25" s="1091"/>
      <c r="O25" s="1092" t="s">
        <v>159</v>
      </c>
      <c r="P25" s="1093"/>
      <c r="Q25" s="1094"/>
      <c r="R25" s="812"/>
      <c r="S25" s="1095"/>
      <c r="T25" s="813"/>
      <c r="U25" s="812"/>
      <c r="V25" s="1095"/>
      <c r="W25" s="813"/>
      <c r="X25" s="312"/>
      <c r="Y25" s="308"/>
      <c r="Z25" s="312"/>
      <c r="AA25" s="308"/>
      <c r="AB25" s="312"/>
      <c r="AC25" s="308"/>
      <c r="AD25" s="312"/>
      <c r="AE25" s="308"/>
      <c r="AF25" s="312"/>
      <c r="AG25" s="308"/>
      <c r="AH25" s="312"/>
      <c r="AI25" s="308"/>
      <c r="AJ25" s="327"/>
      <c r="AK25" s="330"/>
      <c r="AL25" s="327"/>
      <c r="AM25" s="330"/>
      <c r="AN25" s="327"/>
      <c r="AO25" s="330"/>
      <c r="AP25" s="327"/>
      <c r="AQ25" s="330"/>
      <c r="AR25" s="327"/>
      <c r="AS25" s="1096" t="s">
        <v>159</v>
      </c>
      <c r="AT25" s="1097"/>
      <c r="AU25" s="1097"/>
      <c r="AV25" s="1097"/>
      <c r="AW25" s="1097"/>
      <c r="AX25" s="1097"/>
      <c r="AY25" s="1100"/>
      <c r="AZ25" s="257"/>
      <c r="BA25" s="257"/>
      <c r="BB25" s="1059" t="s">
        <v>162</v>
      </c>
      <c r="BC25" s="1060"/>
      <c r="BD25" s="1075">
        <v>1</v>
      </c>
      <c r="BE25" s="1075"/>
      <c r="BF25" s="1075"/>
      <c r="BG25" s="1076" t="s">
        <v>159</v>
      </c>
      <c r="BH25" s="1077"/>
      <c r="BI25" s="1077"/>
      <c r="BJ25" s="1078"/>
      <c r="BK25" s="1065" t="s">
        <v>116</v>
      </c>
      <c r="BL25" s="1066"/>
      <c r="BM25" s="1067"/>
      <c r="BN25" s="259"/>
      <c r="BO25" s="259"/>
      <c r="BP25" s="1076"/>
      <c r="BQ25" s="1077"/>
      <c r="BR25" s="1078"/>
      <c r="BS25" s="1075" t="s">
        <v>159</v>
      </c>
      <c r="BT25" s="1075"/>
      <c r="BU25" s="1075"/>
    </row>
    <row r="26" spans="1:73" ht="30" customHeight="1" x14ac:dyDescent="0.25">
      <c r="A26" s="199">
        <f t="shared" si="0"/>
        <v>12</v>
      </c>
      <c r="B26" s="1081" t="s">
        <v>162</v>
      </c>
      <c r="C26" s="1082"/>
      <c r="D26" s="1083" t="s">
        <v>159</v>
      </c>
      <c r="E26" s="1084"/>
      <c r="F26" s="1084"/>
      <c r="G26" s="1085"/>
      <c r="H26" s="1086" t="s">
        <v>159</v>
      </c>
      <c r="I26" s="1087"/>
      <c r="J26" s="1087"/>
      <c r="K26" s="1088"/>
      <c r="L26" s="1089" t="s">
        <v>159</v>
      </c>
      <c r="M26" s="1090"/>
      <c r="N26" s="1091"/>
      <c r="O26" s="1092" t="s">
        <v>159</v>
      </c>
      <c r="P26" s="1093"/>
      <c r="Q26" s="1094"/>
      <c r="R26" s="812"/>
      <c r="S26" s="1095"/>
      <c r="T26" s="813"/>
      <c r="U26" s="812"/>
      <c r="V26" s="1095"/>
      <c r="W26" s="813"/>
      <c r="X26" s="312"/>
      <c r="Y26" s="308"/>
      <c r="Z26" s="312"/>
      <c r="AA26" s="308"/>
      <c r="AB26" s="312"/>
      <c r="AC26" s="308"/>
      <c r="AD26" s="312"/>
      <c r="AE26" s="308"/>
      <c r="AF26" s="312"/>
      <c r="AG26" s="308"/>
      <c r="AH26" s="312"/>
      <c r="AI26" s="308"/>
      <c r="AJ26" s="327"/>
      <c r="AK26" s="330"/>
      <c r="AL26" s="327"/>
      <c r="AM26" s="330"/>
      <c r="AN26" s="327"/>
      <c r="AO26" s="330"/>
      <c r="AP26" s="327"/>
      <c r="AQ26" s="330"/>
      <c r="AR26" s="327"/>
      <c r="AS26" s="1096" t="s">
        <v>159</v>
      </c>
      <c r="AT26" s="1097"/>
      <c r="AU26" s="1097"/>
      <c r="AV26" s="1097"/>
      <c r="AW26" s="1097"/>
      <c r="AX26" s="1097"/>
      <c r="AY26" s="1100"/>
      <c r="AZ26" s="257"/>
      <c r="BA26" s="257"/>
      <c r="BB26" s="1059" t="s">
        <v>162</v>
      </c>
      <c r="BC26" s="1060"/>
      <c r="BD26" s="1075" t="s">
        <v>159</v>
      </c>
      <c r="BE26" s="1075"/>
      <c r="BF26" s="1075"/>
      <c r="BG26" s="1076" t="s">
        <v>159</v>
      </c>
      <c r="BH26" s="1077"/>
      <c r="BI26" s="1077"/>
      <c r="BJ26" s="1078"/>
      <c r="BK26" s="1065" t="s">
        <v>116</v>
      </c>
      <c r="BL26" s="1066"/>
      <c r="BM26" s="1067"/>
      <c r="BN26" s="259"/>
      <c r="BO26" s="259"/>
      <c r="BP26" s="1076"/>
      <c r="BQ26" s="1077"/>
      <c r="BR26" s="1078"/>
      <c r="BS26" s="1075" t="s">
        <v>159</v>
      </c>
      <c r="BT26" s="1075"/>
      <c r="BU26" s="1075"/>
    </row>
    <row r="27" spans="1:73" ht="30" customHeight="1" x14ac:dyDescent="0.25">
      <c r="A27" s="199">
        <f t="shared" si="0"/>
        <v>13</v>
      </c>
      <c r="B27" s="1081" t="s">
        <v>162</v>
      </c>
      <c r="C27" s="1082"/>
      <c r="D27" s="1083" t="s">
        <v>159</v>
      </c>
      <c r="E27" s="1084"/>
      <c r="F27" s="1084"/>
      <c r="G27" s="1085"/>
      <c r="H27" s="1086" t="s">
        <v>159</v>
      </c>
      <c r="I27" s="1087"/>
      <c r="J27" s="1087"/>
      <c r="K27" s="1088"/>
      <c r="L27" s="1089" t="s">
        <v>159</v>
      </c>
      <c r="M27" s="1090"/>
      <c r="N27" s="1091"/>
      <c r="O27" s="1092" t="s">
        <v>159</v>
      </c>
      <c r="P27" s="1093"/>
      <c r="Q27" s="1094"/>
      <c r="R27" s="812"/>
      <c r="S27" s="1095"/>
      <c r="T27" s="813"/>
      <c r="U27" s="812"/>
      <c r="V27" s="1095"/>
      <c r="W27" s="813"/>
      <c r="X27" s="312"/>
      <c r="Y27" s="308"/>
      <c r="Z27" s="312"/>
      <c r="AA27" s="308"/>
      <c r="AB27" s="312"/>
      <c r="AC27" s="308"/>
      <c r="AD27" s="312"/>
      <c r="AE27" s="308"/>
      <c r="AF27" s="312"/>
      <c r="AG27" s="308"/>
      <c r="AH27" s="312"/>
      <c r="AI27" s="308"/>
      <c r="AJ27" s="327"/>
      <c r="AK27" s="330"/>
      <c r="AL27" s="327"/>
      <c r="AM27" s="330"/>
      <c r="AN27" s="327"/>
      <c r="AO27" s="330"/>
      <c r="AP27" s="327"/>
      <c r="AQ27" s="330"/>
      <c r="AR27" s="327"/>
      <c r="AS27" s="1096" t="s">
        <v>159</v>
      </c>
      <c r="AT27" s="1097"/>
      <c r="AU27" s="1097"/>
      <c r="AV27" s="1097"/>
      <c r="AW27" s="1097"/>
      <c r="AX27" s="1097"/>
      <c r="AY27" s="1100"/>
      <c r="AZ27" s="257"/>
      <c r="BA27" s="257"/>
      <c r="BB27" s="1059" t="s">
        <v>162</v>
      </c>
      <c r="BC27" s="1060"/>
      <c r="BD27" s="1075" t="s">
        <v>159</v>
      </c>
      <c r="BE27" s="1075"/>
      <c r="BF27" s="1075"/>
      <c r="BG27" s="1076" t="s">
        <v>159</v>
      </c>
      <c r="BH27" s="1077"/>
      <c r="BI27" s="1077"/>
      <c r="BJ27" s="1078"/>
      <c r="BK27" s="1065" t="s">
        <v>116</v>
      </c>
      <c r="BL27" s="1066"/>
      <c r="BM27" s="1067"/>
      <c r="BN27" s="259"/>
      <c r="BO27" s="259"/>
      <c r="BP27" s="1076"/>
      <c r="BQ27" s="1077"/>
      <c r="BR27" s="1078"/>
      <c r="BS27" s="1075" t="s">
        <v>159</v>
      </c>
      <c r="BT27" s="1075"/>
      <c r="BU27" s="1075"/>
    </row>
    <row r="28" spans="1:73" ht="30" customHeight="1" x14ac:dyDescent="0.25">
      <c r="A28" s="199">
        <f t="shared" si="0"/>
        <v>14</v>
      </c>
      <c r="B28" s="1081" t="s">
        <v>162</v>
      </c>
      <c r="C28" s="1082"/>
      <c r="D28" s="1083" t="s">
        <v>159</v>
      </c>
      <c r="E28" s="1084"/>
      <c r="F28" s="1084"/>
      <c r="G28" s="1085"/>
      <c r="H28" s="1086" t="s">
        <v>159</v>
      </c>
      <c r="I28" s="1087"/>
      <c r="J28" s="1087"/>
      <c r="K28" s="1088"/>
      <c r="L28" s="1089" t="s">
        <v>159</v>
      </c>
      <c r="M28" s="1090"/>
      <c r="N28" s="1091"/>
      <c r="O28" s="1092" t="s">
        <v>159</v>
      </c>
      <c r="P28" s="1093"/>
      <c r="Q28" s="1094"/>
      <c r="R28" s="812"/>
      <c r="S28" s="1095"/>
      <c r="T28" s="813"/>
      <c r="U28" s="812"/>
      <c r="V28" s="1095"/>
      <c r="W28" s="813"/>
      <c r="X28" s="312"/>
      <c r="Y28" s="308"/>
      <c r="Z28" s="312"/>
      <c r="AA28" s="308"/>
      <c r="AB28" s="312"/>
      <c r="AC28" s="308"/>
      <c r="AD28" s="312"/>
      <c r="AE28" s="308"/>
      <c r="AF28" s="312"/>
      <c r="AG28" s="308"/>
      <c r="AH28" s="312"/>
      <c r="AI28" s="308"/>
      <c r="AJ28" s="327"/>
      <c r="AK28" s="330"/>
      <c r="AL28" s="327"/>
      <c r="AM28" s="330"/>
      <c r="AN28" s="327"/>
      <c r="AO28" s="330"/>
      <c r="AP28" s="327"/>
      <c r="AQ28" s="330"/>
      <c r="AR28" s="327"/>
      <c r="AS28" s="1096" t="s">
        <v>159</v>
      </c>
      <c r="AT28" s="1097"/>
      <c r="AU28" s="1097"/>
      <c r="AV28" s="1097"/>
      <c r="AW28" s="1097"/>
      <c r="AX28" s="1097"/>
      <c r="AY28" s="1100"/>
      <c r="AZ28" s="257"/>
      <c r="BA28" s="257"/>
      <c r="BB28" s="1059" t="s">
        <v>162</v>
      </c>
      <c r="BC28" s="1060"/>
      <c r="BD28" s="1075" t="s">
        <v>159</v>
      </c>
      <c r="BE28" s="1075"/>
      <c r="BF28" s="1075"/>
      <c r="BG28" s="1076" t="s">
        <v>159</v>
      </c>
      <c r="BH28" s="1077"/>
      <c r="BI28" s="1077"/>
      <c r="BJ28" s="1078"/>
      <c r="BK28" s="1065" t="s">
        <v>116</v>
      </c>
      <c r="BL28" s="1066"/>
      <c r="BM28" s="1067"/>
      <c r="BN28" s="259"/>
      <c r="BO28" s="259"/>
      <c r="BP28" s="1076"/>
      <c r="BQ28" s="1077"/>
      <c r="BR28" s="1078"/>
      <c r="BS28" s="1075" t="s">
        <v>159</v>
      </c>
      <c r="BT28" s="1075"/>
      <c r="BU28" s="1075"/>
    </row>
    <row r="29" spans="1:73" ht="30" customHeight="1" x14ac:dyDescent="0.25">
      <c r="A29" s="199">
        <f t="shared" si="0"/>
        <v>15</v>
      </c>
      <c r="B29" s="1081" t="s">
        <v>162</v>
      </c>
      <c r="C29" s="1082"/>
      <c r="D29" s="1083" t="s">
        <v>159</v>
      </c>
      <c r="E29" s="1084"/>
      <c r="F29" s="1084"/>
      <c r="G29" s="1085"/>
      <c r="H29" s="1086" t="s">
        <v>159</v>
      </c>
      <c r="I29" s="1087"/>
      <c r="J29" s="1087"/>
      <c r="K29" s="1088"/>
      <c r="L29" s="1089" t="s">
        <v>159</v>
      </c>
      <c r="M29" s="1090"/>
      <c r="N29" s="1091"/>
      <c r="O29" s="1092" t="s">
        <v>159</v>
      </c>
      <c r="P29" s="1093"/>
      <c r="Q29" s="1094"/>
      <c r="R29" s="812"/>
      <c r="S29" s="1095"/>
      <c r="T29" s="813"/>
      <c r="U29" s="812"/>
      <c r="V29" s="1095"/>
      <c r="W29" s="813"/>
      <c r="X29" s="312"/>
      <c r="Y29" s="308"/>
      <c r="Z29" s="312"/>
      <c r="AA29" s="308"/>
      <c r="AB29" s="312"/>
      <c r="AC29" s="308"/>
      <c r="AD29" s="312"/>
      <c r="AE29" s="308"/>
      <c r="AF29" s="312"/>
      <c r="AG29" s="308"/>
      <c r="AH29" s="312"/>
      <c r="AI29" s="308"/>
      <c r="AJ29" s="327"/>
      <c r="AK29" s="330"/>
      <c r="AL29" s="327"/>
      <c r="AM29" s="330"/>
      <c r="AN29" s="327"/>
      <c r="AO29" s="330"/>
      <c r="AP29" s="327"/>
      <c r="AQ29" s="330"/>
      <c r="AR29" s="327"/>
      <c r="AS29" s="1096" t="s">
        <v>159</v>
      </c>
      <c r="AT29" s="1097"/>
      <c r="AU29" s="1097"/>
      <c r="AV29" s="1097"/>
      <c r="AW29" s="1097"/>
      <c r="AX29" s="1097"/>
      <c r="AY29" s="1100"/>
      <c r="AZ29" s="257"/>
      <c r="BA29" s="257"/>
      <c r="BB29" s="1079" t="s">
        <v>162</v>
      </c>
      <c r="BC29" s="1080"/>
      <c r="BD29" s="1075" t="s">
        <v>159</v>
      </c>
      <c r="BE29" s="1075"/>
      <c r="BF29" s="1075"/>
      <c r="BG29" s="1076" t="s">
        <v>159</v>
      </c>
      <c r="BH29" s="1077"/>
      <c r="BI29" s="1077"/>
      <c r="BJ29" s="1078"/>
      <c r="BK29" s="1065" t="s">
        <v>116</v>
      </c>
      <c r="BL29" s="1066"/>
      <c r="BM29" s="1067"/>
      <c r="BN29" s="259"/>
      <c r="BO29" s="259"/>
      <c r="BP29" s="1076"/>
      <c r="BQ29" s="1077"/>
      <c r="BR29" s="1078"/>
      <c r="BS29" s="1075" t="s">
        <v>159</v>
      </c>
      <c r="BT29" s="1075"/>
      <c r="BU29" s="1075"/>
    </row>
    <row r="30" spans="1:73" ht="30" customHeight="1" x14ac:dyDescent="0.25">
      <c r="A30" s="199">
        <f t="shared" si="0"/>
        <v>16</v>
      </c>
      <c r="B30" s="1081" t="s">
        <v>162</v>
      </c>
      <c r="C30" s="1082"/>
      <c r="D30" s="1083" t="s">
        <v>159</v>
      </c>
      <c r="E30" s="1084"/>
      <c r="F30" s="1084"/>
      <c r="G30" s="1085"/>
      <c r="H30" s="1086" t="s">
        <v>159</v>
      </c>
      <c r="I30" s="1087"/>
      <c r="J30" s="1087"/>
      <c r="K30" s="1088"/>
      <c r="L30" s="1089" t="s">
        <v>159</v>
      </c>
      <c r="M30" s="1090"/>
      <c r="N30" s="1091"/>
      <c r="O30" s="1092" t="s">
        <v>159</v>
      </c>
      <c r="P30" s="1093"/>
      <c r="Q30" s="1094"/>
      <c r="R30" s="812"/>
      <c r="S30" s="1095"/>
      <c r="T30" s="813"/>
      <c r="U30" s="812"/>
      <c r="V30" s="1095"/>
      <c r="W30" s="813"/>
      <c r="X30" s="312"/>
      <c r="Y30" s="308"/>
      <c r="Z30" s="312"/>
      <c r="AA30" s="308"/>
      <c r="AB30" s="312"/>
      <c r="AC30" s="308"/>
      <c r="AD30" s="312"/>
      <c r="AE30" s="308"/>
      <c r="AF30" s="312"/>
      <c r="AG30" s="308"/>
      <c r="AH30" s="312"/>
      <c r="AI30" s="308"/>
      <c r="AJ30" s="327"/>
      <c r="AK30" s="330"/>
      <c r="AL30" s="327"/>
      <c r="AM30" s="330"/>
      <c r="AN30" s="327"/>
      <c r="AO30" s="330"/>
      <c r="AP30" s="327"/>
      <c r="AQ30" s="330"/>
      <c r="AR30" s="327"/>
      <c r="AS30" s="1096" t="s">
        <v>159</v>
      </c>
      <c r="AT30" s="1097"/>
      <c r="AU30" s="1097"/>
      <c r="AV30" s="1097"/>
      <c r="AW30" s="1097"/>
      <c r="AX30" s="1097"/>
      <c r="AY30" s="1100"/>
      <c r="AZ30" s="257"/>
      <c r="BA30" s="257"/>
      <c r="BB30" s="1059" t="s">
        <v>162</v>
      </c>
      <c r="BC30" s="1060"/>
      <c r="BD30" s="1075" t="s">
        <v>159</v>
      </c>
      <c r="BE30" s="1075"/>
      <c r="BF30" s="1075"/>
      <c r="BG30" s="1076" t="s">
        <v>159</v>
      </c>
      <c r="BH30" s="1077"/>
      <c r="BI30" s="1077"/>
      <c r="BJ30" s="1078"/>
      <c r="BK30" s="1065" t="s">
        <v>116</v>
      </c>
      <c r="BL30" s="1066"/>
      <c r="BM30" s="1067"/>
      <c r="BN30" s="259"/>
      <c r="BO30" s="259"/>
      <c r="BP30" s="1076"/>
      <c r="BQ30" s="1077"/>
      <c r="BR30" s="1078"/>
      <c r="BS30" s="1075" t="s">
        <v>159</v>
      </c>
      <c r="BT30" s="1075"/>
      <c r="BU30" s="1075"/>
    </row>
    <row r="31" spans="1:73" ht="30" customHeight="1" x14ac:dyDescent="0.25">
      <c r="A31" s="199">
        <f t="shared" si="0"/>
        <v>17</v>
      </c>
      <c r="B31" s="1081" t="s">
        <v>162</v>
      </c>
      <c r="C31" s="1082"/>
      <c r="D31" s="1083" t="s">
        <v>159</v>
      </c>
      <c r="E31" s="1084"/>
      <c r="F31" s="1084"/>
      <c r="G31" s="1085"/>
      <c r="H31" s="1086" t="s">
        <v>159</v>
      </c>
      <c r="I31" s="1087"/>
      <c r="J31" s="1087"/>
      <c r="K31" s="1088"/>
      <c r="L31" s="1089" t="s">
        <v>159</v>
      </c>
      <c r="M31" s="1090"/>
      <c r="N31" s="1091"/>
      <c r="O31" s="1092" t="s">
        <v>159</v>
      </c>
      <c r="P31" s="1093"/>
      <c r="Q31" s="1094"/>
      <c r="R31" s="812"/>
      <c r="S31" s="1095"/>
      <c r="T31" s="813"/>
      <c r="U31" s="812"/>
      <c r="V31" s="1095"/>
      <c r="W31" s="813"/>
      <c r="X31" s="312"/>
      <c r="Y31" s="308"/>
      <c r="Z31" s="312"/>
      <c r="AA31" s="308"/>
      <c r="AB31" s="312"/>
      <c r="AC31" s="308"/>
      <c r="AD31" s="312"/>
      <c r="AE31" s="308"/>
      <c r="AF31" s="312"/>
      <c r="AG31" s="308"/>
      <c r="AH31" s="312"/>
      <c r="AI31" s="308"/>
      <c r="AJ31" s="327"/>
      <c r="AK31" s="330"/>
      <c r="AL31" s="327"/>
      <c r="AM31" s="330"/>
      <c r="AN31" s="327"/>
      <c r="AO31" s="330"/>
      <c r="AP31" s="327"/>
      <c r="AQ31" s="330"/>
      <c r="AR31" s="327"/>
      <c r="AS31" s="1096" t="s">
        <v>159</v>
      </c>
      <c r="AT31" s="1097"/>
      <c r="AU31" s="1097"/>
      <c r="AV31" s="1097"/>
      <c r="AW31" s="1097"/>
      <c r="AX31" s="1097"/>
      <c r="AY31" s="1100"/>
      <c r="AZ31" s="257"/>
      <c r="BA31" s="257"/>
      <c r="BB31" s="1059" t="s">
        <v>162</v>
      </c>
      <c r="BC31" s="1060"/>
      <c r="BD31" s="1075" t="s">
        <v>159</v>
      </c>
      <c r="BE31" s="1075"/>
      <c r="BF31" s="1075"/>
      <c r="BG31" s="1076" t="s">
        <v>159</v>
      </c>
      <c r="BH31" s="1077"/>
      <c r="BI31" s="1077"/>
      <c r="BJ31" s="1078"/>
      <c r="BK31" s="1065" t="s">
        <v>116</v>
      </c>
      <c r="BL31" s="1066"/>
      <c r="BM31" s="1067"/>
      <c r="BN31" s="259"/>
      <c r="BO31" s="259"/>
      <c r="BP31" s="1076"/>
      <c r="BQ31" s="1077"/>
      <c r="BR31" s="1078"/>
      <c r="BS31" s="1075" t="s">
        <v>159</v>
      </c>
      <c r="BT31" s="1075"/>
      <c r="BU31" s="1075"/>
    </row>
    <row r="32" spans="1:73" ht="30" customHeight="1" x14ac:dyDescent="0.25">
      <c r="A32" s="199">
        <f t="shared" si="0"/>
        <v>18</v>
      </c>
      <c r="B32" s="1081" t="s">
        <v>162</v>
      </c>
      <c r="C32" s="1082"/>
      <c r="D32" s="1083" t="s">
        <v>159</v>
      </c>
      <c r="E32" s="1084"/>
      <c r="F32" s="1084"/>
      <c r="G32" s="1085"/>
      <c r="H32" s="1086" t="s">
        <v>159</v>
      </c>
      <c r="I32" s="1087"/>
      <c r="J32" s="1087"/>
      <c r="K32" s="1088"/>
      <c r="L32" s="1089" t="s">
        <v>159</v>
      </c>
      <c r="M32" s="1090"/>
      <c r="N32" s="1091"/>
      <c r="O32" s="1092" t="s">
        <v>159</v>
      </c>
      <c r="P32" s="1093"/>
      <c r="Q32" s="1094"/>
      <c r="R32" s="812"/>
      <c r="S32" s="1095"/>
      <c r="T32" s="813"/>
      <c r="U32" s="812"/>
      <c r="V32" s="1095"/>
      <c r="W32" s="813"/>
      <c r="X32" s="312"/>
      <c r="Y32" s="308"/>
      <c r="Z32" s="312"/>
      <c r="AA32" s="308"/>
      <c r="AB32" s="312"/>
      <c r="AC32" s="308"/>
      <c r="AD32" s="312"/>
      <c r="AE32" s="308"/>
      <c r="AF32" s="312"/>
      <c r="AG32" s="308"/>
      <c r="AH32" s="312"/>
      <c r="AI32" s="308"/>
      <c r="AJ32" s="327"/>
      <c r="AK32" s="330"/>
      <c r="AL32" s="327"/>
      <c r="AM32" s="330"/>
      <c r="AN32" s="327"/>
      <c r="AO32" s="330"/>
      <c r="AP32" s="327"/>
      <c r="AQ32" s="330"/>
      <c r="AR32" s="327"/>
      <c r="AS32" s="1096" t="s">
        <v>159</v>
      </c>
      <c r="AT32" s="1097"/>
      <c r="AU32" s="1097"/>
      <c r="AV32" s="1097"/>
      <c r="AW32" s="1097"/>
      <c r="AX32" s="1097"/>
      <c r="AY32" s="1100"/>
      <c r="AZ32" s="257"/>
      <c r="BA32" s="257"/>
      <c r="BB32" s="1059" t="s">
        <v>162</v>
      </c>
      <c r="BC32" s="1060"/>
      <c r="BD32" s="1075" t="s">
        <v>159</v>
      </c>
      <c r="BE32" s="1075"/>
      <c r="BF32" s="1075"/>
      <c r="BG32" s="1076" t="s">
        <v>159</v>
      </c>
      <c r="BH32" s="1077"/>
      <c r="BI32" s="1077"/>
      <c r="BJ32" s="1078"/>
      <c r="BK32" s="1065" t="s">
        <v>116</v>
      </c>
      <c r="BL32" s="1066"/>
      <c r="BM32" s="1067"/>
      <c r="BN32" s="259"/>
      <c r="BO32" s="259"/>
      <c r="BP32" s="1076"/>
      <c r="BQ32" s="1077"/>
      <c r="BR32" s="1078"/>
      <c r="BS32" s="1075" t="s">
        <v>159</v>
      </c>
      <c r="BT32" s="1075"/>
      <c r="BU32" s="1075"/>
    </row>
    <row r="33" spans="1:73" ht="30" customHeight="1" x14ac:dyDescent="0.25">
      <c r="A33" s="199">
        <f t="shared" si="0"/>
        <v>19</v>
      </c>
      <c r="B33" s="1081" t="s">
        <v>162</v>
      </c>
      <c r="C33" s="1082"/>
      <c r="D33" s="1083" t="s">
        <v>159</v>
      </c>
      <c r="E33" s="1084"/>
      <c r="F33" s="1084"/>
      <c r="G33" s="1085"/>
      <c r="H33" s="1086" t="s">
        <v>159</v>
      </c>
      <c r="I33" s="1087"/>
      <c r="J33" s="1087"/>
      <c r="K33" s="1088"/>
      <c r="L33" s="1089" t="s">
        <v>159</v>
      </c>
      <c r="M33" s="1090"/>
      <c r="N33" s="1091"/>
      <c r="O33" s="1092" t="s">
        <v>159</v>
      </c>
      <c r="P33" s="1093"/>
      <c r="Q33" s="1094"/>
      <c r="R33" s="812"/>
      <c r="S33" s="1095"/>
      <c r="T33" s="813"/>
      <c r="U33" s="812"/>
      <c r="V33" s="1095"/>
      <c r="W33" s="813"/>
      <c r="X33" s="312"/>
      <c r="Y33" s="308"/>
      <c r="Z33" s="312"/>
      <c r="AA33" s="308"/>
      <c r="AB33" s="312"/>
      <c r="AC33" s="308"/>
      <c r="AD33" s="312"/>
      <c r="AE33" s="308"/>
      <c r="AF33" s="312"/>
      <c r="AG33" s="308"/>
      <c r="AH33" s="312"/>
      <c r="AI33" s="308"/>
      <c r="AJ33" s="327"/>
      <c r="AK33" s="330"/>
      <c r="AL33" s="327"/>
      <c r="AM33" s="330"/>
      <c r="AN33" s="327"/>
      <c r="AO33" s="330"/>
      <c r="AP33" s="327"/>
      <c r="AQ33" s="330"/>
      <c r="AR33" s="327"/>
      <c r="AS33" s="1096" t="s">
        <v>159</v>
      </c>
      <c r="AT33" s="1097"/>
      <c r="AU33" s="1097"/>
      <c r="AV33" s="1097"/>
      <c r="AW33" s="1097"/>
      <c r="AX33" s="1097"/>
      <c r="AY33" s="1100"/>
      <c r="AZ33" s="257"/>
      <c r="BA33" s="257"/>
      <c r="BB33" s="1059" t="s">
        <v>162</v>
      </c>
      <c r="BC33" s="1060"/>
      <c r="BD33" s="1075" t="s">
        <v>159</v>
      </c>
      <c r="BE33" s="1075"/>
      <c r="BF33" s="1075"/>
      <c r="BG33" s="1076" t="s">
        <v>159</v>
      </c>
      <c r="BH33" s="1077"/>
      <c r="BI33" s="1077"/>
      <c r="BJ33" s="1078"/>
      <c r="BK33" s="1065" t="s">
        <v>116</v>
      </c>
      <c r="BL33" s="1066"/>
      <c r="BM33" s="1067"/>
      <c r="BN33" s="259"/>
      <c r="BO33" s="259"/>
      <c r="BP33" s="1076"/>
      <c r="BQ33" s="1077"/>
      <c r="BR33" s="1078"/>
      <c r="BS33" s="1075" t="s">
        <v>159</v>
      </c>
      <c r="BT33" s="1075"/>
      <c r="BU33" s="1075"/>
    </row>
    <row r="34" spans="1:73" ht="30" customHeight="1" x14ac:dyDescent="0.25">
      <c r="A34" s="199">
        <f t="shared" si="0"/>
        <v>20</v>
      </c>
      <c r="B34" s="1081" t="s">
        <v>162</v>
      </c>
      <c r="C34" s="1082"/>
      <c r="D34" s="1083" t="s">
        <v>159</v>
      </c>
      <c r="E34" s="1084"/>
      <c r="F34" s="1084"/>
      <c r="G34" s="1085"/>
      <c r="H34" s="1086" t="s">
        <v>159</v>
      </c>
      <c r="I34" s="1087"/>
      <c r="J34" s="1087"/>
      <c r="K34" s="1088"/>
      <c r="L34" s="1089" t="s">
        <v>159</v>
      </c>
      <c r="M34" s="1090"/>
      <c r="N34" s="1091"/>
      <c r="O34" s="1092" t="s">
        <v>159</v>
      </c>
      <c r="P34" s="1093"/>
      <c r="Q34" s="1094"/>
      <c r="R34" s="812"/>
      <c r="S34" s="1095"/>
      <c r="T34" s="813"/>
      <c r="U34" s="812"/>
      <c r="V34" s="1095"/>
      <c r="W34" s="813"/>
      <c r="X34" s="312"/>
      <c r="Y34" s="308"/>
      <c r="Z34" s="312"/>
      <c r="AA34" s="308"/>
      <c r="AB34" s="312"/>
      <c r="AC34" s="308"/>
      <c r="AD34" s="312"/>
      <c r="AE34" s="308"/>
      <c r="AF34" s="312"/>
      <c r="AG34" s="308"/>
      <c r="AH34" s="312"/>
      <c r="AI34" s="308"/>
      <c r="AJ34" s="327"/>
      <c r="AK34" s="330"/>
      <c r="AL34" s="327"/>
      <c r="AM34" s="330"/>
      <c r="AN34" s="327"/>
      <c r="AO34" s="330"/>
      <c r="AP34" s="327"/>
      <c r="AQ34" s="330"/>
      <c r="AR34" s="327"/>
      <c r="AS34" s="1096" t="s">
        <v>159</v>
      </c>
      <c r="AT34" s="1097"/>
      <c r="AU34" s="1097"/>
      <c r="AV34" s="1097"/>
      <c r="AW34" s="1097"/>
      <c r="AX34" s="1097"/>
      <c r="AY34" s="1100"/>
      <c r="AZ34" s="257"/>
      <c r="BA34" s="257"/>
      <c r="BB34" s="1059" t="s">
        <v>162</v>
      </c>
      <c r="BC34" s="1060"/>
      <c r="BD34" s="1075" t="s">
        <v>159</v>
      </c>
      <c r="BE34" s="1075"/>
      <c r="BF34" s="1075"/>
      <c r="BG34" s="1076" t="s">
        <v>159</v>
      </c>
      <c r="BH34" s="1077"/>
      <c r="BI34" s="1077"/>
      <c r="BJ34" s="1078"/>
      <c r="BK34" s="1065" t="s">
        <v>116</v>
      </c>
      <c r="BL34" s="1066"/>
      <c r="BM34" s="1067"/>
      <c r="BN34" s="259"/>
      <c r="BO34" s="259"/>
      <c r="BP34" s="1076"/>
      <c r="BQ34" s="1077"/>
      <c r="BR34" s="1078"/>
      <c r="BS34" s="1075" t="s">
        <v>159</v>
      </c>
      <c r="BT34" s="1075"/>
      <c r="BU34" s="1075"/>
    </row>
    <row r="35" spans="1:73" ht="30" customHeight="1" x14ac:dyDescent="0.25">
      <c r="A35" s="199">
        <f t="shared" si="0"/>
        <v>21</v>
      </c>
      <c r="B35" s="1081" t="s">
        <v>162</v>
      </c>
      <c r="C35" s="1082"/>
      <c r="D35" s="1083" t="s">
        <v>159</v>
      </c>
      <c r="E35" s="1084"/>
      <c r="F35" s="1084"/>
      <c r="G35" s="1085"/>
      <c r="H35" s="1086" t="s">
        <v>159</v>
      </c>
      <c r="I35" s="1087"/>
      <c r="J35" s="1087"/>
      <c r="K35" s="1088"/>
      <c r="L35" s="1089" t="s">
        <v>159</v>
      </c>
      <c r="M35" s="1090"/>
      <c r="N35" s="1091"/>
      <c r="O35" s="1092" t="s">
        <v>159</v>
      </c>
      <c r="P35" s="1093"/>
      <c r="Q35" s="1094"/>
      <c r="R35" s="812"/>
      <c r="S35" s="1095"/>
      <c r="T35" s="813"/>
      <c r="U35" s="812"/>
      <c r="V35" s="1095"/>
      <c r="W35" s="813"/>
      <c r="X35" s="312"/>
      <c r="Y35" s="308"/>
      <c r="Z35" s="312"/>
      <c r="AA35" s="308"/>
      <c r="AB35" s="312"/>
      <c r="AC35" s="308"/>
      <c r="AD35" s="312"/>
      <c r="AE35" s="308"/>
      <c r="AF35" s="312"/>
      <c r="AG35" s="308"/>
      <c r="AH35" s="312"/>
      <c r="AI35" s="308"/>
      <c r="AJ35" s="327"/>
      <c r="AK35" s="330"/>
      <c r="AL35" s="327"/>
      <c r="AM35" s="330"/>
      <c r="AN35" s="327"/>
      <c r="AO35" s="330"/>
      <c r="AP35" s="327"/>
      <c r="AQ35" s="330"/>
      <c r="AR35" s="327"/>
      <c r="AS35" s="1096" t="s">
        <v>159</v>
      </c>
      <c r="AT35" s="1097"/>
      <c r="AU35" s="1097"/>
      <c r="AV35" s="1097"/>
      <c r="AW35" s="1097"/>
      <c r="AX35" s="1097"/>
      <c r="AY35" s="1100"/>
      <c r="AZ35" s="257"/>
      <c r="BA35" s="257"/>
      <c r="BB35" s="1059" t="s">
        <v>162</v>
      </c>
      <c r="BC35" s="1060"/>
      <c r="BD35" s="1075" t="s">
        <v>159</v>
      </c>
      <c r="BE35" s="1075"/>
      <c r="BF35" s="1075"/>
      <c r="BG35" s="1076" t="s">
        <v>159</v>
      </c>
      <c r="BH35" s="1077"/>
      <c r="BI35" s="1077"/>
      <c r="BJ35" s="1078"/>
      <c r="BK35" s="1065" t="s">
        <v>116</v>
      </c>
      <c r="BL35" s="1066"/>
      <c r="BM35" s="1067"/>
      <c r="BN35" s="259"/>
      <c r="BO35" s="259"/>
      <c r="BP35" s="1076"/>
      <c r="BQ35" s="1077"/>
      <c r="BR35" s="1078"/>
      <c r="BS35" s="1075" t="s">
        <v>159</v>
      </c>
      <c r="BT35" s="1075"/>
      <c r="BU35" s="1075"/>
    </row>
    <row r="36" spans="1:73" ht="30" customHeight="1" x14ac:dyDescent="0.25">
      <c r="A36" s="199">
        <f t="shared" si="0"/>
        <v>22</v>
      </c>
      <c r="B36" s="1081" t="s">
        <v>162</v>
      </c>
      <c r="C36" s="1082"/>
      <c r="D36" s="1083" t="s">
        <v>159</v>
      </c>
      <c r="E36" s="1084"/>
      <c r="F36" s="1084"/>
      <c r="G36" s="1085"/>
      <c r="H36" s="1086" t="s">
        <v>159</v>
      </c>
      <c r="I36" s="1087"/>
      <c r="J36" s="1087"/>
      <c r="K36" s="1088"/>
      <c r="L36" s="1089" t="s">
        <v>159</v>
      </c>
      <c r="M36" s="1090"/>
      <c r="N36" s="1091"/>
      <c r="O36" s="1092" t="s">
        <v>159</v>
      </c>
      <c r="P36" s="1093"/>
      <c r="Q36" s="1094"/>
      <c r="R36" s="812"/>
      <c r="S36" s="1095"/>
      <c r="T36" s="813"/>
      <c r="U36" s="812"/>
      <c r="V36" s="1095"/>
      <c r="W36" s="813"/>
      <c r="X36" s="312"/>
      <c r="Y36" s="308"/>
      <c r="Z36" s="312"/>
      <c r="AA36" s="308"/>
      <c r="AB36" s="312"/>
      <c r="AC36" s="308"/>
      <c r="AD36" s="312"/>
      <c r="AE36" s="308"/>
      <c r="AF36" s="312"/>
      <c r="AG36" s="308"/>
      <c r="AH36" s="312"/>
      <c r="AI36" s="308"/>
      <c r="AJ36" s="327"/>
      <c r="AK36" s="330"/>
      <c r="AL36" s="327"/>
      <c r="AM36" s="330"/>
      <c r="AN36" s="327"/>
      <c r="AO36" s="330"/>
      <c r="AP36" s="327"/>
      <c r="AQ36" s="330"/>
      <c r="AR36" s="327"/>
      <c r="AS36" s="1096" t="s">
        <v>159</v>
      </c>
      <c r="AT36" s="1097"/>
      <c r="AU36" s="1097"/>
      <c r="AV36" s="1097"/>
      <c r="AW36" s="1097"/>
      <c r="AX36" s="1097"/>
      <c r="AY36" s="1100"/>
      <c r="AZ36" s="257"/>
      <c r="BA36" s="257"/>
      <c r="BB36" s="1079" t="s">
        <v>162</v>
      </c>
      <c r="BC36" s="1080"/>
      <c r="BD36" s="1075" t="s">
        <v>159</v>
      </c>
      <c r="BE36" s="1075"/>
      <c r="BF36" s="1075"/>
      <c r="BG36" s="1076" t="s">
        <v>159</v>
      </c>
      <c r="BH36" s="1077"/>
      <c r="BI36" s="1077"/>
      <c r="BJ36" s="1078"/>
      <c r="BK36" s="1065" t="s">
        <v>116</v>
      </c>
      <c r="BL36" s="1066"/>
      <c r="BM36" s="1067"/>
      <c r="BN36" s="259"/>
      <c r="BO36" s="259"/>
      <c r="BP36" s="1076"/>
      <c r="BQ36" s="1077"/>
      <c r="BR36" s="1078"/>
      <c r="BS36" s="1075" t="s">
        <v>159</v>
      </c>
      <c r="BT36" s="1075"/>
      <c r="BU36" s="1075"/>
    </row>
    <row r="37" spans="1:73" ht="30" customHeight="1" x14ac:dyDescent="0.25">
      <c r="A37" s="199">
        <f t="shared" si="0"/>
        <v>23</v>
      </c>
      <c r="B37" s="1081" t="s">
        <v>162</v>
      </c>
      <c r="C37" s="1082"/>
      <c r="D37" s="1083" t="s">
        <v>159</v>
      </c>
      <c r="E37" s="1084"/>
      <c r="F37" s="1084"/>
      <c r="G37" s="1085"/>
      <c r="H37" s="1086" t="s">
        <v>159</v>
      </c>
      <c r="I37" s="1087"/>
      <c r="J37" s="1087"/>
      <c r="K37" s="1088"/>
      <c r="L37" s="1089" t="s">
        <v>159</v>
      </c>
      <c r="M37" s="1090"/>
      <c r="N37" s="1091"/>
      <c r="O37" s="1092" t="s">
        <v>159</v>
      </c>
      <c r="P37" s="1093"/>
      <c r="Q37" s="1094"/>
      <c r="R37" s="812"/>
      <c r="S37" s="1095"/>
      <c r="T37" s="813"/>
      <c r="U37" s="812"/>
      <c r="V37" s="1095"/>
      <c r="W37" s="813"/>
      <c r="X37" s="312"/>
      <c r="Y37" s="308"/>
      <c r="Z37" s="312"/>
      <c r="AA37" s="308"/>
      <c r="AB37" s="312"/>
      <c r="AC37" s="308"/>
      <c r="AD37" s="312"/>
      <c r="AE37" s="308"/>
      <c r="AF37" s="312"/>
      <c r="AG37" s="308"/>
      <c r="AH37" s="312"/>
      <c r="AI37" s="308"/>
      <c r="AJ37" s="327"/>
      <c r="AK37" s="330"/>
      <c r="AL37" s="327"/>
      <c r="AM37" s="330"/>
      <c r="AN37" s="327"/>
      <c r="AO37" s="330"/>
      <c r="AP37" s="327"/>
      <c r="AQ37" s="330"/>
      <c r="AR37" s="327"/>
      <c r="AS37" s="1096" t="s">
        <v>159</v>
      </c>
      <c r="AT37" s="1097"/>
      <c r="AU37" s="1097"/>
      <c r="AV37" s="1097"/>
      <c r="AW37" s="1097"/>
      <c r="AX37" s="1097"/>
      <c r="AY37" s="1100"/>
      <c r="AZ37" s="257"/>
      <c r="BA37" s="257"/>
      <c r="BB37" s="1059" t="s">
        <v>162</v>
      </c>
      <c r="BC37" s="1060"/>
      <c r="BD37" s="1075" t="s">
        <v>159</v>
      </c>
      <c r="BE37" s="1075"/>
      <c r="BF37" s="1075"/>
      <c r="BG37" s="1076" t="s">
        <v>159</v>
      </c>
      <c r="BH37" s="1077"/>
      <c r="BI37" s="1077"/>
      <c r="BJ37" s="1078"/>
      <c r="BK37" s="1065" t="s">
        <v>116</v>
      </c>
      <c r="BL37" s="1066"/>
      <c r="BM37" s="1067"/>
      <c r="BN37" s="259"/>
      <c r="BO37" s="259"/>
      <c r="BP37" s="1076"/>
      <c r="BQ37" s="1077"/>
      <c r="BR37" s="1078"/>
      <c r="BS37" s="1075" t="s">
        <v>159</v>
      </c>
      <c r="BT37" s="1075"/>
      <c r="BU37" s="1075"/>
    </row>
    <row r="38" spans="1:73" ht="30" customHeight="1" x14ac:dyDescent="0.25">
      <c r="A38" s="199">
        <f t="shared" si="0"/>
        <v>24</v>
      </c>
      <c r="B38" s="1081" t="s">
        <v>162</v>
      </c>
      <c r="C38" s="1082"/>
      <c r="D38" s="1083" t="s">
        <v>159</v>
      </c>
      <c r="E38" s="1084"/>
      <c r="F38" s="1084"/>
      <c r="G38" s="1085"/>
      <c r="H38" s="1086" t="s">
        <v>159</v>
      </c>
      <c r="I38" s="1087"/>
      <c r="J38" s="1087"/>
      <c r="K38" s="1088"/>
      <c r="L38" s="1089" t="s">
        <v>159</v>
      </c>
      <c r="M38" s="1090"/>
      <c r="N38" s="1091"/>
      <c r="O38" s="1092" t="s">
        <v>159</v>
      </c>
      <c r="P38" s="1093"/>
      <c r="Q38" s="1094"/>
      <c r="R38" s="812"/>
      <c r="S38" s="1095"/>
      <c r="T38" s="813"/>
      <c r="U38" s="812"/>
      <c r="V38" s="1095"/>
      <c r="W38" s="813"/>
      <c r="X38" s="312"/>
      <c r="Y38" s="308"/>
      <c r="Z38" s="312"/>
      <c r="AA38" s="308"/>
      <c r="AB38" s="312"/>
      <c r="AC38" s="308"/>
      <c r="AD38" s="312"/>
      <c r="AE38" s="308"/>
      <c r="AF38" s="312"/>
      <c r="AG38" s="308"/>
      <c r="AH38" s="312"/>
      <c r="AI38" s="308"/>
      <c r="AJ38" s="327"/>
      <c r="AK38" s="330"/>
      <c r="AL38" s="327"/>
      <c r="AM38" s="330"/>
      <c r="AN38" s="327"/>
      <c r="AO38" s="330"/>
      <c r="AP38" s="327"/>
      <c r="AQ38" s="330"/>
      <c r="AR38" s="327"/>
      <c r="AS38" s="1096" t="s">
        <v>159</v>
      </c>
      <c r="AT38" s="1097"/>
      <c r="AU38" s="1097"/>
      <c r="AV38" s="1097"/>
      <c r="AW38" s="1097"/>
      <c r="AX38" s="1097"/>
      <c r="AY38" s="1100"/>
      <c r="AZ38" s="257"/>
      <c r="BA38" s="257"/>
      <c r="BB38" s="1059" t="s">
        <v>162</v>
      </c>
      <c r="BC38" s="1060"/>
      <c r="BD38" s="1075" t="s">
        <v>159</v>
      </c>
      <c r="BE38" s="1075"/>
      <c r="BF38" s="1075"/>
      <c r="BG38" s="1076" t="s">
        <v>159</v>
      </c>
      <c r="BH38" s="1077"/>
      <c r="BI38" s="1077"/>
      <c r="BJ38" s="1078"/>
      <c r="BK38" s="1065" t="s">
        <v>116</v>
      </c>
      <c r="BL38" s="1066"/>
      <c r="BM38" s="1067"/>
      <c r="BN38" s="259"/>
      <c r="BO38" s="259"/>
      <c r="BP38" s="1076"/>
      <c r="BQ38" s="1077"/>
      <c r="BR38" s="1078"/>
      <c r="BS38" s="1075" t="s">
        <v>159</v>
      </c>
      <c r="BT38" s="1075"/>
      <c r="BU38" s="1075"/>
    </row>
    <row r="39" spans="1:73" ht="30" customHeight="1" x14ac:dyDescent="0.25">
      <c r="A39" s="199">
        <f t="shared" si="0"/>
        <v>25</v>
      </c>
      <c r="B39" s="1081" t="s">
        <v>162</v>
      </c>
      <c r="C39" s="1082"/>
      <c r="D39" s="1083" t="s">
        <v>159</v>
      </c>
      <c r="E39" s="1084"/>
      <c r="F39" s="1084"/>
      <c r="G39" s="1085"/>
      <c r="H39" s="1086" t="s">
        <v>159</v>
      </c>
      <c r="I39" s="1087"/>
      <c r="J39" s="1087"/>
      <c r="K39" s="1088"/>
      <c r="L39" s="1089" t="s">
        <v>159</v>
      </c>
      <c r="M39" s="1090"/>
      <c r="N39" s="1091"/>
      <c r="O39" s="1092" t="s">
        <v>159</v>
      </c>
      <c r="P39" s="1093"/>
      <c r="Q39" s="1094"/>
      <c r="R39" s="812"/>
      <c r="S39" s="1095"/>
      <c r="T39" s="813"/>
      <c r="U39" s="812"/>
      <c r="V39" s="1095"/>
      <c r="W39" s="813"/>
      <c r="X39" s="312"/>
      <c r="Y39" s="308"/>
      <c r="Z39" s="312"/>
      <c r="AA39" s="308"/>
      <c r="AB39" s="312"/>
      <c r="AC39" s="308"/>
      <c r="AD39" s="312"/>
      <c r="AE39" s="308"/>
      <c r="AF39" s="312"/>
      <c r="AG39" s="308"/>
      <c r="AH39" s="312"/>
      <c r="AI39" s="308"/>
      <c r="AJ39" s="327"/>
      <c r="AK39" s="330"/>
      <c r="AL39" s="327"/>
      <c r="AM39" s="330"/>
      <c r="AN39" s="327"/>
      <c r="AO39" s="330"/>
      <c r="AP39" s="327"/>
      <c r="AQ39" s="330"/>
      <c r="AR39" s="327"/>
      <c r="AS39" s="1096" t="s">
        <v>159</v>
      </c>
      <c r="AT39" s="1097"/>
      <c r="AU39" s="1097"/>
      <c r="AV39" s="1097"/>
      <c r="AW39" s="1097"/>
      <c r="AX39" s="1097"/>
      <c r="AY39" s="1100"/>
      <c r="AZ39" s="257"/>
      <c r="BA39" s="257"/>
      <c r="BB39" s="1059" t="s">
        <v>162</v>
      </c>
      <c r="BC39" s="1060"/>
      <c r="BD39" s="1075" t="s">
        <v>159</v>
      </c>
      <c r="BE39" s="1075"/>
      <c r="BF39" s="1075"/>
      <c r="BG39" s="1076" t="s">
        <v>159</v>
      </c>
      <c r="BH39" s="1077"/>
      <c r="BI39" s="1077"/>
      <c r="BJ39" s="1078"/>
      <c r="BK39" s="1065" t="s">
        <v>116</v>
      </c>
      <c r="BL39" s="1066"/>
      <c r="BM39" s="1067"/>
      <c r="BN39" s="259"/>
      <c r="BO39" s="259"/>
      <c r="BP39" s="1076"/>
      <c r="BQ39" s="1077"/>
      <c r="BR39" s="1078"/>
      <c r="BS39" s="1075" t="s">
        <v>159</v>
      </c>
      <c r="BT39" s="1075"/>
      <c r="BU39" s="1075"/>
    </row>
    <row r="40" spans="1:73" ht="30" customHeight="1" x14ac:dyDescent="0.25">
      <c r="A40" s="199">
        <f t="shared" si="0"/>
        <v>26</v>
      </c>
      <c r="B40" s="1081" t="s">
        <v>162</v>
      </c>
      <c r="C40" s="1082"/>
      <c r="D40" s="1083" t="s">
        <v>159</v>
      </c>
      <c r="E40" s="1084"/>
      <c r="F40" s="1084"/>
      <c r="G40" s="1085"/>
      <c r="H40" s="1086" t="s">
        <v>159</v>
      </c>
      <c r="I40" s="1087"/>
      <c r="J40" s="1087"/>
      <c r="K40" s="1088"/>
      <c r="L40" s="1089" t="s">
        <v>159</v>
      </c>
      <c r="M40" s="1090"/>
      <c r="N40" s="1091"/>
      <c r="O40" s="1092" t="s">
        <v>159</v>
      </c>
      <c r="P40" s="1093"/>
      <c r="Q40" s="1094"/>
      <c r="R40" s="812"/>
      <c r="S40" s="1095"/>
      <c r="T40" s="813"/>
      <c r="U40" s="812"/>
      <c r="V40" s="1095"/>
      <c r="W40" s="813"/>
      <c r="X40" s="312"/>
      <c r="Y40" s="308"/>
      <c r="Z40" s="312"/>
      <c r="AA40" s="308"/>
      <c r="AB40" s="312"/>
      <c r="AC40" s="308"/>
      <c r="AD40" s="312"/>
      <c r="AE40" s="308"/>
      <c r="AF40" s="312"/>
      <c r="AG40" s="308"/>
      <c r="AH40" s="312"/>
      <c r="AI40" s="308"/>
      <c r="AJ40" s="327"/>
      <c r="AK40" s="330"/>
      <c r="AL40" s="327"/>
      <c r="AM40" s="330"/>
      <c r="AN40" s="327"/>
      <c r="AO40" s="330"/>
      <c r="AP40" s="327"/>
      <c r="AQ40" s="330"/>
      <c r="AR40" s="327"/>
      <c r="AS40" s="1096" t="s">
        <v>159</v>
      </c>
      <c r="AT40" s="1097"/>
      <c r="AU40" s="1097"/>
      <c r="AV40" s="1097"/>
      <c r="AW40" s="1097"/>
      <c r="AX40" s="1097"/>
      <c r="AY40" s="1100"/>
      <c r="AZ40" s="257"/>
      <c r="BA40" s="257"/>
      <c r="BB40" s="1059" t="s">
        <v>162</v>
      </c>
      <c r="BC40" s="1060"/>
      <c r="BD40" s="1075" t="s">
        <v>159</v>
      </c>
      <c r="BE40" s="1075"/>
      <c r="BF40" s="1075"/>
      <c r="BG40" s="1076" t="s">
        <v>159</v>
      </c>
      <c r="BH40" s="1077"/>
      <c r="BI40" s="1077"/>
      <c r="BJ40" s="1078"/>
      <c r="BK40" s="1065" t="s">
        <v>116</v>
      </c>
      <c r="BL40" s="1066"/>
      <c r="BM40" s="1067"/>
      <c r="BN40" s="259"/>
      <c r="BO40" s="259"/>
      <c r="BP40" s="1076"/>
      <c r="BQ40" s="1077"/>
      <c r="BR40" s="1078"/>
      <c r="BS40" s="1075" t="s">
        <v>159</v>
      </c>
      <c r="BT40" s="1075"/>
      <c r="BU40" s="1075"/>
    </row>
    <row r="41" spans="1:73" ht="30" customHeight="1" x14ac:dyDescent="0.25">
      <c r="A41" s="199">
        <f t="shared" si="0"/>
        <v>27</v>
      </c>
      <c r="B41" s="1081" t="s">
        <v>162</v>
      </c>
      <c r="C41" s="1082"/>
      <c r="D41" s="1083" t="s">
        <v>159</v>
      </c>
      <c r="E41" s="1084"/>
      <c r="F41" s="1084"/>
      <c r="G41" s="1085"/>
      <c r="H41" s="1086" t="s">
        <v>159</v>
      </c>
      <c r="I41" s="1087"/>
      <c r="J41" s="1087"/>
      <c r="K41" s="1088"/>
      <c r="L41" s="1089" t="s">
        <v>159</v>
      </c>
      <c r="M41" s="1090"/>
      <c r="N41" s="1091"/>
      <c r="O41" s="1092" t="s">
        <v>159</v>
      </c>
      <c r="P41" s="1093"/>
      <c r="Q41" s="1094"/>
      <c r="R41" s="812"/>
      <c r="S41" s="1095"/>
      <c r="T41" s="813"/>
      <c r="U41" s="812"/>
      <c r="V41" s="1095"/>
      <c r="W41" s="813"/>
      <c r="X41" s="312"/>
      <c r="Y41" s="308"/>
      <c r="Z41" s="312"/>
      <c r="AA41" s="308"/>
      <c r="AB41" s="312"/>
      <c r="AC41" s="308"/>
      <c r="AD41" s="312"/>
      <c r="AE41" s="308"/>
      <c r="AF41" s="312"/>
      <c r="AG41" s="308"/>
      <c r="AH41" s="312"/>
      <c r="AI41" s="308"/>
      <c r="AJ41" s="327"/>
      <c r="AK41" s="330"/>
      <c r="AL41" s="327"/>
      <c r="AM41" s="330"/>
      <c r="AN41" s="327"/>
      <c r="AO41" s="330"/>
      <c r="AP41" s="327"/>
      <c r="AQ41" s="330"/>
      <c r="AR41" s="327"/>
      <c r="AS41" s="1096" t="s">
        <v>159</v>
      </c>
      <c r="AT41" s="1097"/>
      <c r="AU41" s="1097"/>
      <c r="AV41" s="1097"/>
      <c r="AW41" s="1097"/>
      <c r="AX41" s="1097"/>
      <c r="AY41" s="1100"/>
      <c r="AZ41" s="257"/>
      <c r="BA41" s="257"/>
      <c r="BB41" s="1059" t="s">
        <v>162</v>
      </c>
      <c r="BC41" s="1060"/>
      <c r="BD41" s="1075" t="s">
        <v>159</v>
      </c>
      <c r="BE41" s="1075"/>
      <c r="BF41" s="1075"/>
      <c r="BG41" s="1076" t="s">
        <v>159</v>
      </c>
      <c r="BH41" s="1077"/>
      <c r="BI41" s="1077"/>
      <c r="BJ41" s="1078"/>
      <c r="BK41" s="1065" t="s">
        <v>116</v>
      </c>
      <c r="BL41" s="1066"/>
      <c r="BM41" s="1067"/>
      <c r="BN41" s="259"/>
      <c r="BO41" s="259"/>
      <c r="BP41" s="1076"/>
      <c r="BQ41" s="1077"/>
      <c r="BR41" s="1078"/>
      <c r="BS41" s="1075" t="s">
        <v>159</v>
      </c>
      <c r="BT41" s="1075"/>
      <c r="BU41" s="1075"/>
    </row>
    <row r="42" spans="1:73" ht="30" customHeight="1" x14ac:dyDescent="0.25">
      <c r="A42" s="199">
        <f t="shared" si="0"/>
        <v>28</v>
      </c>
      <c r="B42" s="1081" t="s">
        <v>162</v>
      </c>
      <c r="C42" s="1082"/>
      <c r="D42" s="1083" t="s">
        <v>159</v>
      </c>
      <c r="E42" s="1084"/>
      <c r="F42" s="1084"/>
      <c r="G42" s="1085"/>
      <c r="H42" s="1086" t="s">
        <v>159</v>
      </c>
      <c r="I42" s="1087"/>
      <c r="J42" s="1087"/>
      <c r="K42" s="1088"/>
      <c r="L42" s="1089" t="s">
        <v>159</v>
      </c>
      <c r="M42" s="1090"/>
      <c r="N42" s="1091"/>
      <c r="O42" s="1092" t="s">
        <v>159</v>
      </c>
      <c r="P42" s="1093"/>
      <c r="Q42" s="1094"/>
      <c r="R42" s="812"/>
      <c r="S42" s="1095"/>
      <c r="T42" s="813"/>
      <c r="U42" s="812"/>
      <c r="V42" s="1095"/>
      <c r="W42" s="813"/>
      <c r="X42" s="312"/>
      <c r="Y42" s="308"/>
      <c r="Z42" s="312"/>
      <c r="AA42" s="308"/>
      <c r="AB42" s="312"/>
      <c r="AC42" s="308"/>
      <c r="AD42" s="312"/>
      <c r="AE42" s="308"/>
      <c r="AF42" s="312"/>
      <c r="AG42" s="308"/>
      <c r="AH42" s="312"/>
      <c r="AI42" s="308"/>
      <c r="AJ42" s="327"/>
      <c r="AK42" s="330"/>
      <c r="AL42" s="327"/>
      <c r="AM42" s="330"/>
      <c r="AN42" s="327"/>
      <c r="AO42" s="330"/>
      <c r="AP42" s="327"/>
      <c r="AQ42" s="330"/>
      <c r="AR42" s="327"/>
      <c r="AS42" s="1096" t="s">
        <v>159</v>
      </c>
      <c r="AT42" s="1097"/>
      <c r="AU42" s="1097"/>
      <c r="AV42" s="1097"/>
      <c r="AW42" s="1097"/>
      <c r="AX42" s="1097"/>
      <c r="AY42" s="1100"/>
      <c r="AZ42" s="257"/>
      <c r="BA42" s="257"/>
      <c r="BB42" s="1059" t="s">
        <v>162</v>
      </c>
      <c r="BC42" s="1060"/>
      <c r="BD42" s="1075" t="s">
        <v>159</v>
      </c>
      <c r="BE42" s="1075"/>
      <c r="BF42" s="1075"/>
      <c r="BG42" s="1076" t="s">
        <v>159</v>
      </c>
      <c r="BH42" s="1077"/>
      <c r="BI42" s="1077"/>
      <c r="BJ42" s="1078"/>
      <c r="BK42" s="1065" t="s">
        <v>116</v>
      </c>
      <c r="BL42" s="1066"/>
      <c r="BM42" s="1067"/>
      <c r="BN42" s="259"/>
      <c r="BO42" s="259"/>
      <c r="BP42" s="1076"/>
      <c r="BQ42" s="1077"/>
      <c r="BR42" s="1078"/>
      <c r="BS42" s="1075" t="s">
        <v>159</v>
      </c>
      <c r="BT42" s="1075"/>
      <c r="BU42" s="1075"/>
    </row>
    <row r="43" spans="1:73" ht="30" customHeight="1" x14ac:dyDescent="0.25">
      <c r="A43" s="199">
        <f t="shared" si="0"/>
        <v>29</v>
      </c>
      <c r="B43" s="1081" t="s">
        <v>162</v>
      </c>
      <c r="C43" s="1082"/>
      <c r="D43" s="1083" t="s">
        <v>159</v>
      </c>
      <c r="E43" s="1084"/>
      <c r="F43" s="1084"/>
      <c r="G43" s="1085"/>
      <c r="H43" s="1086" t="s">
        <v>159</v>
      </c>
      <c r="I43" s="1087"/>
      <c r="J43" s="1087"/>
      <c r="K43" s="1088"/>
      <c r="L43" s="1089" t="s">
        <v>159</v>
      </c>
      <c r="M43" s="1090"/>
      <c r="N43" s="1091"/>
      <c r="O43" s="1092" t="s">
        <v>159</v>
      </c>
      <c r="P43" s="1093"/>
      <c r="Q43" s="1094"/>
      <c r="R43" s="812"/>
      <c r="S43" s="1095"/>
      <c r="T43" s="813"/>
      <c r="U43" s="812"/>
      <c r="V43" s="1095"/>
      <c r="W43" s="813"/>
      <c r="X43" s="312"/>
      <c r="Y43" s="308"/>
      <c r="Z43" s="312"/>
      <c r="AA43" s="308"/>
      <c r="AB43" s="312"/>
      <c r="AC43" s="308"/>
      <c r="AD43" s="312"/>
      <c r="AE43" s="308"/>
      <c r="AF43" s="312"/>
      <c r="AG43" s="308"/>
      <c r="AH43" s="312"/>
      <c r="AI43" s="308"/>
      <c r="AJ43" s="327"/>
      <c r="AK43" s="330"/>
      <c r="AL43" s="327"/>
      <c r="AM43" s="330"/>
      <c r="AN43" s="327"/>
      <c r="AO43" s="330"/>
      <c r="AP43" s="327"/>
      <c r="AQ43" s="330"/>
      <c r="AR43" s="327"/>
      <c r="AS43" s="1096" t="s">
        <v>159</v>
      </c>
      <c r="AT43" s="1097"/>
      <c r="AU43" s="1097"/>
      <c r="AV43" s="1097"/>
      <c r="AW43" s="1097"/>
      <c r="AX43" s="1097"/>
      <c r="AY43" s="1100"/>
      <c r="AZ43" s="257"/>
      <c r="BA43" s="257"/>
      <c r="BB43" s="1079" t="s">
        <v>162</v>
      </c>
      <c r="BC43" s="1080"/>
      <c r="BD43" s="1075" t="s">
        <v>159</v>
      </c>
      <c r="BE43" s="1075"/>
      <c r="BF43" s="1075"/>
      <c r="BG43" s="1076" t="s">
        <v>159</v>
      </c>
      <c r="BH43" s="1077"/>
      <c r="BI43" s="1077"/>
      <c r="BJ43" s="1078"/>
      <c r="BK43" s="1065" t="s">
        <v>116</v>
      </c>
      <c r="BL43" s="1066"/>
      <c r="BM43" s="1067"/>
      <c r="BN43" s="259"/>
      <c r="BO43" s="259"/>
      <c r="BP43" s="1076"/>
      <c r="BQ43" s="1077"/>
      <c r="BR43" s="1078"/>
      <c r="BS43" s="1075" t="s">
        <v>159</v>
      </c>
      <c r="BT43" s="1075"/>
      <c r="BU43" s="1075"/>
    </row>
    <row r="44" spans="1:73" ht="30" customHeight="1" x14ac:dyDescent="0.25">
      <c r="A44" s="199">
        <f t="shared" si="0"/>
        <v>30</v>
      </c>
      <c r="B44" s="1081" t="s">
        <v>162</v>
      </c>
      <c r="C44" s="1082"/>
      <c r="D44" s="1083" t="s">
        <v>159</v>
      </c>
      <c r="E44" s="1084"/>
      <c r="F44" s="1084"/>
      <c r="G44" s="1085"/>
      <c r="H44" s="1086" t="s">
        <v>159</v>
      </c>
      <c r="I44" s="1087"/>
      <c r="J44" s="1087"/>
      <c r="K44" s="1088"/>
      <c r="L44" s="1089" t="s">
        <v>159</v>
      </c>
      <c r="M44" s="1090"/>
      <c r="N44" s="1091"/>
      <c r="O44" s="1092" t="s">
        <v>159</v>
      </c>
      <c r="P44" s="1093"/>
      <c r="Q44" s="1094"/>
      <c r="R44" s="812"/>
      <c r="S44" s="1095"/>
      <c r="T44" s="813"/>
      <c r="U44" s="812"/>
      <c r="V44" s="1095"/>
      <c r="W44" s="813"/>
      <c r="X44" s="312"/>
      <c r="Y44" s="308"/>
      <c r="Z44" s="312"/>
      <c r="AA44" s="308"/>
      <c r="AB44" s="312"/>
      <c r="AC44" s="308"/>
      <c r="AD44" s="312"/>
      <c r="AE44" s="308"/>
      <c r="AF44" s="312"/>
      <c r="AG44" s="308"/>
      <c r="AH44" s="312"/>
      <c r="AI44" s="308"/>
      <c r="AJ44" s="327"/>
      <c r="AK44" s="330"/>
      <c r="AL44" s="327"/>
      <c r="AM44" s="330"/>
      <c r="AN44" s="327"/>
      <c r="AO44" s="330"/>
      <c r="AP44" s="327"/>
      <c r="AQ44" s="330"/>
      <c r="AR44" s="327"/>
      <c r="AS44" s="1096" t="s">
        <v>159</v>
      </c>
      <c r="AT44" s="1097"/>
      <c r="AU44" s="1097"/>
      <c r="AV44" s="1097"/>
      <c r="AW44" s="1097"/>
      <c r="AX44" s="1097"/>
      <c r="AY44" s="1100"/>
      <c r="AZ44" s="257"/>
      <c r="BA44" s="257"/>
      <c r="BB44" s="1059" t="s">
        <v>162</v>
      </c>
      <c r="BC44" s="1060"/>
      <c r="BD44" s="1075" t="s">
        <v>159</v>
      </c>
      <c r="BE44" s="1075"/>
      <c r="BF44" s="1075"/>
      <c r="BG44" s="1076" t="s">
        <v>159</v>
      </c>
      <c r="BH44" s="1077"/>
      <c r="BI44" s="1077"/>
      <c r="BJ44" s="1078"/>
      <c r="BK44" s="1065" t="s">
        <v>116</v>
      </c>
      <c r="BL44" s="1066"/>
      <c r="BM44" s="1067"/>
      <c r="BN44" s="259"/>
      <c r="BO44" s="259"/>
      <c r="BP44" s="1076"/>
      <c r="BQ44" s="1077"/>
      <c r="BR44" s="1078"/>
      <c r="BS44" s="1075" t="s">
        <v>159</v>
      </c>
      <c r="BT44" s="1075"/>
      <c r="BU44" s="1075"/>
    </row>
    <row r="45" spans="1:73" ht="30" customHeight="1" x14ac:dyDescent="0.25">
      <c r="A45" s="199">
        <f t="shared" si="0"/>
        <v>31</v>
      </c>
      <c r="B45" s="1081" t="s">
        <v>162</v>
      </c>
      <c r="C45" s="1082"/>
      <c r="D45" s="1083" t="s">
        <v>159</v>
      </c>
      <c r="E45" s="1084"/>
      <c r="F45" s="1084"/>
      <c r="G45" s="1085"/>
      <c r="H45" s="1086" t="s">
        <v>159</v>
      </c>
      <c r="I45" s="1087"/>
      <c r="J45" s="1087"/>
      <c r="K45" s="1088"/>
      <c r="L45" s="1089" t="s">
        <v>159</v>
      </c>
      <c r="M45" s="1090"/>
      <c r="N45" s="1091"/>
      <c r="O45" s="1092" t="s">
        <v>159</v>
      </c>
      <c r="P45" s="1093"/>
      <c r="Q45" s="1094"/>
      <c r="R45" s="812"/>
      <c r="S45" s="1095"/>
      <c r="T45" s="813"/>
      <c r="U45" s="812"/>
      <c r="V45" s="1095"/>
      <c r="W45" s="813"/>
      <c r="X45" s="312"/>
      <c r="Y45" s="308"/>
      <c r="Z45" s="312"/>
      <c r="AA45" s="308"/>
      <c r="AB45" s="312"/>
      <c r="AC45" s="308"/>
      <c r="AD45" s="312"/>
      <c r="AE45" s="308"/>
      <c r="AF45" s="312"/>
      <c r="AG45" s="308"/>
      <c r="AH45" s="312"/>
      <c r="AI45" s="308"/>
      <c r="AJ45" s="327"/>
      <c r="AK45" s="330"/>
      <c r="AL45" s="327"/>
      <c r="AM45" s="330"/>
      <c r="AN45" s="327"/>
      <c r="AO45" s="330"/>
      <c r="AP45" s="327"/>
      <c r="AQ45" s="330"/>
      <c r="AR45" s="327"/>
      <c r="AS45" s="1096" t="s">
        <v>159</v>
      </c>
      <c r="AT45" s="1097"/>
      <c r="AU45" s="1097"/>
      <c r="AV45" s="1097"/>
      <c r="AW45" s="1097"/>
      <c r="AX45" s="1097"/>
      <c r="AY45" s="1100"/>
      <c r="AZ45" s="257"/>
      <c r="BA45" s="257"/>
      <c r="BB45" s="1059" t="s">
        <v>162</v>
      </c>
      <c r="BC45" s="1060"/>
      <c r="BD45" s="1075" t="s">
        <v>159</v>
      </c>
      <c r="BE45" s="1075"/>
      <c r="BF45" s="1075"/>
      <c r="BG45" s="1076" t="s">
        <v>159</v>
      </c>
      <c r="BH45" s="1077"/>
      <c r="BI45" s="1077"/>
      <c r="BJ45" s="1078"/>
      <c r="BK45" s="1065" t="s">
        <v>116</v>
      </c>
      <c r="BL45" s="1066"/>
      <c r="BM45" s="1067"/>
      <c r="BN45" s="259"/>
      <c r="BO45" s="259"/>
      <c r="BP45" s="1076"/>
      <c r="BQ45" s="1077"/>
      <c r="BR45" s="1078"/>
      <c r="BS45" s="1075" t="s">
        <v>159</v>
      </c>
      <c r="BT45" s="1075"/>
      <c r="BU45" s="1075"/>
    </row>
    <row r="46" spans="1:73" ht="30" customHeight="1" x14ac:dyDescent="0.25">
      <c r="A46" s="199">
        <f t="shared" si="0"/>
        <v>32</v>
      </c>
      <c r="B46" s="1081" t="s">
        <v>162</v>
      </c>
      <c r="C46" s="1082"/>
      <c r="D46" s="1083" t="s">
        <v>159</v>
      </c>
      <c r="E46" s="1084"/>
      <c r="F46" s="1084"/>
      <c r="G46" s="1085"/>
      <c r="H46" s="1086" t="s">
        <v>159</v>
      </c>
      <c r="I46" s="1087"/>
      <c r="J46" s="1087"/>
      <c r="K46" s="1088"/>
      <c r="L46" s="1089" t="s">
        <v>159</v>
      </c>
      <c r="M46" s="1090"/>
      <c r="N46" s="1091"/>
      <c r="O46" s="1092" t="s">
        <v>159</v>
      </c>
      <c r="P46" s="1093"/>
      <c r="Q46" s="1094"/>
      <c r="R46" s="812"/>
      <c r="S46" s="1095"/>
      <c r="T46" s="813"/>
      <c r="U46" s="812"/>
      <c r="V46" s="1095"/>
      <c r="W46" s="813"/>
      <c r="X46" s="312"/>
      <c r="Y46" s="308"/>
      <c r="Z46" s="312"/>
      <c r="AA46" s="308"/>
      <c r="AB46" s="312"/>
      <c r="AC46" s="308"/>
      <c r="AD46" s="312"/>
      <c r="AE46" s="308"/>
      <c r="AF46" s="312"/>
      <c r="AG46" s="308"/>
      <c r="AH46" s="312"/>
      <c r="AI46" s="308"/>
      <c r="AJ46" s="327"/>
      <c r="AK46" s="330"/>
      <c r="AL46" s="327"/>
      <c r="AM46" s="330"/>
      <c r="AN46" s="327"/>
      <c r="AO46" s="330"/>
      <c r="AP46" s="327"/>
      <c r="AQ46" s="330"/>
      <c r="AR46" s="327"/>
      <c r="AS46" s="1096" t="s">
        <v>159</v>
      </c>
      <c r="AT46" s="1097"/>
      <c r="AU46" s="1097"/>
      <c r="AV46" s="1097"/>
      <c r="AW46" s="1097"/>
      <c r="AX46" s="1097"/>
      <c r="AY46" s="1100"/>
      <c r="AZ46" s="257"/>
      <c r="BA46" s="257"/>
      <c r="BB46" s="1059" t="s">
        <v>162</v>
      </c>
      <c r="BC46" s="1060"/>
      <c r="BD46" s="1075" t="s">
        <v>159</v>
      </c>
      <c r="BE46" s="1075"/>
      <c r="BF46" s="1075"/>
      <c r="BG46" s="1076" t="s">
        <v>159</v>
      </c>
      <c r="BH46" s="1077"/>
      <c r="BI46" s="1077"/>
      <c r="BJ46" s="1078"/>
      <c r="BK46" s="1065" t="s">
        <v>116</v>
      </c>
      <c r="BL46" s="1066"/>
      <c r="BM46" s="1067"/>
      <c r="BN46" s="259"/>
      <c r="BO46" s="259"/>
      <c r="BP46" s="1076"/>
      <c r="BQ46" s="1077"/>
      <c r="BR46" s="1078"/>
      <c r="BS46" s="1075" t="s">
        <v>159</v>
      </c>
      <c r="BT46" s="1075"/>
      <c r="BU46" s="1075"/>
    </row>
    <row r="47" spans="1:73" ht="30" customHeight="1" x14ac:dyDescent="0.25">
      <c r="A47" s="199">
        <f t="shared" si="0"/>
        <v>33</v>
      </c>
      <c r="B47" s="1081" t="s">
        <v>162</v>
      </c>
      <c r="C47" s="1082"/>
      <c r="D47" s="1083" t="s">
        <v>159</v>
      </c>
      <c r="E47" s="1084"/>
      <c r="F47" s="1084"/>
      <c r="G47" s="1085"/>
      <c r="H47" s="1086" t="s">
        <v>159</v>
      </c>
      <c r="I47" s="1087"/>
      <c r="J47" s="1087"/>
      <c r="K47" s="1088"/>
      <c r="L47" s="1089" t="s">
        <v>159</v>
      </c>
      <c r="M47" s="1090"/>
      <c r="N47" s="1091"/>
      <c r="O47" s="1092" t="s">
        <v>159</v>
      </c>
      <c r="P47" s="1093"/>
      <c r="Q47" s="1094"/>
      <c r="R47" s="812"/>
      <c r="S47" s="1095"/>
      <c r="T47" s="813"/>
      <c r="U47" s="812"/>
      <c r="V47" s="1095"/>
      <c r="W47" s="813"/>
      <c r="X47" s="312"/>
      <c r="Y47" s="308"/>
      <c r="Z47" s="312"/>
      <c r="AA47" s="308"/>
      <c r="AB47" s="312"/>
      <c r="AC47" s="308"/>
      <c r="AD47" s="312"/>
      <c r="AE47" s="308"/>
      <c r="AF47" s="312"/>
      <c r="AG47" s="308"/>
      <c r="AH47" s="312"/>
      <c r="AI47" s="308"/>
      <c r="AJ47" s="327"/>
      <c r="AK47" s="330"/>
      <c r="AL47" s="327"/>
      <c r="AM47" s="330"/>
      <c r="AN47" s="327"/>
      <c r="AO47" s="330"/>
      <c r="AP47" s="327"/>
      <c r="AQ47" s="330"/>
      <c r="AR47" s="327"/>
      <c r="AS47" s="1096" t="s">
        <v>159</v>
      </c>
      <c r="AT47" s="1097"/>
      <c r="AU47" s="1097"/>
      <c r="AV47" s="1097"/>
      <c r="AW47" s="1097"/>
      <c r="AX47" s="1097"/>
      <c r="AY47" s="1100"/>
      <c r="AZ47" s="257"/>
      <c r="BA47" s="257"/>
      <c r="BB47" s="1059" t="s">
        <v>162</v>
      </c>
      <c r="BC47" s="1060"/>
      <c r="BD47" s="1075" t="s">
        <v>159</v>
      </c>
      <c r="BE47" s="1075"/>
      <c r="BF47" s="1075"/>
      <c r="BG47" s="1076" t="s">
        <v>159</v>
      </c>
      <c r="BH47" s="1077"/>
      <c r="BI47" s="1077"/>
      <c r="BJ47" s="1078"/>
      <c r="BK47" s="1065" t="s">
        <v>116</v>
      </c>
      <c r="BL47" s="1066"/>
      <c r="BM47" s="1067"/>
      <c r="BN47" s="259"/>
      <c r="BO47" s="259"/>
      <c r="BP47" s="1076"/>
      <c r="BQ47" s="1077"/>
      <c r="BR47" s="1078"/>
      <c r="BS47" s="1075" t="s">
        <v>159</v>
      </c>
      <c r="BT47" s="1075"/>
      <c r="BU47" s="1075"/>
    </row>
    <row r="48" spans="1:73" ht="30" customHeight="1" x14ac:dyDescent="0.25">
      <c r="A48" s="199">
        <f t="shared" si="0"/>
        <v>34</v>
      </c>
      <c r="B48" s="1081" t="s">
        <v>162</v>
      </c>
      <c r="C48" s="1082"/>
      <c r="D48" s="1083" t="s">
        <v>159</v>
      </c>
      <c r="E48" s="1084"/>
      <c r="F48" s="1084"/>
      <c r="G48" s="1085"/>
      <c r="H48" s="1086" t="s">
        <v>159</v>
      </c>
      <c r="I48" s="1087"/>
      <c r="J48" s="1087"/>
      <c r="K48" s="1088"/>
      <c r="L48" s="1089" t="s">
        <v>159</v>
      </c>
      <c r="M48" s="1090"/>
      <c r="N48" s="1091"/>
      <c r="O48" s="1092" t="s">
        <v>159</v>
      </c>
      <c r="P48" s="1093"/>
      <c r="Q48" s="1094"/>
      <c r="R48" s="812"/>
      <c r="S48" s="1095"/>
      <c r="T48" s="813"/>
      <c r="U48" s="812"/>
      <c r="V48" s="1095"/>
      <c r="W48" s="813"/>
      <c r="X48" s="312"/>
      <c r="Y48" s="308"/>
      <c r="Z48" s="312"/>
      <c r="AA48" s="308"/>
      <c r="AB48" s="312"/>
      <c r="AC48" s="308"/>
      <c r="AD48" s="312"/>
      <c r="AE48" s="308"/>
      <c r="AF48" s="312"/>
      <c r="AG48" s="308"/>
      <c r="AH48" s="312"/>
      <c r="AI48" s="308"/>
      <c r="AJ48" s="327"/>
      <c r="AK48" s="330"/>
      <c r="AL48" s="327"/>
      <c r="AM48" s="330"/>
      <c r="AN48" s="327"/>
      <c r="AO48" s="330"/>
      <c r="AP48" s="327"/>
      <c r="AQ48" s="330"/>
      <c r="AR48" s="327"/>
      <c r="AS48" s="1096" t="s">
        <v>159</v>
      </c>
      <c r="AT48" s="1097"/>
      <c r="AU48" s="1097"/>
      <c r="AV48" s="1097"/>
      <c r="AW48" s="1097"/>
      <c r="AX48" s="1097"/>
      <c r="AY48" s="1100"/>
      <c r="AZ48" s="257"/>
      <c r="BA48" s="257"/>
      <c r="BB48" s="1059" t="s">
        <v>162</v>
      </c>
      <c r="BC48" s="1060"/>
      <c r="BD48" s="1075" t="s">
        <v>159</v>
      </c>
      <c r="BE48" s="1075"/>
      <c r="BF48" s="1075"/>
      <c r="BG48" s="1076" t="s">
        <v>159</v>
      </c>
      <c r="BH48" s="1077"/>
      <c r="BI48" s="1077"/>
      <c r="BJ48" s="1078"/>
      <c r="BK48" s="1065" t="s">
        <v>116</v>
      </c>
      <c r="BL48" s="1066"/>
      <c r="BM48" s="1067"/>
      <c r="BN48" s="259"/>
      <c r="BO48" s="259"/>
      <c r="BP48" s="1076"/>
      <c r="BQ48" s="1077"/>
      <c r="BR48" s="1078"/>
      <c r="BS48" s="1075" t="s">
        <v>159</v>
      </c>
      <c r="BT48" s="1075"/>
      <c r="BU48" s="1075"/>
    </row>
    <row r="49" spans="1:73" ht="30" customHeight="1" x14ac:dyDescent="0.25">
      <c r="A49" s="199">
        <f t="shared" si="0"/>
        <v>35</v>
      </c>
      <c r="B49" s="1081" t="s">
        <v>162</v>
      </c>
      <c r="C49" s="1082"/>
      <c r="D49" s="1083" t="s">
        <v>159</v>
      </c>
      <c r="E49" s="1084"/>
      <c r="F49" s="1084"/>
      <c r="G49" s="1085"/>
      <c r="H49" s="1086" t="s">
        <v>159</v>
      </c>
      <c r="I49" s="1087"/>
      <c r="J49" s="1087"/>
      <c r="K49" s="1088"/>
      <c r="L49" s="1089" t="s">
        <v>159</v>
      </c>
      <c r="M49" s="1090"/>
      <c r="N49" s="1091"/>
      <c r="O49" s="1092" t="s">
        <v>159</v>
      </c>
      <c r="P49" s="1093"/>
      <c r="Q49" s="1094"/>
      <c r="R49" s="812"/>
      <c r="S49" s="1095"/>
      <c r="T49" s="813"/>
      <c r="U49" s="812"/>
      <c r="V49" s="1095"/>
      <c r="W49" s="813"/>
      <c r="X49" s="312"/>
      <c r="Y49" s="308"/>
      <c r="Z49" s="312"/>
      <c r="AA49" s="308"/>
      <c r="AB49" s="312"/>
      <c r="AC49" s="308"/>
      <c r="AD49" s="312"/>
      <c r="AE49" s="308"/>
      <c r="AF49" s="312"/>
      <c r="AG49" s="308"/>
      <c r="AH49" s="312"/>
      <c r="AI49" s="308"/>
      <c r="AJ49" s="327"/>
      <c r="AK49" s="330"/>
      <c r="AL49" s="327"/>
      <c r="AM49" s="330"/>
      <c r="AN49" s="327"/>
      <c r="AO49" s="330"/>
      <c r="AP49" s="327"/>
      <c r="AQ49" s="330"/>
      <c r="AR49" s="327"/>
      <c r="AS49" s="1096" t="s">
        <v>159</v>
      </c>
      <c r="AT49" s="1097"/>
      <c r="AU49" s="1097"/>
      <c r="AV49" s="1097"/>
      <c r="AW49" s="1097"/>
      <c r="AX49" s="1097"/>
      <c r="AY49" s="1100"/>
      <c r="AZ49" s="257"/>
      <c r="BA49" s="257"/>
      <c r="BB49" s="1059" t="s">
        <v>162</v>
      </c>
      <c r="BC49" s="1060"/>
      <c r="BD49" s="1075" t="s">
        <v>159</v>
      </c>
      <c r="BE49" s="1075"/>
      <c r="BF49" s="1075"/>
      <c r="BG49" s="1076" t="s">
        <v>159</v>
      </c>
      <c r="BH49" s="1077"/>
      <c r="BI49" s="1077"/>
      <c r="BJ49" s="1078"/>
      <c r="BK49" s="1065" t="s">
        <v>116</v>
      </c>
      <c r="BL49" s="1066"/>
      <c r="BM49" s="1067"/>
      <c r="BN49" s="259"/>
      <c r="BO49" s="259"/>
      <c r="BP49" s="1076"/>
      <c r="BQ49" s="1077"/>
      <c r="BR49" s="1078"/>
      <c r="BS49" s="1075" t="s">
        <v>159</v>
      </c>
      <c r="BT49" s="1075"/>
      <c r="BU49" s="1075"/>
    </row>
    <row r="50" spans="1:73" ht="30" customHeight="1" x14ac:dyDescent="0.25">
      <c r="A50" s="199">
        <f t="shared" si="0"/>
        <v>36</v>
      </c>
      <c r="B50" s="1081" t="s">
        <v>162</v>
      </c>
      <c r="C50" s="1082"/>
      <c r="D50" s="1083" t="s">
        <v>159</v>
      </c>
      <c r="E50" s="1084"/>
      <c r="F50" s="1084"/>
      <c r="G50" s="1085"/>
      <c r="H50" s="1086" t="s">
        <v>159</v>
      </c>
      <c r="I50" s="1087"/>
      <c r="J50" s="1087"/>
      <c r="K50" s="1088"/>
      <c r="L50" s="1089" t="s">
        <v>159</v>
      </c>
      <c r="M50" s="1090"/>
      <c r="N50" s="1091"/>
      <c r="O50" s="1092" t="s">
        <v>159</v>
      </c>
      <c r="P50" s="1093"/>
      <c r="Q50" s="1094"/>
      <c r="R50" s="812"/>
      <c r="S50" s="1095"/>
      <c r="T50" s="813"/>
      <c r="U50" s="812"/>
      <c r="V50" s="1095"/>
      <c r="W50" s="813"/>
      <c r="X50" s="312"/>
      <c r="Y50" s="308"/>
      <c r="Z50" s="312"/>
      <c r="AA50" s="308"/>
      <c r="AB50" s="312"/>
      <c r="AC50" s="308"/>
      <c r="AD50" s="312"/>
      <c r="AE50" s="308"/>
      <c r="AF50" s="312"/>
      <c r="AG50" s="308"/>
      <c r="AH50" s="312"/>
      <c r="AI50" s="308"/>
      <c r="AJ50" s="327"/>
      <c r="AK50" s="330"/>
      <c r="AL50" s="327"/>
      <c r="AM50" s="330"/>
      <c r="AN50" s="327"/>
      <c r="AO50" s="330"/>
      <c r="AP50" s="327"/>
      <c r="AQ50" s="330"/>
      <c r="AR50" s="327"/>
      <c r="AS50" s="1096" t="s">
        <v>159</v>
      </c>
      <c r="AT50" s="1097"/>
      <c r="AU50" s="1097"/>
      <c r="AV50" s="1097"/>
      <c r="AW50" s="1097"/>
      <c r="AX50" s="1097"/>
      <c r="AY50" s="1100"/>
      <c r="AZ50" s="257"/>
      <c r="BA50" s="257"/>
      <c r="BB50" s="1079" t="s">
        <v>162</v>
      </c>
      <c r="BC50" s="1080"/>
      <c r="BD50" s="1075" t="s">
        <v>159</v>
      </c>
      <c r="BE50" s="1075"/>
      <c r="BF50" s="1075"/>
      <c r="BG50" s="1076" t="s">
        <v>159</v>
      </c>
      <c r="BH50" s="1077"/>
      <c r="BI50" s="1077"/>
      <c r="BJ50" s="1078"/>
      <c r="BK50" s="1065" t="s">
        <v>116</v>
      </c>
      <c r="BL50" s="1066"/>
      <c r="BM50" s="1067"/>
      <c r="BN50" s="259"/>
      <c r="BO50" s="259"/>
      <c r="BP50" s="1076"/>
      <c r="BQ50" s="1077"/>
      <c r="BR50" s="1078"/>
      <c r="BS50" s="1075" t="s">
        <v>159</v>
      </c>
      <c r="BT50" s="1075"/>
      <c r="BU50" s="1075"/>
    </row>
    <row r="51" spans="1:73" ht="30" customHeight="1" x14ac:dyDescent="0.25">
      <c r="A51" s="199">
        <f t="shared" si="0"/>
        <v>37</v>
      </c>
      <c r="B51" s="1081" t="s">
        <v>162</v>
      </c>
      <c r="C51" s="1082"/>
      <c r="D51" s="1083" t="s">
        <v>159</v>
      </c>
      <c r="E51" s="1084"/>
      <c r="F51" s="1084"/>
      <c r="G51" s="1085"/>
      <c r="H51" s="1086" t="s">
        <v>159</v>
      </c>
      <c r="I51" s="1087"/>
      <c r="J51" s="1087"/>
      <c r="K51" s="1088"/>
      <c r="L51" s="1089" t="s">
        <v>159</v>
      </c>
      <c r="M51" s="1090"/>
      <c r="N51" s="1091"/>
      <c r="O51" s="1092" t="s">
        <v>159</v>
      </c>
      <c r="P51" s="1093"/>
      <c r="Q51" s="1094"/>
      <c r="R51" s="812"/>
      <c r="S51" s="1095"/>
      <c r="T51" s="813"/>
      <c r="U51" s="812"/>
      <c r="V51" s="1095"/>
      <c r="W51" s="813"/>
      <c r="X51" s="312"/>
      <c r="Y51" s="308"/>
      <c r="Z51" s="312"/>
      <c r="AA51" s="308"/>
      <c r="AB51" s="312"/>
      <c r="AC51" s="308"/>
      <c r="AD51" s="312"/>
      <c r="AE51" s="308"/>
      <c r="AF51" s="312"/>
      <c r="AG51" s="308"/>
      <c r="AH51" s="312"/>
      <c r="AI51" s="308"/>
      <c r="AJ51" s="327"/>
      <c r="AK51" s="330"/>
      <c r="AL51" s="327"/>
      <c r="AM51" s="330"/>
      <c r="AN51" s="327"/>
      <c r="AO51" s="330"/>
      <c r="AP51" s="327"/>
      <c r="AQ51" s="330"/>
      <c r="AR51" s="327"/>
      <c r="AS51" s="1096" t="s">
        <v>159</v>
      </c>
      <c r="AT51" s="1097"/>
      <c r="AU51" s="1097"/>
      <c r="AV51" s="1097"/>
      <c r="AW51" s="1097"/>
      <c r="AX51" s="1097"/>
      <c r="AY51" s="1100"/>
      <c r="AZ51" s="257"/>
      <c r="BA51" s="257"/>
      <c r="BB51" s="1059" t="s">
        <v>162</v>
      </c>
      <c r="BC51" s="1060"/>
      <c r="BD51" s="1075" t="s">
        <v>159</v>
      </c>
      <c r="BE51" s="1075"/>
      <c r="BF51" s="1075"/>
      <c r="BG51" s="1076" t="s">
        <v>159</v>
      </c>
      <c r="BH51" s="1077"/>
      <c r="BI51" s="1077"/>
      <c r="BJ51" s="1078"/>
      <c r="BK51" s="1065" t="s">
        <v>116</v>
      </c>
      <c r="BL51" s="1066"/>
      <c r="BM51" s="1067"/>
      <c r="BN51" s="259"/>
      <c r="BO51" s="259"/>
      <c r="BP51" s="1076"/>
      <c r="BQ51" s="1077"/>
      <c r="BR51" s="1078"/>
      <c r="BS51" s="1075" t="s">
        <v>159</v>
      </c>
      <c r="BT51" s="1075"/>
      <c r="BU51" s="1075"/>
    </row>
    <row r="52" spans="1:73" ht="30" customHeight="1" x14ac:dyDescent="0.25">
      <c r="A52" s="199">
        <f t="shared" si="0"/>
        <v>38</v>
      </c>
      <c r="B52" s="1081" t="s">
        <v>162</v>
      </c>
      <c r="C52" s="1082"/>
      <c r="D52" s="1083" t="s">
        <v>159</v>
      </c>
      <c r="E52" s="1084"/>
      <c r="F52" s="1084"/>
      <c r="G52" s="1085"/>
      <c r="H52" s="1086" t="s">
        <v>159</v>
      </c>
      <c r="I52" s="1087"/>
      <c r="J52" s="1087"/>
      <c r="K52" s="1088"/>
      <c r="L52" s="1089" t="s">
        <v>159</v>
      </c>
      <c r="M52" s="1090"/>
      <c r="N52" s="1091"/>
      <c r="O52" s="1092" t="s">
        <v>159</v>
      </c>
      <c r="P52" s="1093"/>
      <c r="Q52" s="1094"/>
      <c r="R52" s="812"/>
      <c r="S52" s="1095"/>
      <c r="T52" s="813"/>
      <c r="U52" s="812"/>
      <c r="V52" s="1095"/>
      <c r="W52" s="813"/>
      <c r="X52" s="312"/>
      <c r="Y52" s="308"/>
      <c r="Z52" s="312"/>
      <c r="AA52" s="308"/>
      <c r="AB52" s="312"/>
      <c r="AC52" s="308"/>
      <c r="AD52" s="312"/>
      <c r="AE52" s="308"/>
      <c r="AF52" s="312"/>
      <c r="AG52" s="308"/>
      <c r="AH52" s="312"/>
      <c r="AI52" s="308"/>
      <c r="AJ52" s="327"/>
      <c r="AK52" s="330"/>
      <c r="AL52" s="327"/>
      <c r="AM52" s="330"/>
      <c r="AN52" s="327"/>
      <c r="AO52" s="330"/>
      <c r="AP52" s="327"/>
      <c r="AQ52" s="330"/>
      <c r="AR52" s="327"/>
      <c r="AS52" s="1096" t="s">
        <v>159</v>
      </c>
      <c r="AT52" s="1097"/>
      <c r="AU52" s="1097"/>
      <c r="AV52" s="1097"/>
      <c r="AW52" s="1097"/>
      <c r="AX52" s="1097"/>
      <c r="AY52" s="1100"/>
      <c r="AZ52" s="257"/>
      <c r="BA52" s="257"/>
      <c r="BB52" s="1059" t="s">
        <v>162</v>
      </c>
      <c r="BC52" s="1060"/>
      <c r="BD52" s="1075" t="s">
        <v>159</v>
      </c>
      <c r="BE52" s="1075"/>
      <c r="BF52" s="1075"/>
      <c r="BG52" s="1076" t="s">
        <v>159</v>
      </c>
      <c r="BH52" s="1077"/>
      <c r="BI52" s="1077"/>
      <c r="BJ52" s="1078"/>
      <c r="BK52" s="1065" t="s">
        <v>116</v>
      </c>
      <c r="BL52" s="1066"/>
      <c r="BM52" s="1067"/>
      <c r="BN52" s="259"/>
      <c r="BO52" s="259"/>
      <c r="BP52" s="1076"/>
      <c r="BQ52" s="1077"/>
      <c r="BR52" s="1078"/>
      <c r="BS52" s="1075" t="s">
        <v>159</v>
      </c>
      <c r="BT52" s="1075"/>
      <c r="BU52" s="1075"/>
    </row>
    <row r="53" spans="1:73" ht="30" customHeight="1" x14ac:dyDescent="0.25">
      <c r="A53" s="199">
        <f t="shared" si="0"/>
        <v>39</v>
      </c>
      <c r="B53" s="1081" t="s">
        <v>162</v>
      </c>
      <c r="C53" s="1082"/>
      <c r="D53" s="1083" t="s">
        <v>159</v>
      </c>
      <c r="E53" s="1084"/>
      <c r="F53" s="1084"/>
      <c r="G53" s="1085"/>
      <c r="H53" s="1086" t="s">
        <v>159</v>
      </c>
      <c r="I53" s="1087"/>
      <c r="J53" s="1087"/>
      <c r="K53" s="1088"/>
      <c r="L53" s="1089" t="s">
        <v>159</v>
      </c>
      <c r="M53" s="1090"/>
      <c r="N53" s="1091"/>
      <c r="O53" s="1092" t="s">
        <v>159</v>
      </c>
      <c r="P53" s="1093"/>
      <c r="Q53" s="1094"/>
      <c r="R53" s="812"/>
      <c r="S53" s="1095"/>
      <c r="T53" s="813"/>
      <c r="U53" s="812"/>
      <c r="V53" s="1095"/>
      <c r="W53" s="813"/>
      <c r="X53" s="312"/>
      <c r="Y53" s="308"/>
      <c r="Z53" s="312"/>
      <c r="AA53" s="308"/>
      <c r="AB53" s="312"/>
      <c r="AC53" s="308"/>
      <c r="AD53" s="312"/>
      <c r="AE53" s="308"/>
      <c r="AF53" s="312"/>
      <c r="AG53" s="308"/>
      <c r="AH53" s="312"/>
      <c r="AI53" s="308"/>
      <c r="AJ53" s="327"/>
      <c r="AK53" s="330"/>
      <c r="AL53" s="327"/>
      <c r="AM53" s="330"/>
      <c r="AN53" s="327"/>
      <c r="AO53" s="330"/>
      <c r="AP53" s="327"/>
      <c r="AQ53" s="330"/>
      <c r="AR53" s="327"/>
      <c r="AS53" s="1096" t="s">
        <v>159</v>
      </c>
      <c r="AT53" s="1097"/>
      <c r="AU53" s="1097"/>
      <c r="AV53" s="1097"/>
      <c r="AW53" s="1097"/>
      <c r="AX53" s="1097"/>
      <c r="AY53" s="1100"/>
      <c r="AZ53" s="257"/>
      <c r="BA53" s="257"/>
      <c r="BB53" s="1059" t="s">
        <v>162</v>
      </c>
      <c r="BC53" s="1060"/>
      <c r="BD53" s="1075" t="s">
        <v>159</v>
      </c>
      <c r="BE53" s="1075"/>
      <c r="BF53" s="1075"/>
      <c r="BG53" s="1076" t="s">
        <v>159</v>
      </c>
      <c r="BH53" s="1077"/>
      <c r="BI53" s="1077"/>
      <c r="BJ53" s="1078"/>
      <c r="BK53" s="1065" t="s">
        <v>116</v>
      </c>
      <c r="BL53" s="1066"/>
      <c r="BM53" s="1067"/>
      <c r="BN53" s="259"/>
      <c r="BO53" s="259"/>
      <c r="BP53" s="1076"/>
      <c r="BQ53" s="1077"/>
      <c r="BR53" s="1078"/>
      <c r="BS53" s="1075" t="s">
        <v>159</v>
      </c>
      <c r="BT53" s="1075"/>
      <c r="BU53" s="1075"/>
    </row>
    <row r="54" spans="1:73" ht="30" customHeight="1" x14ac:dyDescent="0.25">
      <c r="A54" s="199">
        <f t="shared" si="0"/>
        <v>40</v>
      </c>
      <c r="B54" s="1081" t="s">
        <v>162</v>
      </c>
      <c r="C54" s="1082"/>
      <c r="D54" s="1083" t="s">
        <v>159</v>
      </c>
      <c r="E54" s="1084"/>
      <c r="F54" s="1084"/>
      <c r="G54" s="1085"/>
      <c r="H54" s="1086" t="s">
        <v>159</v>
      </c>
      <c r="I54" s="1087"/>
      <c r="J54" s="1087"/>
      <c r="K54" s="1088"/>
      <c r="L54" s="1089" t="s">
        <v>159</v>
      </c>
      <c r="M54" s="1090"/>
      <c r="N54" s="1091"/>
      <c r="O54" s="1092" t="s">
        <v>159</v>
      </c>
      <c r="P54" s="1093"/>
      <c r="Q54" s="1094"/>
      <c r="R54" s="812"/>
      <c r="S54" s="1095"/>
      <c r="T54" s="813"/>
      <c r="U54" s="812"/>
      <c r="V54" s="1095"/>
      <c r="W54" s="813"/>
      <c r="X54" s="312"/>
      <c r="Y54" s="308"/>
      <c r="Z54" s="312"/>
      <c r="AA54" s="308"/>
      <c r="AB54" s="312"/>
      <c r="AC54" s="308"/>
      <c r="AD54" s="312"/>
      <c r="AE54" s="308"/>
      <c r="AF54" s="312"/>
      <c r="AG54" s="308"/>
      <c r="AH54" s="312"/>
      <c r="AI54" s="308"/>
      <c r="AJ54" s="327"/>
      <c r="AK54" s="330"/>
      <c r="AL54" s="327"/>
      <c r="AM54" s="330"/>
      <c r="AN54" s="327"/>
      <c r="AO54" s="330"/>
      <c r="AP54" s="327"/>
      <c r="AQ54" s="330"/>
      <c r="AR54" s="327"/>
      <c r="AS54" s="1096" t="s">
        <v>159</v>
      </c>
      <c r="AT54" s="1097"/>
      <c r="AU54" s="1097"/>
      <c r="AV54" s="1097"/>
      <c r="AW54" s="1097"/>
      <c r="AX54" s="1097"/>
      <c r="AY54" s="1100"/>
      <c r="AZ54" s="257"/>
      <c r="BA54" s="257"/>
      <c r="BB54" s="1059" t="s">
        <v>162</v>
      </c>
      <c r="BC54" s="1060"/>
      <c r="BD54" s="1075" t="s">
        <v>159</v>
      </c>
      <c r="BE54" s="1075"/>
      <c r="BF54" s="1075"/>
      <c r="BG54" s="1076" t="s">
        <v>159</v>
      </c>
      <c r="BH54" s="1077"/>
      <c r="BI54" s="1077"/>
      <c r="BJ54" s="1078"/>
      <c r="BK54" s="1065" t="s">
        <v>116</v>
      </c>
      <c r="BL54" s="1066"/>
      <c r="BM54" s="1067"/>
      <c r="BN54" s="259"/>
      <c r="BO54" s="259"/>
      <c r="BP54" s="1076"/>
      <c r="BQ54" s="1077"/>
      <c r="BR54" s="1078"/>
      <c r="BS54" s="1075" t="s">
        <v>159</v>
      </c>
      <c r="BT54" s="1075"/>
      <c r="BU54" s="1075"/>
    </row>
    <row r="55" spans="1:73" ht="30" customHeight="1" x14ac:dyDescent="0.25">
      <c r="A55" s="199">
        <f t="shared" si="0"/>
        <v>41</v>
      </c>
      <c r="B55" s="1081" t="s">
        <v>162</v>
      </c>
      <c r="C55" s="1082"/>
      <c r="D55" s="1083" t="s">
        <v>159</v>
      </c>
      <c r="E55" s="1084"/>
      <c r="F55" s="1084"/>
      <c r="G55" s="1085"/>
      <c r="H55" s="1086" t="s">
        <v>159</v>
      </c>
      <c r="I55" s="1087"/>
      <c r="J55" s="1087"/>
      <c r="K55" s="1088"/>
      <c r="L55" s="1089" t="s">
        <v>159</v>
      </c>
      <c r="M55" s="1090"/>
      <c r="N55" s="1091"/>
      <c r="O55" s="1092" t="s">
        <v>159</v>
      </c>
      <c r="P55" s="1093"/>
      <c r="Q55" s="1094"/>
      <c r="R55" s="812"/>
      <c r="S55" s="1095"/>
      <c r="T55" s="813"/>
      <c r="U55" s="812"/>
      <c r="V55" s="1095"/>
      <c r="W55" s="813"/>
      <c r="X55" s="312"/>
      <c r="Y55" s="308"/>
      <c r="Z55" s="312"/>
      <c r="AA55" s="308"/>
      <c r="AB55" s="312"/>
      <c r="AC55" s="308"/>
      <c r="AD55" s="312"/>
      <c r="AE55" s="308"/>
      <c r="AF55" s="312"/>
      <c r="AG55" s="308"/>
      <c r="AH55" s="312"/>
      <c r="AI55" s="308"/>
      <c r="AJ55" s="327"/>
      <c r="AK55" s="330"/>
      <c r="AL55" s="327"/>
      <c r="AM55" s="330"/>
      <c r="AN55" s="327"/>
      <c r="AO55" s="330"/>
      <c r="AP55" s="327"/>
      <c r="AQ55" s="330"/>
      <c r="AR55" s="327"/>
      <c r="AS55" s="1096" t="s">
        <v>159</v>
      </c>
      <c r="AT55" s="1097"/>
      <c r="AU55" s="1097"/>
      <c r="AV55" s="1097"/>
      <c r="AW55" s="1097"/>
      <c r="AX55" s="1097"/>
      <c r="AY55" s="1100"/>
      <c r="AZ55" s="257"/>
      <c r="BA55" s="257"/>
      <c r="BB55" s="1059" t="s">
        <v>162</v>
      </c>
      <c r="BC55" s="1060"/>
      <c r="BD55" s="1075" t="s">
        <v>159</v>
      </c>
      <c r="BE55" s="1075"/>
      <c r="BF55" s="1075"/>
      <c r="BG55" s="1076" t="s">
        <v>159</v>
      </c>
      <c r="BH55" s="1077"/>
      <c r="BI55" s="1077"/>
      <c r="BJ55" s="1078"/>
      <c r="BK55" s="1065" t="s">
        <v>116</v>
      </c>
      <c r="BL55" s="1066"/>
      <c r="BM55" s="1067"/>
      <c r="BN55" s="259"/>
      <c r="BO55" s="259"/>
      <c r="BP55" s="1076"/>
      <c r="BQ55" s="1077"/>
      <c r="BR55" s="1078"/>
      <c r="BS55" s="1075" t="s">
        <v>159</v>
      </c>
      <c r="BT55" s="1075"/>
      <c r="BU55" s="1075"/>
    </row>
    <row r="56" spans="1:73" ht="30" customHeight="1" x14ac:dyDescent="0.25">
      <c r="A56" s="199">
        <f t="shared" si="0"/>
        <v>42</v>
      </c>
      <c r="B56" s="1081" t="s">
        <v>162</v>
      </c>
      <c r="C56" s="1082"/>
      <c r="D56" s="1083" t="s">
        <v>159</v>
      </c>
      <c r="E56" s="1084"/>
      <c r="F56" s="1084"/>
      <c r="G56" s="1085"/>
      <c r="H56" s="1086" t="s">
        <v>159</v>
      </c>
      <c r="I56" s="1087"/>
      <c r="J56" s="1087"/>
      <c r="K56" s="1088"/>
      <c r="L56" s="1089" t="s">
        <v>159</v>
      </c>
      <c r="M56" s="1090"/>
      <c r="N56" s="1091"/>
      <c r="O56" s="1092" t="s">
        <v>159</v>
      </c>
      <c r="P56" s="1093"/>
      <c r="Q56" s="1094"/>
      <c r="R56" s="812"/>
      <c r="S56" s="1095"/>
      <c r="T56" s="813"/>
      <c r="U56" s="812"/>
      <c r="V56" s="1095"/>
      <c r="W56" s="813"/>
      <c r="X56" s="312"/>
      <c r="Y56" s="308"/>
      <c r="Z56" s="312"/>
      <c r="AA56" s="308"/>
      <c r="AB56" s="312"/>
      <c r="AC56" s="308"/>
      <c r="AD56" s="312"/>
      <c r="AE56" s="308"/>
      <c r="AF56" s="312"/>
      <c r="AG56" s="308"/>
      <c r="AH56" s="312"/>
      <c r="AI56" s="308"/>
      <c r="AJ56" s="327"/>
      <c r="AK56" s="330"/>
      <c r="AL56" s="327"/>
      <c r="AM56" s="330"/>
      <c r="AN56" s="327"/>
      <c r="AO56" s="330"/>
      <c r="AP56" s="327"/>
      <c r="AQ56" s="330"/>
      <c r="AR56" s="327"/>
      <c r="AS56" s="1096" t="s">
        <v>159</v>
      </c>
      <c r="AT56" s="1097"/>
      <c r="AU56" s="1097"/>
      <c r="AV56" s="1097"/>
      <c r="AW56" s="1097"/>
      <c r="AX56" s="1097"/>
      <c r="AY56" s="1100"/>
      <c r="AZ56" s="257"/>
      <c r="BA56" s="257"/>
      <c r="BB56" s="1059" t="s">
        <v>162</v>
      </c>
      <c r="BC56" s="1060"/>
      <c r="BD56" s="1075" t="s">
        <v>159</v>
      </c>
      <c r="BE56" s="1075"/>
      <c r="BF56" s="1075"/>
      <c r="BG56" s="1076" t="s">
        <v>159</v>
      </c>
      <c r="BH56" s="1077"/>
      <c r="BI56" s="1077"/>
      <c r="BJ56" s="1078"/>
      <c r="BK56" s="1065" t="s">
        <v>116</v>
      </c>
      <c r="BL56" s="1066"/>
      <c r="BM56" s="1067"/>
      <c r="BN56" s="259"/>
      <c r="BO56" s="259"/>
      <c r="BP56" s="1076"/>
      <c r="BQ56" s="1077"/>
      <c r="BR56" s="1078"/>
      <c r="BS56" s="1075" t="s">
        <v>159</v>
      </c>
      <c r="BT56" s="1075"/>
      <c r="BU56" s="1075"/>
    </row>
    <row r="57" spans="1:73" ht="30" customHeight="1" x14ac:dyDescent="0.25">
      <c r="A57" s="199">
        <f t="shared" si="0"/>
        <v>43</v>
      </c>
      <c r="B57" s="1081" t="s">
        <v>162</v>
      </c>
      <c r="C57" s="1082"/>
      <c r="D57" s="1083" t="s">
        <v>159</v>
      </c>
      <c r="E57" s="1084"/>
      <c r="F57" s="1084"/>
      <c r="G57" s="1085"/>
      <c r="H57" s="1086" t="s">
        <v>159</v>
      </c>
      <c r="I57" s="1087"/>
      <c r="J57" s="1087"/>
      <c r="K57" s="1088"/>
      <c r="L57" s="1089" t="s">
        <v>159</v>
      </c>
      <c r="M57" s="1090"/>
      <c r="N57" s="1091"/>
      <c r="O57" s="1092" t="s">
        <v>159</v>
      </c>
      <c r="P57" s="1093"/>
      <c r="Q57" s="1094"/>
      <c r="R57" s="812"/>
      <c r="S57" s="1095"/>
      <c r="T57" s="813"/>
      <c r="U57" s="812"/>
      <c r="V57" s="1095"/>
      <c r="W57" s="813"/>
      <c r="X57" s="312"/>
      <c r="Y57" s="308"/>
      <c r="Z57" s="312"/>
      <c r="AA57" s="308"/>
      <c r="AB57" s="312"/>
      <c r="AC57" s="308"/>
      <c r="AD57" s="312"/>
      <c r="AE57" s="308"/>
      <c r="AF57" s="312"/>
      <c r="AG57" s="308"/>
      <c r="AH57" s="312"/>
      <c r="AI57" s="308"/>
      <c r="AJ57" s="327"/>
      <c r="AK57" s="330"/>
      <c r="AL57" s="327"/>
      <c r="AM57" s="330"/>
      <c r="AN57" s="327"/>
      <c r="AO57" s="330"/>
      <c r="AP57" s="327"/>
      <c r="AQ57" s="330"/>
      <c r="AR57" s="327"/>
      <c r="AS57" s="1096" t="s">
        <v>159</v>
      </c>
      <c r="AT57" s="1097"/>
      <c r="AU57" s="1097"/>
      <c r="AV57" s="1097"/>
      <c r="AW57" s="1097"/>
      <c r="AX57" s="1097"/>
      <c r="AY57" s="1100"/>
      <c r="AZ57" s="257"/>
      <c r="BA57" s="257"/>
      <c r="BB57" s="1079" t="s">
        <v>162</v>
      </c>
      <c r="BC57" s="1080"/>
      <c r="BD57" s="1075" t="s">
        <v>159</v>
      </c>
      <c r="BE57" s="1075"/>
      <c r="BF57" s="1075"/>
      <c r="BG57" s="1076" t="s">
        <v>159</v>
      </c>
      <c r="BH57" s="1077"/>
      <c r="BI57" s="1077"/>
      <c r="BJ57" s="1078"/>
      <c r="BK57" s="1065" t="s">
        <v>116</v>
      </c>
      <c r="BL57" s="1066"/>
      <c r="BM57" s="1067"/>
      <c r="BN57" s="259"/>
      <c r="BO57" s="259"/>
      <c r="BP57" s="1076"/>
      <c r="BQ57" s="1077"/>
      <c r="BR57" s="1078"/>
      <c r="BS57" s="1075" t="s">
        <v>159</v>
      </c>
      <c r="BT57" s="1075"/>
      <c r="BU57" s="1075"/>
    </row>
    <row r="58" spans="1:73" ht="30" customHeight="1" x14ac:dyDescent="0.25">
      <c r="A58" s="199">
        <f t="shared" si="0"/>
        <v>44</v>
      </c>
      <c r="B58" s="1081" t="s">
        <v>162</v>
      </c>
      <c r="C58" s="1082"/>
      <c r="D58" s="1083" t="s">
        <v>159</v>
      </c>
      <c r="E58" s="1084"/>
      <c r="F58" s="1084"/>
      <c r="G58" s="1085"/>
      <c r="H58" s="1086" t="s">
        <v>159</v>
      </c>
      <c r="I58" s="1087"/>
      <c r="J58" s="1087"/>
      <c r="K58" s="1088"/>
      <c r="L58" s="1089" t="s">
        <v>159</v>
      </c>
      <c r="M58" s="1090"/>
      <c r="N58" s="1091"/>
      <c r="O58" s="1092" t="s">
        <v>159</v>
      </c>
      <c r="P58" s="1093"/>
      <c r="Q58" s="1094"/>
      <c r="R58" s="812"/>
      <c r="S58" s="1095"/>
      <c r="T58" s="813"/>
      <c r="U58" s="812"/>
      <c r="V58" s="1095"/>
      <c r="W58" s="813"/>
      <c r="X58" s="312"/>
      <c r="Y58" s="308"/>
      <c r="Z58" s="312"/>
      <c r="AA58" s="308"/>
      <c r="AB58" s="312"/>
      <c r="AC58" s="308"/>
      <c r="AD58" s="312"/>
      <c r="AE58" s="308"/>
      <c r="AF58" s="312"/>
      <c r="AG58" s="308"/>
      <c r="AH58" s="312"/>
      <c r="AI58" s="308"/>
      <c r="AJ58" s="327"/>
      <c r="AK58" s="330"/>
      <c r="AL58" s="327"/>
      <c r="AM58" s="330"/>
      <c r="AN58" s="327"/>
      <c r="AO58" s="330"/>
      <c r="AP58" s="327"/>
      <c r="AQ58" s="330"/>
      <c r="AR58" s="327"/>
      <c r="AS58" s="1096" t="s">
        <v>159</v>
      </c>
      <c r="AT58" s="1097"/>
      <c r="AU58" s="1097"/>
      <c r="AV58" s="1097"/>
      <c r="AW58" s="1097"/>
      <c r="AX58" s="1097"/>
      <c r="AY58" s="1100"/>
      <c r="AZ58" s="257"/>
      <c r="BA58" s="257"/>
      <c r="BB58" s="1059" t="s">
        <v>162</v>
      </c>
      <c r="BC58" s="1060"/>
      <c r="BD58" s="1075" t="s">
        <v>159</v>
      </c>
      <c r="BE58" s="1075"/>
      <c r="BF58" s="1075"/>
      <c r="BG58" s="1076" t="s">
        <v>159</v>
      </c>
      <c r="BH58" s="1077"/>
      <c r="BI58" s="1077"/>
      <c r="BJ58" s="1078"/>
      <c r="BK58" s="1065" t="s">
        <v>116</v>
      </c>
      <c r="BL58" s="1066"/>
      <c r="BM58" s="1067"/>
      <c r="BN58" s="259"/>
      <c r="BO58" s="259"/>
      <c r="BP58" s="1076"/>
      <c r="BQ58" s="1077"/>
      <c r="BR58" s="1078"/>
      <c r="BS58" s="1075" t="s">
        <v>159</v>
      </c>
      <c r="BT58" s="1075"/>
      <c r="BU58" s="1075"/>
    </row>
    <row r="59" spans="1:73" ht="30" customHeight="1" x14ac:dyDescent="0.25">
      <c r="A59" s="199">
        <f t="shared" si="0"/>
        <v>45</v>
      </c>
      <c r="B59" s="1081" t="s">
        <v>162</v>
      </c>
      <c r="C59" s="1082"/>
      <c r="D59" s="1083" t="s">
        <v>159</v>
      </c>
      <c r="E59" s="1084"/>
      <c r="F59" s="1084"/>
      <c r="G59" s="1085"/>
      <c r="H59" s="1086" t="s">
        <v>159</v>
      </c>
      <c r="I59" s="1087"/>
      <c r="J59" s="1087"/>
      <c r="K59" s="1088"/>
      <c r="L59" s="1089" t="s">
        <v>159</v>
      </c>
      <c r="M59" s="1090"/>
      <c r="N59" s="1091"/>
      <c r="O59" s="1092" t="s">
        <v>159</v>
      </c>
      <c r="P59" s="1093"/>
      <c r="Q59" s="1094"/>
      <c r="R59" s="812"/>
      <c r="S59" s="1095"/>
      <c r="T59" s="813"/>
      <c r="U59" s="812"/>
      <c r="V59" s="1095"/>
      <c r="W59" s="813"/>
      <c r="X59" s="312"/>
      <c r="Y59" s="308"/>
      <c r="Z59" s="312"/>
      <c r="AA59" s="308"/>
      <c r="AB59" s="312"/>
      <c r="AC59" s="308"/>
      <c r="AD59" s="312"/>
      <c r="AE59" s="308"/>
      <c r="AF59" s="312"/>
      <c r="AG59" s="308"/>
      <c r="AH59" s="312"/>
      <c r="AI59" s="308"/>
      <c r="AJ59" s="327"/>
      <c r="AK59" s="330"/>
      <c r="AL59" s="327"/>
      <c r="AM59" s="330"/>
      <c r="AN59" s="327"/>
      <c r="AO59" s="330"/>
      <c r="AP59" s="327"/>
      <c r="AQ59" s="330"/>
      <c r="AR59" s="327"/>
      <c r="AS59" s="1096" t="s">
        <v>159</v>
      </c>
      <c r="AT59" s="1097"/>
      <c r="AU59" s="1097"/>
      <c r="AV59" s="1097"/>
      <c r="AW59" s="1097"/>
      <c r="AX59" s="1097"/>
      <c r="AY59" s="1100"/>
      <c r="AZ59" s="257"/>
      <c r="BA59" s="257"/>
      <c r="BB59" s="1059" t="s">
        <v>162</v>
      </c>
      <c r="BC59" s="1060"/>
      <c r="BD59" s="1075" t="s">
        <v>159</v>
      </c>
      <c r="BE59" s="1075"/>
      <c r="BF59" s="1075"/>
      <c r="BG59" s="1076" t="s">
        <v>159</v>
      </c>
      <c r="BH59" s="1077"/>
      <c r="BI59" s="1077"/>
      <c r="BJ59" s="1078"/>
      <c r="BK59" s="1065" t="s">
        <v>116</v>
      </c>
      <c r="BL59" s="1066"/>
      <c r="BM59" s="1067"/>
      <c r="BN59" s="259"/>
      <c r="BO59" s="259"/>
      <c r="BP59" s="1076"/>
      <c r="BQ59" s="1077"/>
      <c r="BR59" s="1078"/>
      <c r="BS59" s="1075" t="s">
        <v>159</v>
      </c>
      <c r="BT59" s="1075"/>
      <c r="BU59" s="1075"/>
    </row>
    <row r="60" spans="1:73" ht="30" customHeight="1" x14ac:dyDescent="0.25">
      <c r="A60" s="199">
        <f t="shared" si="0"/>
        <v>46</v>
      </c>
      <c r="B60" s="1081" t="s">
        <v>162</v>
      </c>
      <c r="C60" s="1082"/>
      <c r="D60" s="1083" t="s">
        <v>159</v>
      </c>
      <c r="E60" s="1084"/>
      <c r="F60" s="1084"/>
      <c r="G60" s="1085"/>
      <c r="H60" s="1086" t="s">
        <v>159</v>
      </c>
      <c r="I60" s="1087"/>
      <c r="J60" s="1087"/>
      <c r="K60" s="1088"/>
      <c r="L60" s="1089" t="s">
        <v>159</v>
      </c>
      <c r="M60" s="1090"/>
      <c r="N60" s="1091"/>
      <c r="O60" s="1092" t="s">
        <v>159</v>
      </c>
      <c r="P60" s="1093"/>
      <c r="Q60" s="1094"/>
      <c r="R60" s="812"/>
      <c r="S60" s="1095"/>
      <c r="T60" s="813"/>
      <c r="U60" s="812"/>
      <c r="V60" s="1095"/>
      <c r="W60" s="813"/>
      <c r="X60" s="312"/>
      <c r="Y60" s="308"/>
      <c r="Z60" s="312"/>
      <c r="AA60" s="308"/>
      <c r="AB60" s="312"/>
      <c r="AC60" s="308"/>
      <c r="AD60" s="312"/>
      <c r="AE60" s="308"/>
      <c r="AF60" s="312"/>
      <c r="AG60" s="308"/>
      <c r="AH60" s="312"/>
      <c r="AI60" s="308"/>
      <c r="AJ60" s="327"/>
      <c r="AK60" s="330"/>
      <c r="AL60" s="327"/>
      <c r="AM60" s="330"/>
      <c r="AN60" s="327"/>
      <c r="AO60" s="330"/>
      <c r="AP60" s="327"/>
      <c r="AQ60" s="330"/>
      <c r="AR60" s="327"/>
      <c r="AS60" s="1096" t="s">
        <v>159</v>
      </c>
      <c r="AT60" s="1097"/>
      <c r="AU60" s="1097"/>
      <c r="AV60" s="1097"/>
      <c r="AW60" s="1097"/>
      <c r="AX60" s="1097"/>
      <c r="AY60" s="1100"/>
      <c r="AZ60" s="257"/>
      <c r="BA60" s="257"/>
      <c r="BB60" s="1059" t="s">
        <v>162</v>
      </c>
      <c r="BC60" s="1060"/>
      <c r="BD60" s="1075" t="s">
        <v>159</v>
      </c>
      <c r="BE60" s="1075"/>
      <c r="BF60" s="1075"/>
      <c r="BG60" s="1076" t="s">
        <v>159</v>
      </c>
      <c r="BH60" s="1077"/>
      <c r="BI60" s="1077"/>
      <c r="BJ60" s="1078"/>
      <c r="BK60" s="1065" t="s">
        <v>116</v>
      </c>
      <c r="BL60" s="1066"/>
      <c r="BM60" s="1067"/>
      <c r="BN60" s="259"/>
      <c r="BO60" s="259"/>
      <c r="BP60" s="1076"/>
      <c r="BQ60" s="1077"/>
      <c r="BR60" s="1078"/>
      <c r="BS60" s="1075" t="s">
        <v>159</v>
      </c>
      <c r="BT60" s="1075"/>
      <c r="BU60" s="1075"/>
    </row>
    <row r="61" spans="1:73" ht="30" customHeight="1" x14ac:dyDescent="0.25">
      <c r="A61" s="199">
        <f t="shared" si="0"/>
        <v>47</v>
      </c>
      <c r="B61" s="1081" t="s">
        <v>162</v>
      </c>
      <c r="C61" s="1082"/>
      <c r="D61" s="1083" t="s">
        <v>159</v>
      </c>
      <c r="E61" s="1084"/>
      <c r="F61" s="1084"/>
      <c r="G61" s="1085"/>
      <c r="H61" s="1086" t="s">
        <v>159</v>
      </c>
      <c r="I61" s="1087"/>
      <c r="J61" s="1087"/>
      <c r="K61" s="1088"/>
      <c r="L61" s="1089" t="s">
        <v>159</v>
      </c>
      <c r="M61" s="1090"/>
      <c r="N61" s="1091"/>
      <c r="O61" s="1092" t="s">
        <v>159</v>
      </c>
      <c r="P61" s="1093"/>
      <c r="Q61" s="1094"/>
      <c r="R61" s="812"/>
      <c r="S61" s="1095"/>
      <c r="T61" s="813"/>
      <c r="U61" s="812"/>
      <c r="V61" s="1095"/>
      <c r="W61" s="813"/>
      <c r="X61" s="312"/>
      <c r="Y61" s="308"/>
      <c r="Z61" s="312"/>
      <c r="AA61" s="308"/>
      <c r="AB61" s="312"/>
      <c r="AC61" s="308"/>
      <c r="AD61" s="312"/>
      <c r="AE61" s="308"/>
      <c r="AF61" s="312"/>
      <c r="AG61" s="308"/>
      <c r="AH61" s="312"/>
      <c r="AI61" s="308"/>
      <c r="AJ61" s="327"/>
      <c r="AK61" s="330"/>
      <c r="AL61" s="327"/>
      <c r="AM61" s="330"/>
      <c r="AN61" s="327"/>
      <c r="AO61" s="330"/>
      <c r="AP61" s="327"/>
      <c r="AQ61" s="330"/>
      <c r="AR61" s="327"/>
      <c r="AS61" s="1096" t="s">
        <v>159</v>
      </c>
      <c r="AT61" s="1097"/>
      <c r="AU61" s="1097"/>
      <c r="AV61" s="1097"/>
      <c r="AW61" s="1097"/>
      <c r="AX61" s="1097"/>
      <c r="AY61" s="1100"/>
      <c r="AZ61" s="257"/>
      <c r="BA61" s="257"/>
      <c r="BB61" s="1059" t="s">
        <v>162</v>
      </c>
      <c r="BC61" s="1060"/>
      <c r="BD61" s="1075" t="s">
        <v>159</v>
      </c>
      <c r="BE61" s="1075"/>
      <c r="BF61" s="1075"/>
      <c r="BG61" s="1076" t="s">
        <v>159</v>
      </c>
      <c r="BH61" s="1077"/>
      <c r="BI61" s="1077"/>
      <c r="BJ61" s="1078"/>
      <c r="BK61" s="1065" t="s">
        <v>116</v>
      </c>
      <c r="BL61" s="1066"/>
      <c r="BM61" s="1067"/>
      <c r="BN61" s="259"/>
      <c r="BO61" s="259"/>
      <c r="BP61" s="1076"/>
      <c r="BQ61" s="1077"/>
      <c r="BR61" s="1078"/>
      <c r="BS61" s="1075" t="s">
        <v>159</v>
      </c>
      <c r="BT61" s="1075"/>
      <c r="BU61" s="1075"/>
    </row>
    <row r="62" spans="1:73" ht="30" customHeight="1" x14ac:dyDescent="0.25">
      <c r="A62" s="199">
        <f t="shared" si="0"/>
        <v>48</v>
      </c>
      <c r="B62" s="1081" t="s">
        <v>162</v>
      </c>
      <c r="C62" s="1082"/>
      <c r="D62" s="1083" t="s">
        <v>159</v>
      </c>
      <c r="E62" s="1084"/>
      <c r="F62" s="1084"/>
      <c r="G62" s="1085"/>
      <c r="H62" s="1086" t="s">
        <v>159</v>
      </c>
      <c r="I62" s="1087"/>
      <c r="J62" s="1087"/>
      <c r="K62" s="1088"/>
      <c r="L62" s="1089" t="s">
        <v>159</v>
      </c>
      <c r="M62" s="1090"/>
      <c r="N62" s="1091"/>
      <c r="O62" s="1092" t="s">
        <v>159</v>
      </c>
      <c r="P62" s="1093"/>
      <c r="Q62" s="1094"/>
      <c r="R62" s="812"/>
      <c r="S62" s="1095"/>
      <c r="T62" s="813"/>
      <c r="U62" s="812"/>
      <c r="V62" s="1095"/>
      <c r="W62" s="813"/>
      <c r="X62" s="312"/>
      <c r="Y62" s="308"/>
      <c r="Z62" s="312"/>
      <c r="AA62" s="308"/>
      <c r="AB62" s="312"/>
      <c r="AC62" s="308"/>
      <c r="AD62" s="312"/>
      <c r="AE62" s="308"/>
      <c r="AF62" s="312"/>
      <c r="AG62" s="308"/>
      <c r="AH62" s="312"/>
      <c r="AI62" s="308"/>
      <c r="AJ62" s="327"/>
      <c r="AK62" s="330"/>
      <c r="AL62" s="327"/>
      <c r="AM62" s="330"/>
      <c r="AN62" s="327"/>
      <c r="AO62" s="330"/>
      <c r="AP62" s="327"/>
      <c r="AQ62" s="330"/>
      <c r="AR62" s="327"/>
      <c r="AS62" s="1096" t="s">
        <v>159</v>
      </c>
      <c r="AT62" s="1097"/>
      <c r="AU62" s="1097"/>
      <c r="AV62" s="1097"/>
      <c r="AW62" s="1097"/>
      <c r="AX62" s="1097"/>
      <c r="AY62" s="1100"/>
      <c r="AZ62" s="257"/>
      <c r="BA62" s="257"/>
      <c r="BB62" s="1059" t="s">
        <v>162</v>
      </c>
      <c r="BC62" s="1060"/>
      <c r="BD62" s="1075" t="s">
        <v>159</v>
      </c>
      <c r="BE62" s="1075"/>
      <c r="BF62" s="1075"/>
      <c r="BG62" s="1076" t="s">
        <v>159</v>
      </c>
      <c r="BH62" s="1077"/>
      <c r="BI62" s="1077"/>
      <c r="BJ62" s="1078"/>
      <c r="BK62" s="1065" t="s">
        <v>116</v>
      </c>
      <c r="BL62" s="1066"/>
      <c r="BM62" s="1067"/>
      <c r="BN62" s="259"/>
      <c r="BO62" s="259"/>
      <c r="BP62" s="1076"/>
      <c r="BQ62" s="1077"/>
      <c r="BR62" s="1078"/>
      <c r="BS62" s="1075" t="s">
        <v>159</v>
      </c>
      <c r="BT62" s="1075"/>
      <c r="BU62" s="1075"/>
    </row>
    <row r="63" spans="1:73" ht="30" customHeight="1" x14ac:dyDescent="0.25">
      <c r="A63" s="199">
        <f t="shared" si="0"/>
        <v>49</v>
      </c>
      <c r="B63" s="1081" t="s">
        <v>162</v>
      </c>
      <c r="C63" s="1082"/>
      <c r="D63" s="1083" t="s">
        <v>159</v>
      </c>
      <c r="E63" s="1084"/>
      <c r="F63" s="1084"/>
      <c r="G63" s="1085"/>
      <c r="H63" s="1086" t="s">
        <v>159</v>
      </c>
      <c r="I63" s="1087"/>
      <c r="J63" s="1087"/>
      <c r="K63" s="1088"/>
      <c r="L63" s="1089" t="s">
        <v>159</v>
      </c>
      <c r="M63" s="1090"/>
      <c r="N63" s="1091"/>
      <c r="O63" s="1092" t="s">
        <v>159</v>
      </c>
      <c r="P63" s="1093"/>
      <c r="Q63" s="1094"/>
      <c r="R63" s="812"/>
      <c r="S63" s="1095"/>
      <c r="T63" s="813"/>
      <c r="U63" s="812"/>
      <c r="V63" s="1095"/>
      <c r="W63" s="813"/>
      <c r="X63" s="312"/>
      <c r="Y63" s="308"/>
      <c r="Z63" s="312"/>
      <c r="AA63" s="308"/>
      <c r="AB63" s="312"/>
      <c r="AC63" s="308"/>
      <c r="AD63" s="312"/>
      <c r="AE63" s="308"/>
      <c r="AF63" s="312"/>
      <c r="AG63" s="308"/>
      <c r="AH63" s="312"/>
      <c r="AI63" s="308"/>
      <c r="AJ63" s="327"/>
      <c r="AK63" s="330"/>
      <c r="AL63" s="327"/>
      <c r="AM63" s="330"/>
      <c r="AN63" s="327"/>
      <c r="AO63" s="330"/>
      <c r="AP63" s="327"/>
      <c r="AQ63" s="330"/>
      <c r="AR63" s="327"/>
      <c r="AS63" s="1096" t="s">
        <v>159</v>
      </c>
      <c r="AT63" s="1097"/>
      <c r="AU63" s="1097"/>
      <c r="AV63" s="1097"/>
      <c r="AW63" s="1097"/>
      <c r="AX63" s="1097"/>
      <c r="AY63" s="1100"/>
      <c r="AZ63" s="257"/>
      <c r="BA63" s="257"/>
      <c r="BB63" s="1059" t="s">
        <v>162</v>
      </c>
      <c r="BC63" s="1060"/>
      <c r="BD63" s="1075" t="s">
        <v>159</v>
      </c>
      <c r="BE63" s="1075"/>
      <c r="BF63" s="1075"/>
      <c r="BG63" s="1076" t="s">
        <v>159</v>
      </c>
      <c r="BH63" s="1077"/>
      <c r="BI63" s="1077"/>
      <c r="BJ63" s="1078"/>
      <c r="BK63" s="1065" t="s">
        <v>116</v>
      </c>
      <c r="BL63" s="1066"/>
      <c r="BM63" s="1067"/>
      <c r="BN63" s="259"/>
      <c r="BO63" s="259"/>
      <c r="BP63" s="1076"/>
      <c r="BQ63" s="1077"/>
      <c r="BR63" s="1078"/>
      <c r="BS63" s="1075" t="s">
        <v>159</v>
      </c>
      <c r="BT63" s="1075"/>
      <c r="BU63" s="1075"/>
    </row>
    <row r="64" spans="1:73" ht="30" customHeight="1" x14ac:dyDescent="0.25">
      <c r="A64" s="199">
        <f t="shared" si="0"/>
        <v>50</v>
      </c>
      <c r="B64" s="1081" t="s">
        <v>162</v>
      </c>
      <c r="C64" s="1082"/>
      <c r="D64" s="1083" t="s">
        <v>159</v>
      </c>
      <c r="E64" s="1084"/>
      <c r="F64" s="1084"/>
      <c r="G64" s="1085"/>
      <c r="H64" s="1086" t="s">
        <v>159</v>
      </c>
      <c r="I64" s="1087"/>
      <c r="J64" s="1087"/>
      <c r="K64" s="1088"/>
      <c r="L64" s="1089" t="s">
        <v>159</v>
      </c>
      <c r="M64" s="1090"/>
      <c r="N64" s="1091"/>
      <c r="O64" s="1092" t="s">
        <v>159</v>
      </c>
      <c r="P64" s="1093"/>
      <c r="Q64" s="1094"/>
      <c r="R64" s="812"/>
      <c r="S64" s="1095"/>
      <c r="T64" s="813"/>
      <c r="U64" s="812"/>
      <c r="V64" s="1095"/>
      <c r="W64" s="813"/>
      <c r="X64" s="312"/>
      <c r="Y64" s="308"/>
      <c r="Z64" s="312"/>
      <c r="AA64" s="308"/>
      <c r="AB64" s="312"/>
      <c r="AC64" s="308"/>
      <c r="AD64" s="312"/>
      <c r="AE64" s="308"/>
      <c r="AF64" s="312"/>
      <c r="AG64" s="308"/>
      <c r="AH64" s="312"/>
      <c r="AI64" s="308"/>
      <c r="AJ64" s="327"/>
      <c r="AK64" s="330"/>
      <c r="AL64" s="327"/>
      <c r="AM64" s="330"/>
      <c r="AN64" s="327"/>
      <c r="AO64" s="330"/>
      <c r="AP64" s="327"/>
      <c r="AQ64" s="330"/>
      <c r="AR64" s="327"/>
      <c r="AS64" s="1096" t="s">
        <v>159</v>
      </c>
      <c r="AT64" s="1097"/>
      <c r="AU64" s="1097"/>
      <c r="AV64" s="1097"/>
      <c r="AW64" s="1097"/>
      <c r="AX64" s="1097"/>
      <c r="AY64" s="1100"/>
      <c r="AZ64" s="257"/>
      <c r="BA64" s="257"/>
      <c r="BB64" s="1079" t="s">
        <v>162</v>
      </c>
      <c r="BC64" s="1080"/>
      <c r="BD64" s="1075" t="s">
        <v>159</v>
      </c>
      <c r="BE64" s="1075"/>
      <c r="BF64" s="1075"/>
      <c r="BG64" s="1076" t="s">
        <v>159</v>
      </c>
      <c r="BH64" s="1077"/>
      <c r="BI64" s="1077"/>
      <c r="BJ64" s="1078"/>
      <c r="BK64" s="1065" t="s">
        <v>116</v>
      </c>
      <c r="BL64" s="1066"/>
      <c r="BM64" s="1067"/>
      <c r="BN64" s="259"/>
      <c r="BO64" s="259"/>
      <c r="BP64" s="1076"/>
      <c r="BQ64" s="1077"/>
      <c r="BR64" s="1078"/>
      <c r="BS64" s="1075" t="s">
        <v>159</v>
      </c>
      <c r="BT64" s="1075"/>
      <c r="BU64" s="1075"/>
    </row>
    <row r="65" spans="1:73" ht="30" customHeight="1" x14ac:dyDescent="0.25">
      <c r="A65" s="199">
        <f t="shared" si="0"/>
        <v>51</v>
      </c>
      <c r="B65" s="1081" t="s">
        <v>162</v>
      </c>
      <c r="C65" s="1082"/>
      <c r="D65" s="1083" t="s">
        <v>159</v>
      </c>
      <c r="E65" s="1084"/>
      <c r="F65" s="1084"/>
      <c r="G65" s="1085"/>
      <c r="H65" s="1086" t="s">
        <v>159</v>
      </c>
      <c r="I65" s="1087"/>
      <c r="J65" s="1087"/>
      <c r="K65" s="1088"/>
      <c r="L65" s="1089" t="s">
        <v>159</v>
      </c>
      <c r="M65" s="1090"/>
      <c r="N65" s="1091"/>
      <c r="O65" s="1092" t="s">
        <v>159</v>
      </c>
      <c r="P65" s="1093"/>
      <c r="Q65" s="1094"/>
      <c r="R65" s="812"/>
      <c r="S65" s="1095"/>
      <c r="T65" s="813"/>
      <c r="U65" s="745"/>
      <c r="V65" s="940"/>
      <c r="W65" s="746"/>
      <c r="X65" s="312"/>
      <c r="Y65" s="308"/>
      <c r="Z65" s="312"/>
      <c r="AA65" s="308"/>
      <c r="AB65" s="312"/>
      <c r="AC65" s="308"/>
      <c r="AD65" s="312"/>
      <c r="AE65" s="308"/>
      <c r="AF65" s="312"/>
      <c r="AG65" s="308"/>
      <c r="AH65" s="312"/>
      <c r="AI65" s="308"/>
      <c r="AJ65" s="327"/>
      <c r="AK65" s="330"/>
      <c r="AL65" s="327"/>
      <c r="AM65" s="330"/>
      <c r="AN65" s="327"/>
      <c r="AO65" s="330"/>
      <c r="AP65" s="327"/>
      <c r="AQ65" s="330"/>
      <c r="AR65" s="327"/>
      <c r="AS65" s="1096" t="s">
        <v>159</v>
      </c>
      <c r="AT65" s="1097"/>
      <c r="AU65" s="1097"/>
      <c r="AV65" s="1097"/>
      <c r="AW65" s="1097"/>
      <c r="AX65" s="1097"/>
      <c r="AY65" s="1100"/>
      <c r="AZ65" s="257"/>
      <c r="BA65" s="257"/>
      <c r="BB65" s="1059" t="s">
        <v>162</v>
      </c>
      <c r="BC65" s="1060"/>
      <c r="BD65" s="1075" t="s">
        <v>159</v>
      </c>
      <c r="BE65" s="1075"/>
      <c r="BF65" s="1075"/>
      <c r="BG65" s="1076" t="s">
        <v>159</v>
      </c>
      <c r="BH65" s="1077"/>
      <c r="BI65" s="1077"/>
      <c r="BJ65" s="1078"/>
      <c r="BK65" s="1065" t="s">
        <v>116</v>
      </c>
      <c r="BL65" s="1066"/>
      <c r="BM65" s="1067"/>
      <c r="BN65" s="259"/>
      <c r="BO65" s="259"/>
      <c r="BP65" s="1076"/>
      <c r="BQ65" s="1077"/>
      <c r="BR65" s="1078"/>
      <c r="BS65" s="1075" t="s">
        <v>159</v>
      </c>
      <c r="BT65" s="1075"/>
      <c r="BU65" s="1075"/>
    </row>
    <row r="66" spans="1:73" ht="30" customHeight="1" x14ac:dyDescent="0.25">
      <c r="A66" s="199">
        <f t="shared" si="0"/>
        <v>52</v>
      </c>
      <c r="B66" s="1081" t="s">
        <v>162</v>
      </c>
      <c r="C66" s="1082"/>
      <c r="D66" s="1083" t="s">
        <v>159</v>
      </c>
      <c r="E66" s="1084"/>
      <c r="F66" s="1084"/>
      <c r="G66" s="1085"/>
      <c r="H66" s="1086" t="s">
        <v>159</v>
      </c>
      <c r="I66" s="1087"/>
      <c r="J66" s="1087"/>
      <c r="K66" s="1088"/>
      <c r="L66" s="1089" t="s">
        <v>159</v>
      </c>
      <c r="M66" s="1090"/>
      <c r="N66" s="1091"/>
      <c r="O66" s="1092" t="s">
        <v>159</v>
      </c>
      <c r="P66" s="1093"/>
      <c r="Q66" s="1094"/>
      <c r="R66" s="812"/>
      <c r="S66" s="1095"/>
      <c r="T66" s="813"/>
      <c r="U66" s="745"/>
      <c r="V66" s="940"/>
      <c r="W66" s="746"/>
      <c r="X66" s="312"/>
      <c r="Y66" s="308"/>
      <c r="Z66" s="312"/>
      <c r="AA66" s="308"/>
      <c r="AB66" s="312"/>
      <c r="AC66" s="308"/>
      <c r="AD66" s="312"/>
      <c r="AE66" s="308"/>
      <c r="AF66" s="312"/>
      <c r="AG66" s="308"/>
      <c r="AH66" s="312"/>
      <c r="AI66" s="308"/>
      <c r="AJ66" s="327"/>
      <c r="AK66" s="330"/>
      <c r="AL66" s="327"/>
      <c r="AM66" s="330"/>
      <c r="AN66" s="327"/>
      <c r="AO66" s="330"/>
      <c r="AP66" s="327"/>
      <c r="AQ66" s="330"/>
      <c r="AR66" s="327"/>
      <c r="AS66" s="1096" t="s">
        <v>159</v>
      </c>
      <c r="AT66" s="1097"/>
      <c r="AU66" s="1097"/>
      <c r="AV66" s="1097"/>
      <c r="AW66" s="1097"/>
      <c r="AX66" s="1097"/>
      <c r="AY66" s="1100"/>
      <c r="AZ66" s="257"/>
      <c r="BA66" s="257"/>
      <c r="BB66" s="1059" t="s">
        <v>162</v>
      </c>
      <c r="BC66" s="1060"/>
      <c r="BD66" s="1075" t="s">
        <v>159</v>
      </c>
      <c r="BE66" s="1075"/>
      <c r="BF66" s="1075"/>
      <c r="BG66" s="1076" t="s">
        <v>159</v>
      </c>
      <c r="BH66" s="1077"/>
      <c r="BI66" s="1077"/>
      <c r="BJ66" s="1078"/>
      <c r="BK66" s="1065" t="s">
        <v>116</v>
      </c>
      <c r="BL66" s="1066"/>
      <c r="BM66" s="1067"/>
      <c r="BN66" s="259"/>
      <c r="BO66" s="259"/>
      <c r="BP66" s="1076"/>
      <c r="BQ66" s="1077"/>
      <c r="BR66" s="1078"/>
      <c r="BS66" s="1075" t="s">
        <v>159</v>
      </c>
      <c r="BT66" s="1075"/>
      <c r="BU66" s="1075"/>
    </row>
    <row r="67" spans="1:73" ht="30" customHeight="1" x14ac:dyDescent="0.25">
      <c r="A67" s="199">
        <f t="shared" si="0"/>
        <v>53</v>
      </c>
      <c r="B67" s="1081" t="s">
        <v>162</v>
      </c>
      <c r="C67" s="1082"/>
      <c r="D67" s="1083" t="s">
        <v>159</v>
      </c>
      <c r="E67" s="1084"/>
      <c r="F67" s="1084"/>
      <c r="G67" s="1085"/>
      <c r="H67" s="1086" t="s">
        <v>159</v>
      </c>
      <c r="I67" s="1087"/>
      <c r="J67" s="1087"/>
      <c r="K67" s="1088"/>
      <c r="L67" s="1089" t="s">
        <v>159</v>
      </c>
      <c r="M67" s="1090"/>
      <c r="N67" s="1091"/>
      <c r="O67" s="1092" t="s">
        <v>159</v>
      </c>
      <c r="P67" s="1093"/>
      <c r="Q67" s="1094"/>
      <c r="R67" s="812"/>
      <c r="S67" s="1095"/>
      <c r="T67" s="813"/>
      <c r="U67" s="745"/>
      <c r="V67" s="940"/>
      <c r="W67" s="746"/>
      <c r="X67" s="312"/>
      <c r="Y67" s="308"/>
      <c r="Z67" s="312"/>
      <c r="AA67" s="308"/>
      <c r="AB67" s="312"/>
      <c r="AC67" s="308"/>
      <c r="AD67" s="312"/>
      <c r="AE67" s="308"/>
      <c r="AF67" s="312"/>
      <c r="AG67" s="308"/>
      <c r="AH67" s="312"/>
      <c r="AI67" s="308"/>
      <c r="AJ67" s="327"/>
      <c r="AK67" s="330"/>
      <c r="AL67" s="327"/>
      <c r="AM67" s="330"/>
      <c r="AN67" s="327"/>
      <c r="AO67" s="330"/>
      <c r="AP67" s="327"/>
      <c r="AQ67" s="330"/>
      <c r="AR67" s="327"/>
      <c r="AS67" s="1096" t="s">
        <v>159</v>
      </c>
      <c r="AT67" s="1097"/>
      <c r="AU67" s="1097"/>
      <c r="AV67" s="1097"/>
      <c r="AW67" s="1097"/>
      <c r="AX67" s="1097"/>
      <c r="AY67" s="1100"/>
      <c r="AZ67" s="257"/>
      <c r="BA67" s="257"/>
      <c r="BB67" s="1059" t="s">
        <v>162</v>
      </c>
      <c r="BC67" s="1060"/>
      <c r="BD67" s="1075" t="s">
        <v>159</v>
      </c>
      <c r="BE67" s="1075"/>
      <c r="BF67" s="1075"/>
      <c r="BG67" s="1076" t="s">
        <v>159</v>
      </c>
      <c r="BH67" s="1077"/>
      <c r="BI67" s="1077"/>
      <c r="BJ67" s="1078"/>
      <c r="BK67" s="1065" t="s">
        <v>116</v>
      </c>
      <c r="BL67" s="1066"/>
      <c r="BM67" s="1067"/>
      <c r="BN67" s="259"/>
      <c r="BO67" s="259"/>
      <c r="BP67" s="1076"/>
      <c r="BQ67" s="1077"/>
      <c r="BR67" s="1078"/>
      <c r="BS67" s="1075" t="s">
        <v>159</v>
      </c>
      <c r="BT67" s="1075"/>
      <c r="BU67" s="1075"/>
    </row>
    <row r="68" spans="1:73" ht="30" customHeight="1" x14ac:dyDescent="0.25">
      <c r="A68" s="199">
        <f t="shared" si="0"/>
        <v>54</v>
      </c>
      <c r="B68" s="1081" t="s">
        <v>162</v>
      </c>
      <c r="C68" s="1082"/>
      <c r="D68" s="1083" t="s">
        <v>159</v>
      </c>
      <c r="E68" s="1084"/>
      <c r="F68" s="1084"/>
      <c r="G68" s="1085"/>
      <c r="H68" s="1086" t="s">
        <v>159</v>
      </c>
      <c r="I68" s="1087"/>
      <c r="J68" s="1087"/>
      <c r="K68" s="1088"/>
      <c r="L68" s="1089" t="s">
        <v>159</v>
      </c>
      <c r="M68" s="1090"/>
      <c r="N68" s="1091"/>
      <c r="O68" s="1092" t="s">
        <v>159</v>
      </c>
      <c r="P68" s="1093"/>
      <c r="Q68" s="1094"/>
      <c r="R68" s="812"/>
      <c r="S68" s="1095"/>
      <c r="T68" s="813"/>
      <c r="U68" s="745"/>
      <c r="V68" s="940"/>
      <c r="W68" s="746"/>
      <c r="X68" s="312"/>
      <c r="Y68" s="308"/>
      <c r="Z68" s="312"/>
      <c r="AA68" s="308"/>
      <c r="AB68" s="312"/>
      <c r="AC68" s="308"/>
      <c r="AD68" s="312"/>
      <c r="AE68" s="308"/>
      <c r="AF68" s="312"/>
      <c r="AG68" s="308"/>
      <c r="AH68" s="312"/>
      <c r="AI68" s="308"/>
      <c r="AJ68" s="327"/>
      <c r="AK68" s="330"/>
      <c r="AL68" s="327"/>
      <c r="AM68" s="330"/>
      <c r="AN68" s="327"/>
      <c r="AO68" s="330"/>
      <c r="AP68" s="327"/>
      <c r="AQ68" s="330"/>
      <c r="AR68" s="327"/>
      <c r="AS68" s="1096" t="s">
        <v>159</v>
      </c>
      <c r="AT68" s="1097"/>
      <c r="AU68" s="1097"/>
      <c r="AV68" s="1097"/>
      <c r="AW68" s="1097"/>
      <c r="AX68" s="1097"/>
      <c r="AY68" s="1100"/>
      <c r="AZ68" s="257"/>
      <c r="BA68" s="257"/>
      <c r="BB68" s="1059" t="s">
        <v>162</v>
      </c>
      <c r="BC68" s="1060"/>
      <c r="BD68" s="1075" t="s">
        <v>159</v>
      </c>
      <c r="BE68" s="1075"/>
      <c r="BF68" s="1075"/>
      <c r="BG68" s="1076" t="s">
        <v>159</v>
      </c>
      <c r="BH68" s="1077"/>
      <c r="BI68" s="1077"/>
      <c r="BJ68" s="1078"/>
      <c r="BK68" s="1065" t="s">
        <v>116</v>
      </c>
      <c r="BL68" s="1066"/>
      <c r="BM68" s="1067"/>
      <c r="BN68" s="259"/>
      <c r="BO68" s="259"/>
      <c r="BP68" s="1076"/>
      <c r="BQ68" s="1077"/>
      <c r="BR68" s="1078"/>
      <c r="BS68" s="1075" t="s">
        <v>159</v>
      </c>
      <c r="BT68" s="1075"/>
      <c r="BU68" s="1075"/>
    </row>
    <row r="69" spans="1:73" ht="30" customHeight="1" x14ac:dyDescent="0.25">
      <c r="A69" s="199">
        <f t="shared" si="0"/>
        <v>55</v>
      </c>
      <c r="B69" s="1081" t="s">
        <v>162</v>
      </c>
      <c r="C69" s="1082"/>
      <c r="D69" s="1083" t="s">
        <v>159</v>
      </c>
      <c r="E69" s="1084"/>
      <c r="F69" s="1084"/>
      <c r="G69" s="1085"/>
      <c r="H69" s="1086" t="s">
        <v>159</v>
      </c>
      <c r="I69" s="1087"/>
      <c r="J69" s="1087"/>
      <c r="K69" s="1088"/>
      <c r="L69" s="1089" t="s">
        <v>159</v>
      </c>
      <c r="M69" s="1090"/>
      <c r="N69" s="1091"/>
      <c r="O69" s="1092" t="s">
        <v>159</v>
      </c>
      <c r="P69" s="1093"/>
      <c r="Q69" s="1094"/>
      <c r="R69" s="812"/>
      <c r="S69" s="1095"/>
      <c r="T69" s="813"/>
      <c r="U69" s="745"/>
      <c r="V69" s="940"/>
      <c r="W69" s="746"/>
      <c r="X69" s="312"/>
      <c r="Y69" s="308"/>
      <c r="Z69" s="312"/>
      <c r="AA69" s="308"/>
      <c r="AB69" s="312"/>
      <c r="AC69" s="308"/>
      <c r="AD69" s="312"/>
      <c r="AE69" s="308"/>
      <c r="AF69" s="312"/>
      <c r="AG69" s="308"/>
      <c r="AH69" s="312"/>
      <c r="AI69" s="308"/>
      <c r="AJ69" s="327"/>
      <c r="AK69" s="330"/>
      <c r="AL69" s="327"/>
      <c r="AM69" s="330"/>
      <c r="AN69" s="327"/>
      <c r="AO69" s="330"/>
      <c r="AP69" s="327"/>
      <c r="AQ69" s="330"/>
      <c r="AR69" s="327"/>
      <c r="AS69" s="1096" t="s">
        <v>159</v>
      </c>
      <c r="AT69" s="1097"/>
      <c r="AU69" s="1097"/>
      <c r="AV69" s="1097"/>
      <c r="AW69" s="1097"/>
      <c r="AX69" s="1097"/>
      <c r="AY69" s="1100"/>
      <c r="AZ69" s="257"/>
      <c r="BA69" s="257"/>
      <c r="BB69" s="1059" t="s">
        <v>162</v>
      </c>
      <c r="BC69" s="1060"/>
      <c r="BD69" s="1075" t="s">
        <v>159</v>
      </c>
      <c r="BE69" s="1075"/>
      <c r="BF69" s="1075"/>
      <c r="BG69" s="1076" t="s">
        <v>159</v>
      </c>
      <c r="BH69" s="1077"/>
      <c r="BI69" s="1077"/>
      <c r="BJ69" s="1078"/>
      <c r="BK69" s="1065" t="s">
        <v>116</v>
      </c>
      <c r="BL69" s="1066"/>
      <c r="BM69" s="1067"/>
      <c r="BN69" s="259"/>
      <c r="BO69" s="259"/>
      <c r="BP69" s="1076"/>
      <c r="BQ69" s="1077"/>
      <c r="BR69" s="1078"/>
      <c r="BS69" s="1075" t="s">
        <v>159</v>
      </c>
      <c r="BT69" s="1075"/>
      <c r="BU69" s="1075"/>
    </row>
    <row r="70" spans="1:73" ht="30" customHeight="1" x14ac:dyDescent="0.25">
      <c r="A70" s="199">
        <f t="shared" si="0"/>
        <v>56</v>
      </c>
      <c r="B70" s="1081" t="s">
        <v>162</v>
      </c>
      <c r="C70" s="1082"/>
      <c r="D70" s="1083" t="s">
        <v>159</v>
      </c>
      <c r="E70" s="1084"/>
      <c r="F70" s="1084"/>
      <c r="G70" s="1085"/>
      <c r="H70" s="1086" t="s">
        <v>159</v>
      </c>
      <c r="I70" s="1087"/>
      <c r="J70" s="1087"/>
      <c r="K70" s="1088"/>
      <c r="L70" s="1089" t="s">
        <v>159</v>
      </c>
      <c r="M70" s="1090"/>
      <c r="N70" s="1091"/>
      <c r="O70" s="1092" t="s">
        <v>159</v>
      </c>
      <c r="P70" s="1093"/>
      <c r="Q70" s="1094"/>
      <c r="R70" s="812"/>
      <c r="S70" s="1095"/>
      <c r="T70" s="813"/>
      <c r="U70" s="745"/>
      <c r="V70" s="940"/>
      <c r="W70" s="746"/>
      <c r="X70" s="312"/>
      <c r="Y70" s="308"/>
      <c r="Z70" s="312"/>
      <c r="AA70" s="308"/>
      <c r="AB70" s="312"/>
      <c r="AC70" s="308"/>
      <c r="AD70" s="312"/>
      <c r="AE70" s="308"/>
      <c r="AF70" s="312"/>
      <c r="AG70" s="308"/>
      <c r="AH70" s="312"/>
      <c r="AI70" s="308"/>
      <c r="AJ70" s="327"/>
      <c r="AK70" s="330"/>
      <c r="AL70" s="327"/>
      <c r="AM70" s="330"/>
      <c r="AN70" s="327"/>
      <c r="AO70" s="330"/>
      <c r="AP70" s="327"/>
      <c r="AQ70" s="330"/>
      <c r="AR70" s="327"/>
      <c r="AS70" s="1096" t="s">
        <v>159</v>
      </c>
      <c r="AT70" s="1097"/>
      <c r="AU70" s="1097"/>
      <c r="AV70" s="1097"/>
      <c r="AW70" s="1097"/>
      <c r="AX70" s="1097"/>
      <c r="AY70" s="1100"/>
      <c r="AZ70" s="257"/>
      <c r="BA70" s="257"/>
      <c r="BB70" s="1059" t="s">
        <v>162</v>
      </c>
      <c r="BC70" s="1060"/>
      <c r="BD70" s="1075" t="s">
        <v>159</v>
      </c>
      <c r="BE70" s="1075"/>
      <c r="BF70" s="1075"/>
      <c r="BG70" s="1076" t="s">
        <v>159</v>
      </c>
      <c r="BH70" s="1077"/>
      <c r="BI70" s="1077"/>
      <c r="BJ70" s="1078"/>
      <c r="BK70" s="1065" t="s">
        <v>116</v>
      </c>
      <c r="BL70" s="1066"/>
      <c r="BM70" s="1067"/>
      <c r="BN70" s="259"/>
      <c r="BO70" s="259"/>
      <c r="BP70" s="1076"/>
      <c r="BQ70" s="1077"/>
      <c r="BR70" s="1078"/>
      <c r="BS70" s="1075" t="s">
        <v>159</v>
      </c>
      <c r="BT70" s="1075"/>
      <c r="BU70" s="1075"/>
    </row>
    <row r="71" spans="1:73" ht="30" customHeight="1" x14ac:dyDescent="0.25">
      <c r="A71" s="199">
        <f t="shared" si="0"/>
        <v>57</v>
      </c>
      <c r="B71" s="1081" t="s">
        <v>162</v>
      </c>
      <c r="C71" s="1082"/>
      <c r="D71" s="1083" t="s">
        <v>159</v>
      </c>
      <c r="E71" s="1084"/>
      <c r="F71" s="1084"/>
      <c r="G71" s="1085"/>
      <c r="H71" s="1086" t="s">
        <v>159</v>
      </c>
      <c r="I71" s="1087"/>
      <c r="J71" s="1087"/>
      <c r="K71" s="1088"/>
      <c r="L71" s="1089" t="s">
        <v>159</v>
      </c>
      <c r="M71" s="1090"/>
      <c r="N71" s="1091"/>
      <c r="O71" s="1092" t="s">
        <v>159</v>
      </c>
      <c r="P71" s="1093"/>
      <c r="Q71" s="1094"/>
      <c r="R71" s="812"/>
      <c r="S71" s="1095"/>
      <c r="T71" s="813"/>
      <c r="U71" s="745"/>
      <c r="V71" s="940"/>
      <c r="W71" s="746"/>
      <c r="X71" s="312"/>
      <c r="Y71" s="308"/>
      <c r="Z71" s="312"/>
      <c r="AA71" s="308"/>
      <c r="AB71" s="312"/>
      <c r="AC71" s="308"/>
      <c r="AD71" s="312"/>
      <c r="AE71" s="308"/>
      <c r="AF71" s="312"/>
      <c r="AG71" s="308"/>
      <c r="AH71" s="312"/>
      <c r="AI71" s="308"/>
      <c r="AJ71" s="327"/>
      <c r="AK71" s="330"/>
      <c r="AL71" s="327"/>
      <c r="AM71" s="330"/>
      <c r="AN71" s="327"/>
      <c r="AO71" s="330"/>
      <c r="AP71" s="327"/>
      <c r="AQ71" s="330"/>
      <c r="AR71" s="327"/>
      <c r="AS71" s="1096" t="s">
        <v>159</v>
      </c>
      <c r="AT71" s="1097"/>
      <c r="AU71" s="1097"/>
      <c r="AV71" s="1097"/>
      <c r="AW71" s="1097"/>
      <c r="AX71" s="1097"/>
      <c r="AY71" s="1100"/>
      <c r="AZ71" s="257"/>
      <c r="BA71" s="257"/>
      <c r="BB71" s="1079" t="s">
        <v>162</v>
      </c>
      <c r="BC71" s="1080"/>
      <c r="BD71" s="1075" t="s">
        <v>159</v>
      </c>
      <c r="BE71" s="1075"/>
      <c r="BF71" s="1075"/>
      <c r="BG71" s="1076" t="s">
        <v>159</v>
      </c>
      <c r="BH71" s="1077"/>
      <c r="BI71" s="1077"/>
      <c r="BJ71" s="1078"/>
      <c r="BK71" s="1065" t="s">
        <v>116</v>
      </c>
      <c r="BL71" s="1066"/>
      <c r="BM71" s="1067"/>
      <c r="BN71" s="259"/>
      <c r="BO71" s="259"/>
      <c r="BP71" s="1076"/>
      <c r="BQ71" s="1077"/>
      <c r="BR71" s="1078"/>
      <c r="BS71" s="1075" t="s">
        <v>159</v>
      </c>
      <c r="BT71" s="1075"/>
      <c r="BU71" s="1075"/>
    </row>
    <row r="72" spans="1:73" ht="30" customHeight="1" x14ac:dyDescent="0.25">
      <c r="A72" s="199">
        <f t="shared" si="0"/>
        <v>58</v>
      </c>
      <c r="B72" s="1081" t="s">
        <v>162</v>
      </c>
      <c r="C72" s="1082"/>
      <c r="D72" s="1083" t="s">
        <v>159</v>
      </c>
      <c r="E72" s="1084"/>
      <c r="F72" s="1084"/>
      <c r="G72" s="1085"/>
      <c r="H72" s="1086" t="s">
        <v>159</v>
      </c>
      <c r="I72" s="1087"/>
      <c r="J72" s="1087"/>
      <c r="K72" s="1088"/>
      <c r="L72" s="1089" t="s">
        <v>159</v>
      </c>
      <c r="M72" s="1090"/>
      <c r="N72" s="1091"/>
      <c r="O72" s="1092" t="s">
        <v>159</v>
      </c>
      <c r="P72" s="1093"/>
      <c r="Q72" s="1094"/>
      <c r="R72" s="812"/>
      <c r="S72" s="1095"/>
      <c r="T72" s="813"/>
      <c r="U72" s="745"/>
      <c r="V72" s="940"/>
      <c r="W72" s="746"/>
      <c r="X72" s="312"/>
      <c r="Y72" s="308"/>
      <c r="Z72" s="312"/>
      <c r="AA72" s="308"/>
      <c r="AB72" s="312"/>
      <c r="AC72" s="308"/>
      <c r="AD72" s="312"/>
      <c r="AE72" s="308"/>
      <c r="AF72" s="312"/>
      <c r="AG72" s="308"/>
      <c r="AH72" s="312"/>
      <c r="AI72" s="308"/>
      <c r="AJ72" s="327"/>
      <c r="AK72" s="330"/>
      <c r="AL72" s="327"/>
      <c r="AM72" s="330"/>
      <c r="AN72" s="327"/>
      <c r="AO72" s="330"/>
      <c r="AP72" s="327"/>
      <c r="AQ72" s="330"/>
      <c r="AR72" s="327"/>
      <c r="AS72" s="1096" t="s">
        <v>159</v>
      </c>
      <c r="AT72" s="1097"/>
      <c r="AU72" s="1097"/>
      <c r="AV72" s="1097"/>
      <c r="AW72" s="1097"/>
      <c r="AX72" s="1097"/>
      <c r="AY72" s="1100"/>
      <c r="AZ72" s="257"/>
      <c r="BA72" s="257"/>
      <c r="BB72" s="1059" t="s">
        <v>162</v>
      </c>
      <c r="BC72" s="1060"/>
      <c r="BD72" s="1075" t="s">
        <v>159</v>
      </c>
      <c r="BE72" s="1075"/>
      <c r="BF72" s="1075"/>
      <c r="BG72" s="1076" t="s">
        <v>159</v>
      </c>
      <c r="BH72" s="1077"/>
      <c r="BI72" s="1077"/>
      <c r="BJ72" s="1078"/>
      <c r="BK72" s="1065" t="s">
        <v>116</v>
      </c>
      <c r="BL72" s="1066"/>
      <c r="BM72" s="1067"/>
      <c r="BN72" s="259"/>
      <c r="BO72" s="259"/>
      <c r="BP72" s="1076"/>
      <c r="BQ72" s="1077"/>
      <c r="BR72" s="1078"/>
      <c r="BS72" s="1075" t="s">
        <v>159</v>
      </c>
      <c r="BT72" s="1075"/>
      <c r="BU72" s="1075"/>
    </row>
    <row r="73" spans="1:73" ht="30" customHeight="1" x14ac:dyDescent="0.25">
      <c r="A73" s="199">
        <f t="shared" si="0"/>
        <v>59</v>
      </c>
      <c r="B73" s="1081" t="s">
        <v>162</v>
      </c>
      <c r="C73" s="1082"/>
      <c r="D73" s="1083" t="s">
        <v>159</v>
      </c>
      <c r="E73" s="1084"/>
      <c r="F73" s="1084"/>
      <c r="G73" s="1085"/>
      <c r="H73" s="1086" t="s">
        <v>159</v>
      </c>
      <c r="I73" s="1087"/>
      <c r="J73" s="1087"/>
      <c r="K73" s="1088"/>
      <c r="L73" s="1089" t="s">
        <v>159</v>
      </c>
      <c r="M73" s="1090"/>
      <c r="N73" s="1091"/>
      <c r="O73" s="1092" t="s">
        <v>159</v>
      </c>
      <c r="P73" s="1093"/>
      <c r="Q73" s="1094"/>
      <c r="R73" s="812"/>
      <c r="S73" s="1095"/>
      <c r="T73" s="813"/>
      <c r="U73" s="745"/>
      <c r="V73" s="940"/>
      <c r="W73" s="746"/>
      <c r="X73" s="312"/>
      <c r="Y73" s="308"/>
      <c r="Z73" s="312"/>
      <c r="AA73" s="308"/>
      <c r="AB73" s="312"/>
      <c r="AC73" s="308"/>
      <c r="AD73" s="312"/>
      <c r="AE73" s="308"/>
      <c r="AF73" s="312"/>
      <c r="AG73" s="308"/>
      <c r="AH73" s="312"/>
      <c r="AI73" s="308"/>
      <c r="AJ73" s="327"/>
      <c r="AK73" s="330"/>
      <c r="AL73" s="327"/>
      <c r="AM73" s="330"/>
      <c r="AN73" s="327"/>
      <c r="AO73" s="330"/>
      <c r="AP73" s="327"/>
      <c r="AQ73" s="330"/>
      <c r="AR73" s="327"/>
      <c r="AS73" s="1096" t="s">
        <v>159</v>
      </c>
      <c r="AT73" s="1097"/>
      <c r="AU73" s="1097"/>
      <c r="AV73" s="1097"/>
      <c r="AW73" s="1097"/>
      <c r="AX73" s="1097"/>
      <c r="AY73" s="1100"/>
      <c r="AZ73" s="257"/>
      <c r="BA73" s="257"/>
      <c r="BB73" s="1059" t="s">
        <v>162</v>
      </c>
      <c r="BC73" s="1060"/>
      <c r="BD73" s="1075" t="s">
        <v>159</v>
      </c>
      <c r="BE73" s="1075"/>
      <c r="BF73" s="1075"/>
      <c r="BG73" s="1076" t="s">
        <v>159</v>
      </c>
      <c r="BH73" s="1077"/>
      <c r="BI73" s="1077"/>
      <c r="BJ73" s="1078"/>
      <c r="BK73" s="1065" t="s">
        <v>116</v>
      </c>
      <c r="BL73" s="1066"/>
      <c r="BM73" s="1067"/>
      <c r="BN73" s="259"/>
      <c r="BO73" s="259"/>
      <c r="BP73" s="1076"/>
      <c r="BQ73" s="1077"/>
      <c r="BR73" s="1078"/>
      <c r="BS73" s="1075" t="s">
        <v>159</v>
      </c>
      <c r="BT73" s="1075"/>
      <c r="BU73" s="1075"/>
    </row>
    <row r="74" spans="1:73" ht="30" customHeight="1" x14ac:dyDescent="0.25">
      <c r="A74" s="199">
        <f t="shared" si="0"/>
        <v>60</v>
      </c>
      <c r="B74" s="1081" t="s">
        <v>162</v>
      </c>
      <c r="C74" s="1082"/>
      <c r="D74" s="1083" t="s">
        <v>159</v>
      </c>
      <c r="E74" s="1084"/>
      <c r="F74" s="1084"/>
      <c r="G74" s="1085"/>
      <c r="H74" s="1086" t="s">
        <v>159</v>
      </c>
      <c r="I74" s="1087"/>
      <c r="J74" s="1087"/>
      <c r="K74" s="1088"/>
      <c r="L74" s="1089" t="s">
        <v>159</v>
      </c>
      <c r="M74" s="1090"/>
      <c r="N74" s="1091"/>
      <c r="O74" s="1092" t="s">
        <v>159</v>
      </c>
      <c r="P74" s="1093"/>
      <c r="Q74" s="1094"/>
      <c r="R74" s="812"/>
      <c r="S74" s="1095"/>
      <c r="T74" s="813"/>
      <c r="U74" s="745"/>
      <c r="V74" s="940"/>
      <c r="W74" s="746"/>
      <c r="X74" s="312"/>
      <c r="Y74" s="308"/>
      <c r="Z74" s="312"/>
      <c r="AA74" s="308"/>
      <c r="AB74" s="312"/>
      <c r="AC74" s="308"/>
      <c r="AD74" s="312"/>
      <c r="AE74" s="308"/>
      <c r="AF74" s="312"/>
      <c r="AG74" s="308"/>
      <c r="AH74" s="312"/>
      <c r="AI74" s="308"/>
      <c r="AJ74" s="327"/>
      <c r="AK74" s="330"/>
      <c r="AL74" s="327"/>
      <c r="AM74" s="330"/>
      <c r="AN74" s="327"/>
      <c r="AO74" s="330"/>
      <c r="AP74" s="327"/>
      <c r="AQ74" s="330"/>
      <c r="AR74" s="327"/>
      <c r="AS74" s="1096" t="s">
        <v>159</v>
      </c>
      <c r="AT74" s="1097"/>
      <c r="AU74" s="1097"/>
      <c r="AV74" s="1097"/>
      <c r="AW74" s="1097"/>
      <c r="AX74" s="1097"/>
      <c r="AY74" s="1100"/>
      <c r="AZ74" s="257"/>
      <c r="BA74" s="257"/>
      <c r="BB74" s="1059" t="s">
        <v>162</v>
      </c>
      <c r="BC74" s="1060"/>
      <c r="BD74" s="1075" t="s">
        <v>159</v>
      </c>
      <c r="BE74" s="1075"/>
      <c r="BF74" s="1075"/>
      <c r="BG74" s="1076" t="s">
        <v>159</v>
      </c>
      <c r="BH74" s="1077"/>
      <c r="BI74" s="1077"/>
      <c r="BJ74" s="1078"/>
      <c r="BK74" s="1065" t="s">
        <v>116</v>
      </c>
      <c r="BL74" s="1066"/>
      <c r="BM74" s="1067"/>
      <c r="BN74" s="259"/>
      <c r="BO74" s="259"/>
      <c r="BP74" s="1076"/>
      <c r="BQ74" s="1077"/>
      <c r="BR74" s="1078"/>
      <c r="BS74" s="1075" t="s">
        <v>159</v>
      </c>
      <c r="BT74" s="1075"/>
      <c r="BU74" s="1075"/>
    </row>
    <row r="75" spans="1:73" ht="30" customHeight="1" x14ac:dyDescent="0.25">
      <c r="A75" s="199">
        <f t="shared" si="0"/>
        <v>61</v>
      </c>
      <c r="B75" s="1081" t="s">
        <v>162</v>
      </c>
      <c r="C75" s="1082"/>
      <c r="D75" s="1083" t="s">
        <v>159</v>
      </c>
      <c r="E75" s="1084"/>
      <c r="F75" s="1084"/>
      <c r="G75" s="1085"/>
      <c r="H75" s="1086" t="s">
        <v>159</v>
      </c>
      <c r="I75" s="1087"/>
      <c r="J75" s="1087"/>
      <c r="K75" s="1088"/>
      <c r="L75" s="1089" t="s">
        <v>159</v>
      </c>
      <c r="M75" s="1090"/>
      <c r="N75" s="1091"/>
      <c r="O75" s="1092" t="s">
        <v>159</v>
      </c>
      <c r="P75" s="1093"/>
      <c r="Q75" s="1094"/>
      <c r="R75" s="812"/>
      <c r="S75" s="1095"/>
      <c r="T75" s="813"/>
      <c r="U75" s="745"/>
      <c r="V75" s="940"/>
      <c r="W75" s="746"/>
      <c r="X75" s="312"/>
      <c r="Y75" s="308"/>
      <c r="Z75" s="312"/>
      <c r="AA75" s="308"/>
      <c r="AB75" s="312"/>
      <c r="AC75" s="308"/>
      <c r="AD75" s="312"/>
      <c r="AE75" s="308"/>
      <c r="AF75" s="312"/>
      <c r="AG75" s="308"/>
      <c r="AH75" s="312"/>
      <c r="AI75" s="308"/>
      <c r="AJ75" s="327"/>
      <c r="AK75" s="330"/>
      <c r="AL75" s="327"/>
      <c r="AM75" s="330"/>
      <c r="AN75" s="327"/>
      <c r="AO75" s="330"/>
      <c r="AP75" s="327"/>
      <c r="AQ75" s="330"/>
      <c r="AR75" s="327"/>
      <c r="AS75" s="1096" t="s">
        <v>159</v>
      </c>
      <c r="AT75" s="1097"/>
      <c r="AU75" s="1097"/>
      <c r="AV75" s="1097"/>
      <c r="AW75" s="1097"/>
      <c r="AX75" s="1097"/>
      <c r="AY75" s="1100"/>
      <c r="AZ75" s="257"/>
      <c r="BA75" s="257"/>
      <c r="BB75" s="1059" t="s">
        <v>162</v>
      </c>
      <c r="BC75" s="1060"/>
      <c r="BD75" s="1075" t="s">
        <v>159</v>
      </c>
      <c r="BE75" s="1075"/>
      <c r="BF75" s="1075"/>
      <c r="BG75" s="1076" t="s">
        <v>159</v>
      </c>
      <c r="BH75" s="1077"/>
      <c r="BI75" s="1077"/>
      <c r="BJ75" s="1078"/>
      <c r="BK75" s="1065" t="s">
        <v>116</v>
      </c>
      <c r="BL75" s="1066"/>
      <c r="BM75" s="1067"/>
      <c r="BN75" s="259"/>
      <c r="BO75" s="259"/>
      <c r="BP75" s="1076"/>
      <c r="BQ75" s="1077"/>
      <c r="BR75" s="1078"/>
      <c r="BS75" s="1075" t="s">
        <v>159</v>
      </c>
      <c r="BT75" s="1075"/>
      <c r="BU75" s="1075"/>
    </row>
    <row r="76" spans="1:73" ht="30" customHeight="1" x14ac:dyDescent="0.25">
      <c r="A76" s="199">
        <f t="shared" si="0"/>
        <v>62</v>
      </c>
      <c r="B76" s="1081" t="s">
        <v>162</v>
      </c>
      <c r="C76" s="1082"/>
      <c r="D76" s="1083" t="s">
        <v>159</v>
      </c>
      <c r="E76" s="1084"/>
      <c r="F76" s="1084"/>
      <c r="G76" s="1085"/>
      <c r="H76" s="1086" t="s">
        <v>159</v>
      </c>
      <c r="I76" s="1087"/>
      <c r="J76" s="1087"/>
      <c r="K76" s="1088"/>
      <c r="L76" s="1089" t="s">
        <v>159</v>
      </c>
      <c r="M76" s="1090"/>
      <c r="N76" s="1091"/>
      <c r="O76" s="1092" t="s">
        <v>159</v>
      </c>
      <c r="P76" s="1093"/>
      <c r="Q76" s="1094"/>
      <c r="R76" s="812"/>
      <c r="S76" s="1095"/>
      <c r="T76" s="813"/>
      <c r="U76" s="745"/>
      <c r="V76" s="940"/>
      <c r="W76" s="746"/>
      <c r="X76" s="312"/>
      <c r="Y76" s="308"/>
      <c r="Z76" s="312"/>
      <c r="AA76" s="308"/>
      <c r="AB76" s="312"/>
      <c r="AC76" s="308"/>
      <c r="AD76" s="312"/>
      <c r="AE76" s="308"/>
      <c r="AF76" s="312"/>
      <c r="AG76" s="308"/>
      <c r="AH76" s="312"/>
      <c r="AI76" s="308"/>
      <c r="AJ76" s="327"/>
      <c r="AK76" s="330"/>
      <c r="AL76" s="327"/>
      <c r="AM76" s="330"/>
      <c r="AN76" s="327"/>
      <c r="AO76" s="330"/>
      <c r="AP76" s="327"/>
      <c r="AQ76" s="330"/>
      <c r="AR76" s="327"/>
      <c r="AS76" s="1096" t="s">
        <v>159</v>
      </c>
      <c r="AT76" s="1097"/>
      <c r="AU76" s="1097"/>
      <c r="AV76" s="1097"/>
      <c r="AW76" s="1097"/>
      <c r="AX76" s="1097"/>
      <c r="AY76" s="1100"/>
      <c r="AZ76" s="257"/>
      <c r="BA76" s="257"/>
      <c r="BB76" s="1059" t="s">
        <v>162</v>
      </c>
      <c r="BC76" s="1060"/>
      <c r="BD76" s="1075" t="s">
        <v>159</v>
      </c>
      <c r="BE76" s="1075"/>
      <c r="BF76" s="1075"/>
      <c r="BG76" s="1076" t="s">
        <v>159</v>
      </c>
      <c r="BH76" s="1077"/>
      <c r="BI76" s="1077"/>
      <c r="BJ76" s="1078"/>
      <c r="BK76" s="1065" t="s">
        <v>116</v>
      </c>
      <c r="BL76" s="1066"/>
      <c r="BM76" s="1067"/>
      <c r="BN76" s="259"/>
      <c r="BO76" s="259"/>
      <c r="BP76" s="1076"/>
      <c r="BQ76" s="1077"/>
      <c r="BR76" s="1078"/>
      <c r="BS76" s="1075" t="s">
        <v>159</v>
      </c>
      <c r="BT76" s="1075"/>
      <c r="BU76" s="1075"/>
    </row>
    <row r="77" spans="1:73" ht="30" customHeight="1" x14ac:dyDescent="0.25">
      <c r="A77" s="199">
        <f t="shared" si="0"/>
        <v>63</v>
      </c>
      <c r="B77" s="1081" t="s">
        <v>162</v>
      </c>
      <c r="C77" s="1082"/>
      <c r="D77" s="1083" t="s">
        <v>159</v>
      </c>
      <c r="E77" s="1084"/>
      <c r="F77" s="1084"/>
      <c r="G77" s="1085"/>
      <c r="H77" s="1086" t="s">
        <v>159</v>
      </c>
      <c r="I77" s="1087"/>
      <c r="J77" s="1087"/>
      <c r="K77" s="1088"/>
      <c r="L77" s="1089" t="s">
        <v>159</v>
      </c>
      <c r="M77" s="1090"/>
      <c r="N77" s="1091"/>
      <c r="O77" s="1092" t="s">
        <v>159</v>
      </c>
      <c r="P77" s="1093"/>
      <c r="Q77" s="1094"/>
      <c r="R77" s="812"/>
      <c r="S77" s="1095"/>
      <c r="T77" s="813"/>
      <c r="U77" s="745"/>
      <c r="V77" s="940"/>
      <c r="W77" s="746"/>
      <c r="X77" s="312"/>
      <c r="Y77" s="308"/>
      <c r="Z77" s="312"/>
      <c r="AA77" s="308"/>
      <c r="AB77" s="312"/>
      <c r="AC77" s="308"/>
      <c r="AD77" s="312"/>
      <c r="AE77" s="308"/>
      <c r="AF77" s="312"/>
      <c r="AG77" s="308"/>
      <c r="AH77" s="312"/>
      <c r="AI77" s="308"/>
      <c r="AJ77" s="327"/>
      <c r="AK77" s="330"/>
      <c r="AL77" s="327"/>
      <c r="AM77" s="330"/>
      <c r="AN77" s="327"/>
      <c r="AO77" s="330"/>
      <c r="AP77" s="327"/>
      <c r="AQ77" s="330"/>
      <c r="AR77" s="327"/>
      <c r="AS77" s="1096" t="s">
        <v>159</v>
      </c>
      <c r="AT77" s="1097"/>
      <c r="AU77" s="1097"/>
      <c r="AV77" s="1097"/>
      <c r="AW77" s="1097"/>
      <c r="AX77" s="1097"/>
      <c r="AY77" s="1100"/>
      <c r="AZ77" s="257"/>
      <c r="BA77" s="257"/>
      <c r="BB77" s="1059" t="s">
        <v>162</v>
      </c>
      <c r="BC77" s="1060"/>
      <c r="BD77" s="1075" t="s">
        <v>159</v>
      </c>
      <c r="BE77" s="1075"/>
      <c r="BF77" s="1075"/>
      <c r="BG77" s="1076" t="s">
        <v>159</v>
      </c>
      <c r="BH77" s="1077"/>
      <c r="BI77" s="1077"/>
      <c r="BJ77" s="1078"/>
      <c r="BK77" s="1065" t="s">
        <v>116</v>
      </c>
      <c r="BL77" s="1066"/>
      <c r="BM77" s="1067"/>
      <c r="BN77" s="259"/>
      <c r="BO77" s="259"/>
      <c r="BP77" s="1076"/>
      <c r="BQ77" s="1077"/>
      <c r="BR77" s="1078"/>
      <c r="BS77" s="1075" t="s">
        <v>159</v>
      </c>
      <c r="BT77" s="1075"/>
      <c r="BU77" s="1075"/>
    </row>
    <row r="78" spans="1:73" ht="30" customHeight="1" x14ac:dyDescent="0.25">
      <c r="A78" s="199">
        <f t="shared" si="0"/>
        <v>64</v>
      </c>
      <c r="B78" s="1081" t="s">
        <v>162</v>
      </c>
      <c r="C78" s="1082"/>
      <c r="D78" s="1083" t="s">
        <v>159</v>
      </c>
      <c r="E78" s="1084"/>
      <c r="F78" s="1084"/>
      <c r="G78" s="1085"/>
      <c r="H78" s="1086" t="s">
        <v>159</v>
      </c>
      <c r="I78" s="1087"/>
      <c r="J78" s="1087"/>
      <c r="K78" s="1088"/>
      <c r="L78" s="1089" t="s">
        <v>159</v>
      </c>
      <c r="M78" s="1090"/>
      <c r="N78" s="1091"/>
      <c r="O78" s="1092" t="s">
        <v>159</v>
      </c>
      <c r="P78" s="1093"/>
      <c r="Q78" s="1094"/>
      <c r="R78" s="812"/>
      <c r="S78" s="1095"/>
      <c r="T78" s="813"/>
      <c r="U78" s="745"/>
      <c r="V78" s="940"/>
      <c r="W78" s="746"/>
      <c r="X78" s="312"/>
      <c r="Y78" s="308"/>
      <c r="Z78" s="312"/>
      <c r="AA78" s="308"/>
      <c r="AB78" s="312"/>
      <c r="AC78" s="308"/>
      <c r="AD78" s="312"/>
      <c r="AE78" s="308"/>
      <c r="AF78" s="312"/>
      <c r="AG78" s="308"/>
      <c r="AH78" s="312"/>
      <c r="AI78" s="308"/>
      <c r="AJ78" s="327"/>
      <c r="AK78" s="330"/>
      <c r="AL78" s="327"/>
      <c r="AM78" s="330"/>
      <c r="AN78" s="327"/>
      <c r="AO78" s="330"/>
      <c r="AP78" s="327"/>
      <c r="AQ78" s="330"/>
      <c r="AR78" s="327"/>
      <c r="AS78" s="1096" t="s">
        <v>159</v>
      </c>
      <c r="AT78" s="1097"/>
      <c r="AU78" s="1097"/>
      <c r="AV78" s="1097"/>
      <c r="AW78" s="1097"/>
      <c r="AX78" s="1097"/>
      <c r="AY78" s="1100"/>
      <c r="AZ78" s="257"/>
      <c r="BA78" s="257"/>
      <c r="BB78" s="1079" t="s">
        <v>162</v>
      </c>
      <c r="BC78" s="1080"/>
      <c r="BD78" s="1075" t="s">
        <v>159</v>
      </c>
      <c r="BE78" s="1075"/>
      <c r="BF78" s="1075"/>
      <c r="BG78" s="1076" t="s">
        <v>159</v>
      </c>
      <c r="BH78" s="1077"/>
      <c r="BI78" s="1077"/>
      <c r="BJ78" s="1078"/>
      <c r="BK78" s="1065" t="s">
        <v>116</v>
      </c>
      <c r="BL78" s="1066"/>
      <c r="BM78" s="1067"/>
      <c r="BN78" s="259"/>
      <c r="BO78" s="259"/>
      <c r="BP78" s="1076"/>
      <c r="BQ78" s="1077"/>
      <c r="BR78" s="1078"/>
      <c r="BS78" s="1075" t="s">
        <v>159</v>
      </c>
      <c r="BT78" s="1075"/>
      <c r="BU78" s="1075"/>
    </row>
    <row r="79" spans="1:73" ht="30" customHeight="1" x14ac:dyDescent="0.25">
      <c r="A79" s="199">
        <f t="shared" si="0"/>
        <v>65</v>
      </c>
      <c r="B79" s="1081" t="s">
        <v>162</v>
      </c>
      <c r="C79" s="1082"/>
      <c r="D79" s="1083" t="s">
        <v>159</v>
      </c>
      <c r="E79" s="1084"/>
      <c r="F79" s="1084"/>
      <c r="G79" s="1085"/>
      <c r="H79" s="1086" t="s">
        <v>159</v>
      </c>
      <c r="I79" s="1087"/>
      <c r="J79" s="1087"/>
      <c r="K79" s="1088"/>
      <c r="L79" s="1089" t="s">
        <v>159</v>
      </c>
      <c r="M79" s="1090"/>
      <c r="N79" s="1091"/>
      <c r="O79" s="1092" t="s">
        <v>159</v>
      </c>
      <c r="P79" s="1093"/>
      <c r="Q79" s="1094"/>
      <c r="R79" s="812"/>
      <c r="S79" s="1095"/>
      <c r="T79" s="813"/>
      <c r="U79" s="745"/>
      <c r="V79" s="940"/>
      <c r="W79" s="746"/>
      <c r="X79" s="312"/>
      <c r="Y79" s="308"/>
      <c r="Z79" s="312"/>
      <c r="AA79" s="308"/>
      <c r="AB79" s="312"/>
      <c r="AC79" s="308"/>
      <c r="AD79" s="312"/>
      <c r="AE79" s="308"/>
      <c r="AF79" s="312"/>
      <c r="AG79" s="308"/>
      <c r="AH79" s="312"/>
      <c r="AI79" s="308"/>
      <c r="AJ79" s="327"/>
      <c r="AK79" s="330"/>
      <c r="AL79" s="327"/>
      <c r="AM79" s="330"/>
      <c r="AN79" s="327"/>
      <c r="AO79" s="330"/>
      <c r="AP79" s="327"/>
      <c r="AQ79" s="330"/>
      <c r="AR79" s="327"/>
      <c r="AS79" s="1096" t="s">
        <v>159</v>
      </c>
      <c r="AT79" s="1097"/>
      <c r="AU79" s="1097"/>
      <c r="AV79" s="1097"/>
      <c r="AW79" s="1097"/>
      <c r="AX79" s="1097"/>
      <c r="AY79" s="1100"/>
      <c r="AZ79" s="257"/>
      <c r="BA79" s="257"/>
      <c r="BB79" s="1059" t="s">
        <v>162</v>
      </c>
      <c r="BC79" s="1060"/>
      <c r="BD79" s="1075" t="s">
        <v>159</v>
      </c>
      <c r="BE79" s="1075"/>
      <c r="BF79" s="1075"/>
      <c r="BG79" s="1076" t="s">
        <v>159</v>
      </c>
      <c r="BH79" s="1077"/>
      <c r="BI79" s="1077"/>
      <c r="BJ79" s="1078"/>
      <c r="BK79" s="1065" t="s">
        <v>116</v>
      </c>
      <c r="BL79" s="1066"/>
      <c r="BM79" s="1067"/>
      <c r="BN79" s="259"/>
      <c r="BO79" s="259"/>
      <c r="BP79" s="1076"/>
      <c r="BQ79" s="1077"/>
      <c r="BR79" s="1078"/>
      <c r="BS79" s="1075" t="s">
        <v>159</v>
      </c>
      <c r="BT79" s="1075"/>
      <c r="BU79" s="1075"/>
    </row>
    <row r="80" spans="1:73" ht="30" customHeight="1" x14ac:dyDescent="0.25">
      <c r="A80" s="199">
        <f t="shared" ref="A80:A143" si="1">ROW(A66)</f>
        <v>66</v>
      </c>
      <c r="B80" s="1081" t="s">
        <v>162</v>
      </c>
      <c r="C80" s="1082"/>
      <c r="D80" s="1083" t="s">
        <v>159</v>
      </c>
      <c r="E80" s="1084"/>
      <c r="F80" s="1084"/>
      <c r="G80" s="1085"/>
      <c r="H80" s="1086" t="s">
        <v>159</v>
      </c>
      <c r="I80" s="1087"/>
      <c r="J80" s="1087"/>
      <c r="K80" s="1088"/>
      <c r="L80" s="1089" t="s">
        <v>159</v>
      </c>
      <c r="M80" s="1090"/>
      <c r="N80" s="1091"/>
      <c r="O80" s="1092" t="s">
        <v>159</v>
      </c>
      <c r="P80" s="1093"/>
      <c r="Q80" s="1094"/>
      <c r="R80" s="812"/>
      <c r="S80" s="1095"/>
      <c r="T80" s="813"/>
      <c r="U80" s="745"/>
      <c r="V80" s="940"/>
      <c r="W80" s="746"/>
      <c r="X80" s="312"/>
      <c r="Y80" s="308"/>
      <c r="Z80" s="312"/>
      <c r="AA80" s="308"/>
      <c r="AB80" s="312"/>
      <c r="AC80" s="308"/>
      <c r="AD80" s="312"/>
      <c r="AE80" s="308"/>
      <c r="AF80" s="312"/>
      <c r="AG80" s="308"/>
      <c r="AH80" s="312"/>
      <c r="AI80" s="308"/>
      <c r="AJ80" s="327"/>
      <c r="AK80" s="330"/>
      <c r="AL80" s="327"/>
      <c r="AM80" s="330"/>
      <c r="AN80" s="327"/>
      <c r="AO80" s="330"/>
      <c r="AP80" s="327"/>
      <c r="AQ80" s="330"/>
      <c r="AR80" s="327"/>
      <c r="AS80" s="1096" t="s">
        <v>159</v>
      </c>
      <c r="AT80" s="1097"/>
      <c r="AU80" s="1097"/>
      <c r="AV80" s="1097"/>
      <c r="AW80" s="1097"/>
      <c r="AX80" s="1097"/>
      <c r="AY80" s="1100"/>
      <c r="AZ80" s="257"/>
      <c r="BA80" s="257"/>
      <c r="BB80" s="1059" t="s">
        <v>162</v>
      </c>
      <c r="BC80" s="1060"/>
      <c r="BD80" s="1075" t="s">
        <v>159</v>
      </c>
      <c r="BE80" s="1075"/>
      <c r="BF80" s="1075"/>
      <c r="BG80" s="1076" t="s">
        <v>159</v>
      </c>
      <c r="BH80" s="1077"/>
      <c r="BI80" s="1077"/>
      <c r="BJ80" s="1078"/>
      <c r="BK80" s="1065" t="s">
        <v>116</v>
      </c>
      <c r="BL80" s="1066"/>
      <c r="BM80" s="1067"/>
      <c r="BN80" s="259"/>
      <c r="BO80" s="259"/>
      <c r="BP80" s="1076"/>
      <c r="BQ80" s="1077"/>
      <c r="BR80" s="1078"/>
      <c r="BS80" s="1075" t="s">
        <v>159</v>
      </c>
      <c r="BT80" s="1075"/>
      <c r="BU80" s="1075"/>
    </row>
    <row r="81" spans="1:73" ht="30" customHeight="1" x14ac:dyDescent="0.25">
      <c r="A81" s="199">
        <f t="shared" si="1"/>
        <v>67</v>
      </c>
      <c r="B81" s="1081" t="s">
        <v>162</v>
      </c>
      <c r="C81" s="1082"/>
      <c r="D81" s="1083" t="s">
        <v>159</v>
      </c>
      <c r="E81" s="1084"/>
      <c r="F81" s="1084"/>
      <c r="G81" s="1085"/>
      <c r="H81" s="1086" t="s">
        <v>159</v>
      </c>
      <c r="I81" s="1087"/>
      <c r="J81" s="1087"/>
      <c r="K81" s="1088"/>
      <c r="L81" s="1089" t="s">
        <v>159</v>
      </c>
      <c r="M81" s="1090"/>
      <c r="N81" s="1091"/>
      <c r="O81" s="1092" t="s">
        <v>159</v>
      </c>
      <c r="P81" s="1093"/>
      <c r="Q81" s="1094"/>
      <c r="R81" s="812"/>
      <c r="S81" s="1095"/>
      <c r="T81" s="813"/>
      <c r="U81" s="745"/>
      <c r="V81" s="940"/>
      <c r="W81" s="746"/>
      <c r="X81" s="312"/>
      <c r="Y81" s="308"/>
      <c r="Z81" s="312"/>
      <c r="AA81" s="308"/>
      <c r="AB81" s="312"/>
      <c r="AC81" s="308"/>
      <c r="AD81" s="312"/>
      <c r="AE81" s="308"/>
      <c r="AF81" s="312"/>
      <c r="AG81" s="308"/>
      <c r="AH81" s="312"/>
      <c r="AI81" s="308"/>
      <c r="AJ81" s="327"/>
      <c r="AK81" s="330"/>
      <c r="AL81" s="327"/>
      <c r="AM81" s="330"/>
      <c r="AN81" s="327"/>
      <c r="AO81" s="330"/>
      <c r="AP81" s="327"/>
      <c r="AQ81" s="330"/>
      <c r="AR81" s="327"/>
      <c r="AS81" s="1096" t="s">
        <v>159</v>
      </c>
      <c r="AT81" s="1097"/>
      <c r="AU81" s="1097"/>
      <c r="AV81" s="1097"/>
      <c r="AW81" s="1097"/>
      <c r="AX81" s="1097"/>
      <c r="AY81" s="1100"/>
      <c r="AZ81" s="257"/>
      <c r="BA81" s="257"/>
      <c r="BB81" s="1059" t="s">
        <v>162</v>
      </c>
      <c r="BC81" s="1060"/>
      <c r="BD81" s="1075" t="s">
        <v>159</v>
      </c>
      <c r="BE81" s="1075"/>
      <c r="BF81" s="1075"/>
      <c r="BG81" s="1076" t="s">
        <v>159</v>
      </c>
      <c r="BH81" s="1077"/>
      <c r="BI81" s="1077"/>
      <c r="BJ81" s="1078"/>
      <c r="BK81" s="1065" t="s">
        <v>116</v>
      </c>
      <c r="BL81" s="1066"/>
      <c r="BM81" s="1067"/>
      <c r="BN81" s="259"/>
      <c r="BO81" s="259"/>
      <c r="BP81" s="1076"/>
      <c r="BQ81" s="1077"/>
      <c r="BR81" s="1078"/>
      <c r="BS81" s="1075" t="s">
        <v>159</v>
      </c>
      <c r="BT81" s="1075"/>
      <c r="BU81" s="1075"/>
    </row>
    <row r="82" spans="1:73" ht="30" customHeight="1" x14ac:dyDescent="0.25">
      <c r="A82" s="199">
        <f t="shared" si="1"/>
        <v>68</v>
      </c>
      <c r="B82" s="1081" t="s">
        <v>162</v>
      </c>
      <c r="C82" s="1082"/>
      <c r="D82" s="1083" t="s">
        <v>159</v>
      </c>
      <c r="E82" s="1084"/>
      <c r="F82" s="1084"/>
      <c r="G82" s="1085"/>
      <c r="H82" s="1086" t="s">
        <v>159</v>
      </c>
      <c r="I82" s="1087"/>
      <c r="J82" s="1087"/>
      <c r="K82" s="1088"/>
      <c r="L82" s="1089" t="s">
        <v>159</v>
      </c>
      <c r="M82" s="1090"/>
      <c r="N82" s="1091"/>
      <c r="O82" s="1092" t="s">
        <v>159</v>
      </c>
      <c r="P82" s="1093"/>
      <c r="Q82" s="1094"/>
      <c r="R82" s="812"/>
      <c r="S82" s="1095"/>
      <c r="T82" s="813"/>
      <c r="U82" s="745"/>
      <c r="V82" s="940"/>
      <c r="W82" s="746"/>
      <c r="X82" s="312"/>
      <c r="Y82" s="308"/>
      <c r="Z82" s="312"/>
      <c r="AA82" s="308"/>
      <c r="AB82" s="312"/>
      <c r="AC82" s="308"/>
      <c r="AD82" s="312"/>
      <c r="AE82" s="308"/>
      <c r="AF82" s="312"/>
      <c r="AG82" s="308"/>
      <c r="AH82" s="312"/>
      <c r="AI82" s="308"/>
      <c r="AJ82" s="327"/>
      <c r="AK82" s="330"/>
      <c r="AL82" s="327"/>
      <c r="AM82" s="330"/>
      <c r="AN82" s="327"/>
      <c r="AO82" s="330"/>
      <c r="AP82" s="327"/>
      <c r="AQ82" s="330"/>
      <c r="AR82" s="327"/>
      <c r="AS82" s="1096" t="s">
        <v>159</v>
      </c>
      <c r="AT82" s="1097"/>
      <c r="AU82" s="1097"/>
      <c r="AV82" s="1097"/>
      <c r="AW82" s="1097"/>
      <c r="AX82" s="1097"/>
      <c r="AY82" s="1100"/>
      <c r="AZ82" s="257"/>
      <c r="BA82" s="257"/>
      <c r="BB82" s="1059" t="s">
        <v>162</v>
      </c>
      <c r="BC82" s="1060"/>
      <c r="BD82" s="1075" t="s">
        <v>159</v>
      </c>
      <c r="BE82" s="1075"/>
      <c r="BF82" s="1075"/>
      <c r="BG82" s="1076" t="s">
        <v>159</v>
      </c>
      <c r="BH82" s="1077"/>
      <c r="BI82" s="1077"/>
      <c r="BJ82" s="1078"/>
      <c r="BK82" s="1065" t="s">
        <v>116</v>
      </c>
      <c r="BL82" s="1066"/>
      <c r="BM82" s="1067"/>
      <c r="BN82" s="259"/>
      <c r="BO82" s="259"/>
      <c r="BP82" s="1076"/>
      <c r="BQ82" s="1077"/>
      <c r="BR82" s="1078"/>
      <c r="BS82" s="1075" t="s">
        <v>159</v>
      </c>
      <c r="BT82" s="1075"/>
      <c r="BU82" s="1075"/>
    </row>
    <row r="83" spans="1:73" ht="30" customHeight="1" x14ac:dyDescent="0.25">
      <c r="A83" s="199">
        <f t="shared" si="1"/>
        <v>69</v>
      </c>
      <c r="B83" s="1081" t="s">
        <v>162</v>
      </c>
      <c r="C83" s="1082"/>
      <c r="D83" s="1083" t="s">
        <v>159</v>
      </c>
      <c r="E83" s="1084"/>
      <c r="F83" s="1084"/>
      <c r="G83" s="1085"/>
      <c r="H83" s="1086" t="s">
        <v>159</v>
      </c>
      <c r="I83" s="1087"/>
      <c r="J83" s="1087"/>
      <c r="K83" s="1088"/>
      <c r="L83" s="1089" t="s">
        <v>159</v>
      </c>
      <c r="M83" s="1090"/>
      <c r="N83" s="1091"/>
      <c r="O83" s="1092" t="s">
        <v>159</v>
      </c>
      <c r="P83" s="1093"/>
      <c r="Q83" s="1094"/>
      <c r="R83" s="812"/>
      <c r="S83" s="1095"/>
      <c r="T83" s="813"/>
      <c r="U83" s="745"/>
      <c r="V83" s="940"/>
      <c r="W83" s="746"/>
      <c r="X83" s="312"/>
      <c r="Y83" s="308"/>
      <c r="Z83" s="312"/>
      <c r="AA83" s="308"/>
      <c r="AB83" s="312"/>
      <c r="AC83" s="308"/>
      <c r="AD83" s="312"/>
      <c r="AE83" s="308"/>
      <c r="AF83" s="312"/>
      <c r="AG83" s="308"/>
      <c r="AH83" s="312"/>
      <c r="AI83" s="308"/>
      <c r="AJ83" s="327"/>
      <c r="AK83" s="330"/>
      <c r="AL83" s="327"/>
      <c r="AM83" s="330"/>
      <c r="AN83" s="327"/>
      <c r="AO83" s="330"/>
      <c r="AP83" s="327"/>
      <c r="AQ83" s="330"/>
      <c r="AR83" s="327"/>
      <c r="AS83" s="1096" t="s">
        <v>159</v>
      </c>
      <c r="AT83" s="1097"/>
      <c r="AU83" s="1097"/>
      <c r="AV83" s="1097"/>
      <c r="AW83" s="1097"/>
      <c r="AX83" s="1097"/>
      <c r="AY83" s="1100"/>
      <c r="AZ83" s="257"/>
      <c r="BA83" s="257"/>
      <c r="BB83" s="1059" t="s">
        <v>162</v>
      </c>
      <c r="BC83" s="1060"/>
      <c r="BD83" s="1075" t="s">
        <v>159</v>
      </c>
      <c r="BE83" s="1075"/>
      <c r="BF83" s="1075"/>
      <c r="BG83" s="1076" t="s">
        <v>159</v>
      </c>
      <c r="BH83" s="1077"/>
      <c r="BI83" s="1077"/>
      <c r="BJ83" s="1078"/>
      <c r="BK83" s="1065" t="s">
        <v>116</v>
      </c>
      <c r="BL83" s="1066"/>
      <c r="BM83" s="1067"/>
      <c r="BN83" s="259"/>
      <c r="BO83" s="259"/>
      <c r="BP83" s="1076"/>
      <c r="BQ83" s="1077"/>
      <c r="BR83" s="1078"/>
      <c r="BS83" s="1075" t="s">
        <v>159</v>
      </c>
      <c r="BT83" s="1075"/>
      <c r="BU83" s="1075"/>
    </row>
    <row r="84" spans="1:73" ht="30" customHeight="1" x14ac:dyDescent="0.25">
      <c r="A84" s="199">
        <f t="shared" si="1"/>
        <v>70</v>
      </c>
      <c r="B84" s="1081" t="s">
        <v>162</v>
      </c>
      <c r="C84" s="1082"/>
      <c r="D84" s="1083" t="s">
        <v>159</v>
      </c>
      <c r="E84" s="1084"/>
      <c r="F84" s="1084"/>
      <c r="G84" s="1085"/>
      <c r="H84" s="1086" t="s">
        <v>159</v>
      </c>
      <c r="I84" s="1087"/>
      <c r="J84" s="1087"/>
      <c r="K84" s="1088"/>
      <c r="L84" s="1089" t="s">
        <v>159</v>
      </c>
      <c r="M84" s="1090"/>
      <c r="N84" s="1091"/>
      <c r="O84" s="1092" t="s">
        <v>159</v>
      </c>
      <c r="P84" s="1093"/>
      <c r="Q84" s="1094"/>
      <c r="R84" s="812"/>
      <c r="S84" s="1095"/>
      <c r="T84" s="813"/>
      <c r="U84" s="745"/>
      <c r="V84" s="940"/>
      <c r="W84" s="746"/>
      <c r="X84" s="312"/>
      <c r="Y84" s="308"/>
      <c r="Z84" s="312"/>
      <c r="AA84" s="308"/>
      <c r="AB84" s="312"/>
      <c r="AC84" s="308"/>
      <c r="AD84" s="312"/>
      <c r="AE84" s="308"/>
      <c r="AF84" s="312"/>
      <c r="AG84" s="308"/>
      <c r="AH84" s="312"/>
      <c r="AI84" s="308"/>
      <c r="AJ84" s="327"/>
      <c r="AK84" s="330"/>
      <c r="AL84" s="327"/>
      <c r="AM84" s="330"/>
      <c r="AN84" s="327"/>
      <c r="AO84" s="330"/>
      <c r="AP84" s="327"/>
      <c r="AQ84" s="330"/>
      <c r="AR84" s="327"/>
      <c r="AS84" s="1096" t="s">
        <v>159</v>
      </c>
      <c r="AT84" s="1097"/>
      <c r="AU84" s="1097"/>
      <c r="AV84" s="1097"/>
      <c r="AW84" s="1097"/>
      <c r="AX84" s="1097"/>
      <c r="AY84" s="1100"/>
      <c r="AZ84" s="257"/>
      <c r="BA84" s="257"/>
      <c r="BB84" s="1059" t="s">
        <v>162</v>
      </c>
      <c r="BC84" s="1060"/>
      <c r="BD84" s="1075" t="s">
        <v>159</v>
      </c>
      <c r="BE84" s="1075"/>
      <c r="BF84" s="1075"/>
      <c r="BG84" s="1076" t="s">
        <v>159</v>
      </c>
      <c r="BH84" s="1077"/>
      <c r="BI84" s="1077"/>
      <c r="BJ84" s="1078"/>
      <c r="BK84" s="1065" t="s">
        <v>116</v>
      </c>
      <c r="BL84" s="1066"/>
      <c r="BM84" s="1067"/>
      <c r="BN84" s="259"/>
      <c r="BO84" s="259"/>
      <c r="BP84" s="1076"/>
      <c r="BQ84" s="1077"/>
      <c r="BR84" s="1078"/>
      <c r="BS84" s="1075" t="s">
        <v>159</v>
      </c>
      <c r="BT84" s="1075"/>
      <c r="BU84" s="1075"/>
    </row>
    <row r="85" spans="1:73" ht="30" customHeight="1" x14ac:dyDescent="0.25">
      <c r="A85" s="199">
        <f t="shared" si="1"/>
        <v>71</v>
      </c>
      <c r="B85" s="1081" t="s">
        <v>162</v>
      </c>
      <c r="C85" s="1082"/>
      <c r="D85" s="1083" t="s">
        <v>159</v>
      </c>
      <c r="E85" s="1084"/>
      <c r="F85" s="1084"/>
      <c r="G85" s="1085"/>
      <c r="H85" s="1086" t="s">
        <v>159</v>
      </c>
      <c r="I85" s="1087"/>
      <c r="J85" s="1087"/>
      <c r="K85" s="1088"/>
      <c r="L85" s="1089" t="s">
        <v>159</v>
      </c>
      <c r="M85" s="1090"/>
      <c r="N85" s="1091"/>
      <c r="O85" s="1092" t="s">
        <v>159</v>
      </c>
      <c r="P85" s="1093"/>
      <c r="Q85" s="1094"/>
      <c r="R85" s="812"/>
      <c r="S85" s="1095"/>
      <c r="T85" s="813"/>
      <c r="U85" s="745"/>
      <c r="V85" s="940"/>
      <c r="W85" s="746"/>
      <c r="X85" s="312"/>
      <c r="Y85" s="308"/>
      <c r="Z85" s="312"/>
      <c r="AA85" s="308"/>
      <c r="AB85" s="312"/>
      <c r="AC85" s="308"/>
      <c r="AD85" s="312"/>
      <c r="AE85" s="308"/>
      <c r="AF85" s="312"/>
      <c r="AG85" s="308"/>
      <c r="AH85" s="312"/>
      <c r="AI85" s="308"/>
      <c r="AJ85" s="327"/>
      <c r="AK85" s="330"/>
      <c r="AL85" s="327"/>
      <c r="AM85" s="330"/>
      <c r="AN85" s="327"/>
      <c r="AO85" s="330"/>
      <c r="AP85" s="327"/>
      <c r="AQ85" s="330"/>
      <c r="AR85" s="327"/>
      <c r="AS85" s="1096" t="s">
        <v>159</v>
      </c>
      <c r="AT85" s="1097"/>
      <c r="AU85" s="1097"/>
      <c r="AV85" s="1097"/>
      <c r="AW85" s="1097"/>
      <c r="AX85" s="1097"/>
      <c r="AY85" s="1100"/>
      <c r="AZ85" s="257"/>
      <c r="BA85" s="257"/>
      <c r="BB85" s="1079" t="s">
        <v>162</v>
      </c>
      <c r="BC85" s="1080"/>
      <c r="BD85" s="1075" t="s">
        <v>159</v>
      </c>
      <c r="BE85" s="1075"/>
      <c r="BF85" s="1075"/>
      <c r="BG85" s="1076" t="s">
        <v>159</v>
      </c>
      <c r="BH85" s="1077"/>
      <c r="BI85" s="1077"/>
      <c r="BJ85" s="1078"/>
      <c r="BK85" s="1065" t="s">
        <v>116</v>
      </c>
      <c r="BL85" s="1066"/>
      <c r="BM85" s="1067"/>
      <c r="BN85" s="259"/>
      <c r="BO85" s="259"/>
      <c r="BP85" s="1076"/>
      <c r="BQ85" s="1077"/>
      <c r="BR85" s="1078"/>
      <c r="BS85" s="1075" t="s">
        <v>159</v>
      </c>
      <c r="BT85" s="1075"/>
      <c r="BU85" s="1075"/>
    </row>
    <row r="86" spans="1:73" ht="30" customHeight="1" x14ac:dyDescent="0.25">
      <c r="A86" s="199">
        <f t="shared" si="1"/>
        <v>72</v>
      </c>
      <c r="B86" s="1081" t="s">
        <v>162</v>
      </c>
      <c r="C86" s="1082"/>
      <c r="D86" s="1083" t="s">
        <v>159</v>
      </c>
      <c r="E86" s="1084"/>
      <c r="F86" s="1084"/>
      <c r="G86" s="1085"/>
      <c r="H86" s="1086" t="s">
        <v>159</v>
      </c>
      <c r="I86" s="1087"/>
      <c r="J86" s="1087"/>
      <c r="K86" s="1088"/>
      <c r="L86" s="1089" t="s">
        <v>159</v>
      </c>
      <c r="M86" s="1090"/>
      <c r="N86" s="1091"/>
      <c r="O86" s="1092" t="s">
        <v>159</v>
      </c>
      <c r="P86" s="1093"/>
      <c r="Q86" s="1094"/>
      <c r="R86" s="812"/>
      <c r="S86" s="1095"/>
      <c r="T86" s="813"/>
      <c r="U86" s="745"/>
      <c r="V86" s="940"/>
      <c r="W86" s="746"/>
      <c r="X86" s="312"/>
      <c r="Y86" s="308"/>
      <c r="Z86" s="312"/>
      <c r="AA86" s="308"/>
      <c r="AB86" s="312"/>
      <c r="AC86" s="308"/>
      <c r="AD86" s="312"/>
      <c r="AE86" s="308"/>
      <c r="AF86" s="312"/>
      <c r="AG86" s="308"/>
      <c r="AH86" s="312"/>
      <c r="AI86" s="308"/>
      <c r="AJ86" s="327"/>
      <c r="AK86" s="330"/>
      <c r="AL86" s="327"/>
      <c r="AM86" s="330"/>
      <c r="AN86" s="327"/>
      <c r="AO86" s="330"/>
      <c r="AP86" s="327"/>
      <c r="AQ86" s="330"/>
      <c r="AR86" s="327"/>
      <c r="AS86" s="1096" t="s">
        <v>159</v>
      </c>
      <c r="AT86" s="1097"/>
      <c r="AU86" s="1097"/>
      <c r="AV86" s="1097"/>
      <c r="AW86" s="1097"/>
      <c r="AX86" s="1097"/>
      <c r="AY86" s="1100"/>
      <c r="AZ86" s="257"/>
      <c r="BA86" s="257"/>
      <c r="BB86" s="1059" t="s">
        <v>162</v>
      </c>
      <c r="BC86" s="1060"/>
      <c r="BD86" s="1075" t="s">
        <v>159</v>
      </c>
      <c r="BE86" s="1075"/>
      <c r="BF86" s="1075"/>
      <c r="BG86" s="1076" t="s">
        <v>159</v>
      </c>
      <c r="BH86" s="1077"/>
      <c r="BI86" s="1077"/>
      <c r="BJ86" s="1078"/>
      <c r="BK86" s="1065" t="s">
        <v>116</v>
      </c>
      <c r="BL86" s="1066"/>
      <c r="BM86" s="1067"/>
      <c r="BN86" s="259"/>
      <c r="BO86" s="259"/>
      <c r="BP86" s="1076"/>
      <c r="BQ86" s="1077"/>
      <c r="BR86" s="1078"/>
      <c r="BS86" s="1075" t="s">
        <v>159</v>
      </c>
      <c r="BT86" s="1075"/>
      <c r="BU86" s="1075"/>
    </row>
    <row r="87" spans="1:73" ht="30" customHeight="1" x14ac:dyDescent="0.25">
      <c r="A87" s="199">
        <f t="shared" si="1"/>
        <v>73</v>
      </c>
      <c r="B87" s="1081" t="s">
        <v>162</v>
      </c>
      <c r="C87" s="1082"/>
      <c r="D87" s="1083" t="s">
        <v>159</v>
      </c>
      <c r="E87" s="1084"/>
      <c r="F87" s="1084"/>
      <c r="G87" s="1085"/>
      <c r="H87" s="1086" t="s">
        <v>159</v>
      </c>
      <c r="I87" s="1087"/>
      <c r="J87" s="1087"/>
      <c r="K87" s="1088"/>
      <c r="L87" s="1089" t="s">
        <v>159</v>
      </c>
      <c r="M87" s="1090"/>
      <c r="N87" s="1091"/>
      <c r="O87" s="1092" t="s">
        <v>159</v>
      </c>
      <c r="P87" s="1093"/>
      <c r="Q87" s="1094"/>
      <c r="R87" s="812"/>
      <c r="S87" s="1095"/>
      <c r="T87" s="813"/>
      <c r="U87" s="745"/>
      <c r="V87" s="940"/>
      <c r="W87" s="746"/>
      <c r="X87" s="312"/>
      <c r="Y87" s="308"/>
      <c r="Z87" s="312"/>
      <c r="AA87" s="308"/>
      <c r="AB87" s="312"/>
      <c r="AC87" s="308"/>
      <c r="AD87" s="312"/>
      <c r="AE87" s="308"/>
      <c r="AF87" s="312"/>
      <c r="AG87" s="308"/>
      <c r="AH87" s="312"/>
      <c r="AI87" s="308"/>
      <c r="AJ87" s="327"/>
      <c r="AK87" s="330"/>
      <c r="AL87" s="327"/>
      <c r="AM87" s="330"/>
      <c r="AN87" s="327"/>
      <c r="AO87" s="330"/>
      <c r="AP87" s="327"/>
      <c r="AQ87" s="330"/>
      <c r="AR87" s="327"/>
      <c r="AS87" s="1096" t="s">
        <v>159</v>
      </c>
      <c r="AT87" s="1097"/>
      <c r="AU87" s="1097"/>
      <c r="AV87" s="1097"/>
      <c r="AW87" s="1097"/>
      <c r="AX87" s="1097"/>
      <c r="AY87" s="1100"/>
      <c r="AZ87" s="257"/>
      <c r="BA87" s="257"/>
      <c r="BB87" s="1059" t="s">
        <v>162</v>
      </c>
      <c r="BC87" s="1060"/>
      <c r="BD87" s="1075" t="s">
        <v>159</v>
      </c>
      <c r="BE87" s="1075"/>
      <c r="BF87" s="1075"/>
      <c r="BG87" s="1076" t="s">
        <v>159</v>
      </c>
      <c r="BH87" s="1077"/>
      <c r="BI87" s="1077"/>
      <c r="BJ87" s="1078"/>
      <c r="BK87" s="1065" t="s">
        <v>116</v>
      </c>
      <c r="BL87" s="1066"/>
      <c r="BM87" s="1067"/>
      <c r="BN87" s="259"/>
      <c r="BO87" s="259"/>
      <c r="BP87" s="1076"/>
      <c r="BQ87" s="1077"/>
      <c r="BR87" s="1078"/>
      <c r="BS87" s="1075" t="s">
        <v>159</v>
      </c>
      <c r="BT87" s="1075"/>
      <c r="BU87" s="1075"/>
    </row>
    <row r="88" spans="1:73" ht="30" customHeight="1" x14ac:dyDescent="0.25">
      <c r="A88" s="199">
        <f t="shared" si="1"/>
        <v>74</v>
      </c>
      <c r="B88" s="1081" t="s">
        <v>162</v>
      </c>
      <c r="C88" s="1082"/>
      <c r="D88" s="1083" t="s">
        <v>159</v>
      </c>
      <c r="E88" s="1084"/>
      <c r="F88" s="1084"/>
      <c r="G88" s="1085"/>
      <c r="H88" s="1086" t="s">
        <v>159</v>
      </c>
      <c r="I88" s="1087"/>
      <c r="J88" s="1087"/>
      <c r="K88" s="1088"/>
      <c r="L88" s="1089" t="s">
        <v>159</v>
      </c>
      <c r="M88" s="1090"/>
      <c r="N88" s="1091"/>
      <c r="O88" s="1092" t="s">
        <v>159</v>
      </c>
      <c r="P88" s="1093"/>
      <c r="Q88" s="1094"/>
      <c r="R88" s="812"/>
      <c r="S88" s="1095"/>
      <c r="T88" s="813"/>
      <c r="U88" s="745"/>
      <c r="V88" s="940"/>
      <c r="W88" s="746"/>
      <c r="X88" s="312"/>
      <c r="Y88" s="308"/>
      <c r="Z88" s="312"/>
      <c r="AA88" s="308"/>
      <c r="AB88" s="312"/>
      <c r="AC88" s="308"/>
      <c r="AD88" s="312"/>
      <c r="AE88" s="308"/>
      <c r="AF88" s="312"/>
      <c r="AG88" s="308"/>
      <c r="AH88" s="312"/>
      <c r="AI88" s="308"/>
      <c r="AJ88" s="327"/>
      <c r="AK88" s="330"/>
      <c r="AL88" s="327"/>
      <c r="AM88" s="330"/>
      <c r="AN88" s="327"/>
      <c r="AO88" s="330"/>
      <c r="AP88" s="327"/>
      <c r="AQ88" s="330"/>
      <c r="AR88" s="327"/>
      <c r="AS88" s="1096" t="s">
        <v>159</v>
      </c>
      <c r="AT88" s="1097"/>
      <c r="AU88" s="1097"/>
      <c r="AV88" s="1097"/>
      <c r="AW88" s="1097"/>
      <c r="AX88" s="1097"/>
      <c r="AY88" s="1100"/>
      <c r="AZ88" s="257"/>
      <c r="BA88" s="257"/>
      <c r="BB88" s="1059" t="s">
        <v>162</v>
      </c>
      <c r="BC88" s="1060"/>
      <c r="BD88" s="1075" t="s">
        <v>159</v>
      </c>
      <c r="BE88" s="1075"/>
      <c r="BF88" s="1075"/>
      <c r="BG88" s="1076" t="s">
        <v>159</v>
      </c>
      <c r="BH88" s="1077"/>
      <c r="BI88" s="1077"/>
      <c r="BJ88" s="1078"/>
      <c r="BK88" s="1065" t="s">
        <v>116</v>
      </c>
      <c r="BL88" s="1066"/>
      <c r="BM88" s="1067"/>
      <c r="BN88" s="259"/>
      <c r="BO88" s="259"/>
      <c r="BP88" s="1076"/>
      <c r="BQ88" s="1077"/>
      <c r="BR88" s="1078"/>
      <c r="BS88" s="1075" t="s">
        <v>159</v>
      </c>
      <c r="BT88" s="1075"/>
      <c r="BU88" s="1075"/>
    </row>
    <row r="89" spans="1:73" ht="30" customHeight="1" x14ac:dyDescent="0.25">
      <c r="A89" s="199">
        <f t="shared" si="1"/>
        <v>75</v>
      </c>
      <c r="B89" s="1081" t="s">
        <v>162</v>
      </c>
      <c r="C89" s="1082"/>
      <c r="D89" s="1083" t="s">
        <v>159</v>
      </c>
      <c r="E89" s="1084"/>
      <c r="F89" s="1084"/>
      <c r="G89" s="1085"/>
      <c r="H89" s="1086" t="s">
        <v>159</v>
      </c>
      <c r="I89" s="1087"/>
      <c r="J89" s="1087"/>
      <c r="K89" s="1088"/>
      <c r="L89" s="1089" t="s">
        <v>159</v>
      </c>
      <c r="M89" s="1090"/>
      <c r="N89" s="1091"/>
      <c r="O89" s="1092" t="s">
        <v>159</v>
      </c>
      <c r="P89" s="1093"/>
      <c r="Q89" s="1094"/>
      <c r="R89" s="812"/>
      <c r="S89" s="1095"/>
      <c r="T89" s="813"/>
      <c r="U89" s="745"/>
      <c r="V89" s="940"/>
      <c r="W89" s="746"/>
      <c r="X89" s="312"/>
      <c r="Y89" s="308"/>
      <c r="Z89" s="312"/>
      <c r="AA89" s="308"/>
      <c r="AB89" s="312"/>
      <c r="AC89" s="308"/>
      <c r="AD89" s="312"/>
      <c r="AE89" s="308"/>
      <c r="AF89" s="312"/>
      <c r="AG89" s="308"/>
      <c r="AH89" s="312"/>
      <c r="AI89" s="308"/>
      <c r="AJ89" s="327"/>
      <c r="AK89" s="330"/>
      <c r="AL89" s="327"/>
      <c r="AM89" s="330"/>
      <c r="AN89" s="327"/>
      <c r="AO89" s="330"/>
      <c r="AP89" s="327"/>
      <c r="AQ89" s="330"/>
      <c r="AR89" s="327"/>
      <c r="AS89" s="1096" t="s">
        <v>159</v>
      </c>
      <c r="AT89" s="1097"/>
      <c r="AU89" s="1097"/>
      <c r="AV89" s="1097"/>
      <c r="AW89" s="1097"/>
      <c r="AX89" s="1097"/>
      <c r="AY89" s="1100"/>
      <c r="AZ89" s="257"/>
      <c r="BA89" s="257"/>
      <c r="BB89" s="1059" t="s">
        <v>162</v>
      </c>
      <c r="BC89" s="1060"/>
      <c r="BD89" s="1075" t="s">
        <v>159</v>
      </c>
      <c r="BE89" s="1075"/>
      <c r="BF89" s="1075"/>
      <c r="BG89" s="1076" t="s">
        <v>159</v>
      </c>
      <c r="BH89" s="1077"/>
      <c r="BI89" s="1077"/>
      <c r="BJ89" s="1078"/>
      <c r="BK89" s="1065" t="s">
        <v>116</v>
      </c>
      <c r="BL89" s="1066"/>
      <c r="BM89" s="1067"/>
      <c r="BN89" s="259"/>
      <c r="BO89" s="259"/>
      <c r="BP89" s="1076"/>
      <c r="BQ89" s="1077"/>
      <c r="BR89" s="1078"/>
      <c r="BS89" s="1075" t="s">
        <v>159</v>
      </c>
      <c r="BT89" s="1075"/>
      <c r="BU89" s="1075"/>
    </row>
    <row r="90" spans="1:73" ht="30" customHeight="1" x14ac:dyDescent="0.25">
      <c r="A90" s="199">
        <f t="shared" si="1"/>
        <v>76</v>
      </c>
      <c r="B90" s="1081" t="s">
        <v>162</v>
      </c>
      <c r="C90" s="1082"/>
      <c r="D90" s="1083" t="s">
        <v>159</v>
      </c>
      <c r="E90" s="1084"/>
      <c r="F90" s="1084"/>
      <c r="G90" s="1085"/>
      <c r="H90" s="1086" t="s">
        <v>159</v>
      </c>
      <c r="I90" s="1087"/>
      <c r="J90" s="1087"/>
      <c r="K90" s="1088"/>
      <c r="L90" s="1089" t="s">
        <v>159</v>
      </c>
      <c r="M90" s="1090"/>
      <c r="N90" s="1091"/>
      <c r="O90" s="1092" t="s">
        <v>159</v>
      </c>
      <c r="P90" s="1093"/>
      <c r="Q90" s="1094"/>
      <c r="R90" s="812"/>
      <c r="S90" s="1095"/>
      <c r="T90" s="813"/>
      <c r="U90" s="745"/>
      <c r="V90" s="940"/>
      <c r="W90" s="746"/>
      <c r="X90" s="312"/>
      <c r="Y90" s="308"/>
      <c r="Z90" s="312"/>
      <c r="AA90" s="308"/>
      <c r="AB90" s="312"/>
      <c r="AC90" s="308"/>
      <c r="AD90" s="312"/>
      <c r="AE90" s="308"/>
      <c r="AF90" s="312"/>
      <c r="AG90" s="308"/>
      <c r="AH90" s="312"/>
      <c r="AI90" s="308"/>
      <c r="AJ90" s="327"/>
      <c r="AK90" s="330"/>
      <c r="AL90" s="327"/>
      <c r="AM90" s="330"/>
      <c r="AN90" s="327"/>
      <c r="AO90" s="330"/>
      <c r="AP90" s="327"/>
      <c r="AQ90" s="330"/>
      <c r="AR90" s="327"/>
      <c r="AS90" s="1096" t="s">
        <v>159</v>
      </c>
      <c r="AT90" s="1097"/>
      <c r="AU90" s="1097"/>
      <c r="AV90" s="1097"/>
      <c r="AW90" s="1097"/>
      <c r="AX90" s="1097"/>
      <c r="AY90" s="1100"/>
      <c r="AZ90" s="257"/>
      <c r="BA90" s="257"/>
      <c r="BB90" s="1059" t="s">
        <v>162</v>
      </c>
      <c r="BC90" s="1060"/>
      <c r="BD90" s="1075" t="s">
        <v>159</v>
      </c>
      <c r="BE90" s="1075"/>
      <c r="BF90" s="1075"/>
      <c r="BG90" s="1076" t="s">
        <v>159</v>
      </c>
      <c r="BH90" s="1077"/>
      <c r="BI90" s="1077"/>
      <c r="BJ90" s="1078"/>
      <c r="BK90" s="1065" t="s">
        <v>116</v>
      </c>
      <c r="BL90" s="1066"/>
      <c r="BM90" s="1067"/>
      <c r="BN90" s="259"/>
      <c r="BO90" s="259"/>
      <c r="BP90" s="1076"/>
      <c r="BQ90" s="1077"/>
      <c r="BR90" s="1078"/>
      <c r="BS90" s="1075" t="s">
        <v>159</v>
      </c>
      <c r="BT90" s="1075"/>
      <c r="BU90" s="1075"/>
    </row>
    <row r="91" spans="1:73" ht="30" customHeight="1" x14ac:dyDescent="0.25">
      <c r="A91" s="199">
        <f t="shared" si="1"/>
        <v>77</v>
      </c>
      <c r="B91" s="1081" t="s">
        <v>162</v>
      </c>
      <c r="C91" s="1082"/>
      <c r="D91" s="1083" t="s">
        <v>159</v>
      </c>
      <c r="E91" s="1084"/>
      <c r="F91" s="1084"/>
      <c r="G91" s="1085"/>
      <c r="H91" s="1086" t="s">
        <v>159</v>
      </c>
      <c r="I91" s="1087"/>
      <c r="J91" s="1087"/>
      <c r="K91" s="1088"/>
      <c r="L91" s="1089" t="s">
        <v>159</v>
      </c>
      <c r="M91" s="1090"/>
      <c r="N91" s="1091"/>
      <c r="O91" s="1092" t="s">
        <v>159</v>
      </c>
      <c r="P91" s="1093"/>
      <c r="Q91" s="1094"/>
      <c r="R91" s="812"/>
      <c r="S91" s="1095"/>
      <c r="T91" s="813"/>
      <c r="U91" s="745"/>
      <c r="V91" s="940"/>
      <c r="W91" s="746"/>
      <c r="X91" s="312"/>
      <c r="Y91" s="308"/>
      <c r="Z91" s="312"/>
      <c r="AA91" s="308"/>
      <c r="AB91" s="312"/>
      <c r="AC91" s="308"/>
      <c r="AD91" s="312"/>
      <c r="AE91" s="308"/>
      <c r="AF91" s="312"/>
      <c r="AG91" s="308"/>
      <c r="AH91" s="312"/>
      <c r="AI91" s="308"/>
      <c r="AJ91" s="327"/>
      <c r="AK91" s="330"/>
      <c r="AL91" s="327"/>
      <c r="AM91" s="330"/>
      <c r="AN91" s="327"/>
      <c r="AO91" s="330"/>
      <c r="AP91" s="327"/>
      <c r="AQ91" s="330"/>
      <c r="AR91" s="327"/>
      <c r="AS91" s="1096" t="s">
        <v>159</v>
      </c>
      <c r="AT91" s="1097"/>
      <c r="AU91" s="1097"/>
      <c r="AV91" s="1097"/>
      <c r="AW91" s="1097"/>
      <c r="AX91" s="1097"/>
      <c r="AY91" s="1100"/>
      <c r="AZ91" s="257"/>
      <c r="BA91" s="257"/>
      <c r="BB91" s="1059" t="s">
        <v>162</v>
      </c>
      <c r="BC91" s="1060"/>
      <c r="BD91" s="1075" t="s">
        <v>159</v>
      </c>
      <c r="BE91" s="1075"/>
      <c r="BF91" s="1075"/>
      <c r="BG91" s="1076" t="s">
        <v>159</v>
      </c>
      <c r="BH91" s="1077"/>
      <c r="BI91" s="1077"/>
      <c r="BJ91" s="1078"/>
      <c r="BK91" s="1065" t="s">
        <v>116</v>
      </c>
      <c r="BL91" s="1066"/>
      <c r="BM91" s="1067"/>
      <c r="BN91" s="259"/>
      <c r="BO91" s="259"/>
      <c r="BP91" s="1076"/>
      <c r="BQ91" s="1077"/>
      <c r="BR91" s="1078"/>
      <c r="BS91" s="1075" t="s">
        <v>159</v>
      </c>
      <c r="BT91" s="1075"/>
      <c r="BU91" s="1075"/>
    </row>
    <row r="92" spans="1:73" ht="30" customHeight="1" x14ac:dyDescent="0.25">
      <c r="A92" s="199">
        <f t="shared" si="1"/>
        <v>78</v>
      </c>
      <c r="B92" s="1081" t="s">
        <v>162</v>
      </c>
      <c r="C92" s="1082"/>
      <c r="D92" s="1083" t="s">
        <v>159</v>
      </c>
      <c r="E92" s="1084"/>
      <c r="F92" s="1084"/>
      <c r="G92" s="1085"/>
      <c r="H92" s="1086" t="s">
        <v>159</v>
      </c>
      <c r="I92" s="1087"/>
      <c r="J92" s="1087"/>
      <c r="K92" s="1088"/>
      <c r="L92" s="1089" t="s">
        <v>159</v>
      </c>
      <c r="M92" s="1090"/>
      <c r="N92" s="1091"/>
      <c r="O92" s="1092" t="s">
        <v>159</v>
      </c>
      <c r="P92" s="1093"/>
      <c r="Q92" s="1094"/>
      <c r="R92" s="812"/>
      <c r="S92" s="1095"/>
      <c r="T92" s="813"/>
      <c r="U92" s="745"/>
      <c r="V92" s="940"/>
      <c r="W92" s="746"/>
      <c r="X92" s="312"/>
      <c r="Y92" s="308"/>
      <c r="Z92" s="312"/>
      <c r="AA92" s="308"/>
      <c r="AB92" s="312"/>
      <c r="AC92" s="308"/>
      <c r="AD92" s="312"/>
      <c r="AE92" s="308"/>
      <c r="AF92" s="312"/>
      <c r="AG92" s="308"/>
      <c r="AH92" s="312"/>
      <c r="AI92" s="308"/>
      <c r="AJ92" s="327"/>
      <c r="AK92" s="330"/>
      <c r="AL92" s="327"/>
      <c r="AM92" s="330"/>
      <c r="AN92" s="327"/>
      <c r="AO92" s="330"/>
      <c r="AP92" s="327"/>
      <c r="AQ92" s="330"/>
      <c r="AR92" s="327"/>
      <c r="AS92" s="1096" t="s">
        <v>159</v>
      </c>
      <c r="AT92" s="1097"/>
      <c r="AU92" s="1097"/>
      <c r="AV92" s="1097"/>
      <c r="AW92" s="1097"/>
      <c r="AX92" s="1097"/>
      <c r="AY92" s="1100"/>
      <c r="AZ92" s="257"/>
      <c r="BA92" s="257"/>
      <c r="BB92" s="1079" t="s">
        <v>162</v>
      </c>
      <c r="BC92" s="1080"/>
      <c r="BD92" s="1075" t="s">
        <v>159</v>
      </c>
      <c r="BE92" s="1075"/>
      <c r="BF92" s="1075"/>
      <c r="BG92" s="1076" t="s">
        <v>159</v>
      </c>
      <c r="BH92" s="1077"/>
      <c r="BI92" s="1077"/>
      <c r="BJ92" s="1078"/>
      <c r="BK92" s="1065" t="s">
        <v>116</v>
      </c>
      <c r="BL92" s="1066"/>
      <c r="BM92" s="1067"/>
      <c r="BN92" s="259"/>
      <c r="BO92" s="259"/>
      <c r="BP92" s="1076"/>
      <c r="BQ92" s="1077"/>
      <c r="BR92" s="1078"/>
      <c r="BS92" s="1075" t="s">
        <v>159</v>
      </c>
      <c r="BT92" s="1075"/>
      <c r="BU92" s="1075"/>
    </row>
    <row r="93" spans="1:73" ht="30" customHeight="1" x14ac:dyDescent="0.25">
      <c r="A93" s="199">
        <f t="shared" si="1"/>
        <v>79</v>
      </c>
      <c r="B93" s="1081" t="s">
        <v>162</v>
      </c>
      <c r="C93" s="1082"/>
      <c r="D93" s="1083" t="s">
        <v>159</v>
      </c>
      <c r="E93" s="1084"/>
      <c r="F93" s="1084"/>
      <c r="G93" s="1085"/>
      <c r="H93" s="1086" t="s">
        <v>159</v>
      </c>
      <c r="I93" s="1087"/>
      <c r="J93" s="1087"/>
      <c r="K93" s="1088"/>
      <c r="L93" s="1089" t="s">
        <v>159</v>
      </c>
      <c r="M93" s="1090"/>
      <c r="N93" s="1091"/>
      <c r="O93" s="1092" t="s">
        <v>159</v>
      </c>
      <c r="P93" s="1093"/>
      <c r="Q93" s="1094"/>
      <c r="R93" s="812"/>
      <c r="S93" s="1095"/>
      <c r="T93" s="813"/>
      <c r="U93" s="745"/>
      <c r="V93" s="940"/>
      <c r="W93" s="746"/>
      <c r="X93" s="312"/>
      <c r="Y93" s="308"/>
      <c r="Z93" s="312"/>
      <c r="AA93" s="308"/>
      <c r="AB93" s="312"/>
      <c r="AC93" s="308"/>
      <c r="AD93" s="312"/>
      <c r="AE93" s="308"/>
      <c r="AF93" s="312"/>
      <c r="AG93" s="308"/>
      <c r="AH93" s="312"/>
      <c r="AI93" s="308"/>
      <c r="AJ93" s="327"/>
      <c r="AK93" s="330"/>
      <c r="AL93" s="327"/>
      <c r="AM93" s="330"/>
      <c r="AN93" s="327"/>
      <c r="AO93" s="330"/>
      <c r="AP93" s="327"/>
      <c r="AQ93" s="330"/>
      <c r="AR93" s="327"/>
      <c r="AS93" s="1096" t="s">
        <v>159</v>
      </c>
      <c r="AT93" s="1097"/>
      <c r="AU93" s="1097"/>
      <c r="AV93" s="1097"/>
      <c r="AW93" s="1097"/>
      <c r="AX93" s="1097"/>
      <c r="AY93" s="1100"/>
      <c r="AZ93" s="257"/>
      <c r="BA93" s="257"/>
      <c r="BB93" s="1059" t="s">
        <v>162</v>
      </c>
      <c r="BC93" s="1060"/>
      <c r="BD93" s="1075" t="s">
        <v>159</v>
      </c>
      <c r="BE93" s="1075"/>
      <c r="BF93" s="1075"/>
      <c r="BG93" s="1076" t="s">
        <v>159</v>
      </c>
      <c r="BH93" s="1077"/>
      <c r="BI93" s="1077"/>
      <c r="BJ93" s="1078"/>
      <c r="BK93" s="1065" t="s">
        <v>116</v>
      </c>
      <c r="BL93" s="1066"/>
      <c r="BM93" s="1067"/>
      <c r="BN93" s="259"/>
      <c r="BO93" s="259"/>
      <c r="BP93" s="1076"/>
      <c r="BQ93" s="1077"/>
      <c r="BR93" s="1078"/>
      <c r="BS93" s="1075" t="s">
        <v>159</v>
      </c>
      <c r="BT93" s="1075"/>
      <c r="BU93" s="1075"/>
    </row>
    <row r="94" spans="1:73" ht="30" customHeight="1" x14ac:dyDescent="0.25">
      <c r="A94" s="199">
        <f t="shared" si="1"/>
        <v>80</v>
      </c>
      <c r="B94" s="1081" t="s">
        <v>162</v>
      </c>
      <c r="C94" s="1082"/>
      <c r="D94" s="1083" t="s">
        <v>159</v>
      </c>
      <c r="E94" s="1084"/>
      <c r="F94" s="1084"/>
      <c r="G94" s="1085"/>
      <c r="H94" s="1086" t="s">
        <v>159</v>
      </c>
      <c r="I94" s="1087"/>
      <c r="J94" s="1087"/>
      <c r="K94" s="1088"/>
      <c r="L94" s="1089" t="s">
        <v>159</v>
      </c>
      <c r="M94" s="1090"/>
      <c r="N94" s="1091"/>
      <c r="O94" s="1092" t="s">
        <v>159</v>
      </c>
      <c r="P94" s="1093"/>
      <c r="Q94" s="1094"/>
      <c r="R94" s="812"/>
      <c r="S94" s="1095"/>
      <c r="T94" s="813"/>
      <c r="U94" s="745"/>
      <c r="V94" s="940"/>
      <c r="W94" s="746"/>
      <c r="X94" s="312"/>
      <c r="Y94" s="308"/>
      <c r="Z94" s="312"/>
      <c r="AA94" s="308"/>
      <c r="AB94" s="312"/>
      <c r="AC94" s="308"/>
      <c r="AD94" s="312"/>
      <c r="AE94" s="308"/>
      <c r="AF94" s="312"/>
      <c r="AG94" s="308"/>
      <c r="AH94" s="312"/>
      <c r="AI94" s="308"/>
      <c r="AJ94" s="327"/>
      <c r="AK94" s="330"/>
      <c r="AL94" s="327"/>
      <c r="AM94" s="330"/>
      <c r="AN94" s="327"/>
      <c r="AO94" s="330"/>
      <c r="AP94" s="327"/>
      <c r="AQ94" s="330"/>
      <c r="AR94" s="327"/>
      <c r="AS94" s="1096" t="s">
        <v>159</v>
      </c>
      <c r="AT94" s="1097"/>
      <c r="AU94" s="1097"/>
      <c r="AV94" s="1097"/>
      <c r="AW94" s="1097"/>
      <c r="AX94" s="1097"/>
      <c r="AY94" s="1100"/>
      <c r="AZ94" s="257"/>
      <c r="BA94" s="257"/>
      <c r="BB94" s="1059" t="s">
        <v>162</v>
      </c>
      <c r="BC94" s="1060"/>
      <c r="BD94" s="1075" t="s">
        <v>159</v>
      </c>
      <c r="BE94" s="1075"/>
      <c r="BF94" s="1075"/>
      <c r="BG94" s="1076" t="s">
        <v>159</v>
      </c>
      <c r="BH94" s="1077"/>
      <c r="BI94" s="1077"/>
      <c r="BJ94" s="1078"/>
      <c r="BK94" s="1065" t="s">
        <v>116</v>
      </c>
      <c r="BL94" s="1066"/>
      <c r="BM94" s="1067"/>
      <c r="BN94" s="259"/>
      <c r="BO94" s="259"/>
      <c r="BP94" s="1076"/>
      <c r="BQ94" s="1077"/>
      <c r="BR94" s="1078"/>
      <c r="BS94" s="1075" t="s">
        <v>159</v>
      </c>
      <c r="BT94" s="1075"/>
      <c r="BU94" s="1075"/>
    </row>
    <row r="95" spans="1:73" ht="30" customHeight="1" x14ac:dyDescent="0.25">
      <c r="A95" s="199">
        <f t="shared" si="1"/>
        <v>81</v>
      </c>
      <c r="B95" s="1081" t="s">
        <v>162</v>
      </c>
      <c r="C95" s="1082"/>
      <c r="D95" s="1083" t="s">
        <v>159</v>
      </c>
      <c r="E95" s="1084"/>
      <c r="F95" s="1084"/>
      <c r="G95" s="1085"/>
      <c r="H95" s="1086" t="s">
        <v>159</v>
      </c>
      <c r="I95" s="1087"/>
      <c r="J95" s="1087"/>
      <c r="K95" s="1088"/>
      <c r="L95" s="1089" t="s">
        <v>159</v>
      </c>
      <c r="M95" s="1090"/>
      <c r="N95" s="1091"/>
      <c r="O95" s="1092" t="s">
        <v>159</v>
      </c>
      <c r="P95" s="1093"/>
      <c r="Q95" s="1094"/>
      <c r="R95" s="812"/>
      <c r="S95" s="1095"/>
      <c r="T95" s="813"/>
      <c r="U95" s="745"/>
      <c r="V95" s="940"/>
      <c r="W95" s="746"/>
      <c r="X95" s="312"/>
      <c r="Y95" s="308"/>
      <c r="Z95" s="312"/>
      <c r="AA95" s="308"/>
      <c r="AB95" s="312"/>
      <c r="AC95" s="308"/>
      <c r="AD95" s="312"/>
      <c r="AE95" s="308"/>
      <c r="AF95" s="312"/>
      <c r="AG95" s="308"/>
      <c r="AH95" s="312"/>
      <c r="AI95" s="308"/>
      <c r="AJ95" s="327"/>
      <c r="AK95" s="330"/>
      <c r="AL95" s="327"/>
      <c r="AM95" s="330"/>
      <c r="AN95" s="327"/>
      <c r="AO95" s="330"/>
      <c r="AP95" s="327"/>
      <c r="AQ95" s="330"/>
      <c r="AR95" s="327"/>
      <c r="AS95" s="1096" t="s">
        <v>159</v>
      </c>
      <c r="AT95" s="1097"/>
      <c r="AU95" s="1097"/>
      <c r="AV95" s="1097"/>
      <c r="AW95" s="1097"/>
      <c r="AX95" s="1097"/>
      <c r="AY95" s="1100"/>
      <c r="AZ95" s="257"/>
      <c r="BA95" s="257"/>
      <c r="BB95" s="1059" t="s">
        <v>162</v>
      </c>
      <c r="BC95" s="1060"/>
      <c r="BD95" s="1075" t="s">
        <v>159</v>
      </c>
      <c r="BE95" s="1075"/>
      <c r="BF95" s="1075"/>
      <c r="BG95" s="1076" t="s">
        <v>159</v>
      </c>
      <c r="BH95" s="1077"/>
      <c r="BI95" s="1077"/>
      <c r="BJ95" s="1078"/>
      <c r="BK95" s="1065" t="s">
        <v>116</v>
      </c>
      <c r="BL95" s="1066"/>
      <c r="BM95" s="1067"/>
      <c r="BN95" s="259"/>
      <c r="BO95" s="259"/>
      <c r="BP95" s="1076"/>
      <c r="BQ95" s="1077"/>
      <c r="BR95" s="1078"/>
      <c r="BS95" s="1075" t="s">
        <v>159</v>
      </c>
      <c r="BT95" s="1075"/>
      <c r="BU95" s="1075"/>
    </row>
    <row r="96" spans="1:73" ht="30" customHeight="1" x14ac:dyDescent="0.25">
      <c r="A96" s="199">
        <f t="shared" si="1"/>
        <v>82</v>
      </c>
      <c r="B96" s="1081" t="s">
        <v>162</v>
      </c>
      <c r="C96" s="1082"/>
      <c r="D96" s="1083" t="s">
        <v>159</v>
      </c>
      <c r="E96" s="1084"/>
      <c r="F96" s="1084"/>
      <c r="G96" s="1085"/>
      <c r="H96" s="1086" t="s">
        <v>159</v>
      </c>
      <c r="I96" s="1087"/>
      <c r="J96" s="1087"/>
      <c r="K96" s="1088"/>
      <c r="L96" s="1089" t="s">
        <v>159</v>
      </c>
      <c r="M96" s="1090"/>
      <c r="N96" s="1091"/>
      <c r="O96" s="1092" t="s">
        <v>159</v>
      </c>
      <c r="P96" s="1093"/>
      <c r="Q96" s="1094"/>
      <c r="R96" s="812"/>
      <c r="S96" s="1095"/>
      <c r="T96" s="813"/>
      <c r="U96" s="745"/>
      <c r="V96" s="940"/>
      <c r="W96" s="746"/>
      <c r="X96" s="312"/>
      <c r="Y96" s="308"/>
      <c r="Z96" s="312"/>
      <c r="AA96" s="308"/>
      <c r="AB96" s="312"/>
      <c r="AC96" s="308"/>
      <c r="AD96" s="312"/>
      <c r="AE96" s="308"/>
      <c r="AF96" s="312"/>
      <c r="AG96" s="308"/>
      <c r="AH96" s="312"/>
      <c r="AI96" s="308"/>
      <c r="AJ96" s="327"/>
      <c r="AK96" s="330"/>
      <c r="AL96" s="327"/>
      <c r="AM96" s="330"/>
      <c r="AN96" s="327"/>
      <c r="AO96" s="330"/>
      <c r="AP96" s="327"/>
      <c r="AQ96" s="330"/>
      <c r="AR96" s="327"/>
      <c r="AS96" s="1096" t="s">
        <v>159</v>
      </c>
      <c r="AT96" s="1097"/>
      <c r="AU96" s="1097"/>
      <c r="AV96" s="1097"/>
      <c r="AW96" s="1097"/>
      <c r="AX96" s="1097"/>
      <c r="AY96" s="1100"/>
      <c r="AZ96" s="257"/>
      <c r="BA96" s="257"/>
      <c r="BB96" s="1059" t="s">
        <v>162</v>
      </c>
      <c r="BC96" s="1060"/>
      <c r="BD96" s="1075" t="s">
        <v>159</v>
      </c>
      <c r="BE96" s="1075"/>
      <c r="BF96" s="1075"/>
      <c r="BG96" s="1076" t="s">
        <v>159</v>
      </c>
      <c r="BH96" s="1077"/>
      <c r="BI96" s="1077"/>
      <c r="BJ96" s="1078"/>
      <c r="BK96" s="1065" t="s">
        <v>116</v>
      </c>
      <c r="BL96" s="1066"/>
      <c r="BM96" s="1067"/>
      <c r="BN96" s="259"/>
      <c r="BO96" s="259"/>
      <c r="BP96" s="1076"/>
      <c r="BQ96" s="1077"/>
      <c r="BR96" s="1078"/>
      <c r="BS96" s="1075" t="s">
        <v>159</v>
      </c>
      <c r="BT96" s="1075"/>
      <c r="BU96" s="1075"/>
    </row>
    <row r="97" spans="1:73" ht="30" customHeight="1" x14ac:dyDescent="0.25">
      <c r="A97" s="199">
        <f t="shared" si="1"/>
        <v>83</v>
      </c>
      <c r="B97" s="1081" t="s">
        <v>162</v>
      </c>
      <c r="C97" s="1082"/>
      <c r="D97" s="1083" t="s">
        <v>159</v>
      </c>
      <c r="E97" s="1084"/>
      <c r="F97" s="1084"/>
      <c r="G97" s="1085"/>
      <c r="H97" s="1086" t="s">
        <v>159</v>
      </c>
      <c r="I97" s="1087"/>
      <c r="J97" s="1087"/>
      <c r="K97" s="1088"/>
      <c r="L97" s="1089" t="s">
        <v>159</v>
      </c>
      <c r="M97" s="1090"/>
      <c r="N97" s="1091"/>
      <c r="O97" s="1092" t="s">
        <v>159</v>
      </c>
      <c r="P97" s="1093"/>
      <c r="Q97" s="1094"/>
      <c r="R97" s="812"/>
      <c r="S97" s="1095"/>
      <c r="T97" s="813"/>
      <c r="U97" s="745"/>
      <c r="V97" s="940"/>
      <c r="W97" s="746"/>
      <c r="X97" s="312"/>
      <c r="Y97" s="308"/>
      <c r="Z97" s="312"/>
      <c r="AA97" s="308"/>
      <c r="AB97" s="312"/>
      <c r="AC97" s="308"/>
      <c r="AD97" s="312"/>
      <c r="AE97" s="308"/>
      <c r="AF97" s="312"/>
      <c r="AG97" s="308"/>
      <c r="AH97" s="312"/>
      <c r="AI97" s="308"/>
      <c r="AJ97" s="327"/>
      <c r="AK97" s="330"/>
      <c r="AL97" s="327"/>
      <c r="AM97" s="330"/>
      <c r="AN97" s="327"/>
      <c r="AO97" s="330"/>
      <c r="AP97" s="327"/>
      <c r="AQ97" s="330"/>
      <c r="AR97" s="327"/>
      <c r="AS97" s="1096" t="s">
        <v>159</v>
      </c>
      <c r="AT97" s="1097"/>
      <c r="AU97" s="1097"/>
      <c r="AV97" s="1097"/>
      <c r="AW97" s="1097"/>
      <c r="AX97" s="1097"/>
      <c r="AY97" s="1100"/>
      <c r="AZ97" s="257"/>
      <c r="BA97" s="257"/>
      <c r="BB97" s="1059" t="s">
        <v>162</v>
      </c>
      <c r="BC97" s="1060"/>
      <c r="BD97" s="1075" t="s">
        <v>159</v>
      </c>
      <c r="BE97" s="1075"/>
      <c r="BF97" s="1075"/>
      <c r="BG97" s="1076" t="s">
        <v>159</v>
      </c>
      <c r="BH97" s="1077"/>
      <c r="BI97" s="1077"/>
      <c r="BJ97" s="1078"/>
      <c r="BK97" s="1065" t="s">
        <v>116</v>
      </c>
      <c r="BL97" s="1066"/>
      <c r="BM97" s="1067"/>
      <c r="BN97" s="259"/>
      <c r="BO97" s="259"/>
      <c r="BP97" s="1076"/>
      <c r="BQ97" s="1077"/>
      <c r="BR97" s="1078"/>
      <c r="BS97" s="1075" t="s">
        <v>159</v>
      </c>
      <c r="BT97" s="1075"/>
      <c r="BU97" s="1075"/>
    </row>
    <row r="98" spans="1:73" ht="30" customHeight="1" x14ac:dyDescent="0.25">
      <c r="A98" s="199">
        <f t="shared" si="1"/>
        <v>84</v>
      </c>
      <c r="B98" s="1081" t="s">
        <v>162</v>
      </c>
      <c r="C98" s="1082"/>
      <c r="D98" s="1083" t="s">
        <v>159</v>
      </c>
      <c r="E98" s="1084"/>
      <c r="F98" s="1084"/>
      <c r="G98" s="1085"/>
      <c r="H98" s="1086" t="s">
        <v>159</v>
      </c>
      <c r="I98" s="1087"/>
      <c r="J98" s="1087"/>
      <c r="K98" s="1088"/>
      <c r="L98" s="1089" t="s">
        <v>159</v>
      </c>
      <c r="M98" s="1090"/>
      <c r="N98" s="1091"/>
      <c r="O98" s="1092" t="s">
        <v>159</v>
      </c>
      <c r="P98" s="1093"/>
      <c r="Q98" s="1094"/>
      <c r="R98" s="812"/>
      <c r="S98" s="1095"/>
      <c r="T98" s="813"/>
      <c r="U98" s="745"/>
      <c r="V98" s="940"/>
      <c r="W98" s="746"/>
      <c r="X98" s="312"/>
      <c r="Y98" s="308"/>
      <c r="Z98" s="312"/>
      <c r="AA98" s="308"/>
      <c r="AB98" s="312"/>
      <c r="AC98" s="308"/>
      <c r="AD98" s="312"/>
      <c r="AE98" s="308"/>
      <c r="AF98" s="312"/>
      <c r="AG98" s="308"/>
      <c r="AH98" s="312"/>
      <c r="AI98" s="308"/>
      <c r="AJ98" s="327"/>
      <c r="AK98" s="330"/>
      <c r="AL98" s="327"/>
      <c r="AM98" s="330"/>
      <c r="AN98" s="327"/>
      <c r="AO98" s="330"/>
      <c r="AP98" s="327"/>
      <c r="AQ98" s="330"/>
      <c r="AR98" s="327"/>
      <c r="AS98" s="1096" t="s">
        <v>159</v>
      </c>
      <c r="AT98" s="1097"/>
      <c r="AU98" s="1097"/>
      <c r="AV98" s="1097"/>
      <c r="AW98" s="1097"/>
      <c r="AX98" s="1097"/>
      <c r="AY98" s="1100"/>
      <c r="AZ98" s="257"/>
      <c r="BA98" s="257"/>
      <c r="BB98" s="1059" t="s">
        <v>162</v>
      </c>
      <c r="BC98" s="1060"/>
      <c r="BD98" s="1075" t="s">
        <v>159</v>
      </c>
      <c r="BE98" s="1075"/>
      <c r="BF98" s="1075"/>
      <c r="BG98" s="1076" t="s">
        <v>159</v>
      </c>
      <c r="BH98" s="1077"/>
      <c r="BI98" s="1077"/>
      <c r="BJ98" s="1078"/>
      <c r="BK98" s="1065" t="s">
        <v>116</v>
      </c>
      <c r="BL98" s="1066"/>
      <c r="BM98" s="1067"/>
      <c r="BN98" s="259"/>
      <c r="BO98" s="259"/>
      <c r="BP98" s="1076"/>
      <c r="BQ98" s="1077"/>
      <c r="BR98" s="1078"/>
      <c r="BS98" s="1075" t="s">
        <v>159</v>
      </c>
      <c r="BT98" s="1075"/>
      <c r="BU98" s="1075"/>
    </row>
    <row r="99" spans="1:73" ht="30" customHeight="1" x14ac:dyDescent="0.25">
      <c r="A99" s="199">
        <f t="shared" si="1"/>
        <v>85</v>
      </c>
      <c r="B99" s="1081" t="s">
        <v>162</v>
      </c>
      <c r="C99" s="1082"/>
      <c r="D99" s="1083" t="s">
        <v>159</v>
      </c>
      <c r="E99" s="1084"/>
      <c r="F99" s="1084"/>
      <c r="G99" s="1085"/>
      <c r="H99" s="1086" t="s">
        <v>159</v>
      </c>
      <c r="I99" s="1087"/>
      <c r="J99" s="1087"/>
      <c r="K99" s="1088"/>
      <c r="L99" s="1089" t="s">
        <v>159</v>
      </c>
      <c r="M99" s="1090"/>
      <c r="N99" s="1091"/>
      <c r="O99" s="1092" t="s">
        <v>159</v>
      </c>
      <c r="P99" s="1093"/>
      <c r="Q99" s="1094"/>
      <c r="R99" s="812"/>
      <c r="S99" s="1095"/>
      <c r="T99" s="813"/>
      <c r="U99" s="745"/>
      <c r="V99" s="940"/>
      <c r="W99" s="746"/>
      <c r="X99" s="312"/>
      <c r="Y99" s="308"/>
      <c r="Z99" s="312"/>
      <c r="AA99" s="308"/>
      <c r="AB99" s="312"/>
      <c r="AC99" s="308"/>
      <c r="AD99" s="312"/>
      <c r="AE99" s="308"/>
      <c r="AF99" s="312"/>
      <c r="AG99" s="308"/>
      <c r="AH99" s="312"/>
      <c r="AI99" s="308"/>
      <c r="AJ99" s="327"/>
      <c r="AK99" s="330"/>
      <c r="AL99" s="327"/>
      <c r="AM99" s="330"/>
      <c r="AN99" s="327"/>
      <c r="AO99" s="330"/>
      <c r="AP99" s="327"/>
      <c r="AQ99" s="330"/>
      <c r="AR99" s="327"/>
      <c r="AS99" s="1096" t="s">
        <v>159</v>
      </c>
      <c r="AT99" s="1097"/>
      <c r="AU99" s="1097"/>
      <c r="AV99" s="1097"/>
      <c r="AW99" s="1097"/>
      <c r="AX99" s="1097"/>
      <c r="AY99" s="1100"/>
      <c r="AZ99" s="257"/>
      <c r="BA99" s="257"/>
      <c r="BB99" s="1079" t="s">
        <v>162</v>
      </c>
      <c r="BC99" s="1080"/>
      <c r="BD99" s="1075" t="s">
        <v>159</v>
      </c>
      <c r="BE99" s="1075"/>
      <c r="BF99" s="1075"/>
      <c r="BG99" s="1076" t="s">
        <v>159</v>
      </c>
      <c r="BH99" s="1077"/>
      <c r="BI99" s="1077"/>
      <c r="BJ99" s="1078"/>
      <c r="BK99" s="1065" t="s">
        <v>116</v>
      </c>
      <c r="BL99" s="1066"/>
      <c r="BM99" s="1067"/>
      <c r="BN99" s="259"/>
      <c r="BO99" s="259"/>
      <c r="BP99" s="1076"/>
      <c r="BQ99" s="1077"/>
      <c r="BR99" s="1078"/>
      <c r="BS99" s="1075" t="s">
        <v>159</v>
      </c>
      <c r="BT99" s="1075"/>
      <c r="BU99" s="1075"/>
    </row>
    <row r="100" spans="1:73" ht="30" customHeight="1" x14ac:dyDescent="0.25">
      <c r="A100" s="199">
        <f t="shared" si="1"/>
        <v>86</v>
      </c>
      <c r="B100" s="1081" t="s">
        <v>162</v>
      </c>
      <c r="C100" s="1082"/>
      <c r="D100" s="1083" t="s">
        <v>159</v>
      </c>
      <c r="E100" s="1084"/>
      <c r="F100" s="1084"/>
      <c r="G100" s="1085"/>
      <c r="H100" s="1086" t="s">
        <v>159</v>
      </c>
      <c r="I100" s="1087"/>
      <c r="J100" s="1087"/>
      <c r="K100" s="1088"/>
      <c r="L100" s="1089" t="s">
        <v>159</v>
      </c>
      <c r="M100" s="1090"/>
      <c r="N100" s="1091"/>
      <c r="O100" s="1092" t="s">
        <v>159</v>
      </c>
      <c r="P100" s="1093"/>
      <c r="Q100" s="1094"/>
      <c r="R100" s="812"/>
      <c r="S100" s="1095"/>
      <c r="T100" s="813"/>
      <c r="U100" s="745"/>
      <c r="V100" s="940"/>
      <c r="W100" s="746"/>
      <c r="X100" s="312"/>
      <c r="Y100" s="308"/>
      <c r="Z100" s="312"/>
      <c r="AA100" s="308"/>
      <c r="AB100" s="312"/>
      <c r="AC100" s="308"/>
      <c r="AD100" s="312"/>
      <c r="AE100" s="308"/>
      <c r="AF100" s="312"/>
      <c r="AG100" s="308"/>
      <c r="AH100" s="312"/>
      <c r="AI100" s="308"/>
      <c r="AJ100" s="327"/>
      <c r="AK100" s="330"/>
      <c r="AL100" s="327"/>
      <c r="AM100" s="330"/>
      <c r="AN100" s="327"/>
      <c r="AO100" s="330"/>
      <c r="AP100" s="327"/>
      <c r="AQ100" s="330"/>
      <c r="AR100" s="327"/>
      <c r="AS100" s="1096" t="s">
        <v>159</v>
      </c>
      <c r="AT100" s="1097"/>
      <c r="AU100" s="1097"/>
      <c r="AV100" s="1097"/>
      <c r="AW100" s="1097"/>
      <c r="AX100" s="1097"/>
      <c r="AY100" s="1100"/>
      <c r="AZ100" s="257"/>
      <c r="BA100" s="257"/>
      <c r="BB100" s="1059" t="s">
        <v>162</v>
      </c>
      <c r="BC100" s="1060"/>
      <c r="BD100" s="1075" t="s">
        <v>159</v>
      </c>
      <c r="BE100" s="1075"/>
      <c r="BF100" s="1075"/>
      <c r="BG100" s="1076" t="s">
        <v>159</v>
      </c>
      <c r="BH100" s="1077"/>
      <c r="BI100" s="1077"/>
      <c r="BJ100" s="1078"/>
      <c r="BK100" s="1065" t="s">
        <v>116</v>
      </c>
      <c r="BL100" s="1066"/>
      <c r="BM100" s="1067"/>
      <c r="BN100" s="259"/>
      <c r="BO100" s="259"/>
      <c r="BP100" s="1076"/>
      <c r="BQ100" s="1077"/>
      <c r="BR100" s="1078"/>
      <c r="BS100" s="1075" t="s">
        <v>159</v>
      </c>
      <c r="BT100" s="1075"/>
      <c r="BU100" s="1075"/>
    </row>
    <row r="101" spans="1:73" ht="30" customHeight="1" x14ac:dyDescent="0.25">
      <c r="A101" s="199">
        <f t="shared" si="1"/>
        <v>87</v>
      </c>
      <c r="B101" s="1081" t="s">
        <v>162</v>
      </c>
      <c r="C101" s="1082"/>
      <c r="D101" s="1083" t="s">
        <v>159</v>
      </c>
      <c r="E101" s="1084"/>
      <c r="F101" s="1084"/>
      <c r="G101" s="1085"/>
      <c r="H101" s="1086" t="s">
        <v>159</v>
      </c>
      <c r="I101" s="1087"/>
      <c r="J101" s="1087"/>
      <c r="K101" s="1088"/>
      <c r="L101" s="1089" t="s">
        <v>159</v>
      </c>
      <c r="M101" s="1090"/>
      <c r="N101" s="1091"/>
      <c r="O101" s="1092" t="s">
        <v>159</v>
      </c>
      <c r="P101" s="1093"/>
      <c r="Q101" s="1094"/>
      <c r="R101" s="812"/>
      <c r="S101" s="1095"/>
      <c r="T101" s="813"/>
      <c r="U101" s="745"/>
      <c r="V101" s="940"/>
      <c r="W101" s="746"/>
      <c r="X101" s="312"/>
      <c r="Y101" s="308"/>
      <c r="Z101" s="312"/>
      <c r="AA101" s="308"/>
      <c r="AB101" s="312"/>
      <c r="AC101" s="308"/>
      <c r="AD101" s="312"/>
      <c r="AE101" s="308"/>
      <c r="AF101" s="312"/>
      <c r="AG101" s="308"/>
      <c r="AH101" s="312"/>
      <c r="AI101" s="308"/>
      <c r="AJ101" s="327"/>
      <c r="AK101" s="330"/>
      <c r="AL101" s="327"/>
      <c r="AM101" s="330"/>
      <c r="AN101" s="327"/>
      <c r="AO101" s="330"/>
      <c r="AP101" s="327"/>
      <c r="AQ101" s="330"/>
      <c r="AR101" s="327"/>
      <c r="AS101" s="1096" t="s">
        <v>159</v>
      </c>
      <c r="AT101" s="1097"/>
      <c r="AU101" s="1097"/>
      <c r="AV101" s="1097"/>
      <c r="AW101" s="1097"/>
      <c r="AX101" s="1097"/>
      <c r="AY101" s="1100"/>
      <c r="AZ101" s="257"/>
      <c r="BA101" s="257"/>
      <c r="BB101" s="1059" t="s">
        <v>162</v>
      </c>
      <c r="BC101" s="1060"/>
      <c r="BD101" s="1075" t="s">
        <v>159</v>
      </c>
      <c r="BE101" s="1075"/>
      <c r="BF101" s="1075"/>
      <c r="BG101" s="1076" t="s">
        <v>159</v>
      </c>
      <c r="BH101" s="1077"/>
      <c r="BI101" s="1077"/>
      <c r="BJ101" s="1078"/>
      <c r="BK101" s="1065" t="s">
        <v>116</v>
      </c>
      <c r="BL101" s="1066"/>
      <c r="BM101" s="1067"/>
      <c r="BN101" s="259"/>
      <c r="BO101" s="259"/>
      <c r="BP101" s="1076"/>
      <c r="BQ101" s="1077"/>
      <c r="BR101" s="1078"/>
      <c r="BS101" s="1075" t="s">
        <v>159</v>
      </c>
      <c r="BT101" s="1075"/>
      <c r="BU101" s="1075"/>
    </row>
    <row r="102" spans="1:73" ht="30" customHeight="1" x14ac:dyDescent="0.25">
      <c r="A102" s="199">
        <f t="shared" si="1"/>
        <v>88</v>
      </c>
      <c r="B102" s="1081" t="s">
        <v>162</v>
      </c>
      <c r="C102" s="1082"/>
      <c r="D102" s="1083" t="s">
        <v>159</v>
      </c>
      <c r="E102" s="1084"/>
      <c r="F102" s="1084"/>
      <c r="G102" s="1085"/>
      <c r="H102" s="1086" t="s">
        <v>159</v>
      </c>
      <c r="I102" s="1087"/>
      <c r="J102" s="1087"/>
      <c r="K102" s="1088"/>
      <c r="L102" s="1089" t="s">
        <v>159</v>
      </c>
      <c r="M102" s="1090"/>
      <c r="N102" s="1091"/>
      <c r="O102" s="1092" t="s">
        <v>159</v>
      </c>
      <c r="P102" s="1093"/>
      <c r="Q102" s="1094"/>
      <c r="R102" s="812"/>
      <c r="S102" s="1095"/>
      <c r="T102" s="813"/>
      <c r="U102" s="745"/>
      <c r="V102" s="940"/>
      <c r="W102" s="746"/>
      <c r="X102" s="312"/>
      <c r="Y102" s="308"/>
      <c r="Z102" s="312"/>
      <c r="AA102" s="308"/>
      <c r="AB102" s="312"/>
      <c r="AC102" s="308"/>
      <c r="AD102" s="312"/>
      <c r="AE102" s="308"/>
      <c r="AF102" s="312"/>
      <c r="AG102" s="308"/>
      <c r="AH102" s="312"/>
      <c r="AI102" s="308"/>
      <c r="AJ102" s="327"/>
      <c r="AK102" s="330"/>
      <c r="AL102" s="327"/>
      <c r="AM102" s="330"/>
      <c r="AN102" s="327"/>
      <c r="AO102" s="330"/>
      <c r="AP102" s="327"/>
      <c r="AQ102" s="330"/>
      <c r="AR102" s="327"/>
      <c r="AS102" s="1096" t="s">
        <v>159</v>
      </c>
      <c r="AT102" s="1097"/>
      <c r="AU102" s="1097"/>
      <c r="AV102" s="1097"/>
      <c r="AW102" s="1097"/>
      <c r="AX102" s="1097"/>
      <c r="AY102" s="1100"/>
      <c r="AZ102" s="257"/>
      <c r="BA102" s="257"/>
      <c r="BB102" s="1059" t="s">
        <v>162</v>
      </c>
      <c r="BC102" s="1060"/>
      <c r="BD102" s="1075" t="s">
        <v>159</v>
      </c>
      <c r="BE102" s="1075"/>
      <c r="BF102" s="1075"/>
      <c r="BG102" s="1076" t="s">
        <v>159</v>
      </c>
      <c r="BH102" s="1077"/>
      <c r="BI102" s="1077"/>
      <c r="BJ102" s="1078"/>
      <c r="BK102" s="1065" t="s">
        <v>116</v>
      </c>
      <c r="BL102" s="1066"/>
      <c r="BM102" s="1067"/>
      <c r="BN102" s="259"/>
      <c r="BO102" s="259"/>
      <c r="BP102" s="1076"/>
      <c r="BQ102" s="1077"/>
      <c r="BR102" s="1078"/>
      <c r="BS102" s="1075" t="s">
        <v>159</v>
      </c>
      <c r="BT102" s="1075"/>
      <c r="BU102" s="1075"/>
    </row>
    <row r="103" spans="1:73" ht="30" customHeight="1" x14ac:dyDescent="0.25">
      <c r="A103" s="199">
        <f t="shared" si="1"/>
        <v>89</v>
      </c>
      <c r="B103" s="1081" t="s">
        <v>162</v>
      </c>
      <c r="C103" s="1082"/>
      <c r="D103" s="1083" t="s">
        <v>159</v>
      </c>
      <c r="E103" s="1084"/>
      <c r="F103" s="1084"/>
      <c r="G103" s="1085"/>
      <c r="H103" s="1086" t="s">
        <v>159</v>
      </c>
      <c r="I103" s="1087"/>
      <c r="J103" s="1087"/>
      <c r="K103" s="1088"/>
      <c r="L103" s="1089" t="s">
        <v>159</v>
      </c>
      <c r="M103" s="1090"/>
      <c r="N103" s="1091"/>
      <c r="O103" s="1092" t="s">
        <v>159</v>
      </c>
      <c r="P103" s="1093"/>
      <c r="Q103" s="1094"/>
      <c r="R103" s="812"/>
      <c r="S103" s="1095"/>
      <c r="T103" s="813"/>
      <c r="U103" s="745"/>
      <c r="V103" s="940"/>
      <c r="W103" s="746"/>
      <c r="X103" s="312"/>
      <c r="Y103" s="308"/>
      <c r="Z103" s="312"/>
      <c r="AA103" s="308"/>
      <c r="AB103" s="312"/>
      <c r="AC103" s="308"/>
      <c r="AD103" s="312"/>
      <c r="AE103" s="308"/>
      <c r="AF103" s="312"/>
      <c r="AG103" s="308"/>
      <c r="AH103" s="312"/>
      <c r="AI103" s="308"/>
      <c r="AJ103" s="327"/>
      <c r="AK103" s="330"/>
      <c r="AL103" s="327"/>
      <c r="AM103" s="330"/>
      <c r="AN103" s="327"/>
      <c r="AO103" s="330"/>
      <c r="AP103" s="327"/>
      <c r="AQ103" s="330"/>
      <c r="AR103" s="327"/>
      <c r="AS103" s="1096" t="s">
        <v>159</v>
      </c>
      <c r="AT103" s="1097"/>
      <c r="AU103" s="1097"/>
      <c r="AV103" s="1097"/>
      <c r="AW103" s="1097"/>
      <c r="AX103" s="1097"/>
      <c r="AY103" s="1100"/>
      <c r="AZ103" s="257"/>
      <c r="BA103" s="257"/>
      <c r="BB103" s="1059" t="s">
        <v>162</v>
      </c>
      <c r="BC103" s="1060"/>
      <c r="BD103" s="1075" t="s">
        <v>159</v>
      </c>
      <c r="BE103" s="1075"/>
      <c r="BF103" s="1075"/>
      <c r="BG103" s="1076" t="s">
        <v>159</v>
      </c>
      <c r="BH103" s="1077"/>
      <c r="BI103" s="1077"/>
      <c r="BJ103" s="1078"/>
      <c r="BK103" s="1065" t="s">
        <v>116</v>
      </c>
      <c r="BL103" s="1066"/>
      <c r="BM103" s="1067"/>
      <c r="BN103" s="259"/>
      <c r="BO103" s="259"/>
      <c r="BP103" s="1076"/>
      <c r="BQ103" s="1077"/>
      <c r="BR103" s="1078"/>
      <c r="BS103" s="1075" t="s">
        <v>159</v>
      </c>
      <c r="BT103" s="1075"/>
      <c r="BU103" s="1075"/>
    </row>
    <row r="104" spans="1:73" ht="30" customHeight="1" x14ac:dyDescent="0.25">
      <c r="A104" s="199">
        <f t="shared" si="1"/>
        <v>90</v>
      </c>
      <c r="B104" s="1081" t="s">
        <v>162</v>
      </c>
      <c r="C104" s="1082"/>
      <c r="D104" s="1083" t="s">
        <v>159</v>
      </c>
      <c r="E104" s="1084"/>
      <c r="F104" s="1084"/>
      <c r="G104" s="1085"/>
      <c r="H104" s="1086" t="s">
        <v>159</v>
      </c>
      <c r="I104" s="1087"/>
      <c r="J104" s="1087"/>
      <c r="K104" s="1088"/>
      <c r="L104" s="1089" t="s">
        <v>159</v>
      </c>
      <c r="M104" s="1090"/>
      <c r="N104" s="1091"/>
      <c r="O104" s="1092" t="s">
        <v>159</v>
      </c>
      <c r="P104" s="1093"/>
      <c r="Q104" s="1094"/>
      <c r="R104" s="812"/>
      <c r="S104" s="1095"/>
      <c r="T104" s="813"/>
      <c r="U104" s="745"/>
      <c r="V104" s="940"/>
      <c r="W104" s="746"/>
      <c r="X104" s="312"/>
      <c r="Y104" s="308"/>
      <c r="Z104" s="312"/>
      <c r="AA104" s="308"/>
      <c r="AB104" s="312"/>
      <c r="AC104" s="308"/>
      <c r="AD104" s="312"/>
      <c r="AE104" s="308"/>
      <c r="AF104" s="312"/>
      <c r="AG104" s="308"/>
      <c r="AH104" s="312"/>
      <c r="AI104" s="308"/>
      <c r="AJ104" s="327"/>
      <c r="AK104" s="330"/>
      <c r="AL104" s="327"/>
      <c r="AM104" s="330"/>
      <c r="AN104" s="327"/>
      <c r="AO104" s="330"/>
      <c r="AP104" s="327"/>
      <c r="AQ104" s="330"/>
      <c r="AR104" s="327"/>
      <c r="AS104" s="1096" t="s">
        <v>159</v>
      </c>
      <c r="AT104" s="1097"/>
      <c r="AU104" s="1097"/>
      <c r="AV104" s="1097"/>
      <c r="AW104" s="1097"/>
      <c r="AX104" s="1097"/>
      <c r="AY104" s="1100"/>
      <c r="AZ104" s="257"/>
      <c r="BA104" s="257"/>
      <c r="BB104" s="1059" t="s">
        <v>162</v>
      </c>
      <c r="BC104" s="1060"/>
      <c r="BD104" s="1075" t="s">
        <v>159</v>
      </c>
      <c r="BE104" s="1075"/>
      <c r="BF104" s="1075"/>
      <c r="BG104" s="1076" t="s">
        <v>159</v>
      </c>
      <c r="BH104" s="1077"/>
      <c r="BI104" s="1077"/>
      <c r="BJ104" s="1078"/>
      <c r="BK104" s="1065" t="s">
        <v>116</v>
      </c>
      <c r="BL104" s="1066"/>
      <c r="BM104" s="1067"/>
      <c r="BN104" s="259"/>
      <c r="BO104" s="259"/>
      <c r="BP104" s="1076"/>
      <c r="BQ104" s="1077"/>
      <c r="BR104" s="1078"/>
      <c r="BS104" s="1075" t="s">
        <v>159</v>
      </c>
      <c r="BT104" s="1075"/>
      <c r="BU104" s="1075"/>
    </row>
    <row r="105" spans="1:73" ht="30" customHeight="1" x14ac:dyDescent="0.25">
      <c r="A105" s="199">
        <f t="shared" si="1"/>
        <v>91</v>
      </c>
      <c r="B105" s="1081" t="s">
        <v>162</v>
      </c>
      <c r="C105" s="1082"/>
      <c r="D105" s="1083" t="s">
        <v>159</v>
      </c>
      <c r="E105" s="1084"/>
      <c r="F105" s="1084"/>
      <c r="G105" s="1085"/>
      <c r="H105" s="1086" t="s">
        <v>159</v>
      </c>
      <c r="I105" s="1087"/>
      <c r="J105" s="1087"/>
      <c r="K105" s="1088"/>
      <c r="L105" s="1089" t="s">
        <v>159</v>
      </c>
      <c r="M105" s="1090"/>
      <c r="N105" s="1091"/>
      <c r="O105" s="1092" t="s">
        <v>159</v>
      </c>
      <c r="P105" s="1093"/>
      <c r="Q105" s="1094"/>
      <c r="R105" s="812"/>
      <c r="S105" s="1095"/>
      <c r="T105" s="813"/>
      <c r="U105" s="745"/>
      <c r="V105" s="940"/>
      <c r="W105" s="746"/>
      <c r="X105" s="312"/>
      <c r="Y105" s="308"/>
      <c r="Z105" s="312"/>
      <c r="AA105" s="308"/>
      <c r="AB105" s="312"/>
      <c r="AC105" s="308"/>
      <c r="AD105" s="312"/>
      <c r="AE105" s="308"/>
      <c r="AF105" s="312"/>
      <c r="AG105" s="308"/>
      <c r="AH105" s="312"/>
      <c r="AI105" s="308"/>
      <c r="AJ105" s="327"/>
      <c r="AK105" s="330"/>
      <c r="AL105" s="327"/>
      <c r="AM105" s="330"/>
      <c r="AN105" s="327"/>
      <c r="AO105" s="330"/>
      <c r="AP105" s="327"/>
      <c r="AQ105" s="330"/>
      <c r="AR105" s="327"/>
      <c r="AS105" s="1096" t="s">
        <v>159</v>
      </c>
      <c r="AT105" s="1097"/>
      <c r="AU105" s="1097"/>
      <c r="AV105" s="1097"/>
      <c r="AW105" s="1097"/>
      <c r="AX105" s="1097"/>
      <c r="AY105" s="1100"/>
      <c r="AZ105" s="257"/>
      <c r="BA105" s="257"/>
      <c r="BB105" s="1059" t="s">
        <v>162</v>
      </c>
      <c r="BC105" s="1060"/>
      <c r="BD105" s="1075" t="s">
        <v>159</v>
      </c>
      <c r="BE105" s="1075"/>
      <c r="BF105" s="1075"/>
      <c r="BG105" s="1076" t="s">
        <v>159</v>
      </c>
      <c r="BH105" s="1077"/>
      <c r="BI105" s="1077"/>
      <c r="BJ105" s="1078"/>
      <c r="BK105" s="1065" t="s">
        <v>116</v>
      </c>
      <c r="BL105" s="1066"/>
      <c r="BM105" s="1067"/>
      <c r="BN105" s="259"/>
      <c r="BO105" s="259"/>
      <c r="BP105" s="1076"/>
      <c r="BQ105" s="1077"/>
      <c r="BR105" s="1078"/>
      <c r="BS105" s="1075" t="s">
        <v>159</v>
      </c>
      <c r="BT105" s="1075"/>
      <c r="BU105" s="1075"/>
    </row>
    <row r="106" spans="1:73" ht="30" customHeight="1" x14ac:dyDescent="0.25">
      <c r="A106" s="199">
        <f t="shared" si="1"/>
        <v>92</v>
      </c>
      <c r="B106" s="1081" t="s">
        <v>162</v>
      </c>
      <c r="C106" s="1082"/>
      <c r="D106" s="1083" t="s">
        <v>159</v>
      </c>
      <c r="E106" s="1084"/>
      <c r="F106" s="1084"/>
      <c r="G106" s="1085"/>
      <c r="H106" s="1086" t="s">
        <v>159</v>
      </c>
      <c r="I106" s="1087"/>
      <c r="J106" s="1087"/>
      <c r="K106" s="1088"/>
      <c r="L106" s="1089" t="s">
        <v>159</v>
      </c>
      <c r="M106" s="1090"/>
      <c r="N106" s="1091"/>
      <c r="O106" s="1092" t="s">
        <v>159</v>
      </c>
      <c r="P106" s="1093"/>
      <c r="Q106" s="1094"/>
      <c r="R106" s="812"/>
      <c r="S106" s="1095"/>
      <c r="T106" s="813"/>
      <c r="U106" s="745"/>
      <c r="V106" s="940"/>
      <c r="W106" s="746"/>
      <c r="X106" s="312"/>
      <c r="Y106" s="308"/>
      <c r="Z106" s="312"/>
      <c r="AA106" s="308"/>
      <c r="AB106" s="312"/>
      <c r="AC106" s="308"/>
      <c r="AD106" s="312"/>
      <c r="AE106" s="308"/>
      <c r="AF106" s="312"/>
      <c r="AG106" s="308"/>
      <c r="AH106" s="312"/>
      <c r="AI106" s="308"/>
      <c r="AJ106" s="327"/>
      <c r="AK106" s="330"/>
      <c r="AL106" s="327"/>
      <c r="AM106" s="330"/>
      <c r="AN106" s="327"/>
      <c r="AO106" s="330"/>
      <c r="AP106" s="327"/>
      <c r="AQ106" s="330"/>
      <c r="AR106" s="327"/>
      <c r="AS106" s="1096" t="s">
        <v>159</v>
      </c>
      <c r="AT106" s="1097"/>
      <c r="AU106" s="1097"/>
      <c r="AV106" s="1097"/>
      <c r="AW106" s="1097"/>
      <c r="AX106" s="1097"/>
      <c r="AY106" s="1100"/>
      <c r="AZ106" s="257"/>
      <c r="BA106" s="257"/>
      <c r="BB106" s="1079" t="s">
        <v>162</v>
      </c>
      <c r="BC106" s="1080"/>
      <c r="BD106" s="1075" t="s">
        <v>159</v>
      </c>
      <c r="BE106" s="1075"/>
      <c r="BF106" s="1075"/>
      <c r="BG106" s="1076" t="s">
        <v>159</v>
      </c>
      <c r="BH106" s="1077"/>
      <c r="BI106" s="1077"/>
      <c r="BJ106" s="1078"/>
      <c r="BK106" s="1065" t="s">
        <v>116</v>
      </c>
      <c r="BL106" s="1066"/>
      <c r="BM106" s="1067"/>
      <c r="BN106" s="259"/>
      <c r="BO106" s="259"/>
      <c r="BP106" s="1076"/>
      <c r="BQ106" s="1077"/>
      <c r="BR106" s="1078"/>
      <c r="BS106" s="1075" t="s">
        <v>159</v>
      </c>
      <c r="BT106" s="1075"/>
      <c r="BU106" s="1075"/>
    </row>
    <row r="107" spans="1:73" ht="30" customHeight="1" x14ac:dyDescent="0.25">
      <c r="A107" s="199">
        <f t="shared" si="1"/>
        <v>93</v>
      </c>
      <c r="B107" s="1081" t="s">
        <v>162</v>
      </c>
      <c r="C107" s="1082"/>
      <c r="D107" s="1083" t="s">
        <v>159</v>
      </c>
      <c r="E107" s="1084"/>
      <c r="F107" s="1084"/>
      <c r="G107" s="1085"/>
      <c r="H107" s="1086" t="s">
        <v>159</v>
      </c>
      <c r="I107" s="1087"/>
      <c r="J107" s="1087"/>
      <c r="K107" s="1088"/>
      <c r="L107" s="1089" t="s">
        <v>159</v>
      </c>
      <c r="M107" s="1090"/>
      <c r="N107" s="1091"/>
      <c r="O107" s="1092" t="s">
        <v>159</v>
      </c>
      <c r="P107" s="1093"/>
      <c r="Q107" s="1094"/>
      <c r="R107" s="812"/>
      <c r="S107" s="1095"/>
      <c r="T107" s="813"/>
      <c r="U107" s="745"/>
      <c r="V107" s="940"/>
      <c r="W107" s="746"/>
      <c r="X107" s="312"/>
      <c r="Y107" s="308"/>
      <c r="Z107" s="312"/>
      <c r="AA107" s="308"/>
      <c r="AB107" s="312"/>
      <c r="AC107" s="308"/>
      <c r="AD107" s="312"/>
      <c r="AE107" s="308"/>
      <c r="AF107" s="312"/>
      <c r="AG107" s="308"/>
      <c r="AH107" s="312"/>
      <c r="AI107" s="308"/>
      <c r="AJ107" s="327"/>
      <c r="AK107" s="330"/>
      <c r="AL107" s="327"/>
      <c r="AM107" s="330"/>
      <c r="AN107" s="327"/>
      <c r="AO107" s="330"/>
      <c r="AP107" s="327"/>
      <c r="AQ107" s="330"/>
      <c r="AR107" s="327"/>
      <c r="AS107" s="1096" t="s">
        <v>159</v>
      </c>
      <c r="AT107" s="1097"/>
      <c r="AU107" s="1097"/>
      <c r="AV107" s="1097"/>
      <c r="AW107" s="1097"/>
      <c r="AX107" s="1097"/>
      <c r="AY107" s="1100"/>
      <c r="AZ107" s="257"/>
      <c r="BA107" s="257"/>
      <c r="BB107" s="1059" t="s">
        <v>162</v>
      </c>
      <c r="BC107" s="1060"/>
      <c r="BD107" s="1075" t="s">
        <v>159</v>
      </c>
      <c r="BE107" s="1075"/>
      <c r="BF107" s="1075"/>
      <c r="BG107" s="1076" t="s">
        <v>159</v>
      </c>
      <c r="BH107" s="1077"/>
      <c r="BI107" s="1077"/>
      <c r="BJ107" s="1078"/>
      <c r="BK107" s="1065" t="s">
        <v>116</v>
      </c>
      <c r="BL107" s="1066"/>
      <c r="BM107" s="1067"/>
      <c r="BN107" s="259"/>
      <c r="BO107" s="259"/>
      <c r="BP107" s="1076"/>
      <c r="BQ107" s="1077"/>
      <c r="BR107" s="1078"/>
      <c r="BS107" s="1075" t="s">
        <v>159</v>
      </c>
      <c r="BT107" s="1075"/>
      <c r="BU107" s="1075"/>
    </row>
    <row r="108" spans="1:73" ht="30" customHeight="1" x14ac:dyDescent="0.25">
      <c r="A108" s="199">
        <f t="shared" si="1"/>
        <v>94</v>
      </c>
      <c r="B108" s="1081" t="s">
        <v>162</v>
      </c>
      <c r="C108" s="1082"/>
      <c r="D108" s="1083" t="s">
        <v>159</v>
      </c>
      <c r="E108" s="1084"/>
      <c r="F108" s="1084"/>
      <c r="G108" s="1085"/>
      <c r="H108" s="1086" t="s">
        <v>159</v>
      </c>
      <c r="I108" s="1087"/>
      <c r="J108" s="1087"/>
      <c r="K108" s="1088"/>
      <c r="L108" s="1089" t="s">
        <v>159</v>
      </c>
      <c r="M108" s="1090"/>
      <c r="N108" s="1091"/>
      <c r="O108" s="1092" t="s">
        <v>159</v>
      </c>
      <c r="P108" s="1093"/>
      <c r="Q108" s="1094"/>
      <c r="R108" s="812"/>
      <c r="S108" s="1095"/>
      <c r="T108" s="813"/>
      <c r="U108" s="745"/>
      <c r="V108" s="940"/>
      <c r="W108" s="746"/>
      <c r="X108" s="312"/>
      <c r="Y108" s="308"/>
      <c r="Z108" s="312"/>
      <c r="AA108" s="308"/>
      <c r="AB108" s="312"/>
      <c r="AC108" s="308"/>
      <c r="AD108" s="312"/>
      <c r="AE108" s="308"/>
      <c r="AF108" s="312"/>
      <c r="AG108" s="308"/>
      <c r="AH108" s="312"/>
      <c r="AI108" s="308"/>
      <c r="AJ108" s="327"/>
      <c r="AK108" s="330"/>
      <c r="AL108" s="327"/>
      <c r="AM108" s="330"/>
      <c r="AN108" s="327"/>
      <c r="AO108" s="330"/>
      <c r="AP108" s="327"/>
      <c r="AQ108" s="330"/>
      <c r="AR108" s="327"/>
      <c r="AS108" s="1096" t="s">
        <v>159</v>
      </c>
      <c r="AT108" s="1097"/>
      <c r="AU108" s="1097"/>
      <c r="AV108" s="1097"/>
      <c r="AW108" s="1097"/>
      <c r="AX108" s="1097"/>
      <c r="AY108" s="1100"/>
      <c r="AZ108" s="257"/>
      <c r="BA108" s="257"/>
      <c r="BB108" s="1059" t="s">
        <v>162</v>
      </c>
      <c r="BC108" s="1060"/>
      <c r="BD108" s="1075" t="s">
        <v>159</v>
      </c>
      <c r="BE108" s="1075"/>
      <c r="BF108" s="1075"/>
      <c r="BG108" s="1076" t="s">
        <v>159</v>
      </c>
      <c r="BH108" s="1077"/>
      <c r="BI108" s="1077"/>
      <c r="BJ108" s="1078"/>
      <c r="BK108" s="1065" t="s">
        <v>116</v>
      </c>
      <c r="BL108" s="1066"/>
      <c r="BM108" s="1067"/>
      <c r="BN108" s="259"/>
      <c r="BO108" s="259"/>
      <c r="BP108" s="1076"/>
      <c r="BQ108" s="1077"/>
      <c r="BR108" s="1078"/>
      <c r="BS108" s="1075" t="s">
        <v>159</v>
      </c>
      <c r="BT108" s="1075"/>
      <c r="BU108" s="1075"/>
    </row>
    <row r="109" spans="1:73" ht="30" customHeight="1" x14ac:dyDescent="0.25">
      <c r="A109" s="199">
        <f t="shared" si="1"/>
        <v>95</v>
      </c>
      <c r="B109" s="1081" t="s">
        <v>162</v>
      </c>
      <c r="C109" s="1082"/>
      <c r="D109" s="1083" t="s">
        <v>159</v>
      </c>
      <c r="E109" s="1084"/>
      <c r="F109" s="1084"/>
      <c r="G109" s="1085"/>
      <c r="H109" s="1086" t="s">
        <v>159</v>
      </c>
      <c r="I109" s="1087"/>
      <c r="J109" s="1087"/>
      <c r="K109" s="1088"/>
      <c r="L109" s="1089" t="s">
        <v>159</v>
      </c>
      <c r="M109" s="1090"/>
      <c r="N109" s="1091"/>
      <c r="O109" s="1092" t="s">
        <v>159</v>
      </c>
      <c r="P109" s="1093"/>
      <c r="Q109" s="1094"/>
      <c r="R109" s="812"/>
      <c r="S109" s="1095"/>
      <c r="T109" s="813"/>
      <c r="U109" s="745"/>
      <c r="V109" s="940"/>
      <c r="W109" s="746"/>
      <c r="X109" s="312"/>
      <c r="Y109" s="308"/>
      <c r="Z109" s="312"/>
      <c r="AA109" s="308"/>
      <c r="AB109" s="312"/>
      <c r="AC109" s="308"/>
      <c r="AD109" s="312"/>
      <c r="AE109" s="308"/>
      <c r="AF109" s="312"/>
      <c r="AG109" s="308"/>
      <c r="AH109" s="312"/>
      <c r="AI109" s="308"/>
      <c r="AJ109" s="327"/>
      <c r="AK109" s="330"/>
      <c r="AL109" s="327"/>
      <c r="AM109" s="330"/>
      <c r="AN109" s="327"/>
      <c r="AO109" s="330"/>
      <c r="AP109" s="327"/>
      <c r="AQ109" s="330"/>
      <c r="AR109" s="327"/>
      <c r="AS109" s="1096" t="s">
        <v>159</v>
      </c>
      <c r="AT109" s="1097"/>
      <c r="AU109" s="1097"/>
      <c r="AV109" s="1097"/>
      <c r="AW109" s="1097"/>
      <c r="AX109" s="1097"/>
      <c r="AY109" s="1100"/>
      <c r="AZ109" s="257"/>
      <c r="BA109" s="257"/>
      <c r="BB109" s="1059" t="s">
        <v>162</v>
      </c>
      <c r="BC109" s="1060"/>
      <c r="BD109" s="1075" t="s">
        <v>159</v>
      </c>
      <c r="BE109" s="1075"/>
      <c r="BF109" s="1075"/>
      <c r="BG109" s="1076" t="s">
        <v>159</v>
      </c>
      <c r="BH109" s="1077"/>
      <c r="BI109" s="1077"/>
      <c r="BJ109" s="1078"/>
      <c r="BK109" s="1065" t="s">
        <v>116</v>
      </c>
      <c r="BL109" s="1066"/>
      <c r="BM109" s="1067"/>
      <c r="BN109" s="259"/>
      <c r="BO109" s="259"/>
      <c r="BP109" s="1076"/>
      <c r="BQ109" s="1077"/>
      <c r="BR109" s="1078"/>
      <c r="BS109" s="1075" t="s">
        <v>159</v>
      </c>
      <c r="BT109" s="1075"/>
      <c r="BU109" s="1075"/>
    </row>
    <row r="110" spans="1:73" ht="30" customHeight="1" x14ac:dyDescent="0.25">
      <c r="A110" s="199">
        <f t="shared" si="1"/>
        <v>96</v>
      </c>
      <c r="B110" s="1081" t="s">
        <v>162</v>
      </c>
      <c r="C110" s="1082"/>
      <c r="D110" s="1083" t="s">
        <v>159</v>
      </c>
      <c r="E110" s="1084"/>
      <c r="F110" s="1084"/>
      <c r="G110" s="1085"/>
      <c r="H110" s="1086" t="s">
        <v>159</v>
      </c>
      <c r="I110" s="1087"/>
      <c r="J110" s="1087"/>
      <c r="K110" s="1088"/>
      <c r="L110" s="1089" t="s">
        <v>159</v>
      </c>
      <c r="M110" s="1090"/>
      <c r="N110" s="1091"/>
      <c r="O110" s="1092" t="s">
        <v>159</v>
      </c>
      <c r="P110" s="1093"/>
      <c r="Q110" s="1094"/>
      <c r="R110" s="812"/>
      <c r="S110" s="1095"/>
      <c r="T110" s="813"/>
      <c r="U110" s="745"/>
      <c r="V110" s="940"/>
      <c r="W110" s="746"/>
      <c r="X110" s="312"/>
      <c r="Y110" s="308"/>
      <c r="Z110" s="312"/>
      <c r="AA110" s="308"/>
      <c r="AB110" s="312"/>
      <c r="AC110" s="308"/>
      <c r="AD110" s="312"/>
      <c r="AE110" s="308"/>
      <c r="AF110" s="312"/>
      <c r="AG110" s="308"/>
      <c r="AH110" s="312"/>
      <c r="AI110" s="308"/>
      <c r="AJ110" s="327"/>
      <c r="AK110" s="330"/>
      <c r="AL110" s="327"/>
      <c r="AM110" s="330"/>
      <c r="AN110" s="327"/>
      <c r="AO110" s="330"/>
      <c r="AP110" s="327"/>
      <c r="AQ110" s="330"/>
      <c r="AR110" s="327"/>
      <c r="AS110" s="1096" t="s">
        <v>159</v>
      </c>
      <c r="AT110" s="1097"/>
      <c r="AU110" s="1097"/>
      <c r="AV110" s="1097"/>
      <c r="AW110" s="1097"/>
      <c r="AX110" s="1097"/>
      <c r="AY110" s="1100"/>
      <c r="AZ110" s="257"/>
      <c r="BA110" s="257"/>
      <c r="BB110" s="1059" t="s">
        <v>162</v>
      </c>
      <c r="BC110" s="1060"/>
      <c r="BD110" s="1075" t="s">
        <v>159</v>
      </c>
      <c r="BE110" s="1075"/>
      <c r="BF110" s="1075"/>
      <c r="BG110" s="1076" t="s">
        <v>159</v>
      </c>
      <c r="BH110" s="1077"/>
      <c r="BI110" s="1077"/>
      <c r="BJ110" s="1078"/>
      <c r="BK110" s="1065" t="s">
        <v>116</v>
      </c>
      <c r="BL110" s="1066"/>
      <c r="BM110" s="1067"/>
      <c r="BN110" s="259"/>
      <c r="BO110" s="259"/>
      <c r="BP110" s="1076"/>
      <c r="BQ110" s="1077"/>
      <c r="BR110" s="1078"/>
      <c r="BS110" s="1075" t="s">
        <v>159</v>
      </c>
      <c r="BT110" s="1075"/>
      <c r="BU110" s="1075"/>
    </row>
    <row r="111" spans="1:73" ht="30" customHeight="1" x14ac:dyDescent="0.25">
      <c r="A111" s="199">
        <f t="shared" si="1"/>
        <v>97</v>
      </c>
      <c r="B111" s="1081" t="s">
        <v>162</v>
      </c>
      <c r="C111" s="1082"/>
      <c r="D111" s="1083" t="s">
        <v>159</v>
      </c>
      <c r="E111" s="1084"/>
      <c r="F111" s="1084"/>
      <c r="G111" s="1085"/>
      <c r="H111" s="1086" t="s">
        <v>159</v>
      </c>
      <c r="I111" s="1087"/>
      <c r="J111" s="1087"/>
      <c r="K111" s="1088"/>
      <c r="L111" s="1089" t="s">
        <v>159</v>
      </c>
      <c r="M111" s="1090"/>
      <c r="N111" s="1091"/>
      <c r="O111" s="1092" t="s">
        <v>159</v>
      </c>
      <c r="P111" s="1093"/>
      <c r="Q111" s="1094"/>
      <c r="R111" s="812"/>
      <c r="S111" s="1095"/>
      <c r="T111" s="813"/>
      <c r="U111" s="745"/>
      <c r="V111" s="940"/>
      <c r="W111" s="746"/>
      <c r="X111" s="312"/>
      <c r="Y111" s="308"/>
      <c r="Z111" s="312"/>
      <c r="AA111" s="308"/>
      <c r="AB111" s="312"/>
      <c r="AC111" s="308"/>
      <c r="AD111" s="312"/>
      <c r="AE111" s="308"/>
      <c r="AF111" s="312"/>
      <c r="AG111" s="308"/>
      <c r="AH111" s="312"/>
      <c r="AI111" s="308"/>
      <c r="AJ111" s="327"/>
      <c r="AK111" s="330"/>
      <c r="AL111" s="327"/>
      <c r="AM111" s="330"/>
      <c r="AN111" s="327"/>
      <c r="AO111" s="330"/>
      <c r="AP111" s="327"/>
      <c r="AQ111" s="330"/>
      <c r="AR111" s="327"/>
      <c r="AS111" s="1096" t="s">
        <v>159</v>
      </c>
      <c r="AT111" s="1097"/>
      <c r="AU111" s="1097"/>
      <c r="AV111" s="1097"/>
      <c r="AW111" s="1097"/>
      <c r="AX111" s="1097"/>
      <c r="AY111" s="1100"/>
      <c r="AZ111" s="257"/>
      <c r="BA111" s="257"/>
      <c r="BB111" s="1059" t="s">
        <v>162</v>
      </c>
      <c r="BC111" s="1060"/>
      <c r="BD111" s="1075" t="s">
        <v>159</v>
      </c>
      <c r="BE111" s="1075"/>
      <c r="BF111" s="1075"/>
      <c r="BG111" s="1076" t="s">
        <v>159</v>
      </c>
      <c r="BH111" s="1077"/>
      <c r="BI111" s="1077"/>
      <c r="BJ111" s="1078"/>
      <c r="BK111" s="1065" t="s">
        <v>116</v>
      </c>
      <c r="BL111" s="1066"/>
      <c r="BM111" s="1067"/>
      <c r="BN111" s="259"/>
      <c r="BO111" s="259"/>
      <c r="BP111" s="1076"/>
      <c r="BQ111" s="1077"/>
      <c r="BR111" s="1078"/>
      <c r="BS111" s="1075" t="s">
        <v>159</v>
      </c>
      <c r="BT111" s="1075"/>
      <c r="BU111" s="1075"/>
    </row>
    <row r="112" spans="1:73" ht="30" customHeight="1" x14ac:dyDescent="0.25">
      <c r="A112" s="199">
        <f t="shared" si="1"/>
        <v>98</v>
      </c>
      <c r="B112" s="1081" t="s">
        <v>162</v>
      </c>
      <c r="C112" s="1082"/>
      <c r="D112" s="1083" t="s">
        <v>159</v>
      </c>
      <c r="E112" s="1084"/>
      <c r="F112" s="1084"/>
      <c r="G112" s="1085"/>
      <c r="H112" s="1086" t="s">
        <v>159</v>
      </c>
      <c r="I112" s="1087"/>
      <c r="J112" s="1087"/>
      <c r="K112" s="1088"/>
      <c r="L112" s="1089" t="s">
        <v>159</v>
      </c>
      <c r="M112" s="1090"/>
      <c r="N112" s="1091"/>
      <c r="O112" s="1092" t="s">
        <v>159</v>
      </c>
      <c r="P112" s="1093"/>
      <c r="Q112" s="1094"/>
      <c r="R112" s="812"/>
      <c r="S112" s="1095"/>
      <c r="T112" s="813"/>
      <c r="U112" s="745"/>
      <c r="V112" s="940"/>
      <c r="W112" s="746"/>
      <c r="X112" s="312"/>
      <c r="Y112" s="308"/>
      <c r="Z112" s="312"/>
      <c r="AA112" s="308"/>
      <c r="AB112" s="312"/>
      <c r="AC112" s="308"/>
      <c r="AD112" s="312"/>
      <c r="AE112" s="308"/>
      <c r="AF112" s="312"/>
      <c r="AG112" s="308"/>
      <c r="AH112" s="312"/>
      <c r="AI112" s="308"/>
      <c r="AJ112" s="327"/>
      <c r="AK112" s="330"/>
      <c r="AL112" s="327"/>
      <c r="AM112" s="330"/>
      <c r="AN112" s="327"/>
      <c r="AO112" s="330"/>
      <c r="AP112" s="327"/>
      <c r="AQ112" s="330"/>
      <c r="AR112" s="327"/>
      <c r="AS112" s="1096" t="s">
        <v>159</v>
      </c>
      <c r="AT112" s="1097"/>
      <c r="AU112" s="1097"/>
      <c r="AV112" s="1097"/>
      <c r="AW112" s="1097"/>
      <c r="AX112" s="1097"/>
      <c r="AY112" s="1100"/>
      <c r="AZ112" s="257"/>
      <c r="BA112" s="257"/>
      <c r="BB112" s="1059" t="s">
        <v>162</v>
      </c>
      <c r="BC112" s="1060"/>
      <c r="BD112" s="1075" t="s">
        <v>159</v>
      </c>
      <c r="BE112" s="1075"/>
      <c r="BF112" s="1075"/>
      <c r="BG112" s="1076" t="s">
        <v>159</v>
      </c>
      <c r="BH112" s="1077"/>
      <c r="BI112" s="1077"/>
      <c r="BJ112" s="1078"/>
      <c r="BK112" s="1065" t="s">
        <v>116</v>
      </c>
      <c r="BL112" s="1066"/>
      <c r="BM112" s="1067"/>
      <c r="BN112" s="259"/>
      <c r="BO112" s="259"/>
      <c r="BP112" s="1076"/>
      <c r="BQ112" s="1077"/>
      <c r="BR112" s="1078"/>
      <c r="BS112" s="1075" t="s">
        <v>159</v>
      </c>
      <c r="BT112" s="1075"/>
      <c r="BU112" s="1075"/>
    </row>
    <row r="113" spans="1:73" ht="30" customHeight="1" x14ac:dyDescent="0.25">
      <c r="A113" s="199">
        <f t="shared" si="1"/>
        <v>99</v>
      </c>
      <c r="B113" s="1081" t="s">
        <v>162</v>
      </c>
      <c r="C113" s="1082"/>
      <c r="D113" s="1083" t="s">
        <v>159</v>
      </c>
      <c r="E113" s="1084"/>
      <c r="F113" s="1084"/>
      <c r="G113" s="1085"/>
      <c r="H113" s="1086" t="s">
        <v>159</v>
      </c>
      <c r="I113" s="1087"/>
      <c r="J113" s="1087"/>
      <c r="K113" s="1088"/>
      <c r="L113" s="1089" t="s">
        <v>159</v>
      </c>
      <c r="M113" s="1090"/>
      <c r="N113" s="1091"/>
      <c r="O113" s="1092" t="s">
        <v>159</v>
      </c>
      <c r="P113" s="1093"/>
      <c r="Q113" s="1094"/>
      <c r="R113" s="812"/>
      <c r="S113" s="1095"/>
      <c r="T113" s="813"/>
      <c r="U113" s="745"/>
      <c r="V113" s="940"/>
      <c r="W113" s="746"/>
      <c r="X113" s="312"/>
      <c r="Y113" s="308"/>
      <c r="Z113" s="312"/>
      <c r="AA113" s="308"/>
      <c r="AB113" s="312"/>
      <c r="AC113" s="308"/>
      <c r="AD113" s="312"/>
      <c r="AE113" s="308"/>
      <c r="AF113" s="312"/>
      <c r="AG113" s="308"/>
      <c r="AH113" s="312"/>
      <c r="AI113" s="308"/>
      <c r="AJ113" s="327"/>
      <c r="AK113" s="330"/>
      <c r="AL113" s="327"/>
      <c r="AM113" s="330"/>
      <c r="AN113" s="327"/>
      <c r="AO113" s="330"/>
      <c r="AP113" s="327"/>
      <c r="AQ113" s="330"/>
      <c r="AR113" s="327"/>
      <c r="AS113" s="1096" t="s">
        <v>159</v>
      </c>
      <c r="AT113" s="1097"/>
      <c r="AU113" s="1097"/>
      <c r="AV113" s="1097"/>
      <c r="AW113" s="1097"/>
      <c r="AX113" s="1097"/>
      <c r="AY113" s="1100"/>
      <c r="AZ113" s="257"/>
      <c r="BA113" s="257"/>
      <c r="BB113" s="1079" t="s">
        <v>162</v>
      </c>
      <c r="BC113" s="1080"/>
      <c r="BD113" s="1075" t="s">
        <v>159</v>
      </c>
      <c r="BE113" s="1075"/>
      <c r="BF113" s="1075"/>
      <c r="BG113" s="1076" t="s">
        <v>159</v>
      </c>
      <c r="BH113" s="1077"/>
      <c r="BI113" s="1077"/>
      <c r="BJ113" s="1078"/>
      <c r="BK113" s="1065" t="s">
        <v>116</v>
      </c>
      <c r="BL113" s="1066"/>
      <c r="BM113" s="1067"/>
      <c r="BN113" s="259"/>
      <c r="BO113" s="259"/>
      <c r="BP113" s="1076"/>
      <c r="BQ113" s="1077"/>
      <c r="BR113" s="1078"/>
      <c r="BS113" s="1075" t="s">
        <v>159</v>
      </c>
      <c r="BT113" s="1075"/>
      <c r="BU113" s="1075"/>
    </row>
    <row r="114" spans="1:73" ht="30" customHeight="1" x14ac:dyDescent="0.25">
      <c r="A114" s="199">
        <f t="shared" si="1"/>
        <v>100</v>
      </c>
      <c r="B114" s="1081" t="s">
        <v>162</v>
      </c>
      <c r="C114" s="1082"/>
      <c r="D114" s="1083" t="s">
        <v>159</v>
      </c>
      <c r="E114" s="1084"/>
      <c r="F114" s="1084"/>
      <c r="G114" s="1085"/>
      <c r="H114" s="1086" t="s">
        <v>159</v>
      </c>
      <c r="I114" s="1087"/>
      <c r="J114" s="1087"/>
      <c r="K114" s="1088"/>
      <c r="L114" s="1089" t="s">
        <v>159</v>
      </c>
      <c r="M114" s="1090"/>
      <c r="N114" s="1091"/>
      <c r="O114" s="1092" t="s">
        <v>159</v>
      </c>
      <c r="P114" s="1093"/>
      <c r="Q114" s="1094"/>
      <c r="R114" s="812"/>
      <c r="S114" s="1095"/>
      <c r="T114" s="813"/>
      <c r="U114" s="745"/>
      <c r="V114" s="940"/>
      <c r="W114" s="746"/>
      <c r="X114" s="312"/>
      <c r="Y114" s="308"/>
      <c r="Z114" s="312"/>
      <c r="AA114" s="308"/>
      <c r="AB114" s="312"/>
      <c r="AC114" s="308"/>
      <c r="AD114" s="312"/>
      <c r="AE114" s="308"/>
      <c r="AF114" s="312"/>
      <c r="AG114" s="308"/>
      <c r="AH114" s="312"/>
      <c r="AI114" s="308"/>
      <c r="AJ114" s="327"/>
      <c r="AK114" s="330"/>
      <c r="AL114" s="327"/>
      <c r="AM114" s="330"/>
      <c r="AN114" s="327"/>
      <c r="AO114" s="330"/>
      <c r="AP114" s="327"/>
      <c r="AQ114" s="330"/>
      <c r="AR114" s="327"/>
      <c r="AS114" s="1096" t="s">
        <v>159</v>
      </c>
      <c r="AT114" s="1097"/>
      <c r="AU114" s="1097"/>
      <c r="AV114" s="1097"/>
      <c r="AW114" s="1097"/>
      <c r="AX114" s="1097"/>
      <c r="AY114" s="1100"/>
      <c r="AZ114" s="257"/>
      <c r="BA114" s="257"/>
      <c r="BB114" s="1059" t="s">
        <v>162</v>
      </c>
      <c r="BC114" s="1060"/>
      <c r="BD114" s="1075" t="s">
        <v>159</v>
      </c>
      <c r="BE114" s="1075"/>
      <c r="BF114" s="1075"/>
      <c r="BG114" s="1076" t="s">
        <v>159</v>
      </c>
      <c r="BH114" s="1077"/>
      <c r="BI114" s="1077"/>
      <c r="BJ114" s="1078"/>
      <c r="BK114" s="1065" t="s">
        <v>116</v>
      </c>
      <c r="BL114" s="1066"/>
      <c r="BM114" s="1067"/>
      <c r="BN114" s="259"/>
      <c r="BO114" s="259"/>
      <c r="BP114" s="1076"/>
      <c r="BQ114" s="1077"/>
      <c r="BR114" s="1078"/>
      <c r="BS114" s="1075" t="s">
        <v>159</v>
      </c>
      <c r="BT114" s="1075"/>
      <c r="BU114" s="1075"/>
    </row>
    <row r="115" spans="1:73" ht="30" customHeight="1" x14ac:dyDescent="0.25">
      <c r="A115" s="199">
        <f t="shared" si="1"/>
        <v>101</v>
      </c>
      <c r="B115" s="1081" t="s">
        <v>162</v>
      </c>
      <c r="C115" s="1082"/>
      <c r="D115" s="1083" t="s">
        <v>159</v>
      </c>
      <c r="E115" s="1084"/>
      <c r="F115" s="1084"/>
      <c r="G115" s="1085"/>
      <c r="H115" s="1086" t="s">
        <v>159</v>
      </c>
      <c r="I115" s="1087"/>
      <c r="J115" s="1087"/>
      <c r="K115" s="1088"/>
      <c r="L115" s="1089" t="s">
        <v>159</v>
      </c>
      <c r="M115" s="1090"/>
      <c r="N115" s="1091"/>
      <c r="O115" s="1092" t="s">
        <v>159</v>
      </c>
      <c r="P115" s="1093"/>
      <c r="Q115" s="1094"/>
      <c r="R115" s="812"/>
      <c r="S115" s="1095"/>
      <c r="T115" s="813"/>
      <c r="U115" s="745"/>
      <c r="V115" s="940"/>
      <c r="W115" s="746"/>
      <c r="X115" s="312"/>
      <c r="Y115" s="308"/>
      <c r="Z115" s="312"/>
      <c r="AA115" s="308"/>
      <c r="AB115" s="312"/>
      <c r="AC115" s="308"/>
      <c r="AD115" s="312"/>
      <c r="AE115" s="308"/>
      <c r="AF115" s="312"/>
      <c r="AG115" s="308"/>
      <c r="AH115" s="312"/>
      <c r="AI115" s="308"/>
      <c r="AJ115" s="117"/>
      <c r="AK115" s="330"/>
      <c r="AL115" s="117"/>
      <c r="AM115" s="330"/>
      <c r="AN115" s="117"/>
      <c r="AO115" s="330"/>
      <c r="AP115" s="117"/>
      <c r="AQ115" s="330"/>
      <c r="AR115" s="117"/>
      <c r="AS115" s="1096" t="s">
        <v>159</v>
      </c>
      <c r="AT115" s="1097"/>
      <c r="AU115" s="1097"/>
      <c r="AV115" s="1097"/>
      <c r="AW115" s="1097"/>
      <c r="AX115" s="1097"/>
      <c r="AY115" s="1100"/>
      <c r="AZ115" s="257"/>
      <c r="BA115" s="257"/>
      <c r="BB115" s="1059" t="s">
        <v>162</v>
      </c>
      <c r="BC115" s="1060"/>
      <c r="BD115" s="1075" t="s">
        <v>159</v>
      </c>
      <c r="BE115" s="1075"/>
      <c r="BF115" s="1075"/>
      <c r="BG115" s="1076" t="s">
        <v>159</v>
      </c>
      <c r="BH115" s="1077"/>
      <c r="BI115" s="1077"/>
      <c r="BJ115" s="1078"/>
      <c r="BK115" s="1065"/>
      <c r="BL115" s="1066"/>
      <c r="BM115" s="1067"/>
      <c r="BN115" s="259"/>
      <c r="BO115" s="259"/>
      <c r="BP115" s="1076"/>
      <c r="BQ115" s="1077"/>
      <c r="BR115" s="1078"/>
      <c r="BS115" s="1075" t="s">
        <v>159</v>
      </c>
      <c r="BT115" s="1075"/>
      <c r="BU115" s="1075"/>
    </row>
    <row r="116" spans="1:73" ht="30" customHeight="1" x14ac:dyDescent="0.25">
      <c r="A116" s="199">
        <f t="shared" si="1"/>
        <v>102</v>
      </c>
      <c r="B116" s="1081" t="s">
        <v>162</v>
      </c>
      <c r="C116" s="1082"/>
      <c r="D116" s="1083" t="s">
        <v>159</v>
      </c>
      <c r="E116" s="1084"/>
      <c r="F116" s="1084"/>
      <c r="G116" s="1085"/>
      <c r="H116" s="1086" t="s">
        <v>159</v>
      </c>
      <c r="I116" s="1087"/>
      <c r="J116" s="1087"/>
      <c r="K116" s="1088"/>
      <c r="L116" s="1089" t="s">
        <v>159</v>
      </c>
      <c r="M116" s="1090"/>
      <c r="N116" s="1091"/>
      <c r="O116" s="1092" t="s">
        <v>159</v>
      </c>
      <c r="P116" s="1093"/>
      <c r="Q116" s="1094"/>
      <c r="R116" s="812"/>
      <c r="S116" s="1095"/>
      <c r="T116" s="813"/>
      <c r="U116" s="745"/>
      <c r="V116" s="940"/>
      <c r="W116" s="746"/>
      <c r="X116" s="312"/>
      <c r="Y116" s="308"/>
      <c r="Z116" s="312"/>
      <c r="AA116" s="308"/>
      <c r="AB116" s="312"/>
      <c r="AC116" s="308"/>
      <c r="AD116" s="312"/>
      <c r="AE116" s="308"/>
      <c r="AF116" s="312"/>
      <c r="AG116" s="308"/>
      <c r="AH116" s="312"/>
      <c r="AI116" s="308"/>
      <c r="AJ116" s="117"/>
      <c r="AK116" s="330"/>
      <c r="AL116" s="117"/>
      <c r="AM116" s="330"/>
      <c r="AN116" s="117"/>
      <c r="AO116" s="330"/>
      <c r="AP116" s="117"/>
      <c r="AQ116" s="330"/>
      <c r="AR116" s="117"/>
      <c r="AS116" s="1096" t="s">
        <v>159</v>
      </c>
      <c r="AT116" s="1097"/>
      <c r="AU116" s="1097"/>
      <c r="AV116" s="1097"/>
      <c r="AW116" s="1097"/>
      <c r="AX116" s="1097"/>
      <c r="AY116" s="1100"/>
      <c r="AZ116" s="257"/>
      <c r="BA116" s="257"/>
      <c r="BB116" s="1059" t="s">
        <v>162</v>
      </c>
      <c r="BC116" s="1060"/>
      <c r="BD116" s="1075" t="s">
        <v>159</v>
      </c>
      <c r="BE116" s="1075"/>
      <c r="BF116" s="1075"/>
      <c r="BG116" s="1076" t="s">
        <v>159</v>
      </c>
      <c r="BH116" s="1077"/>
      <c r="BI116" s="1077"/>
      <c r="BJ116" s="1078"/>
      <c r="BK116" s="1065"/>
      <c r="BL116" s="1066"/>
      <c r="BM116" s="1067"/>
      <c r="BN116" s="259"/>
      <c r="BO116" s="259"/>
      <c r="BP116" s="1076"/>
      <c r="BQ116" s="1077"/>
      <c r="BR116" s="1078"/>
      <c r="BS116" s="1075" t="s">
        <v>159</v>
      </c>
      <c r="BT116" s="1075"/>
      <c r="BU116" s="1075"/>
    </row>
    <row r="117" spans="1:73" ht="30" customHeight="1" x14ac:dyDescent="0.25">
      <c r="A117" s="199">
        <f t="shared" si="1"/>
        <v>103</v>
      </c>
      <c r="B117" s="1081" t="s">
        <v>162</v>
      </c>
      <c r="C117" s="1082"/>
      <c r="D117" s="1083" t="s">
        <v>159</v>
      </c>
      <c r="E117" s="1084"/>
      <c r="F117" s="1084"/>
      <c r="G117" s="1085"/>
      <c r="H117" s="1086" t="s">
        <v>159</v>
      </c>
      <c r="I117" s="1087"/>
      <c r="J117" s="1087"/>
      <c r="K117" s="1088"/>
      <c r="L117" s="1089" t="s">
        <v>159</v>
      </c>
      <c r="M117" s="1090"/>
      <c r="N117" s="1091"/>
      <c r="O117" s="1092" t="s">
        <v>159</v>
      </c>
      <c r="P117" s="1093"/>
      <c r="Q117" s="1094"/>
      <c r="R117" s="812"/>
      <c r="S117" s="1095"/>
      <c r="T117" s="813"/>
      <c r="U117" s="745"/>
      <c r="V117" s="940"/>
      <c r="W117" s="746"/>
      <c r="X117" s="312"/>
      <c r="Y117" s="308"/>
      <c r="Z117" s="312"/>
      <c r="AA117" s="308"/>
      <c r="AB117" s="312"/>
      <c r="AC117" s="308"/>
      <c r="AD117" s="312"/>
      <c r="AE117" s="308"/>
      <c r="AF117" s="312"/>
      <c r="AG117" s="308"/>
      <c r="AH117" s="312"/>
      <c r="AI117" s="308"/>
      <c r="AJ117" s="117"/>
      <c r="AK117" s="330"/>
      <c r="AL117" s="117"/>
      <c r="AM117" s="330"/>
      <c r="AN117" s="117"/>
      <c r="AO117" s="330"/>
      <c r="AP117" s="117"/>
      <c r="AQ117" s="330"/>
      <c r="AR117" s="117"/>
      <c r="AS117" s="1096" t="s">
        <v>159</v>
      </c>
      <c r="AT117" s="1097"/>
      <c r="AU117" s="1097"/>
      <c r="AV117" s="1097"/>
      <c r="AW117" s="1097"/>
      <c r="AX117" s="1097"/>
      <c r="AY117" s="1100"/>
      <c r="AZ117" s="257"/>
      <c r="BA117" s="257"/>
      <c r="BB117" s="1059" t="s">
        <v>162</v>
      </c>
      <c r="BC117" s="1060"/>
      <c r="BD117" s="1075" t="s">
        <v>159</v>
      </c>
      <c r="BE117" s="1075"/>
      <c r="BF117" s="1075"/>
      <c r="BG117" s="1076" t="s">
        <v>159</v>
      </c>
      <c r="BH117" s="1077"/>
      <c r="BI117" s="1077"/>
      <c r="BJ117" s="1078"/>
      <c r="BK117" s="1065"/>
      <c r="BL117" s="1066"/>
      <c r="BM117" s="1067"/>
      <c r="BN117" s="259"/>
      <c r="BO117" s="259"/>
      <c r="BP117" s="1076"/>
      <c r="BQ117" s="1077"/>
      <c r="BR117" s="1078"/>
      <c r="BS117" s="1075" t="s">
        <v>159</v>
      </c>
      <c r="BT117" s="1075"/>
      <c r="BU117" s="1075"/>
    </row>
    <row r="118" spans="1:73" ht="30" customHeight="1" x14ac:dyDescent="0.25">
      <c r="A118" s="199">
        <f t="shared" si="1"/>
        <v>104</v>
      </c>
      <c r="B118" s="1081" t="s">
        <v>162</v>
      </c>
      <c r="C118" s="1082"/>
      <c r="D118" s="1083" t="s">
        <v>159</v>
      </c>
      <c r="E118" s="1084"/>
      <c r="F118" s="1084"/>
      <c r="G118" s="1085"/>
      <c r="H118" s="1086" t="s">
        <v>159</v>
      </c>
      <c r="I118" s="1087"/>
      <c r="J118" s="1087"/>
      <c r="K118" s="1088"/>
      <c r="L118" s="1089" t="s">
        <v>159</v>
      </c>
      <c r="M118" s="1090"/>
      <c r="N118" s="1091"/>
      <c r="O118" s="1092" t="s">
        <v>159</v>
      </c>
      <c r="P118" s="1093"/>
      <c r="Q118" s="1094"/>
      <c r="R118" s="812"/>
      <c r="S118" s="1095"/>
      <c r="T118" s="813"/>
      <c r="U118" s="745"/>
      <c r="V118" s="940"/>
      <c r="W118" s="746"/>
      <c r="X118" s="312"/>
      <c r="Y118" s="308"/>
      <c r="Z118" s="312"/>
      <c r="AA118" s="308"/>
      <c r="AB118" s="312"/>
      <c r="AC118" s="308"/>
      <c r="AD118" s="312"/>
      <c r="AE118" s="308"/>
      <c r="AF118" s="312"/>
      <c r="AG118" s="308"/>
      <c r="AH118" s="312"/>
      <c r="AI118" s="308"/>
      <c r="AJ118" s="117"/>
      <c r="AK118" s="330"/>
      <c r="AL118" s="117"/>
      <c r="AM118" s="330"/>
      <c r="AN118" s="117"/>
      <c r="AO118" s="330"/>
      <c r="AP118" s="117"/>
      <c r="AQ118" s="330"/>
      <c r="AR118" s="117"/>
      <c r="AS118" s="1096" t="s">
        <v>159</v>
      </c>
      <c r="AT118" s="1097"/>
      <c r="AU118" s="1097"/>
      <c r="AV118" s="1097"/>
      <c r="AW118" s="1097"/>
      <c r="AX118" s="1097"/>
      <c r="AY118" s="1100"/>
      <c r="AZ118" s="257"/>
      <c r="BA118" s="257"/>
      <c r="BB118" s="1059" t="s">
        <v>162</v>
      </c>
      <c r="BC118" s="1060"/>
      <c r="BD118" s="1075" t="s">
        <v>159</v>
      </c>
      <c r="BE118" s="1075"/>
      <c r="BF118" s="1075"/>
      <c r="BG118" s="1076" t="s">
        <v>159</v>
      </c>
      <c r="BH118" s="1077"/>
      <c r="BI118" s="1077"/>
      <c r="BJ118" s="1078"/>
      <c r="BK118" s="1065"/>
      <c r="BL118" s="1066"/>
      <c r="BM118" s="1067"/>
      <c r="BN118" s="259"/>
      <c r="BO118" s="259"/>
      <c r="BP118" s="1076"/>
      <c r="BQ118" s="1077"/>
      <c r="BR118" s="1078"/>
      <c r="BS118" s="1075" t="s">
        <v>159</v>
      </c>
      <c r="BT118" s="1075"/>
      <c r="BU118" s="1075"/>
    </row>
    <row r="119" spans="1:73" ht="30" customHeight="1" x14ac:dyDescent="0.25">
      <c r="A119" s="199">
        <f t="shared" si="1"/>
        <v>105</v>
      </c>
      <c r="B119" s="1081" t="s">
        <v>162</v>
      </c>
      <c r="C119" s="1082"/>
      <c r="D119" s="1083" t="s">
        <v>159</v>
      </c>
      <c r="E119" s="1084"/>
      <c r="F119" s="1084"/>
      <c r="G119" s="1085"/>
      <c r="H119" s="1086" t="s">
        <v>159</v>
      </c>
      <c r="I119" s="1087"/>
      <c r="J119" s="1087"/>
      <c r="K119" s="1088"/>
      <c r="L119" s="1089" t="s">
        <v>159</v>
      </c>
      <c r="M119" s="1090"/>
      <c r="N119" s="1091"/>
      <c r="O119" s="1092" t="s">
        <v>159</v>
      </c>
      <c r="P119" s="1093"/>
      <c r="Q119" s="1094"/>
      <c r="R119" s="812"/>
      <c r="S119" s="1095"/>
      <c r="T119" s="813"/>
      <c r="U119" s="745"/>
      <c r="V119" s="940"/>
      <c r="W119" s="746"/>
      <c r="X119" s="312"/>
      <c r="Y119" s="308"/>
      <c r="Z119" s="312"/>
      <c r="AA119" s="308"/>
      <c r="AB119" s="312"/>
      <c r="AC119" s="308"/>
      <c r="AD119" s="312"/>
      <c r="AE119" s="308"/>
      <c r="AF119" s="312"/>
      <c r="AG119" s="308"/>
      <c r="AH119" s="312"/>
      <c r="AI119" s="308"/>
      <c r="AJ119" s="117"/>
      <c r="AK119" s="330"/>
      <c r="AL119" s="117"/>
      <c r="AM119" s="330"/>
      <c r="AN119" s="117"/>
      <c r="AO119" s="330"/>
      <c r="AP119" s="117"/>
      <c r="AQ119" s="330"/>
      <c r="AR119" s="117"/>
      <c r="AS119" s="1096" t="s">
        <v>159</v>
      </c>
      <c r="AT119" s="1097"/>
      <c r="AU119" s="1097"/>
      <c r="AV119" s="1097"/>
      <c r="AW119" s="1097"/>
      <c r="AX119" s="1097"/>
      <c r="AY119" s="1100"/>
      <c r="AZ119" s="257"/>
      <c r="BA119" s="257"/>
      <c r="BB119" s="1059" t="s">
        <v>162</v>
      </c>
      <c r="BC119" s="1060"/>
      <c r="BD119" s="1075" t="s">
        <v>159</v>
      </c>
      <c r="BE119" s="1075"/>
      <c r="BF119" s="1075"/>
      <c r="BG119" s="1076" t="s">
        <v>159</v>
      </c>
      <c r="BH119" s="1077"/>
      <c r="BI119" s="1077"/>
      <c r="BJ119" s="1078"/>
      <c r="BK119" s="1065"/>
      <c r="BL119" s="1066"/>
      <c r="BM119" s="1067"/>
      <c r="BN119" s="259"/>
      <c r="BO119" s="259"/>
      <c r="BP119" s="1076"/>
      <c r="BQ119" s="1077"/>
      <c r="BR119" s="1078"/>
      <c r="BS119" s="1075" t="s">
        <v>159</v>
      </c>
      <c r="BT119" s="1075"/>
      <c r="BU119" s="1075"/>
    </row>
    <row r="120" spans="1:73" ht="30" customHeight="1" x14ac:dyDescent="0.25">
      <c r="A120" s="199">
        <f t="shared" si="1"/>
        <v>106</v>
      </c>
      <c r="B120" s="1081" t="s">
        <v>162</v>
      </c>
      <c r="C120" s="1082"/>
      <c r="D120" s="1083" t="s">
        <v>159</v>
      </c>
      <c r="E120" s="1084"/>
      <c r="F120" s="1084"/>
      <c r="G120" s="1085"/>
      <c r="H120" s="1086" t="s">
        <v>159</v>
      </c>
      <c r="I120" s="1087"/>
      <c r="J120" s="1087"/>
      <c r="K120" s="1088"/>
      <c r="L120" s="1089" t="s">
        <v>159</v>
      </c>
      <c r="M120" s="1090"/>
      <c r="N120" s="1091"/>
      <c r="O120" s="1092" t="s">
        <v>159</v>
      </c>
      <c r="P120" s="1093"/>
      <c r="Q120" s="1094"/>
      <c r="R120" s="812"/>
      <c r="S120" s="1095"/>
      <c r="T120" s="813"/>
      <c r="U120" s="745"/>
      <c r="V120" s="940"/>
      <c r="W120" s="746"/>
      <c r="X120" s="312"/>
      <c r="Y120" s="308"/>
      <c r="Z120" s="312"/>
      <c r="AA120" s="308"/>
      <c r="AB120" s="312"/>
      <c r="AC120" s="308"/>
      <c r="AD120" s="312"/>
      <c r="AE120" s="308"/>
      <c r="AF120" s="312"/>
      <c r="AG120" s="308"/>
      <c r="AH120" s="312"/>
      <c r="AI120" s="308"/>
      <c r="AJ120" s="117"/>
      <c r="AK120" s="330"/>
      <c r="AL120" s="117"/>
      <c r="AM120" s="330"/>
      <c r="AN120" s="117"/>
      <c r="AO120" s="330"/>
      <c r="AP120" s="117"/>
      <c r="AQ120" s="330"/>
      <c r="AR120" s="117"/>
      <c r="AS120" s="1096" t="s">
        <v>159</v>
      </c>
      <c r="AT120" s="1097"/>
      <c r="AU120" s="1097"/>
      <c r="AV120" s="1097"/>
      <c r="AW120" s="1097"/>
      <c r="AX120" s="1097"/>
      <c r="AY120" s="1100"/>
      <c r="AZ120" s="257"/>
      <c r="BA120" s="257"/>
      <c r="BB120" s="1079" t="s">
        <v>162</v>
      </c>
      <c r="BC120" s="1080"/>
      <c r="BD120" s="1075" t="s">
        <v>159</v>
      </c>
      <c r="BE120" s="1075"/>
      <c r="BF120" s="1075"/>
      <c r="BG120" s="1076" t="s">
        <v>159</v>
      </c>
      <c r="BH120" s="1077"/>
      <c r="BI120" s="1077"/>
      <c r="BJ120" s="1078"/>
      <c r="BK120" s="1065"/>
      <c r="BL120" s="1066"/>
      <c r="BM120" s="1067"/>
      <c r="BN120" s="259"/>
      <c r="BO120" s="259"/>
      <c r="BP120" s="1076"/>
      <c r="BQ120" s="1077"/>
      <c r="BR120" s="1078"/>
      <c r="BS120" s="1075" t="s">
        <v>159</v>
      </c>
      <c r="BT120" s="1075"/>
      <c r="BU120" s="1075"/>
    </row>
    <row r="121" spans="1:73" ht="30" customHeight="1" x14ac:dyDescent="0.25">
      <c r="A121" s="199">
        <f t="shared" si="1"/>
        <v>107</v>
      </c>
      <c r="B121" s="1081" t="s">
        <v>162</v>
      </c>
      <c r="C121" s="1082"/>
      <c r="D121" s="1083" t="s">
        <v>159</v>
      </c>
      <c r="E121" s="1084"/>
      <c r="F121" s="1084"/>
      <c r="G121" s="1085"/>
      <c r="H121" s="1086" t="s">
        <v>159</v>
      </c>
      <c r="I121" s="1087"/>
      <c r="J121" s="1087"/>
      <c r="K121" s="1088"/>
      <c r="L121" s="1089" t="s">
        <v>159</v>
      </c>
      <c r="M121" s="1090"/>
      <c r="N121" s="1091"/>
      <c r="O121" s="1092" t="s">
        <v>159</v>
      </c>
      <c r="P121" s="1093"/>
      <c r="Q121" s="1094"/>
      <c r="R121" s="812"/>
      <c r="S121" s="1095"/>
      <c r="T121" s="813"/>
      <c r="U121" s="745"/>
      <c r="V121" s="940"/>
      <c r="W121" s="746"/>
      <c r="X121" s="312"/>
      <c r="Y121" s="308"/>
      <c r="Z121" s="312"/>
      <c r="AA121" s="308"/>
      <c r="AB121" s="312"/>
      <c r="AC121" s="308"/>
      <c r="AD121" s="312"/>
      <c r="AE121" s="308"/>
      <c r="AF121" s="312"/>
      <c r="AG121" s="308"/>
      <c r="AH121" s="312"/>
      <c r="AI121" s="308"/>
      <c r="AJ121" s="117"/>
      <c r="AK121" s="330"/>
      <c r="AL121" s="117"/>
      <c r="AM121" s="330"/>
      <c r="AN121" s="117"/>
      <c r="AO121" s="330"/>
      <c r="AP121" s="117"/>
      <c r="AQ121" s="330"/>
      <c r="AR121" s="117"/>
      <c r="AS121" s="1096" t="s">
        <v>159</v>
      </c>
      <c r="AT121" s="1097"/>
      <c r="AU121" s="1097"/>
      <c r="AV121" s="1097"/>
      <c r="AW121" s="1097"/>
      <c r="AX121" s="1097"/>
      <c r="AY121" s="1100"/>
      <c r="AZ121" s="257"/>
      <c r="BA121" s="257"/>
      <c r="BB121" s="1059" t="s">
        <v>162</v>
      </c>
      <c r="BC121" s="1060"/>
      <c r="BD121" s="1075" t="s">
        <v>159</v>
      </c>
      <c r="BE121" s="1075"/>
      <c r="BF121" s="1075"/>
      <c r="BG121" s="1076" t="s">
        <v>159</v>
      </c>
      <c r="BH121" s="1077"/>
      <c r="BI121" s="1077"/>
      <c r="BJ121" s="1078"/>
      <c r="BK121" s="1065"/>
      <c r="BL121" s="1066"/>
      <c r="BM121" s="1067"/>
      <c r="BN121" s="259"/>
      <c r="BO121" s="259"/>
      <c r="BP121" s="1076"/>
      <c r="BQ121" s="1077"/>
      <c r="BR121" s="1078"/>
      <c r="BS121" s="1075" t="s">
        <v>159</v>
      </c>
      <c r="BT121" s="1075"/>
      <c r="BU121" s="1075"/>
    </row>
    <row r="122" spans="1:73" ht="30" customHeight="1" x14ac:dyDescent="0.25">
      <c r="A122" s="199">
        <f t="shared" si="1"/>
        <v>108</v>
      </c>
      <c r="B122" s="1081" t="s">
        <v>162</v>
      </c>
      <c r="C122" s="1082"/>
      <c r="D122" s="1083" t="s">
        <v>159</v>
      </c>
      <c r="E122" s="1084"/>
      <c r="F122" s="1084"/>
      <c r="G122" s="1085"/>
      <c r="H122" s="1086" t="s">
        <v>159</v>
      </c>
      <c r="I122" s="1087"/>
      <c r="J122" s="1087"/>
      <c r="K122" s="1088"/>
      <c r="L122" s="1089" t="s">
        <v>159</v>
      </c>
      <c r="M122" s="1090"/>
      <c r="N122" s="1091"/>
      <c r="O122" s="1092" t="s">
        <v>159</v>
      </c>
      <c r="P122" s="1093"/>
      <c r="Q122" s="1094"/>
      <c r="R122" s="812"/>
      <c r="S122" s="1095"/>
      <c r="T122" s="813"/>
      <c r="U122" s="745"/>
      <c r="V122" s="940"/>
      <c r="W122" s="746"/>
      <c r="X122" s="312"/>
      <c r="Y122" s="308"/>
      <c r="Z122" s="312"/>
      <c r="AA122" s="308"/>
      <c r="AB122" s="312"/>
      <c r="AC122" s="308"/>
      <c r="AD122" s="312"/>
      <c r="AE122" s="308"/>
      <c r="AF122" s="312"/>
      <c r="AG122" s="308"/>
      <c r="AH122" s="312"/>
      <c r="AI122" s="308"/>
      <c r="AJ122" s="117"/>
      <c r="AK122" s="330"/>
      <c r="AL122" s="117"/>
      <c r="AM122" s="330"/>
      <c r="AN122" s="117"/>
      <c r="AO122" s="330"/>
      <c r="AP122" s="117"/>
      <c r="AQ122" s="330"/>
      <c r="AR122" s="117"/>
      <c r="AS122" s="1096" t="s">
        <v>159</v>
      </c>
      <c r="AT122" s="1097"/>
      <c r="AU122" s="1097"/>
      <c r="AV122" s="1097"/>
      <c r="AW122" s="1097"/>
      <c r="AX122" s="1097"/>
      <c r="AY122" s="1100"/>
      <c r="AZ122" s="257"/>
      <c r="BA122" s="257"/>
      <c r="BB122" s="1059" t="s">
        <v>162</v>
      </c>
      <c r="BC122" s="1060"/>
      <c r="BD122" s="1075" t="s">
        <v>159</v>
      </c>
      <c r="BE122" s="1075"/>
      <c r="BF122" s="1075"/>
      <c r="BG122" s="1076" t="s">
        <v>159</v>
      </c>
      <c r="BH122" s="1077"/>
      <c r="BI122" s="1077"/>
      <c r="BJ122" s="1078"/>
      <c r="BK122" s="1065"/>
      <c r="BL122" s="1066"/>
      <c r="BM122" s="1067"/>
      <c r="BN122" s="259"/>
      <c r="BO122" s="259"/>
      <c r="BP122" s="1076"/>
      <c r="BQ122" s="1077"/>
      <c r="BR122" s="1078"/>
      <c r="BS122" s="1075" t="s">
        <v>159</v>
      </c>
      <c r="BT122" s="1075"/>
      <c r="BU122" s="1075"/>
    </row>
    <row r="123" spans="1:73" ht="30" customHeight="1" x14ac:dyDescent="0.25">
      <c r="A123" s="199">
        <f t="shared" si="1"/>
        <v>109</v>
      </c>
      <c r="B123" s="1081" t="s">
        <v>162</v>
      </c>
      <c r="C123" s="1082"/>
      <c r="D123" s="1083" t="s">
        <v>159</v>
      </c>
      <c r="E123" s="1084"/>
      <c r="F123" s="1084"/>
      <c r="G123" s="1085"/>
      <c r="H123" s="1086" t="s">
        <v>159</v>
      </c>
      <c r="I123" s="1087"/>
      <c r="J123" s="1087"/>
      <c r="K123" s="1088"/>
      <c r="L123" s="1089" t="s">
        <v>159</v>
      </c>
      <c r="M123" s="1090"/>
      <c r="N123" s="1091"/>
      <c r="O123" s="1092" t="s">
        <v>159</v>
      </c>
      <c r="P123" s="1093"/>
      <c r="Q123" s="1094"/>
      <c r="R123" s="812"/>
      <c r="S123" s="1095"/>
      <c r="T123" s="813"/>
      <c r="U123" s="745"/>
      <c r="V123" s="940"/>
      <c r="W123" s="746"/>
      <c r="X123" s="312"/>
      <c r="Y123" s="308"/>
      <c r="Z123" s="312"/>
      <c r="AA123" s="308"/>
      <c r="AB123" s="312"/>
      <c r="AC123" s="308"/>
      <c r="AD123" s="312"/>
      <c r="AE123" s="308"/>
      <c r="AF123" s="312"/>
      <c r="AG123" s="308"/>
      <c r="AH123" s="312"/>
      <c r="AI123" s="308"/>
      <c r="AJ123" s="117"/>
      <c r="AK123" s="330"/>
      <c r="AL123" s="117"/>
      <c r="AM123" s="330"/>
      <c r="AN123" s="117"/>
      <c r="AO123" s="330"/>
      <c r="AP123" s="117"/>
      <c r="AQ123" s="330"/>
      <c r="AR123" s="117"/>
      <c r="AS123" s="1096" t="s">
        <v>159</v>
      </c>
      <c r="AT123" s="1097"/>
      <c r="AU123" s="1097"/>
      <c r="AV123" s="1097"/>
      <c r="AW123" s="1097"/>
      <c r="AX123" s="1097"/>
      <c r="AY123" s="1100"/>
      <c r="AZ123" s="257"/>
      <c r="BA123" s="257"/>
      <c r="BB123" s="1059" t="s">
        <v>162</v>
      </c>
      <c r="BC123" s="1060"/>
      <c r="BD123" s="1075" t="s">
        <v>159</v>
      </c>
      <c r="BE123" s="1075"/>
      <c r="BF123" s="1075"/>
      <c r="BG123" s="1076" t="s">
        <v>159</v>
      </c>
      <c r="BH123" s="1077"/>
      <c r="BI123" s="1077"/>
      <c r="BJ123" s="1078"/>
      <c r="BK123" s="1065"/>
      <c r="BL123" s="1066"/>
      <c r="BM123" s="1067"/>
      <c r="BN123" s="259"/>
      <c r="BO123" s="259"/>
      <c r="BP123" s="1076"/>
      <c r="BQ123" s="1077"/>
      <c r="BR123" s="1078"/>
      <c r="BS123" s="1075" t="s">
        <v>159</v>
      </c>
      <c r="BT123" s="1075"/>
      <c r="BU123" s="1075"/>
    </row>
    <row r="124" spans="1:73" ht="30" customHeight="1" x14ac:dyDescent="0.25">
      <c r="A124" s="199">
        <f t="shared" si="1"/>
        <v>110</v>
      </c>
      <c r="B124" s="1081" t="s">
        <v>162</v>
      </c>
      <c r="C124" s="1082"/>
      <c r="D124" s="1083" t="s">
        <v>159</v>
      </c>
      <c r="E124" s="1084"/>
      <c r="F124" s="1084"/>
      <c r="G124" s="1085"/>
      <c r="H124" s="1086" t="s">
        <v>159</v>
      </c>
      <c r="I124" s="1087"/>
      <c r="J124" s="1087"/>
      <c r="K124" s="1088"/>
      <c r="L124" s="1089" t="s">
        <v>159</v>
      </c>
      <c r="M124" s="1090"/>
      <c r="N124" s="1091"/>
      <c r="O124" s="1092" t="s">
        <v>159</v>
      </c>
      <c r="P124" s="1093"/>
      <c r="Q124" s="1094"/>
      <c r="R124" s="812"/>
      <c r="S124" s="1095"/>
      <c r="T124" s="813"/>
      <c r="U124" s="745"/>
      <c r="V124" s="940"/>
      <c r="W124" s="746"/>
      <c r="X124" s="312"/>
      <c r="Y124" s="308"/>
      <c r="Z124" s="312"/>
      <c r="AA124" s="308"/>
      <c r="AB124" s="312"/>
      <c r="AC124" s="308"/>
      <c r="AD124" s="312"/>
      <c r="AE124" s="308"/>
      <c r="AF124" s="312"/>
      <c r="AG124" s="308"/>
      <c r="AH124" s="312"/>
      <c r="AI124" s="308"/>
      <c r="AJ124" s="117"/>
      <c r="AK124" s="330"/>
      <c r="AL124" s="117"/>
      <c r="AM124" s="330"/>
      <c r="AN124" s="117"/>
      <c r="AO124" s="330"/>
      <c r="AP124" s="117"/>
      <c r="AQ124" s="330"/>
      <c r="AR124" s="117"/>
      <c r="AS124" s="1096" t="s">
        <v>159</v>
      </c>
      <c r="AT124" s="1097"/>
      <c r="AU124" s="1097"/>
      <c r="AV124" s="1097"/>
      <c r="AW124" s="1097"/>
      <c r="AX124" s="1097"/>
      <c r="AY124" s="1100"/>
      <c r="AZ124" s="257"/>
      <c r="BA124" s="257"/>
      <c r="BB124" s="1059" t="s">
        <v>162</v>
      </c>
      <c r="BC124" s="1060"/>
      <c r="BD124" s="1075" t="s">
        <v>159</v>
      </c>
      <c r="BE124" s="1075"/>
      <c r="BF124" s="1075"/>
      <c r="BG124" s="1076" t="s">
        <v>159</v>
      </c>
      <c r="BH124" s="1077"/>
      <c r="BI124" s="1077"/>
      <c r="BJ124" s="1078"/>
      <c r="BK124" s="1065"/>
      <c r="BL124" s="1066"/>
      <c r="BM124" s="1067"/>
      <c r="BN124" s="259"/>
      <c r="BO124" s="259"/>
      <c r="BP124" s="1076"/>
      <c r="BQ124" s="1077"/>
      <c r="BR124" s="1078"/>
      <c r="BS124" s="1075" t="s">
        <v>159</v>
      </c>
      <c r="BT124" s="1075"/>
      <c r="BU124" s="1075"/>
    </row>
    <row r="125" spans="1:73" ht="30" customHeight="1" x14ac:dyDescent="0.25">
      <c r="A125" s="199">
        <f t="shared" si="1"/>
        <v>111</v>
      </c>
      <c r="B125" s="1081" t="s">
        <v>162</v>
      </c>
      <c r="C125" s="1082"/>
      <c r="D125" s="1083" t="s">
        <v>159</v>
      </c>
      <c r="E125" s="1084"/>
      <c r="F125" s="1084"/>
      <c r="G125" s="1085"/>
      <c r="H125" s="1086" t="s">
        <v>159</v>
      </c>
      <c r="I125" s="1087"/>
      <c r="J125" s="1087"/>
      <c r="K125" s="1088"/>
      <c r="L125" s="1089" t="s">
        <v>159</v>
      </c>
      <c r="M125" s="1090"/>
      <c r="N125" s="1091"/>
      <c r="O125" s="1092" t="s">
        <v>159</v>
      </c>
      <c r="P125" s="1093"/>
      <c r="Q125" s="1094"/>
      <c r="R125" s="812"/>
      <c r="S125" s="1095"/>
      <c r="T125" s="813"/>
      <c r="U125" s="745"/>
      <c r="V125" s="940"/>
      <c r="W125" s="746"/>
      <c r="X125" s="312"/>
      <c r="Y125" s="308"/>
      <c r="Z125" s="312"/>
      <c r="AA125" s="308"/>
      <c r="AB125" s="312"/>
      <c r="AC125" s="308"/>
      <c r="AD125" s="312"/>
      <c r="AE125" s="308"/>
      <c r="AF125" s="312"/>
      <c r="AG125" s="308"/>
      <c r="AH125" s="312"/>
      <c r="AI125" s="308"/>
      <c r="AJ125" s="117"/>
      <c r="AK125" s="330"/>
      <c r="AL125" s="117"/>
      <c r="AM125" s="330"/>
      <c r="AN125" s="117"/>
      <c r="AO125" s="330"/>
      <c r="AP125" s="117"/>
      <c r="AQ125" s="330"/>
      <c r="AR125" s="117"/>
      <c r="AS125" s="1096" t="s">
        <v>159</v>
      </c>
      <c r="AT125" s="1097"/>
      <c r="AU125" s="1097"/>
      <c r="AV125" s="1097"/>
      <c r="AW125" s="1097"/>
      <c r="AX125" s="1097"/>
      <c r="AY125" s="1100"/>
      <c r="AZ125" s="257"/>
      <c r="BA125" s="257"/>
      <c r="BB125" s="1059" t="s">
        <v>162</v>
      </c>
      <c r="BC125" s="1060"/>
      <c r="BD125" s="1075" t="s">
        <v>159</v>
      </c>
      <c r="BE125" s="1075"/>
      <c r="BF125" s="1075"/>
      <c r="BG125" s="1076" t="s">
        <v>159</v>
      </c>
      <c r="BH125" s="1077"/>
      <c r="BI125" s="1077"/>
      <c r="BJ125" s="1078"/>
      <c r="BK125" s="1065"/>
      <c r="BL125" s="1066"/>
      <c r="BM125" s="1067"/>
      <c r="BN125" s="259"/>
      <c r="BO125" s="259"/>
      <c r="BP125" s="1076"/>
      <c r="BQ125" s="1077"/>
      <c r="BR125" s="1078"/>
      <c r="BS125" s="1075" t="s">
        <v>159</v>
      </c>
      <c r="BT125" s="1075"/>
      <c r="BU125" s="1075"/>
    </row>
    <row r="126" spans="1:73" ht="30" customHeight="1" x14ac:dyDescent="0.25">
      <c r="A126" s="199">
        <f t="shared" si="1"/>
        <v>112</v>
      </c>
      <c r="B126" s="1081" t="s">
        <v>162</v>
      </c>
      <c r="C126" s="1082"/>
      <c r="D126" s="1083" t="s">
        <v>159</v>
      </c>
      <c r="E126" s="1084"/>
      <c r="F126" s="1084"/>
      <c r="G126" s="1085"/>
      <c r="H126" s="1086" t="s">
        <v>159</v>
      </c>
      <c r="I126" s="1087"/>
      <c r="J126" s="1087"/>
      <c r="K126" s="1088"/>
      <c r="L126" s="1089" t="s">
        <v>159</v>
      </c>
      <c r="M126" s="1090"/>
      <c r="N126" s="1091"/>
      <c r="O126" s="1092" t="s">
        <v>159</v>
      </c>
      <c r="P126" s="1093"/>
      <c r="Q126" s="1094"/>
      <c r="R126" s="812"/>
      <c r="S126" s="1095"/>
      <c r="T126" s="813"/>
      <c r="U126" s="745"/>
      <c r="V126" s="940"/>
      <c r="W126" s="746"/>
      <c r="X126" s="312"/>
      <c r="Y126" s="308"/>
      <c r="Z126" s="312"/>
      <c r="AA126" s="308"/>
      <c r="AB126" s="312"/>
      <c r="AC126" s="308"/>
      <c r="AD126" s="312"/>
      <c r="AE126" s="308"/>
      <c r="AF126" s="312"/>
      <c r="AG126" s="308"/>
      <c r="AH126" s="312"/>
      <c r="AI126" s="308"/>
      <c r="AJ126" s="117"/>
      <c r="AK126" s="330"/>
      <c r="AL126" s="117"/>
      <c r="AM126" s="330"/>
      <c r="AN126" s="117"/>
      <c r="AO126" s="330"/>
      <c r="AP126" s="117"/>
      <c r="AQ126" s="330"/>
      <c r="AR126" s="117"/>
      <c r="AS126" s="1096" t="s">
        <v>159</v>
      </c>
      <c r="AT126" s="1097"/>
      <c r="AU126" s="1097"/>
      <c r="AV126" s="1097"/>
      <c r="AW126" s="1097"/>
      <c r="AX126" s="1097"/>
      <c r="AY126" s="1100"/>
      <c r="AZ126" s="257"/>
      <c r="BA126" s="257"/>
      <c r="BB126" s="1059" t="s">
        <v>162</v>
      </c>
      <c r="BC126" s="1060"/>
      <c r="BD126" s="1075" t="s">
        <v>159</v>
      </c>
      <c r="BE126" s="1075"/>
      <c r="BF126" s="1075"/>
      <c r="BG126" s="1076" t="s">
        <v>159</v>
      </c>
      <c r="BH126" s="1077"/>
      <c r="BI126" s="1077"/>
      <c r="BJ126" s="1078"/>
      <c r="BK126" s="1065"/>
      <c r="BL126" s="1066"/>
      <c r="BM126" s="1067"/>
      <c r="BN126" s="259"/>
      <c r="BO126" s="259"/>
      <c r="BP126" s="1076"/>
      <c r="BQ126" s="1077"/>
      <c r="BR126" s="1078"/>
      <c r="BS126" s="1075" t="s">
        <v>159</v>
      </c>
      <c r="BT126" s="1075"/>
      <c r="BU126" s="1075"/>
    </row>
    <row r="127" spans="1:73" ht="30" customHeight="1" x14ac:dyDescent="0.25">
      <c r="A127" s="199">
        <f t="shared" si="1"/>
        <v>113</v>
      </c>
      <c r="B127" s="1081" t="s">
        <v>162</v>
      </c>
      <c r="C127" s="1082"/>
      <c r="D127" s="1083" t="s">
        <v>159</v>
      </c>
      <c r="E127" s="1084"/>
      <c r="F127" s="1084"/>
      <c r="G127" s="1085"/>
      <c r="H127" s="1086" t="s">
        <v>159</v>
      </c>
      <c r="I127" s="1087"/>
      <c r="J127" s="1087"/>
      <c r="K127" s="1088"/>
      <c r="L127" s="1089" t="s">
        <v>159</v>
      </c>
      <c r="M127" s="1090"/>
      <c r="N127" s="1091"/>
      <c r="O127" s="1092" t="s">
        <v>159</v>
      </c>
      <c r="P127" s="1093"/>
      <c r="Q127" s="1094"/>
      <c r="R127" s="812"/>
      <c r="S127" s="1095"/>
      <c r="T127" s="813"/>
      <c r="U127" s="745"/>
      <c r="V127" s="940"/>
      <c r="W127" s="746"/>
      <c r="X127" s="312"/>
      <c r="Y127" s="308"/>
      <c r="Z127" s="312"/>
      <c r="AA127" s="308"/>
      <c r="AB127" s="312"/>
      <c r="AC127" s="308"/>
      <c r="AD127" s="312"/>
      <c r="AE127" s="308"/>
      <c r="AF127" s="312"/>
      <c r="AG127" s="308"/>
      <c r="AH127" s="312"/>
      <c r="AI127" s="308"/>
      <c r="AJ127" s="117"/>
      <c r="AK127" s="330"/>
      <c r="AL127" s="117"/>
      <c r="AM127" s="330"/>
      <c r="AN127" s="117"/>
      <c r="AO127" s="330"/>
      <c r="AP127" s="117"/>
      <c r="AQ127" s="330"/>
      <c r="AR127" s="117"/>
      <c r="AS127" s="1096" t="s">
        <v>159</v>
      </c>
      <c r="AT127" s="1097"/>
      <c r="AU127" s="1097"/>
      <c r="AV127" s="1097"/>
      <c r="AW127" s="1097"/>
      <c r="AX127" s="1097"/>
      <c r="AY127" s="1100"/>
      <c r="AZ127" s="257"/>
      <c r="BA127" s="257"/>
      <c r="BB127" s="1079" t="s">
        <v>162</v>
      </c>
      <c r="BC127" s="1080"/>
      <c r="BD127" s="1075" t="s">
        <v>159</v>
      </c>
      <c r="BE127" s="1075"/>
      <c r="BF127" s="1075"/>
      <c r="BG127" s="1076" t="s">
        <v>159</v>
      </c>
      <c r="BH127" s="1077"/>
      <c r="BI127" s="1077"/>
      <c r="BJ127" s="1078"/>
      <c r="BK127" s="1065"/>
      <c r="BL127" s="1066"/>
      <c r="BM127" s="1067"/>
      <c r="BN127" s="259"/>
      <c r="BO127" s="259"/>
      <c r="BP127" s="1076"/>
      <c r="BQ127" s="1077"/>
      <c r="BR127" s="1078"/>
      <c r="BS127" s="1075" t="s">
        <v>159</v>
      </c>
      <c r="BT127" s="1075"/>
      <c r="BU127" s="1075"/>
    </row>
    <row r="128" spans="1:73" ht="30" customHeight="1" x14ac:dyDescent="0.25">
      <c r="A128" s="199">
        <f t="shared" si="1"/>
        <v>114</v>
      </c>
      <c r="B128" s="1081" t="s">
        <v>162</v>
      </c>
      <c r="C128" s="1082"/>
      <c r="D128" s="1083" t="s">
        <v>159</v>
      </c>
      <c r="E128" s="1084"/>
      <c r="F128" s="1084"/>
      <c r="G128" s="1085"/>
      <c r="H128" s="1086" t="s">
        <v>159</v>
      </c>
      <c r="I128" s="1087"/>
      <c r="J128" s="1087"/>
      <c r="K128" s="1088"/>
      <c r="L128" s="1089" t="s">
        <v>159</v>
      </c>
      <c r="M128" s="1090"/>
      <c r="N128" s="1091"/>
      <c r="O128" s="1092" t="s">
        <v>159</v>
      </c>
      <c r="P128" s="1093"/>
      <c r="Q128" s="1094"/>
      <c r="R128" s="812"/>
      <c r="S128" s="1095"/>
      <c r="T128" s="813"/>
      <c r="U128" s="745"/>
      <c r="V128" s="940"/>
      <c r="W128" s="746"/>
      <c r="X128" s="312"/>
      <c r="Y128" s="308"/>
      <c r="Z128" s="312"/>
      <c r="AA128" s="308"/>
      <c r="AB128" s="312"/>
      <c r="AC128" s="308"/>
      <c r="AD128" s="312"/>
      <c r="AE128" s="308"/>
      <c r="AF128" s="312"/>
      <c r="AG128" s="308"/>
      <c r="AH128" s="312"/>
      <c r="AI128" s="308"/>
      <c r="AJ128" s="117"/>
      <c r="AK128" s="330"/>
      <c r="AL128" s="117"/>
      <c r="AM128" s="330"/>
      <c r="AN128" s="117"/>
      <c r="AO128" s="330"/>
      <c r="AP128" s="117"/>
      <c r="AQ128" s="330"/>
      <c r="AR128" s="117"/>
      <c r="AS128" s="1096" t="s">
        <v>159</v>
      </c>
      <c r="AT128" s="1097"/>
      <c r="AU128" s="1097"/>
      <c r="AV128" s="1097"/>
      <c r="AW128" s="1097"/>
      <c r="AX128" s="1097"/>
      <c r="AY128" s="1100"/>
      <c r="AZ128" s="257"/>
      <c r="BA128" s="257"/>
      <c r="BB128" s="1059" t="s">
        <v>162</v>
      </c>
      <c r="BC128" s="1060"/>
      <c r="BD128" s="1075" t="s">
        <v>159</v>
      </c>
      <c r="BE128" s="1075"/>
      <c r="BF128" s="1075"/>
      <c r="BG128" s="1076" t="s">
        <v>159</v>
      </c>
      <c r="BH128" s="1077"/>
      <c r="BI128" s="1077"/>
      <c r="BJ128" s="1078"/>
      <c r="BK128" s="1065"/>
      <c r="BL128" s="1066"/>
      <c r="BM128" s="1067"/>
      <c r="BN128" s="259"/>
      <c r="BO128" s="259"/>
      <c r="BP128" s="1076"/>
      <c r="BQ128" s="1077"/>
      <c r="BR128" s="1078"/>
      <c r="BS128" s="1075" t="s">
        <v>159</v>
      </c>
      <c r="BT128" s="1075"/>
      <c r="BU128" s="1075"/>
    </row>
    <row r="129" spans="1:73" ht="30" customHeight="1" x14ac:dyDescent="0.25">
      <c r="A129" s="199">
        <f t="shared" si="1"/>
        <v>115</v>
      </c>
      <c r="B129" s="1081" t="s">
        <v>162</v>
      </c>
      <c r="C129" s="1082"/>
      <c r="D129" s="1083" t="s">
        <v>159</v>
      </c>
      <c r="E129" s="1084"/>
      <c r="F129" s="1084"/>
      <c r="G129" s="1085"/>
      <c r="H129" s="1086" t="s">
        <v>159</v>
      </c>
      <c r="I129" s="1087"/>
      <c r="J129" s="1087"/>
      <c r="K129" s="1088"/>
      <c r="L129" s="1089" t="s">
        <v>159</v>
      </c>
      <c r="M129" s="1090"/>
      <c r="N129" s="1091"/>
      <c r="O129" s="1092" t="s">
        <v>159</v>
      </c>
      <c r="P129" s="1093"/>
      <c r="Q129" s="1094"/>
      <c r="R129" s="812"/>
      <c r="S129" s="1095"/>
      <c r="T129" s="813"/>
      <c r="U129" s="745"/>
      <c r="V129" s="940"/>
      <c r="W129" s="746"/>
      <c r="X129" s="312"/>
      <c r="Y129" s="308"/>
      <c r="Z129" s="312"/>
      <c r="AA129" s="308"/>
      <c r="AB129" s="312"/>
      <c r="AC129" s="308"/>
      <c r="AD129" s="312"/>
      <c r="AE129" s="308"/>
      <c r="AF129" s="312"/>
      <c r="AG129" s="308"/>
      <c r="AH129" s="312"/>
      <c r="AI129" s="308"/>
      <c r="AJ129" s="117"/>
      <c r="AK129" s="330"/>
      <c r="AL129" s="117"/>
      <c r="AM129" s="330"/>
      <c r="AN129" s="117"/>
      <c r="AO129" s="330"/>
      <c r="AP129" s="117"/>
      <c r="AQ129" s="330"/>
      <c r="AR129" s="117"/>
      <c r="AS129" s="1096" t="s">
        <v>159</v>
      </c>
      <c r="AT129" s="1097"/>
      <c r="AU129" s="1097"/>
      <c r="AV129" s="1097"/>
      <c r="AW129" s="1097"/>
      <c r="AX129" s="1097"/>
      <c r="AY129" s="1100"/>
      <c r="AZ129" s="257"/>
      <c r="BA129" s="257"/>
      <c r="BB129" s="1059" t="s">
        <v>162</v>
      </c>
      <c r="BC129" s="1060"/>
      <c r="BD129" s="1075" t="s">
        <v>159</v>
      </c>
      <c r="BE129" s="1075"/>
      <c r="BF129" s="1075"/>
      <c r="BG129" s="1076" t="s">
        <v>159</v>
      </c>
      <c r="BH129" s="1077"/>
      <c r="BI129" s="1077"/>
      <c r="BJ129" s="1078"/>
      <c r="BK129" s="1065"/>
      <c r="BL129" s="1066"/>
      <c r="BM129" s="1067"/>
      <c r="BN129" s="259"/>
      <c r="BO129" s="259"/>
      <c r="BP129" s="1076"/>
      <c r="BQ129" s="1077"/>
      <c r="BR129" s="1078"/>
      <c r="BS129" s="1075" t="s">
        <v>159</v>
      </c>
      <c r="BT129" s="1075"/>
      <c r="BU129" s="1075"/>
    </row>
    <row r="130" spans="1:73" ht="30" customHeight="1" x14ac:dyDescent="0.25">
      <c r="A130" s="199">
        <f t="shared" si="1"/>
        <v>116</v>
      </c>
      <c r="B130" s="1081" t="s">
        <v>162</v>
      </c>
      <c r="C130" s="1082"/>
      <c r="D130" s="1083" t="s">
        <v>159</v>
      </c>
      <c r="E130" s="1084"/>
      <c r="F130" s="1084"/>
      <c r="G130" s="1085"/>
      <c r="H130" s="1086" t="s">
        <v>159</v>
      </c>
      <c r="I130" s="1087"/>
      <c r="J130" s="1087"/>
      <c r="K130" s="1088"/>
      <c r="L130" s="1089" t="s">
        <v>159</v>
      </c>
      <c r="M130" s="1090"/>
      <c r="N130" s="1091"/>
      <c r="O130" s="1092" t="s">
        <v>159</v>
      </c>
      <c r="P130" s="1093"/>
      <c r="Q130" s="1094"/>
      <c r="R130" s="812"/>
      <c r="S130" s="1095"/>
      <c r="T130" s="813"/>
      <c r="U130" s="745"/>
      <c r="V130" s="940"/>
      <c r="W130" s="746"/>
      <c r="X130" s="312"/>
      <c r="Y130" s="308"/>
      <c r="Z130" s="312"/>
      <c r="AA130" s="308"/>
      <c r="AB130" s="312"/>
      <c r="AC130" s="308"/>
      <c r="AD130" s="312"/>
      <c r="AE130" s="308"/>
      <c r="AF130" s="312"/>
      <c r="AG130" s="308"/>
      <c r="AH130" s="312"/>
      <c r="AI130" s="308"/>
      <c r="AJ130" s="117"/>
      <c r="AK130" s="330"/>
      <c r="AL130" s="117"/>
      <c r="AM130" s="330"/>
      <c r="AN130" s="117"/>
      <c r="AO130" s="330"/>
      <c r="AP130" s="117"/>
      <c r="AQ130" s="330"/>
      <c r="AR130" s="117"/>
      <c r="AS130" s="1096" t="s">
        <v>159</v>
      </c>
      <c r="AT130" s="1097"/>
      <c r="AU130" s="1097"/>
      <c r="AV130" s="1097"/>
      <c r="AW130" s="1097"/>
      <c r="AX130" s="1097"/>
      <c r="AY130" s="1100"/>
      <c r="AZ130" s="257"/>
      <c r="BA130" s="257"/>
      <c r="BB130" s="1059" t="s">
        <v>162</v>
      </c>
      <c r="BC130" s="1060"/>
      <c r="BD130" s="1075" t="s">
        <v>159</v>
      </c>
      <c r="BE130" s="1075"/>
      <c r="BF130" s="1075"/>
      <c r="BG130" s="1076" t="s">
        <v>159</v>
      </c>
      <c r="BH130" s="1077"/>
      <c r="BI130" s="1077"/>
      <c r="BJ130" s="1078"/>
      <c r="BK130" s="1065"/>
      <c r="BL130" s="1066"/>
      <c r="BM130" s="1067"/>
      <c r="BN130" s="259"/>
      <c r="BO130" s="259"/>
      <c r="BP130" s="1076"/>
      <c r="BQ130" s="1077"/>
      <c r="BR130" s="1078"/>
      <c r="BS130" s="1075" t="s">
        <v>159</v>
      </c>
      <c r="BT130" s="1075"/>
      <c r="BU130" s="1075"/>
    </row>
    <row r="131" spans="1:73" ht="30" customHeight="1" x14ac:dyDescent="0.25">
      <c r="A131" s="199">
        <f t="shared" si="1"/>
        <v>117</v>
      </c>
      <c r="B131" s="1081" t="s">
        <v>162</v>
      </c>
      <c r="C131" s="1082"/>
      <c r="D131" s="1083" t="s">
        <v>159</v>
      </c>
      <c r="E131" s="1084"/>
      <c r="F131" s="1084"/>
      <c r="G131" s="1085"/>
      <c r="H131" s="1086" t="s">
        <v>159</v>
      </c>
      <c r="I131" s="1087"/>
      <c r="J131" s="1087"/>
      <c r="K131" s="1088"/>
      <c r="L131" s="1089" t="s">
        <v>159</v>
      </c>
      <c r="M131" s="1090"/>
      <c r="N131" s="1091"/>
      <c r="O131" s="1092" t="s">
        <v>159</v>
      </c>
      <c r="P131" s="1093"/>
      <c r="Q131" s="1094"/>
      <c r="R131" s="812"/>
      <c r="S131" s="1095"/>
      <c r="T131" s="813"/>
      <c r="U131" s="745"/>
      <c r="V131" s="940"/>
      <c r="W131" s="746"/>
      <c r="X131" s="312"/>
      <c r="Y131" s="308"/>
      <c r="Z131" s="312"/>
      <c r="AA131" s="308"/>
      <c r="AB131" s="312"/>
      <c r="AC131" s="308"/>
      <c r="AD131" s="312"/>
      <c r="AE131" s="308"/>
      <c r="AF131" s="312"/>
      <c r="AG131" s="308"/>
      <c r="AH131" s="312"/>
      <c r="AI131" s="308"/>
      <c r="AJ131" s="117"/>
      <c r="AK131" s="330"/>
      <c r="AL131" s="117"/>
      <c r="AM131" s="330"/>
      <c r="AN131" s="117"/>
      <c r="AO131" s="330"/>
      <c r="AP131" s="117"/>
      <c r="AQ131" s="330"/>
      <c r="AR131" s="117"/>
      <c r="AS131" s="1096" t="s">
        <v>159</v>
      </c>
      <c r="AT131" s="1097"/>
      <c r="AU131" s="1097"/>
      <c r="AV131" s="1097"/>
      <c r="AW131" s="1097"/>
      <c r="AX131" s="1097"/>
      <c r="AY131" s="1100"/>
      <c r="AZ131" s="257"/>
      <c r="BA131" s="257"/>
      <c r="BB131" s="1059" t="s">
        <v>162</v>
      </c>
      <c r="BC131" s="1060"/>
      <c r="BD131" s="1075" t="s">
        <v>159</v>
      </c>
      <c r="BE131" s="1075"/>
      <c r="BF131" s="1075"/>
      <c r="BG131" s="1076" t="s">
        <v>159</v>
      </c>
      <c r="BH131" s="1077"/>
      <c r="BI131" s="1077"/>
      <c r="BJ131" s="1078"/>
      <c r="BK131" s="1065"/>
      <c r="BL131" s="1066"/>
      <c r="BM131" s="1067"/>
      <c r="BN131" s="259"/>
      <c r="BO131" s="259"/>
      <c r="BP131" s="1076"/>
      <c r="BQ131" s="1077"/>
      <c r="BR131" s="1078"/>
      <c r="BS131" s="1075" t="s">
        <v>159</v>
      </c>
      <c r="BT131" s="1075"/>
      <c r="BU131" s="1075"/>
    </row>
    <row r="132" spans="1:73" ht="30" customHeight="1" x14ac:dyDescent="0.25">
      <c r="A132" s="199">
        <f t="shared" si="1"/>
        <v>118</v>
      </c>
      <c r="B132" s="1081" t="s">
        <v>162</v>
      </c>
      <c r="C132" s="1082"/>
      <c r="D132" s="1083" t="s">
        <v>159</v>
      </c>
      <c r="E132" s="1084"/>
      <c r="F132" s="1084"/>
      <c r="G132" s="1085"/>
      <c r="H132" s="1086" t="s">
        <v>159</v>
      </c>
      <c r="I132" s="1087"/>
      <c r="J132" s="1087"/>
      <c r="K132" s="1088"/>
      <c r="L132" s="1089" t="s">
        <v>159</v>
      </c>
      <c r="M132" s="1090"/>
      <c r="N132" s="1091"/>
      <c r="O132" s="1092" t="s">
        <v>159</v>
      </c>
      <c r="P132" s="1093"/>
      <c r="Q132" s="1094"/>
      <c r="R132" s="812"/>
      <c r="S132" s="1095"/>
      <c r="T132" s="813"/>
      <c r="U132" s="745"/>
      <c r="V132" s="940"/>
      <c r="W132" s="746"/>
      <c r="X132" s="312"/>
      <c r="Y132" s="308"/>
      <c r="Z132" s="312"/>
      <c r="AA132" s="308"/>
      <c r="AB132" s="312"/>
      <c r="AC132" s="308"/>
      <c r="AD132" s="312"/>
      <c r="AE132" s="308"/>
      <c r="AF132" s="312"/>
      <c r="AG132" s="308"/>
      <c r="AH132" s="312"/>
      <c r="AI132" s="308"/>
      <c r="AJ132" s="117"/>
      <c r="AK132" s="330"/>
      <c r="AL132" s="117"/>
      <c r="AM132" s="330"/>
      <c r="AN132" s="117"/>
      <c r="AO132" s="330"/>
      <c r="AP132" s="117"/>
      <c r="AQ132" s="330"/>
      <c r="AR132" s="117"/>
      <c r="AS132" s="1096" t="s">
        <v>159</v>
      </c>
      <c r="AT132" s="1097"/>
      <c r="AU132" s="1097"/>
      <c r="AV132" s="1097"/>
      <c r="AW132" s="1097"/>
      <c r="AX132" s="1097"/>
      <c r="AY132" s="1100"/>
      <c r="AZ132" s="257"/>
      <c r="BA132" s="257"/>
      <c r="BB132" s="1059" t="s">
        <v>162</v>
      </c>
      <c r="BC132" s="1060"/>
      <c r="BD132" s="1075" t="s">
        <v>159</v>
      </c>
      <c r="BE132" s="1075"/>
      <c r="BF132" s="1075"/>
      <c r="BG132" s="1076" t="s">
        <v>159</v>
      </c>
      <c r="BH132" s="1077"/>
      <c r="BI132" s="1077"/>
      <c r="BJ132" s="1078"/>
      <c r="BK132" s="1065"/>
      <c r="BL132" s="1066"/>
      <c r="BM132" s="1067"/>
      <c r="BN132" s="259"/>
      <c r="BO132" s="259"/>
      <c r="BP132" s="1076"/>
      <c r="BQ132" s="1077"/>
      <c r="BR132" s="1078"/>
      <c r="BS132" s="1075" t="s">
        <v>159</v>
      </c>
      <c r="BT132" s="1075"/>
      <c r="BU132" s="1075"/>
    </row>
    <row r="133" spans="1:73" ht="30" customHeight="1" x14ac:dyDescent="0.25">
      <c r="A133" s="199">
        <f t="shared" si="1"/>
        <v>119</v>
      </c>
      <c r="B133" s="1081" t="s">
        <v>162</v>
      </c>
      <c r="C133" s="1082"/>
      <c r="D133" s="1083" t="s">
        <v>159</v>
      </c>
      <c r="E133" s="1084"/>
      <c r="F133" s="1084"/>
      <c r="G133" s="1085"/>
      <c r="H133" s="1086" t="s">
        <v>159</v>
      </c>
      <c r="I133" s="1087"/>
      <c r="J133" s="1087"/>
      <c r="K133" s="1088"/>
      <c r="L133" s="1089" t="s">
        <v>159</v>
      </c>
      <c r="M133" s="1090"/>
      <c r="N133" s="1091"/>
      <c r="O133" s="1092" t="s">
        <v>159</v>
      </c>
      <c r="P133" s="1093"/>
      <c r="Q133" s="1094"/>
      <c r="R133" s="812"/>
      <c r="S133" s="1095"/>
      <c r="T133" s="813"/>
      <c r="U133" s="745"/>
      <c r="V133" s="940"/>
      <c r="W133" s="746"/>
      <c r="X133" s="312"/>
      <c r="Y133" s="308"/>
      <c r="Z133" s="312"/>
      <c r="AA133" s="308"/>
      <c r="AB133" s="312"/>
      <c r="AC133" s="308"/>
      <c r="AD133" s="312"/>
      <c r="AE133" s="308"/>
      <c r="AF133" s="312"/>
      <c r="AG133" s="308"/>
      <c r="AH133" s="312"/>
      <c r="AI133" s="308"/>
      <c r="AJ133" s="117"/>
      <c r="AK133" s="330"/>
      <c r="AL133" s="117"/>
      <c r="AM133" s="330"/>
      <c r="AN133" s="117"/>
      <c r="AO133" s="330"/>
      <c r="AP133" s="117"/>
      <c r="AQ133" s="330"/>
      <c r="AR133" s="117"/>
      <c r="AS133" s="1096" t="s">
        <v>159</v>
      </c>
      <c r="AT133" s="1097"/>
      <c r="AU133" s="1097"/>
      <c r="AV133" s="1097"/>
      <c r="AW133" s="1097"/>
      <c r="AX133" s="1097"/>
      <c r="AY133" s="1100"/>
      <c r="AZ133" s="257"/>
      <c r="BA133" s="257"/>
      <c r="BB133" s="1059" t="s">
        <v>162</v>
      </c>
      <c r="BC133" s="1060"/>
      <c r="BD133" s="1075" t="s">
        <v>159</v>
      </c>
      <c r="BE133" s="1075"/>
      <c r="BF133" s="1075"/>
      <c r="BG133" s="1076" t="s">
        <v>159</v>
      </c>
      <c r="BH133" s="1077"/>
      <c r="BI133" s="1077"/>
      <c r="BJ133" s="1078"/>
      <c r="BK133" s="1065"/>
      <c r="BL133" s="1066"/>
      <c r="BM133" s="1067"/>
      <c r="BN133" s="259"/>
      <c r="BO133" s="259"/>
      <c r="BP133" s="1076"/>
      <c r="BQ133" s="1077"/>
      <c r="BR133" s="1078"/>
      <c r="BS133" s="1075" t="s">
        <v>159</v>
      </c>
      <c r="BT133" s="1075"/>
      <c r="BU133" s="1075"/>
    </row>
    <row r="134" spans="1:73" ht="30" customHeight="1" x14ac:dyDescent="0.25">
      <c r="A134" s="199">
        <f t="shared" si="1"/>
        <v>120</v>
      </c>
      <c r="B134" s="1081" t="s">
        <v>162</v>
      </c>
      <c r="C134" s="1082"/>
      <c r="D134" s="1083" t="s">
        <v>159</v>
      </c>
      <c r="E134" s="1084"/>
      <c r="F134" s="1084"/>
      <c r="G134" s="1085"/>
      <c r="H134" s="1086" t="s">
        <v>159</v>
      </c>
      <c r="I134" s="1087"/>
      <c r="J134" s="1087"/>
      <c r="K134" s="1088"/>
      <c r="L134" s="1089" t="s">
        <v>159</v>
      </c>
      <c r="M134" s="1090"/>
      <c r="N134" s="1091"/>
      <c r="O134" s="1092" t="s">
        <v>159</v>
      </c>
      <c r="P134" s="1093"/>
      <c r="Q134" s="1094"/>
      <c r="R134" s="812"/>
      <c r="S134" s="1095"/>
      <c r="T134" s="813"/>
      <c r="U134" s="745"/>
      <c r="V134" s="940"/>
      <c r="W134" s="746"/>
      <c r="X134" s="312"/>
      <c r="Y134" s="308"/>
      <c r="Z134" s="312"/>
      <c r="AA134" s="308"/>
      <c r="AB134" s="312"/>
      <c r="AC134" s="308"/>
      <c r="AD134" s="312"/>
      <c r="AE134" s="308"/>
      <c r="AF134" s="312"/>
      <c r="AG134" s="308"/>
      <c r="AH134" s="312"/>
      <c r="AI134" s="308"/>
      <c r="AJ134" s="117"/>
      <c r="AK134" s="330"/>
      <c r="AL134" s="117"/>
      <c r="AM134" s="330"/>
      <c r="AN134" s="117"/>
      <c r="AO134" s="330"/>
      <c r="AP134" s="117"/>
      <c r="AQ134" s="330"/>
      <c r="AR134" s="117"/>
      <c r="AS134" s="1096" t="s">
        <v>159</v>
      </c>
      <c r="AT134" s="1097"/>
      <c r="AU134" s="1097"/>
      <c r="AV134" s="1097"/>
      <c r="AW134" s="1097"/>
      <c r="AX134" s="1097"/>
      <c r="AY134" s="1100"/>
      <c r="AZ134" s="257"/>
      <c r="BA134" s="257"/>
      <c r="BB134" s="1079" t="s">
        <v>162</v>
      </c>
      <c r="BC134" s="1080"/>
      <c r="BD134" s="1075" t="s">
        <v>159</v>
      </c>
      <c r="BE134" s="1075"/>
      <c r="BF134" s="1075"/>
      <c r="BG134" s="1076" t="s">
        <v>159</v>
      </c>
      <c r="BH134" s="1077"/>
      <c r="BI134" s="1077"/>
      <c r="BJ134" s="1078"/>
      <c r="BK134" s="1065"/>
      <c r="BL134" s="1066"/>
      <c r="BM134" s="1067"/>
      <c r="BN134" s="259"/>
      <c r="BO134" s="259"/>
      <c r="BP134" s="1076"/>
      <c r="BQ134" s="1077"/>
      <c r="BR134" s="1078"/>
      <c r="BS134" s="1075" t="s">
        <v>159</v>
      </c>
      <c r="BT134" s="1075"/>
      <c r="BU134" s="1075"/>
    </row>
    <row r="135" spans="1:73" ht="30" customHeight="1" x14ac:dyDescent="0.25">
      <c r="A135" s="199">
        <f t="shared" si="1"/>
        <v>121</v>
      </c>
      <c r="B135" s="1081" t="s">
        <v>162</v>
      </c>
      <c r="C135" s="1082"/>
      <c r="D135" s="1083" t="s">
        <v>159</v>
      </c>
      <c r="E135" s="1084"/>
      <c r="F135" s="1084"/>
      <c r="G135" s="1085"/>
      <c r="H135" s="1086" t="s">
        <v>159</v>
      </c>
      <c r="I135" s="1087"/>
      <c r="J135" s="1087"/>
      <c r="K135" s="1088"/>
      <c r="L135" s="1089" t="s">
        <v>159</v>
      </c>
      <c r="M135" s="1090"/>
      <c r="N135" s="1091"/>
      <c r="O135" s="1092" t="s">
        <v>159</v>
      </c>
      <c r="P135" s="1093"/>
      <c r="Q135" s="1094"/>
      <c r="R135" s="812"/>
      <c r="S135" s="1095"/>
      <c r="T135" s="813"/>
      <c r="U135" s="745"/>
      <c r="V135" s="940"/>
      <c r="W135" s="746"/>
      <c r="X135" s="312"/>
      <c r="Y135" s="308"/>
      <c r="Z135" s="312"/>
      <c r="AA135" s="308"/>
      <c r="AB135" s="312"/>
      <c r="AC135" s="308"/>
      <c r="AD135" s="312"/>
      <c r="AE135" s="308"/>
      <c r="AF135" s="312"/>
      <c r="AG135" s="308"/>
      <c r="AH135" s="312"/>
      <c r="AI135" s="308"/>
      <c r="AJ135" s="117"/>
      <c r="AK135" s="330"/>
      <c r="AL135" s="117"/>
      <c r="AM135" s="330"/>
      <c r="AN135" s="117"/>
      <c r="AO135" s="330"/>
      <c r="AP135" s="117"/>
      <c r="AQ135" s="330"/>
      <c r="AR135" s="117"/>
      <c r="AS135" s="1096" t="s">
        <v>159</v>
      </c>
      <c r="AT135" s="1097"/>
      <c r="AU135" s="1097"/>
      <c r="AV135" s="1097"/>
      <c r="AW135" s="1097"/>
      <c r="AX135" s="1097"/>
      <c r="AY135" s="1100"/>
      <c r="AZ135" s="257"/>
      <c r="BA135" s="257"/>
      <c r="BB135" s="1059" t="s">
        <v>162</v>
      </c>
      <c r="BC135" s="1060"/>
      <c r="BD135" s="1075" t="s">
        <v>159</v>
      </c>
      <c r="BE135" s="1075"/>
      <c r="BF135" s="1075"/>
      <c r="BG135" s="1076" t="s">
        <v>159</v>
      </c>
      <c r="BH135" s="1077"/>
      <c r="BI135" s="1077"/>
      <c r="BJ135" s="1078"/>
      <c r="BK135" s="1065"/>
      <c r="BL135" s="1066"/>
      <c r="BM135" s="1067"/>
      <c r="BN135" s="259"/>
      <c r="BO135" s="259"/>
      <c r="BP135" s="1076"/>
      <c r="BQ135" s="1077"/>
      <c r="BR135" s="1078"/>
      <c r="BS135" s="1075" t="s">
        <v>159</v>
      </c>
      <c r="BT135" s="1075"/>
      <c r="BU135" s="1075"/>
    </row>
    <row r="136" spans="1:73" ht="30" customHeight="1" x14ac:dyDescent="0.25">
      <c r="A136" s="199">
        <f t="shared" si="1"/>
        <v>122</v>
      </c>
      <c r="B136" s="1081" t="s">
        <v>162</v>
      </c>
      <c r="C136" s="1082"/>
      <c r="D136" s="1083" t="s">
        <v>159</v>
      </c>
      <c r="E136" s="1084"/>
      <c r="F136" s="1084"/>
      <c r="G136" s="1085"/>
      <c r="H136" s="1086" t="s">
        <v>159</v>
      </c>
      <c r="I136" s="1087"/>
      <c r="J136" s="1087"/>
      <c r="K136" s="1088"/>
      <c r="L136" s="1089" t="s">
        <v>159</v>
      </c>
      <c r="M136" s="1090"/>
      <c r="N136" s="1091"/>
      <c r="O136" s="1092" t="s">
        <v>159</v>
      </c>
      <c r="P136" s="1093"/>
      <c r="Q136" s="1094"/>
      <c r="R136" s="812"/>
      <c r="S136" s="1095"/>
      <c r="T136" s="813"/>
      <c r="U136" s="745"/>
      <c r="V136" s="940"/>
      <c r="W136" s="746"/>
      <c r="X136" s="312"/>
      <c r="Y136" s="308"/>
      <c r="Z136" s="312"/>
      <c r="AA136" s="308"/>
      <c r="AB136" s="312"/>
      <c r="AC136" s="308"/>
      <c r="AD136" s="312"/>
      <c r="AE136" s="308"/>
      <c r="AF136" s="312"/>
      <c r="AG136" s="308"/>
      <c r="AH136" s="312"/>
      <c r="AI136" s="308"/>
      <c r="AJ136" s="117"/>
      <c r="AK136" s="330"/>
      <c r="AL136" s="117"/>
      <c r="AM136" s="330"/>
      <c r="AN136" s="117"/>
      <c r="AO136" s="330"/>
      <c r="AP136" s="117"/>
      <c r="AQ136" s="330"/>
      <c r="AR136" s="117"/>
      <c r="AS136" s="1096" t="s">
        <v>159</v>
      </c>
      <c r="AT136" s="1097"/>
      <c r="AU136" s="1097"/>
      <c r="AV136" s="1097"/>
      <c r="AW136" s="1097"/>
      <c r="AX136" s="1097"/>
      <c r="AY136" s="1100"/>
      <c r="AZ136" s="257"/>
      <c r="BA136" s="257"/>
      <c r="BB136" s="1059" t="s">
        <v>162</v>
      </c>
      <c r="BC136" s="1060"/>
      <c r="BD136" s="1075" t="s">
        <v>159</v>
      </c>
      <c r="BE136" s="1075"/>
      <c r="BF136" s="1075"/>
      <c r="BG136" s="1076" t="s">
        <v>159</v>
      </c>
      <c r="BH136" s="1077"/>
      <c r="BI136" s="1077"/>
      <c r="BJ136" s="1078"/>
      <c r="BK136" s="1065"/>
      <c r="BL136" s="1066"/>
      <c r="BM136" s="1067"/>
      <c r="BN136" s="259"/>
      <c r="BO136" s="259"/>
      <c r="BP136" s="1076"/>
      <c r="BQ136" s="1077"/>
      <c r="BR136" s="1078"/>
      <c r="BS136" s="1075" t="s">
        <v>159</v>
      </c>
      <c r="BT136" s="1075"/>
      <c r="BU136" s="1075"/>
    </row>
    <row r="137" spans="1:73" ht="30" customHeight="1" x14ac:dyDescent="0.25">
      <c r="A137" s="199">
        <f t="shared" si="1"/>
        <v>123</v>
      </c>
      <c r="B137" s="1081" t="s">
        <v>162</v>
      </c>
      <c r="C137" s="1082"/>
      <c r="D137" s="1083" t="s">
        <v>159</v>
      </c>
      <c r="E137" s="1084"/>
      <c r="F137" s="1084"/>
      <c r="G137" s="1085"/>
      <c r="H137" s="1086" t="s">
        <v>159</v>
      </c>
      <c r="I137" s="1087"/>
      <c r="J137" s="1087"/>
      <c r="K137" s="1088"/>
      <c r="L137" s="1089" t="s">
        <v>159</v>
      </c>
      <c r="M137" s="1090"/>
      <c r="N137" s="1091"/>
      <c r="O137" s="1092" t="s">
        <v>159</v>
      </c>
      <c r="P137" s="1093"/>
      <c r="Q137" s="1094"/>
      <c r="R137" s="812"/>
      <c r="S137" s="1095"/>
      <c r="T137" s="813"/>
      <c r="U137" s="745"/>
      <c r="V137" s="940"/>
      <c r="W137" s="746"/>
      <c r="X137" s="312"/>
      <c r="Y137" s="308"/>
      <c r="Z137" s="312"/>
      <c r="AA137" s="308"/>
      <c r="AB137" s="312"/>
      <c r="AC137" s="308"/>
      <c r="AD137" s="312"/>
      <c r="AE137" s="308"/>
      <c r="AF137" s="312"/>
      <c r="AG137" s="308"/>
      <c r="AH137" s="312"/>
      <c r="AI137" s="308"/>
      <c r="AJ137" s="117"/>
      <c r="AK137" s="330"/>
      <c r="AL137" s="117"/>
      <c r="AM137" s="330"/>
      <c r="AN137" s="117"/>
      <c r="AO137" s="330"/>
      <c r="AP137" s="117"/>
      <c r="AQ137" s="330"/>
      <c r="AR137" s="117"/>
      <c r="AS137" s="1096" t="s">
        <v>159</v>
      </c>
      <c r="AT137" s="1097"/>
      <c r="AU137" s="1097"/>
      <c r="AV137" s="1097"/>
      <c r="AW137" s="1097"/>
      <c r="AX137" s="1097"/>
      <c r="AY137" s="1100"/>
      <c r="AZ137" s="257"/>
      <c r="BA137" s="257"/>
      <c r="BB137" s="1059" t="s">
        <v>162</v>
      </c>
      <c r="BC137" s="1060"/>
      <c r="BD137" s="1075" t="s">
        <v>159</v>
      </c>
      <c r="BE137" s="1075"/>
      <c r="BF137" s="1075"/>
      <c r="BG137" s="1076" t="s">
        <v>159</v>
      </c>
      <c r="BH137" s="1077"/>
      <c r="BI137" s="1077"/>
      <c r="BJ137" s="1078"/>
      <c r="BK137" s="1065"/>
      <c r="BL137" s="1066"/>
      <c r="BM137" s="1067"/>
      <c r="BN137" s="259"/>
      <c r="BO137" s="259"/>
      <c r="BP137" s="1076"/>
      <c r="BQ137" s="1077"/>
      <c r="BR137" s="1078"/>
      <c r="BS137" s="1075" t="s">
        <v>159</v>
      </c>
      <c r="BT137" s="1075"/>
      <c r="BU137" s="1075"/>
    </row>
    <row r="138" spans="1:73" ht="30" customHeight="1" x14ac:dyDescent="0.25">
      <c r="A138" s="199">
        <f t="shared" si="1"/>
        <v>124</v>
      </c>
      <c r="B138" s="1081" t="s">
        <v>162</v>
      </c>
      <c r="C138" s="1082"/>
      <c r="D138" s="1083" t="s">
        <v>159</v>
      </c>
      <c r="E138" s="1084"/>
      <c r="F138" s="1084"/>
      <c r="G138" s="1085"/>
      <c r="H138" s="1086" t="s">
        <v>159</v>
      </c>
      <c r="I138" s="1087"/>
      <c r="J138" s="1087"/>
      <c r="K138" s="1088"/>
      <c r="L138" s="1089" t="s">
        <v>159</v>
      </c>
      <c r="M138" s="1090"/>
      <c r="N138" s="1091"/>
      <c r="O138" s="1092" t="s">
        <v>159</v>
      </c>
      <c r="P138" s="1093"/>
      <c r="Q138" s="1094"/>
      <c r="R138" s="812"/>
      <c r="S138" s="1095"/>
      <c r="T138" s="813"/>
      <c r="U138" s="745"/>
      <c r="V138" s="940"/>
      <c r="W138" s="746"/>
      <c r="X138" s="312"/>
      <c r="Y138" s="308"/>
      <c r="Z138" s="312"/>
      <c r="AA138" s="308"/>
      <c r="AB138" s="312"/>
      <c r="AC138" s="308"/>
      <c r="AD138" s="312"/>
      <c r="AE138" s="308"/>
      <c r="AF138" s="312"/>
      <c r="AG138" s="308"/>
      <c r="AH138" s="312"/>
      <c r="AI138" s="308"/>
      <c r="AJ138" s="117"/>
      <c r="AK138" s="330"/>
      <c r="AL138" s="117"/>
      <c r="AM138" s="330"/>
      <c r="AN138" s="117"/>
      <c r="AO138" s="330"/>
      <c r="AP138" s="117"/>
      <c r="AQ138" s="330"/>
      <c r="AR138" s="117"/>
      <c r="AS138" s="1096" t="s">
        <v>159</v>
      </c>
      <c r="AT138" s="1097"/>
      <c r="AU138" s="1097"/>
      <c r="AV138" s="1097"/>
      <c r="AW138" s="1097"/>
      <c r="AX138" s="1097"/>
      <c r="AY138" s="1100"/>
      <c r="AZ138" s="257"/>
      <c r="BA138" s="257"/>
      <c r="BB138" s="1059" t="s">
        <v>162</v>
      </c>
      <c r="BC138" s="1060"/>
      <c r="BD138" s="1075" t="s">
        <v>159</v>
      </c>
      <c r="BE138" s="1075"/>
      <c r="BF138" s="1075"/>
      <c r="BG138" s="1076" t="s">
        <v>159</v>
      </c>
      <c r="BH138" s="1077"/>
      <c r="BI138" s="1077"/>
      <c r="BJ138" s="1078"/>
      <c r="BK138" s="1065"/>
      <c r="BL138" s="1066"/>
      <c r="BM138" s="1067"/>
      <c r="BN138" s="259"/>
      <c r="BO138" s="259"/>
      <c r="BP138" s="1076"/>
      <c r="BQ138" s="1077"/>
      <c r="BR138" s="1078"/>
      <c r="BS138" s="1075" t="s">
        <v>159</v>
      </c>
      <c r="BT138" s="1075"/>
      <c r="BU138" s="1075"/>
    </row>
    <row r="139" spans="1:73" ht="30" customHeight="1" x14ac:dyDescent="0.25">
      <c r="A139" s="199">
        <f t="shared" si="1"/>
        <v>125</v>
      </c>
      <c r="B139" s="1081" t="s">
        <v>162</v>
      </c>
      <c r="C139" s="1082"/>
      <c r="D139" s="1083" t="s">
        <v>159</v>
      </c>
      <c r="E139" s="1084"/>
      <c r="F139" s="1084"/>
      <c r="G139" s="1085"/>
      <c r="H139" s="1086" t="s">
        <v>159</v>
      </c>
      <c r="I139" s="1087"/>
      <c r="J139" s="1087"/>
      <c r="K139" s="1088"/>
      <c r="L139" s="1089" t="s">
        <v>159</v>
      </c>
      <c r="M139" s="1090"/>
      <c r="N139" s="1091"/>
      <c r="O139" s="1092" t="s">
        <v>159</v>
      </c>
      <c r="P139" s="1093"/>
      <c r="Q139" s="1094"/>
      <c r="R139" s="812"/>
      <c r="S139" s="1095"/>
      <c r="T139" s="813"/>
      <c r="U139" s="745"/>
      <c r="V139" s="940"/>
      <c r="W139" s="746"/>
      <c r="X139" s="312"/>
      <c r="Y139" s="308"/>
      <c r="Z139" s="312"/>
      <c r="AA139" s="308"/>
      <c r="AB139" s="312"/>
      <c r="AC139" s="308"/>
      <c r="AD139" s="312"/>
      <c r="AE139" s="308"/>
      <c r="AF139" s="312"/>
      <c r="AG139" s="308"/>
      <c r="AH139" s="312"/>
      <c r="AI139" s="308"/>
      <c r="AJ139" s="117"/>
      <c r="AK139" s="330"/>
      <c r="AL139" s="117"/>
      <c r="AM139" s="330"/>
      <c r="AN139" s="117"/>
      <c r="AO139" s="330"/>
      <c r="AP139" s="117"/>
      <c r="AQ139" s="330"/>
      <c r="AR139" s="117"/>
      <c r="AS139" s="1096" t="s">
        <v>159</v>
      </c>
      <c r="AT139" s="1097"/>
      <c r="AU139" s="1097"/>
      <c r="AV139" s="1097"/>
      <c r="AW139" s="1097"/>
      <c r="AX139" s="1097"/>
      <c r="AY139" s="1100"/>
      <c r="AZ139" s="257"/>
      <c r="BA139" s="257"/>
      <c r="BB139" s="1059" t="s">
        <v>162</v>
      </c>
      <c r="BC139" s="1060"/>
      <c r="BD139" s="1075" t="s">
        <v>159</v>
      </c>
      <c r="BE139" s="1075"/>
      <c r="BF139" s="1075"/>
      <c r="BG139" s="1076" t="s">
        <v>159</v>
      </c>
      <c r="BH139" s="1077"/>
      <c r="BI139" s="1077"/>
      <c r="BJ139" s="1078"/>
      <c r="BK139" s="1065"/>
      <c r="BL139" s="1066"/>
      <c r="BM139" s="1067"/>
      <c r="BN139" s="259"/>
      <c r="BO139" s="259"/>
      <c r="BP139" s="1076"/>
      <c r="BQ139" s="1077"/>
      <c r="BR139" s="1078"/>
      <c r="BS139" s="1075" t="s">
        <v>159</v>
      </c>
      <c r="BT139" s="1075"/>
      <c r="BU139" s="1075"/>
    </row>
    <row r="140" spans="1:73" ht="30" customHeight="1" x14ac:dyDescent="0.25">
      <c r="A140" s="199">
        <f t="shared" si="1"/>
        <v>126</v>
      </c>
      <c r="B140" s="1081" t="s">
        <v>162</v>
      </c>
      <c r="C140" s="1082"/>
      <c r="D140" s="1083" t="s">
        <v>159</v>
      </c>
      <c r="E140" s="1084"/>
      <c r="F140" s="1084"/>
      <c r="G140" s="1085"/>
      <c r="H140" s="1086" t="s">
        <v>159</v>
      </c>
      <c r="I140" s="1087"/>
      <c r="J140" s="1087"/>
      <c r="K140" s="1088"/>
      <c r="L140" s="1089" t="s">
        <v>159</v>
      </c>
      <c r="M140" s="1090"/>
      <c r="N140" s="1091"/>
      <c r="O140" s="1092" t="s">
        <v>159</v>
      </c>
      <c r="P140" s="1093"/>
      <c r="Q140" s="1094"/>
      <c r="R140" s="812"/>
      <c r="S140" s="1095"/>
      <c r="T140" s="813"/>
      <c r="U140" s="745"/>
      <c r="V140" s="940"/>
      <c r="W140" s="746"/>
      <c r="X140" s="312"/>
      <c r="Y140" s="308"/>
      <c r="Z140" s="312"/>
      <c r="AA140" s="308"/>
      <c r="AB140" s="312"/>
      <c r="AC140" s="308"/>
      <c r="AD140" s="312"/>
      <c r="AE140" s="308"/>
      <c r="AF140" s="312"/>
      <c r="AG140" s="308"/>
      <c r="AH140" s="312"/>
      <c r="AI140" s="308"/>
      <c r="AJ140" s="117"/>
      <c r="AK140" s="330"/>
      <c r="AL140" s="117"/>
      <c r="AM140" s="330"/>
      <c r="AN140" s="117"/>
      <c r="AO140" s="330"/>
      <c r="AP140" s="117"/>
      <c r="AQ140" s="330"/>
      <c r="AR140" s="117"/>
      <c r="AS140" s="1096" t="s">
        <v>159</v>
      </c>
      <c r="AT140" s="1097"/>
      <c r="AU140" s="1097"/>
      <c r="AV140" s="1097"/>
      <c r="AW140" s="1097"/>
      <c r="AX140" s="1097"/>
      <c r="AY140" s="1100"/>
      <c r="AZ140" s="257"/>
      <c r="BA140" s="257"/>
      <c r="BB140" s="1059" t="s">
        <v>162</v>
      </c>
      <c r="BC140" s="1060"/>
      <c r="BD140" s="1075" t="s">
        <v>159</v>
      </c>
      <c r="BE140" s="1075"/>
      <c r="BF140" s="1075"/>
      <c r="BG140" s="1076" t="s">
        <v>159</v>
      </c>
      <c r="BH140" s="1077"/>
      <c r="BI140" s="1077"/>
      <c r="BJ140" s="1078"/>
      <c r="BK140" s="1065"/>
      <c r="BL140" s="1066"/>
      <c r="BM140" s="1067"/>
      <c r="BN140" s="259"/>
      <c r="BO140" s="259"/>
      <c r="BP140" s="1076"/>
      <c r="BQ140" s="1077"/>
      <c r="BR140" s="1078"/>
      <c r="BS140" s="1075" t="s">
        <v>159</v>
      </c>
      <c r="BT140" s="1075"/>
      <c r="BU140" s="1075"/>
    </row>
    <row r="141" spans="1:73" ht="30" customHeight="1" x14ac:dyDescent="0.25">
      <c r="A141" s="199">
        <f t="shared" si="1"/>
        <v>127</v>
      </c>
      <c r="B141" s="1081" t="s">
        <v>162</v>
      </c>
      <c r="C141" s="1082"/>
      <c r="D141" s="1083" t="s">
        <v>159</v>
      </c>
      <c r="E141" s="1084"/>
      <c r="F141" s="1084"/>
      <c r="G141" s="1085"/>
      <c r="H141" s="1086" t="s">
        <v>159</v>
      </c>
      <c r="I141" s="1087"/>
      <c r="J141" s="1087"/>
      <c r="K141" s="1088"/>
      <c r="L141" s="1089" t="s">
        <v>159</v>
      </c>
      <c r="M141" s="1090"/>
      <c r="N141" s="1091"/>
      <c r="O141" s="1092" t="s">
        <v>159</v>
      </c>
      <c r="P141" s="1093"/>
      <c r="Q141" s="1094"/>
      <c r="R141" s="812"/>
      <c r="S141" s="1095"/>
      <c r="T141" s="813"/>
      <c r="U141" s="745"/>
      <c r="V141" s="940"/>
      <c r="W141" s="746"/>
      <c r="X141" s="312"/>
      <c r="Y141" s="308"/>
      <c r="Z141" s="312"/>
      <c r="AA141" s="308"/>
      <c r="AB141" s="312"/>
      <c r="AC141" s="308"/>
      <c r="AD141" s="312"/>
      <c r="AE141" s="308"/>
      <c r="AF141" s="312"/>
      <c r="AG141" s="308"/>
      <c r="AH141" s="312"/>
      <c r="AI141" s="308"/>
      <c r="AJ141" s="117"/>
      <c r="AK141" s="330"/>
      <c r="AL141" s="117"/>
      <c r="AM141" s="330"/>
      <c r="AN141" s="117"/>
      <c r="AO141" s="330"/>
      <c r="AP141" s="117"/>
      <c r="AQ141" s="330"/>
      <c r="AR141" s="117"/>
      <c r="AS141" s="1096" t="s">
        <v>159</v>
      </c>
      <c r="AT141" s="1097"/>
      <c r="AU141" s="1097"/>
      <c r="AV141" s="1097"/>
      <c r="AW141" s="1097"/>
      <c r="AX141" s="1097"/>
      <c r="AY141" s="1100"/>
      <c r="AZ141" s="257"/>
      <c r="BA141" s="257"/>
      <c r="BB141" s="1079" t="s">
        <v>162</v>
      </c>
      <c r="BC141" s="1080"/>
      <c r="BD141" s="1075" t="s">
        <v>159</v>
      </c>
      <c r="BE141" s="1075"/>
      <c r="BF141" s="1075"/>
      <c r="BG141" s="1076" t="s">
        <v>159</v>
      </c>
      <c r="BH141" s="1077"/>
      <c r="BI141" s="1077"/>
      <c r="BJ141" s="1078"/>
      <c r="BK141" s="1065"/>
      <c r="BL141" s="1066"/>
      <c r="BM141" s="1067"/>
      <c r="BN141" s="259"/>
      <c r="BO141" s="259"/>
      <c r="BP141" s="1076"/>
      <c r="BQ141" s="1077"/>
      <c r="BR141" s="1078"/>
      <c r="BS141" s="1075" t="s">
        <v>159</v>
      </c>
      <c r="BT141" s="1075"/>
      <c r="BU141" s="1075"/>
    </row>
    <row r="142" spans="1:73" ht="30" customHeight="1" x14ac:dyDescent="0.25">
      <c r="A142" s="199">
        <f t="shared" si="1"/>
        <v>128</v>
      </c>
      <c r="B142" s="1081" t="s">
        <v>162</v>
      </c>
      <c r="C142" s="1082"/>
      <c r="D142" s="1083" t="s">
        <v>159</v>
      </c>
      <c r="E142" s="1084"/>
      <c r="F142" s="1084"/>
      <c r="G142" s="1085"/>
      <c r="H142" s="1086" t="s">
        <v>159</v>
      </c>
      <c r="I142" s="1087"/>
      <c r="J142" s="1087"/>
      <c r="K142" s="1088"/>
      <c r="L142" s="1089" t="s">
        <v>159</v>
      </c>
      <c r="M142" s="1090"/>
      <c r="N142" s="1091"/>
      <c r="O142" s="1092" t="s">
        <v>159</v>
      </c>
      <c r="P142" s="1093"/>
      <c r="Q142" s="1094"/>
      <c r="R142" s="812"/>
      <c r="S142" s="1095"/>
      <c r="T142" s="813"/>
      <c r="U142" s="745"/>
      <c r="V142" s="940"/>
      <c r="W142" s="746"/>
      <c r="X142" s="312"/>
      <c r="Y142" s="308"/>
      <c r="Z142" s="312"/>
      <c r="AA142" s="308"/>
      <c r="AB142" s="312"/>
      <c r="AC142" s="308"/>
      <c r="AD142" s="312"/>
      <c r="AE142" s="308"/>
      <c r="AF142" s="312"/>
      <c r="AG142" s="308"/>
      <c r="AH142" s="312"/>
      <c r="AI142" s="308"/>
      <c r="AJ142" s="117"/>
      <c r="AK142" s="330"/>
      <c r="AL142" s="117"/>
      <c r="AM142" s="330"/>
      <c r="AN142" s="117"/>
      <c r="AO142" s="330"/>
      <c r="AP142" s="117"/>
      <c r="AQ142" s="330"/>
      <c r="AR142" s="117"/>
      <c r="AS142" s="1096" t="s">
        <v>159</v>
      </c>
      <c r="AT142" s="1097"/>
      <c r="AU142" s="1097"/>
      <c r="AV142" s="1097"/>
      <c r="AW142" s="1097"/>
      <c r="AX142" s="1097"/>
      <c r="AY142" s="1100"/>
      <c r="AZ142" s="257"/>
      <c r="BA142" s="257"/>
      <c r="BB142" s="1059" t="s">
        <v>162</v>
      </c>
      <c r="BC142" s="1060"/>
      <c r="BD142" s="1075" t="s">
        <v>159</v>
      </c>
      <c r="BE142" s="1075"/>
      <c r="BF142" s="1075"/>
      <c r="BG142" s="1076" t="s">
        <v>159</v>
      </c>
      <c r="BH142" s="1077"/>
      <c r="BI142" s="1077"/>
      <c r="BJ142" s="1078"/>
      <c r="BK142" s="1065"/>
      <c r="BL142" s="1066"/>
      <c r="BM142" s="1067"/>
      <c r="BN142" s="259"/>
      <c r="BO142" s="259"/>
      <c r="BP142" s="1076"/>
      <c r="BQ142" s="1077"/>
      <c r="BR142" s="1078"/>
      <c r="BS142" s="1075" t="s">
        <v>159</v>
      </c>
      <c r="BT142" s="1075"/>
      <c r="BU142" s="1075"/>
    </row>
    <row r="143" spans="1:73" ht="30" customHeight="1" x14ac:dyDescent="0.25">
      <c r="A143" s="199">
        <f t="shared" si="1"/>
        <v>129</v>
      </c>
      <c r="B143" s="1081" t="s">
        <v>162</v>
      </c>
      <c r="C143" s="1082"/>
      <c r="D143" s="1083" t="s">
        <v>159</v>
      </c>
      <c r="E143" s="1084"/>
      <c r="F143" s="1084"/>
      <c r="G143" s="1085"/>
      <c r="H143" s="1086" t="s">
        <v>159</v>
      </c>
      <c r="I143" s="1087"/>
      <c r="J143" s="1087"/>
      <c r="K143" s="1088"/>
      <c r="L143" s="1089" t="s">
        <v>159</v>
      </c>
      <c r="M143" s="1090"/>
      <c r="N143" s="1091"/>
      <c r="O143" s="1092" t="s">
        <v>159</v>
      </c>
      <c r="P143" s="1093"/>
      <c r="Q143" s="1094"/>
      <c r="R143" s="812"/>
      <c r="S143" s="1095"/>
      <c r="T143" s="813"/>
      <c r="U143" s="745"/>
      <c r="V143" s="940"/>
      <c r="W143" s="746"/>
      <c r="X143" s="312"/>
      <c r="Y143" s="308"/>
      <c r="Z143" s="312"/>
      <c r="AA143" s="308"/>
      <c r="AB143" s="312"/>
      <c r="AC143" s="308"/>
      <c r="AD143" s="312"/>
      <c r="AE143" s="308"/>
      <c r="AF143" s="312"/>
      <c r="AG143" s="308"/>
      <c r="AH143" s="312"/>
      <c r="AI143" s="308"/>
      <c r="AJ143" s="117"/>
      <c r="AK143" s="330"/>
      <c r="AL143" s="117"/>
      <c r="AM143" s="330"/>
      <c r="AN143" s="117"/>
      <c r="AO143" s="330"/>
      <c r="AP143" s="117"/>
      <c r="AQ143" s="330"/>
      <c r="AR143" s="117"/>
      <c r="AS143" s="1096" t="s">
        <v>159</v>
      </c>
      <c r="AT143" s="1097"/>
      <c r="AU143" s="1097"/>
      <c r="AV143" s="1097"/>
      <c r="AW143" s="1097"/>
      <c r="AX143" s="1097"/>
      <c r="AY143" s="1100"/>
      <c r="AZ143" s="257"/>
      <c r="BA143" s="257"/>
      <c r="BB143" s="1059" t="s">
        <v>162</v>
      </c>
      <c r="BC143" s="1060"/>
      <c r="BD143" s="1075" t="s">
        <v>159</v>
      </c>
      <c r="BE143" s="1075"/>
      <c r="BF143" s="1075"/>
      <c r="BG143" s="1076" t="s">
        <v>159</v>
      </c>
      <c r="BH143" s="1077"/>
      <c r="BI143" s="1077"/>
      <c r="BJ143" s="1078"/>
      <c r="BK143" s="1065"/>
      <c r="BL143" s="1066"/>
      <c r="BM143" s="1067"/>
      <c r="BN143" s="259"/>
      <c r="BO143" s="259"/>
      <c r="BP143" s="1076"/>
      <c r="BQ143" s="1077"/>
      <c r="BR143" s="1078"/>
      <c r="BS143" s="1075" t="s">
        <v>159</v>
      </c>
      <c r="BT143" s="1075"/>
      <c r="BU143" s="1075"/>
    </row>
    <row r="144" spans="1:73" ht="30" customHeight="1" x14ac:dyDescent="0.25">
      <c r="A144" s="199">
        <f t="shared" ref="A144:A207" si="2">ROW(A130)</f>
        <v>130</v>
      </c>
      <c r="B144" s="1081" t="s">
        <v>162</v>
      </c>
      <c r="C144" s="1082"/>
      <c r="D144" s="1083" t="s">
        <v>159</v>
      </c>
      <c r="E144" s="1084"/>
      <c r="F144" s="1084"/>
      <c r="G144" s="1085"/>
      <c r="H144" s="1086" t="s">
        <v>159</v>
      </c>
      <c r="I144" s="1087"/>
      <c r="J144" s="1087"/>
      <c r="K144" s="1088"/>
      <c r="L144" s="1089" t="s">
        <v>159</v>
      </c>
      <c r="M144" s="1090"/>
      <c r="N144" s="1091"/>
      <c r="O144" s="1092" t="s">
        <v>159</v>
      </c>
      <c r="P144" s="1093"/>
      <c r="Q144" s="1094"/>
      <c r="R144" s="812"/>
      <c r="S144" s="1095"/>
      <c r="T144" s="813"/>
      <c r="U144" s="745"/>
      <c r="V144" s="940"/>
      <c r="W144" s="746"/>
      <c r="X144" s="312"/>
      <c r="Y144" s="308"/>
      <c r="Z144" s="312"/>
      <c r="AA144" s="308"/>
      <c r="AB144" s="312"/>
      <c r="AC144" s="308"/>
      <c r="AD144" s="312"/>
      <c r="AE144" s="308"/>
      <c r="AF144" s="312"/>
      <c r="AG144" s="308"/>
      <c r="AH144" s="312"/>
      <c r="AI144" s="308"/>
      <c r="AJ144" s="117"/>
      <c r="AK144" s="330"/>
      <c r="AL144" s="117"/>
      <c r="AM144" s="330"/>
      <c r="AN144" s="117"/>
      <c r="AO144" s="330"/>
      <c r="AP144" s="117"/>
      <c r="AQ144" s="330"/>
      <c r="AR144" s="117"/>
      <c r="AS144" s="1096" t="s">
        <v>159</v>
      </c>
      <c r="AT144" s="1097"/>
      <c r="AU144" s="1097"/>
      <c r="AV144" s="1097"/>
      <c r="AW144" s="1097"/>
      <c r="AX144" s="1097"/>
      <c r="AY144" s="1100"/>
      <c r="AZ144" s="257"/>
      <c r="BA144" s="257"/>
      <c r="BB144" s="1059" t="s">
        <v>162</v>
      </c>
      <c r="BC144" s="1060"/>
      <c r="BD144" s="1075" t="s">
        <v>159</v>
      </c>
      <c r="BE144" s="1075"/>
      <c r="BF144" s="1075"/>
      <c r="BG144" s="1076" t="s">
        <v>159</v>
      </c>
      <c r="BH144" s="1077"/>
      <c r="BI144" s="1077"/>
      <c r="BJ144" s="1078"/>
      <c r="BK144" s="1065"/>
      <c r="BL144" s="1066"/>
      <c r="BM144" s="1067"/>
      <c r="BN144" s="259"/>
      <c r="BO144" s="259"/>
      <c r="BP144" s="1076"/>
      <c r="BQ144" s="1077"/>
      <c r="BR144" s="1078"/>
      <c r="BS144" s="1075" t="s">
        <v>159</v>
      </c>
      <c r="BT144" s="1075"/>
      <c r="BU144" s="1075"/>
    </row>
    <row r="145" spans="1:73" ht="30" customHeight="1" x14ac:dyDescent="0.25">
      <c r="A145" s="199">
        <f t="shared" si="2"/>
        <v>131</v>
      </c>
      <c r="B145" s="1081" t="s">
        <v>162</v>
      </c>
      <c r="C145" s="1082"/>
      <c r="D145" s="1083" t="s">
        <v>159</v>
      </c>
      <c r="E145" s="1084"/>
      <c r="F145" s="1084"/>
      <c r="G145" s="1085"/>
      <c r="H145" s="1086" t="s">
        <v>159</v>
      </c>
      <c r="I145" s="1087"/>
      <c r="J145" s="1087"/>
      <c r="K145" s="1088"/>
      <c r="L145" s="1089" t="s">
        <v>159</v>
      </c>
      <c r="M145" s="1090"/>
      <c r="N145" s="1091"/>
      <c r="O145" s="1092" t="s">
        <v>159</v>
      </c>
      <c r="P145" s="1093"/>
      <c r="Q145" s="1094"/>
      <c r="R145" s="812"/>
      <c r="S145" s="1095"/>
      <c r="T145" s="813"/>
      <c r="U145" s="745"/>
      <c r="V145" s="940"/>
      <c r="W145" s="746"/>
      <c r="X145" s="312"/>
      <c r="Y145" s="308"/>
      <c r="Z145" s="312"/>
      <c r="AA145" s="308"/>
      <c r="AB145" s="312"/>
      <c r="AC145" s="308"/>
      <c r="AD145" s="312"/>
      <c r="AE145" s="308"/>
      <c r="AF145" s="312"/>
      <c r="AG145" s="308"/>
      <c r="AH145" s="312"/>
      <c r="AI145" s="308"/>
      <c r="AJ145" s="117"/>
      <c r="AK145" s="330"/>
      <c r="AL145" s="117"/>
      <c r="AM145" s="330"/>
      <c r="AN145" s="117"/>
      <c r="AO145" s="330"/>
      <c r="AP145" s="117"/>
      <c r="AQ145" s="330"/>
      <c r="AR145" s="117"/>
      <c r="AS145" s="1096" t="s">
        <v>159</v>
      </c>
      <c r="AT145" s="1097"/>
      <c r="AU145" s="1097"/>
      <c r="AV145" s="1097"/>
      <c r="AW145" s="1097"/>
      <c r="AX145" s="1097"/>
      <c r="AY145" s="1100"/>
      <c r="AZ145" s="257"/>
      <c r="BA145" s="257"/>
      <c r="BB145" s="1059" t="s">
        <v>162</v>
      </c>
      <c r="BC145" s="1060"/>
      <c r="BD145" s="1075" t="s">
        <v>159</v>
      </c>
      <c r="BE145" s="1075"/>
      <c r="BF145" s="1075"/>
      <c r="BG145" s="1076" t="s">
        <v>159</v>
      </c>
      <c r="BH145" s="1077"/>
      <c r="BI145" s="1077"/>
      <c r="BJ145" s="1078"/>
      <c r="BK145" s="1065"/>
      <c r="BL145" s="1066"/>
      <c r="BM145" s="1067"/>
      <c r="BN145" s="259"/>
      <c r="BO145" s="259"/>
      <c r="BP145" s="1076"/>
      <c r="BQ145" s="1077"/>
      <c r="BR145" s="1078"/>
      <c r="BS145" s="1075" t="s">
        <v>159</v>
      </c>
      <c r="BT145" s="1075"/>
      <c r="BU145" s="1075"/>
    </row>
    <row r="146" spans="1:73" ht="30" customHeight="1" x14ac:dyDescent="0.25">
      <c r="A146" s="199">
        <f t="shared" si="2"/>
        <v>132</v>
      </c>
      <c r="B146" s="1081" t="s">
        <v>162</v>
      </c>
      <c r="C146" s="1082"/>
      <c r="D146" s="1083" t="s">
        <v>159</v>
      </c>
      <c r="E146" s="1084"/>
      <c r="F146" s="1084"/>
      <c r="G146" s="1085"/>
      <c r="H146" s="1086" t="s">
        <v>159</v>
      </c>
      <c r="I146" s="1087"/>
      <c r="J146" s="1087"/>
      <c r="K146" s="1088"/>
      <c r="L146" s="1089" t="s">
        <v>159</v>
      </c>
      <c r="M146" s="1090"/>
      <c r="N146" s="1091"/>
      <c r="O146" s="1092" t="s">
        <v>159</v>
      </c>
      <c r="P146" s="1093"/>
      <c r="Q146" s="1094"/>
      <c r="R146" s="812"/>
      <c r="S146" s="1095"/>
      <c r="T146" s="813"/>
      <c r="U146" s="745"/>
      <c r="V146" s="940"/>
      <c r="W146" s="746"/>
      <c r="X146" s="312"/>
      <c r="Y146" s="308"/>
      <c r="Z146" s="312"/>
      <c r="AA146" s="308"/>
      <c r="AB146" s="312"/>
      <c r="AC146" s="308"/>
      <c r="AD146" s="312"/>
      <c r="AE146" s="308"/>
      <c r="AF146" s="312"/>
      <c r="AG146" s="308"/>
      <c r="AH146" s="312"/>
      <c r="AI146" s="308"/>
      <c r="AJ146" s="117"/>
      <c r="AK146" s="330"/>
      <c r="AL146" s="117"/>
      <c r="AM146" s="330"/>
      <c r="AN146" s="117"/>
      <c r="AO146" s="330"/>
      <c r="AP146" s="117"/>
      <c r="AQ146" s="330"/>
      <c r="AR146" s="117"/>
      <c r="AS146" s="1096" t="s">
        <v>159</v>
      </c>
      <c r="AT146" s="1097"/>
      <c r="AU146" s="1097"/>
      <c r="AV146" s="1097"/>
      <c r="AW146" s="1097"/>
      <c r="AX146" s="1097"/>
      <c r="AY146" s="1100"/>
      <c r="AZ146" s="257"/>
      <c r="BA146" s="257"/>
      <c r="BB146" s="1059" t="s">
        <v>162</v>
      </c>
      <c r="BC146" s="1060"/>
      <c r="BD146" s="1075" t="s">
        <v>159</v>
      </c>
      <c r="BE146" s="1075"/>
      <c r="BF146" s="1075"/>
      <c r="BG146" s="1076" t="s">
        <v>159</v>
      </c>
      <c r="BH146" s="1077"/>
      <c r="BI146" s="1077"/>
      <c r="BJ146" s="1078"/>
      <c r="BK146" s="1065"/>
      <c r="BL146" s="1066"/>
      <c r="BM146" s="1067"/>
      <c r="BN146" s="259"/>
      <c r="BO146" s="259"/>
      <c r="BP146" s="1076"/>
      <c r="BQ146" s="1077"/>
      <c r="BR146" s="1078"/>
      <c r="BS146" s="1075" t="s">
        <v>159</v>
      </c>
      <c r="BT146" s="1075"/>
      <c r="BU146" s="1075"/>
    </row>
    <row r="147" spans="1:73" ht="30" customHeight="1" x14ac:dyDescent="0.25">
      <c r="A147" s="199">
        <f t="shared" si="2"/>
        <v>133</v>
      </c>
      <c r="B147" s="1081" t="s">
        <v>162</v>
      </c>
      <c r="C147" s="1082"/>
      <c r="D147" s="1083" t="s">
        <v>159</v>
      </c>
      <c r="E147" s="1084"/>
      <c r="F147" s="1084"/>
      <c r="G147" s="1085"/>
      <c r="H147" s="1086" t="s">
        <v>159</v>
      </c>
      <c r="I147" s="1087"/>
      <c r="J147" s="1087"/>
      <c r="K147" s="1088"/>
      <c r="L147" s="1089" t="s">
        <v>159</v>
      </c>
      <c r="M147" s="1090"/>
      <c r="N147" s="1091"/>
      <c r="O147" s="1092" t="s">
        <v>159</v>
      </c>
      <c r="P147" s="1093"/>
      <c r="Q147" s="1094"/>
      <c r="R147" s="812"/>
      <c r="S147" s="1095"/>
      <c r="T147" s="813"/>
      <c r="U147" s="745"/>
      <c r="V147" s="940"/>
      <c r="W147" s="746"/>
      <c r="X147" s="312"/>
      <c r="Y147" s="308"/>
      <c r="Z147" s="312"/>
      <c r="AA147" s="308"/>
      <c r="AB147" s="312"/>
      <c r="AC147" s="308"/>
      <c r="AD147" s="312"/>
      <c r="AE147" s="308"/>
      <c r="AF147" s="312"/>
      <c r="AG147" s="308"/>
      <c r="AH147" s="312"/>
      <c r="AI147" s="308"/>
      <c r="AJ147" s="117"/>
      <c r="AK147" s="330"/>
      <c r="AL147" s="117"/>
      <c r="AM147" s="330"/>
      <c r="AN147" s="117"/>
      <c r="AO147" s="330"/>
      <c r="AP147" s="117"/>
      <c r="AQ147" s="330"/>
      <c r="AR147" s="117"/>
      <c r="AS147" s="1096" t="s">
        <v>159</v>
      </c>
      <c r="AT147" s="1097"/>
      <c r="AU147" s="1097"/>
      <c r="AV147" s="1097"/>
      <c r="AW147" s="1097"/>
      <c r="AX147" s="1097"/>
      <c r="AY147" s="1100"/>
      <c r="AZ147" s="257"/>
      <c r="BA147" s="257"/>
      <c r="BB147" s="1059" t="s">
        <v>162</v>
      </c>
      <c r="BC147" s="1060"/>
      <c r="BD147" s="1075" t="s">
        <v>159</v>
      </c>
      <c r="BE147" s="1075"/>
      <c r="BF147" s="1075"/>
      <c r="BG147" s="1076" t="s">
        <v>159</v>
      </c>
      <c r="BH147" s="1077"/>
      <c r="BI147" s="1077"/>
      <c r="BJ147" s="1078"/>
      <c r="BK147" s="1065"/>
      <c r="BL147" s="1066"/>
      <c r="BM147" s="1067"/>
      <c r="BN147" s="259"/>
      <c r="BO147" s="259"/>
      <c r="BP147" s="1076"/>
      <c r="BQ147" s="1077"/>
      <c r="BR147" s="1078"/>
      <c r="BS147" s="1075" t="s">
        <v>159</v>
      </c>
      <c r="BT147" s="1075"/>
      <c r="BU147" s="1075"/>
    </row>
    <row r="148" spans="1:73" ht="30" customHeight="1" x14ac:dyDescent="0.25">
      <c r="A148" s="199">
        <f t="shared" si="2"/>
        <v>134</v>
      </c>
      <c r="B148" s="1081" t="s">
        <v>162</v>
      </c>
      <c r="C148" s="1082"/>
      <c r="D148" s="1083" t="s">
        <v>159</v>
      </c>
      <c r="E148" s="1084"/>
      <c r="F148" s="1084"/>
      <c r="G148" s="1085"/>
      <c r="H148" s="1086" t="s">
        <v>159</v>
      </c>
      <c r="I148" s="1087"/>
      <c r="J148" s="1087"/>
      <c r="K148" s="1088"/>
      <c r="L148" s="1089" t="s">
        <v>159</v>
      </c>
      <c r="M148" s="1090"/>
      <c r="N148" s="1091"/>
      <c r="O148" s="1092" t="s">
        <v>159</v>
      </c>
      <c r="P148" s="1093"/>
      <c r="Q148" s="1094"/>
      <c r="R148" s="812"/>
      <c r="S148" s="1095"/>
      <c r="T148" s="813"/>
      <c r="U148" s="745"/>
      <c r="V148" s="940"/>
      <c r="W148" s="746"/>
      <c r="X148" s="312"/>
      <c r="Y148" s="308"/>
      <c r="Z148" s="312"/>
      <c r="AA148" s="308"/>
      <c r="AB148" s="312"/>
      <c r="AC148" s="308"/>
      <c r="AD148" s="312"/>
      <c r="AE148" s="308"/>
      <c r="AF148" s="312"/>
      <c r="AG148" s="308"/>
      <c r="AH148" s="312"/>
      <c r="AI148" s="308"/>
      <c r="AJ148" s="117"/>
      <c r="AK148" s="330"/>
      <c r="AL148" s="117"/>
      <c r="AM148" s="330"/>
      <c r="AN148" s="117"/>
      <c r="AO148" s="330"/>
      <c r="AP148" s="117"/>
      <c r="AQ148" s="330"/>
      <c r="AR148" s="117"/>
      <c r="AS148" s="1096" t="s">
        <v>159</v>
      </c>
      <c r="AT148" s="1097"/>
      <c r="AU148" s="1097"/>
      <c r="AV148" s="1097"/>
      <c r="AW148" s="1097"/>
      <c r="AX148" s="1097"/>
      <c r="AY148" s="1100"/>
      <c r="AZ148" s="257"/>
      <c r="BA148" s="257"/>
      <c r="BB148" s="1079" t="s">
        <v>162</v>
      </c>
      <c r="BC148" s="1080"/>
      <c r="BD148" s="1075" t="s">
        <v>159</v>
      </c>
      <c r="BE148" s="1075"/>
      <c r="BF148" s="1075"/>
      <c r="BG148" s="1076" t="s">
        <v>159</v>
      </c>
      <c r="BH148" s="1077"/>
      <c r="BI148" s="1077"/>
      <c r="BJ148" s="1078"/>
      <c r="BK148" s="1065"/>
      <c r="BL148" s="1066"/>
      <c r="BM148" s="1067"/>
      <c r="BN148" s="259"/>
      <c r="BO148" s="259"/>
      <c r="BP148" s="1076"/>
      <c r="BQ148" s="1077"/>
      <c r="BR148" s="1078"/>
      <c r="BS148" s="1075" t="s">
        <v>159</v>
      </c>
      <c r="BT148" s="1075"/>
      <c r="BU148" s="1075"/>
    </row>
    <row r="149" spans="1:73" ht="30" customHeight="1" x14ac:dyDescent="0.25">
      <c r="A149" s="199">
        <f t="shared" si="2"/>
        <v>135</v>
      </c>
      <c r="B149" s="1081" t="s">
        <v>162</v>
      </c>
      <c r="C149" s="1082"/>
      <c r="D149" s="1083" t="s">
        <v>159</v>
      </c>
      <c r="E149" s="1084"/>
      <c r="F149" s="1084"/>
      <c r="G149" s="1085"/>
      <c r="H149" s="1086" t="s">
        <v>159</v>
      </c>
      <c r="I149" s="1087"/>
      <c r="J149" s="1087"/>
      <c r="K149" s="1088"/>
      <c r="L149" s="1089" t="s">
        <v>159</v>
      </c>
      <c r="M149" s="1090"/>
      <c r="N149" s="1091"/>
      <c r="O149" s="1092" t="s">
        <v>159</v>
      </c>
      <c r="P149" s="1093"/>
      <c r="Q149" s="1094"/>
      <c r="R149" s="812"/>
      <c r="S149" s="1095"/>
      <c r="T149" s="813"/>
      <c r="U149" s="745"/>
      <c r="V149" s="940"/>
      <c r="W149" s="746"/>
      <c r="X149" s="312"/>
      <c r="Y149" s="308"/>
      <c r="Z149" s="312"/>
      <c r="AA149" s="308"/>
      <c r="AB149" s="312"/>
      <c r="AC149" s="308"/>
      <c r="AD149" s="312"/>
      <c r="AE149" s="308"/>
      <c r="AF149" s="312"/>
      <c r="AG149" s="308"/>
      <c r="AH149" s="312"/>
      <c r="AI149" s="308"/>
      <c r="AJ149" s="117"/>
      <c r="AK149" s="330"/>
      <c r="AL149" s="117"/>
      <c r="AM149" s="330"/>
      <c r="AN149" s="117"/>
      <c r="AO149" s="330"/>
      <c r="AP149" s="117"/>
      <c r="AQ149" s="330"/>
      <c r="AR149" s="117"/>
      <c r="AS149" s="1096" t="s">
        <v>159</v>
      </c>
      <c r="AT149" s="1097"/>
      <c r="AU149" s="1097"/>
      <c r="AV149" s="1097"/>
      <c r="AW149" s="1097"/>
      <c r="AX149" s="1097"/>
      <c r="AY149" s="1100"/>
      <c r="AZ149" s="257"/>
      <c r="BA149" s="257"/>
      <c r="BB149" s="1059" t="s">
        <v>162</v>
      </c>
      <c r="BC149" s="1060"/>
      <c r="BD149" s="1075" t="s">
        <v>159</v>
      </c>
      <c r="BE149" s="1075"/>
      <c r="BF149" s="1075"/>
      <c r="BG149" s="1076" t="s">
        <v>159</v>
      </c>
      <c r="BH149" s="1077"/>
      <c r="BI149" s="1077"/>
      <c r="BJ149" s="1078"/>
      <c r="BK149" s="1065"/>
      <c r="BL149" s="1066"/>
      <c r="BM149" s="1067"/>
      <c r="BN149" s="259"/>
      <c r="BO149" s="259"/>
      <c r="BP149" s="1076"/>
      <c r="BQ149" s="1077"/>
      <c r="BR149" s="1078"/>
      <c r="BS149" s="1075" t="s">
        <v>159</v>
      </c>
      <c r="BT149" s="1075"/>
      <c r="BU149" s="1075"/>
    </row>
    <row r="150" spans="1:73" ht="30" customHeight="1" x14ac:dyDescent="0.25">
      <c r="A150" s="199">
        <f t="shared" si="2"/>
        <v>136</v>
      </c>
      <c r="B150" s="1081" t="s">
        <v>162</v>
      </c>
      <c r="C150" s="1082"/>
      <c r="D150" s="1083" t="s">
        <v>159</v>
      </c>
      <c r="E150" s="1084"/>
      <c r="F150" s="1084"/>
      <c r="G150" s="1085"/>
      <c r="H150" s="1086" t="s">
        <v>159</v>
      </c>
      <c r="I150" s="1087"/>
      <c r="J150" s="1087"/>
      <c r="K150" s="1088"/>
      <c r="L150" s="1089" t="s">
        <v>159</v>
      </c>
      <c r="M150" s="1090"/>
      <c r="N150" s="1091"/>
      <c r="O150" s="1092" t="s">
        <v>159</v>
      </c>
      <c r="P150" s="1093"/>
      <c r="Q150" s="1094"/>
      <c r="R150" s="812"/>
      <c r="S150" s="1095"/>
      <c r="T150" s="813"/>
      <c r="U150" s="745"/>
      <c r="V150" s="940"/>
      <c r="W150" s="746"/>
      <c r="X150" s="312"/>
      <c r="Y150" s="308"/>
      <c r="Z150" s="312"/>
      <c r="AA150" s="308"/>
      <c r="AB150" s="312"/>
      <c r="AC150" s="308"/>
      <c r="AD150" s="312"/>
      <c r="AE150" s="308"/>
      <c r="AF150" s="312"/>
      <c r="AG150" s="308"/>
      <c r="AH150" s="312"/>
      <c r="AI150" s="308"/>
      <c r="AJ150" s="117"/>
      <c r="AK150" s="330"/>
      <c r="AL150" s="117"/>
      <c r="AM150" s="330"/>
      <c r="AN150" s="117"/>
      <c r="AO150" s="330"/>
      <c r="AP150" s="117"/>
      <c r="AQ150" s="330"/>
      <c r="AR150" s="117"/>
      <c r="AS150" s="1096" t="s">
        <v>159</v>
      </c>
      <c r="AT150" s="1097"/>
      <c r="AU150" s="1097"/>
      <c r="AV150" s="1097"/>
      <c r="AW150" s="1097"/>
      <c r="AX150" s="1097"/>
      <c r="AY150" s="1100"/>
      <c r="AZ150" s="257"/>
      <c r="BA150" s="257"/>
      <c r="BB150" s="1059" t="s">
        <v>162</v>
      </c>
      <c r="BC150" s="1060"/>
      <c r="BD150" s="1075" t="s">
        <v>159</v>
      </c>
      <c r="BE150" s="1075"/>
      <c r="BF150" s="1075"/>
      <c r="BG150" s="1076" t="s">
        <v>159</v>
      </c>
      <c r="BH150" s="1077"/>
      <c r="BI150" s="1077"/>
      <c r="BJ150" s="1078"/>
      <c r="BK150" s="1065"/>
      <c r="BL150" s="1066"/>
      <c r="BM150" s="1067"/>
      <c r="BN150" s="259"/>
      <c r="BO150" s="259"/>
      <c r="BP150" s="1076"/>
      <c r="BQ150" s="1077"/>
      <c r="BR150" s="1078"/>
      <c r="BS150" s="1075" t="s">
        <v>159</v>
      </c>
      <c r="BT150" s="1075"/>
      <c r="BU150" s="1075"/>
    </row>
    <row r="151" spans="1:73" ht="30" customHeight="1" x14ac:dyDescent="0.25">
      <c r="A151" s="199">
        <f t="shared" si="2"/>
        <v>137</v>
      </c>
      <c r="B151" s="1081" t="s">
        <v>162</v>
      </c>
      <c r="C151" s="1082"/>
      <c r="D151" s="1083" t="s">
        <v>159</v>
      </c>
      <c r="E151" s="1084"/>
      <c r="F151" s="1084"/>
      <c r="G151" s="1085"/>
      <c r="H151" s="1086" t="s">
        <v>159</v>
      </c>
      <c r="I151" s="1087"/>
      <c r="J151" s="1087"/>
      <c r="K151" s="1088"/>
      <c r="L151" s="1089" t="s">
        <v>159</v>
      </c>
      <c r="M151" s="1090"/>
      <c r="N151" s="1091"/>
      <c r="O151" s="1092" t="s">
        <v>159</v>
      </c>
      <c r="P151" s="1093"/>
      <c r="Q151" s="1094"/>
      <c r="R151" s="812"/>
      <c r="S151" s="1095"/>
      <c r="T151" s="813"/>
      <c r="U151" s="745"/>
      <c r="V151" s="940"/>
      <c r="W151" s="746"/>
      <c r="X151" s="312"/>
      <c r="Y151" s="308"/>
      <c r="Z151" s="312"/>
      <c r="AA151" s="308"/>
      <c r="AB151" s="312"/>
      <c r="AC151" s="308"/>
      <c r="AD151" s="312"/>
      <c r="AE151" s="308"/>
      <c r="AF151" s="312"/>
      <c r="AG151" s="308"/>
      <c r="AH151" s="312"/>
      <c r="AI151" s="308"/>
      <c r="AJ151" s="117"/>
      <c r="AK151" s="330"/>
      <c r="AL151" s="117"/>
      <c r="AM151" s="330"/>
      <c r="AN151" s="117"/>
      <c r="AO151" s="330"/>
      <c r="AP151" s="117"/>
      <c r="AQ151" s="330"/>
      <c r="AR151" s="117"/>
      <c r="AS151" s="1096" t="s">
        <v>159</v>
      </c>
      <c r="AT151" s="1097"/>
      <c r="AU151" s="1097"/>
      <c r="AV151" s="1097"/>
      <c r="AW151" s="1097"/>
      <c r="AX151" s="1097"/>
      <c r="AY151" s="1100"/>
      <c r="AZ151" s="257"/>
      <c r="BA151" s="257"/>
      <c r="BB151" s="1059" t="s">
        <v>162</v>
      </c>
      <c r="BC151" s="1060"/>
      <c r="BD151" s="1075" t="s">
        <v>159</v>
      </c>
      <c r="BE151" s="1075"/>
      <c r="BF151" s="1075"/>
      <c r="BG151" s="1076" t="s">
        <v>159</v>
      </c>
      <c r="BH151" s="1077"/>
      <c r="BI151" s="1077"/>
      <c r="BJ151" s="1078"/>
      <c r="BK151" s="1065"/>
      <c r="BL151" s="1066"/>
      <c r="BM151" s="1067"/>
      <c r="BN151" s="259"/>
      <c r="BO151" s="259"/>
      <c r="BP151" s="1076"/>
      <c r="BQ151" s="1077"/>
      <c r="BR151" s="1078"/>
      <c r="BS151" s="1075" t="s">
        <v>159</v>
      </c>
      <c r="BT151" s="1075"/>
      <c r="BU151" s="1075"/>
    </row>
    <row r="152" spans="1:73" ht="30" customHeight="1" x14ac:dyDescent="0.25">
      <c r="A152" s="199">
        <f t="shared" si="2"/>
        <v>138</v>
      </c>
      <c r="B152" s="1081" t="s">
        <v>162</v>
      </c>
      <c r="C152" s="1082"/>
      <c r="D152" s="1083" t="s">
        <v>159</v>
      </c>
      <c r="E152" s="1084"/>
      <c r="F152" s="1084"/>
      <c r="G152" s="1085"/>
      <c r="H152" s="1086" t="s">
        <v>159</v>
      </c>
      <c r="I152" s="1087"/>
      <c r="J152" s="1087"/>
      <c r="K152" s="1088"/>
      <c r="L152" s="1089" t="s">
        <v>159</v>
      </c>
      <c r="M152" s="1090"/>
      <c r="N152" s="1091"/>
      <c r="O152" s="1092" t="s">
        <v>159</v>
      </c>
      <c r="P152" s="1093"/>
      <c r="Q152" s="1094"/>
      <c r="R152" s="812"/>
      <c r="S152" s="1095"/>
      <c r="T152" s="813"/>
      <c r="U152" s="745"/>
      <c r="V152" s="940"/>
      <c r="W152" s="746"/>
      <c r="X152" s="312"/>
      <c r="Y152" s="308"/>
      <c r="Z152" s="312"/>
      <c r="AA152" s="308"/>
      <c r="AB152" s="312"/>
      <c r="AC152" s="308"/>
      <c r="AD152" s="312"/>
      <c r="AE152" s="308"/>
      <c r="AF152" s="312"/>
      <c r="AG152" s="308"/>
      <c r="AH152" s="312"/>
      <c r="AI152" s="308"/>
      <c r="AJ152" s="117"/>
      <c r="AK152" s="330"/>
      <c r="AL152" s="117"/>
      <c r="AM152" s="330"/>
      <c r="AN152" s="117"/>
      <c r="AO152" s="330"/>
      <c r="AP152" s="117"/>
      <c r="AQ152" s="330"/>
      <c r="AR152" s="117"/>
      <c r="AS152" s="1096" t="s">
        <v>159</v>
      </c>
      <c r="AT152" s="1097"/>
      <c r="AU152" s="1097"/>
      <c r="AV152" s="1097"/>
      <c r="AW152" s="1097"/>
      <c r="AX152" s="1097"/>
      <c r="AY152" s="1100"/>
      <c r="AZ152" s="257"/>
      <c r="BA152" s="257"/>
      <c r="BB152" s="1059" t="s">
        <v>162</v>
      </c>
      <c r="BC152" s="1060"/>
      <c r="BD152" s="1075" t="s">
        <v>159</v>
      </c>
      <c r="BE152" s="1075"/>
      <c r="BF152" s="1075"/>
      <c r="BG152" s="1076" t="s">
        <v>159</v>
      </c>
      <c r="BH152" s="1077"/>
      <c r="BI152" s="1077"/>
      <c r="BJ152" s="1078"/>
      <c r="BK152" s="1065"/>
      <c r="BL152" s="1066"/>
      <c r="BM152" s="1067"/>
      <c r="BN152" s="259"/>
      <c r="BO152" s="259"/>
      <c r="BP152" s="1076"/>
      <c r="BQ152" s="1077"/>
      <c r="BR152" s="1078"/>
      <c r="BS152" s="1075" t="s">
        <v>159</v>
      </c>
      <c r="BT152" s="1075"/>
      <c r="BU152" s="1075"/>
    </row>
    <row r="153" spans="1:73" ht="30" customHeight="1" x14ac:dyDescent="0.25">
      <c r="A153" s="199">
        <f t="shared" si="2"/>
        <v>139</v>
      </c>
      <c r="B153" s="1081" t="s">
        <v>162</v>
      </c>
      <c r="C153" s="1082"/>
      <c r="D153" s="1083" t="s">
        <v>159</v>
      </c>
      <c r="E153" s="1084"/>
      <c r="F153" s="1084"/>
      <c r="G153" s="1085"/>
      <c r="H153" s="1086" t="s">
        <v>159</v>
      </c>
      <c r="I153" s="1087"/>
      <c r="J153" s="1087"/>
      <c r="K153" s="1088"/>
      <c r="L153" s="1089" t="s">
        <v>159</v>
      </c>
      <c r="M153" s="1090"/>
      <c r="N153" s="1091"/>
      <c r="O153" s="1092" t="s">
        <v>159</v>
      </c>
      <c r="P153" s="1093"/>
      <c r="Q153" s="1094"/>
      <c r="R153" s="812"/>
      <c r="S153" s="1095"/>
      <c r="T153" s="813"/>
      <c r="U153" s="745"/>
      <c r="V153" s="940"/>
      <c r="W153" s="746"/>
      <c r="X153" s="312"/>
      <c r="Y153" s="308"/>
      <c r="Z153" s="312"/>
      <c r="AA153" s="308"/>
      <c r="AB153" s="312"/>
      <c r="AC153" s="308"/>
      <c r="AD153" s="312"/>
      <c r="AE153" s="308"/>
      <c r="AF153" s="312"/>
      <c r="AG153" s="308"/>
      <c r="AH153" s="312"/>
      <c r="AI153" s="308"/>
      <c r="AJ153" s="117"/>
      <c r="AK153" s="330"/>
      <c r="AL153" s="117"/>
      <c r="AM153" s="330"/>
      <c r="AN153" s="117"/>
      <c r="AO153" s="330"/>
      <c r="AP153" s="117"/>
      <c r="AQ153" s="330"/>
      <c r="AR153" s="117"/>
      <c r="AS153" s="1096" t="s">
        <v>159</v>
      </c>
      <c r="AT153" s="1097"/>
      <c r="AU153" s="1097"/>
      <c r="AV153" s="1097"/>
      <c r="AW153" s="1097"/>
      <c r="AX153" s="1097"/>
      <c r="AY153" s="1100"/>
      <c r="AZ153" s="257"/>
      <c r="BA153" s="257"/>
      <c r="BB153" s="1059" t="s">
        <v>162</v>
      </c>
      <c r="BC153" s="1060"/>
      <c r="BD153" s="1075" t="s">
        <v>159</v>
      </c>
      <c r="BE153" s="1075"/>
      <c r="BF153" s="1075"/>
      <c r="BG153" s="1076" t="s">
        <v>159</v>
      </c>
      <c r="BH153" s="1077"/>
      <c r="BI153" s="1077"/>
      <c r="BJ153" s="1078"/>
      <c r="BK153" s="1065"/>
      <c r="BL153" s="1066"/>
      <c r="BM153" s="1067"/>
      <c r="BN153" s="259"/>
      <c r="BO153" s="259"/>
      <c r="BP153" s="1076"/>
      <c r="BQ153" s="1077"/>
      <c r="BR153" s="1078"/>
      <c r="BS153" s="1075" t="s">
        <v>159</v>
      </c>
      <c r="BT153" s="1075"/>
      <c r="BU153" s="1075"/>
    </row>
    <row r="154" spans="1:73" ht="30" customHeight="1" x14ac:dyDescent="0.25">
      <c r="A154" s="199">
        <f t="shared" si="2"/>
        <v>140</v>
      </c>
      <c r="B154" s="1081" t="s">
        <v>162</v>
      </c>
      <c r="C154" s="1082"/>
      <c r="D154" s="1083" t="s">
        <v>159</v>
      </c>
      <c r="E154" s="1084"/>
      <c r="F154" s="1084"/>
      <c r="G154" s="1085"/>
      <c r="H154" s="1086" t="s">
        <v>159</v>
      </c>
      <c r="I154" s="1087"/>
      <c r="J154" s="1087"/>
      <c r="K154" s="1088"/>
      <c r="L154" s="1089" t="s">
        <v>159</v>
      </c>
      <c r="M154" s="1090"/>
      <c r="N154" s="1091"/>
      <c r="O154" s="1092" t="s">
        <v>159</v>
      </c>
      <c r="P154" s="1093"/>
      <c r="Q154" s="1094"/>
      <c r="R154" s="812"/>
      <c r="S154" s="1095"/>
      <c r="T154" s="813"/>
      <c r="U154" s="745"/>
      <c r="V154" s="940"/>
      <c r="W154" s="746"/>
      <c r="X154" s="312"/>
      <c r="Y154" s="308"/>
      <c r="Z154" s="312"/>
      <c r="AA154" s="308"/>
      <c r="AB154" s="312"/>
      <c r="AC154" s="308"/>
      <c r="AD154" s="312"/>
      <c r="AE154" s="308"/>
      <c r="AF154" s="312"/>
      <c r="AG154" s="308"/>
      <c r="AH154" s="312"/>
      <c r="AI154" s="308"/>
      <c r="AJ154" s="117"/>
      <c r="AK154" s="330"/>
      <c r="AL154" s="117"/>
      <c r="AM154" s="330"/>
      <c r="AN154" s="117"/>
      <c r="AO154" s="330"/>
      <c r="AP154" s="117"/>
      <c r="AQ154" s="330"/>
      <c r="AR154" s="117"/>
      <c r="AS154" s="1096" t="s">
        <v>159</v>
      </c>
      <c r="AT154" s="1097"/>
      <c r="AU154" s="1097"/>
      <c r="AV154" s="1097"/>
      <c r="AW154" s="1097"/>
      <c r="AX154" s="1097"/>
      <c r="AY154" s="1100"/>
      <c r="AZ154" s="257"/>
      <c r="BA154" s="257"/>
      <c r="BB154" s="1059" t="s">
        <v>162</v>
      </c>
      <c r="BC154" s="1060"/>
      <c r="BD154" s="1075" t="s">
        <v>159</v>
      </c>
      <c r="BE154" s="1075"/>
      <c r="BF154" s="1075"/>
      <c r="BG154" s="1076" t="s">
        <v>159</v>
      </c>
      <c r="BH154" s="1077"/>
      <c r="BI154" s="1077"/>
      <c r="BJ154" s="1078"/>
      <c r="BK154" s="1065"/>
      <c r="BL154" s="1066"/>
      <c r="BM154" s="1067"/>
      <c r="BN154" s="259"/>
      <c r="BO154" s="259"/>
      <c r="BP154" s="1076"/>
      <c r="BQ154" s="1077"/>
      <c r="BR154" s="1078"/>
      <c r="BS154" s="1075" t="s">
        <v>159</v>
      </c>
      <c r="BT154" s="1075"/>
      <c r="BU154" s="1075"/>
    </row>
    <row r="155" spans="1:73" ht="30" customHeight="1" x14ac:dyDescent="0.25">
      <c r="A155" s="199">
        <f t="shared" si="2"/>
        <v>141</v>
      </c>
      <c r="B155" s="1081" t="s">
        <v>162</v>
      </c>
      <c r="C155" s="1082"/>
      <c r="D155" s="1083" t="s">
        <v>159</v>
      </c>
      <c r="E155" s="1084"/>
      <c r="F155" s="1084"/>
      <c r="G155" s="1085"/>
      <c r="H155" s="1086" t="s">
        <v>159</v>
      </c>
      <c r="I155" s="1087"/>
      <c r="J155" s="1087"/>
      <c r="K155" s="1088"/>
      <c r="L155" s="1089" t="s">
        <v>159</v>
      </c>
      <c r="M155" s="1090"/>
      <c r="N155" s="1091"/>
      <c r="O155" s="1092" t="s">
        <v>159</v>
      </c>
      <c r="P155" s="1093"/>
      <c r="Q155" s="1094"/>
      <c r="R155" s="812"/>
      <c r="S155" s="1095"/>
      <c r="T155" s="813"/>
      <c r="U155" s="745"/>
      <c r="V155" s="940"/>
      <c r="W155" s="746"/>
      <c r="X155" s="312"/>
      <c r="Y155" s="308"/>
      <c r="Z155" s="312"/>
      <c r="AA155" s="308"/>
      <c r="AB155" s="312"/>
      <c r="AC155" s="308"/>
      <c r="AD155" s="312"/>
      <c r="AE155" s="308"/>
      <c r="AF155" s="312"/>
      <c r="AG155" s="308"/>
      <c r="AH155" s="312"/>
      <c r="AI155" s="308"/>
      <c r="AJ155" s="117"/>
      <c r="AK155" s="330"/>
      <c r="AL155" s="117"/>
      <c r="AM155" s="330"/>
      <c r="AN155" s="117"/>
      <c r="AO155" s="330"/>
      <c r="AP155" s="117"/>
      <c r="AQ155" s="330"/>
      <c r="AR155" s="117"/>
      <c r="AS155" s="1096" t="s">
        <v>159</v>
      </c>
      <c r="AT155" s="1097"/>
      <c r="AU155" s="1097"/>
      <c r="AV155" s="1097"/>
      <c r="AW155" s="1097"/>
      <c r="AX155" s="1097"/>
      <c r="AY155" s="1100"/>
      <c r="AZ155" s="257"/>
      <c r="BA155" s="257"/>
      <c r="BB155" s="1079" t="s">
        <v>162</v>
      </c>
      <c r="BC155" s="1080"/>
      <c r="BD155" s="1075" t="s">
        <v>159</v>
      </c>
      <c r="BE155" s="1075"/>
      <c r="BF155" s="1075"/>
      <c r="BG155" s="1076" t="s">
        <v>159</v>
      </c>
      <c r="BH155" s="1077"/>
      <c r="BI155" s="1077"/>
      <c r="BJ155" s="1078"/>
      <c r="BK155" s="1065"/>
      <c r="BL155" s="1066"/>
      <c r="BM155" s="1067"/>
      <c r="BN155" s="259"/>
      <c r="BO155" s="259"/>
      <c r="BP155" s="1076"/>
      <c r="BQ155" s="1077"/>
      <c r="BR155" s="1078"/>
      <c r="BS155" s="1075" t="s">
        <v>159</v>
      </c>
      <c r="BT155" s="1075"/>
      <c r="BU155" s="1075"/>
    </row>
    <row r="156" spans="1:73" ht="30" customHeight="1" x14ac:dyDescent="0.25">
      <c r="A156" s="199">
        <f t="shared" si="2"/>
        <v>142</v>
      </c>
      <c r="B156" s="1081" t="s">
        <v>162</v>
      </c>
      <c r="C156" s="1082"/>
      <c r="D156" s="1083" t="s">
        <v>159</v>
      </c>
      <c r="E156" s="1084"/>
      <c r="F156" s="1084"/>
      <c r="G156" s="1085"/>
      <c r="H156" s="1086" t="s">
        <v>159</v>
      </c>
      <c r="I156" s="1087"/>
      <c r="J156" s="1087"/>
      <c r="K156" s="1088"/>
      <c r="L156" s="1089" t="s">
        <v>159</v>
      </c>
      <c r="M156" s="1090"/>
      <c r="N156" s="1091"/>
      <c r="O156" s="1092" t="s">
        <v>159</v>
      </c>
      <c r="P156" s="1093"/>
      <c r="Q156" s="1094"/>
      <c r="R156" s="812"/>
      <c r="S156" s="1095"/>
      <c r="T156" s="813"/>
      <c r="U156" s="745"/>
      <c r="V156" s="940"/>
      <c r="W156" s="746"/>
      <c r="X156" s="312"/>
      <c r="Y156" s="308"/>
      <c r="Z156" s="312"/>
      <c r="AA156" s="308"/>
      <c r="AB156" s="312"/>
      <c r="AC156" s="308"/>
      <c r="AD156" s="312"/>
      <c r="AE156" s="308"/>
      <c r="AF156" s="312"/>
      <c r="AG156" s="308"/>
      <c r="AH156" s="312"/>
      <c r="AI156" s="308"/>
      <c r="AJ156" s="117"/>
      <c r="AK156" s="330"/>
      <c r="AL156" s="117"/>
      <c r="AM156" s="330"/>
      <c r="AN156" s="117"/>
      <c r="AO156" s="330"/>
      <c r="AP156" s="117"/>
      <c r="AQ156" s="330"/>
      <c r="AR156" s="117"/>
      <c r="AS156" s="1096" t="s">
        <v>159</v>
      </c>
      <c r="AT156" s="1097"/>
      <c r="AU156" s="1097"/>
      <c r="AV156" s="1097"/>
      <c r="AW156" s="1097"/>
      <c r="AX156" s="1097"/>
      <c r="AY156" s="1100"/>
      <c r="AZ156" s="257"/>
      <c r="BA156" s="257"/>
      <c r="BB156" s="1059" t="s">
        <v>162</v>
      </c>
      <c r="BC156" s="1060"/>
      <c r="BD156" s="1075" t="s">
        <v>159</v>
      </c>
      <c r="BE156" s="1075"/>
      <c r="BF156" s="1075"/>
      <c r="BG156" s="1076" t="s">
        <v>159</v>
      </c>
      <c r="BH156" s="1077"/>
      <c r="BI156" s="1077"/>
      <c r="BJ156" s="1078"/>
      <c r="BK156" s="1065"/>
      <c r="BL156" s="1066"/>
      <c r="BM156" s="1067"/>
      <c r="BN156" s="259"/>
      <c r="BO156" s="259"/>
      <c r="BP156" s="1076"/>
      <c r="BQ156" s="1077"/>
      <c r="BR156" s="1078"/>
      <c r="BS156" s="1075" t="s">
        <v>159</v>
      </c>
      <c r="BT156" s="1075"/>
      <c r="BU156" s="1075"/>
    </row>
    <row r="157" spans="1:73" ht="30" customHeight="1" x14ac:dyDescent="0.25">
      <c r="A157" s="199">
        <f t="shared" si="2"/>
        <v>143</v>
      </c>
      <c r="B157" s="1081" t="s">
        <v>162</v>
      </c>
      <c r="C157" s="1082"/>
      <c r="D157" s="1083" t="s">
        <v>159</v>
      </c>
      <c r="E157" s="1084"/>
      <c r="F157" s="1084"/>
      <c r="G157" s="1085"/>
      <c r="H157" s="1086" t="s">
        <v>159</v>
      </c>
      <c r="I157" s="1087"/>
      <c r="J157" s="1087"/>
      <c r="K157" s="1088"/>
      <c r="L157" s="1089" t="s">
        <v>159</v>
      </c>
      <c r="M157" s="1090"/>
      <c r="N157" s="1091"/>
      <c r="O157" s="1092" t="s">
        <v>159</v>
      </c>
      <c r="P157" s="1093"/>
      <c r="Q157" s="1094"/>
      <c r="R157" s="812"/>
      <c r="S157" s="1095"/>
      <c r="T157" s="813"/>
      <c r="U157" s="745"/>
      <c r="V157" s="940"/>
      <c r="W157" s="746"/>
      <c r="X157" s="312"/>
      <c r="Y157" s="308"/>
      <c r="Z157" s="312"/>
      <c r="AA157" s="308"/>
      <c r="AB157" s="312"/>
      <c r="AC157" s="308"/>
      <c r="AD157" s="312"/>
      <c r="AE157" s="308"/>
      <c r="AF157" s="312"/>
      <c r="AG157" s="308"/>
      <c r="AH157" s="312"/>
      <c r="AI157" s="308"/>
      <c r="AJ157" s="117"/>
      <c r="AK157" s="330"/>
      <c r="AL157" s="117"/>
      <c r="AM157" s="330"/>
      <c r="AN157" s="117"/>
      <c r="AO157" s="330"/>
      <c r="AP157" s="117"/>
      <c r="AQ157" s="330"/>
      <c r="AR157" s="117"/>
      <c r="AS157" s="1096" t="s">
        <v>159</v>
      </c>
      <c r="AT157" s="1097"/>
      <c r="AU157" s="1097"/>
      <c r="AV157" s="1097"/>
      <c r="AW157" s="1097"/>
      <c r="AX157" s="1097"/>
      <c r="AY157" s="1100"/>
      <c r="AZ157" s="257"/>
      <c r="BA157" s="257"/>
      <c r="BB157" s="1059" t="s">
        <v>162</v>
      </c>
      <c r="BC157" s="1060"/>
      <c r="BD157" s="1075" t="s">
        <v>159</v>
      </c>
      <c r="BE157" s="1075"/>
      <c r="BF157" s="1075"/>
      <c r="BG157" s="1076" t="s">
        <v>159</v>
      </c>
      <c r="BH157" s="1077"/>
      <c r="BI157" s="1077"/>
      <c r="BJ157" s="1078"/>
      <c r="BK157" s="1065"/>
      <c r="BL157" s="1066"/>
      <c r="BM157" s="1067"/>
      <c r="BN157" s="259"/>
      <c r="BO157" s="259"/>
      <c r="BP157" s="1076"/>
      <c r="BQ157" s="1077"/>
      <c r="BR157" s="1078"/>
      <c r="BS157" s="1075" t="s">
        <v>159</v>
      </c>
      <c r="BT157" s="1075"/>
      <c r="BU157" s="1075"/>
    </row>
    <row r="158" spans="1:73" ht="30" customHeight="1" x14ac:dyDescent="0.25">
      <c r="A158" s="199">
        <f t="shared" si="2"/>
        <v>144</v>
      </c>
      <c r="B158" s="1081" t="s">
        <v>162</v>
      </c>
      <c r="C158" s="1082"/>
      <c r="D158" s="1083" t="s">
        <v>159</v>
      </c>
      <c r="E158" s="1084"/>
      <c r="F158" s="1084"/>
      <c r="G158" s="1085"/>
      <c r="H158" s="1086" t="s">
        <v>159</v>
      </c>
      <c r="I158" s="1087"/>
      <c r="J158" s="1087"/>
      <c r="K158" s="1088"/>
      <c r="L158" s="1089" t="s">
        <v>159</v>
      </c>
      <c r="M158" s="1090"/>
      <c r="N158" s="1091"/>
      <c r="O158" s="1092" t="s">
        <v>159</v>
      </c>
      <c r="P158" s="1093"/>
      <c r="Q158" s="1094"/>
      <c r="R158" s="812"/>
      <c r="S158" s="1095"/>
      <c r="T158" s="813"/>
      <c r="U158" s="745"/>
      <c r="V158" s="940"/>
      <c r="W158" s="746"/>
      <c r="X158" s="312"/>
      <c r="Y158" s="308"/>
      <c r="Z158" s="312"/>
      <c r="AA158" s="308"/>
      <c r="AB158" s="312"/>
      <c r="AC158" s="308"/>
      <c r="AD158" s="312"/>
      <c r="AE158" s="308"/>
      <c r="AF158" s="312"/>
      <c r="AG158" s="308"/>
      <c r="AH158" s="312"/>
      <c r="AI158" s="308"/>
      <c r="AJ158" s="117"/>
      <c r="AK158" s="330"/>
      <c r="AL158" s="117"/>
      <c r="AM158" s="330"/>
      <c r="AN158" s="117"/>
      <c r="AO158" s="330"/>
      <c r="AP158" s="117"/>
      <c r="AQ158" s="330"/>
      <c r="AR158" s="117"/>
      <c r="AS158" s="1096" t="s">
        <v>159</v>
      </c>
      <c r="AT158" s="1097"/>
      <c r="AU158" s="1097"/>
      <c r="AV158" s="1097"/>
      <c r="AW158" s="1097"/>
      <c r="AX158" s="1097"/>
      <c r="AY158" s="1100"/>
      <c r="AZ158" s="257"/>
      <c r="BA158" s="257"/>
      <c r="BB158" s="1059" t="s">
        <v>162</v>
      </c>
      <c r="BC158" s="1060"/>
      <c r="BD158" s="1075" t="s">
        <v>159</v>
      </c>
      <c r="BE158" s="1075"/>
      <c r="BF158" s="1075"/>
      <c r="BG158" s="1076" t="s">
        <v>159</v>
      </c>
      <c r="BH158" s="1077"/>
      <c r="BI158" s="1077"/>
      <c r="BJ158" s="1078"/>
      <c r="BK158" s="1065"/>
      <c r="BL158" s="1066"/>
      <c r="BM158" s="1067"/>
      <c r="BN158" s="259"/>
      <c r="BO158" s="259"/>
      <c r="BP158" s="1076"/>
      <c r="BQ158" s="1077"/>
      <c r="BR158" s="1078"/>
      <c r="BS158" s="1075" t="s">
        <v>159</v>
      </c>
      <c r="BT158" s="1075"/>
      <c r="BU158" s="1075"/>
    </row>
    <row r="159" spans="1:73" ht="30" customHeight="1" x14ac:dyDescent="0.25">
      <c r="A159" s="199">
        <f t="shared" si="2"/>
        <v>145</v>
      </c>
      <c r="B159" s="1081" t="s">
        <v>162</v>
      </c>
      <c r="C159" s="1082"/>
      <c r="D159" s="1083" t="s">
        <v>159</v>
      </c>
      <c r="E159" s="1084"/>
      <c r="F159" s="1084"/>
      <c r="G159" s="1085"/>
      <c r="H159" s="1086" t="s">
        <v>159</v>
      </c>
      <c r="I159" s="1087"/>
      <c r="J159" s="1087"/>
      <c r="K159" s="1088"/>
      <c r="L159" s="1089" t="s">
        <v>159</v>
      </c>
      <c r="M159" s="1090"/>
      <c r="N159" s="1091"/>
      <c r="O159" s="1092" t="s">
        <v>159</v>
      </c>
      <c r="P159" s="1093"/>
      <c r="Q159" s="1094"/>
      <c r="R159" s="812"/>
      <c r="S159" s="1095"/>
      <c r="T159" s="813"/>
      <c r="U159" s="745"/>
      <c r="V159" s="940"/>
      <c r="W159" s="746"/>
      <c r="X159" s="312"/>
      <c r="Y159" s="308"/>
      <c r="Z159" s="312"/>
      <c r="AA159" s="308"/>
      <c r="AB159" s="312"/>
      <c r="AC159" s="308"/>
      <c r="AD159" s="312"/>
      <c r="AE159" s="308"/>
      <c r="AF159" s="312"/>
      <c r="AG159" s="308"/>
      <c r="AH159" s="312"/>
      <c r="AI159" s="308"/>
      <c r="AJ159" s="117"/>
      <c r="AK159" s="330"/>
      <c r="AL159" s="117"/>
      <c r="AM159" s="330"/>
      <c r="AN159" s="117"/>
      <c r="AO159" s="330"/>
      <c r="AP159" s="117"/>
      <c r="AQ159" s="330"/>
      <c r="AR159" s="117"/>
      <c r="AS159" s="1096" t="s">
        <v>159</v>
      </c>
      <c r="AT159" s="1097"/>
      <c r="AU159" s="1097"/>
      <c r="AV159" s="1097"/>
      <c r="AW159" s="1097"/>
      <c r="AX159" s="1097"/>
      <c r="AY159" s="1100"/>
      <c r="AZ159" s="257"/>
      <c r="BA159" s="257"/>
      <c r="BB159" s="1059" t="s">
        <v>162</v>
      </c>
      <c r="BC159" s="1060"/>
      <c r="BD159" s="1075" t="s">
        <v>159</v>
      </c>
      <c r="BE159" s="1075"/>
      <c r="BF159" s="1075"/>
      <c r="BG159" s="1076" t="s">
        <v>159</v>
      </c>
      <c r="BH159" s="1077"/>
      <c r="BI159" s="1077"/>
      <c r="BJ159" s="1078"/>
      <c r="BK159" s="1065"/>
      <c r="BL159" s="1066"/>
      <c r="BM159" s="1067"/>
      <c r="BN159" s="259"/>
      <c r="BO159" s="259"/>
      <c r="BP159" s="1076"/>
      <c r="BQ159" s="1077"/>
      <c r="BR159" s="1078"/>
      <c r="BS159" s="1075" t="s">
        <v>159</v>
      </c>
      <c r="BT159" s="1075"/>
      <c r="BU159" s="1075"/>
    </row>
    <row r="160" spans="1:73" ht="30" customHeight="1" x14ac:dyDescent="0.25">
      <c r="A160" s="199">
        <f t="shared" si="2"/>
        <v>146</v>
      </c>
      <c r="B160" s="1081" t="s">
        <v>162</v>
      </c>
      <c r="C160" s="1082"/>
      <c r="D160" s="1083" t="s">
        <v>159</v>
      </c>
      <c r="E160" s="1084"/>
      <c r="F160" s="1084"/>
      <c r="G160" s="1085"/>
      <c r="H160" s="1086" t="s">
        <v>159</v>
      </c>
      <c r="I160" s="1087"/>
      <c r="J160" s="1087"/>
      <c r="K160" s="1088"/>
      <c r="L160" s="1089" t="s">
        <v>159</v>
      </c>
      <c r="M160" s="1090"/>
      <c r="N160" s="1091"/>
      <c r="O160" s="1092" t="s">
        <v>159</v>
      </c>
      <c r="P160" s="1093"/>
      <c r="Q160" s="1094"/>
      <c r="R160" s="812"/>
      <c r="S160" s="1095"/>
      <c r="T160" s="813"/>
      <c r="U160" s="745"/>
      <c r="V160" s="940"/>
      <c r="W160" s="746"/>
      <c r="X160" s="312"/>
      <c r="Y160" s="308"/>
      <c r="Z160" s="312"/>
      <c r="AA160" s="308"/>
      <c r="AB160" s="312"/>
      <c r="AC160" s="308"/>
      <c r="AD160" s="312"/>
      <c r="AE160" s="308"/>
      <c r="AF160" s="312"/>
      <c r="AG160" s="308"/>
      <c r="AH160" s="312"/>
      <c r="AI160" s="308"/>
      <c r="AJ160" s="117"/>
      <c r="AK160" s="330"/>
      <c r="AL160" s="117"/>
      <c r="AM160" s="330"/>
      <c r="AN160" s="117"/>
      <c r="AO160" s="330"/>
      <c r="AP160" s="117"/>
      <c r="AQ160" s="330"/>
      <c r="AR160" s="117"/>
      <c r="AS160" s="1096" t="s">
        <v>159</v>
      </c>
      <c r="AT160" s="1097"/>
      <c r="AU160" s="1097"/>
      <c r="AV160" s="1097"/>
      <c r="AW160" s="1097"/>
      <c r="AX160" s="1097"/>
      <c r="AY160" s="1100"/>
      <c r="AZ160" s="257"/>
      <c r="BA160" s="257"/>
      <c r="BB160" s="1059" t="s">
        <v>162</v>
      </c>
      <c r="BC160" s="1060"/>
      <c r="BD160" s="1075" t="s">
        <v>159</v>
      </c>
      <c r="BE160" s="1075"/>
      <c r="BF160" s="1075"/>
      <c r="BG160" s="1076" t="s">
        <v>159</v>
      </c>
      <c r="BH160" s="1077"/>
      <c r="BI160" s="1077"/>
      <c r="BJ160" s="1078"/>
      <c r="BK160" s="1065"/>
      <c r="BL160" s="1066"/>
      <c r="BM160" s="1067"/>
      <c r="BN160" s="259"/>
      <c r="BO160" s="259"/>
      <c r="BP160" s="1076"/>
      <c r="BQ160" s="1077"/>
      <c r="BR160" s="1078"/>
      <c r="BS160" s="1075" t="s">
        <v>159</v>
      </c>
      <c r="BT160" s="1075"/>
      <c r="BU160" s="1075"/>
    </row>
    <row r="161" spans="1:73" ht="30" customHeight="1" x14ac:dyDescent="0.25">
      <c r="A161" s="199">
        <f t="shared" si="2"/>
        <v>147</v>
      </c>
      <c r="B161" s="1081" t="s">
        <v>162</v>
      </c>
      <c r="C161" s="1082"/>
      <c r="D161" s="1083" t="s">
        <v>159</v>
      </c>
      <c r="E161" s="1084"/>
      <c r="F161" s="1084"/>
      <c r="G161" s="1085"/>
      <c r="H161" s="1086" t="s">
        <v>159</v>
      </c>
      <c r="I161" s="1087"/>
      <c r="J161" s="1087"/>
      <c r="K161" s="1088"/>
      <c r="L161" s="1089" t="s">
        <v>159</v>
      </c>
      <c r="M161" s="1090"/>
      <c r="N161" s="1091"/>
      <c r="O161" s="1092" t="s">
        <v>159</v>
      </c>
      <c r="P161" s="1093"/>
      <c r="Q161" s="1094"/>
      <c r="R161" s="812"/>
      <c r="S161" s="1095"/>
      <c r="T161" s="813"/>
      <c r="U161" s="745"/>
      <c r="V161" s="940"/>
      <c r="W161" s="746"/>
      <c r="X161" s="312"/>
      <c r="Y161" s="308"/>
      <c r="Z161" s="312"/>
      <c r="AA161" s="308"/>
      <c r="AB161" s="312"/>
      <c r="AC161" s="308"/>
      <c r="AD161" s="312"/>
      <c r="AE161" s="308"/>
      <c r="AF161" s="312"/>
      <c r="AG161" s="308"/>
      <c r="AH161" s="312"/>
      <c r="AI161" s="308"/>
      <c r="AJ161" s="117"/>
      <c r="AK161" s="330"/>
      <c r="AL161" s="117"/>
      <c r="AM161" s="330"/>
      <c r="AN161" s="117"/>
      <c r="AO161" s="330"/>
      <c r="AP161" s="117"/>
      <c r="AQ161" s="330"/>
      <c r="AR161" s="117"/>
      <c r="AS161" s="1096" t="s">
        <v>159</v>
      </c>
      <c r="AT161" s="1097"/>
      <c r="AU161" s="1097"/>
      <c r="AV161" s="1097"/>
      <c r="AW161" s="1097"/>
      <c r="AX161" s="1097"/>
      <c r="AY161" s="1100"/>
      <c r="AZ161" s="257"/>
      <c r="BA161" s="257"/>
      <c r="BB161" s="1059" t="s">
        <v>162</v>
      </c>
      <c r="BC161" s="1060"/>
      <c r="BD161" s="1075" t="s">
        <v>159</v>
      </c>
      <c r="BE161" s="1075"/>
      <c r="BF161" s="1075"/>
      <c r="BG161" s="1076" t="s">
        <v>159</v>
      </c>
      <c r="BH161" s="1077"/>
      <c r="BI161" s="1077"/>
      <c r="BJ161" s="1078"/>
      <c r="BK161" s="1065"/>
      <c r="BL161" s="1066"/>
      <c r="BM161" s="1067"/>
      <c r="BN161" s="259"/>
      <c r="BO161" s="259"/>
      <c r="BP161" s="1076"/>
      <c r="BQ161" s="1077"/>
      <c r="BR161" s="1078"/>
      <c r="BS161" s="1075" t="s">
        <v>159</v>
      </c>
      <c r="BT161" s="1075"/>
      <c r="BU161" s="1075"/>
    </row>
    <row r="162" spans="1:73" ht="30" customHeight="1" x14ac:dyDescent="0.25">
      <c r="A162" s="199">
        <f t="shared" si="2"/>
        <v>148</v>
      </c>
      <c r="B162" s="1081" t="s">
        <v>162</v>
      </c>
      <c r="C162" s="1082"/>
      <c r="D162" s="1083" t="s">
        <v>159</v>
      </c>
      <c r="E162" s="1084"/>
      <c r="F162" s="1084"/>
      <c r="G162" s="1085"/>
      <c r="H162" s="1086" t="s">
        <v>159</v>
      </c>
      <c r="I162" s="1087"/>
      <c r="J162" s="1087"/>
      <c r="K162" s="1088"/>
      <c r="L162" s="1089" t="s">
        <v>159</v>
      </c>
      <c r="M162" s="1090"/>
      <c r="N162" s="1091"/>
      <c r="O162" s="1092" t="s">
        <v>159</v>
      </c>
      <c r="P162" s="1093"/>
      <c r="Q162" s="1094"/>
      <c r="R162" s="812"/>
      <c r="S162" s="1095"/>
      <c r="T162" s="813"/>
      <c r="U162" s="745"/>
      <c r="V162" s="940"/>
      <c r="W162" s="746"/>
      <c r="X162" s="312"/>
      <c r="Y162" s="308"/>
      <c r="Z162" s="312"/>
      <c r="AA162" s="308"/>
      <c r="AB162" s="312"/>
      <c r="AC162" s="308"/>
      <c r="AD162" s="312"/>
      <c r="AE162" s="308"/>
      <c r="AF162" s="312"/>
      <c r="AG162" s="308"/>
      <c r="AH162" s="312"/>
      <c r="AI162" s="308"/>
      <c r="AJ162" s="117"/>
      <c r="AK162" s="330"/>
      <c r="AL162" s="117"/>
      <c r="AM162" s="330"/>
      <c r="AN162" s="117"/>
      <c r="AO162" s="330"/>
      <c r="AP162" s="117"/>
      <c r="AQ162" s="330"/>
      <c r="AR162" s="117"/>
      <c r="AS162" s="1096" t="s">
        <v>159</v>
      </c>
      <c r="AT162" s="1097"/>
      <c r="AU162" s="1097"/>
      <c r="AV162" s="1097"/>
      <c r="AW162" s="1097"/>
      <c r="AX162" s="1097"/>
      <c r="AY162" s="1100"/>
      <c r="AZ162" s="296"/>
      <c r="BA162" s="296"/>
      <c r="BB162" s="1059" t="s">
        <v>162</v>
      </c>
      <c r="BC162" s="1060"/>
      <c r="BD162" s="1068" t="s">
        <v>159</v>
      </c>
      <c r="BE162" s="1068"/>
      <c r="BF162" s="1068"/>
      <c r="BG162" s="1069" t="s">
        <v>159</v>
      </c>
      <c r="BH162" s="1070"/>
      <c r="BI162" s="1070"/>
      <c r="BJ162" s="1071"/>
      <c r="BK162" s="1072"/>
      <c r="BL162" s="1073"/>
      <c r="BM162" s="1074"/>
      <c r="BN162" s="297"/>
      <c r="BO162" s="297"/>
      <c r="BP162" s="1069"/>
      <c r="BQ162" s="1070"/>
      <c r="BR162" s="1071"/>
      <c r="BS162" s="1068" t="s">
        <v>159</v>
      </c>
      <c r="BT162" s="1068"/>
      <c r="BU162" s="1068"/>
    </row>
    <row r="163" spans="1:73" ht="30" customHeight="1" x14ac:dyDescent="0.25">
      <c r="A163" s="199">
        <f t="shared" si="2"/>
        <v>149</v>
      </c>
      <c r="B163" s="1081" t="s">
        <v>162</v>
      </c>
      <c r="C163" s="1082"/>
      <c r="D163" s="1083" t="s">
        <v>159</v>
      </c>
      <c r="E163" s="1084"/>
      <c r="F163" s="1084"/>
      <c r="G163" s="1085"/>
      <c r="H163" s="1086" t="s">
        <v>159</v>
      </c>
      <c r="I163" s="1087"/>
      <c r="J163" s="1087"/>
      <c r="K163" s="1088"/>
      <c r="L163" s="1089" t="s">
        <v>159</v>
      </c>
      <c r="M163" s="1090"/>
      <c r="N163" s="1091"/>
      <c r="O163" s="1092" t="s">
        <v>159</v>
      </c>
      <c r="P163" s="1093"/>
      <c r="Q163" s="1094"/>
      <c r="R163" s="812"/>
      <c r="S163" s="1095"/>
      <c r="T163" s="813"/>
      <c r="U163" s="745"/>
      <c r="V163" s="940"/>
      <c r="W163" s="746"/>
      <c r="X163" s="312"/>
      <c r="Y163" s="308"/>
      <c r="Z163" s="312"/>
      <c r="AA163" s="308"/>
      <c r="AB163" s="312"/>
      <c r="AC163" s="308"/>
      <c r="AD163" s="312"/>
      <c r="AE163" s="308"/>
      <c r="AF163" s="312"/>
      <c r="AG163" s="308"/>
      <c r="AH163" s="312"/>
      <c r="AI163" s="308"/>
      <c r="AJ163" s="117"/>
      <c r="AK163" s="330"/>
      <c r="AL163" s="117"/>
      <c r="AM163" s="330"/>
      <c r="AN163" s="117"/>
      <c r="AO163" s="330"/>
      <c r="AP163" s="117"/>
      <c r="AQ163" s="330"/>
      <c r="AR163" s="117"/>
      <c r="AS163" s="1096" t="s">
        <v>159</v>
      </c>
      <c r="AT163" s="1097"/>
      <c r="AU163" s="1097"/>
      <c r="AV163" s="1097"/>
      <c r="AW163" s="1097"/>
      <c r="AX163" s="1097"/>
      <c r="AY163" s="1100"/>
      <c r="AZ163" s="257"/>
      <c r="BA163" s="257"/>
      <c r="BB163" s="1059" t="s">
        <v>162</v>
      </c>
      <c r="BC163" s="1060"/>
      <c r="BD163" s="1075" t="s">
        <v>159</v>
      </c>
      <c r="BE163" s="1075"/>
      <c r="BF163" s="1075"/>
      <c r="BG163" s="1076" t="s">
        <v>159</v>
      </c>
      <c r="BH163" s="1077"/>
      <c r="BI163" s="1077"/>
      <c r="BJ163" s="1078"/>
      <c r="BK163" s="1065"/>
      <c r="BL163" s="1066"/>
      <c r="BM163" s="1067"/>
      <c r="BN163" s="259"/>
      <c r="BO163" s="259"/>
      <c r="BP163" s="1076"/>
      <c r="BQ163" s="1077"/>
      <c r="BR163" s="1078"/>
      <c r="BS163" s="1075" t="s">
        <v>159</v>
      </c>
      <c r="BT163" s="1075"/>
      <c r="BU163" s="1075"/>
    </row>
    <row r="164" spans="1:73" ht="30" customHeight="1" x14ac:dyDescent="0.25">
      <c r="A164" s="199">
        <f t="shared" si="2"/>
        <v>150</v>
      </c>
      <c r="B164" s="1081" t="s">
        <v>162</v>
      </c>
      <c r="C164" s="1082"/>
      <c r="D164" s="1083" t="s">
        <v>159</v>
      </c>
      <c r="E164" s="1084"/>
      <c r="F164" s="1084"/>
      <c r="G164" s="1085"/>
      <c r="H164" s="1086" t="s">
        <v>159</v>
      </c>
      <c r="I164" s="1087"/>
      <c r="J164" s="1087"/>
      <c r="K164" s="1088"/>
      <c r="L164" s="1089" t="s">
        <v>159</v>
      </c>
      <c r="M164" s="1090"/>
      <c r="N164" s="1091"/>
      <c r="O164" s="1092" t="s">
        <v>159</v>
      </c>
      <c r="P164" s="1093"/>
      <c r="Q164" s="1094"/>
      <c r="R164" s="812"/>
      <c r="S164" s="1095"/>
      <c r="T164" s="813"/>
      <c r="U164" s="745"/>
      <c r="V164" s="940"/>
      <c r="W164" s="746"/>
      <c r="X164" s="312"/>
      <c r="Y164" s="308"/>
      <c r="Z164" s="312"/>
      <c r="AA164" s="308"/>
      <c r="AB164" s="312"/>
      <c r="AC164" s="308"/>
      <c r="AD164" s="312"/>
      <c r="AE164" s="308"/>
      <c r="AF164" s="312"/>
      <c r="AG164" s="308"/>
      <c r="AH164" s="312"/>
      <c r="AI164" s="308"/>
      <c r="AJ164" s="117"/>
      <c r="AK164" s="330"/>
      <c r="AL164" s="117"/>
      <c r="AM164" s="330"/>
      <c r="AN164" s="117"/>
      <c r="AO164" s="330"/>
      <c r="AP164" s="117"/>
      <c r="AQ164" s="330"/>
      <c r="AR164" s="117"/>
      <c r="AS164" s="1096" t="s">
        <v>159</v>
      </c>
      <c r="AT164" s="1097"/>
      <c r="AU164" s="1097"/>
      <c r="AV164" s="1097"/>
      <c r="AW164" s="1097"/>
      <c r="AX164" s="1097"/>
      <c r="AY164" s="1100"/>
      <c r="AZ164" s="257"/>
      <c r="BA164" s="257"/>
      <c r="BB164" s="1059" t="s">
        <v>162</v>
      </c>
      <c r="BC164" s="1060"/>
      <c r="BD164" s="1075" t="s">
        <v>159</v>
      </c>
      <c r="BE164" s="1075"/>
      <c r="BF164" s="1075"/>
      <c r="BG164" s="1076" t="s">
        <v>159</v>
      </c>
      <c r="BH164" s="1077"/>
      <c r="BI164" s="1077"/>
      <c r="BJ164" s="1078"/>
      <c r="BK164" s="1065"/>
      <c r="BL164" s="1066"/>
      <c r="BM164" s="1067"/>
      <c r="BN164" s="259"/>
      <c r="BO164" s="259"/>
      <c r="BP164" s="1076"/>
      <c r="BQ164" s="1077"/>
      <c r="BR164" s="1078"/>
      <c r="BS164" s="1075" t="s">
        <v>159</v>
      </c>
      <c r="BT164" s="1075"/>
      <c r="BU164" s="1075"/>
    </row>
    <row r="165" spans="1:73" ht="30" customHeight="1" x14ac:dyDescent="0.25">
      <c r="A165" s="199">
        <f t="shared" si="2"/>
        <v>151</v>
      </c>
      <c r="B165" s="1081" t="s">
        <v>162</v>
      </c>
      <c r="C165" s="1082"/>
      <c r="D165" s="1083" t="s">
        <v>159</v>
      </c>
      <c r="E165" s="1084"/>
      <c r="F165" s="1084"/>
      <c r="G165" s="1085"/>
      <c r="H165" s="1086" t="s">
        <v>159</v>
      </c>
      <c r="I165" s="1087"/>
      <c r="J165" s="1087"/>
      <c r="K165" s="1088"/>
      <c r="L165" s="1089" t="s">
        <v>159</v>
      </c>
      <c r="M165" s="1090"/>
      <c r="N165" s="1091"/>
      <c r="O165" s="1092" t="s">
        <v>159</v>
      </c>
      <c r="P165" s="1093"/>
      <c r="Q165" s="1094"/>
      <c r="R165" s="812"/>
      <c r="S165" s="1095"/>
      <c r="T165" s="813"/>
      <c r="U165" s="745"/>
      <c r="V165" s="940"/>
      <c r="W165" s="746"/>
      <c r="X165" s="312"/>
      <c r="Y165" s="308"/>
      <c r="Z165" s="312"/>
      <c r="AA165" s="308"/>
      <c r="AB165" s="312"/>
      <c r="AC165" s="308"/>
      <c r="AD165" s="312"/>
      <c r="AE165" s="308"/>
      <c r="AF165" s="312"/>
      <c r="AG165" s="308"/>
      <c r="AH165" s="312"/>
      <c r="AI165" s="308"/>
      <c r="AJ165" s="117"/>
      <c r="AK165" s="330"/>
      <c r="AL165" s="117"/>
      <c r="AM165" s="330"/>
      <c r="AN165" s="117"/>
      <c r="AO165" s="330"/>
      <c r="AP165" s="117"/>
      <c r="AQ165" s="330"/>
      <c r="AR165" s="117"/>
      <c r="AS165" s="1096" t="s">
        <v>159</v>
      </c>
      <c r="AT165" s="1097"/>
      <c r="AU165" s="1097"/>
      <c r="AV165" s="1097"/>
      <c r="AW165" s="1097"/>
      <c r="AX165" s="1097"/>
      <c r="AY165" s="1100"/>
      <c r="AZ165" s="257"/>
      <c r="BA165" s="257"/>
      <c r="BB165" s="1059" t="s">
        <v>162</v>
      </c>
      <c r="BC165" s="1060"/>
      <c r="BD165" s="1075" t="s">
        <v>159</v>
      </c>
      <c r="BE165" s="1075"/>
      <c r="BF165" s="1075"/>
      <c r="BG165" s="1076" t="s">
        <v>159</v>
      </c>
      <c r="BH165" s="1077"/>
      <c r="BI165" s="1077"/>
      <c r="BJ165" s="1078"/>
      <c r="BK165" s="1065"/>
      <c r="BL165" s="1066"/>
      <c r="BM165" s="1067"/>
      <c r="BN165" s="259"/>
      <c r="BO165" s="259"/>
      <c r="BP165" s="1076"/>
      <c r="BQ165" s="1077"/>
      <c r="BR165" s="1078"/>
      <c r="BS165" s="1075" t="s">
        <v>159</v>
      </c>
      <c r="BT165" s="1075"/>
      <c r="BU165" s="1075"/>
    </row>
    <row r="166" spans="1:73" ht="30" customHeight="1" x14ac:dyDescent="0.25">
      <c r="A166" s="199">
        <f t="shared" si="2"/>
        <v>152</v>
      </c>
      <c r="B166" s="1081" t="s">
        <v>162</v>
      </c>
      <c r="C166" s="1082"/>
      <c r="D166" s="1083" t="s">
        <v>159</v>
      </c>
      <c r="E166" s="1084"/>
      <c r="F166" s="1084"/>
      <c r="G166" s="1085"/>
      <c r="H166" s="1086" t="s">
        <v>159</v>
      </c>
      <c r="I166" s="1087"/>
      <c r="J166" s="1087"/>
      <c r="K166" s="1088"/>
      <c r="L166" s="1089" t="s">
        <v>159</v>
      </c>
      <c r="M166" s="1090"/>
      <c r="N166" s="1091"/>
      <c r="O166" s="1092" t="s">
        <v>159</v>
      </c>
      <c r="P166" s="1093"/>
      <c r="Q166" s="1094"/>
      <c r="R166" s="812"/>
      <c r="S166" s="1095"/>
      <c r="T166" s="813"/>
      <c r="U166" s="745"/>
      <c r="V166" s="940"/>
      <c r="W166" s="746"/>
      <c r="X166" s="312"/>
      <c r="Y166" s="308"/>
      <c r="Z166" s="312"/>
      <c r="AA166" s="308"/>
      <c r="AB166" s="312"/>
      <c r="AC166" s="308"/>
      <c r="AD166" s="312"/>
      <c r="AE166" s="308"/>
      <c r="AF166" s="312"/>
      <c r="AG166" s="308"/>
      <c r="AH166" s="312"/>
      <c r="AI166" s="308"/>
      <c r="AJ166" s="117"/>
      <c r="AK166" s="330"/>
      <c r="AL166" s="117"/>
      <c r="AM166" s="330"/>
      <c r="AN166" s="117"/>
      <c r="AO166" s="330"/>
      <c r="AP166" s="117"/>
      <c r="AQ166" s="330"/>
      <c r="AR166" s="117"/>
      <c r="AS166" s="1096" t="s">
        <v>159</v>
      </c>
      <c r="AT166" s="1097"/>
      <c r="AU166" s="1097"/>
      <c r="AV166" s="1097"/>
      <c r="AW166" s="1097"/>
      <c r="AX166" s="1097"/>
      <c r="AY166" s="1100"/>
      <c r="AZ166" s="257"/>
      <c r="BA166" s="257"/>
      <c r="BB166" s="1059" t="s">
        <v>162</v>
      </c>
      <c r="BC166" s="1060"/>
      <c r="BD166" s="1075" t="s">
        <v>159</v>
      </c>
      <c r="BE166" s="1075"/>
      <c r="BF166" s="1075"/>
      <c r="BG166" s="1076" t="s">
        <v>159</v>
      </c>
      <c r="BH166" s="1077"/>
      <c r="BI166" s="1077"/>
      <c r="BJ166" s="1078"/>
      <c r="BK166" s="1065"/>
      <c r="BL166" s="1066"/>
      <c r="BM166" s="1067"/>
      <c r="BN166" s="259"/>
      <c r="BO166" s="259"/>
      <c r="BP166" s="1076"/>
      <c r="BQ166" s="1077"/>
      <c r="BR166" s="1078"/>
      <c r="BS166" s="1075" t="s">
        <v>159</v>
      </c>
      <c r="BT166" s="1075"/>
      <c r="BU166" s="1075"/>
    </row>
    <row r="167" spans="1:73" ht="30" customHeight="1" x14ac:dyDescent="0.25">
      <c r="A167" s="199">
        <f t="shared" si="2"/>
        <v>153</v>
      </c>
      <c r="B167" s="1081" t="s">
        <v>162</v>
      </c>
      <c r="C167" s="1082"/>
      <c r="D167" s="1083" t="s">
        <v>159</v>
      </c>
      <c r="E167" s="1084"/>
      <c r="F167" s="1084"/>
      <c r="G167" s="1085"/>
      <c r="H167" s="1086" t="s">
        <v>159</v>
      </c>
      <c r="I167" s="1087"/>
      <c r="J167" s="1087"/>
      <c r="K167" s="1088"/>
      <c r="L167" s="1089" t="s">
        <v>159</v>
      </c>
      <c r="M167" s="1090"/>
      <c r="N167" s="1091"/>
      <c r="O167" s="1092" t="s">
        <v>159</v>
      </c>
      <c r="P167" s="1093"/>
      <c r="Q167" s="1094"/>
      <c r="R167" s="812"/>
      <c r="S167" s="1095"/>
      <c r="T167" s="813"/>
      <c r="U167" s="745"/>
      <c r="V167" s="940"/>
      <c r="W167" s="746"/>
      <c r="X167" s="312"/>
      <c r="Y167" s="308"/>
      <c r="Z167" s="312"/>
      <c r="AA167" s="308"/>
      <c r="AB167" s="312"/>
      <c r="AC167" s="308"/>
      <c r="AD167" s="312"/>
      <c r="AE167" s="308"/>
      <c r="AF167" s="312"/>
      <c r="AG167" s="308"/>
      <c r="AH167" s="312"/>
      <c r="AI167" s="308"/>
      <c r="AJ167" s="117"/>
      <c r="AK167" s="330"/>
      <c r="AL167" s="117"/>
      <c r="AM167" s="330"/>
      <c r="AN167" s="117"/>
      <c r="AO167" s="330"/>
      <c r="AP167" s="117"/>
      <c r="AQ167" s="330"/>
      <c r="AR167" s="117"/>
      <c r="AS167" s="1096" t="s">
        <v>159</v>
      </c>
      <c r="AT167" s="1097"/>
      <c r="AU167" s="1097"/>
      <c r="AV167" s="1097"/>
      <c r="AW167" s="1097"/>
      <c r="AX167" s="1097"/>
      <c r="AY167" s="1100"/>
      <c r="AZ167" s="257"/>
      <c r="BA167" s="257"/>
      <c r="BB167" s="1059" t="s">
        <v>162</v>
      </c>
      <c r="BC167" s="1060"/>
      <c r="BD167" s="1075" t="s">
        <v>159</v>
      </c>
      <c r="BE167" s="1075"/>
      <c r="BF167" s="1075"/>
      <c r="BG167" s="1076" t="s">
        <v>159</v>
      </c>
      <c r="BH167" s="1077"/>
      <c r="BI167" s="1077"/>
      <c r="BJ167" s="1078"/>
      <c r="BK167" s="1065"/>
      <c r="BL167" s="1066"/>
      <c r="BM167" s="1067"/>
      <c r="BN167" s="259"/>
      <c r="BO167" s="259"/>
      <c r="BP167" s="1076"/>
      <c r="BQ167" s="1077"/>
      <c r="BR167" s="1078"/>
      <c r="BS167" s="1075" t="s">
        <v>159</v>
      </c>
      <c r="BT167" s="1075"/>
      <c r="BU167" s="1075"/>
    </row>
    <row r="168" spans="1:73" ht="30" customHeight="1" x14ac:dyDescent="0.25">
      <c r="A168" s="199">
        <f t="shared" si="2"/>
        <v>154</v>
      </c>
      <c r="B168" s="1081" t="s">
        <v>162</v>
      </c>
      <c r="C168" s="1082"/>
      <c r="D168" s="1083" t="s">
        <v>159</v>
      </c>
      <c r="E168" s="1084"/>
      <c r="F168" s="1084"/>
      <c r="G168" s="1085"/>
      <c r="H168" s="1086" t="s">
        <v>159</v>
      </c>
      <c r="I168" s="1087"/>
      <c r="J168" s="1087"/>
      <c r="K168" s="1088"/>
      <c r="L168" s="1089" t="s">
        <v>159</v>
      </c>
      <c r="M168" s="1090"/>
      <c r="N168" s="1091"/>
      <c r="O168" s="1092" t="s">
        <v>159</v>
      </c>
      <c r="P168" s="1093"/>
      <c r="Q168" s="1094"/>
      <c r="R168" s="812"/>
      <c r="S168" s="1095"/>
      <c r="T168" s="813"/>
      <c r="U168" s="745"/>
      <c r="V168" s="940"/>
      <c r="W168" s="746"/>
      <c r="X168" s="312"/>
      <c r="Y168" s="308"/>
      <c r="Z168" s="312"/>
      <c r="AA168" s="308"/>
      <c r="AB168" s="312"/>
      <c r="AC168" s="308"/>
      <c r="AD168" s="312"/>
      <c r="AE168" s="308"/>
      <c r="AF168" s="312"/>
      <c r="AG168" s="308"/>
      <c r="AH168" s="312"/>
      <c r="AI168" s="308"/>
      <c r="AJ168" s="117"/>
      <c r="AK168" s="330"/>
      <c r="AL168" s="117"/>
      <c r="AM168" s="330"/>
      <c r="AN168" s="117"/>
      <c r="AO168" s="330"/>
      <c r="AP168" s="117"/>
      <c r="AQ168" s="330"/>
      <c r="AR168" s="117"/>
      <c r="AS168" s="1096" t="s">
        <v>159</v>
      </c>
      <c r="AT168" s="1097"/>
      <c r="AU168" s="1097"/>
      <c r="AV168" s="1097"/>
      <c r="AW168" s="1097"/>
      <c r="AX168" s="1097"/>
      <c r="AY168" s="1100"/>
      <c r="AZ168" s="257"/>
      <c r="BA168" s="257"/>
      <c r="BB168" s="1059" t="s">
        <v>162</v>
      </c>
      <c r="BC168" s="1060"/>
      <c r="BD168" s="1075" t="s">
        <v>159</v>
      </c>
      <c r="BE168" s="1075"/>
      <c r="BF168" s="1075"/>
      <c r="BG168" s="1076" t="s">
        <v>159</v>
      </c>
      <c r="BH168" s="1077"/>
      <c r="BI168" s="1077"/>
      <c r="BJ168" s="1078"/>
      <c r="BK168" s="1065"/>
      <c r="BL168" s="1066"/>
      <c r="BM168" s="1067"/>
      <c r="BN168" s="259"/>
      <c r="BO168" s="259"/>
      <c r="BP168" s="1076"/>
      <c r="BQ168" s="1077"/>
      <c r="BR168" s="1078"/>
      <c r="BS168" s="1075" t="s">
        <v>159</v>
      </c>
      <c r="BT168" s="1075"/>
      <c r="BU168" s="1075"/>
    </row>
    <row r="169" spans="1:73" ht="30" customHeight="1" x14ac:dyDescent="0.25">
      <c r="A169" s="199">
        <f t="shared" si="2"/>
        <v>155</v>
      </c>
      <c r="B169" s="1081" t="s">
        <v>162</v>
      </c>
      <c r="C169" s="1082"/>
      <c r="D169" s="1083" t="s">
        <v>159</v>
      </c>
      <c r="E169" s="1084"/>
      <c r="F169" s="1084"/>
      <c r="G169" s="1085"/>
      <c r="H169" s="1086" t="s">
        <v>159</v>
      </c>
      <c r="I169" s="1087"/>
      <c r="J169" s="1087"/>
      <c r="K169" s="1088"/>
      <c r="L169" s="1089" t="s">
        <v>159</v>
      </c>
      <c r="M169" s="1090"/>
      <c r="N169" s="1091"/>
      <c r="O169" s="1092" t="s">
        <v>159</v>
      </c>
      <c r="P169" s="1093"/>
      <c r="Q169" s="1094"/>
      <c r="R169" s="812"/>
      <c r="S169" s="1095"/>
      <c r="T169" s="813"/>
      <c r="U169" s="745"/>
      <c r="V169" s="940"/>
      <c r="W169" s="746"/>
      <c r="X169" s="312"/>
      <c r="Y169" s="308"/>
      <c r="Z169" s="312"/>
      <c r="AA169" s="308"/>
      <c r="AB169" s="312"/>
      <c r="AC169" s="308"/>
      <c r="AD169" s="312"/>
      <c r="AE169" s="308"/>
      <c r="AF169" s="312"/>
      <c r="AG169" s="308"/>
      <c r="AH169" s="312"/>
      <c r="AI169" s="308"/>
      <c r="AJ169" s="117"/>
      <c r="AK169" s="330"/>
      <c r="AL169" s="117"/>
      <c r="AM169" s="330"/>
      <c r="AN169" s="117"/>
      <c r="AO169" s="330"/>
      <c r="AP169" s="117"/>
      <c r="AQ169" s="330"/>
      <c r="AR169" s="117"/>
      <c r="AS169" s="1096" t="s">
        <v>159</v>
      </c>
      <c r="AT169" s="1097"/>
      <c r="AU169" s="1097"/>
      <c r="AV169" s="1097"/>
      <c r="AW169" s="1097"/>
      <c r="AX169" s="1097"/>
      <c r="AY169" s="1100"/>
      <c r="AZ169" s="296"/>
      <c r="BA169" s="296"/>
      <c r="BB169" s="1059" t="s">
        <v>162</v>
      </c>
      <c r="BC169" s="1060"/>
      <c r="BD169" s="1068" t="s">
        <v>159</v>
      </c>
      <c r="BE169" s="1068"/>
      <c r="BF169" s="1068"/>
      <c r="BG169" s="1069" t="s">
        <v>159</v>
      </c>
      <c r="BH169" s="1070"/>
      <c r="BI169" s="1070"/>
      <c r="BJ169" s="1071"/>
      <c r="BK169" s="1072"/>
      <c r="BL169" s="1073"/>
      <c r="BM169" s="1074"/>
      <c r="BN169" s="297"/>
      <c r="BO169" s="297"/>
      <c r="BP169" s="1069"/>
      <c r="BQ169" s="1070"/>
      <c r="BR169" s="1071"/>
      <c r="BS169" s="1068" t="s">
        <v>159</v>
      </c>
      <c r="BT169" s="1068"/>
      <c r="BU169" s="1068"/>
    </row>
    <row r="170" spans="1:73" ht="30" customHeight="1" x14ac:dyDescent="0.25">
      <c r="A170" s="199">
        <f t="shared" si="2"/>
        <v>156</v>
      </c>
      <c r="B170" s="1081" t="s">
        <v>162</v>
      </c>
      <c r="C170" s="1082"/>
      <c r="D170" s="1083" t="s">
        <v>159</v>
      </c>
      <c r="E170" s="1084"/>
      <c r="F170" s="1084"/>
      <c r="G170" s="1085"/>
      <c r="H170" s="1086" t="s">
        <v>159</v>
      </c>
      <c r="I170" s="1087"/>
      <c r="J170" s="1087"/>
      <c r="K170" s="1088"/>
      <c r="L170" s="1089" t="s">
        <v>159</v>
      </c>
      <c r="M170" s="1090"/>
      <c r="N170" s="1091"/>
      <c r="O170" s="1092" t="s">
        <v>159</v>
      </c>
      <c r="P170" s="1093"/>
      <c r="Q170" s="1094"/>
      <c r="R170" s="812"/>
      <c r="S170" s="1095"/>
      <c r="T170" s="813"/>
      <c r="U170" s="745"/>
      <c r="V170" s="940"/>
      <c r="W170" s="746"/>
      <c r="X170" s="312"/>
      <c r="Y170" s="308"/>
      <c r="Z170" s="312"/>
      <c r="AA170" s="308"/>
      <c r="AB170" s="312"/>
      <c r="AC170" s="308"/>
      <c r="AD170" s="312"/>
      <c r="AE170" s="308"/>
      <c r="AF170" s="312"/>
      <c r="AG170" s="308"/>
      <c r="AH170" s="312"/>
      <c r="AI170" s="308"/>
      <c r="AJ170" s="117"/>
      <c r="AK170" s="330"/>
      <c r="AL170" s="117"/>
      <c r="AM170" s="330"/>
      <c r="AN170" s="117"/>
      <c r="AO170" s="330"/>
      <c r="AP170" s="117"/>
      <c r="AQ170" s="330"/>
      <c r="AR170" s="117"/>
      <c r="AS170" s="1096" t="s">
        <v>159</v>
      </c>
      <c r="AT170" s="1097"/>
      <c r="AU170" s="1097"/>
      <c r="AV170" s="1097"/>
      <c r="AW170" s="1097"/>
      <c r="AX170" s="1097"/>
      <c r="AY170" s="1100"/>
      <c r="AZ170" s="257"/>
      <c r="BA170" s="257"/>
      <c r="BB170" s="1059" t="s">
        <v>162</v>
      </c>
      <c r="BC170" s="1060"/>
      <c r="BD170" s="1075" t="s">
        <v>159</v>
      </c>
      <c r="BE170" s="1075"/>
      <c r="BF170" s="1075"/>
      <c r="BG170" s="1076" t="s">
        <v>159</v>
      </c>
      <c r="BH170" s="1077"/>
      <c r="BI170" s="1077"/>
      <c r="BJ170" s="1078"/>
      <c r="BK170" s="1065"/>
      <c r="BL170" s="1066"/>
      <c r="BM170" s="1067"/>
      <c r="BN170" s="259"/>
      <c r="BO170" s="259"/>
      <c r="BP170" s="1076"/>
      <c r="BQ170" s="1077"/>
      <c r="BR170" s="1078"/>
      <c r="BS170" s="1075" t="s">
        <v>159</v>
      </c>
      <c r="BT170" s="1075"/>
      <c r="BU170" s="1075"/>
    </row>
    <row r="171" spans="1:73" ht="30" customHeight="1" x14ac:dyDescent="0.25">
      <c r="A171" s="199">
        <f t="shared" si="2"/>
        <v>157</v>
      </c>
      <c r="B171" s="1081" t="s">
        <v>162</v>
      </c>
      <c r="C171" s="1082"/>
      <c r="D171" s="1083" t="s">
        <v>159</v>
      </c>
      <c r="E171" s="1084"/>
      <c r="F171" s="1084"/>
      <c r="G171" s="1085"/>
      <c r="H171" s="1086" t="s">
        <v>159</v>
      </c>
      <c r="I171" s="1087"/>
      <c r="J171" s="1087"/>
      <c r="K171" s="1088"/>
      <c r="L171" s="1089" t="s">
        <v>159</v>
      </c>
      <c r="M171" s="1090"/>
      <c r="N171" s="1091"/>
      <c r="O171" s="1092" t="s">
        <v>159</v>
      </c>
      <c r="P171" s="1093"/>
      <c r="Q171" s="1094"/>
      <c r="R171" s="812"/>
      <c r="S171" s="1095"/>
      <c r="T171" s="813"/>
      <c r="U171" s="745"/>
      <c r="V171" s="940"/>
      <c r="W171" s="746"/>
      <c r="X171" s="312"/>
      <c r="Y171" s="308"/>
      <c r="Z171" s="312"/>
      <c r="AA171" s="308"/>
      <c r="AB171" s="312"/>
      <c r="AC171" s="308"/>
      <c r="AD171" s="312"/>
      <c r="AE171" s="308"/>
      <c r="AF171" s="312"/>
      <c r="AG171" s="308"/>
      <c r="AH171" s="312"/>
      <c r="AI171" s="308"/>
      <c r="AJ171" s="117"/>
      <c r="AK171" s="330"/>
      <c r="AL171" s="117"/>
      <c r="AM171" s="330"/>
      <c r="AN171" s="117"/>
      <c r="AO171" s="330"/>
      <c r="AP171" s="117"/>
      <c r="AQ171" s="330"/>
      <c r="AR171" s="117"/>
      <c r="AS171" s="1096" t="s">
        <v>159</v>
      </c>
      <c r="AT171" s="1097"/>
      <c r="AU171" s="1097"/>
      <c r="AV171" s="1097"/>
      <c r="AW171" s="1097"/>
      <c r="AX171" s="1097"/>
      <c r="AY171" s="1100"/>
      <c r="AZ171" s="257"/>
      <c r="BA171" s="257"/>
      <c r="BB171" s="1059" t="s">
        <v>162</v>
      </c>
      <c r="BC171" s="1060"/>
      <c r="BD171" s="1075" t="s">
        <v>159</v>
      </c>
      <c r="BE171" s="1075"/>
      <c r="BF171" s="1075"/>
      <c r="BG171" s="1076" t="s">
        <v>159</v>
      </c>
      <c r="BH171" s="1077"/>
      <c r="BI171" s="1077"/>
      <c r="BJ171" s="1078"/>
      <c r="BK171" s="1065"/>
      <c r="BL171" s="1066"/>
      <c r="BM171" s="1067"/>
      <c r="BN171" s="259"/>
      <c r="BO171" s="259"/>
      <c r="BP171" s="1076"/>
      <c r="BQ171" s="1077"/>
      <c r="BR171" s="1078"/>
      <c r="BS171" s="1075" t="s">
        <v>159</v>
      </c>
      <c r="BT171" s="1075"/>
      <c r="BU171" s="1075"/>
    </row>
    <row r="172" spans="1:73" ht="30" customHeight="1" x14ac:dyDescent="0.25">
      <c r="A172" s="199">
        <f t="shared" si="2"/>
        <v>158</v>
      </c>
      <c r="B172" s="1081" t="s">
        <v>162</v>
      </c>
      <c r="C172" s="1082"/>
      <c r="D172" s="1083" t="s">
        <v>159</v>
      </c>
      <c r="E172" s="1084"/>
      <c r="F172" s="1084"/>
      <c r="G172" s="1085"/>
      <c r="H172" s="1086" t="s">
        <v>159</v>
      </c>
      <c r="I172" s="1087"/>
      <c r="J172" s="1087"/>
      <c r="K172" s="1088"/>
      <c r="L172" s="1089" t="s">
        <v>159</v>
      </c>
      <c r="M172" s="1090"/>
      <c r="N172" s="1091"/>
      <c r="O172" s="1092" t="s">
        <v>159</v>
      </c>
      <c r="P172" s="1093"/>
      <c r="Q172" s="1094"/>
      <c r="R172" s="812"/>
      <c r="S172" s="1095"/>
      <c r="T172" s="813"/>
      <c r="U172" s="745"/>
      <c r="V172" s="940"/>
      <c r="W172" s="746"/>
      <c r="X172" s="312"/>
      <c r="Y172" s="308"/>
      <c r="Z172" s="312"/>
      <c r="AA172" s="308"/>
      <c r="AB172" s="312"/>
      <c r="AC172" s="308"/>
      <c r="AD172" s="312"/>
      <c r="AE172" s="308"/>
      <c r="AF172" s="312"/>
      <c r="AG172" s="308"/>
      <c r="AH172" s="312"/>
      <c r="AI172" s="308"/>
      <c r="AJ172" s="117"/>
      <c r="AK172" s="330"/>
      <c r="AL172" s="117"/>
      <c r="AM172" s="330"/>
      <c r="AN172" s="117"/>
      <c r="AO172" s="330"/>
      <c r="AP172" s="117"/>
      <c r="AQ172" s="330"/>
      <c r="AR172" s="117"/>
      <c r="AS172" s="1096" t="s">
        <v>159</v>
      </c>
      <c r="AT172" s="1097"/>
      <c r="AU172" s="1097"/>
      <c r="AV172" s="1097"/>
      <c r="AW172" s="1097"/>
      <c r="AX172" s="1097"/>
      <c r="AY172" s="1100"/>
      <c r="AZ172" s="257"/>
      <c r="BA172" s="257"/>
      <c r="BB172" s="1059" t="s">
        <v>162</v>
      </c>
      <c r="BC172" s="1060"/>
      <c r="BD172" s="1075" t="s">
        <v>159</v>
      </c>
      <c r="BE172" s="1075"/>
      <c r="BF172" s="1075"/>
      <c r="BG172" s="1076" t="s">
        <v>159</v>
      </c>
      <c r="BH172" s="1077"/>
      <c r="BI172" s="1077"/>
      <c r="BJ172" s="1078"/>
      <c r="BK172" s="1065"/>
      <c r="BL172" s="1066"/>
      <c r="BM172" s="1067"/>
      <c r="BN172" s="259"/>
      <c r="BO172" s="259"/>
      <c r="BP172" s="1076"/>
      <c r="BQ172" s="1077"/>
      <c r="BR172" s="1078"/>
      <c r="BS172" s="1075" t="s">
        <v>159</v>
      </c>
      <c r="BT172" s="1075"/>
      <c r="BU172" s="1075"/>
    </row>
    <row r="173" spans="1:73" ht="30" customHeight="1" x14ac:dyDescent="0.25">
      <c r="A173" s="199">
        <f t="shared" si="2"/>
        <v>159</v>
      </c>
      <c r="B173" s="1081" t="s">
        <v>162</v>
      </c>
      <c r="C173" s="1082"/>
      <c r="D173" s="1083" t="s">
        <v>159</v>
      </c>
      <c r="E173" s="1084"/>
      <c r="F173" s="1084"/>
      <c r="G173" s="1085"/>
      <c r="H173" s="1086" t="s">
        <v>159</v>
      </c>
      <c r="I173" s="1087"/>
      <c r="J173" s="1087"/>
      <c r="K173" s="1088"/>
      <c r="L173" s="1089" t="s">
        <v>159</v>
      </c>
      <c r="M173" s="1090"/>
      <c r="N173" s="1091"/>
      <c r="O173" s="1092" t="s">
        <v>159</v>
      </c>
      <c r="P173" s="1093"/>
      <c r="Q173" s="1094"/>
      <c r="R173" s="812"/>
      <c r="S173" s="1095"/>
      <c r="T173" s="813"/>
      <c r="U173" s="745"/>
      <c r="V173" s="940"/>
      <c r="W173" s="746"/>
      <c r="X173" s="312"/>
      <c r="Y173" s="308"/>
      <c r="Z173" s="312"/>
      <c r="AA173" s="308"/>
      <c r="AB173" s="312"/>
      <c r="AC173" s="308"/>
      <c r="AD173" s="312"/>
      <c r="AE173" s="308"/>
      <c r="AF173" s="312"/>
      <c r="AG173" s="308"/>
      <c r="AH173" s="312"/>
      <c r="AI173" s="308"/>
      <c r="AJ173" s="117"/>
      <c r="AK173" s="330"/>
      <c r="AL173" s="117"/>
      <c r="AM173" s="330"/>
      <c r="AN173" s="117"/>
      <c r="AO173" s="330"/>
      <c r="AP173" s="117"/>
      <c r="AQ173" s="330"/>
      <c r="AR173" s="117"/>
      <c r="AS173" s="1096" t="s">
        <v>159</v>
      </c>
      <c r="AT173" s="1097"/>
      <c r="AU173" s="1097"/>
      <c r="AV173" s="1097"/>
      <c r="AW173" s="1097"/>
      <c r="AX173" s="1097"/>
      <c r="AY173" s="1100"/>
      <c r="AZ173" s="257"/>
      <c r="BA173" s="257"/>
      <c r="BB173" s="1059" t="s">
        <v>162</v>
      </c>
      <c r="BC173" s="1060"/>
      <c r="BD173" s="1075" t="s">
        <v>159</v>
      </c>
      <c r="BE173" s="1075"/>
      <c r="BF173" s="1075"/>
      <c r="BG173" s="1076" t="s">
        <v>159</v>
      </c>
      <c r="BH173" s="1077"/>
      <c r="BI173" s="1077"/>
      <c r="BJ173" s="1078"/>
      <c r="BK173" s="1065"/>
      <c r="BL173" s="1066"/>
      <c r="BM173" s="1067"/>
      <c r="BN173" s="259"/>
      <c r="BO173" s="259"/>
      <c r="BP173" s="1076"/>
      <c r="BQ173" s="1077"/>
      <c r="BR173" s="1078"/>
      <c r="BS173" s="1075" t="s">
        <v>159</v>
      </c>
      <c r="BT173" s="1075"/>
      <c r="BU173" s="1075"/>
    </row>
    <row r="174" spans="1:73" ht="30" customHeight="1" x14ac:dyDescent="0.25">
      <c r="A174" s="199">
        <f t="shared" si="2"/>
        <v>160</v>
      </c>
      <c r="B174" s="1081" t="s">
        <v>162</v>
      </c>
      <c r="C174" s="1082"/>
      <c r="D174" s="1083" t="s">
        <v>159</v>
      </c>
      <c r="E174" s="1084"/>
      <c r="F174" s="1084"/>
      <c r="G174" s="1085"/>
      <c r="H174" s="1086" t="s">
        <v>159</v>
      </c>
      <c r="I174" s="1087"/>
      <c r="J174" s="1087"/>
      <c r="K174" s="1088"/>
      <c r="L174" s="1089" t="s">
        <v>159</v>
      </c>
      <c r="M174" s="1090"/>
      <c r="N174" s="1091"/>
      <c r="O174" s="1092" t="s">
        <v>159</v>
      </c>
      <c r="P174" s="1093"/>
      <c r="Q174" s="1094"/>
      <c r="R174" s="812"/>
      <c r="S174" s="1095"/>
      <c r="T174" s="813"/>
      <c r="U174" s="745"/>
      <c r="V174" s="940"/>
      <c r="W174" s="746"/>
      <c r="X174" s="312"/>
      <c r="Y174" s="308"/>
      <c r="Z174" s="312"/>
      <c r="AA174" s="308"/>
      <c r="AB174" s="312"/>
      <c r="AC174" s="308"/>
      <c r="AD174" s="312"/>
      <c r="AE174" s="308"/>
      <c r="AF174" s="312"/>
      <c r="AG174" s="308"/>
      <c r="AH174" s="312"/>
      <c r="AI174" s="308"/>
      <c r="AJ174" s="117"/>
      <c r="AK174" s="330"/>
      <c r="AL174" s="117"/>
      <c r="AM174" s="330"/>
      <c r="AN174" s="117"/>
      <c r="AO174" s="330"/>
      <c r="AP174" s="117"/>
      <c r="AQ174" s="330"/>
      <c r="AR174" s="117"/>
      <c r="AS174" s="1096" t="s">
        <v>159</v>
      </c>
      <c r="AT174" s="1097"/>
      <c r="AU174" s="1097"/>
      <c r="AV174" s="1097"/>
      <c r="AW174" s="1097"/>
      <c r="AX174" s="1097"/>
      <c r="AY174" s="1100"/>
      <c r="AZ174" s="257"/>
      <c r="BA174" s="257"/>
      <c r="BB174" s="1059" t="s">
        <v>162</v>
      </c>
      <c r="BC174" s="1060"/>
      <c r="BD174" s="1075" t="s">
        <v>159</v>
      </c>
      <c r="BE174" s="1075"/>
      <c r="BF174" s="1075"/>
      <c r="BG174" s="1076" t="s">
        <v>159</v>
      </c>
      <c r="BH174" s="1077"/>
      <c r="BI174" s="1077"/>
      <c r="BJ174" s="1078"/>
      <c r="BK174" s="1065"/>
      <c r="BL174" s="1066"/>
      <c r="BM174" s="1067"/>
      <c r="BN174" s="259"/>
      <c r="BO174" s="259"/>
      <c r="BP174" s="1076"/>
      <c r="BQ174" s="1077"/>
      <c r="BR174" s="1078"/>
      <c r="BS174" s="1075" t="s">
        <v>159</v>
      </c>
      <c r="BT174" s="1075"/>
      <c r="BU174" s="1075"/>
    </row>
    <row r="175" spans="1:73" ht="30" customHeight="1" x14ac:dyDescent="0.25">
      <c r="A175" s="199">
        <f t="shared" si="2"/>
        <v>161</v>
      </c>
      <c r="B175" s="1081" t="s">
        <v>162</v>
      </c>
      <c r="C175" s="1082"/>
      <c r="D175" s="1083" t="s">
        <v>159</v>
      </c>
      <c r="E175" s="1084"/>
      <c r="F175" s="1084"/>
      <c r="G175" s="1085"/>
      <c r="H175" s="1086" t="s">
        <v>159</v>
      </c>
      <c r="I175" s="1087"/>
      <c r="J175" s="1087"/>
      <c r="K175" s="1088"/>
      <c r="L175" s="1089" t="s">
        <v>159</v>
      </c>
      <c r="M175" s="1090"/>
      <c r="N175" s="1091"/>
      <c r="O175" s="1092" t="s">
        <v>159</v>
      </c>
      <c r="P175" s="1093"/>
      <c r="Q175" s="1094"/>
      <c r="R175" s="812"/>
      <c r="S175" s="1095"/>
      <c r="T175" s="813"/>
      <c r="U175" s="745"/>
      <c r="V175" s="940"/>
      <c r="W175" s="746"/>
      <c r="X175" s="312"/>
      <c r="Y175" s="308"/>
      <c r="Z175" s="312"/>
      <c r="AA175" s="308"/>
      <c r="AB175" s="312"/>
      <c r="AC175" s="308"/>
      <c r="AD175" s="312"/>
      <c r="AE175" s="308"/>
      <c r="AF175" s="312"/>
      <c r="AG175" s="308"/>
      <c r="AH175" s="312"/>
      <c r="AI175" s="308"/>
      <c r="AJ175" s="117"/>
      <c r="AK175" s="330"/>
      <c r="AL175" s="117"/>
      <c r="AM175" s="330"/>
      <c r="AN175" s="117"/>
      <c r="AO175" s="330"/>
      <c r="AP175" s="117"/>
      <c r="AQ175" s="330"/>
      <c r="AR175" s="117"/>
      <c r="AS175" s="1096" t="s">
        <v>159</v>
      </c>
      <c r="AT175" s="1097"/>
      <c r="AU175" s="1097"/>
      <c r="AV175" s="1097"/>
      <c r="AW175" s="1097"/>
      <c r="AX175" s="1097"/>
      <c r="AY175" s="1100"/>
      <c r="AZ175" s="257"/>
      <c r="BA175" s="257"/>
      <c r="BB175" s="1059" t="s">
        <v>162</v>
      </c>
      <c r="BC175" s="1060"/>
      <c r="BD175" s="1075" t="s">
        <v>159</v>
      </c>
      <c r="BE175" s="1075"/>
      <c r="BF175" s="1075"/>
      <c r="BG175" s="1076" t="s">
        <v>159</v>
      </c>
      <c r="BH175" s="1077"/>
      <c r="BI175" s="1077"/>
      <c r="BJ175" s="1078"/>
      <c r="BK175" s="1065"/>
      <c r="BL175" s="1066"/>
      <c r="BM175" s="1067"/>
      <c r="BN175" s="259"/>
      <c r="BO175" s="259"/>
      <c r="BP175" s="1076"/>
      <c r="BQ175" s="1077"/>
      <c r="BR175" s="1078"/>
      <c r="BS175" s="1075" t="s">
        <v>159</v>
      </c>
      <c r="BT175" s="1075"/>
      <c r="BU175" s="1075"/>
    </row>
    <row r="176" spans="1:73" ht="30" customHeight="1" x14ac:dyDescent="0.25">
      <c r="A176" s="199">
        <f t="shared" si="2"/>
        <v>162</v>
      </c>
      <c r="B176" s="1081" t="s">
        <v>162</v>
      </c>
      <c r="C176" s="1082"/>
      <c r="D176" s="1083" t="s">
        <v>159</v>
      </c>
      <c r="E176" s="1084"/>
      <c r="F176" s="1084"/>
      <c r="G176" s="1085"/>
      <c r="H176" s="1086" t="s">
        <v>159</v>
      </c>
      <c r="I176" s="1087"/>
      <c r="J176" s="1087"/>
      <c r="K176" s="1088"/>
      <c r="L176" s="1089" t="s">
        <v>159</v>
      </c>
      <c r="M176" s="1090"/>
      <c r="N176" s="1091"/>
      <c r="O176" s="1092" t="s">
        <v>159</v>
      </c>
      <c r="P176" s="1093"/>
      <c r="Q176" s="1094"/>
      <c r="R176" s="812"/>
      <c r="S176" s="1095"/>
      <c r="T176" s="813"/>
      <c r="U176" s="745"/>
      <c r="V176" s="940"/>
      <c r="W176" s="746"/>
      <c r="X176" s="312"/>
      <c r="Y176" s="308"/>
      <c r="Z176" s="312"/>
      <c r="AA176" s="308"/>
      <c r="AB176" s="312"/>
      <c r="AC176" s="308"/>
      <c r="AD176" s="312"/>
      <c r="AE176" s="308"/>
      <c r="AF176" s="312"/>
      <c r="AG176" s="308"/>
      <c r="AH176" s="312"/>
      <c r="AI176" s="308"/>
      <c r="AJ176" s="117"/>
      <c r="AK176" s="330"/>
      <c r="AL176" s="117"/>
      <c r="AM176" s="330"/>
      <c r="AN176" s="117"/>
      <c r="AO176" s="330"/>
      <c r="AP176" s="117"/>
      <c r="AQ176" s="330"/>
      <c r="AR176" s="117"/>
      <c r="AS176" s="1096" t="s">
        <v>159</v>
      </c>
      <c r="AT176" s="1097"/>
      <c r="AU176" s="1097"/>
      <c r="AV176" s="1097"/>
      <c r="AW176" s="1097"/>
      <c r="AX176" s="1097"/>
      <c r="AY176" s="1100"/>
      <c r="AZ176" s="296"/>
      <c r="BA176" s="296"/>
      <c r="BB176" s="1059" t="s">
        <v>162</v>
      </c>
      <c r="BC176" s="1060"/>
      <c r="BD176" s="1068" t="s">
        <v>159</v>
      </c>
      <c r="BE176" s="1068"/>
      <c r="BF176" s="1068"/>
      <c r="BG176" s="1069" t="s">
        <v>159</v>
      </c>
      <c r="BH176" s="1070"/>
      <c r="BI176" s="1070"/>
      <c r="BJ176" s="1071"/>
      <c r="BK176" s="1072"/>
      <c r="BL176" s="1073"/>
      <c r="BM176" s="1074"/>
      <c r="BN176" s="297"/>
      <c r="BO176" s="297"/>
      <c r="BP176" s="1069"/>
      <c r="BQ176" s="1070"/>
      <c r="BR176" s="1071"/>
      <c r="BS176" s="1068" t="s">
        <v>159</v>
      </c>
      <c r="BT176" s="1068"/>
      <c r="BU176" s="1068"/>
    </row>
    <row r="177" spans="1:73" ht="30" customHeight="1" x14ac:dyDescent="0.25">
      <c r="A177" s="199">
        <f t="shared" si="2"/>
        <v>163</v>
      </c>
      <c r="B177" s="1081" t="s">
        <v>162</v>
      </c>
      <c r="C177" s="1082"/>
      <c r="D177" s="1083" t="s">
        <v>159</v>
      </c>
      <c r="E177" s="1084"/>
      <c r="F177" s="1084"/>
      <c r="G177" s="1085"/>
      <c r="H177" s="1086" t="s">
        <v>159</v>
      </c>
      <c r="I177" s="1087"/>
      <c r="J177" s="1087"/>
      <c r="K177" s="1088"/>
      <c r="L177" s="1089" t="s">
        <v>159</v>
      </c>
      <c r="M177" s="1090"/>
      <c r="N177" s="1091"/>
      <c r="O177" s="1092" t="s">
        <v>159</v>
      </c>
      <c r="P177" s="1093"/>
      <c r="Q177" s="1094"/>
      <c r="R177" s="812"/>
      <c r="S177" s="1095"/>
      <c r="T177" s="813"/>
      <c r="U177" s="745"/>
      <c r="V177" s="940"/>
      <c r="W177" s="746"/>
      <c r="X177" s="312"/>
      <c r="Y177" s="308"/>
      <c r="Z177" s="312"/>
      <c r="AA177" s="308"/>
      <c r="AB177" s="312"/>
      <c r="AC177" s="308"/>
      <c r="AD177" s="312"/>
      <c r="AE177" s="308"/>
      <c r="AF177" s="312"/>
      <c r="AG177" s="308"/>
      <c r="AH177" s="312"/>
      <c r="AI177" s="308"/>
      <c r="AJ177" s="117"/>
      <c r="AK177" s="330"/>
      <c r="AL177" s="117"/>
      <c r="AM177" s="330"/>
      <c r="AN177" s="117"/>
      <c r="AO177" s="330"/>
      <c r="AP177" s="117"/>
      <c r="AQ177" s="330"/>
      <c r="AR177" s="117"/>
      <c r="AS177" s="1096" t="s">
        <v>159</v>
      </c>
      <c r="AT177" s="1097"/>
      <c r="AU177" s="1097"/>
      <c r="AV177" s="1097"/>
      <c r="AW177" s="1097"/>
      <c r="AX177" s="1097"/>
      <c r="AY177" s="1100"/>
      <c r="AZ177" s="257"/>
      <c r="BA177" s="257"/>
      <c r="BB177" s="1059" t="s">
        <v>162</v>
      </c>
      <c r="BC177" s="1060"/>
      <c r="BD177" s="1075" t="s">
        <v>159</v>
      </c>
      <c r="BE177" s="1075"/>
      <c r="BF177" s="1075"/>
      <c r="BG177" s="1076" t="s">
        <v>159</v>
      </c>
      <c r="BH177" s="1077"/>
      <c r="BI177" s="1077"/>
      <c r="BJ177" s="1078"/>
      <c r="BK177" s="1065"/>
      <c r="BL177" s="1066"/>
      <c r="BM177" s="1067"/>
      <c r="BN177" s="259"/>
      <c r="BO177" s="259"/>
      <c r="BP177" s="1076"/>
      <c r="BQ177" s="1077"/>
      <c r="BR177" s="1078"/>
      <c r="BS177" s="1075" t="s">
        <v>159</v>
      </c>
      <c r="BT177" s="1075"/>
      <c r="BU177" s="1075"/>
    </row>
    <row r="178" spans="1:73" ht="30" customHeight="1" x14ac:dyDescent="0.25">
      <c r="A178" s="199">
        <f t="shared" si="2"/>
        <v>164</v>
      </c>
      <c r="B178" s="1081" t="s">
        <v>162</v>
      </c>
      <c r="C178" s="1082"/>
      <c r="D178" s="1083" t="s">
        <v>159</v>
      </c>
      <c r="E178" s="1084"/>
      <c r="F178" s="1084"/>
      <c r="G178" s="1085"/>
      <c r="H178" s="1086" t="s">
        <v>159</v>
      </c>
      <c r="I178" s="1087"/>
      <c r="J178" s="1087"/>
      <c r="K178" s="1088"/>
      <c r="L178" s="1089" t="s">
        <v>159</v>
      </c>
      <c r="M178" s="1090"/>
      <c r="N178" s="1091"/>
      <c r="O178" s="1092" t="s">
        <v>159</v>
      </c>
      <c r="P178" s="1093"/>
      <c r="Q178" s="1094"/>
      <c r="R178" s="812"/>
      <c r="S178" s="1095"/>
      <c r="T178" s="813"/>
      <c r="U178" s="745"/>
      <c r="V178" s="940"/>
      <c r="W178" s="746"/>
      <c r="X178" s="312"/>
      <c r="Y178" s="308"/>
      <c r="Z178" s="312"/>
      <c r="AA178" s="308"/>
      <c r="AB178" s="312"/>
      <c r="AC178" s="308"/>
      <c r="AD178" s="312"/>
      <c r="AE178" s="308"/>
      <c r="AF178" s="312"/>
      <c r="AG178" s="308"/>
      <c r="AH178" s="312"/>
      <c r="AI178" s="308"/>
      <c r="AJ178" s="117"/>
      <c r="AK178" s="330"/>
      <c r="AL178" s="117"/>
      <c r="AM178" s="330"/>
      <c r="AN178" s="117"/>
      <c r="AO178" s="330"/>
      <c r="AP178" s="117"/>
      <c r="AQ178" s="330"/>
      <c r="AR178" s="117"/>
      <c r="AS178" s="1096" t="s">
        <v>159</v>
      </c>
      <c r="AT178" s="1097"/>
      <c r="AU178" s="1097"/>
      <c r="AV178" s="1097"/>
      <c r="AW178" s="1097"/>
      <c r="AX178" s="1097"/>
      <c r="AY178" s="1100"/>
      <c r="AZ178" s="257"/>
      <c r="BA178" s="257"/>
      <c r="BB178" s="1059" t="s">
        <v>162</v>
      </c>
      <c r="BC178" s="1060"/>
      <c r="BD178" s="1075" t="s">
        <v>159</v>
      </c>
      <c r="BE178" s="1075"/>
      <c r="BF178" s="1075"/>
      <c r="BG178" s="1076" t="s">
        <v>159</v>
      </c>
      <c r="BH178" s="1077"/>
      <c r="BI178" s="1077"/>
      <c r="BJ178" s="1078"/>
      <c r="BK178" s="1065"/>
      <c r="BL178" s="1066"/>
      <c r="BM178" s="1067"/>
      <c r="BN178" s="259"/>
      <c r="BO178" s="259"/>
      <c r="BP178" s="1076"/>
      <c r="BQ178" s="1077"/>
      <c r="BR178" s="1078"/>
      <c r="BS178" s="1075" t="s">
        <v>159</v>
      </c>
      <c r="BT178" s="1075"/>
      <c r="BU178" s="1075"/>
    </row>
    <row r="179" spans="1:73" ht="30" customHeight="1" x14ac:dyDescent="0.25">
      <c r="A179" s="199">
        <f t="shared" si="2"/>
        <v>165</v>
      </c>
      <c r="B179" s="1081" t="s">
        <v>162</v>
      </c>
      <c r="C179" s="1082"/>
      <c r="D179" s="1083" t="s">
        <v>159</v>
      </c>
      <c r="E179" s="1084"/>
      <c r="F179" s="1084"/>
      <c r="G179" s="1085"/>
      <c r="H179" s="1086" t="s">
        <v>159</v>
      </c>
      <c r="I179" s="1087"/>
      <c r="J179" s="1087"/>
      <c r="K179" s="1088"/>
      <c r="L179" s="1089" t="s">
        <v>159</v>
      </c>
      <c r="M179" s="1090"/>
      <c r="N179" s="1091"/>
      <c r="O179" s="1092" t="s">
        <v>159</v>
      </c>
      <c r="P179" s="1093"/>
      <c r="Q179" s="1094"/>
      <c r="R179" s="812"/>
      <c r="S179" s="1095"/>
      <c r="T179" s="813"/>
      <c r="U179" s="745"/>
      <c r="V179" s="940"/>
      <c r="W179" s="746"/>
      <c r="X179" s="312"/>
      <c r="Y179" s="308"/>
      <c r="Z179" s="312"/>
      <c r="AA179" s="308"/>
      <c r="AB179" s="312"/>
      <c r="AC179" s="308"/>
      <c r="AD179" s="312"/>
      <c r="AE179" s="308"/>
      <c r="AF179" s="312"/>
      <c r="AG179" s="308"/>
      <c r="AH179" s="312"/>
      <c r="AI179" s="308"/>
      <c r="AJ179" s="117"/>
      <c r="AK179" s="330"/>
      <c r="AL179" s="117"/>
      <c r="AM179" s="330"/>
      <c r="AN179" s="117"/>
      <c r="AO179" s="330"/>
      <c r="AP179" s="117"/>
      <c r="AQ179" s="330"/>
      <c r="AR179" s="117"/>
      <c r="AS179" s="1096" t="s">
        <v>159</v>
      </c>
      <c r="AT179" s="1097"/>
      <c r="AU179" s="1097"/>
      <c r="AV179" s="1097"/>
      <c r="AW179" s="1097"/>
      <c r="AX179" s="1097"/>
      <c r="AY179" s="1100"/>
      <c r="AZ179" s="257"/>
      <c r="BA179" s="257"/>
      <c r="BB179" s="1059" t="s">
        <v>162</v>
      </c>
      <c r="BC179" s="1060"/>
      <c r="BD179" s="1075" t="s">
        <v>159</v>
      </c>
      <c r="BE179" s="1075"/>
      <c r="BF179" s="1075"/>
      <c r="BG179" s="1076" t="s">
        <v>159</v>
      </c>
      <c r="BH179" s="1077"/>
      <c r="BI179" s="1077"/>
      <c r="BJ179" s="1078"/>
      <c r="BK179" s="1065"/>
      <c r="BL179" s="1066"/>
      <c r="BM179" s="1067"/>
      <c r="BN179" s="259"/>
      <c r="BO179" s="259"/>
      <c r="BP179" s="1076"/>
      <c r="BQ179" s="1077"/>
      <c r="BR179" s="1078"/>
      <c r="BS179" s="1075" t="s">
        <v>159</v>
      </c>
      <c r="BT179" s="1075"/>
      <c r="BU179" s="1075"/>
    </row>
    <row r="180" spans="1:73" ht="30" customHeight="1" x14ac:dyDescent="0.25">
      <c r="A180" s="199">
        <f t="shared" si="2"/>
        <v>166</v>
      </c>
      <c r="B180" s="1081" t="s">
        <v>162</v>
      </c>
      <c r="C180" s="1082"/>
      <c r="D180" s="1083" t="s">
        <v>159</v>
      </c>
      <c r="E180" s="1084"/>
      <c r="F180" s="1084"/>
      <c r="G180" s="1085"/>
      <c r="H180" s="1086" t="s">
        <v>159</v>
      </c>
      <c r="I180" s="1087"/>
      <c r="J180" s="1087"/>
      <c r="K180" s="1088"/>
      <c r="L180" s="1089" t="s">
        <v>159</v>
      </c>
      <c r="M180" s="1090"/>
      <c r="N180" s="1091"/>
      <c r="O180" s="1092" t="s">
        <v>159</v>
      </c>
      <c r="P180" s="1093"/>
      <c r="Q180" s="1094"/>
      <c r="R180" s="812"/>
      <c r="S180" s="1095"/>
      <c r="T180" s="813"/>
      <c r="U180" s="745"/>
      <c r="V180" s="940"/>
      <c r="W180" s="746"/>
      <c r="X180" s="312"/>
      <c r="Y180" s="308"/>
      <c r="Z180" s="312"/>
      <c r="AA180" s="308"/>
      <c r="AB180" s="312"/>
      <c r="AC180" s="308"/>
      <c r="AD180" s="312"/>
      <c r="AE180" s="308"/>
      <c r="AF180" s="312"/>
      <c r="AG180" s="308"/>
      <c r="AH180" s="312"/>
      <c r="AI180" s="308"/>
      <c r="AJ180" s="117"/>
      <c r="AK180" s="330"/>
      <c r="AL180" s="117"/>
      <c r="AM180" s="330"/>
      <c r="AN180" s="117"/>
      <c r="AO180" s="330"/>
      <c r="AP180" s="117"/>
      <c r="AQ180" s="330"/>
      <c r="AR180" s="117"/>
      <c r="AS180" s="1096" t="s">
        <v>159</v>
      </c>
      <c r="AT180" s="1097"/>
      <c r="AU180" s="1097"/>
      <c r="AV180" s="1097"/>
      <c r="AW180" s="1097"/>
      <c r="AX180" s="1097"/>
      <c r="AY180" s="1100"/>
      <c r="AZ180" s="257"/>
      <c r="BA180" s="257"/>
      <c r="BB180" s="1059" t="s">
        <v>162</v>
      </c>
      <c r="BC180" s="1060"/>
      <c r="BD180" s="1075" t="s">
        <v>159</v>
      </c>
      <c r="BE180" s="1075"/>
      <c r="BF180" s="1075"/>
      <c r="BG180" s="1076" t="s">
        <v>159</v>
      </c>
      <c r="BH180" s="1077"/>
      <c r="BI180" s="1077"/>
      <c r="BJ180" s="1078"/>
      <c r="BK180" s="1065"/>
      <c r="BL180" s="1066"/>
      <c r="BM180" s="1067"/>
      <c r="BN180" s="259"/>
      <c r="BO180" s="259"/>
      <c r="BP180" s="1076"/>
      <c r="BQ180" s="1077"/>
      <c r="BR180" s="1078"/>
      <c r="BS180" s="1075" t="s">
        <v>159</v>
      </c>
      <c r="BT180" s="1075"/>
      <c r="BU180" s="1075"/>
    </row>
    <row r="181" spans="1:73" ht="30" customHeight="1" x14ac:dyDescent="0.25">
      <c r="A181" s="199">
        <f t="shared" si="2"/>
        <v>167</v>
      </c>
      <c r="B181" s="1081" t="s">
        <v>162</v>
      </c>
      <c r="C181" s="1082"/>
      <c r="D181" s="1083" t="s">
        <v>159</v>
      </c>
      <c r="E181" s="1084"/>
      <c r="F181" s="1084"/>
      <c r="G181" s="1085"/>
      <c r="H181" s="1086" t="s">
        <v>159</v>
      </c>
      <c r="I181" s="1087"/>
      <c r="J181" s="1087"/>
      <c r="K181" s="1088"/>
      <c r="L181" s="1089" t="s">
        <v>159</v>
      </c>
      <c r="M181" s="1090"/>
      <c r="N181" s="1091"/>
      <c r="O181" s="1092" t="s">
        <v>159</v>
      </c>
      <c r="P181" s="1093"/>
      <c r="Q181" s="1094"/>
      <c r="R181" s="812"/>
      <c r="S181" s="1095"/>
      <c r="T181" s="813"/>
      <c r="U181" s="745"/>
      <c r="V181" s="940"/>
      <c r="W181" s="746"/>
      <c r="X181" s="312"/>
      <c r="Y181" s="308"/>
      <c r="Z181" s="312"/>
      <c r="AA181" s="308"/>
      <c r="AB181" s="312"/>
      <c r="AC181" s="308"/>
      <c r="AD181" s="312"/>
      <c r="AE181" s="308"/>
      <c r="AF181" s="312"/>
      <c r="AG181" s="308"/>
      <c r="AH181" s="312"/>
      <c r="AI181" s="308"/>
      <c r="AJ181" s="117"/>
      <c r="AK181" s="330"/>
      <c r="AL181" s="117"/>
      <c r="AM181" s="330"/>
      <c r="AN181" s="117"/>
      <c r="AO181" s="330"/>
      <c r="AP181" s="117"/>
      <c r="AQ181" s="330"/>
      <c r="AR181" s="117"/>
      <c r="AS181" s="1096" t="s">
        <v>159</v>
      </c>
      <c r="AT181" s="1097"/>
      <c r="AU181" s="1097"/>
      <c r="AV181" s="1097"/>
      <c r="AW181" s="1097"/>
      <c r="AX181" s="1097"/>
      <c r="AY181" s="1100"/>
      <c r="AZ181" s="257"/>
      <c r="BA181" s="257"/>
      <c r="BB181" s="1059" t="s">
        <v>162</v>
      </c>
      <c r="BC181" s="1060"/>
      <c r="BD181" s="1075" t="s">
        <v>159</v>
      </c>
      <c r="BE181" s="1075"/>
      <c r="BF181" s="1075"/>
      <c r="BG181" s="1076" t="s">
        <v>159</v>
      </c>
      <c r="BH181" s="1077"/>
      <c r="BI181" s="1077"/>
      <c r="BJ181" s="1078"/>
      <c r="BK181" s="1065"/>
      <c r="BL181" s="1066"/>
      <c r="BM181" s="1067"/>
      <c r="BN181" s="259"/>
      <c r="BO181" s="259"/>
      <c r="BP181" s="1076"/>
      <c r="BQ181" s="1077"/>
      <c r="BR181" s="1078"/>
      <c r="BS181" s="1075" t="s">
        <v>159</v>
      </c>
      <c r="BT181" s="1075"/>
      <c r="BU181" s="1075"/>
    </row>
    <row r="182" spans="1:73" ht="30" customHeight="1" x14ac:dyDescent="0.25">
      <c r="A182" s="199">
        <f t="shared" si="2"/>
        <v>168</v>
      </c>
      <c r="B182" s="1081" t="s">
        <v>162</v>
      </c>
      <c r="C182" s="1082"/>
      <c r="D182" s="1083" t="s">
        <v>159</v>
      </c>
      <c r="E182" s="1084"/>
      <c r="F182" s="1084"/>
      <c r="G182" s="1085"/>
      <c r="H182" s="1086" t="s">
        <v>159</v>
      </c>
      <c r="I182" s="1087"/>
      <c r="J182" s="1087"/>
      <c r="K182" s="1088"/>
      <c r="L182" s="1089" t="s">
        <v>159</v>
      </c>
      <c r="M182" s="1090"/>
      <c r="N182" s="1091"/>
      <c r="O182" s="1092" t="s">
        <v>159</v>
      </c>
      <c r="P182" s="1093"/>
      <c r="Q182" s="1094"/>
      <c r="R182" s="812"/>
      <c r="S182" s="1095"/>
      <c r="T182" s="813"/>
      <c r="U182" s="745"/>
      <c r="V182" s="940"/>
      <c r="W182" s="746"/>
      <c r="X182" s="312"/>
      <c r="Y182" s="308"/>
      <c r="Z182" s="312"/>
      <c r="AA182" s="308"/>
      <c r="AB182" s="312"/>
      <c r="AC182" s="308"/>
      <c r="AD182" s="312"/>
      <c r="AE182" s="308"/>
      <c r="AF182" s="312"/>
      <c r="AG182" s="308"/>
      <c r="AH182" s="312"/>
      <c r="AI182" s="308"/>
      <c r="AJ182" s="117"/>
      <c r="AK182" s="330"/>
      <c r="AL182" s="117"/>
      <c r="AM182" s="330"/>
      <c r="AN182" s="117"/>
      <c r="AO182" s="330"/>
      <c r="AP182" s="117"/>
      <c r="AQ182" s="330"/>
      <c r="AR182" s="117"/>
      <c r="AS182" s="1096" t="s">
        <v>159</v>
      </c>
      <c r="AT182" s="1097"/>
      <c r="AU182" s="1097"/>
      <c r="AV182" s="1097"/>
      <c r="AW182" s="1097"/>
      <c r="AX182" s="1097"/>
      <c r="AY182" s="1100"/>
      <c r="AZ182" s="257"/>
      <c r="BA182" s="257"/>
      <c r="BB182" s="1059" t="s">
        <v>162</v>
      </c>
      <c r="BC182" s="1060"/>
      <c r="BD182" s="1075" t="s">
        <v>159</v>
      </c>
      <c r="BE182" s="1075"/>
      <c r="BF182" s="1075"/>
      <c r="BG182" s="1076" t="s">
        <v>159</v>
      </c>
      <c r="BH182" s="1077"/>
      <c r="BI182" s="1077"/>
      <c r="BJ182" s="1078"/>
      <c r="BK182" s="1065"/>
      <c r="BL182" s="1066"/>
      <c r="BM182" s="1067"/>
      <c r="BN182" s="259"/>
      <c r="BO182" s="259"/>
      <c r="BP182" s="1076"/>
      <c r="BQ182" s="1077"/>
      <c r="BR182" s="1078"/>
      <c r="BS182" s="1075" t="s">
        <v>159</v>
      </c>
      <c r="BT182" s="1075"/>
      <c r="BU182" s="1075"/>
    </row>
    <row r="183" spans="1:73" ht="30" customHeight="1" x14ac:dyDescent="0.25">
      <c r="A183" s="199">
        <f t="shared" si="2"/>
        <v>169</v>
      </c>
      <c r="B183" s="1081" t="s">
        <v>162</v>
      </c>
      <c r="C183" s="1082"/>
      <c r="D183" s="1083" t="s">
        <v>159</v>
      </c>
      <c r="E183" s="1084"/>
      <c r="F183" s="1084"/>
      <c r="G183" s="1085"/>
      <c r="H183" s="1086" t="s">
        <v>159</v>
      </c>
      <c r="I183" s="1087"/>
      <c r="J183" s="1087"/>
      <c r="K183" s="1088"/>
      <c r="L183" s="1089" t="s">
        <v>159</v>
      </c>
      <c r="M183" s="1090"/>
      <c r="N183" s="1091"/>
      <c r="O183" s="1092" t="s">
        <v>159</v>
      </c>
      <c r="P183" s="1093"/>
      <c r="Q183" s="1094"/>
      <c r="R183" s="812"/>
      <c r="S183" s="1095"/>
      <c r="T183" s="813"/>
      <c r="U183" s="745"/>
      <c r="V183" s="940"/>
      <c r="W183" s="746"/>
      <c r="X183" s="312"/>
      <c r="Y183" s="308"/>
      <c r="Z183" s="312"/>
      <c r="AA183" s="308"/>
      <c r="AB183" s="312"/>
      <c r="AC183" s="308"/>
      <c r="AD183" s="312"/>
      <c r="AE183" s="308"/>
      <c r="AF183" s="312"/>
      <c r="AG183" s="308"/>
      <c r="AH183" s="312"/>
      <c r="AI183" s="308"/>
      <c r="AJ183" s="117"/>
      <c r="AK183" s="330"/>
      <c r="AL183" s="117"/>
      <c r="AM183" s="330"/>
      <c r="AN183" s="117"/>
      <c r="AO183" s="330"/>
      <c r="AP183" s="117"/>
      <c r="AQ183" s="330"/>
      <c r="AR183" s="117"/>
      <c r="AS183" s="1096" t="s">
        <v>159</v>
      </c>
      <c r="AT183" s="1097"/>
      <c r="AU183" s="1097"/>
      <c r="AV183" s="1097"/>
      <c r="AW183" s="1097"/>
      <c r="AX183" s="1097"/>
      <c r="AY183" s="1100"/>
      <c r="AZ183" s="296"/>
      <c r="BA183" s="296"/>
      <c r="BB183" s="1059" t="s">
        <v>162</v>
      </c>
      <c r="BC183" s="1060"/>
      <c r="BD183" s="1068" t="s">
        <v>159</v>
      </c>
      <c r="BE183" s="1068"/>
      <c r="BF183" s="1068"/>
      <c r="BG183" s="1069" t="s">
        <v>159</v>
      </c>
      <c r="BH183" s="1070"/>
      <c r="BI183" s="1070"/>
      <c r="BJ183" s="1071"/>
      <c r="BK183" s="1072"/>
      <c r="BL183" s="1073"/>
      <c r="BM183" s="1074"/>
      <c r="BN183" s="297"/>
      <c r="BO183" s="297"/>
      <c r="BP183" s="1069"/>
      <c r="BQ183" s="1070"/>
      <c r="BR183" s="1071"/>
      <c r="BS183" s="1068" t="s">
        <v>159</v>
      </c>
      <c r="BT183" s="1068"/>
      <c r="BU183" s="1068"/>
    </row>
    <row r="184" spans="1:73" ht="30" customHeight="1" x14ac:dyDescent="0.25">
      <c r="A184" s="199">
        <f t="shared" si="2"/>
        <v>170</v>
      </c>
      <c r="B184" s="1081" t="s">
        <v>162</v>
      </c>
      <c r="C184" s="1082"/>
      <c r="D184" s="1083" t="s">
        <v>159</v>
      </c>
      <c r="E184" s="1084"/>
      <c r="F184" s="1084"/>
      <c r="G184" s="1085"/>
      <c r="H184" s="1086" t="s">
        <v>159</v>
      </c>
      <c r="I184" s="1087"/>
      <c r="J184" s="1087"/>
      <c r="K184" s="1088"/>
      <c r="L184" s="1089" t="s">
        <v>159</v>
      </c>
      <c r="M184" s="1090"/>
      <c r="N184" s="1091"/>
      <c r="O184" s="1092" t="s">
        <v>159</v>
      </c>
      <c r="P184" s="1093"/>
      <c r="Q184" s="1094"/>
      <c r="R184" s="812"/>
      <c r="S184" s="1095"/>
      <c r="T184" s="813"/>
      <c r="U184" s="745"/>
      <c r="V184" s="940"/>
      <c r="W184" s="746"/>
      <c r="X184" s="312"/>
      <c r="Y184" s="308"/>
      <c r="Z184" s="312"/>
      <c r="AA184" s="308"/>
      <c r="AB184" s="312"/>
      <c r="AC184" s="308"/>
      <c r="AD184" s="312"/>
      <c r="AE184" s="308"/>
      <c r="AF184" s="312"/>
      <c r="AG184" s="308"/>
      <c r="AH184" s="312"/>
      <c r="AI184" s="308"/>
      <c r="AJ184" s="117"/>
      <c r="AK184" s="330"/>
      <c r="AL184" s="117"/>
      <c r="AM184" s="330"/>
      <c r="AN184" s="117"/>
      <c r="AO184" s="330"/>
      <c r="AP184" s="117"/>
      <c r="AQ184" s="330"/>
      <c r="AR184" s="117"/>
      <c r="AS184" s="1096" t="s">
        <v>159</v>
      </c>
      <c r="AT184" s="1097"/>
      <c r="AU184" s="1097"/>
      <c r="AV184" s="1097"/>
      <c r="AW184" s="1097"/>
      <c r="AX184" s="1097"/>
      <c r="AY184" s="1100"/>
      <c r="AZ184" s="257"/>
      <c r="BA184" s="257"/>
      <c r="BB184" s="1059" t="s">
        <v>162</v>
      </c>
      <c r="BC184" s="1060"/>
      <c r="BD184" s="1075" t="s">
        <v>159</v>
      </c>
      <c r="BE184" s="1075"/>
      <c r="BF184" s="1075"/>
      <c r="BG184" s="1076" t="s">
        <v>159</v>
      </c>
      <c r="BH184" s="1077"/>
      <c r="BI184" s="1077"/>
      <c r="BJ184" s="1078"/>
      <c r="BK184" s="1065"/>
      <c r="BL184" s="1066"/>
      <c r="BM184" s="1067"/>
      <c r="BN184" s="259"/>
      <c r="BO184" s="259"/>
      <c r="BP184" s="1076"/>
      <c r="BQ184" s="1077"/>
      <c r="BR184" s="1078"/>
      <c r="BS184" s="1075" t="s">
        <v>159</v>
      </c>
      <c r="BT184" s="1075"/>
      <c r="BU184" s="1075"/>
    </row>
    <row r="185" spans="1:73" ht="30" customHeight="1" x14ac:dyDescent="0.25">
      <c r="A185" s="199">
        <f t="shared" si="2"/>
        <v>171</v>
      </c>
      <c r="B185" s="1081" t="s">
        <v>162</v>
      </c>
      <c r="C185" s="1082"/>
      <c r="D185" s="1083" t="s">
        <v>159</v>
      </c>
      <c r="E185" s="1084"/>
      <c r="F185" s="1084"/>
      <c r="G185" s="1085"/>
      <c r="H185" s="1086" t="s">
        <v>159</v>
      </c>
      <c r="I185" s="1087"/>
      <c r="J185" s="1087"/>
      <c r="K185" s="1088"/>
      <c r="L185" s="1089" t="s">
        <v>159</v>
      </c>
      <c r="M185" s="1090"/>
      <c r="N185" s="1091"/>
      <c r="O185" s="1092" t="s">
        <v>159</v>
      </c>
      <c r="P185" s="1093"/>
      <c r="Q185" s="1094"/>
      <c r="R185" s="812"/>
      <c r="S185" s="1095"/>
      <c r="T185" s="813"/>
      <c r="U185" s="745"/>
      <c r="V185" s="940"/>
      <c r="W185" s="746"/>
      <c r="X185" s="312"/>
      <c r="Y185" s="308"/>
      <c r="Z185" s="312"/>
      <c r="AA185" s="308"/>
      <c r="AB185" s="312"/>
      <c r="AC185" s="308"/>
      <c r="AD185" s="312"/>
      <c r="AE185" s="308"/>
      <c r="AF185" s="312"/>
      <c r="AG185" s="308"/>
      <c r="AH185" s="312"/>
      <c r="AI185" s="308"/>
      <c r="AJ185" s="117"/>
      <c r="AK185" s="330"/>
      <c r="AL185" s="117"/>
      <c r="AM185" s="330"/>
      <c r="AN185" s="117"/>
      <c r="AO185" s="330"/>
      <c r="AP185" s="117"/>
      <c r="AQ185" s="330"/>
      <c r="AR185" s="117"/>
      <c r="AS185" s="1096" t="s">
        <v>159</v>
      </c>
      <c r="AT185" s="1097"/>
      <c r="AU185" s="1097"/>
      <c r="AV185" s="1097"/>
      <c r="AW185" s="1097"/>
      <c r="AX185" s="1097"/>
      <c r="AY185" s="1100"/>
      <c r="AZ185" s="257"/>
      <c r="BA185" s="257"/>
      <c r="BB185" s="1059" t="s">
        <v>162</v>
      </c>
      <c r="BC185" s="1060"/>
      <c r="BD185" s="1075" t="s">
        <v>159</v>
      </c>
      <c r="BE185" s="1075"/>
      <c r="BF185" s="1075"/>
      <c r="BG185" s="1076" t="s">
        <v>159</v>
      </c>
      <c r="BH185" s="1077"/>
      <c r="BI185" s="1077"/>
      <c r="BJ185" s="1078"/>
      <c r="BK185" s="1065"/>
      <c r="BL185" s="1066"/>
      <c r="BM185" s="1067"/>
      <c r="BN185" s="259"/>
      <c r="BO185" s="259"/>
      <c r="BP185" s="1076"/>
      <c r="BQ185" s="1077"/>
      <c r="BR185" s="1078"/>
      <c r="BS185" s="1075" t="s">
        <v>159</v>
      </c>
      <c r="BT185" s="1075"/>
      <c r="BU185" s="1075"/>
    </row>
    <row r="186" spans="1:73" ht="30" customHeight="1" x14ac:dyDescent="0.25">
      <c r="A186" s="199">
        <f t="shared" si="2"/>
        <v>172</v>
      </c>
      <c r="B186" s="1081" t="s">
        <v>162</v>
      </c>
      <c r="C186" s="1082"/>
      <c r="D186" s="1083" t="s">
        <v>159</v>
      </c>
      <c r="E186" s="1084"/>
      <c r="F186" s="1084"/>
      <c r="G186" s="1085"/>
      <c r="H186" s="1086" t="s">
        <v>159</v>
      </c>
      <c r="I186" s="1087"/>
      <c r="J186" s="1087"/>
      <c r="K186" s="1088"/>
      <c r="L186" s="1089" t="s">
        <v>159</v>
      </c>
      <c r="M186" s="1090"/>
      <c r="N186" s="1091"/>
      <c r="O186" s="1092" t="s">
        <v>159</v>
      </c>
      <c r="P186" s="1093"/>
      <c r="Q186" s="1094"/>
      <c r="R186" s="812"/>
      <c r="S186" s="1095"/>
      <c r="T186" s="813"/>
      <c r="U186" s="745"/>
      <c r="V186" s="940"/>
      <c r="W186" s="746"/>
      <c r="X186" s="312"/>
      <c r="Y186" s="308"/>
      <c r="Z186" s="312"/>
      <c r="AA186" s="308"/>
      <c r="AB186" s="312"/>
      <c r="AC186" s="308"/>
      <c r="AD186" s="312"/>
      <c r="AE186" s="308"/>
      <c r="AF186" s="312"/>
      <c r="AG186" s="308"/>
      <c r="AH186" s="312"/>
      <c r="AI186" s="308"/>
      <c r="AJ186" s="117"/>
      <c r="AK186" s="330"/>
      <c r="AL186" s="117"/>
      <c r="AM186" s="330"/>
      <c r="AN186" s="117"/>
      <c r="AO186" s="330"/>
      <c r="AP186" s="117"/>
      <c r="AQ186" s="330"/>
      <c r="AR186" s="117"/>
      <c r="AS186" s="1096" t="s">
        <v>159</v>
      </c>
      <c r="AT186" s="1097"/>
      <c r="AU186" s="1097"/>
      <c r="AV186" s="1097"/>
      <c r="AW186" s="1097"/>
      <c r="AX186" s="1097"/>
      <c r="AY186" s="1100"/>
      <c r="AZ186" s="257"/>
      <c r="BA186" s="257"/>
      <c r="BB186" s="1059" t="s">
        <v>162</v>
      </c>
      <c r="BC186" s="1060"/>
      <c r="BD186" s="1075" t="s">
        <v>159</v>
      </c>
      <c r="BE186" s="1075"/>
      <c r="BF186" s="1075"/>
      <c r="BG186" s="1076" t="s">
        <v>159</v>
      </c>
      <c r="BH186" s="1077"/>
      <c r="BI186" s="1077"/>
      <c r="BJ186" s="1078"/>
      <c r="BK186" s="1065"/>
      <c r="BL186" s="1066"/>
      <c r="BM186" s="1067"/>
      <c r="BN186" s="259"/>
      <c r="BO186" s="259"/>
      <c r="BP186" s="1076"/>
      <c r="BQ186" s="1077"/>
      <c r="BR186" s="1078"/>
      <c r="BS186" s="1075" t="s">
        <v>159</v>
      </c>
      <c r="BT186" s="1075"/>
      <c r="BU186" s="1075"/>
    </row>
    <row r="187" spans="1:73" ht="30" customHeight="1" x14ac:dyDescent="0.25">
      <c r="A187" s="199">
        <f t="shared" si="2"/>
        <v>173</v>
      </c>
      <c r="B187" s="1081" t="s">
        <v>162</v>
      </c>
      <c r="C187" s="1082"/>
      <c r="D187" s="1083" t="s">
        <v>159</v>
      </c>
      <c r="E187" s="1084"/>
      <c r="F187" s="1084"/>
      <c r="G187" s="1085"/>
      <c r="H187" s="1086" t="s">
        <v>159</v>
      </c>
      <c r="I187" s="1087"/>
      <c r="J187" s="1087"/>
      <c r="K187" s="1088"/>
      <c r="L187" s="1089" t="s">
        <v>159</v>
      </c>
      <c r="M187" s="1090"/>
      <c r="N187" s="1091"/>
      <c r="O187" s="1092" t="s">
        <v>159</v>
      </c>
      <c r="P187" s="1093"/>
      <c r="Q187" s="1094"/>
      <c r="R187" s="812"/>
      <c r="S187" s="1095"/>
      <c r="T187" s="813"/>
      <c r="U187" s="745"/>
      <c r="V187" s="940"/>
      <c r="W187" s="746"/>
      <c r="X187" s="312"/>
      <c r="Y187" s="308"/>
      <c r="Z187" s="312"/>
      <c r="AA187" s="308"/>
      <c r="AB187" s="312"/>
      <c r="AC187" s="308"/>
      <c r="AD187" s="312"/>
      <c r="AE187" s="308"/>
      <c r="AF187" s="312"/>
      <c r="AG187" s="308"/>
      <c r="AH187" s="312"/>
      <c r="AI187" s="308"/>
      <c r="AJ187" s="117"/>
      <c r="AK187" s="330"/>
      <c r="AL187" s="117"/>
      <c r="AM187" s="330"/>
      <c r="AN187" s="117"/>
      <c r="AO187" s="330"/>
      <c r="AP187" s="117"/>
      <c r="AQ187" s="330"/>
      <c r="AR187" s="117"/>
      <c r="AS187" s="1096" t="s">
        <v>159</v>
      </c>
      <c r="AT187" s="1097"/>
      <c r="AU187" s="1097"/>
      <c r="AV187" s="1097"/>
      <c r="AW187" s="1097"/>
      <c r="AX187" s="1097"/>
      <c r="AY187" s="1100"/>
      <c r="AZ187" s="257"/>
      <c r="BA187" s="257"/>
      <c r="BB187" s="1059" t="s">
        <v>162</v>
      </c>
      <c r="BC187" s="1060"/>
      <c r="BD187" s="1075" t="s">
        <v>159</v>
      </c>
      <c r="BE187" s="1075"/>
      <c r="BF187" s="1075"/>
      <c r="BG187" s="1076" t="s">
        <v>159</v>
      </c>
      <c r="BH187" s="1077"/>
      <c r="BI187" s="1077"/>
      <c r="BJ187" s="1078"/>
      <c r="BK187" s="1065"/>
      <c r="BL187" s="1066"/>
      <c r="BM187" s="1067"/>
      <c r="BN187" s="259"/>
      <c r="BO187" s="259"/>
      <c r="BP187" s="1076"/>
      <c r="BQ187" s="1077"/>
      <c r="BR187" s="1078"/>
      <c r="BS187" s="1075" t="s">
        <v>159</v>
      </c>
      <c r="BT187" s="1075"/>
      <c r="BU187" s="1075"/>
    </row>
    <row r="188" spans="1:73" ht="30" customHeight="1" x14ac:dyDescent="0.25">
      <c r="A188" s="199">
        <f t="shared" si="2"/>
        <v>174</v>
      </c>
      <c r="B188" s="1081" t="s">
        <v>162</v>
      </c>
      <c r="C188" s="1082"/>
      <c r="D188" s="1083" t="s">
        <v>159</v>
      </c>
      <c r="E188" s="1084"/>
      <c r="F188" s="1084"/>
      <c r="G188" s="1085"/>
      <c r="H188" s="1086" t="s">
        <v>159</v>
      </c>
      <c r="I188" s="1087"/>
      <c r="J188" s="1087"/>
      <c r="K188" s="1088"/>
      <c r="L188" s="1089" t="s">
        <v>159</v>
      </c>
      <c r="M188" s="1090"/>
      <c r="N188" s="1091"/>
      <c r="O188" s="1092" t="s">
        <v>159</v>
      </c>
      <c r="P188" s="1093"/>
      <c r="Q188" s="1094"/>
      <c r="R188" s="812"/>
      <c r="S188" s="1095"/>
      <c r="T188" s="813"/>
      <c r="U188" s="745"/>
      <c r="V188" s="940"/>
      <c r="W188" s="746"/>
      <c r="X188" s="312"/>
      <c r="Y188" s="308"/>
      <c r="Z188" s="312"/>
      <c r="AA188" s="308"/>
      <c r="AB188" s="312"/>
      <c r="AC188" s="308"/>
      <c r="AD188" s="312"/>
      <c r="AE188" s="308"/>
      <c r="AF188" s="312"/>
      <c r="AG188" s="308"/>
      <c r="AH188" s="312"/>
      <c r="AI188" s="308"/>
      <c r="AJ188" s="117"/>
      <c r="AK188" s="330"/>
      <c r="AL188" s="117"/>
      <c r="AM188" s="330"/>
      <c r="AN188" s="117"/>
      <c r="AO188" s="330"/>
      <c r="AP188" s="117"/>
      <c r="AQ188" s="330"/>
      <c r="AR188" s="117"/>
      <c r="AS188" s="1096" t="s">
        <v>159</v>
      </c>
      <c r="AT188" s="1097"/>
      <c r="AU188" s="1097"/>
      <c r="AV188" s="1097"/>
      <c r="AW188" s="1097"/>
      <c r="AX188" s="1097"/>
      <c r="AY188" s="1100"/>
      <c r="AZ188" s="257"/>
      <c r="BA188" s="257"/>
      <c r="BB188" s="1059" t="s">
        <v>162</v>
      </c>
      <c r="BC188" s="1060"/>
      <c r="BD188" s="1075" t="s">
        <v>159</v>
      </c>
      <c r="BE188" s="1075"/>
      <c r="BF188" s="1075"/>
      <c r="BG188" s="1076" t="s">
        <v>159</v>
      </c>
      <c r="BH188" s="1077"/>
      <c r="BI188" s="1077"/>
      <c r="BJ188" s="1078"/>
      <c r="BK188" s="1065"/>
      <c r="BL188" s="1066"/>
      <c r="BM188" s="1067"/>
      <c r="BN188" s="259"/>
      <c r="BO188" s="259"/>
      <c r="BP188" s="1076"/>
      <c r="BQ188" s="1077"/>
      <c r="BR188" s="1078"/>
      <c r="BS188" s="1075" t="s">
        <v>159</v>
      </c>
      <c r="BT188" s="1075"/>
      <c r="BU188" s="1075"/>
    </row>
    <row r="189" spans="1:73" ht="30" customHeight="1" x14ac:dyDescent="0.25">
      <c r="A189" s="199">
        <f t="shared" si="2"/>
        <v>175</v>
      </c>
      <c r="B189" s="1081" t="s">
        <v>162</v>
      </c>
      <c r="C189" s="1082"/>
      <c r="D189" s="1083" t="s">
        <v>159</v>
      </c>
      <c r="E189" s="1084"/>
      <c r="F189" s="1084"/>
      <c r="G189" s="1085"/>
      <c r="H189" s="1086" t="s">
        <v>159</v>
      </c>
      <c r="I189" s="1087"/>
      <c r="J189" s="1087"/>
      <c r="K189" s="1088"/>
      <c r="L189" s="1089" t="s">
        <v>159</v>
      </c>
      <c r="M189" s="1090"/>
      <c r="N189" s="1091"/>
      <c r="O189" s="1092" t="s">
        <v>159</v>
      </c>
      <c r="P189" s="1093"/>
      <c r="Q189" s="1094"/>
      <c r="R189" s="812"/>
      <c r="S189" s="1095"/>
      <c r="T189" s="813"/>
      <c r="U189" s="745"/>
      <c r="V189" s="940"/>
      <c r="W189" s="746"/>
      <c r="X189" s="312"/>
      <c r="Y189" s="308"/>
      <c r="Z189" s="312"/>
      <c r="AA189" s="308"/>
      <c r="AB189" s="312"/>
      <c r="AC189" s="308"/>
      <c r="AD189" s="312"/>
      <c r="AE189" s="308"/>
      <c r="AF189" s="312"/>
      <c r="AG189" s="308"/>
      <c r="AH189" s="312"/>
      <c r="AI189" s="308"/>
      <c r="AJ189" s="117"/>
      <c r="AK189" s="330"/>
      <c r="AL189" s="117"/>
      <c r="AM189" s="330"/>
      <c r="AN189" s="117"/>
      <c r="AO189" s="330"/>
      <c r="AP189" s="117"/>
      <c r="AQ189" s="330"/>
      <c r="AR189" s="117"/>
      <c r="AS189" s="1096" t="s">
        <v>159</v>
      </c>
      <c r="AT189" s="1097"/>
      <c r="AU189" s="1097"/>
      <c r="AV189" s="1097"/>
      <c r="AW189" s="1097"/>
      <c r="AX189" s="1097"/>
      <c r="AY189" s="1100"/>
      <c r="AZ189" s="257"/>
      <c r="BA189" s="257"/>
      <c r="BB189" s="1059" t="s">
        <v>162</v>
      </c>
      <c r="BC189" s="1060"/>
      <c r="BD189" s="1075" t="s">
        <v>159</v>
      </c>
      <c r="BE189" s="1075"/>
      <c r="BF189" s="1075"/>
      <c r="BG189" s="1076" t="s">
        <v>159</v>
      </c>
      <c r="BH189" s="1077"/>
      <c r="BI189" s="1077"/>
      <c r="BJ189" s="1078"/>
      <c r="BK189" s="1065"/>
      <c r="BL189" s="1066"/>
      <c r="BM189" s="1067"/>
      <c r="BN189" s="259"/>
      <c r="BO189" s="259"/>
      <c r="BP189" s="1076"/>
      <c r="BQ189" s="1077"/>
      <c r="BR189" s="1078"/>
      <c r="BS189" s="1075" t="s">
        <v>159</v>
      </c>
      <c r="BT189" s="1075"/>
      <c r="BU189" s="1075"/>
    </row>
    <row r="190" spans="1:73" ht="30" customHeight="1" x14ac:dyDescent="0.25">
      <c r="A190" s="199">
        <f t="shared" si="2"/>
        <v>176</v>
      </c>
      <c r="B190" s="1081" t="s">
        <v>162</v>
      </c>
      <c r="C190" s="1082"/>
      <c r="D190" s="1083" t="s">
        <v>159</v>
      </c>
      <c r="E190" s="1084"/>
      <c r="F190" s="1084"/>
      <c r="G190" s="1085"/>
      <c r="H190" s="1086" t="s">
        <v>159</v>
      </c>
      <c r="I190" s="1087"/>
      <c r="J190" s="1087"/>
      <c r="K190" s="1088"/>
      <c r="L190" s="1089" t="s">
        <v>159</v>
      </c>
      <c r="M190" s="1090"/>
      <c r="N190" s="1091"/>
      <c r="O190" s="1092" t="s">
        <v>159</v>
      </c>
      <c r="P190" s="1093"/>
      <c r="Q190" s="1094"/>
      <c r="R190" s="812"/>
      <c r="S190" s="1095"/>
      <c r="T190" s="813"/>
      <c r="U190" s="745"/>
      <c r="V190" s="940"/>
      <c r="W190" s="746"/>
      <c r="X190" s="312"/>
      <c r="Y190" s="308"/>
      <c r="Z190" s="312"/>
      <c r="AA190" s="308"/>
      <c r="AB190" s="312"/>
      <c r="AC190" s="308"/>
      <c r="AD190" s="312"/>
      <c r="AE190" s="308"/>
      <c r="AF190" s="312"/>
      <c r="AG190" s="308"/>
      <c r="AH190" s="312"/>
      <c r="AI190" s="308"/>
      <c r="AJ190" s="117"/>
      <c r="AK190" s="330"/>
      <c r="AL190" s="117"/>
      <c r="AM190" s="330"/>
      <c r="AN190" s="117"/>
      <c r="AO190" s="330"/>
      <c r="AP190" s="117"/>
      <c r="AQ190" s="330"/>
      <c r="AR190" s="117"/>
      <c r="AS190" s="1096" t="s">
        <v>159</v>
      </c>
      <c r="AT190" s="1097"/>
      <c r="AU190" s="1097"/>
      <c r="AV190" s="1097"/>
      <c r="AW190" s="1097"/>
      <c r="AX190" s="1097"/>
      <c r="AY190" s="1100"/>
      <c r="AZ190" s="296"/>
      <c r="BA190" s="296"/>
      <c r="BB190" s="1059" t="s">
        <v>162</v>
      </c>
      <c r="BC190" s="1060"/>
      <c r="BD190" s="1068" t="s">
        <v>159</v>
      </c>
      <c r="BE190" s="1068"/>
      <c r="BF190" s="1068"/>
      <c r="BG190" s="1069" t="s">
        <v>159</v>
      </c>
      <c r="BH190" s="1070"/>
      <c r="BI190" s="1070"/>
      <c r="BJ190" s="1071"/>
      <c r="BK190" s="1072"/>
      <c r="BL190" s="1073"/>
      <c r="BM190" s="1074"/>
      <c r="BN190" s="297"/>
      <c r="BO190" s="297"/>
      <c r="BP190" s="1069"/>
      <c r="BQ190" s="1070"/>
      <c r="BR190" s="1071"/>
      <c r="BS190" s="1068" t="s">
        <v>159</v>
      </c>
      <c r="BT190" s="1068"/>
      <c r="BU190" s="1068"/>
    </row>
    <row r="191" spans="1:73" ht="30" customHeight="1" x14ac:dyDescent="0.25">
      <c r="A191" s="199">
        <f t="shared" si="2"/>
        <v>177</v>
      </c>
      <c r="B191" s="1081" t="s">
        <v>162</v>
      </c>
      <c r="C191" s="1082"/>
      <c r="D191" s="1083" t="s">
        <v>159</v>
      </c>
      <c r="E191" s="1084"/>
      <c r="F191" s="1084"/>
      <c r="G191" s="1085"/>
      <c r="H191" s="1086" t="s">
        <v>159</v>
      </c>
      <c r="I191" s="1087"/>
      <c r="J191" s="1087"/>
      <c r="K191" s="1088"/>
      <c r="L191" s="1089" t="s">
        <v>159</v>
      </c>
      <c r="M191" s="1090"/>
      <c r="N191" s="1091"/>
      <c r="O191" s="1092" t="s">
        <v>159</v>
      </c>
      <c r="P191" s="1093"/>
      <c r="Q191" s="1094"/>
      <c r="R191" s="812"/>
      <c r="S191" s="1095"/>
      <c r="T191" s="813"/>
      <c r="U191" s="745"/>
      <c r="V191" s="940"/>
      <c r="W191" s="746"/>
      <c r="X191" s="312"/>
      <c r="Y191" s="308"/>
      <c r="Z191" s="312"/>
      <c r="AA191" s="308"/>
      <c r="AB191" s="312"/>
      <c r="AC191" s="308"/>
      <c r="AD191" s="312"/>
      <c r="AE191" s="308"/>
      <c r="AF191" s="312"/>
      <c r="AG191" s="308"/>
      <c r="AH191" s="312"/>
      <c r="AI191" s="308"/>
      <c r="AJ191" s="117"/>
      <c r="AK191" s="330"/>
      <c r="AL191" s="117"/>
      <c r="AM191" s="330"/>
      <c r="AN191" s="117"/>
      <c r="AO191" s="330"/>
      <c r="AP191" s="117"/>
      <c r="AQ191" s="330"/>
      <c r="AR191" s="117"/>
      <c r="AS191" s="1096" t="s">
        <v>159</v>
      </c>
      <c r="AT191" s="1097"/>
      <c r="AU191" s="1097"/>
      <c r="AV191" s="1097"/>
      <c r="AW191" s="1097"/>
      <c r="AX191" s="1097"/>
      <c r="AY191" s="1100"/>
      <c r="AZ191" s="257"/>
      <c r="BA191" s="257"/>
      <c r="BB191" s="1059" t="s">
        <v>162</v>
      </c>
      <c r="BC191" s="1060"/>
      <c r="BD191" s="1075" t="s">
        <v>159</v>
      </c>
      <c r="BE191" s="1075"/>
      <c r="BF191" s="1075"/>
      <c r="BG191" s="1076" t="s">
        <v>159</v>
      </c>
      <c r="BH191" s="1077"/>
      <c r="BI191" s="1077"/>
      <c r="BJ191" s="1078"/>
      <c r="BK191" s="1065"/>
      <c r="BL191" s="1066"/>
      <c r="BM191" s="1067"/>
      <c r="BN191" s="259"/>
      <c r="BO191" s="259"/>
      <c r="BP191" s="1076"/>
      <c r="BQ191" s="1077"/>
      <c r="BR191" s="1078"/>
      <c r="BS191" s="1075" t="s">
        <v>159</v>
      </c>
      <c r="BT191" s="1075"/>
      <c r="BU191" s="1075"/>
    </row>
    <row r="192" spans="1:73" ht="30" customHeight="1" x14ac:dyDescent="0.25">
      <c r="A192" s="199">
        <f t="shared" si="2"/>
        <v>178</v>
      </c>
      <c r="B192" s="1081" t="s">
        <v>162</v>
      </c>
      <c r="C192" s="1082"/>
      <c r="D192" s="1083" t="s">
        <v>159</v>
      </c>
      <c r="E192" s="1084"/>
      <c r="F192" s="1084"/>
      <c r="G192" s="1085"/>
      <c r="H192" s="1086" t="s">
        <v>159</v>
      </c>
      <c r="I192" s="1087"/>
      <c r="J192" s="1087"/>
      <c r="K192" s="1088"/>
      <c r="L192" s="1089" t="s">
        <v>159</v>
      </c>
      <c r="M192" s="1090"/>
      <c r="N192" s="1091"/>
      <c r="O192" s="1092" t="s">
        <v>159</v>
      </c>
      <c r="P192" s="1093"/>
      <c r="Q192" s="1094"/>
      <c r="R192" s="812"/>
      <c r="S192" s="1095"/>
      <c r="T192" s="813"/>
      <c r="U192" s="745"/>
      <c r="V192" s="940"/>
      <c r="W192" s="746"/>
      <c r="X192" s="312"/>
      <c r="Y192" s="308"/>
      <c r="Z192" s="312"/>
      <c r="AA192" s="308"/>
      <c r="AB192" s="312"/>
      <c r="AC192" s="308"/>
      <c r="AD192" s="312"/>
      <c r="AE192" s="308"/>
      <c r="AF192" s="312"/>
      <c r="AG192" s="308"/>
      <c r="AH192" s="312"/>
      <c r="AI192" s="308"/>
      <c r="AJ192" s="117"/>
      <c r="AK192" s="330"/>
      <c r="AL192" s="117"/>
      <c r="AM192" s="330"/>
      <c r="AN192" s="117"/>
      <c r="AO192" s="330"/>
      <c r="AP192" s="117"/>
      <c r="AQ192" s="330"/>
      <c r="AR192" s="117"/>
      <c r="AS192" s="1096" t="s">
        <v>159</v>
      </c>
      <c r="AT192" s="1097"/>
      <c r="AU192" s="1097"/>
      <c r="AV192" s="1097"/>
      <c r="AW192" s="1097"/>
      <c r="AX192" s="1097"/>
      <c r="AY192" s="1100"/>
      <c r="AZ192" s="257"/>
      <c r="BA192" s="257"/>
      <c r="BB192" s="1059" t="s">
        <v>162</v>
      </c>
      <c r="BC192" s="1060"/>
      <c r="BD192" s="1075" t="s">
        <v>159</v>
      </c>
      <c r="BE192" s="1075"/>
      <c r="BF192" s="1075"/>
      <c r="BG192" s="1076" t="s">
        <v>159</v>
      </c>
      <c r="BH192" s="1077"/>
      <c r="BI192" s="1077"/>
      <c r="BJ192" s="1078"/>
      <c r="BK192" s="1065"/>
      <c r="BL192" s="1066"/>
      <c r="BM192" s="1067"/>
      <c r="BN192" s="259"/>
      <c r="BO192" s="259"/>
      <c r="BP192" s="1076"/>
      <c r="BQ192" s="1077"/>
      <c r="BR192" s="1078"/>
      <c r="BS192" s="1075" t="s">
        <v>159</v>
      </c>
      <c r="BT192" s="1075"/>
      <c r="BU192" s="1075"/>
    </row>
    <row r="193" spans="1:73" ht="30" customHeight="1" x14ac:dyDescent="0.25">
      <c r="A193" s="199">
        <f t="shared" si="2"/>
        <v>179</v>
      </c>
      <c r="B193" s="1081" t="s">
        <v>162</v>
      </c>
      <c r="C193" s="1082"/>
      <c r="D193" s="1083" t="s">
        <v>159</v>
      </c>
      <c r="E193" s="1084"/>
      <c r="F193" s="1084"/>
      <c r="G193" s="1085"/>
      <c r="H193" s="1086" t="s">
        <v>159</v>
      </c>
      <c r="I193" s="1087"/>
      <c r="J193" s="1087"/>
      <c r="K193" s="1088"/>
      <c r="L193" s="1089" t="s">
        <v>159</v>
      </c>
      <c r="M193" s="1090"/>
      <c r="N193" s="1091"/>
      <c r="O193" s="1092" t="s">
        <v>159</v>
      </c>
      <c r="P193" s="1093"/>
      <c r="Q193" s="1094"/>
      <c r="R193" s="812"/>
      <c r="S193" s="1095"/>
      <c r="T193" s="813"/>
      <c r="U193" s="745"/>
      <c r="V193" s="940"/>
      <c r="W193" s="746"/>
      <c r="X193" s="312"/>
      <c r="Y193" s="308"/>
      <c r="Z193" s="312"/>
      <c r="AA193" s="308"/>
      <c r="AB193" s="312"/>
      <c r="AC193" s="308"/>
      <c r="AD193" s="312"/>
      <c r="AE193" s="308"/>
      <c r="AF193" s="312"/>
      <c r="AG193" s="308"/>
      <c r="AH193" s="312"/>
      <c r="AI193" s="308"/>
      <c r="AJ193" s="117"/>
      <c r="AK193" s="330"/>
      <c r="AL193" s="117"/>
      <c r="AM193" s="330"/>
      <c r="AN193" s="117"/>
      <c r="AO193" s="330"/>
      <c r="AP193" s="117"/>
      <c r="AQ193" s="330"/>
      <c r="AR193" s="117"/>
      <c r="AS193" s="1096" t="s">
        <v>159</v>
      </c>
      <c r="AT193" s="1097"/>
      <c r="AU193" s="1097"/>
      <c r="AV193" s="1097"/>
      <c r="AW193" s="1097"/>
      <c r="AX193" s="1097"/>
      <c r="AY193" s="1100"/>
      <c r="AZ193" s="257"/>
      <c r="BA193" s="257"/>
      <c r="BB193" s="1059" t="s">
        <v>162</v>
      </c>
      <c r="BC193" s="1060"/>
      <c r="BD193" s="1075" t="s">
        <v>159</v>
      </c>
      <c r="BE193" s="1075"/>
      <c r="BF193" s="1075"/>
      <c r="BG193" s="1076" t="s">
        <v>159</v>
      </c>
      <c r="BH193" s="1077"/>
      <c r="BI193" s="1077"/>
      <c r="BJ193" s="1078"/>
      <c r="BK193" s="1065"/>
      <c r="BL193" s="1066"/>
      <c r="BM193" s="1067"/>
      <c r="BN193" s="259"/>
      <c r="BO193" s="259"/>
      <c r="BP193" s="1076"/>
      <c r="BQ193" s="1077"/>
      <c r="BR193" s="1078"/>
      <c r="BS193" s="1075" t="s">
        <v>159</v>
      </c>
      <c r="BT193" s="1075"/>
      <c r="BU193" s="1075"/>
    </row>
    <row r="194" spans="1:73" ht="30" customHeight="1" x14ac:dyDescent="0.25">
      <c r="A194" s="199">
        <f t="shared" si="2"/>
        <v>180</v>
      </c>
      <c r="B194" s="1081" t="s">
        <v>162</v>
      </c>
      <c r="C194" s="1082"/>
      <c r="D194" s="1083" t="s">
        <v>159</v>
      </c>
      <c r="E194" s="1084"/>
      <c r="F194" s="1084"/>
      <c r="G194" s="1085"/>
      <c r="H194" s="1086" t="s">
        <v>159</v>
      </c>
      <c r="I194" s="1087"/>
      <c r="J194" s="1087"/>
      <c r="K194" s="1088"/>
      <c r="L194" s="1089" t="s">
        <v>159</v>
      </c>
      <c r="M194" s="1090"/>
      <c r="N194" s="1091"/>
      <c r="O194" s="1092" t="s">
        <v>159</v>
      </c>
      <c r="P194" s="1093"/>
      <c r="Q194" s="1094"/>
      <c r="R194" s="812"/>
      <c r="S194" s="1095"/>
      <c r="T194" s="813"/>
      <c r="U194" s="745"/>
      <c r="V194" s="940"/>
      <c r="W194" s="746"/>
      <c r="X194" s="312"/>
      <c r="Y194" s="308"/>
      <c r="Z194" s="312"/>
      <c r="AA194" s="308"/>
      <c r="AB194" s="312"/>
      <c r="AC194" s="308"/>
      <c r="AD194" s="312"/>
      <c r="AE194" s="308"/>
      <c r="AF194" s="312"/>
      <c r="AG194" s="308"/>
      <c r="AH194" s="312"/>
      <c r="AI194" s="308"/>
      <c r="AJ194" s="117"/>
      <c r="AK194" s="330"/>
      <c r="AL194" s="117"/>
      <c r="AM194" s="330"/>
      <c r="AN194" s="117"/>
      <c r="AO194" s="330"/>
      <c r="AP194" s="117"/>
      <c r="AQ194" s="330"/>
      <c r="AR194" s="117"/>
      <c r="AS194" s="1096" t="s">
        <v>159</v>
      </c>
      <c r="AT194" s="1097"/>
      <c r="AU194" s="1097"/>
      <c r="AV194" s="1097"/>
      <c r="AW194" s="1097"/>
      <c r="AX194" s="1097"/>
      <c r="AY194" s="1100"/>
      <c r="AZ194" s="257"/>
      <c r="BA194" s="257"/>
      <c r="BB194" s="1059" t="s">
        <v>162</v>
      </c>
      <c r="BC194" s="1060"/>
      <c r="BD194" s="1075" t="s">
        <v>159</v>
      </c>
      <c r="BE194" s="1075"/>
      <c r="BF194" s="1075"/>
      <c r="BG194" s="1076" t="s">
        <v>159</v>
      </c>
      <c r="BH194" s="1077"/>
      <c r="BI194" s="1077"/>
      <c r="BJ194" s="1078"/>
      <c r="BK194" s="1065"/>
      <c r="BL194" s="1066"/>
      <c r="BM194" s="1067"/>
      <c r="BN194" s="259"/>
      <c r="BO194" s="259"/>
      <c r="BP194" s="1076"/>
      <c r="BQ194" s="1077"/>
      <c r="BR194" s="1078"/>
      <c r="BS194" s="1075" t="s">
        <v>159</v>
      </c>
      <c r="BT194" s="1075"/>
      <c r="BU194" s="1075"/>
    </row>
    <row r="195" spans="1:73" ht="30" customHeight="1" x14ac:dyDescent="0.25">
      <c r="A195" s="199">
        <f t="shared" si="2"/>
        <v>181</v>
      </c>
      <c r="B195" s="1081" t="s">
        <v>162</v>
      </c>
      <c r="C195" s="1082"/>
      <c r="D195" s="1083" t="s">
        <v>159</v>
      </c>
      <c r="E195" s="1084"/>
      <c r="F195" s="1084"/>
      <c r="G195" s="1085"/>
      <c r="H195" s="1086" t="s">
        <v>159</v>
      </c>
      <c r="I195" s="1087"/>
      <c r="J195" s="1087"/>
      <c r="K195" s="1088"/>
      <c r="L195" s="1089" t="s">
        <v>159</v>
      </c>
      <c r="M195" s="1090"/>
      <c r="N195" s="1091"/>
      <c r="O195" s="1092" t="s">
        <v>159</v>
      </c>
      <c r="P195" s="1093"/>
      <c r="Q195" s="1094"/>
      <c r="R195" s="812"/>
      <c r="S195" s="1095"/>
      <c r="T195" s="813"/>
      <c r="U195" s="745"/>
      <c r="V195" s="940"/>
      <c r="W195" s="746"/>
      <c r="X195" s="312"/>
      <c r="Y195" s="308"/>
      <c r="Z195" s="312"/>
      <c r="AA195" s="308"/>
      <c r="AB195" s="312"/>
      <c r="AC195" s="308"/>
      <c r="AD195" s="312"/>
      <c r="AE195" s="308"/>
      <c r="AF195" s="312"/>
      <c r="AG195" s="308"/>
      <c r="AH195" s="312"/>
      <c r="AI195" s="308"/>
      <c r="AJ195" s="117"/>
      <c r="AK195" s="330"/>
      <c r="AL195" s="117"/>
      <c r="AM195" s="330"/>
      <c r="AN195" s="117"/>
      <c r="AO195" s="330"/>
      <c r="AP195" s="117"/>
      <c r="AQ195" s="330"/>
      <c r="AR195" s="117"/>
      <c r="AS195" s="1096" t="s">
        <v>159</v>
      </c>
      <c r="AT195" s="1097"/>
      <c r="AU195" s="1097"/>
      <c r="AV195" s="1097"/>
      <c r="AW195" s="1097"/>
      <c r="AX195" s="1097"/>
      <c r="AY195" s="1100"/>
      <c r="AZ195" s="257"/>
      <c r="BA195" s="257"/>
      <c r="BB195" s="1059" t="s">
        <v>162</v>
      </c>
      <c r="BC195" s="1060"/>
      <c r="BD195" s="1075" t="s">
        <v>159</v>
      </c>
      <c r="BE195" s="1075"/>
      <c r="BF195" s="1075"/>
      <c r="BG195" s="1076" t="s">
        <v>159</v>
      </c>
      <c r="BH195" s="1077"/>
      <c r="BI195" s="1077"/>
      <c r="BJ195" s="1078"/>
      <c r="BK195" s="1065"/>
      <c r="BL195" s="1066"/>
      <c r="BM195" s="1067"/>
      <c r="BN195" s="259"/>
      <c r="BO195" s="259"/>
      <c r="BP195" s="1076"/>
      <c r="BQ195" s="1077"/>
      <c r="BR195" s="1078"/>
      <c r="BS195" s="1075" t="s">
        <v>159</v>
      </c>
      <c r="BT195" s="1075"/>
      <c r="BU195" s="1075"/>
    </row>
    <row r="196" spans="1:73" ht="30" customHeight="1" x14ac:dyDescent="0.25">
      <c r="A196" s="199">
        <f t="shared" si="2"/>
        <v>182</v>
      </c>
      <c r="B196" s="1081" t="s">
        <v>162</v>
      </c>
      <c r="C196" s="1082"/>
      <c r="D196" s="1083" t="s">
        <v>159</v>
      </c>
      <c r="E196" s="1084"/>
      <c r="F196" s="1084"/>
      <c r="G196" s="1085"/>
      <c r="H196" s="1086" t="s">
        <v>159</v>
      </c>
      <c r="I196" s="1087"/>
      <c r="J196" s="1087"/>
      <c r="K196" s="1088"/>
      <c r="L196" s="1089" t="s">
        <v>159</v>
      </c>
      <c r="M196" s="1090"/>
      <c r="N196" s="1091"/>
      <c r="O196" s="1092" t="s">
        <v>159</v>
      </c>
      <c r="P196" s="1093"/>
      <c r="Q196" s="1094"/>
      <c r="R196" s="812"/>
      <c r="S196" s="1095"/>
      <c r="T196" s="813"/>
      <c r="U196" s="745"/>
      <c r="V196" s="940"/>
      <c r="W196" s="746"/>
      <c r="X196" s="312"/>
      <c r="Y196" s="308"/>
      <c r="Z196" s="312"/>
      <c r="AA196" s="308"/>
      <c r="AB196" s="312"/>
      <c r="AC196" s="308"/>
      <c r="AD196" s="312"/>
      <c r="AE196" s="308"/>
      <c r="AF196" s="312"/>
      <c r="AG196" s="308"/>
      <c r="AH196" s="312"/>
      <c r="AI196" s="308"/>
      <c r="AJ196" s="117"/>
      <c r="AK196" s="330"/>
      <c r="AL196" s="117"/>
      <c r="AM196" s="330"/>
      <c r="AN196" s="117"/>
      <c r="AO196" s="330"/>
      <c r="AP196" s="117"/>
      <c r="AQ196" s="330"/>
      <c r="AR196" s="117"/>
      <c r="AS196" s="1096" t="s">
        <v>159</v>
      </c>
      <c r="AT196" s="1097"/>
      <c r="AU196" s="1097"/>
      <c r="AV196" s="1097"/>
      <c r="AW196" s="1097"/>
      <c r="AX196" s="1097"/>
      <c r="AY196" s="1100"/>
      <c r="AZ196" s="257"/>
      <c r="BA196" s="257"/>
      <c r="BB196" s="1059" t="s">
        <v>162</v>
      </c>
      <c r="BC196" s="1060"/>
      <c r="BD196" s="1075" t="s">
        <v>159</v>
      </c>
      <c r="BE196" s="1075"/>
      <c r="BF196" s="1075"/>
      <c r="BG196" s="1076" t="s">
        <v>159</v>
      </c>
      <c r="BH196" s="1077"/>
      <c r="BI196" s="1077"/>
      <c r="BJ196" s="1078"/>
      <c r="BK196" s="1065"/>
      <c r="BL196" s="1066"/>
      <c r="BM196" s="1067"/>
      <c r="BN196" s="259"/>
      <c r="BO196" s="259"/>
      <c r="BP196" s="1076"/>
      <c r="BQ196" s="1077"/>
      <c r="BR196" s="1078"/>
      <c r="BS196" s="1075" t="s">
        <v>159</v>
      </c>
      <c r="BT196" s="1075"/>
      <c r="BU196" s="1075"/>
    </row>
    <row r="197" spans="1:73" ht="30" customHeight="1" x14ac:dyDescent="0.25">
      <c r="A197" s="199">
        <f t="shared" si="2"/>
        <v>183</v>
      </c>
      <c r="B197" s="1081" t="s">
        <v>162</v>
      </c>
      <c r="C197" s="1082"/>
      <c r="D197" s="1083" t="s">
        <v>159</v>
      </c>
      <c r="E197" s="1084"/>
      <c r="F197" s="1084"/>
      <c r="G197" s="1085"/>
      <c r="H197" s="1086" t="s">
        <v>159</v>
      </c>
      <c r="I197" s="1087"/>
      <c r="J197" s="1087"/>
      <c r="K197" s="1088"/>
      <c r="L197" s="1089" t="s">
        <v>159</v>
      </c>
      <c r="M197" s="1090"/>
      <c r="N197" s="1091"/>
      <c r="O197" s="1092" t="s">
        <v>159</v>
      </c>
      <c r="P197" s="1093"/>
      <c r="Q197" s="1094"/>
      <c r="R197" s="812"/>
      <c r="S197" s="1095"/>
      <c r="T197" s="813"/>
      <c r="U197" s="745"/>
      <c r="V197" s="940"/>
      <c r="W197" s="746"/>
      <c r="X197" s="312"/>
      <c r="Y197" s="308"/>
      <c r="Z197" s="312"/>
      <c r="AA197" s="308"/>
      <c r="AB197" s="312"/>
      <c r="AC197" s="308"/>
      <c r="AD197" s="312"/>
      <c r="AE197" s="308"/>
      <c r="AF197" s="312"/>
      <c r="AG197" s="308"/>
      <c r="AH197" s="312"/>
      <c r="AI197" s="308"/>
      <c r="AJ197" s="117"/>
      <c r="AK197" s="330"/>
      <c r="AL197" s="117"/>
      <c r="AM197" s="330"/>
      <c r="AN197" s="117"/>
      <c r="AO197" s="330"/>
      <c r="AP197" s="117"/>
      <c r="AQ197" s="330"/>
      <c r="AR197" s="117"/>
      <c r="AS197" s="1096" t="s">
        <v>159</v>
      </c>
      <c r="AT197" s="1097"/>
      <c r="AU197" s="1097"/>
      <c r="AV197" s="1097"/>
      <c r="AW197" s="1097"/>
      <c r="AX197" s="1097"/>
      <c r="AY197" s="1100"/>
      <c r="AZ197" s="296"/>
      <c r="BA197" s="296"/>
      <c r="BB197" s="1059" t="s">
        <v>162</v>
      </c>
      <c r="BC197" s="1060"/>
      <c r="BD197" s="1068" t="s">
        <v>159</v>
      </c>
      <c r="BE197" s="1068"/>
      <c r="BF197" s="1068"/>
      <c r="BG197" s="1069" t="s">
        <v>159</v>
      </c>
      <c r="BH197" s="1070"/>
      <c r="BI197" s="1070"/>
      <c r="BJ197" s="1071"/>
      <c r="BK197" s="1072"/>
      <c r="BL197" s="1073"/>
      <c r="BM197" s="1074"/>
      <c r="BN197" s="297"/>
      <c r="BO197" s="297"/>
      <c r="BP197" s="1069"/>
      <c r="BQ197" s="1070"/>
      <c r="BR197" s="1071"/>
      <c r="BS197" s="1068" t="s">
        <v>159</v>
      </c>
      <c r="BT197" s="1068"/>
      <c r="BU197" s="1068"/>
    </row>
    <row r="198" spans="1:73" ht="30" customHeight="1" x14ac:dyDescent="0.25">
      <c r="A198" s="199">
        <f t="shared" si="2"/>
        <v>184</v>
      </c>
      <c r="B198" s="1081" t="s">
        <v>162</v>
      </c>
      <c r="C198" s="1082"/>
      <c r="D198" s="1083" t="s">
        <v>159</v>
      </c>
      <c r="E198" s="1084"/>
      <c r="F198" s="1084"/>
      <c r="G198" s="1085"/>
      <c r="H198" s="1086" t="s">
        <v>159</v>
      </c>
      <c r="I198" s="1087"/>
      <c r="J198" s="1087"/>
      <c r="K198" s="1088"/>
      <c r="L198" s="1089" t="s">
        <v>159</v>
      </c>
      <c r="M198" s="1090"/>
      <c r="N198" s="1091"/>
      <c r="O198" s="1092" t="s">
        <v>159</v>
      </c>
      <c r="P198" s="1093"/>
      <c r="Q198" s="1094"/>
      <c r="R198" s="812"/>
      <c r="S198" s="1095"/>
      <c r="T198" s="813"/>
      <c r="U198" s="745"/>
      <c r="V198" s="940"/>
      <c r="W198" s="746"/>
      <c r="X198" s="312"/>
      <c r="Y198" s="308"/>
      <c r="Z198" s="312"/>
      <c r="AA198" s="308"/>
      <c r="AB198" s="312"/>
      <c r="AC198" s="308"/>
      <c r="AD198" s="312"/>
      <c r="AE198" s="308"/>
      <c r="AF198" s="312"/>
      <c r="AG198" s="308"/>
      <c r="AH198" s="312"/>
      <c r="AI198" s="308"/>
      <c r="AJ198" s="117"/>
      <c r="AK198" s="330"/>
      <c r="AL198" s="117"/>
      <c r="AM198" s="330"/>
      <c r="AN198" s="117"/>
      <c r="AO198" s="330"/>
      <c r="AP198" s="117"/>
      <c r="AQ198" s="330"/>
      <c r="AR198" s="117"/>
      <c r="AS198" s="1096" t="s">
        <v>159</v>
      </c>
      <c r="AT198" s="1097"/>
      <c r="AU198" s="1097"/>
      <c r="AV198" s="1097"/>
      <c r="AW198" s="1097"/>
      <c r="AX198" s="1097"/>
      <c r="AY198" s="1100"/>
      <c r="AZ198" s="257"/>
      <c r="BA198" s="257"/>
      <c r="BB198" s="1059" t="s">
        <v>162</v>
      </c>
      <c r="BC198" s="1060"/>
      <c r="BD198" s="1075" t="s">
        <v>159</v>
      </c>
      <c r="BE198" s="1075"/>
      <c r="BF198" s="1075"/>
      <c r="BG198" s="1076" t="s">
        <v>159</v>
      </c>
      <c r="BH198" s="1077"/>
      <c r="BI198" s="1077"/>
      <c r="BJ198" s="1078"/>
      <c r="BK198" s="1065"/>
      <c r="BL198" s="1066"/>
      <c r="BM198" s="1067"/>
      <c r="BN198" s="259"/>
      <c r="BO198" s="259"/>
      <c r="BP198" s="1076"/>
      <c r="BQ198" s="1077"/>
      <c r="BR198" s="1078"/>
      <c r="BS198" s="1075" t="s">
        <v>159</v>
      </c>
      <c r="BT198" s="1075"/>
      <c r="BU198" s="1075"/>
    </row>
    <row r="199" spans="1:73" ht="30" customHeight="1" x14ac:dyDescent="0.25">
      <c r="A199" s="199">
        <f t="shared" si="2"/>
        <v>185</v>
      </c>
      <c r="B199" s="1081" t="s">
        <v>162</v>
      </c>
      <c r="C199" s="1082"/>
      <c r="D199" s="1083" t="s">
        <v>159</v>
      </c>
      <c r="E199" s="1084"/>
      <c r="F199" s="1084"/>
      <c r="G199" s="1085"/>
      <c r="H199" s="1086" t="s">
        <v>159</v>
      </c>
      <c r="I199" s="1087"/>
      <c r="J199" s="1087"/>
      <c r="K199" s="1088"/>
      <c r="L199" s="1089" t="s">
        <v>159</v>
      </c>
      <c r="M199" s="1090"/>
      <c r="N199" s="1091"/>
      <c r="O199" s="1092" t="s">
        <v>159</v>
      </c>
      <c r="P199" s="1093"/>
      <c r="Q199" s="1094"/>
      <c r="R199" s="812"/>
      <c r="S199" s="1095"/>
      <c r="T199" s="813"/>
      <c r="U199" s="745"/>
      <c r="V199" s="940"/>
      <c r="W199" s="746"/>
      <c r="X199" s="312"/>
      <c r="Y199" s="308"/>
      <c r="Z199" s="312"/>
      <c r="AA199" s="308"/>
      <c r="AB199" s="312"/>
      <c r="AC199" s="308"/>
      <c r="AD199" s="312"/>
      <c r="AE199" s="308"/>
      <c r="AF199" s="312"/>
      <c r="AG199" s="308"/>
      <c r="AH199" s="312"/>
      <c r="AI199" s="308"/>
      <c r="AJ199" s="117"/>
      <c r="AK199" s="330"/>
      <c r="AL199" s="117"/>
      <c r="AM199" s="330"/>
      <c r="AN199" s="117"/>
      <c r="AO199" s="330"/>
      <c r="AP199" s="117"/>
      <c r="AQ199" s="330"/>
      <c r="AR199" s="117"/>
      <c r="AS199" s="1096" t="s">
        <v>159</v>
      </c>
      <c r="AT199" s="1097"/>
      <c r="AU199" s="1097"/>
      <c r="AV199" s="1097"/>
      <c r="AW199" s="1097"/>
      <c r="AX199" s="1097"/>
      <c r="AY199" s="1100"/>
      <c r="AZ199" s="257"/>
      <c r="BA199" s="257"/>
      <c r="BB199" s="1059" t="s">
        <v>162</v>
      </c>
      <c r="BC199" s="1060"/>
      <c r="BD199" s="1075" t="s">
        <v>159</v>
      </c>
      <c r="BE199" s="1075"/>
      <c r="BF199" s="1075"/>
      <c r="BG199" s="1076" t="s">
        <v>159</v>
      </c>
      <c r="BH199" s="1077"/>
      <c r="BI199" s="1077"/>
      <c r="BJ199" s="1078"/>
      <c r="BK199" s="1065"/>
      <c r="BL199" s="1066"/>
      <c r="BM199" s="1067"/>
      <c r="BN199" s="259"/>
      <c r="BO199" s="259"/>
      <c r="BP199" s="1076"/>
      <c r="BQ199" s="1077"/>
      <c r="BR199" s="1078"/>
      <c r="BS199" s="1075" t="s">
        <v>159</v>
      </c>
      <c r="BT199" s="1075"/>
      <c r="BU199" s="1075"/>
    </row>
    <row r="200" spans="1:73" ht="30" customHeight="1" x14ac:dyDescent="0.25">
      <c r="A200" s="199">
        <f t="shared" si="2"/>
        <v>186</v>
      </c>
      <c r="B200" s="1081" t="s">
        <v>162</v>
      </c>
      <c r="C200" s="1082"/>
      <c r="D200" s="1083" t="s">
        <v>159</v>
      </c>
      <c r="E200" s="1084"/>
      <c r="F200" s="1084"/>
      <c r="G200" s="1085"/>
      <c r="H200" s="1086" t="s">
        <v>159</v>
      </c>
      <c r="I200" s="1087"/>
      <c r="J200" s="1087"/>
      <c r="K200" s="1088"/>
      <c r="L200" s="1089" t="s">
        <v>159</v>
      </c>
      <c r="M200" s="1090"/>
      <c r="N200" s="1091"/>
      <c r="O200" s="1092" t="s">
        <v>159</v>
      </c>
      <c r="P200" s="1093"/>
      <c r="Q200" s="1094"/>
      <c r="R200" s="812"/>
      <c r="S200" s="1095"/>
      <c r="T200" s="813"/>
      <c r="U200" s="745"/>
      <c r="V200" s="940"/>
      <c r="W200" s="746"/>
      <c r="X200" s="312"/>
      <c r="Y200" s="308"/>
      <c r="Z200" s="312"/>
      <c r="AA200" s="308"/>
      <c r="AB200" s="312"/>
      <c r="AC200" s="308"/>
      <c r="AD200" s="312"/>
      <c r="AE200" s="308"/>
      <c r="AF200" s="312"/>
      <c r="AG200" s="308"/>
      <c r="AH200" s="312"/>
      <c r="AI200" s="308"/>
      <c r="AJ200" s="117"/>
      <c r="AK200" s="330"/>
      <c r="AL200" s="117"/>
      <c r="AM200" s="330"/>
      <c r="AN200" s="117"/>
      <c r="AO200" s="330"/>
      <c r="AP200" s="117"/>
      <c r="AQ200" s="330"/>
      <c r="AR200" s="117"/>
      <c r="AS200" s="1096" t="s">
        <v>159</v>
      </c>
      <c r="AT200" s="1097"/>
      <c r="AU200" s="1097"/>
      <c r="AV200" s="1097"/>
      <c r="AW200" s="1097"/>
      <c r="AX200" s="1097"/>
      <c r="AY200" s="1100"/>
      <c r="AZ200" s="257"/>
      <c r="BA200" s="257"/>
      <c r="BB200" s="1059" t="s">
        <v>162</v>
      </c>
      <c r="BC200" s="1060"/>
      <c r="BD200" s="1075" t="s">
        <v>159</v>
      </c>
      <c r="BE200" s="1075"/>
      <c r="BF200" s="1075"/>
      <c r="BG200" s="1076" t="s">
        <v>159</v>
      </c>
      <c r="BH200" s="1077"/>
      <c r="BI200" s="1077"/>
      <c r="BJ200" s="1078"/>
      <c r="BK200" s="1065"/>
      <c r="BL200" s="1066"/>
      <c r="BM200" s="1067"/>
      <c r="BN200" s="259"/>
      <c r="BO200" s="259"/>
      <c r="BP200" s="1076"/>
      <c r="BQ200" s="1077"/>
      <c r="BR200" s="1078"/>
      <c r="BS200" s="1075" t="s">
        <v>159</v>
      </c>
      <c r="BT200" s="1075"/>
      <c r="BU200" s="1075"/>
    </row>
    <row r="201" spans="1:73" ht="30" customHeight="1" x14ac:dyDescent="0.25">
      <c r="A201" s="199">
        <f t="shared" si="2"/>
        <v>187</v>
      </c>
      <c r="B201" s="1081" t="s">
        <v>162</v>
      </c>
      <c r="C201" s="1082"/>
      <c r="D201" s="1083" t="s">
        <v>159</v>
      </c>
      <c r="E201" s="1084"/>
      <c r="F201" s="1084"/>
      <c r="G201" s="1085"/>
      <c r="H201" s="1086" t="s">
        <v>159</v>
      </c>
      <c r="I201" s="1087"/>
      <c r="J201" s="1087"/>
      <c r="K201" s="1088"/>
      <c r="L201" s="1089" t="s">
        <v>159</v>
      </c>
      <c r="M201" s="1090"/>
      <c r="N201" s="1091"/>
      <c r="O201" s="1092" t="s">
        <v>159</v>
      </c>
      <c r="P201" s="1093"/>
      <c r="Q201" s="1094"/>
      <c r="R201" s="812"/>
      <c r="S201" s="1095"/>
      <c r="T201" s="813"/>
      <c r="U201" s="745"/>
      <c r="V201" s="940"/>
      <c r="W201" s="746"/>
      <c r="X201" s="312"/>
      <c r="Y201" s="308"/>
      <c r="Z201" s="312"/>
      <c r="AA201" s="308"/>
      <c r="AB201" s="312"/>
      <c r="AC201" s="308"/>
      <c r="AD201" s="312"/>
      <c r="AE201" s="308"/>
      <c r="AF201" s="312"/>
      <c r="AG201" s="308"/>
      <c r="AH201" s="312"/>
      <c r="AI201" s="308"/>
      <c r="AJ201" s="117"/>
      <c r="AK201" s="330"/>
      <c r="AL201" s="117"/>
      <c r="AM201" s="330"/>
      <c r="AN201" s="117"/>
      <c r="AO201" s="330"/>
      <c r="AP201" s="117"/>
      <c r="AQ201" s="330"/>
      <c r="AR201" s="117"/>
      <c r="AS201" s="1096" t="s">
        <v>159</v>
      </c>
      <c r="AT201" s="1097"/>
      <c r="AU201" s="1097"/>
      <c r="AV201" s="1097"/>
      <c r="AW201" s="1097"/>
      <c r="AX201" s="1097"/>
      <c r="AY201" s="1100"/>
      <c r="AZ201" s="257"/>
      <c r="BA201" s="257"/>
      <c r="BB201" s="1059" t="s">
        <v>162</v>
      </c>
      <c r="BC201" s="1060"/>
      <c r="BD201" s="1075" t="s">
        <v>159</v>
      </c>
      <c r="BE201" s="1075"/>
      <c r="BF201" s="1075"/>
      <c r="BG201" s="1076" t="s">
        <v>159</v>
      </c>
      <c r="BH201" s="1077"/>
      <c r="BI201" s="1077"/>
      <c r="BJ201" s="1078"/>
      <c r="BK201" s="1065"/>
      <c r="BL201" s="1066"/>
      <c r="BM201" s="1067"/>
      <c r="BN201" s="259"/>
      <c r="BO201" s="259"/>
      <c r="BP201" s="1076"/>
      <c r="BQ201" s="1077"/>
      <c r="BR201" s="1078"/>
      <c r="BS201" s="1075" t="s">
        <v>159</v>
      </c>
      <c r="BT201" s="1075"/>
      <c r="BU201" s="1075"/>
    </row>
    <row r="202" spans="1:73" ht="30" customHeight="1" x14ac:dyDescent="0.25">
      <c r="A202" s="199">
        <f t="shared" si="2"/>
        <v>188</v>
      </c>
      <c r="B202" s="1081" t="s">
        <v>162</v>
      </c>
      <c r="C202" s="1082"/>
      <c r="D202" s="1083" t="s">
        <v>159</v>
      </c>
      <c r="E202" s="1084"/>
      <c r="F202" s="1084"/>
      <c r="G202" s="1085"/>
      <c r="H202" s="1086" t="s">
        <v>159</v>
      </c>
      <c r="I202" s="1087"/>
      <c r="J202" s="1087"/>
      <c r="K202" s="1088"/>
      <c r="L202" s="1089" t="s">
        <v>159</v>
      </c>
      <c r="M202" s="1090"/>
      <c r="N202" s="1091"/>
      <c r="O202" s="1092" t="s">
        <v>159</v>
      </c>
      <c r="P202" s="1093"/>
      <c r="Q202" s="1094"/>
      <c r="R202" s="812"/>
      <c r="S202" s="1095"/>
      <c r="T202" s="813"/>
      <c r="U202" s="745"/>
      <c r="V202" s="940"/>
      <c r="W202" s="746"/>
      <c r="X202" s="312"/>
      <c r="Y202" s="308"/>
      <c r="Z202" s="312"/>
      <c r="AA202" s="308"/>
      <c r="AB202" s="312"/>
      <c r="AC202" s="308"/>
      <c r="AD202" s="312"/>
      <c r="AE202" s="308"/>
      <c r="AF202" s="312"/>
      <c r="AG202" s="308"/>
      <c r="AH202" s="312"/>
      <c r="AI202" s="308"/>
      <c r="AJ202" s="117"/>
      <c r="AK202" s="330"/>
      <c r="AL202" s="117"/>
      <c r="AM202" s="330"/>
      <c r="AN202" s="117"/>
      <c r="AO202" s="330"/>
      <c r="AP202" s="117"/>
      <c r="AQ202" s="330"/>
      <c r="AR202" s="117"/>
      <c r="AS202" s="1096" t="s">
        <v>159</v>
      </c>
      <c r="AT202" s="1097"/>
      <c r="AU202" s="1097"/>
      <c r="AV202" s="1097"/>
      <c r="AW202" s="1097"/>
      <c r="AX202" s="1097"/>
      <c r="AY202" s="1100"/>
      <c r="AZ202" s="257"/>
      <c r="BA202" s="257"/>
      <c r="BB202" s="1059" t="s">
        <v>162</v>
      </c>
      <c r="BC202" s="1060"/>
      <c r="BD202" s="1075" t="s">
        <v>159</v>
      </c>
      <c r="BE202" s="1075"/>
      <c r="BF202" s="1075"/>
      <c r="BG202" s="1076" t="s">
        <v>159</v>
      </c>
      <c r="BH202" s="1077"/>
      <c r="BI202" s="1077"/>
      <c r="BJ202" s="1078"/>
      <c r="BK202" s="1065"/>
      <c r="BL202" s="1066"/>
      <c r="BM202" s="1067"/>
      <c r="BN202" s="259"/>
      <c r="BO202" s="259"/>
      <c r="BP202" s="1076"/>
      <c r="BQ202" s="1077"/>
      <c r="BR202" s="1078"/>
      <c r="BS202" s="1075" t="s">
        <v>159</v>
      </c>
      <c r="BT202" s="1075"/>
      <c r="BU202" s="1075"/>
    </row>
    <row r="203" spans="1:73" ht="30" customHeight="1" x14ac:dyDescent="0.25">
      <c r="A203" s="199">
        <f t="shared" si="2"/>
        <v>189</v>
      </c>
      <c r="B203" s="1081" t="s">
        <v>162</v>
      </c>
      <c r="C203" s="1082"/>
      <c r="D203" s="1083" t="s">
        <v>159</v>
      </c>
      <c r="E203" s="1084"/>
      <c r="F203" s="1084"/>
      <c r="G203" s="1085"/>
      <c r="H203" s="1086" t="s">
        <v>159</v>
      </c>
      <c r="I203" s="1087"/>
      <c r="J203" s="1087"/>
      <c r="K203" s="1088"/>
      <c r="L203" s="1089" t="s">
        <v>159</v>
      </c>
      <c r="M203" s="1090"/>
      <c r="N203" s="1091"/>
      <c r="O203" s="1092" t="s">
        <v>159</v>
      </c>
      <c r="P203" s="1093"/>
      <c r="Q203" s="1094"/>
      <c r="R203" s="812"/>
      <c r="S203" s="1095"/>
      <c r="T203" s="813"/>
      <c r="U203" s="745"/>
      <c r="V203" s="940"/>
      <c r="W203" s="746"/>
      <c r="X203" s="312"/>
      <c r="Y203" s="308"/>
      <c r="Z203" s="312"/>
      <c r="AA203" s="308"/>
      <c r="AB203" s="312"/>
      <c r="AC203" s="308"/>
      <c r="AD203" s="312"/>
      <c r="AE203" s="308"/>
      <c r="AF203" s="312"/>
      <c r="AG203" s="308"/>
      <c r="AH203" s="312"/>
      <c r="AI203" s="308"/>
      <c r="AJ203" s="117"/>
      <c r="AK203" s="330"/>
      <c r="AL203" s="117"/>
      <c r="AM203" s="330"/>
      <c r="AN203" s="117"/>
      <c r="AO203" s="330"/>
      <c r="AP203" s="117"/>
      <c r="AQ203" s="330"/>
      <c r="AR203" s="117"/>
      <c r="AS203" s="1096" t="s">
        <v>159</v>
      </c>
      <c r="AT203" s="1097"/>
      <c r="AU203" s="1097"/>
      <c r="AV203" s="1097"/>
      <c r="AW203" s="1097"/>
      <c r="AX203" s="1097"/>
      <c r="AY203" s="1100"/>
      <c r="AZ203" s="257"/>
      <c r="BA203" s="257"/>
      <c r="BB203" s="1059" t="s">
        <v>162</v>
      </c>
      <c r="BC203" s="1060"/>
      <c r="BD203" s="1075" t="s">
        <v>159</v>
      </c>
      <c r="BE203" s="1075"/>
      <c r="BF203" s="1075"/>
      <c r="BG203" s="1076" t="s">
        <v>159</v>
      </c>
      <c r="BH203" s="1077"/>
      <c r="BI203" s="1077"/>
      <c r="BJ203" s="1078"/>
      <c r="BK203" s="1065"/>
      <c r="BL203" s="1066"/>
      <c r="BM203" s="1067"/>
      <c r="BN203" s="259"/>
      <c r="BO203" s="259"/>
      <c r="BP203" s="1076"/>
      <c r="BQ203" s="1077"/>
      <c r="BR203" s="1078"/>
      <c r="BS203" s="1075" t="s">
        <v>159</v>
      </c>
      <c r="BT203" s="1075"/>
      <c r="BU203" s="1075"/>
    </row>
    <row r="204" spans="1:73" ht="30" customHeight="1" x14ac:dyDescent="0.25">
      <c r="A204" s="199">
        <f t="shared" si="2"/>
        <v>190</v>
      </c>
      <c r="B204" s="1081" t="s">
        <v>162</v>
      </c>
      <c r="C204" s="1082"/>
      <c r="D204" s="1083" t="s">
        <v>159</v>
      </c>
      <c r="E204" s="1084"/>
      <c r="F204" s="1084"/>
      <c r="G204" s="1085"/>
      <c r="H204" s="1086" t="s">
        <v>159</v>
      </c>
      <c r="I204" s="1087"/>
      <c r="J204" s="1087"/>
      <c r="K204" s="1088"/>
      <c r="L204" s="1089" t="s">
        <v>159</v>
      </c>
      <c r="M204" s="1090"/>
      <c r="N204" s="1091"/>
      <c r="O204" s="1092" t="s">
        <v>159</v>
      </c>
      <c r="P204" s="1093"/>
      <c r="Q204" s="1094"/>
      <c r="R204" s="812"/>
      <c r="S204" s="1095"/>
      <c r="T204" s="813"/>
      <c r="U204" s="745"/>
      <c r="V204" s="940"/>
      <c r="W204" s="746"/>
      <c r="X204" s="312"/>
      <c r="Y204" s="308"/>
      <c r="Z204" s="312"/>
      <c r="AA204" s="308"/>
      <c r="AB204" s="312"/>
      <c r="AC204" s="308"/>
      <c r="AD204" s="312"/>
      <c r="AE204" s="308"/>
      <c r="AF204" s="312"/>
      <c r="AG204" s="308"/>
      <c r="AH204" s="312"/>
      <c r="AI204" s="308"/>
      <c r="AJ204" s="117"/>
      <c r="AK204" s="330"/>
      <c r="AL204" s="117"/>
      <c r="AM204" s="330"/>
      <c r="AN204" s="117"/>
      <c r="AO204" s="330"/>
      <c r="AP204" s="117"/>
      <c r="AQ204" s="330"/>
      <c r="AR204" s="117"/>
      <c r="AS204" s="1096" t="s">
        <v>159</v>
      </c>
      <c r="AT204" s="1097"/>
      <c r="AU204" s="1097"/>
      <c r="AV204" s="1097"/>
      <c r="AW204" s="1097"/>
      <c r="AX204" s="1097"/>
      <c r="AY204" s="1100"/>
      <c r="AZ204" s="257"/>
      <c r="BA204" s="257"/>
      <c r="BB204" s="1079" t="s">
        <v>162</v>
      </c>
      <c r="BC204" s="1080"/>
      <c r="BD204" s="1075" t="s">
        <v>159</v>
      </c>
      <c r="BE204" s="1075"/>
      <c r="BF204" s="1075"/>
      <c r="BG204" s="1076" t="s">
        <v>159</v>
      </c>
      <c r="BH204" s="1077"/>
      <c r="BI204" s="1077"/>
      <c r="BJ204" s="1078"/>
      <c r="BK204" s="1065"/>
      <c r="BL204" s="1066"/>
      <c r="BM204" s="1067"/>
      <c r="BN204" s="259"/>
      <c r="BO204" s="259"/>
      <c r="BP204" s="1076"/>
      <c r="BQ204" s="1077"/>
      <c r="BR204" s="1078"/>
      <c r="BS204" s="1075" t="s">
        <v>159</v>
      </c>
      <c r="BT204" s="1075"/>
      <c r="BU204" s="1075"/>
    </row>
    <row r="205" spans="1:73" ht="30" customHeight="1" x14ac:dyDescent="0.25">
      <c r="A205" s="199">
        <f t="shared" si="2"/>
        <v>191</v>
      </c>
      <c r="B205" s="1081" t="s">
        <v>162</v>
      </c>
      <c r="C205" s="1082"/>
      <c r="D205" s="1083" t="s">
        <v>159</v>
      </c>
      <c r="E205" s="1084"/>
      <c r="F205" s="1084"/>
      <c r="G205" s="1085"/>
      <c r="H205" s="1086" t="s">
        <v>159</v>
      </c>
      <c r="I205" s="1087"/>
      <c r="J205" s="1087"/>
      <c r="K205" s="1088"/>
      <c r="L205" s="1089" t="s">
        <v>159</v>
      </c>
      <c r="M205" s="1090"/>
      <c r="N205" s="1091"/>
      <c r="O205" s="1092" t="s">
        <v>159</v>
      </c>
      <c r="P205" s="1093"/>
      <c r="Q205" s="1094"/>
      <c r="R205" s="812"/>
      <c r="S205" s="1095"/>
      <c r="T205" s="813"/>
      <c r="U205" s="745"/>
      <c r="V205" s="940"/>
      <c r="W205" s="746"/>
      <c r="X205" s="312"/>
      <c r="Y205" s="308"/>
      <c r="Z205" s="312"/>
      <c r="AA205" s="308"/>
      <c r="AB205" s="312"/>
      <c r="AC205" s="308"/>
      <c r="AD205" s="312"/>
      <c r="AE205" s="308"/>
      <c r="AF205" s="312"/>
      <c r="AG205" s="308"/>
      <c r="AH205" s="312"/>
      <c r="AI205" s="308"/>
      <c r="AJ205" s="117"/>
      <c r="AK205" s="330"/>
      <c r="AL205" s="117"/>
      <c r="AM205" s="330"/>
      <c r="AN205" s="117"/>
      <c r="AO205" s="330"/>
      <c r="AP205" s="117"/>
      <c r="AQ205" s="330"/>
      <c r="AR205" s="117"/>
      <c r="AS205" s="1096" t="s">
        <v>159</v>
      </c>
      <c r="AT205" s="1097"/>
      <c r="AU205" s="1097"/>
      <c r="AV205" s="1097"/>
      <c r="AW205" s="1097"/>
      <c r="AX205" s="1097"/>
      <c r="AY205" s="1100"/>
      <c r="AZ205" s="257"/>
      <c r="BA205" s="257"/>
      <c r="BB205" s="1059" t="s">
        <v>162</v>
      </c>
      <c r="BC205" s="1060"/>
      <c r="BD205" s="1075" t="s">
        <v>159</v>
      </c>
      <c r="BE205" s="1075"/>
      <c r="BF205" s="1075"/>
      <c r="BG205" s="1076" t="s">
        <v>159</v>
      </c>
      <c r="BH205" s="1077"/>
      <c r="BI205" s="1077"/>
      <c r="BJ205" s="1078"/>
      <c r="BK205" s="1065"/>
      <c r="BL205" s="1066"/>
      <c r="BM205" s="1067"/>
      <c r="BN205" s="259"/>
      <c r="BO205" s="259"/>
      <c r="BP205" s="1076"/>
      <c r="BQ205" s="1077"/>
      <c r="BR205" s="1078"/>
      <c r="BS205" s="1075" t="s">
        <v>159</v>
      </c>
      <c r="BT205" s="1075"/>
      <c r="BU205" s="1075"/>
    </row>
    <row r="206" spans="1:73" ht="30" customHeight="1" x14ac:dyDescent="0.25">
      <c r="A206" s="199">
        <f t="shared" si="2"/>
        <v>192</v>
      </c>
      <c r="B206" s="1081" t="s">
        <v>162</v>
      </c>
      <c r="C206" s="1082"/>
      <c r="D206" s="1083" t="s">
        <v>159</v>
      </c>
      <c r="E206" s="1084"/>
      <c r="F206" s="1084"/>
      <c r="G206" s="1085"/>
      <c r="H206" s="1086" t="s">
        <v>159</v>
      </c>
      <c r="I206" s="1087"/>
      <c r="J206" s="1087"/>
      <c r="K206" s="1088"/>
      <c r="L206" s="1089" t="s">
        <v>159</v>
      </c>
      <c r="M206" s="1090"/>
      <c r="N206" s="1091"/>
      <c r="O206" s="1092" t="s">
        <v>159</v>
      </c>
      <c r="P206" s="1093"/>
      <c r="Q206" s="1094"/>
      <c r="R206" s="812"/>
      <c r="S206" s="1095"/>
      <c r="T206" s="813"/>
      <c r="U206" s="745"/>
      <c r="V206" s="940"/>
      <c r="W206" s="746"/>
      <c r="X206" s="312"/>
      <c r="Y206" s="308"/>
      <c r="Z206" s="312"/>
      <c r="AA206" s="308"/>
      <c r="AB206" s="312"/>
      <c r="AC206" s="308"/>
      <c r="AD206" s="312"/>
      <c r="AE206" s="308"/>
      <c r="AF206" s="312"/>
      <c r="AG206" s="308"/>
      <c r="AH206" s="312"/>
      <c r="AI206" s="308"/>
      <c r="AJ206" s="117"/>
      <c r="AK206" s="330"/>
      <c r="AL206" s="117"/>
      <c r="AM206" s="330"/>
      <c r="AN206" s="117"/>
      <c r="AO206" s="330"/>
      <c r="AP206" s="117"/>
      <c r="AQ206" s="330"/>
      <c r="AR206" s="117"/>
      <c r="AS206" s="1096" t="s">
        <v>159</v>
      </c>
      <c r="AT206" s="1097"/>
      <c r="AU206" s="1097"/>
      <c r="AV206" s="1097"/>
      <c r="AW206" s="1097"/>
      <c r="AX206" s="1097"/>
      <c r="AY206" s="1100"/>
      <c r="AZ206" s="257"/>
      <c r="BA206" s="257"/>
      <c r="BB206" s="1059" t="s">
        <v>162</v>
      </c>
      <c r="BC206" s="1060"/>
      <c r="BD206" s="1075" t="s">
        <v>159</v>
      </c>
      <c r="BE206" s="1075"/>
      <c r="BF206" s="1075"/>
      <c r="BG206" s="1076" t="s">
        <v>159</v>
      </c>
      <c r="BH206" s="1077"/>
      <c r="BI206" s="1077"/>
      <c r="BJ206" s="1078"/>
      <c r="BK206" s="1065"/>
      <c r="BL206" s="1066"/>
      <c r="BM206" s="1067"/>
      <c r="BN206" s="259"/>
      <c r="BO206" s="259"/>
      <c r="BP206" s="1076"/>
      <c r="BQ206" s="1077"/>
      <c r="BR206" s="1078"/>
      <c r="BS206" s="1075" t="s">
        <v>159</v>
      </c>
      <c r="BT206" s="1075"/>
      <c r="BU206" s="1075"/>
    </row>
    <row r="207" spans="1:73" ht="30" customHeight="1" x14ac:dyDescent="0.25">
      <c r="A207" s="199">
        <f t="shared" si="2"/>
        <v>193</v>
      </c>
      <c r="B207" s="1081" t="s">
        <v>162</v>
      </c>
      <c r="C207" s="1082"/>
      <c r="D207" s="1083" t="s">
        <v>159</v>
      </c>
      <c r="E207" s="1084"/>
      <c r="F207" s="1084"/>
      <c r="G207" s="1085"/>
      <c r="H207" s="1086" t="s">
        <v>159</v>
      </c>
      <c r="I207" s="1087"/>
      <c r="J207" s="1087"/>
      <c r="K207" s="1088"/>
      <c r="L207" s="1089" t="s">
        <v>159</v>
      </c>
      <c r="M207" s="1090"/>
      <c r="N207" s="1091"/>
      <c r="O207" s="1092" t="s">
        <v>159</v>
      </c>
      <c r="P207" s="1093"/>
      <c r="Q207" s="1094"/>
      <c r="R207" s="812"/>
      <c r="S207" s="1095"/>
      <c r="T207" s="813"/>
      <c r="U207" s="745"/>
      <c r="V207" s="940"/>
      <c r="W207" s="746"/>
      <c r="X207" s="312"/>
      <c r="Y207" s="308"/>
      <c r="Z207" s="312"/>
      <c r="AA207" s="308"/>
      <c r="AB207" s="312"/>
      <c r="AC207" s="308"/>
      <c r="AD207" s="312"/>
      <c r="AE207" s="308"/>
      <c r="AF207" s="312"/>
      <c r="AG207" s="308"/>
      <c r="AH207" s="312"/>
      <c r="AI207" s="308"/>
      <c r="AJ207" s="117"/>
      <c r="AK207" s="330"/>
      <c r="AL207" s="117"/>
      <c r="AM207" s="330"/>
      <c r="AN207" s="117"/>
      <c r="AO207" s="330"/>
      <c r="AP207" s="117"/>
      <c r="AQ207" s="330"/>
      <c r="AR207" s="117"/>
      <c r="AS207" s="1096" t="s">
        <v>159</v>
      </c>
      <c r="AT207" s="1097"/>
      <c r="AU207" s="1097"/>
      <c r="AV207" s="1097"/>
      <c r="AW207" s="1097"/>
      <c r="AX207" s="1097"/>
      <c r="AY207" s="1100"/>
      <c r="AZ207" s="257"/>
      <c r="BA207" s="257"/>
      <c r="BB207" s="1059" t="s">
        <v>162</v>
      </c>
      <c r="BC207" s="1060"/>
      <c r="BD207" s="1075" t="s">
        <v>159</v>
      </c>
      <c r="BE207" s="1075"/>
      <c r="BF207" s="1075"/>
      <c r="BG207" s="1076" t="s">
        <v>159</v>
      </c>
      <c r="BH207" s="1077"/>
      <c r="BI207" s="1077"/>
      <c r="BJ207" s="1078"/>
      <c r="BK207" s="1065"/>
      <c r="BL207" s="1066"/>
      <c r="BM207" s="1067"/>
      <c r="BN207" s="259"/>
      <c r="BO207" s="259"/>
      <c r="BP207" s="1076"/>
      <c r="BQ207" s="1077"/>
      <c r="BR207" s="1078"/>
      <c r="BS207" s="1075" t="s">
        <v>159</v>
      </c>
      <c r="BT207" s="1075"/>
      <c r="BU207" s="1075"/>
    </row>
    <row r="208" spans="1:73" ht="30" customHeight="1" x14ac:dyDescent="0.25">
      <c r="A208" s="199">
        <f t="shared" ref="A208:A271" si="3">ROW(A194)</f>
        <v>194</v>
      </c>
      <c r="B208" s="1081" t="s">
        <v>162</v>
      </c>
      <c r="C208" s="1082"/>
      <c r="D208" s="1083" t="s">
        <v>159</v>
      </c>
      <c r="E208" s="1084"/>
      <c r="F208" s="1084"/>
      <c r="G208" s="1085"/>
      <c r="H208" s="1086" t="s">
        <v>159</v>
      </c>
      <c r="I208" s="1087"/>
      <c r="J208" s="1087"/>
      <c r="K208" s="1088"/>
      <c r="L208" s="1089" t="s">
        <v>159</v>
      </c>
      <c r="M208" s="1090"/>
      <c r="N208" s="1091"/>
      <c r="O208" s="1092" t="s">
        <v>159</v>
      </c>
      <c r="P208" s="1093"/>
      <c r="Q208" s="1094"/>
      <c r="R208" s="812"/>
      <c r="S208" s="1095"/>
      <c r="T208" s="813"/>
      <c r="U208" s="745"/>
      <c r="V208" s="940"/>
      <c r="W208" s="746"/>
      <c r="X208" s="312"/>
      <c r="Y208" s="308"/>
      <c r="Z208" s="312"/>
      <c r="AA208" s="308"/>
      <c r="AB208" s="312"/>
      <c r="AC208" s="308"/>
      <c r="AD208" s="312"/>
      <c r="AE208" s="308"/>
      <c r="AF208" s="312"/>
      <c r="AG208" s="308"/>
      <c r="AH208" s="312"/>
      <c r="AI208" s="308"/>
      <c r="AJ208" s="117"/>
      <c r="AK208" s="330"/>
      <c r="AL208" s="117"/>
      <c r="AM208" s="330"/>
      <c r="AN208" s="117"/>
      <c r="AO208" s="330"/>
      <c r="AP208" s="117"/>
      <c r="AQ208" s="330"/>
      <c r="AR208" s="117"/>
      <c r="AS208" s="1096" t="s">
        <v>159</v>
      </c>
      <c r="AT208" s="1097"/>
      <c r="AU208" s="1097"/>
      <c r="AV208" s="1097"/>
      <c r="AW208" s="1097"/>
      <c r="AX208" s="1097"/>
      <c r="AY208" s="1100"/>
      <c r="AZ208" s="257"/>
      <c r="BA208" s="257"/>
      <c r="BB208" s="1059" t="s">
        <v>162</v>
      </c>
      <c r="BC208" s="1060"/>
      <c r="BD208" s="1075" t="s">
        <v>159</v>
      </c>
      <c r="BE208" s="1075"/>
      <c r="BF208" s="1075"/>
      <c r="BG208" s="1076" t="s">
        <v>159</v>
      </c>
      <c r="BH208" s="1077"/>
      <c r="BI208" s="1077"/>
      <c r="BJ208" s="1078"/>
      <c r="BK208" s="1065"/>
      <c r="BL208" s="1066"/>
      <c r="BM208" s="1067"/>
      <c r="BN208" s="259"/>
      <c r="BO208" s="259"/>
      <c r="BP208" s="1076"/>
      <c r="BQ208" s="1077"/>
      <c r="BR208" s="1078"/>
      <c r="BS208" s="1075" t="s">
        <v>159</v>
      </c>
      <c r="BT208" s="1075"/>
      <c r="BU208" s="1075"/>
    </row>
    <row r="209" spans="1:73" ht="30" customHeight="1" x14ac:dyDescent="0.25">
      <c r="A209" s="199">
        <f t="shared" si="3"/>
        <v>195</v>
      </c>
      <c r="B209" s="1081" t="s">
        <v>162</v>
      </c>
      <c r="C209" s="1082"/>
      <c r="D209" s="1083" t="s">
        <v>159</v>
      </c>
      <c r="E209" s="1084"/>
      <c r="F209" s="1084"/>
      <c r="G209" s="1085"/>
      <c r="H209" s="1086" t="s">
        <v>159</v>
      </c>
      <c r="I209" s="1087"/>
      <c r="J209" s="1087"/>
      <c r="K209" s="1088"/>
      <c r="L209" s="1089" t="s">
        <v>159</v>
      </c>
      <c r="M209" s="1090"/>
      <c r="N209" s="1091"/>
      <c r="O209" s="1092" t="s">
        <v>159</v>
      </c>
      <c r="P209" s="1093"/>
      <c r="Q209" s="1094"/>
      <c r="R209" s="812"/>
      <c r="S209" s="1095"/>
      <c r="T209" s="813"/>
      <c r="U209" s="745"/>
      <c r="V209" s="940"/>
      <c r="W209" s="746"/>
      <c r="X209" s="312"/>
      <c r="Y209" s="308"/>
      <c r="Z209" s="312"/>
      <c r="AA209" s="308"/>
      <c r="AB209" s="312"/>
      <c r="AC209" s="308"/>
      <c r="AD209" s="312"/>
      <c r="AE209" s="308"/>
      <c r="AF209" s="312"/>
      <c r="AG209" s="308"/>
      <c r="AH209" s="312"/>
      <c r="AI209" s="308"/>
      <c r="AJ209" s="117"/>
      <c r="AK209" s="330"/>
      <c r="AL209" s="117"/>
      <c r="AM209" s="330"/>
      <c r="AN209" s="117"/>
      <c r="AO209" s="330"/>
      <c r="AP209" s="117"/>
      <c r="AQ209" s="330"/>
      <c r="AR209" s="117"/>
      <c r="AS209" s="1096" t="s">
        <v>159</v>
      </c>
      <c r="AT209" s="1097"/>
      <c r="AU209" s="1097"/>
      <c r="AV209" s="1097"/>
      <c r="AW209" s="1097"/>
      <c r="AX209" s="1097"/>
      <c r="AY209" s="1100"/>
      <c r="AZ209" s="257"/>
      <c r="BA209" s="257"/>
      <c r="BB209" s="1059" t="s">
        <v>162</v>
      </c>
      <c r="BC209" s="1060"/>
      <c r="BD209" s="1075" t="s">
        <v>159</v>
      </c>
      <c r="BE209" s="1075"/>
      <c r="BF209" s="1075"/>
      <c r="BG209" s="1076" t="s">
        <v>159</v>
      </c>
      <c r="BH209" s="1077"/>
      <c r="BI209" s="1077"/>
      <c r="BJ209" s="1078"/>
      <c r="BK209" s="1065"/>
      <c r="BL209" s="1066"/>
      <c r="BM209" s="1067"/>
      <c r="BN209" s="259"/>
      <c r="BO209" s="259"/>
      <c r="BP209" s="1076"/>
      <c r="BQ209" s="1077"/>
      <c r="BR209" s="1078"/>
      <c r="BS209" s="1075" t="s">
        <v>159</v>
      </c>
      <c r="BT209" s="1075"/>
      <c r="BU209" s="1075"/>
    </row>
    <row r="210" spans="1:73" ht="30" customHeight="1" x14ac:dyDescent="0.25">
      <c r="A210" s="199">
        <f t="shared" si="3"/>
        <v>196</v>
      </c>
      <c r="B210" s="1081" t="s">
        <v>162</v>
      </c>
      <c r="C210" s="1082"/>
      <c r="D210" s="1083" t="s">
        <v>159</v>
      </c>
      <c r="E210" s="1084"/>
      <c r="F210" s="1084"/>
      <c r="G210" s="1085"/>
      <c r="H210" s="1086" t="s">
        <v>159</v>
      </c>
      <c r="I210" s="1087"/>
      <c r="J210" s="1087"/>
      <c r="K210" s="1088"/>
      <c r="L210" s="1089" t="s">
        <v>159</v>
      </c>
      <c r="M210" s="1090"/>
      <c r="N210" s="1091"/>
      <c r="O210" s="1092" t="s">
        <v>159</v>
      </c>
      <c r="P210" s="1093"/>
      <c r="Q210" s="1094"/>
      <c r="R210" s="812"/>
      <c r="S210" s="1095"/>
      <c r="T210" s="813"/>
      <c r="U210" s="745"/>
      <c r="V210" s="940"/>
      <c r="W210" s="746"/>
      <c r="X210" s="312"/>
      <c r="Y210" s="308"/>
      <c r="Z210" s="312"/>
      <c r="AA210" s="308"/>
      <c r="AB210" s="312"/>
      <c r="AC210" s="308"/>
      <c r="AD210" s="312"/>
      <c r="AE210" s="308"/>
      <c r="AF210" s="312"/>
      <c r="AG210" s="308"/>
      <c r="AH210" s="312"/>
      <c r="AI210" s="308"/>
      <c r="AJ210" s="117"/>
      <c r="AK210" s="330"/>
      <c r="AL210" s="117"/>
      <c r="AM210" s="330"/>
      <c r="AN210" s="117"/>
      <c r="AO210" s="330"/>
      <c r="AP210" s="117"/>
      <c r="AQ210" s="330"/>
      <c r="AR210" s="117"/>
      <c r="AS210" s="1096" t="s">
        <v>159</v>
      </c>
      <c r="AT210" s="1097"/>
      <c r="AU210" s="1097"/>
      <c r="AV210" s="1097"/>
      <c r="AW210" s="1097"/>
      <c r="AX210" s="1097"/>
      <c r="AY210" s="1100"/>
      <c r="AZ210" s="257"/>
      <c r="BA210" s="257"/>
      <c r="BB210" s="1059" t="s">
        <v>162</v>
      </c>
      <c r="BC210" s="1060"/>
      <c r="BD210" s="1075" t="s">
        <v>159</v>
      </c>
      <c r="BE210" s="1075"/>
      <c r="BF210" s="1075"/>
      <c r="BG210" s="1076" t="s">
        <v>159</v>
      </c>
      <c r="BH210" s="1077"/>
      <c r="BI210" s="1077"/>
      <c r="BJ210" s="1078"/>
      <c r="BK210" s="1065"/>
      <c r="BL210" s="1066"/>
      <c r="BM210" s="1067"/>
      <c r="BN210" s="259"/>
      <c r="BO210" s="259"/>
      <c r="BP210" s="1076"/>
      <c r="BQ210" s="1077"/>
      <c r="BR210" s="1078"/>
      <c r="BS210" s="1075" t="s">
        <v>159</v>
      </c>
      <c r="BT210" s="1075"/>
      <c r="BU210" s="1075"/>
    </row>
    <row r="211" spans="1:73" ht="30" customHeight="1" x14ac:dyDescent="0.25">
      <c r="A211" s="199">
        <f t="shared" si="3"/>
        <v>197</v>
      </c>
      <c r="B211" s="1081" t="s">
        <v>162</v>
      </c>
      <c r="C211" s="1082"/>
      <c r="D211" s="1083" t="s">
        <v>159</v>
      </c>
      <c r="E211" s="1084"/>
      <c r="F211" s="1084"/>
      <c r="G211" s="1085"/>
      <c r="H211" s="1086" t="s">
        <v>159</v>
      </c>
      <c r="I211" s="1087"/>
      <c r="J211" s="1087"/>
      <c r="K211" s="1088"/>
      <c r="L211" s="1089" t="s">
        <v>159</v>
      </c>
      <c r="M211" s="1090"/>
      <c r="N211" s="1091"/>
      <c r="O211" s="1092" t="s">
        <v>159</v>
      </c>
      <c r="P211" s="1093"/>
      <c r="Q211" s="1094"/>
      <c r="R211" s="812"/>
      <c r="S211" s="1095"/>
      <c r="T211" s="813"/>
      <c r="U211" s="745"/>
      <c r="V211" s="940"/>
      <c r="W211" s="746"/>
      <c r="X211" s="312"/>
      <c r="Y211" s="308"/>
      <c r="Z211" s="312"/>
      <c r="AA211" s="308"/>
      <c r="AB211" s="312"/>
      <c r="AC211" s="308"/>
      <c r="AD211" s="312"/>
      <c r="AE211" s="308"/>
      <c r="AF211" s="312"/>
      <c r="AG211" s="308"/>
      <c r="AH211" s="312"/>
      <c r="AI211" s="308"/>
      <c r="AJ211" s="117"/>
      <c r="AK211" s="330"/>
      <c r="AL211" s="117"/>
      <c r="AM211" s="330"/>
      <c r="AN211" s="117"/>
      <c r="AO211" s="330"/>
      <c r="AP211" s="117"/>
      <c r="AQ211" s="330"/>
      <c r="AR211" s="117"/>
      <c r="AS211" s="1096" t="s">
        <v>159</v>
      </c>
      <c r="AT211" s="1097"/>
      <c r="AU211" s="1097"/>
      <c r="AV211" s="1097"/>
      <c r="AW211" s="1097"/>
      <c r="AX211" s="1097"/>
      <c r="AY211" s="1100"/>
      <c r="AZ211" s="257"/>
      <c r="BA211" s="257"/>
      <c r="BB211" s="1079" t="s">
        <v>162</v>
      </c>
      <c r="BC211" s="1080"/>
      <c r="BD211" s="1075" t="s">
        <v>159</v>
      </c>
      <c r="BE211" s="1075"/>
      <c r="BF211" s="1075"/>
      <c r="BG211" s="1076" t="s">
        <v>159</v>
      </c>
      <c r="BH211" s="1077"/>
      <c r="BI211" s="1077"/>
      <c r="BJ211" s="1078"/>
      <c r="BK211" s="1065"/>
      <c r="BL211" s="1066"/>
      <c r="BM211" s="1067"/>
      <c r="BN211" s="259"/>
      <c r="BO211" s="259"/>
      <c r="BP211" s="1076"/>
      <c r="BQ211" s="1077"/>
      <c r="BR211" s="1078"/>
      <c r="BS211" s="1075" t="s">
        <v>159</v>
      </c>
      <c r="BT211" s="1075"/>
      <c r="BU211" s="1075"/>
    </row>
    <row r="212" spans="1:73" ht="30" customHeight="1" x14ac:dyDescent="0.25">
      <c r="A212" s="199">
        <f t="shared" si="3"/>
        <v>198</v>
      </c>
      <c r="B212" s="1081" t="s">
        <v>162</v>
      </c>
      <c r="C212" s="1082"/>
      <c r="D212" s="1083" t="s">
        <v>159</v>
      </c>
      <c r="E212" s="1084"/>
      <c r="F212" s="1084"/>
      <c r="G212" s="1085"/>
      <c r="H212" s="1086" t="s">
        <v>159</v>
      </c>
      <c r="I212" s="1087"/>
      <c r="J212" s="1087"/>
      <c r="K212" s="1088"/>
      <c r="L212" s="1089" t="s">
        <v>159</v>
      </c>
      <c r="M212" s="1090"/>
      <c r="N212" s="1091"/>
      <c r="O212" s="1092" t="s">
        <v>159</v>
      </c>
      <c r="P212" s="1093"/>
      <c r="Q212" s="1094"/>
      <c r="R212" s="812"/>
      <c r="S212" s="1095"/>
      <c r="T212" s="813"/>
      <c r="U212" s="745"/>
      <c r="V212" s="940"/>
      <c r="W212" s="746"/>
      <c r="X212" s="312"/>
      <c r="Y212" s="308"/>
      <c r="Z212" s="312"/>
      <c r="AA212" s="308"/>
      <c r="AB212" s="312"/>
      <c r="AC212" s="308"/>
      <c r="AD212" s="312"/>
      <c r="AE212" s="308"/>
      <c r="AF212" s="312"/>
      <c r="AG212" s="308"/>
      <c r="AH212" s="312"/>
      <c r="AI212" s="308"/>
      <c r="AJ212" s="117"/>
      <c r="AK212" s="330"/>
      <c r="AL212" s="117"/>
      <c r="AM212" s="330"/>
      <c r="AN212" s="117"/>
      <c r="AO212" s="330"/>
      <c r="AP212" s="117"/>
      <c r="AQ212" s="330"/>
      <c r="AR212" s="117"/>
      <c r="AS212" s="1096" t="s">
        <v>159</v>
      </c>
      <c r="AT212" s="1097"/>
      <c r="AU212" s="1097"/>
      <c r="AV212" s="1097"/>
      <c r="AW212" s="1097"/>
      <c r="AX212" s="1097"/>
      <c r="AY212" s="1100"/>
      <c r="AZ212" s="257"/>
      <c r="BA212" s="257"/>
      <c r="BB212" s="1059" t="s">
        <v>162</v>
      </c>
      <c r="BC212" s="1060"/>
      <c r="BD212" s="1075" t="s">
        <v>159</v>
      </c>
      <c r="BE212" s="1075"/>
      <c r="BF212" s="1075"/>
      <c r="BG212" s="1076" t="s">
        <v>159</v>
      </c>
      <c r="BH212" s="1077"/>
      <c r="BI212" s="1077"/>
      <c r="BJ212" s="1078"/>
      <c r="BK212" s="1065"/>
      <c r="BL212" s="1066"/>
      <c r="BM212" s="1067"/>
      <c r="BN212" s="259"/>
      <c r="BO212" s="259"/>
      <c r="BP212" s="1076"/>
      <c r="BQ212" s="1077"/>
      <c r="BR212" s="1078"/>
      <c r="BS212" s="1075" t="s">
        <v>159</v>
      </c>
      <c r="BT212" s="1075"/>
      <c r="BU212" s="1075"/>
    </row>
    <row r="213" spans="1:73" ht="30" customHeight="1" x14ac:dyDescent="0.25">
      <c r="A213" s="199">
        <f t="shared" si="3"/>
        <v>199</v>
      </c>
      <c r="B213" s="1081" t="s">
        <v>162</v>
      </c>
      <c r="C213" s="1082"/>
      <c r="D213" s="1083" t="s">
        <v>159</v>
      </c>
      <c r="E213" s="1084"/>
      <c r="F213" s="1084"/>
      <c r="G213" s="1085"/>
      <c r="H213" s="1086" t="s">
        <v>159</v>
      </c>
      <c r="I213" s="1087"/>
      <c r="J213" s="1087"/>
      <c r="K213" s="1088"/>
      <c r="L213" s="1089" t="s">
        <v>159</v>
      </c>
      <c r="M213" s="1090"/>
      <c r="N213" s="1091"/>
      <c r="O213" s="1092" t="s">
        <v>159</v>
      </c>
      <c r="P213" s="1093"/>
      <c r="Q213" s="1094"/>
      <c r="R213" s="812"/>
      <c r="S213" s="1095"/>
      <c r="T213" s="813"/>
      <c r="U213" s="745"/>
      <c r="V213" s="940"/>
      <c r="W213" s="746"/>
      <c r="X213" s="312"/>
      <c r="Y213" s="308"/>
      <c r="Z213" s="312"/>
      <c r="AA213" s="308"/>
      <c r="AB213" s="312"/>
      <c r="AC213" s="308"/>
      <c r="AD213" s="312"/>
      <c r="AE213" s="308"/>
      <c r="AF213" s="312"/>
      <c r="AG213" s="308"/>
      <c r="AH213" s="312"/>
      <c r="AI213" s="308"/>
      <c r="AJ213" s="117"/>
      <c r="AK213" s="330"/>
      <c r="AL213" s="117"/>
      <c r="AM213" s="330"/>
      <c r="AN213" s="117"/>
      <c r="AO213" s="330"/>
      <c r="AP213" s="117"/>
      <c r="AQ213" s="330"/>
      <c r="AR213" s="117"/>
      <c r="AS213" s="1096" t="s">
        <v>159</v>
      </c>
      <c r="AT213" s="1097"/>
      <c r="AU213" s="1097"/>
      <c r="AV213" s="1097"/>
      <c r="AW213" s="1097"/>
      <c r="AX213" s="1097"/>
      <c r="AY213" s="1100"/>
      <c r="AZ213" s="257"/>
      <c r="BA213" s="257"/>
      <c r="BB213" s="1059" t="s">
        <v>162</v>
      </c>
      <c r="BC213" s="1060"/>
      <c r="BD213" s="1075" t="s">
        <v>159</v>
      </c>
      <c r="BE213" s="1075"/>
      <c r="BF213" s="1075"/>
      <c r="BG213" s="1076" t="s">
        <v>159</v>
      </c>
      <c r="BH213" s="1077"/>
      <c r="BI213" s="1077"/>
      <c r="BJ213" s="1078"/>
      <c r="BK213" s="1065"/>
      <c r="BL213" s="1066"/>
      <c r="BM213" s="1067"/>
      <c r="BN213" s="259"/>
      <c r="BO213" s="259"/>
      <c r="BP213" s="1076"/>
      <c r="BQ213" s="1077"/>
      <c r="BR213" s="1078"/>
      <c r="BS213" s="1075" t="s">
        <v>159</v>
      </c>
      <c r="BT213" s="1075"/>
      <c r="BU213" s="1075"/>
    </row>
    <row r="214" spans="1:73" ht="30" customHeight="1" x14ac:dyDescent="0.25">
      <c r="A214" s="199">
        <f t="shared" si="3"/>
        <v>200</v>
      </c>
      <c r="B214" s="1081" t="s">
        <v>162</v>
      </c>
      <c r="C214" s="1082"/>
      <c r="D214" s="1083" t="s">
        <v>159</v>
      </c>
      <c r="E214" s="1084"/>
      <c r="F214" s="1084"/>
      <c r="G214" s="1085"/>
      <c r="H214" s="1086" t="s">
        <v>159</v>
      </c>
      <c r="I214" s="1087"/>
      <c r="J214" s="1087"/>
      <c r="K214" s="1088"/>
      <c r="L214" s="1089" t="s">
        <v>159</v>
      </c>
      <c r="M214" s="1090"/>
      <c r="N214" s="1091"/>
      <c r="O214" s="1092" t="s">
        <v>159</v>
      </c>
      <c r="P214" s="1093"/>
      <c r="Q214" s="1094"/>
      <c r="R214" s="812"/>
      <c r="S214" s="1095"/>
      <c r="T214" s="813"/>
      <c r="U214" s="745"/>
      <c r="V214" s="940"/>
      <c r="W214" s="746"/>
      <c r="X214" s="312"/>
      <c r="Y214" s="308"/>
      <c r="Z214" s="312"/>
      <c r="AA214" s="308"/>
      <c r="AB214" s="312"/>
      <c r="AC214" s="308"/>
      <c r="AD214" s="312"/>
      <c r="AE214" s="308"/>
      <c r="AF214" s="312"/>
      <c r="AG214" s="308"/>
      <c r="AH214" s="312"/>
      <c r="AI214" s="308"/>
      <c r="AJ214" s="117"/>
      <c r="AK214" s="330"/>
      <c r="AL214" s="117"/>
      <c r="AM214" s="330"/>
      <c r="AN214" s="117"/>
      <c r="AO214" s="330"/>
      <c r="AP214" s="117"/>
      <c r="AQ214" s="330"/>
      <c r="AR214" s="117"/>
      <c r="AS214" s="1096" t="s">
        <v>159</v>
      </c>
      <c r="AT214" s="1097"/>
      <c r="AU214" s="1097"/>
      <c r="AV214" s="1097"/>
      <c r="AW214" s="1097"/>
      <c r="AX214" s="1097"/>
      <c r="AY214" s="1100"/>
      <c r="AZ214" s="257"/>
      <c r="BA214" s="257"/>
      <c r="BB214" s="1059" t="s">
        <v>162</v>
      </c>
      <c r="BC214" s="1060"/>
      <c r="BD214" s="1075" t="s">
        <v>159</v>
      </c>
      <c r="BE214" s="1075"/>
      <c r="BF214" s="1075"/>
      <c r="BG214" s="1076" t="s">
        <v>159</v>
      </c>
      <c r="BH214" s="1077"/>
      <c r="BI214" s="1077"/>
      <c r="BJ214" s="1078"/>
      <c r="BK214" s="1065"/>
      <c r="BL214" s="1066"/>
      <c r="BM214" s="1067"/>
      <c r="BN214" s="259"/>
      <c r="BO214" s="259"/>
      <c r="BP214" s="1076"/>
      <c r="BQ214" s="1077"/>
      <c r="BR214" s="1078"/>
      <c r="BS214" s="1075" t="s">
        <v>159</v>
      </c>
      <c r="BT214" s="1075"/>
      <c r="BU214" s="1075"/>
    </row>
    <row r="215" spans="1:73" ht="30" customHeight="1" x14ac:dyDescent="0.25">
      <c r="A215" s="199">
        <f t="shared" si="3"/>
        <v>201</v>
      </c>
      <c r="B215" s="1081" t="s">
        <v>162</v>
      </c>
      <c r="C215" s="1082"/>
      <c r="D215" s="1083" t="s">
        <v>159</v>
      </c>
      <c r="E215" s="1084"/>
      <c r="F215" s="1084"/>
      <c r="G215" s="1085"/>
      <c r="H215" s="1086" t="s">
        <v>159</v>
      </c>
      <c r="I215" s="1087"/>
      <c r="J215" s="1087"/>
      <c r="K215" s="1088"/>
      <c r="L215" s="1089" t="s">
        <v>159</v>
      </c>
      <c r="M215" s="1090"/>
      <c r="N215" s="1091"/>
      <c r="O215" s="1092" t="s">
        <v>159</v>
      </c>
      <c r="P215" s="1093"/>
      <c r="Q215" s="1094"/>
      <c r="R215" s="812"/>
      <c r="S215" s="1095"/>
      <c r="T215" s="813"/>
      <c r="U215" s="745"/>
      <c r="V215" s="940"/>
      <c r="W215" s="746"/>
      <c r="X215" s="312"/>
      <c r="Y215" s="308"/>
      <c r="Z215" s="312"/>
      <c r="AA215" s="308"/>
      <c r="AB215" s="312"/>
      <c r="AC215" s="308"/>
      <c r="AD215" s="312"/>
      <c r="AE215" s="308"/>
      <c r="AF215" s="312"/>
      <c r="AG215" s="308"/>
      <c r="AH215" s="312"/>
      <c r="AI215" s="308"/>
      <c r="AJ215" s="117"/>
      <c r="AK215" s="330"/>
      <c r="AL215" s="117"/>
      <c r="AM215" s="330"/>
      <c r="AN215" s="117"/>
      <c r="AO215" s="330"/>
      <c r="AP215" s="117"/>
      <c r="AQ215" s="330"/>
      <c r="AR215" s="117"/>
      <c r="AS215" s="1096" t="s">
        <v>159</v>
      </c>
      <c r="AT215" s="1097"/>
      <c r="AU215" s="1097"/>
      <c r="AV215" s="1097"/>
      <c r="AW215" s="1097"/>
      <c r="AX215" s="1097"/>
      <c r="AY215" s="1100"/>
      <c r="AZ215" s="257"/>
      <c r="BA215" s="257"/>
      <c r="BB215" s="1059" t="s">
        <v>162</v>
      </c>
      <c r="BC215" s="1060"/>
      <c r="BD215" s="1075" t="s">
        <v>159</v>
      </c>
      <c r="BE215" s="1075"/>
      <c r="BF215" s="1075"/>
      <c r="BG215" s="1076" t="s">
        <v>159</v>
      </c>
      <c r="BH215" s="1077"/>
      <c r="BI215" s="1077"/>
      <c r="BJ215" s="1078"/>
      <c r="BK215" s="1065"/>
      <c r="BL215" s="1066"/>
      <c r="BM215" s="1067"/>
      <c r="BN215" s="259"/>
      <c r="BO215" s="259"/>
      <c r="BP215" s="1076"/>
      <c r="BQ215" s="1077"/>
      <c r="BR215" s="1078"/>
      <c r="BS215" s="1075" t="s">
        <v>159</v>
      </c>
      <c r="BT215" s="1075"/>
      <c r="BU215" s="1075"/>
    </row>
    <row r="216" spans="1:73" ht="30" customHeight="1" x14ac:dyDescent="0.25">
      <c r="A216" s="199">
        <f t="shared" si="3"/>
        <v>202</v>
      </c>
      <c r="B216" s="1081" t="s">
        <v>162</v>
      </c>
      <c r="C216" s="1082"/>
      <c r="D216" s="1083" t="s">
        <v>159</v>
      </c>
      <c r="E216" s="1084"/>
      <c r="F216" s="1084"/>
      <c r="G216" s="1085"/>
      <c r="H216" s="1086" t="s">
        <v>159</v>
      </c>
      <c r="I216" s="1087"/>
      <c r="J216" s="1087"/>
      <c r="K216" s="1088"/>
      <c r="L216" s="1089" t="s">
        <v>159</v>
      </c>
      <c r="M216" s="1090"/>
      <c r="N216" s="1091"/>
      <c r="O216" s="1092" t="s">
        <v>159</v>
      </c>
      <c r="P216" s="1093"/>
      <c r="Q216" s="1094"/>
      <c r="R216" s="812"/>
      <c r="S216" s="1095"/>
      <c r="T216" s="813"/>
      <c r="U216" s="745"/>
      <c r="V216" s="940"/>
      <c r="W216" s="746"/>
      <c r="X216" s="312"/>
      <c r="Y216" s="308"/>
      <c r="Z216" s="312"/>
      <c r="AA216" s="308"/>
      <c r="AB216" s="312"/>
      <c r="AC216" s="308"/>
      <c r="AD216" s="312"/>
      <c r="AE216" s="308"/>
      <c r="AF216" s="312"/>
      <c r="AG216" s="308"/>
      <c r="AH216" s="312"/>
      <c r="AI216" s="308"/>
      <c r="AJ216" s="117"/>
      <c r="AK216" s="330"/>
      <c r="AL216" s="117"/>
      <c r="AM216" s="330"/>
      <c r="AN216" s="117"/>
      <c r="AO216" s="330"/>
      <c r="AP216" s="117"/>
      <c r="AQ216" s="330"/>
      <c r="AR216" s="117"/>
      <c r="AS216" s="1096" t="s">
        <v>159</v>
      </c>
      <c r="AT216" s="1097"/>
      <c r="AU216" s="1097"/>
      <c r="AV216" s="1097"/>
      <c r="AW216" s="1097"/>
      <c r="AX216" s="1097"/>
      <c r="AY216" s="1100"/>
      <c r="AZ216" s="257"/>
      <c r="BA216" s="257"/>
      <c r="BB216" s="1059" t="s">
        <v>162</v>
      </c>
      <c r="BC216" s="1060"/>
      <c r="BD216" s="1075" t="s">
        <v>159</v>
      </c>
      <c r="BE216" s="1075"/>
      <c r="BF216" s="1075"/>
      <c r="BG216" s="1076" t="s">
        <v>159</v>
      </c>
      <c r="BH216" s="1077"/>
      <c r="BI216" s="1077"/>
      <c r="BJ216" s="1078"/>
      <c r="BK216" s="1065"/>
      <c r="BL216" s="1066"/>
      <c r="BM216" s="1067"/>
      <c r="BN216" s="259"/>
      <c r="BO216" s="259"/>
      <c r="BP216" s="1076"/>
      <c r="BQ216" s="1077"/>
      <c r="BR216" s="1078"/>
      <c r="BS216" s="1075" t="s">
        <v>159</v>
      </c>
      <c r="BT216" s="1075"/>
      <c r="BU216" s="1075"/>
    </row>
    <row r="217" spans="1:73" ht="30" customHeight="1" x14ac:dyDescent="0.25">
      <c r="A217" s="199">
        <f t="shared" si="3"/>
        <v>203</v>
      </c>
      <c r="B217" s="1081" t="s">
        <v>162</v>
      </c>
      <c r="C217" s="1082"/>
      <c r="D217" s="1083" t="s">
        <v>159</v>
      </c>
      <c r="E217" s="1084"/>
      <c r="F217" s="1084"/>
      <c r="G217" s="1085"/>
      <c r="H217" s="1086" t="s">
        <v>159</v>
      </c>
      <c r="I217" s="1087"/>
      <c r="J217" s="1087"/>
      <c r="K217" s="1088"/>
      <c r="L217" s="1089" t="s">
        <v>159</v>
      </c>
      <c r="M217" s="1090"/>
      <c r="N217" s="1091"/>
      <c r="O217" s="1092" t="s">
        <v>159</v>
      </c>
      <c r="P217" s="1093"/>
      <c r="Q217" s="1094"/>
      <c r="R217" s="812"/>
      <c r="S217" s="1095"/>
      <c r="T217" s="813"/>
      <c r="U217" s="745"/>
      <c r="V217" s="940"/>
      <c r="W217" s="746"/>
      <c r="X217" s="312"/>
      <c r="Y217" s="308"/>
      <c r="Z217" s="312"/>
      <c r="AA217" s="308"/>
      <c r="AB217" s="312"/>
      <c r="AC217" s="308"/>
      <c r="AD217" s="312"/>
      <c r="AE217" s="308"/>
      <c r="AF217" s="312"/>
      <c r="AG217" s="308"/>
      <c r="AH217" s="312"/>
      <c r="AI217" s="308"/>
      <c r="AJ217" s="117"/>
      <c r="AK217" s="330"/>
      <c r="AL217" s="117"/>
      <c r="AM217" s="330"/>
      <c r="AN217" s="117"/>
      <c r="AO217" s="330"/>
      <c r="AP217" s="117"/>
      <c r="AQ217" s="330"/>
      <c r="AR217" s="117"/>
      <c r="AS217" s="1096" t="s">
        <v>159</v>
      </c>
      <c r="AT217" s="1097"/>
      <c r="AU217" s="1097"/>
      <c r="AV217" s="1097"/>
      <c r="AW217" s="1097"/>
      <c r="AX217" s="1097"/>
      <c r="AY217" s="1100"/>
      <c r="AZ217" s="257"/>
      <c r="BA217" s="257"/>
      <c r="BB217" s="1059" t="s">
        <v>162</v>
      </c>
      <c r="BC217" s="1060"/>
      <c r="BD217" s="1075" t="s">
        <v>159</v>
      </c>
      <c r="BE217" s="1075"/>
      <c r="BF217" s="1075"/>
      <c r="BG217" s="1076" t="s">
        <v>159</v>
      </c>
      <c r="BH217" s="1077"/>
      <c r="BI217" s="1077"/>
      <c r="BJ217" s="1078"/>
      <c r="BK217" s="1065"/>
      <c r="BL217" s="1066"/>
      <c r="BM217" s="1067"/>
      <c r="BN217" s="259"/>
      <c r="BO217" s="259"/>
      <c r="BP217" s="1076"/>
      <c r="BQ217" s="1077"/>
      <c r="BR217" s="1078"/>
      <c r="BS217" s="1075" t="s">
        <v>159</v>
      </c>
      <c r="BT217" s="1075"/>
      <c r="BU217" s="1075"/>
    </row>
    <row r="218" spans="1:73" ht="30" customHeight="1" x14ac:dyDescent="0.25">
      <c r="A218" s="199">
        <f t="shared" si="3"/>
        <v>204</v>
      </c>
      <c r="B218" s="1081" t="s">
        <v>162</v>
      </c>
      <c r="C218" s="1082"/>
      <c r="D218" s="1083" t="s">
        <v>159</v>
      </c>
      <c r="E218" s="1084"/>
      <c r="F218" s="1084"/>
      <c r="G218" s="1085"/>
      <c r="H218" s="1086" t="s">
        <v>159</v>
      </c>
      <c r="I218" s="1087"/>
      <c r="J218" s="1087"/>
      <c r="K218" s="1088"/>
      <c r="L218" s="1089" t="s">
        <v>159</v>
      </c>
      <c r="M218" s="1090"/>
      <c r="N218" s="1091"/>
      <c r="O218" s="1092" t="s">
        <v>159</v>
      </c>
      <c r="P218" s="1093"/>
      <c r="Q218" s="1094"/>
      <c r="R218" s="812"/>
      <c r="S218" s="1095"/>
      <c r="T218" s="813"/>
      <c r="U218" s="745"/>
      <c r="V218" s="940"/>
      <c r="W218" s="746"/>
      <c r="X218" s="312"/>
      <c r="Y218" s="308"/>
      <c r="Z218" s="312"/>
      <c r="AA218" s="308"/>
      <c r="AB218" s="312"/>
      <c r="AC218" s="308"/>
      <c r="AD218" s="312"/>
      <c r="AE218" s="308"/>
      <c r="AF218" s="312"/>
      <c r="AG218" s="308"/>
      <c r="AH218" s="312"/>
      <c r="AI218" s="308"/>
      <c r="AJ218" s="117"/>
      <c r="AK218" s="330"/>
      <c r="AL218" s="117"/>
      <c r="AM218" s="330"/>
      <c r="AN218" s="117"/>
      <c r="AO218" s="330"/>
      <c r="AP218" s="117"/>
      <c r="AQ218" s="330"/>
      <c r="AR218" s="117"/>
      <c r="AS218" s="1096" t="s">
        <v>159</v>
      </c>
      <c r="AT218" s="1097"/>
      <c r="AU218" s="1097"/>
      <c r="AV218" s="1097"/>
      <c r="AW218" s="1097"/>
      <c r="AX218" s="1097"/>
      <c r="AY218" s="1100"/>
      <c r="AZ218" s="257"/>
      <c r="BA218" s="257"/>
      <c r="BB218" s="1079" t="s">
        <v>162</v>
      </c>
      <c r="BC218" s="1080"/>
      <c r="BD218" s="1075" t="s">
        <v>159</v>
      </c>
      <c r="BE218" s="1075"/>
      <c r="BF218" s="1075"/>
      <c r="BG218" s="1076" t="s">
        <v>159</v>
      </c>
      <c r="BH218" s="1077"/>
      <c r="BI218" s="1077"/>
      <c r="BJ218" s="1078"/>
      <c r="BK218" s="1065"/>
      <c r="BL218" s="1066"/>
      <c r="BM218" s="1067"/>
      <c r="BN218" s="259"/>
      <c r="BO218" s="259"/>
      <c r="BP218" s="1076"/>
      <c r="BQ218" s="1077"/>
      <c r="BR218" s="1078"/>
      <c r="BS218" s="1075" t="s">
        <v>159</v>
      </c>
      <c r="BT218" s="1075"/>
      <c r="BU218" s="1075"/>
    </row>
    <row r="219" spans="1:73" ht="30" customHeight="1" x14ac:dyDescent="0.25">
      <c r="A219" s="199">
        <f t="shared" si="3"/>
        <v>205</v>
      </c>
      <c r="B219" s="1081" t="s">
        <v>162</v>
      </c>
      <c r="C219" s="1082"/>
      <c r="D219" s="1083" t="s">
        <v>159</v>
      </c>
      <c r="E219" s="1084"/>
      <c r="F219" s="1084"/>
      <c r="G219" s="1085"/>
      <c r="H219" s="1086" t="s">
        <v>159</v>
      </c>
      <c r="I219" s="1087"/>
      <c r="J219" s="1087"/>
      <c r="K219" s="1088"/>
      <c r="L219" s="1089" t="s">
        <v>159</v>
      </c>
      <c r="M219" s="1090"/>
      <c r="N219" s="1091"/>
      <c r="O219" s="1092" t="s">
        <v>159</v>
      </c>
      <c r="P219" s="1093"/>
      <c r="Q219" s="1094"/>
      <c r="R219" s="812"/>
      <c r="S219" s="1095"/>
      <c r="T219" s="813"/>
      <c r="U219" s="745"/>
      <c r="V219" s="940"/>
      <c r="W219" s="746"/>
      <c r="X219" s="312"/>
      <c r="Y219" s="308"/>
      <c r="Z219" s="312"/>
      <c r="AA219" s="308"/>
      <c r="AB219" s="312"/>
      <c r="AC219" s="308"/>
      <c r="AD219" s="312"/>
      <c r="AE219" s="308"/>
      <c r="AF219" s="312"/>
      <c r="AG219" s="308"/>
      <c r="AH219" s="312"/>
      <c r="AI219" s="308"/>
      <c r="AJ219" s="117"/>
      <c r="AK219" s="330"/>
      <c r="AL219" s="117"/>
      <c r="AM219" s="330"/>
      <c r="AN219" s="117"/>
      <c r="AO219" s="330"/>
      <c r="AP219" s="117"/>
      <c r="AQ219" s="330"/>
      <c r="AR219" s="117"/>
      <c r="AS219" s="1096" t="s">
        <v>159</v>
      </c>
      <c r="AT219" s="1097"/>
      <c r="AU219" s="1097"/>
      <c r="AV219" s="1097"/>
      <c r="AW219" s="1097"/>
      <c r="AX219" s="1097"/>
      <c r="AY219" s="1100"/>
      <c r="AZ219" s="257"/>
      <c r="BA219" s="257"/>
      <c r="BB219" s="1059" t="s">
        <v>162</v>
      </c>
      <c r="BC219" s="1060"/>
      <c r="BD219" s="1075" t="s">
        <v>159</v>
      </c>
      <c r="BE219" s="1075"/>
      <c r="BF219" s="1075"/>
      <c r="BG219" s="1076" t="s">
        <v>159</v>
      </c>
      <c r="BH219" s="1077"/>
      <c r="BI219" s="1077"/>
      <c r="BJ219" s="1078"/>
      <c r="BK219" s="1065"/>
      <c r="BL219" s="1066"/>
      <c r="BM219" s="1067"/>
      <c r="BN219" s="259"/>
      <c r="BO219" s="259"/>
      <c r="BP219" s="1076"/>
      <c r="BQ219" s="1077"/>
      <c r="BR219" s="1078"/>
      <c r="BS219" s="1075" t="s">
        <v>159</v>
      </c>
      <c r="BT219" s="1075"/>
      <c r="BU219" s="1075"/>
    </row>
    <row r="220" spans="1:73" ht="30" customHeight="1" x14ac:dyDescent="0.25">
      <c r="A220" s="199">
        <f t="shared" si="3"/>
        <v>206</v>
      </c>
      <c r="B220" s="1081" t="s">
        <v>162</v>
      </c>
      <c r="C220" s="1082"/>
      <c r="D220" s="1083" t="s">
        <v>159</v>
      </c>
      <c r="E220" s="1084"/>
      <c r="F220" s="1084"/>
      <c r="G220" s="1085"/>
      <c r="H220" s="1086" t="s">
        <v>159</v>
      </c>
      <c r="I220" s="1087"/>
      <c r="J220" s="1087"/>
      <c r="K220" s="1088"/>
      <c r="L220" s="1089" t="s">
        <v>159</v>
      </c>
      <c r="M220" s="1090"/>
      <c r="N220" s="1091"/>
      <c r="O220" s="1092" t="s">
        <v>159</v>
      </c>
      <c r="P220" s="1093"/>
      <c r="Q220" s="1094"/>
      <c r="R220" s="812"/>
      <c r="S220" s="1095"/>
      <c r="T220" s="813"/>
      <c r="U220" s="745"/>
      <c r="V220" s="940"/>
      <c r="W220" s="746"/>
      <c r="X220" s="312"/>
      <c r="Y220" s="308"/>
      <c r="Z220" s="312"/>
      <c r="AA220" s="308"/>
      <c r="AB220" s="312"/>
      <c r="AC220" s="308"/>
      <c r="AD220" s="312"/>
      <c r="AE220" s="308"/>
      <c r="AF220" s="312"/>
      <c r="AG220" s="308"/>
      <c r="AH220" s="312"/>
      <c r="AI220" s="308"/>
      <c r="AJ220" s="117"/>
      <c r="AK220" s="330"/>
      <c r="AL220" s="117"/>
      <c r="AM220" s="330"/>
      <c r="AN220" s="117"/>
      <c r="AO220" s="330"/>
      <c r="AP220" s="117"/>
      <c r="AQ220" s="330"/>
      <c r="AR220" s="117"/>
      <c r="AS220" s="1096" t="s">
        <v>159</v>
      </c>
      <c r="AT220" s="1097"/>
      <c r="AU220" s="1097"/>
      <c r="AV220" s="1097"/>
      <c r="AW220" s="1097"/>
      <c r="AX220" s="1097"/>
      <c r="AY220" s="1100"/>
      <c r="AZ220" s="257"/>
      <c r="BA220" s="257"/>
      <c r="BB220" s="1059" t="s">
        <v>162</v>
      </c>
      <c r="BC220" s="1060"/>
      <c r="BD220" s="1075" t="s">
        <v>159</v>
      </c>
      <c r="BE220" s="1075"/>
      <c r="BF220" s="1075"/>
      <c r="BG220" s="1076" t="s">
        <v>159</v>
      </c>
      <c r="BH220" s="1077"/>
      <c r="BI220" s="1077"/>
      <c r="BJ220" s="1078"/>
      <c r="BK220" s="1065"/>
      <c r="BL220" s="1066"/>
      <c r="BM220" s="1067"/>
      <c r="BN220" s="259"/>
      <c r="BO220" s="259"/>
      <c r="BP220" s="1076"/>
      <c r="BQ220" s="1077"/>
      <c r="BR220" s="1078"/>
      <c r="BS220" s="1075" t="s">
        <v>159</v>
      </c>
      <c r="BT220" s="1075"/>
      <c r="BU220" s="1075"/>
    </row>
    <row r="221" spans="1:73" ht="30" customHeight="1" x14ac:dyDescent="0.25">
      <c r="A221" s="199">
        <f t="shared" si="3"/>
        <v>207</v>
      </c>
      <c r="B221" s="1081" t="s">
        <v>162</v>
      </c>
      <c r="C221" s="1082"/>
      <c r="D221" s="1083" t="s">
        <v>159</v>
      </c>
      <c r="E221" s="1084"/>
      <c r="F221" s="1084"/>
      <c r="G221" s="1085"/>
      <c r="H221" s="1086" t="s">
        <v>159</v>
      </c>
      <c r="I221" s="1087"/>
      <c r="J221" s="1087"/>
      <c r="K221" s="1088"/>
      <c r="L221" s="1089" t="s">
        <v>159</v>
      </c>
      <c r="M221" s="1090"/>
      <c r="N221" s="1091"/>
      <c r="O221" s="1092" t="s">
        <v>159</v>
      </c>
      <c r="P221" s="1093"/>
      <c r="Q221" s="1094"/>
      <c r="R221" s="812"/>
      <c r="S221" s="1095"/>
      <c r="T221" s="813"/>
      <c r="U221" s="745"/>
      <c r="V221" s="940"/>
      <c r="W221" s="746"/>
      <c r="X221" s="312"/>
      <c r="Y221" s="308"/>
      <c r="Z221" s="312"/>
      <c r="AA221" s="308"/>
      <c r="AB221" s="312"/>
      <c r="AC221" s="308"/>
      <c r="AD221" s="312"/>
      <c r="AE221" s="308"/>
      <c r="AF221" s="312"/>
      <c r="AG221" s="308"/>
      <c r="AH221" s="312"/>
      <c r="AI221" s="308"/>
      <c r="AJ221" s="117"/>
      <c r="AK221" s="330"/>
      <c r="AL221" s="117"/>
      <c r="AM221" s="330"/>
      <c r="AN221" s="117"/>
      <c r="AO221" s="330"/>
      <c r="AP221" s="117"/>
      <c r="AQ221" s="330"/>
      <c r="AR221" s="117"/>
      <c r="AS221" s="1096" t="s">
        <v>159</v>
      </c>
      <c r="AT221" s="1097"/>
      <c r="AU221" s="1097"/>
      <c r="AV221" s="1097"/>
      <c r="AW221" s="1097"/>
      <c r="AX221" s="1097"/>
      <c r="AY221" s="1100"/>
      <c r="AZ221" s="257"/>
      <c r="BA221" s="257"/>
      <c r="BB221" s="1059" t="s">
        <v>162</v>
      </c>
      <c r="BC221" s="1060"/>
      <c r="BD221" s="1075" t="s">
        <v>159</v>
      </c>
      <c r="BE221" s="1075"/>
      <c r="BF221" s="1075"/>
      <c r="BG221" s="1076" t="s">
        <v>159</v>
      </c>
      <c r="BH221" s="1077"/>
      <c r="BI221" s="1077"/>
      <c r="BJ221" s="1078"/>
      <c r="BK221" s="1065"/>
      <c r="BL221" s="1066"/>
      <c r="BM221" s="1067"/>
      <c r="BN221" s="259"/>
      <c r="BO221" s="259"/>
      <c r="BP221" s="1076"/>
      <c r="BQ221" s="1077"/>
      <c r="BR221" s="1078"/>
      <c r="BS221" s="1075" t="s">
        <v>159</v>
      </c>
      <c r="BT221" s="1075"/>
      <c r="BU221" s="1075"/>
    </row>
    <row r="222" spans="1:73" ht="30" customHeight="1" x14ac:dyDescent="0.25">
      <c r="A222" s="199">
        <f t="shared" si="3"/>
        <v>208</v>
      </c>
      <c r="B222" s="1081" t="s">
        <v>162</v>
      </c>
      <c r="C222" s="1082"/>
      <c r="D222" s="1083" t="s">
        <v>159</v>
      </c>
      <c r="E222" s="1084"/>
      <c r="F222" s="1084"/>
      <c r="G222" s="1085"/>
      <c r="H222" s="1086" t="s">
        <v>159</v>
      </c>
      <c r="I222" s="1087"/>
      <c r="J222" s="1087"/>
      <c r="K222" s="1088"/>
      <c r="L222" s="1089" t="s">
        <v>159</v>
      </c>
      <c r="M222" s="1090"/>
      <c r="N222" s="1091"/>
      <c r="O222" s="1092" t="s">
        <v>159</v>
      </c>
      <c r="P222" s="1093"/>
      <c r="Q222" s="1094"/>
      <c r="R222" s="812"/>
      <c r="S222" s="1095"/>
      <c r="T222" s="813"/>
      <c r="U222" s="745"/>
      <c r="V222" s="940"/>
      <c r="W222" s="746"/>
      <c r="X222" s="312"/>
      <c r="Y222" s="308"/>
      <c r="Z222" s="312"/>
      <c r="AA222" s="308"/>
      <c r="AB222" s="312"/>
      <c r="AC222" s="308"/>
      <c r="AD222" s="312"/>
      <c r="AE222" s="308"/>
      <c r="AF222" s="312"/>
      <c r="AG222" s="308"/>
      <c r="AH222" s="312"/>
      <c r="AI222" s="308"/>
      <c r="AJ222" s="117"/>
      <c r="AK222" s="330"/>
      <c r="AL222" s="117"/>
      <c r="AM222" s="330"/>
      <c r="AN222" s="117"/>
      <c r="AO222" s="330"/>
      <c r="AP222" s="117"/>
      <c r="AQ222" s="330"/>
      <c r="AR222" s="117"/>
      <c r="AS222" s="1096" t="s">
        <v>159</v>
      </c>
      <c r="AT222" s="1097"/>
      <c r="AU222" s="1097"/>
      <c r="AV222" s="1097"/>
      <c r="AW222" s="1097"/>
      <c r="AX222" s="1097"/>
      <c r="AY222" s="1100"/>
      <c r="AZ222" s="257"/>
      <c r="BA222" s="257"/>
      <c r="BB222" s="1059" t="s">
        <v>162</v>
      </c>
      <c r="BC222" s="1060"/>
      <c r="BD222" s="1075" t="s">
        <v>159</v>
      </c>
      <c r="BE222" s="1075"/>
      <c r="BF222" s="1075"/>
      <c r="BG222" s="1076" t="s">
        <v>159</v>
      </c>
      <c r="BH222" s="1077"/>
      <c r="BI222" s="1077"/>
      <c r="BJ222" s="1078"/>
      <c r="BK222" s="1065"/>
      <c r="BL222" s="1066"/>
      <c r="BM222" s="1067"/>
      <c r="BN222" s="259"/>
      <c r="BO222" s="259"/>
      <c r="BP222" s="1076"/>
      <c r="BQ222" s="1077"/>
      <c r="BR222" s="1078"/>
      <c r="BS222" s="1075" t="s">
        <v>159</v>
      </c>
      <c r="BT222" s="1075"/>
      <c r="BU222" s="1075"/>
    </row>
    <row r="223" spans="1:73" ht="30" customHeight="1" x14ac:dyDescent="0.25">
      <c r="A223" s="199">
        <f t="shared" si="3"/>
        <v>209</v>
      </c>
      <c r="B223" s="1081" t="s">
        <v>162</v>
      </c>
      <c r="C223" s="1082"/>
      <c r="D223" s="1083" t="s">
        <v>159</v>
      </c>
      <c r="E223" s="1084"/>
      <c r="F223" s="1084"/>
      <c r="G223" s="1085"/>
      <c r="H223" s="1086" t="s">
        <v>159</v>
      </c>
      <c r="I223" s="1087"/>
      <c r="J223" s="1087"/>
      <c r="K223" s="1088"/>
      <c r="L223" s="1089" t="s">
        <v>159</v>
      </c>
      <c r="M223" s="1090"/>
      <c r="N223" s="1091"/>
      <c r="O223" s="1092" t="s">
        <v>159</v>
      </c>
      <c r="P223" s="1093"/>
      <c r="Q223" s="1094"/>
      <c r="R223" s="812"/>
      <c r="S223" s="1095"/>
      <c r="T223" s="813"/>
      <c r="U223" s="745"/>
      <c r="V223" s="940"/>
      <c r="W223" s="746"/>
      <c r="X223" s="312"/>
      <c r="Y223" s="308"/>
      <c r="Z223" s="312"/>
      <c r="AA223" s="308"/>
      <c r="AB223" s="312"/>
      <c r="AC223" s="308"/>
      <c r="AD223" s="312"/>
      <c r="AE223" s="308"/>
      <c r="AF223" s="312"/>
      <c r="AG223" s="308"/>
      <c r="AH223" s="312"/>
      <c r="AI223" s="308"/>
      <c r="AJ223" s="117"/>
      <c r="AK223" s="330"/>
      <c r="AL223" s="117"/>
      <c r="AM223" s="330"/>
      <c r="AN223" s="117"/>
      <c r="AO223" s="330"/>
      <c r="AP223" s="117"/>
      <c r="AQ223" s="330"/>
      <c r="AR223" s="117"/>
      <c r="AS223" s="1096" t="s">
        <v>159</v>
      </c>
      <c r="AT223" s="1097"/>
      <c r="AU223" s="1097"/>
      <c r="AV223" s="1097"/>
      <c r="AW223" s="1097"/>
      <c r="AX223" s="1097"/>
      <c r="AY223" s="1100"/>
      <c r="AZ223" s="257"/>
      <c r="BA223" s="257"/>
      <c r="BB223" s="1059" t="s">
        <v>162</v>
      </c>
      <c r="BC223" s="1060"/>
      <c r="BD223" s="1075" t="s">
        <v>159</v>
      </c>
      <c r="BE223" s="1075"/>
      <c r="BF223" s="1075"/>
      <c r="BG223" s="1076" t="s">
        <v>159</v>
      </c>
      <c r="BH223" s="1077"/>
      <c r="BI223" s="1077"/>
      <c r="BJ223" s="1078"/>
      <c r="BK223" s="1065"/>
      <c r="BL223" s="1066"/>
      <c r="BM223" s="1067"/>
      <c r="BN223" s="259"/>
      <c r="BO223" s="259"/>
      <c r="BP223" s="1076"/>
      <c r="BQ223" s="1077"/>
      <c r="BR223" s="1078"/>
      <c r="BS223" s="1075" t="s">
        <v>159</v>
      </c>
      <c r="BT223" s="1075"/>
      <c r="BU223" s="1075"/>
    </row>
    <row r="224" spans="1:73" ht="30" customHeight="1" x14ac:dyDescent="0.25">
      <c r="A224" s="199">
        <f t="shared" si="3"/>
        <v>210</v>
      </c>
      <c r="B224" s="1081" t="s">
        <v>162</v>
      </c>
      <c r="C224" s="1082"/>
      <c r="D224" s="1083" t="s">
        <v>159</v>
      </c>
      <c r="E224" s="1084"/>
      <c r="F224" s="1084"/>
      <c r="G224" s="1085"/>
      <c r="H224" s="1086" t="s">
        <v>159</v>
      </c>
      <c r="I224" s="1087"/>
      <c r="J224" s="1087"/>
      <c r="K224" s="1088"/>
      <c r="L224" s="1089" t="s">
        <v>159</v>
      </c>
      <c r="M224" s="1090"/>
      <c r="N224" s="1091"/>
      <c r="O224" s="1092" t="s">
        <v>159</v>
      </c>
      <c r="P224" s="1093"/>
      <c r="Q224" s="1094"/>
      <c r="R224" s="812"/>
      <c r="S224" s="1095"/>
      <c r="T224" s="813"/>
      <c r="U224" s="745"/>
      <c r="V224" s="940"/>
      <c r="W224" s="746"/>
      <c r="X224" s="312"/>
      <c r="Y224" s="308"/>
      <c r="Z224" s="312"/>
      <c r="AA224" s="308"/>
      <c r="AB224" s="312"/>
      <c r="AC224" s="308"/>
      <c r="AD224" s="312"/>
      <c r="AE224" s="308"/>
      <c r="AF224" s="312"/>
      <c r="AG224" s="308"/>
      <c r="AH224" s="312"/>
      <c r="AI224" s="308"/>
      <c r="AJ224" s="117"/>
      <c r="AK224" s="330"/>
      <c r="AL224" s="117"/>
      <c r="AM224" s="330"/>
      <c r="AN224" s="117"/>
      <c r="AO224" s="330"/>
      <c r="AP224" s="117"/>
      <c r="AQ224" s="330"/>
      <c r="AR224" s="117"/>
      <c r="AS224" s="1096" t="s">
        <v>159</v>
      </c>
      <c r="AT224" s="1097"/>
      <c r="AU224" s="1097"/>
      <c r="AV224" s="1097"/>
      <c r="AW224" s="1097"/>
      <c r="AX224" s="1097"/>
      <c r="AY224" s="1100"/>
      <c r="AZ224" s="257"/>
      <c r="BA224" s="257"/>
      <c r="BB224" s="1059" t="s">
        <v>162</v>
      </c>
      <c r="BC224" s="1060"/>
      <c r="BD224" s="1075" t="s">
        <v>159</v>
      </c>
      <c r="BE224" s="1075"/>
      <c r="BF224" s="1075"/>
      <c r="BG224" s="1076" t="s">
        <v>159</v>
      </c>
      <c r="BH224" s="1077"/>
      <c r="BI224" s="1077"/>
      <c r="BJ224" s="1078"/>
      <c r="BK224" s="1065"/>
      <c r="BL224" s="1066"/>
      <c r="BM224" s="1067"/>
      <c r="BN224" s="259"/>
      <c r="BO224" s="259"/>
      <c r="BP224" s="1076"/>
      <c r="BQ224" s="1077"/>
      <c r="BR224" s="1078"/>
      <c r="BS224" s="1075" t="s">
        <v>159</v>
      </c>
      <c r="BT224" s="1075"/>
      <c r="BU224" s="1075"/>
    </row>
    <row r="225" spans="1:73" ht="30" customHeight="1" x14ac:dyDescent="0.25">
      <c r="A225" s="199">
        <f t="shared" si="3"/>
        <v>211</v>
      </c>
      <c r="B225" s="1081" t="s">
        <v>162</v>
      </c>
      <c r="C225" s="1082"/>
      <c r="D225" s="1083" t="s">
        <v>159</v>
      </c>
      <c r="E225" s="1084"/>
      <c r="F225" s="1084"/>
      <c r="G225" s="1085"/>
      <c r="H225" s="1086" t="s">
        <v>159</v>
      </c>
      <c r="I225" s="1087"/>
      <c r="J225" s="1087"/>
      <c r="K225" s="1088"/>
      <c r="L225" s="1089" t="s">
        <v>159</v>
      </c>
      <c r="M225" s="1090"/>
      <c r="N225" s="1091"/>
      <c r="O225" s="1092" t="s">
        <v>159</v>
      </c>
      <c r="P225" s="1093"/>
      <c r="Q225" s="1094"/>
      <c r="R225" s="812"/>
      <c r="S225" s="1095"/>
      <c r="T225" s="813"/>
      <c r="U225" s="745"/>
      <c r="V225" s="940"/>
      <c r="W225" s="746"/>
      <c r="X225" s="312"/>
      <c r="Y225" s="308"/>
      <c r="Z225" s="312"/>
      <c r="AA225" s="308"/>
      <c r="AB225" s="312"/>
      <c r="AC225" s="308"/>
      <c r="AD225" s="312"/>
      <c r="AE225" s="308"/>
      <c r="AF225" s="312"/>
      <c r="AG225" s="308"/>
      <c r="AH225" s="312"/>
      <c r="AI225" s="308"/>
      <c r="AJ225" s="117"/>
      <c r="AK225" s="330"/>
      <c r="AL225" s="117"/>
      <c r="AM225" s="330"/>
      <c r="AN225" s="117"/>
      <c r="AO225" s="330"/>
      <c r="AP225" s="117"/>
      <c r="AQ225" s="330"/>
      <c r="AR225" s="117"/>
      <c r="AS225" s="1096" t="s">
        <v>159</v>
      </c>
      <c r="AT225" s="1097"/>
      <c r="AU225" s="1097"/>
      <c r="AV225" s="1097"/>
      <c r="AW225" s="1097"/>
      <c r="AX225" s="1097"/>
      <c r="AY225" s="1100"/>
      <c r="AZ225" s="257"/>
      <c r="BA225" s="257"/>
      <c r="BB225" s="1079" t="s">
        <v>162</v>
      </c>
      <c r="BC225" s="1080"/>
      <c r="BD225" s="1075" t="s">
        <v>159</v>
      </c>
      <c r="BE225" s="1075"/>
      <c r="BF225" s="1075"/>
      <c r="BG225" s="1076" t="s">
        <v>159</v>
      </c>
      <c r="BH225" s="1077"/>
      <c r="BI225" s="1077"/>
      <c r="BJ225" s="1078"/>
      <c r="BK225" s="1065"/>
      <c r="BL225" s="1066"/>
      <c r="BM225" s="1067"/>
      <c r="BN225" s="259"/>
      <c r="BO225" s="259"/>
      <c r="BP225" s="1076"/>
      <c r="BQ225" s="1077"/>
      <c r="BR225" s="1078"/>
      <c r="BS225" s="1075" t="s">
        <v>159</v>
      </c>
      <c r="BT225" s="1075"/>
      <c r="BU225" s="1075"/>
    </row>
    <row r="226" spans="1:73" ht="30" customHeight="1" x14ac:dyDescent="0.25">
      <c r="A226" s="199">
        <f t="shared" si="3"/>
        <v>212</v>
      </c>
      <c r="B226" s="1081" t="s">
        <v>162</v>
      </c>
      <c r="C226" s="1082"/>
      <c r="D226" s="1083" t="s">
        <v>159</v>
      </c>
      <c r="E226" s="1084"/>
      <c r="F226" s="1084"/>
      <c r="G226" s="1085"/>
      <c r="H226" s="1086" t="s">
        <v>159</v>
      </c>
      <c r="I226" s="1087"/>
      <c r="J226" s="1087"/>
      <c r="K226" s="1088"/>
      <c r="L226" s="1089" t="s">
        <v>159</v>
      </c>
      <c r="M226" s="1090"/>
      <c r="N226" s="1091"/>
      <c r="O226" s="1092" t="s">
        <v>159</v>
      </c>
      <c r="P226" s="1093"/>
      <c r="Q226" s="1094"/>
      <c r="R226" s="812"/>
      <c r="S226" s="1095"/>
      <c r="T226" s="813"/>
      <c r="U226" s="745"/>
      <c r="V226" s="940"/>
      <c r="W226" s="746"/>
      <c r="X226" s="312"/>
      <c r="Y226" s="308"/>
      <c r="Z226" s="312"/>
      <c r="AA226" s="308"/>
      <c r="AB226" s="312"/>
      <c r="AC226" s="308"/>
      <c r="AD226" s="312"/>
      <c r="AE226" s="308"/>
      <c r="AF226" s="312"/>
      <c r="AG226" s="308"/>
      <c r="AH226" s="312"/>
      <c r="AI226" s="308"/>
      <c r="AJ226" s="117"/>
      <c r="AK226" s="330"/>
      <c r="AL226" s="117"/>
      <c r="AM226" s="330"/>
      <c r="AN226" s="117"/>
      <c r="AO226" s="330"/>
      <c r="AP226" s="117"/>
      <c r="AQ226" s="330"/>
      <c r="AR226" s="117"/>
      <c r="AS226" s="1096" t="s">
        <v>159</v>
      </c>
      <c r="AT226" s="1097"/>
      <c r="AU226" s="1097"/>
      <c r="AV226" s="1097"/>
      <c r="AW226" s="1097"/>
      <c r="AX226" s="1097"/>
      <c r="AY226" s="1100"/>
      <c r="AZ226" s="257"/>
      <c r="BA226" s="257"/>
      <c r="BB226" s="1059" t="s">
        <v>162</v>
      </c>
      <c r="BC226" s="1060"/>
      <c r="BD226" s="1075" t="s">
        <v>159</v>
      </c>
      <c r="BE226" s="1075"/>
      <c r="BF226" s="1075"/>
      <c r="BG226" s="1076" t="s">
        <v>159</v>
      </c>
      <c r="BH226" s="1077"/>
      <c r="BI226" s="1077"/>
      <c r="BJ226" s="1078"/>
      <c r="BK226" s="1065"/>
      <c r="BL226" s="1066"/>
      <c r="BM226" s="1067"/>
      <c r="BN226" s="259"/>
      <c r="BO226" s="259"/>
      <c r="BP226" s="1076"/>
      <c r="BQ226" s="1077"/>
      <c r="BR226" s="1078"/>
      <c r="BS226" s="1075" t="s">
        <v>159</v>
      </c>
      <c r="BT226" s="1075"/>
      <c r="BU226" s="1075"/>
    </row>
    <row r="227" spans="1:73" ht="30" customHeight="1" x14ac:dyDescent="0.25">
      <c r="A227" s="199">
        <f t="shared" si="3"/>
        <v>213</v>
      </c>
      <c r="B227" s="1081" t="s">
        <v>162</v>
      </c>
      <c r="C227" s="1082"/>
      <c r="D227" s="1083" t="s">
        <v>159</v>
      </c>
      <c r="E227" s="1084"/>
      <c r="F227" s="1084"/>
      <c r="G227" s="1085"/>
      <c r="H227" s="1086" t="s">
        <v>159</v>
      </c>
      <c r="I227" s="1087"/>
      <c r="J227" s="1087"/>
      <c r="K227" s="1088"/>
      <c r="L227" s="1089" t="s">
        <v>159</v>
      </c>
      <c r="M227" s="1090"/>
      <c r="N227" s="1091"/>
      <c r="O227" s="1092" t="s">
        <v>159</v>
      </c>
      <c r="P227" s="1093"/>
      <c r="Q227" s="1094"/>
      <c r="R227" s="812"/>
      <c r="S227" s="1095"/>
      <c r="T227" s="813"/>
      <c r="U227" s="745"/>
      <c r="V227" s="940"/>
      <c r="W227" s="746"/>
      <c r="X227" s="312"/>
      <c r="Y227" s="308"/>
      <c r="Z227" s="312"/>
      <c r="AA227" s="308"/>
      <c r="AB227" s="312"/>
      <c r="AC227" s="308"/>
      <c r="AD227" s="312"/>
      <c r="AE227" s="308"/>
      <c r="AF227" s="312"/>
      <c r="AG227" s="308"/>
      <c r="AH227" s="312"/>
      <c r="AI227" s="308"/>
      <c r="AJ227" s="117"/>
      <c r="AK227" s="330"/>
      <c r="AL227" s="117"/>
      <c r="AM227" s="330"/>
      <c r="AN227" s="117"/>
      <c r="AO227" s="330"/>
      <c r="AP227" s="117"/>
      <c r="AQ227" s="330"/>
      <c r="AR227" s="117"/>
      <c r="AS227" s="1096" t="s">
        <v>159</v>
      </c>
      <c r="AT227" s="1097"/>
      <c r="AU227" s="1097"/>
      <c r="AV227" s="1097"/>
      <c r="AW227" s="1097"/>
      <c r="AX227" s="1097"/>
      <c r="AY227" s="1100"/>
      <c r="AZ227" s="257"/>
      <c r="BA227" s="257"/>
      <c r="BB227" s="1059" t="s">
        <v>162</v>
      </c>
      <c r="BC227" s="1060"/>
      <c r="BD227" s="1075" t="s">
        <v>159</v>
      </c>
      <c r="BE227" s="1075"/>
      <c r="BF227" s="1075"/>
      <c r="BG227" s="1076" t="s">
        <v>159</v>
      </c>
      <c r="BH227" s="1077"/>
      <c r="BI227" s="1077"/>
      <c r="BJ227" s="1078"/>
      <c r="BK227" s="1065"/>
      <c r="BL227" s="1066"/>
      <c r="BM227" s="1067"/>
      <c r="BN227" s="259"/>
      <c r="BO227" s="259"/>
      <c r="BP227" s="1076"/>
      <c r="BQ227" s="1077"/>
      <c r="BR227" s="1078"/>
      <c r="BS227" s="1075" t="s">
        <v>159</v>
      </c>
      <c r="BT227" s="1075"/>
      <c r="BU227" s="1075"/>
    </row>
    <row r="228" spans="1:73" ht="30" customHeight="1" x14ac:dyDescent="0.25">
      <c r="A228" s="199">
        <f t="shared" si="3"/>
        <v>214</v>
      </c>
      <c r="B228" s="1081" t="s">
        <v>162</v>
      </c>
      <c r="C228" s="1082"/>
      <c r="D228" s="1083" t="s">
        <v>159</v>
      </c>
      <c r="E228" s="1084"/>
      <c r="F228" s="1084"/>
      <c r="G228" s="1085"/>
      <c r="H228" s="1086" t="s">
        <v>159</v>
      </c>
      <c r="I228" s="1087"/>
      <c r="J228" s="1087"/>
      <c r="K228" s="1088"/>
      <c r="L228" s="1089" t="s">
        <v>159</v>
      </c>
      <c r="M228" s="1090"/>
      <c r="N228" s="1091"/>
      <c r="O228" s="1092" t="s">
        <v>159</v>
      </c>
      <c r="P228" s="1093"/>
      <c r="Q228" s="1094"/>
      <c r="R228" s="812"/>
      <c r="S228" s="1095"/>
      <c r="T228" s="813"/>
      <c r="U228" s="745"/>
      <c r="V228" s="940"/>
      <c r="W228" s="746"/>
      <c r="X228" s="312"/>
      <c r="Y228" s="308"/>
      <c r="Z228" s="312"/>
      <c r="AA228" s="308"/>
      <c r="AB228" s="312"/>
      <c r="AC228" s="308"/>
      <c r="AD228" s="312"/>
      <c r="AE228" s="308"/>
      <c r="AF228" s="312"/>
      <c r="AG228" s="308"/>
      <c r="AH228" s="312"/>
      <c r="AI228" s="308"/>
      <c r="AJ228" s="117"/>
      <c r="AK228" s="330"/>
      <c r="AL228" s="117"/>
      <c r="AM228" s="330"/>
      <c r="AN228" s="117"/>
      <c r="AO228" s="330"/>
      <c r="AP228" s="117"/>
      <c r="AQ228" s="330"/>
      <c r="AR228" s="117"/>
      <c r="AS228" s="1096" t="s">
        <v>159</v>
      </c>
      <c r="AT228" s="1097"/>
      <c r="AU228" s="1097"/>
      <c r="AV228" s="1097"/>
      <c r="AW228" s="1097"/>
      <c r="AX228" s="1097"/>
      <c r="AY228" s="1100"/>
      <c r="AZ228" s="257"/>
      <c r="BA228" s="257"/>
      <c r="BB228" s="1059" t="s">
        <v>162</v>
      </c>
      <c r="BC228" s="1060"/>
      <c r="BD228" s="1075" t="s">
        <v>159</v>
      </c>
      <c r="BE228" s="1075"/>
      <c r="BF228" s="1075"/>
      <c r="BG228" s="1076" t="s">
        <v>159</v>
      </c>
      <c r="BH228" s="1077"/>
      <c r="BI228" s="1077"/>
      <c r="BJ228" s="1078"/>
      <c r="BK228" s="1065"/>
      <c r="BL228" s="1066"/>
      <c r="BM228" s="1067"/>
      <c r="BN228" s="259"/>
      <c r="BO228" s="259"/>
      <c r="BP228" s="1076"/>
      <c r="BQ228" s="1077"/>
      <c r="BR228" s="1078"/>
      <c r="BS228" s="1075" t="s">
        <v>159</v>
      </c>
      <c r="BT228" s="1075"/>
      <c r="BU228" s="1075"/>
    </row>
    <row r="229" spans="1:73" ht="30" customHeight="1" x14ac:dyDescent="0.25">
      <c r="A229" s="199">
        <f t="shared" si="3"/>
        <v>215</v>
      </c>
      <c r="B229" s="1081" t="s">
        <v>162</v>
      </c>
      <c r="C229" s="1082"/>
      <c r="D229" s="1083" t="s">
        <v>159</v>
      </c>
      <c r="E229" s="1084"/>
      <c r="F229" s="1084"/>
      <c r="G229" s="1085"/>
      <c r="H229" s="1086" t="s">
        <v>159</v>
      </c>
      <c r="I229" s="1087"/>
      <c r="J229" s="1087"/>
      <c r="K229" s="1088"/>
      <c r="L229" s="1089" t="s">
        <v>159</v>
      </c>
      <c r="M229" s="1090"/>
      <c r="N229" s="1091"/>
      <c r="O229" s="1092" t="s">
        <v>159</v>
      </c>
      <c r="P229" s="1093"/>
      <c r="Q229" s="1094"/>
      <c r="R229" s="812"/>
      <c r="S229" s="1095"/>
      <c r="T229" s="813"/>
      <c r="U229" s="745"/>
      <c r="V229" s="940"/>
      <c r="W229" s="746"/>
      <c r="X229" s="312"/>
      <c r="Y229" s="308"/>
      <c r="Z229" s="312"/>
      <c r="AA229" s="308"/>
      <c r="AB229" s="312"/>
      <c r="AC229" s="308"/>
      <c r="AD229" s="312"/>
      <c r="AE229" s="308"/>
      <c r="AF229" s="312"/>
      <c r="AG229" s="308"/>
      <c r="AH229" s="312"/>
      <c r="AI229" s="308"/>
      <c r="AJ229" s="117"/>
      <c r="AK229" s="330"/>
      <c r="AL229" s="117"/>
      <c r="AM229" s="330"/>
      <c r="AN229" s="117"/>
      <c r="AO229" s="330"/>
      <c r="AP229" s="117"/>
      <c r="AQ229" s="330"/>
      <c r="AR229" s="117"/>
      <c r="AS229" s="1096" t="s">
        <v>159</v>
      </c>
      <c r="AT229" s="1097"/>
      <c r="AU229" s="1097"/>
      <c r="AV229" s="1097"/>
      <c r="AW229" s="1097"/>
      <c r="AX229" s="1097"/>
      <c r="AY229" s="1100"/>
      <c r="AZ229" s="257"/>
      <c r="BA229" s="257"/>
      <c r="BB229" s="1059" t="s">
        <v>162</v>
      </c>
      <c r="BC229" s="1060"/>
      <c r="BD229" s="1075" t="s">
        <v>159</v>
      </c>
      <c r="BE229" s="1075"/>
      <c r="BF229" s="1075"/>
      <c r="BG229" s="1076" t="s">
        <v>159</v>
      </c>
      <c r="BH229" s="1077"/>
      <c r="BI229" s="1077"/>
      <c r="BJ229" s="1078"/>
      <c r="BK229" s="1065"/>
      <c r="BL229" s="1066"/>
      <c r="BM229" s="1067"/>
      <c r="BN229" s="259"/>
      <c r="BO229" s="259"/>
      <c r="BP229" s="1076"/>
      <c r="BQ229" s="1077"/>
      <c r="BR229" s="1078"/>
      <c r="BS229" s="1075" t="s">
        <v>159</v>
      </c>
      <c r="BT229" s="1075"/>
      <c r="BU229" s="1075"/>
    </row>
    <row r="230" spans="1:73" ht="30" customHeight="1" x14ac:dyDescent="0.25">
      <c r="A230" s="199">
        <f t="shared" si="3"/>
        <v>216</v>
      </c>
      <c r="B230" s="1081" t="s">
        <v>162</v>
      </c>
      <c r="C230" s="1082"/>
      <c r="D230" s="1083" t="s">
        <v>159</v>
      </c>
      <c r="E230" s="1084"/>
      <c r="F230" s="1084"/>
      <c r="G230" s="1085"/>
      <c r="H230" s="1086" t="s">
        <v>159</v>
      </c>
      <c r="I230" s="1087"/>
      <c r="J230" s="1087"/>
      <c r="K230" s="1088"/>
      <c r="L230" s="1089" t="s">
        <v>159</v>
      </c>
      <c r="M230" s="1090"/>
      <c r="N230" s="1091"/>
      <c r="O230" s="1092" t="s">
        <v>159</v>
      </c>
      <c r="P230" s="1093"/>
      <c r="Q230" s="1094"/>
      <c r="R230" s="812"/>
      <c r="S230" s="1095"/>
      <c r="T230" s="813"/>
      <c r="U230" s="745"/>
      <c r="V230" s="940"/>
      <c r="W230" s="746"/>
      <c r="X230" s="312"/>
      <c r="Y230" s="308"/>
      <c r="Z230" s="312"/>
      <c r="AA230" s="308"/>
      <c r="AB230" s="312"/>
      <c r="AC230" s="308"/>
      <c r="AD230" s="312"/>
      <c r="AE230" s="308"/>
      <c r="AF230" s="312"/>
      <c r="AG230" s="308"/>
      <c r="AH230" s="312"/>
      <c r="AI230" s="308"/>
      <c r="AJ230" s="117"/>
      <c r="AK230" s="330"/>
      <c r="AL230" s="117"/>
      <c r="AM230" s="330"/>
      <c r="AN230" s="117"/>
      <c r="AO230" s="330"/>
      <c r="AP230" s="117"/>
      <c r="AQ230" s="330"/>
      <c r="AR230" s="117"/>
      <c r="AS230" s="1096" t="s">
        <v>159</v>
      </c>
      <c r="AT230" s="1097"/>
      <c r="AU230" s="1097"/>
      <c r="AV230" s="1097"/>
      <c r="AW230" s="1097"/>
      <c r="AX230" s="1097"/>
      <c r="AY230" s="1100"/>
      <c r="AZ230" s="257"/>
      <c r="BA230" s="257"/>
      <c r="BB230" s="1059" t="s">
        <v>162</v>
      </c>
      <c r="BC230" s="1060"/>
      <c r="BD230" s="1075" t="s">
        <v>159</v>
      </c>
      <c r="BE230" s="1075"/>
      <c r="BF230" s="1075"/>
      <c r="BG230" s="1076" t="s">
        <v>159</v>
      </c>
      <c r="BH230" s="1077"/>
      <c r="BI230" s="1077"/>
      <c r="BJ230" s="1078"/>
      <c r="BK230" s="1065"/>
      <c r="BL230" s="1066"/>
      <c r="BM230" s="1067"/>
      <c r="BN230" s="259"/>
      <c r="BO230" s="259"/>
      <c r="BP230" s="1076"/>
      <c r="BQ230" s="1077"/>
      <c r="BR230" s="1078"/>
      <c r="BS230" s="1075" t="s">
        <v>159</v>
      </c>
      <c r="BT230" s="1075"/>
      <c r="BU230" s="1075"/>
    </row>
    <row r="231" spans="1:73" ht="30" customHeight="1" x14ac:dyDescent="0.25">
      <c r="A231" s="199">
        <f t="shared" si="3"/>
        <v>217</v>
      </c>
      <c r="B231" s="1081" t="s">
        <v>162</v>
      </c>
      <c r="C231" s="1082"/>
      <c r="D231" s="1083" t="s">
        <v>159</v>
      </c>
      <c r="E231" s="1084"/>
      <c r="F231" s="1084"/>
      <c r="G231" s="1085"/>
      <c r="H231" s="1086" t="s">
        <v>159</v>
      </c>
      <c r="I231" s="1087"/>
      <c r="J231" s="1087"/>
      <c r="K231" s="1088"/>
      <c r="L231" s="1089" t="s">
        <v>159</v>
      </c>
      <c r="M231" s="1090"/>
      <c r="N231" s="1091"/>
      <c r="O231" s="1092" t="s">
        <v>159</v>
      </c>
      <c r="P231" s="1093"/>
      <c r="Q231" s="1094"/>
      <c r="R231" s="812"/>
      <c r="S231" s="1095"/>
      <c r="T231" s="813"/>
      <c r="U231" s="745"/>
      <c r="V231" s="940"/>
      <c r="W231" s="746"/>
      <c r="X231" s="312"/>
      <c r="Y231" s="308"/>
      <c r="Z231" s="312"/>
      <c r="AA231" s="308"/>
      <c r="AB231" s="312"/>
      <c r="AC231" s="308"/>
      <c r="AD231" s="312"/>
      <c r="AE231" s="308"/>
      <c r="AF231" s="312"/>
      <c r="AG231" s="308"/>
      <c r="AH231" s="312"/>
      <c r="AI231" s="308"/>
      <c r="AJ231" s="117"/>
      <c r="AK231" s="330"/>
      <c r="AL231" s="117"/>
      <c r="AM231" s="330"/>
      <c r="AN231" s="117"/>
      <c r="AO231" s="330"/>
      <c r="AP231" s="117"/>
      <c r="AQ231" s="330"/>
      <c r="AR231" s="117"/>
      <c r="AS231" s="1096" t="s">
        <v>159</v>
      </c>
      <c r="AT231" s="1097"/>
      <c r="AU231" s="1097"/>
      <c r="AV231" s="1097"/>
      <c r="AW231" s="1097"/>
      <c r="AX231" s="1097"/>
      <c r="AY231" s="1100"/>
      <c r="AZ231" s="257"/>
      <c r="BA231" s="257"/>
      <c r="BB231" s="1059" t="s">
        <v>162</v>
      </c>
      <c r="BC231" s="1060"/>
      <c r="BD231" s="1075" t="s">
        <v>159</v>
      </c>
      <c r="BE231" s="1075"/>
      <c r="BF231" s="1075"/>
      <c r="BG231" s="1076" t="s">
        <v>159</v>
      </c>
      <c r="BH231" s="1077"/>
      <c r="BI231" s="1077"/>
      <c r="BJ231" s="1078"/>
      <c r="BK231" s="1065"/>
      <c r="BL231" s="1066"/>
      <c r="BM231" s="1067"/>
      <c r="BN231" s="259"/>
      <c r="BO231" s="259"/>
      <c r="BP231" s="1076"/>
      <c r="BQ231" s="1077"/>
      <c r="BR231" s="1078"/>
      <c r="BS231" s="1075" t="s">
        <v>159</v>
      </c>
      <c r="BT231" s="1075"/>
      <c r="BU231" s="1075"/>
    </row>
    <row r="232" spans="1:73" ht="30" customHeight="1" x14ac:dyDescent="0.25">
      <c r="A232" s="199">
        <f t="shared" si="3"/>
        <v>218</v>
      </c>
      <c r="B232" s="1081" t="s">
        <v>162</v>
      </c>
      <c r="C232" s="1082"/>
      <c r="D232" s="1083" t="s">
        <v>159</v>
      </c>
      <c r="E232" s="1084"/>
      <c r="F232" s="1084"/>
      <c r="G232" s="1085"/>
      <c r="H232" s="1086" t="s">
        <v>159</v>
      </c>
      <c r="I232" s="1087"/>
      <c r="J232" s="1087"/>
      <c r="K232" s="1088"/>
      <c r="L232" s="1089" t="s">
        <v>159</v>
      </c>
      <c r="M232" s="1090"/>
      <c r="N232" s="1091"/>
      <c r="O232" s="1092" t="s">
        <v>159</v>
      </c>
      <c r="P232" s="1093"/>
      <c r="Q232" s="1094"/>
      <c r="R232" s="812"/>
      <c r="S232" s="1095"/>
      <c r="T232" s="813"/>
      <c r="U232" s="745"/>
      <c r="V232" s="940"/>
      <c r="W232" s="746"/>
      <c r="X232" s="312"/>
      <c r="Y232" s="308"/>
      <c r="Z232" s="312"/>
      <c r="AA232" s="308"/>
      <c r="AB232" s="312"/>
      <c r="AC232" s="308"/>
      <c r="AD232" s="312"/>
      <c r="AE232" s="308"/>
      <c r="AF232" s="312"/>
      <c r="AG232" s="308"/>
      <c r="AH232" s="312"/>
      <c r="AI232" s="308"/>
      <c r="AJ232" s="117"/>
      <c r="AK232" s="330"/>
      <c r="AL232" s="117"/>
      <c r="AM232" s="330"/>
      <c r="AN232" s="117"/>
      <c r="AO232" s="330"/>
      <c r="AP232" s="117"/>
      <c r="AQ232" s="330"/>
      <c r="AR232" s="117"/>
      <c r="AS232" s="1096" t="s">
        <v>159</v>
      </c>
      <c r="AT232" s="1097"/>
      <c r="AU232" s="1097"/>
      <c r="AV232" s="1097"/>
      <c r="AW232" s="1097"/>
      <c r="AX232" s="1097"/>
      <c r="AY232" s="1100"/>
      <c r="AZ232" s="257"/>
      <c r="BA232" s="257"/>
      <c r="BB232" s="1079" t="s">
        <v>162</v>
      </c>
      <c r="BC232" s="1080"/>
      <c r="BD232" s="1075" t="s">
        <v>159</v>
      </c>
      <c r="BE232" s="1075"/>
      <c r="BF232" s="1075"/>
      <c r="BG232" s="1076" t="s">
        <v>159</v>
      </c>
      <c r="BH232" s="1077"/>
      <c r="BI232" s="1077"/>
      <c r="BJ232" s="1078"/>
      <c r="BK232" s="1065"/>
      <c r="BL232" s="1066"/>
      <c r="BM232" s="1067"/>
      <c r="BN232" s="259"/>
      <c r="BO232" s="259"/>
      <c r="BP232" s="1076"/>
      <c r="BQ232" s="1077"/>
      <c r="BR232" s="1078"/>
      <c r="BS232" s="1075" t="s">
        <v>159</v>
      </c>
      <c r="BT232" s="1075"/>
      <c r="BU232" s="1075"/>
    </row>
    <row r="233" spans="1:73" ht="30" customHeight="1" x14ac:dyDescent="0.25">
      <c r="A233" s="199">
        <f t="shared" si="3"/>
        <v>219</v>
      </c>
      <c r="B233" s="1081" t="s">
        <v>162</v>
      </c>
      <c r="C233" s="1082"/>
      <c r="D233" s="1083" t="s">
        <v>159</v>
      </c>
      <c r="E233" s="1084"/>
      <c r="F233" s="1084"/>
      <c r="G233" s="1085"/>
      <c r="H233" s="1086" t="s">
        <v>159</v>
      </c>
      <c r="I233" s="1087"/>
      <c r="J233" s="1087"/>
      <c r="K233" s="1088"/>
      <c r="L233" s="1089" t="s">
        <v>159</v>
      </c>
      <c r="M233" s="1090"/>
      <c r="N233" s="1091"/>
      <c r="O233" s="1092" t="s">
        <v>159</v>
      </c>
      <c r="P233" s="1093"/>
      <c r="Q233" s="1094"/>
      <c r="R233" s="812"/>
      <c r="S233" s="1095"/>
      <c r="T233" s="813"/>
      <c r="U233" s="745"/>
      <c r="V233" s="940"/>
      <c r="W233" s="746"/>
      <c r="X233" s="312"/>
      <c r="Y233" s="308"/>
      <c r="Z233" s="312"/>
      <c r="AA233" s="308"/>
      <c r="AB233" s="312"/>
      <c r="AC233" s="308"/>
      <c r="AD233" s="312"/>
      <c r="AE233" s="308"/>
      <c r="AF233" s="312"/>
      <c r="AG233" s="308"/>
      <c r="AH233" s="312"/>
      <c r="AI233" s="308"/>
      <c r="AJ233" s="117"/>
      <c r="AK233" s="330"/>
      <c r="AL233" s="117"/>
      <c r="AM233" s="330"/>
      <c r="AN233" s="117"/>
      <c r="AO233" s="330"/>
      <c r="AP233" s="117"/>
      <c r="AQ233" s="330"/>
      <c r="AR233" s="117"/>
      <c r="AS233" s="1096" t="s">
        <v>159</v>
      </c>
      <c r="AT233" s="1097"/>
      <c r="AU233" s="1097"/>
      <c r="AV233" s="1097"/>
      <c r="AW233" s="1097"/>
      <c r="AX233" s="1097"/>
      <c r="AY233" s="1100"/>
      <c r="AZ233" s="257"/>
      <c r="BA233" s="257"/>
      <c r="BB233" s="1059" t="s">
        <v>162</v>
      </c>
      <c r="BC233" s="1060"/>
      <c r="BD233" s="1075" t="s">
        <v>159</v>
      </c>
      <c r="BE233" s="1075"/>
      <c r="BF233" s="1075"/>
      <c r="BG233" s="1076" t="s">
        <v>159</v>
      </c>
      <c r="BH233" s="1077"/>
      <c r="BI233" s="1077"/>
      <c r="BJ233" s="1078"/>
      <c r="BK233" s="1065"/>
      <c r="BL233" s="1066"/>
      <c r="BM233" s="1067"/>
      <c r="BN233" s="259"/>
      <c r="BO233" s="259"/>
      <c r="BP233" s="1076"/>
      <c r="BQ233" s="1077"/>
      <c r="BR233" s="1078"/>
      <c r="BS233" s="1075" t="s">
        <v>159</v>
      </c>
      <c r="BT233" s="1075"/>
      <c r="BU233" s="1075"/>
    </row>
    <row r="234" spans="1:73" ht="30" customHeight="1" x14ac:dyDescent="0.25">
      <c r="A234" s="199">
        <f t="shared" si="3"/>
        <v>220</v>
      </c>
      <c r="B234" s="1081" t="s">
        <v>162</v>
      </c>
      <c r="C234" s="1082"/>
      <c r="D234" s="1083" t="s">
        <v>159</v>
      </c>
      <c r="E234" s="1084"/>
      <c r="F234" s="1084"/>
      <c r="G234" s="1085"/>
      <c r="H234" s="1086" t="s">
        <v>159</v>
      </c>
      <c r="I234" s="1087"/>
      <c r="J234" s="1087"/>
      <c r="K234" s="1088"/>
      <c r="L234" s="1089" t="s">
        <v>159</v>
      </c>
      <c r="M234" s="1090"/>
      <c r="N234" s="1091"/>
      <c r="O234" s="1092" t="s">
        <v>159</v>
      </c>
      <c r="P234" s="1093"/>
      <c r="Q234" s="1094"/>
      <c r="R234" s="812"/>
      <c r="S234" s="1095"/>
      <c r="T234" s="813"/>
      <c r="U234" s="745"/>
      <c r="V234" s="940"/>
      <c r="W234" s="746"/>
      <c r="X234" s="312"/>
      <c r="Y234" s="308"/>
      <c r="Z234" s="312"/>
      <c r="AA234" s="308"/>
      <c r="AB234" s="312"/>
      <c r="AC234" s="308"/>
      <c r="AD234" s="312"/>
      <c r="AE234" s="308"/>
      <c r="AF234" s="312"/>
      <c r="AG234" s="308"/>
      <c r="AH234" s="312"/>
      <c r="AI234" s="308"/>
      <c r="AJ234" s="117"/>
      <c r="AK234" s="330"/>
      <c r="AL234" s="117"/>
      <c r="AM234" s="330"/>
      <c r="AN234" s="117"/>
      <c r="AO234" s="330"/>
      <c r="AP234" s="117"/>
      <c r="AQ234" s="330"/>
      <c r="AR234" s="117"/>
      <c r="AS234" s="1096" t="s">
        <v>159</v>
      </c>
      <c r="AT234" s="1097"/>
      <c r="AU234" s="1097"/>
      <c r="AV234" s="1097"/>
      <c r="AW234" s="1097"/>
      <c r="AX234" s="1097"/>
      <c r="AY234" s="1100"/>
      <c r="AZ234" s="257"/>
      <c r="BA234" s="257"/>
      <c r="BB234" s="1059" t="s">
        <v>162</v>
      </c>
      <c r="BC234" s="1060"/>
      <c r="BD234" s="1075" t="s">
        <v>159</v>
      </c>
      <c r="BE234" s="1075"/>
      <c r="BF234" s="1075"/>
      <c r="BG234" s="1076" t="s">
        <v>159</v>
      </c>
      <c r="BH234" s="1077"/>
      <c r="BI234" s="1077"/>
      <c r="BJ234" s="1078"/>
      <c r="BK234" s="1065"/>
      <c r="BL234" s="1066"/>
      <c r="BM234" s="1067"/>
      <c r="BN234" s="259"/>
      <c r="BO234" s="259"/>
      <c r="BP234" s="1076"/>
      <c r="BQ234" s="1077"/>
      <c r="BR234" s="1078"/>
      <c r="BS234" s="1075" t="s">
        <v>159</v>
      </c>
      <c r="BT234" s="1075"/>
      <c r="BU234" s="1075"/>
    </row>
    <row r="235" spans="1:73" ht="30" customHeight="1" x14ac:dyDescent="0.25">
      <c r="A235" s="199">
        <f t="shared" si="3"/>
        <v>221</v>
      </c>
      <c r="B235" s="1081" t="s">
        <v>162</v>
      </c>
      <c r="C235" s="1082"/>
      <c r="D235" s="1083" t="s">
        <v>159</v>
      </c>
      <c r="E235" s="1084"/>
      <c r="F235" s="1084"/>
      <c r="G235" s="1085"/>
      <c r="H235" s="1086" t="s">
        <v>159</v>
      </c>
      <c r="I235" s="1087"/>
      <c r="J235" s="1087"/>
      <c r="K235" s="1088"/>
      <c r="L235" s="1089" t="s">
        <v>159</v>
      </c>
      <c r="M235" s="1090"/>
      <c r="N235" s="1091"/>
      <c r="O235" s="1092" t="s">
        <v>159</v>
      </c>
      <c r="P235" s="1093"/>
      <c r="Q235" s="1094"/>
      <c r="R235" s="812"/>
      <c r="S235" s="1095"/>
      <c r="T235" s="813"/>
      <c r="U235" s="745"/>
      <c r="V235" s="940"/>
      <c r="W235" s="746"/>
      <c r="X235" s="312"/>
      <c r="Y235" s="308"/>
      <c r="Z235" s="312"/>
      <c r="AA235" s="308"/>
      <c r="AB235" s="312"/>
      <c r="AC235" s="308"/>
      <c r="AD235" s="312"/>
      <c r="AE235" s="308"/>
      <c r="AF235" s="312"/>
      <c r="AG235" s="308"/>
      <c r="AH235" s="312"/>
      <c r="AI235" s="308"/>
      <c r="AJ235" s="117"/>
      <c r="AK235" s="330"/>
      <c r="AL235" s="117"/>
      <c r="AM235" s="330"/>
      <c r="AN235" s="117"/>
      <c r="AO235" s="330"/>
      <c r="AP235" s="117"/>
      <c r="AQ235" s="330"/>
      <c r="AR235" s="117"/>
      <c r="AS235" s="1096" t="s">
        <v>159</v>
      </c>
      <c r="AT235" s="1097"/>
      <c r="AU235" s="1097"/>
      <c r="AV235" s="1097"/>
      <c r="AW235" s="1097"/>
      <c r="AX235" s="1097"/>
      <c r="AY235" s="1100"/>
      <c r="AZ235" s="257"/>
      <c r="BA235" s="257"/>
      <c r="BB235" s="1059" t="s">
        <v>162</v>
      </c>
      <c r="BC235" s="1060"/>
      <c r="BD235" s="1075" t="s">
        <v>159</v>
      </c>
      <c r="BE235" s="1075"/>
      <c r="BF235" s="1075"/>
      <c r="BG235" s="1076" t="s">
        <v>159</v>
      </c>
      <c r="BH235" s="1077"/>
      <c r="BI235" s="1077"/>
      <c r="BJ235" s="1078"/>
      <c r="BK235" s="1065"/>
      <c r="BL235" s="1066"/>
      <c r="BM235" s="1067"/>
      <c r="BN235" s="259"/>
      <c r="BO235" s="259"/>
      <c r="BP235" s="1076"/>
      <c r="BQ235" s="1077"/>
      <c r="BR235" s="1078"/>
      <c r="BS235" s="1075" t="s">
        <v>159</v>
      </c>
      <c r="BT235" s="1075"/>
      <c r="BU235" s="1075"/>
    </row>
    <row r="236" spans="1:73" ht="30" customHeight="1" x14ac:dyDescent="0.25">
      <c r="A236" s="199">
        <f t="shared" si="3"/>
        <v>222</v>
      </c>
      <c r="B236" s="1081" t="s">
        <v>162</v>
      </c>
      <c r="C236" s="1082"/>
      <c r="D236" s="1083" t="s">
        <v>159</v>
      </c>
      <c r="E236" s="1084"/>
      <c r="F236" s="1084"/>
      <c r="G236" s="1085"/>
      <c r="H236" s="1086" t="s">
        <v>159</v>
      </c>
      <c r="I236" s="1087"/>
      <c r="J236" s="1087"/>
      <c r="K236" s="1088"/>
      <c r="L236" s="1089" t="s">
        <v>159</v>
      </c>
      <c r="M236" s="1090"/>
      <c r="N236" s="1091"/>
      <c r="O236" s="1092" t="s">
        <v>159</v>
      </c>
      <c r="P236" s="1093"/>
      <c r="Q236" s="1094"/>
      <c r="R236" s="812"/>
      <c r="S236" s="1095"/>
      <c r="T236" s="813"/>
      <c r="U236" s="745"/>
      <c r="V236" s="940"/>
      <c r="W236" s="746"/>
      <c r="X236" s="312"/>
      <c r="Y236" s="308"/>
      <c r="Z236" s="312"/>
      <c r="AA236" s="308"/>
      <c r="AB236" s="312"/>
      <c r="AC236" s="308"/>
      <c r="AD236" s="312"/>
      <c r="AE236" s="308"/>
      <c r="AF236" s="312"/>
      <c r="AG236" s="308"/>
      <c r="AH236" s="312"/>
      <c r="AI236" s="308"/>
      <c r="AJ236" s="117"/>
      <c r="AK236" s="330"/>
      <c r="AL236" s="117"/>
      <c r="AM236" s="330"/>
      <c r="AN236" s="117"/>
      <c r="AO236" s="330"/>
      <c r="AP236" s="117"/>
      <c r="AQ236" s="330"/>
      <c r="AR236" s="117"/>
      <c r="AS236" s="1096" t="s">
        <v>159</v>
      </c>
      <c r="AT236" s="1097"/>
      <c r="AU236" s="1097"/>
      <c r="AV236" s="1097"/>
      <c r="AW236" s="1097"/>
      <c r="AX236" s="1097"/>
      <c r="AY236" s="1100"/>
      <c r="AZ236" s="257"/>
      <c r="BA236" s="257"/>
      <c r="BB236" s="1059" t="s">
        <v>162</v>
      </c>
      <c r="BC236" s="1060"/>
      <c r="BD236" s="1075" t="s">
        <v>159</v>
      </c>
      <c r="BE236" s="1075"/>
      <c r="BF236" s="1075"/>
      <c r="BG236" s="1076" t="s">
        <v>159</v>
      </c>
      <c r="BH236" s="1077"/>
      <c r="BI236" s="1077"/>
      <c r="BJ236" s="1078"/>
      <c r="BK236" s="1065"/>
      <c r="BL236" s="1066"/>
      <c r="BM236" s="1067"/>
      <c r="BN236" s="259"/>
      <c r="BO236" s="259"/>
      <c r="BP236" s="1076"/>
      <c r="BQ236" s="1077"/>
      <c r="BR236" s="1078"/>
      <c r="BS236" s="1075" t="s">
        <v>159</v>
      </c>
      <c r="BT236" s="1075"/>
      <c r="BU236" s="1075"/>
    </row>
    <row r="237" spans="1:73" ht="30" customHeight="1" x14ac:dyDescent="0.25">
      <c r="A237" s="199">
        <f t="shared" si="3"/>
        <v>223</v>
      </c>
      <c r="B237" s="1081" t="s">
        <v>162</v>
      </c>
      <c r="C237" s="1082"/>
      <c r="D237" s="1083" t="s">
        <v>159</v>
      </c>
      <c r="E237" s="1084"/>
      <c r="F237" s="1084"/>
      <c r="G237" s="1085"/>
      <c r="H237" s="1086" t="s">
        <v>159</v>
      </c>
      <c r="I237" s="1087"/>
      <c r="J237" s="1087"/>
      <c r="K237" s="1088"/>
      <c r="L237" s="1089" t="s">
        <v>159</v>
      </c>
      <c r="M237" s="1090"/>
      <c r="N237" s="1091"/>
      <c r="O237" s="1092" t="s">
        <v>159</v>
      </c>
      <c r="P237" s="1093"/>
      <c r="Q237" s="1094"/>
      <c r="R237" s="812"/>
      <c r="S237" s="1095"/>
      <c r="T237" s="813"/>
      <c r="U237" s="745"/>
      <c r="V237" s="940"/>
      <c r="W237" s="746"/>
      <c r="X237" s="312"/>
      <c r="Y237" s="308"/>
      <c r="Z237" s="312"/>
      <c r="AA237" s="308"/>
      <c r="AB237" s="312"/>
      <c r="AC237" s="308"/>
      <c r="AD237" s="312"/>
      <c r="AE237" s="308"/>
      <c r="AF237" s="312"/>
      <c r="AG237" s="308"/>
      <c r="AH237" s="312"/>
      <c r="AI237" s="308"/>
      <c r="AJ237" s="117"/>
      <c r="AK237" s="330"/>
      <c r="AL237" s="117"/>
      <c r="AM237" s="330"/>
      <c r="AN237" s="117"/>
      <c r="AO237" s="330"/>
      <c r="AP237" s="117"/>
      <c r="AQ237" s="330"/>
      <c r="AR237" s="117"/>
      <c r="AS237" s="1096" t="s">
        <v>159</v>
      </c>
      <c r="AT237" s="1097"/>
      <c r="AU237" s="1097"/>
      <c r="AV237" s="1097"/>
      <c r="AW237" s="1097"/>
      <c r="AX237" s="1097"/>
      <c r="AY237" s="1100"/>
      <c r="AZ237" s="257"/>
      <c r="BA237" s="257"/>
      <c r="BB237" s="1059" t="s">
        <v>162</v>
      </c>
      <c r="BC237" s="1060"/>
      <c r="BD237" s="1075" t="s">
        <v>159</v>
      </c>
      <c r="BE237" s="1075"/>
      <c r="BF237" s="1075"/>
      <c r="BG237" s="1076" t="s">
        <v>159</v>
      </c>
      <c r="BH237" s="1077"/>
      <c r="BI237" s="1077"/>
      <c r="BJ237" s="1078"/>
      <c r="BK237" s="1065"/>
      <c r="BL237" s="1066"/>
      <c r="BM237" s="1067"/>
      <c r="BN237" s="259"/>
      <c r="BO237" s="259"/>
      <c r="BP237" s="1076"/>
      <c r="BQ237" s="1077"/>
      <c r="BR237" s="1078"/>
      <c r="BS237" s="1075" t="s">
        <v>159</v>
      </c>
      <c r="BT237" s="1075"/>
      <c r="BU237" s="1075"/>
    </row>
    <row r="238" spans="1:73" ht="30" customHeight="1" x14ac:dyDescent="0.25">
      <c r="A238" s="199">
        <f t="shared" si="3"/>
        <v>224</v>
      </c>
      <c r="B238" s="1081" t="s">
        <v>162</v>
      </c>
      <c r="C238" s="1082"/>
      <c r="D238" s="1083" t="s">
        <v>159</v>
      </c>
      <c r="E238" s="1084"/>
      <c r="F238" s="1084"/>
      <c r="G238" s="1085"/>
      <c r="H238" s="1086" t="s">
        <v>159</v>
      </c>
      <c r="I238" s="1087"/>
      <c r="J238" s="1087"/>
      <c r="K238" s="1088"/>
      <c r="L238" s="1089" t="s">
        <v>159</v>
      </c>
      <c r="M238" s="1090"/>
      <c r="N238" s="1091"/>
      <c r="O238" s="1092" t="s">
        <v>159</v>
      </c>
      <c r="P238" s="1093"/>
      <c r="Q238" s="1094"/>
      <c r="R238" s="812"/>
      <c r="S238" s="1095"/>
      <c r="T238" s="813"/>
      <c r="U238" s="745"/>
      <c r="V238" s="940"/>
      <c r="W238" s="746"/>
      <c r="X238" s="312"/>
      <c r="Y238" s="308"/>
      <c r="Z238" s="312"/>
      <c r="AA238" s="308"/>
      <c r="AB238" s="312"/>
      <c r="AC238" s="308"/>
      <c r="AD238" s="312"/>
      <c r="AE238" s="308"/>
      <c r="AF238" s="312"/>
      <c r="AG238" s="308"/>
      <c r="AH238" s="312"/>
      <c r="AI238" s="308"/>
      <c r="AJ238" s="117"/>
      <c r="AK238" s="330"/>
      <c r="AL238" s="117"/>
      <c r="AM238" s="330"/>
      <c r="AN238" s="117"/>
      <c r="AO238" s="330"/>
      <c r="AP238" s="117"/>
      <c r="AQ238" s="330"/>
      <c r="AR238" s="117"/>
      <c r="AS238" s="1096" t="s">
        <v>159</v>
      </c>
      <c r="AT238" s="1097"/>
      <c r="AU238" s="1097"/>
      <c r="AV238" s="1097"/>
      <c r="AW238" s="1097"/>
      <c r="AX238" s="1097"/>
      <c r="AY238" s="1100"/>
      <c r="AZ238" s="257"/>
      <c r="BA238" s="257"/>
      <c r="BB238" s="1059" t="s">
        <v>162</v>
      </c>
      <c r="BC238" s="1060"/>
      <c r="BD238" s="1075" t="s">
        <v>159</v>
      </c>
      <c r="BE238" s="1075"/>
      <c r="BF238" s="1075"/>
      <c r="BG238" s="1076" t="s">
        <v>159</v>
      </c>
      <c r="BH238" s="1077"/>
      <c r="BI238" s="1077"/>
      <c r="BJ238" s="1078"/>
      <c r="BK238" s="1065"/>
      <c r="BL238" s="1066"/>
      <c r="BM238" s="1067"/>
      <c r="BN238" s="259"/>
      <c r="BO238" s="259"/>
      <c r="BP238" s="1076"/>
      <c r="BQ238" s="1077"/>
      <c r="BR238" s="1078"/>
      <c r="BS238" s="1075" t="s">
        <v>159</v>
      </c>
      <c r="BT238" s="1075"/>
      <c r="BU238" s="1075"/>
    </row>
    <row r="239" spans="1:73" ht="30" customHeight="1" x14ac:dyDescent="0.25">
      <c r="A239" s="199">
        <f t="shared" si="3"/>
        <v>225</v>
      </c>
      <c r="B239" s="1081" t="s">
        <v>162</v>
      </c>
      <c r="C239" s="1082"/>
      <c r="D239" s="1083" t="s">
        <v>159</v>
      </c>
      <c r="E239" s="1084"/>
      <c r="F239" s="1084"/>
      <c r="G239" s="1085"/>
      <c r="H239" s="1086" t="s">
        <v>159</v>
      </c>
      <c r="I239" s="1087"/>
      <c r="J239" s="1087"/>
      <c r="K239" s="1088"/>
      <c r="L239" s="1089" t="s">
        <v>159</v>
      </c>
      <c r="M239" s="1090"/>
      <c r="N239" s="1091"/>
      <c r="O239" s="1092" t="s">
        <v>159</v>
      </c>
      <c r="P239" s="1093"/>
      <c r="Q239" s="1094"/>
      <c r="R239" s="812"/>
      <c r="S239" s="1095"/>
      <c r="T239" s="813"/>
      <c r="U239" s="745"/>
      <c r="V239" s="940"/>
      <c r="W239" s="746"/>
      <c r="X239" s="312"/>
      <c r="Y239" s="308"/>
      <c r="Z239" s="312"/>
      <c r="AA239" s="308"/>
      <c r="AB239" s="312"/>
      <c r="AC239" s="308"/>
      <c r="AD239" s="312"/>
      <c r="AE239" s="308"/>
      <c r="AF239" s="312"/>
      <c r="AG239" s="308"/>
      <c r="AH239" s="312"/>
      <c r="AI239" s="308"/>
      <c r="AJ239" s="117"/>
      <c r="AK239" s="330"/>
      <c r="AL239" s="117"/>
      <c r="AM239" s="330"/>
      <c r="AN239" s="117"/>
      <c r="AO239" s="330"/>
      <c r="AP239" s="117"/>
      <c r="AQ239" s="330"/>
      <c r="AR239" s="117"/>
      <c r="AS239" s="1096" t="s">
        <v>159</v>
      </c>
      <c r="AT239" s="1097"/>
      <c r="AU239" s="1097"/>
      <c r="AV239" s="1097"/>
      <c r="AW239" s="1097"/>
      <c r="AX239" s="1097"/>
      <c r="AY239" s="1100"/>
      <c r="AZ239" s="257"/>
      <c r="BA239" s="257"/>
      <c r="BB239" s="1079" t="s">
        <v>162</v>
      </c>
      <c r="BC239" s="1080"/>
      <c r="BD239" s="1075" t="s">
        <v>159</v>
      </c>
      <c r="BE239" s="1075"/>
      <c r="BF239" s="1075"/>
      <c r="BG239" s="1076" t="s">
        <v>159</v>
      </c>
      <c r="BH239" s="1077"/>
      <c r="BI239" s="1077"/>
      <c r="BJ239" s="1078"/>
      <c r="BK239" s="1065"/>
      <c r="BL239" s="1066"/>
      <c r="BM239" s="1067"/>
      <c r="BN239" s="259"/>
      <c r="BO239" s="259"/>
      <c r="BP239" s="1076"/>
      <c r="BQ239" s="1077"/>
      <c r="BR239" s="1078"/>
      <c r="BS239" s="1075" t="s">
        <v>159</v>
      </c>
      <c r="BT239" s="1075"/>
      <c r="BU239" s="1075"/>
    </row>
    <row r="240" spans="1:73" ht="30" customHeight="1" x14ac:dyDescent="0.25">
      <c r="A240" s="199">
        <f t="shared" si="3"/>
        <v>226</v>
      </c>
      <c r="B240" s="1081" t="s">
        <v>162</v>
      </c>
      <c r="C240" s="1082"/>
      <c r="D240" s="1083" t="s">
        <v>159</v>
      </c>
      <c r="E240" s="1084"/>
      <c r="F240" s="1084"/>
      <c r="G240" s="1085"/>
      <c r="H240" s="1086" t="s">
        <v>159</v>
      </c>
      <c r="I240" s="1087"/>
      <c r="J240" s="1087"/>
      <c r="K240" s="1088"/>
      <c r="L240" s="1089" t="s">
        <v>159</v>
      </c>
      <c r="M240" s="1090"/>
      <c r="N240" s="1091"/>
      <c r="O240" s="1092" t="s">
        <v>159</v>
      </c>
      <c r="P240" s="1093"/>
      <c r="Q240" s="1094"/>
      <c r="R240" s="812"/>
      <c r="S240" s="1095"/>
      <c r="T240" s="813"/>
      <c r="U240" s="745"/>
      <c r="V240" s="940"/>
      <c r="W240" s="746"/>
      <c r="X240" s="312"/>
      <c r="Y240" s="308"/>
      <c r="Z240" s="312"/>
      <c r="AA240" s="308"/>
      <c r="AB240" s="312"/>
      <c r="AC240" s="308"/>
      <c r="AD240" s="312"/>
      <c r="AE240" s="308"/>
      <c r="AF240" s="312"/>
      <c r="AG240" s="308"/>
      <c r="AH240" s="312"/>
      <c r="AI240" s="308"/>
      <c r="AJ240" s="117"/>
      <c r="AK240" s="330"/>
      <c r="AL240" s="117"/>
      <c r="AM240" s="330"/>
      <c r="AN240" s="117"/>
      <c r="AO240" s="330"/>
      <c r="AP240" s="117"/>
      <c r="AQ240" s="330"/>
      <c r="AR240" s="117"/>
      <c r="AS240" s="1096" t="s">
        <v>159</v>
      </c>
      <c r="AT240" s="1097"/>
      <c r="AU240" s="1097"/>
      <c r="AV240" s="1097"/>
      <c r="AW240" s="1097"/>
      <c r="AX240" s="1097"/>
      <c r="AY240" s="1100"/>
      <c r="AZ240" s="257"/>
      <c r="BA240" s="257"/>
      <c r="BB240" s="1059" t="s">
        <v>162</v>
      </c>
      <c r="BC240" s="1060"/>
      <c r="BD240" s="1075" t="s">
        <v>159</v>
      </c>
      <c r="BE240" s="1075"/>
      <c r="BF240" s="1075"/>
      <c r="BG240" s="1076" t="s">
        <v>159</v>
      </c>
      <c r="BH240" s="1077"/>
      <c r="BI240" s="1077"/>
      <c r="BJ240" s="1078"/>
      <c r="BK240" s="1065"/>
      <c r="BL240" s="1066"/>
      <c r="BM240" s="1067"/>
      <c r="BN240" s="259"/>
      <c r="BO240" s="259"/>
      <c r="BP240" s="1076"/>
      <c r="BQ240" s="1077"/>
      <c r="BR240" s="1078"/>
      <c r="BS240" s="1075" t="s">
        <v>159</v>
      </c>
      <c r="BT240" s="1075"/>
      <c r="BU240" s="1075"/>
    </row>
    <row r="241" spans="1:73" ht="30" customHeight="1" x14ac:dyDescent="0.25">
      <c r="A241" s="199">
        <f t="shared" si="3"/>
        <v>227</v>
      </c>
      <c r="B241" s="1081" t="s">
        <v>162</v>
      </c>
      <c r="C241" s="1082"/>
      <c r="D241" s="1083" t="s">
        <v>159</v>
      </c>
      <c r="E241" s="1084"/>
      <c r="F241" s="1084"/>
      <c r="G241" s="1085"/>
      <c r="H241" s="1086" t="s">
        <v>159</v>
      </c>
      <c r="I241" s="1087"/>
      <c r="J241" s="1087"/>
      <c r="K241" s="1088"/>
      <c r="L241" s="1089" t="s">
        <v>159</v>
      </c>
      <c r="M241" s="1090"/>
      <c r="N241" s="1091"/>
      <c r="O241" s="1092" t="s">
        <v>159</v>
      </c>
      <c r="P241" s="1093"/>
      <c r="Q241" s="1094"/>
      <c r="R241" s="812"/>
      <c r="S241" s="1095"/>
      <c r="T241" s="813"/>
      <c r="U241" s="745"/>
      <c r="V241" s="940"/>
      <c r="W241" s="746"/>
      <c r="X241" s="312"/>
      <c r="Y241" s="308"/>
      <c r="Z241" s="312"/>
      <c r="AA241" s="308"/>
      <c r="AB241" s="312"/>
      <c r="AC241" s="308"/>
      <c r="AD241" s="312"/>
      <c r="AE241" s="308"/>
      <c r="AF241" s="312"/>
      <c r="AG241" s="308"/>
      <c r="AH241" s="312"/>
      <c r="AI241" s="308"/>
      <c r="AJ241" s="117"/>
      <c r="AK241" s="330"/>
      <c r="AL241" s="117"/>
      <c r="AM241" s="330"/>
      <c r="AN241" s="117"/>
      <c r="AO241" s="330"/>
      <c r="AP241" s="117"/>
      <c r="AQ241" s="330"/>
      <c r="AR241" s="117"/>
      <c r="AS241" s="1096" t="s">
        <v>159</v>
      </c>
      <c r="AT241" s="1097"/>
      <c r="AU241" s="1097"/>
      <c r="AV241" s="1097"/>
      <c r="AW241" s="1097"/>
      <c r="AX241" s="1097"/>
      <c r="AY241" s="1100"/>
      <c r="AZ241" s="257"/>
      <c r="BA241" s="257"/>
      <c r="BB241" s="1059" t="s">
        <v>162</v>
      </c>
      <c r="BC241" s="1060"/>
      <c r="BD241" s="1075" t="s">
        <v>159</v>
      </c>
      <c r="BE241" s="1075"/>
      <c r="BF241" s="1075"/>
      <c r="BG241" s="1076" t="s">
        <v>159</v>
      </c>
      <c r="BH241" s="1077"/>
      <c r="BI241" s="1077"/>
      <c r="BJ241" s="1078"/>
      <c r="BK241" s="1065"/>
      <c r="BL241" s="1066"/>
      <c r="BM241" s="1067"/>
      <c r="BN241" s="259"/>
      <c r="BO241" s="259"/>
      <c r="BP241" s="1076"/>
      <c r="BQ241" s="1077"/>
      <c r="BR241" s="1078"/>
      <c r="BS241" s="1075" t="s">
        <v>159</v>
      </c>
      <c r="BT241" s="1075"/>
      <c r="BU241" s="1075"/>
    </row>
    <row r="242" spans="1:73" ht="30" customHeight="1" x14ac:dyDescent="0.25">
      <c r="A242" s="199">
        <f t="shared" si="3"/>
        <v>228</v>
      </c>
      <c r="B242" s="1081" t="s">
        <v>162</v>
      </c>
      <c r="C242" s="1082"/>
      <c r="D242" s="1083" t="s">
        <v>159</v>
      </c>
      <c r="E242" s="1084"/>
      <c r="F242" s="1084"/>
      <c r="G242" s="1085"/>
      <c r="H242" s="1086" t="s">
        <v>159</v>
      </c>
      <c r="I242" s="1087"/>
      <c r="J242" s="1087"/>
      <c r="K242" s="1088"/>
      <c r="L242" s="1089" t="s">
        <v>159</v>
      </c>
      <c r="M242" s="1090"/>
      <c r="N242" s="1091"/>
      <c r="O242" s="1092" t="s">
        <v>159</v>
      </c>
      <c r="P242" s="1093"/>
      <c r="Q242" s="1094"/>
      <c r="R242" s="812"/>
      <c r="S242" s="1095"/>
      <c r="T242" s="813"/>
      <c r="U242" s="745"/>
      <c r="V242" s="940"/>
      <c r="W242" s="746"/>
      <c r="X242" s="312"/>
      <c r="Y242" s="308"/>
      <c r="Z242" s="312"/>
      <c r="AA242" s="308"/>
      <c r="AB242" s="312"/>
      <c r="AC242" s="308"/>
      <c r="AD242" s="312"/>
      <c r="AE242" s="308"/>
      <c r="AF242" s="312"/>
      <c r="AG242" s="308"/>
      <c r="AH242" s="312"/>
      <c r="AI242" s="308"/>
      <c r="AJ242" s="117"/>
      <c r="AK242" s="330"/>
      <c r="AL242" s="117"/>
      <c r="AM242" s="330"/>
      <c r="AN242" s="117"/>
      <c r="AO242" s="330"/>
      <c r="AP242" s="117"/>
      <c r="AQ242" s="330"/>
      <c r="AR242" s="117"/>
      <c r="AS242" s="1096" t="s">
        <v>159</v>
      </c>
      <c r="AT242" s="1097"/>
      <c r="AU242" s="1097"/>
      <c r="AV242" s="1097"/>
      <c r="AW242" s="1097"/>
      <c r="AX242" s="1097"/>
      <c r="AY242" s="1100"/>
      <c r="AZ242" s="257"/>
      <c r="BA242" s="257"/>
      <c r="BB242" s="1059" t="s">
        <v>162</v>
      </c>
      <c r="BC242" s="1060"/>
      <c r="BD242" s="1075" t="s">
        <v>159</v>
      </c>
      <c r="BE242" s="1075"/>
      <c r="BF242" s="1075"/>
      <c r="BG242" s="1076" t="s">
        <v>159</v>
      </c>
      <c r="BH242" s="1077"/>
      <c r="BI242" s="1077"/>
      <c r="BJ242" s="1078"/>
      <c r="BK242" s="1065"/>
      <c r="BL242" s="1066"/>
      <c r="BM242" s="1067"/>
      <c r="BN242" s="259"/>
      <c r="BO242" s="259"/>
      <c r="BP242" s="1076"/>
      <c r="BQ242" s="1077"/>
      <c r="BR242" s="1078"/>
      <c r="BS242" s="1075" t="s">
        <v>159</v>
      </c>
      <c r="BT242" s="1075"/>
      <c r="BU242" s="1075"/>
    </row>
    <row r="243" spans="1:73" ht="30" customHeight="1" x14ac:dyDescent="0.25">
      <c r="A243" s="199">
        <f t="shared" si="3"/>
        <v>229</v>
      </c>
      <c r="B243" s="1081" t="s">
        <v>162</v>
      </c>
      <c r="C243" s="1082"/>
      <c r="D243" s="1083" t="s">
        <v>159</v>
      </c>
      <c r="E243" s="1084"/>
      <c r="F243" s="1084"/>
      <c r="G243" s="1085"/>
      <c r="H243" s="1086" t="s">
        <v>159</v>
      </c>
      <c r="I243" s="1087"/>
      <c r="J243" s="1087"/>
      <c r="K243" s="1088"/>
      <c r="L243" s="1089" t="s">
        <v>159</v>
      </c>
      <c r="M243" s="1090"/>
      <c r="N243" s="1091"/>
      <c r="O243" s="1092" t="s">
        <v>159</v>
      </c>
      <c r="P243" s="1093"/>
      <c r="Q243" s="1094"/>
      <c r="R243" s="812"/>
      <c r="S243" s="1095"/>
      <c r="T243" s="813"/>
      <c r="U243" s="745"/>
      <c r="V243" s="940"/>
      <c r="W243" s="746"/>
      <c r="X243" s="312"/>
      <c r="Y243" s="308"/>
      <c r="Z243" s="312"/>
      <c r="AA243" s="308"/>
      <c r="AB243" s="312"/>
      <c r="AC243" s="308"/>
      <c r="AD243" s="312"/>
      <c r="AE243" s="308"/>
      <c r="AF243" s="312"/>
      <c r="AG243" s="308"/>
      <c r="AH243" s="312"/>
      <c r="AI243" s="308"/>
      <c r="AJ243" s="117"/>
      <c r="AK243" s="330"/>
      <c r="AL243" s="117"/>
      <c r="AM243" s="330"/>
      <c r="AN243" s="117"/>
      <c r="AO243" s="330"/>
      <c r="AP243" s="117"/>
      <c r="AQ243" s="330"/>
      <c r="AR243" s="117"/>
      <c r="AS243" s="1096" t="s">
        <v>159</v>
      </c>
      <c r="AT243" s="1097"/>
      <c r="AU243" s="1097"/>
      <c r="AV243" s="1097"/>
      <c r="AW243" s="1097"/>
      <c r="AX243" s="1097"/>
      <c r="AY243" s="1100"/>
      <c r="AZ243" s="257"/>
      <c r="BA243" s="257"/>
      <c r="BB243" s="1059" t="s">
        <v>162</v>
      </c>
      <c r="BC243" s="1060"/>
      <c r="BD243" s="1075" t="s">
        <v>159</v>
      </c>
      <c r="BE243" s="1075"/>
      <c r="BF243" s="1075"/>
      <c r="BG243" s="1076" t="s">
        <v>159</v>
      </c>
      <c r="BH243" s="1077"/>
      <c r="BI243" s="1077"/>
      <c r="BJ243" s="1078"/>
      <c r="BK243" s="1065"/>
      <c r="BL243" s="1066"/>
      <c r="BM243" s="1067"/>
      <c r="BN243" s="259"/>
      <c r="BO243" s="259"/>
      <c r="BP243" s="1076"/>
      <c r="BQ243" s="1077"/>
      <c r="BR243" s="1078"/>
      <c r="BS243" s="1075" t="s">
        <v>159</v>
      </c>
      <c r="BT243" s="1075"/>
      <c r="BU243" s="1075"/>
    </row>
    <row r="244" spans="1:73" ht="30" customHeight="1" x14ac:dyDescent="0.25">
      <c r="A244" s="199">
        <f t="shared" si="3"/>
        <v>230</v>
      </c>
      <c r="B244" s="1081" t="s">
        <v>162</v>
      </c>
      <c r="C244" s="1082"/>
      <c r="D244" s="1083" t="s">
        <v>159</v>
      </c>
      <c r="E244" s="1084"/>
      <c r="F244" s="1084"/>
      <c r="G244" s="1085"/>
      <c r="H244" s="1086" t="s">
        <v>159</v>
      </c>
      <c r="I244" s="1087"/>
      <c r="J244" s="1087"/>
      <c r="K244" s="1088"/>
      <c r="L244" s="1089" t="s">
        <v>159</v>
      </c>
      <c r="M244" s="1090"/>
      <c r="N244" s="1091"/>
      <c r="O244" s="1092" t="s">
        <v>159</v>
      </c>
      <c r="P244" s="1093"/>
      <c r="Q244" s="1094"/>
      <c r="R244" s="812"/>
      <c r="S244" s="1095"/>
      <c r="T244" s="813"/>
      <c r="U244" s="745"/>
      <c r="V244" s="940"/>
      <c r="W244" s="746"/>
      <c r="X244" s="312"/>
      <c r="Y244" s="308"/>
      <c r="Z244" s="312"/>
      <c r="AA244" s="308"/>
      <c r="AB244" s="312"/>
      <c r="AC244" s="308"/>
      <c r="AD244" s="312"/>
      <c r="AE244" s="308"/>
      <c r="AF244" s="312"/>
      <c r="AG244" s="308"/>
      <c r="AH244" s="312"/>
      <c r="AI244" s="308"/>
      <c r="AJ244" s="117"/>
      <c r="AK244" s="330"/>
      <c r="AL244" s="117"/>
      <c r="AM244" s="330"/>
      <c r="AN244" s="117"/>
      <c r="AO244" s="330"/>
      <c r="AP244" s="117"/>
      <c r="AQ244" s="330"/>
      <c r="AR244" s="117"/>
      <c r="AS244" s="1096" t="s">
        <v>159</v>
      </c>
      <c r="AT244" s="1097"/>
      <c r="AU244" s="1097"/>
      <c r="AV244" s="1097"/>
      <c r="AW244" s="1097"/>
      <c r="AX244" s="1097"/>
      <c r="AY244" s="1100"/>
      <c r="AZ244" s="257"/>
      <c r="BA244" s="257"/>
      <c r="BB244" s="1059" t="s">
        <v>162</v>
      </c>
      <c r="BC244" s="1060"/>
      <c r="BD244" s="1075" t="s">
        <v>159</v>
      </c>
      <c r="BE244" s="1075"/>
      <c r="BF244" s="1075"/>
      <c r="BG244" s="1076" t="s">
        <v>159</v>
      </c>
      <c r="BH244" s="1077"/>
      <c r="BI244" s="1077"/>
      <c r="BJ244" s="1078"/>
      <c r="BK244" s="1065"/>
      <c r="BL244" s="1066"/>
      <c r="BM244" s="1067"/>
      <c r="BN244" s="259"/>
      <c r="BO244" s="259"/>
      <c r="BP244" s="1076"/>
      <c r="BQ244" s="1077"/>
      <c r="BR244" s="1078"/>
      <c r="BS244" s="1075" t="s">
        <v>159</v>
      </c>
      <c r="BT244" s="1075"/>
      <c r="BU244" s="1075"/>
    </row>
    <row r="245" spans="1:73" ht="30" customHeight="1" x14ac:dyDescent="0.25">
      <c r="A245" s="199">
        <f t="shared" si="3"/>
        <v>231</v>
      </c>
      <c r="B245" s="1081" t="s">
        <v>162</v>
      </c>
      <c r="C245" s="1082"/>
      <c r="D245" s="1083" t="s">
        <v>159</v>
      </c>
      <c r="E245" s="1084"/>
      <c r="F245" s="1084"/>
      <c r="G245" s="1085"/>
      <c r="H245" s="1086" t="s">
        <v>159</v>
      </c>
      <c r="I245" s="1087"/>
      <c r="J245" s="1087"/>
      <c r="K245" s="1088"/>
      <c r="L245" s="1089" t="s">
        <v>159</v>
      </c>
      <c r="M245" s="1090"/>
      <c r="N245" s="1091"/>
      <c r="O245" s="1092" t="s">
        <v>159</v>
      </c>
      <c r="P245" s="1093"/>
      <c r="Q245" s="1094"/>
      <c r="R245" s="812"/>
      <c r="S245" s="1095"/>
      <c r="T245" s="813"/>
      <c r="U245" s="745"/>
      <c r="V245" s="940"/>
      <c r="W245" s="746"/>
      <c r="X245" s="312"/>
      <c r="Y245" s="308"/>
      <c r="Z245" s="312"/>
      <c r="AA245" s="308"/>
      <c r="AB245" s="312"/>
      <c r="AC245" s="308"/>
      <c r="AD245" s="312"/>
      <c r="AE245" s="308"/>
      <c r="AF245" s="312"/>
      <c r="AG245" s="308"/>
      <c r="AH245" s="312"/>
      <c r="AI245" s="308"/>
      <c r="AJ245" s="117"/>
      <c r="AK245" s="330"/>
      <c r="AL245" s="117"/>
      <c r="AM245" s="330"/>
      <c r="AN245" s="117"/>
      <c r="AO245" s="330"/>
      <c r="AP245" s="117"/>
      <c r="AQ245" s="330"/>
      <c r="AR245" s="117"/>
      <c r="AS245" s="1096" t="s">
        <v>159</v>
      </c>
      <c r="AT245" s="1097"/>
      <c r="AU245" s="1097"/>
      <c r="AV245" s="1097"/>
      <c r="AW245" s="1097"/>
      <c r="AX245" s="1097"/>
      <c r="AY245" s="1100"/>
      <c r="AZ245" s="257"/>
      <c r="BA245" s="257"/>
      <c r="BB245" s="1059" t="s">
        <v>162</v>
      </c>
      <c r="BC245" s="1060"/>
      <c r="BD245" s="1075" t="s">
        <v>159</v>
      </c>
      <c r="BE245" s="1075"/>
      <c r="BF245" s="1075"/>
      <c r="BG245" s="1076" t="s">
        <v>159</v>
      </c>
      <c r="BH245" s="1077"/>
      <c r="BI245" s="1077"/>
      <c r="BJ245" s="1078"/>
      <c r="BK245" s="1065"/>
      <c r="BL245" s="1066"/>
      <c r="BM245" s="1067"/>
      <c r="BN245" s="259"/>
      <c r="BO245" s="259"/>
      <c r="BP245" s="1076"/>
      <c r="BQ245" s="1077"/>
      <c r="BR245" s="1078"/>
      <c r="BS245" s="1075" t="s">
        <v>159</v>
      </c>
      <c r="BT245" s="1075"/>
      <c r="BU245" s="1075"/>
    </row>
    <row r="246" spans="1:73" ht="30" customHeight="1" x14ac:dyDescent="0.25">
      <c r="A246" s="199">
        <f t="shared" si="3"/>
        <v>232</v>
      </c>
      <c r="B246" s="1081" t="s">
        <v>162</v>
      </c>
      <c r="C246" s="1082"/>
      <c r="D246" s="1083" t="s">
        <v>159</v>
      </c>
      <c r="E246" s="1084"/>
      <c r="F246" s="1084"/>
      <c r="G246" s="1085"/>
      <c r="H246" s="1086" t="s">
        <v>159</v>
      </c>
      <c r="I246" s="1087"/>
      <c r="J246" s="1087"/>
      <c r="K246" s="1088"/>
      <c r="L246" s="1089" t="s">
        <v>159</v>
      </c>
      <c r="M246" s="1090"/>
      <c r="N246" s="1091"/>
      <c r="O246" s="1092" t="s">
        <v>159</v>
      </c>
      <c r="P246" s="1093"/>
      <c r="Q246" s="1094"/>
      <c r="R246" s="812"/>
      <c r="S246" s="1095"/>
      <c r="T246" s="813"/>
      <c r="U246" s="745"/>
      <c r="V246" s="940"/>
      <c r="W246" s="746"/>
      <c r="X246" s="312"/>
      <c r="Y246" s="308"/>
      <c r="Z246" s="312"/>
      <c r="AA246" s="308"/>
      <c r="AB246" s="312"/>
      <c r="AC246" s="308"/>
      <c r="AD246" s="312"/>
      <c r="AE246" s="308"/>
      <c r="AF246" s="312"/>
      <c r="AG246" s="308"/>
      <c r="AH246" s="312"/>
      <c r="AI246" s="308"/>
      <c r="AJ246" s="117"/>
      <c r="AK246" s="330"/>
      <c r="AL246" s="117"/>
      <c r="AM246" s="330"/>
      <c r="AN246" s="117"/>
      <c r="AO246" s="330"/>
      <c r="AP246" s="117"/>
      <c r="AQ246" s="330"/>
      <c r="AR246" s="117"/>
      <c r="AS246" s="1096" t="s">
        <v>159</v>
      </c>
      <c r="AT246" s="1097"/>
      <c r="AU246" s="1097"/>
      <c r="AV246" s="1097"/>
      <c r="AW246" s="1097"/>
      <c r="AX246" s="1097"/>
      <c r="AY246" s="1100"/>
      <c r="AZ246" s="257"/>
      <c r="BA246" s="257"/>
      <c r="BB246" s="1079" t="s">
        <v>162</v>
      </c>
      <c r="BC246" s="1080"/>
      <c r="BD246" s="1075" t="s">
        <v>159</v>
      </c>
      <c r="BE246" s="1075"/>
      <c r="BF246" s="1075"/>
      <c r="BG246" s="1076" t="s">
        <v>159</v>
      </c>
      <c r="BH246" s="1077"/>
      <c r="BI246" s="1077"/>
      <c r="BJ246" s="1078"/>
      <c r="BK246" s="1065"/>
      <c r="BL246" s="1066"/>
      <c r="BM246" s="1067"/>
      <c r="BN246" s="259"/>
      <c r="BO246" s="259"/>
      <c r="BP246" s="1076"/>
      <c r="BQ246" s="1077"/>
      <c r="BR246" s="1078"/>
      <c r="BS246" s="1075" t="s">
        <v>159</v>
      </c>
      <c r="BT246" s="1075"/>
      <c r="BU246" s="1075"/>
    </row>
    <row r="247" spans="1:73" ht="30" customHeight="1" x14ac:dyDescent="0.25">
      <c r="A247" s="199">
        <f t="shared" si="3"/>
        <v>233</v>
      </c>
      <c r="B247" s="1081" t="s">
        <v>162</v>
      </c>
      <c r="C247" s="1082"/>
      <c r="D247" s="1083" t="s">
        <v>159</v>
      </c>
      <c r="E247" s="1084"/>
      <c r="F247" s="1084"/>
      <c r="G247" s="1085"/>
      <c r="H247" s="1086" t="s">
        <v>159</v>
      </c>
      <c r="I247" s="1087"/>
      <c r="J247" s="1087"/>
      <c r="K247" s="1088"/>
      <c r="L247" s="1089" t="s">
        <v>159</v>
      </c>
      <c r="M247" s="1090"/>
      <c r="N247" s="1091"/>
      <c r="O247" s="1092" t="s">
        <v>159</v>
      </c>
      <c r="P247" s="1093"/>
      <c r="Q247" s="1094"/>
      <c r="R247" s="812"/>
      <c r="S247" s="1095"/>
      <c r="T247" s="813"/>
      <c r="U247" s="745"/>
      <c r="V247" s="940"/>
      <c r="W247" s="746"/>
      <c r="X247" s="312"/>
      <c r="Y247" s="308"/>
      <c r="Z247" s="312"/>
      <c r="AA247" s="308"/>
      <c r="AB247" s="312"/>
      <c r="AC247" s="308"/>
      <c r="AD247" s="312"/>
      <c r="AE247" s="308"/>
      <c r="AF247" s="312"/>
      <c r="AG247" s="308"/>
      <c r="AH247" s="312"/>
      <c r="AI247" s="308"/>
      <c r="AJ247" s="117"/>
      <c r="AK247" s="330"/>
      <c r="AL247" s="117"/>
      <c r="AM247" s="330"/>
      <c r="AN247" s="117"/>
      <c r="AO247" s="330"/>
      <c r="AP247" s="117"/>
      <c r="AQ247" s="330"/>
      <c r="AR247" s="117"/>
      <c r="AS247" s="1096" t="s">
        <v>159</v>
      </c>
      <c r="AT247" s="1097"/>
      <c r="AU247" s="1097"/>
      <c r="AV247" s="1097"/>
      <c r="AW247" s="1097"/>
      <c r="AX247" s="1097"/>
      <c r="AY247" s="1100"/>
      <c r="AZ247" s="257"/>
      <c r="BA247" s="257"/>
      <c r="BB247" s="1059" t="s">
        <v>162</v>
      </c>
      <c r="BC247" s="1060"/>
      <c r="BD247" s="1075" t="s">
        <v>159</v>
      </c>
      <c r="BE247" s="1075"/>
      <c r="BF247" s="1075"/>
      <c r="BG247" s="1076" t="s">
        <v>159</v>
      </c>
      <c r="BH247" s="1077"/>
      <c r="BI247" s="1077"/>
      <c r="BJ247" s="1078"/>
      <c r="BK247" s="1065"/>
      <c r="BL247" s="1066"/>
      <c r="BM247" s="1067"/>
      <c r="BN247" s="259"/>
      <c r="BO247" s="259"/>
      <c r="BP247" s="1076"/>
      <c r="BQ247" s="1077"/>
      <c r="BR247" s="1078"/>
      <c r="BS247" s="1075" t="s">
        <v>159</v>
      </c>
      <c r="BT247" s="1075"/>
      <c r="BU247" s="1075"/>
    </row>
    <row r="248" spans="1:73" ht="30" customHeight="1" x14ac:dyDescent="0.25">
      <c r="A248" s="199">
        <f t="shared" si="3"/>
        <v>234</v>
      </c>
      <c r="B248" s="1081" t="s">
        <v>162</v>
      </c>
      <c r="C248" s="1082"/>
      <c r="D248" s="1083" t="s">
        <v>159</v>
      </c>
      <c r="E248" s="1084"/>
      <c r="F248" s="1084"/>
      <c r="G248" s="1085"/>
      <c r="H248" s="1086" t="s">
        <v>159</v>
      </c>
      <c r="I248" s="1087"/>
      <c r="J248" s="1087"/>
      <c r="K248" s="1088"/>
      <c r="L248" s="1089" t="s">
        <v>159</v>
      </c>
      <c r="M248" s="1090"/>
      <c r="N248" s="1091"/>
      <c r="O248" s="1092" t="s">
        <v>159</v>
      </c>
      <c r="P248" s="1093"/>
      <c r="Q248" s="1094"/>
      <c r="R248" s="812"/>
      <c r="S248" s="1095"/>
      <c r="T248" s="813"/>
      <c r="U248" s="745"/>
      <c r="V248" s="940"/>
      <c r="W248" s="746"/>
      <c r="X248" s="312"/>
      <c r="Y248" s="308"/>
      <c r="Z248" s="312"/>
      <c r="AA248" s="308"/>
      <c r="AB248" s="312"/>
      <c r="AC248" s="308"/>
      <c r="AD248" s="312"/>
      <c r="AE248" s="308"/>
      <c r="AF248" s="312"/>
      <c r="AG248" s="308"/>
      <c r="AH248" s="312"/>
      <c r="AI248" s="308"/>
      <c r="AJ248" s="117"/>
      <c r="AK248" s="330"/>
      <c r="AL248" s="117"/>
      <c r="AM248" s="330"/>
      <c r="AN248" s="117"/>
      <c r="AO248" s="330"/>
      <c r="AP248" s="117"/>
      <c r="AQ248" s="330"/>
      <c r="AR248" s="117"/>
      <c r="AS248" s="1096" t="s">
        <v>159</v>
      </c>
      <c r="AT248" s="1097"/>
      <c r="AU248" s="1097"/>
      <c r="AV248" s="1097"/>
      <c r="AW248" s="1097"/>
      <c r="AX248" s="1097"/>
      <c r="AY248" s="1100"/>
      <c r="AZ248" s="257"/>
      <c r="BA248" s="257"/>
      <c r="BB248" s="1059" t="s">
        <v>162</v>
      </c>
      <c r="BC248" s="1060"/>
      <c r="BD248" s="1075" t="s">
        <v>159</v>
      </c>
      <c r="BE248" s="1075"/>
      <c r="BF248" s="1075"/>
      <c r="BG248" s="1076" t="s">
        <v>159</v>
      </c>
      <c r="BH248" s="1077"/>
      <c r="BI248" s="1077"/>
      <c r="BJ248" s="1078"/>
      <c r="BK248" s="1065"/>
      <c r="BL248" s="1066"/>
      <c r="BM248" s="1067"/>
      <c r="BN248" s="259"/>
      <c r="BO248" s="259"/>
      <c r="BP248" s="1076"/>
      <c r="BQ248" s="1077"/>
      <c r="BR248" s="1078"/>
      <c r="BS248" s="1075" t="s">
        <v>159</v>
      </c>
      <c r="BT248" s="1075"/>
      <c r="BU248" s="1075"/>
    </row>
    <row r="249" spans="1:73" ht="30" customHeight="1" x14ac:dyDescent="0.25">
      <c r="A249" s="199">
        <f t="shared" si="3"/>
        <v>235</v>
      </c>
      <c r="B249" s="1081" t="s">
        <v>162</v>
      </c>
      <c r="C249" s="1082"/>
      <c r="D249" s="1083" t="s">
        <v>159</v>
      </c>
      <c r="E249" s="1084"/>
      <c r="F249" s="1084"/>
      <c r="G249" s="1085"/>
      <c r="H249" s="1086" t="s">
        <v>159</v>
      </c>
      <c r="I249" s="1087"/>
      <c r="J249" s="1087"/>
      <c r="K249" s="1088"/>
      <c r="L249" s="1089" t="s">
        <v>159</v>
      </c>
      <c r="M249" s="1090"/>
      <c r="N249" s="1091"/>
      <c r="O249" s="1092" t="s">
        <v>159</v>
      </c>
      <c r="P249" s="1093"/>
      <c r="Q249" s="1094"/>
      <c r="R249" s="812"/>
      <c r="S249" s="1095"/>
      <c r="T249" s="813"/>
      <c r="U249" s="745"/>
      <c r="V249" s="940"/>
      <c r="W249" s="746"/>
      <c r="X249" s="312"/>
      <c r="Y249" s="308"/>
      <c r="Z249" s="312"/>
      <c r="AA249" s="308"/>
      <c r="AB249" s="312"/>
      <c r="AC249" s="308"/>
      <c r="AD249" s="312"/>
      <c r="AE249" s="308"/>
      <c r="AF249" s="312"/>
      <c r="AG249" s="308"/>
      <c r="AH249" s="312"/>
      <c r="AI249" s="308"/>
      <c r="AJ249" s="117"/>
      <c r="AK249" s="330"/>
      <c r="AL249" s="117"/>
      <c r="AM249" s="330"/>
      <c r="AN249" s="117"/>
      <c r="AO249" s="330"/>
      <c r="AP249" s="117"/>
      <c r="AQ249" s="330"/>
      <c r="AR249" s="117"/>
      <c r="AS249" s="1096" t="s">
        <v>159</v>
      </c>
      <c r="AT249" s="1097"/>
      <c r="AU249" s="1097"/>
      <c r="AV249" s="1097"/>
      <c r="AW249" s="1097"/>
      <c r="AX249" s="1097"/>
      <c r="AY249" s="1100"/>
      <c r="AZ249" s="257"/>
      <c r="BA249" s="257"/>
      <c r="BB249" s="1059" t="s">
        <v>162</v>
      </c>
      <c r="BC249" s="1060"/>
      <c r="BD249" s="1075" t="s">
        <v>159</v>
      </c>
      <c r="BE249" s="1075"/>
      <c r="BF249" s="1075"/>
      <c r="BG249" s="1076" t="s">
        <v>159</v>
      </c>
      <c r="BH249" s="1077"/>
      <c r="BI249" s="1077"/>
      <c r="BJ249" s="1078"/>
      <c r="BK249" s="1065"/>
      <c r="BL249" s="1066"/>
      <c r="BM249" s="1067"/>
      <c r="BN249" s="259"/>
      <c r="BO249" s="259"/>
      <c r="BP249" s="1076"/>
      <c r="BQ249" s="1077"/>
      <c r="BR249" s="1078"/>
      <c r="BS249" s="1075" t="s">
        <v>159</v>
      </c>
      <c r="BT249" s="1075"/>
      <c r="BU249" s="1075"/>
    </row>
    <row r="250" spans="1:73" ht="30" customHeight="1" x14ac:dyDescent="0.25">
      <c r="A250" s="199">
        <f t="shared" si="3"/>
        <v>236</v>
      </c>
      <c r="B250" s="1081" t="s">
        <v>162</v>
      </c>
      <c r="C250" s="1082"/>
      <c r="D250" s="1083" t="s">
        <v>159</v>
      </c>
      <c r="E250" s="1084"/>
      <c r="F250" s="1084"/>
      <c r="G250" s="1085"/>
      <c r="H250" s="1086" t="s">
        <v>159</v>
      </c>
      <c r="I250" s="1087"/>
      <c r="J250" s="1087"/>
      <c r="K250" s="1088"/>
      <c r="L250" s="1089" t="s">
        <v>159</v>
      </c>
      <c r="M250" s="1090"/>
      <c r="N250" s="1091"/>
      <c r="O250" s="1092" t="s">
        <v>159</v>
      </c>
      <c r="P250" s="1093"/>
      <c r="Q250" s="1094"/>
      <c r="R250" s="812"/>
      <c r="S250" s="1095"/>
      <c r="T250" s="813"/>
      <c r="U250" s="745"/>
      <c r="V250" s="940"/>
      <c r="W250" s="746"/>
      <c r="X250" s="312"/>
      <c r="Y250" s="308"/>
      <c r="Z250" s="312"/>
      <c r="AA250" s="308"/>
      <c r="AB250" s="312"/>
      <c r="AC250" s="308"/>
      <c r="AD250" s="312"/>
      <c r="AE250" s="308"/>
      <c r="AF250" s="312"/>
      <c r="AG250" s="308"/>
      <c r="AH250" s="312"/>
      <c r="AI250" s="308"/>
      <c r="AJ250" s="117"/>
      <c r="AK250" s="330"/>
      <c r="AL250" s="117"/>
      <c r="AM250" s="330"/>
      <c r="AN250" s="117"/>
      <c r="AO250" s="330"/>
      <c r="AP250" s="117"/>
      <c r="AQ250" s="330"/>
      <c r="AR250" s="117"/>
      <c r="AS250" s="1096" t="s">
        <v>159</v>
      </c>
      <c r="AT250" s="1097"/>
      <c r="AU250" s="1097"/>
      <c r="AV250" s="1097"/>
      <c r="AW250" s="1097"/>
      <c r="AX250" s="1097"/>
      <c r="AY250" s="1100"/>
      <c r="AZ250" s="257"/>
      <c r="BA250" s="257"/>
      <c r="BB250" s="1059" t="s">
        <v>162</v>
      </c>
      <c r="BC250" s="1060"/>
      <c r="BD250" s="1075" t="s">
        <v>159</v>
      </c>
      <c r="BE250" s="1075"/>
      <c r="BF250" s="1075"/>
      <c r="BG250" s="1076" t="s">
        <v>159</v>
      </c>
      <c r="BH250" s="1077"/>
      <c r="BI250" s="1077"/>
      <c r="BJ250" s="1078"/>
      <c r="BK250" s="1065"/>
      <c r="BL250" s="1066"/>
      <c r="BM250" s="1067"/>
      <c r="BN250" s="259"/>
      <c r="BO250" s="259"/>
      <c r="BP250" s="1076"/>
      <c r="BQ250" s="1077"/>
      <c r="BR250" s="1078"/>
      <c r="BS250" s="1075" t="s">
        <v>159</v>
      </c>
      <c r="BT250" s="1075"/>
      <c r="BU250" s="1075"/>
    </row>
    <row r="251" spans="1:73" ht="30" customHeight="1" x14ac:dyDescent="0.25">
      <c r="A251" s="199">
        <f t="shared" si="3"/>
        <v>237</v>
      </c>
      <c r="B251" s="1081" t="s">
        <v>162</v>
      </c>
      <c r="C251" s="1082"/>
      <c r="D251" s="1083" t="s">
        <v>159</v>
      </c>
      <c r="E251" s="1084"/>
      <c r="F251" s="1084"/>
      <c r="G251" s="1085"/>
      <c r="H251" s="1086" t="s">
        <v>159</v>
      </c>
      <c r="I251" s="1087"/>
      <c r="J251" s="1087"/>
      <c r="K251" s="1088"/>
      <c r="L251" s="1089" t="s">
        <v>159</v>
      </c>
      <c r="M251" s="1090"/>
      <c r="N251" s="1091"/>
      <c r="O251" s="1092" t="s">
        <v>159</v>
      </c>
      <c r="P251" s="1093"/>
      <c r="Q251" s="1094"/>
      <c r="R251" s="812"/>
      <c r="S251" s="1095"/>
      <c r="T251" s="813"/>
      <c r="U251" s="745"/>
      <c r="V251" s="940"/>
      <c r="W251" s="746"/>
      <c r="X251" s="312"/>
      <c r="Y251" s="308"/>
      <c r="Z251" s="312"/>
      <c r="AA251" s="308"/>
      <c r="AB251" s="312"/>
      <c r="AC251" s="308"/>
      <c r="AD251" s="312"/>
      <c r="AE251" s="308"/>
      <c r="AF251" s="312"/>
      <c r="AG251" s="308"/>
      <c r="AH251" s="312"/>
      <c r="AI251" s="308"/>
      <c r="AJ251" s="117"/>
      <c r="AK251" s="330"/>
      <c r="AL251" s="117"/>
      <c r="AM251" s="330"/>
      <c r="AN251" s="117"/>
      <c r="AO251" s="330"/>
      <c r="AP251" s="117"/>
      <c r="AQ251" s="330"/>
      <c r="AR251" s="117"/>
      <c r="AS251" s="1096" t="s">
        <v>159</v>
      </c>
      <c r="AT251" s="1097"/>
      <c r="AU251" s="1097"/>
      <c r="AV251" s="1097"/>
      <c r="AW251" s="1097"/>
      <c r="AX251" s="1097"/>
      <c r="AY251" s="1100"/>
      <c r="AZ251" s="257"/>
      <c r="BA251" s="257"/>
      <c r="BB251" s="1059" t="s">
        <v>162</v>
      </c>
      <c r="BC251" s="1060"/>
      <c r="BD251" s="1075" t="s">
        <v>159</v>
      </c>
      <c r="BE251" s="1075"/>
      <c r="BF251" s="1075"/>
      <c r="BG251" s="1076" t="s">
        <v>159</v>
      </c>
      <c r="BH251" s="1077"/>
      <c r="BI251" s="1077"/>
      <c r="BJ251" s="1078"/>
      <c r="BK251" s="1065"/>
      <c r="BL251" s="1066"/>
      <c r="BM251" s="1067"/>
      <c r="BN251" s="259"/>
      <c r="BO251" s="259"/>
      <c r="BP251" s="1076"/>
      <c r="BQ251" s="1077"/>
      <c r="BR251" s="1078"/>
      <c r="BS251" s="1075" t="s">
        <v>159</v>
      </c>
      <c r="BT251" s="1075"/>
      <c r="BU251" s="1075"/>
    </row>
    <row r="252" spans="1:73" ht="30" customHeight="1" x14ac:dyDescent="0.25">
      <c r="A252" s="199">
        <f t="shared" si="3"/>
        <v>238</v>
      </c>
      <c r="B252" s="1081" t="s">
        <v>162</v>
      </c>
      <c r="C252" s="1082"/>
      <c r="D252" s="1083" t="s">
        <v>159</v>
      </c>
      <c r="E252" s="1084"/>
      <c r="F252" s="1084"/>
      <c r="G252" s="1085"/>
      <c r="H252" s="1086" t="s">
        <v>159</v>
      </c>
      <c r="I252" s="1087"/>
      <c r="J252" s="1087"/>
      <c r="K252" s="1088"/>
      <c r="L252" s="1089" t="s">
        <v>159</v>
      </c>
      <c r="M252" s="1090"/>
      <c r="N252" s="1091"/>
      <c r="O252" s="1092" t="s">
        <v>159</v>
      </c>
      <c r="P252" s="1093"/>
      <c r="Q252" s="1094"/>
      <c r="R252" s="812"/>
      <c r="S252" s="1095"/>
      <c r="T252" s="813"/>
      <c r="U252" s="745"/>
      <c r="V252" s="940"/>
      <c r="W252" s="746"/>
      <c r="X252" s="312"/>
      <c r="Y252" s="308"/>
      <c r="Z252" s="312"/>
      <c r="AA252" s="308"/>
      <c r="AB252" s="312"/>
      <c r="AC252" s="308"/>
      <c r="AD252" s="312"/>
      <c r="AE252" s="308"/>
      <c r="AF252" s="312"/>
      <c r="AG252" s="308"/>
      <c r="AH252" s="312"/>
      <c r="AI252" s="308"/>
      <c r="AJ252" s="117"/>
      <c r="AK252" s="330"/>
      <c r="AL252" s="117"/>
      <c r="AM252" s="330"/>
      <c r="AN252" s="117"/>
      <c r="AO252" s="330"/>
      <c r="AP252" s="117"/>
      <c r="AQ252" s="330"/>
      <c r="AR252" s="117"/>
      <c r="AS252" s="1096" t="s">
        <v>159</v>
      </c>
      <c r="AT252" s="1097"/>
      <c r="AU252" s="1097"/>
      <c r="AV252" s="1097"/>
      <c r="AW252" s="1097"/>
      <c r="AX252" s="1097"/>
      <c r="AY252" s="1100"/>
      <c r="AZ252" s="257"/>
      <c r="BA252" s="257"/>
      <c r="BB252" s="1059" t="s">
        <v>162</v>
      </c>
      <c r="BC252" s="1060"/>
      <c r="BD252" s="1075" t="s">
        <v>159</v>
      </c>
      <c r="BE252" s="1075"/>
      <c r="BF252" s="1075"/>
      <c r="BG252" s="1076" t="s">
        <v>159</v>
      </c>
      <c r="BH252" s="1077"/>
      <c r="BI252" s="1077"/>
      <c r="BJ252" s="1078"/>
      <c r="BK252" s="1065"/>
      <c r="BL252" s="1066"/>
      <c r="BM252" s="1067"/>
      <c r="BN252" s="259"/>
      <c r="BO252" s="259"/>
      <c r="BP252" s="1076"/>
      <c r="BQ252" s="1077"/>
      <c r="BR252" s="1078"/>
      <c r="BS252" s="1075" t="s">
        <v>159</v>
      </c>
      <c r="BT252" s="1075"/>
      <c r="BU252" s="1075"/>
    </row>
    <row r="253" spans="1:73" ht="30" customHeight="1" x14ac:dyDescent="0.25">
      <c r="A253" s="199">
        <f t="shared" si="3"/>
        <v>239</v>
      </c>
      <c r="B253" s="1081" t="s">
        <v>162</v>
      </c>
      <c r="C253" s="1082"/>
      <c r="D253" s="1083" t="s">
        <v>159</v>
      </c>
      <c r="E253" s="1084"/>
      <c r="F253" s="1084"/>
      <c r="G253" s="1085"/>
      <c r="H253" s="1086" t="s">
        <v>159</v>
      </c>
      <c r="I253" s="1087"/>
      <c r="J253" s="1087"/>
      <c r="K253" s="1088"/>
      <c r="L253" s="1089" t="s">
        <v>159</v>
      </c>
      <c r="M253" s="1090"/>
      <c r="N253" s="1091"/>
      <c r="O253" s="1092" t="s">
        <v>159</v>
      </c>
      <c r="P253" s="1093"/>
      <c r="Q253" s="1094"/>
      <c r="R253" s="812"/>
      <c r="S253" s="1095"/>
      <c r="T253" s="813"/>
      <c r="U253" s="745"/>
      <c r="V253" s="940"/>
      <c r="W253" s="746"/>
      <c r="X253" s="312"/>
      <c r="Y253" s="308"/>
      <c r="Z253" s="312"/>
      <c r="AA253" s="308"/>
      <c r="AB253" s="312"/>
      <c r="AC253" s="308"/>
      <c r="AD253" s="312"/>
      <c r="AE253" s="308"/>
      <c r="AF253" s="312"/>
      <c r="AG253" s="308"/>
      <c r="AH253" s="312"/>
      <c r="AI253" s="308"/>
      <c r="AJ253" s="117"/>
      <c r="AK253" s="330"/>
      <c r="AL253" s="117"/>
      <c r="AM253" s="330"/>
      <c r="AN253" s="117"/>
      <c r="AO253" s="330"/>
      <c r="AP253" s="117"/>
      <c r="AQ253" s="330"/>
      <c r="AR253" s="117"/>
      <c r="AS253" s="1096" t="s">
        <v>159</v>
      </c>
      <c r="AT253" s="1097"/>
      <c r="AU253" s="1097"/>
      <c r="AV253" s="1097"/>
      <c r="AW253" s="1097"/>
      <c r="AX253" s="1097"/>
      <c r="AY253" s="1100"/>
      <c r="AZ253" s="257"/>
      <c r="BA253" s="257"/>
      <c r="BB253" s="1079" t="s">
        <v>162</v>
      </c>
      <c r="BC253" s="1080"/>
      <c r="BD253" s="1075" t="s">
        <v>159</v>
      </c>
      <c r="BE253" s="1075"/>
      <c r="BF253" s="1075"/>
      <c r="BG253" s="1076" t="s">
        <v>159</v>
      </c>
      <c r="BH253" s="1077"/>
      <c r="BI253" s="1077"/>
      <c r="BJ253" s="1078"/>
      <c r="BK253" s="1065"/>
      <c r="BL253" s="1066"/>
      <c r="BM253" s="1067"/>
      <c r="BN253" s="259"/>
      <c r="BO253" s="259"/>
      <c r="BP253" s="1076"/>
      <c r="BQ253" s="1077"/>
      <c r="BR253" s="1078"/>
      <c r="BS253" s="1075" t="s">
        <v>159</v>
      </c>
      <c r="BT253" s="1075"/>
      <c r="BU253" s="1075"/>
    </row>
    <row r="254" spans="1:73" ht="30" customHeight="1" x14ac:dyDescent="0.25">
      <c r="A254" s="199">
        <f t="shared" si="3"/>
        <v>240</v>
      </c>
      <c r="B254" s="1081" t="s">
        <v>162</v>
      </c>
      <c r="C254" s="1082"/>
      <c r="D254" s="1083" t="s">
        <v>159</v>
      </c>
      <c r="E254" s="1084"/>
      <c r="F254" s="1084"/>
      <c r="G254" s="1085"/>
      <c r="H254" s="1086" t="s">
        <v>159</v>
      </c>
      <c r="I254" s="1087"/>
      <c r="J254" s="1087"/>
      <c r="K254" s="1088"/>
      <c r="L254" s="1089" t="s">
        <v>159</v>
      </c>
      <c r="M254" s="1090"/>
      <c r="N254" s="1091"/>
      <c r="O254" s="1092" t="s">
        <v>159</v>
      </c>
      <c r="P254" s="1093"/>
      <c r="Q254" s="1094"/>
      <c r="R254" s="812"/>
      <c r="S254" s="1095"/>
      <c r="T254" s="813"/>
      <c r="U254" s="745"/>
      <c r="V254" s="940"/>
      <c r="W254" s="746"/>
      <c r="X254" s="312"/>
      <c r="Y254" s="308"/>
      <c r="Z254" s="312"/>
      <c r="AA254" s="308"/>
      <c r="AB254" s="312"/>
      <c r="AC254" s="308"/>
      <c r="AD254" s="312"/>
      <c r="AE254" s="308"/>
      <c r="AF254" s="312"/>
      <c r="AG254" s="308"/>
      <c r="AH254" s="312"/>
      <c r="AI254" s="308"/>
      <c r="AJ254" s="117"/>
      <c r="AK254" s="330"/>
      <c r="AL254" s="117"/>
      <c r="AM254" s="330"/>
      <c r="AN254" s="117"/>
      <c r="AO254" s="330"/>
      <c r="AP254" s="117"/>
      <c r="AQ254" s="330"/>
      <c r="AR254" s="117"/>
      <c r="AS254" s="1096" t="s">
        <v>159</v>
      </c>
      <c r="AT254" s="1097"/>
      <c r="AU254" s="1097"/>
      <c r="AV254" s="1097"/>
      <c r="AW254" s="1097"/>
      <c r="AX254" s="1097"/>
      <c r="AY254" s="1100"/>
      <c r="AZ254" s="257"/>
      <c r="BA254" s="257"/>
      <c r="BB254" s="1059" t="s">
        <v>162</v>
      </c>
      <c r="BC254" s="1060"/>
      <c r="BD254" s="1075" t="s">
        <v>159</v>
      </c>
      <c r="BE254" s="1075"/>
      <c r="BF254" s="1075"/>
      <c r="BG254" s="1076" t="s">
        <v>159</v>
      </c>
      <c r="BH254" s="1077"/>
      <c r="BI254" s="1077"/>
      <c r="BJ254" s="1078"/>
      <c r="BK254" s="1065"/>
      <c r="BL254" s="1066"/>
      <c r="BM254" s="1067"/>
      <c r="BN254" s="259"/>
      <c r="BO254" s="259"/>
      <c r="BP254" s="1076"/>
      <c r="BQ254" s="1077"/>
      <c r="BR254" s="1078"/>
      <c r="BS254" s="1075" t="s">
        <v>159</v>
      </c>
      <c r="BT254" s="1075"/>
      <c r="BU254" s="1075"/>
    </row>
    <row r="255" spans="1:73" ht="30" customHeight="1" x14ac:dyDescent="0.25">
      <c r="A255" s="199">
        <f t="shared" si="3"/>
        <v>241</v>
      </c>
      <c r="B255" s="1081" t="s">
        <v>162</v>
      </c>
      <c r="C255" s="1082"/>
      <c r="D255" s="1083" t="s">
        <v>159</v>
      </c>
      <c r="E255" s="1084"/>
      <c r="F255" s="1084"/>
      <c r="G255" s="1085"/>
      <c r="H255" s="1086" t="s">
        <v>159</v>
      </c>
      <c r="I255" s="1087"/>
      <c r="J255" s="1087"/>
      <c r="K255" s="1088"/>
      <c r="L255" s="1089" t="s">
        <v>159</v>
      </c>
      <c r="M255" s="1090"/>
      <c r="N255" s="1091"/>
      <c r="O255" s="1092" t="s">
        <v>159</v>
      </c>
      <c r="P255" s="1093"/>
      <c r="Q255" s="1094"/>
      <c r="R255" s="812"/>
      <c r="S255" s="1095"/>
      <c r="T255" s="813"/>
      <c r="U255" s="745"/>
      <c r="V255" s="940"/>
      <c r="W255" s="746"/>
      <c r="X255" s="312"/>
      <c r="Y255" s="308"/>
      <c r="Z255" s="312"/>
      <c r="AA255" s="308"/>
      <c r="AB255" s="312"/>
      <c r="AC255" s="308"/>
      <c r="AD255" s="312"/>
      <c r="AE255" s="308"/>
      <c r="AF255" s="312"/>
      <c r="AG255" s="308"/>
      <c r="AH255" s="312"/>
      <c r="AI255" s="308"/>
      <c r="AJ255" s="117"/>
      <c r="AK255" s="330"/>
      <c r="AL255" s="117"/>
      <c r="AM255" s="330"/>
      <c r="AN255" s="117"/>
      <c r="AO255" s="330"/>
      <c r="AP255" s="117"/>
      <c r="AQ255" s="330"/>
      <c r="AR255" s="117"/>
      <c r="AS255" s="1096" t="s">
        <v>159</v>
      </c>
      <c r="AT255" s="1097"/>
      <c r="AU255" s="1097"/>
      <c r="AV255" s="1097"/>
      <c r="AW255" s="1097"/>
      <c r="AX255" s="1097"/>
      <c r="AY255" s="1100"/>
      <c r="AZ255" s="257"/>
      <c r="BA255" s="257"/>
      <c r="BB255" s="1059" t="s">
        <v>162</v>
      </c>
      <c r="BC255" s="1060"/>
      <c r="BD255" s="1075" t="s">
        <v>159</v>
      </c>
      <c r="BE255" s="1075"/>
      <c r="BF255" s="1075"/>
      <c r="BG255" s="1076" t="s">
        <v>159</v>
      </c>
      <c r="BH255" s="1077"/>
      <c r="BI255" s="1077"/>
      <c r="BJ255" s="1078"/>
      <c r="BK255" s="1065"/>
      <c r="BL255" s="1066"/>
      <c r="BM255" s="1067"/>
      <c r="BN255" s="259"/>
      <c r="BO255" s="259"/>
      <c r="BP255" s="1076"/>
      <c r="BQ255" s="1077"/>
      <c r="BR255" s="1078"/>
      <c r="BS255" s="1075" t="s">
        <v>159</v>
      </c>
      <c r="BT255" s="1075"/>
      <c r="BU255" s="1075"/>
    </row>
    <row r="256" spans="1:73" ht="30" customHeight="1" x14ac:dyDescent="0.25">
      <c r="A256" s="199">
        <f t="shared" si="3"/>
        <v>242</v>
      </c>
      <c r="B256" s="1081" t="s">
        <v>162</v>
      </c>
      <c r="C256" s="1082"/>
      <c r="D256" s="1083" t="s">
        <v>159</v>
      </c>
      <c r="E256" s="1084"/>
      <c r="F256" s="1084"/>
      <c r="G256" s="1085"/>
      <c r="H256" s="1086" t="s">
        <v>159</v>
      </c>
      <c r="I256" s="1087"/>
      <c r="J256" s="1087"/>
      <c r="K256" s="1088"/>
      <c r="L256" s="1089" t="s">
        <v>159</v>
      </c>
      <c r="M256" s="1090"/>
      <c r="N256" s="1091"/>
      <c r="O256" s="1092" t="s">
        <v>159</v>
      </c>
      <c r="P256" s="1093"/>
      <c r="Q256" s="1094"/>
      <c r="R256" s="812"/>
      <c r="S256" s="1095"/>
      <c r="T256" s="813"/>
      <c r="U256" s="745"/>
      <c r="V256" s="940"/>
      <c r="W256" s="746"/>
      <c r="X256" s="312"/>
      <c r="Y256" s="308"/>
      <c r="Z256" s="312"/>
      <c r="AA256" s="308"/>
      <c r="AB256" s="312"/>
      <c r="AC256" s="308"/>
      <c r="AD256" s="312"/>
      <c r="AE256" s="308"/>
      <c r="AF256" s="312"/>
      <c r="AG256" s="308"/>
      <c r="AH256" s="312"/>
      <c r="AI256" s="308"/>
      <c r="AJ256" s="117"/>
      <c r="AK256" s="330"/>
      <c r="AL256" s="117"/>
      <c r="AM256" s="330"/>
      <c r="AN256" s="117"/>
      <c r="AO256" s="330"/>
      <c r="AP256" s="117"/>
      <c r="AQ256" s="330"/>
      <c r="AR256" s="117"/>
      <c r="AS256" s="1096" t="s">
        <v>159</v>
      </c>
      <c r="AT256" s="1097"/>
      <c r="AU256" s="1097"/>
      <c r="AV256" s="1097"/>
      <c r="AW256" s="1097"/>
      <c r="AX256" s="1097"/>
      <c r="AY256" s="1100"/>
      <c r="AZ256" s="257"/>
      <c r="BA256" s="257"/>
      <c r="BB256" s="1059" t="s">
        <v>162</v>
      </c>
      <c r="BC256" s="1060"/>
      <c r="BD256" s="1075" t="s">
        <v>159</v>
      </c>
      <c r="BE256" s="1075"/>
      <c r="BF256" s="1075"/>
      <c r="BG256" s="1076" t="s">
        <v>159</v>
      </c>
      <c r="BH256" s="1077"/>
      <c r="BI256" s="1077"/>
      <c r="BJ256" s="1078"/>
      <c r="BK256" s="1065"/>
      <c r="BL256" s="1066"/>
      <c r="BM256" s="1067"/>
      <c r="BN256" s="259"/>
      <c r="BO256" s="259"/>
      <c r="BP256" s="1076"/>
      <c r="BQ256" s="1077"/>
      <c r="BR256" s="1078"/>
      <c r="BS256" s="1075" t="s">
        <v>159</v>
      </c>
      <c r="BT256" s="1075"/>
      <c r="BU256" s="1075"/>
    </row>
    <row r="257" spans="1:73" ht="30" customHeight="1" x14ac:dyDescent="0.25">
      <c r="A257" s="199">
        <f t="shared" si="3"/>
        <v>243</v>
      </c>
      <c r="B257" s="1081" t="s">
        <v>162</v>
      </c>
      <c r="C257" s="1082"/>
      <c r="D257" s="1083" t="s">
        <v>159</v>
      </c>
      <c r="E257" s="1084"/>
      <c r="F257" s="1084"/>
      <c r="G257" s="1085"/>
      <c r="H257" s="1086" t="s">
        <v>159</v>
      </c>
      <c r="I257" s="1087"/>
      <c r="J257" s="1087"/>
      <c r="K257" s="1088"/>
      <c r="L257" s="1089" t="s">
        <v>159</v>
      </c>
      <c r="M257" s="1090"/>
      <c r="N257" s="1091"/>
      <c r="O257" s="1092" t="s">
        <v>159</v>
      </c>
      <c r="P257" s="1093"/>
      <c r="Q257" s="1094"/>
      <c r="R257" s="812"/>
      <c r="S257" s="1095"/>
      <c r="T257" s="813"/>
      <c r="U257" s="745"/>
      <c r="V257" s="940"/>
      <c r="W257" s="746"/>
      <c r="X257" s="312"/>
      <c r="Y257" s="308"/>
      <c r="Z257" s="312"/>
      <c r="AA257" s="308"/>
      <c r="AB257" s="312"/>
      <c r="AC257" s="308"/>
      <c r="AD257" s="312"/>
      <c r="AE257" s="308"/>
      <c r="AF257" s="312"/>
      <c r="AG257" s="308"/>
      <c r="AH257" s="312"/>
      <c r="AI257" s="308"/>
      <c r="AJ257" s="117"/>
      <c r="AK257" s="330"/>
      <c r="AL257" s="117"/>
      <c r="AM257" s="330"/>
      <c r="AN257" s="117"/>
      <c r="AO257" s="330"/>
      <c r="AP257" s="117"/>
      <c r="AQ257" s="330"/>
      <c r="AR257" s="117"/>
      <c r="AS257" s="1096" t="s">
        <v>159</v>
      </c>
      <c r="AT257" s="1097"/>
      <c r="AU257" s="1097"/>
      <c r="AV257" s="1097"/>
      <c r="AW257" s="1097"/>
      <c r="AX257" s="1097"/>
      <c r="AY257" s="1100"/>
      <c r="AZ257" s="257"/>
      <c r="BA257" s="257"/>
      <c r="BB257" s="1059" t="s">
        <v>162</v>
      </c>
      <c r="BC257" s="1060"/>
      <c r="BD257" s="1075" t="s">
        <v>159</v>
      </c>
      <c r="BE257" s="1075"/>
      <c r="BF257" s="1075"/>
      <c r="BG257" s="1076" t="s">
        <v>159</v>
      </c>
      <c r="BH257" s="1077"/>
      <c r="BI257" s="1077"/>
      <c r="BJ257" s="1078"/>
      <c r="BK257" s="1065"/>
      <c r="BL257" s="1066"/>
      <c r="BM257" s="1067"/>
      <c r="BN257" s="259"/>
      <c r="BO257" s="259"/>
      <c r="BP257" s="1076"/>
      <c r="BQ257" s="1077"/>
      <c r="BR257" s="1078"/>
      <c r="BS257" s="1075" t="s">
        <v>159</v>
      </c>
      <c r="BT257" s="1075"/>
      <c r="BU257" s="1075"/>
    </row>
    <row r="258" spans="1:73" ht="30" customHeight="1" x14ac:dyDescent="0.25">
      <c r="A258" s="199">
        <f t="shared" si="3"/>
        <v>244</v>
      </c>
      <c r="B258" s="1081" t="s">
        <v>162</v>
      </c>
      <c r="C258" s="1082"/>
      <c r="D258" s="1083" t="s">
        <v>159</v>
      </c>
      <c r="E258" s="1084"/>
      <c r="F258" s="1084"/>
      <c r="G258" s="1085"/>
      <c r="H258" s="1086" t="s">
        <v>159</v>
      </c>
      <c r="I258" s="1087"/>
      <c r="J258" s="1087"/>
      <c r="K258" s="1088"/>
      <c r="L258" s="1089" t="s">
        <v>159</v>
      </c>
      <c r="M258" s="1090"/>
      <c r="N258" s="1091"/>
      <c r="O258" s="1092" t="s">
        <v>159</v>
      </c>
      <c r="P258" s="1093"/>
      <c r="Q258" s="1094"/>
      <c r="R258" s="812"/>
      <c r="S258" s="1095"/>
      <c r="T258" s="813"/>
      <c r="U258" s="745"/>
      <c r="V258" s="940"/>
      <c r="W258" s="746"/>
      <c r="X258" s="312"/>
      <c r="Y258" s="308"/>
      <c r="Z258" s="312"/>
      <c r="AA258" s="308"/>
      <c r="AB258" s="312"/>
      <c r="AC258" s="308"/>
      <c r="AD258" s="312"/>
      <c r="AE258" s="308"/>
      <c r="AF258" s="312"/>
      <c r="AG258" s="308"/>
      <c r="AH258" s="312"/>
      <c r="AI258" s="308"/>
      <c r="AJ258" s="117"/>
      <c r="AK258" s="330"/>
      <c r="AL258" s="117"/>
      <c r="AM258" s="330"/>
      <c r="AN258" s="117"/>
      <c r="AO258" s="330"/>
      <c r="AP258" s="117"/>
      <c r="AQ258" s="330"/>
      <c r="AR258" s="117"/>
      <c r="AS258" s="1096" t="s">
        <v>159</v>
      </c>
      <c r="AT258" s="1097"/>
      <c r="AU258" s="1097"/>
      <c r="AV258" s="1097"/>
      <c r="AW258" s="1097"/>
      <c r="AX258" s="1097"/>
      <c r="AY258" s="1100"/>
      <c r="AZ258" s="257"/>
      <c r="BA258" s="257"/>
      <c r="BB258" s="1059" t="s">
        <v>162</v>
      </c>
      <c r="BC258" s="1060"/>
      <c r="BD258" s="1075" t="s">
        <v>159</v>
      </c>
      <c r="BE258" s="1075"/>
      <c r="BF258" s="1075"/>
      <c r="BG258" s="1076" t="s">
        <v>159</v>
      </c>
      <c r="BH258" s="1077"/>
      <c r="BI258" s="1077"/>
      <c r="BJ258" s="1078"/>
      <c r="BK258" s="1065"/>
      <c r="BL258" s="1066"/>
      <c r="BM258" s="1067"/>
      <c r="BN258" s="259"/>
      <c r="BO258" s="259"/>
      <c r="BP258" s="1076"/>
      <c r="BQ258" s="1077"/>
      <c r="BR258" s="1078"/>
      <c r="BS258" s="1075" t="s">
        <v>159</v>
      </c>
      <c r="BT258" s="1075"/>
      <c r="BU258" s="1075"/>
    </row>
    <row r="259" spans="1:73" ht="30" customHeight="1" x14ac:dyDescent="0.25">
      <c r="A259" s="199">
        <f t="shared" si="3"/>
        <v>245</v>
      </c>
      <c r="B259" s="1081" t="s">
        <v>162</v>
      </c>
      <c r="C259" s="1082"/>
      <c r="D259" s="1083" t="s">
        <v>159</v>
      </c>
      <c r="E259" s="1084"/>
      <c r="F259" s="1084"/>
      <c r="G259" s="1085"/>
      <c r="H259" s="1086" t="s">
        <v>159</v>
      </c>
      <c r="I259" s="1087"/>
      <c r="J259" s="1087"/>
      <c r="K259" s="1088"/>
      <c r="L259" s="1089" t="s">
        <v>159</v>
      </c>
      <c r="M259" s="1090"/>
      <c r="N259" s="1091"/>
      <c r="O259" s="1092" t="s">
        <v>159</v>
      </c>
      <c r="P259" s="1093"/>
      <c r="Q259" s="1094"/>
      <c r="R259" s="812"/>
      <c r="S259" s="1095"/>
      <c r="T259" s="813"/>
      <c r="U259" s="745"/>
      <c r="V259" s="940"/>
      <c r="W259" s="746"/>
      <c r="X259" s="312"/>
      <c r="Y259" s="308"/>
      <c r="Z259" s="312"/>
      <c r="AA259" s="308"/>
      <c r="AB259" s="312"/>
      <c r="AC259" s="308"/>
      <c r="AD259" s="312"/>
      <c r="AE259" s="308"/>
      <c r="AF259" s="312"/>
      <c r="AG259" s="308"/>
      <c r="AH259" s="312"/>
      <c r="AI259" s="308"/>
      <c r="AJ259" s="117"/>
      <c r="AK259" s="330"/>
      <c r="AL259" s="117"/>
      <c r="AM259" s="330"/>
      <c r="AN259" s="117"/>
      <c r="AO259" s="330"/>
      <c r="AP259" s="117"/>
      <c r="AQ259" s="330"/>
      <c r="AR259" s="117"/>
      <c r="AS259" s="1096" t="s">
        <v>159</v>
      </c>
      <c r="AT259" s="1097"/>
      <c r="AU259" s="1097"/>
      <c r="AV259" s="1097"/>
      <c r="AW259" s="1097"/>
      <c r="AX259" s="1097"/>
      <c r="AY259" s="1100"/>
      <c r="AZ259" s="257"/>
      <c r="BA259" s="257"/>
      <c r="BB259" s="1059" t="s">
        <v>162</v>
      </c>
      <c r="BC259" s="1060"/>
      <c r="BD259" s="1075" t="s">
        <v>159</v>
      </c>
      <c r="BE259" s="1075"/>
      <c r="BF259" s="1075"/>
      <c r="BG259" s="1076" t="s">
        <v>159</v>
      </c>
      <c r="BH259" s="1077"/>
      <c r="BI259" s="1077"/>
      <c r="BJ259" s="1078"/>
      <c r="BK259" s="1065"/>
      <c r="BL259" s="1066"/>
      <c r="BM259" s="1067"/>
      <c r="BN259" s="259"/>
      <c r="BO259" s="259"/>
      <c r="BP259" s="1076"/>
      <c r="BQ259" s="1077"/>
      <c r="BR259" s="1078"/>
      <c r="BS259" s="1075" t="s">
        <v>159</v>
      </c>
      <c r="BT259" s="1075"/>
      <c r="BU259" s="1075"/>
    </row>
    <row r="260" spans="1:73" ht="30" customHeight="1" x14ac:dyDescent="0.25">
      <c r="A260" s="199">
        <f t="shared" si="3"/>
        <v>246</v>
      </c>
      <c r="B260" s="1081" t="s">
        <v>162</v>
      </c>
      <c r="C260" s="1082"/>
      <c r="D260" s="1083" t="s">
        <v>159</v>
      </c>
      <c r="E260" s="1084"/>
      <c r="F260" s="1084"/>
      <c r="G260" s="1085"/>
      <c r="H260" s="1086" t="s">
        <v>159</v>
      </c>
      <c r="I260" s="1087"/>
      <c r="J260" s="1087"/>
      <c r="K260" s="1088"/>
      <c r="L260" s="1089" t="s">
        <v>159</v>
      </c>
      <c r="M260" s="1090"/>
      <c r="N260" s="1091"/>
      <c r="O260" s="1092" t="s">
        <v>159</v>
      </c>
      <c r="P260" s="1093"/>
      <c r="Q260" s="1094"/>
      <c r="R260" s="812"/>
      <c r="S260" s="1095"/>
      <c r="T260" s="813"/>
      <c r="U260" s="745"/>
      <c r="V260" s="940"/>
      <c r="W260" s="746"/>
      <c r="X260" s="312"/>
      <c r="Y260" s="308"/>
      <c r="Z260" s="312"/>
      <c r="AA260" s="308"/>
      <c r="AB260" s="312"/>
      <c r="AC260" s="308"/>
      <c r="AD260" s="312"/>
      <c r="AE260" s="308"/>
      <c r="AF260" s="312"/>
      <c r="AG260" s="308"/>
      <c r="AH260" s="312"/>
      <c r="AI260" s="308"/>
      <c r="AJ260" s="117"/>
      <c r="AK260" s="330"/>
      <c r="AL260" s="117"/>
      <c r="AM260" s="330"/>
      <c r="AN260" s="117"/>
      <c r="AO260" s="330"/>
      <c r="AP260" s="117"/>
      <c r="AQ260" s="330"/>
      <c r="AR260" s="117"/>
      <c r="AS260" s="1096" t="s">
        <v>159</v>
      </c>
      <c r="AT260" s="1097"/>
      <c r="AU260" s="1097"/>
      <c r="AV260" s="1097"/>
      <c r="AW260" s="1097"/>
      <c r="AX260" s="1097"/>
      <c r="AY260" s="1100"/>
      <c r="AZ260" s="257"/>
      <c r="BA260" s="257"/>
      <c r="BB260" s="1079" t="s">
        <v>162</v>
      </c>
      <c r="BC260" s="1080"/>
      <c r="BD260" s="1075" t="s">
        <v>159</v>
      </c>
      <c r="BE260" s="1075"/>
      <c r="BF260" s="1075"/>
      <c r="BG260" s="1076" t="s">
        <v>159</v>
      </c>
      <c r="BH260" s="1077"/>
      <c r="BI260" s="1077"/>
      <c r="BJ260" s="1078"/>
      <c r="BK260" s="1065"/>
      <c r="BL260" s="1066"/>
      <c r="BM260" s="1067"/>
      <c r="BN260" s="259"/>
      <c r="BO260" s="259"/>
      <c r="BP260" s="1076"/>
      <c r="BQ260" s="1077"/>
      <c r="BR260" s="1078"/>
      <c r="BS260" s="1075" t="s">
        <v>159</v>
      </c>
      <c r="BT260" s="1075"/>
      <c r="BU260" s="1075"/>
    </row>
    <row r="261" spans="1:73" ht="30" customHeight="1" x14ac:dyDescent="0.25">
      <c r="A261" s="199">
        <f t="shared" si="3"/>
        <v>247</v>
      </c>
      <c r="B261" s="1081" t="s">
        <v>162</v>
      </c>
      <c r="C261" s="1082"/>
      <c r="D261" s="1083" t="s">
        <v>159</v>
      </c>
      <c r="E261" s="1084"/>
      <c r="F261" s="1084"/>
      <c r="G261" s="1085"/>
      <c r="H261" s="1086" t="s">
        <v>159</v>
      </c>
      <c r="I261" s="1087"/>
      <c r="J261" s="1087"/>
      <c r="K261" s="1088"/>
      <c r="L261" s="1089" t="s">
        <v>159</v>
      </c>
      <c r="M261" s="1090"/>
      <c r="N261" s="1091"/>
      <c r="O261" s="1092" t="s">
        <v>159</v>
      </c>
      <c r="P261" s="1093"/>
      <c r="Q261" s="1094"/>
      <c r="R261" s="812"/>
      <c r="S261" s="1095"/>
      <c r="T261" s="813"/>
      <c r="U261" s="745"/>
      <c r="V261" s="940"/>
      <c r="W261" s="746"/>
      <c r="X261" s="312"/>
      <c r="Y261" s="308"/>
      <c r="Z261" s="312"/>
      <c r="AA261" s="308"/>
      <c r="AB261" s="312"/>
      <c r="AC261" s="308"/>
      <c r="AD261" s="312"/>
      <c r="AE261" s="308"/>
      <c r="AF261" s="312"/>
      <c r="AG261" s="308"/>
      <c r="AH261" s="312"/>
      <c r="AI261" s="308"/>
      <c r="AJ261" s="117"/>
      <c r="AK261" s="330"/>
      <c r="AL261" s="117"/>
      <c r="AM261" s="330"/>
      <c r="AN261" s="117"/>
      <c r="AO261" s="330"/>
      <c r="AP261" s="117"/>
      <c r="AQ261" s="330"/>
      <c r="AR261" s="117"/>
      <c r="AS261" s="1096" t="s">
        <v>159</v>
      </c>
      <c r="AT261" s="1097"/>
      <c r="AU261" s="1097"/>
      <c r="AV261" s="1097"/>
      <c r="AW261" s="1097"/>
      <c r="AX261" s="1097"/>
      <c r="AY261" s="1100"/>
      <c r="AZ261" s="257"/>
      <c r="BA261" s="257"/>
      <c r="BB261" s="1059" t="s">
        <v>162</v>
      </c>
      <c r="BC261" s="1060"/>
      <c r="BD261" s="1075" t="s">
        <v>159</v>
      </c>
      <c r="BE261" s="1075"/>
      <c r="BF261" s="1075"/>
      <c r="BG261" s="1076" t="s">
        <v>159</v>
      </c>
      <c r="BH261" s="1077"/>
      <c r="BI261" s="1077"/>
      <c r="BJ261" s="1078"/>
      <c r="BK261" s="1065"/>
      <c r="BL261" s="1066"/>
      <c r="BM261" s="1067"/>
      <c r="BN261" s="259"/>
      <c r="BO261" s="259"/>
      <c r="BP261" s="1076"/>
      <c r="BQ261" s="1077"/>
      <c r="BR261" s="1078"/>
      <c r="BS261" s="1075" t="s">
        <v>159</v>
      </c>
      <c r="BT261" s="1075"/>
      <c r="BU261" s="1075"/>
    </row>
    <row r="262" spans="1:73" ht="30" customHeight="1" x14ac:dyDescent="0.25">
      <c r="A262" s="199">
        <f t="shared" si="3"/>
        <v>248</v>
      </c>
      <c r="B262" s="1081" t="s">
        <v>162</v>
      </c>
      <c r="C262" s="1082"/>
      <c r="D262" s="1083" t="s">
        <v>159</v>
      </c>
      <c r="E262" s="1084"/>
      <c r="F262" s="1084"/>
      <c r="G262" s="1085"/>
      <c r="H262" s="1086" t="s">
        <v>159</v>
      </c>
      <c r="I262" s="1087"/>
      <c r="J262" s="1087"/>
      <c r="K262" s="1088"/>
      <c r="L262" s="1089" t="s">
        <v>159</v>
      </c>
      <c r="M262" s="1090"/>
      <c r="N262" s="1091"/>
      <c r="O262" s="1092" t="s">
        <v>159</v>
      </c>
      <c r="P262" s="1093"/>
      <c r="Q262" s="1094"/>
      <c r="R262" s="812"/>
      <c r="S262" s="1095"/>
      <c r="T262" s="813"/>
      <c r="U262" s="745"/>
      <c r="V262" s="940"/>
      <c r="W262" s="746"/>
      <c r="X262" s="312"/>
      <c r="Y262" s="308"/>
      <c r="Z262" s="312"/>
      <c r="AA262" s="308"/>
      <c r="AB262" s="312"/>
      <c r="AC262" s="308"/>
      <c r="AD262" s="312"/>
      <c r="AE262" s="308"/>
      <c r="AF262" s="312"/>
      <c r="AG262" s="308"/>
      <c r="AH262" s="312"/>
      <c r="AI262" s="308"/>
      <c r="AJ262" s="117"/>
      <c r="AK262" s="330"/>
      <c r="AL262" s="117"/>
      <c r="AM262" s="330"/>
      <c r="AN262" s="117"/>
      <c r="AO262" s="330"/>
      <c r="AP262" s="117"/>
      <c r="AQ262" s="330"/>
      <c r="AR262" s="117"/>
      <c r="AS262" s="1096" t="s">
        <v>159</v>
      </c>
      <c r="AT262" s="1097"/>
      <c r="AU262" s="1097"/>
      <c r="AV262" s="1097"/>
      <c r="AW262" s="1097"/>
      <c r="AX262" s="1097"/>
      <c r="AY262" s="1100"/>
      <c r="AZ262" s="257"/>
      <c r="BA262" s="257"/>
      <c r="BB262" s="1059" t="s">
        <v>162</v>
      </c>
      <c r="BC262" s="1060"/>
      <c r="BD262" s="1075" t="s">
        <v>159</v>
      </c>
      <c r="BE262" s="1075"/>
      <c r="BF262" s="1075"/>
      <c r="BG262" s="1076" t="s">
        <v>159</v>
      </c>
      <c r="BH262" s="1077"/>
      <c r="BI262" s="1077"/>
      <c r="BJ262" s="1078"/>
      <c r="BK262" s="1065"/>
      <c r="BL262" s="1066"/>
      <c r="BM262" s="1067"/>
      <c r="BN262" s="259"/>
      <c r="BO262" s="259"/>
      <c r="BP262" s="1076"/>
      <c r="BQ262" s="1077"/>
      <c r="BR262" s="1078"/>
      <c r="BS262" s="1075" t="s">
        <v>159</v>
      </c>
      <c r="BT262" s="1075"/>
      <c r="BU262" s="1075"/>
    </row>
    <row r="263" spans="1:73" ht="30" customHeight="1" x14ac:dyDescent="0.25">
      <c r="A263" s="199">
        <f t="shared" si="3"/>
        <v>249</v>
      </c>
      <c r="B263" s="1081" t="s">
        <v>162</v>
      </c>
      <c r="C263" s="1082"/>
      <c r="D263" s="1083" t="s">
        <v>159</v>
      </c>
      <c r="E263" s="1084"/>
      <c r="F263" s="1084"/>
      <c r="G263" s="1085"/>
      <c r="H263" s="1086" t="s">
        <v>159</v>
      </c>
      <c r="I263" s="1087"/>
      <c r="J263" s="1087"/>
      <c r="K263" s="1088"/>
      <c r="L263" s="1089" t="s">
        <v>159</v>
      </c>
      <c r="M263" s="1090"/>
      <c r="N263" s="1091"/>
      <c r="O263" s="1092" t="s">
        <v>159</v>
      </c>
      <c r="P263" s="1093"/>
      <c r="Q263" s="1094"/>
      <c r="R263" s="812"/>
      <c r="S263" s="1095"/>
      <c r="T263" s="813"/>
      <c r="U263" s="745"/>
      <c r="V263" s="940"/>
      <c r="W263" s="746"/>
      <c r="X263" s="312"/>
      <c r="Y263" s="308"/>
      <c r="Z263" s="312"/>
      <c r="AA263" s="308"/>
      <c r="AB263" s="312"/>
      <c r="AC263" s="308"/>
      <c r="AD263" s="312"/>
      <c r="AE263" s="308"/>
      <c r="AF263" s="312"/>
      <c r="AG263" s="308"/>
      <c r="AH263" s="312"/>
      <c r="AI263" s="308"/>
      <c r="AJ263" s="117"/>
      <c r="AK263" s="330"/>
      <c r="AL263" s="117"/>
      <c r="AM263" s="330"/>
      <c r="AN263" s="117"/>
      <c r="AO263" s="330"/>
      <c r="AP263" s="117"/>
      <c r="AQ263" s="330"/>
      <c r="AR263" s="117"/>
      <c r="AS263" s="1096" t="s">
        <v>159</v>
      </c>
      <c r="AT263" s="1097"/>
      <c r="AU263" s="1097"/>
      <c r="AV263" s="1097"/>
      <c r="AW263" s="1097"/>
      <c r="AX263" s="1097"/>
      <c r="AY263" s="1100"/>
      <c r="AZ263" s="257"/>
      <c r="BA263" s="257"/>
      <c r="BB263" s="1059" t="s">
        <v>162</v>
      </c>
      <c r="BC263" s="1060"/>
      <c r="BD263" s="1075" t="s">
        <v>159</v>
      </c>
      <c r="BE263" s="1075"/>
      <c r="BF263" s="1075"/>
      <c r="BG263" s="1076" t="s">
        <v>159</v>
      </c>
      <c r="BH263" s="1077"/>
      <c r="BI263" s="1077"/>
      <c r="BJ263" s="1078"/>
      <c r="BK263" s="1065"/>
      <c r="BL263" s="1066"/>
      <c r="BM263" s="1067"/>
      <c r="BN263" s="259"/>
      <c r="BO263" s="259"/>
      <c r="BP263" s="1076"/>
      <c r="BQ263" s="1077"/>
      <c r="BR263" s="1078"/>
      <c r="BS263" s="1075" t="s">
        <v>159</v>
      </c>
      <c r="BT263" s="1075"/>
      <c r="BU263" s="1075"/>
    </row>
    <row r="264" spans="1:73" ht="30" customHeight="1" x14ac:dyDescent="0.25">
      <c r="A264" s="199">
        <f t="shared" si="3"/>
        <v>250</v>
      </c>
      <c r="B264" s="1081" t="s">
        <v>162</v>
      </c>
      <c r="C264" s="1082"/>
      <c r="D264" s="1083" t="s">
        <v>159</v>
      </c>
      <c r="E264" s="1084"/>
      <c r="F264" s="1084"/>
      <c r="G264" s="1085"/>
      <c r="H264" s="1086" t="s">
        <v>159</v>
      </c>
      <c r="I264" s="1087"/>
      <c r="J264" s="1087"/>
      <c r="K264" s="1088"/>
      <c r="L264" s="1089" t="s">
        <v>159</v>
      </c>
      <c r="M264" s="1090"/>
      <c r="N264" s="1091"/>
      <c r="O264" s="1092" t="s">
        <v>159</v>
      </c>
      <c r="P264" s="1093"/>
      <c r="Q264" s="1094"/>
      <c r="R264" s="812"/>
      <c r="S264" s="1095"/>
      <c r="T264" s="813"/>
      <c r="U264" s="745"/>
      <c r="V264" s="940"/>
      <c r="W264" s="746"/>
      <c r="X264" s="312"/>
      <c r="Y264" s="308"/>
      <c r="Z264" s="312"/>
      <c r="AA264" s="308"/>
      <c r="AB264" s="312"/>
      <c r="AC264" s="308"/>
      <c r="AD264" s="312"/>
      <c r="AE264" s="308"/>
      <c r="AF264" s="312"/>
      <c r="AG264" s="308"/>
      <c r="AH264" s="312"/>
      <c r="AI264" s="308"/>
      <c r="AJ264" s="117"/>
      <c r="AK264" s="330"/>
      <c r="AL264" s="117"/>
      <c r="AM264" s="330"/>
      <c r="AN264" s="117"/>
      <c r="AO264" s="330"/>
      <c r="AP264" s="117"/>
      <c r="AQ264" s="330"/>
      <c r="AR264" s="117"/>
      <c r="AS264" s="1096" t="s">
        <v>159</v>
      </c>
      <c r="AT264" s="1097"/>
      <c r="AU264" s="1097"/>
      <c r="AV264" s="1097"/>
      <c r="AW264" s="1097"/>
      <c r="AX264" s="1097"/>
      <c r="AY264" s="1100"/>
      <c r="AZ264" s="257"/>
      <c r="BA264" s="257"/>
      <c r="BB264" s="1059" t="s">
        <v>162</v>
      </c>
      <c r="BC264" s="1060"/>
      <c r="BD264" s="1075" t="s">
        <v>159</v>
      </c>
      <c r="BE264" s="1075"/>
      <c r="BF264" s="1075"/>
      <c r="BG264" s="1076" t="s">
        <v>159</v>
      </c>
      <c r="BH264" s="1077"/>
      <c r="BI264" s="1077"/>
      <c r="BJ264" s="1078"/>
      <c r="BK264" s="1065"/>
      <c r="BL264" s="1066"/>
      <c r="BM264" s="1067"/>
      <c r="BN264" s="259"/>
      <c r="BO264" s="259"/>
      <c r="BP264" s="1076"/>
      <c r="BQ264" s="1077"/>
      <c r="BR264" s="1078"/>
      <c r="BS264" s="1075" t="s">
        <v>159</v>
      </c>
      <c r="BT264" s="1075"/>
      <c r="BU264" s="1075"/>
    </row>
    <row r="265" spans="1:73" ht="30" customHeight="1" x14ac:dyDescent="0.25">
      <c r="A265" s="199">
        <f t="shared" si="3"/>
        <v>251</v>
      </c>
      <c r="B265" s="1081" t="s">
        <v>162</v>
      </c>
      <c r="C265" s="1082"/>
      <c r="D265" s="1083" t="s">
        <v>159</v>
      </c>
      <c r="E265" s="1084"/>
      <c r="F265" s="1084"/>
      <c r="G265" s="1085"/>
      <c r="H265" s="1086" t="s">
        <v>159</v>
      </c>
      <c r="I265" s="1087"/>
      <c r="J265" s="1087"/>
      <c r="K265" s="1088"/>
      <c r="L265" s="1089" t="s">
        <v>159</v>
      </c>
      <c r="M265" s="1090"/>
      <c r="N265" s="1091"/>
      <c r="O265" s="1092" t="s">
        <v>159</v>
      </c>
      <c r="P265" s="1093"/>
      <c r="Q265" s="1094"/>
      <c r="R265" s="812"/>
      <c r="S265" s="1095"/>
      <c r="T265" s="813"/>
      <c r="U265" s="745"/>
      <c r="V265" s="940"/>
      <c r="W265" s="746"/>
      <c r="X265" s="312"/>
      <c r="Y265" s="308"/>
      <c r="Z265" s="312"/>
      <c r="AA265" s="308"/>
      <c r="AB265" s="312"/>
      <c r="AC265" s="308"/>
      <c r="AD265" s="312"/>
      <c r="AE265" s="308"/>
      <c r="AF265" s="312"/>
      <c r="AG265" s="308"/>
      <c r="AH265" s="312"/>
      <c r="AI265" s="308"/>
      <c r="AJ265" s="117"/>
      <c r="AK265" s="330"/>
      <c r="AL265" s="117"/>
      <c r="AM265" s="330"/>
      <c r="AN265" s="117"/>
      <c r="AO265" s="330"/>
      <c r="AP265" s="117"/>
      <c r="AQ265" s="330"/>
      <c r="AR265" s="117"/>
      <c r="AS265" s="1096" t="s">
        <v>159</v>
      </c>
      <c r="AT265" s="1097"/>
      <c r="AU265" s="1097"/>
      <c r="AV265" s="1097"/>
      <c r="AW265" s="1097"/>
      <c r="AX265" s="1097"/>
      <c r="AY265" s="1100"/>
      <c r="AZ265" s="257"/>
      <c r="BA265" s="257"/>
      <c r="BB265" s="1059" t="s">
        <v>162</v>
      </c>
      <c r="BC265" s="1060"/>
      <c r="BD265" s="1075" t="s">
        <v>159</v>
      </c>
      <c r="BE265" s="1075"/>
      <c r="BF265" s="1075"/>
      <c r="BG265" s="1076" t="s">
        <v>159</v>
      </c>
      <c r="BH265" s="1077"/>
      <c r="BI265" s="1077"/>
      <c r="BJ265" s="1078"/>
      <c r="BK265" s="1065"/>
      <c r="BL265" s="1066"/>
      <c r="BM265" s="1067"/>
      <c r="BN265" s="259"/>
      <c r="BO265" s="259"/>
      <c r="BP265" s="1076"/>
      <c r="BQ265" s="1077"/>
      <c r="BR265" s="1078"/>
      <c r="BS265" s="1075" t="s">
        <v>159</v>
      </c>
      <c r="BT265" s="1075"/>
      <c r="BU265" s="1075"/>
    </row>
    <row r="266" spans="1:73" ht="30" customHeight="1" x14ac:dyDescent="0.25">
      <c r="A266" s="199">
        <f t="shared" si="3"/>
        <v>252</v>
      </c>
      <c r="B266" s="1081" t="s">
        <v>162</v>
      </c>
      <c r="C266" s="1082"/>
      <c r="D266" s="1083" t="s">
        <v>159</v>
      </c>
      <c r="E266" s="1084"/>
      <c r="F266" s="1084"/>
      <c r="G266" s="1085"/>
      <c r="H266" s="1086" t="s">
        <v>159</v>
      </c>
      <c r="I266" s="1087"/>
      <c r="J266" s="1087"/>
      <c r="K266" s="1088"/>
      <c r="L266" s="1089" t="s">
        <v>159</v>
      </c>
      <c r="M266" s="1090"/>
      <c r="N266" s="1091"/>
      <c r="O266" s="1092" t="s">
        <v>159</v>
      </c>
      <c r="P266" s="1093"/>
      <c r="Q266" s="1094"/>
      <c r="R266" s="812"/>
      <c r="S266" s="1095"/>
      <c r="T266" s="813"/>
      <c r="U266" s="745"/>
      <c r="V266" s="940"/>
      <c r="W266" s="746"/>
      <c r="X266" s="312"/>
      <c r="Y266" s="308"/>
      <c r="Z266" s="312"/>
      <c r="AA266" s="308"/>
      <c r="AB266" s="312"/>
      <c r="AC266" s="308"/>
      <c r="AD266" s="312"/>
      <c r="AE266" s="308"/>
      <c r="AF266" s="312"/>
      <c r="AG266" s="308"/>
      <c r="AH266" s="312"/>
      <c r="AI266" s="308"/>
      <c r="AJ266" s="117"/>
      <c r="AK266" s="330"/>
      <c r="AL266" s="117"/>
      <c r="AM266" s="330"/>
      <c r="AN266" s="117"/>
      <c r="AO266" s="330"/>
      <c r="AP266" s="117"/>
      <c r="AQ266" s="330"/>
      <c r="AR266" s="117"/>
      <c r="AS266" s="1096" t="s">
        <v>159</v>
      </c>
      <c r="AT266" s="1097"/>
      <c r="AU266" s="1097"/>
      <c r="AV266" s="1097"/>
      <c r="AW266" s="1097"/>
      <c r="AX266" s="1097"/>
      <c r="AY266" s="1100"/>
      <c r="AZ266" s="257"/>
      <c r="BA266" s="257"/>
      <c r="BB266" s="1059" t="s">
        <v>162</v>
      </c>
      <c r="BC266" s="1060"/>
      <c r="BD266" s="1075" t="s">
        <v>159</v>
      </c>
      <c r="BE266" s="1075"/>
      <c r="BF266" s="1075"/>
      <c r="BG266" s="1076" t="s">
        <v>159</v>
      </c>
      <c r="BH266" s="1077"/>
      <c r="BI266" s="1077"/>
      <c r="BJ266" s="1078"/>
      <c r="BK266" s="1065"/>
      <c r="BL266" s="1066"/>
      <c r="BM266" s="1067"/>
      <c r="BN266" s="259"/>
      <c r="BO266" s="259"/>
      <c r="BP266" s="1076"/>
      <c r="BQ266" s="1077"/>
      <c r="BR266" s="1078"/>
      <c r="BS266" s="1075" t="s">
        <v>159</v>
      </c>
      <c r="BT266" s="1075"/>
      <c r="BU266" s="1075"/>
    </row>
    <row r="267" spans="1:73" ht="30" customHeight="1" x14ac:dyDescent="0.25">
      <c r="A267" s="199">
        <f t="shared" si="3"/>
        <v>253</v>
      </c>
      <c r="B267" s="1081" t="s">
        <v>162</v>
      </c>
      <c r="C267" s="1082"/>
      <c r="D267" s="1083" t="s">
        <v>159</v>
      </c>
      <c r="E267" s="1084"/>
      <c r="F267" s="1084"/>
      <c r="G267" s="1085"/>
      <c r="H267" s="1086" t="s">
        <v>159</v>
      </c>
      <c r="I267" s="1087"/>
      <c r="J267" s="1087"/>
      <c r="K267" s="1088"/>
      <c r="L267" s="1089" t="s">
        <v>159</v>
      </c>
      <c r="M267" s="1090"/>
      <c r="N267" s="1091"/>
      <c r="O267" s="1092" t="s">
        <v>159</v>
      </c>
      <c r="P267" s="1093"/>
      <c r="Q267" s="1094"/>
      <c r="R267" s="812"/>
      <c r="S267" s="1095"/>
      <c r="T267" s="813"/>
      <c r="U267" s="745"/>
      <c r="V267" s="940"/>
      <c r="W267" s="746"/>
      <c r="X267" s="312"/>
      <c r="Y267" s="308"/>
      <c r="Z267" s="312"/>
      <c r="AA267" s="308"/>
      <c r="AB267" s="312"/>
      <c r="AC267" s="308"/>
      <c r="AD267" s="312"/>
      <c r="AE267" s="308"/>
      <c r="AF267" s="312"/>
      <c r="AG267" s="308"/>
      <c r="AH267" s="312"/>
      <c r="AI267" s="308"/>
      <c r="AJ267" s="117"/>
      <c r="AK267" s="330"/>
      <c r="AL267" s="117"/>
      <c r="AM267" s="330"/>
      <c r="AN267" s="117"/>
      <c r="AO267" s="330"/>
      <c r="AP267" s="117"/>
      <c r="AQ267" s="330"/>
      <c r="AR267" s="117"/>
      <c r="AS267" s="1096" t="s">
        <v>159</v>
      </c>
      <c r="AT267" s="1097"/>
      <c r="AU267" s="1097"/>
      <c r="AV267" s="1097"/>
      <c r="AW267" s="1097"/>
      <c r="AX267" s="1097"/>
      <c r="AY267" s="1100"/>
      <c r="AZ267" s="257"/>
      <c r="BA267" s="257"/>
      <c r="BB267" s="1079" t="s">
        <v>162</v>
      </c>
      <c r="BC267" s="1080"/>
      <c r="BD267" s="1075" t="s">
        <v>159</v>
      </c>
      <c r="BE267" s="1075"/>
      <c r="BF267" s="1075"/>
      <c r="BG267" s="1076" t="s">
        <v>159</v>
      </c>
      <c r="BH267" s="1077"/>
      <c r="BI267" s="1077"/>
      <c r="BJ267" s="1078"/>
      <c r="BK267" s="1065"/>
      <c r="BL267" s="1066"/>
      <c r="BM267" s="1067"/>
      <c r="BN267" s="259"/>
      <c r="BO267" s="259"/>
      <c r="BP267" s="1076"/>
      <c r="BQ267" s="1077"/>
      <c r="BR267" s="1078"/>
      <c r="BS267" s="1075" t="s">
        <v>159</v>
      </c>
      <c r="BT267" s="1075"/>
      <c r="BU267" s="1075"/>
    </row>
    <row r="268" spans="1:73" ht="30" customHeight="1" x14ac:dyDescent="0.25">
      <c r="A268" s="199">
        <f t="shared" si="3"/>
        <v>254</v>
      </c>
      <c r="B268" s="1081" t="s">
        <v>162</v>
      </c>
      <c r="C268" s="1082"/>
      <c r="D268" s="1083" t="s">
        <v>159</v>
      </c>
      <c r="E268" s="1084"/>
      <c r="F268" s="1084"/>
      <c r="G268" s="1085"/>
      <c r="H268" s="1086" t="s">
        <v>159</v>
      </c>
      <c r="I268" s="1087"/>
      <c r="J268" s="1087"/>
      <c r="K268" s="1088"/>
      <c r="L268" s="1089" t="s">
        <v>159</v>
      </c>
      <c r="M268" s="1090"/>
      <c r="N268" s="1091"/>
      <c r="O268" s="1092" t="s">
        <v>159</v>
      </c>
      <c r="P268" s="1093"/>
      <c r="Q268" s="1094"/>
      <c r="R268" s="812"/>
      <c r="S268" s="1095"/>
      <c r="T268" s="813"/>
      <c r="U268" s="745"/>
      <c r="V268" s="940"/>
      <c r="W268" s="746"/>
      <c r="X268" s="312"/>
      <c r="Y268" s="308"/>
      <c r="Z268" s="312"/>
      <c r="AA268" s="308"/>
      <c r="AB268" s="312"/>
      <c r="AC268" s="308"/>
      <c r="AD268" s="312"/>
      <c r="AE268" s="308"/>
      <c r="AF268" s="312"/>
      <c r="AG268" s="308"/>
      <c r="AH268" s="312"/>
      <c r="AI268" s="308"/>
      <c r="AJ268" s="117"/>
      <c r="AK268" s="330"/>
      <c r="AL268" s="117"/>
      <c r="AM268" s="330"/>
      <c r="AN268" s="117"/>
      <c r="AO268" s="330"/>
      <c r="AP268" s="117"/>
      <c r="AQ268" s="330"/>
      <c r="AR268" s="117"/>
      <c r="AS268" s="1096" t="s">
        <v>159</v>
      </c>
      <c r="AT268" s="1097"/>
      <c r="AU268" s="1097"/>
      <c r="AV268" s="1097"/>
      <c r="AW268" s="1097"/>
      <c r="AX268" s="1097"/>
      <c r="AY268" s="1100"/>
      <c r="AZ268" s="257"/>
      <c r="BA268" s="257"/>
      <c r="BB268" s="1059" t="s">
        <v>162</v>
      </c>
      <c r="BC268" s="1060"/>
      <c r="BD268" s="1075" t="s">
        <v>159</v>
      </c>
      <c r="BE268" s="1075"/>
      <c r="BF268" s="1075"/>
      <c r="BG268" s="1076" t="s">
        <v>159</v>
      </c>
      <c r="BH268" s="1077"/>
      <c r="BI268" s="1077"/>
      <c r="BJ268" s="1078"/>
      <c r="BK268" s="1065"/>
      <c r="BL268" s="1066"/>
      <c r="BM268" s="1067"/>
      <c r="BN268" s="259"/>
      <c r="BO268" s="259"/>
      <c r="BP268" s="1076"/>
      <c r="BQ268" s="1077"/>
      <c r="BR268" s="1078"/>
      <c r="BS268" s="1075" t="s">
        <v>159</v>
      </c>
      <c r="BT268" s="1075"/>
      <c r="BU268" s="1075"/>
    </row>
    <row r="269" spans="1:73" ht="30" customHeight="1" x14ac:dyDescent="0.25">
      <c r="A269" s="199">
        <f t="shared" si="3"/>
        <v>255</v>
      </c>
      <c r="B269" s="1081" t="s">
        <v>162</v>
      </c>
      <c r="C269" s="1082"/>
      <c r="D269" s="1083" t="s">
        <v>159</v>
      </c>
      <c r="E269" s="1084"/>
      <c r="F269" s="1084"/>
      <c r="G269" s="1085"/>
      <c r="H269" s="1086" t="s">
        <v>159</v>
      </c>
      <c r="I269" s="1087"/>
      <c r="J269" s="1087"/>
      <c r="K269" s="1088"/>
      <c r="L269" s="1089" t="s">
        <v>159</v>
      </c>
      <c r="M269" s="1090"/>
      <c r="N269" s="1091"/>
      <c r="O269" s="1092" t="s">
        <v>159</v>
      </c>
      <c r="P269" s="1093"/>
      <c r="Q269" s="1094"/>
      <c r="R269" s="812"/>
      <c r="S269" s="1095"/>
      <c r="T269" s="813"/>
      <c r="U269" s="745"/>
      <c r="V269" s="940"/>
      <c r="W269" s="746"/>
      <c r="X269" s="312"/>
      <c r="Y269" s="308"/>
      <c r="Z269" s="312"/>
      <c r="AA269" s="308"/>
      <c r="AB269" s="312"/>
      <c r="AC269" s="308"/>
      <c r="AD269" s="312"/>
      <c r="AE269" s="308"/>
      <c r="AF269" s="312"/>
      <c r="AG269" s="308"/>
      <c r="AH269" s="312"/>
      <c r="AI269" s="308"/>
      <c r="AJ269" s="117"/>
      <c r="AK269" s="330"/>
      <c r="AL269" s="117"/>
      <c r="AM269" s="330"/>
      <c r="AN269" s="117"/>
      <c r="AO269" s="330"/>
      <c r="AP269" s="117"/>
      <c r="AQ269" s="330"/>
      <c r="AR269" s="117"/>
      <c r="AS269" s="1096" t="s">
        <v>159</v>
      </c>
      <c r="AT269" s="1097"/>
      <c r="AU269" s="1097"/>
      <c r="AV269" s="1097"/>
      <c r="AW269" s="1097"/>
      <c r="AX269" s="1097"/>
      <c r="AY269" s="1100"/>
      <c r="AZ269" s="257"/>
      <c r="BA269" s="257"/>
      <c r="BB269" s="1059" t="s">
        <v>162</v>
      </c>
      <c r="BC269" s="1060"/>
      <c r="BD269" s="1075" t="s">
        <v>159</v>
      </c>
      <c r="BE269" s="1075"/>
      <c r="BF269" s="1075"/>
      <c r="BG269" s="1076" t="s">
        <v>159</v>
      </c>
      <c r="BH269" s="1077"/>
      <c r="BI269" s="1077"/>
      <c r="BJ269" s="1078"/>
      <c r="BK269" s="1065"/>
      <c r="BL269" s="1066"/>
      <c r="BM269" s="1067"/>
      <c r="BN269" s="259"/>
      <c r="BO269" s="259"/>
      <c r="BP269" s="1076"/>
      <c r="BQ269" s="1077"/>
      <c r="BR269" s="1078"/>
      <c r="BS269" s="1075" t="s">
        <v>159</v>
      </c>
      <c r="BT269" s="1075"/>
      <c r="BU269" s="1075"/>
    </row>
    <row r="270" spans="1:73" ht="30" customHeight="1" x14ac:dyDescent="0.25">
      <c r="A270" s="199">
        <f t="shared" si="3"/>
        <v>256</v>
      </c>
      <c r="B270" s="1081" t="s">
        <v>162</v>
      </c>
      <c r="C270" s="1082"/>
      <c r="D270" s="1083" t="s">
        <v>159</v>
      </c>
      <c r="E270" s="1084"/>
      <c r="F270" s="1084"/>
      <c r="G270" s="1085"/>
      <c r="H270" s="1086" t="s">
        <v>159</v>
      </c>
      <c r="I270" s="1087"/>
      <c r="J270" s="1087"/>
      <c r="K270" s="1088"/>
      <c r="L270" s="1089" t="s">
        <v>159</v>
      </c>
      <c r="M270" s="1090"/>
      <c r="N270" s="1091"/>
      <c r="O270" s="1092" t="s">
        <v>159</v>
      </c>
      <c r="P270" s="1093"/>
      <c r="Q270" s="1094"/>
      <c r="R270" s="812"/>
      <c r="S270" s="1095"/>
      <c r="T270" s="813"/>
      <c r="U270" s="745"/>
      <c r="V270" s="940"/>
      <c r="W270" s="746"/>
      <c r="X270" s="312"/>
      <c r="Y270" s="308"/>
      <c r="Z270" s="312"/>
      <c r="AA270" s="308"/>
      <c r="AB270" s="312"/>
      <c r="AC270" s="308"/>
      <c r="AD270" s="312"/>
      <c r="AE270" s="308"/>
      <c r="AF270" s="312"/>
      <c r="AG270" s="308"/>
      <c r="AH270" s="312"/>
      <c r="AI270" s="308"/>
      <c r="AJ270" s="117"/>
      <c r="AK270" s="330"/>
      <c r="AL270" s="117"/>
      <c r="AM270" s="330"/>
      <c r="AN270" s="117"/>
      <c r="AO270" s="330"/>
      <c r="AP270" s="117"/>
      <c r="AQ270" s="330"/>
      <c r="AR270" s="117"/>
      <c r="AS270" s="1096" t="s">
        <v>159</v>
      </c>
      <c r="AT270" s="1097"/>
      <c r="AU270" s="1097"/>
      <c r="AV270" s="1097"/>
      <c r="AW270" s="1097"/>
      <c r="AX270" s="1097"/>
      <c r="AY270" s="1100"/>
      <c r="AZ270" s="257"/>
      <c r="BA270" s="257"/>
      <c r="BB270" s="1059" t="s">
        <v>162</v>
      </c>
      <c r="BC270" s="1060"/>
      <c r="BD270" s="1075" t="s">
        <v>159</v>
      </c>
      <c r="BE270" s="1075"/>
      <c r="BF270" s="1075"/>
      <c r="BG270" s="1076" t="s">
        <v>159</v>
      </c>
      <c r="BH270" s="1077"/>
      <c r="BI270" s="1077"/>
      <c r="BJ270" s="1078"/>
      <c r="BK270" s="1065"/>
      <c r="BL270" s="1066"/>
      <c r="BM270" s="1067"/>
      <c r="BN270" s="259"/>
      <c r="BO270" s="259"/>
      <c r="BP270" s="1076"/>
      <c r="BQ270" s="1077"/>
      <c r="BR270" s="1078"/>
      <c r="BS270" s="1075" t="s">
        <v>159</v>
      </c>
      <c r="BT270" s="1075"/>
      <c r="BU270" s="1075"/>
    </row>
    <row r="271" spans="1:73" ht="30" customHeight="1" x14ac:dyDescent="0.25">
      <c r="A271" s="199">
        <f t="shared" si="3"/>
        <v>257</v>
      </c>
      <c r="B271" s="1081" t="s">
        <v>162</v>
      </c>
      <c r="C271" s="1082"/>
      <c r="D271" s="1083" t="s">
        <v>159</v>
      </c>
      <c r="E271" s="1084"/>
      <c r="F271" s="1084"/>
      <c r="G271" s="1085"/>
      <c r="H271" s="1086" t="s">
        <v>159</v>
      </c>
      <c r="I271" s="1087"/>
      <c r="J271" s="1087"/>
      <c r="K271" s="1088"/>
      <c r="L271" s="1089" t="s">
        <v>159</v>
      </c>
      <c r="M271" s="1090"/>
      <c r="N271" s="1091"/>
      <c r="O271" s="1092" t="s">
        <v>159</v>
      </c>
      <c r="P271" s="1093"/>
      <c r="Q271" s="1094"/>
      <c r="R271" s="812"/>
      <c r="S271" s="1095"/>
      <c r="T271" s="813"/>
      <c r="U271" s="745"/>
      <c r="V271" s="940"/>
      <c r="W271" s="746"/>
      <c r="X271" s="312"/>
      <c r="Y271" s="308"/>
      <c r="Z271" s="312"/>
      <c r="AA271" s="308"/>
      <c r="AB271" s="312"/>
      <c r="AC271" s="308"/>
      <c r="AD271" s="312"/>
      <c r="AE271" s="308"/>
      <c r="AF271" s="312"/>
      <c r="AG271" s="308"/>
      <c r="AH271" s="312"/>
      <c r="AI271" s="308"/>
      <c r="AJ271" s="117"/>
      <c r="AK271" s="330"/>
      <c r="AL271" s="117"/>
      <c r="AM271" s="330"/>
      <c r="AN271" s="117"/>
      <c r="AO271" s="330"/>
      <c r="AP271" s="117"/>
      <c r="AQ271" s="330"/>
      <c r="AR271" s="117"/>
      <c r="AS271" s="1096" t="s">
        <v>159</v>
      </c>
      <c r="AT271" s="1097"/>
      <c r="AU271" s="1097"/>
      <c r="AV271" s="1097"/>
      <c r="AW271" s="1097"/>
      <c r="AX271" s="1097"/>
      <c r="AY271" s="1100"/>
      <c r="AZ271" s="257"/>
      <c r="BA271" s="257"/>
      <c r="BB271" s="1059" t="s">
        <v>162</v>
      </c>
      <c r="BC271" s="1060"/>
      <c r="BD271" s="1075" t="s">
        <v>159</v>
      </c>
      <c r="BE271" s="1075"/>
      <c r="BF271" s="1075"/>
      <c r="BG271" s="1076" t="s">
        <v>159</v>
      </c>
      <c r="BH271" s="1077"/>
      <c r="BI271" s="1077"/>
      <c r="BJ271" s="1078"/>
      <c r="BK271" s="1065"/>
      <c r="BL271" s="1066"/>
      <c r="BM271" s="1067"/>
      <c r="BN271" s="259"/>
      <c r="BO271" s="259"/>
      <c r="BP271" s="1076"/>
      <c r="BQ271" s="1077"/>
      <c r="BR271" s="1078"/>
      <c r="BS271" s="1075" t="s">
        <v>159</v>
      </c>
      <c r="BT271" s="1075"/>
      <c r="BU271" s="1075"/>
    </row>
    <row r="272" spans="1:73" ht="30" customHeight="1" x14ac:dyDescent="0.25">
      <c r="A272" s="199">
        <f t="shared" ref="A272:A308" si="4">ROW(A258)</f>
        <v>258</v>
      </c>
      <c r="B272" s="1081" t="s">
        <v>162</v>
      </c>
      <c r="C272" s="1082"/>
      <c r="D272" s="1083" t="s">
        <v>159</v>
      </c>
      <c r="E272" s="1084"/>
      <c r="F272" s="1084"/>
      <c r="G272" s="1085"/>
      <c r="H272" s="1086" t="s">
        <v>159</v>
      </c>
      <c r="I272" s="1087"/>
      <c r="J272" s="1087"/>
      <c r="K272" s="1088"/>
      <c r="L272" s="1089" t="s">
        <v>159</v>
      </c>
      <c r="M272" s="1090"/>
      <c r="N272" s="1091"/>
      <c r="O272" s="1092" t="s">
        <v>159</v>
      </c>
      <c r="P272" s="1093"/>
      <c r="Q272" s="1094"/>
      <c r="R272" s="812"/>
      <c r="S272" s="1095"/>
      <c r="T272" s="813"/>
      <c r="U272" s="745"/>
      <c r="V272" s="940"/>
      <c r="W272" s="746"/>
      <c r="X272" s="312"/>
      <c r="Y272" s="308"/>
      <c r="Z272" s="312"/>
      <c r="AA272" s="308"/>
      <c r="AB272" s="312"/>
      <c r="AC272" s="308"/>
      <c r="AD272" s="312"/>
      <c r="AE272" s="308"/>
      <c r="AF272" s="312"/>
      <c r="AG272" s="308"/>
      <c r="AH272" s="312"/>
      <c r="AI272" s="308"/>
      <c r="AJ272" s="117"/>
      <c r="AK272" s="330"/>
      <c r="AL272" s="117"/>
      <c r="AM272" s="330"/>
      <c r="AN272" s="117"/>
      <c r="AO272" s="330"/>
      <c r="AP272" s="117"/>
      <c r="AQ272" s="330"/>
      <c r="AR272" s="117"/>
      <c r="AS272" s="1096" t="s">
        <v>159</v>
      </c>
      <c r="AT272" s="1097"/>
      <c r="AU272" s="1097"/>
      <c r="AV272" s="1097"/>
      <c r="AW272" s="1097"/>
      <c r="AX272" s="1097"/>
      <c r="AY272" s="1100"/>
      <c r="AZ272" s="257"/>
      <c r="BA272" s="257"/>
      <c r="BB272" s="1059" t="s">
        <v>162</v>
      </c>
      <c r="BC272" s="1060"/>
      <c r="BD272" s="1075" t="s">
        <v>159</v>
      </c>
      <c r="BE272" s="1075"/>
      <c r="BF272" s="1075"/>
      <c r="BG272" s="1076" t="s">
        <v>159</v>
      </c>
      <c r="BH272" s="1077"/>
      <c r="BI272" s="1077"/>
      <c r="BJ272" s="1078"/>
      <c r="BK272" s="1065"/>
      <c r="BL272" s="1066"/>
      <c r="BM272" s="1067"/>
      <c r="BN272" s="259"/>
      <c r="BO272" s="259"/>
      <c r="BP272" s="1076"/>
      <c r="BQ272" s="1077"/>
      <c r="BR272" s="1078"/>
      <c r="BS272" s="1075" t="s">
        <v>159</v>
      </c>
      <c r="BT272" s="1075"/>
      <c r="BU272" s="1075"/>
    </row>
    <row r="273" spans="1:73" ht="30" customHeight="1" x14ac:dyDescent="0.25">
      <c r="A273" s="199">
        <f t="shared" si="4"/>
        <v>259</v>
      </c>
      <c r="B273" s="1081" t="s">
        <v>162</v>
      </c>
      <c r="C273" s="1082"/>
      <c r="D273" s="1083" t="s">
        <v>159</v>
      </c>
      <c r="E273" s="1084"/>
      <c r="F273" s="1084"/>
      <c r="G273" s="1085"/>
      <c r="H273" s="1086" t="s">
        <v>159</v>
      </c>
      <c r="I273" s="1087"/>
      <c r="J273" s="1087"/>
      <c r="K273" s="1088"/>
      <c r="L273" s="1089" t="s">
        <v>159</v>
      </c>
      <c r="M273" s="1090"/>
      <c r="N273" s="1091"/>
      <c r="O273" s="1092" t="s">
        <v>159</v>
      </c>
      <c r="P273" s="1093"/>
      <c r="Q273" s="1094"/>
      <c r="R273" s="812"/>
      <c r="S273" s="1095"/>
      <c r="T273" s="813"/>
      <c r="U273" s="745"/>
      <c r="V273" s="940"/>
      <c r="W273" s="746"/>
      <c r="X273" s="312"/>
      <c r="Y273" s="308"/>
      <c r="Z273" s="312"/>
      <c r="AA273" s="308"/>
      <c r="AB273" s="312"/>
      <c r="AC273" s="308"/>
      <c r="AD273" s="312"/>
      <c r="AE273" s="308"/>
      <c r="AF273" s="312"/>
      <c r="AG273" s="308"/>
      <c r="AH273" s="312"/>
      <c r="AI273" s="308"/>
      <c r="AJ273" s="117"/>
      <c r="AK273" s="330"/>
      <c r="AL273" s="117"/>
      <c r="AM273" s="330"/>
      <c r="AN273" s="117"/>
      <c r="AO273" s="330"/>
      <c r="AP273" s="117"/>
      <c r="AQ273" s="330"/>
      <c r="AR273" s="117"/>
      <c r="AS273" s="1096" t="s">
        <v>159</v>
      </c>
      <c r="AT273" s="1097"/>
      <c r="AU273" s="1097"/>
      <c r="AV273" s="1097"/>
      <c r="AW273" s="1097"/>
      <c r="AX273" s="1097"/>
      <c r="AY273" s="1100"/>
      <c r="AZ273" s="257"/>
      <c r="BA273" s="257"/>
      <c r="BB273" s="1059" t="s">
        <v>162</v>
      </c>
      <c r="BC273" s="1060"/>
      <c r="BD273" s="1075" t="s">
        <v>159</v>
      </c>
      <c r="BE273" s="1075"/>
      <c r="BF273" s="1075"/>
      <c r="BG273" s="1076" t="s">
        <v>159</v>
      </c>
      <c r="BH273" s="1077"/>
      <c r="BI273" s="1077"/>
      <c r="BJ273" s="1078"/>
      <c r="BK273" s="1065"/>
      <c r="BL273" s="1066"/>
      <c r="BM273" s="1067"/>
      <c r="BN273" s="259"/>
      <c r="BO273" s="259"/>
      <c r="BP273" s="1076"/>
      <c r="BQ273" s="1077"/>
      <c r="BR273" s="1078"/>
      <c r="BS273" s="1075" t="s">
        <v>159</v>
      </c>
      <c r="BT273" s="1075"/>
      <c r="BU273" s="1075"/>
    </row>
    <row r="274" spans="1:73" ht="30" customHeight="1" x14ac:dyDescent="0.25">
      <c r="A274" s="199">
        <f t="shared" si="4"/>
        <v>260</v>
      </c>
      <c r="B274" s="1081" t="s">
        <v>162</v>
      </c>
      <c r="C274" s="1082"/>
      <c r="D274" s="1083" t="s">
        <v>159</v>
      </c>
      <c r="E274" s="1084"/>
      <c r="F274" s="1084"/>
      <c r="G274" s="1085"/>
      <c r="H274" s="1086" t="s">
        <v>159</v>
      </c>
      <c r="I274" s="1087"/>
      <c r="J274" s="1087"/>
      <c r="K274" s="1088"/>
      <c r="L274" s="1089" t="s">
        <v>159</v>
      </c>
      <c r="M274" s="1090"/>
      <c r="N274" s="1091"/>
      <c r="O274" s="1092" t="s">
        <v>159</v>
      </c>
      <c r="P274" s="1093"/>
      <c r="Q274" s="1094"/>
      <c r="R274" s="812"/>
      <c r="S274" s="1095"/>
      <c r="T274" s="813"/>
      <c r="U274" s="745"/>
      <c r="V274" s="940"/>
      <c r="W274" s="746"/>
      <c r="X274" s="312"/>
      <c r="Y274" s="308"/>
      <c r="Z274" s="312"/>
      <c r="AA274" s="308"/>
      <c r="AB274" s="312"/>
      <c r="AC274" s="308"/>
      <c r="AD274" s="312"/>
      <c r="AE274" s="308"/>
      <c r="AF274" s="312"/>
      <c r="AG274" s="308"/>
      <c r="AH274" s="312"/>
      <c r="AI274" s="308"/>
      <c r="AJ274" s="117"/>
      <c r="AK274" s="330"/>
      <c r="AL274" s="117"/>
      <c r="AM274" s="330"/>
      <c r="AN274" s="117"/>
      <c r="AO274" s="330"/>
      <c r="AP274" s="117"/>
      <c r="AQ274" s="330"/>
      <c r="AR274" s="117"/>
      <c r="AS274" s="1096" t="s">
        <v>159</v>
      </c>
      <c r="AT274" s="1097"/>
      <c r="AU274" s="1097"/>
      <c r="AV274" s="1097"/>
      <c r="AW274" s="1097"/>
      <c r="AX274" s="1097"/>
      <c r="AY274" s="1100"/>
      <c r="AZ274" s="257"/>
      <c r="BA274" s="257"/>
      <c r="BB274" s="1079" t="s">
        <v>162</v>
      </c>
      <c r="BC274" s="1080"/>
      <c r="BD274" s="1075" t="s">
        <v>159</v>
      </c>
      <c r="BE274" s="1075"/>
      <c r="BF274" s="1075"/>
      <c r="BG274" s="1076" t="s">
        <v>159</v>
      </c>
      <c r="BH274" s="1077"/>
      <c r="BI274" s="1077"/>
      <c r="BJ274" s="1078"/>
      <c r="BK274" s="1065"/>
      <c r="BL274" s="1066"/>
      <c r="BM274" s="1067"/>
      <c r="BN274" s="259"/>
      <c r="BO274" s="259"/>
      <c r="BP274" s="1076"/>
      <c r="BQ274" s="1077"/>
      <c r="BR274" s="1078"/>
      <c r="BS274" s="1075" t="s">
        <v>159</v>
      </c>
      <c r="BT274" s="1075"/>
      <c r="BU274" s="1075"/>
    </row>
    <row r="275" spans="1:73" ht="30" customHeight="1" x14ac:dyDescent="0.25">
      <c r="A275" s="199">
        <f t="shared" si="4"/>
        <v>261</v>
      </c>
      <c r="B275" s="1081" t="s">
        <v>162</v>
      </c>
      <c r="C275" s="1082"/>
      <c r="D275" s="1083" t="s">
        <v>159</v>
      </c>
      <c r="E275" s="1084"/>
      <c r="F275" s="1084"/>
      <c r="G275" s="1085"/>
      <c r="H275" s="1086" t="s">
        <v>159</v>
      </c>
      <c r="I275" s="1087"/>
      <c r="J275" s="1087"/>
      <c r="K275" s="1088"/>
      <c r="L275" s="1089" t="s">
        <v>159</v>
      </c>
      <c r="M275" s="1090"/>
      <c r="N275" s="1091"/>
      <c r="O275" s="1092" t="s">
        <v>159</v>
      </c>
      <c r="P275" s="1093"/>
      <c r="Q275" s="1094"/>
      <c r="R275" s="812"/>
      <c r="S275" s="1095"/>
      <c r="T275" s="813"/>
      <c r="U275" s="745"/>
      <c r="V275" s="940"/>
      <c r="W275" s="746"/>
      <c r="X275" s="312"/>
      <c r="Y275" s="308"/>
      <c r="Z275" s="312"/>
      <c r="AA275" s="308"/>
      <c r="AB275" s="312"/>
      <c r="AC275" s="308"/>
      <c r="AD275" s="312"/>
      <c r="AE275" s="308"/>
      <c r="AF275" s="312"/>
      <c r="AG275" s="308"/>
      <c r="AH275" s="312"/>
      <c r="AI275" s="308"/>
      <c r="AJ275" s="117"/>
      <c r="AK275" s="330"/>
      <c r="AL275" s="117"/>
      <c r="AM275" s="330"/>
      <c r="AN275" s="117"/>
      <c r="AO275" s="330"/>
      <c r="AP275" s="117"/>
      <c r="AQ275" s="330"/>
      <c r="AR275" s="117"/>
      <c r="AS275" s="1096" t="s">
        <v>159</v>
      </c>
      <c r="AT275" s="1097"/>
      <c r="AU275" s="1097"/>
      <c r="AV275" s="1097"/>
      <c r="AW275" s="1097"/>
      <c r="AX275" s="1097"/>
      <c r="AY275" s="1100"/>
      <c r="AZ275" s="257"/>
      <c r="BA275" s="257"/>
      <c r="BB275" s="1059" t="s">
        <v>162</v>
      </c>
      <c r="BC275" s="1060"/>
      <c r="BD275" s="1075" t="s">
        <v>159</v>
      </c>
      <c r="BE275" s="1075"/>
      <c r="BF275" s="1075"/>
      <c r="BG275" s="1076" t="s">
        <v>159</v>
      </c>
      <c r="BH275" s="1077"/>
      <c r="BI275" s="1077"/>
      <c r="BJ275" s="1078"/>
      <c r="BK275" s="1065"/>
      <c r="BL275" s="1066"/>
      <c r="BM275" s="1067"/>
      <c r="BN275" s="259"/>
      <c r="BO275" s="259"/>
      <c r="BP275" s="1076"/>
      <c r="BQ275" s="1077"/>
      <c r="BR275" s="1078"/>
      <c r="BS275" s="1075" t="s">
        <v>159</v>
      </c>
      <c r="BT275" s="1075"/>
      <c r="BU275" s="1075"/>
    </row>
    <row r="276" spans="1:73" ht="30" customHeight="1" x14ac:dyDescent="0.25">
      <c r="A276" s="199">
        <f t="shared" si="4"/>
        <v>262</v>
      </c>
      <c r="B276" s="1081" t="s">
        <v>162</v>
      </c>
      <c r="C276" s="1082"/>
      <c r="D276" s="1083" t="s">
        <v>159</v>
      </c>
      <c r="E276" s="1084"/>
      <c r="F276" s="1084"/>
      <c r="G276" s="1085"/>
      <c r="H276" s="1086" t="s">
        <v>159</v>
      </c>
      <c r="I276" s="1087"/>
      <c r="J276" s="1087"/>
      <c r="K276" s="1088"/>
      <c r="L276" s="1089" t="s">
        <v>159</v>
      </c>
      <c r="M276" s="1090"/>
      <c r="N276" s="1091"/>
      <c r="O276" s="1092" t="s">
        <v>159</v>
      </c>
      <c r="P276" s="1093"/>
      <c r="Q276" s="1094"/>
      <c r="R276" s="812"/>
      <c r="S276" s="1095"/>
      <c r="T276" s="813"/>
      <c r="U276" s="745"/>
      <c r="V276" s="940"/>
      <c r="W276" s="746"/>
      <c r="X276" s="312"/>
      <c r="Y276" s="308"/>
      <c r="Z276" s="312"/>
      <c r="AA276" s="308"/>
      <c r="AB276" s="312"/>
      <c r="AC276" s="308"/>
      <c r="AD276" s="312"/>
      <c r="AE276" s="308"/>
      <c r="AF276" s="312"/>
      <c r="AG276" s="308"/>
      <c r="AH276" s="312"/>
      <c r="AI276" s="308"/>
      <c r="AJ276" s="117"/>
      <c r="AK276" s="330"/>
      <c r="AL276" s="117"/>
      <c r="AM276" s="330"/>
      <c r="AN276" s="117"/>
      <c r="AO276" s="330"/>
      <c r="AP276" s="117"/>
      <c r="AQ276" s="330"/>
      <c r="AR276" s="117"/>
      <c r="AS276" s="1096" t="s">
        <v>159</v>
      </c>
      <c r="AT276" s="1097"/>
      <c r="AU276" s="1097"/>
      <c r="AV276" s="1097"/>
      <c r="AW276" s="1097"/>
      <c r="AX276" s="1097"/>
      <c r="AY276" s="1100"/>
      <c r="AZ276" s="257"/>
      <c r="BA276" s="257"/>
      <c r="BB276" s="1059" t="s">
        <v>162</v>
      </c>
      <c r="BC276" s="1060"/>
      <c r="BD276" s="1075" t="s">
        <v>159</v>
      </c>
      <c r="BE276" s="1075"/>
      <c r="BF276" s="1075"/>
      <c r="BG276" s="1076" t="s">
        <v>159</v>
      </c>
      <c r="BH276" s="1077"/>
      <c r="BI276" s="1077"/>
      <c r="BJ276" s="1078"/>
      <c r="BK276" s="1065"/>
      <c r="BL276" s="1066"/>
      <c r="BM276" s="1067"/>
      <c r="BN276" s="259"/>
      <c r="BO276" s="259"/>
      <c r="BP276" s="1076"/>
      <c r="BQ276" s="1077"/>
      <c r="BR276" s="1078"/>
      <c r="BS276" s="1075" t="s">
        <v>159</v>
      </c>
      <c r="BT276" s="1075"/>
      <c r="BU276" s="1075"/>
    </row>
    <row r="277" spans="1:73" ht="30" customHeight="1" x14ac:dyDescent="0.25">
      <c r="A277" s="199">
        <f t="shared" si="4"/>
        <v>263</v>
      </c>
      <c r="B277" s="1081" t="s">
        <v>162</v>
      </c>
      <c r="C277" s="1082"/>
      <c r="D277" s="1083" t="s">
        <v>159</v>
      </c>
      <c r="E277" s="1084"/>
      <c r="F277" s="1084"/>
      <c r="G277" s="1085"/>
      <c r="H277" s="1086" t="s">
        <v>159</v>
      </c>
      <c r="I277" s="1087"/>
      <c r="J277" s="1087"/>
      <c r="K277" s="1088"/>
      <c r="L277" s="1089" t="s">
        <v>159</v>
      </c>
      <c r="M277" s="1090"/>
      <c r="N277" s="1091"/>
      <c r="O277" s="1092" t="s">
        <v>159</v>
      </c>
      <c r="P277" s="1093"/>
      <c r="Q277" s="1094"/>
      <c r="R277" s="812"/>
      <c r="S277" s="1095"/>
      <c r="T277" s="813"/>
      <c r="U277" s="745"/>
      <c r="V277" s="940"/>
      <c r="W277" s="746"/>
      <c r="X277" s="312"/>
      <c r="Y277" s="308"/>
      <c r="Z277" s="312"/>
      <c r="AA277" s="308"/>
      <c r="AB277" s="312"/>
      <c r="AC277" s="308"/>
      <c r="AD277" s="312"/>
      <c r="AE277" s="308"/>
      <c r="AF277" s="312"/>
      <c r="AG277" s="308"/>
      <c r="AH277" s="312"/>
      <c r="AI277" s="308"/>
      <c r="AJ277" s="117"/>
      <c r="AK277" s="330"/>
      <c r="AL277" s="117"/>
      <c r="AM277" s="330"/>
      <c r="AN277" s="117"/>
      <c r="AO277" s="330"/>
      <c r="AP277" s="117"/>
      <c r="AQ277" s="330"/>
      <c r="AR277" s="117"/>
      <c r="AS277" s="1096" t="s">
        <v>159</v>
      </c>
      <c r="AT277" s="1097"/>
      <c r="AU277" s="1097"/>
      <c r="AV277" s="1097"/>
      <c r="AW277" s="1097"/>
      <c r="AX277" s="1097"/>
      <c r="AY277" s="1100"/>
      <c r="AZ277" s="257"/>
      <c r="BA277" s="257"/>
      <c r="BB277" s="1059" t="s">
        <v>162</v>
      </c>
      <c r="BC277" s="1060"/>
      <c r="BD277" s="1075" t="s">
        <v>159</v>
      </c>
      <c r="BE277" s="1075"/>
      <c r="BF277" s="1075"/>
      <c r="BG277" s="1076" t="s">
        <v>159</v>
      </c>
      <c r="BH277" s="1077"/>
      <c r="BI277" s="1077"/>
      <c r="BJ277" s="1078"/>
      <c r="BK277" s="1065"/>
      <c r="BL277" s="1066"/>
      <c r="BM277" s="1067"/>
      <c r="BN277" s="259"/>
      <c r="BO277" s="259"/>
      <c r="BP277" s="1076"/>
      <c r="BQ277" s="1077"/>
      <c r="BR277" s="1078"/>
      <c r="BS277" s="1075" t="s">
        <v>159</v>
      </c>
      <c r="BT277" s="1075"/>
      <c r="BU277" s="1075"/>
    </row>
    <row r="278" spans="1:73" ht="30" customHeight="1" x14ac:dyDescent="0.25">
      <c r="A278" s="199">
        <f t="shared" si="4"/>
        <v>264</v>
      </c>
      <c r="B278" s="1081" t="s">
        <v>162</v>
      </c>
      <c r="C278" s="1082"/>
      <c r="D278" s="1083" t="s">
        <v>159</v>
      </c>
      <c r="E278" s="1084"/>
      <c r="F278" s="1084"/>
      <c r="G278" s="1085"/>
      <c r="H278" s="1086" t="s">
        <v>159</v>
      </c>
      <c r="I278" s="1087"/>
      <c r="J278" s="1087"/>
      <c r="K278" s="1088"/>
      <c r="L278" s="1089" t="s">
        <v>159</v>
      </c>
      <c r="M278" s="1090"/>
      <c r="N278" s="1091"/>
      <c r="O278" s="1092" t="s">
        <v>159</v>
      </c>
      <c r="P278" s="1093"/>
      <c r="Q278" s="1094"/>
      <c r="R278" s="812"/>
      <c r="S278" s="1095"/>
      <c r="T278" s="813"/>
      <c r="U278" s="745"/>
      <c r="V278" s="940"/>
      <c r="W278" s="746"/>
      <c r="X278" s="312"/>
      <c r="Y278" s="308"/>
      <c r="Z278" s="312"/>
      <c r="AA278" s="308"/>
      <c r="AB278" s="312"/>
      <c r="AC278" s="308"/>
      <c r="AD278" s="312"/>
      <c r="AE278" s="308"/>
      <c r="AF278" s="312"/>
      <c r="AG278" s="308"/>
      <c r="AH278" s="312"/>
      <c r="AI278" s="308"/>
      <c r="AJ278" s="117"/>
      <c r="AK278" s="330"/>
      <c r="AL278" s="117"/>
      <c r="AM278" s="330"/>
      <c r="AN278" s="117"/>
      <c r="AO278" s="330"/>
      <c r="AP278" s="117"/>
      <c r="AQ278" s="330"/>
      <c r="AR278" s="117"/>
      <c r="AS278" s="1096" t="s">
        <v>159</v>
      </c>
      <c r="AT278" s="1097"/>
      <c r="AU278" s="1097"/>
      <c r="AV278" s="1097"/>
      <c r="AW278" s="1097"/>
      <c r="AX278" s="1097"/>
      <c r="AY278" s="1100"/>
      <c r="AZ278" s="257"/>
      <c r="BA278" s="257"/>
      <c r="BB278" s="1059" t="s">
        <v>162</v>
      </c>
      <c r="BC278" s="1060"/>
      <c r="BD278" s="1075" t="s">
        <v>159</v>
      </c>
      <c r="BE278" s="1075"/>
      <c r="BF278" s="1075"/>
      <c r="BG278" s="1076" t="s">
        <v>159</v>
      </c>
      <c r="BH278" s="1077"/>
      <c r="BI278" s="1077"/>
      <c r="BJ278" s="1078"/>
      <c r="BK278" s="1065"/>
      <c r="BL278" s="1066"/>
      <c r="BM278" s="1067"/>
      <c r="BN278" s="259"/>
      <c r="BO278" s="259"/>
      <c r="BP278" s="1076"/>
      <c r="BQ278" s="1077"/>
      <c r="BR278" s="1078"/>
      <c r="BS278" s="1075" t="s">
        <v>159</v>
      </c>
      <c r="BT278" s="1075"/>
      <c r="BU278" s="1075"/>
    </row>
    <row r="279" spans="1:73" ht="30" customHeight="1" x14ac:dyDescent="0.25">
      <c r="A279" s="199">
        <f t="shared" si="4"/>
        <v>265</v>
      </c>
      <c r="B279" s="1081" t="s">
        <v>162</v>
      </c>
      <c r="C279" s="1082"/>
      <c r="D279" s="1083" t="s">
        <v>159</v>
      </c>
      <c r="E279" s="1084"/>
      <c r="F279" s="1084"/>
      <c r="G279" s="1085"/>
      <c r="H279" s="1086" t="s">
        <v>159</v>
      </c>
      <c r="I279" s="1087"/>
      <c r="J279" s="1087"/>
      <c r="K279" s="1088"/>
      <c r="L279" s="1089" t="s">
        <v>159</v>
      </c>
      <c r="M279" s="1090"/>
      <c r="N279" s="1091"/>
      <c r="O279" s="1092" t="s">
        <v>159</v>
      </c>
      <c r="P279" s="1093"/>
      <c r="Q279" s="1094"/>
      <c r="R279" s="812"/>
      <c r="S279" s="1095"/>
      <c r="T279" s="813"/>
      <c r="U279" s="745"/>
      <c r="V279" s="940"/>
      <c r="W279" s="746"/>
      <c r="X279" s="312"/>
      <c r="Y279" s="308"/>
      <c r="Z279" s="312"/>
      <c r="AA279" s="308"/>
      <c r="AB279" s="312"/>
      <c r="AC279" s="308"/>
      <c r="AD279" s="312"/>
      <c r="AE279" s="308"/>
      <c r="AF279" s="312"/>
      <c r="AG279" s="308"/>
      <c r="AH279" s="312"/>
      <c r="AI279" s="308"/>
      <c r="AJ279" s="117"/>
      <c r="AK279" s="330"/>
      <c r="AL279" s="117"/>
      <c r="AM279" s="330"/>
      <c r="AN279" s="117"/>
      <c r="AO279" s="330"/>
      <c r="AP279" s="117"/>
      <c r="AQ279" s="330"/>
      <c r="AR279" s="117"/>
      <c r="AS279" s="1096" t="s">
        <v>159</v>
      </c>
      <c r="AT279" s="1097"/>
      <c r="AU279" s="1097"/>
      <c r="AV279" s="1097"/>
      <c r="AW279" s="1097"/>
      <c r="AX279" s="1097"/>
      <c r="AY279" s="1100"/>
      <c r="AZ279" s="257"/>
      <c r="BA279" s="257"/>
      <c r="BB279" s="1059" t="s">
        <v>162</v>
      </c>
      <c r="BC279" s="1060"/>
      <c r="BD279" s="1075" t="s">
        <v>159</v>
      </c>
      <c r="BE279" s="1075"/>
      <c r="BF279" s="1075"/>
      <c r="BG279" s="1076" t="s">
        <v>159</v>
      </c>
      <c r="BH279" s="1077"/>
      <c r="BI279" s="1077"/>
      <c r="BJ279" s="1078"/>
      <c r="BK279" s="1065"/>
      <c r="BL279" s="1066"/>
      <c r="BM279" s="1067"/>
      <c r="BN279" s="259"/>
      <c r="BO279" s="259"/>
      <c r="BP279" s="1076"/>
      <c r="BQ279" s="1077"/>
      <c r="BR279" s="1078"/>
      <c r="BS279" s="1075" t="s">
        <v>159</v>
      </c>
      <c r="BT279" s="1075"/>
      <c r="BU279" s="1075"/>
    </row>
    <row r="280" spans="1:73" ht="30" customHeight="1" x14ac:dyDescent="0.25">
      <c r="A280" s="199">
        <f t="shared" si="4"/>
        <v>266</v>
      </c>
      <c r="B280" s="1081" t="s">
        <v>162</v>
      </c>
      <c r="C280" s="1082"/>
      <c r="D280" s="1083" t="s">
        <v>159</v>
      </c>
      <c r="E280" s="1084"/>
      <c r="F280" s="1084"/>
      <c r="G280" s="1085"/>
      <c r="H280" s="1086" t="s">
        <v>159</v>
      </c>
      <c r="I280" s="1087"/>
      <c r="J280" s="1087"/>
      <c r="K280" s="1088"/>
      <c r="L280" s="1089" t="s">
        <v>159</v>
      </c>
      <c r="M280" s="1090"/>
      <c r="N280" s="1091"/>
      <c r="O280" s="1092" t="s">
        <v>159</v>
      </c>
      <c r="P280" s="1093"/>
      <c r="Q280" s="1094"/>
      <c r="R280" s="812"/>
      <c r="S280" s="1095"/>
      <c r="T280" s="813"/>
      <c r="U280" s="745"/>
      <c r="V280" s="940"/>
      <c r="W280" s="746"/>
      <c r="X280" s="312"/>
      <c r="Y280" s="308"/>
      <c r="Z280" s="312"/>
      <c r="AA280" s="308"/>
      <c r="AB280" s="312"/>
      <c r="AC280" s="308"/>
      <c r="AD280" s="312"/>
      <c r="AE280" s="308"/>
      <c r="AF280" s="312"/>
      <c r="AG280" s="308"/>
      <c r="AH280" s="312"/>
      <c r="AI280" s="308"/>
      <c r="AJ280" s="117"/>
      <c r="AK280" s="330"/>
      <c r="AL280" s="117"/>
      <c r="AM280" s="330"/>
      <c r="AN280" s="117"/>
      <c r="AO280" s="330"/>
      <c r="AP280" s="117"/>
      <c r="AQ280" s="330"/>
      <c r="AR280" s="117"/>
      <c r="AS280" s="1096" t="s">
        <v>159</v>
      </c>
      <c r="AT280" s="1097"/>
      <c r="AU280" s="1097"/>
      <c r="AV280" s="1097"/>
      <c r="AW280" s="1097"/>
      <c r="AX280" s="1097"/>
      <c r="AY280" s="1100"/>
      <c r="AZ280" s="257"/>
      <c r="BA280" s="257"/>
      <c r="BB280" s="1059" t="s">
        <v>162</v>
      </c>
      <c r="BC280" s="1060"/>
      <c r="BD280" s="1075" t="s">
        <v>159</v>
      </c>
      <c r="BE280" s="1075"/>
      <c r="BF280" s="1075"/>
      <c r="BG280" s="1076" t="s">
        <v>159</v>
      </c>
      <c r="BH280" s="1077"/>
      <c r="BI280" s="1077"/>
      <c r="BJ280" s="1078"/>
      <c r="BK280" s="1065"/>
      <c r="BL280" s="1066"/>
      <c r="BM280" s="1067"/>
      <c r="BN280" s="259"/>
      <c r="BO280" s="259"/>
      <c r="BP280" s="1076"/>
      <c r="BQ280" s="1077"/>
      <c r="BR280" s="1078"/>
      <c r="BS280" s="1075" t="s">
        <v>159</v>
      </c>
      <c r="BT280" s="1075"/>
      <c r="BU280" s="1075"/>
    </row>
    <row r="281" spans="1:73" ht="30" customHeight="1" x14ac:dyDescent="0.25">
      <c r="A281" s="199">
        <f t="shared" si="4"/>
        <v>267</v>
      </c>
      <c r="B281" s="1081" t="s">
        <v>162</v>
      </c>
      <c r="C281" s="1082"/>
      <c r="D281" s="1083" t="s">
        <v>159</v>
      </c>
      <c r="E281" s="1084"/>
      <c r="F281" s="1084"/>
      <c r="G281" s="1085"/>
      <c r="H281" s="1086" t="s">
        <v>159</v>
      </c>
      <c r="I281" s="1087"/>
      <c r="J281" s="1087"/>
      <c r="K281" s="1088"/>
      <c r="L281" s="1089" t="s">
        <v>159</v>
      </c>
      <c r="M281" s="1090"/>
      <c r="N281" s="1091"/>
      <c r="O281" s="1092" t="s">
        <v>159</v>
      </c>
      <c r="P281" s="1093"/>
      <c r="Q281" s="1094"/>
      <c r="R281" s="812"/>
      <c r="S281" s="1095"/>
      <c r="T281" s="813"/>
      <c r="U281" s="745"/>
      <c r="V281" s="940"/>
      <c r="W281" s="746"/>
      <c r="X281" s="312"/>
      <c r="Y281" s="308"/>
      <c r="Z281" s="312"/>
      <c r="AA281" s="308"/>
      <c r="AB281" s="312"/>
      <c r="AC281" s="308"/>
      <c r="AD281" s="312"/>
      <c r="AE281" s="308"/>
      <c r="AF281" s="312"/>
      <c r="AG281" s="308"/>
      <c r="AH281" s="312"/>
      <c r="AI281" s="308"/>
      <c r="AJ281" s="117"/>
      <c r="AK281" s="330"/>
      <c r="AL281" s="117"/>
      <c r="AM281" s="330"/>
      <c r="AN281" s="117"/>
      <c r="AO281" s="330"/>
      <c r="AP281" s="117"/>
      <c r="AQ281" s="330"/>
      <c r="AR281" s="117"/>
      <c r="AS281" s="1096" t="s">
        <v>159</v>
      </c>
      <c r="AT281" s="1097"/>
      <c r="AU281" s="1097"/>
      <c r="AV281" s="1097"/>
      <c r="AW281" s="1097"/>
      <c r="AX281" s="1097"/>
      <c r="AY281" s="1100"/>
      <c r="AZ281" s="257"/>
      <c r="BA281" s="257"/>
      <c r="BB281" s="1079" t="s">
        <v>162</v>
      </c>
      <c r="BC281" s="1080"/>
      <c r="BD281" s="1075" t="s">
        <v>159</v>
      </c>
      <c r="BE281" s="1075"/>
      <c r="BF281" s="1075"/>
      <c r="BG281" s="1076" t="s">
        <v>159</v>
      </c>
      <c r="BH281" s="1077"/>
      <c r="BI281" s="1077"/>
      <c r="BJ281" s="1078"/>
      <c r="BK281" s="1065"/>
      <c r="BL281" s="1066"/>
      <c r="BM281" s="1067"/>
      <c r="BN281" s="259"/>
      <c r="BO281" s="259"/>
      <c r="BP281" s="1076"/>
      <c r="BQ281" s="1077"/>
      <c r="BR281" s="1078"/>
      <c r="BS281" s="1075" t="s">
        <v>159</v>
      </c>
      <c r="BT281" s="1075"/>
      <c r="BU281" s="1075"/>
    </row>
    <row r="282" spans="1:73" ht="30" customHeight="1" x14ac:dyDescent="0.25">
      <c r="A282" s="199">
        <f t="shared" si="4"/>
        <v>268</v>
      </c>
      <c r="B282" s="1081" t="s">
        <v>162</v>
      </c>
      <c r="C282" s="1082"/>
      <c r="D282" s="1083" t="s">
        <v>159</v>
      </c>
      <c r="E282" s="1084"/>
      <c r="F282" s="1084"/>
      <c r="G282" s="1085"/>
      <c r="H282" s="1086" t="s">
        <v>159</v>
      </c>
      <c r="I282" s="1087"/>
      <c r="J282" s="1087"/>
      <c r="K282" s="1088"/>
      <c r="L282" s="1089" t="s">
        <v>159</v>
      </c>
      <c r="M282" s="1090"/>
      <c r="N282" s="1091"/>
      <c r="O282" s="1092" t="s">
        <v>159</v>
      </c>
      <c r="P282" s="1093"/>
      <c r="Q282" s="1094"/>
      <c r="R282" s="812"/>
      <c r="S282" s="1095"/>
      <c r="T282" s="813"/>
      <c r="U282" s="745"/>
      <c r="V282" s="940"/>
      <c r="W282" s="746"/>
      <c r="X282" s="312"/>
      <c r="Y282" s="308"/>
      <c r="Z282" s="312"/>
      <c r="AA282" s="308"/>
      <c r="AB282" s="312"/>
      <c r="AC282" s="308"/>
      <c r="AD282" s="312"/>
      <c r="AE282" s="308"/>
      <c r="AF282" s="312"/>
      <c r="AG282" s="308"/>
      <c r="AH282" s="312"/>
      <c r="AI282" s="308"/>
      <c r="AJ282" s="117"/>
      <c r="AK282" s="330"/>
      <c r="AL282" s="117"/>
      <c r="AM282" s="330"/>
      <c r="AN282" s="117"/>
      <c r="AO282" s="330"/>
      <c r="AP282" s="117"/>
      <c r="AQ282" s="330"/>
      <c r="AR282" s="117"/>
      <c r="AS282" s="1096" t="s">
        <v>159</v>
      </c>
      <c r="AT282" s="1097"/>
      <c r="AU282" s="1097"/>
      <c r="AV282" s="1097"/>
      <c r="AW282" s="1097"/>
      <c r="AX282" s="1097"/>
      <c r="AY282" s="1100"/>
      <c r="AZ282" s="257"/>
      <c r="BA282" s="257"/>
      <c r="BB282" s="1059" t="s">
        <v>162</v>
      </c>
      <c r="BC282" s="1060"/>
      <c r="BD282" s="1075" t="s">
        <v>159</v>
      </c>
      <c r="BE282" s="1075"/>
      <c r="BF282" s="1075"/>
      <c r="BG282" s="1076" t="s">
        <v>159</v>
      </c>
      <c r="BH282" s="1077"/>
      <c r="BI282" s="1077"/>
      <c r="BJ282" s="1078"/>
      <c r="BK282" s="1065"/>
      <c r="BL282" s="1066"/>
      <c r="BM282" s="1067"/>
      <c r="BN282" s="259"/>
      <c r="BO282" s="259"/>
      <c r="BP282" s="1076"/>
      <c r="BQ282" s="1077"/>
      <c r="BR282" s="1078"/>
      <c r="BS282" s="1075" t="s">
        <v>159</v>
      </c>
      <c r="BT282" s="1075"/>
      <c r="BU282" s="1075"/>
    </row>
    <row r="283" spans="1:73" ht="30" customHeight="1" x14ac:dyDescent="0.25">
      <c r="A283" s="199">
        <f t="shared" si="4"/>
        <v>269</v>
      </c>
      <c r="B283" s="1081" t="s">
        <v>162</v>
      </c>
      <c r="C283" s="1082"/>
      <c r="D283" s="1083" t="s">
        <v>159</v>
      </c>
      <c r="E283" s="1084"/>
      <c r="F283" s="1084"/>
      <c r="G283" s="1085"/>
      <c r="H283" s="1086" t="s">
        <v>159</v>
      </c>
      <c r="I283" s="1087"/>
      <c r="J283" s="1087"/>
      <c r="K283" s="1088"/>
      <c r="L283" s="1089" t="s">
        <v>159</v>
      </c>
      <c r="M283" s="1090"/>
      <c r="N283" s="1091"/>
      <c r="O283" s="1092" t="s">
        <v>159</v>
      </c>
      <c r="P283" s="1093"/>
      <c r="Q283" s="1094"/>
      <c r="R283" s="812"/>
      <c r="S283" s="1095"/>
      <c r="T283" s="813"/>
      <c r="U283" s="745"/>
      <c r="V283" s="940"/>
      <c r="W283" s="746"/>
      <c r="X283" s="312"/>
      <c r="Y283" s="308"/>
      <c r="Z283" s="312"/>
      <c r="AA283" s="308"/>
      <c r="AB283" s="312"/>
      <c r="AC283" s="308"/>
      <c r="AD283" s="312"/>
      <c r="AE283" s="308"/>
      <c r="AF283" s="312"/>
      <c r="AG283" s="308"/>
      <c r="AH283" s="312"/>
      <c r="AI283" s="308"/>
      <c r="AJ283" s="117"/>
      <c r="AK283" s="330"/>
      <c r="AL283" s="117"/>
      <c r="AM283" s="330"/>
      <c r="AN283" s="117"/>
      <c r="AO283" s="330"/>
      <c r="AP283" s="117"/>
      <c r="AQ283" s="330"/>
      <c r="AR283" s="117"/>
      <c r="AS283" s="1096" t="s">
        <v>159</v>
      </c>
      <c r="AT283" s="1097"/>
      <c r="AU283" s="1097"/>
      <c r="AV283" s="1097"/>
      <c r="AW283" s="1097"/>
      <c r="AX283" s="1097"/>
      <c r="AY283" s="1100"/>
      <c r="AZ283" s="257"/>
      <c r="BA283" s="257"/>
      <c r="BB283" s="1059" t="s">
        <v>162</v>
      </c>
      <c r="BC283" s="1060"/>
      <c r="BD283" s="1075" t="s">
        <v>159</v>
      </c>
      <c r="BE283" s="1075"/>
      <c r="BF283" s="1075"/>
      <c r="BG283" s="1076" t="s">
        <v>159</v>
      </c>
      <c r="BH283" s="1077"/>
      <c r="BI283" s="1077"/>
      <c r="BJ283" s="1078"/>
      <c r="BK283" s="1065"/>
      <c r="BL283" s="1066"/>
      <c r="BM283" s="1067"/>
      <c r="BN283" s="259"/>
      <c r="BO283" s="259"/>
      <c r="BP283" s="1076"/>
      <c r="BQ283" s="1077"/>
      <c r="BR283" s="1078"/>
      <c r="BS283" s="1075" t="s">
        <v>159</v>
      </c>
      <c r="BT283" s="1075"/>
      <c r="BU283" s="1075"/>
    </row>
    <row r="284" spans="1:73" ht="30" customHeight="1" x14ac:dyDescent="0.25">
      <c r="A284" s="199">
        <f t="shared" si="4"/>
        <v>270</v>
      </c>
      <c r="B284" s="1081" t="s">
        <v>162</v>
      </c>
      <c r="C284" s="1082"/>
      <c r="D284" s="1083" t="s">
        <v>159</v>
      </c>
      <c r="E284" s="1084"/>
      <c r="F284" s="1084"/>
      <c r="G284" s="1085"/>
      <c r="H284" s="1086" t="s">
        <v>159</v>
      </c>
      <c r="I284" s="1087"/>
      <c r="J284" s="1087"/>
      <c r="K284" s="1088"/>
      <c r="L284" s="1089" t="s">
        <v>159</v>
      </c>
      <c r="M284" s="1090"/>
      <c r="N284" s="1091"/>
      <c r="O284" s="1092" t="s">
        <v>159</v>
      </c>
      <c r="P284" s="1093"/>
      <c r="Q284" s="1094"/>
      <c r="R284" s="812"/>
      <c r="S284" s="1095"/>
      <c r="T284" s="813"/>
      <c r="U284" s="745"/>
      <c r="V284" s="940"/>
      <c r="W284" s="746"/>
      <c r="X284" s="312"/>
      <c r="Y284" s="308"/>
      <c r="Z284" s="312"/>
      <c r="AA284" s="308"/>
      <c r="AB284" s="312"/>
      <c r="AC284" s="308"/>
      <c r="AD284" s="312"/>
      <c r="AE284" s="308"/>
      <c r="AF284" s="312"/>
      <c r="AG284" s="308"/>
      <c r="AH284" s="312"/>
      <c r="AI284" s="308"/>
      <c r="AJ284" s="117"/>
      <c r="AK284" s="330"/>
      <c r="AL284" s="117"/>
      <c r="AM284" s="330"/>
      <c r="AN284" s="117"/>
      <c r="AO284" s="330"/>
      <c r="AP284" s="117"/>
      <c r="AQ284" s="330"/>
      <c r="AR284" s="117"/>
      <c r="AS284" s="1096" t="s">
        <v>159</v>
      </c>
      <c r="AT284" s="1097"/>
      <c r="AU284" s="1097"/>
      <c r="AV284" s="1097"/>
      <c r="AW284" s="1097"/>
      <c r="AX284" s="1097"/>
      <c r="AY284" s="1100"/>
      <c r="AZ284" s="257"/>
      <c r="BA284" s="257"/>
      <c r="BB284" s="1059" t="s">
        <v>162</v>
      </c>
      <c r="BC284" s="1060"/>
      <c r="BD284" s="1075" t="s">
        <v>159</v>
      </c>
      <c r="BE284" s="1075"/>
      <c r="BF284" s="1075"/>
      <c r="BG284" s="1076" t="s">
        <v>159</v>
      </c>
      <c r="BH284" s="1077"/>
      <c r="BI284" s="1077"/>
      <c r="BJ284" s="1078"/>
      <c r="BK284" s="1065"/>
      <c r="BL284" s="1066"/>
      <c r="BM284" s="1067"/>
      <c r="BN284" s="259"/>
      <c r="BO284" s="259"/>
      <c r="BP284" s="1076"/>
      <c r="BQ284" s="1077"/>
      <c r="BR284" s="1078"/>
      <c r="BS284" s="1075" t="s">
        <v>159</v>
      </c>
      <c r="BT284" s="1075"/>
      <c r="BU284" s="1075"/>
    </row>
    <row r="285" spans="1:73" ht="30" customHeight="1" x14ac:dyDescent="0.25">
      <c r="A285" s="199">
        <f t="shared" si="4"/>
        <v>271</v>
      </c>
      <c r="B285" s="1081" t="s">
        <v>162</v>
      </c>
      <c r="C285" s="1082"/>
      <c r="D285" s="1083" t="s">
        <v>159</v>
      </c>
      <c r="E285" s="1084"/>
      <c r="F285" s="1084"/>
      <c r="G285" s="1085"/>
      <c r="H285" s="1086" t="s">
        <v>159</v>
      </c>
      <c r="I285" s="1087"/>
      <c r="J285" s="1087"/>
      <c r="K285" s="1088"/>
      <c r="L285" s="1089" t="s">
        <v>159</v>
      </c>
      <c r="M285" s="1090"/>
      <c r="N285" s="1091"/>
      <c r="O285" s="1092" t="s">
        <v>159</v>
      </c>
      <c r="P285" s="1093"/>
      <c r="Q285" s="1094"/>
      <c r="R285" s="812"/>
      <c r="S285" s="1095"/>
      <c r="T285" s="813"/>
      <c r="U285" s="745"/>
      <c r="V285" s="940"/>
      <c r="W285" s="746"/>
      <c r="X285" s="312"/>
      <c r="Y285" s="308"/>
      <c r="Z285" s="312"/>
      <c r="AA285" s="308"/>
      <c r="AB285" s="312"/>
      <c r="AC285" s="308"/>
      <c r="AD285" s="312"/>
      <c r="AE285" s="308"/>
      <c r="AF285" s="312"/>
      <c r="AG285" s="308"/>
      <c r="AH285" s="312"/>
      <c r="AI285" s="308"/>
      <c r="AJ285" s="117"/>
      <c r="AK285" s="330"/>
      <c r="AL285" s="117"/>
      <c r="AM285" s="330"/>
      <c r="AN285" s="117"/>
      <c r="AO285" s="330"/>
      <c r="AP285" s="117"/>
      <c r="AQ285" s="330"/>
      <c r="AR285" s="117"/>
      <c r="AS285" s="1096" t="s">
        <v>159</v>
      </c>
      <c r="AT285" s="1097"/>
      <c r="AU285" s="1097"/>
      <c r="AV285" s="1097"/>
      <c r="AW285" s="1097"/>
      <c r="AX285" s="1097"/>
      <c r="AY285" s="1100"/>
      <c r="AZ285" s="257"/>
      <c r="BA285" s="257"/>
      <c r="BB285" s="1059" t="s">
        <v>162</v>
      </c>
      <c r="BC285" s="1060"/>
      <c r="BD285" s="1075" t="s">
        <v>159</v>
      </c>
      <c r="BE285" s="1075"/>
      <c r="BF285" s="1075"/>
      <c r="BG285" s="1076" t="s">
        <v>159</v>
      </c>
      <c r="BH285" s="1077"/>
      <c r="BI285" s="1077"/>
      <c r="BJ285" s="1078"/>
      <c r="BK285" s="1065"/>
      <c r="BL285" s="1066"/>
      <c r="BM285" s="1067"/>
      <c r="BN285" s="259"/>
      <c r="BO285" s="259"/>
      <c r="BP285" s="1076"/>
      <c r="BQ285" s="1077"/>
      <c r="BR285" s="1078"/>
      <c r="BS285" s="1075" t="s">
        <v>159</v>
      </c>
      <c r="BT285" s="1075"/>
      <c r="BU285" s="1075"/>
    </row>
    <row r="286" spans="1:73" ht="30" customHeight="1" x14ac:dyDescent="0.25">
      <c r="A286" s="199">
        <f t="shared" si="4"/>
        <v>272</v>
      </c>
      <c r="B286" s="1081" t="s">
        <v>162</v>
      </c>
      <c r="C286" s="1082"/>
      <c r="D286" s="1083" t="s">
        <v>159</v>
      </c>
      <c r="E286" s="1084"/>
      <c r="F286" s="1084"/>
      <c r="G286" s="1085"/>
      <c r="H286" s="1086" t="s">
        <v>159</v>
      </c>
      <c r="I286" s="1087"/>
      <c r="J286" s="1087"/>
      <c r="K286" s="1088"/>
      <c r="L286" s="1089" t="s">
        <v>159</v>
      </c>
      <c r="M286" s="1090"/>
      <c r="N286" s="1091"/>
      <c r="O286" s="1092" t="s">
        <v>159</v>
      </c>
      <c r="P286" s="1093"/>
      <c r="Q286" s="1094"/>
      <c r="R286" s="812"/>
      <c r="S286" s="1095"/>
      <c r="T286" s="813"/>
      <c r="U286" s="745"/>
      <c r="V286" s="940"/>
      <c r="W286" s="746"/>
      <c r="X286" s="312"/>
      <c r="Y286" s="308"/>
      <c r="Z286" s="312"/>
      <c r="AA286" s="308"/>
      <c r="AB286" s="312"/>
      <c r="AC286" s="308"/>
      <c r="AD286" s="312"/>
      <c r="AE286" s="308"/>
      <c r="AF286" s="312"/>
      <c r="AG286" s="308"/>
      <c r="AH286" s="312"/>
      <c r="AI286" s="308"/>
      <c r="AJ286" s="117"/>
      <c r="AK286" s="330"/>
      <c r="AL286" s="117"/>
      <c r="AM286" s="330"/>
      <c r="AN286" s="117"/>
      <c r="AO286" s="330"/>
      <c r="AP286" s="117"/>
      <c r="AQ286" s="330"/>
      <c r="AR286" s="117"/>
      <c r="AS286" s="1096" t="s">
        <v>159</v>
      </c>
      <c r="AT286" s="1097"/>
      <c r="AU286" s="1097"/>
      <c r="AV286" s="1097"/>
      <c r="AW286" s="1097"/>
      <c r="AX286" s="1097"/>
      <c r="AY286" s="1100"/>
      <c r="AZ286" s="257"/>
      <c r="BA286" s="257"/>
      <c r="BB286" s="1059" t="s">
        <v>162</v>
      </c>
      <c r="BC286" s="1060"/>
      <c r="BD286" s="1075" t="s">
        <v>159</v>
      </c>
      <c r="BE286" s="1075"/>
      <c r="BF286" s="1075"/>
      <c r="BG286" s="1076" t="s">
        <v>159</v>
      </c>
      <c r="BH286" s="1077"/>
      <c r="BI286" s="1077"/>
      <c r="BJ286" s="1078"/>
      <c r="BK286" s="1065"/>
      <c r="BL286" s="1066"/>
      <c r="BM286" s="1067"/>
      <c r="BN286" s="259"/>
      <c r="BO286" s="259"/>
      <c r="BP286" s="1076"/>
      <c r="BQ286" s="1077"/>
      <c r="BR286" s="1078"/>
      <c r="BS286" s="1075" t="s">
        <v>159</v>
      </c>
      <c r="BT286" s="1075"/>
      <c r="BU286" s="1075"/>
    </row>
    <row r="287" spans="1:73" ht="30" customHeight="1" x14ac:dyDescent="0.25">
      <c r="A287" s="199">
        <f t="shared" si="4"/>
        <v>273</v>
      </c>
      <c r="B287" s="1081" t="s">
        <v>162</v>
      </c>
      <c r="C287" s="1082"/>
      <c r="D287" s="1083" t="s">
        <v>159</v>
      </c>
      <c r="E287" s="1084"/>
      <c r="F287" s="1084"/>
      <c r="G287" s="1085"/>
      <c r="H287" s="1086" t="s">
        <v>159</v>
      </c>
      <c r="I287" s="1087"/>
      <c r="J287" s="1087"/>
      <c r="K287" s="1088"/>
      <c r="L287" s="1089" t="s">
        <v>159</v>
      </c>
      <c r="M287" s="1090"/>
      <c r="N287" s="1091"/>
      <c r="O287" s="1092" t="s">
        <v>159</v>
      </c>
      <c r="P287" s="1093"/>
      <c r="Q287" s="1094"/>
      <c r="R287" s="812"/>
      <c r="S287" s="1095"/>
      <c r="T287" s="813"/>
      <c r="U287" s="745"/>
      <c r="V287" s="940"/>
      <c r="W287" s="746"/>
      <c r="X287" s="312"/>
      <c r="Y287" s="308"/>
      <c r="Z287" s="312"/>
      <c r="AA287" s="308"/>
      <c r="AB287" s="312"/>
      <c r="AC287" s="308"/>
      <c r="AD287" s="312"/>
      <c r="AE287" s="308"/>
      <c r="AF287" s="312"/>
      <c r="AG287" s="308"/>
      <c r="AH287" s="312"/>
      <c r="AI287" s="308"/>
      <c r="AJ287" s="117"/>
      <c r="AK287" s="330"/>
      <c r="AL287" s="117"/>
      <c r="AM287" s="330"/>
      <c r="AN287" s="117"/>
      <c r="AO287" s="330"/>
      <c r="AP287" s="117"/>
      <c r="AQ287" s="330"/>
      <c r="AR287" s="117"/>
      <c r="AS287" s="1096" t="s">
        <v>159</v>
      </c>
      <c r="AT287" s="1097"/>
      <c r="AU287" s="1097"/>
      <c r="AV287" s="1097"/>
      <c r="AW287" s="1097"/>
      <c r="AX287" s="1097"/>
      <c r="AY287" s="1100"/>
      <c r="AZ287" s="257"/>
      <c r="BA287" s="257"/>
      <c r="BB287" s="1059" t="s">
        <v>162</v>
      </c>
      <c r="BC287" s="1060"/>
      <c r="BD287" s="1075" t="s">
        <v>159</v>
      </c>
      <c r="BE287" s="1075"/>
      <c r="BF287" s="1075"/>
      <c r="BG287" s="1076" t="s">
        <v>159</v>
      </c>
      <c r="BH287" s="1077"/>
      <c r="BI287" s="1077"/>
      <c r="BJ287" s="1078"/>
      <c r="BK287" s="1065"/>
      <c r="BL287" s="1066"/>
      <c r="BM287" s="1067"/>
      <c r="BN287" s="259"/>
      <c r="BO287" s="259"/>
      <c r="BP287" s="1076"/>
      <c r="BQ287" s="1077"/>
      <c r="BR287" s="1078"/>
      <c r="BS287" s="1075" t="s">
        <v>159</v>
      </c>
      <c r="BT287" s="1075"/>
      <c r="BU287" s="1075"/>
    </row>
    <row r="288" spans="1:73" ht="30" customHeight="1" x14ac:dyDescent="0.25">
      <c r="A288" s="199">
        <f t="shared" si="4"/>
        <v>274</v>
      </c>
      <c r="B288" s="1081" t="s">
        <v>162</v>
      </c>
      <c r="C288" s="1082"/>
      <c r="D288" s="1083" t="s">
        <v>159</v>
      </c>
      <c r="E288" s="1084"/>
      <c r="F288" s="1084"/>
      <c r="G288" s="1085"/>
      <c r="H288" s="1086" t="s">
        <v>159</v>
      </c>
      <c r="I288" s="1087"/>
      <c r="J288" s="1087"/>
      <c r="K288" s="1088"/>
      <c r="L288" s="1089" t="s">
        <v>159</v>
      </c>
      <c r="M288" s="1090"/>
      <c r="N288" s="1091"/>
      <c r="O288" s="1092" t="s">
        <v>159</v>
      </c>
      <c r="P288" s="1093"/>
      <c r="Q288" s="1094"/>
      <c r="R288" s="812"/>
      <c r="S288" s="1095"/>
      <c r="T288" s="813"/>
      <c r="U288" s="745"/>
      <c r="V288" s="940"/>
      <c r="W288" s="746"/>
      <c r="X288" s="312"/>
      <c r="Y288" s="308"/>
      <c r="Z288" s="312"/>
      <c r="AA288" s="308"/>
      <c r="AB288" s="312"/>
      <c r="AC288" s="308"/>
      <c r="AD288" s="312"/>
      <c r="AE288" s="308"/>
      <c r="AF288" s="312"/>
      <c r="AG288" s="308"/>
      <c r="AH288" s="312"/>
      <c r="AI288" s="308"/>
      <c r="AJ288" s="117"/>
      <c r="AK288" s="330"/>
      <c r="AL288" s="117"/>
      <c r="AM288" s="330"/>
      <c r="AN288" s="117"/>
      <c r="AO288" s="330"/>
      <c r="AP288" s="117"/>
      <c r="AQ288" s="330"/>
      <c r="AR288" s="117"/>
      <c r="AS288" s="1096" t="s">
        <v>159</v>
      </c>
      <c r="AT288" s="1097"/>
      <c r="AU288" s="1097"/>
      <c r="AV288" s="1097"/>
      <c r="AW288" s="1097"/>
      <c r="AX288" s="1097"/>
      <c r="AY288" s="1100"/>
      <c r="AZ288" s="257"/>
      <c r="BA288" s="257"/>
      <c r="BB288" s="1079" t="s">
        <v>162</v>
      </c>
      <c r="BC288" s="1080"/>
      <c r="BD288" s="1075" t="s">
        <v>159</v>
      </c>
      <c r="BE288" s="1075"/>
      <c r="BF288" s="1075"/>
      <c r="BG288" s="1076" t="s">
        <v>159</v>
      </c>
      <c r="BH288" s="1077"/>
      <c r="BI288" s="1077"/>
      <c r="BJ288" s="1078"/>
      <c r="BK288" s="1065"/>
      <c r="BL288" s="1066"/>
      <c r="BM288" s="1067"/>
      <c r="BN288" s="259"/>
      <c r="BO288" s="259"/>
      <c r="BP288" s="1076"/>
      <c r="BQ288" s="1077"/>
      <c r="BR288" s="1078"/>
      <c r="BS288" s="1075" t="s">
        <v>159</v>
      </c>
      <c r="BT288" s="1075"/>
      <c r="BU288" s="1075"/>
    </row>
    <row r="289" spans="1:73" ht="30" customHeight="1" x14ac:dyDescent="0.25">
      <c r="A289" s="199">
        <f t="shared" si="4"/>
        <v>275</v>
      </c>
      <c r="B289" s="1081" t="s">
        <v>162</v>
      </c>
      <c r="C289" s="1082"/>
      <c r="D289" s="1083" t="s">
        <v>159</v>
      </c>
      <c r="E289" s="1084"/>
      <c r="F289" s="1084"/>
      <c r="G289" s="1085"/>
      <c r="H289" s="1086" t="s">
        <v>159</v>
      </c>
      <c r="I289" s="1087"/>
      <c r="J289" s="1087"/>
      <c r="K289" s="1088"/>
      <c r="L289" s="1089" t="s">
        <v>159</v>
      </c>
      <c r="M289" s="1090"/>
      <c r="N289" s="1091"/>
      <c r="O289" s="1092" t="s">
        <v>159</v>
      </c>
      <c r="P289" s="1093"/>
      <c r="Q289" s="1094"/>
      <c r="R289" s="812"/>
      <c r="S289" s="1095"/>
      <c r="T289" s="813"/>
      <c r="U289" s="745"/>
      <c r="V289" s="940"/>
      <c r="W289" s="746"/>
      <c r="X289" s="312"/>
      <c r="Y289" s="308"/>
      <c r="Z289" s="312"/>
      <c r="AA289" s="308"/>
      <c r="AB289" s="312"/>
      <c r="AC289" s="308"/>
      <c r="AD289" s="312"/>
      <c r="AE289" s="308"/>
      <c r="AF289" s="312"/>
      <c r="AG289" s="308"/>
      <c r="AH289" s="312"/>
      <c r="AI289" s="308"/>
      <c r="AJ289" s="117"/>
      <c r="AK289" s="330"/>
      <c r="AL289" s="117"/>
      <c r="AM289" s="330"/>
      <c r="AN289" s="117"/>
      <c r="AO289" s="330"/>
      <c r="AP289" s="117"/>
      <c r="AQ289" s="330"/>
      <c r="AR289" s="117"/>
      <c r="AS289" s="1096" t="s">
        <v>159</v>
      </c>
      <c r="AT289" s="1097"/>
      <c r="AU289" s="1097"/>
      <c r="AV289" s="1097"/>
      <c r="AW289" s="1097"/>
      <c r="AX289" s="1097"/>
      <c r="AY289" s="1100"/>
      <c r="AZ289" s="257"/>
      <c r="BA289" s="257"/>
      <c r="BB289" s="1059" t="s">
        <v>162</v>
      </c>
      <c r="BC289" s="1060"/>
      <c r="BD289" s="1075" t="s">
        <v>159</v>
      </c>
      <c r="BE289" s="1075"/>
      <c r="BF289" s="1075"/>
      <c r="BG289" s="1076" t="s">
        <v>159</v>
      </c>
      <c r="BH289" s="1077"/>
      <c r="BI289" s="1077"/>
      <c r="BJ289" s="1078"/>
      <c r="BK289" s="1065"/>
      <c r="BL289" s="1066"/>
      <c r="BM289" s="1067"/>
      <c r="BN289" s="259"/>
      <c r="BO289" s="259"/>
      <c r="BP289" s="1076"/>
      <c r="BQ289" s="1077"/>
      <c r="BR289" s="1078"/>
      <c r="BS289" s="1075" t="s">
        <v>159</v>
      </c>
      <c r="BT289" s="1075"/>
      <c r="BU289" s="1075"/>
    </row>
    <row r="290" spans="1:73" ht="30" customHeight="1" x14ac:dyDescent="0.25">
      <c r="A290" s="199">
        <f t="shared" si="4"/>
        <v>276</v>
      </c>
      <c r="B290" s="1081" t="s">
        <v>162</v>
      </c>
      <c r="C290" s="1082"/>
      <c r="D290" s="1083" t="s">
        <v>159</v>
      </c>
      <c r="E290" s="1084"/>
      <c r="F290" s="1084"/>
      <c r="G290" s="1085"/>
      <c r="H290" s="1086" t="s">
        <v>159</v>
      </c>
      <c r="I290" s="1087"/>
      <c r="J290" s="1087"/>
      <c r="K290" s="1088"/>
      <c r="L290" s="1089" t="s">
        <v>159</v>
      </c>
      <c r="M290" s="1090"/>
      <c r="N290" s="1091"/>
      <c r="O290" s="1092" t="s">
        <v>159</v>
      </c>
      <c r="P290" s="1093"/>
      <c r="Q290" s="1094"/>
      <c r="R290" s="812"/>
      <c r="S290" s="1095"/>
      <c r="T290" s="813"/>
      <c r="U290" s="745"/>
      <c r="V290" s="940"/>
      <c r="W290" s="746"/>
      <c r="X290" s="312"/>
      <c r="Y290" s="308"/>
      <c r="Z290" s="312"/>
      <c r="AA290" s="308"/>
      <c r="AB290" s="312"/>
      <c r="AC290" s="308"/>
      <c r="AD290" s="312"/>
      <c r="AE290" s="308"/>
      <c r="AF290" s="312"/>
      <c r="AG290" s="308"/>
      <c r="AH290" s="312"/>
      <c r="AI290" s="308"/>
      <c r="AJ290" s="117"/>
      <c r="AK290" s="330"/>
      <c r="AL290" s="117"/>
      <c r="AM290" s="330"/>
      <c r="AN290" s="117"/>
      <c r="AO290" s="330"/>
      <c r="AP290" s="117"/>
      <c r="AQ290" s="330"/>
      <c r="AR290" s="117"/>
      <c r="AS290" s="1096" t="s">
        <v>159</v>
      </c>
      <c r="AT290" s="1097"/>
      <c r="AU290" s="1097"/>
      <c r="AV290" s="1097"/>
      <c r="AW290" s="1097"/>
      <c r="AX290" s="1097"/>
      <c r="AY290" s="1100"/>
      <c r="AZ290" s="257"/>
      <c r="BA290" s="257"/>
      <c r="BB290" s="1059" t="s">
        <v>162</v>
      </c>
      <c r="BC290" s="1060"/>
      <c r="BD290" s="1075" t="s">
        <v>159</v>
      </c>
      <c r="BE290" s="1075"/>
      <c r="BF290" s="1075"/>
      <c r="BG290" s="1076" t="s">
        <v>159</v>
      </c>
      <c r="BH290" s="1077"/>
      <c r="BI290" s="1077"/>
      <c r="BJ290" s="1078"/>
      <c r="BK290" s="1065"/>
      <c r="BL290" s="1066"/>
      <c r="BM290" s="1067"/>
      <c r="BN290" s="259"/>
      <c r="BO290" s="259"/>
      <c r="BP290" s="1076"/>
      <c r="BQ290" s="1077"/>
      <c r="BR290" s="1078"/>
      <c r="BS290" s="1075" t="s">
        <v>159</v>
      </c>
      <c r="BT290" s="1075"/>
      <c r="BU290" s="1075"/>
    </row>
    <row r="291" spans="1:73" ht="30" customHeight="1" x14ac:dyDescent="0.25">
      <c r="A291" s="199">
        <f t="shared" si="4"/>
        <v>277</v>
      </c>
      <c r="B291" s="1081" t="s">
        <v>162</v>
      </c>
      <c r="C291" s="1082"/>
      <c r="D291" s="1083" t="s">
        <v>159</v>
      </c>
      <c r="E291" s="1084"/>
      <c r="F291" s="1084"/>
      <c r="G291" s="1085"/>
      <c r="H291" s="1086" t="s">
        <v>159</v>
      </c>
      <c r="I291" s="1087"/>
      <c r="J291" s="1087"/>
      <c r="K291" s="1088"/>
      <c r="L291" s="1089" t="s">
        <v>159</v>
      </c>
      <c r="M291" s="1090"/>
      <c r="N291" s="1091"/>
      <c r="O291" s="1092" t="s">
        <v>159</v>
      </c>
      <c r="P291" s="1093"/>
      <c r="Q291" s="1094"/>
      <c r="R291" s="812"/>
      <c r="S291" s="1095"/>
      <c r="T291" s="813"/>
      <c r="U291" s="745"/>
      <c r="V291" s="940"/>
      <c r="W291" s="746"/>
      <c r="X291" s="312"/>
      <c r="Y291" s="308"/>
      <c r="Z291" s="312"/>
      <c r="AA291" s="308"/>
      <c r="AB291" s="312"/>
      <c r="AC291" s="308"/>
      <c r="AD291" s="312"/>
      <c r="AE291" s="308"/>
      <c r="AF291" s="312"/>
      <c r="AG291" s="308"/>
      <c r="AH291" s="312"/>
      <c r="AI291" s="308"/>
      <c r="AJ291" s="117"/>
      <c r="AK291" s="330"/>
      <c r="AL291" s="117"/>
      <c r="AM291" s="330"/>
      <c r="AN291" s="117"/>
      <c r="AO291" s="330"/>
      <c r="AP291" s="117"/>
      <c r="AQ291" s="330"/>
      <c r="AR291" s="117"/>
      <c r="AS291" s="1096" t="s">
        <v>159</v>
      </c>
      <c r="AT291" s="1097"/>
      <c r="AU291" s="1097"/>
      <c r="AV291" s="1097"/>
      <c r="AW291" s="1097"/>
      <c r="AX291" s="1097"/>
      <c r="AY291" s="1100"/>
      <c r="AZ291" s="257"/>
      <c r="BA291" s="257"/>
      <c r="BB291" s="1059" t="s">
        <v>162</v>
      </c>
      <c r="BC291" s="1060"/>
      <c r="BD291" s="1075" t="s">
        <v>159</v>
      </c>
      <c r="BE291" s="1075"/>
      <c r="BF291" s="1075"/>
      <c r="BG291" s="1076" t="s">
        <v>159</v>
      </c>
      <c r="BH291" s="1077"/>
      <c r="BI291" s="1077"/>
      <c r="BJ291" s="1078"/>
      <c r="BK291" s="1065"/>
      <c r="BL291" s="1066"/>
      <c r="BM291" s="1067"/>
      <c r="BN291" s="259"/>
      <c r="BO291" s="259"/>
      <c r="BP291" s="1076"/>
      <c r="BQ291" s="1077"/>
      <c r="BR291" s="1078"/>
      <c r="BS291" s="1075" t="s">
        <v>159</v>
      </c>
      <c r="BT291" s="1075"/>
      <c r="BU291" s="1075"/>
    </row>
    <row r="292" spans="1:73" ht="30" customHeight="1" x14ac:dyDescent="0.25">
      <c r="A292" s="199">
        <f t="shared" si="4"/>
        <v>278</v>
      </c>
      <c r="B292" s="1081" t="s">
        <v>162</v>
      </c>
      <c r="C292" s="1082"/>
      <c r="D292" s="1083" t="s">
        <v>159</v>
      </c>
      <c r="E292" s="1084"/>
      <c r="F292" s="1084"/>
      <c r="G292" s="1085"/>
      <c r="H292" s="1086" t="s">
        <v>159</v>
      </c>
      <c r="I292" s="1087"/>
      <c r="J292" s="1087"/>
      <c r="K292" s="1088"/>
      <c r="L292" s="1089" t="s">
        <v>159</v>
      </c>
      <c r="M292" s="1090"/>
      <c r="N292" s="1091"/>
      <c r="O292" s="1092" t="s">
        <v>159</v>
      </c>
      <c r="P292" s="1093"/>
      <c r="Q292" s="1094"/>
      <c r="R292" s="812"/>
      <c r="S292" s="1095"/>
      <c r="T292" s="813"/>
      <c r="U292" s="745"/>
      <c r="V292" s="940"/>
      <c r="W292" s="746"/>
      <c r="X292" s="312"/>
      <c r="Y292" s="308"/>
      <c r="Z292" s="312"/>
      <c r="AA292" s="308"/>
      <c r="AB292" s="312"/>
      <c r="AC292" s="308"/>
      <c r="AD292" s="312"/>
      <c r="AE292" s="308"/>
      <c r="AF292" s="312"/>
      <c r="AG292" s="308"/>
      <c r="AH292" s="312"/>
      <c r="AI292" s="308"/>
      <c r="AJ292" s="117"/>
      <c r="AK292" s="330"/>
      <c r="AL292" s="117"/>
      <c r="AM292" s="330"/>
      <c r="AN292" s="117"/>
      <c r="AO292" s="330"/>
      <c r="AP292" s="117"/>
      <c r="AQ292" s="330"/>
      <c r="AR292" s="117"/>
      <c r="AS292" s="1096" t="s">
        <v>159</v>
      </c>
      <c r="AT292" s="1097"/>
      <c r="AU292" s="1097"/>
      <c r="AV292" s="1097"/>
      <c r="AW292" s="1097"/>
      <c r="AX292" s="1097"/>
      <c r="AY292" s="1100"/>
      <c r="AZ292" s="257"/>
      <c r="BA292" s="257"/>
      <c r="BB292" s="1059" t="s">
        <v>162</v>
      </c>
      <c r="BC292" s="1060"/>
      <c r="BD292" s="1075" t="s">
        <v>159</v>
      </c>
      <c r="BE292" s="1075"/>
      <c r="BF292" s="1075"/>
      <c r="BG292" s="1076" t="s">
        <v>159</v>
      </c>
      <c r="BH292" s="1077"/>
      <c r="BI292" s="1077"/>
      <c r="BJ292" s="1078"/>
      <c r="BK292" s="1065"/>
      <c r="BL292" s="1066"/>
      <c r="BM292" s="1067"/>
      <c r="BN292" s="259"/>
      <c r="BO292" s="259"/>
      <c r="BP292" s="1076"/>
      <c r="BQ292" s="1077"/>
      <c r="BR292" s="1078"/>
      <c r="BS292" s="1075" t="s">
        <v>159</v>
      </c>
      <c r="BT292" s="1075"/>
      <c r="BU292" s="1075"/>
    </row>
    <row r="293" spans="1:73" ht="30" customHeight="1" x14ac:dyDescent="0.25">
      <c r="A293" s="199">
        <f t="shared" si="4"/>
        <v>279</v>
      </c>
      <c r="B293" s="1081" t="s">
        <v>162</v>
      </c>
      <c r="C293" s="1082"/>
      <c r="D293" s="1083" t="s">
        <v>159</v>
      </c>
      <c r="E293" s="1084"/>
      <c r="F293" s="1084"/>
      <c r="G293" s="1085"/>
      <c r="H293" s="1086" t="s">
        <v>159</v>
      </c>
      <c r="I293" s="1087"/>
      <c r="J293" s="1087"/>
      <c r="K293" s="1088"/>
      <c r="L293" s="1089" t="s">
        <v>159</v>
      </c>
      <c r="M293" s="1090"/>
      <c r="N293" s="1091"/>
      <c r="O293" s="1092" t="s">
        <v>159</v>
      </c>
      <c r="P293" s="1093"/>
      <c r="Q293" s="1094"/>
      <c r="R293" s="812"/>
      <c r="S293" s="1095"/>
      <c r="T293" s="813"/>
      <c r="U293" s="745"/>
      <c r="V293" s="940"/>
      <c r="W293" s="746"/>
      <c r="X293" s="312"/>
      <c r="Y293" s="308"/>
      <c r="Z293" s="312"/>
      <c r="AA293" s="308"/>
      <c r="AB293" s="312"/>
      <c r="AC293" s="308"/>
      <c r="AD293" s="312"/>
      <c r="AE293" s="308"/>
      <c r="AF293" s="312"/>
      <c r="AG293" s="308"/>
      <c r="AH293" s="312"/>
      <c r="AI293" s="308"/>
      <c r="AJ293" s="117"/>
      <c r="AK293" s="330"/>
      <c r="AL293" s="117"/>
      <c r="AM293" s="330"/>
      <c r="AN293" s="117"/>
      <c r="AO293" s="330"/>
      <c r="AP293" s="117"/>
      <c r="AQ293" s="330"/>
      <c r="AR293" s="117"/>
      <c r="AS293" s="1096" t="s">
        <v>159</v>
      </c>
      <c r="AT293" s="1097"/>
      <c r="AU293" s="1097"/>
      <c r="AV293" s="1097"/>
      <c r="AW293" s="1097"/>
      <c r="AX293" s="1097"/>
      <c r="AY293" s="1100"/>
      <c r="AZ293" s="257"/>
      <c r="BA293" s="257"/>
      <c r="BB293" s="1059" t="s">
        <v>162</v>
      </c>
      <c r="BC293" s="1060"/>
      <c r="BD293" s="1075" t="s">
        <v>159</v>
      </c>
      <c r="BE293" s="1075"/>
      <c r="BF293" s="1075"/>
      <c r="BG293" s="1076" t="s">
        <v>159</v>
      </c>
      <c r="BH293" s="1077"/>
      <c r="BI293" s="1077"/>
      <c r="BJ293" s="1078"/>
      <c r="BK293" s="1065"/>
      <c r="BL293" s="1066"/>
      <c r="BM293" s="1067"/>
      <c r="BN293" s="259"/>
      <c r="BO293" s="259"/>
      <c r="BP293" s="1076"/>
      <c r="BQ293" s="1077"/>
      <c r="BR293" s="1078"/>
      <c r="BS293" s="1075" t="s">
        <v>159</v>
      </c>
      <c r="BT293" s="1075"/>
      <c r="BU293" s="1075"/>
    </row>
    <row r="294" spans="1:73" ht="30" customHeight="1" x14ac:dyDescent="0.25">
      <c r="A294" s="199">
        <f t="shared" si="4"/>
        <v>280</v>
      </c>
      <c r="B294" s="1081" t="s">
        <v>162</v>
      </c>
      <c r="C294" s="1082"/>
      <c r="D294" s="1083" t="s">
        <v>159</v>
      </c>
      <c r="E294" s="1084"/>
      <c r="F294" s="1084"/>
      <c r="G294" s="1085"/>
      <c r="H294" s="1086" t="s">
        <v>159</v>
      </c>
      <c r="I294" s="1087"/>
      <c r="J294" s="1087"/>
      <c r="K294" s="1088"/>
      <c r="L294" s="1089" t="s">
        <v>159</v>
      </c>
      <c r="M294" s="1090"/>
      <c r="N294" s="1091"/>
      <c r="O294" s="1092" t="s">
        <v>159</v>
      </c>
      <c r="P294" s="1093"/>
      <c r="Q294" s="1094"/>
      <c r="R294" s="812"/>
      <c r="S294" s="1095"/>
      <c r="T294" s="813"/>
      <c r="U294" s="745"/>
      <c r="V294" s="940"/>
      <c r="W294" s="746"/>
      <c r="X294" s="312"/>
      <c r="Y294" s="308"/>
      <c r="Z294" s="312"/>
      <c r="AA294" s="308"/>
      <c r="AB294" s="312"/>
      <c r="AC294" s="308"/>
      <c r="AD294" s="312"/>
      <c r="AE294" s="308"/>
      <c r="AF294" s="312"/>
      <c r="AG294" s="308"/>
      <c r="AH294" s="312"/>
      <c r="AI294" s="308"/>
      <c r="AJ294" s="117"/>
      <c r="AK294" s="330"/>
      <c r="AL294" s="117"/>
      <c r="AM294" s="330"/>
      <c r="AN294" s="117"/>
      <c r="AO294" s="330"/>
      <c r="AP294" s="117"/>
      <c r="AQ294" s="330"/>
      <c r="AR294" s="117"/>
      <c r="AS294" s="1096" t="s">
        <v>159</v>
      </c>
      <c r="AT294" s="1097"/>
      <c r="AU294" s="1097"/>
      <c r="AV294" s="1097"/>
      <c r="AW294" s="1097"/>
      <c r="AX294" s="1097"/>
      <c r="AY294" s="1100"/>
      <c r="AZ294" s="257"/>
      <c r="BA294" s="257"/>
      <c r="BB294" s="1059" t="s">
        <v>162</v>
      </c>
      <c r="BC294" s="1060"/>
      <c r="BD294" s="1075" t="s">
        <v>159</v>
      </c>
      <c r="BE294" s="1075"/>
      <c r="BF294" s="1075"/>
      <c r="BG294" s="1076" t="s">
        <v>159</v>
      </c>
      <c r="BH294" s="1077"/>
      <c r="BI294" s="1077"/>
      <c r="BJ294" s="1078"/>
      <c r="BK294" s="1065"/>
      <c r="BL294" s="1066"/>
      <c r="BM294" s="1067"/>
      <c r="BN294" s="259"/>
      <c r="BO294" s="259"/>
      <c r="BP294" s="1076"/>
      <c r="BQ294" s="1077"/>
      <c r="BR294" s="1078"/>
      <c r="BS294" s="1075" t="s">
        <v>159</v>
      </c>
      <c r="BT294" s="1075"/>
      <c r="BU294" s="1075"/>
    </row>
    <row r="295" spans="1:73" ht="30" customHeight="1" x14ac:dyDescent="0.25">
      <c r="A295" s="199">
        <f t="shared" si="4"/>
        <v>281</v>
      </c>
      <c r="B295" s="1081" t="s">
        <v>162</v>
      </c>
      <c r="C295" s="1082"/>
      <c r="D295" s="1083" t="s">
        <v>159</v>
      </c>
      <c r="E295" s="1084"/>
      <c r="F295" s="1084"/>
      <c r="G295" s="1085"/>
      <c r="H295" s="1086" t="s">
        <v>159</v>
      </c>
      <c r="I295" s="1087"/>
      <c r="J295" s="1087"/>
      <c r="K295" s="1088"/>
      <c r="L295" s="1089" t="s">
        <v>159</v>
      </c>
      <c r="M295" s="1090"/>
      <c r="N295" s="1091"/>
      <c r="O295" s="1092" t="s">
        <v>159</v>
      </c>
      <c r="P295" s="1093"/>
      <c r="Q295" s="1094"/>
      <c r="R295" s="812"/>
      <c r="S295" s="1095"/>
      <c r="T295" s="813"/>
      <c r="U295" s="745"/>
      <c r="V295" s="940"/>
      <c r="W295" s="746"/>
      <c r="X295" s="312"/>
      <c r="Y295" s="308"/>
      <c r="Z295" s="312"/>
      <c r="AA295" s="308"/>
      <c r="AB295" s="312"/>
      <c r="AC295" s="308"/>
      <c r="AD295" s="312"/>
      <c r="AE295" s="308"/>
      <c r="AF295" s="312"/>
      <c r="AG295" s="308"/>
      <c r="AH295" s="312"/>
      <c r="AI295" s="308"/>
      <c r="AJ295" s="117"/>
      <c r="AK295" s="330"/>
      <c r="AL295" s="117"/>
      <c r="AM295" s="330"/>
      <c r="AN295" s="117"/>
      <c r="AO295" s="330"/>
      <c r="AP295" s="117"/>
      <c r="AQ295" s="330"/>
      <c r="AR295" s="117"/>
      <c r="AS295" s="1096" t="s">
        <v>159</v>
      </c>
      <c r="AT295" s="1097"/>
      <c r="AU295" s="1097"/>
      <c r="AV295" s="1097"/>
      <c r="AW295" s="1097"/>
      <c r="AX295" s="1097"/>
      <c r="AY295" s="1100"/>
      <c r="AZ295" s="257"/>
      <c r="BA295" s="257"/>
      <c r="BB295" s="1079" t="s">
        <v>162</v>
      </c>
      <c r="BC295" s="1080"/>
      <c r="BD295" s="1075" t="s">
        <v>159</v>
      </c>
      <c r="BE295" s="1075"/>
      <c r="BF295" s="1075"/>
      <c r="BG295" s="1076" t="s">
        <v>159</v>
      </c>
      <c r="BH295" s="1077"/>
      <c r="BI295" s="1077"/>
      <c r="BJ295" s="1078"/>
      <c r="BK295" s="1065"/>
      <c r="BL295" s="1066"/>
      <c r="BM295" s="1067"/>
      <c r="BN295" s="259"/>
      <c r="BO295" s="259"/>
      <c r="BP295" s="1076"/>
      <c r="BQ295" s="1077"/>
      <c r="BR295" s="1078"/>
      <c r="BS295" s="1075" t="s">
        <v>159</v>
      </c>
      <c r="BT295" s="1075"/>
      <c r="BU295" s="1075"/>
    </row>
    <row r="296" spans="1:73" ht="30" customHeight="1" x14ac:dyDescent="0.25">
      <c r="A296" s="199">
        <f t="shared" si="4"/>
        <v>282</v>
      </c>
      <c r="B296" s="1081" t="s">
        <v>162</v>
      </c>
      <c r="C296" s="1082"/>
      <c r="D296" s="1083" t="s">
        <v>159</v>
      </c>
      <c r="E296" s="1084"/>
      <c r="F296" s="1084"/>
      <c r="G296" s="1085"/>
      <c r="H296" s="1086" t="s">
        <v>159</v>
      </c>
      <c r="I296" s="1087"/>
      <c r="J296" s="1087"/>
      <c r="K296" s="1088"/>
      <c r="L296" s="1089" t="s">
        <v>159</v>
      </c>
      <c r="M296" s="1090"/>
      <c r="N296" s="1091"/>
      <c r="O296" s="1092" t="s">
        <v>159</v>
      </c>
      <c r="P296" s="1093"/>
      <c r="Q296" s="1094"/>
      <c r="R296" s="812"/>
      <c r="S296" s="1095"/>
      <c r="T296" s="813"/>
      <c r="U296" s="745"/>
      <c r="V296" s="940"/>
      <c r="W296" s="746"/>
      <c r="X296" s="312"/>
      <c r="Y296" s="308"/>
      <c r="Z296" s="312"/>
      <c r="AA296" s="308"/>
      <c r="AB296" s="312"/>
      <c r="AC296" s="308"/>
      <c r="AD296" s="312"/>
      <c r="AE296" s="308"/>
      <c r="AF296" s="312"/>
      <c r="AG296" s="308"/>
      <c r="AH296" s="312"/>
      <c r="AI296" s="308"/>
      <c r="AJ296" s="117"/>
      <c r="AK296" s="330"/>
      <c r="AL296" s="117"/>
      <c r="AM296" s="330"/>
      <c r="AN296" s="117"/>
      <c r="AO296" s="330"/>
      <c r="AP296" s="117"/>
      <c r="AQ296" s="330"/>
      <c r="AR296" s="117"/>
      <c r="AS296" s="1096" t="s">
        <v>159</v>
      </c>
      <c r="AT296" s="1097"/>
      <c r="AU296" s="1097"/>
      <c r="AV296" s="1097"/>
      <c r="AW296" s="1097"/>
      <c r="AX296" s="1097"/>
      <c r="AY296" s="1100"/>
      <c r="AZ296" s="257"/>
      <c r="BA296" s="257"/>
      <c r="BB296" s="1059" t="s">
        <v>162</v>
      </c>
      <c r="BC296" s="1060"/>
      <c r="BD296" s="1075" t="s">
        <v>159</v>
      </c>
      <c r="BE296" s="1075"/>
      <c r="BF296" s="1075"/>
      <c r="BG296" s="1076" t="s">
        <v>159</v>
      </c>
      <c r="BH296" s="1077"/>
      <c r="BI296" s="1077"/>
      <c r="BJ296" s="1078"/>
      <c r="BK296" s="1065"/>
      <c r="BL296" s="1066"/>
      <c r="BM296" s="1067"/>
      <c r="BN296" s="259"/>
      <c r="BO296" s="259"/>
      <c r="BP296" s="1076"/>
      <c r="BQ296" s="1077"/>
      <c r="BR296" s="1078"/>
      <c r="BS296" s="1075" t="s">
        <v>159</v>
      </c>
      <c r="BT296" s="1075"/>
      <c r="BU296" s="1075"/>
    </row>
    <row r="297" spans="1:73" ht="30" customHeight="1" x14ac:dyDescent="0.25">
      <c r="A297" s="199">
        <f t="shared" si="4"/>
        <v>283</v>
      </c>
      <c r="B297" s="1081" t="s">
        <v>162</v>
      </c>
      <c r="C297" s="1082"/>
      <c r="D297" s="1083" t="s">
        <v>159</v>
      </c>
      <c r="E297" s="1084"/>
      <c r="F297" s="1084"/>
      <c r="G297" s="1085"/>
      <c r="H297" s="1086" t="s">
        <v>159</v>
      </c>
      <c r="I297" s="1087"/>
      <c r="J297" s="1087"/>
      <c r="K297" s="1088"/>
      <c r="L297" s="1089" t="s">
        <v>159</v>
      </c>
      <c r="M297" s="1090"/>
      <c r="N297" s="1091"/>
      <c r="O297" s="1092" t="s">
        <v>159</v>
      </c>
      <c r="P297" s="1093"/>
      <c r="Q297" s="1094"/>
      <c r="R297" s="812"/>
      <c r="S297" s="1095"/>
      <c r="T297" s="813"/>
      <c r="U297" s="745"/>
      <c r="V297" s="940"/>
      <c r="W297" s="746"/>
      <c r="X297" s="312"/>
      <c r="Y297" s="308"/>
      <c r="Z297" s="312"/>
      <c r="AA297" s="308"/>
      <c r="AB297" s="312"/>
      <c r="AC297" s="308"/>
      <c r="AD297" s="312"/>
      <c r="AE297" s="308"/>
      <c r="AF297" s="312"/>
      <c r="AG297" s="308"/>
      <c r="AH297" s="312"/>
      <c r="AI297" s="308"/>
      <c r="AJ297" s="117"/>
      <c r="AK297" s="330"/>
      <c r="AL297" s="117"/>
      <c r="AM297" s="330"/>
      <c r="AN297" s="117"/>
      <c r="AO297" s="330"/>
      <c r="AP297" s="117"/>
      <c r="AQ297" s="330"/>
      <c r="AR297" s="117"/>
      <c r="AS297" s="1096" t="s">
        <v>159</v>
      </c>
      <c r="AT297" s="1097"/>
      <c r="AU297" s="1097"/>
      <c r="AV297" s="1097"/>
      <c r="AW297" s="1097"/>
      <c r="AX297" s="1097"/>
      <c r="AY297" s="1100"/>
      <c r="AZ297" s="257"/>
      <c r="BA297" s="257"/>
      <c r="BB297" s="1059" t="s">
        <v>162</v>
      </c>
      <c r="BC297" s="1060"/>
      <c r="BD297" s="1075" t="s">
        <v>159</v>
      </c>
      <c r="BE297" s="1075"/>
      <c r="BF297" s="1075"/>
      <c r="BG297" s="1076" t="s">
        <v>159</v>
      </c>
      <c r="BH297" s="1077"/>
      <c r="BI297" s="1077"/>
      <c r="BJ297" s="1078"/>
      <c r="BK297" s="1065"/>
      <c r="BL297" s="1066"/>
      <c r="BM297" s="1067"/>
      <c r="BN297" s="259"/>
      <c r="BO297" s="259"/>
      <c r="BP297" s="1076"/>
      <c r="BQ297" s="1077"/>
      <c r="BR297" s="1078"/>
      <c r="BS297" s="1075" t="s">
        <v>159</v>
      </c>
      <c r="BT297" s="1075"/>
      <c r="BU297" s="1075"/>
    </row>
    <row r="298" spans="1:73" ht="30" customHeight="1" x14ac:dyDescent="0.25">
      <c r="A298" s="199">
        <f t="shared" si="4"/>
        <v>284</v>
      </c>
      <c r="B298" s="1081" t="s">
        <v>162</v>
      </c>
      <c r="C298" s="1082"/>
      <c r="D298" s="1083" t="s">
        <v>159</v>
      </c>
      <c r="E298" s="1084"/>
      <c r="F298" s="1084"/>
      <c r="G298" s="1085"/>
      <c r="H298" s="1086" t="s">
        <v>159</v>
      </c>
      <c r="I298" s="1087"/>
      <c r="J298" s="1087"/>
      <c r="K298" s="1088"/>
      <c r="L298" s="1089" t="s">
        <v>159</v>
      </c>
      <c r="M298" s="1090"/>
      <c r="N298" s="1091"/>
      <c r="O298" s="1092" t="s">
        <v>159</v>
      </c>
      <c r="P298" s="1093"/>
      <c r="Q298" s="1094"/>
      <c r="R298" s="812"/>
      <c r="S298" s="1095"/>
      <c r="T298" s="813"/>
      <c r="U298" s="745"/>
      <c r="V298" s="940"/>
      <c r="W298" s="746"/>
      <c r="X298" s="312"/>
      <c r="Y298" s="308"/>
      <c r="Z298" s="312"/>
      <c r="AA298" s="308"/>
      <c r="AB298" s="312"/>
      <c r="AC298" s="308"/>
      <c r="AD298" s="312"/>
      <c r="AE298" s="308"/>
      <c r="AF298" s="312"/>
      <c r="AG298" s="308"/>
      <c r="AH298" s="312"/>
      <c r="AI298" s="308"/>
      <c r="AJ298" s="117"/>
      <c r="AK298" s="330"/>
      <c r="AL298" s="117"/>
      <c r="AM298" s="330"/>
      <c r="AN298" s="117"/>
      <c r="AO298" s="330"/>
      <c r="AP298" s="117"/>
      <c r="AQ298" s="330"/>
      <c r="AR298" s="117"/>
      <c r="AS298" s="1096" t="s">
        <v>159</v>
      </c>
      <c r="AT298" s="1097"/>
      <c r="AU298" s="1097"/>
      <c r="AV298" s="1097"/>
      <c r="AW298" s="1097"/>
      <c r="AX298" s="1097"/>
      <c r="AY298" s="1100"/>
      <c r="AZ298" s="257"/>
      <c r="BA298" s="257"/>
      <c r="BB298" s="1059" t="s">
        <v>162</v>
      </c>
      <c r="BC298" s="1060"/>
      <c r="BD298" s="1075" t="s">
        <v>159</v>
      </c>
      <c r="BE298" s="1075"/>
      <c r="BF298" s="1075"/>
      <c r="BG298" s="1076" t="s">
        <v>159</v>
      </c>
      <c r="BH298" s="1077"/>
      <c r="BI298" s="1077"/>
      <c r="BJ298" s="1078"/>
      <c r="BK298" s="1065"/>
      <c r="BL298" s="1066"/>
      <c r="BM298" s="1067"/>
      <c r="BN298" s="259"/>
      <c r="BO298" s="259"/>
      <c r="BP298" s="1076"/>
      <c r="BQ298" s="1077"/>
      <c r="BR298" s="1078"/>
      <c r="BS298" s="1075" t="s">
        <v>159</v>
      </c>
      <c r="BT298" s="1075"/>
      <c r="BU298" s="1075"/>
    </row>
    <row r="299" spans="1:73" ht="30" customHeight="1" x14ac:dyDescent="0.25">
      <c r="A299" s="199">
        <f t="shared" si="4"/>
        <v>285</v>
      </c>
      <c r="B299" s="1081" t="s">
        <v>162</v>
      </c>
      <c r="C299" s="1082"/>
      <c r="D299" s="1083" t="s">
        <v>159</v>
      </c>
      <c r="E299" s="1084"/>
      <c r="F299" s="1084"/>
      <c r="G299" s="1085"/>
      <c r="H299" s="1086" t="s">
        <v>159</v>
      </c>
      <c r="I299" s="1087"/>
      <c r="J299" s="1087"/>
      <c r="K299" s="1088"/>
      <c r="L299" s="1089" t="s">
        <v>159</v>
      </c>
      <c r="M299" s="1090"/>
      <c r="N299" s="1091"/>
      <c r="O299" s="1092" t="s">
        <v>159</v>
      </c>
      <c r="P299" s="1093"/>
      <c r="Q299" s="1094"/>
      <c r="R299" s="812"/>
      <c r="S299" s="1095"/>
      <c r="T299" s="813"/>
      <c r="U299" s="745"/>
      <c r="V299" s="940"/>
      <c r="W299" s="746"/>
      <c r="X299" s="312"/>
      <c r="Y299" s="308"/>
      <c r="Z299" s="312"/>
      <c r="AA299" s="308"/>
      <c r="AB299" s="312"/>
      <c r="AC299" s="308"/>
      <c r="AD299" s="312"/>
      <c r="AE299" s="308"/>
      <c r="AF299" s="312"/>
      <c r="AG299" s="308"/>
      <c r="AH299" s="312"/>
      <c r="AI299" s="308"/>
      <c r="AJ299" s="117"/>
      <c r="AK299" s="330"/>
      <c r="AL299" s="117"/>
      <c r="AM299" s="330"/>
      <c r="AN299" s="117"/>
      <c r="AO299" s="330"/>
      <c r="AP299" s="117"/>
      <c r="AQ299" s="330"/>
      <c r="AR299" s="117"/>
      <c r="AS299" s="1096" t="s">
        <v>159</v>
      </c>
      <c r="AT299" s="1097"/>
      <c r="AU299" s="1097"/>
      <c r="AV299" s="1097"/>
      <c r="AW299" s="1097"/>
      <c r="AX299" s="1097"/>
      <c r="AY299" s="1100"/>
      <c r="AZ299" s="257"/>
      <c r="BA299" s="257"/>
      <c r="BB299" s="1059" t="s">
        <v>162</v>
      </c>
      <c r="BC299" s="1060"/>
      <c r="BD299" s="1075" t="s">
        <v>159</v>
      </c>
      <c r="BE299" s="1075"/>
      <c r="BF299" s="1075"/>
      <c r="BG299" s="1076" t="s">
        <v>159</v>
      </c>
      <c r="BH299" s="1077"/>
      <c r="BI299" s="1077"/>
      <c r="BJ299" s="1078"/>
      <c r="BK299" s="1065"/>
      <c r="BL299" s="1066"/>
      <c r="BM299" s="1067"/>
      <c r="BN299" s="259"/>
      <c r="BO299" s="259"/>
      <c r="BP299" s="1076"/>
      <c r="BQ299" s="1077"/>
      <c r="BR299" s="1078"/>
      <c r="BS299" s="1075" t="s">
        <v>159</v>
      </c>
      <c r="BT299" s="1075"/>
      <c r="BU299" s="1075"/>
    </row>
    <row r="300" spans="1:73" ht="30" customHeight="1" x14ac:dyDescent="0.25">
      <c r="A300" s="199">
        <f t="shared" si="4"/>
        <v>286</v>
      </c>
      <c r="B300" s="1081" t="s">
        <v>162</v>
      </c>
      <c r="C300" s="1082"/>
      <c r="D300" s="1083" t="s">
        <v>159</v>
      </c>
      <c r="E300" s="1084"/>
      <c r="F300" s="1084"/>
      <c r="G300" s="1085"/>
      <c r="H300" s="1086" t="s">
        <v>159</v>
      </c>
      <c r="I300" s="1087"/>
      <c r="J300" s="1087"/>
      <c r="K300" s="1088"/>
      <c r="L300" s="1089" t="s">
        <v>159</v>
      </c>
      <c r="M300" s="1090"/>
      <c r="N300" s="1091"/>
      <c r="O300" s="1092" t="s">
        <v>159</v>
      </c>
      <c r="P300" s="1093"/>
      <c r="Q300" s="1094"/>
      <c r="R300" s="812"/>
      <c r="S300" s="1095"/>
      <c r="T300" s="813"/>
      <c r="U300" s="745"/>
      <c r="V300" s="940"/>
      <c r="W300" s="746"/>
      <c r="X300" s="312"/>
      <c r="Y300" s="308"/>
      <c r="Z300" s="312"/>
      <c r="AA300" s="308"/>
      <c r="AB300" s="312"/>
      <c r="AC300" s="308"/>
      <c r="AD300" s="312"/>
      <c r="AE300" s="308"/>
      <c r="AF300" s="312"/>
      <c r="AG300" s="308"/>
      <c r="AH300" s="312"/>
      <c r="AI300" s="308"/>
      <c r="AJ300" s="117"/>
      <c r="AK300" s="330"/>
      <c r="AL300" s="117"/>
      <c r="AM300" s="330"/>
      <c r="AN300" s="117"/>
      <c r="AO300" s="330"/>
      <c r="AP300" s="117"/>
      <c r="AQ300" s="330"/>
      <c r="AR300" s="117"/>
      <c r="AS300" s="1096" t="s">
        <v>159</v>
      </c>
      <c r="AT300" s="1097"/>
      <c r="AU300" s="1097"/>
      <c r="AV300" s="1097"/>
      <c r="AW300" s="1097"/>
      <c r="AX300" s="1097"/>
      <c r="AY300" s="1100"/>
      <c r="AZ300" s="257"/>
      <c r="BA300" s="257"/>
      <c r="BB300" s="1059" t="s">
        <v>162</v>
      </c>
      <c r="BC300" s="1060"/>
      <c r="BD300" s="1075" t="s">
        <v>159</v>
      </c>
      <c r="BE300" s="1075"/>
      <c r="BF300" s="1075"/>
      <c r="BG300" s="1076" t="s">
        <v>159</v>
      </c>
      <c r="BH300" s="1077"/>
      <c r="BI300" s="1077"/>
      <c r="BJ300" s="1078"/>
      <c r="BK300" s="1065"/>
      <c r="BL300" s="1066"/>
      <c r="BM300" s="1067"/>
      <c r="BN300" s="259"/>
      <c r="BO300" s="259"/>
      <c r="BP300" s="1076"/>
      <c r="BQ300" s="1077"/>
      <c r="BR300" s="1078"/>
      <c r="BS300" s="1075" t="s">
        <v>159</v>
      </c>
      <c r="BT300" s="1075"/>
      <c r="BU300" s="1075"/>
    </row>
    <row r="301" spans="1:73" ht="30" customHeight="1" x14ac:dyDescent="0.25">
      <c r="A301" s="199">
        <f t="shared" si="4"/>
        <v>287</v>
      </c>
      <c r="B301" s="1081" t="s">
        <v>162</v>
      </c>
      <c r="C301" s="1082"/>
      <c r="D301" s="1083" t="s">
        <v>159</v>
      </c>
      <c r="E301" s="1084"/>
      <c r="F301" s="1084"/>
      <c r="G301" s="1085"/>
      <c r="H301" s="1086" t="s">
        <v>159</v>
      </c>
      <c r="I301" s="1087"/>
      <c r="J301" s="1087"/>
      <c r="K301" s="1088"/>
      <c r="L301" s="1089" t="s">
        <v>159</v>
      </c>
      <c r="M301" s="1090"/>
      <c r="N301" s="1091"/>
      <c r="O301" s="1092" t="s">
        <v>159</v>
      </c>
      <c r="P301" s="1093"/>
      <c r="Q301" s="1094"/>
      <c r="R301" s="812"/>
      <c r="S301" s="1095"/>
      <c r="T301" s="813"/>
      <c r="U301" s="745"/>
      <c r="V301" s="940"/>
      <c r="W301" s="746"/>
      <c r="X301" s="312"/>
      <c r="Y301" s="308"/>
      <c r="Z301" s="312"/>
      <c r="AA301" s="308"/>
      <c r="AB301" s="312"/>
      <c r="AC301" s="308"/>
      <c r="AD301" s="312"/>
      <c r="AE301" s="308"/>
      <c r="AF301" s="312"/>
      <c r="AG301" s="308"/>
      <c r="AH301" s="312"/>
      <c r="AI301" s="308"/>
      <c r="AJ301" s="117"/>
      <c r="AK301" s="330"/>
      <c r="AL301" s="117"/>
      <c r="AM301" s="330"/>
      <c r="AN301" s="117"/>
      <c r="AO301" s="330"/>
      <c r="AP301" s="117"/>
      <c r="AQ301" s="330"/>
      <c r="AR301" s="117"/>
      <c r="AS301" s="1096" t="s">
        <v>159</v>
      </c>
      <c r="AT301" s="1097"/>
      <c r="AU301" s="1097"/>
      <c r="AV301" s="1097"/>
      <c r="AW301" s="1097"/>
      <c r="AX301" s="1097"/>
      <c r="AY301" s="1100"/>
      <c r="AZ301" s="257"/>
      <c r="BA301" s="257"/>
      <c r="BB301" s="1059" t="s">
        <v>162</v>
      </c>
      <c r="BC301" s="1060"/>
      <c r="BD301" s="1075" t="s">
        <v>159</v>
      </c>
      <c r="BE301" s="1075"/>
      <c r="BF301" s="1075"/>
      <c r="BG301" s="1076" t="s">
        <v>159</v>
      </c>
      <c r="BH301" s="1077"/>
      <c r="BI301" s="1077"/>
      <c r="BJ301" s="1078"/>
      <c r="BK301" s="1065"/>
      <c r="BL301" s="1066"/>
      <c r="BM301" s="1067"/>
      <c r="BN301" s="259"/>
      <c r="BO301" s="259"/>
      <c r="BP301" s="1076"/>
      <c r="BQ301" s="1077"/>
      <c r="BR301" s="1078"/>
      <c r="BS301" s="1075" t="s">
        <v>159</v>
      </c>
      <c r="BT301" s="1075"/>
      <c r="BU301" s="1075"/>
    </row>
    <row r="302" spans="1:73" ht="30" customHeight="1" x14ac:dyDescent="0.25">
      <c r="A302" s="199">
        <f t="shared" si="4"/>
        <v>288</v>
      </c>
      <c r="B302" s="1081" t="s">
        <v>162</v>
      </c>
      <c r="C302" s="1082"/>
      <c r="D302" s="1083" t="s">
        <v>159</v>
      </c>
      <c r="E302" s="1084"/>
      <c r="F302" s="1084"/>
      <c r="G302" s="1085"/>
      <c r="H302" s="1086" t="s">
        <v>159</v>
      </c>
      <c r="I302" s="1087"/>
      <c r="J302" s="1087"/>
      <c r="K302" s="1088"/>
      <c r="L302" s="1089" t="s">
        <v>159</v>
      </c>
      <c r="M302" s="1090"/>
      <c r="N302" s="1091"/>
      <c r="O302" s="1092" t="s">
        <v>159</v>
      </c>
      <c r="P302" s="1093"/>
      <c r="Q302" s="1094"/>
      <c r="R302" s="812"/>
      <c r="S302" s="1095"/>
      <c r="T302" s="813"/>
      <c r="U302" s="745"/>
      <c r="V302" s="940"/>
      <c r="W302" s="746"/>
      <c r="X302" s="312"/>
      <c r="Y302" s="308"/>
      <c r="Z302" s="312"/>
      <c r="AA302" s="308"/>
      <c r="AB302" s="312"/>
      <c r="AC302" s="308"/>
      <c r="AD302" s="312"/>
      <c r="AE302" s="308"/>
      <c r="AF302" s="312"/>
      <c r="AG302" s="308"/>
      <c r="AH302" s="312"/>
      <c r="AI302" s="308"/>
      <c r="AJ302" s="117"/>
      <c r="AK302" s="330"/>
      <c r="AL302" s="117"/>
      <c r="AM302" s="330"/>
      <c r="AN302" s="117"/>
      <c r="AO302" s="330"/>
      <c r="AP302" s="117"/>
      <c r="AQ302" s="330"/>
      <c r="AR302" s="117"/>
      <c r="AS302" s="1096" t="s">
        <v>159</v>
      </c>
      <c r="AT302" s="1097"/>
      <c r="AU302" s="1097"/>
      <c r="AV302" s="1097"/>
      <c r="AW302" s="1097"/>
      <c r="AX302" s="1097"/>
      <c r="AY302" s="1100"/>
      <c r="AZ302" s="257"/>
      <c r="BA302" s="257"/>
      <c r="BB302" s="1079" t="s">
        <v>162</v>
      </c>
      <c r="BC302" s="1080"/>
      <c r="BD302" s="1075" t="s">
        <v>159</v>
      </c>
      <c r="BE302" s="1075"/>
      <c r="BF302" s="1075"/>
      <c r="BG302" s="1076" t="s">
        <v>159</v>
      </c>
      <c r="BH302" s="1077"/>
      <c r="BI302" s="1077"/>
      <c r="BJ302" s="1078"/>
      <c r="BK302" s="1065"/>
      <c r="BL302" s="1066"/>
      <c r="BM302" s="1067"/>
      <c r="BN302" s="259"/>
      <c r="BO302" s="259"/>
      <c r="BP302" s="1076"/>
      <c r="BQ302" s="1077"/>
      <c r="BR302" s="1078"/>
      <c r="BS302" s="1075" t="s">
        <v>159</v>
      </c>
      <c r="BT302" s="1075"/>
      <c r="BU302" s="1075"/>
    </row>
    <row r="303" spans="1:73" ht="30" customHeight="1" x14ac:dyDescent="0.25">
      <c r="A303" s="199">
        <f t="shared" si="4"/>
        <v>289</v>
      </c>
      <c r="B303" s="1081" t="s">
        <v>162</v>
      </c>
      <c r="C303" s="1082"/>
      <c r="D303" s="1083" t="s">
        <v>159</v>
      </c>
      <c r="E303" s="1084"/>
      <c r="F303" s="1084"/>
      <c r="G303" s="1085"/>
      <c r="H303" s="1086" t="s">
        <v>159</v>
      </c>
      <c r="I303" s="1087"/>
      <c r="J303" s="1087"/>
      <c r="K303" s="1088"/>
      <c r="L303" s="1089" t="s">
        <v>159</v>
      </c>
      <c r="M303" s="1090"/>
      <c r="N303" s="1091"/>
      <c r="O303" s="1092" t="s">
        <v>159</v>
      </c>
      <c r="P303" s="1093"/>
      <c r="Q303" s="1094"/>
      <c r="R303" s="812"/>
      <c r="S303" s="1095"/>
      <c r="T303" s="813"/>
      <c r="U303" s="745"/>
      <c r="V303" s="940"/>
      <c r="W303" s="746"/>
      <c r="X303" s="312"/>
      <c r="Y303" s="308"/>
      <c r="Z303" s="312"/>
      <c r="AA303" s="308"/>
      <c r="AB303" s="312"/>
      <c r="AC303" s="308"/>
      <c r="AD303" s="312"/>
      <c r="AE303" s="308"/>
      <c r="AF303" s="312"/>
      <c r="AG303" s="308"/>
      <c r="AH303" s="312"/>
      <c r="AI303" s="308"/>
      <c r="AJ303" s="117"/>
      <c r="AK303" s="330"/>
      <c r="AL303" s="117"/>
      <c r="AM303" s="330"/>
      <c r="AN303" s="117"/>
      <c r="AO303" s="330"/>
      <c r="AP303" s="117"/>
      <c r="AQ303" s="330"/>
      <c r="AR303" s="117"/>
      <c r="AS303" s="1096" t="s">
        <v>159</v>
      </c>
      <c r="AT303" s="1097"/>
      <c r="AU303" s="1097"/>
      <c r="AV303" s="1097"/>
      <c r="AW303" s="1097"/>
      <c r="AX303" s="1097"/>
      <c r="AY303" s="1100"/>
      <c r="AZ303" s="257"/>
      <c r="BA303" s="257"/>
      <c r="BB303" s="1059" t="s">
        <v>162</v>
      </c>
      <c r="BC303" s="1060"/>
      <c r="BD303" s="1075" t="s">
        <v>159</v>
      </c>
      <c r="BE303" s="1075"/>
      <c r="BF303" s="1075"/>
      <c r="BG303" s="1076" t="s">
        <v>159</v>
      </c>
      <c r="BH303" s="1077"/>
      <c r="BI303" s="1077"/>
      <c r="BJ303" s="1078"/>
      <c r="BK303" s="1065"/>
      <c r="BL303" s="1066"/>
      <c r="BM303" s="1067"/>
      <c r="BN303" s="259"/>
      <c r="BO303" s="259"/>
      <c r="BP303" s="1076"/>
      <c r="BQ303" s="1077"/>
      <c r="BR303" s="1078"/>
      <c r="BS303" s="1075" t="s">
        <v>159</v>
      </c>
      <c r="BT303" s="1075"/>
      <c r="BU303" s="1075"/>
    </row>
    <row r="304" spans="1:73" ht="30" customHeight="1" x14ac:dyDescent="0.25">
      <c r="A304" s="199">
        <f t="shared" si="4"/>
        <v>290</v>
      </c>
      <c r="B304" s="1081" t="s">
        <v>162</v>
      </c>
      <c r="C304" s="1082"/>
      <c r="D304" s="1083" t="s">
        <v>159</v>
      </c>
      <c r="E304" s="1084"/>
      <c r="F304" s="1084"/>
      <c r="G304" s="1085"/>
      <c r="H304" s="1086" t="s">
        <v>159</v>
      </c>
      <c r="I304" s="1087"/>
      <c r="J304" s="1087"/>
      <c r="K304" s="1088"/>
      <c r="L304" s="1089" t="s">
        <v>159</v>
      </c>
      <c r="M304" s="1090"/>
      <c r="N304" s="1091"/>
      <c r="O304" s="1092" t="s">
        <v>159</v>
      </c>
      <c r="P304" s="1093"/>
      <c r="Q304" s="1094"/>
      <c r="R304" s="812"/>
      <c r="S304" s="1095"/>
      <c r="T304" s="813"/>
      <c r="U304" s="745"/>
      <c r="V304" s="940"/>
      <c r="W304" s="746"/>
      <c r="X304" s="312"/>
      <c r="Y304" s="308"/>
      <c r="Z304" s="312"/>
      <c r="AA304" s="308"/>
      <c r="AB304" s="312"/>
      <c r="AC304" s="308"/>
      <c r="AD304" s="312"/>
      <c r="AE304" s="308"/>
      <c r="AF304" s="312"/>
      <c r="AG304" s="308"/>
      <c r="AH304" s="312"/>
      <c r="AI304" s="308"/>
      <c r="AJ304" s="117"/>
      <c r="AK304" s="330"/>
      <c r="AL304" s="117"/>
      <c r="AM304" s="330"/>
      <c r="AN304" s="117"/>
      <c r="AO304" s="330"/>
      <c r="AP304" s="117"/>
      <c r="AQ304" s="330"/>
      <c r="AR304" s="117"/>
      <c r="AS304" s="1096" t="s">
        <v>159</v>
      </c>
      <c r="AT304" s="1097"/>
      <c r="AU304" s="1097"/>
      <c r="AV304" s="1097"/>
      <c r="AW304" s="1097"/>
      <c r="AX304" s="1097"/>
      <c r="AY304" s="1100"/>
      <c r="AZ304" s="257"/>
      <c r="BA304" s="257"/>
      <c r="BB304" s="1059" t="s">
        <v>162</v>
      </c>
      <c r="BC304" s="1060"/>
      <c r="BD304" s="1075" t="s">
        <v>159</v>
      </c>
      <c r="BE304" s="1075"/>
      <c r="BF304" s="1075"/>
      <c r="BG304" s="1076" t="s">
        <v>159</v>
      </c>
      <c r="BH304" s="1077"/>
      <c r="BI304" s="1077"/>
      <c r="BJ304" s="1078"/>
      <c r="BK304" s="1065"/>
      <c r="BL304" s="1066"/>
      <c r="BM304" s="1067"/>
      <c r="BN304" s="259"/>
      <c r="BO304" s="259"/>
      <c r="BP304" s="1076"/>
      <c r="BQ304" s="1077"/>
      <c r="BR304" s="1078"/>
      <c r="BS304" s="1075" t="s">
        <v>159</v>
      </c>
      <c r="BT304" s="1075"/>
      <c r="BU304" s="1075"/>
    </row>
    <row r="305" spans="1:73" ht="30" customHeight="1" x14ac:dyDescent="0.25">
      <c r="A305" s="199">
        <f t="shared" si="4"/>
        <v>291</v>
      </c>
      <c r="B305" s="1081" t="s">
        <v>162</v>
      </c>
      <c r="C305" s="1082"/>
      <c r="D305" s="1083" t="s">
        <v>159</v>
      </c>
      <c r="E305" s="1084"/>
      <c r="F305" s="1084"/>
      <c r="G305" s="1085"/>
      <c r="H305" s="1086" t="s">
        <v>159</v>
      </c>
      <c r="I305" s="1087"/>
      <c r="J305" s="1087"/>
      <c r="K305" s="1088"/>
      <c r="L305" s="1089" t="s">
        <v>159</v>
      </c>
      <c r="M305" s="1090"/>
      <c r="N305" s="1091"/>
      <c r="O305" s="1092" t="s">
        <v>159</v>
      </c>
      <c r="P305" s="1093"/>
      <c r="Q305" s="1094"/>
      <c r="R305" s="812"/>
      <c r="S305" s="1095"/>
      <c r="T305" s="813"/>
      <c r="U305" s="745"/>
      <c r="V305" s="940"/>
      <c r="W305" s="746"/>
      <c r="X305" s="312"/>
      <c r="Y305" s="308"/>
      <c r="Z305" s="312"/>
      <c r="AA305" s="308"/>
      <c r="AB305" s="312"/>
      <c r="AC305" s="308"/>
      <c r="AD305" s="312"/>
      <c r="AE305" s="308"/>
      <c r="AF305" s="312"/>
      <c r="AG305" s="308"/>
      <c r="AH305" s="312"/>
      <c r="AI305" s="308"/>
      <c r="AJ305" s="117"/>
      <c r="AK305" s="330"/>
      <c r="AL305" s="117"/>
      <c r="AM305" s="330"/>
      <c r="AN305" s="117"/>
      <c r="AO305" s="330"/>
      <c r="AP305" s="117"/>
      <c r="AQ305" s="330"/>
      <c r="AR305" s="117"/>
      <c r="AS305" s="1096" t="s">
        <v>159</v>
      </c>
      <c r="AT305" s="1097"/>
      <c r="AU305" s="1097"/>
      <c r="AV305" s="1097"/>
      <c r="AW305" s="1097"/>
      <c r="AX305" s="1097"/>
      <c r="AY305" s="1100"/>
      <c r="AZ305" s="257"/>
      <c r="BA305" s="257"/>
      <c r="BB305" s="1059" t="s">
        <v>162</v>
      </c>
      <c r="BC305" s="1060"/>
      <c r="BD305" s="1075" t="s">
        <v>159</v>
      </c>
      <c r="BE305" s="1075"/>
      <c r="BF305" s="1075"/>
      <c r="BG305" s="1076" t="s">
        <v>159</v>
      </c>
      <c r="BH305" s="1077"/>
      <c r="BI305" s="1077"/>
      <c r="BJ305" s="1078"/>
      <c r="BK305" s="1065"/>
      <c r="BL305" s="1066"/>
      <c r="BM305" s="1067"/>
      <c r="BN305" s="259"/>
      <c r="BO305" s="259"/>
      <c r="BP305" s="1076"/>
      <c r="BQ305" s="1077"/>
      <c r="BR305" s="1078"/>
      <c r="BS305" s="1075" t="s">
        <v>159</v>
      </c>
      <c r="BT305" s="1075"/>
      <c r="BU305" s="1075"/>
    </row>
    <row r="306" spans="1:73" ht="30" customHeight="1" x14ac:dyDescent="0.25">
      <c r="A306" s="199">
        <f t="shared" si="4"/>
        <v>292</v>
      </c>
      <c r="B306" s="1081" t="s">
        <v>162</v>
      </c>
      <c r="C306" s="1082"/>
      <c r="D306" s="1083" t="s">
        <v>159</v>
      </c>
      <c r="E306" s="1084"/>
      <c r="F306" s="1084"/>
      <c r="G306" s="1085"/>
      <c r="H306" s="1086" t="s">
        <v>159</v>
      </c>
      <c r="I306" s="1087"/>
      <c r="J306" s="1087"/>
      <c r="K306" s="1088"/>
      <c r="L306" s="1089" t="s">
        <v>159</v>
      </c>
      <c r="M306" s="1090"/>
      <c r="N306" s="1091"/>
      <c r="O306" s="1092" t="s">
        <v>159</v>
      </c>
      <c r="P306" s="1093"/>
      <c r="Q306" s="1094"/>
      <c r="R306" s="812"/>
      <c r="S306" s="1095"/>
      <c r="T306" s="813"/>
      <c r="U306" s="745"/>
      <c r="V306" s="940"/>
      <c r="W306" s="746"/>
      <c r="X306" s="312"/>
      <c r="Y306" s="308"/>
      <c r="Z306" s="312"/>
      <c r="AA306" s="308"/>
      <c r="AB306" s="312"/>
      <c r="AC306" s="308"/>
      <c r="AD306" s="312"/>
      <c r="AE306" s="308"/>
      <c r="AF306" s="312"/>
      <c r="AG306" s="308"/>
      <c r="AH306" s="312"/>
      <c r="AI306" s="308"/>
      <c r="AJ306" s="117"/>
      <c r="AK306" s="330"/>
      <c r="AL306" s="117"/>
      <c r="AM306" s="330"/>
      <c r="AN306" s="117"/>
      <c r="AO306" s="330"/>
      <c r="AP306" s="117"/>
      <c r="AQ306" s="330"/>
      <c r="AR306" s="117"/>
      <c r="AS306" s="1096" t="s">
        <v>159</v>
      </c>
      <c r="AT306" s="1097"/>
      <c r="AU306" s="1097"/>
      <c r="AV306" s="1097"/>
      <c r="AW306" s="1097"/>
      <c r="AX306" s="1097"/>
      <c r="AY306" s="1100"/>
      <c r="AZ306" s="257"/>
      <c r="BA306" s="257"/>
      <c r="BB306" s="1059" t="s">
        <v>162</v>
      </c>
      <c r="BC306" s="1060"/>
      <c r="BD306" s="1075" t="s">
        <v>159</v>
      </c>
      <c r="BE306" s="1075"/>
      <c r="BF306" s="1075"/>
      <c r="BG306" s="1076" t="s">
        <v>159</v>
      </c>
      <c r="BH306" s="1077"/>
      <c r="BI306" s="1077"/>
      <c r="BJ306" s="1078"/>
      <c r="BK306" s="1065"/>
      <c r="BL306" s="1066"/>
      <c r="BM306" s="1067"/>
      <c r="BN306" s="259"/>
      <c r="BO306" s="259"/>
      <c r="BP306" s="1076"/>
      <c r="BQ306" s="1077"/>
      <c r="BR306" s="1078"/>
      <c r="BS306" s="1075" t="s">
        <v>159</v>
      </c>
      <c r="BT306" s="1075"/>
      <c r="BU306" s="1075"/>
    </row>
    <row r="307" spans="1:73" ht="30" customHeight="1" x14ac:dyDescent="0.25">
      <c r="A307" s="199">
        <f t="shared" si="4"/>
        <v>293</v>
      </c>
      <c r="B307" s="1081" t="s">
        <v>162</v>
      </c>
      <c r="C307" s="1082"/>
      <c r="D307" s="1083" t="s">
        <v>159</v>
      </c>
      <c r="E307" s="1084"/>
      <c r="F307" s="1084"/>
      <c r="G307" s="1085"/>
      <c r="H307" s="1086" t="s">
        <v>159</v>
      </c>
      <c r="I307" s="1087"/>
      <c r="J307" s="1087"/>
      <c r="K307" s="1088"/>
      <c r="L307" s="1089" t="s">
        <v>159</v>
      </c>
      <c r="M307" s="1090"/>
      <c r="N307" s="1091"/>
      <c r="O307" s="1092" t="s">
        <v>159</v>
      </c>
      <c r="P307" s="1093"/>
      <c r="Q307" s="1094"/>
      <c r="R307" s="812"/>
      <c r="S307" s="1095"/>
      <c r="T307" s="813"/>
      <c r="U307" s="745"/>
      <c r="V307" s="940"/>
      <c r="W307" s="746"/>
      <c r="X307" s="312"/>
      <c r="Y307" s="308"/>
      <c r="Z307" s="312"/>
      <c r="AA307" s="308"/>
      <c r="AB307" s="312"/>
      <c r="AC307" s="308"/>
      <c r="AD307" s="312"/>
      <c r="AE307" s="308"/>
      <c r="AF307" s="312"/>
      <c r="AG307" s="308"/>
      <c r="AH307" s="312"/>
      <c r="AI307" s="308"/>
      <c r="AJ307" s="117"/>
      <c r="AK307" s="330"/>
      <c r="AL307" s="117"/>
      <c r="AM307" s="330"/>
      <c r="AN307" s="117"/>
      <c r="AO307" s="330"/>
      <c r="AP307" s="117"/>
      <c r="AQ307" s="330"/>
      <c r="AR307" s="117"/>
      <c r="AS307" s="1096" t="s">
        <v>159</v>
      </c>
      <c r="AT307" s="1097"/>
      <c r="AU307" s="1097"/>
      <c r="AV307" s="1097"/>
      <c r="AW307" s="1097"/>
      <c r="AX307" s="1097"/>
      <c r="AY307" s="1100"/>
      <c r="AZ307" s="257"/>
      <c r="BA307" s="257"/>
      <c r="BB307" s="1059" t="s">
        <v>162</v>
      </c>
      <c r="BC307" s="1060"/>
      <c r="BD307" s="1075" t="s">
        <v>159</v>
      </c>
      <c r="BE307" s="1075"/>
      <c r="BF307" s="1075"/>
      <c r="BG307" s="1076" t="s">
        <v>159</v>
      </c>
      <c r="BH307" s="1077"/>
      <c r="BI307" s="1077"/>
      <c r="BJ307" s="1078"/>
      <c r="BK307" s="1065"/>
      <c r="BL307" s="1066"/>
      <c r="BM307" s="1067"/>
      <c r="BN307" s="259"/>
      <c r="BO307" s="259"/>
      <c r="BP307" s="1076"/>
      <c r="BQ307" s="1077"/>
      <c r="BR307" s="1078"/>
      <c r="BS307" s="1075" t="s">
        <v>159</v>
      </c>
      <c r="BT307" s="1075"/>
      <c r="BU307" s="1075"/>
    </row>
    <row r="308" spans="1:73" ht="30" customHeight="1" x14ac:dyDescent="0.25">
      <c r="A308" s="199">
        <f t="shared" si="4"/>
        <v>294</v>
      </c>
      <c r="B308" s="1081" t="s">
        <v>162</v>
      </c>
      <c r="C308" s="1082"/>
      <c r="D308" s="1083" t="s">
        <v>159</v>
      </c>
      <c r="E308" s="1084"/>
      <c r="F308" s="1084"/>
      <c r="G308" s="1085"/>
      <c r="H308" s="1086" t="s">
        <v>159</v>
      </c>
      <c r="I308" s="1087"/>
      <c r="J308" s="1087"/>
      <c r="K308" s="1088"/>
      <c r="L308" s="1089" t="s">
        <v>159</v>
      </c>
      <c r="M308" s="1090"/>
      <c r="N308" s="1091"/>
      <c r="O308" s="1092" t="s">
        <v>159</v>
      </c>
      <c r="P308" s="1093"/>
      <c r="Q308" s="1094"/>
      <c r="R308" s="812"/>
      <c r="S308" s="1095"/>
      <c r="T308" s="813"/>
      <c r="U308" s="745"/>
      <c r="V308" s="940"/>
      <c r="W308" s="746"/>
      <c r="X308" s="312"/>
      <c r="Y308" s="308"/>
      <c r="Z308" s="312"/>
      <c r="AA308" s="308"/>
      <c r="AB308" s="312"/>
      <c r="AC308" s="308"/>
      <c r="AD308" s="312"/>
      <c r="AE308" s="308"/>
      <c r="AF308" s="312"/>
      <c r="AG308" s="308"/>
      <c r="AH308" s="312"/>
      <c r="AI308" s="308"/>
      <c r="AJ308" s="117"/>
      <c r="AK308" s="330"/>
      <c r="AL308" s="117"/>
      <c r="AM308" s="330"/>
      <c r="AN308" s="117"/>
      <c r="AO308" s="330"/>
      <c r="AP308" s="117"/>
      <c r="AQ308" s="330"/>
      <c r="AR308" s="117"/>
      <c r="AS308" s="1096" t="s">
        <v>159</v>
      </c>
      <c r="AT308" s="1097"/>
      <c r="AU308" s="1097"/>
      <c r="AV308" s="1097"/>
      <c r="AW308" s="1097"/>
      <c r="AX308" s="1097"/>
      <c r="AY308" s="1100"/>
      <c r="AZ308" s="257"/>
      <c r="BA308" s="257"/>
      <c r="BB308" s="1059" t="s">
        <v>162</v>
      </c>
      <c r="BC308" s="1060"/>
      <c r="BD308" s="1075" t="s">
        <v>159</v>
      </c>
      <c r="BE308" s="1075"/>
      <c r="BF308" s="1075"/>
      <c r="BG308" s="1076" t="s">
        <v>159</v>
      </c>
      <c r="BH308" s="1077"/>
      <c r="BI308" s="1077"/>
      <c r="BJ308" s="1078"/>
      <c r="BK308" s="1065"/>
      <c r="BL308" s="1066"/>
      <c r="BM308" s="1067"/>
      <c r="BN308" s="259"/>
      <c r="BO308" s="259"/>
      <c r="BP308" s="1076"/>
      <c r="BQ308" s="1077"/>
      <c r="BR308" s="1078"/>
      <c r="BS308" s="1075" t="s">
        <v>159</v>
      </c>
      <c r="BT308" s="1075"/>
      <c r="BU308" s="1075"/>
    </row>
    <row r="309" spans="1:73" ht="30" customHeight="1" x14ac:dyDescent="0.25">
      <c r="A309" s="199">
        <f>ROW(A295)</f>
        <v>295</v>
      </c>
      <c r="B309" s="1081" t="s">
        <v>162</v>
      </c>
      <c r="C309" s="1082"/>
      <c r="D309" s="1083" t="s">
        <v>159</v>
      </c>
      <c r="E309" s="1084"/>
      <c r="F309" s="1084"/>
      <c r="G309" s="1085"/>
      <c r="H309" s="1086" t="s">
        <v>159</v>
      </c>
      <c r="I309" s="1087"/>
      <c r="J309" s="1087"/>
      <c r="K309" s="1088"/>
      <c r="L309" s="1089" t="s">
        <v>159</v>
      </c>
      <c r="M309" s="1090"/>
      <c r="N309" s="1091"/>
      <c r="O309" s="1092" t="s">
        <v>159</v>
      </c>
      <c r="P309" s="1093"/>
      <c r="Q309" s="1094"/>
      <c r="R309" s="812"/>
      <c r="S309" s="1095"/>
      <c r="T309" s="813"/>
      <c r="U309" s="745"/>
      <c r="V309" s="940"/>
      <c r="W309" s="746"/>
      <c r="X309" s="312"/>
      <c r="Y309" s="308"/>
      <c r="Z309" s="312"/>
      <c r="AA309" s="308"/>
      <c r="AB309" s="312"/>
      <c r="AC309" s="308"/>
      <c r="AD309" s="312"/>
      <c r="AE309" s="308"/>
      <c r="AF309" s="312"/>
      <c r="AG309" s="308"/>
      <c r="AH309" s="312"/>
      <c r="AI309" s="308"/>
      <c r="AJ309" s="117"/>
      <c r="AK309" s="330"/>
      <c r="AL309" s="117"/>
      <c r="AM309" s="330"/>
      <c r="AN309" s="117"/>
      <c r="AO309" s="330"/>
      <c r="AP309" s="117"/>
      <c r="AQ309" s="330"/>
      <c r="AR309" s="117"/>
      <c r="AS309" s="1096" t="s">
        <v>159</v>
      </c>
      <c r="AT309" s="1097"/>
      <c r="AU309" s="1097"/>
      <c r="AV309" s="1097"/>
      <c r="AW309" s="1097"/>
      <c r="AX309" s="1097"/>
      <c r="AY309" s="1100"/>
      <c r="AZ309" s="257"/>
      <c r="BA309" s="257"/>
      <c r="BB309" s="1079" t="s">
        <v>162</v>
      </c>
      <c r="BC309" s="1080"/>
      <c r="BD309" s="1075" t="s">
        <v>159</v>
      </c>
      <c r="BE309" s="1075"/>
      <c r="BF309" s="1075"/>
      <c r="BG309" s="1076" t="s">
        <v>159</v>
      </c>
      <c r="BH309" s="1077"/>
      <c r="BI309" s="1077"/>
      <c r="BJ309" s="1078"/>
      <c r="BK309" s="1065"/>
      <c r="BL309" s="1066"/>
      <c r="BM309" s="1067"/>
      <c r="BN309" s="259"/>
      <c r="BO309" s="259"/>
      <c r="BP309" s="1076"/>
      <c r="BQ309" s="1077"/>
      <c r="BR309" s="1078"/>
      <c r="BS309" s="1075" t="s">
        <v>159</v>
      </c>
      <c r="BT309" s="1075"/>
      <c r="BU309" s="1075"/>
    </row>
    <row r="310" spans="1:73" ht="30" customHeight="1" x14ac:dyDescent="0.25">
      <c r="A310" s="199">
        <f t="shared" ref="A310:A373" si="5">ROW(A296)</f>
        <v>296</v>
      </c>
      <c r="B310" s="1081" t="s">
        <v>162</v>
      </c>
      <c r="C310" s="1082"/>
      <c r="D310" s="1083" t="s">
        <v>159</v>
      </c>
      <c r="E310" s="1084"/>
      <c r="F310" s="1084"/>
      <c r="G310" s="1085"/>
      <c r="H310" s="1086" t="s">
        <v>159</v>
      </c>
      <c r="I310" s="1087"/>
      <c r="J310" s="1087"/>
      <c r="K310" s="1088"/>
      <c r="L310" s="1089" t="s">
        <v>159</v>
      </c>
      <c r="M310" s="1090"/>
      <c r="N310" s="1091"/>
      <c r="O310" s="1092" t="s">
        <v>159</v>
      </c>
      <c r="P310" s="1093"/>
      <c r="Q310" s="1094"/>
      <c r="R310" s="812"/>
      <c r="S310" s="1095"/>
      <c r="T310" s="813"/>
      <c r="U310" s="745"/>
      <c r="V310" s="940"/>
      <c r="W310" s="746"/>
      <c r="X310" s="312"/>
      <c r="Y310" s="308"/>
      <c r="Z310" s="312"/>
      <c r="AA310" s="308"/>
      <c r="AB310" s="312"/>
      <c r="AC310" s="308"/>
      <c r="AD310" s="312"/>
      <c r="AE310" s="308"/>
      <c r="AF310" s="312"/>
      <c r="AG310" s="308"/>
      <c r="AH310" s="312"/>
      <c r="AI310" s="308"/>
      <c r="AJ310" s="117"/>
      <c r="AK310" s="330"/>
      <c r="AL310" s="117"/>
      <c r="AM310" s="330"/>
      <c r="AN310" s="117"/>
      <c r="AO310" s="330"/>
      <c r="AP310" s="117"/>
      <c r="AQ310" s="330"/>
      <c r="AR310" s="117"/>
      <c r="AS310" s="1096" t="s">
        <v>159</v>
      </c>
      <c r="AT310" s="1097"/>
      <c r="AU310" s="1097"/>
      <c r="AV310" s="1097"/>
      <c r="AW310" s="1097"/>
      <c r="AX310" s="1097"/>
      <c r="AY310" s="1100"/>
      <c r="AZ310" s="257"/>
      <c r="BA310" s="257"/>
      <c r="BB310" s="1059" t="s">
        <v>162</v>
      </c>
      <c r="BC310" s="1060"/>
      <c r="BD310" s="1075" t="s">
        <v>159</v>
      </c>
      <c r="BE310" s="1075"/>
      <c r="BF310" s="1075"/>
      <c r="BG310" s="1076" t="s">
        <v>159</v>
      </c>
      <c r="BH310" s="1077"/>
      <c r="BI310" s="1077"/>
      <c r="BJ310" s="1078"/>
      <c r="BK310" s="1065"/>
      <c r="BL310" s="1066"/>
      <c r="BM310" s="1067"/>
      <c r="BN310" s="259"/>
      <c r="BO310" s="259"/>
      <c r="BP310" s="1076"/>
      <c r="BQ310" s="1077"/>
      <c r="BR310" s="1078"/>
      <c r="BS310" s="1075" t="s">
        <v>159</v>
      </c>
      <c r="BT310" s="1075"/>
      <c r="BU310" s="1075"/>
    </row>
    <row r="311" spans="1:73" ht="30" customHeight="1" x14ac:dyDescent="0.25">
      <c r="A311" s="199">
        <f t="shared" si="5"/>
        <v>297</v>
      </c>
      <c r="B311" s="1081" t="s">
        <v>162</v>
      </c>
      <c r="C311" s="1082"/>
      <c r="D311" s="1083" t="s">
        <v>159</v>
      </c>
      <c r="E311" s="1084"/>
      <c r="F311" s="1084"/>
      <c r="G311" s="1085"/>
      <c r="H311" s="1086" t="s">
        <v>159</v>
      </c>
      <c r="I311" s="1087"/>
      <c r="J311" s="1087"/>
      <c r="K311" s="1088"/>
      <c r="L311" s="1089" t="s">
        <v>159</v>
      </c>
      <c r="M311" s="1090"/>
      <c r="N311" s="1091"/>
      <c r="O311" s="1092" t="s">
        <v>159</v>
      </c>
      <c r="P311" s="1093"/>
      <c r="Q311" s="1094"/>
      <c r="R311" s="812"/>
      <c r="S311" s="1095"/>
      <c r="T311" s="813"/>
      <c r="U311" s="745"/>
      <c r="V311" s="940"/>
      <c r="W311" s="746"/>
      <c r="X311" s="312"/>
      <c r="Y311" s="308"/>
      <c r="Z311" s="312"/>
      <c r="AA311" s="308"/>
      <c r="AB311" s="312"/>
      <c r="AC311" s="308"/>
      <c r="AD311" s="312"/>
      <c r="AE311" s="308"/>
      <c r="AF311" s="312"/>
      <c r="AG311" s="308"/>
      <c r="AH311" s="312"/>
      <c r="AI311" s="308"/>
      <c r="AJ311" s="117"/>
      <c r="AK311" s="330"/>
      <c r="AL311" s="117"/>
      <c r="AM311" s="330"/>
      <c r="AN311" s="117"/>
      <c r="AO311" s="330"/>
      <c r="AP311" s="117"/>
      <c r="AQ311" s="330"/>
      <c r="AR311" s="117"/>
      <c r="AS311" s="1096" t="s">
        <v>159</v>
      </c>
      <c r="AT311" s="1097"/>
      <c r="AU311" s="1097"/>
      <c r="AV311" s="1097"/>
      <c r="AW311" s="1097"/>
      <c r="AX311" s="1097"/>
      <c r="AY311" s="1100"/>
      <c r="AZ311" s="257"/>
      <c r="BA311" s="257"/>
      <c r="BB311" s="1059" t="s">
        <v>162</v>
      </c>
      <c r="BC311" s="1060"/>
      <c r="BD311" s="1075" t="s">
        <v>159</v>
      </c>
      <c r="BE311" s="1075"/>
      <c r="BF311" s="1075"/>
      <c r="BG311" s="1076" t="s">
        <v>159</v>
      </c>
      <c r="BH311" s="1077"/>
      <c r="BI311" s="1077"/>
      <c r="BJ311" s="1078"/>
      <c r="BK311" s="1065"/>
      <c r="BL311" s="1066"/>
      <c r="BM311" s="1067"/>
      <c r="BN311" s="259"/>
      <c r="BO311" s="259"/>
      <c r="BP311" s="1076"/>
      <c r="BQ311" s="1077"/>
      <c r="BR311" s="1078"/>
      <c r="BS311" s="1075" t="s">
        <v>159</v>
      </c>
      <c r="BT311" s="1075"/>
      <c r="BU311" s="1075"/>
    </row>
    <row r="312" spans="1:73" ht="30" customHeight="1" x14ac:dyDescent="0.25">
      <c r="A312" s="199">
        <f t="shared" si="5"/>
        <v>298</v>
      </c>
      <c r="B312" s="1081" t="s">
        <v>162</v>
      </c>
      <c r="C312" s="1082"/>
      <c r="D312" s="1083" t="s">
        <v>159</v>
      </c>
      <c r="E312" s="1084"/>
      <c r="F312" s="1084"/>
      <c r="G312" s="1085"/>
      <c r="H312" s="1086" t="s">
        <v>159</v>
      </c>
      <c r="I312" s="1087"/>
      <c r="J312" s="1087"/>
      <c r="K312" s="1088"/>
      <c r="L312" s="1089" t="s">
        <v>159</v>
      </c>
      <c r="M312" s="1090"/>
      <c r="N312" s="1091"/>
      <c r="O312" s="1092" t="s">
        <v>159</v>
      </c>
      <c r="P312" s="1093"/>
      <c r="Q312" s="1094"/>
      <c r="R312" s="812"/>
      <c r="S312" s="1095"/>
      <c r="T312" s="813"/>
      <c r="U312" s="745"/>
      <c r="V312" s="940"/>
      <c r="W312" s="746"/>
      <c r="X312" s="312"/>
      <c r="Y312" s="308"/>
      <c r="Z312" s="312"/>
      <c r="AA312" s="308"/>
      <c r="AB312" s="312"/>
      <c r="AC312" s="308"/>
      <c r="AD312" s="312"/>
      <c r="AE312" s="308"/>
      <c r="AF312" s="312"/>
      <c r="AG312" s="308"/>
      <c r="AH312" s="312"/>
      <c r="AI312" s="308"/>
      <c r="AJ312" s="117"/>
      <c r="AK312" s="330"/>
      <c r="AL312" s="117"/>
      <c r="AM312" s="330"/>
      <c r="AN312" s="117"/>
      <c r="AO312" s="330"/>
      <c r="AP312" s="117"/>
      <c r="AQ312" s="330"/>
      <c r="AR312" s="117"/>
      <c r="AS312" s="1096" t="s">
        <v>159</v>
      </c>
      <c r="AT312" s="1097"/>
      <c r="AU312" s="1097"/>
      <c r="AV312" s="1097"/>
      <c r="AW312" s="1097"/>
      <c r="AX312" s="1097"/>
      <c r="AY312" s="1100"/>
      <c r="AZ312" s="257"/>
      <c r="BA312" s="257"/>
      <c r="BB312" s="1059" t="s">
        <v>162</v>
      </c>
      <c r="BC312" s="1060"/>
      <c r="BD312" s="1075" t="s">
        <v>159</v>
      </c>
      <c r="BE312" s="1075"/>
      <c r="BF312" s="1075"/>
      <c r="BG312" s="1076" t="s">
        <v>159</v>
      </c>
      <c r="BH312" s="1077"/>
      <c r="BI312" s="1077"/>
      <c r="BJ312" s="1078"/>
      <c r="BK312" s="1065"/>
      <c r="BL312" s="1066"/>
      <c r="BM312" s="1067"/>
      <c r="BN312" s="259"/>
      <c r="BO312" s="259"/>
      <c r="BP312" s="1076"/>
      <c r="BQ312" s="1077"/>
      <c r="BR312" s="1078"/>
      <c r="BS312" s="1075" t="s">
        <v>159</v>
      </c>
      <c r="BT312" s="1075"/>
      <c r="BU312" s="1075"/>
    </row>
    <row r="313" spans="1:73" ht="30" customHeight="1" x14ac:dyDescent="0.25">
      <c r="A313" s="199">
        <f t="shared" si="5"/>
        <v>299</v>
      </c>
      <c r="B313" s="1081" t="s">
        <v>162</v>
      </c>
      <c r="C313" s="1082"/>
      <c r="D313" s="1083" t="s">
        <v>159</v>
      </c>
      <c r="E313" s="1084"/>
      <c r="F313" s="1084"/>
      <c r="G313" s="1085"/>
      <c r="H313" s="1086" t="s">
        <v>159</v>
      </c>
      <c r="I313" s="1087"/>
      <c r="J313" s="1087"/>
      <c r="K313" s="1088"/>
      <c r="L313" s="1089" t="s">
        <v>159</v>
      </c>
      <c r="M313" s="1090"/>
      <c r="N313" s="1091"/>
      <c r="O313" s="1092" t="s">
        <v>159</v>
      </c>
      <c r="P313" s="1093"/>
      <c r="Q313" s="1094"/>
      <c r="R313" s="812"/>
      <c r="S313" s="1095"/>
      <c r="T313" s="813"/>
      <c r="U313" s="745"/>
      <c r="V313" s="940"/>
      <c r="W313" s="746"/>
      <c r="X313" s="312"/>
      <c r="Y313" s="308"/>
      <c r="Z313" s="312"/>
      <c r="AA313" s="308"/>
      <c r="AB313" s="312"/>
      <c r="AC313" s="308"/>
      <c r="AD313" s="312"/>
      <c r="AE313" s="308"/>
      <c r="AF313" s="312"/>
      <c r="AG313" s="308"/>
      <c r="AH313" s="312"/>
      <c r="AI313" s="308"/>
      <c r="AJ313" s="117"/>
      <c r="AK313" s="330"/>
      <c r="AL313" s="117"/>
      <c r="AM313" s="330"/>
      <c r="AN313" s="117"/>
      <c r="AO313" s="330"/>
      <c r="AP313" s="117"/>
      <c r="AQ313" s="330"/>
      <c r="AR313" s="117"/>
      <c r="AS313" s="1096" t="s">
        <v>159</v>
      </c>
      <c r="AT313" s="1097"/>
      <c r="AU313" s="1097"/>
      <c r="AV313" s="1097"/>
      <c r="AW313" s="1097"/>
      <c r="AX313" s="1097"/>
      <c r="AY313" s="1100"/>
      <c r="AZ313" s="257"/>
      <c r="BA313" s="257"/>
      <c r="BB313" s="1059" t="s">
        <v>162</v>
      </c>
      <c r="BC313" s="1060"/>
      <c r="BD313" s="1075" t="s">
        <v>159</v>
      </c>
      <c r="BE313" s="1075"/>
      <c r="BF313" s="1075"/>
      <c r="BG313" s="1076" t="s">
        <v>159</v>
      </c>
      <c r="BH313" s="1077"/>
      <c r="BI313" s="1077"/>
      <c r="BJ313" s="1078"/>
      <c r="BK313" s="1065"/>
      <c r="BL313" s="1066"/>
      <c r="BM313" s="1067"/>
      <c r="BN313" s="259"/>
      <c r="BO313" s="259"/>
      <c r="BP313" s="1076"/>
      <c r="BQ313" s="1077"/>
      <c r="BR313" s="1078"/>
      <c r="BS313" s="1075" t="s">
        <v>159</v>
      </c>
      <c r="BT313" s="1075"/>
      <c r="BU313" s="1075"/>
    </row>
    <row r="314" spans="1:73" ht="30" customHeight="1" x14ac:dyDescent="0.25">
      <c r="A314" s="199">
        <f t="shared" si="5"/>
        <v>300</v>
      </c>
      <c r="B314" s="1081" t="s">
        <v>162</v>
      </c>
      <c r="C314" s="1082"/>
      <c r="D314" s="1083" t="s">
        <v>159</v>
      </c>
      <c r="E314" s="1084"/>
      <c r="F314" s="1084"/>
      <c r="G314" s="1085"/>
      <c r="H314" s="1086" t="s">
        <v>159</v>
      </c>
      <c r="I314" s="1087"/>
      <c r="J314" s="1087"/>
      <c r="K314" s="1088"/>
      <c r="L314" s="1089" t="s">
        <v>159</v>
      </c>
      <c r="M314" s="1090"/>
      <c r="N314" s="1091"/>
      <c r="O314" s="1092" t="s">
        <v>159</v>
      </c>
      <c r="P314" s="1093"/>
      <c r="Q314" s="1094"/>
      <c r="R314" s="812"/>
      <c r="S314" s="1095"/>
      <c r="T314" s="813"/>
      <c r="U314" s="745"/>
      <c r="V314" s="940"/>
      <c r="W314" s="746"/>
      <c r="X314" s="312"/>
      <c r="Y314" s="308"/>
      <c r="Z314" s="312"/>
      <c r="AA314" s="308"/>
      <c r="AB314" s="312"/>
      <c r="AC314" s="308"/>
      <c r="AD314" s="312"/>
      <c r="AE314" s="308"/>
      <c r="AF314" s="312"/>
      <c r="AG314" s="308"/>
      <c r="AH314" s="312"/>
      <c r="AI314" s="308"/>
      <c r="AJ314" s="117"/>
      <c r="AK314" s="330"/>
      <c r="AL314" s="117"/>
      <c r="AM314" s="330"/>
      <c r="AN314" s="117"/>
      <c r="AO314" s="330"/>
      <c r="AP314" s="117"/>
      <c r="AQ314" s="330"/>
      <c r="AR314" s="117"/>
      <c r="AS314" s="1096" t="s">
        <v>159</v>
      </c>
      <c r="AT314" s="1097"/>
      <c r="AU314" s="1097"/>
      <c r="AV314" s="1097"/>
      <c r="AW314" s="1097"/>
      <c r="AX314" s="1097"/>
      <c r="AY314" s="1100"/>
      <c r="AZ314" s="257"/>
      <c r="BA314" s="257"/>
      <c r="BB314" s="1059" t="s">
        <v>162</v>
      </c>
      <c r="BC314" s="1060"/>
      <c r="BD314" s="1075" t="s">
        <v>159</v>
      </c>
      <c r="BE314" s="1075"/>
      <c r="BF314" s="1075"/>
      <c r="BG314" s="1076" t="s">
        <v>159</v>
      </c>
      <c r="BH314" s="1077"/>
      <c r="BI314" s="1077"/>
      <c r="BJ314" s="1078"/>
      <c r="BK314" s="1065"/>
      <c r="BL314" s="1066"/>
      <c r="BM314" s="1067"/>
      <c r="BN314" s="259"/>
      <c r="BO314" s="259"/>
      <c r="BP314" s="1076"/>
      <c r="BQ314" s="1077"/>
      <c r="BR314" s="1078"/>
      <c r="BS314" s="1075" t="s">
        <v>159</v>
      </c>
      <c r="BT314" s="1075"/>
      <c r="BU314" s="1075"/>
    </row>
    <row r="315" spans="1:73" ht="30" customHeight="1" x14ac:dyDescent="0.25">
      <c r="A315" s="199">
        <f t="shared" si="5"/>
        <v>301</v>
      </c>
      <c r="B315" s="1081" t="s">
        <v>162</v>
      </c>
      <c r="C315" s="1082"/>
      <c r="D315" s="1083" t="s">
        <v>159</v>
      </c>
      <c r="E315" s="1084"/>
      <c r="F315" s="1084"/>
      <c r="G315" s="1085"/>
      <c r="H315" s="1086" t="s">
        <v>159</v>
      </c>
      <c r="I315" s="1087"/>
      <c r="J315" s="1087"/>
      <c r="K315" s="1088"/>
      <c r="L315" s="1089" t="s">
        <v>159</v>
      </c>
      <c r="M315" s="1090"/>
      <c r="N315" s="1091"/>
      <c r="O315" s="1092" t="s">
        <v>159</v>
      </c>
      <c r="P315" s="1093"/>
      <c r="Q315" s="1094"/>
      <c r="R315" s="812"/>
      <c r="S315" s="1095"/>
      <c r="T315" s="813"/>
      <c r="U315" s="745"/>
      <c r="V315" s="940"/>
      <c r="W315" s="746"/>
      <c r="X315" s="312"/>
      <c r="Y315" s="308"/>
      <c r="Z315" s="312"/>
      <c r="AA315" s="308"/>
      <c r="AB315" s="312"/>
      <c r="AC315" s="308"/>
      <c r="AD315" s="312"/>
      <c r="AE315" s="308"/>
      <c r="AF315" s="312"/>
      <c r="AG315" s="308"/>
      <c r="AH315" s="312"/>
      <c r="AI315" s="308"/>
      <c r="AJ315" s="117"/>
      <c r="AK315" s="330"/>
      <c r="AL315" s="117"/>
      <c r="AM315" s="330"/>
      <c r="AN315" s="117"/>
      <c r="AO315" s="330"/>
      <c r="AP315" s="117"/>
      <c r="AQ315" s="330"/>
      <c r="AR315" s="117"/>
      <c r="AS315" s="1096" t="s">
        <v>159</v>
      </c>
      <c r="AT315" s="1097"/>
      <c r="AU315" s="1097"/>
      <c r="AV315" s="1097"/>
      <c r="AW315" s="1097"/>
      <c r="AX315" s="1097"/>
      <c r="AY315" s="1100"/>
      <c r="AZ315" s="257"/>
      <c r="BA315" s="257"/>
      <c r="BB315" s="1059" t="s">
        <v>162</v>
      </c>
      <c r="BC315" s="1060"/>
      <c r="BD315" s="1075" t="s">
        <v>159</v>
      </c>
      <c r="BE315" s="1075"/>
      <c r="BF315" s="1075"/>
      <c r="BG315" s="1076" t="s">
        <v>159</v>
      </c>
      <c r="BH315" s="1077"/>
      <c r="BI315" s="1077"/>
      <c r="BJ315" s="1078"/>
      <c r="BK315" s="1065"/>
      <c r="BL315" s="1066"/>
      <c r="BM315" s="1067"/>
      <c r="BN315" s="259"/>
      <c r="BO315" s="259"/>
      <c r="BP315" s="1076"/>
      <c r="BQ315" s="1077"/>
      <c r="BR315" s="1078"/>
      <c r="BS315" s="1075" t="s">
        <v>159</v>
      </c>
      <c r="BT315" s="1075"/>
      <c r="BU315" s="1075"/>
    </row>
    <row r="316" spans="1:73" ht="30" customHeight="1" x14ac:dyDescent="0.25">
      <c r="A316" s="199">
        <f t="shared" si="5"/>
        <v>302</v>
      </c>
      <c r="B316" s="1081" t="s">
        <v>162</v>
      </c>
      <c r="C316" s="1082"/>
      <c r="D316" s="1083" t="s">
        <v>159</v>
      </c>
      <c r="E316" s="1084"/>
      <c r="F316" s="1084"/>
      <c r="G316" s="1085"/>
      <c r="H316" s="1086" t="s">
        <v>159</v>
      </c>
      <c r="I316" s="1087"/>
      <c r="J316" s="1087"/>
      <c r="K316" s="1088"/>
      <c r="L316" s="1089" t="s">
        <v>159</v>
      </c>
      <c r="M316" s="1090"/>
      <c r="N316" s="1091"/>
      <c r="O316" s="1092" t="s">
        <v>159</v>
      </c>
      <c r="P316" s="1093"/>
      <c r="Q316" s="1094"/>
      <c r="R316" s="812"/>
      <c r="S316" s="1095"/>
      <c r="T316" s="813"/>
      <c r="U316" s="745"/>
      <c r="V316" s="940"/>
      <c r="W316" s="746"/>
      <c r="X316" s="312"/>
      <c r="Y316" s="308"/>
      <c r="Z316" s="312"/>
      <c r="AA316" s="308"/>
      <c r="AB316" s="312"/>
      <c r="AC316" s="308"/>
      <c r="AD316" s="312"/>
      <c r="AE316" s="308"/>
      <c r="AF316" s="312"/>
      <c r="AG316" s="308"/>
      <c r="AH316" s="312"/>
      <c r="AI316" s="308"/>
      <c r="AJ316" s="117"/>
      <c r="AK316" s="330"/>
      <c r="AL316" s="117"/>
      <c r="AM316" s="330"/>
      <c r="AN316" s="117"/>
      <c r="AO316" s="330"/>
      <c r="AP316" s="117"/>
      <c r="AQ316" s="330"/>
      <c r="AR316" s="117"/>
      <c r="AS316" s="1096" t="s">
        <v>159</v>
      </c>
      <c r="AT316" s="1097"/>
      <c r="AU316" s="1097"/>
      <c r="AV316" s="1097"/>
      <c r="AW316" s="1097"/>
      <c r="AX316" s="1097"/>
      <c r="AY316" s="1100"/>
      <c r="AZ316" s="257"/>
      <c r="BA316" s="257"/>
      <c r="BB316" s="1079" t="s">
        <v>162</v>
      </c>
      <c r="BC316" s="1080"/>
      <c r="BD316" s="1075" t="s">
        <v>159</v>
      </c>
      <c r="BE316" s="1075"/>
      <c r="BF316" s="1075"/>
      <c r="BG316" s="1076" t="s">
        <v>159</v>
      </c>
      <c r="BH316" s="1077"/>
      <c r="BI316" s="1077"/>
      <c r="BJ316" s="1078"/>
      <c r="BK316" s="1065"/>
      <c r="BL316" s="1066"/>
      <c r="BM316" s="1067"/>
      <c r="BN316" s="259"/>
      <c r="BO316" s="259"/>
      <c r="BP316" s="1076"/>
      <c r="BQ316" s="1077"/>
      <c r="BR316" s="1078"/>
      <c r="BS316" s="1075" t="s">
        <v>159</v>
      </c>
      <c r="BT316" s="1075"/>
      <c r="BU316" s="1075"/>
    </row>
    <row r="317" spans="1:73" ht="30" customHeight="1" x14ac:dyDescent="0.25">
      <c r="A317" s="199">
        <f t="shared" si="5"/>
        <v>303</v>
      </c>
      <c r="B317" s="1081" t="s">
        <v>162</v>
      </c>
      <c r="C317" s="1082"/>
      <c r="D317" s="1083" t="s">
        <v>159</v>
      </c>
      <c r="E317" s="1084"/>
      <c r="F317" s="1084"/>
      <c r="G317" s="1085"/>
      <c r="H317" s="1086" t="s">
        <v>159</v>
      </c>
      <c r="I317" s="1087"/>
      <c r="J317" s="1087"/>
      <c r="K317" s="1088"/>
      <c r="L317" s="1089" t="s">
        <v>159</v>
      </c>
      <c r="M317" s="1090"/>
      <c r="N317" s="1091"/>
      <c r="O317" s="1092" t="s">
        <v>159</v>
      </c>
      <c r="P317" s="1093"/>
      <c r="Q317" s="1094"/>
      <c r="R317" s="812"/>
      <c r="S317" s="1095"/>
      <c r="T317" s="813"/>
      <c r="U317" s="745"/>
      <c r="V317" s="940"/>
      <c r="W317" s="746"/>
      <c r="X317" s="312"/>
      <c r="Y317" s="308"/>
      <c r="Z317" s="312"/>
      <c r="AA317" s="308"/>
      <c r="AB317" s="312"/>
      <c r="AC317" s="308"/>
      <c r="AD317" s="312"/>
      <c r="AE317" s="308"/>
      <c r="AF317" s="312"/>
      <c r="AG317" s="308"/>
      <c r="AH317" s="312"/>
      <c r="AI317" s="308"/>
      <c r="AJ317" s="117"/>
      <c r="AK317" s="330"/>
      <c r="AL317" s="117"/>
      <c r="AM317" s="330"/>
      <c r="AN317" s="117"/>
      <c r="AO317" s="330"/>
      <c r="AP317" s="117"/>
      <c r="AQ317" s="330"/>
      <c r="AR317" s="117"/>
      <c r="AS317" s="1096" t="s">
        <v>159</v>
      </c>
      <c r="AT317" s="1097"/>
      <c r="AU317" s="1097"/>
      <c r="AV317" s="1097"/>
      <c r="AW317" s="1097"/>
      <c r="AX317" s="1097"/>
      <c r="AY317" s="1100"/>
      <c r="AZ317" s="257"/>
      <c r="BA317" s="257"/>
      <c r="BB317" s="1059" t="s">
        <v>162</v>
      </c>
      <c r="BC317" s="1060"/>
      <c r="BD317" s="1075" t="s">
        <v>159</v>
      </c>
      <c r="BE317" s="1075"/>
      <c r="BF317" s="1075"/>
      <c r="BG317" s="1076" t="s">
        <v>159</v>
      </c>
      <c r="BH317" s="1077"/>
      <c r="BI317" s="1077"/>
      <c r="BJ317" s="1078"/>
      <c r="BK317" s="1065"/>
      <c r="BL317" s="1066"/>
      <c r="BM317" s="1067"/>
      <c r="BN317" s="259"/>
      <c r="BO317" s="259"/>
      <c r="BP317" s="1076"/>
      <c r="BQ317" s="1077"/>
      <c r="BR317" s="1078"/>
      <c r="BS317" s="1075" t="s">
        <v>159</v>
      </c>
      <c r="BT317" s="1075"/>
      <c r="BU317" s="1075"/>
    </row>
    <row r="318" spans="1:73" ht="30" customHeight="1" x14ac:dyDescent="0.25">
      <c r="A318" s="199">
        <f t="shared" si="5"/>
        <v>304</v>
      </c>
      <c r="B318" s="1081" t="s">
        <v>162</v>
      </c>
      <c r="C318" s="1082"/>
      <c r="D318" s="1083" t="s">
        <v>159</v>
      </c>
      <c r="E318" s="1084"/>
      <c r="F318" s="1084"/>
      <c r="G318" s="1085"/>
      <c r="H318" s="1086" t="s">
        <v>159</v>
      </c>
      <c r="I318" s="1087"/>
      <c r="J318" s="1087"/>
      <c r="K318" s="1088"/>
      <c r="L318" s="1089" t="s">
        <v>159</v>
      </c>
      <c r="M318" s="1090"/>
      <c r="N318" s="1091"/>
      <c r="O318" s="1092" t="s">
        <v>159</v>
      </c>
      <c r="P318" s="1093"/>
      <c r="Q318" s="1094"/>
      <c r="R318" s="812"/>
      <c r="S318" s="1095"/>
      <c r="T318" s="813"/>
      <c r="U318" s="745"/>
      <c r="V318" s="940"/>
      <c r="W318" s="746"/>
      <c r="X318" s="312"/>
      <c r="Y318" s="308"/>
      <c r="Z318" s="312"/>
      <c r="AA318" s="308"/>
      <c r="AB318" s="312"/>
      <c r="AC318" s="308"/>
      <c r="AD318" s="312"/>
      <c r="AE318" s="308"/>
      <c r="AF318" s="312"/>
      <c r="AG318" s="308"/>
      <c r="AH318" s="312"/>
      <c r="AI318" s="308"/>
      <c r="AJ318" s="117"/>
      <c r="AK318" s="330"/>
      <c r="AL318" s="117"/>
      <c r="AM318" s="330"/>
      <c r="AN318" s="117"/>
      <c r="AO318" s="330"/>
      <c r="AP318" s="117"/>
      <c r="AQ318" s="330"/>
      <c r="AR318" s="117"/>
      <c r="AS318" s="1096" t="s">
        <v>159</v>
      </c>
      <c r="AT318" s="1097"/>
      <c r="AU318" s="1097"/>
      <c r="AV318" s="1097"/>
      <c r="AW318" s="1097"/>
      <c r="AX318" s="1097"/>
      <c r="AY318" s="1100"/>
      <c r="AZ318" s="257"/>
      <c r="BA318" s="257"/>
      <c r="BB318" s="1059" t="s">
        <v>162</v>
      </c>
      <c r="BC318" s="1060"/>
      <c r="BD318" s="1075" t="s">
        <v>159</v>
      </c>
      <c r="BE318" s="1075"/>
      <c r="BF318" s="1075"/>
      <c r="BG318" s="1076" t="s">
        <v>159</v>
      </c>
      <c r="BH318" s="1077"/>
      <c r="BI318" s="1077"/>
      <c r="BJ318" s="1078"/>
      <c r="BK318" s="1065"/>
      <c r="BL318" s="1066"/>
      <c r="BM318" s="1067"/>
      <c r="BN318" s="259"/>
      <c r="BO318" s="259"/>
      <c r="BP318" s="1076"/>
      <c r="BQ318" s="1077"/>
      <c r="BR318" s="1078"/>
      <c r="BS318" s="1075" t="s">
        <v>159</v>
      </c>
      <c r="BT318" s="1075"/>
      <c r="BU318" s="1075"/>
    </row>
    <row r="319" spans="1:73" ht="30" customHeight="1" x14ac:dyDescent="0.25">
      <c r="A319" s="199">
        <f t="shared" si="5"/>
        <v>305</v>
      </c>
      <c r="B319" s="1081" t="s">
        <v>162</v>
      </c>
      <c r="C319" s="1082"/>
      <c r="D319" s="1083" t="s">
        <v>159</v>
      </c>
      <c r="E319" s="1084"/>
      <c r="F319" s="1084"/>
      <c r="G319" s="1085"/>
      <c r="H319" s="1086" t="s">
        <v>159</v>
      </c>
      <c r="I319" s="1087"/>
      <c r="J319" s="1087"/>
      <c r="K319" s="1088"/>
      <c r="L319" s="1089" t="s">
        <v>159</v>
      </c>
      <c r="M319" s="1090"/>
      <c r="N319" s="1091"/>
      <c r="O319" s="1092" t="s">
        <v>159</v>
      </c>
      <c r="P319" s="1093"/>
      <c r="Q319" s="1094"/>
      <c r="R319" s="812"/>
      <c r="S319" s="1095"/>
      <c r="T319" s="813"/>
      <c r="U319" s="745"/>
      <c r="V319" s="940"/>
      <c r="W319" s="746"/>
      <c r="X319" s="312"/>
      <c r="Y319" s="308"/>
      <c r="Z319" s="312"/>
      <c r="AA319" s="308"/>
      <c r="AB319" s="312"/>
      <c r="AC319" s="308"/>
      <c r="AD319" s="312"/>
      <c r="AE319" s="308"/>
      <c r="AF319" s="312"/>
      <c r="AG319" s="308"/>
      <c r="AH319" s="312"/>
      <c r="AI319" s="308"/>
      <c r="AJ319" s="117"/>
      <c r="AK319" s="330"/>
      <c r="AL319" s="117"/>
      <c r="AM319" s="330"/>
      <c r="AN319" s="117"/>
      <c r="AO319" s="330"/>
      <c r="AP319" s="117"/>
      <c r="AQ319" s="330"/>
      <c r="AR319" s="117"/>
      <c r="AS319" s="1096" t="s">
        <v>159</v>
      </c>
      <c r="AT319" s="1097"/>
      <c r="AU319" s="1097"/>
      <c r="AV319" s="1097"/>
      <c r="AW319" s="1097"/>
      <c r="AX319" s="1097"/>
      <c r="AY319" s="1100"/>
      <c r="AZ319" s="257"/>
      <c r="BA319" s="257"/>
      <c r="BB319" s="1059" t="s">
        <v>162</v>
      </c>
      <c r="BC319" s="1060"/>
      <c r="BD319" s="1075" t="s">
        <v>159</v>
      </c>
      <c r="BE319" s="1075"/>
      <c r="BF319" s="1075"/>
      <c r="BG319" s="1076" t="s">
        <v>159</v>
      </c>
      <c r="BH319" s="1077"/>
      <c r="BI319" s="1077"/>
      <c r="BJ319" s="1078"/>
      <c r="BK319" s="1065"/>
      <c r="BL319" s="1066"/>
      <c r="BM319" s="1067"/>
      <c r="BN319" s="259"/>
      <c r="BO319" s="259"/>
      <c r="BP319" s="1076"/>
      <c r="BQ319" s="1077"/>
      <c r="BR319" s="1078"/>
      <c r="BS319" s="1075" t="s">
        <v>159</v>
      </c>
      <c r="BT319" s="1075"/>
      <c r="BU319" s="1075"/>
    </row>
    <row r="320" spans="1:73" ht="30" customHeight="1" x14ac:dyDescent="0.25">
      <c r="A320" s="199">
        <f t="shared" si="5"/>
        <v>306</v>
      </c>
      <c r="B320" s="1081" t="s">
        <v>162</v>
      </c>
      <c r="C320" s="1082"/>
      <c r="D320" s="1083" t="s">
        <v>159</v>
      </c>
      <c r="E320" s="1084"/>
      <c r="F320" s="1084"/>
      <c r="G320" s="1085"/>
      <c r="H320" s="1086" t="s">
        <v>159</v>
      </c>
      <c r="I320" s="1087"/>
      <c r="J320" s="1087"/>
      <c r="K320" s="1088"/>
      <c r="L320" s="1089" t="s">
        <v>159</v>
      </c>
      <c r="M320" s="1090"/>
      <c r="N320" s="1091"/>
      <c r="O320" s="1092" t="s">
        <v>159</v>
      </c>
      <c r="P320" s="1093"/>
      <c r="Q320" s="1094"/>
      <c r="R320" s="812"/>
      <c r="S320" s="1095"/>
      <c r="T320" s="813"/>
      <c r="U320" s="745"/>
      <c r="V320" s="940"/>
      <c r="W320" s="746"/>
      <c r="X320" s="312"/>
      <c r="Y320" s="308"/>
      <c r="Z320" s="312"/>
      <c r="AA320" s="308"/>
      <c r="AB320" s="312"/>
      <c r="AC320" s="308"/>
      <c r="AD320" s="312"/>
      <c r="AE320" s="308"/>
      <c r="AF320" s="312"/>
      <c r="AG320" s="308"/>
      <c r="AH320" s="312"/>
      <c r="AI320" s="308"/>
      <c r="AJ320" s="117"/>
      <c r="AK320" s="330"/>
      <c r="AL320" s="117"/>
      <c r="AM320" s="330"/>
      <c r="AN320" s="117"/>
      <c r="AO320" s="330"/>
      <c r="AP320" s="117"/>
      <c r="AQ320" s="330"/>
      <c r="AR320" s="117"/>
      <c r="AS320" s="1096" t="s">
        <v>159</v>
      </c>
      <c r="AT320" s="1097"/>
      <c r="AU320" s="1097"/>
      <c r="AV320" s="1097"/>
      <c r="AW320" s="1097"/>
      <c r="AX320" s="1097"/>
      <c r="AY320" s="1100"/>
      <c r="AZ320" s="257"/>
      <c r="BA320" s="257"/>
      <c r="BB320" s="1059" t="s">
        <v>162</v>
      </c>
      <c r="BC320" s="1060"/>
      <c r="BD320" s="1075" t="s">
        <v>159</v>
      </c>
      <c r="BE320" s="1075"/>
      <c r="BF320" s="1075"/>
      <c r="BG320" s="1076" t="s">
        <v>159</v>
      </c>
      <c r="BH320" s="1077"/>
      <c r="BI320" s="1077"/>
      <c r="BJ320" s="1078"/>
      <c r="BK320" s="1065"/>
      <c r="BL320" s="1066"/>
      <c r="BM320" s="1067"/>
      <c r="BN320" s="259"/>
      <c r="BO320" s="259"/>
      <c r="BP320" s="1076"/>
      <c r="BQ320" s="1077"/>
      <c r="BR320" s="1078"/>
      <c r="BS320" s="1075" t="s">
        <v>159</v>
      </c>
      <c r="BT320" s="1075"/>
      <c r="BU320" s="1075"/>
    </row>
    <row r="321" spans="1:73" ht="30" customHeight="1" x14ac:dyDescent="0.25">
      <c r="A321" s="199">
        <f t="shared" si="5"/>
        <v>307</v>
      </c>
      <c r="B321" s="1081" t="s">
        <v>162</v>
      </c>
      <c r="C321" s="1082"/>
      <c r="D321" s="1083" t="s">
        <v>159</v>
      </c>
      <c r="E321" s="1084"/>
      <c r="F321" s="1084"/>
      <c r="G321" s="1085"/>
      <c r="H321" s="1086" t="s">
        <v>159</v>
      </c>
      <c r="I321" s="1087"/>
      <c r="J321" s="1087"/>
      <c r="K321" s="1088"/>
      <c r="L321" s="1089" t="s">
        <v>159</v>
      </c>
      <c r="M321" s="1090"/>
      <c r="N321" s="1091"/>
      <c r="O321" s="1092" t="s">
        <v>159</v>
      </c>
      <c r="P321" s="1093"/>
      <c r="Q321" s="1094"/>
      <c r="R321" s="812"/>
      <c r="S321" s="1095"/>
      <c r="T321" s="813"/>
      <c r="U321" s="745"/>
      <c r="V321" s="940"/>
      <c r="W321" s="746"/>
      <c r="X321" s="312"/>
      <c r="Y321" s="308"/>
      <c r="Z321" s="312"/>
      <c r="AA321" s="308"/>
      <c r="AB321" s="312"/>
      <c r="AC321" s="308"/>
      <c r="AD321" s="312"/>
      <c r="AE321" s="308"/>
      <c r="AF321" s="312"/>
      <c r="AG321" s="308"/>
      <c r="AH321" s="312"/>
      <c r="AI321" s="308"/>
      <c r="AJ321" s="117"/>
      <c r="AK321" s="330"/>
      <c r="AL321" s="117"/>
      <c r="AM321" s="330"/>
      <c r="AN321" s="117"/>
      <c r="AO321" s="330"/>
      <c r="AP321" s="117"/>
      <c r="AQ321" s="330"/>
      <c r="AR321" s="117"/>
      <c r="AS321" s="1096" t="s">
        <v>159</v>
      </c>
      <c r="AT321" s="1097"/>
      <c r="AU321" s="1097"/>
      <c r="AV321" s="1097"/>
      <c r="AW321" s="1097"/>
      <c r="AX321" s="1097"/>
      <c r="AY321" s="1100"/>
      <c r="AZ321" s="257"/>
      <c r="BA321" s="257"/>
      <c r="BB321" s="1059" t="s">
        <v>162</v>
      </c>
      <c r="BC321" s="1060"/>
      <c r="BD321" s="1075" t="s">
        <v>159</v>
      </c>
      <c r="BE321" s="1075"/>
      <c r="BF321" s="1075"/>
      <c r="BG321" s="1076" t="s">
        <v>159</v>
      </c>
      <c r="BH321" s="1077"/>
      <c r="BI321" s="1077"/>
      <c r="BJ321" s="1078"/>
      <c r="BK321" s="1065"/>
      <c r="BL321" s="1066"/>
      <c r="BM321" s="1067"/>
      <c r="BN321" s="259"/>
      <c r="BO321" s="259"/>
      <c r="BP321" s="1076"/>
      <c r="BQ321" s="1077"/>
      <c r="BR321" s="1078"/>
      <c r="BS321" s="1075" t="s">
        <v>159</v>
      </c>
      <c r="BT321" s="1075"/>
      <c r="BU321" s="1075"/>
    </row>
    <row r="322" spans="1:73" ht="30" customHeight="1" x14ac:dyDescent="0.25">
      <c r="A322" s="199">
        <f t="shared" si="5"/>
        <v>308</v>
      </c>
      <c r="B322" s="1081" t="s">
        <v>162</v>
      </c>
      <c r="C322" s="1082"/>
      <c r="D322" s="1083" t="s">
        <v>159</v>
      </c>
      <c r="E322" s="1084"/>
      <c r="F322" s="1084"/>
      <c r="G322" s="1085"/>
      <c r="H322" s="1086" t="s">
        <v>159</v>
      </c>
      <c r="I322" s="1087"/>
      <c r="J322" s="1087"/>
      <c r="K322" s="1088"/>
      <c r="L322" s="1089" t="s">
        <v>159</v>
      </c>
      <c r="M322" s="1090"/>
      <c r="N322" s="1091"/>
      <c r="O322" s="1092" t="s">
        <v>159</v>
      </c>
      <c r="P322" s="1093"/>
      <c r="Q322" s="1094"/>
      <c r="R322" s="812"/>
      <c r="S322" s="1095"/>
      <c r="T322" s="813"/>
      <c r="U322" s="745"/>
      <c r="V322" s="940"/>
      <c r="W322" s="746"/>
      <c r="X322" s="312"/>
      <c r="Y322" s="308"/>
      <c r="Z322" s="312"/>
      <c r="AA322" s="308"/>
      <c r="AB322" s="312"/>
      <c r="AC322" s="308"/>
      <c r="AD322" s="312"/>
      <c r="AE322" s="308"/>
      <c r="AF322" s="312"/>
      <c r="AG322" s="308"/>
      <c r="AH322" s="312"/>
      <c r="AI322" s="308"/>
      <c r="AJ322" s="117"/>
      <c r="AK322" s="330"/>
      <c r="AL322" s="117"/>
      <c r="AM322" s="330"/>
      <c r="AN322" s="117"/>
      <c r="AO322" s="330"/>
      <c r="AP322" s="117"/>
      <c r="AQ322" s="330"/>
      <c r="AR322" s="117"/>
      <c r="AS322" s="1096" t="s">
        <v>159</v>
      </c>
      <c r="AT322" s="1097"/>
      <c r="AU322" s="1097"/>
      <c r="AV322" s="1097"/>
      <c r="AW322" s="1097"/>
      <c r="AX322" s="1097"/>
      <c r="AY322" s="1100"/>
      <c r="AZ322" s="257"/>
      <c r="BA322" s="257"/>
      <c r="BB322" s="1059" t="s">
        <v>162</v>
      </c>
      <c r="BC322" s="1060"/>
      <c r="BD322" s="1075" t="s">
        <v>159</v>
      </c>
      <c r="BE322" s="1075"/>
      <c r="BF322" s="1075"/>
      <c r="BG322" s="1076" t="s">
        <v>159</v>
      </c>
      <c r="BH322" s="1077"/>
      <c r="BI322" s="1077"/>
      <c r="BJ322" s="1078"/>
      <c r="BK322" s="1065"/>
      <c r="BL322" s="1066"/>
      <c r="BM322" s="1067"/>
      <c r="BN322" s="259"/>
      <c r="BO322" s="259"/>
      <c r="BP322" s="1076"/>
      <c r="BQ322" s="1077"/>
      <c r="BR322" s="1078"/>
      <c r="BS322" s="1075" t="s">
        <v>159</v>
      </c>
      <c r="BT322" s="1075"/>
      <c r="BU322" s="1075"/>
    </row>
    <row r="323" spans="1:73" ht="30" customHeight="1" x14ac:dyDescent="0.25">
      <c r="A323" s="199">
        <f t="shared" si="5"/>
        <v>309</v>
      </c>
      <c r="B323" s="1081" t="s">
        <v>162</v>
      </c>
      <c r="C323" s="1082"/>
      <c r="D323" s="1083" t="s">
        <v>159</v>
      </c>
      <c r="E323" s="1084"/>
      <c r="F323" s="1084"/>
      <c r="G323" s="1085"/>
      <c r="H323" s="1086" t="s">
        <v>159</v>
      </c>
      <c r="I323" s="1087"/>
      <c r="J323" s="1087"/>
      <c r="K323" s="1088"/>
      <c r="L323" s="1089" t="s">
        <v>159</v>
      </c>
      <c r="M323" s="1090"/>
      <c r="N323" s="1091"/>
      <c r="O323" s="1092" t="s">
        <v>159</v>
      </c>
      <c r="P323" s="1093"/>
      <c r="Q323" s="1094"/>
      <c r="R323" s="812"/>
      <c r="S323" s="1095"/>
      <c r="T323" s="813"/>
      <c r="U323" s="745"/>
      <c r="V323" s="940"/>
      <c r="W323" s="746"/>
      <c r="X323" s="312"/>
      <c r="Y323" s="308"/>
      <c r="Z323" s="312"/>
      <c r="AA323" s="308"/>
      <c r="AB323" s="312"/>
      <c r="AC323" s="308"/>
      <c r="AD323" s="312"/>
      <c r="AE323" s="308"/>
      <c r="AF323" s="312"/>
      <c r="AG323" s="308"/>
      <c r="AH323" s="312"/>
      <c r="AI323" s="308"/>
      <c r="AJ323" s="117"/>
      <c r="AK323" s="330"/>
      <c r="AL323" s="117"/>
      <c r="AM323" s="330"/>
      <c r="AN323" s="117"/>
      <c r="AO323" s="330"/>
      <c r="AP323" s="117"/>
      <c r="AQ323" s="330"/>
      <c r="AR323" s="117"/>
      <c r="AS323" s="1096" t="s">
        <v>159</v>
      </c>
      <c r="AT323" s="1097"/>
      <c r="AU323" s="1097"/>
      <c r="AV323" s="1097"/>
      <c r="AW323" s="1097"/>
      <c r="AX323" s="1097"/>
      <c r="AY323" s="1100"/>
      <c r="AZ323" s="257"/>
      <c r="BA323" s="257"/>
      <c r="BB323" s="1079" t="s">
        <v>162</v>
      </c>
      <c r="BC323" s="1080"/>
      <c r="BD323" s="1075" t="s">
        <v>159</v>
      </c>
      <c r="BE323" s="1075"/>
      <c r="BF323" s="1075"/>
      <c r="BG323" s="1076" t="s">
        <v>159</v>
      </c>
      <c r="BH323" s="1077"/>
      <c r="BI323" s="1077"/>
      <c r="BJ323" s="1078"/>
      <c r="BK323" s="1065"/>
      <c r="BL323" s="1066"/>
      <c r="BM323" s="1067"/>
      <c r="BN323" s="259"/>
      <c r="BO323" s="259"/>
      <c r="BP323" s="1076"/>
      <c r="BQ323" s="1077"/>
      <c r="BR323" s="1078"/>
      <c r="BS323" s="1075" t="s">
        <v>159</v>
      </c>
      <c r="BT323" s="1075"/>
      <c r="BU323" s="1075"/>
    </row>
    <row r="324" spans="1:73" ht="30" customHeight="1" x14ac:dyDescent="0.25">
      <c r="A324" s="199">
        <f t="shared" si="5"/>
        <v>310</v>
      </c>
      <c r="B324" s="1081" t="s">
        <v>162</v>
      </c>
      <c r="C324" s="1082"/>
      <c r="D324" s="1083" t="s">
        <v>159</v>
      </c>
      <c r="E324" s="1084"/>
      <c r="F324" s="1084"/>
      <c r="G324" s="1085"/>
      <c r="H324" s="1086" t="s">
        <v>159</v>
      </c>
      <c r="I324" s="1087"/>
      <c r="J324" s="1087"/>
      <c r="K324" s="1088"/>
      <c r="L324" s="1089" t="s">
        <v>159</v>
      </c>
      <c r="M324" s="1090"/>
      <c r="N324" s="1091"/>
      <c r="O324" s="1092" t="s">
        <v>159</v>
      </c>
      <c r="P324" s="1093"/>
      <c r="Q324" s="1094"/>
      <c r="R324" s="812"/>
      <c r="S324" s="1095"/>
      <c r="T324" s="813"/>
      <c r="U324" s="745"/>
      <c r="V324" s="940"/>
      <c r="W324" s="746"/>
      <c r="X324" s="312"/>
      <c r="Y324" s="308"/>
      <c r="Z324" s="312"/>
      <c r="AA324" s="308"/>
      <c r="AB324" s="312"/>
      <c r="AC324" s="308"/>
      <c r="AD324" s="312"/>
      <c r="AE324" s="308"/>
      <c r="AF324" s="312"/>
      <c r="AG324" s="308"/>
      <c r="AH324" s="312"/>
      <c r="AI324" s="308"/>
      <c r="AJ324" s="117"/>
      <c r="AK324" s="330"/>
      <c r="AL324" s="117"/>
      <c r="AM324" s="330"/>
      <c r="AN324" s="117"/>
      <c r="AO324" s="330"/>
      <c r="AP324" s="117"/>
      <c r="AQ324" s="330"/>
      <c r="AR324" s="117"/>
      <c r="AS324" s="1096" t="s">
        <v>159</v>
      </c>
      <c r="AT324" s="1097"/>
      <c r="AU324" s="1097"/>
      <c r="AV324" s="1097"/>
      <c r="AW324" s="1097"/>
      <c r="AX324" s="1097"/>
      <c r="AY324" s="1100"/>
      <c r="AZ324" s="257"/>
      <c r="BA324" s="257"/>
      <c r="BB324" s="1059" t="s">
        <v>162</v>
      </c>
      <c r="BC324" s="1060"/>
      <c r="BD324" s="1075" t="s">
        <v>159</v>
      </c>
      <c r="BE324" s="1075"/>
      <c r="BF324" s="1075"/>
      <c r="BG324" s="1076" t="s">
        <v>159</v>
      </c>
      <c r="BH324" s="1077"/>
      <c r="BI324" s="1077"/>
      <c r="BJ324" s="1078"/>
      <c r="BK324" s="1065"/>
      <c r="BL324" s="1066"/>
      <c r="BM324" s="1067"/>
      <c r="BN324" s="259"/>
      <c r="BO324" s="259"/>
      <c r="BP324" s="1076"/>
      <c r="BQ324" s="1077"/>
      <c r="BR324" s="1078"/>
      <c r="BS324" s="1075" t="s">
        <v>159</v>
      </c>
      <c r="BT324" s="1075"/>
      <c r="BU324" s="1075"/>
    </row>
    <row r="325" spans="1:73" ht="30" customHeight="1" x14ac:dyDescent="0.25">
      <c r="A325" s="199">
        <f t="shared" si="5"/>
        <v>311</v>
      </c>
      <c r="B325" s="1081" t="s">
        <v>162</v>
      </c>
      <c r="C325" s="1082"/>
      <c r="D325" s="1083" t="s">
        <v>159</v>
      </c>
      <c r="E325" s="1084"/>
      <c r="F325" s="1084"/>
      <c r="G325" s="1085"/>
      <c r="H325" s="1086" t="s">
        <v>159</v>
      </c>
      <c r="I325" s="1087"/>
      <c r="J325" s="1087"/>
      <c r="K325" s="1088"/>
      <c r="L325" s="1089" t="s">
        <v>159</v>
      </c>
      <c r="M325" s="1090"/>
      <c r="N325" s="1091"/>
      <c r="O325" s="1092" t="s">
        <v>159</v>
      </c>
      <c r="P325" s="1093"/>
      <c r="Q325" s="1094"/>
      <c r="R325" s="812"/>
      <c r="S325" s="1095"/>
      <c r="T325" s="813"/>
      <c r="U325" s="745"/>
      <c r="V325" s="940"/>
      <c r="W325" s="746"/>
      <c r="X325" s="312"/>
      <c r="Y325" s="308"/>
      <c r="Z325" s="312"/>
      <c r="AA325" s="308"/>
      <c r="AB325" s="312"/>
      <c r="AC325" s="308"/>
      <c r="AD325" s="312"/>
      <c r="AE325" s="308"/>
      <c r="AF325" s="312"/>
      <c r="AG325" s="308"/>
      <c r="AH325" s="312"/>
      <c r="AI325" s="308"/>
      <c r="AJ325" s="117"/>
      <c r="AK325" s="330"/>
      <c r="AL325" s="117"/>
      <c r="AM325" s="330"/>
      <c r="AN325" s="117"/>
      <c r="AO325" s="330"/>
      <c r="AP325" s="117"/>
      <c r="AQ325" s="330"/>
      <c r="AR325" s="117"/>
      <c r="AS325" s="1096" t="s">
        <v>159</v>
      </c>
      <c r="AT325" s="1097"/>
      <c r="AU325" s="1097"/>
      <c r="AV325" s="1097"/>
      <c r="AW325" s="1097"/>
      <c r="AX325" s="1097"/>
      <c r="AY325" s="1100"/>
      <c r="AZ325" s="257"/>
      <c r="BA325" s="257"/>
      <c r="BB325" s="1059" t="s">
        <v>162</v>
      </c>
      <c r="BC325" s="1060"/>
      <c r="BD325" s="1075" t="s">
        <v>159</v>
      </c>
      <c r="BE325" s="1075"/>
      <c r="BF325" s="1075"/>
      <c r="BG325" s="1076" t="s">
        <v>159</v>
      </c>
      <c r="BH325" s="1077"/>
      <c r="BI325" s="1077"/>
      <c r="BJ325" s="1078"/>
      <c r="BK325" s="1065"/>
      <c r="BL325" s="1066"/>
      <c r="BM325" s="1067"/>
      <c r="BN325" s="259"/>
      <c r="BO325" s="259"/>
      <c r="BP325" s="1076"/>
      <c r="BQ325" s="1077"/>
      <c r="BR325" s="1078"/>
      <c r="BS325" s="1075" t="s">
        <v>159</v>
      </c>
      <c r="BT325" s="1075"/>
      <c r="BU325" s="1075"/>
    </row>
    <row r="326" spans="1:73" ht="30" customHeight="1" x14ac:dyDescent="0.25">
      <c r="A326" s="199">
        <f t="shared" si="5"/>
        <v>312</v>
      </c>
      <c r="B326" s="1081" t="s">
        <v>162</v>
      </c>
      <c r="C326" s="1082"/>
      <c r="D326" s="1083" t="s">
        <v>159</v>
      </c>
      <c r="E326" s="1084"/>
      <c r="F326" s="1084"/>
      <c r="G326" s="1085"/>
      <c r="H326" s="1086" t="s">
        <v>159</v>
      </c>
      <c r="I326" s="1087"/>
      <c r="J326" s="1087"/>
      <c r="K326" s="1088"/>
      <c r="L326" s="1089" t="s">
        <v>159</v>
      </c>
      <c r="M326" s="1090"/>
      <c r="N326" s="1091"/>
      <c r="O326" s="1092" t="s">
        <v>159</v>
      </c>
      <c r="P326" s="1093"/>
      <c r="Q326" s="1094"/>
      <c r="R326" s="812"/>
      <c r="S326" s="1095"/>
      <c r="T326" s="813"/>
      <c r="U326" s="745"/>
      <c r="V326" s="940"/>
      <c r="W326" s="746"/>
      <c r="X326" s="312"/>
      <c r="Y326" s="308"/>
      <c r="Z326" s="312"/>
      <c r="AA326" s="308"/>
      <c r="AB326" s="312"/>
      <c r="AC326" s="308"/>
      <c r="AD326" s="312"/>
      <c r="AE326" s="308"/>
      <c r="AF326" s="312"/>
      <c r="AG326" s="308"/>
      <c r="AH326" s="312"/>
      <c r="AI326" s="308"/>
      <c r="AJ326" s="117"/>
      <c r="AK326" s="330"/>
      <c r="AL326" s="117"/>
      <c r="AM326" s="330"/>
      <c r="AN326" s="117"/>
      <c r="AO326" s="330"/>
      <c r="AP326" s="117"/>
      <c r="AQ326" s="330"/>
      <c r="AR326" s="117"/>
      <c r="AS326" s="1096" t="s">
        <v>159</v>
      </c>
      <c r="AT326" s="1097"/>
      <c r="AU326" s="1097"/>
      <c r="AV326" s="1097"/>
      <c r="AW326" s="1097"/>
      <c r="AX326" s="1097"/>
      <c r="AY326" s="1100"/>
      <c r="AZ326" s="257"/>
      <c r="BA326" s="257"/>
      <c r="BB326" s="1059" t="s">
        <v>162</v>
      </c>
      <c r="BC326" s="1060"/>
      <c r="BD326" s="1075" t="s">
        <v>159</v>
      </c>
      <c r="BE326" s="1075"/>
      <c r="BF326" s="1075"/>
      <c r="BG326" s="1076" t="s">
        <v>159</v>
      </c>
      <c r="BH326" s="1077"/>
      <c r="BI326" s="1077"/>
      <c r="BJ326" s="1078"/>
      <c r="BK326" s="1065"/>
      <c r="BL326" s="1066"/>
      <c r="BM326" s="1067"/>
      <c r="BN326" s="259"/>
      <c r="BO326" s="259"/>
      <c r="BP326" s="1076"/>
      <c r="BQ326" s="1077"/>
      <c r="BR326" s="1078"/>
      <c r="BS326" s="1075" t="s">
        <v>159</v>
      </c>
      <c r="BT326" s="1075"/>
      <c r="BU326" s="1075"/>
    </row>
    <row r="327" spans="1:73" ht="30" customHeight="1" x14ac:dyDescent="0.25">
      <c r="A327" s="199">
        <f t="shared" si="5"/>
        <v>313</v>
      </c>
      <c r="B327" s="1081" t="s">
        <v>162</v>
      </c>
      <c r="C327" s="1082"/>
      <c r="D327" s="1083" t="s">
        <v>159</v>
      </c>
      <c r="E327" s="1084"/>
      <c r="F327" s="1084"/>
      <c r="G327" s="1085"/>
      <c r="H327" s="1086" t="s">
        <v>159</v>
      </c>
      <c r="I327" s="1087"/>
      <c r="J327" s="1087"/>
      <c r="K327" s="1088"/>
      <c r="L327" s="1089" t="s">
        <v>159</v>
      </c>
      <c r="M327" s="1090"/>
      <c r="N327" s="1091"/>
      <c r="O327" s="1092" t="s">
        <v>159</v>
      </c>
      <c r="P327" s="1093"/>
      <c r="Q327" s="1094"/>
      <c r="R327" s="812"/>
      <c r="S327" s="1095"/>
      <c r="T327" s="813"/>
      <c r="U327" s="745"/>
      <c r="V327" s="940"/>
      <c r="W327" s="746"/>
      <c r="X327" s="312"/>
      <c r="Y327" s="308"/>
      <c r="Z327" s="312"/>
      <c r="AA327" s="308"/>
      <c r="AB327" s="312"/>
      <c r="AC327" s="308"/>
      <c r="AD327" s="312"/>
      <c r="AE327" s="308"/>
      <c r="AF327" s="312"/>
      <c r="AG327" s="308"/>
      <c r="AH327" s="312"/>
      <c r="AI327" s="308"/>
      <c r="AJ327" s="117"/>
      <c r="AK327" s="330"/>
      <c r="AL327" s="117"/>
      <c r="AM327" s="330"/>
      <c r="AN327" s="117"/>
      <c r="AO327" s="330"/>
      <c r="AP327" s="117"/>
      <c r="AQ327" s="330"/>
      <c r="AR327" s="117"/>
      <c r="AS327" s="1096" t="s">
        <v>159</v>
      </c>
      <c r="AT327" s="1097"/>
      <c r="AU327" s="1097"/>
      <c r="AV327" s="1097"/>
      <c r="AW327" s="1097"/>
      <c r="AX327" s="1097"/>
      <c r="AY327" s="1100"/>
      <c r="AZ327" s="257"/>
      <c r="BA327" s="257"/>
      <c r="BB327" s="1059" t="s">
        <v>162</v>
      </c>
      <c r="BC327" s="1060"/>
      <c r="BD327" s="1075" t="s">
        <v>159</v>
      </c>
      <c r="BE327" s="1075"/>
      <c r="BF327" s="1075"/>
      <c r="BG327" s="1076" t="s">
        <v>159</v>
      </c>
      <c r="BH327" s="1077"/>
      <c r="BI327" s="1077"/>
      <c r="BJ327" s="1078"/>
      <c r="BK327" s="1065"/>
      <c r="BL327" s="1066"/>
      <c r="BM327" s="1067"/>
      <c r="BN327" s="259"/>
      <c r="BO327" s="259"/>
      <c r="BP327" s="1076"/>
      <c r="BQ327" s="1077"/>
      <c r="BR327" s="1078"/>
      <c r="BS327" s="1075" t="s">
        <v>159</v>
      </c>
      <c r="BT327" s="1075"/>
      <c r="BU327" s="1075"/>
    </row>
    <row r="328" spans="1:73" ht="30" customHeight="1" x14ac:dyDescent="0.25">
      <c r="A328" s="199">
        <f t="shared" si="5"/>
        <v>314</v>
      </c>
      <c r="B328" s="1081" t="s">
        <v>162</v>
      </c>
      <c r="C328" s="1082"/>
      <c r="D328" s="1083" t="s">
        <v>159</v>
      </c>
      <c r="E328" s="1084"/>
      <c r="F328" s="1084"/>
      <c r="G328" s="1085"/>
      <c r="H328" s="1086" t="s">
        <v>159</v>
      </c>
      <c r="I328" s="1087"/>
      <c r="J328" s="1087"/>
      <c r="K328" s="1088"/>
      <c r="L328" s="1089" t="s">
        <v>159</v>
      </c>
      <c r="M328" s="1090"/>
      <c r="N328" s="1091"/>
      <c r="O328" s="1092" t="s">
        <v>159</v>
      </c>
      <c r="P328" s="1093"/>
      <c r="Q328" s="1094"/>
      <c r="R328" s="812"/>
      <c r="S328" s="1095"/>
      <c r="T328" s="813"/>
      <c r="U328" s="745"/>
      <c r="V328" s="940"/>
      <c r="W328" s="746"/>
      <c r="X328" s="312"/>
      <c r="Y328" s="308"/>
      <c r="Z328" s="312"/>
      <c r="AA328" s="308"/>
      <c r="AB328" s="312"/>
      <c r="AC328" s="308"/>
      <c r="AD328" s="312"/>
      <c r="AE328" s="308"/>
      <c r="AF328" s="312"/>
      <c r="AG328" s="308"/>
      <c r="AH328" s="312"/>
      <c r="AI328" s="308"/>
      <c r="AJ328" s="117"/>
      <c r="AK328" s="330"/>
      <c r="AL328" s="117"/>
      <c r="AM328" s="330"/>
      <c r="AN328" s="117"/>
      <c r="AO328" s="330"/>
      <c r="AP328" s="117"/>
      <c r="AQ328" s="330"/>
      <c r="AR328" s="117"/>
      <c r="AS328" s="1096" t="s">
        <v>159</v>
      </c>
      <c r="AT328" s="1097"/>
      <c r="AU328" s="1097"/>
      <c r="AV328" s="1097"/>
      <c r="AW328" s="1097"/>
      <c r="AX328" s="1097"/>
      <c r="AY328" s="1100"/>
      <c r="AZ328" s="257"/>
      <c r="BA328" s="257"/>
      <c r="BB328" s="1059" t="s">
        <v>162</v>
      </c>
      <c r="BC328" s="1060"/>
      <c r="BD328" s="1075" t="s">
        <v>159</v>
      </c>
      <c r="BE328" s="1075"/>
      <c r="BF328" s="1075"/>
      <c r="BG328" s="1076" t="s">
        <v>159</v>
      </c>
      <c r="BH328" s="1077"/>
      <c r="BI328" s="1077"/>
      <c r="BJ328" s="1078"/>
      <c r="BK328" s="1065"/>
      <c r="BL328" s="1066"/>
      <c r="BM328" s="1067"/>
      <c r="BN328" s="259"/>
      <c r="BO328" s="259"/>
      <c r="BP328" s="1076"/>
      <c r="BQ328" s="1077"/>
      <c r="BR328" s="1078"/>
      <c r="BS328" s="1075" t="s">
        <v>159</v>
      </c>
      <c r="BT328" s="1075"/>
      <c r="BU328" s="1075"/>
    </row>
    <row r="329" spans="1:73" ht="30" customHeight="1" x14ac:dyDescent="0.25">
      <c r="A329" s="199">
        <f t="shared" si="5"/>
        <v>315</v>
      </c>
      <c r="B329" s="1081" t="s">
        <v>162</v>
      </c>
      <c r="C329" s="1082"/>
      <c r="D329" s="1083" t="s">
        <v>159</v>
      </c>
      <c r="E329" s="1084"/>
      <c r="F329" s="1084"/>
      <c r="G329" s="1085"/>
      <c r="H329" s="1086" t="s">
        <v>159</v>
      </c>
      <c r="I329" s="1087"/>
      <c r="J329" s="1087"/>
      <c r="K329" s="1088"/>
      <c r="L329" s="1089" t="s">
        <v>159</v>
      </c>
      <c r="M329" s="1090"/>
      <c r="N329" s="1091"/>
      <c r="O329" s="1092" t="s">
        <v>159</v>
      </c>
      <c r="P329" s="1093"/>
      <c r="Q329" s="1094"/>
      <c r="R329" s="812"/>
      <c r="S329" s="1095"/>
      <c r="T329" s="813"/>
      <c r="U329" s="745"/>
      <c r="V329" s="940"/>
      <c r="W329" s="746"/>
      <c r="X329" s="312"/>
      <c r="Y329" s="308"/>
      <c r="Z329" s="312"/>
      <c r="AA329" s="308"/>
      <c r="AB329" s="312"/>
      <c r="AC329" s="308"/>
      <c r="AD329" s="312"/>
      <c r="AE329" s="308"/>
      <c r="AF329" s="312"/>
      <c r="AG329" s="308"/>
      <c r="AH329" s="312"/>
      <c r="AI329" s="308"/>
      <c r="AJ329" s="117"/>
      <c r="AK329" s="330"/>
      <c r="AL329" s="117"/>
      <c r="AM329" s="330"/>
      <c r="AN329" s="117"/>
      <c r="AO329" s="330"/>
      <c r="AP329" s="117"/>
      <c r="AQ329" s="330"/>
      <c r="AR329" s="117"/>
      <c r="AS329" s="1096" t="s">
        <v>159</v>
      </c>
      <c r="AT329" s="1097"/>
      <c r="AU329" s="1097"/>
      <c r="AV329" s="1097"/>
      <c r="AW329" s="1097"/>
      <c r="AX329" s="1097"/>
      <c r="AY329" s="1100"/>
      <c r="AZ329" s="257"/>
      <c r="BA329" s="257"/>
      <c r="BB329" s="1059" t="s">
        <v>162</v>
      </c>
      <c r="BC329" s="1060"/>
      <c r="BD329" s="1075" t="s">
        <v>159</v>
      </c>
      <c r="BE329" s="1075"/>
      <c r="BF329" s="1075"/>
      <c r="BG329" s="1076" t="s">
        <v>159</v>
      </c>
      <c r="BH329" s="1077"/>
      <c r="BI329" s="1077"/>
      <c r="BJ329" s="1078"/>
      <c r="BK329" s="1065"/>
      <c r="BL329" s="1066"/>
      <c r="BM329" s="1067"/>
      <c r="BN329" s="259"/>
      <c r="BO329" s="259"/>
      <c r="BP329" s="1076"/>
      <c r="BQ329" s="1077"/>
      <c r="BR329" s="1078"/>
      <c r="BS329" s="1075" t="s">
        <v>159</v>
      </c>
      <c r="BT329" s="1075"/>
      <c r="BU329" s="1075"/>
    </row>
    <row r="330" spans="1:73" ht="30" customHeight="1" x14ac:dyDescent="0.25">
      <c r="A330" s="199">
        <f t="shared" si="5"/>
        <v>316</v>
      </c>
      <c r="B330" s="1081" t="s">
        <v>162</v>
      </c>
      <c r="C330" s="1082"/>
      <c r="D330" s="1083" t="s">
        <v>159</v>
      </c>
      <c r="E330" s="1084"/>
      <c r="F330" s="1084"/>
      <c r="G330" s="1085"/>
      <c r="H330" s="1086" t="s">
        <v>159</v>
      </c>
      <c r="I330" s="1087"/>
      <c r="J330" s="1087"/>
      <c r="K330" s="1088"/>
      <c r="L330" s="1089" t="s">
        <v>159</v>
      </c>
      <c r="M330" s="1090"/>
      <c r="N330" s="1091"/>
      <c r="O330" s="1092" t="s">
        <v>159</v>
      </c>
      <c r="P330" s="1093"/>
      <c r="Q330" s="1094"/>
      <c r="R330" s="812"/>
      <c r="S330" s="1095"/>
      <c r="T330" s="813"/>
      <c r="U330" s="745"/>
      <c r="V330" s="940"/>
      <c r="W330" s="746"/>
      <c r="X330" s="312"/>
      <c r="Y330" s="308"/>
      <c r="Z330" s="312"/>
      <c r="AA330" s="308"/>
      <c r="AB330" s="312"/>
      <c r="AC330" s="308"/>
      <c r="AD330" s="312"/>
      <c r="AE330" s="308"/>
      <c r="AF330" s="312"/>
      <c r="AG330" s="308"/>
      <c r="AH330" s="312"/>
      <c r="AI330" s="308"/>
      <c r="AJ330" s="117"/>
      <c r="AK330" s="330"/>
      <c r="AL330" s="117"/>
      <c r="AM330" s="330"/>
      <c r="AN330" s="117"/>
      <c r="AO330" s="330"/>
      <c r="AP330" s="117"/>
      <c r="AQ330" s="330"/>
      <c r="AR330" s="117"/>
      <c r="AS330" s="1096" t="s">
        <v>159</v>
      </c>
      <c r="AT330" s="1097"/>
      <c r="AU330" s="1097"/>
      <c r="AV330" s="1097"/>
      <c r="AW330" s="1097"/>
      <c r="AX330" s="1097"/>
      <c r="AY330" s="1100"/>
      <c r="AZ330" s="257"/>
      <c r="BA330" s="257"/>
      <c r="BB330" s="1079" t="s">
        <v>162</v>
      </c>
      <c r="BC330" s="1080"/>
      <c r="BD330" s="1075" t="s">
        <v>159</v>
      </c>
      <c r="BE330" s="1075"/>
      <c r="BF330" s="1075"/>
      <c r="BG330" s="1076" t="s">
        <v>159</v>
      </c>
      <c r="BH330" s="1077"/>
      <c r="BI330" s="1077"/>
      <c r="BJ330" s="1078"/>
      <c r="BK330" s="1065"/>
      <c r="BL330" s="1066"/>
      <c r="BM330" s="1067"/>
      <c r="BN330" s="259"/>
      <c r="BO330" s="259"/>
      <c r="BP330" s="1076"/>
      <c r="BQ330" s="1077"/>
      <c r="BR330" s="1078"/>
      <c r="BS330" s="1075" t="s">
        <v>159</v>
      </c>
      <c r="BT330" s="1075"/>
      <c r="BU330" s="1075"/>
    </row>
    <row r="331" spans="1:73" ht="30" customHeight="1" x14ac:dyDescent="0.25">
      <c r="A331" s="199">
        <f t="shared" si="5"/>
        <v>317</v>
      </c>
      <c r="B331" s="1081" t="s">
        <v>162</v>
      </c>
      <c r="C331" s="1082"/>
      <c r="D331" s="1083" t="s">
        <v>159</v>
      </c>
      <c r="E331" s="1084"/>
      <c r="F331" s="1084"/>
      <c r="G331" s="1085"/>
      <c r="H331" s="1086" t="s">
        <v>159</v>
      </c>
      <c r="I331" s="1087"/>
      <c r="J331" s="1087"/>
      <c r="K331" s="1088"/>
      <c r="L331" s="1089" t="s">
        <v>159</v>
      </c>
      <c r="M331" s="1090"/>
      <c r="N331" s="1091"/>
      <c r="O331" s="1092" t="s">
        <v>159</v>
      </c>
      <c r="P331" s="1093"/>
      <c r="Q331" s="1094"/>
      <c r="R331" s="812"/>
      <c r="S331" s="1095"/>
      <c r="T331" s="813"/>
      <c r="U331" s="745"/>
      <c r="V331" s="940"/>
      <c r="W331" s="746"/>
      <c r="X331" s="312"/>
      <c r="Y331" s="308"/>
      <c r="Z331" s="312"/>
      <c r="AA331" s="308"/>
      <c r="AB331" s="312"/>
      <c r="AC331" s="308"/>
      <c r="AD331" s="312"/>
      <c r="AE331" s="308"/>
      <c r="AF331" s="312"/>
      <c r="AG331" s="308"/>
      <c r="AH331" s="312"/>
      <c r="AI331" s="308"/>
      <c r="AJ331" s="117"/>
      <c r="AK331" s="330"/>
      <c r="AL331" s="117"/>
      <c r="AM331" s="330"/>
      <c r="AN331" s="117"/>
      <c r="AO331" s="330"/>
      <c r="AP331" s="117"/>
      <c r="AQ331" s="330"/>
      <c r="AR331" s="117"/>
      <c r="AS331" s="1096" t="s">
        <v>159</v>
      </c>
      <c r="AT331" s="1097"/>
      <c r="AU331" s="1097"/>
      <c r="AV331" s="1097"/>
      <c r="AW331" s="1097"/>
      <c r="AX331" s="1097"/>
      <c r="AY331" s="1100"/>
      <c r="AZ331" s="257"/>
      <c r="BA331" s="257"/>
      <c r="BB331" s="1059" t="s">
        <v>162</v>
      </c>
      <c r="BC331" s="1060"/>
      <c r="BD331" s="1075" t="s">
        <v>159</v>
      </c>
      <c r="BE331" s="1075"/>
      <c r="BF331" s="1075"/>
      <c r="BG331" s="1076" t="s">
        <v>159</v>
      </c>
      <c r="BH331" s="1077"/>
      <c r="BI331" s="1077"/>
      <c r="BJ331" s="1078"/>
      <c r="BK331" s="1065"/>
      <c r="BL331" s="1066"/>
      <c r="BM331" s="1067"/>
      <c r="BN331" s="259"/>
      <c r="BO331" s="259"/>
      <c r="BP331" s="1076"/>
      <c r="BQ331" s="1077"/>
      <c r="BR331" s="1078"/>
      <c r="BS331" s="1075" t="s">
        <v>159</v>
      </c>
      <c r="BT331" s="1075"/>
      <c r="BU331" s="1075"/>
    </row>
    <row r="332" spans="1:73" ht="30" customHeight="1" x14ac:dyDescent="0.25">
      <c r="A332" s="199">
        <f t="shared" si="5"/>
        <v>318</v>
      </c>
      <c r="B332" s="1081" t="s">
        <v>162</v>
      </c>
      <c r="C332" s="1082"/>
      <c r="D332" s="1083" t="s">
        <v>159</v>
      </c>
      <c r="E332" s="1084"/>
      <c r="F332" s="1084"/>
      <c r="G332" s="1085"/>
      <c r="H332" s="1086" t="s">
        <v>159</v>
      </c>
      <c r="I332" s="1087"/>
      <c r="J332" s="1087"/>
      <c r="K332" s="1088"/>
      <c r="L332" s="1089" t="s">
        <v>159</v>
      </c>
      <c r="M332" s="1090"/>
      <c r="N332" s="1091"/>
      <c r="O332" s="1092" t="s">
        <v>159</v>
      </c>
      <c r="P332" s="1093"/>
      <c r="Q332" s="1094"/>
      <c r="R332" s="812"/>
      <c r="S332" s="1095"/>
      <c r="T332" s="813"/>
      <c r="U332" s="745"/>
      <c r="V332" s="940"/>
      <c r="W332" s="746"/>
      <c r="X332" s="312"/>
      <c r="Y332" s="308"/>
      <c r="Z332" s="312"/>
      <c r="AA332" s="308"/>
      <c r="AB332" s="312"/>
      <c r="AC332" s="308"/>
      <c r="AD332" s="312"/>
      <c r="AE332" s="308"/>
      <c r="AF332" s="312"/>
      <c r="AG332" s="308"/>
      <c r="AH332" s="312"/>
      <c r="AI332" s="308"/>
      <c r="AJ332" s="117"/>
      <c r="AK332" s="330"/>
      <c r="AL332" s="117"/>
      <c r="AM332" s="330"/>
      <c r="AN332" s="117"/>
      <c r="AO332" s="330"/>
      <c r="AP332" s="117"/>
      <c r="AQ332" s="330"/>
      <c r="AR332" s="117"/>
      <c r="AS332" s="1096" t="s">
        <v>159</v>
      </c>
      <c r="AT332" s="1097"/>
      <c r="AU332" s="1097"/>
      <c r="AV332" s="1097"/>
      <c r="AW332" s="1097"/>
      <c r="AX332" s="1097"/>
      <c r="AY332" s="1100"/>
      <c r="AZ332" s="257"/>
      <c r="BA332" s="257"/>
      <c r="BB332" s="1059" t="s">
        <v>162</v>
      </c>
      <c r="BC332" s="1060"/>
      <c r="BD332" s="1075" t="s">
        <v>159</v>
      </c>
      <c r="BE332" s="1075"/>
      <c r="BF332" s="1075"/>
      <c r="BG332" s="1076" t="s">
        <v>159</v>
      </c>
      <c r="BH332" s="1077"/>
      <c r="BI332" s="1077"/>
      <c r="BJ332" s="1078"/>
      <c r="BK332" s="1065"/>
      <c r="BL332" s="1066"/>
      <c r="BM332" s="1067"/>
      <c r="BN332" s="259"/>
      <c r="BO332" s="259"/>
      <c r="BP332" s="1076"/>
      <c r="BQ332" s="1077"/>
      <c r="BR332" s="1078"/>
      <c r="BS332" s="1075" t="s">
        <v>159</v>
      </c>
      <c r="BT332" s="1075"/>
      <c r="BU332" s="1075"/>
    </row>
    <row r="333" spans="1:73" ht="30" customHeight="1" x14ac:dyDescent="0.25">
      <c r="A333" s="199">
        <f t="shared" si="5"/>
        <v>319</v>
      </c>
      <c r="B333" s="1081" t="s">
        <v>162</v>
      </c>
      <c r="C333" s="1082"/>
      <c r="D333" s="1083" t="s">
        <v>159</v>
      </c>
      <c r="E333" s="1084"/>
      <c r="F333" s="1084"/>
      <c r="G333" s="1085"/>
      <c r="H333" s="1086" t="s">
        <v>159</v>
      </c>
      <c r="I333" s="1087"/>
      <c r="J333" s="1087"/>
      <c r="K333" s="1088"/>
      <c r="L333" s="1089" t="s">
        <v>159</v>
      </c>
      <c r="M333" s="1090"/>
      <c r="N333" s="1091"/>
      <c r="O333" s="1092" t="s">
        <v>159</v>
      </c>
      <c r="P333" s="1093"/>
      <c r="Q333" s="1094"/>
      <c r="R333" s="812"/>
      <c r="S333" s="1095"/>
      <c r="T333" s="813"/>
      <c r="U333" s="745"/>
      <c r="V333" s="940"/>
      <c r="W333" s="746"/>
      <c r="X333" s="312"/>
      <c r="Y333" s="308"/>
      <c r="Z333" s="312"/>
      <c r="AA333" s="308"/>
      <c r="AB333" s="312"/>
      <c r="AC333" s="308"/>
      <c r="AD333" s="312"/>
      <c r="AE333" s="308"/>
      <c r="AF333" s="312"/>
      <c r="AG333" s="308"/>
      <c r="AH333" s="312"/>
      <c r="AI333" s="308"/>
      <c r="AJ333" s="117"/>
      <c r="AK333" s="330"/>
      <c r="AL333" s="117"/>
      <c r="AM333" s="330"/>
      <c r="AN333" s="117"/>
      <c r="AO333" s="330"/>
      <c r="AP333" s="117"/>
      <c r="AQ333" s="330"/>
      <c r="AR333" s="117"/>
      <c r="AS333" s="1096" t="s">
        <v>159</v>
      </c>
      <c r="AT333" s="1097"/>
      <c r="AU333" s="1097"/>
      <c r="AV333" s="1097"/>
      <c r="AW333" s="1097"/>
      <c r="AX333" s="1097"/>
      <c r="AY333" s="1100"/>
      <c r="AZ333" s="257"/>
      <c r="BA333" s="257"/>
      <c r="BB333" s="1059" t="s">
        <v>162</v>
      </c>
      <c r="BC333" s="1060"/>
      <c r="BD333" s="1075" t="s">
        <v>159</v>
      </c>
      <c r="BE333" s="1075"/>
      <c r="BF333" s="1075"/>
      <c r="BG333" s="1076" t="s">
        <v>159</v>
      </c>
      <c r="BH333" s="1077"/>
      <c r="BI333" s="1077"/>
      <c r="BJ333" s="1078"/>
      <c r="BK333" s="1065"/>
      <c r="BL333" s="1066"/>
      <c r="BM333" s="1067"/>
      <c r="BN333" s="259"/>
      <c r="BO333" s="259"/>
      <c r="BP333" s="1076"/>
      <c r="BQ333" s="1077"/>
      <c r="BR333" s="1078"/>
      <c r="BS333" s="1075" t="s">
        <v>159</v>
      </c>
      <c r="BT333" s="1075"/>
      <c r="BU333" s="1075"/>
    </row>
    <row r="334" spans="1:73" ht="30" customHeight="1" x14ac:dyDescent="0.25">
      <c r="A334" s="199">
        <f t="shared" si="5"/>
        <v>320</v>
      </c>
      <c r="B334" s="1081" t="s">
        <v>162</v>
      </c>
      <c r="C334" s="1082"/>
      <c r="D334" s="1083" t="s">
        <v>159</v>
      </c>
      <c r="E334" s="1084"/>
      <c r="F334" s="1084"/>
      <c r="G334" s="1085"/>
      <c r="H334" s="1086" t="s">
        <v>159</v>
      </c>
      <c r="I334" s="1087"/>
      <c r="J334" s="1087"/>
      <c r="K334" s="1088"/>
      <c r="L334" s="1089" t="s">
        <v>159</v>
      </c>
      <c r="M334" s="1090"/>
      <c r="N334" s="1091"/>
      <c r="O334" s="1092" t="s">
        <v>159</v>
      </c>
      <c r="P334" s="1093"/>
      <c r="Q334" s="1094"/>
      <c r="R334" s="812"/>
      <c r="S334" s="1095"/>
      <c r="T334" s="813"/>
      <c r="U334" s="745"/>
      <c r="V334" s="940"/>
      <c r="W334" s="746"/>
      <c r="X334" s="312"/>
      <c r="Y334" s="308"/>
      <c r="Z334" s="312"/>
      <c r="AA334" s="308"/>
      <c r="AB334" s="312"/>
      <c r="AC334" s="308"/>
      <c r="AD334" s="312"/>
      <c r="AE334" s="308"/>
      <c r="AF334" s="312"/>
      <c r="AG334" s="308"/>
      <c r="AH334" s="312"/>
      <c r="AI334" s="308"/>
      <c r="AJ334" s="117"/>
      <c r="AK334" s="330"/>
      <c r="AL334" s="117"/>
      <c r="AM334" s="330"/>
      <c r="AN334" s="117"/>
      <c r="AO334" s="330"/>
      <c r="AP334" s="117"/>
      <c r="AQ334" s="330"/>
      <c r="AR334" s="117"/>
      <c r="AS334" s="1096" t="s">
        <v>159</v>
      </c>
      <c r="AT334" s="1097"/>
      <c r="AU334" s="1097"/>
      <c r="AV334" s="1097"/>
      <c r="AW334" s="1097"/>
      <c r="AX334" s="1097"/>
      <c r="AY334" s="1100"/>
      <c r="AZ334" s="257"/>
      <c r="BA334" s="257"/>
      <c r="BB334" s="1059" t="s">
        <v>162</v>
      </c>
      <c r="BC334" s="1060"/>
      <c r="BD334" s="1075" t="s">
        <v>159</v>
      </c>
      <c r="BE334" s="1075"/>
      <c r="BF334" s="1075"/>
      <c r="BG334" s="1076" t="s">
        <v>159</v>
      </c>
      <c r="BH334" s="1077"/>
      <c r="BI334" s="1077"/>
      <c r="BJ334" s="1078"/>
      <c r="BK334" s="1065"/>
      <c r="BL334" s="1066"/>
      <c r="BM334" s="1067"/>
      <c r="BN334" s="259"/>
      <c r="BO334" s="259"/>
      <c r="BP334" s="1076"/>
      <c r="BQ334" s="1077"/>
      <c r="BR334" s="1078"/>
      <c r="BS334" s="1075" t="s">
        <v>159</v>
      </c>
      <c r="BT334" s="1075"/>
      <c r="BU334" s="1075"/>
    </row>
    <row r="335" spans="1:73" ht="30" customHeight="1" x14ac:dyDescent="0.25">
      <c r="A335" s="199">
        <f t="shared" si="5"/>
        <v>321</v>
      </c>
      <c r="B335" s="1081" t="s">
        <v>162</v>
      </c>
      <c r="C335" s="1082"/>
      <c r="D335" s="1083" t="s">
        <v>159</v>
      </c>
      <c r="E335" s="1084"/>
      <c r="F335" s="1084"/>
      <c r="G335" s="1085"/>
      <c r="H335" s="1086" t="s">
        <v>159</v>
      </c>
      <c r="I335" s="1087"/>
      <c r="J335" s="1087"/>
      <c r="K335" s="1088"/>
      <c r="L335" s="1089" t="s">
        <v>159</v>
      </c>
      <c r="M335" s="1090"/>
      <c r="N335" s="1091"/>
      <c r="O335" s="1092" t="s">
        <v>159</v>
      </c>
      <c r="P335" s="1093"/>
      <c r="Q335" s="1094"/>
      <c r="R335" s="812"/>
      <c r="S335" s="1095"/>
      <c r="T335" s="813"/>
      <c r="U335" s="745"/>
      <c r="V335" s="940"/>
      <c r="W335" s="746"/>
      <c r="X335" s="312"/>
      <c r="Y335" s="308"/>
      <c r="Z335" s="312"/>
      <c r="AA335" s="308"/>
      <c r="AB335" s="312"/>
      <c r="AC335" s="308"/>
      <c r="AD335" s="312"/>
      <c r="AE335" s="308"/>
      <c r="AF335" s="312"/>
      <c r="AG335" s="308"/>
      <c r="AH335" s="312"/>
      <c r="AI335" s="308"/>
      <c r="AJ335" s="117"/>
      <c r="AK335" s="330"/>
      <c r="AL335" s="117"/>
      <c r="AM335" s="330"/>
      <c r="AN335" s="117"/>
      <c r="AO335" s="330"/>
      <c r="AP335" s="117"/>
      <c r="AQ335" s="330"/>
      <c r="AR335" s="117"/>
      <c r="AS335" s="1096" t="s">
        <v>159</v>
      </c>
      <c r="AT335" s="1097"/>
      <c r="AU335" s="1097"/>
      <c r="AV335" s="1097"/>
      <c r="AW335" s="1097"/>
      <c r="AX335" s="1097"/>
      <c r="AY335" s="1100"/>
      <c r="AZ335" s="257"/>
      <c r="BA335" s="257"/>
      <c r="BB335" s="1059" t="s">
        <v>162</v>
      </c>
      <c r="BC335" s="1060"/>
      <c r="BD335" s="1075" t="s">
        <v>159</v>
      </c>
      <c r="BE335" s="1075"/>
      <c r="BF335" s="1075"/>
      <c r="BG335" s="1076" t="s">
        <v>159</v>
      </c>
      <c r="BH335" s="1077"/>
      <c r="BI335" s="1077"/>
      <c r="BJ335" s="1078"/>
      <c r="BK335" s="1065"/>
      <c r="BL335" s="1066"/>
      <c r="BM335" s="1067"/>
      <c r="BN335" s="259"/>
      <c r="BO335" s="259"/>
      <c r="BP335" s="1076"/>
      <c r="BQ335" s="1077"/>
      <c r="BR335" s="1078"/>
      <c r="BS335" s="1075" t="s">
        <v>159</v>
      </c>
      <c r="BT335" s="1075"/>
      <c r="BU335" s="1075"/>
    </row>
    <row r="336" spans="1:73" ht="30" customHeight="1" x14ac:dyDescent="0.25">
      <c r="A336" s="199">
        <f t="shared" si="5"/>
        <v>322</v>
      </c>
      <c r="B336" s="1081" t="s">
        <v>162</v>
      </c>
      <c r="C336" s="1082"/>
      <c r="D336" s="1083" t="s">
        <v>159</v>
      </c>
      <c r="E336" s="1084"/>
      <c r="F336" s="1084"/>
      <c r="G336" s="1085"/>
      <c r="H336" s="1086" t="s">
        <v>159</v>
      </c>
      <c r="I336" s="1087"/>
      <c r="J336" s="1087"/>
      <c r="K336" s="1088"/>
      <c r="L336" s="1089" t="s">
        <v>159</v>
      </c>
      <c r="M336" s="1090"/>
      <c r="N336" s="1091"/>
      <c r="O336" s="1092" t="s">
        <v>159</v>
      </c>
      <c r="P336" s="1093"/>
      <c r="Q336" s="1094"/>
      <c r="R336" s="812"/>
      <c r="S336" s="1095"/>
      <c r="T336" s="813"/>
      <c r="U336" s="745"/>
      <c r="V336" s="940"/>
      <c r="W336" s="746"/>
      <c r="X336" s="312"/>
      <c r="Y336" s="308"/>
      <c r="Z336" s="312"/>
      <c r="AA336" s="308"/>
      <c r="AB336" s="312"/>
      <c r="AC336" s="308"/>
      <c r="AD336" s="312"/>
      <c r="AE336" s="308"/>
      <c r="AF336" s="312"/>
      <c r="AG336" s="308"/>
      <c r="AH336" s="312"/>
      <c r="AI336" s="308"/>
      <c r="AJ336" s="117"/>
      <c r="AK336" s="330"/>
      <c r="AL336" s="117"/>
      <c r="AM336" s="330"/>
      <c r="AN336" s="117"/>
      <c r="AO336" s="330"/>
      <c r="AP336" s="117"/>
      <c r="AQ336" s="330"/>
      <c r="AR336" s="117"/>
      <c r="AS336" s="1096" t="s">
        <v>159</v>
      </c>
      <c r="AT336" s="1097"/>
      <c r="AU336" s="1097"/>
      <c r="AV336" s="1097"/>
      <c r="AW336" s="1097"/>
      <c r="AX336" s="1097"/>
      <c r="AY336" s="1100"/>
      <c r="AZ336" s="257"/>
      <c r="BA336" s="257"/>
      <c r="BB336" s="1059" t="s">
        <v>162</v>
      </c>
      <c r="BC336" s="1060"/>
      <c r="BD336" s="1075" t="s">
        <v>159</v>
      </c>
      <c r="BE336" s="1075"/>
      <c r="BF336" s="1075"/>
      <c r="BG336" s="1076" t="s">
        <v>159</v>
      </c>
      <c r="BH336" s="1077"/>
      <c r="BI336" s="1077"/>
      <c r="BJ336" s="1078"/>
      <c r="BK336" s="1065"/>
      <c r="BL336" s="1066"/>
      <c r="BM336" s="1067"/>
      <c r="BN336" s="259"/>
      <c r="BO336" s="259"/>
      <c r="BP336" s="1076"/>
      <c r="BQ336" s="1077"/>
      <c r="BR336" s="1078"/>
      <c r="BS336" s="1075" t="s">
        <v>159</v>
      </c>
      <c r="BT336" s="1075"/>
      <c r="BU336" s="1075"/>
    </row>
    <row r="337" spans="1:73" ht="30" customHeight="1" x14ac:dyDescent="0.25">
      <c r="A337" s="199">
        <f t="shared" si="5"/>
        <v>323</v>
      </c>
      <c r="B337" s="1081" t="s">
        <v>162</v>
      </c>
      <c r="C337" s="1082"/>
      <c r="D337" s="1083" t="s">
        <v>159</v>
      </c>
      <c r="E337" s="1084"/>
      <c r="F337" s="1084"/>
      <c r="G337" s="1085"/>
      <c r="H337" s="1086" t="s">
        <v>159</v>
      </c>
      <c r="I337" s="1087"/>
      <c r="J337" s="1087"/>
      <c r="K337" s="1088"/>
      <c r="L337" s="1089" t="s">
        <v>159</v>
      </c>
      <c r="M337" s="1090"/>
      <c r="N337" s="1091"/>
      <c r="O337" s="1092" t="s">
        <v>159</v>
      </c>
      <c r="P337" s="1093"/>
      <c r="Q337" s="1094"/>
      <c r="R337" s="812"/>
      <c r="S337" s="1095"/>
      <c r="T337" s="813"/>
      <c r="U337" s="745"/>
      <c r="V337" s="940"/>
      <c r="W337" s="746"/>
      <c r="X337" s="312"/>
      <c r="Y337" s="308"/>
      <c r="Z337" s="312"/>
      <c r="AA337" s="308"/>
      <c r="AB337" s="312"/>
      <c r="AC337" s="308"/>
      <c r="AD337" s="312"/>
      <c r="AE337" s="308"/>
      <c r="AF337" s="312"/>
      <c r="AG337" s="308"/>
      <c r="AH337" s="312"/>
      <c r="AI337" s="308"/>
      <c r="AJ337" s="117"/>
      <c r="AK337" s="330"/>
      <c r="AL337" s="117"/>
      <c r="AM337" s="330"/>
      <c r="AN337" s="117"/>
      <c r="AO337" s="330"/>
      <c r="AP337" s="117"/>
      <c r="AQ337" s="330"/>
      <c r="AR337" s="117"/>
      <c r="AS337" s="1096" t="s">
        <v>159</v>
      </c>
      <c r="AT337" s="1097"/>
      <c r="AU337" s="1097"/>
      <c r="AV337" s="1097"/>
      <c r="AW337" s="1097"/>
      <c r="AX337" s="1097"/>
      <c r="AY337" s="1100"/>
      <c r="AZ337" s="257"/>
      <c r="BA337" s="257"/>
      <c r="BB337" s="1079" t="s">
        <v>162</v>
      </c>
      <c r="BC337" s="1080"/>
      <c r="BD337" s="1075" t="s">
        <v>159</v>
      </c>
      <c r="BE337" s="1075"/>
      <c r="BF337" s="1075"/>
      <c r="BG337" s="1076" t="s">
        <v>159</v>
      </c>
      <c r="BH337" s="1077"/>
      <c r="BI337" s="1077"/>
      <c r="BJ337" s="1078"/>
      <c r="BK337" s="1065"/>
      <c r="BL337" s="1066"/>
      <c r="BM337" s="1067"/>
      <c r="BN337" s="259"/>
      <c r="BO337" s="259"/>
      <c r="BP337" s="1076"/>
      <c r="BQ337" s="1077"/>
      <c r="BR337" s="1078"/>
      <c r="BS337" s="1075" t="s">
        <v>159</v>
      </c>
      <c r="BT337" s="1075"/>
      <c r="BU337" s="1075"/>
    </row>
    <row r="338" spans="1:73" ht="30" customHeight="1" x14ac:dyDescent="0.25">
      <c r="A338" s="199">
        <f t="shared" si="5"/>
        <v>324</v>
      </c>
      <c r="B338" s="1081" t="s">
        <v>162</v>
      </c>
      <c r="C338" s="1082"/>
      <c r="D338" s="1083" t="s">
        <v>159</v>
      </c>
      <c r="E338" s="1084"/>
      <c r="F338" s="1084"/>
      <c r="G338" s="1085"/>
      <c r="H338" s="1086" t="s">
        <v>159</v>
      </c>
      <c r="I338" s="1087"/>
      <c r="J338" s="1087"/>
      <c r="K338" s="1088"/>
      <c r="L338" s="1089" t="s">
        <v>159</v>
      </c>
      <c r="M338" s="1090"/>
      <c r="N338" s="1091"/>
      <c r="O338" s="1092" t="s">
        <v>159</v>
      </c>
      <c r="P338" s="1093"/>
      <c r="Q338" s="1094"/>
      <c r="R338" s="812"/>
      <c r="S338" s="1095"/>
      <c r="T338" s="813"/>
      <c r="U338" s="745"/>
      <c r="V338" s="940"/>
      <c r="W338" s="746"/>
      <c r="X338" s="312"/>
      <c r="Y338" s="308"/>
      <c r="Z338" s="312"/>
      <c r="AA338" s="308"/>
      <c r="AB338" s="312"/>
      <c r="AC338" s="308"/>
      <c r="AD338" s="312"/>
      <c r="AE338" s="308"/>
      <c r="AF338" s="312"/>
      <c r="AG338" s="308"/>
      <c r="AH338" s="312"/>
      <c r="AI338" s="308"/>
      <c r="AJ338" s="117"/>
      <c r="AK338" s="330"/>
      <c r="AL338" s="117"/>
      <c r="AM338" s="330"/>
      <c r="AN338" s="117"/>
      <c r="AO338" s="330"/>
      <c r="AP338" s="117"/>
      <c r="AQ338" s="330"/>
      <c r="AR338" s="117"/>
      <c r="AS338" s="1096" t="s">
        <v>159</v>
      </c>
      <c r="AT338" s="1097"/>
      <c r="AU338" s="1097"/>
      <c r="AV338" s="1097"/>
      <c r="AW338" s="1097"/>
      <c r="AX338" s="1097"/>
      <c r="AY338" s="1100"/>
      <c r="AZ338" s="257"/>
      <c r="BA338" s="257"/>
      <c r="BB338" s="1059" t="s">
        <v>162</v>
      </c>
      <c r="BC338" s="1060"/>
      <c r="BD338" s="1075" t="s">
        <v>159</v>
      </c>
      <c r="BE338" s="1075"/>
      <c r="BF338" s="1075"/>
      <c r="BG338" s="1076" t="s">
        <v>159</v>
      </c>
      <c r="BH338" s="1077"/>
      <c r="BI338" s="1077"/>
      <c r="BJ338" s="1078"/>
      <c r="BK338" s="1065"/>
      <c r="BL338" s="1066"/>
      <c r="BM338" s="1067"/>
      <c r="BN338" s="259"/>
      <c r="BO338" s="259"/>
      <c r="BP338" s="1076"/>
      <c r="BQ338" s="1077"/>
      <c r="BR338" s="1078"/>
      <c r="BS338" s="1075" t="s">
        <v>159</v>
      </c>
      <c r="BT338" s="1075"/>
      <c r="BU338" s="1075"/>
    </row>
    <row r="339" spans="1:73" ht="30" customHeight="1" x14ac:dyDescent="0.25">
      <c r="A339" s="199">
        <f t="shared" si="5"/>
        <v>325</v>
      </c>
      <c r="B339" s="1081" t="s">
        <v>162</v>
      </c>
      <c r="C339" s="1082"/>
      <c r="D339" s="1083" t="s">
        <v>159</v>
      </c>
      <c r="E339" s="1084"/>
      <c r="F339" s="1084"/>
      <c r="G339" s="1085"/>
      <c r="H339" s="1086" t="s">
        <v>159</v>
      </c>
      <c r="I339" s="1087"/>
      <c r="J339" s="1087"/>
      <c r="K339" s="1088"/>
      <c r="L339" s="1089" t="s">
        <v>159</v>
      </c>
      <c r="M339" s="1090"/>
      <c r="N339" s="1091"/>
      <c r="O339" s="1092" t="s">
        <v>159</v>
      </c>
      <c r="P339" s="1093"/>
      <c r="Q339" s="1094"/>
      <c r="R339" s="812"/>
      <c r="S339" s="1095"/>
      <c r="T339" s="813"/>
      <c r="U339" s="745"/>
      <c r="V339" s="940"/>
      <c r="W339" s="746"/>
      <c r="X339" s="312"/>
      <c r="Y339" s="308"/>
      <c r="Z339" s="312"/>
      <c r="AA339" s="308"/>
      <c r="AB339" s="312"/>
      <c r="AC339" s="308"/>
      <c r="AD339" s="312"/>
      <c r="AE339" s="308"/>
      <c r="AF339" s="312"/>
      <c r="AG339" s="308"/>
      <c r="AH339" s="312"/>
      <c r="AI339" s="308"/>
      <c r="AJ339" s="117"/>
      <c r="AK339" s="330"/>
      <c r="AL339" s="117"/>
      <c r="AM339" s="330"/>
      <c r="AN339" s="117"/>
      <c r="AO339" s="330"/>
      <c r="AP339" s="117"/>
      <c r="AQ339" s="330"/>
      <c r="AR339" s="117"/>
      <c r="AS339" s="1096" t="s">
        <v>159</v>
      </c>
      <c r="AT339" s="1097"/>
      <c r="AU339" s="1097"/>
      <c r="AV339" s="1097"/>
      <c r="AW339" s="1097"/>
      <c r="AX339" s="1097"/>
      <c r="AY339" s="1100"/>
      <c r="AZ339" s="257"/>
      <c r="BA339" s="257"/>
      <c r="BB339" s="1059" t="s">
        <v>162</v>
      </c>
      <c r="BC339" s="1060"/>
      <c r="BD339" s="1075" t="s">
        <v>159</v>
      </c>
      <c r="BE339" s="1075"/>
      <c r="BF339" s="1075"/>
      <c r="BG339" s="1076" t="s">
        <v>159</v>
      </c>
      <c r="BH339" s="1077"/>
      <c r="BI339" s="1077"/>
      <c r="BJ339" s="1078"/>
      <c r="BK339" s="1065"/>
      <c r="BL339" s="1066"/>
      <c r="BM339" s="1067"/>
      <c r="BN339" s="259"/>
      <c r="BO339" s="259"/>
      <c r="BP339" s="1076"/>
      <c r="BQ339" s="1077"/>
      <c r="BR339" s="1078"/>
      <c r="BS339" s="1075" t="s">
        <v>159</v>
      </c>
      <c r="BT339" s="1075"/>
      <c r="BU339" s="1075"/>
    </row>
    <row r="340" spans="1:73" ht="30" customHeight="1" x14ac:dyDescent="0.25">
      <c r="A340" s="199">
        <f t="shared" si="5"/>
        <v>326</v>
      </c>
      <c r="B340" s="1081" t="s">
        <v>162</v>
      </c>
      <c r="C340" s="1082"/>
      <c r="D340" s="1083" t="s">
        <v>159</v>
      </c>
      <c r="E340" s="1084"/>
      <c r="F340" s="1084"/>
      <c r="G340" s="1085"/>
      <c r="H340" s="1086" t="s">
        <v>159</v>
      </c>
      <c r="I340" s="1087"/>
      <c r="J340" s="1087"/>
      <c r="K340" s="1088"/>
      <c r="L340" s="1089" t="s">
        <v>159</v>
      </c>
      <c r="M340" s="1090"/>
      <c r="N340" s="1091"/>
      <c r="O340" s="1092" t="s">
        <v>159</v>
      </c>
      <c r="P340" s="1093"/>
      <c r="Q340" s="1094"/>
      <c r="R340" s="812"/>
      <c r="S340" s="1095"/>
      <c r="T340" s="813"/>
      <c r="U340" s="745"/>
      <c r="V340" s="940"/>
      <c r="W340" s="746"/>
      <c r="X340" s="312"/>
      <c r="Y340" s="308"/>
      <c r="Z340" s="312"/>
      <c r="AA340" s="308"/>
      <c r="AB340" s="312"/>
      <c r="AC340" s="308"/>
      <c r="AD340" s="312"/>
      <c r="AE340" s="308"/>
      <c r="AF340" s="312"/>
      <c r="AG340" s="308"/>
      <c r="AH340" s="312"/>
      <c r="AI340" s="308"/>
      <c r="AJ340" s="117"/>
      <c r="AK340" s="330"/>
      <c r="AL340" s="117"/>
      <c r="AM340" s="330"/>
      <c r="AN340" s="117"/>
      <c r="AO340" s="330"/>
      <c r="AP340" s="117"/>
      <c r="AQ340" s="330"/>
      <c r="AR340" s="117"/>
      <c r="AS340" s="1096" t="s">
        <v>159</v>
      </c>
      <c r="AT340" s="1097"/>
      <c r="AU340" s="1097"/>
      <c r="AV340" s="1097"/>
      <c r="AW340" s="1097"/>
      <c r="AX340" s="1097"/>
      <c r="AY340" s="1100"/>
      <c r="AZ340" s="257"/>
      <c r="BA340" s="257"/>
      <c r="BB340" s="1059" t="s">
        <v>162</v>
      </c>
      <c r="BC340" s="1060"/>
      <c r="BD340" s="1075" t="s">
        <v>159</v>
      </c>
      <c r="BE340" s="1075"/>
      <c r="BF340" s="1075"/>
      <c r="BG340" s="1076" t="s">
        <v>159</v>
      </c>
      <c r="BH340" s="1077"/>
      <c r="BI340" s="1077"/>
      <c r="BJ340" s="1078"/>
      <c r="BK340" s="1065"/>
      <c r="BL340" s="1066"/>
      <c r="BM340" s="1067"/>
      <c r="BN340" s="259"/>
      <c r="BO340" s="259"/>
      <c r="BP340" s="1076"/>
      <c r="BQ340" s="1077"/>
      <c r="BR340" s="1078"/>
      <c r="BS340" s="1075" t="s">
        <v>159</v>
      </c>
      <c r="BT340" s="1075"/>
      <c r="BU340" s="1075"/>
    </row>
    <row r="341" spans="1:73" ht="30" customHeight="1" x14ac:dyDescent="0.25">
      <c r="A341" s="199">
        <f t="shared" si="5"/>
        <v>327</v>
      </c>
      <c r="B341" s="1081" t="s">
        <v>162</v>
      </c>
      <c r="C341" s="1082"/>
      <c r="D341" s="1083" t="s">
        <v>159</v>
      </c>
      <c r="E341" s="1084"/>
      <c r="F341" s="1084"/>
      <c r="G341" s="1085"/>
      <c r="H341" s="1086" t="s">
        <v>159</v>
      </c>
      <c r="I341" s="1087"/>
      <c r="J341" s="1087"/>
      <c r="K341" s="1088"/>
      <c r="L341" s="1089" t="s">
        <v>159</v>
      </c>
      <c r="M341" s="1090"/>
      <c r="N341" s="1091"/>
      <c r="O341" s="1092" t="s">
        <v>159</v>
      </c>
      <c r="P341" s="1093"/>
      <c r="Q341" s="1094"/>
      <c r="R341" s="812"/>
      <c r="S341" s="1095"/>
      <c r="T341" s="813"/>
      <c r="U341" s="745"/>
      <c r="V341" s="940"/>
      <c r="W341" s="746"/>
      <c r="X341" s="312"/>
      <c r="Y341" s="308"/>
      <c r="Z341" s="312"/>
      <c r="AA341" s="308"/>
      <c r="AB341" s="312"/>
      <c r="AC341" s="308"/>
      <c r="AD341" s="312"/>
      <c r="AE341" s="308"/>
      <c r="AF341" s="312"/>
      <c r="AG341" s="308"/>
      <c r="AH341" s="312"/>
      <c r="AI341" s="308"/>
      <c r="AJ341" s="117"/>
      <c r="AK341" s="330"/>
      <c r="AL341" s="117"/>
      <c r="AM341" s="330"/>
      <c r="AN341" s="117"/>
      <c r="AO341" s="330"/>
      <c r="AP341" s="117"/>
      <c r="AQ341" s="330"/>
      <c r="AR341" s="117"/>
      <c r="AS341" s="1096" t="s">
        <v>159</v>
      </c>
      <c r="AT341" s="1097"/>
      <c r="AU341" s="1097"/>
      <c r="AV341" s="1097"/>
      <c r="AW341" s="1097"/>
      <c r="AX341" s="1097"/>
      <c r="AY341" s="1100"/>
      <c r="AZ341" s="257"/>
      <c r="BA341" s="257"/>
      <c r="BB341" s="1059" t="s">
        <v>162</v>
      </c>
      <c r="BC341" s="1060"/>
      <c r="BD341" s="1075" t="s">
        <v>159</v>
      </c>
      <c r="BE341" s="1075"/>
      <c r="BF341" s="1075"/>
      <c r="BG341" s="1076" t="s">
        <v>159</v>
      </c>
      <c r="BH341" s="1077"/>
      <c r="BI341" s="1077"/>
      <c r="BJ341" s="1078"/>
      <c r="BK341" s="1065"/>
      <c r="BL341" s="1066"/>
      <c r="BM341" s="1067"/>
      <c r="BN341" s="259"/>
      <c r="BO341" s="259"/>
      <c r="BP341" s="1076"/>
      <c r="BQ341" s="1077"/>
      <c r="BR341" s="1078"/>
      <c r="BS341" s="1075" t="s">
        <v>159</v>
      </c>
      <c r="BT341" s="1075"/>
      <c r="BU341" s="1075"/>
    </row>
    <row r="342" spans="1:73" ht="30" customHeight="1" x14ac:dyDescent="0.25">
      <c r="A342" s="199">
        <f t="shared" si="5"/>
        <v>328</v>
      </c>
      <c r="B342" s="1081" t="s">
        <v>162</v>
      </c>
      <c r="C342" s="1082"/>
      <c r="D342" s="1083" t="s">
        <v>159</v>
      </c>
      <c r="E342" s="1084"/>
      <c r="F342" s="1084"/>
      <c r="G342" s="1085"/>
      <c r="H342" s="1086" t="s">
        <v>159</v>
      </c>
      <c r="I342" s="1087"/>
      <c r="J342" s="1087"/>
      <c r="K342" s="1088"/>
      <c r="L342" s="1089" t="s">
        <v>159</v>
      </c>
      <c r="M342" s="1090"/>
      <c r="N342" s="1091"/>
      <c r="O342" s="1092" t="s">
        <v>159</v>
      </c>
      <c r="P342" s="1093"/>
      <c r="Q342" s="1094"/>
      <c r="R342" s="812"/>
      <c r="S342" s="1095"/>
      <c r="T342" s="813"/>
      <c r="U342" s="745"/>
      <c r="V342" s="940"/>
      <c r="W342" s="746"/>
      <c r="X342" s="312"/>
      <c r="Y342" s="308"/>
      <c r="Z342" s="312"/>
      <c r="AA342" s="308"/>
      <c r="AB342" s="312"/>
      <c r="AC342" s="308"/>
      <c r="AD342" s="312"/>
      <c r="AE342" s="308"/>
      <c r="AF342" s="312"/>
      <c r="AG342" s="308"/>
      <c r="AH342" s="312"/>
      <c r="AI342" s="308"/>
      <c r="AJ342" s="117"/>
      <c r="AK342" s="330"/>
      <c r="AL342" s="117"/>
      <c r="AM342" s="330"/>
      <c r="AN342" s="117"/>
      <c r="AO342" s="330"/>
      <c r="AP342" s="117"/>
      <c r="AQ342" s="330"/>
      <c r="AR342" s="117"/>
      <c r="AS342" s="1096" t="s">
        <v>159</v>
      </c>
      <c r="AT342" s="1097"/>
      <c r="AU342" s="1097"/>
      <c r="AV342" s="1097"/>
      <c r="AW342" s="1097"/>
      <c r="AX342" s="1097"/>
      <c r="AY342" s="1100"/>
      <c r="AZ342" s="257"/>
      <c r="BA342" s="257"/>
      <c r="BB342" s="1059" t="s">
        <v>162</v>
      </c>
      <c r="BC342" s="1060"/>
      <c r="BD342" s="1075" t="s">
        <v>159</v>
      </c>
      <c r="BE342" s="1075"/>
      <c r="BF342" s="1075"/>
      <c r="BG342" s="1076" t="s">
        <v>159</v>
      </c>
      <c r="BH342" s="1077"/>
      <c r="BI342" s="1077"/>
      <c r="BJ342" s="1078"/>
      <c r="BK342" s="1065"/>
      <c r="BL342" s="1066"/>
      <c r="BM342" s="1067"/>
      <c r="BN342" s="259"/>
      <c r="BO342" s="259"/>
      <c r="BP342" s="1076"/>
      <c r="BQ342" s="1077"/>
      <c r="BR342" s="1078"/>
      <c r="BS342" s="1075" t="s">
        <v>159</v>
      </c>
      <c r="BT342" s="1075"/>
      <c r="BU342" s="1075"/>
    </row>
    <row r="343" spans="1:73" ht="30" customHeight="1" x14ac:dyDescent="0.25">
      <c r="A343" s="199">
        <f t="shared" si="5"/>
        <v>329</v>
      </c>
      <c r="B343" s="1081" t="s">
        <v>162</v>
      </c>
      <c r="C343" s="1082"/>
      <c r="D343" s="1083" t="s">
        <v>159</v>
      </c>
      <c r="E343" s="1084"/>
      <c r="F343" s="1084"/>
      <c r="G343" s="1085"/>
      <c r="H343" s="1086" t="s">
        <v>159</v>
      </c>
      <c r="I343" s="1087"/>
      <c r="J343" s="1087"/>
      <c r="K343" s="1088"/>
      <c r="L343" s="1089" t="s">
        <v>159</v>
      </c>
      <c r="M343" s="1090"/>
      <c r="N343" s="1091"/>
      <c r="O343" s="1092" t="s">
        <v>159</v>
      </c>
      <c r="P343" s="1093"/>
      <c r="Q343" s="1094"/>
      <c r="R343" s="812"/>
      <c r="S343" s="1095"/>
      <c r="T343" s="813"/>
      <c r="U343" s="745"/>
      <c r="V343" s="940"/>
      <c r="W343" s="746"/>
      <c r="X343" s="312"/>
      <c r="Y343" s="308"/>
      <c r="Z343" s="312"/>
      <c r="AA343" s="308"/>
      <c r="AB343" s="312"/>
      <c r="AC343" s="308"/>
      <c r="AD343" s="312"/>
      <c r="AE343" s="308"/>
      <c r="AF343" s="312"/>
      <c r="AG343" s="308"/>
      <c r="AH343" s="312"/>
      <c r="AI343" s="308"/>
      <c r="AJ343" s="117"/>
      <c r="AK343" s="330"/>
      <c r="AL343" s="117"/>
      <c r="AM343" s="330"/>
      <c r="AN343" s="117"/>
      <c r="AO343" s="330"/>
      <c r="AP343" s="117"/>
      <c r="AQ343" s="330"/>
      <c r="AR343" s="117"/>
      <c r="AS343" s="1096" t="s">
        <v>159</v>
      </c>
      <c r="AT343" s="1097"/>
      <c r="AU343" s="1097"/>
      <c r="AV343" s="1097"/>
      <c r="AW343" s="1097"/>
      <c r="AX343" s="1097"/>
      <c r="AY343" s="1100"/>
      <c r="AZ343" s="257"/>
      <c r="BA343" s="257"/>
      <c r="BB343" s="1059" t="s">
        <v>162</v>
      </c>
      <c r="BC343" s="1060"/>
      <c r="BD343" s="1075" t="s">
        <v>159</v>
      </c>
      <c r="BE343" s="1075"/>
      <c r="BF343" s="1075"/>
      <c r="BG343" s="1076" t="s">
        <v>159</v>
      </c>
      <c r="BH343" s="1077"/>
      <c r="BI343" s="1077"/>
      <c r="BJ343" s="1078"/>
      <c r="BK343" s="1065"/>
      <c r="BL343" s="1066"/>
      <c r="BM343" s="1067"/>
      <c r="BN343" s="259"/>
      <c r="BO343" s="259"/>
      <c r="BP343" s="1076"/>
      <c r="BQ343" s="1077"/>
      <c r="BR343" s="1078"/>
      <c r="BS343" s="1075" t="s">
        <v>159</v>
      </c>
      <c r="BT343" s="1075"/>
      <c r="BU343" s="1075"/>
    </row>
    <row r="344" spans="1:73" ht="30" customHeight="1" x14ac:dyDescent="0.25">
      <c r="A344" s="199">
        <f t="shared" si="5"/>
        <v>330</v>
      </c>
      <c r="B344" s="1081" t="s">
        <v>162</v>
      </c>
      <c r="C344" s="1082"/>
      <c r="D344" s="1083" t="s">
        <v>159</v>
      </c>
      <c r="E344" s="1084"/>
      <c r="F344" s="1084"/>
      <c r="G344" s="1085"/>
      <c r="H344" s="1086" t="s">
        <v>159</v>
      </c>
      <c r="I344" s="1087"/>
      <c r="J344" s="1087"/>
      <c r="K344" s="1088"/>
      <c r="L344" s="1089" t="s">
        <v>159</v>
      </c>
      <c r="M344" s="1090"/>
      <c r="N344" s="1091"/>
      <c r="O344" s="1092" t="s">
        <v>159</v>
      </c>
      <c r="P344" s="1093"/>
      <c r="Q344" s="1094"/>
      <c r="R344" s="812"/>
      <c r="S344" s="1095"/>
      <c r="T344" s="813"/>
      <c r="U344" s="745"/>
      <c r="V344" s="940"/>
      <c r="W344" s="746"/>
      <c r="X344" s="312"/>
      <c r="Y344" s="308"/>
      <c r="Z344" s="312"/>
      <c r="AA344" s="308"/>
      <c r="AB344" s="312"/>
      <c r="AC344" s="308"/>
      <c r="AD344" s="312"/>
      <c r="AE344" s="308"/>
      <c r="AF344" s="312"/>
      <c r="AG344" s="308"/>
      <c r="AH344" s="312"/>
      <c r="AI344" s="308"/>
      <c r="AJ344" s="117"/>
      <c r="AK344" s="330"/>
      <c r="AL344" s="117"/>
      <c r="AM344" s="330"/>
      <c r="AN344" s="117"/>
      <c r="AO344" s="330"/>
      <c r="AP344" s="117"/>
      <c r="AQ344" s="330"/>
      <c r="AR344" s="117"/>
      <c r="AS344" s="1096" t="s">
        <v>159</v>
      </c>
      <c r="AT344" s="1097"/>
      <c r="AU344" s="1097"/>
      <c r="AV344" s="1097"/>
      <c r="AW344" s="1097"/>
      <c r="AX344" s="1097"/>
      <c r="AY344" s="1100"/>
      <c r="AZ344" s="257"/>
      <c r="BA344" s="257"/>
      <c r="BB344" s="1079" t="s">
        <v>162</v>
      </c>
      <c r="BC344" s="1080"/>
      <c r="BD344" s="1075" t="s">
        <v>159</v>
      </c>
      <c r="BE344" s="1075"/>
      <c r="BF344" s="1075"/>
      <c r="BG344" s="1076" t="s">
        <v>159</v>
      </c>
      <c r="BH344" s="1077"/>
      <c r="BI344" s="1077"/>
      <c r="BJ344" s="1078"/>
      <c r="BK344" s="1065"/>
      <c r="BL344" s="1066"/>
      <c r="BM344" s="1067"/>
      <c r="BN344" s="259"/>
      <c r="BO344" s="259"/>
      <c r="BP344" s="1076"/>
      <c r="BQ344" s="1077"/>
      <c r="BR344" s="1078"/>
      <c r="BS344" s="1075" t="s">
        <v>159</v>
      </c>
      <c r="BT344" s="1075"/>
      <c r="BU344" s="1075"/>
    </row>
    <row r="345" spans="1:73" ht="30" customHeight="1" x14ac:dyDescent="0.25">
      <c r="A345" s="199">
        <f t="shared" si="5"/>
        <v>331</v>
      </c>
      <c r="B345" s="1081" t="s">
        <v>162</v>
      </c>
      <c r="C345" s="1082"/>
      <c r="D345" s="1083" t="s">
        <v>159</v>
      </c>
      <c r="E345" s="1084"/>
      <c r="F345" s="1084"/>
      <c r="G345" s="1085"/>
      <c r="H345" s="1086" t="s">
        <v>159</v>
      </c>
      <c r="I345" s="1087"/>
      <c r="J345" s="1087"/>
      <c r="K345" s="1088"/>
      <c r="L345" s="1089" t="s">
        <v>159</v>
      </c>
      <c r="M345" s="1090"/>
      <c r="N345" s="1091"/>
      <c r="O345" s="1092" t="s">
        <v>159</v>
      </c>
      <c r="P345" s="1093"/>
      <c r="Q345" s="1094"/>
      <c r="R345" s="812"/>
      <c r="S345" s="1095"/>
      <c r="T345" s="813"/>
      <c r="U345" s="745"/>
      <c r="V345" s="940"/>
      <c r="W345" s="746"/>
      <c r="X345" s="312"/>
      <c r="Y345" s="308"/>
      <c r="Z345" s="312"/>
      <c r="AA345" s="308"/>
      <c r="AB345" s="312"/>
      <c r="AC345" s="308"/>
      <c r="AD345" s="312"/>
      <c r="AE345" s="308"/>
      <c r="AF345" s="312"/>
      <c r="AG345" s="308"/>
      <c r="AH345" s="312"/>
      <c r="AI345" s="308"/>
      <c r="AJ345" s="117"/>
      <c r="AK345" s="330"/>
      <c r="AL345" s="117"/>
      <c r="AM345" s="330"/>
      <c r="AN345" s="117"/>
      <c r="AO345" s="330"/>
      <c r="AP345" s="117"/>
      <c r="AQ345" s="330"/>
      <c r="AR345" s="117"/>
      <c r="AS345" s="1096" t="s">
        <v>159</v>
      </c>
      <c r="AT345" s="1097"/>
      <c r="AU345" s="1097"/>
      <c r="AV345" s="1097"/>
      <c r="AW345" s="1097"/>
      <c r="AX345" s="1097"/>
      <c r="AY345" s="1100"/>
      <c r="AZ345" s="257"/>
      <c r="BA345" s="257"/>
      <c r="BB345" s="1059" t="s">
        <v>162</v>
      </c>
      <c r="BC345" s="1060"/>
      <c r="BD345" s="1075" t="s">
        <v>159</v>
      </c>
      <c r="BE345" s="1075"/>
      <c r="BF345" s="1075"/>
      <c r="BG345" s="1076" t="s">
        <v>159</v>
      </c>
      <c r="BH345" s="1077"/>
      <c r="BI345" s="1077"/>
      <c r="BJ345" s="1078"/>
      <c r="BK345" s="1065"/>
      <c r="BL345" s="1066"/>
      <c r="BM345" s="1067"/>
      <c r="BN345" s="259"/>
      <c r="BO345" s="259"/>
      <c r="BP345" s="1076"/>
      <c r="BQ345" s="1077"/>
      <c r="BR345" s="1078"/>
      <c r="BS345" s="1075" t="s">
        <v>159</v>
      </c>
      <c r="BT345" s="1075"/>
      <c r="BU345" s="1075"/>
    </row>
    <row r="346" spans="1:73" ht="30" customHeight="1" x14ac:dyDescent="0.25">
      <c r="A346" s="199">
        <f t="shared" si="5"/>
        <v>332</v>
      </c>
      <c r="B346" s="1081" t="s">
        <v>162</v>
      </c>
      <c r="C346" s="1082"/>
      <c r="D346" s="1083" t="s">
        <v>159</v>
      </c>
      <c r="E346" s="1084"/>
      <c r="F346" s="1084"/>
      <c r="G346" s="1085"/>
      <c r="H346" s="1086" t="s">
        <v>159</v>
      </c>
      <c r="I346" s="1087"/>
      <c r="J346" s="1087"/>
      <c r="K346" s="1088"/>
      <c r="L346" s="1089" t="s">
        <v>159</v>
      </c>
      <c r="M346" s="1090"/>
      <c r="N346" s="1091"/>
      <c r="O346" s="1092" t="s">
        <v>159</v>
      </c>
      <c r="P346" s="1093"/>
      <c r="Q346" s="1094"/>
      <c r="R346" s="812"/>
      <c r="S346" s="1095"/>
      <c r="T346" s="813"/>
      <c r="U346" s="745"/>
      <c r="V346" s="940"/>
      <c r="W346" s="746"/>
      <c r="X346" s="312"/>
      <c r="Y346" s="308"/>
      <c r="Z346" s="312"/>
      <c r="AA346" s="308"/>
      <c r="AB346" s="312"/>
      <c r="AC346" s="308"/>
      <c r="AD346" s="312"/>
      <c r="AE346" s="308"/>
      <c r="AF346" s="312"/>
      <c r="AG346" s="308"/>
      <c r="AH346" s="312"/>
      <c r="AI346" s="308"/>
      <c r="AJ346" s="117"/>
      <c r="AK346" s="330"/>
      <c r="AL346" s="117"/>
      <c r="AM346" s="330"/>
      <c r="AN346" s="117"/>
      <c r="AO346" s="330"/>
      <c r="AP346" s="117"/>
      <c r="AQ346" s="330"/>
      <c r="AR346" s="117"/>
      <c r="AS346" s="1096" t="s">
        <v>159</v>
      </c>
      <c r="AT346" s="1097"/>
      <c r="AU346" s="1097"/>
      <c r="AV346" s="1097"/>
      <c r="AW346" s="1097"/>
      <c r="AX346" s="1097"/>
      <c r="AY346" s="1100"/>
      <c r="AZ346" s="257"/>
      <c r="BA346" s="257"/>
      <c r="BB346" s="1059" t="s">
        <v>162</v>
      </c>
      <c r="BC346" s="1060"/>
      <c r="BD346" s="1075" t="s">
        <v>159</v>
      </c>
      <c r="BE346" s="1075"/>
      <c r="BF346" s="1075"/>
      <c r="BG346" s="1076" t="s">
        <v>159</v>
      </c>
      <c r="BH346" s="1077"/>
      <c r="BI346" s="1077"/>
      <c r="BJ346" s="1078"/>
      <c r="BK346" s="1065"/>
      <c r="BL346" s="1066"/>
      <c r="BM346" s="1067"/>
      <c r="BN346" s="259"/>
      <c r="BO346" s="259"/>
      <c r="BP346" s="1076"/>
      <c r="BQ346" s="1077"/>
      <c r="BR346" s="1078"/>
      <c r="BS346" s="1075" t="s">
        <v>159</v>
      </c>
      <c r="BT346" s="1075"/>
      <c r="BU346" s="1075"/>
    </row>
    <row r="347" spans="1:73" ht="30" customHeight="1" x14ac:dyDescent="0.25">
      <c r="A347" s="199">
        <f t="shared" si="5"/>
        <v>333</v>
      </c>
      <c r="B347" s="1081" t="s">
        <v>162</v>
      </c>
      <c r="C347" s="1082"/>
      <c r="D347" s="1083" t="s">
        <v>159</v>
      </c>
      <c r="E347" s="1084"/>
      <c r="F347" s="1084"/>
      <c r="G347" s="1085"/>
      <c r="H347" s="1086" t="s">
        <v>159</v>
      </c>
      <c r="I347" s="1087"/>
      <c r="J347" s="1087"/>
      <c r="K347" s="1088"/>
      <c r="L347" s="1089" t="s">
        <v>159</v>
      </c>
      <c r="M347" s="1090"/>
      <c r="N347" s="1091"/>
      <c r="O347" s="1092" t="s">
        <v>159</v>
      </c>
      <c r="P347" s="1093"/>
      <c r="Q347" s="1094"/>
      <c r="R347" s="812"/>
      <c r="S347" s="1095"/>
      <c r="T347" s="813"/>
      <c r="U347" s="745"/>
      <c r="V347" s="940"/>
      <c r="W347" s="746"/>
      <c r="X347" s="312"/>
      <c r="Y347" s="308"/>
      <c r="Z347" s="312"/>
      <c r="AA347" s="308"/>
      <c r="AB347" s="312"/>
      <c r="AC347" s="308"/>
      <c r="AD347" s="312"/>
      <c r="AE347" s="308"/>
      <c r="AF347" s="312"/>
      <c r="AG347" s="308"/>
      <c r="AH347" s="312"/>
      <c r="AI347" s="308"/>
      <c r="AJ347" s="117"/>
      <c r="AK347" s="330"/>
      <c r="AL347" s="117"/>
      <c r="AM347" s="330"/>
      <c r="AN347" s="117"/>
      <c r="AO347" s="330"/>
      <c r="AP347" s="117"/>
      <c r="AQ347" s="330"/>
      <c r="AR347" s="117"/>
      <c r="AS347" s="1096" t="s">
        <v>159</v>
      </c>
      <c r="AT347" s="1097"/>
      <c r="AU347" s="1097"/>
      <c r="AV347" s="1097"/>
      <c r="AW347" s="1097"/>
      <c r="AX347" s="1097"/>
      <c r="AY347" s="1100"/>
      <c r="AZ347" s="257"/>
      <c r="BA347" s="257"/>
      <c r="BB347" s="1059" t="s">
        <v>162</v>
      </c>
      <c r="BC347" s="1060"/>
      <c r="BD347" s="1075" t="s">
        <v>159</v>
      </c>
      <c r="BE347" s="1075"/>
      <c r="BF347" s="1075"/>
      <c r="BG347" s="1076" t="s">
        <v>159</v>
      </c>
      <c r="BH347" s="1077"/>
      <c r="BI347" s="1077"/>
      <c r="BJ347" s="1078"/>
      <c r="BK347" s="1065"/>
      <c r="BL347" s="1066"/>
      <c r="BM347" s="1067"/>
      <c r="BN347" s="259"/>
      <c r="BO347" s="259"/>
      <c r="BP347" s="1076"/>
      <c r="BQ347" s="1077"/>
      <c r="BR347" s="1078"/>
      <c r="BS347" s="1075" t="s">
        <v>159</v>
      </c>
      <c r="BT347" s="1075"/>
      <c r="BU347" s="1075"/>
    </row>
    <row r="348" spans="1:73" ht="30" customHeight="1" x14ac:dyDescent="0.25">
      <c r="A348" s="199">
        <f t="shared" si="5"/>
        <v>334</v>
      </c>
      <c r="B348" s="1081" t="s">
        <v>162</v>
      </c>
      <c r="C348" s="1082"/>
      <c r="D348" s="1083" t="s">
        <v>159</v>
      </c>
      <c r="E348" s="1084"/>
      <c r="F348" s="1084"/>
      <c r="G348" s="1085"/>
      <c r="H348" s="1086" t="s">
        <v>159</v>
      </c>
      <c r="I348" s="1087"/>
      <c r="J348" s="1087"/>
      <c r="K348" s="1088"/>
      <c r="L348" s="1089" t="s">
        <v>159</v>
      </c>
      <c r="M348" s="1090"/>
      <c r="N348" s="1091"/>
      <c r="O348" s="1092" t="s">
        <v>159</v>
      </c>
      <c r="P348" s="1093"/>
      <c r="Q348" s="1094"/>
      <c r="R348" s="812"/>
      <c r="S348" s="1095"/>
      <c r="T348" s="813"/>
      <c r="U348" s="745"/>
      <c r="V348" s="940"/>
      <c r="W348" s="746"/>
      <c r="X348" s="312"/>
      <c r="Y348" s="308"/>
      <c r="Z348" s="312"/>
      <c r="AA348" s="308"/>
      <c r="AB348" s="312"/>
      <c r="AC348" s="308"/>
      <c r="AD348" s="312"/>
      <c r="AE348" s="308"/>
      <c r="AF348" s="312"/>
      <c r="AG348" s="308"/>
      <c r="AH348" s="312"/>
      <c r="AI348" s="308"/>
      <c r="AJ348" s="117"/>
      <c r="AK348" s="330"/>
      <c r="AL348" s="117"/>
      <c r="AM348" s="330"/>
      <c r="AN348" s="117"/>
      <c r="AO348" s="330"/>
      <c r="AP348" s="117"/>
      <c r="AQ348" s="330"/>
      <c r="AR348" s="117"/>
      <c r="AS348" s="1096" t="s">
        <v>159</v>
      </c>
      <c r="AT348" s="1097"/>
      <c r="AU348" s="1097"/>
      <c r="AV348" s="1097"/>
      <c r="AW348" s="1097"/>
      <c r="AX348" s="1097"/>
      <c r="AY348" s="1100"/>
      <c r="AZ348" s="257"/>
      <c r="BA348" s="257"/>
      <c r="BB348" s="1059" t="s">
        <v>162</v>
      </c>
      <c r="BC348" s="1060"/>
      <c r="BD348" s="1075" t="s">
        <v>159</v>
      </c>
      <c r="BE348" s="1075"/>
      <c r="BF348" s="1075"/>
      <c r="BG348" s="1076" t="s">
        <v>159</v>
      </c>
      <c r="BH348" s="1077"/>
      <c r="BI348" s="1077"/>
      <c r="BJ348" s="1078"/>
      <c r="BK348" s="1065"/>
      <c r="BL348" s="1066"/>
      <c r="BM348" s="1067"/>
      <c r="BN348" s="259"/>
      <c r="BO348" s="259"/>
      <c r="BP348" s="1076"/>
      <c r="BQ348" s="1077"/>
      <c r="BR348" s="1078"/>
      <c r="BS348" s="1075" t="s">
        <v>159</v>
      </c>
      <c r="BT348" s="1075"/>
      <c r="BU348" s="1075"/>
    </row>
    <row r="349" spans="1:73" ht="30" customHeight="1" x14ac:dyDescent="0.25">
      <c r="A349" s="199">
        <f t="shared" si="5"/>
        <v>335</v>
      </c>
      <c r="B349" s="1081" t="s">
        <v>162</v>
      </c>
      <c r="C349" s="1082"/>
      <c r="D349" s="1083" t="s">
        <v>159</v>
      </c>
      <c r="E349" s="1084"/>
      <c r="F349" s="1084"/>
      <c r="G349" s="1085"/>
      <c r="H349" s="1086" t="s">
        <v>159</v>
      </c>
      <c r="I349" s="1087"/>
      <c r="J349" s="1087"/>
      <c r="K349" s="1088"/>
      <c r="L349" s="1089" t="s">
        <v>159</v>
      </c>
      <c r="M349" s="1090"/>
      <c r="N349" s="1091"/>
      <c r="O349" s="1092" t="s">
        <v>159</v>
      </c>
      <c r="P349" s="1093"/>
      <c r="Q349" s="1094"/>
      <c r="R349" s="812"/>
      <c r="S349" s="1095"/>
      <c r="T349" s="813"/>
      <c r="U349" s="745"/>
      <c r="V349" s="940"/>
      <c r="W349" s="746"/>
      <c r="X349" s="312"/>
      <c r="Y349" s="308"/>
      <c r="Z349" s="312"/>
      <c r="AA349" s="308"/>
      <c r="AB349" s="312"/>
      <c r="AC349" s="308"/>
      <c r="AD349" s="312"/>
      <c r="AE349" s="308"/>
      <c r="AF349" s="312"/>
      <c r="AG349" s="308"/>
      <c r="AH349" s="312"/>
      <c r="AI349" s="308"/>
      <c r="AJ349" s="117"/>
      <c r="AK349" s="330"/>
      <c r="AL349" s="117"/>
      <c r="AM349" s="330"/>
      <c r="AN349" s="117"/>
      <c r="AO349" s="330"/>
      <c r="AP349" s="117"/>
      <c r="AQ349" s="330"/>
      <c r="AR349" s="117"/>
      <c r="AS349" s="1096" t="s">
        <v>159</v>
      </c>
      <c r="AT349" s="1097"/>
      <c r="AU349" s="1097"/>
      <c r="AV349" s="1097"/>
      <c r="AW349" s="1097"/>
      <c r="AX349" s="1097"/>
      <c r="AY349" s="1100"/>
      <c r="AZ349" s="257"/>
      <c r="BA349" s="257"/>
      <c r="BB349" s="1059" t="s">
        <v>162</v>
      </c>
      <c r="BC349" s="1060"/>
      <c r="BD349" s="1075" t="s">
        <v>159</v>
      </c>
      <c r="BE349" s="1075"/>
      <c r="BF349" s="1075"/>
      <c r="BG349" s="1076" t="s">
        <v>159</v>
      </c>
      <c r="BH349" s="1077"/>
      <c r="BI349" s="1077"/>
      <c r="BJ349" s="1078"/>
      <c r="BK349" s="1065"/>
      <c r="BL349" s="1066"/>
      <c r="BM349" s="1067"/>
      <c r="BN349" s="259"/>
      <c r="BO349" s="259"/>
      <c r="BP349" s="1076"/>
      <c r="BQ349" s="1077"/>
      <c r="BR349" s="1078"/>
      <c r="BS349" s="1075" t="s">
        <v>159</v>
      </c>
      <c r="BT349" s="1075"/>
      <c r="BU349" s="1075"/>
    </row>
    <row r="350" spans="1:73" ht="30" customHeight="1" x14ac:dyDescent="0.25">
      <c r="A350" s="199">
        <f t="shared" si="5"/>
        <v>336</v>
      </c>
      <c r="B350" s="1081" t="s">
        <v>162</v>
      </c>
      <c r="C350" s="1082"/>
      <c r="D350" s="1083" t="s">
        <v>159</v>
      </c>
      <c r="E350" s="1084"/>
      <c r="F350" s="1084"/>
      <c r="G350" s="1085"/>
      <c r="H350" s="1086" t="s">
        <v>159</v>
      </c>
      <c r="I350" s="1087"/>
      <c r="J350" s="1087"/>
      <c r="K350" s="1088"/>
      <c r="L350" s="1089" t="s">
        <v>159</v>
      </c>
      <c r="M350" s="1090"/>
      <c r="N350" s="1091"/>
      <c r="O350" s="1092" t="s">
        <v>159</v>
      </c>
      <c r="P350" s="1093"/>
      <c r="Q350" s="1094"/>
      <c r="R350" s="812"/>
      <c r="S350" s="1095"/>
      <c r="T350" s="813"/>
      <c r="U350" s="745"/>
      <c r="V350" s="940"/>
      <c r="W350" s="746"/>
      <c r="X350" s="312"/>
      <c r="Y350" s="308"/>
      <c r="Z350" s="312"/>
      <c r="AA350" s="308"/>
      <c r="AB350" s="312"/>
      <c r="AC350" s="308"/>
      <c r="AD350" s="312"/>
      <c r="AE350" s="308"/>
      <c r="AF350" s="312"/>
      <c r="AG350" s="308"/>
      <c r="AH350" s="312"/>
      <c r="AI350" s="308"/>
      <c r="AJ350" s="117"/>
      <c r="AK350" s="330"/>
      <c r="AL350" s="117"/>
      <c r="AM350" s="330"/>
      <c r="AN350" s="117"/>
      <c r="AO350" s="330"/>
      <c r="AP350" s="117"/>
      <c r="AQ350" s="330"/>
      <c r="AR350" s="117"/>
      <c r="AS350" s="1096" t="s">
        <v>159</v>
      </c>
      <c r="AT350" s="1097"/>
      <c r="AU350" s="1097"/>
      <c r="AV350" s="1097"/>
      <c r="AW350" s="1097"/>
      <c r="AX350" s="1097"/>
      <c r="AY350" s="1100"/>
      <c r="AZ350" s="257"/>
      <c r="BA350" s="257"/>
      <c r="BB350" s="1059" t="s">
        <v>162</v>
      </c>
      <c r="BC350" s="1060"/>
      <c r="BD350" s="1075" t="s">
        <v>159</v>
      </c>
      <c r="BE350" s="1075"/>
      <c r="BF350" s="1075"/>
      <c r="BG350" s="1076" t="s">
        <v>159</v>
      </c>
      <c r="BH350" s="1077"/>
      <c r="BI350" s="1077"/>
      <c r="BJ350" s="1078"/>
      <c r="BK350" s="1065"/>
      <c r="BL350" s="1066"/>
      <c r="BM350" s="1067"/>
      <c r="BN350" s="259"/>
      <c r="BO350" s="259"/>
      <c r="BP350" s="1076"/>
      <c r="BQ350" s="1077"/>
      <c r="BR350" s="1078"/>
      <c r="BS350" s="1075" t="s">
        <v>159</v>
      </c>
      <c r="BT350" s="1075"/>
      <c r="BU350" s="1075"/>
    </row>
    <row r="351" spans="1:73" ht="30" customHeight="1" x14ac:dyDescent="0.25">
      <c r="A351" s="199">
        <f t="shared" si="5"/>
        <v>337</v>
      </c>
      <c r="B351" s="1081" t="s">
        <v>162</v>
      </c>
      <c r="C351" s="1082"/>
      <c r="D351" s="1083" t="s">
        <v>159</v>
      </c>
      <c r="E351" s="1084"/>
      <c r="F351" s="1084"/>
      <c r="G351" s="1085"/>
      <c r="H351" s="1086" t="s">
        <v>159</v>
      </c>
      <c r="I351" s="1087"/>
      <c r="J351" s="1087"/>
      <c r="K351" s="1088"/>
      <c r="L351" s="1089" t="s">
        <v>159</v>
      </c>
      <c r="M351" s="1090"/>
      <c r="N351" s="1091"/>
      <c r="O351" s="1092" t="s">
        <v>159</v>
      </c>
      <c r="P351" s="1093"/>
      <c r="Q351" s="1094"/>
      <c r="R351" s="812"/>
      <c r="S351" s="1095"/>
      <c r="T351" s="813"/>
      <c r="U351" s="745"/>
      <c r="V351" s="940"/>
      <c r="W351" s="746"/>
      <c r="X351" s="312"/>
      <c r="Y351" s="308"/>
      <c r="Z351" s="312"/>
      <c r="AA351" s="308"/>
      <c r="AB351" s="312"/>
      <c r="AC351" s="308"/>
      <c r="AD351" s="312"/>
      <c r="AE351" s="308"/>
      <c r="AF351" s="312"/>
      <c r="AG351" s="308"/>
      <c r="AH351" s="312"/>
      <c r="AI351" s="308"/>
      <c r="AJ351" s="117"/>
      <c r="AK351" s="330"/>
      <c r="AL351" s="117"/>
      <c r="AM351" s="330"/>
      <c r="AN351" s="117"/>
      <c r="AO351" s="330"/>
      <c r="AP351" s="117"/>
      <c r="AQ351" s="330"/>
      <c r="AR351" s="117"/>
      <c r="AS351" s="1096" t="s">
        <v>159</v>
      </c>
      <c r="AT351" s="1097"/>
      <c r="AU351" s="1097"/>
      <c r="AV351" s="1097"/>
      <c r="AW351" s="1097"/>
      <c r="AX351" s="1097"/>
      <c r="AY351" s="1100"/>
      <c r="AZ351" s="257"/>
      <c r="BA351" s="257"/>
      <c r="BB351" s="1059" t="s">
        <v>162</v>
      </c>
      <c r="BC351" s="1060"/>
      <c r="BD351" s="1075" t="s">
        <v>159</v>
      </c>
      <c r="BE351" s="1075"/>
      <c r="BF351" s="1075"/>
      <c r="BG351" s="1076" t="s">
        <v>159</v>
      </c>
      <c r="BH351" s="1077"/>
      <c r="BI351" s="1077"/>
      <c r="BJ351" s="1078"/>
      <c r="BK351" s="1065"/>
      <c r="BL351" s="1066"/>
      <c r="BM351" s="1067"/>
      <c r="BN351" s="259"/>
      <c r="BO351" s="259"/>
      <c r="BP351" s="1076"/>
      <c r="BQ351" s="1077"/>
      <c r="BR351" s="1078"/>
      <c r="BS351" s="1075" t="s">
        <v>159</v>
      </c>
      <c r="BT351" s="1075"/>
      <c r="BU351" s="1075"/>
    </row>
    <row r="352" spans="1:73" ht="30" customHeight="1" x14ac:dyDescent="0.25">
      <c r="A352" s="199">
        <f t="shared" si="5"/>
        <v>338</v>
      </c>
      <c r="B352" s="1081" t="s">
        <v>162</v>
      </c>
      <c r="C352" s="1082"/>
      <c r="D352" s="1083" t="s">
        <v>159</v>
      </c>
      <c r="E352" s="1084"/>
      <c r="F352" s="1084"/>
      <c r="G352" s="1085"/>
      <c r="H352" s="1086" t="s">
        <v>159</v>
      </c>
      <c r="I352" s="1087"/>
      <c r="J352" s="1087"/>
      <c r="K352" s="1088"/>
      <c r="L352" s="1089" t="s">
        <v>159</v>
      </c>
      <c r="M352" s="1090"/>
      <c r="N352" s="1091"/>
      <c r="O352" s="1092" t="s">
        <v>159</v>
      </c>
      <c r="P352" s="1093"/>
      <c r="Q352" s="1094"/>
      <c r="R352" s="812"/>
      <c r="S352" s="1095"/>
      <c r="T352" s="813"/>
      <c r="U352" s="745"/>
      <c r="V352" s="940"/>
      <c r="W352" s="746"/>
      <c r="X352" s="312"/>
      <c r="Y352" s="308"/>
      <c r="Z352" s="312"/>
      <c r="AA352" s="308"/>
      <c r="AB352" s="312"/>
      <c r="AC352" s="308"/>
      <c r="AD352" s="312"/>
      <c r="AE352" s="308"/>
      <c r="AF352" s="312"/>
      <c r="AG352" s="308"/>
      <c r="AH352" s="312"/>
      <c r="AI352" s="308"/>
      <c r="AJ352" s="117"/>
      <c r="AK352" s="330"/>
      <c r="AL352" s="117"/>
      <c r="AM352" s="330"/>
      <c r="AN352" s="117"/>
      <c r="AO352" s="330"/>
      <c r="AP352" s="117"/>
      <c r="AQ352" s="330"/>
      <c r="AR352" s="117"/>
      <c r="AS352" s="1096" t="s">
        <v>159</v>
      </c>
      <c r="AT352" s="1097"/>
      <c r="AU352" s="1097"/>
      <c r="AV352" s="1097"/>
      <c r="AW352" s="1097"/>
      <c r="AX352" s="1097"/>
      <c r="AY352" s="1100"/>
      <c r="AZ352" s="257"/>
      <c r="BA352" s="257"/>
      <c r="BB352" s="1059" t="s">
        <v>162</v>
      </c>
      <c r="BC352" s="1060"/>
      <c r="BD352" s="1075" t="s">
        <v>159</v>
      </c>
      <c r="BE352" s="1075"/>
      <c r="BF352" s="1075"/>
      <c r="BG352" s="1076" t="s">
        <v>159</v>
      </c>
      <c r="BH352" s="1077"/>
      <c r="BI352" s="1077"/>
      <c r="BJ352" s="1078"/>
      <c r="BK352" s="1065"/>
      <c r="BL352" s="1066"/>
      <c r="BM352" s="1067"/>
      <c r="BN352" s="259"/>
      <c r="BO352" s="259"/>
      <c r="BP352" s="1076"/>
      <c r="BQ352" s="1077"/>
      <c r="BR352" s="1078"/>
      <c r="BS352" s="1075" t="s">
        <v>159</v>
      </c>
      <c r="BT352" s="1075"/>
      <c r="BU352" s="1075"/>
    </row>
    <row r="353" spans="1:73" ht="30" customHeight="1" x14ac:dyDescent="0.25">
      <c r="A353" s="199">
        <f t="shared" si="5"/>
        <v>339</v>
      </c>
      <c r="B353" s="1081" t="s">
        <v>162</v>
      </c>
      <c r="C353" s="1082"/>
      <c r="D353" s="1083" t="s">
        <v>159</v>
      </c>
      <c r="E353" s="1084"/>
      <c r="F353" s="1084"/>
      <c r="G353" s="1085"/>
      <c r="H353" s="1086" t="s">
        <v>159</v>
      </c>
      <c r="I353" s="1087"/>
      <c r="J353" s="1087"/>
      <c r="K353" s="1088"/>
      <c r="L353" s="1089" t="s">
        <v>159</v>
      </c>
      <c r="M353" s="1090"/>
      <c r="N353" s="1091"/>
      <c r="O353" s="1092" t="s">
        <v>159</v>
      </c>
      <c r="P353" s="1093"/>
      <c r="Q353" s="1094"/>
      <c r="R353" s="812"/>
      <c r="S353" s="1095"/>
      <c r="T353" s="813"/>
      <c r="U353" s="745"/>
      <c r="V353" s="940"/>
      <c r="W353" s="746"/>
      <c r="X353" s="312"/>
      <c r="Y353" s="308"/>
      <c r="Z353" s="312"/>
      <c r="AA353" s="308"/>
      <c r="AB353" s="312"/>
      <c r="AC353" s="308"/>
      <c r="AD353" s="312"/>
      <c r="AE353" s="308"/>
      <c r="AF353" s="312"/>
      <c r="AG353" s="308"/>
      <c r="AH353" s="312"/>
      <c r="AI353" s="308"/>
      <c r="AJ353" s="117"/>
      <c r="AK353" s="330"/>
      <c r="AL353" s="117"/>
      <c r="AM353" s="330"/>
      <c r="AN353" s="117"/>
      <c r="AO353" s="330"/>
      <c r="AP353" s="117"/>
      <c r="AQ353" s="330"/>
      <c r="AR353" s="117"/>
      <c r="AS353" s="1096" t="s">
        <v>159</v>
      </c>
      <c r="AT353" s="1097"/>
      <c r="AU353" s="1097"/>
      <c r="AV353" s="1097"/>
      <c r="AW353" s="1097"/>
      <c r="AX353" s="1097"/>
      <c r="AY353" s="1100"/>
      <c r="AZ353" s="257"/>
      <c r="BA353" s="257"/>
      <c r="BB353" s="1059" t="s">
        <v>162</v>
      </c>
      <c r="BC353" s="1060"/>
      <c r="BD353" s="1061" t="s">
        <v>159</v>
      </c>
      <c r="BE353" s="1061"/>
      <c r="BF353" s="1061"/>
      <c r="BG353" s="1062" t="s">
        <v>159</v>
      </c>
      <c r="BH353" s="1063"/>
      <c r="BI353" s="1063"/>
      <c r="BJ353" s="1064"/>
      <c r="BK353" s="1065"/>
      <c r="BL353" s="1066"/>
      <c r="BM353" s="1067"/>
      <c r="BN353" s="259"/>
      <c r="BO353" s="259"/>
      <c r="BP353" s="1062"/>
      <c r="BQ353" s="1063"/>
      <c r="BR353" s="1064"/>
      <c r="BS353" s="1061" t="s">
        <v>159</v>
      </c>
      <c r="BT353" s="1061"/>
      <c r="BU353" s="1061"/>
    </row>
    <row r="354" spans="1:73" ht="30" customHeight="1" x14ac:dyDescent="0.25">
      <c r="A354" s="199">
        <f t="shared" si="5"/>
        <v>340</v>
      </c>
      <c r="B354" s="1081" t="s">
        <v>162</v>
      </c>
      <c r="C354" s="1082"/>
      <c r="D354" s="1083" t="s">
        <v>159</v>
      </c>
      <c r="E354" s="1084"/>
      <c r="F354" s="1084"/>
      <c r="G354" s="1085"/>
      <c r="H354" s="1086" t="s">
        <v>159</v>
      </c>
      <c r="I354" s="1087"/>
      <c r="J354" s="1087"/>
      <c r="K354" s="1088"/>
      <c r="L354" s="1089" t="s">
        <v>159</v>
      </c>
      <c r="M354" s="1090"/>
      <c r="N354" s="1091"/>
      <c r="O354" s="1092" t="s">
        <v>159</v>
      </c>
      <c r="P354" s="1093"/>
      <c r="Q354" s="1094"/>
      <c r="R354" s="812"/>
      <c r="S354" s="1095"/>
      <c r="T354" s="813"/>
      <c r="U354" s="745"/>
      <c r="V354" s="940"/>
      <c r="W354" s="746"/>
      <c r="X354" s="312"/>
      <c r="Y354" s="308"/>
      <c r="Z354" s="312"/>
      <c r="AA354" s="308"/>
      <c r="AB354" s="312"/>
      <c r="AC354" s="308"/>
      <c r="AD354" s="312"/>
      <c r="AE354" s="308"/>
      <c r="AF354" s="312"/>
      <c r="AG354" s="308"/>
      <c r="AH354" s="312"/>
      <c r="AI354" s="308"/>
      <c r="AJ354" s="117"/>
      <c r="AK354" s="330"/>
      <c r="AL354" s="117"/>
      <c r="AM354" s="330"/>
      <c r="AN354" s="117"/>
      <c r="AO354" s="330"/>
      <c r="AP354" s="117"/>
      <c r="AQ354" s="330"/>
      <c r="AR354" s="117"/>
      <c r="AS354" s="1096" t="s">
        <v>159</v>
      </c>
      <c r="AT354" s="1097"/>
      <c r="AU354" s="1097"/>
      <c r="AV354" s="1097"/>
      <c r="AW354" s="1097"/>
      <c r="AX354" s="1097"/>
      <c r="AY354" s="1100"/>
      <c r="AZ354" s="257"/>
      <c r="BA354" s="257"/>
      <c r="BB354" s="1059" t="s">
        <v>162</v>
      </c>
      <c r="BC354" s="1060"/>
      <c r="BD354" s="1061" t="s">
        <v>159</v>
      </c>
      <c r="BE354" s="1061"/>
      <c r="BF354" s="1061"/>
      <c r="BG354" s="1062" t="s">
        <v>159</v>
      </c>
      <c r="BH354" s="1063"/>
      <c r="BI354" s="1063"/>
      <c r="BJ354" s="1064"/>
      <c r="BK354" s="1065"/>
      <c r="BL354" s="1066"/>
      <c r="BM354" s="1067"/>
      <c r="BN354" s="259"/>
      <c r="BO354" s="259"/>
      <c r="BP354" s="1062"/>
      <c r="BQ354" s="1063"/>
      <c r="BR354" s="1064"/>
      <c r="BS354" s="1061" t="s">
        <v>159</v>
      </c>
      <c r="BT354" s="1061"/>
      <c r="BU354" s="1061"/>
    </row>
    <row r="355" spans="1:73" ht="30" customHeight="1" x14ac:dyDescent="0.25">
      <c r="A355" s="199">
        <f t="shared" si="5"/>
        <v>341</v>
      </c>
      <c r="B355" s="1081" t="s">
        <v>162</v>
      </c>
      <c r="C355" s="1082"/>
      <c r="D355" s="1083" t="s">
        <v>159</v>
      </c>
      <c r="E355" s="1084"/>
      <c r="F355" s="1084"/>
      <c r="G355" s="1085"/>
      <c r="H355" s="1086" t="s">
        <v>159</v>
      </c>
      <c r="I355" s="1087"/>
      <c r="J355" s="1087"/>
      <c r="K355" s="1088"/>
      <c r="L355" s="1089" t="s">
        <v>159</v>
      </c>
      <c r="M355" s="1090"/>
      <c r="N355" s="1091"/>
      <c r="O355" s="1092" t="s">
        <v>159</v>
      </c>
      <c r="P355" s="1093"/>
      <c r="Q355" s="1094"/>
      <c r="R355" s="812"/>
      <c r="S355" s="1095"/>
      <c r="T355" s="813"/>
      <c r="U355" s="745"/>
      <c r="V355" s="940"/>
      <c r="W355" s="746"/>
      <c r="X355" s="312"/>
      <c r="Y355" s="308"/>
      <c r="Z355" s="312"/>
      <c r="AA355" s="308"/>
      <c r="AB355" s="312"/>
      <c r="AC355" s="308"/>
      <c r="AD355" s="312"/>
      <c r="AE355" s="308"/>
      <c r="AF355" s="312"/>
      <c r="AG355" s="308"/>
      <c r="AH355" s="312"/>
      <c r="AI355" s="308"/>
      <c r="AJ355" s="117"/>
      <c r="AK355" s="330"/>
      <c r="AL355" s="117"/>
      <c r="AM355" s="330"/>
      <c r="AN355" s="117"/>
      <c r="AO355" s="330"/>
      <c r="AP355" s="117"/>
      <c r="AQ355" s="330"/>
      <c r="AR355" s="117"/>
      <c r="AS355" s="1096" t="s">
        <v>159</v>
      </c>
      <c r="AT355" s="1097"/>
      <c r="AU355" s="1097"/>
      <c r="AV355" s="1097"/>
      <c r="AW355" s="1097"/>
      <c r="AX355" s="1097"/>
      <c r="AY355" s="1100"/>
      <c r="AZ355" s="257"/>
      <c r="BA355" s="257"/>
      <c r="BB355" s="1059" t="s">
        <v>162</v>
      </c>
      <c r="BC355" s="1060"/>
      <c r="BD355" s="1061" t="s">
        <v>159</v>
      </c>
      <c r="BE355" s="1061"/>
      <c r="BF355" s="1061"/>
      <c r="BG355" s="1062" t="s">
        <v>159</v>
      </c>
      <c r="BH355" s="1063"/>
      <c r="BI355" s="1063"/>
      <c r="BJ355" s="1064"/>
      <c r="BK355" s="1065"/>
      <c r="BL355" s="1066"/>
      <c r="BM355" s="1067"/>
      <c r="BN355" s="259"/>
      <c r="BO355" s="259"/>
      <c r="BP355" s="1062"/>
      <c r="BQ355" s="1063"/>
      <c r="BR355" s="1064"/>
      <c r="BS355" s="1061" t="s">
        <v>159</v>
      </c>
      <c r="BT355" s="1061"/>
      <c r="BU355" s="1061"/>
    </row>
    <row r="356" spans="1:73" ht="30" customHeight="1" x14ac:dyDescent="0.25">
      <c r="A356" s="199">
        <f t="shared" si="5"/>
        <v>342</v>
      </c>
      <c r="B356" s="1081" t="s">
        <v>162</v>
      </c>
      <c r="C356" s="1082"/>
      <c r="D356" s="1083" t="s">
        <v>159</v>
      </c>
      <c r="E356" s="1084"/>
      <c r="F356" s="1084"/>
      <c r="G356" s="1085"/>
      <c r="H356" s="1086" t="s">
        <v>159</v>
      </c>
      <c r="I356" s="1087"/>
      <c r="J356" s="1087"/>
      <c r="K356" s="1088"/>
      <c r="L356" s="1089" t="s">
        <v>159</v>
      </c>
      <c r="M356" s="1090"/>
      <c r="N356" s="1091"/>
      <c r="O356" s="1092" t="s">
        <v>159</v>
      </c>
      <c r="P356" s="1093"/>
      <c r="Q356" s="1094"/>
      <c r="R356" s="812"/>
      <c r="S356" s="1095"/>
      <c r="T356" s="813"/>
      <c r="U356" s="745"/>
      <c r="V356" s="940"/>
      <c r="W356" s="746"/>
      <c r="X356" s="312"/>
      <c r="Y356" s="308"/>
      <c r="Z356" s="312"/>
      <c r="AA356" s="308"/>
      <c r="AB356" s="312"/>
      <c r="AC356" s="308"/>
      <c r="AD356" s="312"/>
      <c r="AE356" s="308"/>
      <c r="AF356" s="312"/>
      <c r="AG356" s="308"/>
      <c r="AH356" s="312"/>
      <c r="AI356" s="308"/>
      <c r="AJ356" s="117"/>
      <c r="AK356" s="330"/>
      <c r="AL356" s="117"/>
      <c r="AM356" s="330"/>
      <c r="AN356" s="117"/>
      <c r="AO356" s="330"/>
      <c r="AP356" s="117"/>
      <c r="AQ356" s="330"/>
      <c r="AR356" s="117"/>
      <c r="AS356" s="1096" t="s">
        <v>159</v>
      </c>
      <c r="AT356" s="1097"/>
      <c r="AU356" s="1097"/>
      <c r="AV356" s="1097"/>
      <c r="AW356" s="1097"/>
      <c r="AX356" s="1097"/>
      <c r="AY356" s="1100"/>
      <c r="AZ356" s="257"/>
      <c r="BA356" s="257"/>
      <c r="BB356" s="1059" t="s">
        <v>162</v>
      </c>
      <c r="BC356" s="1060"/>
      <c r="BD356" s="1061" t="s">
        <v>159</v>
      </c>
      <c r="BE356" s="1061"/>
      <c r="BF356" s="1061"/>
      <c r="BG356" s="1062" t="s">
        <v>159</v>
      </c>
      <c r="BH356" s="1063"/>
      <c r="BI356" s="1063"/>
      <c r="BJ356" s="1064"/>
      <c r="BK356" s="1065"/>
      <c r="BL356" s="1066"/>
      <c r="BM356" s="1067"/>
      <c r="BN356" s="259"/>
      <c r="BO356" s="259"/>
      <c r="BP356" s="1062"/>
      <c r="BQ356" s="1063"/>
      <c r="BR356" s="1064"/>
      <c r="BS356" s="1061" t="s">
        <v>159</v>
      </c>
      <c r="BT356" s="1061"/>
      <c r="BU356" s="1061"/>
    </row>
    <row r="357" spans="1:73" ht="30" customHeight="1" x14ac:dyDescent="0.25">
      <c r="A357" s="199">
        <f t="shared" si="5"/>
        <v>343</v>
      </c>
      <c r="B357" s="1081" t="s">
        <v>162</v>
      </c>
      <c r="C357" s="1082"/>
      <c r="D357" s="1083" t="s">
        <v>159</v>
      </c>
      <c r="E357" s="1084"/>
      <c r="F357" s="1084"/>
      <c r="G357" s="1085"/>
      <c r="H357" s="1086" t="s">
        <v>159</v>
      </c>
      <c r="I357" s="1087"/>
      <c r="J357" s="1087"/>
      <c r="K357" s="1088"/>
      <c r="L357" s="1089" t="s">
        <v>159</v>
      </c>
      <c r="M357" s="1090"/>
      <c r="N357" s="1091"/>
      <c r="O357" s="1092" t="s">
        <v>159</v>
      </c>
      <c r="P357" s="1093"/>
      <c r="Q357" s="1094"/>
      <c r="R357" s="812"/>
      <c r="S357" s="1095"/>
      <c r="T357" s="813"/>
      <c r="U357" s="745"/>
      <c r="V357" s="940"/>
      <c r="W357" s="746"/>
      <c r="X357" s="312"/>
      <c r="Y357" s="308"/>
      <c r="Z357" s="312"/>
      <c r="AA357" s="308"/>
      <c r="AB357" s="312"/>
      <c r="AC357" s="308"/>
      <c r="AD357" s="312"/>
      <c r="AE357" s="308"/>
      <c r="AF357" s="312"/>
      <c r="AG357" s="308"/>
      <c r="AH357" s="312"/>
      <c r="AI357" s="308"/>
      <c r="AJ357" s="117"/>
      <c r="AK357" s="330"/>
      <c r="AL357" s="117"/>
      <c r="AM357" s="330"/>
      <c r="AN357" s="117"/>
      <c r="AO357" s="330"/>
      <c r="AP357" s="117"/>
      <c r="AQ357" s="330"/>
      <c r="AR357" s="117"/>
      <c r="AS357" s="1096" t="s">
        <v>159</v>
      </c>
      <c r="AT357" s="1097"/>
      <c r="AU357" s="1097"/>
      <c r="AV357" s="1097"/>
      <c r="AW357" s="1097"/>
      <c r="AX357" s="1097"/>
      <c r="AY357" s="1100"/>
      <c r="AZ357" s="257"/>
      <c r="BA357" s="257"/>
      <c r="BB357" s="1059" t="s">
        <v>162</v>
      </c>
      <c r="BC357" s="1060"/>
      <c r="BD357" s="1061" t="s">
        <v>159</v>
      </c>
      <c r="BE357" s="1061"/>
      <c r="BF357" s="1061"/>
      <c r="BG357" s="1062" t="s">
        <v>159</v>
      </c>
      <c r="BH357" s="1063"/>
      <c r="BI357" s="1063"/>
      <c r="BJ357" s="1064"/>
      <c r="BK357" s="1065"/>
      <c r="BL357" s="1066"/>
      <c r="BM357" s="1067"/>
      <c r="BN357" s="259"/>
      <c r="BO357" s="259"/>
      <c r="BP357" s="1062"/>
      <c r="BQ357" s="1063"/>
      <c r="BR357" s="1064"/>
      <c r="BS357" s="1061" t="s">
        <v>159</v>
      </c>
      <c r="BT357" s="1061"/>
      <c r="BU357" s="1061"/>
    </row>
    <row r="358" spans="1:73" ht="30" customHeight="1" x14ac:dyDescent="0.25">
      <c r="A358" s="199">
        <f t="shared" si="5"/>
        <v>344</v>
      </c>
      <c r="B358" s="1081" t="s">
        <v>162</v>
      </c>
      <c r="C358" s="1082"/>
      <c r="D358" s="1083" t="s">
        <v>159</v>
      </c>
      <c r="E358" s="1084"/>
      <c r="F358" s="1084"/>
      <c r="G358" s="1085"/>
      <c r="H358" s="1086" t="s">
        <v>159</v>
      </c>
      <c r="I358" s="1087"/>
      <c r="J358" s="1087"/>
      <c r="K358" s="1088"/>
      <c r="L358" s="1089" t="s">
        <v>159</v>
      </c>
      <c r="M358" s="1090"/>
      <c r="N358" s="1091"/>
      <c r="O358" s="1092" t="s">
        <v>159</v>
      </c>
      <c r="P358" s="1093"/>
      <c r="Q358" s="1094"/>
      <c r="R358" s="812"/>
      <c r="S358" s="1095"/>
      <c r="T358" s="813"/>
      <c r="U358" s="745"/>
      <c r="V358" s="940"/>
      <c r="W358" s="746"/>
      <c r="X358" s="312"/>
      <c r="Y358" s="308"/>
      <c r="Z358" s="312"/>
      <c r="AA358" s="308"/>
      <c r="AB358" s="312"/>
      <c r="AC358" s="308"/>
      <c r="AD358" s="312"/>
      <c r="AE358" s="308"/>
      <c r="AF358" s="312"/>
      <c r="AG358" s="308"/>
      <c r="AH358" s="312"/>
      <c r="AI358" s="308"/>
      <c r="AJ358" s="117"/>
      <c r="AK358" s="330"/>
      <c r="AL358" s="117"/>
      <c r="AM358" s="330"/>
      <c r="AN358" s="117"/>
      <c r="AO358" s="330"/>
      <c r="AP358" s="117"/>
      <c r="AQ358" s="330"/>
      <c r="AR358" s="117"/>
      <c r="AS358" s="1096" t="s">
        <v>159</v>
      </c>
      <c r="AT358" s="1097"/>
      <c r="AU358" s="1097"/>
      <c r="AV358" s="1097"/>
      <c r="AW358" s="1097"/>
      <c r="AX358" s="1097"/>
      <c r="AY358" s="1100"/>
      <c r="AZ358" s="257"/>
      <c r="BA358" s="257"/>
      <c r="BB358" s="1059" t="s">
        <v>162</v>
      </c>
      <c r="BC358" s="1060"/>
      <c r="BD358" s="1061" t="s">
        <v>159</v>
      </c>
      <c r="BE358" s="1061"/>
      <c r="BF358" s="1061"/>
      <c r="BG358" s="1062" t="s">
        <v>159</v>
      </c>
      <c r="BH358" s="1063"/>
      <c r="BI358" s="1063"/>
      <c r="BJ358" s="1064"/>
      <c r="BK358" s="1065"/>
      <c r="BL358" s="1066"/>
      <c r="BM358" s="1067"/>
      <c r="BN358" s="259"/>
      <c r="BO358" s="259"/>
      <c r="BP358" s="1062"/>
      <c r="BQ358" s="1063"/>
      <c r="BR358" s="1064"/>
      <c r="BS358" s="1061" t="s">
        <v>159</v>
      </c>
      <c r="BT358" s="1061"/>
      <c r="BU358" s="1061"/>
    </row>
    <row r="359" spans="1:73" ht="30" customHeight="1" x14ac:dyDescent="0.25">
      <c r="A359" s="199">
        <f t="shared" si="5"/>
        <v>345</v>
      </c>
      <c r="B359" s="1081" t="s">
        <v>162</v>
      </c>
      <c r="C359" s="1082"/>
      <c r="D359" s="1083" t="s">
        <v>159</v>
      </c>
      <c r="E359" s="1084"/>
      <c r="F359" s="1084"/>
      <c r="G359" s="1085"/>
      <c r="H359" s="1086" t="s">
        <v>159</v>
      </c>
      <c r="I359" s="1087"/>
      <c r="J359" s="1087"/>
      <c r="K359" s="1088"/>
      <c r="L359" s="1089" t="s">
        <v>159</v>
      </c>
      <c r="M359" s="1090"/>
      <c r="N359" s="1091"/>
      <c r="O359" s="1092" t="s">
        <v>159</v>
      </c>
      <c r="P359" s="1093"/>
      <c r="Q359" s="1094"/>
      <c r="R359" s="812"/>
      <c r="S359" s="1095"/>
      <c r="T359" s="813"/>
      <c r="U359" s="745"/>
      <c r="V359" s="940"/>
      <c r="W359" s="746"/>
      <c r="X359" s="312"/>
      <c r="Y359" s="308"/>
      <c r="Z359" s="312"/>
      <c r="AA359" s="308"/>
      <c r="AB359" s="312"/>
      <c r="AC359" s="308"/>
      <c r="AD359" s="312"/>
      <c r="AE359" s="308"/>
      <c r="AF359" s="312"/>
      <c r="AG359" s="308"/>
      <c r="AH359" s="312"/>
      <c r="AI359" s="308"/>
      <c r="AJ359" s="117"/>
      <c r="AK359" s="330"/>
      <c r="AL359" s="117"/>
      <c r="AM359" s="330"/>
      <c r="AN359" s="117"/>
      <c r="AO359" s="330"/>
      <c r="AP359" s="117"/>
      <c r="AQ359" s="330"/>
      <c r="AR359" s="117"/>
      <c r="AS359" s="1096" t="s">
        <v>159</v>
      </c>
      <c r="AT359" s="1097"/>
      <c r="AU359" s="1097"/>
      <c r="AV359" s="1097"/>
      <c r="AW359" s="1097"/>
      <c r="AX359" s="1097"/>
      <c r="AY359" s="1100"/>
      <c r="AZ359" s="257"/>
      <c r="BA359" s="257"/>
      <c r="BB359" s="1059" t="s">
        <v>162</v>
      </c>
      <c r="BC359" s="1060"/>
      <c r="BD359" s="1061" t="s">
        <v>159</v>
      </c>
      <c r="BE359" s="1061"/>
      <c r="BF359" s="1061"/>
      <c r="BG359" s="1062" t="s">
        <v>159</v>
      </c>
      <c r="BH359" s="1063"/>
      <c r="BI359" s="1063"/>
      <c r="BJ359" s="1064"/>
      <c r="BK359" s="1065"/>
      <c r="BL359" s="1066"/>
      <c r="BM359" s="1067"/>
      <c r="BN359" s="259"/>
      <c r="BO359" s="259"/>
      <c r="BP359" s="1062"/>
      <c r="BQ359" s="1063"/>
      <c r="BR359" s="1064"/>
      <c r="BS359" s="1061" t="s">
        <v>159</v>
      </c>
      <c r="BT359" s="1061"/>
      <c r="BU359" s="1061"/>
    </row>
    <row r="360" spans="1:73" ht="30" customHeight="1" x14ac:dyDescent="0.25">
      <c r="A360" s="199">
        <f t="shared" si="5"/>
        <v>346</v>
      </c>
      <c r="B360" s="1081" t="s">
        <v>162</v>
      </c>
      <c r="C360" s="1082"/>
      <c r="D360" s="1083" t="s">
        <v>159</v>
      </c>
      <c r="E360" s="1084"/>
      <c r="F360" s="1084"/>
      <c r="G360" s="1085"/>
      <c r="H360" s="1086" t="s">
        <v>159</v>
      </c>
      <c r="I360" s="1087"/>
      <c r="J360" s="1087"/>
      <c r="K360" s="1088"/>
      <c r="L360" s="1089" t="s">
        <v>159</v>
      </c>
      <c r="M360" s="1090"/>
      <c r="N360" s="1091"/>
      <c r="O360" s="1092" t="s">
        <v>159</v>
      </c>
      <c r="P360" s="1093"/>
      <c r="Q360" s="1094"/>
      <c r="R360" s="812"/>
      <c r="S360" s="1095"/>
      <c r="T360" s="813"/>
      <c r="U360" s="745"/>
      <c r="V360" s="940"/>
      <c r="W360" s="746"/>
      <c r="X360" s="312"/>
      <c r="Y360" s="308"/>
      <c r="Z360" s="312"/>
      <c r="AA360" s="308"/>
      <c r="AB360" s="312"/>
      <c r="AC360" s="308"/>
      <c r="AD360" s="312"/>
      <c r="AE360" s="308"/>
      <c r="AF360" s="312"/>
      <c r="AG360" s="308"/>
      <c r="AH360" s="312"/>
      <c r="AI360" s="308"/>
      <c r="AJ360" s="117"/>
      <c r="AK360" s="330"/>
      <c r="AL360" s="117"/>
      <c r="AM360" s="330"/>
      <c r="AN360" s="117"/>
      <c r="AO360" s="330"/>
      <c r="AP360" s="117"/>
      <c r="AQ360" s="330"/>
      <c r="AR360" s="117"/>
      <c r="AS360" s="1096" t="s">
        <v>159</v>
      </c>
      <c r="AT360" s="1097"/>
      <c r="AU360" s="1097"/>
      <c r="AV360" s="1097"/>
      <c r="AW360" s="1097"/>
      <c r="AX360" s="1097"/>
      <c r="AY360" s="1100"/>
      <c r="AZ360" s="257"/>
      <c r="BA360" s="257"/>
      <c r="BB360" s="1059" t="s">
        <v>162</v>
      </c>
      <c r="BC360" s="1060"/>
      <c r="BD360" s="1061" t="s">
        <v>159</v>
      </c>
      <c r="BE360" s="1061"/>
      <c r="BF360" s="1061"/>
      <c r="BG360" s="1062" t="s">
        <v>159</v>
      </c>
      <c r="BH360" s="1063"/>
      <c r="BI360" s="1063"/>
      <c r="BJ360" s="1064"/>
      <c r="BK360" s="1065"/>
      <c r="BL360" s="1066"/>
      <c r="BM360" s="1067"/>
      <c r="BN360" s="259"/>
      <c r="BO360" s="259"/>
      <c r="BP360" s="1062"/>
      <c r="BQ360" s="1063"/>
      <c r="BR360" s="1064"/>
      <c r="BS360" s="1061" t="s">
        <v>159</v>
      </c>
      <c r="BT360" s="1061"/>
      <c r="BU360" s="1061"/>
    </row>
    <row r="361" spans="1:73" ht="30" customHeight="1" x14ac:dyDescent="0.25">
      <c r="A361" s="199">
        <f t="shared" si="5"/>
        <v>347</v>
      </c>
      <c r="B361" s="1081" t="s">
        <v>162</v>
      </c>
      <c r="C361" s="1082"/>
      <c r="D361" s="1083" t="s">
        <v>159</v>
      </c>
      <c r="E361" s="1084"/>
      <c r="F361" s="1084"/>
      <c r="G361" s="1085"/>
      <c r="H361" s="1086" t="s">
        <v>159</v>
      </c>
      <c r="I361" s="1087"/>
      <c r="J361" s="1087"/>
      <c r="K361" s="1088"/>
      <c r="L361" s="1089" t="s">
        <v>159</v>
      </c>
      <c r="M361" s="1090"/>
      <c r="N361" s="1091"/>
      <c r="O361" s="1092" t="s">
        <v>159</v>
      </c>
      <c r="P361" s="1093"/>
      <c r="Q361" s="1094"/>
      <c r="R361" s="812"/>
      <c r="S361" s="1095"/>
      <c r="T361" s="813"/>
      <c r="U361" s="745"/>
      <c r="V361" s="940"/>
      <c r="W361" s="746"/>
      <c r="X361" s="312"/>
      <c r="Y361" s="308"/>
      <c r="Z361" s="312"/>
      <c r="AA361" s="308"/>
      <c r="AB361" s="312"/>
      <c r="AC361" s="308"/>
      <c r="AD361" s="312"/>
      <c r="AE361" s="308"/>
      <c r="AF361" s="312"/>
      <c r="AG361" s="308"/>
      <c r="AH361" s="312"/>
      <c r="AI361" s="308"/>
      <c r="AJ361" s="117"/>
      <c r="AK361" s="330"/>
      <c r="AL361" s="117"/>
      <c r="AM361" s="330"/>
      <c r="AN361" s="117"/>
      <c r="AO361" s="330"/>
      <c r="AP361" s="117"/>
      <c r="AQ361" s="330"/>
      <c r="AR361" s="117"/>
      <c r="AS361" s="1096" t="s">
        <v>159</v>
      </c>
      <c r="AT361" s="1097"/>
      <c r="AU361" s="1097"/>
      <c r="AV361" s="1097"/>
      <c r="AW361" s="1097"/>
      <c r="AX361" s="1097"/>
      <c r="AY361" s="1100"/>
      <c r="AZ361" s="257"/>
      <c r="BA361" s="257"/>
      <c r="BB361" s="1059" t="s">
        <v>162</v>
      </c>
      <c r="BC361" s="1060"/>
      <c r="BD361" s="1061" t="s">
        <v>159</v>
      </c>
      <c r="BE361" s="1061"/>
      <c r="BF361" s="1061"/>
      <c r="BG361" s="1062" t="s">
        <v>159</v>
      </c>
      <c r="BH361" s="1063"/>
      <c r="BI361" s="1063"/>
      <c r="BJ361" s="1064"/>
      <c r="BK361" s="1065"/>
      <c r="BL361" s="1066"/>
      <c r="BM361" s="1067"/>
      <c r="BN361" s="259"/>
      <c r="BO361" s="259"/>
      <c r="BP361" s="1062"/>
      <c r="BQ361" s="1063"/>
      <c r="BR361" s="1064"/>
      <c r="BS361" s="1061" t="s">
        <v>159</v>
      </c>
      <c r="BT361" s="1061"/>
      <c r="BU361" s="1061"/>
    </row>
    <row r="362" spans="1:73" ht="30" customHeight="1" x14ac:dyDescent="0.25">
      <c r="A362" s="199">
        <f t="shared" si="5"/>
        <v>348</v>
      </c>
      <c r="B362" s="1081" t="s">
        <v>162</v>
      </c>
      <c r="C362" s="1082"/>
      <c r="D362" s="1083" t="s">
        <v>159</v>
      </c>
      <c r="E362" s="1084"/>
      <c r="F362" s="1084"/>
      <c r="G362" s="1085"/>
      <c r="H362" s="1086" t="s">
        <v>159</v>
      </c>
      <c r="I362" s="1087"/>
      <c r="J362" s="1087"/>
      <c r="K362" s="1088"/>
      <c r="L362" s="1089" t="s">
        <v>159</v>
      </c>
      <c r="M362" s="1090"/>
      <c r="N362" s="1091"/>
      <c r="O362" s="1092" t="s">
        <v>159</v>
      </c>
      <c r="P362" s="1093"/>
      <c r="Q362" s="1094"/>
      <c r="R362" s="812"/>
      <c r="S362" s="1095"/>
      <c r="T362" s="813"/>
      <c r="U362" s="745"/>
      <c r="V362" s="940"/>
      <c r="W362" s="746"/>
      <c r="X362" s="312"/>
      <c r="Y362" s="308"/>
      <c r="Z362" s="312"/>
      <c r="AA362" s="308"/>
      <c r="AB362" s="312"/>
      <c r="AC362" s="308"/>
      <c r="AD362" s="312"/>
      <c r="AE362" s="308"/>
      <c r="AF362" s="312"/>
      <c r="AG362" s="308"/>
      <c r="AH362" s="312"/>
      <c r="AI362" s="308"/>
      <c r="AJ362" s="117"/>
      <c r="AK362" s="330"/>
      <c r="AL362" s="117"/>
      <c r="AM362" s="330"/>
      <c r="AN362" s="117"/>
      <c r="AO362" s="330"/>
      <c r="AP362" s="117"/>
      <c r="AQ362" s="330"/>
      <c r="AR362" s="117"/>
      <c r="AS362" s="1096" t="s">
        <v>159</v>
      </c>
      <c r="AT362" s="1097"/>
      <c r="AU362" s="1097"/>
      <c r="AV362" s="1097"/>
      <c r="AW362" s="1097"/>
      <c r="AX362" s="1097"/>
      <c r="AY362" s="1100"/>
      <c r="AZ362" s="257"/>
      <c r="BA362" s="257"/>
      <c r="BB362" s="1059" t="s">
        <v>162</v>
      </c>
      <c r="BC362" s="1060"/>
      <c r="BD362" s="1061" t="s">
        <v>159</v>
      </c>
      <c r="BE362" s="1061"/>
      <c r="BF362" s="1061"/>
      <c r="BG362" s="1062" t="s">
        <v>159</v>
      </c>
      <c r="BH362" s="1063"/>
      <c r="BI362" s="1063"/>
      <c r="BJ362" s="1064"/>
      <c r="BK362" s="1065"/>
      <c r="BL362" s="1066"/>
      <c r="BM362" s="1067"/>
      <c r="BN362" s="259"/>
      <c r="BO362" s="259"/>
      <c r="BP362" s="1062"/>
      <c r="BQ362" s="1063"/>
      <c r="BR362" s="1064"/>
      <c r="BS362" s="1061" t="s">
        <v>159</v>
      </c>
      <c r="BT362" s="1061"/>
      <c r="BU362" s="1061"/>
    </row>
    <row r="363" spans="1:73" ht="30" customHeight="1" x14ac:dyDescent="0.25">
      <c r="A363" s="199">
        <f t="shared" si="5"/>
        <v>349</v>
      </c>
      <c r="B363" s="1081" t="s">
        <v>162</v>
      </c>
      <c r="C363" s="1082"/>
      <c r="D363" s="1083" t="s">
        <v>159</v>
      </c>
      <c r="E363" s="1084"/>
      <c r="F363" s="1084"/>
      <c r="G363" s="1085"/>
      <c r="H363" s="1086" t="s">
        <v>159</v>
      </c>
      <c r="I363" s="1087"/>
      <c r="J363" s="1087"/>
      <c r="K363" s="1088"/>
      <c r="L363" s="1089" t="s">
        <v>159</v>
      </c>
      <c r="M363" s="1090"/>
      <c r="N363" s="1091"/>
      <c r="O363" s="1092" t="s">
        <v>159</v>
      </c>
      <c r="P363" s="1093"/>
      <c r="Q363" s="1094"/>
      <c r="R363" s="812"/>
      <c r="S363" s="1095"/>
      <c r="T363" s="813"/>
      <c r="U363" s="745"/>
      <c r="V363" s="940"/>
      <c r="W363" s="746"/>
      <c r="X363" s="312"/>
      <c r="Y363" s="308"/>
      <c r="Z363" s="312"/>
      <c r="AA363" s="308"/>
      <c r="AB363" s="312"/>
      <c r="AC363" s="308"/>
      <c r="AD363" s="312"/>
      <c r="AE363" s="308"/>
      <c r="AF363" s="312"/>
      <c r="AG363" s="308"/>
      <c r="AH363" s="312"/>
      <c r="AI363" s="308"/>
      <c r="AJ363" s="117"/>
      <c r="AK363" s="330"/>
      <c r="AL363" s="117"/>
      <c r="AM363" s="330"/>
      <c r="AN363" s="117"/>
      <c r="AO363" s="330"/>
      <c r="AP363" s="117"/>
      <c r="AQ363" s="330"/>
      <c r="AR363" s="117"/>
      <c r="AS363" s="1096" t="s">
        <v>159</v>
      </c>
      <c r="AT363" s="1097"/>
      <c r="AU363" s="1097"/>
      <c r="AV363" s="1097"/>
      <c r="AW363" s="1097"/>
      <c r="AX363" s="1097"/>
      <c r="AY363" s="1100"/>
      <c r="AZ363" s="257"/>
      <c r="BA363" s="257"/>
      <c r="BB363" s="1059" t="s">
        <v>162</v>
      </c>
      <c r="BC363" s="1060"/>
      <c r="BD363" s="1061" t="s">
        <v>159</v>
      </c>
      <c r="BE363" s="1061"/>
      <c r="BF363" s="1061"/>
      <c r="BG363" s="1062" t="s">
        <v>159</v>
      </c>
      <c r="BH363" s="1063"/>
      <c r="BI363" s="1063"/>
      <c r="BJ363" s="1064"/>
      <c r="BK363" s="1065"/>
      <c r="BL363" s="1066"/>
      <c r="BM363" s="1067"/>
      <c r="BN363" s="259"/>
      <c r="BO363" s="259"/>
      <c r="BP363" s="1062"/>
      <c r="BQ363" s="1063"/>
      <c r="BR363" s="1064"/>
      <c r="BS363" s="1061" t="s">
        <v>159</v>
      </c>
      <c r="BT363" s="1061"/>
      <c r="BU363" s="1061"/>
    </row>
    <row r="364" spans="1:73" ht="30" customHeight="1" x14ac:dyDescent="0.25">
      <c r="A364" s="199">
        <f t="shared" si="5"/>
        <v>350</v>
      </c>
      <c r="B364" s="1081" t="s">
        <v>162</v>
      </c>
      <c r="C364" s="1082"/>
      <c r="D364" s="1083" t="s">
        <v>159</v>
      </c>
      <c r="E364" s="1084"/>
      <c r="F364" s="1084"/>
      <c r="G364" s="1085"/>
      <c r="H364" s="1086" t="s">
        <v>159</v>
      </c>
      <c r="I364" s="1087"/>
      <c r="J364" s="1087"/>
      <c r="K364" s="1088"/>
      <c r="L364" s="1089" t="s">
        <v>159</v>
      </c>
      <c r="M364" s="1090"/>
      <c r="N364" s="1091"/>
      <c r="O364" s="1092" t="s">
        <v>159</v>
      </c>
      <c r="P364" s="1093"/>
      <c r="Q364" s="1094"/>
      <c r="R364" s="812"/>
      <c r="S364" s="1095"/>
      <c r="T364" s="813"/>
      <c r="U364" s="745"/>
      <c r="V364" s="940"/>
      <c r="W364" s="746"/>
      <c r="X364" s="312"/>
      <c r="Y364" s="308"/>
      <c r="Z364" s="312"/>
      <c r="AA364" s="308"/>
      <c r="AB364" s="312"/>
      <c r="AC364" s="308"/>
      <c r="AD364" s="312"/>
      <c r="AE364" s="308"/>
      <c r="AF364" s="312"/>
      <c r="AG364" s="308"/>
      <c r="AH364" s="312"/>
      <c r="AI364" s="308"/>
      <c r="AJ364" s="117"/>
      <c r="AK364" s="330"/>
      <c r="AL364" s="117"/>
      <c r="AM364" s="330"/>
      <c r="AN364" s="117"/>
      <c r="AO364" s="330"/>
      <c r="AP364" s="117"/>
      <c r="AQ364" s="330"/>
      <c r="AR364" s="117"/>
      <c r="AS364" s="1096" t="s">
        <v>159</v>
      </c>
      <c r="AT364" s="1097"/>
      <c r="AU364" s="1097"/>
      <c r="AV364" s="1097"/>
      <c r="AW364" s="1097"/>
      <c r="AX364" s="1097"/>
      <c r="AY364" s="1100"/>
      <c r="AZ364" s="257"/>
      <c r="BA364" s="257"/>
      <c r="BB364" s="1059" t="s">
        <v>162</v>
      </c>
      <c r="BC364" s="1060"/>
      <c r="BD364" s="1061" t="s">
        <v>159</v>
      </c>
      <c r="BE364" s="1061"/>
      <c r="BF364" s="1061"/>
      <c r="BG364" s="1062" t="s">
        <v>159</v>
      </c>
      <c r="BH364" s="1063"/>
      <c r="BI364" s="1063"/>
      <c r="BJ364" s="1064"/>
      <c r="BK364" s="1065"/>
      <c r="BL364" s="1066"/>
      <c r="BM364" s="1067"/>
      <c r="BN364" s="259"/>
      <c r="BO364" s="259"/>
      <c r="BP364" s="1062"/>
      <c r="BQ364" s="1063"/>
      <c r="BR364" s="1064"/>
      <c r="BS364" s="1061" t="s">
        <v>159</v>
      </c>
      <c r="BT364" s="1061"/>
      <c r="BU364" s="1061"/>
    </row>
    <row r="365" spans="1:73" ht="30" customHeight="1" x14ac:dyDescent="0.25">
      <c r="A365" s="199">
        <f t="shared" si="5"/>
        <v>351</v>
      </c>
      <c r="B365" s="1081" t="s">
        <v>162</v>
      </c>
      <c r="C365" s="1082"/>
      <c r="D365" s="1083" t="s">
        <v>159</v>
      </c>
      <c r="E365" s="1084"/>
      <c r="F365" s="1084"/>
      <c r="G365" s="1085"/>
      <c r="H365" s="1086" t="s">
        <v>159</v>
      </c>
      <c r="I365" s="1087"/>
      <c r="J365" s="1087"/>
      <c r="K365" s="1088"/>
      <c r="L365" s="1089" t="s">
        <v>159</v>
      </c>
      <c r="M365" s="1090"/>
      <c r="N365" s="1091"/>
      <c r="O365" s="1092" t="s">
        <v>159</v>
      </c>
      <c r="P365" s="1093"/>
      <c r="Q365" s="1094"/>
      <c r="R365" s="812"/>
      <c r="S365" s="1095"/>
      <c r="T365" s="813"/>
      <c r="U365" s="745"/>
      <c r="V365" s="940"/>
      <c r="W365" s="746"/>
      <c r="X365" s="312"/>
      <c r="Y365" s="308"/>
      <c r="Z365" s="312"/>
      <c r="AA365" s="308"/>
      <c r="AB365" s="312"/>
      <c r="AC365" s="308"/>
      <c r="AD365" s="312"/>
      <c r="AE365" s="308"/>
      <c r="AF365" s="312"/>
      <c r="AG365" s="308"/>
      <c r="AH365" s="312"/>
      <c r="AI365" s="308"/>
      <c r="AJ365" s="117"/>
      <c r="AK365" s="330"/>
      <c r="AL365" s="117"/>
      <c r="AM365" s="330"/>
      <c r="AN365" s="117"/>
      <c r="AO365" s="330"/>
      <c r="AP365" s="117"/>
      <c r="AQ365" s="330"/>
      <c r="AR365" s="117"/>
      <c r="AS365" s="1096" t="s">
        <v>159</v>
      </c>
      <c r="AT365" s="1097"/>
      <c r="AU365" s="1097"/>
      <c r="AV365" s="1097"/>
      <c r="AW365" s="1097"/>
      <c r="AX365" s="1097"/>
      <c r="AY365" s="1100"/>
      <c r="AZ365" s="257"/>
      <c r="BA365" s="257"/>
      <c r="BB365" s="1059" t="s">
        <v>162</v>
      </c>
      <c r="BC365" s="1060"/>
      <c r="BD365" s="1061" t="s">
        <v>159</v>
      </c>
      <c r="BE365" s="1061"/>
      <c r="BF365" s="1061"/>
      <c r="BG365" s="1062" t="s">
        <v>159</v>
      </c>
      <c r="BH365" s="1063"/>
      <c r="BI365" s="1063"/>
      <c r="BJ365" s="1064"/>
      <c r="BK365" s="1065"/>
      <c r="BL365" s="1066"/>
      <c r="BM365" s="1067"/>
      <c r="BN365" s="259"/>
      <c r="BO365" s="259"/>
      <c r="BP365" s="1062"/>
      <c r="BQ365" s="1063"/>
      <c r="BR365" s="1064"/>
      <c r="BS365" s="1061" t="s">
        <v>159</v>
      </c>
      <c r="BT365" s="1061"/>
      <c r="BU365" s="1061"/>
    </row>
    <row r="366" spans="1:73" ht="30" customHeight="1" x14ac:dyDescent="0.25">
      <c r="A366" s="199">
        <f t="shared" si="5"/>
        <v>352</v>
      </c>
      <c r="B366" s="1081" t="s">
        <v>162</v>
      </c>
      <c r="C366" s="1082"/>
      <c r="D366" s="1083" t="s">
        <v>159</v>
      </c>
      <c r="E366" s="1084"/>
      <c r="F366" s="1084"/>
      <c r="G366" s="1085"/>
      <c r="H366" s="1086" t="s">
        <v>159</v>
      </c>
      <c r="I366" s="1087"/>
      <c r="J366" s="1087"/>
      <c r="K366" s="1088"/>
      <c r="L366" s="1089" t="s">
        <v>159</v>
      </c>
      <c r="M366" s="1090"/>
      <c r="N366" s="1091"/>
      <c r="O366" s="1092" t="s">
        <v>159</v>
      </c>
      <c r="P366" s="1093"/>
      <c r="Q366" s="1094"/>
      <c r="R366" s="812"/>
      <c r="S366" s="1095"/>
      <c r="T366" s="813"/>
      <c r="U366" s="745"/>
      <c r="V366" s="940"/>
      <c r="W366" s="746"/>
      <c r="X366" s="312"/>
      <c r="Y366" s="308"/>
      <c r="Z366" s="312"/>
      <c r="AA366" s="308"/>
      <c r="AB366" s="312"/>
      <c r="AC366" s="308"/>
      <c r="AD366" s="312"/>
      <c r="AE366" s="308"/>
      <c r="AF366" s="312"/>
      <c r="AG366" s="308"/>
      <c r="AH366" s="312"/>
      <c r="AI366" s="308"/>
      <c r="AJ366" s="117"/>
      <c r="AK366" s="330"/>
      <c r="AL366" s="117"/>
      <c r="AM366" s="330"/>
      <c r="AN366" s="117"/>
      <c r="AO366" s="330"/>
      <c r="AP366" s="117"/>
      <c r="AQ366" s="330"/>
      <c r="AR366" s="117"/>
      <c r="AS366" s="1096" t="s">
        <v>159</v>
      </c>
      <c r="AT366" s="1097"/>
      <c r="AU366" s="1097"/>
      <c r="AV366" s="1097"/>
      <c r="AW366" s="1097"/>
      <c r="AX366" s="1097"/>
      <c r="AY366" s="1100"/>
      <c r="AZ366" s="257"/>
      <c r="BA366" s="257"/>
      <c r="BB366" s="1059" t="s">
        <v>162</v>
      </c>
      <c r="BC366" s="1060"/>
      <c r="BD366" s="1061" t="s">
        <v>159</v>
      </c>
      <c r="BE366" s="1061"/>
      <c r="BF366" s="1061"/>
      <c r="BG366" s="1062" t="s">
        <v>159</v>
      </c>
      <c r="BH366" s="1063"/>
      <c r="BI366" s="1063"/>
      <c r="BJ366" s="1064"/>
      <c r="BK366" s="1065"/>
      <c r="BL366" s="1066"/>
      <c r="BM366" s="1067"/>
      <c r="BN366" s="259"/>
      <c r="BO366" s="259"/>
      <c r="BP366" s="1062"/>
      <c r="BQ366" s="1063"/>
      <c r="BR366" s="1064"/>
      <c r="BS366" s="1061" t="s">
        <v>159</v>
      </c>
      <c r="BT366" s="1061"/>
      <c r="BU366" s="1061"/>
    </row>
    <row r="367" spans="1:73" ht="30" customHeight="1" x14ac:dyDescent="0.25">
      <c r="A367" s="199">
        <f t="shared" si="5"/>
        <v>353</v>
      </c>
      <c r="B367" s="1081" t="s">
        <v>162</v>
      </c>
      <c r="C367" s="1082"/>
      <c r="D367" s="1083" t="s">
        <v>159</v>
      </c>
      <c r="E367" s="1084"/>
      <c r="F367" s="1084"/>
      <c r="G367" s="1085"/>
      <c r="H367" s="1086" t="s">
        <v>159</v>
      </c>
      <c r="I367" s="1087"/>
      <c r="J367" s="1087"/>
      <c r="K367" s="1088"/>
      <c r="L367" s="1089" t="s">
        <v>159</v>
      </c>
      <c r="M367" s="1090"/>
      <c r="N367" s="1091"/>
      <c r="O367" s="1092" t="s">
        <v>159</v>
      </c>
      <c r="P367" s="1093"/>
      <c r="Q367" s="1094"/>
      <c r="R367" s="812"/>
      <c r="S367" s="1095"/>
      <c r="T367" s="813"/>
      <c r="U367" s="745"/>
      <c r="V367" s="940"/>
      <c r="W367" s="746"/>
      <c r="X367" s="312"/>
      <c r="Y367" s="308"/>
      <c r="Z367" s="312"/>
      <c r="AA367" s="308"/>
      <c r="AB367" s="312"/>
      <c r="AC367" s="308"/>
      <c r="AD367" s="312"/>
      <c r="AE367" s="308"/>
      <c r="AF367" s="312"/>
      <c r="AG367" s="308"/>
      <c r="AH367" s="312"/>
      <c r="AI367" s="308"/>
      <c r="AJ367" s="117"/>
      <c r="AK367" s="330"/>
      <c r="AL367" s="117"/>
      <c r="AM367" s="330"/>
      <c r="AN367" s="117"/>
      <c r="AO367" s="330"/>
      <c r="AP367" s="117"/>
      <c r="AQ367" s="330"/>
      <c r="AR367" s="117"/>
      <c r="AS367" s="1096" t="s">
        <v>159</v>
      </c>
      <c r="AT367" s="1097"/>
      <c r="AU367" s="1097"/>
      <c r="AV367" s="1097"/>
      <c r="AW367" s="1097"/>
      <c r="AX367" s="1097"/>
      <c r="AY367" s="1100"/>
      <c r="AZ367" s="257"/>
      <c r="BA367" s="257"/>
      <c r="BB367" s="1059" t="s">
        <v>162</v>
      </c>
      <c r="BC367" s="1060"/>
      <c r="BD367" s="1061" t="s">
        <v>159</v>
      </c>
      <c r="BE367" s="1061"/>
      <c r="BF367" s="1061"/>
      <c r="BG367" s="1062" t="s">
        <v>159</v>
      </c>
      <c r="BH367" s="1063"/>
      <c r="BI367" s="1063"/>
      <c r="BJ367" s="1064"/>
      <c r="BK367" s="1065"/>
      <c r="BL367" s="1066"/>
      <c r="BM367" s="1067"/>
      <c r="BN367" s="259"/>
      <c r="BO367" s="259"/>
      <c r="BP367" s="1062"/>
      <c r="BQ367" s="1063"/>
      <c r="BR367" s="1064"/>
      <c r="BS367" s="1061" t="s">
        <v>159</v>
      </c>
      <c r="BT367" s="1061"/>
      <c r="BU367" s="1061"/>
    </row>
    <row r="368" spans="1:73" ht="30" customHeight="1" x14ac:dyDescent="0.25">
      <c r="A368" s="199">
        <f t="shared" si="5"/>
        <v>354</v>
      </c>
      <c r="B368" s="1081" t="s">
        <v>162</v>
      </c>
      <c r="C368" s="1082"/>
      <c r="D368" s="1083" t="s">
        <v>159</v>
      </c>
      <c r="E368" s="1084"/>
      <c r="F368" s="1084"/>
      <c r="G368" s="1085"/>
      <c r="H368" s="1086" t="s">
        <v>159</v>
      </c>
      <c r="I368" s="1087"/>
      <c r="J368" s="1087"/>
      <c r="K368" s="1088"/>
      <c r="L368" s="1089" t="s">
        <v>159</v>
      </c>
      <c r="M368" s="1090"/>
      <c r="N368" s="1091"/>
      <c r="O368" s="1092" t="s">
        <v>159</v>
      </c>
      <c r="P368" s="1093"/>
      <c r="Q368" s="1094"/>
      <c r="R368" s="812"/>
      <c r="S368" s="1095"/>
      <c r="T368" s="813"/>
      <c r="U368" s="745"/>
      <c r="V368" s="940"/>
      <c r="W368" s="746"/>
      <c r="X368" s="312"/>
      <c r="Y368" s="308"/>
      <c r="Z368" s="312"/>
      <c r="AA368" s="308"/>
      <c r="AB368" s="312"/>
      <c r="AC368" s="308"/>
      <c r="AD368" s="312"/>
      <c r="AE368" s="308"/>
      <c r="AF368" s="312"/>
      <c r="AG368" s="308"/>
      <c r="AH368" s="312"/>
      <c r="AI368" s="308"/>
      <c r="AJ368" s="117"/>
      <c r="AK368" s="330"/>
      <c r="AL368" s="117"/>
      <c r="AM368" s="330"/>
      <c r="AN368" s="117"/>
      <c r="AO368" s="330"/>
      <c r="AP368" s="117"/>
      <c r="AQ368" s="330"/>
      <c r="AR368" s="117"/>
      <c r="AS368" s="1096" t="s">
        <v>159</v>
      </c>
      <c r="AT368" s="1097"/>
      <c r="AU368" s="1097"/>
      <c r="AV368" s="1097"/>
      <c r="AW368" s="1097"/>
      <c r="AX368" s="1097"/>
      <c r="AY368" s="1100"/>
      <c r="AZ368" s="257"/>
      <c r="BA368" s="257"/>
      <c r="BB368" s="1059" t="s">
        <v>162</v>
      </c>
      <c r="BC368" s="1060"/>
      <c r="BD368" s="1061" t="s">
        <v>159</v>
      </c>
      <c r="BE368" s="1061"/>
      <c r="BF368" s="1061"/>
      <c r="BG368" s="1062" t="s">
        <v>159</v>
      </c>
      <c r="BH368" s="1063"/>
      <c r="BI368" s="1063"/>
      <c r="BJ368" s="1064"/>
      <c r="BK368" s="1065"/>
      <c r="BL368" s="1066"/>
      <c r="BM368" s="1067"/>
      <c r="BN368" s="259"/>
      <c r="BO368" s="259"/>
      <c r="BP368" s="1062"/>
      <c r="BQ368" s="1063"/>
      <c r="BR368" s="1064"/>
      <c r="BS368" s="1061" t="s">
        <v>159</v>
      </c>
      <c r="BT368" s="1061"/>
      <c r="BU368" s="1061"/>
    </row>
    <row r="369" spans="1:73" ht="30" customHeight="1" x14ac:dyDescent="0.25">
      <c r="A369" s="199">
        <f t="shared" si="5"/>
        <v>355</v>
      </c>
      <c r="B369" s="1081" t="s">
        <v>162</v>
      </c>
      <c r="C369" s="1082"/>
      <c r="D369" s="1083" t="s">
        <v>159</v>
      </c>
      <c r="E369" s="1084"/>
      <c r="F369" s="1084"/>
      <c r="G369" s="1085"/>
      <c r="H369" s="1086" t="s">
        <v>159</v>
      </c>
      <c r="I369" s="1087"/>
      <c r="J369" s="1087"/>
      <c r="K369" s="1088"/>
      <c r="L369" s="1089" t="s">
        <v>159</v>
      </c>
      <c r="M369" s="1090"/>
      <c r="N369" s="1091"/>
      <c r="O369" s="1092" t="s">
        <v>159</v>
      </c>
      <c r="P369" s="1093"/>
      <c r="Q369" s="1094"/>
      <c r="R369" s="812"/>
      <c r="S369" s="1095"/>
      <c r="T369" s="813"/>
      <c r="U369" s="745"/>
      <c r="V369" s="940"/>
      <c r="W369" s="746"/>
      <c r="X369" s="312"/>
      <c r="Y369" s="308"/>
      <c r="Z369" s="312"/>
      <c r="AA369" s="308"/>
      <c r="AB369" s="312"/>
      <c r="AC369" s="308"/>
      <c r="AD369" s="312"/>
      <c r="AE369" s="308"/>
      <c r="AF369" s="312"/>
      <c r="AG369" s="308"/>
      <c r="AH369" s="312"/>
      <c r="AI369" s="308"/>
      <c r="AJ369" s="117"/>
      <c r="AK369" s="330"/>
      <c r="AL369" s="117"/>
      <c r="AM369" s="330"/>
      <c r="AN369" s="117"/>
      <c r="AO369" s="330"/>
      <c r="AP369" s="117"/>
      <c r="AQ369" s="330"/>
      <c r="AR369" s="117"/>
      <c r="AS369" s="1096" t="s">
        <v>159</v>
      </c>
      <c r="AT369" s="1097"/>
      <c r="AU369" s="1097"/>
      <c r="AV369" s="1097"/>
      <c r="AW369" s="1097"/>
      <c r="AX369" s="1097"/>
      <c r="AY369" s="1100"/>
      <c r="AZ369" s="257"/>
      <c r="BA369" s="257"/>
      <c r="BB369" s="1059" t="s">
        <v>162</v>
      </c>
      <c r="BC369" s="1060"/>
      <c r="BD369" s="1061" t="s">
        <v>159</v>
      </c>
      <c r="BE369" s="1061"/>
      <c r="BF369" s="1061"/>
      <c r="BG369" s="1062" t="s">
        <v>159</v>
      </c>
      <c r="BH369" s="1063"/>
      <c r="BI369" s="1063"/>
      <c r="BJ369" s="1064"/>
      <c r="BK369" s="1065"/>
      <c r="BL369" s="1066"/>
      <c r="BM369" s="1067"/>
      <c r="BN369" s="259"/>
      <c r="BO369" s="259"/>
      <c r="BP369" s="1062"/>
      <c r="BQ369" s="1063"/>
      <c r="BR369" s="1064"/>
      <c r="BS369" s="1061" t="s">
        <v>159</v>
      </c>
      <c r="BT369" s="1061"/>
      <c r="BU369" s="1061"/>
    </row>
    <row r="370" spans="1:73" ht="30" customHeight="1" x14ac:dyDescent="0.25">
      <c r="A370" s="199">
        <f t="shared" si="5"/>
        <v>356</v>
      </c>
      <c r="B370" s="1081" t="s">
        <v>162</v>
      </c>
      <c r="C370" s="1082"/>
      <c r="D370" s="1083" t="s">
        <v>159</v>
      </c>
      <c r="E370" s="1084"/>
      <c r="F370" s="1084"/>
      <c r="G370" s="1085"/>
      <c r="H370" s="1086" t="s">
        <v>159</v>
      </c>
      <c r="I370" s="1087"/>
      <c r="J370" s="1087"/>
      <c r="K370" s="1088"/>
      <c r="L370" s="1089" t="s">
        <v>159</v>
      </c>
      <c r="M370" s="1090"/>
      <c r="N370" s="1091"/>
      <c r="O370" s="1092" t="s">
        <v>159</v>
      </c>
      <c r="P370" s="1093"/>
      <c r="Q370" s="1094"/>
      <c r="R370" s="812"/>
      <c r="S370" s="1095"/>
      <c r="T370" s="813"/>
      <c r="U370" s="745"/>
      <c r="V370" s="940"/>
      <c r="W370" s="746"/>
      <c r="X370" s="312"/>
      <c r="Y370" s="308"/>
      <c r="Z370" s="312"/>
      <c r="AA370" s="308"/>
      <c r="AB370" s="312"/>
      <c r="AC370" s="308"/>
      <c r="AD370" s="312"/>
      <c r="AE370" s="308"/>
      <c r="AF370" s="312"/>
      <c r="AG370" s="308"/>
      <c r="AH370" s="312"/>
      <c r="AI370" s="308"/>
      <c r="AJ370" s="117"/>
      <c r="AK370" s="330"/>
      <c r="AL370" s="117"/>
      <c r="AM370" s="330"/>
      <c r="AN370" s="117"/>
      <c r="AO370" s="330"/>
      <c r="AP370" s="117"/>
      <c r="AQ370" s="330"/>
      <c r="AR370" s="117"/>
      <c r="AS370" s="1096" t="s">
        <v>159</v>
      </c>
      <c r="AT370" s="1097"/>
      <c r="AU370" s="1097"/>
      <c r="AV370" s="1097"/>
      <c r="AW370" s="1097"/>
      <c r="AX370" s="1097"/>
      <c r="AY370" s="1100"/>
      <c r="AZ370" s="257"/>
      <c r="BA370" s="257"/>
      <c r="BB370" s="1059" t="s">
        <v>162</v>
      </c>
      <c r="BC370" s="1060"/>
      <c r="BD370" s="1061" t="s">
        <v>159</v>
      </c>
      <c r="BE370" s="1061"/>
      <c r="BF370" s="1061"/>
      <c r="BG370" s="1062" t="s">
        <v>159</v>
      </c>
      <c r="BH370" s="1063"/>
      <c r="BI370" s="1063"/>
      <c r="BJ370" s="1064"/>
      <c r="BK370" s="1065"/>
      <c r="BL370" s="1066"/>
      <c r="BM370" s="1067"/>
      <c r="BN370" s="259"/>
      <c r="BO370" s="259"/>
      <c r="BP370" s="1062"/>
      <c r="BQ370" s="1063"/>
      <c r="BR370" s="1064"/>
      <c r="BS370" s="1061" t="s">
        <v>159</v>
      </c>
      <c r="BT370" s="1061"/>
      <c r="BU370" s="1061"/>
    </row>
    <row r="371" spans="1:73" ht="30" customHeight="1" x14ac:dyDescent="0.25">
      <c r="A371" s="199">
        <f t="shared" si="5"/>
        <v>357</v>
      </c>
      <c r="B371" s="1081" t="s">
        <v>162</v>
      </c>
      <c r="C371" s="1082"/>
      <c r="D371" s="1083" t="s">
        <v>159</v>
      </c>
      <c r="E371" s="1084"/>
      <c r="F371" s="1084"/>
      <c r="G371" s="1085"/>
      <c r="H371" s="1086" t="s">
        <v>159</v>
      </c>
      <c r="I371" s="1087"/>
      <c r="J371" s="1087"/>
      <c r="K371" s="1088"/>
      <c r="L371" s="1089" t="s">
        <v>159</v>
      </c>
      <c r="M371" s="1090"/>
      <c r="N371" s="1091"/>
      <c r="O371" s="1092" t="s">
        <v>159</v>
      </c>
      <c r="P371" s="1093"/>
      <c r="Q371" s="1094"/>
      <c r="R371" s="812"/>
      <c r="S371" s="1095"/>
      <c r="T371" s="813"/>
      <c r="U371" s="745"/>
      <c r="V371" s="940"/>
      <c r="W371" s="746"/>
      <c r="X371" s="312"/>
      <c r="Y371" s="308"/>
      <c r="Z371" s="312"/>
      <c r="AA371" s="308"/>
      <c r="AB371" s="312"/>
      <c r="AC371" s="308"/>
      <c r="AD371" s="312"/>
      <c r="AE371" s="308"/>
      <c r="AF371" s="312"/>
      <c r="AG371" s="308"/>
      <c r="AH371" s="312"/>
      <c r="AI371" s="308"/>
      <c r="AJ371" s="117"/>
      <c r="AK371" s="330"/>
      <c r="AL371" s="117"/>
      <c r="AM371" s="330"/>
      <c r="AN371" s="117"/>
      <c r="AO371" s="330"/>
      <c r="AP371" s="117"/>
      <c r="AQ371" s="330"/>
      <c r="AR371" s="117"/>
      <c r="AS371" s="1096" t="s">
        <v>159</v>
      </c>
      <c r="AT371" s="1097"/>
      <c r="AU371" s="1097"/>
      <c r="AV371" s="1097"/>
      <c r="AW371" s="1097"/>
      <c r="AX371" s="1097"/>
      <c r="AY371" s="1100"/>
      <c r="AZ371" s="257"/>
      <c r="BA371" s="257"/>
      <c r="BB371" s="1059" t="s">
        <v>162</v>
      </c>
      <c r="BC371" s="1060"/>
      <c r="BD371" s="1061" t="s">
        <v>159</v>
      </c>
      <c r="BE371" s="1061"/>
      <c r="BF371" s="1061"/>
      <c r="BG371" s="1062" t="s">
        <v>159</v>
      </c>
      <c r="BH371" s="1063"/>
      <c r="BI371" s="1063"/>
      <c r="BJ371" s="1064"/>
      <c r="BK371" s="1065"/>
      <c r="BL371" s="1066"/>
      <c r="BM371" s="1067"/>
      <c r="BN371" s="259"/>
      <c r="BO371" s="259"/>
      <c r="BP371" s="1062"/>
      <c r="BQ371" s="1063"/>
      <c r="BR371" s="1064"/>
      <c r="BS371" s="1061" t="s">
        <v>159</v>
      </c>
      <c r="BT371" s="1061"/>
      <c r="BU371" s="1061"/>
    </row>
    <row r="372" spans="1:73" ht="30" customHeight="1" x14ac:dyDescent="0.25">
      <c r="A372" s="199">
        <f t="shared" si="5"/>
        <v>358</v>
      </c>
      <c r="B372" s="1081" t="s">
        <v>162</v>
      </c>
      <c r="C372" s="1082"/>
      <c r="D372" s="1083" t="s">
        <v>159</v>
      </c>
      <c r="E372" s="1084"/>
      <c r="F372" s="1084"/>
      <c r="G372" s="1085"/>
      <c r="H372" s="1086" t="s">
        <v>159</v>
      </c>
      <c r="I372" s="1087"/>
      <c r="J372" s="1087"/>
      <c r="K372" s="1088"/>
      <c r="L372" s="1089" t="s">
        <v>159</v>
      </c>
      <c r="M372" s="1090"/>
      <c r="N372" s="1091"/>
      <c r="O372" s="1092" t="s">
        <v>159</v>
      </c>
      <c r="P372" s="1093"/>
      <c r="Q372" s="1094"/>
      <c r="R372" s="812"/>
      <c r="S372" s="1095"/>
      <c r="T372" s="813"/>
      <c r="U372" s="745"/>
      <c r="V372" s="940"/>
      <c r="W372" s="746"/>
      <c r="X372" s="312"/>
      <c r="Y372" s="308"/>
      <c r="Z372" s="312"/>
      <c r="AA372" s="308"/>
      <c r="AB372" s="312"/>
      <c r="AC372" s="308"/>
      <c r="AD372" s="312"/>
      <c r="AE372" s="308"/>
      <c r="AF372" s="312"/>
      <c r="AG372" s="308"/>
      <c r="AH372" s="312"/>
      <c r="AI372" s="308"/>
      <c r="AJ372" s="117"/>
      <c r="AK372" s="330"/>
      <c r="AL372" s="117"/>
      <c r="AM372" s="330"/>
      <c r="AN372" s="117"/>
      <c r="AO372" s="330"/>
      <c r="AP372" s="117"/>
      <c r="AQ372" s="330"/>
      <c r="AR372" s="117"/>
      <c r="AS372" s="1096" t="s">
        <v>159</v>
      </c>
      <c r="AT372" s="1097"/>
      <c r="AU372" s="1097"/>
      <c r="AV372" s="1097"/>
      <c r="AW372" s="1097"/>
      <c r="AX372" s="1097"/>
      <c r="AY372" s="1100"/>
      <c r="AZ372" s="257"/>
      <c r="BA372" s="257"/>
      <c r="BB372" s="1059" t="s">
        <v>162</v>
      </c>
      <c r="BC372" s="1060"/>
      <c r="BD372" s="1061" t="s">
        <v>159</v>
      </c>
      <c r="BE372" s="1061"/>
      <c r="BF372" s="1061"/>
      <c r="BG372" s="1062" t="s">
        <v>159</v>
      </c>
      <c r="BH372" s="1063"/>
      <c r="BI372" s="1063"/>
      <c r="BJ372" s="1064"/>
      <c r="BK372" s="1065"/>
      <c r="BL372" s="1066"/>
      <c r="BM372" s="1067"/>
      <c r="BN372" s="259"/>
      <c r="BO372" s="259"/>
      <c r="BP372" s="1062"/>
      <c r="BQ372" s="1063"/>
      <c r="BR372" s="1064"/>
      <c r="BS372" s="1061" t="s">
        <v>159</v>
      </c>
      <c r="BT372" s="1061"/>
      <c r="BU372" s="1061"/>
    </row>
    <row r="373" spans="1:73" ht="30" customHeight="1" x14ac:dyDescent="0.25">
      <c r="A373" s="199">
        <f t="shared" si="5"/>
        <v>359</v>
      </c>
      <c r="B373" s="1081" t="s">
        <v>162</v>
      </c>
      <c r="C373" s="1082"/>
      <c r="D373" s="1083" t="s">
        <v>159</v>
      </c>
      <c r="E373" s="1084"/>
      <c r="F373" s="1084"/>
      <c r="G373" s="1085"/>
      <c r="H373" s="1086" t="s">
        <v>159</v>
      </c>
      <c r="I373" s="1087"/>
      <c r="J373" s="1087"/>
      <c r="K373" s="1088"/>
      <c r="L373" s="1089" t="s">
        <v>159</v>
      </c>
      <c r="M373" s="1090"/>
      <c r="N373" s="1091"/>
      <c r="O373" s="1092" t="s">
        <v>159</v>
      </c>
      <c r="P373" s="1093"/>
      <c r="Q373" s="1094"/>
      <c r="R373" s="812"/>
      <c r="S373" s="1095"/>
      <c r="T373" s="813"/>
      <c r="U373" s="745"/>
      <c r="V373" s="940"/>
      <c r="W373" s="746"/>
      <c r="X373" s="312"/>
      <c r="Y373" s="308"/>
      <c r="Z373" s="312"/>
      <c r="AA373" s="308"/>
      <c r="AB373" s="312"/>
      <c r="AC373" s="308"/>
      <c r="AD373" s="312"/>
      <c r="AE373" s="308"/>
      <c r="AF373" s="312"/>
      <c r="AG373" s="308"/>
      <c r="AH373" s="312"/>
      <c r="AI373" s="308"/>
      <c r="AJ373" s="117"/>
      <c r="AK373" s="330"/>
      <c r="AL373" s="117"/>
      <c r="AM373" s="330"/>
      <c r="AN373" s="117"/>
      <c r="AO373" s="330"/>
      <c r="AP373" s="117"/>
      <c r="AQ373" s="330"/>
      <c r="AR373" s="117"/>
      <c r="AS373" s="1096" t="s">
        <v>159</v>
      </c>
      <c r="AT373" s="1097"/>
      <c r="AU373" s="1097"/>
      <c r="AV373" s="1097"/>
      <c r="AW373" s="1097"/>
      <c r="AX373" s="1097"/>
      <c r="AY373" s="1100"/>
      <c r="AZ373" s="257"/>
      <c r="BA373" s="257"/>
      <c r="BB373" s="1059" t="s">
        <v>162</v>
      </c>
      <c r="BC373" s="1060"/>
      <c r="BD373" s="1061" t="s">
        <v>159</v>
      </c>
      <c r="BE373" s="1061"/>
      <c r="BF373" s="1061"/>
      <c r="BG373" s="1062" t="s">
        <v>159</v>
      </c>
      <c r="BH373" s="1063"/>
      <c r="BI373" s="1063"/>
      <c r="BJ373" s="1064"/>
      <c r="BK373" s="1065"/>
      <c r="BL373" s="1066"/>
      <c r="BM373" s="1067"/>
      <c r="BN373" s="259"/>
      <c r="BO373" s="259"/>
      <c r="BP373" s="1062"/>
      <c r="BQ373" s="1063"/>
      <c r="BR373" s="1064"/>
      <c r="BS373" s="1061" t="s">
        <v>159</v>
      </c>
      <c r="BT373" s="1061"/>
      <c r="BU373" s="1061"/>
    </row>
    <row r="374" spans="1:73" ht="30" customHeight="1" x14ac:dyDescent="0.25">
      <c r="A374" s="199">
        <f t="shared" ref="A374:A437" si="6">ROW(A360)</f>
        <v>360</v>
      </c>
      <c r="B374" s="1081" t="s">
        <v>162</v>
      </c>
      <c r="C374" s="1082"/>
      <c r="D374" s="1083" t="s">
        <v>159</v>
      </c>
      <c r="E374" s="1084"/>
      <c r="F374" s="1084"/>
      <c r="G374" s="1085"/>
      <c r="H374" s="1086" t="s">
        <v>159</v>
      </c>
      <c r="I374" s="1087"/>
      <c r="J374" s="1087"/>
      <c r="K374" s="1088"/>
      <c r="L374" s="1089" t="s">
        <v>159</v>
      </c>
      <c r="M374" s="1090"/>
      <c r="N374" s="1091"/>
      <c r="O374" s="1092" t="s">
        <v>159</v>
      </c>
      <c r="P374" s="1093"/>
      <c r="Q374" s="1094"/>
      <c r="R374" s="812"/>
      <c r="S374" s="1095"/>
      <c r="T374" s="813"/>
      <c r="U374" s="745"/>
      <c r="V374" s="940"/>
      <c r="W374" s="746"/>
      <c r="X374" s="312"/>
      <c r="Y374" s="308"/>
      <c r="Z374" s="312"/>
      <c r="AA374" s="308"/>
      <c r="AB374" s="312"/>
      <c r="AC374" s="308"/>
      <c r="AD374" s="312"/>
      <c r="AE374" s="308"/>
      <c r="AF374" s="312"/>
      <c r="AG374" s="308"/>
      <c r="AH374" s="312"/>
      <c r="AI374" s="308"/>
      <c r="AJ374" s="117"/>
      <c r="AK374" s="330"/>
      <c r="AL374" s="117"/>
      <c r="AM374" s="330"/>
      <c r="AN374" s="117"/>
      <c r="AO374" s="330"/>
      <c r="AP374" s="117"/>
      <c r="AQ374" s="330"/>
      <c r="AR374" s="117"/>
      <c r="AS374" s="1096" t="s">
        <v>159</v>
      </c>
      <c r="AT374" s="1097"/>
      <c r="AU374" s="1097"/>
      <c r="AV374" s="1097"/>
      <c r="AW374" s="1097"/>
      <c r="AX374" s="1097"/>
      <c r="AY374" s="1100"/>
      <c r="AZ374" s="257"/>
      <c r="BA374" s="257"/>
      <c r="BB374" s="1059" t="s">
        <v>162</v>
      </c>
      <c r="BC374" s="1060"/>
      <c r="BD374" s="1061" t="s">
        <v>159</v>
      </c>
      <c r="BE374" s="1061"/>
      <c r="BF374" s="1061"/>
      <c r="BG374" s="1062" t="s">
        <v>159</v>
      </c>
      <c r="BH374" s="1063"/>
      <c r="BI374" s="1063"/>
      <c r="BJ374" s="1064"/>
      <c r="BK374" s="1065"/>
      <c r="BL374" s="1066"/>
      <c r="BM374" s="1067"/>
      <c r="BN374" s="259"/>
      <c r="BO374" s="259"/>
      <c r="BP374" s="1062"/>
      <c r="BQ374" s="1063"/>
      <c r="BR374" s="1064"/>
      <c r="BS374" s="1061" t="s">
        <v>159</v>
      </c>
      <c r="BT374" s="1061"/>
      <c r="BU374" s="1061"/>
    </row>
    <row r="375" spans="1:73" ht="30" customHeight="1" x14ac:dyDescent="0.25">
      <c r="A375" s="199">
        <f t="shared" si="6"/>
        <v>361</v>
      </c>
      <c r="B375" s="1081" t="s">
        <v>162</v>
      </c>
      <c r="C375" s="1082"/>
      <c r="D375" s="1083" t="s">
        <v>159</v>
      </c>
      <c r="E375" s="1084"/>
      <c r="F375" s="1084"/>
      <c r="G375" s="1085"/>
      <c r="H375" s="1086" t="s">
        <v>159</v>
      </c>
      <c r="I375" s="1087"/>
      <c r="J375" s="1087"/>
      <c r="K375" s="1088"/>
      <c r="L375" s="1089" t="s">
        <v>159</v>
      </c>
      <c r="M375" s="1090"/>
      <c r="N375" s="1091"/>
      <c r="O375" s="1092" t="s">
        <v>159</v>
      </c>
      <c r="P375" s="1093"/>
      <c r="Q375" s="1094"/>
      <c r="R375" s="812"/>
      <c r="S375" s="1095"/>
      <c r="T375" s="813"/>
      <c r="U375" s="745"/>
      <c r="V375" s="940"/>
      <c r="W375" s="746"/>
      <c r="X375" s="312"/>
      <c r="Y375" s="308"/>
      <c r="Z375" s="312"/>
      <c r="AA375" s="308"/>
      <c r="AB375" s="312"/>
      <c r="AC375" s="308"/>
      <c r="AD375" s="312"/>
      <c r="AE375" s="308"/>
      <c r="AF375" s="312"/>
      <c r="AG375" s="308"/>
      <c r="AH375" s="312"/>
      <c r="AI375" s="308"/>
      <c r="AJ375" s="117"/>
      <c r="AK375" s="330"/>
      <c r="AL375" s="117"/>
      <c r="AM375" s="330"/>
      <c r="AN375" s="117"/>
      <c r="AO375" s="330"/>
      <c r="AP375" s="117"/>
      <c r="AQ375" s="330"/>
      <c r="AR375" s="117"/>
      <c r="AS375" s="1096" t="s">
        <v>159</v>
      </c>
      <c r="AT375" s="1097"/>
      <c r="AU375" s="1097"/>
      <c r="AV375" s="1097"/>
      <c r="AW375" s="1097"/>
      <c r="AX375" s="1097"/>
      <c r="AY375" s="1100"/>
      <c r="AZ375" s="257"/>
      <c r="BA375" s="257"/>
      <c r="BB375" s="1059" t="s">
        <v>162</v>
      </c>
      <c r="BC375" s="1060"/>
      <c r="BD375" s="1061" t="s">
        <v>159</v>
      </c>
      <c r="BE375" s="1061"/>
      <c r="BF375" s="1061"/>
      <c r="BG375" s="1062" t="s">
        <v>159</v>
      </c>
      <c r="BH375" s="1063"/>
      <c r="BI375" s="1063"/>
      <c r="BJ375" s="1064"/>
      <c r="BK375" s="1065"/>
      <c r="BL375" s="1066"/>
      <c r="BM375" s="1067"/>
      <c r="BN375" s="259"/>
      <c r="BO375" s="259"/>
      <c r="BP375" s="1062"/>
      <c r="BQ375" s="1063"/>
      <c r="BR375" s="1064"/>
      <c r="BS375" s="1061" t="s">
        <v>159</v>
      </c>
      <c r="BT375" s="1061"/>
      <c r="BU375" s="1061"/>
    </row>
    <row r="376" spans="1:73" ht="30" customHeight="1" x14ac:dyDescent="0.25">
      <c r="A376" s="199">
        <f t="shared" si="6"/>
        <v>362</v>
      </c>
      <c r="B376" s="1081" t="s">
        <v>162</v>
      </c>
      <c r="C376" s="1082"/>
      <c r="D376" s="1083" t="s">
        <v>159</v>
      </c>
      <c r="E376" s="1084"/>
      <c r="F376" s="1084"/>
      <c r="G376" s="1085"/>
      <c r="H376" s="1086" t="s">
        <v>159</v>
      </c>
      <c r="I376" s="1087"/>
      <c r="J376" s="1087"/>
      <c r="K376" s="1088"/>
      <c r="L376" s="1089" t="s">
        <v>159</v>
      </c>
      <c r="M376" s="1090"/>
      <c r="N376" s="1091"/>
      <c r="O376" s="1092" t="s">
        <v>159</v>
      </c>
      <c r="P376" s="1093"/>
      <c r="Q376" s="1094"/>
      <c r="R376" s="812"/>
      <c r="S376" s="1095"/>
      <c r="T376" s="813"/>
      <c r="U376" s="745"/>
      <c r="V376" s="940"/>
      <c r="W376" s="746"/>
      <c r="X376" s="312"/>
      <c r="Y376" s="308"/>
      <c r="Z376" s="312"/>
      <c r="AA376" s="308"/>
      <c r="AB376" s="312"/>
      <c r="AC376" s="308"/>
      <c r="AD376" s="312"/>
      <c r="AE376" s="308"/>
      <c r="AF376" s="312"/>
      <c r="AG376" s="308"/>
      <c r="AH376" s="312"/>
      <c r="AI376" s="308"/>
      <c r="AJ376" s="117"/>
      <c r="AK376" s="330"/>
      <c r="AL376" s="117"/>
      <c r="AM376" s="330"/>
      <c r="AN376" s="117"/>
      <c r="AO376" s="330"/>
      <c r="AP376" s="117"/>
      <c r="AQ376" s="330"/>
      <c r="AR376" s="117"/>
      <c r="AS376" s="1096" t="s">
        <v>159</v>
      </c>
      <c r="AT376" s="1097"/>
      <c r="AU376" s="1097"/>
      <c r="AV376" s="1097"/>
      <c r="AW376" s="1097"/>
      <c r="AX376" s="1097"/>
      <c r="AY376" s="1100"/>
      <c r="AZ376" s="257"/>
      <c r="BA376" s="257"/>
      <c r="BB376" s="1059" t="s">
        <v>162</v>
      </c>
      <c r="BC376" s="1060"/>
      <c r="BD376" s="1061" t="s">
        <v>159</v>
      </c>
      <c r="BE376" s="1061"/>
      <c r="BF376" s="1061"/>
      <c r="BG376" s="1062" t="s">
        <v>159</v>
      </c>
      <c r="BH376" s="1063"/>
      <c r="BI376" s="1063"/>
      <c r="BJ376" s="1064"/>
      <c r="BK376" s="1065"/>
      <c r="BL376" s="1066"/>
      <c r="BM376" s="1067"/>
      <c r="BN376" s="259"/>
      <c r="BO376" s="259"/>
      <c r="BP376" s="1062"/>
      <c r="BQ376" s="1063"/>
      <c r="BR376" s="1064"/>
      <c r="BS376" s="1061" t="s">
        <v>159</v>
      </c>
      <c r="BT376" s="1061"/>
      <c r="BU376" s="1061"/>
    </row>
    <row r="377" spans="1:73" ht="30" customHeight="1" x14ac:dyDescent="0.25">
      <c r="A377" s="199">
        <f t="shared" si="6"/>
        <v>363</v>
      </c>
      <c r="B377" s="1081" t="s">
        <v>162</v>
      </c>
      <c r="C377" s="1082"/>
      <c r="D377" s="1083" t="s">
        <v>159</v>
      </c>
      <c r="E377" s="1084"/>
      <c r="F377" s="1084"/>
      <c r="G377" s="1085"/>
      <c r="H377" s="1086" t="s">
        <v>159</v>
      </c>
      <c r="I377" s="1087"/>
      <c r="J377" s="1087"/>
      <c r="K377" s="1088"/>
      <c r="L377" s="1089" t="s">
        <v>159</v>
      </c>
      <c r="M377" s="1090"/>
      <c r="N377" s="1091"/>
      <c r="O377" s="1092" t="s">
        <v>159</v>
      </c>
      <c r="P377" s="1093"/>
      <c r="Q377" s="1094"/>
      <c r="R377" s="812"/>
      <c r="S377" s="1095"/>
      <c r="T377" s="813"/>
      <c r="U377" s="745"/>
      <c r="V377" s="940"/>
      <c r="W377" s="746"/>
      <c r="X377" s="312"/>
      <c r="Y377" s="308"/>
      <c r="Z377" s="312"/>
      <c r="AA377" s="308"/>
      <c r="AB377" s="312"/>
      <c r="AC377" s="308"/>
      <c r="AD377" s="312"/>
      <c r="AE377" s="308"/>
      <c r="AF377" s="312"/>
      <c r="AG377" s="308"/>
      <c r="AH377" s="312"/>
      <c r="AI377" s="308"/>
      <c r="AJ377" s="117"/>
      <c r="AK377" s="330"/>
      <c r="AL377" s="117"/>
      <c r="AM377" s="330"/>
      <c r="AN377" s="117"/>
      <c r="AO377" s="330"/>
      <c r="AP377" s="117"/>
      <c r="AQ377" s="330"/>
      <c r="AR377" s="117"/>
      <c r="AS377" s="1096" t="s">
        <v>159</v>
      </c>
      <c r="AT377" s="1097"/>
      <c r="AU377" s="1097"/>
      <c r="AV377" s="1097"/>
      <c r="AW377" s="1097"/>
      <c r="AX377" s="1097"/>
      <c r="AY377" s="1100"/>
      <c r="AZ377" s="257"/>
      <c r="BA377" s="257"/>
      <c r="BB377" s="1059" t="s">
        <v>162</v>
      </c>
      <c r="BC377" s="1060"/>
      <c r="BD377" s="1061" t="s">
        <v>159</v>
      </c>
      <c r="BE377" s="1061"/>
      <c r="BF377" s="1061"/>
      <c r="BG377" s="1062" t="s">
        <v>159</v>
      </c>
      <c r="BH377" s="1063"/>
      <c r="BI377" s="1063"/>
      <c r="BJ377" s="1064"/>
      <c r="BK377" s="1065"/>
      <c r="BL377" s="1066"/>
      <c r="BM377" s="1067"/>
      <c r="BN377" s="259"/>
      <c r="BO377" s="259"/>
      <c r="BP377" s="1062"/>
      <c r="BQ377" s="1063"/>
      <c r="BR377" s="1064"/>
      <c r="BS377" s="1061" t="s">
        <v>159</v>
      </c>
      <c r="BT377" s="1061"/>
      <c r="BU377" s="1061"/>
    </row>
    <row r="378" spans="1:73" ht="30" customHeight="1" x14ac:dyDescent="0.25">
      <c r="A378" s="199">
        <f t="shared" si="6"/>
        <v>364</v>
      </c>
      <c r="B378" s="1081" t="s">
        <v>162</v>
      </c>
      <c r="C378" s="1082"/>
      <c r="D378" s="1083" t="s">
        <v>159</v>
      </c>
      <c r="E378" s="1084"/>
      <c r="F378" s="1084"/>
      <c r="G378" s="1085"/>
      <c r="H378" s="1086" t="s">
        <v>159</v>
      </c>
      <c r="I378" s="1087"/>
      <c r="J378" s="1087"/>
      <c r="K378" s="1088"/>
      <c r="L378" s="1089" t="s">
        <v>159</v>
      </c>
      <c r="M378" s="1090"/>
      <c r="N378" s="1091"/>
      <c r="O378" s="1092" t="s">
        <v>159</v>
      </c>
      <c r="P378" s="1093"/>
      <c r="Q378" s="1094"/>
      <c r="R378" s="812"/>
      <c r="S378" s="1095"/>
      <c r="T378" s="813"/>
      <c r="U378" s="745"/>
      <c r="V378" s="940"/>
      <c r="W378" s="746"/>
      <c r="X378" s="312"/>
      <c r="Y378" s="308"/>
      <c r="Z378" s="312"/>
      <c r="AA378" s="308"/>
      <c r="AB378" s="312"/>
      <c r="AC378" s="308"/>
      <c r="AD378" s="312"/>
      <c r="AE378" s="308"/>
      <c r="AF378" s="312"/>
      <c r="AG378" s="308"/>
      <c r="AH378" s="312"/>
      <c r="AI378" s="308"/>
      <c r="AJ378" s="117"/>
      <c r="AK378" s="330"/>
      <c r="AL378" s="117"/>
      <c r="AM378" s="330"/>
      <c r="AN378" s="117"/>
      <c r="AO378" s="330"/>
      <c r="AP378" s="117"/>
      <c r="AQ378" s="330"/>
      <c r="AR378" s="117"/>
      <c r="AS378" s="1096" t="s">
        <v>159</v>
      </c>
      <c r="AT378" s="1097"/>
      <c r="AU378" s="1097"/>
      <c r="AV378" s="1097"/>
      <c r="AW378" s="1097"/>
      <c r="AX378" s="1097"/>
      <c r="AY378" s="1100"/>
      <c r="AZ378" s="257"/>
      <c r="BA378" s="257"/>
      <c r="BB378" s="1059" t="s">
        <v>162</v>
      </c>
      <c r="BC378" s="1060"/>
      <c r="BD378" s="1061" t="s">
        <v>159</v>
      </c>
      <c r="BE378" s="1061"/>
      <c r="BF378" s="1061"/>
      <c r="BG378" s="1062" t="s">
        <v>159</v>
      </c>
      <c r="BH378" s="1063"/>
      <c r="BI378" s="1063"/>
      <c r="BJ378" s="1064"/>
      <c r="BK378" s="1065"/>
      <c r="BL378" s="1066"/>
      <c r="BM378" s="1067"/>
      <c r="BN378" s="259"/>
      <c r="BO378" s="259"/>
      <c r="BP378" s="1062"/>
      <c r="BQ378" s="1063"/>
      <c r="BR378" s="1064"/>
      <c r="BS378" s="1061" t="s">
        <v>159</v>
      </c>
      <c r="BT378" s="1061"/>
      <c r="BU378" s="1061"/>
    </row>
    <row r="379" spans="1:73" ht="30" customHeight="1" x14ac:dyDescent="0.25">
      <c r="A379" s="199">
        <f t="shared" si="6"/>
        <v>365</v>
      </c>
      <c r="B379" s="1081" t="s">
        <v>162</v>
      </c>
      <c r="C379" s="1082"/>
      <c r="D379" s="1083" t="s">
        <v>159</v>
      </c>
      <c r="E379" s="1084"/>
      <c r="F379" s="1084"/>
      <c r="G379" s="1085"/>
      <c r="H379" s="1086" t="s">
        <v>159</v>
      </c>
      <c r="I379" s="1087"/>
      <c r="J379" s="1087"/>
      <c r="K379" s="1088"/>
      <c r="L379" s="1089" t="s">
        <v>159</v>
      </c>
      <c r="M379" s="1090"/>
      <c r="N379" s="1091"/>
      <c r="O379" s="1092" t="s">
        <v>159</v>
      </c>
      <c r="P379" s="1093"/>
      <c r="Q379" s="1094"/>
      <c r="R379" s="812"/>
      <c r="S379" s="1095"/>
      <c r="T379" s="813"/>
      <c r="U379" s="745"/>
      <c r="V379" s="940"/>
      <c r="W379" s="746"/>
      <c r="X379" s="312"/>
      <c r="Y379" s="308"/>
      <c r="Z379" s="312"/>
      <c r="AA379" s="308"/>
      <c r="AB379" s="312"/>
      <c r="AC379" s="308"/>
      <c r="AD379" s="312"/>
      <c r="AE379" s="308"/>
      <c r="AF379" s="312"/>
      <c r="AG379" s="308"/>
      <c r="AH379" s="312"/>
      <c r="AI379" s="308"/>
      <c r="AJ379" s="117"/>
      <c r="AK379" s="330"/>
      <c r="AL379" s="117"/>
      <c r="AM379" s="330"/>
      <c r="AN379" s="117"/>
      <c r="AO379" s="330"/>
      <c r="AP379" s="117"/>
      <c r="AQ379" s="330"/>
      <c r="AR379" s="117"/>
      <c r="AS379" s="1096" t="s">
        <v>159</v>
      </c>
      <c r="AT379" s="1097"/>
      <c r="AU379" s="1097"/>
      <c r="AV379" s="1097"/>
      <c r="AW379" s="1097"/>
      <c r="AX379" s="1097"/>
      <c r="AY379" s="1100"/>
      <c r="AZ379" s="257"/>
      <c r="BA379" s="257"/>
      <c r="BB379" s="1059" t="s">
        <v>162</v>
      </c>
      <c r="BC379" s="1060"/>
      <c r="BD379" s="1061" t="s">
        <v>159</v>
      </c>
      <c r="BE379" s="1061"/>
      <c r="BF379" s="1061"/>
      <c r="BG379" s="1062" t="s">
        <v>159</v>
      </c>
      <c r="BH379" s="1063"/>
      <c r="BI379" s="1063"/>
      <c r="BJ379" s="1064"/>
      <c r="BK379" s="1065"/>
      <c r="BL379" s="1066"/>
      <c r="BM379" s="1067"/>
      <c r="BN379" s="259"/>
      <c r="BO379" s="259"/>
      <c r="BP379" s="1062"/>
      <c r="BQ379" s="1063"/>
      <c r="BR379" s="1064"/>
      <c r="BS379" s="1061" t="s">
        <v>159</v>
      </c>
      <c r="BT379" s="1061"/>
      <c r="BU379" s="1061"/>
    </row>
    <row r="380" spans="1:73" ht="30" customHeight="1" x14ac:dyDescent="0.25">
      <c r="A380" s="199">
        <f t="shared" si="6"/>
        <v>366</v>
      </c>
      <c r="B380" s="1081" t="s">
        <v>162</v>
      </c>
      <c r="C380" s="1082"/>
      <c r="D380" s="1083" t="s">
        <v>159</v>
      </c>
      <c r="E380" s="1084"/>
      <c r="F380" s="1084"/>
      <c r="G380" s="1085"/>
      <c r="H380" s="1086" t="s">
        <v>159</v>
      </c>
      <c r="I380" s="1087"/>
      <c r="J380" s="1087"/>
      <c r="K380" s="1088"/>
      <c r="L380" s="1089" t="s">
        <v>159</v>
      </c>
      <c r="M380" s="1090"/>
      <c r="N380" s="1091"/>
      <c r="O380" s="1092" t="s">
        <v>159</v>
      </c>
      <c r="P380" s="1093"/>
      <c r="Q380" s="1094"/>
      <c r="R380" s="812"/>
      <c r="S380" s="1095"/>
      <c r="T380" s="813"/>
      <c r="U380" s="745"/>
      <c r="V380" s="940"/>
      <c r="W380" s="746"/>
      <c r="X380" s="312"/>
      <c r="Y380" s="308"/>
      <c r="Z380" s="312"/>
      <c r="AA380" s="308"/>
      <c r="AB380" s="312"/>
      <c r="AC380" s="308"/>
      <c r="AD380" s="312"/>
      <c r="AE380" s="308"/>
      <c r="AF380" s="312"/>
      <c r="AG380" s="308"/>
      <c r="AH380" s="312"/>
      <c r="AI380" s="308"/>
      <c r="AJ380" s="117"/>
      <c r="AK380" s="330"/>
      <c r="AL380" s="117"/>
      <c r="AM380" s="330"/>
      <c r="AN380" s="117"/>
      <c r="AO380" s="330"/>
      <c r="AP380" s="117"/>
      <c r="AQ380" s="330"/>
      <c r="AR380" s="117"/>
      <c r="AS380" s="1096" t="s">
        <v>159</v>
      </c>
      <c r="AT380" s="1097"/>
      <c r="AU380" s="1097"/>
      <c r="AV380" s="1097"/>
      <c r="AW380" s="1097"/>
      <c r="AX380" s="1097"/>
      <c r="AY380" s="1100"/>
      <c r="AZ380" s="257"/>
      <c r="BA380" s="257"/>
      <c r="BB380" s="1059" t="s">
        <v>162</v>
      </c>
      <c r="BC380" s="1060"/>
      <c r="BD380" s="1061" t="s">
        <v>159</v>
      </c>
      <c r="BE380" s="1061"/>
      <c r="BF380" s="1061"/>
      <c r="BG380" s="1062" t="s">
        <v>159</v>
      </c>
      <c r="BH380" s="1063"/>
      <c r="BI380" s="1063"/>
      <c r="BJ380" s="1064"/>
      <c r="BK380" s="1065"/>
      <c r="BL380" s="1066"/>
      <c r="BM380" s="1067"/>
      <c r="BN380" s="259"/>
      <c r="BO380" s="259"/>
      <c r="BP380" s="1062"/>
      <c r="BQ380" s="1063"/>
      <c r="BR380" s="1064"/>
      <c r="BS380" s="1061" t="s">
        <v>159</v>
      </c>
      <c r="BT380" s="1061"/>
      <c r="BU380" s="1061"/>
    </row>
    <row r="381" spans="1:73" ht="30" customHeight="1" x14ac:dyDescent="0.25">
      <c r="A381" s="199">
        <f t="shared" si="6"/>
        <v>367</v>
      </c>
      <c r="B381" s="1081" t="s">
        <v>162</v>
      </c>
      <c r="C381" s="1082"/>
      <c r="D381" s="1083" t="s">
        <v>159</v>
      </c>
      <c r="E381" s="1084"/>
      <c r="F381" s="1084"/>
      <c r="G381" s="1085"/>
      <c r="H381" s="1086" t="s">
        <v>159</v>
      </c>
      <c r="I381" s="1087"/>
      <c r="J381" s="1087"/>
      <c r="K381" s="1088"/>
      <c r="L381" s="1089" t="s">
        <v>159</v>
      </c>
      <c r="M381" s="1090"/>
      <c r="N381" s="1091"/>
      <c r="O381" s="1092" t="s">
        <v>159</v>
      </c>
      <c r="P381" s="1093"/>
      <c r="Q381" s="1094"/>
      <c r="R381" s="812"/>
      <c r="S381" s="1095"/>
      <c r="T381" s="813"/>
      <c r="U381" s="745"/>
      <c r="V381" s="940"/>
      <c r="W381" s="746"/>
      <c r="X381" s="312"/>
      <c r="Y381" s="308"/>
      <c r="Z381" s="312"/>
      <c r="AA381" s="308"/>
      <c r="AB381" s="312"/>
      <c r="AC381" s="308"/>
      <c r="AD381" s="312"/>
      <c r="AE381" s="308"/>
      <c r="AF381" s="312"/>
      <c r="AG381" s="308"/>
      <c r="AH381" s="312"/>
      <c r="AI381" s="308"/>
      <c r="AJ381" s="117"/>
      <c r="AK381" s="330"/>
      <c r="AL381" s="117"/>
      <c r="AM381" s="330"/>
      <c r="AN381" s="117"/>
      <c r="AO381" s="330"/>
      <c r="AP381" s="117"/>
      <c r="AQ381" s="330"/>
      <c r="AR381" s="117"/>
      <c r="AS381" s="1096" t="s">
        <v>159</v>
      </c>
      <c r="AT381" s="1097"/>
      <c r="AU381" s="1097"/>
      <c r="AV381" s="1097"/>
      <c r="AW381" s="1097"/>
      <c r="AX381" s="1097"/>
      <c r="AY381" s="1100"/>
      <c r="AZ381" s="257"/>
      <c r="BA381" s="257"/>
      <c r="BB381" s="1059" t="s">
        <v>162</v>
      </c>
      <c r="BC381" s="1060"/>
      <c r="BD381" s="1061" t="s">
        <v>159</v>
      </c>
      <c r="BE381" s="1061"/>
      <c r="BF381" s="1061"/>
      <c r="BG381" s="1062" t="s">
        <v>159</v>
      </c>
      <c r="BH381" s="1063"/>
      <c r="BI381" s="1063"/>
      <c r="BJ381" s="1064"/>
      <c r="BK381" s="1065"/>
      <c r="BL381" s="1066"/>
      <c r="BM381" s="1067"/>
      <c r="BN381" s="259"/>
      <c r="BO381" s="259"/>
      <c r="BP381" s="1062"/>
      <c r="BQ381" s="1063"/>
      <c r="BR381" s="1064"/>
      <c r="BS381" s="1061" t="s">
        <v>159</v>
      </c>
      <c r="BT381" s="1061"/>
      <c r="BU381" s="1061"/>
    </row>
    <row r="382" spans="1:73" ht="30" customHeight="1" x14ac:dyDescent="0.25">
      <c r="A382" s="199">
        <f t="shared" si="6"/>
        <v>368</v>
      </c>
      <c r="B382" s="1081" t="s">
        <v>162</v>
      </c>
      <c r="C382" s="1082"/>
      <c r="D382" s="1083" t="s">
        <v>159</v>
      </c>
      <c r="E382" s="1084"/>
      <c r="F382" s="1084"/>
      <c r="G382" s="1085"/>
      <c r="H382" s="1086" t="s">
        <v>159</v>
      </c>
      <c r="I382" s="1087"/>
      <c r="J382" s="1087"/>
      <c r="K382" s="1088"/>
      <c r="L382" s="1089" t="s">
        <v>159</v>
      </c>
      <c r="M382" s="1090"/>
      <c r="N382" s="1091"/>
      <c r="O382" s="1092" t="s">
        <v>159</v>
      </c>
      <c r="P382" s="1093"/>
      <c r="Q382" s="1094"/>
      <c r="R382" s="812"/>
      <c r="S382" s="1095"/>
      <c r="T382" s="813"/>
      <c r="U382" s="745"/>
      <c r="V382" s="940"/>
      <c r="W382" s="746"/>
      <c r="X382" s="312"/>
      <c r="Y382" s="308"/>
      <c r="Z382" s="312"/>
      <c r="AA382" s="308"/>
      <c r="AB382" s="312"/>
      <c r="AC382" s="308"/>
      <c r="AD382" s="312"/>
      <c r="AE382" s="308"/>
      <c r="AF382" s="312"/>
      <c r="AG382" s="308"/>
      <c r="AH382" s="312"/>
      <c r="AI382" s="308"/>
      <c r="AJ382" s="117"/>
      <c r="AK382" s="330"/>
      <c r="AL382" s="117"/>
      <c r="AM382" s="330"/>
      <c r="AN382" s="117"/>
      <c r="AO382" s="330"/>
      <c r="AP382" s="117"/>
      <c r="AQ382" s="330"/>
      <c r="AR382" s="117"/>
      <c r="AS382" s="1096" t="s">
        <v>159</v>
      </c>
      <c r="AT382" s="1097"/>
      <c r="AU382" s="1097"/>
      <c r="AV382" s="1097"/>
      <c r="AW382" s="1097"/>
      <c r="AX382" s="1097"/>
      <c r="AY382" s="1100"/>
      <c r="AZ382" s="257"/>
      <c r="BA382" s="257"/>
      <c r="BB382" s="1059" t="s">
        <v>162</v>
      </c>
      <c r="BC382" s="1060"/>
      <c r="BD382" s="1061" t="s">
        <v>159</v>
      </c>
      <c r="BE382" s="1061"/>
      <c r="BF382" s="1061"/>
      <c r="BG382" s="1062" t="s">
        <v>159</v>
      </c>
      <c r="BH382" s="1063"/>
      <c r="BI382" s="1063"/>
      <c r="BJ382" s="1064"/>
      <c r="BK382" s="1065"/>
      <c r="BL382" s="1066"/>
      <c r="BM382" s="1067"/>
      <c r="BN382" s="259"/>
      <c r="BO382" s="259"/>
      <c r="BP382" s="1062"/>
      <c r="BQ382" s="1063"/>
      <c r="BR382" s="1064"/>
      <c r="BS382" s="1061" t="s">
        <v>159</v>
      </c>
      <c r="BT382" s="1061"/>
      <c r="BU382" s="1061"/>
    </row>
    <row r="383" spans="1:73" ht="30" customHeight="1" x14ac:dyDescent="0.25">
      <c r="A383" s="199">
        <f t="shared" si="6"/>
        <v>369</v>
      </c>
      <c r="B383" s="1081" t="s">
        <v>162</v>
      </c>
      <c r="C383" s="1082"/>
      <c r="D383" s="1083" t="s">
        <v>159</v>
      </c>
      <c r="E383" s="1084"/>
      <c r="F383" s="1084"/>
      <c r="G383" s="1085"/>
      <c r="H383" s="1086" t="s">
        <v>159</v>
      </c>
      <c r="I383" s="1087"/>
      <c r="J383" s="1087"/>
      <c r="K383" s="1088"/>
      <c r="L383" s="1089" t="s">
        <v>159</v>
      </c>
      <c r="M383" s="1090"/>
      <c r="N383" s="1091"/>
      <c r="O383" s="1092" t="s">
        <v>159</v>
      </c>
      <c r="P383" s="1093"/>
      <c r="Q383" s="1094"/>
      <c r="R383" s="812"/>
      <c r="S383" s="1095"/>
      <c r="T383" s="813"/>
      <c r="U383" s="745"/>
      <c r="V383" s="940"/>
      <c r="W383" s="746"/>
      <c r="X383" s="312"/>
      <c r="Y383" s="308"/>
      <c r="Z383" s="312"/>
      <c r="AA383" s="308"/>
      <c r="AB383" s="312"/>
      <c r="AC383" s="308"/>
      <c r="AD383" s="312"/>
      <c r="AE383" s="308"/>
      <c r="AF383" s="312"/>
      <c r="AG383" s="308"/>
      <c r="AH383" s="312"/>
      <c r="AI383" s="308"/>
      <c r="AJ383" s="117"/>
      <c r="AK383" s="330"/>
      <c r="AL383" s="117"/>
      <c r="AM383" s="330"/>
      <c r="AN383" s="117"/>
      <c r="AO383" s="330"/>
      <c r="AP383" s="117"/>
      <c r="AQ383" s="330"/>
      <c r="AR383" s="117"/>
      <c r="AS383" s="1096" t="s">
        <v>159</v>
      </c>
      <c r="AT383" s="1097"/>
      <c r="AU383" s="1097"/>
      <c r="AV383" s="1097"/>
      <c r="AW383" s="1097"/>
      <c r="AX383" s="1097"/>
      <c r="AY383" s="1100"/>
      <c r="AZ383" s="257"/>
      <c r="BA383" s="257"/>
      <c r="BB383" s="1059" t="s">
        <v>162</v>
      </c>
      <c r="BC383" s="1060"/>
      <c r="BD383" s="1061" t="s">
        <v>159</v>
      </c>
      <c r="BE383" s="1061"/>
      <c r="BF383" s="1061"/>
      <c r="BG383" s="1062" t="s">
        <v>159</v>
      </c>
      <c r="BH383" s="1063"/>
      <c r="BI383" s="1063"/>
      <c r="BJ383" s="1064"/>
      <c r="BK383" s="1065"/>
      <c r="BL383" s="1066"/>
      <c r="BM383" s="1067"/>
      <c r="BN383" s="259"/>
      <c r="BO383" s="259"/>
      <c r="BP383" s="1062"/>
      <c r="BQ383" s="1063"/>
      <c r="BR383" s="1064"/>
      <c r="BS383" s="1061" t="s">
        <v>159</v>
      </c>
      <c r="BT383" s="1061"/>
      <c r="BU383" s="1061"/>
    </row>
    <row r="384" spans="1:73" ht="30" customHeight="1" x14ac:dyDescent="0.25">
      <c r="A384" s="199">
        <f t="shared" si="6"/>
        <v>370</v>
      </c>
      <c r="B384" s="1081" t="s">
        <v>162</v>
      </c>
      <c r="C384" s="1082"/>
      <c r="D384" s="1083" t="s">
        <v>159</v>
      </c>
      <c r="E384" s="1084"/>
      <c r="F384" s="1084"/>
      <c r="G384" s="1085"/>
      <c r="H384" s="1086" t="s">
        <v>159</v>
      </c>
      <c r="I384" s="1087"/>
      <c r="J384" s="1087"/>
      <c r="K384" s="1088"/>
      <c r="L384" s="1089" t="s">
        <v>159</v>
      </c>
      <c r="M384" s="1090"/>
      <c r="N384" s="1091"/>
      <c r="O384" s="1092" t="s">
        <v>159</v>
      </c>
      <c r="P384" s="1093"/>
      <c r="Q384" s="1094"/>
      <c r="R384" s="812"/>
      <c r="S384" s="1095"/>
      <c r="T384" s="813"/>
      <c r="U384" s="745"/>
      <c r="V384" s="940"/>
      <c r="W384" s="746"/>
      <c r="X384" s="312"/>
      <c r="Y384" s="308"/>
      <c r="Z384" s="312"/>
      <c r="AA384" s="308"/>
      <c r="AB384" s="312"/>
      <c r="AC384" s="308"/>
      <c r="AD384" s="312"/>
      <c r="AE384" s="308"/>
      <c r="AF384" s="312"/>
      <c r="AG384" s="308"/>
      <c r="AH384" s="312"/>
      <c r="AI384" s="308"/>
      <c r="AJ384" s="117"/>
      <c r="AK384" s="330"/>
      <c r="AL384" s="117"/>
      <c r="AM384" s="330"/>
      <c r="AN384" s="117"/>
      <c r="AO384" s="330"/>
      <c r="AP384" s="117"/>
      <c r="AQ384" s="330"/>
      <c r="AR384" s="117"/>
      <c r="AS384" s="1096" t="s">
        <v>159</v>
      </c>
      <c r="AT384" s="1097"/>
      <c r="AU384" s="1097"/>
      <c r="AV384" s="1097"/>
      <c r="AW384" s="1097"/>
      <c r="AX384" s="1097"/>
      <c r="AY384" s="1100"/>
      <c r="AZ384" s="257"/>
      <c r="BA384" s="257"/>
      <c r="BB384" s="1059" t="s">
        <v>162</v>
      </c>
      <c r="BC384" s="1060"/>
      <c r="BD384" s="1061" t="s">
        <v>159</v>
      </c>
      <c r="BE384" s="1061"/>
      <c r="BF384" s="1061"/>
      <c r="BG384" s="1062" t="s">
        <v>159</v>
      </c>
      <c r="BH384" s="1063"/>
      <c r="BI384" s="1063"/>
      <c r="BJ384" s="1064"/>
      <c r="BK384" s="1065"/>
      <c r="BL384" s="1066"/>
      <c r="BM384" s="1067"/>
      <c r="BN384" s="259"/>
      <c r="BO384" s="259"/>
      <c r="BP384" s="1062"/>
      <c r="BQ384" s="1063"/>
      <c r="BR384" s="1064"/>
      <c r="BS384" s="1061" t="s">
        <v>159</v>
      </c>
      <c r="BT384" s="1061"/>
      <c r="BU384" s="1061"/>
    </row>
    <row r="385" spans="1:73" ht="30" customHeight="1" x14ac:dyDescent="0.25">
      <c r="A385" s="199">
        <f t="shared" si="6"/>
        <v>371</v>
      </c>
      <c r="B385" s="1081" t="s">
        <v>162</v>
      </c>
      <c r="C385" s="1082"/>
      <c r="D385" s="1083" t="s">
        <v>159</v>
      </c>
      <c r="E385" s="1084"/>
      <c r="F385" s="1084"/>
      <c r="G385" s="1085"/>
      <c r="H385" s="1086" t="s">
        <v>159</v>
      </c>
      <c r="I385" s="1087"/>
      <c r="J385" s="1087"/>
      <c r="K385" s="1088"/>
      <c r="L385" s="1089" t="s">
        <v>159</v>
      </c>
      <c r="M385" s="1090"/>
      <c r="N385" s="1091"/>
      <c r="O385" s="1092" t="s">
        <v>159</v>
      </c>
      <c r="P385" s="1093"/>
      <c r="Q385" s="1094"/>
      <c r="R385" s="812"/>
      <c r="S385" s="1095"/>
      <c r="T385" s="813"/>
      <c r="U385" s="745"/>
      <c r="V385" s="940"/>
      <c r="W385" s="746"/>
      <c r="X385" s="312"/>
      <c r="Y385" s="308"/>
      <c r="Z385" s="312"/>
      <c r="AA385" s="308"/>
      <c r="AB385" s="312"/>
      <c r="AC385" s="308"/>
      <c r="AD385" s="312"/>
      <c r="AE385" s="308"/>
      <c r="AF385" s="312"/>
      <c r="AG385" s="308"/>
      <c r="AH385" s="312"/>
      <c r="AI385" s="308"/>
      <c r="AJ385" s="117"/>
      <c r="AK385" s="330"/>
      <c r="AL385" s="117"/>
      <c r="AM385" s="330"/>
      <c r="AN385" s="117"/>
      <c r="AO385" s="330"/>
      <c r="AP385" s="117"/>
      <c r="AQ385" s="330"/>
      <c r="AR385" s="117"/>
      <c r="AS385" s="1096" t="s">
        <v>159</v>
      </c>
      <c r="AT385" s="1097"/>
      <c r="AU385" s="1097"/>
      <c r="AV385" s="1097"/>
      <c r="AW385" s="1097"/>
      <c r="AX385" s="1097"/>
      <c r="AY385" s="1100"/>
      <c r="AZ385" s="257"/>
      <c r="BA385" s="257"/>
      <c r="BB385" s="1059" t="s">
        <v>162</v>
      </c>
      <c r="BC385" s="1060"/>
      <c r="BD385" s="1061" t="s">
        <v>159</v>
      </c>
      <c r="BE385" s="1061"/>
      <c r="BF385" s="1061"/>
      <c r="BG385" s="1062" t="s">
        <v>159</v>
      </c>
      <c r="BH385" s="1063"/>
      <c r="BI385" s="1063"/>
      <c r="BJ385" s="1064"/>
      <c r="BK385" s="1065"/>
      <c r="BL385" s="1066"/>
      <c r="BM385" s="1067"/>
      <c r="BN385" s="259"/>
      <c r="BO385" s="259"/>
      <c r="BP385" s="1062"/>
      <c r="BQ385" s="1063"/>
      <c r="BR385" s="1064"/>
      <c r="BS385" s="1061" t="s">
        <v>159</v>
      </c>
      <c r="BT385" s="1061"/>
      <c r="BU385" s="1061"/>
    </row>
    <row r="386" spans="1:73" ht="30" customHeight="1" x14ac:dyDescent="0.25">
      <c r="A386" s="199">
        <f t="shared" si="6"/>
        <v>372</v>
      </c>
      <c r="B386" s="1081" t="s">
        <v>162</v>
      </c>
      <c r="C386" s="1082"/>
      <c r="D386" s="1083" t="s">
        <v>159</v>
      </c>
      <c r="E386" s="1084"/>
      <c r="F386" s="1084"/>
      <c r="G386" s="1085"/>
      <c r="H386" s="1086" t="s">
        <v>159</v>
      </c>
      <c r="I386" s="1087"/>
      <c r="J386" s="1087"/>
      <c r="K386" s="1088"/>
      <c r="L386" s="1089" t="s">
        <v>159</v>
      </c>
      <c r="M386" s="1090"/>
      <c r="N386" s="1091"/>
      <c r="O386" s="1092" t="s">
        <v>159</v>
      </c>
      <c r="P386" s="1093"/>
      <c r="Q386" s="1094"/>
      <c r="R386" s="812"/>
      <c r="S386" s="1095"/>
      <c r="T386" s="813"/>
      <c r="U386" s="745"/>
      <c r="V386" s="940"/>
      <c r="W386" s="746"/>
      <c r="X386" s="312"/>
      <c r="Y386" s="308"/>
      <c r="Z386" s="312"/>
      <c r="AA386" s="308"/>
      <c r="AB386" s="312"/>
      <c r="AC386" s="308"/>
      <c r="AD386" s="312"/>
      <c r="AE386" s="308"/>
      <c r="AF386" s="312"/>
      <c r="AG386" s="308"/>
      <c r="AH386" s="312"/>
      <c r="AI386" s="308"/>
      <c r="AJ386" s="117"/>
      <c r="AK386" s="330"/>
      <c r="AL386" s="117"/>
      <c r="AM386" s="330"/>
      <c r="AN386" s="117"/>
      <c r="AO386" s="330"/>
      <c r="AP386" s="117"/>
      <c r="AQ386" s="330"/>
      <c r="AR386" s="117"/>
      <c r="AS386" s="1096" t="s">
        <v>159</v>
      </c>
      <c r="AT386" s="1097"/>
      <c r="AU386" s="1097"/>
      <c r="AV386" s="1097"/>
      <c r="AW386" s="1097"/>
      <c r="AX386" s="1097"/>
      <c r="AY386" s="1100"/>
      <c r="AZ386" s="257"/>
      <c r="BA386" s="257"/>
      <c r="BB386" s="1059" t="s">
        <v>162</v>
      </c>
      <c r="BC386" s="1060"/>
      <c r="BD386" s="1061" t="s">
        <v>159</v>
      </c>
      <c r="BE386" s="1061"/>
      <c r="BF386" s="1061"/>
      <c r="BG386" s="1062" t="s">
        <v>159</v>
      </c>
      <c r="BH386" s="1063"/>
      <c r="BI386" s="1063"/>
      <c r="BJ386" s="1064"/>
      <c r="BK386" s="1065"/>
      <c r="BL386" s="1066"/>
      <c r="BM386" s="1067"/>
      <c r="BN386" s="259"/>
      <c r="BO386" s="259"/>
      <c r="BP386" s="1062"/>
      <c r="BQ386" s="1063"/>
      <c r="BR386" s="1064"/>
      <c r="BS386" s="1061" t="s">
        <v>159</v>
      </c>
      <c r="BT386" s="1061"/>
      <c r="BU386" s="1061"/>
    </row>
    <row r="387" spans="1:73" ht="30" customHeight="1" x14ac:dyDescent="0.25">
      <c r="A387" s="199">
        <f t="shared" si="6"/>
        <v>373</v>
      </c>
      <c r="B387" s="1081" t="s">
        <v>162</v>
      </c>
      <c r="C387" s="1082"/>
      <c r="D387" s="1083" t="s">
        <v>159</v>
      </c>
      <c r="E387" s="1084"/>
      <c r="F387" s="1084"/>
      <c r="G387" s="1085"/>
      <c r="H387" s="1086" t="s">
        <v>159</v>
      </c>
      <c r="I387" s="1087"/>
      <c r="J387" s="1087"/>
      <c r="K387" s="1088"/>
      <c r="L387" s="1089" t="s">
        <v>159</v>
      </c>
      <c r="M387" s="1090"/>
      <c r="N387" s="1091"/>
      <c r="O387" s="1092" t="s">
        <v>159</v>
      </c>
      <c r="P387" s="1093"/>
      <c r="Q387" s="1094"/>
      <c r="R387" s="812"/>
      <c r="S387" s="1095"/>
      <c r="T387" s="813"/>
      <c r="U387" s="745"/>
      <c r="V387" s="940"/>
      <c r="W387" s="746"/>
      <c r="X387" s="312"/>
      <c r="Y387" s="308"/>
      <c r="Z387" s="312"/>
      <c r="AA387" s="308"/>
      <c r="AB387" s="312"/>
      <c r="AC387" s="308"/>
      <c r="AD387" s="312"/>
      <c r="AE387" s="308"/>
      <c r="AF387" s="312"/>
      <c r="AG387" s="308"/>
      <c r="AH387" s="312"/>
      <c r="AI387" s="308"/>
      <c r="AJ387" s="117"/>
      <c r="AK387" s="330"/>
      <c r="AL387" s="117"/>
      <c r="AM387" s="330"/>
      <c r="AN387" s="117"/>
      <c r="AO387" s="330"/>
      <c r="AP387" s="117"/>
      <c r="AQ387" s="330"/>
      <c r="AR387" s="117"/>
      <c r="AS387" s="1096" t="s">
        <v>159</v>
      </c>
      <c r="AT387" s="1097"/>
      <c r="AU387" s="1097"/>
      <c r="AV387" s="1097"/>
      <c r="AW387" s="1097"/>
      <c r="AX387" s="1097"/>
      <c r="AY387" s="1100"/>
      <c r="AZ387" s="257"/>
      <c r="BA387" s="257"/>
      <c r="BB387" s="1059" t="s">
        <v>162</v>
      </c>
      <c r="BC387" s="1060"/>
      <c r="BD387" s="1061" t="s">
        <v>159</v>
      </c>
      <c r="BE387" s="1061"/>
      <c r="BF387" s="1061"/>
      <c r="BG387" s="1062" t="s">
        <v>159</v>
      </c>
      <c r="BH387" s="1063"/>
      <c r="BI387" s="1063"/>
      <c r="BJ387" s="1064"/>
      <c r="BK387" s="1065"/>
      <c r="BL387" s="1066"/>
      <c r="BM387" s="1067"/>
      <c r="BN387" s="259"/>
      <c r="BO387" s="259"/>
      <c r="BP387" s="1062"/>
      <c r="BQ387" s="1063"/>
      <c r="BR387" s="1064"/>
      <c r="BS387" s="1061" t="s">
        <v>159</v>
      </c>
      <c r="BT387" s="1061"/>
      <c r="BU387" s="1061"/>
    </row>
    <row r="388" spans="1:73" ht="30" customHeight="1" x14ac:dyDescent="0.25">
      <c r="A388" s="199">
        <f t="shared" si="6"/>
        <v>374</v>
      </c>
      <c r="B388" s="1081" t="s">
        <v>162</v>
      </c>
      <c r="C388" s="1082"/>
      <c r="D388" s="1083" t="s">
        <v>159</v>
      </c>
      <c r="E388" s="1084"/>
      <c r="F388" s="1084"/>
      <c r="G388" s="1085"/>
      <c r="H388" s="1086" t="s">
        <v>159</v>
      </c>
      <c r="I388" s="1087"/>
      <c r="J388" s="1087"/>
      <c r="K388" s="1088"/>
      <c r="L388" s="1089" t="s">
        <v>159</v>
      </c>
      <c r="M388" s="1090"/>
      <c r="N388" s="1091"/>
      <c r="O388" s="1092" t="s">
        <v>159</v>
      </c>
      <c r="P388" s="1093"/>
      <c r="Q388" s="1094"/>
      <c r="R388" s="812"/>
      <c r="S388" s="1095"/>
      <c r="T388" s="813"/>
      <c r="U388" s="745"/>
      <c r="V388" s="940"/>
      <c r="W388" s="746"/>
      <c r="X388" s="312"/>
      <c r="Y388" s="308"/>
      <c r="Z388" s="312"/>
      <c r="AA388" s="308"/>
      <c r="AB388" s="312"/>
      <c r="AC388" s="308"/>
      <c r="AD388" s="312"/>
      <c r="AE388" s="308"/>
      <c r="AF388" s="312"/>
      <c r="AG388" s="308"/>
      <c r="AH388" s="312"/>
      <c r="AI388" s="308"/>
      <c r="AJ388" s="117"/>
      <c r="AK388" s="330"/>
      <c r="AL388" s="117"/>
      <c r="AM388" s="330"/>
      <c r="AN388" s="117"/>
      <c r="AO388" s="330"/>
      <c r="AP388" s="117"/>
      <c r="AQ388" s="330"/>
      <c r="AR388" s="117"/>
      <c r="AS388" s="1096" t="s">
        <v>159</v>
      </c>
      <c r="AT388" s="1097"/>
      <c r="AU388" s="1097"/>
      <c r="AV388" s="1097"/>
      <c r="AW388" s="1097"/>
      <c r="AX388" s="1097"/>
      <c r="AY388" s="1100"/>
      <c r="AZ388" s="257"/>
      <c r="BA388" s="257"/>
      <c r="BB388" s="1059" t="s">
        <v>162</v>
      </c>
      <c r="BC388" s="1060"/>
      <c r="BD388" s="1061" t="s">
        <v>159</v>
      </c>
      <c r="BE388" s="1061"/>
      <c r="BF388" s="1061"/>
      <c r="BG388" s="1062" t="s">
        <v>159</v>
      </c>
      <c r="BH388" s="1063"/>
      <c r="BI388" s="1063"/>
      <c r="BJ388" s="1064"/>
      <c r="BK388" s="1065"/>
      <c r="BL388" s="1066"/>
      <c r="BM388" s="1067"/>
      <c r="BN388" s="259"/>
      <c r="BO388" s="259"/>
      <c r="BP388" s="1062"/>
      <c r="BQ388" s="1063"/>
      <c r="BR388" s="1064"/>
      <c r="BS388" s="1061" t="s">
        <v>159</v>
      </c>
      <c r="BT388" s="1061"/>
      <c r="BU388" s="1061"/>
    </row>
    <row r="389" spans="1:73" ht="30" customHeight="1" x14ac:dyDescent="0.25">
      <c r="A389" s="199">
        <f t="shared" si="6"/>
        <v>375</v>
      </c>
      <c r="B389" s="1081" t="s">
        <v>162</v>
      </c>
      <c r="C389" s="1082"/>
      <c r="D389" s="1083" t="s">
        <v>159</v>
      </c>
      <c r="E389" s="1084"/>
      <c r="F389" s="1084"/>
      <c r="G389" s="1085"/>
      <c r="H389" s="1086" t="s">
        <v>159</v>
      </c>
      <c r="I389" s="1087"/>
      <c r="J389" s="1087"/>
      <c r="K389" s="1088"/>
      <c r="L389" s="1089" t="s">
        <v>159</v>
      </c>
      <c r="M389" s="1090"/>
      <c r="N389" s="1091"/>
      <c r="O389" s="1092" t="s">
        <v>159</v>
      </c>
      <c r="P389" s="1093"/>
      <c r="Q389" s="1094"/>
      <c r="R389" s="812"/>
      <c r="S389" s="1095"/>
      <c r="T389" s="813"/>
      <c r="U389" s="745"/>
      <c r="V389" s="940"/>
      <c r="W389" s="746"/>
      <c r="X389" s="312"/>
      <c r="Y389" s="308"/>
      <c r="Z389" s="312"/>
      <c r="AA389" s="308"/>
      <c r="AB389" s="312"/>
      <c r="AC389" s="308"/>
      <c r="AD389" s="312"/>
      <c r="AE389" s="308"/>
      <c r="AF389" s="312"/>
      <c r="AG389" s="308"/>
      <c r="AH389" s="312"/>
      <c r="AI389" s="308"/>
      <c r="AJ389" s="117"/>
      <c r="AK389" s="330"/>
      <c r="AL389" s="117"/>
      <c r="AM389" s="330"/>
      <c r="AN389" s="117"/>
      <c r="AO389" s="330"/>
      <c r="AP389" s="117"/>
      <c r="AQ389" s="330"/>
      <c r="AR389" s="117"/>
      <c r="AS389" s="1096" t="s">
        <v>159</v>
      </c>
      <c r="AT389" s="1097"/>
      <c r="AU389" s="1097"/>
      <c r="AV389" s="1097"/>
      <c r="AW389" s="1097"/>
      <c r="AX389" s="1097"/>
      <c r="AY389" s="1100"/>
      <c r="AZ389" s="257"/>
      <c r="BA389" s="257"/>
      <c r="BB389" s="1059" t="s">
        <v>162</v>
      </c>
      <c r="BC389" s="1060"/>
      <c r="BD389" s="1061" t="s">
        <v>159</v>
      </c>
      <c r="BE389" s="1061"/>
      <c r="BF389" s="1061"/>
      <c r="BG389" s="1062" t="s">
        <v>159</v>
      </c>
      <c r="BH389" s="1063"/>
      <c r="BI389" s="1063"/>
      <c r="BJ389" s="1064"/>
      <c r="BK389" s="1065"/>
      <c r="BL389" s="1066"/>
      <c r="BM389" s="1067"/>
      <c r="BN389" s="259"/>
      <c r="BO389" s="259"/>
      <c r="BP389" s="1062"/>
      <c r="BQ389" s="1063"/>
      <c r="BR389" s="1064"/>
      <c r="BS389" s="1061" t="s">
        <v>159</v>
      </c>
      <c r="BT389" s="1061"/>
      <c r="BU389" s="1061"/>
    </row>
    <row r="390" spans="1:73" ht="30" customHeight="1" x14ac:dyDescent="0.25">
      <c r="A390" s="199">
        <f t="shared" si="6"/>
        <v>376</v>
      </c>
      <c r="B390" s="1081" t="s">
        <v>162</v>
      </c>
      <c r="C390" s="1082"/>
      <c r="D390" s="1083" t="s">
        <v>159</v>
      </c>
      <c r="E390" s="1084"/>
      <c r="F390" s="1084"/>
      <c r="G390" s="1085"/>
      <c r="H390" s="1086" t="s">
        <v>159</v>
      </c>
      <c r="I390" s="1087"/>
      <c r="J390" s="1087"/>
      <c r="K390" s="1088"/>
      <c r="L390" s="1089" t="s">
        <v>159</v>
      </c>
      <c r="M390" s="1090"/>
      <c r="N390" s="1091"/>
      <c r="O390" s="1092" t="s">
        <v>159</v>
      </c>
      <c r="P390" s="1093"/>
      <c r="Q390" s="1094"/>
      <c r="R390" s="812"/>
      <c r="S390" s="1095"/>
      <c r="T390" s="813"/>
      <c r="U390" s="745"/>
      <c r="V390" s="940"/>
      <c r="W390" s="746"/>
      <c r="X390" s="312"/>
      <c r="Y390" s="308"/>
      <c r="Z390" s="312"/>
      <c r="AA390" s="308"/>
      <c r="AB390" s="312"/>
      <c r="AC390" s="308"/>
      <c r="AD390" s="312"/>
      <c r="AE390" s="308"/>
      <c r="AF390" s="312"/>
      <c r="AG390" s="308"/>
      <c r="AH390" s="312"/>
      <c r="AI390" s="308"/>
      <c r="AJ390" s="117"/>
      <c r="AK390" s="330"/>
      <c r="AL390" s="117"/>
      <c r="AM390" s="330"/>
      <c r="AN390" s="117"/>
      <c r="AO390" s="330"/>
      <c r="AP390" s="117"/>
      <c r="AQ390" s="330"/>
      <c r="AR390" s="117"/>
      <c r="AS390" s="1096" t="s">
        <v>159</v>
      </c>
      <c r="AT390" s="1097"/>
      <c r="AU390" s="1097"/>
      <c r="AV390" s="1097"/>
      <c r="AW390" s="1097"/>
      <c r="AX390" s="1097"/>
      <c r="AY390" s="1100"/>
      <c r="AZ390" s="257"/>
      <c r="BA390" s="257"/>
      <c r="BB390" s="1059" t="s">
        <v>162</v>
      </c>
      <c r="BC390" s="1060"/>
      <c r="BD390" s="1061" t="s">
        <v>159</v>
      </c>
      <c r="BE390" s="1061"/>
      <c r="BF390" s="1061"/>
      <c r="BG390" s="1062" t="s">
        <v>159</v>
      </c>
      <c r="BH390" s="1063"/>
      <c r="BI390" s="1063"/>
      <c r="BJ390" s="1064"/>
      <c r="BK390" s="1065"/>
      <c r="BL390" s="1066"/>
      <c r="BM390" s="1067"/>
      <c r="BN390" s="259"/>
      <c r="BO390" s="259"/>
      <c r="BP390" s="1062"/>
      <c r="BQ390" s="1063"/>
      <c r="BR390" s="1064"/>
      <c r="BS390" s="1061" t="s">
        <v>159</v>
      </c>
      <c r="BT390" s="1061"/>
      <c r="BU390" s="1061"/>
    </row>
    <row r="391" spans="1:73" ht="30" customHeight="1" x14ac:dyDescent="0.25">
      <c r="A391" s="199">
        <f t="shared" si="6"/>
        <v>377</v>
      </c>
      <c r="B391" s="1081" t="s">
        <v>162</v>
      </c>
      <c r="C391" s="1082"/>
      <c r="D391" s="1083" t="s">
        <v>159</v>
      </c>
      <c r="E391" s="1084"/>
      <c r="F391" s="1084"/>
      <c r="G391" s="1085"/>
      <c r="H391" s="1086" t="s">
        <v>159</v>
      </c>
      <c r="I391" s="1087"/>
      <c r="J391" s="1087"/>
      <c r="K391" s="1088"/>
      <c r="L391" s="1089" t="s">
        <v>159</v>
      </c>
      <c r="M391" s="1090"/>
      <c r="N391" s="1091"/>
      <c r="O391" s="1092" t="s">
        <v>159</v>
      </c>
      <c r="P391" s="1093"/>
      <c r="Q391" s="1094"/>
      <c r="R391" s="812"/>
      <c r="S391" s="1095"/>
      <c r="T391" s="813"/>
      <c r="U391" s="745"/>
      <c r="V391" s="940"/>
      <c r="W391" s="746"/>
      <c r="X391" s="312"/>
      <c r="Y391" s="308"/>
      <c r="Z391" s="312"/>
      <c r="AA391" s="308"/>
      <c r="AB391" s="312"/>
      <c r="AC391" s="308"/>
      <c r="AD391" s="312"/>
      <c r="AE391" s="308"/>
      <c r="AF391" s="312"/>
      <c r="AG391" s="308"/>
      <c r="AH391" s="312"/>
      <c r="AI391" s="308"/>
      <c r="AJ391" s="117"/>
      <c r="AK391" s="330"/>
      <c r="AL391" s="117"/>
      <c r="AM391" s="330"/>
      <c r="AN391" s="117"/>
      <c r="AO391" s="330"/>
      <c r="AP391" s="117"/>
      <c r="AQ391" s="330"/>
      <c r="AR391" s="117"/>
      <c r="AS391" s="1096" t="s">
        <v>159</v>
      </c>
      <c r="AT391" s="1097"/>
      <c r="AU391" s="1097"/>
      <c r="AV391" s="1097"/>
      <c r="AW391" s="1097"/>
      <c r="AX391" s="1097"/>
      <c r="AY391" s="1100"/>
      <c r="AZ391" s="257"/>
      <c r="BA391" s="257"/>
      <c r="BB391" s="1059" t="s">
        <v>162</v>
      </c>
      <c r="BC391" s="1060"/>
      <c r="BD391" s="1061" t="s">
        <v>159</v>
      </c>
      <c r="BE391" s="1061"/>
      <c r="BF391" s="1061"/>
      <c r="BG391" s="1062" t="s">
        <v>159</v>
      </c>
      <c r="BH391" s="1063"/>
      <c r="BI391" s="1063"/>
      <c r="BJ391" s="1064"/>
      <c r="BK391" s="1065"/>
      <c r="BL391" s="1066"/>
      <c r="BM391" s="1067"/>
      <c r="BN391" s="259"/>
      <c r="BO391" s="259"/>
      <c r="BP391" s="1062"/>
      <c r="BQ391" s="1063"/>
      <c r="BR391" s="1064"/>
      <c r="BS391" s="1061" t="s">
        <v>159</v>
      </c>
      <c r="BT391" s="1061"/>
      <c r="BU391" s="1061"/>
    </row>
    <row r="392" spans="1:73" ht="30" customHeight="1" x14ac:dyDescent="0.25">
      <c r="A392" s="199">
        <f t="shared" si="6"/>
        <v>378</v>
      </c>
      <c r="B392" s="1081" t="s">
        <v>162</v>
      </c>
      <c r="C392" s="1082"/>
      <c r="D392" s="1083" t="s">
        <v>159</v>
      </c>
      <c r="E392" s="1084"/>
      <c r="F392" s="1084"/>
      <c r="G392" s="1085"/>
      <c r="H392" s="1086" t="s">
        <v>159</v>
      </c>
      <c r="I392" s="1087"/>
      <c r="J392" s="1087"/>
      <c r="K392" s="1088"/>
      <c r="L392" s="1089" t="s">
        <v>159</v>
      </c>
      <c r="M392" s="1090"/>
      <c r="N392" s="1091"/>
      <c r="O392" s="1092" t="s">
        <v>159</v>
      </c>
      <c r="P392" s="1093"/>
      <c r="Q392" s="1094"/>
      <c r="R392" s="812"/>
      <c r="S392" s="1095"/>
      <c r="T392" s="813"/>
      <c r="U392" s="745"/>
      <c r="V392" s="940"/>
      <c r="W392" s="746"/>
      <c r="X392" s="312"/>
      <c r="Y392" s="308"/>
      <c r="Z392" s="312"/>
      <c r="AA392" s="308"/>
      <c r="AB392" s="312"/>
      <c r="AC392" s="308"/>
      <c r="AD392" s="312"/>
      <c r="AE392" s="308"/>
      <c r="AF392" s="312"/>
      <c r="AG392" s="308"/>
      <c r="AH392" s="312"/>
      <c r="AI392" s="308"/>
      <c r="AJ392" s="117"/>
      <c r="AK392" s="330"/>
      <c r="AL392" s="117"/>
      <c r="AM392" s="330"/>
      <c r="AN392" s="117"/>
      <c r="AO392" s="330"/>
      <c r="AP392" s="117"/>
      <c r="AQ392" s="330"/>
      <c r="AR392" s="117"/>
      <c r="AS392" s="1096" t="s">
        <v>159</v>
      </c>
      <c r="AT392" s="1097"/>
      <c r="AU392" s="1097"/>
      <c r="AV392" s="1097"/>
      <c r="AW392" s="1097"/>
      <c r="AX392" s="1097"/>
      <c r="AY392" s="1100"/>
      <c r="AZ392" s="257"/>
      <c r="BA392" s="257"/>
      <c r="BB392" s="1059" t="s">
        <v>162</v>
      </c>
      <c r="BC392" s="1060"/>
      <c r="BD392" s="1061" t="s">
        <v>159</v>
      </c>
      <c r="BE392" s="1061"/>
      <c r="BF392" s="1061"/>
      <c r="BG392" s="1062" t="s">
        <v>159</v>
      </c>
      <c r="BH392" s="1063"/>
      <c r="BI392" s="1063"/>
      <c r="BJ392" s="1064"/>
      <c r="BK392" s="1065"/>
      <c r="BL392" s="1066"/>
      <c r="BM392" s="1067"/>
      <c r="BN392" s="259"/>
      <c r="BO392" s="259"/>
      <c r="BP392" s="1062"/>
      <c r="BQ392" s="1063"/>
      <c r="BR392" s="1064"/>
      <c r="BS392" s="1061" t="s">
        <v>159</v>
      </c>
      <c r="BT392" s="1061"/>
      <c r="BU392" s="1061"/>
    </row>
    <row r="393" spans="1:73" ht="30" customHeight="1" x14ac:dyDescent="0.25">
      <c r="A393" s="199">
        <f t="shared" si="6"/>
        <v>379</v>
      </c>
      <c r="B393" s="1081" t="s">
        <v>162</v>
      </c>
      <c r="C393" s="1082"/>
      <c r="D393" s="1083" t="s">
        <v>159</v>
      </c>
      <c r="E393" s="1084"/>
      <c r="F393" s="1084"/>
      <c r="G393" s="1085"/>
      <c r="H393" s="1086" t="s">
        <v>159</v>
      </c>
      <c r="I393" s="1087"/>
      <c r="J393" s="1087"/>
      <c r="K393" s="1088"/>
      <c r="L393" s="1089" t="s">
        <v>159</v>
      </c>
      <c r="M393" s="1090"/>
      <c r="N393" s="1091"/>
      <c r="O393" s="1092" t="s">
        <v>159</v>
      </c>
      <c r="P393" s="1093"/>
      <c r="Q393" s="1094"/>
      <c r="R393" s="812"/>
      <c r="S393" s="1095"/>
      <c r="T393" s="813"/>
      <c r="U393" s="745"/>
      <c r="V393" s="940"/>
      <c r="W393" s="746"/>
      <c r="X393" s="312"/>
      <c r="Y393" s="308"/>
      <c r="Z393" s="312"/>
      <c r="AA393" s="308"/>
      <c r="AB393" s="312"/>
      <c r="AC393" s="308"/>
      <c r="AD393" s="312"/>
      <c r="AE393" s="308"/>
      <c r="AF393" s="312"/>
      <c r="AG393" s="308"/>
      <c r="AH393" s="312"/>
      <c r="AI393" s="308"/>
      <c r="AJ393" s="117"/>
      <c r="AK393" s="330"/>
      <c r="AL393" s="117"/>
      <c r="AM393" s="330"/>
      <c r="AN393" s="117"/>
      <c r="AO393" s="330"/>
      <c r="AP393" s="117"/>
      <c r="AQ393" s="330"/>
      <c r="AR393" s="117"/>
      <c r="AS393" s="1096" t="s">
        <v>159</v>
      </c>
      <c r="AT393" s="1097"/>
      <c r="AU393" s="1097"/>
      <c r="AV393" s="1097"/>
      <c r="AW393" s="1097"/>
      <c r="AX393" s="1097"/>
      <c r="AY393" s="1100"/>
      <c r="AZ393" s="257"/>
      <c r="BA393" s="257"/>
      <c r="BB393" s="1059" t="s">
        <v>162</v>
      </c>
      <c r="BC393" s="1060"/>
      <c r="BD393" s="1061" t="s">
        <v>159</v>
      </c>
      <c r="BE393" s="1061"/>
      <c r="BF393" s="1061"/>
      <c r="BG393" s="1062" t="s">
        <v>159</v>
      </c>
      <c r="BH393" s="1063"/>
      <c r="BI393" s="1063"/>
      <c r="BJ393" s="1064"/>
      <c r="BK393" s="1065"/>
      <c r="BL393" s="1066"/>
      <c r="BM393" s="1067"/>
      <c r="BN393" s="259"/>
      <c r="BO393" s="259"/>
      <c r="BP393" s="1062"/>
      <c r="BQ393" s="1063"/>
      <c r="BR393" s="1064"/>
      <c r="BS393" s="1061" t="s">
        <v>159</v>
      </c>
      <c r="BT393" s="1061"/>
      <c r="BU393" s="1061"/>
    </row>
    <row r="394" spans="1:73" ht="30" customHeight="1" x14ac:dyDescent="0.25">
      <c r="A394" s="199">
        <f t="shared" si="6"/>
        <v>380</v>
      </c>
      <c r="B394" s="1081" t="s">
        <v>162</v>
      </c>
      <c r="C394" s="1082"/>
      <c r="D394" s="1083" t="s">
        <v>159</v>
      </c>
      <c r="E394" s="1084"/>
      <c r="F394" s="1084"/>
      <c r="G394" s="1085"/>
      <c r="H394" s="1086" t="s">
        <v>159</v>
      </c>
      <c r="I394" s="1087"/>
      <c r="J394" s="1087"/>
      <c r="K394" s="1088"/>
      <c r="L394" s="1089" t="s">
        <v>159</v>
      </c>
      <c r="M394" s="1090"/>
      <c r="N394" s="1091"/>
      <c r="O394" s="1092" t="s">
        <v>159</v>
      </c>
      <c r="P394" s="1093"/>
      <c r="Q394" s="1094"/>
      <c r="R394" s="812"/>
      <c r="S394" s="1095"/>
      <c r="T394" s="813"/>
      <c r="U394" s="745"/>
      <c r="V394" s="940"/>
      <c r="W394" s="746"/>
      <c r="X394" s="312"/>
      <c r="Y394" s="308"/>
      <c r="Z394" s="312"/>
      <c r="AA394" s="308"/>
      <c r="AB394" s="312"/>
      <c r="AC394" s="308"/>
      <c r="AD394" s="312"/>
      <c r="AE394" s="308"/>
      <c r="AF394" s="312"/>
      <c r="AG394" s="308"/>
      <c r="AH394" s="312"/>
      <c r="AI394" s="308"/>
      <c r="AJ394" s="117"/>
      <c r="AK394" s="330"/>
      <c r="AL394" s="117"/>
      <c r="AM394" s="330"/>
      <c r="AN394" s="117"/>
      <c r="AO394" s="330"/>
      <c r="AP394" s="117"/>
      <c r="AQ394" s="330"/>
      <c r="AR394" s="117"/>
      <c r="AS394" s="1096" t="s">
        <v>159</v>
      </c>
      <c r="AT394" s="1097"/>
      <c r="AU394" s="1097"/>
      <c r="AV394" s="1097"/>
      <c r="AW394" s="1097"/>
      <c r="AX394" s="1097"/>
      <c r="AY394" s="1100"/>
      <c r="AZ394" s="257"/>
      <c r="BA394" s="257"/>
      <c r="BB394" s="1059" t="s">
        <v>162</v>
      </c>
      <c r="BC394" s="1060"/>
      <c r="BD394" s="1061" t="s">
        <v>159</v>
      </c>
      <c r="BE394" s="1061"/>
      <c r="BF394" s="1061"/>
      <c r="BG394" s="1062" t="s">
        <v>159</v>
      </c>
      <c r="BH394" s="1063"/>
      <c r="BI394" s="1063"/>
      <c r="BJ394" s="1064"/>
      <c r="BK394" s="1065"/>
      <c r="BL394" s="1066"/>
      <c r="BM394" s="1067"/>
      <c r="BN394" s="259"/>
      <c r="BO394" s="259"/>
      <c r="BP394" s="1062"/>
      <c r="BQ394" s="1063"/>
      <c r="BR394" s="1064"/>
      <c r="BS394" s="1061" t="s">
        <v>159</v>
      </c>
      <c r="BT394" s="1061"/>
      <c r="BU394" s="1061"/>
    </row>
    <row r="395" spans="1:73" ht="30" customHeight="1" x14ac:dyDescent="0.25">
      <c r="A395" s="199">
        <f t="shared" si="6"/>
        <v>381</v>
      </c>
      <c r="B395" s="1081" t="s">
        <v>162</v>
      </c>
      <c r="C395" s="1082"/>
      <c r="D395" s="1083" t="s">
        <v>159</v>
      </c>
      <c r="E395" s="1084"/>
      <c r="F395" s="1084"/>
      <c r="G395" s="1085"/>
      <c r="H395" s="1086" t="s">
        <v>159</v>
      </c>
      <c r="I395" s="1087"/>
      <c r="J395" s="1087"/>
      <c r="K395" s="1088"/>
      <c r="L395" s="1089" t="s">
        <v>159</v>
      </c>
      <c r="M395" s="1090"/>
      <c r="N395" s="1091"/>
      <c r="O395" s="1092" t="s">
        <v>159</v>
      </c>
      <c r="P395" s="1093"/>
      <c r="Q395" s="1094"/>
      <c r="R395" s="812"/>
      <c r="S395" s="1095"/>
      <c r="T395" s="813"/>
      <c r="U395" s="745"/>
      <c r="V395" s="940"/>
      <c r="W395" s="746"/>
      <c r="X395" s="312"/>
      <c r="Y395" s="308"/>
      <c r="Z395" s="312"/>
      <c r="AA395" s="308"/>
      <c r="AB395" s="312"/>
      <c r="AC395" s="308"/>
      <c r="AD395" s="312"/>
      <c r="AE395" s="308"/>
      <c r="AF395" s="312"/>
      <c r="AG395" s="308"/>
      <c r="AH395" s="312"/>
      <c r="AI395" s="308"/>
      <c r="AJ395" s="117"/>
      <c r="AK395" s="330"/>
      <c r="AL395" s="117"/>
      <c r="AM395" s="330"/>
      <c r="AN395" s="117"/>
      <c r="AO395" s="330"/>
      <c r="AP395" s="117"/>
      <c r="AQ395" s="330"/>
      <c r="AR395" s="117"/>
      <c r="AS395" s="1096" t="s">
        <v>159</v>
      </c>
      <c r="AT395" s="1097"/>
      <c r="AU395" s="1097"/>
      <c r="AV395" s="1097"/>
      <c r="AW395" s="1097"/>
      <c r="AX395" s="1097"/>
      <c r="AY395" s="1100"/>
      <c r="AZ395" s="257"/>
      <c r="BA395" s="257"/>
      <c r="BB395" s="1059" t="s">
        <v>162</v>
      </c>
      <c r="BC395" s="1060"/>
      <c r="BD395" s="1061" t="s">
        <v>159</v>
      </c>
      <c r="BE395" s="1061"/>
      <c r="BF395" s="1061"/>
      <c r="BG395" s="1062" t="s">
        <v>159</v>
      </c>
      <c r="BH395" s="1063"/>
      <c r="BI395" s="1063"/>
      <c r="BJ395" s="1064"/>
      <c r="BK395" s="1065"/>
      <c r="BL395" s="1066"/>
      <c r="BM395" s="1067"/>
      <c r="BN395" s="259"/>
      <c r="BO395" s="259"/>
      <c r="BP395" s="1062"/>
      <c r="BQ395" s="1063"/>
      <c r="BR395" s="1064"/>
      <c r="BS395" s="1061" t="s">
        <v>159</v>
      </c>
      <c r="BT395" s="1061"/>
      <c r="BU395" s="1061"/>
    </row>
    <row r="396" spans="1:73" ht="30" customHeight="1" x14ac:dyDescent="0.25">
      <c r="A396" s="199">
        <f t="shared" si="6"/>
        <v>382</v>
      </c>
      <c r="B396" s="1081" t="s">
        <v>162</v>
      </c>
      <c r="C396" s="1082"/>
      <c r="D396" s="1083" t="s">
        <v>159</v>
      </c>
      <c r="E396" s="1084"/>
      <c r="F396" s="1084"/>
      <c r="G396" s="1085"/>
      <c r="H396" s="1086" t="s">
        <v>159</v>
      </c>
      <c r="I396" s="1087"/>
      <c r="J396" s="1087"/>
      <c r="K396" s="1088"/>
      <c r="L396" s="1089" t="s">
        <v>159</v>
      </c>
      <c r="M396" s="1090"/>
      <c r="N396" s="1091"/>
      <c r="O396" s="1092" t="s">
        <v>159</v>
      </c>
      <c r="P396" s="1093"/>
      <c r="Q396" s="1094"/>
      <c r="R396" s="812"/>
      <c r="S396" s="1095"/>
      <c r="T396" s="813"/>
      <c r="U396" s="745"/>
      <c r="V396" s="940"/>
      <c r="W396" s="746"/>
      <c r="X396" s="312"/>
      <c r="Y396" s="308"/>
      <c r="Z396" s="312"/>
      <c r="AA396" s="308"/>
      <c r="AB396" s="312"/>
      <c r="AC396" s="308"/>
      <c r="AD396" s="312"/>
      <c r="AE396" s="308"/>
      <c r="AF396" s="312"/>
      <c r="AG396" s="308"/>
      <c r="AH396" s="312"/>
      <c r="AI396" s="308"/>
      <c r="AJ396" s="117"/>
      <c r="AK396" s="330"/>
      <c r="AL396" s="117"/>
      <c r="AM396" s="330"/>
      <c r="AN396" s="117"/>
      <c r="AO396" s="330"/>
      <c r="AP396" s="117"/>
      <c r="AQ396" s="330"/>
      <c r="AR396" s="117"/>
      <c r="AS396" s="1096" t="s">
        <v>159</v>
      </c>
      <c r="AT396" s="1097"/>
      <c r="AU396" s="1097"/>
      <c r="AV396" s="1097"/>
      <c r="AW396" s="1097"/>
      <c r="AX396" s="1097"/>
      <c r="AY396" s="1100"/>
      <c r="AZ396" s="257"/>
      <c r="BA396" s="257"/>
      <c r="BB396" s="1059" t="s">
        <v>162</v>
      </c>
      <c r="BC396" s="1060"/>
      <c r="BD396" s="1061" t="s">
        <v>159</v>
      </c>
      <c r="BE396" s="1061"/>
      <c r="BF396" s="1061"/>
      <c r="BG396" s="1062" t="s">
        <v>159</v>
      </c>
      <c r="BH396" s="1063"/>
      <c r="BI396" s="1063"/>
      <c r="BJ396" s="1064"/>
      <c r="BK396" s="1065"/>
      <c r="BL396" s="1066"/>
      <c r="BM396" s="1067"/>
      <c r="BN396" s="259"/>
      <c r="BO396" s="259"/>
      <c r="BP396" s="1062"/>
      <c r="BQ396" s="1063"/>
      <c r="BR396" s="1064"/>
      <c r="BS396" s="1061" t="s">
        <v>159</v>
      </c>
      <c r="BT396" s="1061"/>
      <c r="BU396" s="1061"/>
    </row>
    <row r="397" spans="1:73" ht="30" customHeight="1" x14ac:dyDescent="0.25">
      <c r="A397" s="199">
        <f t="shared" si="6"/>
        <v>383</v>
      </c>
      <c r="B397" s="1081" t="s">
        <v>162</v>
      </c>
      <c r="C397" s="1082"/>
      <c r="D397" s="1083" t="s">
        <v>159</v>
      </c>
      <c r="E397" s="1084"/>
      <c r="F397" s="1084"/>
      <c r="G397" s="1085"/>
      <c r="H397" s="1086" t="s">
        <v>159</v>
      </c>
      <c r="I397" s="1087"/>
      <c r="J397" s="1087"/>
      <c r="K397" s="1088"/>
      <c r="L397" s="1089" t="s">
        <v>159</v>
      </c>
      <c r="M397" s="1090"/>
      <c r="N397" s="1091"/>
      <c r="O397" s="1092" t="s">
        <v>159</v>
      </c>
      <c r="P397" s="1093"/>
      <c r="Q397" s="1094"/>
      <c r="R397" s="812"/>
      <c r="S397" s="1095"/>
      <c r="T397" s="813"/>
      <c r="U397" s="745"/>
      <c r="V397" s="940"/>
      <c r="W397" s="746"/>
      <c r="X397" s="312"/>
      <c r="Y397" s="308"/>
      <c r="Z397" s="312"/>
      <c r="AA397" s="308"/>
      <c r="AB397" s="312"/>
      <c r="AC397" s="308"/>
      <c r="AD397" s="312"/>
      <c r="AE397" s="308"/>
      <c r="AF397" s="312"/>
      <c r="AG397" s="308"/>
      <c r="AH397" s="312"/>
      <c r="AI397" s="308"/>
      <c r="AJ397" s="117"/>
      <c r="AK397" s="330"/>
      <c r="AL397" s="117"/>
      <c r="AM397" s="330"/>
      <c r="AN397" s="117"/>
      <c r="AO397" s="330"/>
      <c r="AP397" s="117"/>
      <c r="AQ397" s="330"/>
      <c r="AR397" s="117"/>
      <c r="AS397" s="1096" t="s">
        <v>159</v>
      </c>
      <c r="AT397" s="1097"/>
      <c r="AU397" s="1097"/>
      <c r="AV397" s="1097"/>
      <c r="AW397" s="1097"/>
      <c r="AX397" s="1097"/>
      <c r="AY397" s="1100"/>
      <c r="AZ397" s="257"/>
      <c r="BA397" s="257"/>
      <c r="BB397" s="1059" t="s">
        <v>162</v>
      </c>
      <c r="BC397" s="1060"/>
      <c r="BD397" s="1061" t="s">
        <v>159</v>
      </c>
      <c r="BE397" s="1061"/>
      <c r="BF397" s="1061"/>
      <c r="BG397" s="1062" t="s">
        <v>159</v>
      </c>
      <c r="BH397" s="1063"/>
      <c r="BI397" s="1063"/>
      <c r="BJ397" s="1064"/>
      <c r="BK397" s="1065"/>
      <c r="BL397" s="1066"/>
      <c r="BM397" s="1067"/>
      <c r="BN397" s="259"/>
      <c r="BO397" s="259"/>
      <c r="BP397" s="1062"/>
      <c r="BQ397" s="1063"/>
      <c r="BR397" s="1064"/>
      <c r="BS397" s="1061" t="s">
        <v>159</v>
      </c>
      <c r="BT397" s="1061"/>
      <c r="BU397" s="1061"/>
    </row>
    <row r="398" spans="1:73" ht="30" customHeight="1" x14ac:dyDescent="0.25">
      <c r="A398" s="199">
        <f t="shared" si="6"/>
        <v>384</v>
      </c>
      <c r="B398" s="1081" t="s">
        <v>162</v>
      </c>
      <c r="C398" s="1082"/>
      <c r="D398" s="1083" t="s">
        <v>159</v>
      </c>
      <c r="E398" s="1084"/>
      <c r="F398" s="1084"/>
      <c r="G398" s="1085"/>
      <c r="H398" s="1086" t="s">
        <v>159</v>
      </c>
      <c r="I398" s="1087"/>
      <c r="J398" s="1087"/>
      <c r="K398" s="1088"/>
      <c r="L398" s="1089" t="s">
        <v>159</v>
      </c>
      <c r="M398" s="1090"/>
      <c r="N398" s="1091"/>
      <c r="O398" s="1092" t="s">
        <v>159</v>
      </c>
      <c r="P398" s="1093"/>
      <c r="Q398" s="1094"/>
      <c r="R398" s="812"/>
      <c r="S398" s="1095"/>
      <c r="T398" s="813"/>
      <c r="U398" s="745"/>
      <c r="V398" s="940"/>
      <c r="W398" s="746"/>
      <c r="X398" s="312"/>
      <c r="Y398" s="308"/>
      <c r="Z398" s="312"/>
      <c r="AA398" s="308"/>
      <c r="AB398" s="312"/>
      <c r="AC398" s="308"/>
      <c r="AD398" s="312"/>
      <c r="AE398" s="308"/>
      <c r="AF398" s="312"/>
      <c r="AG398" s="308"/>
      <c r="AH398" s="312"/>
      <c r="AI398" s="308"/>
      <c r="AJ398" s="117"/>
      <c r="AK398" s="330"/>
      <c r="AL398" s="117"/>
      <c r="AM398" s="330"/>
      <c r="AN398" s="117"/>
      <c r="AO398" s="330"/>
      <c r="AP398" s="117"/>
      <c r="AQ398" s="330"/>
      <c r="AR398" s="117"/>
      <c r="AS398" s="1096" t="s">
        <v>159</v>
      </c>
      <c r="AT398" s="1097"/>
      <c r="AU398" s="1097"/>
      <c r="AV398" s="1097"/>
      <c r="AW398" s="1097"/>
      <c r="AX398" s="1097"/>
      <c r="AY398" s="1100"/>
      <c r="AZ398" s="257"/>
      <c r="BA398" s="257"/>
      <c r="BB398" s="1059" t="s">
        <v>162</v>
      </c>
      <c r="BC398" s="1060"/>
      <c r="BD398" s="1061" t="s">
        <v>159</v>
      </c>
      <c r="BE398" s="1061"/>
      <c r="BF398" s="1061"/>
      <c r="BG398" s="1062" t="s">
        <v>159</v>
      </c>
      <c r="BH398" s="1063"/>
      <c r="BI398" s="1063"/>
      <c r="BJ398" s="1064"/>
      <c r="BK398" s="1065"/>
      <c r="BL398" s="1066"/>
      <c r="BM398" s="1067"/>
      <c r="BN398" s="259"/>
      <c r="BO398" s="259"/>
      <c r="BP398" s="1062"/>
      <c r="BQ398" s="1063"/>
      <c r="BR398" s="1064"/>
      <c r="BS398" s="1061" t="s">
        <v>159</v>
      </c>
      <c r="BT398" s="1061"/>
      <c r="BU398" s="1061"/>
    </row>
    <row r="399" spans="1:73" ht="30" customHeight="1" x14ac:dyDescent="0.25">
      <c r="A399" s="199">
        <f t="shared" si="6"/>
        <v>385</v>
      </c>
      <c r="B399" s="1081" t="s">
        <v>162</v>
      </c>
      <c r="C399" s="1082"/>
      <c r="D399" s="1083" t="s">
        <v>159</v>
      </c>
      <c r="E399" s="1084"/>
      <c r="F399" s="1084"/>
      <c r="G399" s="1085"/>
      <c r="H399" s="1086" t="s">
        <v>159</v>
      </c>
      <c r="I399" s="1087"/>
      <c r="J399" s="1087"/>
      <c r="K399" s="1088"/>
      <c r="L399" s="1089" t="s">
        <v>159</v>
      </c>
      <c r="M399" s="1090"/>
      <c r="N399" s="1091"/>
      <c r="O399" s="1092" t="s">
        <v>159</v>
      </c>
      <c r="P399" s="1093"/>
      <c r="Q399" s="1094"/>
      <c r="R399" s="812"/>
      <c r="S399" s="1095"/>
      <c r="T399" s="813"/>
      <c r="U399" s="745"/>
      <c r="V399" s="940"/>
      <c r="W399" s="746"/>
      <c r="X399" s="312"/>
      <c r="Y399" s="308"/>
      <c r="Z399" s="312"/>
      <c r="AA399" s="308"/>
      <c r="AB399" s="312"/>
      <c r="AC399" s="308"/>
      <c r="AD399" s="312"/>
      <c r="AE399" s="308"/>
      <c r="AF399" s="312"/>
      <c r="AG399" s="308"/>
      <c r="AH399" s="312"/>
      <c r="AI399" s="308"/>
      <c r="AJ399" s="117"/>
      <c r="AK399" s="330"/>
      <c r="AL399" s="117"/>
      <c r="AM399" s="330"/>
      <c r="AN399" s="117"/>
      <c r="AO399" s="330"/>
      <c r="AP399" s="117"/>
      <c r="AQ399" s="330"/>
      <c r="AR399" s="117"/>
      <c r="AS399" s="1096" t="s">
        <v>159</v>
      </c>
      <c r="AT399" s="1097"/>
      <c r="AU399" s="1097"/>
      <c r="AV399" s="1097"/>
      <c r="AW399" s="1097"/>
      <c r="AX399" s="1097"/>
      <c r="AY399" s="1100"/>
      <c r="AZ399" s="257"/>
      <c r="BA399" s="257"/>
      <c r="BB399" s="1059" t="s">
        <v>162</v>
      </c>
      <c r="BC399" s="1060"/>
      <c r="BD399" s="1061" t="s">
        <v>159</v>
      </c>
      <c r="BE399" s="1061"/>
      <c r="BF399" s="1061"/>
      <c r="BG399" s="1062" t="s">
        <v>159</v>
      </c>
      <c r="BH399" s="1063"/>
      <c r="BI399" s="1063"/>
      <c r="BJ399" s="1064"/>
      <c r="BK399" s="1065"/>
      <c r="BL399" s="1066"/>
      <c r="BM399" s="1067"/>
      <c r="BN399" s="259"/>
      <c r="BO399" s="259"/>
      <c r="BP399" s="1062"/>
      <c r="BQ399" s="1063"/>
      <c r="BR399" s="1064"/>
      <c r="BS399" s="1061" t="s">
        <v>159</v>
      </c>
      <c r="BT399" s="1061"/>
      <c r="BU399" s="1061"/>
    </row>
    <row r="400" spans="1:73" ht="30" customHeight="1" x14ac:dyDescent="0.25">
      <c r="A400" s="199">
        <f t="shared" si="6"/>
        <v>386</v>
      </c>
      <c r="B400" s="1081" t="s">
        <v>162</v>
      </c>
      <c r="C400" s="1082"/>
      <c r="D400" s="1083" t="s">
        <v>159</v>
      </c>
      <c r="E400" s="1084"/>
      <c r="F400" s="1084"/>
      <c r="G400" s="1085"/>
      <c r="H400" s="1086" t="s">
        <v>159</v>
      </c>
      <c r="I400" s="1087"/>
      <c r="J400" s="1087"/>
      <c r="K400" s="1088"/>
      <c r="L400" s="1089" t="s">
        <v>159</v>
      </c>
      <c r="M400" s="1090"/>
      <c r="N400" s="1091"/>
      <c r="O400" s="1092" t="s">
        <v>159</v>
      </c>
      <c r="P400" s="1093"/>
      <c r="Q400" s="1094"/>
      <c r="R400" s="812"/>
      <c r="S400" s="1095"/>
      <c r="T400" s="813"/>
      <c r="U400" s="745"/>
      <c r="V400" s="940"/>
      <c r="W400" s="746"/>
      <c r="X400" s="312"/>
      <c r="Y400" s="308"/>
      <c r="Z400" s="312"/>
      <c r="AA400" s="308"/>
      <c r="AB400" s="312"/>
      <c r="AC400" s="308"/>
      <c r="AD400" s="312"/>
      <c r="AE400" s="308"/>
      <c r="AF400" s="312"/>
      <c r="AG400" s="308"/>
      <c r="AH400" s="312"/>
      <c r="AI400" s="308"/>
      <c r="AJ400" s="117"/>
      <c r="AK400" s="330"/>
      <c r="AL400" s="117"/>
      <c r="AM400" s="330"/>
      <c r="AN400" s="117"/>
      <c r="AO400" s="330"/>
      <c r="AP400" s="117"/>
      <c r="AQ400" s="330"/>
      <c r="AR400" s="117"/>
      <c r="AS400" s="1096" t="s">
        <v>159</v>
      </c>
      <c r="AT400" s="1097"/>
      <c r="AU400" s="1097"/>
      <c r="AV400" s="1097"/>
      <c r="AW400" s="1097"/>
      <c r="AX400" s="1097"/>
      <c r="AY400" s="1100"/>
      <c r="AZ400" s="257"/>
      <c r="BA400" s="257"/>
      <c r="BB400" s="1059" t="s">
        <v>162</v>
      </c>
      <c r="BC400" s="1060"/>
      <c r="BD400" s="1061" t="s">
        <v>159</v>
      </c>
      <c r="BE400" s="1061"/>
      <c r="BF400" s="1061"/>
      <c r="BG400" s="1062" t="s">
        <v>159</v>
      </c>
      <c r="BH400" s="1063"/>
      <c r="BI400" s="1063"/>
      <c r="BJ400" s="1064"/>
      <c r="BK400" s="1065"/>
      <c r="BL400" s="1066"/>
      <c r="BM400" s="1067"/>
      <c r="BN400" s="259"/>
      <c r="BO400" s="259"/>
      <c r="BP400" s="1062"/>
      <c r="BQ400" s="1063"/>
      <c r="BR400" s="1064"/>
      <c r="BS400" s="1061" t="s">
        <v>159</v>
      </c>
      <c r="BT400" s="1061"/>
      <c r="BU400" s="1061"/>
    </row>
    <row r="401" spans="1:73" ht="30" customHeight="1" x14ac:dyDescent="0.25">
      <c r="A401" s="199">
        <f t="shared" si="6"/>
        <v>387</v>
      </c>
      <c r="B401" s="1081" t="s">
        <v>162</v>
      </c>
      <c r="C401" s="1082"/>
      <c r="D401" s="1083" t="s">
        <v>159</v>
      </c>
      <c r="E401" s="1084"/>
      <c r="F401" s="1084"/>
      <c r="G401" s="1085"/>
      <c r="H401" s="1086" t="s">
        <v>159</v>
      </c>
      <c r="I401" s="1087"/>
      <c r="J401" s="1087"/>
      <c r="K401" s="1088"/>
      <c r="L401" s="1089" t="s">
        <v>159</v>
      </c>
      <c r="M401" s="1090"/>
      <c r="N401" s="1091"/>
      <c r="O401" s="1092" t="s">
        <v>159</v>
      </c>
      <c r="P401" s="1093"/>
      <c r="Q401" s="1094"/>
      <c r="R401" s="812"/>
      <c r="S401" s="1095"/>
      <c r="T401" s="813"/>
      <c r="U401" s="745"/>
      <c r="V401" s="940"/>
      <c r="W401" s="746"/>
      <c r="X401" s="312"/>
      <c r="Y401" s="308"/>
      <c r="Z401" s="312"/>
      <c r="AA401" s="308"/>
      <c r="AB401" s="312"/>
      <c r="AC401" s="308"/>
      <c r="AD401" s="312"/>
      <c r="AE401" s="308"/>
      <c r="AF401" s="312"/>
      <c r="AG401" s="308"/>
      <c r="AH401" s="312"/>
      <c r="AI401" s="308"/>
      <c r="AJ401" s="117"/>
      <c r="AK401" s="330"/>
      <c r="AL401" s="117"/>
      <c r="AM401" s="330"/>
      <c r="AN401" s="117"/>
      <c r="AO401" s="330"/>
      <c r="AP401" s="117"/>
      <c r="AQ401" s="330"/>
      <c r="AR401" s="117"/>
      <c r="AS401" s="1096" t="s">
        <v>159</v>
      </c>
      <c r="AT401" s="1097"/>
      <c r="AU401" s="1097"/>
      <c r="AV401" s="1097"/>
      <c r="AW401" s="1097"/>
      <c r="AX401" s="1097"/>
      <c r="AY401" s="1100"/>
      <c r="AZ401" s="257"/>
      <c r="BA401" s="257"/>
      <c r="BB401" s="1059" t="s">
        <v>162</v>
      </c>
      <c r="BC401" s="1060"/>
      <c r="BD401" s="1061" t="s">
        <v>159</v>
      </c>
      <c r="BE401" s="1061"/>
      <c r="BF401" s="1061"/>
      <c r="BG401" s="1062" t="s">
        <v>159</v>
      </c>
      <c r="BH401" s="1063"/>
      <c r="BI401" s="1063"/>
      <c r="BJ401" s="1064"/>
      <c r="BK401" s="1065"/>
      <c r="BL401" s="1066"/>
      <c r="BM401" s="1067"/>
      <c r="BN401" s="259"/>
      <c r="BO401" s="259"/>
      <c r="BP401" s="1062"/>
      <c r="BQ401" s="1063"/>
      <c r="BR401" s="1064"/>
      <c r="BS401" s="1061" t="s">
        <v>159</v>
      </c>
      <c r="BT401" s="1061"/>
      <c r="BU401" s="1061"/>
    </row>
    <row r="402" spans="1:73" ht="30" customHeight="1" x14ac:dyDescent="0.25">
      <c r="A402" s="199">
        <f t="shared" si="6"/>
        <v>388</v>
      </c>
      <c r="B402" s="1081" t="s">
        <v>162</v>
      </c>
      <c r="C402" s="1082"/>
      <c r="D402" s="1083" t="s">
        <v>159</v>
      </c>
      <c r="E402" s="1084"/>
      <c r="F402" s="1084"/>
      <c r="G402" s="1085"/>
      <c r="H402" s="1086" t="s">
        <v>159</v>
      </c>
      <c r="I402" s="1087"/>
      <c r="J402" s="1087"/>
      <c r="K402" s="1088"/>
      <c r="L402" s="1089" t="s">
        <v>159</v>
      </c>
      <c r="M402" s="1090"/>
      <c r="N402" s="1091"/>
      <c r="O402" s="1092" t="s">
        <v>159</v>
      </c>
      <c r="P402" s="1093"/>
      <c r="Q402" s="1094"/>
      <c r="R402" s="812"/>
      <c r="S402" s="1095"/>
      <c r="T402" s="813"/>
      <c r="U402" s="745"/>
      <c r="V402" s="940"/>
      <c r="W402" s="746"/>
      <c r="X402" s="312"/>
      <c r="Y402" s="308"/>
      <c r="Z402" s="312"/>
      <c r="AA402" s="308"/>
      <c r="AB402" s="312"/>
      <c r="AC402" s="308"/>
      <c r="AD402" s="312"/>
      <c r="AE402" s="308"/>
      <c r="AF402" s="312"/>
      <c r="AG402" s="308"/>
      <c r="AH402" s="312"/>
      <c r="AI402" s="308"/>
      <c r="AJ402" s="117"/>
      <c r="AK402" s="330"/>
      <c r="AL402" s="117"/>
      <c r="AM402" s="330"/>
      <c r="AN402" s="117"/>
      <c r="AO402" s="330"/>
      <c r="AP402" s="117"/>
      <c r="AQ402" s="330"/>
      <c r="AR402" s="117"/>
      <c r="AS402" s="1096" t="s">
        <v>159</v>
      </c>
      <c r="AT402" s="1097"/>
      <c r="AU402" s="1097"/>
      <c r="AV402" s="1097"/>
      <c r="AW402" s="1097"/>
      <c r="AX402" s="1097"/>
      <c r="AY402" s="1100"/>
      <c r="AZ402" s="257"/>
      <c r="BA402" s="257"/>
      <c r="BB402" s="1059" t="s">
        <v>162</v>
      </c>
      <c r="BC402" s="1060"/>
      <c r="BD402" s="1061" t="s">
        <v>159</v>
      </c>
      <c r="BE402" s="1061"/>
      <c r="BF402" s="1061"/>
      <c r="BG402" s="1062" t="s">
        <v>159</v>
      </c>
      <c r="BH402" s="1063"/>
      <c r="BI402" s="1063"/>
      <c r="BJ402" s="1064"/>
      <c r="BK402" s="1065"/>
      <c r="BL402" s="1066"/>
      <c r="BM402" s="1067"/>
      <c r="BN402" s="259"/>
      <c r="BO402" s="259"/>
      <c r="BP402" s="1062"/>
      <c r="BQ402" s="1063"/>
      <c r="BR402" s="1064"/>
      <c r="BS402" s="1061" t="s">
        <v>159</v>
      </c>
      <c r="BT402" s="1061"/>
      <c r="BU402" s="1061"/>
    </row>
    <row r="403" spans="1:73" ht="30" customHeight="1" x14ac:dyDescent="0.25">
      <c r="A403" s="199">
        <f t="shared" si="6"/>
        <v>389</v>
      </c>
      <c r="B403" s="1081" t="s">
        <v>162</v>
      </c>
      <c r="C403" s="1082"/>
      <c r="D403" s="1083" t="s">
        <v>159</v>
      </c>
      <c r="E403" s="1084"/>
      <c r="F403" s="1084"/>
      <c r="G403" s="1085"/>
      <c r="H403" s="1086" t="s">
        <v>159</v>
      </c>
      <c r="I403" s="1087"/>
      <c r="J403" s="1087"/>
      <c r="K403" s="1088"/>
      <c r="L403" s="1089" t="s">
        <v>159</v>
      </c>
      <c r="M403" s="1090"/>
      <c r="N403" s="1091"/>
      <c r="O403" s="1092" t="s">
        <v>159</v>
      </c>
      <c r="P403" s="1093"/>
      <c r="Q403" s="1094"/>
      <c r="R403" s="812"/>
      <c r="S403" s="1095"/>
      <c r="T403" s="813"/>
      <c r="U403" s="745"/>
      <c r="V403" s="940"/>
      <c r="W403" s="746"/>
      <c r="X403" s="312"/>
      <c r="Y403" s="308"/>
      <c r="Z403" s="312"/>
      <c r="AA403" s="308"/>
      <c r="AB403" s="312"/>
      <c r="AC403" s="308"/>
      <c r="AD403" s="312"/>
      <c r="AE403" s="308"/>
      <c r="AF403" s="312"/>
      <c r="AG403" s="308"/>
      <c r="AH403" s="312"/>
      <c r="AI403" s="308"/>
      <c r="AJ403" s="117"/>
      <c r="AK403" s="330"/>
      <c r="AL403" s="117"/>
      <c r="AM403" s="330"/>
      <c r="AN403" s="117"/>
      <c r="AO403" s="330"/>
      <c r="AP403" s="117"/>
      <c r="AQ403" s="330"/>
      <c r="AR403" s="117"/>
      <c r="AS403" s="1096" t="s">
        <v>159</v>
      </c>
      <c r="AT403" s="1097"/>
      <c r="AU403" s="1097"/>
      <c r="AV403" s="1097"/>
      <c r="AW403" s="1097"/>
      <c r="AX403" s="1097"/>
      <c r="AY403" s="1100"/>
      <c r="AZ403" s="257"/>
      <c r="BA403" s="257"/>
      <c r="BB403" s="1059" t="s">
        <v>162</v>
      </c>
      <c r="BC403" s="1060"/>
      <c r="BD403" s="1061" t="s">
        <v>159</v>
      </c>
      <c r="BE403" s="1061"/>
      <c r="BF403" s="1061"/>
      <c r="BG403" s="1062" t="s">
        <v>159</v>
      </c>
      <c r="BH403" s="1063"/>
      <c r="BI403" s="1063"/>
      <c r="BJ403" s="1064"/>
      <c r="BK403" s="1065"/>
      <c r="BL403" s="1066"/>
      <c r="BM403" s="1067"/>
      <c r="BN403" s="259"/>
      <c r="BO403" s="259"/>
      <c r="BP403" s="1062"/>
      <c r="BQ403" s="1063"/>
      <c r="BR403" s="1064"/>
      <c r="BS403" s="1061" t="s">
        <v>159</v>
      </c>
      <c r="BT403" s="1061"/>
      <c r="BU403" s="1061"/>
    </row>
    <row r="404" spans="1:73" ht="30" customHeight="1" x14ac:dyDescent="0.25">
      <c r="A404" s="199">
        <f t="shared" si="6"/>
        <v>390</v>
      </c>
      <c r="B404" s="1081" t="s">
        <v>162</v>
      </c>
      <c r="C404" s="1082"/>
      <c r="D404" s="1083" t="s">
        <v>159</v>
      </c>
      <c r="E404" s="1084"/>
      <c r="F404" s="1084"/>
      <c r="G404" s="1085"/>
      <c r="H404" s="1086" t="s">
        <v>159</v>
      </c>
      <c r="I404" s="1087"/>
      <c r="J404" s="1087"/>
      <c r="K404" s="1088"/>
      <c r="L404" s="1089" t="s">
        <v>159</v>
      </c>
      <c r="M404" s="1090"/>
      <c r="N404" s="1091"/>
      <c r="O404" s="1092" t="s">
        <v>159</v>
      </c>
      <c r="P404" s="1093"/>
      <c r="Q404" s="1094"/>
      <c r="R404" s="812"/>
      <c r="S404" s="1095"/>
      <c r="T404" s="813"/>
      <c r="U404" s="745"/>
      <c r="V404" s="940"/>
      <c r="W404" s="746"/>
      <c r="X404" s="312"/>
      <c r="Y404" s="308"/>
      <c r="Z404" s="312"/>
      <c r="AA404" s="308"/>
      <c r="AB404" s="312"/>
      <c r="AC404" s="308"/>
      <c r="AD404" s="312"/>
      <c r="AE404" s="308"/>
      <c r="AF404" s="312"/>
      <c r="AG404" s="308"/>
      <c r="AH404" s="312"/>
      <c r="AI404" s="308"/>
      <c r="AJ404" s="117"/>
      <c r="AK404" s="330"/>
      <c r="AL404" s="117"/>
      <c r="AM404" s="330"/>
      <c r="AN404" s="117"/>
      <c r="AO404" s="330"/>
      <c r="AP404" s="117"/>
      <c r="AQ404" s="330"/>
      <c r="AR404" s="117"/>
      <c r="AS404" s="1096" t="s">
        <v>159</v>
      </c>
      <c r="AT404" s="1097"/>
      <c r="AU404" s="1097"/>
      <c r="AV404" s="1097"/>
      <c r="AW404" s="1097"/>
      <c r="AX404" s="1097"/>
      <c r="AY404" s="1100"/>
      <c r="AZ404" s="257"/>
      <c r="BA404" s="257"/>
      <c r="BB404" s="1059" t="s">
        <v>162</v>
      </c>
      <c r="BC404" s="1060"/>
      <c r="BD404" s="1061" t="s">
        <v>159</v>
      </c>
      <c r="BE404" s="1061"/>
      <c r="BF404" s="1061"/>
      <c r="BG404" s="1062" t="s">
        <v>159</v>
      </c>
      <c r="BH404" s="1063"/>
      <c r="BI404" s="1063"/>
      <c r="BJ404" s="1064"/>
      <c r="BK404" s="1065"/>
      <c r="BL404" s="1066"/>
      <c r="BM404" s="1067"/>
      <c r="BN404" s="259"/>
      <c r="BO404" s="259"/>
      <c r="BP404" s="1062"/>
      <c r="BQ404" s="1063"/>
      <c r="BR404" s="1064"/>
      <c r="BS404" s="1061" t="s">
        <v>159</v>
      </c>
      <c r="BT404" s="1061"/>
      <c r="BU404" s="1061"/>
    </row>
    <row r="405" spans="1:73" ht="30" customHeight="1" x14ac:dyDescent="0.25">
      <c r="A405" s="199">
        <f t="shared" si="6"/>
        <v>391</v>
      </c>
      <c r="B405" s="1081" t="s">
        <v>162</v>
      </c>
      <c r="C405" s="1082"/>
      <c r="D405" s="1083" t="s">
        <v>159</v>
      </c>
      <c r="E405" s="1084"/>
      <c r="F405" s="1084"/>
      <c r="G405" s="1085"/>
      <c r="H405" s="1086" t="s">
        <v>159</v>
      </c>
      <c r="I405" s="1087"/>
      <c r="J405" s="1087"/>
      <c r="K405" s="1088"/>
      <c r="L405" s="1089" t="s">
        <v>159</v>
      </c>
      <c r="M405" s="1090"/>
      <c r="N405" s="1091"/>
      <c r="O405" s="1092" t="s">
        <v>159</v>
      </c>
      <c r="P405" s="1093"/>
      <c r="Q405" s="1094"/>
      <c r="R405" s="812"/>
      <c r="S405" s="1095"/>
      <c r="T405" s="813"/>
      <c r="U405" s="745"/>
      <c r="V405" s="940"/>
      <c r="W405" s="746"/>
      <c r="X405" s="312"/>
      <c r="Y405" s="308"/>
      <c r="Z405" s="312"/>
      <c r="AA405" s="308"/>
      <c r="AB405" s="312"/>
      <c r="AC405" s="308"/>
      <c r="AD405" s="312"/>
      <c r="AE405" s="308"/>
      <c r="AF405" s="312"/>
      <c r="AG405" s="308"/>
      <c r="AH405" s="312"/>
      <c r="AI405" s="308"/>
      <c r="AJ405" s="117"/>
      <c r="AK405" s="330"/>
      <c r="AL405" s="117"/>
      <c r="AM405" s="330"/>
      <c r="AN405" s="117"/>
      <c r="AO405" s="330"/>
      <c r="AP405" s="117"/>
      <c r="AQ405" s="330"/>
      <c r="AR405" s="117"/>
      <c r="AS405" s="1096" t="s">
        <v>159</v>
      </c>
      <c r="AT405" s="1097"/>
      <c r="AU405" s="1097"/>
      <c r="AV405" s="1097"/>
      <c r="AW405" s="1097"/>
      <c r="AX405" s="1097"/>
      <c r="AY405" s="1100"/>
      <c r="AZ405" s="257"/>
      <c r="BA405" s="257"/>
      <c r="BB405" s="1059" t="s">
        <v>162</v>
      </c>
      <c r="BC405" s="1060"/>
      <c r="BD405" s="1061" t="s">
        <v>159</v>
      </c>
      <c r="BE405" s="1061"/>
      <c r="BF405" s="1061"/>
      <c r="BG405" s="1062" t="s">
        <v>159</v>
      </c>
      <c r="BH405" s="1063"/>
      <c r="BI405" s="1063"/>
      <c r="BJ405" s="1064"/>
      <c r="BK405" s="1065"/>
      <c r="BL405" s="1066"/>
      <c r="BM405" s="1067"/>
      <c r="BN405" s="259"/>
      <c r="BO405" s="259"/>
      <c r="BP405" s="1062"/>
      <c r="BQ405" s="1063"/>
      <c r="BR405" s="1064"/>
      <c r="BS405" s="1061" t="s">
        <v>159</v>
      </c>
      <c r="BT405" s="1061"/>
      <c r="BU405" s="1061"/>
    </row>
    <row r="406" spans="1:73" ht="30" customHeight="1" x14ac:dyDescent="0.25">
      <c r="A406" s="199">
        <f t="shared" si="6"/>
        <v>392</v>
      </c>
      <c r="B406" s="1081" t="s">
        <v>162</v>
      </c>
      <c r="C406" s="1082"/>
      <c r="D406" s="1083" t="s">
        <v>159</v>
      </c>
      <c r="E406" s="1084"/>
      <c r="F406" s="1084"/>
      <c r="G406" s="1085"/>
      <c r="H406" s="1086" t="s">
        <v>159</v>
      </c>
      <c r="I406" s="1087"/>
      <c r="J406" s="1087"/>
      <c r="K406" s="1088"/>
      <c r="L406" s="1089" t="s">
        <v>159</v>
      </c>
      <c r="M406" s="1090"/>
      <c r="N406" s="1091"/>
      <c r="O406" s="1092" t="s">
        <v>159</v>
      </c>
      <c r="P406" s="1093"/>
      <c r="Q406" s="1094"/>
      <c r="R406" s="812"/>
      <c r="S406" s="1095"/>
      <c r="T406" s="813"/>
      <c r="U406" s="745"/>
      <c r="V406" s="940"/>
      <c r="W406" s="746"/>
      <c r="X406" s="312"/>
      <c r="Y406" s="308"/>
      <c r="Z406" s="312"/>
      <c r="AA406" s="308"/>
      <c r="AB406" s="312"/>
      <c r="AC406" s="308"/>
      <c r="AD406" s="312"/>
      <c r="AE406" s="308"/>
      <c r="AF406" s="312"/>
      <c r="AG406" s="308"/>
      <c r="AH406" s="312"/>
      <c r="AI406" s="308"/>
      <c r="AJ406" s="117"/>
      <c r="AK406" s="330"/>
      <c r="AL406" s="117"/>
      <c r="AM406" s="330"/>
      <c r="AN406" s="117"/>
      <c r="AO406" s="330"/>
      <c r="AP406" s="117"/>
      <c r="AQ406" s="330"/>
      <c r="AR406" s="117"/>
      <c r="AS406" s="1096" t="s">
        <v>159</v>
      </c>
      <c r="AT406" s="1097"/>
      <c r="AU406" s="1097"/>
      <c r="AV406" s="1097"/>
      <c r="AW406" s="1097"/>
      <c r="AX406" s="1097"/>
      <c r="AY406" s="1100"/>
      <c r="AZ406" s="257"/>
      <c r="BA406" s="257"/>
      <c r="BB406" s="1059" t="s">
        <v>162</v>
      </c>
      <c r="BC406" s="1060"/>
      <c r="BD406" s="1061" t="s">
        <v>159</v>
      </c>
      <c r="BE406" s="1061"/>
      <c r="BF406" s="1061"/>
      <c r="BG406" s="1062" t="s">
        <v>159</v>
      </c>
      <c r="BH406" s="1063"/>
      <c r="BI406" s="1063"/>
      <c r="BJ406" s="1064"/>
      <c r="BK406" s="1065"/>
      <c r="BL406" s="1066"/>
      <c r="BM406" s="1067"/>
      <c r="BN406" s="259"/>
      <c r="BO406" s="259"/>
      <c r="BP406" s="1062"/>
      <c r="BQ406" s="1063"/>
      <c r="BR406" s="1064"/>
      <c r="BS406" s="1061" t="s">
        <v>159</v>
      </c>
      <c r="BT406" s="1061"/>
      <c r="BU406" s="1061"/>
    </row>
    <row r="407" spans="1:73" ht="30" customHeight="1" x14ac:dyDescent="0.25">
      <c r="A407" s="199">
        <f t="shared" si="6"/>
        <v>393</v>
      </c>
      <c r="B407" s="1081" t="s">
        <v>162</v>
      </c>
      <c r="C407" s="1082"/>
      <c r="D407" s="1083" t="s">
        <v>159</v>
      </c>
      <c r="E407" s="1084"/>
      <c r="F407" s="1084"/>
      <c r="G407" s="1085"/>
      <c r="H407" s="1086" t="s">
        <v>159</v>
      </c>
      <c r="I407" s="1087"/>
      <c r="J407" s="1087"/>
      <c r="K407" s="1088"/>
      <c r="L407" s="1089" t="s">
        <v>159</v>
      </c>
      <c r="M407" s="1090"/>
      <c r="N407" s="1091"/>
      <c r="O407" s="1092" t="s">
        <v>159</v>
      </c>
      <c r="P407" s="1093"/>
      <c r="Q407" s="1094"/>
      <c r="R407" s="812"/>
      <c r="S407" s="1095"/>
      <c r="T407" s="813"/>
      <c r="U407" s="745"/>
      <c r="V407" s="940"/>
      <c r="W407" s="746"/>
      <c r="X407" s="312"/>
      <c r="Y407" s="308"/>
      <c r="Z407" s="312"/>
      <c r="AA407" s="308"/>
      <c r="AB407" s="312"/>
      <c r="AC407" s="308"/>
      <c r="AD407" s="312"/>
      <c r="AE407" s="308"/>
      <c r="AF407" s="312"/>
      <c r="AG407" s="308"/>
      <c r="AH407" s="312"/>
      <c r="AI407" s="308"/>
      <c r="AJ407" s="117"/>
      <c r="AK407" s="330"/>
      <c r="AL407" s="117"/>
      <c r="AM407" s="330"/>
      <c r="AN407" s="117"/>
      <c r="AO407" s="330"/>
      <c r="AP407" s="117"/>
      <c r="AQ407" s="330"/>
      <c r="AR407" s="117"/>
      <c r="AS407" s="1096" t="s">
        <v>159</v>
      </c>
      <c r="AT407" s="1097"/>
      <c r="AU407" s="1097"/>
      <c r="AV407" s="1097"/>
      <c r="AW407" s="1097"/>
      <c r="AX407" s="1097"/>
      <c r="AY407" s="1100"/>
      <c r="AZ407" s="257"/>
      <c r="BA407" s="257"/>
      <c r="BB407" s="1059" t="s">
        <v>162</v>
      </c>
      <c r="BC407" s="1060"/>
      <c r="BD407" s="1061" t="s">
        <v>159</v>
      </c>
      <c r="BE407" s="1061"/>
      <c r="BF407" s="1061"/>
      <c r="BG407" s="1062" t="s">
        <v>159</v>
      </c>
      <c r="BH407" s="1063"/>
      <c r="BI407" s="1063"/>
      <c r="BJ407" s="1064"/>
      <c r="BK407" s="1065"/>
      <c r="BL407" s="1066"/>
      <c r="BM407" s="1067"/>
      <c r="BN407" s="259"/>
      <c r="BO407" s="259"/>
      <c r="BP407" s="1062"/>
      <c r="BQ407" s="1063"/>
      <c r="BR407" s="1064"/>
      <c r="BS407" s="1061" t="s">
        <v>159</v>
      </c>
      <c r="BT407" s="1061"/>
      <c r="BU407" s="1061"/>
    </row>
    <row r="408" spans="1:73" ht="30" customHeight="1" x14ac:dyDescent="0.25">
      <c r="A408" s="199">
        <f t="shared" si="6"/>
        <v>394</v>
      </c>
      <c r="B408" s="1081" t="s">
        <v>162</v>
      </c>
      <c r="C408" s="1082"/>
      <c r="D408" s="1083" t="s">
        <v>159</v>
      </c>
      <c r="E408" s="1084"/>
      <c r="F408" s="1084"/>
      <c r="G408" s="1085"/>
      <c r="H408" s="1086" t="s">
        <v>159</v>
      </c>
      <c r="I408" s="1087"/>
      <c r="J408" s="1087"/>
      <c r="K408" s="1088"/>
      <c r="L408" s="1089" t="s">
        <v>159</v>
      </c>
      <c r="M408" s="1090"/>
      <c r="N408" s="1091"/>
      <c r="O408" s="1092" t="s">
        <v>159</v>
      </c>
      <c r="P408" s="1093"/>
      <c r="Q408" s="1094"/>
      <c r="R408" s="812"/>
      <c r="S408" s="1095"/>
      <c r="T408" s="813"/>
      <c r="U408" s="745"/>
      <c r="V408" s="940"/>
      <c r="W408" s="746"/>
      <c r="X408" s="312"/>
      <c r="Y408" s="308"/>
      <c r="Z408" s="312"/>
      <c r="AA408" s="308"/>
      <c r="AB408" s="312"/>
      <c r="AC408" s="308"/>
      <c r="AD408" s="312"/>
      <c r="AE408" s="308"/>
      <c r="AF408" s="312"/>
      <c r="AG408" s="308"/>
      <c r="AH408" s="312"/>
      <c r="AI408" s="308"/>
      <c r="AJ408" s="117"/>
      <c r="AK408" s="330"/>
      <c r="AL408" s="117"/>
      <c r="AM408" s="330"/>
      <c r="AN408" s="117"/>
      <c r="AO408" s="330"/>
      <c r="AP408" s="117"/>
      <c r="AQ408" s="330"/>
      <c r="AR408" s="117"/>
      <c r="AS408" s="1096" t="s">
        <v>159</v>
      </c>
      <c r="AT408" s="1097"/>
      <c r="AU408" s="1097"/>
      <c r="AV408" s="1097"/>
      <c r="AW408" s="1097"/>
      <c r="AX408" s="1097"/>
      <c r="AY408" s="1100"/>
      <c r="AZ408" s="257"/>
      <c r="BA408" s="257"/>
      <c r="BB408" s="1059" t="s">
        <v>162</v>
      </c>
      <c r="BC408" s="1060"/>
      <c r="BD408" s="1061" t="s">
        <v>159</v>
      </c>
      <c r="BE408" s="1061"/>
      <c r="BF408" s="1061"/>
      <c r="BG408" s="1062" t="s">
        <v>159</v>
      </c>
      <c r="BH408" s="1063"/>
      <c r="BI408" s="1063"/>
      <c r="BJ408" s="1064"/>
      <c r="BK408" s="1065"/>
      <c r="BL408" s="1066"/>
      <c r="BM408" s="1067"/>
      <c r="BN408" s="259"/>
      <c r="BO408" s="259"/>
      <c r="BP408" s="1062"/>
      <c r="BQ408" s="1063"/>
      <c r="BR408" s="1064"/>
      <c r="BS408" s="1061" t="s">
        <v>159</v>
      </c>
      <c r="BT408" s="1061"/>
      <c r="BU408" s="1061"/>
    </row>
    <row r="409" spans="1:73" ht="30" customHeight="1" x14ac:dyDescent="0.25">
      <c r="A409" s="199">
        <f t="shared" si="6"/>
        <v>395</v>
      </c>
      <c r="B409" s="1081" t="s">
        <v>162</v>
      </c>
      <c r="C409" s="1082"/>
      <c r="D409" s="1083" t="s">
        <v>159</v>
      </c>
      <c r="E409" s="1084"/>
      <c r="F409" s="1084"/>
      <c r="G409" s="1085"/>
      <c r="H409" s="1086" t="s">
        <v>159</v>
      </c>
      <c r="I409" s="1087"/>
      <c r="J409" s="1087"/>
      <c r="K409" s="1088"/>
      <c r="L409" s="1089" t="s">
        <v>159</v>
      </c>
      <c r="M409" s="1090"/>
      <c r="N409" s="1091"/>
      <c r="O409" s="1092" t="s">
        <v>159</v>
      </c>
      <c r="P409" s="1093"/>
      <c r="Q409" s="1094"/>
      <c r="R409" s="812"/>
      <c r="S409" s="1095"/>
      <c r="T409" s="813"/>
      <c r="U409" s="745"/>
      <c r="V409" s="940"/>
      <c r="W409" s="746"/>
      <c r="X409" s="312"/>
      <c r="Y409" s="308"/>
      <c r="Z409" s="312"/>
      <c r="AA409" s="308"/>
      <c r="AB409" s="312"/>
      <c r="AC409" s="308"/>
      <c r="AD409" s="312"/>
      <c r="AE409" s="308"/>
      <c r="AF409" s="312"/>
      <c r="AG409" s="308"/>
      <c r="AH409" s="312"/>
      <c r="AI409" s="308"/>
      <c r="AJ409" s="117"/>
      <c r="AK409" s="330"/>
      <c r="AL409" s="117"/>
      <c r="AM409" s="330"/>
      <c r="AN409" s="117"/>
      <c r="AO409" s="330"/>
      <c r="AP409" s="117"/>
      <c r="AQ409" s="330"/>
      <c r="AR409" s="117"/>
      <c r="AS409" s="1096" t="s">
        <v>159</v>
      </c>
      <c r="AT409" s="1097"/>
      <c r="AU409" s="1097"/>
      <c r="AV409" s="1097"/>
      <c r="AW409" s="1097"/>
      <c r="AX409" s="1097"/>
      <c r="AY409" s="1100"/>
      <c r="AZ409" s="296"/>
      <c r="BA409" s="296"/>
      <c r="BB409" s="1059" t="s">
        <v>162</v>
      </c>
      <c r="BC409" s="1060"/>
      <c r="BD409" s="1068" t="s">
        <v>159</v>
      </c>
      <c r="BE409" s="1068"/>
      <c r="BF409" s="1068"/>
      <c r="BG409" s="1069" t="s">
        <v>159</v>
      </c>
      <c r="BH409" s="1070"/>
      <c r="BI409" s="1070"/>
      <c r="BJ409" s="1071"/>
      <c r="BK409" s="1072"/>
      <c r="BL409" s="1073"/>
      <c r="BM409" s="1074"/>
      <c r="BN409" s="297"/>
      <c r="BO409" s="297"/>
      <c r="BP409" s="1069"/>
      <c r="BQ409" s="1070"/>
      <c r="BR409" s="1071"/>
      <c r="BS409" s="1068" t="s">
        <v>159</v>
      </c>
      <c r="BT409" s="1068"/>
      <c r="BU409" s="1068"/>
    </row>
    <row r="410" spans="1:73" ht="30" customHeight="1" x14ac:dyDescent="0.25">
      <c r="A410" s="199">
        <f t="shared" si="6"/>
        <v>396</v>
      </c>
      <c r="B410" s="1081" t="s">
        <v>162</v>
      </c>
      <c r="C410" s="1082"/>
      <c r="D410" s="1083" t="s">
        <v>159</v>
      </c>
      <c r="E410" s="1084"/>
      <c r="F410" s="1084"/>
      <c r="G410" s="1085"/>
      <c r="H410" s="1086" t="s">
        <v>159</v>
      </c>
      <c r="I410" s="1087"/>
      <c r="J410" s="1087"/>
      <c r="K410" s="1088"/>
      <c r="L410" s="1089" t="s">
        <v>159</v>
      </c>
      <c r="M410" s="1090"/>
      <c r="N410" s="1091"/>
      <c r="O410" s="1092" t="s">
        <v>159</v>
      </c>
      <c r="P410" s="1093"/>
      <c r="Q410" s="1094"/>
      <c r="R410" s="812"/>
      <c r="S410" s="1095"/>
      <c r="T410" s="813"/>
      <c r="U410" s="745"/>
      <c r="V410" s="940"/>
      <c r="W410" s="746"/>
      <c r="X410" s="312"/>
      <c r="Y410" s="308"/>
      <c r="Z410" s="312"/>
      <c r="AA410" s="308"/>
      <c r="AB410" s="312"/>
      <c r="AC410" s="308"/>
      <c r="AD410" s="312"/>
      <c r="AE410" s="308"/>
      <c r="AF410" s="312"/>
      <c r="AG410" s="308"/>
      <c r="AH410" s="312"/>
      <c r="AI410" s="308"/>
      <c r="AJ410" s="117"/>
      <c r="AK410" s="330"/>
      <c r="AL410" s="117"/>
      <c r="AM410" s="330"/>
      <c r="AN410" s="117"/>
      <c r="AO410" s="330"/>
      <c r="AP410" s="117"/>
      <c r="AQ410" s="330"/>
      <c r="AR410" s="117"/>
      <c r="AS410" s="1096" t="s">
        <v>159</v>
      </c>
      <c r="AT410" s="1097"/>
      <c r="AU410" s="1097"/>
      <c r="AV410" s="1097"/>
      <c r="AW410" s="1097"/>
      <c r="AX410" s="1097"/>
      <c r="AY410" s="1100"/>
      <c r="AZ410" s="257"/>
      <c r="BA410" s="257"/>
      <c r="BB410" s="1059" t="s">
        <v>162</v>
      </c>
      <c r="BC410" s="1060"/>
      <c r="BD410" s="1061" t="s">
        <v>159</v>
      </c>
      <c r="BE410" s="1061"/>
      <c r="BF410" s="1061"/>
      <c r="BG410" s="1062" t="s">
        <v>159</v>
      </c>
      <c r="BH410" s="1063"/>
      <c r="BI410" s="1063"/>
      <c r="BJ410" s="1064"/>
      <c r="BK410" s="1065"/>
      <c r="BL410" s="1066"/>
      <c r="BM410" s="1067"/>
      <c r="BN410" s="259"/>
      <c r="BO410" s="259"/>
      <c r="BP410" s="1062"/>
      <c r="BQ410" s="1063"/>
      <c r="BR410" s="1064"/>
      <c r="BS410" s="1061" t="s">
        <v>159</v>
      </c>
      <c r="BT410" s="1061"/>
      <c r="BU410" s="1061"/>
    </row>
    <row r="411" spans="1:73" ht="30" customHeight="1" x14ac:dyDescent="0.25">
      <c r="A411" s="199">
        <f t="shared" si="6"/>
        <v>397</v>
      </c>
      <c r="B411" s="1081" t="s">
        <v>162</v>
      </c>
      <c r="C411" s="1082"/>
      <c r="D411" s="1083" t="s">
        <v>159</v>
      </c>
      <c r="E411" s="1084"/>
      <c r="F411" s="1084"/>
      <c r="G411" s="1085"/>
      <c r="H411" s="1086" t="s">
        <v>159</v>
      </c>
      <c r="I411" s="1087"/>
      <c r="J411" s="1087"/>
      <c r="K411" s="1088"/>
      <c r="L411" s="1089" t="s">
        <v>159</v>
      </c>
      <c r="M411" s="1090"/>
      <c r="N411" s="1091"/>
      <c r="O411" s="1092" t="s">
        <v>159</v>
      </c>
      <c r="P411" s="1093"/>
      <c r="Q411" s="1094"/>
      <c r="R411" s="812"/>
      <c r="S411" s="1095"/>
      <c r="T411" s="813"/>
      <c r="U411" s="745"/>
      <c r="V411" s="940"/>
      <c r="W411" s="746"/>
      <c r="X411" s="312"/>
      <c r="Y411" s="308"/>
      <c r="Z411" s="312"/>
      <c r="AA411" s="308"/>
      <c r="AB411" s="312"/>
      <c r="AC411" s="308"/>
      <c r="AD411" s="312"/>
      <c r="AE411" s="308"/>
      <c r="AF411" s="312"/>
      <c r="AG411" s="308"/>
      <c r="AH411" s="312"/>
      <c r="AI411" s="308"/>
      <c r="AJ411" s="117"/>
      <c r="AK411" s="330"/>
      <c r="AL411" s="117"/>
      <c r="AM411" s="330"/>
      <c r="AN411" s="117"/>
      <c r="AO411" s="330"/>
      <c r="AP411" s="117"/>
      <c r="AQ411" s="330"/>
      <c r="AR411" s="117"/>
      <c r="AS411" s="1096" t="s">
        <v>159</v>
      </c>
      <c r="AT411" s="1097"/>
      <c r="AU411" s="1097"/>
      <c r="AV411" s="1097"/>
      <c r="AW411" s="1097"/>
      <c r="AX411" s="1097"/>
      <c r="AY411" s="1100"/>
      <c r="AZ411" s="257"/>
      <c r="BA411" s="257"/>
      <c r="BB411" s="1059" t="s">
        <v>162</v>
      </c>
      <c r="BC411" s="1060"/>
      <c r="BD411" s="1061" t="s">
        <v>159</v>
      </c>
      <c r="BE411" s="1061"/>
      <c r="BF411" s="1061"/>
      <c r="BG411" s="1062" t="s">
        <v>159</v>
      </c>
      <c r="BH411" s="1063"/>
      <c r="BI411" s="1063"/>
      <c r="BJ411" s="1064"/>
      <c r="BK411" s="1065"/>
      <c r="BL411" s="1066"/>
      <c r="BM411" s="1067"/>
      <c r="BN411" s="259"/>
      <c r="BO411" s="259"/>
      <c r="BP411" s="1062"/>
      <c r="BQ411" s="1063"/>
      <c r="BR411" s="1064"/>
      <c r="BS411" s="1061" t="s">
        <v>159</v>
      </c>
      <c r="BT411" s="1061"/>
      <c r="BU411" s="1061"/>
    </row>
    <row r="412" spans="1:73" ht="30" customHeight="1" x14ac:dyDescent="0.25">
      <c r="A412" s="199">
        <f t="shared" si="6"/>
        <v>398</v>
      </c>
      <c r="B412" s="1081" t="s">
        <v>162</v>
      </c>
      <c r="C412" s="1082"/>
      <c r="D412" s="1083" t="s">
        <v>159</v>
      </c>
      <c r="E412" s="1084"/>
      <c r="F412" s="1084"/>
      <c r="G412" s="1085"/>
      <c r="H412" s="1086" t="s">
        <v>159</v>
      </c>
      <c r="I412" s="1087"/>
      <c r="J412" s="1087"/>
      <c r="K412" s="1088"/>
      <c r="L412" s="1089" t="s">
        <v>159</v>
      </c>
      <c r="M412" s="1090"/>
      <c r="N412" s="1091"/>
      <c r="O412" s="1092" t="s">
        <v>159</v>
      </c>
      <c r="P412" s="1093"/>
      <c r="Q412" s="1094"/>
      <c r="R412" s="812"/>
      <c r="S412" s="1095"/>
      <c r="T412" s="813"/>
      <c r="U412" s="745"/>
      <c r="V412" s="940"/>
      <c r="W412" s="746"/>
      <c r="X412" s="312"/>
      <c r="Y412" s="308"/>
      <c r="Z412" s="312"/>
      <c r="AA412" s="308"/>
      <c r="AB412" s="312"/>
      <c r="AC412" s="308"/>
      <c r="AD412" s="312"/>
      <c r="AE412" s="308"/>
      <c r="AF412" s="312"/>
      <c r="AG412" s="308"/>
      <c r="AH412" s="312"/>
      <c r="AI412" s="308"/>
      <c r="AJ412" s="117"/>
      <c r="AK412" s="330"/>
      <c r="AL412" s="117"/>
      <c r="AM412" s="330"/>
      <c r="AN412" s="117"/>
      <c r="AO412" s="330"/>
      <c r="AP412" s="117"/>
      <c r="AQ412" s="330"/>
      <c r="AR412" s="117"/>
      <c r="AS412" s="1096" t="s">
        <v>159</v>
      </c>
      <c r="AT412" s="1097"/>
      <c r="AU412" s="1097"/>
      <c r="AV412" s="1097"/>
      <c r="AW412" s="1097"/>
      <c r="AX412" s="1097"/>
      <c r="AY412" s="1100"/>
      <c r="AZ412" s="257"/>
      <c r="BA412" s="257"/>
      <c r="BB412" s="1059" t="s">
        <v>162</v>
      </c>
      <c r="BC412" s="1060"/>
      <c r="BD412" s="1061" t="s">
        <v>159</v>
      </c>
      <c r="BE412" s="1061"/>
      <c r="BF412" s="1061"/>
      <c r="BG412" s="1062" t="s">
        <v>159</v>
      </c>
      <c r="BH412" s="1063"/>
      <c r="BI412" s="1063"/>
      <c r="BJ412" s="1064"/>
      <c r="BK412" s="1065"/>
      <c r="BL412" s="1066"/>
      <c r="BM412" s="1067"/>
      <c r="BN412" s="259"/>
      <c r="BO412" s="259"/>
      <c r="BP412" s="1062"/>
      <c r="BQ412" s="1063"/>
      <c r="BR412" s="1064"/>
      <c r="BS412" s="1061" t="s">
        <v>159</v>
      </c>
      <c r="BT412" s="1061"/>
      <c r="BU412" s="1061"/>
    </row>
    <row r="413" spans="1:73" ht="30" customHeight="1" x14ac:dyDescent="0.25">
      <c r="A413" s="199">
        <f t="shared" si="6"/>
        <v>399</v>
      </c>
      <c r="B413" s="1081" t="s">
        <v>162</v>
      </c>
      <c r="C413" s="1082"/>
      <c r="D413" s="1083" t="s">
        <v>159</v>
      </c>
      <c r="E413" s="1084"/>
      <c r="F413" s="1084"/>
      <c r="G413" s="1085"/>
      <c r="H413" s="1086" t="s">
        <v>159</v>
      </c>
      <c r="I413" s="1087"/>
      <c r="J413" s="1087"/>
      <c r="K413" s="1088"/>
      <c r="L413" s="1089" t="s">
        <v>159</v>
      </c>
      <c r="M413" s="1090"/>
      <c r="N413" s="1091"/>
      <c r="O413" s="1092" t="s">
        <v>159</v>
      </c>
      <c r="P413" s="1093"/>
      <c r="Q413" s="1094"/>
      <c r="R413" s="812"/>
      <c r="S413" s="1095"/>
      <c r="T413" s="813"/>
      <c r="U413" s="745"/>
      <c r="V413" s="940"/>
      <c r="W413" s="746"/>
      <c r="X413" s="312"/>
      <c r="Y413" s="308"/>
      <c r="Z413" s="312"/>
      <c r="AA413" s="308"/>
      <c r="AB413" s="312"/>
      <c r="AC413" s="308"/>
      <c r="AD413" s="312"/>
      <c r="AE413" s="308"/>
      <c r="AF413" s="312"/>
      <c r="AG413" s="308"/>
      <c r="AH413" s="312"/>
      <c r="AI413" s="308"/>
      <c r="AJ413" s="117"/>
      <c r="AK413" s="330"/>
      <c r="AL413" s="117"/>
      <c r="AM413" s="330"/>
      <c r="AN413" s="117"/>
      <c r="AO413" s="330"/>
      <c r="AP413" s="117"/>
      <c r="AQ413" s="330"/>
      <c r="AR413" s="117"/>
      <c r="AS413" s="1096" t="s">
        <v>159</v>
      </c>
      <c r="AT413" s="1097"/>
      <c r="AU413" s="1097"/>
      <c r="AV413" s="1097"/>
      <c r="AW413" s="1097"/>
      <c r="AX413" s="1097"/>
      <c r="AY413" s="1100"/>
      <c r="AZ413" s="257"/>
      <c r="BA413" s="257"/>
      <c r="BB413" s="1059" t="s">
        <v>162</v>
      </c>
      <c r="BC413" s="1060"/>
      <c r="BD413" s="1061" t="s">
        <v>159</v>
      </c>
      <c r="BE413" s="1061"/>
      <c r="BF413" s="1061"/>
      <c r="BG413" s="1062" t="s">
        <v>159</v>
      </c>
      <c r="BH413" s="1063"/>
      <c r="BI413" s="1063"/>
      <c r="BJ413" s="1064"/>
      <c r="BK413" s="1065"/>
      <c r="BL413" s="1066"/>
      <c r="BM413" s="1067"/>
      <c r="BN413" s="259"/>
      <c r="BO413" s="259"/>
      <c r="BP413" s="1062"/>
      <c r="BQ413" s="1063"/>
      <c r="BR413" s="1064"/>
      <c r="BS413" s="1061" t="s">
        <v>159</v>
      </c>
      <c r="BT413" s="1061"/>
      <c r="BU413" s="1061"/>
    </row>
    <row r="414" spans="1:73" ht="30" customHeight="1" x14ac:dyDescent="0.25">
      <c r="A414" s="199">
        <f t="shared" si="6"/>
        <v>400</v>
      </c>
      <c r="B414" s="1081" t="s">
        <v>162</v>
      </c>
      <c r="C414" s="1082"/>
      <c r="D414" s="1083" t="s">
        <v>159</v>
      </c>
      <c r="E414" s="1084"/>
      <c r="F414" s="1084"/>
      <c r="G414" s="1085"/>
      <c r="H414" s="1086" t="s">
        <v>159</v>
      </c>
      <c r="I414" s="1087"/>
      <c r="J414" s="1087"/>
      <c r="K414" s="1088"/>
      <c r="L414" s="1089" t="s">
        <v>159</v>
      </c>
      <c r="M414" s="1090"/>
      <c r="N414" s="1091"/>
      <c r="O414" s="1092" t="s">
        <v>159</v>
      </c>
      <c r="P414" s="1093"/>
      <c r="Q414" s="1094"/>
      <c r="R414" s="812"/>
      <c r="S414" s="1095"/>
      <c r="T414" s="813"/>
      <c r="U414" s="745"/>
      <c r="V414" s="940"/>
      <c r="W414" s="746"/>
      <c r="X414" s="312"/>
      <c r="Y414" s="308"/>
      <c r="Z414" s="312"/>
      <c r="AA414" s="308"/>
      <c r="AB414" s="312"/>
      <c r="AC414" s="308"/>
      <c r="AD414" s="312"/>
      <c r="AE414" s="308"/>
      <c r="AF414" s="312"/>
      <c r="AG414" s="308"/>
      <c r="AH414" s="312"/>
      <c r="AI414" s="308"/>
      <c r="AJ414" s="117"/>
      <c r="AK414" s="330"/>
      <c r="AL414" s="117"/>
      <c r="AM414" s="330"/>
      <c r="AN414" s="117"/>
      <c r="AO414" s="330"/>
      <c r="AP414" s="117"/>
      <c r="AQ414" s="330"/>
      <c r="AR414" s="117"/>
      <c r="AS414" s="1096" t="s">
        <v>159</v>
      </c>
      <c r="AT414" s="1097"/>
      <c r="AU414" s="1097"/>
      <c r="AV414" s="1097"/>
      <c r="AW414" s="1097"/>
      <c r="AX414" s="1097"/>
      <c r="AY414" s="1100"/>
      <c r="AZ414" s="257"/>
      <c r="BA414" s="257"/>
      <c r="BB414" s="1059" t="s">
        <v>162</v>
      </c>
      <c r="BC414" s="1060"/>
      <c r="BD414" s="1061" t="s">
        <v>159</v>
      </c>
      <c r="BE414" s="1061"/>
      <c r="BF414" s="1061"/>
      <c r="BG414" s="1062" t="s">
        <v>159</v>
      </c>
      <c r="BH414" s="1063"/>
      <c r="BI414" s="1063"/>
      <c r="BJ414" s="1064"/>
      <c r="BK414" s="1065"/>
      <c r="BL414" s="1066"/>
      <c r="BM414" s="1067"/>
      <c r="BN414" s="259"/>
      <c r="BO414" s="259"/>
      <c r="BP414" s="1062"/>
      <c r="BQ414" s="1063"/>
      <c r="BR414" s="1064"/>
      <c r="BS414" s="1061" t="s">
        <v>159</v>
      </c>
      <c r="BT414" s="1061"/>
      <c r="BU414" s="1061"/>
    </row>
    <row r="415" spans="1:73" ht="30" customHeight="1" x14ac:dyDescent="0.25">
      <c r="A415" s="199">
        <f t="shared" si="6"/>
        <v>401</v>
      </c>
      <c r="B415" s="1081" t="s">
        <v>162</v>
      </c>
      <c r="C415" s="1082"/>
      <c r="D415" s="1083" t="s">
        <v>159</v>
      </c>
      <c r="E415" s="1084"/>
      <c r="F415" s="1084"/>
      <c r="G415" s="1085"/>
      <c r="H415" s="1086" t="s">
        <v>159</v>
      </c>
      <c r="I415" s="1087"/>
      <c r="J415" s="1087"/>
      <c r="K415" s="1088"/>
      <c r="L415" s="1089" t="s">
        <v>159</v>
      </c>
      <c r="M415" s="1090"/>
      <c r="N415" s="1091"/>
      <c r="O415" s="1092" t="s">
        <v>159</v>
      </c>
      <c r="P415" s="1093"/>
      <c r="Q415" s="1094"/>
      <c r="R415" s="812"/>
      <c r="S415" s="1095"/>
      <c r="T415" s="813"/>
      <c r="U415" s="745"/>
      <c r="V415" s="940"/>
      <c r="W415" s="746"/>
      <c r="X415" s="312"/>
      <c r="Y415" s="308"/>
      <c r="Z415" s="312"/>
      <c r="AA415" s="308"/>
      <c r="AB415" s="312"/>
      <c r="AC415" s="308"/>
      <c r="AD415" s="312"/>
      <c r="AE415" s="308"/>
      <c r="AF415" s="312"/>
      <c r="AG415" s="308"/>
      <c r="AH415" s="312"/>
      <c r="AI415" s="308"/>
      <c r="AJ415" s="117"/>
      <c r="AK415" s="330"/>
      <c r="AL415" s="117"/>
      <c r="AM415" s="330"/>
      <c r="AN415" s="117"/>
      <c r="AO415" s="330"/>
      <c r="AP415" s="117"/>
      <c r="AQ415" s="330"/>
      <c r="AR415" s="117"/>
      <c r="AS415" s="1096" t="s">
        <v>159</v>
      </c>
      <c r="AT415" s="1097"/>
      <c r="AU415" s="1097"/>
      <c r="AV415" s="1097"/>
      <c r="AW415" s="1097"/>
      <c r="AX415" s="1097"/>
      <c r="AY415" s="1100"/>
      <c r="AZ415" s="257"/>
      <c r="BA415" s="257"/>
      <c r="BB415" s="1059" t="s">
        <v>162</v>
      </c>
      <c r="BC415" s="1060"/>
      <c r="BD415" s="1061" t="s">
        <v>159</v>
      </c>
      <c r="BE415" s="1061"/>
      <c r="BF415" s="1061"/>
      <c r="BG415" s="1062" t="s">
        <v>159</v>
      </c>
      <c r="BH415" s="1063"/>
      <c r="BI415" s="1063"/>
      <c r="BJ415" s="1064"/>
      <c r="BK415" s="1065"/>
      <c r="BL415" s="1066"/>
      <c r="BM415" s="1067"/>
      <c r="BN415" s="259"/>
      <c r="BO415" s="259"/>
      <c r="BP415" s="1062"/>
      <c r="BQ415" s="1063"/>
      <c r="BR415" s="1064"/>
      <c r="BS415" s="1061" t="s">
        <v>159</v>
      </c>
      <c r="BT415" s="1061"/>
      <c r="BU415" s="1061"/>
    </row>
    <row r="416" spans="1:73" ht="30" customHeight="1" x14ac:dyDescent="0.25">
      <c r="A416" s="199">
        <f t="shared" si="6"/>
        <v>402</v>
      </c>
      <c r="B416" s="1081" t="s">
        <v>162</v>
      </c>
      <c r="C416" s="1082"/>
      <c r="D416" s="1083" t="s">
        <v>159</v>
      </c>
      <c r="E416" s="1084"/>
      <c r="F416" s="1084"/>
      <c r="G416" s="1085"/>
      <c r="H416" s="1086" t="s">
        <v>159</v>
      </c>
      <c r="I416" s="1087"/>
      <c r="J416" s="1087"/>
      <c r="K416" s="1088"/>
      <c r="L416" s="1089" t="s">
        <v>159</v>
      </c>
      <c r="M416" s="1090"/>
      <c r="N416" s="1091"/>
      <c r="O416" s="1092" t="s">
        <v>159</v>
      </c>
      <c r="P416" s="1093"/>
      <c r="Q416" s="1094"/>
      <c r="R416" s="812"/>
      <c r="S416" s="1095"/>
      <c r="T416" s="813"/>
      <c r="U416" s="745"/>
      <c r="V416" s="940"/>
      <c r="W416" s="746"/>
      <c r="X416" s="312"/>
      <c r="Y416" s="308"/>
      <c r="Z416" s="312"/>
      <c r="AA416" s="308"/>
      <c r="AB416" s="312"/>
      <c r="AC416" s="308"/>
      <c r="AD416" s="312"/>
      <c r="AE416" s="308"/>
      <c r="AF416" s="312"/>
      <c r="AG416" s="308"/>
      <c r="AH416" s="312"/>
      <c r="AI416" s="308"/>
      <c r="AJ416" s="117"/>
      <c r="AK416" s="330"/>
      <c r="AL416" s="117"/>
      <c r="AM416" s="330"/>
      <c r="AN416" s="117"/>
      <c r="AO416" s="330"/>
      <c r="AP416" s="117"/>
      <c r="AQ416" s="330"/>
      <c r="AR416" s="117"/>
      <c r="AS416" s="1096" t="s">
        <v>159</v>
      </c>
      <c r="AT416" s="1097"/>
      <c r="AU416" s="1097"/>
      <c r="AV416" s="1097"/>
      <c r="AW416" s="1097"/>
      <c r="AX416" s="1097"/>
      <c r="AY416" s="1100"/>
      <c r="AZ416" s="257"/>
      <c r="BA416" s="257"/>
      <c r="BB416" s="1059" t="s">
        <v>162</v>
      </c>
      <c r="BC416" s="1060"/>
      <c r="BD416" s="1061" t="s">
        <v>159</v>
      </c>
      <c r="BE416" s="1061"/>
      <c r="BF416" s="1061"/>
      <c r="BG416" s="1062" t="s">
        <v>159</v>
      </c>
      <c r="BH416" s="1063"/>
      <c r="BI416" s="1063"/>
      <c r="BJ416" s="1064"/>
      <c r="BK416" s="1065"/>
      <c r="BL416" s="1066"/>
      <c r="BM416" s="1067"/>
      <c r="BN416" s="259"/>
      <c r="BO416" s="259"/>
      <c r="BP416" s="1062"/>
      <c r="BQ416" s="1063"/>
      <c r="BR416" s="1064"/>
      <c r="BS416" s="1061" t="s">
        <v>159</v>
      </c>
      <c r="BT416" s="1061"/>
      <c r="BU416" s="1061"/>
    </row>
    <row r="417" spans="1:73" ht="30" customHeight="1" x14ac:dyDescent="0.25">
      <c r="A417" s="199">
        <f t="shared" si="6"/>
        <v>403</v>
      </c>
      <c r="B417" s="1081" t="s">
        <v>162</v>
      </c>
      <c r="C417" s="1082"/>
      <c r="D417" s="1083" t="s">
        <v>159</v>
      </c>
      <c r="E417" s="1084"/>
      <c r="F417" s="1084"/>
      <c r="G417" s="1085"/>
      <c r="H417" s="1086" t="s">
        <v>159</v>
      </c>
      <c r="I417" s="1087"/>
      <c r="J417" s="1087"/>
      <c r="K417" s="1088"/>
      <c r="L417" s="1089" t="s">
        <v>159</v>
      </c>
      <c r="M417" s="1090"/>
      <c r="N417" s="1091"/>
      <c r="O417" s="1092" t="s">
        <v>159</v>
      </c>
      <c r="P417" s="1093"/>
      <c r="Q417" s="1094"/>
      <c r="R417" s="812"/>
      <c r="S417" s="1095"/>
      <c r="T417" s="813"/>
      <c r="U417" s="745"/>
      <c r="V417" s="940"/>
      <c r="W417" s="746"/>
      <c r="X417" s="312"/>
      <c r="Y417" s="308"/>
      <c r="Z417" s="312"/>
      <c r="AA417" s="308"/>
      <c r="AB417" s="312"/>
      <c r="AC417" s="308"/>
      <c r="AD417" s="312"/>
      <c r="AE417" s="308"/>
      <c r="AF417" s="312"/>
      <c r="AG417" s="308"/>
      <c r="AH417" s="312"/>
      <c r="AI417" s="308"/>
      <c r="AJ417" s="117"/>
      <c r="AK417" s="330"/>
      <c r="AL417" s="117"/>
      <c r="AM417" s="330"/>
      <c r="AN417" s="117"/>
      <c r="AO417" s="330"/>
      <c r="AP417" s="117"/>
      <c r="AQ417" s="330"/>
      <c r="AR417" s="117"/>
      <c r="AS417" s="1096" t="s">
        <v>159</v>
      </c>
      <c r="AT417" s="1097"/>
      <c r="AU417" s="1097"/>
      <c r="AV417" s="1097"/>
      <c r="AW417" s="1097"/>
      <c r="AX417" s="1097"/>
      <c r="AY417" s="1100"/>
      <c r="AZ417" s="257"/>
      <c r="BA417" s="257"/>
      <c r="BB417" s="1059" t="s">
        <v>162</v>
      </c>
      <c r="BC417" s="1060"/>
      <c r="BD417" s="1061" t="s">
        <v>159</v>
      </c>
      <c r="BE417" s="1061"/>
      <c r="BF417" s="1061"/>
      <c r="BG417" s="1062" t="s">
        <v>159</v>
      </c>
      <c r="BH417" s="1063"/>
      <c r="BI417" s="1063"/>
      <c r="BJ417" s="1064"/>
      <c r="BK417" s="1065"/>
      <c r="BL417" s="1066"/>
      <c r="BM417" s="1067"/>
      <c r="BN417" s="259"/>
      <c r="BO417" s="259"/>
      <c r="BP417" s="1062"/>
      <c r="BQ417" s="1063"/>
      <c r="BR417" s="1064"/>
      <c r="BS417" s="1061" t="s">
        <v>159</v>
      </c>
      <c r="BT417" s="1061"/>
      <c r="BU417" s="1061"/>
    </row>
    <row r="418" spans="1:73" ht="30" customHeight="1" x14ac:dyDescent="0.25">
      <c r="A418" s="199">
        <f t="shared" si="6"/>
        <v>404</v>
      </c>
      <c r="B418" s="1081" t="s">
        <v>162</v>
      </c>
      <c r="C418" s="1082"/>
      <c r="D418" s="1083" t="s">
        <v>159</v>
      </c>
      <c r="E418" s="1084"/>
      <c r="F418" s="1084"/>
      <c r="G418" s="1085"/>
      <c r="H418" s="1086" t="s">
        <v>159</v>
      </c>
      <c r="I418" s="1087"/>
      <c r="J418" s="1087"/>
      <c r="K418" s="1088"/>
      <c r="L418" s="1089" t="s">
        <v>159</v>
      </c>
      <c r="M418" s="1090"/>
      <c r="N418" s="1091"/>
      <c r="O418" s="1092" t="s">
        <v>159</v>
      </c>
      <c r="P418" s="1093"/>
      <c r="Q418" s="1094"/>
      <c r="R418" s="812"/>
      <c r="S418" s="1095"/>
      <c r="T418" s="813"/>
      <c r="U418" s="745"/>
      <c r="V418" s="940"/>
      <c r="W418" s="746"/>
      <c r="X418" s="312"/>
      <c r="Y418" s="308"/>
      <c r="Z418" s="312"/>
      <c r="AA418" s="308"/>
      <c r="AB418" s="312"/>
      <c r="AC418" s="308"/>
      <c r="AD418" s="312"/>
      <c r="AE418" s="308"/>
      <c r="AF418" s="312"/>
      <c r="AG418" s="308"/>
      <c r="AH418" s="312"/>
      <c r="AI418" s="308"/>
      <c r="AJ418" s="117"/>
      <c r="AK418" s="330"/>
      <c r="AL418" s="117"/>
      <c r="AM418" s="330"/>
      <c r="AN418" s="117"/>
      <c r="AO418" s="330"/>
      <c r="AP418" s="117"/>
      <c r="AQ418" s="330"/>
      <c r="AR418" s="117"/>
      <c r="AS418" s="1096" t="s">
        <v>159</v>
      </c>
      <c r="AT418" s="1097"/>
      <c r="AU418" s="1097"/>
      <c r="AV418" s="1097"/>
      <c r="AW418" s="1097"/>
      <c r="AX418" s="1097"/>
      <c r="AY418" s="1100"/>
      <c r="AZ418" s="257"/>
      <c r="BA418" s="257"/>
      <c r="BB418" s="1059" t="s">
        <v>162</v>
      </c>
      <c r="BC418" s="1060"/>
      <c r="BD418" s="1061" t="s">
        <v>159</v>
      </c>
      <c r="BE418" s="1061"/>
      <c r="BF418" s="1061"/>
      <c r="BG418" s="1062" t="s">
        <v>159</v>
      </c>
      <c r="BH418" s="1063"/>
      <c r="BI418" s="1063"/>
      <c r="BJ418" s="1064"/>
      <c r="BK418" s="1065"/>
      <c r="BL418" s="1066"/>
      <c r="BM418" s="1067"/>
      <c r="BN418" s="259"/>
      <c r="BO418" s="259"/>
      <c r="BP418" s="1062"/>
      <c r="BQ418" s="1063"/>
      <c r="BR418" s="1064"/>
      <c r="BS418" s="1061" t="s">
        <v>159</v>
      </c>
      <c r="BT418" s="1061"/>
      <c r="BU418" s="1061"/>
    </row>
    <row r="419" spans="1:73" ht="30" customHeight="1" x14ac:dyDescent="0.25">
      <c r="A419" s="199">
        <f t="shared" si="6"/>
        <v>405</v>
      </c>
      <c r="B419" s="1081" t="s">
        <v>162</v>
      </c>
      <c r="C419" s="1082"/>
      <c r="D419" s="1083" t="s">
        <v>159</v>
      </c>
      <c r="E419" s="1084"/>
      <c r="F419" s="1084"/>
      <c r="G419" s="1085"/>
      <c r="H419" s="1086" t="s">
        <v>159</v>
      </c>
      <c r="I419" s="1087"/>
      <c r="J419" s="1087"/>
      <c r="K419" s="1088"/>
      <c r="L419" s="1089" t="s">
        <v>159</v>
      </c>
      <c r="M419" s="1090"/>
      <c r="N419" s="1091"/>
      <c r="O419" s="1092" t="s">
        <v>159</v>
      </c>
      <c r="P419" s="1093"/>
      <c r="Q419" s="1094"/>
      <c r="R419" s="812"/>
      <c r="S419" s="1095"/>
      <c r="T419" s="813"/>
      <c r="U419" s="745"/>
      <c r="V419" s="940"/>
      <c r="W419" s="746"/>
      <c r="X419" s="312"/>
      <c r="Y419" s="308"/>
      <c r="Z419" s="312"/>
      <c r="AA419" s="308"/>
      <c r="AB419" s="312"/>
      <c r="AC419" s="308"/>
      <c r="AD419" s="312"/>
      <c r="AE419" s="308"/>
      <c r="AF419" s="312"/>
      <c r="AG419" s="308"/>
      <c r="AH419" s="312"/>
      <c r="AI419" s="308"/>
      <c r="AJ419" s="117"/>
      <c r="AK419" s="330"/>
      <c r="AL419" s="117"/>
      <c r="AM419" s="330"/>
      <c r="AN419" s="117"/>
      <c r="AO419" s="330"/>
      <c r="AP419" s="117"/>
      <c r="AQ419" s="330"/>
      <c r="AR419" s="117"/>
      <c r="AS419" s="1096" t="s">
        <v>159</v>
      </c>
      <c r="AT419" s="1097"/>
      <c r="AU419" s="1097"/>
      <c r="AV419" s="1097"/>
      <c r="AW419" s="1097"/>
      <c r="AX419" s="1097"/>
      <c r="AY419" s="1100"/>
      <c r="AZ419" s="257"/>
      <c r="BA419" s="257"/>
      <c r="BB419" s="1059" t="s">
        <v>162</v>
      </c>
      <c r="BC419" s="1060"/>
      <c r="BD419" s="1061" t="s">
        <v>159</v>
      </c>
      <c r="BE419" s="1061"/>
      <c r="BF419" s="1061"/>
      <c r="BG419" s="1062" t="s">
        <v>159</v>
      </c>
      <c r="BH419" s="1063"/>
      <c r="BI419" s="1063"/>
      <c r="BJ419" s="1064"/>
      <c r="BK419" s="1065"/>
      <c r="BL419" s="1066"/>
      <c r="BM419" s="1067"/>
      <c r="BN419" s="259"/>
      <c r="BO419" s="259"/>
      <c r="BP419" s="1062"/>
      <c r="BQ419" s="1063"/>
      <c r="BR419" s="1064"/>
      <c r="BS419" s="1061" t="s">
        <v>159</v>
      </c>
      <c r="BT419" s="1061"/>
      <c r="BU419" s="1061"/>
    </row>
    <row r="420" spans="1:73" ht="30" customHeight="1" x14ac:dyDescent="0.25">
      <c r="A420" s="199">
        <f t="shared" si="6"/>
        <v>406</v>
      </c>
      <c r="B420" s="1081" t="s">
        <v>162</v>
      </c>
      <c r="C420" s="1082"/>
      <c r="D420" s="1083" t="s">
        <v>159</v>
      </c>
      <c r="E420" s="1084"/>
      <c r="F420" s="1084"/>
      <c r="G420" s="1085"/>
      <c r="H420" s="1086" t="s">
        <v>159</v>
      </c>
      <c r="I420" s="1087"/>
      <c r="J420" s="1087"/>
      <c r="K420" s="1088"/>
      <c r="L420" s="1089" t="s">
        <v>159</v>
      </c>
      <c r="M420" s="1090"/>
      <c r="N420" s="1091"/>
      <c r="O420" s="1092" t="s">
        <v>159</v>
      </c>
      <c r="P420" s="1093"/>
      <c r="Q420" s="1094"/>
      <c r="R420" s="812"/>
      <c r="S420" s="1095"/>
      <c r="T420" s="813"/>
      <c r="U420" s="745"/>
      <c r="V420" s="940"/>
      <c r="W420" s="746"/>
      <c r="X420" s="312"/>
      <c r="Y420" s="308"/>
      <c r="Z420" s="312"/>
      <c r="AA420" s="308"/>
      <c r="AB420" s="312"/>
      <c r="AC420" s="308"/>
      <c r="AD420" s="312"/>
      <c r="AE420" s="308"/>
      <c r="AF420" s="312"/>
      <c r="AG420" s="308"/>
      <c r="AH420" s="312"/>
      <c r="AI420" s="308"/>
      <c r="AJ420" s="117"/>
      <c r="AK420" s="330"/>
      <c r="AL420" s="117"/>
      <c r="AM420" s="330"/>
      <c r="AN420" s="117"/>
      <c r="AO420" s="330"/>
      <c r="AP420" s="117"/>
      <c r="AQ420" s="330"/>
      <c r="AR420" s="117"/>
      <c r="AS420" s="1096" t="s">
        <v>159</v>
      </c>
      <c r="AT420" s="1097"/>
      <c r="AU420" s="1097"/>
      <c r="AV420" s="1097"/>
      <c r="AW420" s="1097"/>
      <c r="AX420" s="1097"/>
      <c r="AY420" s="1100"/>
      <c r="AZ420" s="257"/>
      <c r="BA420" s="257"/>
      <c r="BB420" s="1059" t="s">
        <v>162</v>
      </c>
      <c r="BC420" s="1060"/>
      <c r="BD420" s="1061" t="s">
        <v>159</v>
      </c>
      <c r="BE420" s="1061"/>
      <c r="BF420" s="1061"/>
      <c r="BG420" s="1062" t="s">
        <v>159</v>
      </c>
      <c r="BH420" s="1063"/>
      <c r="BI420" s="1063"/>
      <c r="BJ420" s="1064"/>
      <c r="BK420" s="1065"/>
      <c r="BL420" s="1066"/>
      <c r="BM420" s="1067"/>
      <c r="BN420" s="259"/>
      <c r="BO420" s="259"/>
      <c r="BP420" s="1062"/>
      <c r="BQ420" s="1063"/>
      <c r="BR420" s="1064"/>
      <c r="BS420" s="1061" t="s">
        <v>159</v>
      </c>
      <c r="BT420" s="1061"/>
      <c r="BU420" s="1061"/>
    </row>
    <row r="421" spans="1:73" ht="30" customHeight="1" x14ac:dyDescent="0.25">
      <c r="A421" s="199">
        <f t="shared" si="6"/>
        <v>407</v>
      </c>
      <c r="B421" s="1081" t="s">
        <v>162</v>
      </c>
      <c r="C421" s="1082"/>
      <c r="D421" s="1083" t="s">
        <v>159</v>
      </c>
      <c r="E421" s="1084"/>
      <c r="F421" s="1084"/>
      <c r="G421" s="1085"/>
      <c r="H421" s="1086" t="s">
        <v>159</v>
      </c>
      <c r="I421" s="1087"/>
      <c r="J421" s="1087"/>
      <c r="K421" s="1088"/>
      <c r="L421" s="1089" t="s">
        <v>159</v>
      </c>
      <c r="M421" s="1090"/>
      <c r="N421" s="1091"/>
      <c r="O421" s="1092" t="s">
        <v>159</v>
      </c>
      <c r="P421" s="1093"/>
      <c r="Q421" s="1094"/>
      <c r="R421" s="812"/>
      <c r="S421" s="1095"/>
      <c r="T421" s="813"/>
      <c r="U421" s="745"/>
      <c r="V421" s="940"/>
      <c r="W421" s="746"/>
      <c r="X421" s="312"/>
      <c r="Y421" s="308"/>
      <c r="Z421" s="312"/>
      <c r="AA421" s="308"/>
      <c r="AB421" s="312"/>
      <c r="AC421" s="308"/>
      <c r="AD421" s="312"/>
      <c r="AE421" s="308"/>
      <c r="AF421" s="312"/>
      <c r="AG421" s="308"/>
      <c r="AH421" s="312"/>
      <c r="AI421" s="308"/>
      <c r="AJ421" s="117"/>
      <c r="AK421" s="330"/>
      <c r="AL421" s="117"/>
      <c r="AM421" s="330"/>
      <c r="AN421" s="117"/>
      <c r="AO421" s="330"/>
      <c r="AP421" s="117"/>
      <c r="AQ421" s="330"/>
      <c r="AR421" s="117"/>
      <c r="AS421" s="1096" t="s">
        <v>159</v>
      </c>
      <c r="AT421" s="1097"/>
      <c r="AU421" s="1097"/>
      <c r="AV421" s="1097"/>
      <c r="AW421" s="1097"/>
      <c r="AX421" s="1097"/>
      <c r="AY421" s="1100"/>
      <c r="AZ421" s="257"/>
      <c r="BA421" s="257"/>
      <c r="BB421" s="1059" t="s">
        <v>162</v>
      </c>
      <c r="BC421" s="1060"/>
      <c r="BD421" s="1061" t="s">
        <v>159</v>
      </c>
      <c r="BE421" s="1061"/>
      <c r="BF421" s="1061"/>
      <c r="BG421" s="1062" t="s">
        <v>159</v>
      </c>
      <c r="BH421" s="1063"/>
      <c r="BI421" s="1063"/>
      <c r="BJ421" s="1064"/>
      <c r="BK421" s="1065"/>
      <c r="BL421" s="1066"/>
      <c r="BM421" s="1067"/>
      <c r="BN421" s="259"/>
      <c r="BO421" s="259"/>
      <c r="BP421" s="1062"/>
      <c r="BQ421" s="1063"/>
      <c r="BR421" s="1064"/>
      <c r="BS421" s="1061" t="s">
        <v>159</v>
      </c>
      <c r="BT421" s="1061"/>
      <c r="BU421" s="1061"/>
    </row>
    <row r="422" spans="1:73" ht="30" customHeight="1" x14ac:dyDescent="0.25">
      <c r="A422" s="199">
        <f t="shared" si="6"/>
        <v>408</v>
      </c>
      <c r="B422" s="1081" t="s">
        <v>162</v>
      </c>
      <c r="C422" s="1082"/>
      <c r="D422" s="1083" t="s">
        <v>159</v>
      </c>
      <c r="E422" s="1084"/>
      <c r="F422" s="1084"/>
      <c r="G422" s="1085"/>
      <c r="H422" s="1086" t="s">
        <v>159</v>
      </c>
      <c r="I422" s="1087"/>
      <c r="J422" s="1087"/>
      <c r="K422" s="1088"/>
      <c r="L422" s="1089" t="s">
        <v>159</v>
      </c>
      <c r="M422" s="1090"/>
      <c r="N422" s="1091"/>
      <c r="O422" s="1092" t="s">
        <v>159</v>
      </c>
      <c r="P422" s="1093"/>
      <c r="Q422" s="1094"/>
      <c r="R422" s="812"/>
      <c r="S422" s="1095"/>
      <c r="T422" s="813"/>
      <c r="U422" s="745"/>
      <c r="V422" s="940"/>
      <c r="W422" s="746"/>
      <c r="X422" s="312"/>
      <c r="Y422" s="308"/>
      <c r="Z422" s="312"/>
      <c r="AA422" s="308"/>
      <c r="AB422" s="312"/>
      <c r="AC422" s="308"/>
      <c r="AD422" s="312"/>
      <c r="AE422" s="308"/>
      <c r="AF422" s="312"/>
      <c r="AG422" s="308"/>
      <c r="AH422" s="312"/>
      <c r="AI422" s="308"/>
      <c r="AJ422" s="117"/>
      <c r="AK422" s="330"/>
      <c r="AL422" s="117"/>
      <c r="AM422" s="330"/>
      <c r="AN422" s="117"/>
      <c r="AO422" s="330"/>
      <c r="AP422" s="117"/>
      <c r="AQ422" s="330"/>
      <c r="AR422" s="117"/>
      <c r="AS422" s="1096" t="s">
        <v>159</v>
      </c>
      <c r="AT422" s="1097"/>
      <c r="AU422" s="1097"/>
      <c r="AV422" s="1097"/>
      <c r="AW422" s="1097"/>
      <c r="AX422" s="1097"/>
      <c r="AY422" s="1100"/>
      <c r="AZ422" s="257"/>
      <c r="BA422" s="257"/>
      <c r="BB422" s="1059" t="s">
        <v>162</v>
      </c>
      <c r="BC422" s="1060"/>
      <c r="BD422" s="1061" t="s">
        <v>159</v>
      </c>
      <c r="BE422" s="1061"/>
      <c r="BF422" s="1061"/>
      <c r="BG422" s="1062" t="s">
        <v>159</v>
      </c>
      <c r="BH422" s="1063"/>
      <c r="BI422" s="1063"/>
      <c r="BJ422" s="1064"/>
      <c r="BK422" s="1065"/>
      <c r="BL422" s="1066"/>
      <c r="BM422" s="1067"/>
      <c r="BN422" s="259"/>
      <c r="BO422" s="259"/>
      <c r="BP422" s="1062"/>
      <c r="BQ422" s="1063"/>
      <c r="BR422" s="1064"/>
      <c r="BS422" s="1061" t="s">
        <v>159</v>
      </c>
      <c r="BT422" s="1061"/>
      <c r="BU422" s="1061"/>
    </row>
    <row r="423" spans="1:73" ht="30" customHeight="1" x14ac:dyDescent="0.25">
      <c r="A423" s="199">
        <f t="shared" si="6"/>
        <v>409</v>
      </c>
      <c r="B423" s="1081" t="s">
        <v>162</v>
      </c>
      <c r="C423" s="1082"/>
      <c r="D423" s="1083" t="s">
        <v>159</v>
      </c>
      <c r="E423" s="1084"/>
      <c r="F423" s="1084"/>
      <c r="G423" s="1085"/>
      <c r="H423" s="1086" t="s">
        <v>159</v>
      </c>
      <c r="I423" s="1087"/>
      <c r="J423" s="1087"/>
      <c r="K423" s="1088"/>
      <c r="L423" s="1089" t="s">
        <v>159</v>
      </c>
      <c r="M423" s="1090"/>
      <c r="N423" s="1091"/>
      <c r="O423" s="1092" t="s">
        <v>159</v>
      </c>
      <c r="P423" s="1093"/>
      <c r="Q423" s="1094"/>
      <c r="R423" s="812"/>
      <c r="S423" s="1095"/>
      <c r="T423" s="813"/>
      <c r="U423" s="745"/>
      <c r="V423" s="940"/>
      <c r="W423" s="746"/>
      <c r="X423" s="312"/>
      <c r="Y423" s="308"/>
      <c r="Z423" s="312"/>
      <c r="AA423" s="308"/>
      <c r="AB423" s="312"/>
      <c r="AC423" s="308"/>
      <c r="AD423" s="312"/>
      <c r="AE423" s="308"/>
      <c r="AF423" s="312"/>
      <c r="AG423" s="308"/>
      <c r="AH423" s="312"/>
      <c r="AI423" s="308"/>
      <c r="AJ423" s="117"/>
      <c r="AK423" s="330"/>
      <c r="AL423" s="117"/>
      <c r="AM423" s="330"/>
      <c r="AN423" s="117"/>
      <c r="AO423" s="330"/>
      <c r="AP423" s="117"/>
      <c r="AQ423" s="330"/>
      <c r="AR423" s="117"/>
      <c r="AS423" s="1096" t="s">
        <v>159</v>
      </c>
      <c r="AT423" s="1097"/>
      <c r="AU423" s="1097"/>
      <c r="AV423" s="1097"/>
      <c r="AW423" s="1097"/>
      <c r="AX423" s="1097"/>
      <c r="AY423" s="1100"/>
      <c r="AZ423" s="257"/>
      <c r="BA423" s="257"/>
      <c r="BB423" s="1059" t="s">
        <v>162</v>
      </c>
      <c r="BC423" s="1060"/>
      <c r="BD423" s="1061" t="s">
        <v>159</v>
      </c>
      <c r="BE423" s="1061"/>
      <c r="BF423" s="1061"/>
      <c r="BG423" s="1062" t="s">
        <v>159</v>
      </c>
      <c r="BH423" s="1063"/>
      <c r="BI423" s="1063"/>
      <c r="BJ423" s="1064"/>
      <c r="BK423" s="1065"/>
      <c r="BL423" s="1066"/>
      <c r="BM423" s="1067"/>
      <c r="BN423" s="259"/>
      <c r="BO423" s="259"/>
      <c r="BP423" s="1062"/>
      <c r="BQ423" s="1063"/>
      <c r="BR423" s="1064"/>
      <c r="BS423" s="1061" t="s">
        <v>159</v>
      </c>
      <c r="BT423" s="1061"/>
      <c r="BU423" s="1061"/>
    </row>
    <row r="424" spans="1:73" ht="30" customHeight="1" x14ac:dyDescent="0.25">
      <c r="A424" s="199">
        <f t="shared" si="6"/>
        <v>410</v>
      </c>
      <c r="B424" s="1081" t="s">
        <v>162</v>
      </c>
      <c r="C424" s="1082"/>
      <c r="D424" s="1083" t="s">
        <v>159</v>
      </c>
      <c r="E424" s="1084"/>
      <c r="F424" s="1084"/>
      <c r="G424" s="1085"/>
      <c r="H424" s="1086" t="s">
        <v>159</v>
      </c>
      <c r="I424" s="1087"/>
      <c r="J424" s="1087"/>
      <c r="K424" s="1088"/>
      <c r="L424" s="1089" t="s">
        <v>159</v>
      </c>
      <c r="M424" s="1090"/>
      <c r="N424" s="1091"/>
      <c r="O424" s="1092" t="s">
        <v>159</v>
      </c>
      <c r="P424" s="1093"/>
      <c r="Q424" s="1094"/>
      <c r="R424" s="812"/>
      <c r="S424" s="1095"/>
      <c r="T424" s="813"/>
      <c r="U424" s="745"/>
      <c r="V424" s="940"/>
      <c r="W424" s="746"/>
      <c r="X424" s="312"/>
      <c r="Y424" s="308"/>
      <c r="Z424" s="312"/>
      <c r="AA424" s="308"/>
      <c r="AB424" s="312"/>
      <c r="AC424" s="308"/>
      <c r="AD424" s="312"/>
      <c r="AE424" s="308"/>
      <c r="AF424" s="312"/>
      <c r="AG424" s="308"/>
      <c r="AH424" s="312"/>
      <c r="AI424" s="308"/>
      <c r="AJ424" s="117"/>
      <c r="AK424" s="330"/>
      <c r="AL424" s="117"/>
      <c r="AM424" s="330"/>
      <c r="AN424" s="117"/>
      <c r="AO424" s="330"/>
      <c r="AP424" s="117"/>
      <c r="AQ424" s="330"/>
      <c r="AR424" s="117"/>
      <c r="AS424" s="1096" t="s">
        <v>159</v>
      </c>
      <c r="AT424" s="1097"/>
      <c r="AU424" s="1097"/>
      <c r="AV424" s="1097"/>
      <c r="AW424" s="1097"/>
      <c r="AX424" s="1097"/>
      <c r="AY424" s="1100"/>
      <c r="AZ424" s="257"/>
      <c r="BA424" s="257"/>
      <c r="BB424" s="1059" t="s">
        <v>162</v>
      </c>
      <c r="BC424" s="1060"/>
      <c r="BD424" s="1061" t="s">
        <v>159</v>
      </c>
      <c r="BE424" s="1061"/>
      <c r="BF424" s="1061"/>
      <c r="BG424" s="1062" t="s">
        <v>159</v>
      </c>
      <c r="BH424" s="1063"/>
      <c r="BI424" s="1063"/>
      <c r="BJ424" s="1064"/>
      <c r="BK424" s="1065"/>
      <c r="BL424" s="1066"/>
      <c r="BM424" s="1067"/>
      <c r="BN424" s="259"/>
      <c r="BO424" s="259"/>
      <c r="BP424" s="1062"/>
      <c r="BQ424" s="1063"/>
      <c r="BR424" s="1064"/>
      <c r="BS424" s="1061" t="s">
        <v>159</v>
      </c>
      <c r="BT424" s="1061"/>
      <c r="BU424" s="1061"/>
    </row>
    <row r="425" spans="1:73" ht="30" customHeight="1" x14ac:dyDescent="0.25">
      <c r="A425" s="199">
        <f t="shared" si="6"/>
        <v>411</v>
      </c>
      <c r="B425" s="1081" t="s">
        <v>162</v>
      </c>
      <c r="C425" s="1082"/>
      <c r="D425" s="1083" t="s">
        <v>159</v>
      </c>
      <c r="E425" s="1084"/>
      <c r="F425" s="1084"/>
      <c r="G425" s="1085"/>
      <c r="H425" s="1086" t="s">
        <v>159</v>
      </c>
      <c r="I425" s="1087"/>
      <c r="J425" s="1087"/>
      <c r="K425" s="1088"/>
      <c r="L425" s="1089" t="s">
        <v>159</v>
      </c>
      <c r="M425" s="1090"/>
      <c r="N425" s="1091"/>
      <c r="O425" s="1092" t="s">
        <v>159</v>
      </c>
      <c r="P425" s="1093"/>
      <c r="Q425" s="1094"/>
      <c r="R425" s="812"/>
      <c r="S425" s="1095"/>
      <c r="T425" s="813"/>
      <c r="U425" s="745"/>
      <c r="V425" s="940"/>
      <c r="W425" s="746"/>
      <c r="X425" s="312"/>
      <c r="Y425" s="308"/>
      <c r="Z425" s="312"/>
      <c r="AA425" s="308"/>
      <c r="AB425" s="312"/>
      <c r="AC425" s="308"/>
      <c r="AD425" s="312"/>
      <c r="AE425" s="308"/>
      <c r="AF425" s="312"/>
      <c r="AG425" s="308"/>
      <c r="AH425" s="312"/>
      <c r="AI425" s="308"/>
      <c r="AJ425" s="117"/>
      <c r="AK425" s="330"/>
      <c r="AL425" s="117"/>
      <c r="AM425" s="330"/>
      <c r="AN425" s="117"/>
      <c r="AO425" s="330"/>
      <c r="AP425" s="117"/>
      <c r="AQ425" s="330"/>
      <c r="AR425" s="117"/>
      <c r="AS425" s="1096" t="s">
        <v>159</v>
      </c>
      <c r="AT425" s="1097"/>
      <c r="AU425" s="1097"/>
      <c r="AV425" s="1097"/>
      <c r="AW425" s="1097"/>
      <c r="AX425" s="1097"/>
      <c r="AY425" s="1100"/>
      <c r="AZ425" s="257"/>
      <c r="BA425" s="257"/>
      <c r="BB425" s="1059" t="s">
        <v>162</v>
      </c>
      <c r="BC425" s="1060"/>
      <c r="BD425" s="1061" t="s">
        <v>159</v>
      </c>
      <c r="BE425" s="1061"/>
      <c r="BF425" s="1061"/>
      <c r="BG425" s="1062" t="s">
        <v>159</v>
      </c>
      <c r="BH425" s="1063"/>
      <c r="BI425" s="1063"/>
      <c r="BJ425" s="1064"/>
      <c r="BK425" s="1065"/>
      <c r="BL425" s="1066"/>
      <c r="BM425" s="1067"/>
      <c r="BN425" s="259"/>
      <c r="BO425" s="259"/>
      <c r="BP425" s="1062"/>
      <c r="BQ425" s="1063"/>
      <c r="BR425" s="1064"/>
      <c r="BS425" s="1061" t="s">
        <v>159</v>
      </c>
      <c r="BT425" s="1061"/>
      <c r="BU425" s="1061"/>
    </row>
    <row r="426" spans="1:73" ht="30" customHeight="1" x14ac:dyDescent="0.25">
      <c r="A426" s="199">
        <f t="shared" si="6"/>
        <v>412</v>
      </c>
      <c r="B426" s="1081" t="s">
        <v>162</v>
      </c>
      <c r="C426" s="1082"/>
      <c r="D426" s="1083" t="s">
        <v>159</v>
      </c>
      <c r="E426" s="1084"/>
      <c r="F426" s="1084"/>
      <c r="G426" s="1085"/>
      <c r="H426" s="1086" t="s">
        <v>159</v>
      </c>
      <c r="I426" s="1087"/>
      <c r="J426" s="1087"/>
      <c r="K426" s="1088"/>
      <c r="L426" s="1089" t="s">
        <v>159</v>
      </c>
      <c r="M426" s="1090"/>
      <c r="N426" s="1091"/>
      <c r="O426" s="1092" t="s">
        <v>159</v>
      </c>
      <c r="P426" s="1093"/>
      <c r="Q426" s="1094"/>
      <c r="R426" s="812"/>
      <c r="S426" s="1095"/>
      <c r="T426" s="813"/>
      <c r="U426" s="745"/>
      <c r="V426" s="940"/>
      <c r="W426" s="746"/>
      <c r="X426" s="312"/>
      <c r="Y426" s="308"/>
      <c r="Z426" s="312"/>
      <c r="AA426" s="308"/>
      <c r="AB426" s="312"/>
      <c r="AC426" s="308"/>
      <c r="AD426" s="312"/>
      <c r="AE426" s="308"/>
      <c r="AF426" s="312"/>
      <c r="AG426" s="308"/>
      <c r="AH426" s="312"/>
      <c r="AI426" s="308"/>
      <c r="AJ426" s="117"/>
      <c r="AK426" s="330"/>
      <c r="AL426" s="117"/>
      <c r="AM426" s="330"/>
      <c r="AN426" s="117"/>
      <c r="AO426" s="330"/>
      <c r="AP426" s="117"/>
      <c r="AQ426" s="330"/>
      <c r="AR426" s="117"/>
      <c r="AS426" s="1096" t="s">
        <v>159</v>
      </c>
      <c r="AT426" s="1097"/>
      <c r="AU426" s="1097"/>
      <c r="AV426" s="1097"/>
      <c r="AW426" s="1097"/>
      <c r="AX426" s="1097"/>
      <c r="AY426" s="1100"/>
      <c r="AZ426" s="257"/>
      <c r="BA426" s="257"/>
      <c r="BB426" s="1059" t="s">
        <v>162</v>
      </c>
      <c r="BC426" s="1060"/>
      <c r="BD426" s="1061" t="s">
        <v>159</v>
      </c>
      <c r="BE426" s="1061"/>
      <c r="BF426" s="1061"/>
      <c r="BG426" s="1062" t="s">
        <v>159</v>
      </c>
      <c r="BH426" s="1063"/>
      <c r="BI426" s="1063"/>
      <c r="BJ426" s="1064"/>
      <c r="BK426" s="1065"/>
      <c r="BL426" s="1066"/>
      <c r="BM426" s="1067"/>
      <c r="BN426" s="259"/>
      <c r="BO426" s="259"/>
      <c r="BP426" s="1062"/>
      <c r="BQ426" s="1063"/>
      <c r="BR426" s="1064"/>
      <c r="BS426" s="1061" t="s">
        <v>159</v>
      </c>
      <c r="BT426" s="1061"/>
      <c r="BU426" s="1061"/>
    </row>
    <row r="427" spans="1:73" ht="30" customHeight="1" x14ac:dyDescent="0.25">
      <c r="A427" s="199">
        <f t="shared" si="6"/>
        <v>413</v>
      </c>
      <c r="B427" s="1081" t="s">
        <v>162</v>
      </c>
      <c r="C427" s="1082"/>
      <c r="D427" s="1083" t="s">
        <v>159</v>
      </c>
      <c r="E427" s="1084"/>
      <c r="F427" s="1084"/>
      <c r="G427" s="1085"/>
      <c r="H427" s="1086" t="s">
        <v>159</v>
      </c>
      <c r="I427" s="1087"/>
      <c r="J427" s="1087"/>
      <c r="K427" s="1088"/>
      <c r="L427" s="1089" t="s">
        <v>159</v>
      </c>
      <c r="M427" s="1090"/>
      <c r="N427" s="1091"/>
      <c r="O427" s="1092" t="s">
        <v>159</v>
      </c>
      <c r="P427" s="1093"/>
      <c r="Q427" s="1094"/>
      <c r="R427" s="812"/>
      <c r="S427" s="1095"/>
      <c r="T427" s="813"/>
      <c r="U427" s="745"/>
      <c r="V427" s="940"/>
      <c r="W427" s="746"/>
      <c r="X427" s="312"/>
      <c r="Y427" s="308"/>
      <c r="Z427" s="312"/>
      <c r="AA427" s="308"/>
      <c r="AB427" s="312"/>
      <c r="AC427" s="308"/>
      <c r="AD427" s="312"/>
      <c r="AE427" s="308"/>
      <c r="AF427" s="312"/>
      <c r="AG427" s="308"/>
      <c r="AH427" s="312"/>
      <c r="AI427" s="308"/>
      <c r="AJ427" s="117"/>
      <c r="AK427" s="330"/>
      <c r="AL427" s="117"/>
      <c r="AM427" s="330"/>
      <c r="AN427" s="117"/>
      <c r="AO427" s="330"/>
      <c r="AP427" s="117"/>
      <c r="AQ427" s="330"/>
      <c r="AR427" s="117"/>
      <c r="AS427" s="1096" t="s">
        <v>159</v>
      </c>
      <c r="AT427" s="1097"/>
      <c r="AU427" s="1097"/>
      <c r="AV427" s="1097"/>
      <c r="AW427" s="1097"/>
      <c r="AX427" s="1097"/>
      <c r="AY427" s="1100"/>
      <c r="AZ427" s="257"/>
      <c r="BA427" s="257"/>
      <c r="BB427" s="1059" t="s">
        <v>162</v>
      </c>
      <c r="BC427" s="1060"/>
      <c r="BD427" s="1061" t="s">
        <v>159</v>
      </c>
      <c r="BE427" s="1061"/>
      <c r="BF427" s="1061"/>
      <c r="BG427" s="1062" t="s">
        <v>159</v>
      </c>
      <c r="BH427" s="1063"/>
      <c r="BI427" s="1063"/>
      <c r="BJ427" s="1064"/>
      <c r="BK427" s="1065"/>
      <c r="BL427" s="1066"/>
      <c r="BM427" s="1067"/>
      <c r="BN427" s="259"/>
      <c r="BO427" s="259"/>
      <c r="BP427" s="1062"/>
      <c r="BQ427" s="1063"/>
      <c r="BR427" s="1064"/>
      <c r="BS427" s="1061" t="s">
        <v>159</v>
      </c>
      <c r="BT427" s="1061"/>
      <c r="BU427" s="1061"/>
    </row>
    <row r="428" spans="1:73" ht="30" customHeight="1" x14ac:dyDescent="0.25">
      <c r="A428" s="199">
        <f t="shared" si="6"/>
        <v>414</v>
      </c>
      <c r="B428" s="1081" t="s">
        <v>162</v>
      </c>
      <c r="C428" s="1082"/>
      <c r="D428" s="1083" t="s">
        <v>159</v>
      </c>
      <c r="E428" s="1084"/>
      <c r="F428" s="1084"/>
      <c r="G428" s="1085"/>
      <c r="H428" s="1086" t="s">
        <v>159</v>
      </c>
      <c r="I428" s="1087"/>
      <c r="J428" s="1087"/>
      <c r="K428" s="1088"/>
      <c r="L428" s="1089" t="s">
        <v>159</v>
      </c>
      <c r="M428" s="1090"/>
      <c r="N428" s="1091"/>
      <c r="O428" s="1092" t="s">
        <v>159</v>
      </c>
      <c r="P428" s="1093"/>
      <c r="Q428" s="1094"/>
      <c r="R428" s="812"/>
      <c r="S428" s="1095"/>
      <c r="T428" s="813"/>
      <c r="U428" s="745"/>
      <c r="V428" s="940"/>
      <c r="W428" s="746"/>
      <c r="X428" s="312"/>
      <c r="Y428" s="308"/>
      <c r="Z428" s="312"/>
      <c r="AA428" s="308"/>
      <c r="AB428" s="312"/>
      <c r="AC428" s="308"/>
      <c r="AD428" s="312"/>
      <c r="AE428" s="308"/>
      <c r="AF428" s="312"/>
      <c r="AG428" s="308"/>
      <c r="AH428" s="312"/>
      <c r="AI428" s="308"/>
      <c r="AJ428" s="117"/>
      <c r="AK428" s="330"/>
      <c r="AL428" s="117"/>
      <c r="AM428" s="330"/>
      <c r="AN428" s="117"/>
      <c r="AO428" s="330"/>
      <c r="AP428" s="117"/>
      <c r="AQ428" s="330"/>
      <c r="AR428" s="117"/>
      <c r="AS428" s="1096" t="s">
        <v>159</v>
      </c>
      <c r="AT428" s="1097"/>
      <c r="AU428" s="1097"/>
      <c r="AV428" s="1097"/>
      <c r="AW428" s="1097"/>
      <c r="AX428" s="1097"/>
      <c r="AY428" s="1100"/>
      <c r="AZ428" s="257"/>
      <c r="BA428" s="257"/>
      <c r="BB428" s="1059" t="s">
        <v>162</v>
      </c>
      <c r="BC428" s="1060"/>
      <c r="BD428" s="1061" t="s">
        <v>159</v>
      </c>
      <c r="BE428" s="1061"/>
      <c r="BF428" s="1061"/>
      <c r="BG428" s="1062" t="s">
        <v>159</v>
      </c>
      <c r="BH428" s="1063"/>
      <c r="BI428" s="1063"/>
      <c r="BJ428" s="1064"/>
      <c r="BK428" s="1065"/>
      <c r="BL428" s="1066"/>
      <c r="BM428" s="1067"/>
      <c r="BN428" s="259"/>
      <c r="BO428" s="259"/>
      <c r="BP428" s="1062"/>
      <c r="BQ428" s="1063"/>
      <c r="BR428" s="1064"/>
      <c r="BS428" s="1061" t="s">
        <v>159</v>
      </c>
      <c r="BT428" s="1061"/>
      <c r="BU428" s="1061"/>
    </row>
    <row r="429" spans="1:73" ht="30" customHeight="1" x14ac:dyDescent="0.25">
      <c r="A429" s="199">
        <f t="shared" si="6"/>
        <v>415</v>
      </c>
      <c r="B429" s="1081" t="s">
        <v>162</v>
      </c>
      <c r="C429" s="1082"/>
      <c r="D429" s="1083" t="s">
        <v>159</v>
      </c>
      <c r="E429" s="1084"/>
      <c r="F429" s="1084"/>
      <c r="G429" s="1085"/>
      <c r="H429" s="1086" t="s">
        <v>159</v>
      </c>
      <c r="I429" s="1087"/>
      <c r="J429" s="1087"/>
      <c r="K429" s="1088"/>
      <c r="L429" s="1089" t="s">
        <v>159</v>
      </c>
      <c r="M429" s="1090"/>
      <c r="N429" s="1091"/>
      <c r="O429" s="1092" t="s">
        <v>159</v>
      </c>
      <c r="P429" s="1093"/>
      <c r="Q429" s="1094"/>
      <c r="R429" s="812"/>
      <c r="S429" s="1095"/>
      <c r="T429" s="813"/>
      <c r="U429" s="745"/>
      <c r="V429" s="940"/>
      <c r="W429" s="746"/>
      <c r="X429" s="312"/>
      <c r="Y429" s="308"/>
      <c r="Z429" s="312"/>
      <c r="AA429" s="308"/>
      <c r="AB429" s="312"/>
      <c r="AC429" s="308"/>
      <c r="AD429" s="312"/>
      <c r="AE429" s="308"/>
      <c r="AF429" s="312"/>
      <c r="AG429" s="308"/>
      <c r="AH429" s="312"/>
      <c r="AI429" s="308"/>
      <c r="AJ429" s="117"/>
      <c r="AK429" s="330"/>
      <c r="AL429" s="117"/>
      <c r="AM429" s="330"/>
      <c r="AN429" s="117"/>
      <c r="AO429" s="330"/>
      <c r="AP429" s="117"/>
      <c r="AQ429" s="330"/>
      <c r="AR429" s="117"/>
      <c r="AS429" s="1096" t="s">
        <v>159</v>
      </c>
      <c r="AT429" s="1097"/>
      <c r="AU429" s="1097"/>
      <c r="AV429" s="1097"/>
      <c r="AW429" s="1097"/>
      <c r="AX429" s="1097"/>
      <c r="AY429" s="1100"/>
      <c r="AZ429" s="257"/>
      <c r="BA429" s="257"/>
      <c r="BB429" s="1059" t="s">
        <v>162</v>
      </c>
      <c r="BC429" s="1060"/>
      <c r="BD429" s="1061" t="s">
        <v>159</v>
      </c>
      <c r="BE429" s="1061"/>
      <c r="BF429" s="1061"/>
      <c r="BG429" s="1062" t="s">
        <v>159</v>
      </c>
      <c r="BH429" s="1063"/>
      <c r="BI429" s="1063"/>
      <c r="BJ429" s="1064"/>
      <c r="BK429" s="1065"/>
      <c r="BL429" s="1066"/>
      <c r="BM429" s="1067"/>
      <c r="BN429" s="259"/>
      <c r="BO429" s="259"/>
      <c r="BP429" s="1062"/>
      <c r="BQ429" s="1063"/>
      <c r="BR429" s="1064"/>
      <c r="BS429" s="1061" t="s">
        <v>159</v>
      </c>
      <c r="BT429" s="1061"/>
      <c r="BU429" s="1061"/>
    </row>
    <row r="430" spans="1:73" ht="30" customHeight="1" x14ac:dyDescent="0.25">
      <c r="A430" s="199">
        <f t="shared" si="6"/>
        <v>416</v>
      </c>
      <c r="B430" s="1081" t="s">
        <v>162</v>
      </c>
      <c r="C430" s="1082"/>
      <c r="D430" s="1083" t="s">
        <v>159</v>
      </c>
      <c r="E430" s="1084"/>
      <c r="F430" s="1084"/>
      <c r="G430" s="1085"/>
      <c r="H430" s="1086" t="s">
        <v>159</v>
      </c>
      <c r="I430" s="1087"/>
      <c r="J430" s="1087"/>
      <c r="K430" s="1088"/>
      <c r="L430" s="1089" t="s">
        <v>159</v>
      </c>
      <c r="M430" s="1090"/>
      <c r="N430" s="1091"/>
      <c r="O430" s="1092" t="s">
        <v>159</v>
      </c>
      <c r="P430" s="1093"/>
      <c r="Q430" s="1094"/>
      <c r="R430" s="812"/>
      <c r="S430" s="1095"/>
      <c r="T430" s="813"/>
      <c r="U430" s="745"/>
      <c r="V430" s="940"/>
      <c r="W430" s="746"/>
      <c r="X430" s="312"/>
      <c r="Y430" s="308"/>
      <c r="Z430" s="312"/>
      <c r="AA430" s="308"/>
      <c r="AB430" s="312"/>
      <c r="AC430" s="308"/>
      <c r="AD430" s="312"/>
      <c r="AE430" s="308"/>
      <c r="AF430" s="312"/>
      <c r="AG430" s="308"/>
      <c r="AH430" s="312"/>
      <c r="AI430" s="308"/>
      <c r="AJ430" s="117"/>
      <c r="AK430" s="330"/>
      <c r="AL430" s="117"/>
      <c r="AM430" s="330"/>
      <c r="AN430" s="117"/>
      <c r="AO430" s="330"/>
      <c r="AP430" s="117"/>
      <c r="AQ430" s="330"/>
      <c r="AR430" s="117"/>
      <c r="AS430" s="1096" t="s">
        <v>159</v>
      </c>
      <c r="AT430" s="1097"/>
      <c r="AU430" s="1097"/>
      <c r="AV430" s="1097"/>
      <c r="AW430" s="1097"/>
      <c r="AX430" s="1097"/>
      <c r="AY430" s="1100"/>
      <c r="AZ430" s="257"/>
      <c r="BA430" s="257"/>
      <c r="BB430" s="1059" t="s">
        <v>162</v>
      </c>
      <c r="BC430" s="1060"/>
      <c r="BD430" s="1061" t="s">
        <v>159</v>
      </c>
      <c r="BE430" s="1061"/>
      <c r="BF430" s="1061"/>
      <c r="BG430" s="1062" t="s">
        <v>159</v>
      </c>
      <c r="BH430" s="1063"/>
      <c r="BI430" s="1063"/>
      <c r="BJ430" s="1064"/>
      <c r="BK430" s="1065"/>
      <c r="BL430" s="1066"/>
      <c r="BM430" s="1067"/>
      <c r="BN430" s="259"/>
      <c r="BO430" s="259"/>
      <c r="BP430" s="1062"/>
      <c r="BQ430" s="1063"/>
      <c r="BR430" s="1064"/>
      <c r="BS430" s="1061" t="s">
        <v>159</v>
      </c>
      <c r="BT430" s="1061"/>
      <c r="BU430" s="1061"/>
    </row>
    <row r="431" spans="1:73" ht="30" customHeight="1" x14ac:dyDescent="0.25">
      <c r="A431" s="199">
        <f t="shared" si="6"/>
        <v>417</v>
      </c>
      <c r="B431" s="1081" t="s">
        <v>162</v>
      </c>
      <c r="C431" s="1082"/>
      <c r="D431" s="1083" t="s">
        <v>159</v>
      </c>
      <c r="E431" s="1084"/>
      <c r="F431" s="1084"/>
      <c r="G431" s="1085"/>
      <c r="H431" s="1086" t="s">
        <v>159</v>
      </c>
      <c r="I431" s="1087"/>
      <c r="J431" s="1087"/>
      <c r="K431" s="1088"/>
      <c r="L431" s="1089" t="s">
        <v>159</v>
      </c>
      <c r="M431" s="1090"/>
      <c r="N431" s="1091"/>
      <c r="O431" s="1092" t="s">
        <v>159</v>
      </c>
      <c r="P431" s="1093"/>
      <c r="Q431" s="1094"/>
      <c r="R431" s="812"/>
      <c r="S431" s="1095"/>
      <c r="T431" s="813"/>
      <c r="U431" s="745"/>
      <c r="V431" s="940"/>
      <c r="W431" s="746"/>
      <c r="X431" s="312"/>
      <c r="Y431" s="308"/>
      <c r="Z431" s="312"/>
      <c r="AA431" s="308"/>
      <c r="AB431" s="312"/>
      <c r="AC431" s="308"/>
      <c r="AD431" s="312"/>
      <c r="AE431" s="308"/>
      <c r="AF431" s="312"/>
      <c r="AG431" s="308"/>
      <c r="AH431" s="312"/>
      <c r="AI431" s="308"/>
      <c r="AJ431" s="117"/>
      <c r="AK431" s="330"/>
      <c r="AL431" s="117"/>
      <c r="AM431" s="330"/>
      <c r="AN431" s="117"/>
      <c r="AO431" s="330"/>
      <c r="AP431" s="117"/>
      <c r="AQ431" s="330"/>
      <c r="AR431" s="117"/>
      <c r="AS431" s="1096" t="s">
        <v>159</v>
      </c>
      <c r="AT431" s="1097"/>
      <c r="AU431" s="1097"/>
      <c r="AV431" s="1097"/>
      <c r="AW431" s="1097"/>
      <c r="AX431" s="1097"/>
      <c r="AY431" s="1100"/>
      <c r="AZ431" s="257"/>
      <c r="BA431" s="257"/>
      <c r="BB431" s="1059" t="s">
        <v>162</v>
      </c>
      <c r="BC431" s="1060"/>
      <c r="BD431" s="1061" t="s">
        <v>159</v>
      </c>
      <c r="BE431" s="1061"/>
      <c r="BF431" s="1061"/>
      <c r="BG431" s="1062" t="s">
        <v>159</v>
      </c>
      <c r="BH431" s="1063"/>
      <c r="BI431" s="1063"/>
      <c r="BJ431" s="1064"/>
      <c r="BK431" s="1065"/>
      <c r="BL431" s="1066"/>
      <c r="BM431" s="1067"/>
      <c r="BN431" s="259"/>
      <c r="BO431" s="259"/>
      <c r="BP431" s="1062"/>
      <c r="BQ431" s="1063"/>
      <c r="BR431" s="1064"/>
      <c r="BS431" s="1061" t="s">
        <v>159</v>
      </c>
      <c r="BT431" s="1061"/>
      <c r="BU431" s="1061"/>
    </row>
    <row r="432" spans="1:73" ht="30" customHeight="1" x14ac:dyDescent="0.25">
      <c r="A432" s="199">
        <f t="shared" si="6"/>
        <v>418</v>
      </c>
      <c r="B432" s="1081" t="s">
        <v>162</v>
      </c>
      <c r="C432" s="1082"/>
      <c r="D432" s="1083" t="s">
        <v>159</v>
      </c>
      <c r="E432" s="1084"/>
      <c r="F432" s="1084"/>
      <c r="G432" s="1085"/>
      <c r="H432" s="1086" t="s">
        <v>159</v>
      </c>
      <c r="I432" s="1087"/>
      <c r="J432" s="1087"/>
      <c r="K432" s="1088"/>
      <c r="L432" s="1089" t="s">
        <v>159</v>
      </c>
      <c r="M432" s="1090"/>
      <c r="N432" s="1091"/>
      <c r="O432" s="1092" t="s">
        <v>159</v>
      </c>
      <c r="P432" s="1093"/>
      <c r="Q432" s="1094"/>
      <c r="R432" s="812"/>
      <c r="S432" s="1095"/>
      <c r="T432" s="813"/>
      <c r="U432" s="745"/>
      <c r="V432" s="940"/>
      <c r="W432" s="746"/>
      <c r="X432" s="312"/>
      <c r="Y432" s="308"/>
      <c r="Z432" s="312"/>
      <c r="AA432" s="308"/>
      <c r="AB432" s="312"/>
      <c r="AC432" s="308"/>
      <c r="AD432" s="312"/>
      <c r="AE432" s="308"/>
      <c r="AF432" s="312"/>
      <c r="AG432" s="308"/>
      <c r="AH432" s="312"/>
      <c r="AI432" s="308"/>
      <c r="AJ432" s="117"/>
      <c r="AK432" s="330"/>
      <c r="AL432" s="117"/>
      <c r="AM432" s="330"/>
      <c r="AN432" s="117"/>
      <c r="AO432" s="330"/>
      <c r="AP432" s="117"/>
      <c r="AQ432" s="330"/>
      <c r="AR432" s="117"/>
      <c r="AS432" s="1096" t="s">
        <v>159</v>
      </c>
      <c r="AT432" s="1097"/>
      <c r="AU432" s="1097"/>
      <c r="AV432" s="1097"/>
      <c r="AW432" s="1097"/>
      <c r="AX432" s="1097"/>
      <c r="AY432" s="1100"/>
      <c r="AZ432" s="257"/>
      <c r="BA432" s="257"/>
      <c r="BB432" s="1059" t="s">
        <v>162</v>
      </c>
      <c r="BC432" s="1060"/>
      <c r="BD432" s="1061" t="s">
        <v>159</v>
      </c>
      <c r="BE432" s="1061"/>
      <c r="BF432" s="1061"/>
      <c r="BG432" s="1062" t="s">
        <v>159</v>
      </c>
      <c r="BH432" s="1063"/>
      <c r="BI432" s="1063"/>
      <c r="BJ432" s="1064"/>
      <c r="BK432" s="1065"/>
      <c r="BL432" s="1066"/>
      <c r="BM432" s="1067"/>
      <c r="BN432" s="259"/>
      <c r="BO432" s="259"/>
      <c r="BP432" s="1062"/>
      <c r="BQ432" s="1063"/>
      <c r="BR432" s="1064"/>
      <c r="BS432" s="1061" t="s">
        <v>159</v>
      </c>
      <c r="BT432" s="1061"/>
      <c r="BU432" s="1061"/>
    </row>
    <row r="433" spans="1:73" ht="30" customHeight="1" x14ac:dyDescent="0.25">
      <c r="A433" s="199">
        <f t="shared" si="6"/>
        <v>419</v>
      </c>
      <c r="B433" s="1081" t="s">
        <v>162</v>
      </c>
      <c r="C433" s="1082"/>
      <c r="D433" s="1083" t="s">
        <v>159</v>
      </c>
      <c r="E433" s="1084"/>
      <c r="F433" s="1084"/>
      <c r="G433" s="1085"/>
      <c r="H433" s="1086" t="s">
        <v>159</v>
      </c>
      <c r="I433" s="1087"/>
      <c r="J433" s="1087"/>
      <c r="K433" s="1088"/>
      <c r="L433" s="1089" t="s">
        <v>159</v>
      </c>
      <c r="M433" s="1090"/>
      <c r="N433" s="1091"/>
      <c r="O433" s="1092" t="s">
        <v>159</v>
      </c>
      <c r="P433" s="1093"/>
      <c r="Q433" s="1094"/>
      <c r="R433" s="812"/>
      <c r="S433" s="1095"/>
      <c r="T433" s="813"/>
      <c r="U433" s="745"/>
      <c r="V433" s="940"/>
      <c r="W433" s="746"/>
      <c r="X433" s="312"/>
      <c r="Y433" s="308"/>
      <c r="Z433" s="312"/>
      <c r="AA433" s="308"/>
      <c r="AB433" s="312"/>
      <c r="AC433" s="308"/>
      <c r="AD433" s="312"/>
      <c r="AE433" s="308"/>
      <c r="AF433" s="312"/>
      <c r="AG433" s="308"/>
      <c r="AH433" s="312"/>
      <c r="AI433" s="308"/>
      <c r="AJ433" s="117"/>
      <c r="AK433" s="330"/>
      <c r="AL433" s="117"/>
      <c r="AM433" s="330"/>
      <c r="AN433" s="117"/>
      <c r="AO433" s="330"/>
      <c r="AP433" s="117"/>
      <c r="AQ433" s="330"/>
      <c r="AR433" s="117"/>
      <c r="AS433" s="1096" t="s">
        <v>159</v>
      </c>
      <c r="AT433" s="1097"/>
      <c r="AU433" s="1097"/>
      <c r="AV433" s="1097"/>
      <c r="AW433" s="1097"/>
      <c r="AX433" s="1097"/>
      <c r="AY433" s="1100"/>
      <c r="AZ433" s="257"/>
      <c r="BA433" s="257"/>
      <c r="BB433" s="1059" t="s">
        <v>162</v>
      </c>
      <c r="BC433" s="1060"/>
      <c r="BD433" s="1061" t="s">
        <v>159</v>
      </c>
      <c r="BE433" s="1061"/>
      <c r="BF433" s="1061"/>
      <c r="BG433" s="1062" t="s">
        <v>159</v>
      </c>
      <c r="BH433" s="1063"/>
      <c r="BI433" s="1063"/>
      <c r="BJ433" s="1064"/>
      <c r="BK433" s="1065"/>
      <c r="BL433" s="1066"/>
      <c r="BM433" s="1067"/>
      <c r="BN433" s="259"/>
      <c r="BO433" s="259"/>
      <c r="BP433" s="1062"/>
      <c r="BQ433" s="1063"/>
      <c r="BR433" s="1064"/>
      <c r="BS433" s="1061" t="s">
        <v>159</v>
      </c>
      <c r="BT433" s="1061"/>
      <c r="BU433" s="1061"/>
    </row>
    <row r="434" spans="1:73" ht="30" customHeight="1" x14ac:dyDescent="0.25">
      <c r="A434" s="199">
        <f t="shared" si="6"/>
        <v>420</v>
      </c>
      <c r="B434" s="1081" t="s">
        <v>162</v>
      </c>
      <c r="C434" s="1082"/>
      <c r="D434" s="1083" t="s">
        <v>159</v>
      </c>
      <c r="E434" s="1084"/>
      <c r="F434" s="1084"/>
      <c r="G434" s="1085"/>
      <c r="H434" s="1086" t="s">
        <v>159</v>
      </c>
      <c r="I434" s="1087"/>
      <c r="J434" s="1087"/>
      <c r="K434" s="1088"/>
      <c r="L434" s="1089" t="s">
        <v>159</v>
      </c>
      <c r="M434" s="1090"/>
      <c r="N434" s="1091"/>
      <c r="O434" s="1092" t="s">
        <v>159</v>
      </c>
      <c r="P434" s="1093"/>
      <c r="Q434" s="1094"/>
      <c r="R434" s="812"/>
      <c r="S434" s="1095"/>
      <c r="T434" s="813"/>
      <c r="U434" s="745"/>
      <c r="V434" s="940"/>
      <c r="W434" s="746"/>
      <c r="X434" s="312"/>
      <c r="Y434" s="308"/>
      <c r="Z434" s="312"/>
      <c r="AA434" s="308"/>
      <c r="AB434" s="312"/>
      <c r="AC434" s="308"/>
      <c r="AD434" s="312"/>
      <c r="AE434" s="308"/>
      <c r="AF434" s="312"/>
      <c r="AG434" s="308"/>
      <c r="AH434" s="312"/>
      <c r="AI434" s="308"/>
      <c r="AJ434" s="117"/>
      <c r="AK434" s="330"/>
      <c r="AL434" s="117"/>
      <c r="AM434" s="330"/>
      <c r="AN434" s="117"/>
      <c r="AO434" s="330"/>
      <c r="AP434" s="117"/>
      <c r="AQ434" s="330"/>
      <c r="AR434" s="117"/>
      <c r="AS434" s="1096" t="s">
        <v>159</v>
      </c>
      <c r="AT434" s="1097"/>
      <c r="AU434" s="1097"/>
      <c r="AV434" s="1097"/>
      <c r="AW434" s="1097"/>
      <c r="AX434" s="1097"/>
      <c r="AY434" s="1100"/>
      <c r="AZ434" s="257"/>
      <c r="BA434" s="257"/>
      <c r="BB434" s="1059" t="s">
        <v>162</v>
      </c>
      <c r="BC434" s="1060"/>
      <c r="BD434" s="1061" t="s">
        <v>159</v>
      </c>
      <c r="BE434" s="1061"/>
      <c r="BF434" s="1061"/>
      <c r="BG434" s="1062" t="s">
        <v>159</v>
      </c>
      <c r="BH434" s="1063"/>
      <c r="BI434" s="1063"/>
      <c r="BJ434" s="1064"/>
      <c r="BK434" s="1065"/>
      <c r="BL434" s="1066"/>
      <c r="BM434" s="1067"/>
      <c r="BN434" s="259"/>
      <c r="BO434" s="259"/>
      <c r="BP434" s="1062"/>
      <c r="BQ434" s="1063"/>
      <c r="BR434" s="1064"/>
      <c r="BS434" s="1061" t="s">
        <v>159</v>
      </c>
      <c r="BT434" s="1061"/>
      <c r="BU434" s="1061"/>
    </row>
    <row r="435" spans="1:73" ht="30" customHeight="1" x14ac:dyDescent="0.25">
      <c r="A435" s="199">
        <f t="shared" si="6"/>
        <v>421</v>
      </c>
      <c r="B435" s="1081" t="s">
        <v>162</v>
      </c>
      <c r="C435" s="1082"/>
      <c r="D435" s="1083" t="s">
        <v>159</v>
      </c>
      <c r="E435" s="1084"/>
      <c r="F435" s="1084"/>
      <c r="G435" s="1085"/>
      <c r="H435" s="1086" t="s">
        <v>159</v>
      </c>
      <c r="I435" s="1087"/>
      <c r="J435" s="1087"/>
      <c r="K435" s="1088"/>
      <c r="L435" s="1089" t="s">
        <v>159</v>
      </c>
      <c r="M435" s="1090"/>
      <c r="N435" s="1091"/>
      <c r="O435" s="1092" t="s">
        <v>159</v>
      </c>
      <c r="P435" s="1093"/>
      <c r="Q435" s="1094"/>
      <c r="R435" s="812"/>
      <c r="S435" s="1095"/>
      <c r="T435" s="813"/>
      <c r="U435" s="745"/>
      <c r="V435" s="940"/>
      <c r="W435" s="746"/>
      <c r="X435" s="312"/>
      <c r="Y435" s="308"/>
      <c r="Z435" s="312"/>
      <c r="AA435" s="308"/>
      <c r="AB435" s="312"/>
      <c r="AC435" s="308"/>
      <c r="AD435" s="312"/>
      <c r="AE435" s="308"/>
      <c r="AF435" s="312"/>
      <c r="AG435" s="308"/>
      <c r="AH435" s="312"/>
      <c r="AI435" s="308"/>
      <c r="AJ435" s="117"/>
      <c r="AK435" s="330"/>
      <c r="AL435" s="117"/>
      <c r="AM435" s="330"/>
      <c r="AN435" s="117"/>
      <c r="AO435" s="330"/>
      <c r="AP435" s="117"/>
      <c r="AQ435" s="330"/>
      <c r="AR435" s="117"/>
      <c r="AS435" s="1096" t="s">
        <v>159</v>
      </c>
      <c r="AT435" s="1097"/>
      <c r="AU435" s="1097"/>
      <c r="AV435" s="1097"/>
      <c r="AW435" s="1097"/>
      <c r="AX435" s="1097"/>
      <c r="AY435" s="1100"/>
      <c r="AZ435" s="257"/>
      <c r="BA435" s="257"/>
      <c r="BB435" s="1059" t="s">
        <v>162</v>
      </c>
      <c r="BC435" s="1060"/>
      <c r="BD435" s="1061" t="s">
        <v>159</v>
      </c>
      <c r="BE435" s="1061"/>
      <c r="BF435" s="1061"/>
      <c r="BG435" s="1062" t="s">
        <v>159</v>
      </c>
      <c r="BH435" s="1063"/>
      <c r="BI435" s="1063"/>
      <c r="BJ435" s="1064"/>
      <c r="BK435" s="1065"/>
      <c r="BL435" s="1066"/>
      <c r="BM435" s="1067"/>
      <c r="BN435" s="259"/>
      <c r="BO435" s="259"/>
      <c r="BP435" s="1062"/>
      <c r="BQ435" s="1063"/>
      <c r="BR435" s="1064"/>
      <c r="BS435" s="1061" t="s">
        <v>159</v>
      </c>
      <c r="BT435" s="1061"/>
      <c r="BU435" s="1061"/>
    </row>
    <row r="436" spans="1:73" ht="30" customHeight="1" x14ac:dyDescent="0.25">
      <c r="A436" s="199">
        <f t="shared" si="6"/>
        <v>422</v>
      </c>
      <c r="B436" s="1081" t="s">
        <v>162</v>
      </c>
      <c r="C436" s="1082"/>
      <c r="D436" s="1083" t="s">
        <v>159</v>
      </c>
      <c r="E436" s="1084"/>
      <c r="F436" s="1084"/>
      <c r="G436" s="1085"/>
      <c r="H436" s="1086" t="s">
        <v>159</v>
      </c>
      <c r="I436" s="1087"/>
      <c r="J436" s="1087"/>
      <c r="K436" s="1088"/>
      <c r="L436" s="1089" t="s">
        <v>159</v>
      </c>
      <c r="M436" s="1090"/>
      <c r="N436" s="1091"/>
      <c r="O436" s="1092" t="s">
        <v>159</v>
      </c>
      <c r="P436" s="1093"/>
      <c r="Q436" s="1094"/>
      <c r="R436" s="812"/>
      <c r="S436" s="1095"/>
      <c r="T436" s="813"/>
      <c r="U436" s="745"/>
      <c r="V436" s="940"/>
      <c r="W436" s="746"/>
      <c r="X436" s="312"/>
      <c r="Y436" s="308"/>
      <c r="Z436" s="312"/>
      <c r="AA436" s="308"/>
      <c r="AB436" s="312"/>
      <c r="AC436" s="308"/>
      <c r="AD436" s="312"/>
      <c r="AE436" s="308"/>
      <c r="AF436" s="312"/>
      <c r="AG436" s="308"/>
      <c r="AH436" s="312"/>
      <c r="AI436" s="308"/>
      <c r="AJ436" s="117"/>
      <c r="AK436" s="330"/>
      <c r="AL436" s="117"/>
      <c r="AM436" s="330"/>
      <c r="AN436" s="117"/>
      <c r="AO436" s="330"/>
      <c r="AP436" s="117"/>
      <c r="AQ436" s="330"/>
      <c r="AR436" s="117"/>
      <c r="AS436" s="1096" t="s">
        <v>159</v>
      </c>
      <c r="AT436" s="1097"/>
      <c r="AU436" s="1097"/>
      <c r="AV436" s="1097"/>
      <c r="AW436" s="1097"/>
      <c r="AX436" s="1097"/>
      <c r="AY436" s="1100"/>
      <c r="AZ436" s="257"/>
      <c r="BA436" s="257"/>
      <c r="BB436" s="1059" t="s">
        <v>162</v>
      </c>
      <c r="BC436" s="1060"/>
      <c r="BD436" s="1061" t="s">
        <v>159</v>
      </c>
      <c r="BE436" s="1061"/>
      <c r="BF436" s="1061"/>
      <c r="BG436" s="1062" t="s">
        <v>159</v>
      </c>
      <c r="BH436" s="1063"/>
      <c r="BI436" s="1063"/>
      <c r="BJ436" s="1064"/>
      <c r="BK436" s="1065"/>
      <c r="BL436" s="1066"/>
      <c r="BM436" s="1067"/>
      <c r="BN436" s="259"/>
      <c r="BO436" s="259"/>
      <c r="BP436" s="1062"/>
      <c r="BQ436" s="1063"/>
      <c r="BR436" s="1064"/>
      <c r="BS436" s="1061" t="s">
        <v>159</v>
      </c>
      <c r="BT436" s="1061"/>
      <c r="BU436" s="1061"/>
    </row>
    <row r="437" spans="1:73" ht="30" customHeight="1" x14ac:dyDescent="0.25">
      <c r="A437" s="199">
        <f t="shared" si="6"/>
        <v>423</v>
      </c>
      <c r="B437" s="1081" t="s">
        <v>162</v>
      </c>
      <c r="C437" s="1082"/>
      <c r="D437" s="1083" t="s">
        <v>159</v>
      </c>
      <c r="E437" s="1084"/>
      <c r="F437" s="1084"/>
      <c r="G437" s="1085"/>
      <c r="H437" s="1086" t="s">
        <v>159</v>
      </c>
      <c r="I437" s="1087"/>
      <c r="J437" s="1087"/>
      <c r="K437" s="1088"/>
      <c r="L437" s="1089" t="s">
        <v>159</v>
      </c>
      <c r="M437" s="1090"/>
      <c r="N437" s="1091"/>
      <c r="O437" s="1092" t="s">
        <v>159</v>
      </c>
      <c r="P437" s="1093"/>
      <c r="Q437" s="1094"/>
      <c r="R437" s="812"/>
      <c r="S437" s="1095"/>
      <c r="T437" s="813"/>
      <c r="U437" s="745"/>
      <c r="V437" s="940"/>
      <c r="W437" s="746"/>
      <c r="X437" s="312"/>
      <c r="Y437" s="308"/>
      <c r="Z437" s="312"/>
      <c r="AA437" s="308"/>
      <c r="AB437" s="312"/>
      <c r="AC437" s="308"/>
      <c r="AD437" s="312"/>
      <c r="AE437" s="308"/>
      <c r="AF437" s="312"/>
      <c r="AG437" s="308"/>
      <c r="AH437" s="312"/>
      <c r="AI437" s="308"/>
      <c r="AJ437" s="117"/>
      <c r="AK437" s="330"/>
      <c r="AL437" s="117"/>
      <c r="AM437" s="330"/>
      <c r="AN437" s="117"/>
      <c r="AO437" s="330"/>
      <c r="AP437" s="117"/>
      <c r="AQ437" s="330"/>
      <c r="AR437" s="117"/>
      <c r="AS437" s="1096" t="s">
        <v>159</v>
      </c>
      <c r="AT437" s="1097"/>
      <c r="AU437" s="1097"/>
      <c r="AV437" s="1097"/>
      <c r="AW437" s="1097"/>
      <c r="AX437" s="1097"/>
      <c r="AY437" s="1100"/>
      <c r="AZ437" s="257"/>
      <c r="BA437" s="257"/>
      <c r="BB437" s="1059" t="s">
        <v>162</v>
      </c>
      <c r="BC437" s="1060"/>
      <c r="BD437" s="1061" t="s">
        <v>159</v>
      </c>
      <c r="BE437" s="1061"/>
      <c r="BF437" s="1061"/>
      <c r="BG437" s="1062" t="s">
        <v>159</v>
      </c>
      <c r="BH437" s="1063"/>
      <c r="BI437" s="1063"/>
      <c r="BJ437" s="1064"/>
      <c r="BK437" s="1065"/>
      <c r="BL437" s="1066"/>
      <c r="BM437" s="1067"/>
      <c r="BN437" s="259"/>
      <c r="BO437" s="259"/>
      <c r="BP437" s="1062"/>
      <c r="BQ437" s="1063"/>
      <c r="BR437" s="1064"/>
      <c r="BS437" s="1061" t="s">
        <v>159</v>
      </c>
      <c r="BT437" s="1061"/>
      <c r="BU437" s="1061"/>
    </row>
    <row r="438" spans="1:73" ht="30" customHeight="1" x14ac:dyDescent="0.25">
      <c r="A438" s="199">
        <f t="shared" ref="A438:A501" si="7">ROW(A424)</f>
        <v>424</v>
      </c>
      <c r="B438" s="1081" t="s">
        <v>162</v>
      </c>
      <c r="C438" s="1082"/>
      <c r="D438" s="1083" t="s">
        <v>159</v>
      </c>
      <c r="E438" s="1084"/>
      <c r="F438" s="1084"/>
      <c r="G438" s="1085"/>
      <c r="H438" s="1086" t="s">
        <v>159</v>
      </c>
      <c r="I438" s="1087"/>
      <c r="J438" s="1087"/>
      <c r="K438" s="1088"/>
      <c r="L438" s="1089" t="s">
        <v>159</v>
      </c>
      <c r="M438" s="1090"/>
      <c r="N438" s="1091"/>
      <c r="O438" s="1092" t="s">
        <v>159</v>
      </c>
      <c r="P438" s="1093"/>
      <c r="Q438" s="1094"/>
      <c r="R438" s="812"/>
      <c r="S438" s="1095"/>
      <c r="T438" s="813"/>
      <c r="U438" s="745"/>
      <c r="V438" s="940"/>
      <c r="W438" s="746"/>
      <c r="X438" s="312"/>
      <c r="Y438" s="308"/>
      <c r="Z438" s="312"/>
      <c r="AA438" s="308"/>
      <c r="AB438" s="312"/>
      <c r="AC438" s="308"/>
      <c r="AD438" s="312"/>
      <c r="AE438" s="308"/>
      <c r="AF438" s="312"/>
      <c r="AG438" s="308"/>
      <c r="AH438" s="312"/>
      <c r="AI438" s="308"/>
      <c r="AJ438" s="117"/>
      <c r="AK438" s="330"/>
      <c r="AL438" s="117"/>
      <c r="AM438" s="330"/>
      <c r="AN438" s="117"/>
      <c r="AO438" s="330"/>
      <c r="AP438" s="117"/>
      <c r="AQ438" s="330"/>
      <c r="AR438" s="117"/>
      <c r="AS438" s="1096" t="s">
        <v>159</v>
      </c>
      <c r="AT438" s="1097"/>
      <c r="AU438" s="1097"/>
      <c r="AV438" s="1097"/>
      <c r="AW438" s="1097"/>
      <c r="AX438" s="1097"/>
      <c r="AY438" s="1100"/>
      <c r="AZ438" s="257"/>
      <c r="BA438" s="257"/>
      <c r="BB438" s="1059" t="s">
        <v>162</v>
      </c>
      <c r="BC438" s="1060"/>
      <c r="BD438" s="1061" t="s">
        <v>159</v>
      </c>
      <c r="BE438" s="1061"/>
      <c r="BF438" s="1061"/>
      <c r="BG438" s="1062" t="s">
        <v>159</v>
      </c>
      <c r="BH438" s="1063"/>
      <c r="BI438" s="1063"/>
      <c r="BJ438" s="1064"/>
      <c r="BK438" s="1065"/>
      <c r="BL438" s="1066"/>
      <c r="BM438" s="1067"/>
      <c r="BN438" s="259"/>
      <c r="BO438" s="259"/>
      <c r="BP438" s="1062"/>
      <c r="BQ438" s="1063"/>
      <c r="BR438" s="1064"/>
      <c r="BS438" s="1061" t="s">
        <v>159</v>
      </c>
      <c r="BT438" s="1061"/>
      <c r="BU438" s="1061"/>
    </row>
    <row r="439" spans="1:73" ht="30" customHeight="1" x14ac:dyDescent="0.25">
      <c r="A439" s="199">
        <f t="shared" si="7"/>
        <v>425</v>
      </c>
      <c r="B439" s="1081" t="s">
        <v>162</v>
      </c>
      <c r="C439" s="1082"/>
      <c r="D439" s="1083" t="s">
        <v>159</v>
      </c>
      <c r="E439" s="1084"/>
      <c r="F439" s="1084"/>
      <c r="G439" s="1085"/>
      <c r="H439" s="1086" t="s">
        <v>159</v>
      </c>
      <c r="I439" s="1087"/>
      <c r="J439" s="1087"/>
      <c r="K439" s="1088"/>
      <c r="L439" s="1089" t="s">
        <v>159</v>
      </c>
      <c r="M439" s="1090"/>
      <c r="N439" s="1091"/>
      <c r="O439" s="1092" t="s">
        <v>159</v>
      </c>
      <c r="P439" s="1093"/>
      <c r="Q439" s="1094"/>
      <c r="R439" s="812"/>
      <c r="S439" s="1095"/>
      <c r="T439" s="813"/>
      <c r="U439" s="745"/>
      <c r="V439" s="940"/>
      <c r="W439" s="746"/>
      <c r="X439" s="312"/>
      <c r="Y439" s="308"/>
      <c r="Z439" s="312"/>
      <c r="AA439" s="308"/>
      <c r="AB439" s="312"/>
      <c r="AC439" s="308"/>
      <c r="AD439" s="312"/>
      <c r="AE439" s="308"/>
      <c r="AF439" s="312"/>
      <c r="AG439" s="308"/>
      <c r="AH439" s="312"/>
      <c r="AI439" s="308"/>
      <c r="AJ439" s="117"/>
      <c r="AK439" s="330"/>
      <c r="AL439" s="117"/>
      <c r="AM439" s="330"/>
      <c r="AN439" s="117"/>
      <c r="AO439" s="330"/>
      <c r="AP439" s="117"/>
      <c r="AQ439" s="330"/>
      <c r="AR439" s="117"/>
      <c r="AS439" s="1096" t="s">
        <v>159</v>
      </c>
      <c r="AT439" s="1097"/>
      <c r="AU439" s="1097"/>
      <c r="AV439" s="1097"/>
      <c r="AW439" s="1097"/>
      <c r="AX439" s="1097"/>
      <c r="AY439" s="1100"/>
      <c r="AZ439" s="257"/>
      <c r="BA439" s="257"/>
      <c r="BB439" s="1059" t="s">
        <v>162</v>
      </c>
      <c r="BC439" s="1060"/>
      <c r="BD439" s="1061" t="s">
        <v>159</v>
      </c>
      <c r="BE439" s="1061"/>
      <c r="BF439" s="1061"/>
      <c r="BG439" s="1062" t="s">
        <v>159</v>
      </c>
      <c r="BH439" s="1063"/>
      <c r="BI439" s="1063"/>
      <c r="BJ439" s="1064"/>
      <c r="BK439" s="1065"/>
      <c r="BL439" s="1066"/>
      <c r="BM439" s="1067"/>
      <c r="BN439" s="259"/>
      <c r="BO439" s="259"/>
      <c r="BP439" s="1062"/>
      <c r="BQ439" s="1063"/>
      <c r="BR439" s="1064"/>
      <c r="BS439" s="1061" t="s">
        <v>159</v>
      </c>
      <c r="BT439" s="1061"/>
      <c r="BU439" s="1061"/>
    </row>
    <row r="440" spans="1:73" ht="30" customHeight="1" x14ac:dyDescent="0.25">
      <c r="A440" s="199">
        <f t="shared" si="7"/>
        <v>426</v>
      </c>
      <c r="B440" s="1081" t="s">
        <v>162</v>
      </c>
      <c r="C440" s="1082"/>
      <c r="D440" s="1083" t="s">
        <v>159</v>
      </c>
      <c r="E440" s="1084"/>
      <c r="F440" s="1084"/>
      <c r="G440" s="1085"/>
      <c r="H440" s="1086" t="s">
        <v>159</v>
      </c>
      <c r="I440" s="1087"/>
      <c r="J440" s="1087"/>
      <c r="K440" s="1088"/>
      <c r="L440" s="1089" t="s">
        <v>159</v>
      </c>
      <c r="M440" s="1090"/>
      <c r="N440" s="1091"/>
      <c r="O440" s="1092" t="s">
        <v>159</v>
      </c>
      <c r="P440" s="1093"/>
      <c r="Q440" s="1094"/>
      <c r="R440" s="812"/>
      <c r="S440" s="1095"/>
      <c r="T440" s="813"/>
      <c r="U440" s="745"/>
      <c r="V440" s="940"/>
      <c r="W440" s="746"/>
      <c r="X440" s="312"/>
      <c r="Y440" s="308"/>
      <c r="Z440" s="312"/>
      <c r="AA440" s="308"/>
      <c r="AB440" s="312"/>
      <c r="AC440" s="308"/>
      <c r="AD440" s="312"/>
      <c r="AE440" s="308"/>
      <c r="AF440" s="312"/>
      <c r="AG440" s="308"/>
      <c r="AH440" s="312"/>
      <c r="AI440" s="308"/>
      <c r="AJ440" s="117"/>
      <c r="AK440" s="330"/>
      <c r="AL440" s="117"/>
      <c r="AM440" s="330"/>
      <c r="AN440" s="117"/>
      <c r="AO440" s="330"/>
      <c r="AP440" s="117"/>
      <c r="AQ440" s="330"/>
      <c r="AR440" s="117"/>
      <c r="AS440" s="1096" t="s">
        <v>159</v>
      </c>
      <c r="AT440" s="1097"/>
      <c r="AU440" s="1097"/>
      <c r="AV440" s="1097"/>
      <c r="AW440" s="1097"/>
      <c r="AX440" s="1097"/>
      <c r="AY440" s="1100"/>
      <c r="AZ440" s="257"/>
      <c r="BA440" s="257"/>
      <c r="BB440" s="1059" t="s">
        <v>162</v>
      </c>
      <c r="BC440" s="1060"/>
      <c r="BD440" s="1061" t="s">
        <v>159</v>
      </c>
      <c r="BE440" s="1061"/>
      <c r="BF440" s="1061"/>
      <c r="BG440" s="1062" t="s">
        <v>159</v>
      </c>
      <c r="BH440" s="1063"/>
      <c r="BI440" s="1063"/>
      <c r="BJ440" s="1064"/>
      <c r="BK440" s="1065"/>
      <c r="BL440" s="1066"/>
      <c r="BM440" s="1067"/>
      <c r="BN440" s="259"/>
      <c r="BO440" s="259"/>
      <c r="BP440" s="1062"/>
      <c r="BQ440" s="1063"/>
      <c r="BR440" s="1064"/>
      <c r="BS440" s="1061" t="s">
        <v>159</v>
      </c>
      <c r="BT440" s="1061"/>
      <c r="BU440" s="1061"/>
    </row>
    <row r="441" spans="1:73" ht="30" customHeight="1" x14ac:dyDescent="0.25">
      <c r="A441" s="199">
        <f t="shared" si="7"/>
        <v>427</v>
      </c>
      <c r="B441" s="1081" t="s">
        <v>162</v>
      </c>
      <c r="C441" s="1082"/>
      <c r="D441" s="1083" t="s">
        <v>159</v>
      </c>
      <c r="E441" s="1084"/>
      <c r="F441" s="1084"/>
      <c r="G441" s="1085"/>
      <c r="H441" s="1086" t="s">
        <v>159</v>
      </c>
      <c r="I441" s="1087"/>
      <c r="J441" s="1087"/>
      <c r="K441" s="1088"/>
      <c r="L441" s="1089" t="s">
        <v>159</v>
      </c>
      <c r="M441" s="1090"/>
      <c r="N441" s="1091"/>
      <c r="O441" s="1092" t="s">
        <v>159</v>
      </c>
      <c r="P441" s="1093"/>
      <c r="Q441" s="1094"/>
      <c r="R441" s="812"/>
      <c r="S441" s="1095"/>
      <c r="T441" s="813"/>
      <c r="U441" s="745"/>
      <c r="V441" s="940"/>
      <c r="W441" s="746"/>
      <c r="X441" s="312"/>
      <c r="Y441" s="308"/>
      <c r="Z441" s="312"/>
      <c r="AA441" s="308"/>
      <c r="AB441" s="312"/>
      <c r="AC441" s="308"/>
      <c r="AD441" s="312"/>
      <c r="AE441" s="308"/>
      <c r="AF441" s="312"/>
      <c r="AG441" s="308"/>
      <c r="AH441" s="312"/>
      <c r="AI441" s="308"/>
      <c r="AJ441" s="117"/>
      <c r="AK441" s="330"/>
      <c r="AL441" s="117"/>
      <c r="AM441" s="330"/>
      <c r="AN441" s="117"/>
      <c r="AO441" s="330"/>
      <c r="AP441" s="117"/>
      <c r="AQ441" s="330"/>
      <c r="AR441" s="117"/>
      <c r="AS441" s="1096" t="s">
        <v>159</v>
      </c>
      <c r="AT441" s="1097"/>
      <c r="AU441" s="1097"/>
      <c r="AV441" s="1097"/>
      <c r="AW441" s="1097"/>
      <c r="AX441" s="1097"/>
      <c r="AY441" s="1100"/>
      <c r="AZ441" s="257"/>
      <c r="BA441" s="257"/>
      <c r="BB441" s="1059" t="s">
        <v>162</v>
      </c>
      <c r="BC441" s="1060"/>
      <c r="BD441" s="1061" t="s">
        <v>159</v>
      </c>
      <c r="BE441" s="1061"/>
      <c r="BF441" s="1061"/>
      <c r="BG441" s="1062" t="s">
        <v>159</v>
      </c>
      <c r="BH441" s="1063"/>
      <c r="BI441" s="1063"/>
      <c r="BJ441" s="1064"/>
      <c r="BK441" s="1065"/>
      <c r="BL441" s="1066"/>
      <c r="BM441" s="1067"/>
      <c r="BN441" s="259"/>
      <c r="BO441" s="259"/>
      <c r="BP441" s="1062"/>
      <c r="BQ441" s="1063"/>
      <c r="BR441" s="1064"/>
      <c r="BS441" s="1061" t="s">
        <v>159</v>
      </c>
      <c r="BT441" s="1061"/>
      <c r="BU441" s="1061"/>
    </row>
    <row r="442" spans="1:73" ht="30" customHeight="1" x14ac:dyDescent="0.25">
      <c r="A442" s="199">
        <f t="shared" si="7"/>
        <v>428</v>
      </c>
      <c r="B442" s="1081" t="s">
        <v>162</v>
      </c>
      <c r="C442" s="1082"/>
      <c r="D442" s="1083" t="s">
        <v>159</v>
      </c>
      <c r="E442" s="1084"/>
      <c r="F442" s="1084"/>
      <c r="G442" s="1085"/>
      <c r="H442" s="1086" t="s">
        <v>159</v>
      </c>
      <c r="I442" s="1087"/>
      <c r="J442" s="1087"/>
      <c r="K442" s="1088"/>
      <c r="L442" s="1089" t="s">
        <v>159</v>
      </c>
      <c r="M442" s="1090"/>
      <c r="N442" s="1091"/>
      <c r="O442" s="1092" t="s">
        <v>159</v>
      </c>
      <c r="P442" s="1093"/>
      <c r="Q442" s="1094"/>
      <c r="R442" s="812"/>
      <c r="S442" s="1095"/>
      <c r="T442" s="813"/>
      <c r="U442" s="745"/>
      <c r="V442" s="940"/>
      <c r="W442" s="746"/>
      <c r="X442" s="312"/>
      <c r="Y442" s="308"/>
      <c r="Z442" s="312"/>
      <c r="AA442" s="308"/>
      <c r="AB442" s="312"/>
      <c r="AC442" s="308"/>
      <c r="AD442" s="312"/>
      <c r="AE442" s="308"/>
      <c r="AF442" s="312"/>
      <c r="AG442" s="308"/>
      <c r="AH442" s="312"/>
      <c r="AI442" s="308"/>
      <c r="AJ442" s="117"/>
      <c r="AK442" s="330"/>
      <c r="AL442" s="117"/>
      <c r="AM442" s="330"/>
      <c r="AN442" s="117"/>
      <c r="AO442" s="330"/>
      <c r="AP442" s="117"/>
      <c r="AQ442" s="330"/>
      <c r="AR442" s="117"/>
      <c r="AS442" s="1096" t="s">
        <v>159</v>
      </c>
      <c r="AT442" s="1097"/>
      <c r="AU442" s="1097"/>
      <c r="AV442" s="1097"/>
      <c r="AW442" s="1097"/>
      <c r="AX442" s="1097"/>
      <c r="AY442" s="1100"/>
      <c r="AZ442" s="257"/>
      <c r="BA442" s="257"/>
      <c r="BB442" s="1059" t="s">
        <v>162</v>
      </c>
      <c r="BC442" s="1060"/>
      <c r="BD442" s="1061" t="s">
        <v>159</v>
      </c>
      <c r="BE442" s="1061"/>
      <c r="BF442" s="1061"/>
      <c r="BG442" s="1062" t="s">
        <v>159</v>
      </c>
      <c r="BH442" s="1063"/>
      <c r="BI442" s="1063"/>
      <c r="BJ442" s="1064"/>
      <c r="BK442" s="1065"/>
      <c r="BL442" s="1066"/>
      <c r="BM442" s="1067"/>
      <c r="BN442" s="259"/>
      <c r="BO442" s="259"/>
      <c r="BP442" s="1062"/>
      <c r="BQ442" s="1063"/>
      <c r="BR442" s="1064"/>
      <c r="BS442" s="1061" t="s">
        <v>159</v>
      </c>
      <c r="BT442" s="1061"/>
      <c r="BU442" s="1061"/>
    </row>
    <row r="443" spans="1:73" ht="30" customHeight="1" x14ac:dyDescent="0.25">
      <c r="A443" s="199">
        <f t="shared" si="7"/>
        <v>429</v>
      </c>
      <c r="B443" s="1081" t="s">
        <v>162</v>
      </c>
      <c r="C443" s="1082"/>
      <c r="D443" s="1083" t="s">
        <v>159</v>
      </c>
      <c r="E443" s="1084"/>
      <c r="F443" s="1084"/>
      <c r="G443" s="1085"/>
      <c r="H443" s="1086" t="s">
        <v>159</v>
      </c>
      <c r="I443" s="1087"/>
      <c r="J443" s="1087"/>
      <c r="K443" s="1088"/>
      <c r="L443" s="1089" t="s">
        <v>159</v>
      </c>
      <c r="M443" s="1090"/>
      <c r="N443" s="1091"/>
      <c r="O443" s="1092" t="s">
        <v>159</v>
      </c>
      <c r="P443" s="1093"/>
      <c r="Q443" s="1094"/>
      <c r="R443" s="812"/>
      <c r="S443" s="1095"/>
      <c r="T443" s="813"/>
      <c r="U443" s="745"/>
      <c r="V443" s="940"/>
      <c r="W443" s="746"/>
      <c r="X443" s="312"/>
      <c r="Y443" s="308"/>
      <c r="Z443" s="312"/>
      <c r="AA443" s="308"/>
      <c r="AB443" s="312"/>
      <c r="AC443" s="308"/>
      <c r="AD443" s="312"/>
      <c r="AE443" s="308"/>
      <c r="AF443" s="312"/>
      <c r="AG443" s="308"/>
      <c r="AH443" s="312"/>
      <c r="AI443" s="308"/>
      <c r="AJ443" s="117"/>
      <c r="AK443" s="330"/>
      <c r="AL443" s="117"/>
      <c r="AM443" s="330"/>
      <c r="AN443" s="117"/>
      <c r="AO443" s="330"/>
      <c r="AP443" s="117"/>
      <c r="AQ443" s="330"/>
      <c r="AR443" s="117"/>
      <c r="AS443" s="1096" t="s">
        <v>159</v>
      </c>
      <c r="AT443" s="1097"/>
      <c r="AU443" s="1097"/>
      <c r="AV443" s="1097"/>
      <c r="AW443" s="1097"/>
      <c r="AX443" s="1097"/>
      <c r="AY443" s="1100"/>
      <c r="AZ443" s="257"/>
      <c r="BA443" s="257"/>
      <c r="BB443" s="1059" t="s">
        <v>162</v>
      </c>
      <c r="BC443" s="1060"/>
      <c r="BD443" s="1061" t="s">
        <v>159</v>
      </c>
      <c r="BE443" s="1061"/>
      <c r="BF443" s="1061"/>
      <c r="BG443" s="1062" t="s">
        <v>159</v>
      </c>
      <c r="BH443" s="1063"/>
      <c r="BI443" s="1063"/>
      <c r="BJ443" s="1064"/>
      <c r="BK443" s="1065"/>
      <c r="BL443" s="1066"/>
      <c r="BM443" s="1067"/>
      <c r="BN443" s="259"/>
      <c r="BO443" s="259"/>
      <c r="BP443" s="1062"/>
      <c r="BQ443" s="1063"/>
      <c r="BR443" s="1064"/>
      <c r="BS443" s="1061" t="s">
        <v>159</v>
      </c>
      <c r="BT443" s="1061"/>
      <c r="BU443" s="1061"/>
    </row>
    <row r="444" spans="1:73" ht="30" customHeight="1" x14ac:dyDescent="0.25">
      <c r="A444" s="199">
        <f t="shared" si="7"/>
        <v>430</v>
      </c>
      <c r="B444" s="1081" t="s">
        <v>162</v>
      </c>
      <c r="C444" s="1082"/>
      <c r="D444" s="1083" t="s">
        <v>159</v>
      </c>
      <c r="E444" s="1084"/>
      <c r="F444" s="1084"/>
      <c r="G444" s="1085"/>
      <c r="H444" s="1086" t="s">
        <v>159</v>
      </c>
      <c r="I444" s="1087"/>
      <c r="J444" s="1087"/>
      <c r="K444" s="1088"/>
      <c r="L444" s="1089" t="s">
        <v>159</v>
      </c>
      <c r="M444" s="1090"/>
      <c r="N444" s="1091"/>
      <c r="O444" s="1092" t="s">
        <v>159</v>
      </c>
      <c r="P444" s="1093"/>
      <c r="Q444" s="1094"/>
      <c r="R444" s="812"/>
      <c r="S444" s="1095"/>
      <c r="T444" s="813"/>
      <c r="U444" s="745"/>
      <c r="V444" s="940"/>
      <c r="W444" s="746"/>
      <c r="X444" s="312"/>
      <c r="Y444" s="308"/>
      <c r="Z444" s="312"/>
      <c r="AA444" s="308"/>
      <c r="AB444" s="312"/>
      <c r="AC444" s="308"/>
      <c r="AD444" s="312"/>
      <c r="AE444" s="308"/>
      <c r="AF444" s="312"/>
      <c r="AG444" s="308"/>
      <c r="AH444" s="312"/>
      <c r="AI444" s="308"/>
      <c r="AJ444" s="117"/>
      <c r="AK444" s="330"/>
      <c r="AL444" s="117"/>
      <c r="AM444" s="330"/>
      <c r="AN444" s="117"/>
      <c r="AO444" s="330"/>
      <c r="AP444" s="117"/>
      <c r="AQ444" s="330"/>
      <c r="AR444" s="117"/>
      <c r="AS444" s="1096" t="s">
        <v>159</v>
      </c>
      <c r="AT444" s="1097"/>
      <c r="AU444" s="1097"/>
      <c r="AV444" s="1097"/>
      <c r="AW444" s="1097"/>
      <c r="AX444" s="1097"/>
      <c r="AY444" s="1100"/>
      <c r="AZ444" s="257"/>
      <c r="BA444" s="257"/>
      <c r="BB444" s="1059" t="s">
        <v>162</v>
      </c>
      <c r="BC444" s="1060"/>
      <c r="BD444" s="1061" t="s">
        <v>159</v>
      </c>
      <c r="BE444" s="1061"/>
      <c r="BF444" s="1061"/>
      <c r="BG444" s="1062" t="s">
        <v>159</v>
      </c>
      <c r="BH444" s="1063"/>
      <c r="BI444" s="1063"/>
      <c r="BJ444" s="1064"/>
      <c r="BK444" s="1065"/>
      <c r="BL444" s="1066"/>
      <c r="BM444" s="1067"/>
      <c r="BN444" s="259"/>
      <c r="BO444" s="259"/>
      <c r="BP444" s="1062"/>
      <c r="BQ444" s="1063"/>
      <c r="BR444" s="1064"/>
      <c r="BS444" s="1061" t="s">
        <v>159</v>
      </c>
      <c r="BT444" s="1061"/>
      <c r="BU444" s="1061"/>
    </row>
    <row r="445" spans="1:73" ht="30" customHeight="1" x14ac:dyDescent="0.25">
      <c r="A445" s="199">
        <f t="shared" si="7"/>
        <v>431</v>
      </c>
      <c r="B445" s="1081" t="s">
        <v>162</v>
      </c>
      <c r="C445" s="1082"/>
      <c r="D445" s="1083" t="s">
        <v>159</v>
      </c>
      <c r="E445" s="1084"/>
      <c r="F445" s="1084"/>
      <c r="G445" s="1085"/>
      <c r="H445" s="1086" t="s">
        <v>159</v>
      </c>
      <c r="I445" s="1087"/>
      <c r="J445" s="1087"/>
      <c r="K445" s="1088"/>
      <c r="L445" s="1089" t="s">
        <v>159</v>
      </c>
      <c r="M445" s="1090"/>
      <c r="N445" s="1091"/>
      <c r="O445" s="1092" t="s">
        <v>159</v>
      </c>
      <c r="P445" s="1093"/>
      <c r="Q445" s="1094"/>
      <c r="R445" s="812"/>
      <c r="S445" s="1095"/>
      <c r="T445" s="813"/>
      <c r="U445" s="745"/>
      <c r="V445" s="940"/>
      <c r="W445" s="746"/>
      <c r="X445" s="312"/>
      <c r="Y445" s="308"/>
      <c r="Z445" s="312"/>
      <c r="AA445" s="308"/>
      <c r="AB445" s="312"/>
      <c r="AC445" s="308"/>
      <c r="AD445" s="312"/>
      <c r="AE445" s="308"/>
      <c r="AF445" s="312"/>
      <c r="AG445" s="308"/>
      <c r="AH445" s="312"/>
      <c r="AI445" s="308"/>
      <c r="AJ445" s="117"/>
      <c r="AK445" s="330"/>
      <c r="AL445" s="117"/>
      <c r="AM445" s="330"/>
      <c r="AN445" s="117"/>
      <c r="AO445" s="330"/>
      <c r="AP445" s="117"/>
      <c r="AQ445" s="330"/>
      <c r="AR445" s="117"/>
      <c r="AS445" s="1096" t="s">
        <v>159</v>
      </c>
      <c r="AT445" s="1097"/>
      <c r="AU445" s="1097"/>
      <c r="AV445" s="1097"/>
      <c r="AW445" s="1097"/>
      <c r="AX445" s="1097"/>
      <c r="AY445" s="1100"/>
      <c r="AZ445" s="257"/>
      <c r="BA445" s="257"/>
      <c r="BB445" s="1059" t="s">
        <v>162</v>
      </c>
      <c r="BC445" s="1060"/>
      <c r="BD445" s="1061" t="s">
        <v>159</v>
      </c>
      <c r="BE445" s="1061"/>
      <c r="BF445" s="1061"/>
      <c r="BG445" s="1062" t="s">
        <v>159</v>
      </c>
      <c r="BH445" s="1063"/>
      <c r="BI445" s="1063"/>
      <c r="BJ445" s="1064"/>
      <c r="BK445" s="1065"/>
      <c r="BL445" s="1066"/>
      <c r="BM445" s="1067"/>
      <c r="BN445" s="259"/>
      <c r="BO445" s="259"/>
      <c r="BP445" s="1062"/>
      <c r="BQ445" s="1063"/>
      <c r="BR445" s="1064"/>
      <c r="BS445" s="1061" t="s">
        <v>159</v>
      </c>
      <c r="BT445" s="1061"/>
      <c r="BU445" s="1061"/>
    </row>
    <row r="446" spans="1:73" ht="30" customHeight="1" x14ac:dyDescent="0.25">
      <c r="A446" s="199">
        <f t="shared" si="7"/>
        <v>432</v>
      </c>
      <c r="B446" s="1081" t="s">
        <v>162</v>
      </c>
      <c r="C446" s="1082"/>
      <c r="D446" s="1083" t="s">
        <v>159</v>
      </c>
      <c r="E446" s="1084"/>
      <c r="F446" s="1084"/>
      <c r="G446" s="1085"/>
      <c r="H446" s="1086" t="s">
        <v>159</v>
      </c>
      <c r="I446" s="1087"/>
      <c r="J446" s="1087"/>
      <c r="K446" s="1088"/>
      <c r="L446" s="1089" t="s">
        <v>159</v>
      </c>
      <c r="M446" s="1090"/>
      <c r="N446" s="1091"/>
      <c r="O446" s="1092" t="s">
        <v>159</v>
      </c>
      <c r="P446" s="1093"/>
      <c r="Q446" s="1094"/>
      <c r="R446" s="812"/>
      <c r="S446" s="1095"/>
      <c r="T446" s="813"/>
      <c r="U446" s="745"/>
      <c r="V446" s="940"/>
      <c r="W446" s="746"/>
      <c r="X446" s="312"/>
      <c r="Y446" s="308"/>
      <c r="Z446" s="312"/>
      <c r="AA446" s="308"/>
      <c r="AB446" s="312"/>
      <c r="AC446" s="308"/>
      <c r="AD446" s="312"/>
      <c r="AE446" s="308"/>
      <c r="AF446" s="312"/>
      <c r="AG446" s="308"/>
      <c r="AH446" s="312"/>
      <c r="AI446" s="308"/>
      <c r="AJ446" s="117"/>
      <c r="AK446" s="330"/>
      <c r="AL446" s="117"/>
      <c r="AM446" s="330"/>
      <c r="AN446" s="117"/>
      <c r="AO446" s="330"/>
      <c r="AP446" s="117"/>
      <c r="AQ446" s="330"/>
      <c r="AR446" s="117"/>
      <c r="AS446" s="1096" t="s">
        <v>159</v>
      </c>
      <c r="AT446" s="1097"/>
      <c r="AU446" s="1097"/>
      <c r="AV446" s="1097"/>
      <c r="AW446" s="1097"/>
      <c r="AX446" s="1097"/>
      <c r="AY446" s="1100"/>
      <c r="AZ446" s="257"/>
      <c r="BA446" s="257"/>
      <c r="BB446" s="1059" t="s">
        <v>162</v>
      </c>
      <c r="BC446" s="1060"/>
      <c r="BD446" s="1061" t="s">
        <v>159</v>
      </c>
      <c r="BE446" s="1061"/>
      <c r="BF446" s="1061"/>
      <c r="BG446" s="1062" t="s">
        <v>159</v>
      </c>
      <c r="BH446" s="1063"/>
      <c r="BI446" s="1063"/>
      <c r="BJ446" s="1064"/>
      <c r="BK446" s="1065"/>
      <c r="BL446" s="1066"/>
      <c r="BM446" s="1067"/>
      <c r="BN446" s="259"/>
      <c r="BO446" s="259"/>
      <c r="BP446" s="1062"/>
      <c r="BQ446" s="1063"/>
      <c r="BR446" s="1064"/>
      <c r="BS446" s="1061" t="s">
        <v>159</v>
      </c>
      <c r="BT446" s="1061"/>
      <c r="BU446" s="1061"/>
    </row>
    <row r="447" spans="1:73" ht="30" customHeight="1" x14ac:dyDescent="0.25">
      <c r="A447" s="199">
        <f t="shared" si="7"/>
        <v>433</v>
      </c>
      <c r="B447" s="1081" t="s">
        <v>162</v>
      </c>
      <c r="C447" s="1082"/>
      <c r="D447" s="1083" t="s">
        <v>159</v>
      </c>
      <c r="E447" s="1084"/>
      <c r="F447" s="1084"/>
      <c r="G447" s="1085"/>
      <c r="H447" s="1086" t="s">
        <v>159</v>
      </c>
      <c r="I447" s="1087"/>
      <c r="J447" s="1087"/>
      <c r="K447" s="1088"/>
      <c r="L447" s="1089" t="s">
        <v>159</v>
      </c>
      <c r="M447" s="1090"/>
      <c r="N447" s="1091"/>
      <c r="O447" s="1092" t="s">
        <v>159</v>
      </c>
      <c r="P447" s="1093"/>
      <c r="Q447" s="1094"/>
      <c r="R447" s="812"/>
      <c r="S447" s="1095"/>
      <c r="T447" s="813"/>
      <c r="U447" s="745"/>
      <c r="V447" s="940"/>
      <c r="W447" s="746"/>
      <c r="X447" s="312"/>
      <c r="Y447" s="308"/>
      <c r="Z447" s="312"/>
      <c r="AA447" s="308"/>
      <c r="AB447" s="312"/>
      <c r="AC447" s="308"/>
      <c r="AD447" s="312"/>
      <c r="AE447" s="308"/>
      <c r="AF447" s="312"/>
      <c r="AG447" s="308"/>
      <c r="AH447" s="312"/>
      <c r="AI447" s="308"/>
      <c r="AJ447" s="117"/>
      <c r="AK447" s="330"/>
      <c r="AL447" s="117"/>
      <c r="AM447" s="330"/>
      <c r="AN447" s="117"/>
      <c r="AO447" s="330"/>
      <c r="AP447" s="117"/>
      <c r="AQ447" s="330"/>
      <c r="AR447" s="117"/>
      <c r="AS447" s="1096" t="s">
        <v>159</v>
      </c>
      <c r="AT447" s="1097"/>
      <c r="AU447" s="1097"/>
      <c r="AV447" s="1097"/>
      <c r="AW447" s="1097"/>
      <c r="AX447" s="1097"/>
      <c r="AY447" s="1100"/>
      <c r="AZ447" s="257"/>
      <c r="BA447" s="257"/>
      <c r="BB447" s="1059" t="s">
        <v>162</v>
      </c>
      <c r="BC447" s="1060"/>
      <c r="BD447" s="1061" t="s">
        <v>159</v>
      </c>
      <c r="BE447" s="1061"/>
      <c r="BF447" s="1061"/>
      <c r="BG447" s="1062" t="s">
        <v>159</v>
      </c>
      <c r="BH447" s="1063"/>
      <c r="BI447" s="1063"/>
      <c r="BJ447" s="1064"/>
      <c r="BK447" s="1065"/>
      <c r="BL447" s="1066"/>
      <c r="BM447" s="1067"/>
      <c r="BN447" s="259"/>
      <c r="BO447" s="259"/>
      <c r="BP447" s="1062"/>
      <c r="BQ447" s="1063"/>
      <c r="BR447" s="1064"/>
      <c r="BS447" s="1061" t="s">
        <v>159</v>
      </c>
      <c r="BT447" s="1061"/>
      <c r="BU447" s="1061"/>
    </row>
    <row r="448" spans="1:73" ht="30" customHeight="1" x14ac:dyDescent="0.25">
      <c r="A448" s="199">
        <f t="shared" si="7"/>
        <v>434</v>
      </c>
      <c r="B448" s="1081" t="s">
        <v>162</v>
      </c>
      <c r="C448" s="1082"/>
      <c r="D448" s="1083" t="s">
        <v>159</v>
      </c>
      <c r="E448" s="1084"/>
      <c r="F448" s="1084"/>
      <c r="G448" s="1085"/>
      <c r="H448" s="1086" t="s">
        <v>159</v>
      </c>
      <c r="I448" s="1087"/>
      <c r="J448" s="1087"/>
      <c r="K448" s="1088"/>
      <c r="L448" s="1089" t="s">
        <v>159</v>
      </c>
      <c r="M448" s="1090"/>
      <c r="N448" s="1091"/>
      <c r="O448" s="1092" t="s">
        <v>159</v>
      </c>
      <c r="P448" s="1093"/>
      <c r="Q448" s="1094"/>
      <c r="R448" s="812"/>
      <c r="S448" s="1095"/>
      <c r="T448" s="813"/>
      <c r="U448" s="745"/>
      <c r="V448" s="940"/>
      <c r="W448" s="746"/>
      <c r="X448" s="312"/>
      <c r="Y448" s="308"/>
      <c r="Z448" s="312"/>
      <c r="AA448" s="308"/>
      <c r="AB448" s="312"/>
      <c r="AC448" s="308"/>
      <c r="AD448" s="312"/>
      <c r="AE448" s="308"/>
      <c r="AF448" s="312"/>
      <c r="AG448" s="308"/>
      <c r="AH448" s="312"/>
      <c r="AI448" s="308"/>
      <c r="AJ448" s="117"/>
      <c r="AK448" s="330"/>
      <c r="AL448" s="117"/>
      <c r="AM448" s="330"/>
      <c r="AN448" s="117"/>
      <c r="AO448" s="330"/>
      <c r="AP448" s="117"/>
      <c r="AQ448" s="330"/>
      <c r="AR448" s="117"/>
      <c r="AS448" s="1096" t="s">
        <v>159</v>
      </c>
      <c r="AT448" s="1097"/>
      <c r="AU448" s="1097"/>
      <c r="AV448" s="1097"/>
      <c r="AW448" s="1097"/>
      <c r="AX448" s="1097"/>
      <c r="AY448" s="1100"/>
      <c r="AZ448" s="257"/>
      <c r="BA448" s="257"/>
      <c r="BB448" s="1059" t="s">
        <v>162</v>
      </c>
      <c r="BC448" s="1060"/>
      <c r="BD448" s="1061" t="s">
        <v>159</v>
      </c>
      <c r="BE448" s="1061"/>
      <c r="BF448" s="1061"/>
      <c r="BG448" s="1062" t="s">
        <v>159</v>
      </c>
      <c r="BH448" s="1063"/>
      <c r="BI448" s="1063"/>
      <c r="BJ448" s="1064"/>
      <c r="BK448" s="1065"/>
      <c r="BL448" s="1066"/>
      <c r="BM448" s="1067"/>
      <c r="BN448" s="259"/>
      <c r="BO448" s="259"/>
      <c r="BP448" s="1062"/>
      <c r="BQ448" s="1063"/>
      <c r="BR448" s="1064"/>
      <c r="BS448" s="1061" t="s">
        <v>159</v>
      </c>
      <c r="BT448" s="1061"/>
      <c r="BU448" s="1061"/>
    </row>
    <row r="449" spans="1:73" ht="30" customHeight="1" x14ac:dyDescent="0.25">
      <c r="A449" s="199">
        <f t="shared" si="7"/>
        <v>435</v>
      </c>
      <c r="B449" s="1081" t="s">
        <v>162</v>
      </c>
      <c r="C449" s="1082"/>
      <c r="D449" s="1083" t="s">
        <v>159</v>
      </c>
      <c r="E449" s="1084"/>
      <c r="F449" s="1084"/>
      <c r="G449" s="1085"/>
      <c r="H449" s="1086" t="s">
        <v>159</v>
      </c>
      <c r="I449" s="1087"/>
      <c r="J449" s="1087"/>
      <c r="K449" s="1088"/>
      <c r="L449" s="1089" t="s">
        <v>159</v>
      </c>
      <c r="M449" s="1090"/>
      <c r="N449" s="1091"/>
      <c r="O449" s="1092" t="s">
        <v>159</v>
      </c>
      <c r="P449" s="1093"/>
      <c r="Q449" s="1094"/>
      <c r="R449" s="812"/>
      <c r="S449" s="1095"/>
      <c r="T449" s="813"/>
      <c r="U449" s="745"/>
      <c r="V449" s="940"/>
      <c r="W449" s="746"/>
      <c r="X449" s="312"/>
      <c r="Y449" s="308"/>
      <c r="Z449" s="312"/>
      <c r="AA449" s="308"/>
      <c r="AB449" s="312"/>
      <c r="AC449" s="308"/>
      <c r="AD449" s="312"/>
      <c r="AE449" s="308"/>
      <c r="AF449" s="312"/>
      <c r="AG449" s="308"/>
      <c r="AH449" s="312"/>
      <c r="AI449" s="308"/>
      <c r="AJ449" s="117"/>
      <c r="AK449" s="330"/>
      <c r="AL449" s="117"/>
      <c r="AM449" s="330"/>
      <c r="AN449" s="117"/>
      <c r="AO449" s="330"/>
      <c r="AP449" s="117"/>
      <c r="AQ449" s="330"/>
      <c r="AR449" s="117"/>
      <c r="AS449" s="1096" t="s">
        <v>159</v>
      </c>
      <c r="AT449" s="1097"/>
      <c r="AU449" s="1097"/>
      <c r="AV449" s="1097"/>
      <c r="AW449" s="1097"/>
      <c r="AX449" s="1097"/>
      <c r="AY449" s="1100"/>
      <c r="AZ449" s="257"/>
      <c r="BA449" s="257"/>
      <c r="BB449" s="1059" t="s">
        <v>162</v>
      </c>
      <c r="BC449" s="1060"/>
      <c r="BD449" s="1061" t="s">
        <v>159</v>
      </c>
      <c r="BE449" s="1061"/>
      <c r="BF449" s="1061"/>
      <c r="BG449" s="1062" t="s">
        <v>159</v>
      </c>
      <c r="BH449" s="1063"/>
      <c r="BI449" s="1063"/>
      <c r="BJ449" s="1064"/>
      <c r="BK449" s="1065"/>
      <c r="BL449" s="1066"/>
      <c r="BM449" s="1067"/>
      <c r="BN449" s="259"/>
      <c r="BO449" s="259"/>
      <c r="BP449" s="1062"/>
      <c r="BQ449" s="1063"/>
      <c r="BR449" s="1064"/>
      <c r="BS449" s="1061" t="s">
        <v>159</v>
      </c>
      <c r="BT449" s="1061"/>
      <c r="BU449" s="1061"/>
    </row>
    <row r="450" spans="1:73" ht="30" customHeight="1" x14ac:dyDescent="0.25">
      <c r="A450" s="199">
        <f t="shared" si="7"/>
        <v>436</v>
      </c>
      <c r="B450" s="1081" t="s">
        <v>162</v>
      </c>
      <c r="C450" s="1082"/>
      <c r="D450" s="1083" t="s">
        <v>159</v>
      </c>
      <c r="E450" s="1084"/>
      <c r="F450" s="1084"/>
      <c r="G450" s="1085"/>
      <c r="H450" s="1086" t="s">
        <v>159</v>
      </c>
      <c r="I450" s="1087"/>
      <c r="J450" s="1087"/>
      <c r="K450" s="1088"/>
      <c r="L450" s="1089" t="s">
        <v>159</v>
      </c>
      <c r="M450" s="1090"/>
      <c r="N450" s="1091"/>
      <c r="O450" s="1092" t="s">
        <v>159</v>
      </c>
      <c r="P450" s="1093"/>
      <c r="Q450" s="1094"/>
      <c r="R450" s="812"/>
      <c r="S450" s="1095"/>
      <c r="T450" s="813"/>
      <c r="U450" s="745"/>
      <c r="V450" s="940"/>
      <c r="W450" s="746"/>
      <c r="X450" s="312"/>
      <c r="Y450" s="308"/>
      <c r="Z450" s="312"/>
      <c r="AA450" s="308"/>
      <c r="AB450" s="312"/>
      <c r="AC450" s="308"/>
      <c r="AD450" s="312"/>
      <c r="AE450" s="308"/>
      <c r="AF450" s="312"/>
      <c r="AG450" s="308"/>
      <c r="AH450" s="312"/>
      <c r="AI450" s="308"/>
      <c r="AJ450" s="117"/>
      <c r="AK450" s="330"/>
      <c r="AL450" s="117"/>
      <c r="AM450" s="330"/>
      <c r="AN450" s="117"/>
      <c r="AO450" s="330"/>
      <c r="AP450" s="117"/>
      <c r="AQ450" s="330"/>
      <c r="AR450" s="117"/>
      <c r="AS450" s="1096" t="s">
        <v>159</v>
      </c>
      <c r="AT450" s="1097"/>
      <c r="AU450" s="1097"/>
      <c r="AV450" s="1097"/>
      <c r="AW450" s="1097"/>
      <c r="AX450" s="1097"/>
      <c r="AY450" s="1100"/>
      <c r="AZ450" s="257"/>
      <c r="BA450" s="257"/>
      <c r="BB450" s="1059" t="s">
        <v>162</v>
      </c>
      <c r="BC450" s="1060"/>
      <c r="BD450" s="1061" t="s">
        <v>159</v>
      </c>
      <c r="BE450" s="1061"/>
      <c r="BF450" s="1061"/>
      <c r="BG450" s="1062" t="s">
        <v>159</v>
      </c>
      <c r="BH450" s="1063"/>
      <c r="BI450" s="1063"/>
      <c r="BJ450" s="1064"/>
      <c r="BK450" s="1065"/>
      <c r="BL450" s="1066"/>
      <c r="BM450" s="1067"/>
      <c r="BN450" s="259"/>
      <c r="BO450" s="259"/>
      <c r="BP450" s="1062"/>
      <c r="BQ450" s="1063"/>
      <c r="BR450" s="1064"/>
      <c r="BS450" s="1061" t="s">
        <v>159</v>
      </c>
      <c r="BT450" s="1061"/>
      <c r="BU450" s="1061"/>
    </row>
    <row r="451" spans="1:73" ht="30" customHeight="1" x14ac:dyDescent="0.25">
      <c r="A451" s="199">
        <f t="shared" si="7"/>
        <v>437</v>
      </c>
      <c r="B451" s="1081" t="s">
        <v>162</v>
      </c>
      <c r="C451" s="1082"/>
      <c r="D451" s="1083" t="s">
        <v>159</v>
      </c>
      <c r="E451" s="1084"/>
      <c r="F451" s="1084"/>
      <c r="G451" s="1085"/>
      <c r="H451" s="1086" t="s">
        <v>159</v>
      </c>
      <c r="I451" s="1087"/>
      <c r="J451" s="1087"/>
      <c r="K451" s="1088"/>
      <c r="L451" s="1089" t="s">
        <v>159</v>
      </c>
      <c r="M451" s="1090"/>
      <c r="N451" s="1091"/>
      <c r="O451" s="1092" t="s">
        <v>159</v>
      </c>
      <c r="P451" s="1093"/>
      <c r="Q451" s="1094"/>
      <c r="R451" s="812"/>
      <c r="S451" s="1095"/>
      <c r="T451" s="813"/>
      <c r="U451" s="745"/>
      <c r="V451" s="940"/>
      <c r="W451" s="746"/>
      <c r="X451" s="312"/>
      <c r="Y451" s="308"/>
      <c r="Z451" s="312"/>
      <c r="AA451" s="308"/>
      <c r="AB451" s="312"/>
      <c r="AC451" s="308"/>
      <c r="AD451" s="312"/>
      <c r="AE451" s="308"/>
      <c r="AF451" s="312"/>
      <c r="AG451" s="308"/>
      <c r="AH451" s="312"/>
      <c r="AI451" s="308"/>
      <c r="AJ451" s="117"/>
      <c r="AK451" s="330"/>
      <c r="AL451" s="117"/>
      <c r="AM451" s="330"/>
      <c r="AN451" s="117"/>
      <c r="AO451" s="330"/>
      <c r="AP451" s="117"/>
      <c r="AQ451" s="330"/>
      <c r="AR451" s="117"/>
      <c r="AS451" s="1096" t="s">
        <v>159</v>
      </c>
      <c r="AT451" s="1097"/>
      <c r="AU451" s="1097"/>
      <c r="AV451" s="1097"/>
      <c r="AW451" s="1097"/>
      <c r="AX451" s="1097"/>
      <c r="AY451" s="1100"/>
      <c r="AZ451" s="257"/>
      <c r="BA451" s="257"/>
      <c r="BB451" s="1059" t="s">
        <v>162</v>
      </c>
      <c r="BC451" s="1060"/>
      <c r="BD451" s="1061" t="s">
        <v>159</v>
      </c>
      <c r="BE451" s="1061"/>
      <c r="BF451" s="1061"/>
      <c r="BG451" s="1062" t="s">
        <v>159</v>
      </c>
      <c r="BH451" s="1063"/>
      <c r="BI451" s="1063"/>
      <c r="BJ451" s="1064"/>
      <c r="BK451" s="1065"/>
      <c r="BL451" s="1066"/>
      <c r="BM451" s="1067"/>
      <c r="BN451" s="259"/>
      <c r="BO451" s="259"/>
      <c r="BP451" s="1062"/>
      <c r="BQ451" s="1063"/>
      <c r="BR451" s="1064"/>
      <c r="BS451" s="1061" t="s">
        <v>159</v>
      </c>
      <c r="BT451" s="1061"/>
      <c r="BU451" s="1061"/>
    </row>
    <row r="452" spans="1:73" ht="30" customHeight="1" x14ac:dyDescent="0.25">
      <c r="A452" s="199">
        <f t="shared" si="7"/>
        <v>438</v>
      </c>
      <c r="B452" s="1081" t="s">
        <v>162</v>
      </c>
      <c r="C452" s="1082"/>
      <c r="D452" s="1083" t="s">
        <v>159</v>
      </c>
      <c r="E452" s="1084"/>
      <c r="F452" s="1084"/>
      <c r="G452" s="1085"/>
      <c r="H452" s="1086" t="s">
        <v>159</v>
      </c>
      <c r="I452" s="1087"/>
      <c r="J452" s="1087"/>
      <c r="K452" s="1088"/>
      <c r="L452" s="1089" t="s">
        <v>159</v>
      </c>
      <c r="M452" s="1090"/>
      <c r="N452" s="1091"/>
      <c r="O452" s="1092" t="s">
        <v>159</v>
      </c>
      <c r="P452" s="1093"/>
      <c r="Q452" s="1094"/>
      <c r="R452" s="812"/>
      <c r="S452" s="1095"/>
      <c r="T452" s="813"/>
      <c r="U452" s="745"/>
      <c r="V452" s="940"/>
      <c r="W452" s="746"/>
      <c r="X452" s="312"/>
      <c r="Y452" s="308"/>
      <c r="Z452" s="312"/>
      <c r="AA452" s="308"/>
      <c r="AB452" s="312"/>
      <c r="AC452" s="308"/>
      <c r="AD452" s="312"/>
      <c r="AE452" s="308"/>
      <c r="AF452" s="312"/>
      <c r="AG452" s="308"/>
      <c r="AH452" s="312"/>
      <c r="AI452" s="308"/>
      <c r="AJ452" s="117"/>
      <c r="AK452" s="330"/>
      <c r="AL452" s="117"/>
      <c r="AM452" s="330"/>
      <c r="AN452" s="117"/>
      <c r="AO452" s="330"/>
      <c r="AP452" s="117"/>
      <c r="AQ452" s="330"/>
      <c r="AR452" s="117"/>
      <c r="AS452" s="1096" t="s">
        <v>159</v>
      </c>
      <c r="AT452" s="1097"/>
      <c r="AU452" s="1097"/>
      <c r="AV452" s="1097"/>
      <c r="AW452" s="1097"/>
      <c r="AX452" s="1097"/>
      <c r="AY452" s="1100"/>
      <c r="AZ452" s="257"/>
      <c r="BA452" s="257"/>
      <c r="BB452" s="1059" t="s">
        <v>162</v>
      </c>
      <c r="BC452" s="1060"/>
      <c r="BD452" s="1061" t="s">
        <v>159</v>
      </c>
      <c r="BE452" s="1061"/>
      <c r="BF452" s="1061"/>
      <c r="BG452" s="1062" t="s">
        <v>159</v>
      </c>
      <c r="BH452" s="1063"/>
      <c r="BI452" s="1063"/>
      <c r="BJ452" s="1064"/>
      <c r="BK452" s="1065"/>
      <c r="BL452" s="1066"/>
      <c r="BM452" s="1067"/>
      <c r="BN452" s="259"/>
      <c r="BO452" s="259"/>
      <c r="BP452" s="1062"/>
      <c r="BQ452" s="1063"/>
      <c r="BR452" s="1064"/>
      <c r="BS452" s="1061" t="s">
        <v>159</v>
      </c>
      <c r="BT452" s="1061"/>
      <c r="BU452" s="1061"/>
    </row>
    <row r="453" spans="1:73" ht="30" customHeight="1" x14ac:dyDescent="0.25">
      <c r="A453" s="199">
        <f t="shared" si="7"/>
        <v>439</v>
      </c>
      <c r="B453" s="1081" t="s">
        <v>162</v>
      </c>
      <c r="C453" s="1082"/>
      <c r="D453" s="1083" t="s">
        <v>159</v>
      </c>
      <c r="E453" s="1084"/>
      <c r="F453" s="1084"/>
      <c r="G453" s="1085"/>
      <c r="H453" s="1086" t="s">
        <v>159</v>
      </c>
      <c r="I453" s="1087"/>
      <c r="J453" s="1087"/>
      <c r="K453" s="1088"/>
      <c r="L453" s="1089" t="s">
        <v>159</v>
      </c>
      <c r="M453" s="1090"/>
      <c r="N453" s="1091"/>
      <c r="O453" s="1092" t="s">
        <v>159</v>
      </c>
      <c r="P453" s="1093"/>
      <c r="Q453" s="1094"/>
      <c r="R453" s="812"/>
      <c r="S453" s="1095"/>
      <c r="T453" s="813"/>
      <c r="U453" s="745"/>
      <c r="V453" s="940"/>
      <c r="W453" s="746"/>
      <c r="X453" s="312"/>
      <c r="Y453" s="308"/>
      <c r="Z453" s="312"/>
      <c r="AA453" s="308"/>
      <c r="AB453" s="312"/>
      <c r="AC453" s="308"/>
      <c r="AD453" s="312"/>
      <c r="AE453" s="308"/>
      <c r="AF453" s="312"/>
      <c r="AG453" s="308"/>
      <c r="AH453" s="312"/>
      <c r="AI453" s="308"/>
      <c r="AJ453" s="117"/>
      <c r="AK453" s="330"/>
      <c r="AL453" s="117"/>
      <c r="AM453" s="330"/>
      <c r="AN453" s="117"/>
      <c r="AO453" s="330"/>
      <c r="AP453" s="117"/>
      <c r="AQ453" s="330"/>
      <c r="AR453" s="117"/>
      <c r="AS453" s="1096" t="s">
        <v>159</v>
      </c>
      <c r="AT453" s="1097"/>
      <c r="AU453" s="1097"/>
      <c r="AV453" s="1097"/>
      <c r="AW453" s="1097"/>
      <c r="AX453" s="1097"/>
      <c r="AY453" s="1100"/>
      <c r="AZ453" s="257"/>
      <c r="BA453" s="257"/>
      <c r="BB453" s="1059" t="s">
        <v>162</v>
      </c>
      <c r="BC453" s="1060"/>
      <c r="BD453" s="1061" t="s">
        <v>159</v>
      </c>
      <c r="BE453" s="1061"/>
      <c r="BF453" s="1061"/>
      <c r="BG453" s="1062" t="s">
        <v>159</v>
      </c>
      <c r="BH453" s="1063"/>
      <c r="BI453" s="1063"/>
      <c r="BJ453" s="1064"/>
      <c r="BK453" s="1065"/>
      <c r="BL453" s="1066"/>
      <c r="BM453" s="1067"/>
      <c r="BN453" s="259"/>
      <c r="BO453" s="259"/>
      <c r="BP453" s="1062"/>
      <c r="BQ453" s="1063"/>
      <c r="BR453" s="1064"/>
      <c r="BS453" s="1061" t="s">
        <v>159</v>
      </c>
      <c r="BT453" s="1061"/>
      <c r="BU453" s="1061"/>
    </row>
    <row r="454" spans="1:73" ht="30" customHeight="1" x14ac:dyDescent="0.25">
      <c r="A454" s="199">
        <f t="shared" si="7"/>
        <v>440</v>
      </c>
      <c r="B454" s="1081" t="s">
        <v>162</v>
      </c>
      <c r="C454" s="1082"/>
      <c r="D454" s="1083" t="s">
        <v>159</v>
      </c>
      <c r="E454" s="1084"/>
      <c r="F454" s="1084"/>
      <c r="G454" s="1085"/>
      <c r="H454" s="1086" t="s">
        <v>159</v>
      </c>
      <c r="I454" s="1087"/>
      <c r="J454" s="1087"/>
      <c r="K454" s="1088"/>
      <c r="L454" s="1089" t="s">
        <v>159</v>
      </c>
      <c r="M454" s="1090"/>
      <c r="N454" s="1091"/>
      <c r="O454" s="1092" t="s">
        <v>159</v>
      </c>
      <c r="P454" s="1093"/>
      <c r="Q454" s="1094"/>
      <c r="R454" s="812"/>
      <c r="S454" s="1095"/>
      <c r="T454" s="813"/>
      <c r="U454" s="745"/>
      <c r="V454" s="940"/>
      <c r="W454" s="746"/>
      <c r="X454" s="312"/>
      <c r="Y454" s="308"/>
      <c r="Z454" s="312"/>
      <c r="AA454" s="308"/>
      <c r="AB454" s="312"/>
      <c r="AC454" s="308"/>
      <c r="AD454" s="312"/>
      <c r="AE454" s="308"/>
      <c r="AF454" s="312"/>
      <c r="AG454" s="308"/>
      <c r="AH454" s="312"/>
      <c r="AI454" s="308"/>
      <c r="AJ454" s="117"/>
      <c r="AK454" s="330"/>
      <c r="AL454" s="117"/>
      <c r="AM454" s="330"/>
      <c r="AN454" s="117"/>
      <c r="AO454" s="330"/>
      <c r="AP454" s="117"/>
      <c r="AQ454" s="330"/>
      <c r="AR454" s="117"/>
      <c r="AS454" s="1096" t="s">
        <v>159</v>
      </c>
      <c r="AT454" s="1097"/>
      <c r="AU454" s="1097"/>
      <c r="AV454" s="1097"/>
      <c r="AW454" s="1097"/>
      <c r="AX454" s="1097"/>
      <c r="AY454" s="1100"/>
      <c r="AZ454" s="257"/>
      <c r="BA454" s="257"/>
      <c r="BB454" s="1059" t="s">
        <v>162</v>
      </c>
      <c r="BC454" s="1060"/>
      <c r="BD454" s="1061" t="s">
        <v>159</v>
      </c>
      <c r="BE454" s="1061"/>
      <c r="BF454" s="1061"/>
      <c r="BG454" s="1062" t="s">
        <v>159</v>
      </c>
      <c r="BH454" s="1063"/>
      <c r="BI454" s="1063"/>
      <c r="BJ454" s="1064"/>
      <c r="BK454" s="1065"/>
      <c r="BL454" s="1066"/>
      <c r="BM454" s="1067"/>
      <c r="BN454" s="259"/>
      <c r="BO454" s="259"/>
      <c r="BP454" s="1062"/>
      <c r="BQ454" s="1063"/>
      <c r="BR454" s="1064"/>
      <c r="BS454" s="1061" t="s">
        <v>159</v>
      </c>
      <c r="BT454" s="1061"/>
      <c r="BU454" s="1061"/>
    </row>
    <row r="455" spans="1:73" ht="30" customHeight="1" x14ac:dyDescent="0.25">
      <c r="A455" s="199">
        <f t="shared" si="7"/>
        <v>441</v>
      </c>
      <c r="B455" s="1081" t="s">
        <v>162</v>
      </c>
      <c r="C455" s="1082"/>
      <c r="D455" s="1083" t="s">
        <v>159</v>
      </c>
      <c r="E455" s="1084"/>
      <c r="F455" s="1084"/>
      <c r="G455" s="1085"/>
      <c r="H455" s="1086" t="s">
        <v>159</v>
      </c>
      <c r="I455" s="1087"/>
      <c r="J455" s="1087"/>
      <c r="K455" s="1088"/>
      <c r="L455" s="1089" t="s">
        <v>159</v>
      </c>
      <c r="M455" s="1090"/>
      <c r="N455" s="1091"/>
      <c r="O455" s="1092" t="s">
        <v>159</v>
      </c>
      <c r="P455" s="1093"/>
      <c r="Q455" s="1094"/>
      <c r="R455" s="812"/>
      <c r="S455" s="1095"/>
      <c r="T455" s="813"/>
      <c r="U455" s="745"/>
      <c r="V455" s="940"/>
      <c r="W455" s="746"/>
      <c r="X455" s="312"/>
      <c r="Y455" s="308"/>
      <c r="Z455" s="312"/>
      <c r="AA455" s="308"/>
      <c r="AB455" s="312"/>
      <c r="AC455" s="308"/>
      <c r="AD455" s="312"/>
      <c r="AE455" s="308"/>
      <c r="AF455" s="312"/>
      <c r="AG455" s="308"/>
      <c r="AH455" s="312"/>
      <c r="AI455" s="308"/>
      <c r="AJ455" s="117"/>
      <c r="AK455" s="330"/>
      <c r="AL455" s="117"/>
      <c r="AM455" s="330"/>
      <c r="AN455" s="117"/>
      <c r="AO455" s="330"/>
      <c r="AP455" s="117"/>
      <c r="AQ455" s="330"/>
      <c r="AR455" s="117"/>
      <c r="AS455" s="1096" t="s">
        <v>159</v>
      </c>
      <c r="AT455" s="1097"/>
      <c r="AU455" s="1097"/>
      <c r="AV455" s="1097"/>
      <c r="AW455" s="1097"/>
      <c r="AX455" s="1097"/>
      <c r="AY455" s="1100"/>
      <c r="AZ455" s="257"/>
      <c r="BA455" s="257"/>
      <c r="BB455" s="1059" t="s">
        <v>162</v>
      </c>
      <c r="BC455" s="1060"/>
      <c r="BD455" s="1061" t="s">
        <v>159</v>
      </c>
      <c r="BE455" s="1061"/>
      <c r="BF455" s="1061"/>
      <c r="BG455" s="1062" t="s">
        <v>159</v>
      </c>
      <c r="BH455" s="1063"/>
      <c r="BI455" s="1063"/>
      <c r="BJ455" s="1064"/>
      <c r="BK455" s="1065"/>
      <c r="BL455" s="1066"/>
      <c r="BM455" s="1067"/>
      <c r="BN455" s="259"/>
      <c r="BO455" s="259"/>
      <c r="BP455" s="1062"/>
      <c r="BQ455" s="1063"/>
      <c r="BR455" s="1064"/>
      <c r="BS455" s="1061" t="s">
        <v>159</v>
      </c>
      <c r="BT455" s="1061"/>
      <c r="BU455" s="1061"/>
    </row>
    <row r="456" spans="1:73" ht="30" customHeight="1" x14ac:dyDescent="0.25">
      <c r="A456" s="199">
        <f t="shared" si="7"/>
        <v>442</v>
      </c>
      <c r="B456" s="1081" t="s">
        <v>162</v>
      </c>
      <c r="C456" s="1082"/>
      <c r="D456" s="1083" t="s">
        <v>159</v>
      </c>
      <c r="E456" s="1084"/>
      <c r="F456" s="1084"/>
      <c r="G456" s="1085"/>
      <c r="H456" s="1086" t="s">
        <v>159</v>
      </c>
      <c r="I456" s="1087"/>
      <c r="J456" s="1087"/>
      <c r="K456" s="1088"/>
      <c r="L456" s="1089" t="s">
        <v>159</v>
      </c>
      <c r="M456" s="1090"/>
      <c r="N456" s="1091"/>
      <c r="O456" s="1092" t="s">
        <v>159</v>
      </c>
      <c r="P456" s="1093"/>
      <c r="Q456" s="1094"/>
      <c r="R456" s="812"/>
      <c r="S456" s="1095"/>
      <c r="T456" s="813"/>
      <c r="U456" s="745"/>
      <c r="V456" s="940"/>
      <c r="W456" s="746"/>
      <c r="X456" s="312"/>
      <c r="Y456" s="308"/>
      <c r="Z456" s="312"/>
      <c r="AA456" s="308"/>
      <c r="AB456" s="312"/>
      <c r="AC456" s="308"/>
      <c r="AD456" s="312"/>
      <c r="AE456" s="308"/>
      <c r="AF456" s="312"/>
      <c r="AG456" s="308"/>
      <c r="AH456" s="312"/>
      <c r="AI456" s="308"/>
      <c r="AJ456" s="117"/>
      <c r="AK456" s="330"/>
      <c r="AL456" s="117"/>
      <c r="AM456" s="330"/>
      <c r="AN456" s="117"/>
      <c r="AO456" s="330"/>
      <c r="AP456" s="117"/>
      <c r="AQ456" s="330"/>
      <c r="AR456" s="117"/>
      <c r="AS456" s="1096" t="s">
        <v>159</v>
      </c>
      <c r="AT456" s="1097"/>
      <c r="AU456" s="1097"/>
      <c r="AV456" s="1097"/>
      <c r="AW456" s="1097"/>
      <c r="AX456" s="1097"/>
      <c r="AY456" s="1100"/>
      <c r="AZ456" s="257"/>
      <c r="BA456" s="257"/>
      <c r="BB456" s="1059" t="s">
        <v>162</v>
      </c>
      <c r="BC456" s="1060"/>
      <c r="BD456" s="1061" t="s">
        <v>159</v>
      </c>
      <c r="BE456" s="1061"/>
      <c r="BF456" s="1061"/>
      <c r="BG456" s="1062" t="s">
        <v>159</v>
      </c>
      <c r="BH456" s="1063"/>
      <c r="BI456" s="1063"/>
      <c r="BJ456" s="1064"/>
      <c r="BK456" s="1065"/>
      <c r="BL456" s="1066"/>
      <c r="BM456" s="1067"/>
      <c r="BN456" s="259"/>
      <c r="BO456" s="259"/>
      <c r="BP456" s="1062"/>
      <c r="BQ456" s="1063"/>
      <c r="BR456" s="1064"/>
      <c r="BS456" s="1061" t="s">
        <v>159</v>
      </c>
      <c r="BT456" s="1061"/>
      <c r="BU456" s="1061"/>
    </row>
    <row r="457" spans="1:73" ht="30" customHeight="1" x14ac:dyDescent="0.25">
      <c r="A457" s="199">
        <f t="shared" si="7"/>
        <v>443</v>
      </c>
      <c r="B457" s="1081" t="s">
        <v>162</v>
      </c>
      <c r="C457" s="1082"/>
      <c r="D457" s="1083" t="s">
        <v>159</v>
      </c>
      <c r="E457" s="1084"/>
      <c r="F457" s="1084"/>
      <c r="G457" s="1085"/>
      <c r="H457" s="1086" t="s">
        <v>159</v>
      </c>
      <c r="I457" s="1087"/>
      <c r="J457" s="1087"/>
      <c r="K457" s="1088"/>
      <c r="L457" s="1089" t="s">
        <v>159</v>
      </c>
      <c r="M457" s="1090"/>
      <c r="N457" s="1091"/>
      <c r="O457" s="1092" t="s">
        <v>159</v>
      </c>
      <c r="P457" s="1093"/>
      <c r="Q457" s="1094"/>
      <c r="R457" s="812"/>
      <c r="S457" s="1095"/>
      <c r="T457" s="813"/>
      <c r="U457" s="745"/>
      <c r="V457" s="940"/>
      <c r="W457" s="746"/>
      <c r="X457" s="312"/>
      <c r="Y457" s="308"/>
      <c r="Z457" s="312"/>
      <c r="AA457" s="308"/>
      <c r="AB457" s="312"/>
      <c r="AC457" s="308"/>
      <c r="AD457" s="312"/>
      <c r="AE457" s="308"/>
      <c r="AF457" s="312"/>
      <c r="AG457" s="308"/>
      <c r="AH457" s="312"/>
      <c r="AI457" s="308"/>
      <c r="AJ457" s="117"/>
      <c r="AK457" s="330"/>
      <c r="AL457" s="117"/>
      <c r="AM457" s="330"/>
      <c r="AN457" s="117"/>
      <c r="AO457" s="330"/>
      <c r="AP457" s="117"/>
      <c r="AQ457" s="330"/>
      <c r="AR457" s="117"/>
      <c r="AS457" s="1096" t="s">
        <v>159</v>
      </c>
      <c r="AT457" s="1097"/>
      <c r="AU457" s="1097"/>
      <c r="AV457" s="1097"/>
      <c r="AW457" s="1097"/>
      <c r="AX457" s="1097"/>
      <c r="AY457" s="1100"/>
      <c r="AZ457" s="257"/>
      <c r="BA457" s="257"/>
      <c r="BB457" s="1059" t="s">
        <v>162</v>
      </c>
      <c r="BC457" s="1060"/>
      <c r="BD457" s="1061" t="s">
        <v>159</v>
      </c>
      <c r="BE457" s="1061"/>
      <c r="BF457" s="1061"/>
      <c r="BG457" s="1062" t="s">
        <v>159</v>
      </c>
      <c r="BH457" s="1063"/>
      <c r="BI457" s="1063"/>
      <c r="BJ457" s="1064"/>
      <c r="BK457" s="1065"/>
      <c r="BL457" s="1066"/>
      <c r="BM457" s="1067"/>
      <c r="BN457" s="259"/>
      <c r="BO457" s="259"/>
      <c r="BP457" s="1062"/>
      <c r="BQ457" s="1063"/>
      <c r="BR457" s="1064"/>
      <c r="BS457" s="1061" t="s">
        <v>159</v>
      </c>
      <c r="BT457" s="1061"/>
      <c r="BU457" s="1061"/>
    </row>
    <row r="458" spans="1:73" ht="30" customHeight="1" x14ac:dyDescent="0.25">
      <c r="A458" s="199">
        <f t="shared" si="7"/>
        <v>444</v>
      </c>
      <c r="B458" s="1081" t="s">
        <v>162</v>
      </c>
      <c r="C458" s="1082"/>
      <c r="D458" s="1083" t="s">
        <v>159</v>
      </c>
      <c r="E458" s="1084"/>
      <c r="F458" s="1084"/>
      <c r="G458" s="1085"/>
      <c r="H458" s="1086" t="s">
        <v>159</v>
      </c>
      <c r="I458" s="1087"/>
      <c r="J458" s="1087"/>
      <c r="K458" s="1088"/>
      <c r="L458" s="1089" t="s">
        <v>159</v>
      </c>
      <c r="M458" s="1090"/>
      <c r="N458" s="1091"/>
      <c r="O458" s="1092" t="s">
        <v>159</v>
      </c>
      <c r="P458" s="1093"/>
      <c r="Q458" s="1094"/>
      <c r="R458" s="812"/>
      <c r="S458" s="1095"/>
      <c r="T458" s="813"/>
      <c r="U458" s="745"/>
      <c r="V458" s="940"/>
      <c r="W458" s="746"/>
      <c r="X458" s="312"/>
      <c r="Y458" s="308"/>
      <c r="Z458" s="312"/>
      <c r="AA458" s="308"/>
      <c r="AB458" s="312"/>
      <c r="AC458" s="308"/>
      <c r="AD458" s="312"/>
      <c r="AE458" s="308"/>
      <c r="AF458" s="312"/>
      <c r="AG458" s="308"/>
      <c r="AH458" s="312"/>
      <c r="AI458" s="308"/>
      <c r="AJ458" s="117"/>
      <c r="AK458" s="330"/>
      <c r="AL458" s="117"/>
      <c r="AM458" s="330"/>
      <c r="AN458" s="117"/>
      <c r="AO458" s="330"/>
      <c r="AP458" s="117"/>
      <c r="AQ458" s="330"/>
      <c r="AR458" s="117"/>
      <c r="AS458" s="1096" t="s">
        <v>159</v>
      </c>
      <c r="AT458" s="1097"/>
      <c r="AU458" s="1097"/>
      <c r="AV458" s="1097"/>
      <c r="AW458" s="1097"/>
      <c r="AX458" s="1097"/>
      <c r="AY458" s="1100"/>
      <c r="AZ458" s="257"/>
      <c r="BA458" s="257"/>
      <c r="BB458" s="1059" t="s">
        <v>162</v>
      </c>
      <c r="BC458" s="1060"/>
      <c r="BD458" s="1061" t="s">
        <v>159</v>
      </c>
      <c r="BE458" s="1061"/>
      <c r="BF458" s="1061"/>
      <c r="BG458" s="1062" t="s">
        <v>159</v>
      </c>
      <c r="BH458" s="1063"/>
      <c r="BI458" s="1063"/>
      <c r="BJ458" s="1064"/>
      <c r="BK458" s="1065"/>
      <c r="BL458" s="1066"/>
      <c r="BM458" s="1067"/>
      <c r="BN458" s="259"/>
      <c r="BO458" s="259"/>
      <c r="BP458" s="1062"/>
      <c r="BQ458" s="1063"/>
      <c r="BR458" s="1064"/>
      <c r="BS458" s="1061" t="s">
        <v>159</v>
      </c>
      <c r="BT458" s="1061"/>
      <c r="BU458" s="1061"/>
    </row>
    <row r="459" spans="1:73" ht="30" customHeight="1" x14ac:dyDescent="0.25">
      <c r="A459" s="199">
        <f t="shared" si="7"/>
        <v>445</v>
      </c>
      <c r="B459" s="1081" t="s">
        <v>162</v>
      </c>
      <c r="C459" s="1082"/>
      <c r="D459" s="1083" t="s">
        <v>159</v>
      </c>
      <c r="E459" s="1084"/>
      <c r="F459" s="1084"/>
      <c r="G459" s="1085"/>
      <c r="H459" s="1086" t="s">
        <v>159</v>
      </c>
      <c r="I459" s="1087"/>
      <c r="J459" s="1087"/>
      <c r="K459" s="1088"/>
      <c r="L459" s="1089" t="s">
        <v>159</v>
      </c>
      <c r="M459" s="1090"/>
      <c r="N459" s="1091"/>
      <c r="O459" s="1092" t="s">
        <v>159</v>
      </c>
      <c r="P459" s="1093"/>
      <c r="Q459" s="1094"/>
      <c r="R459" s="812"/>
      <c r="S459" s="1095"/>
      <c r="T459" s="813"/>
      <c r="U459" s="745"/>
      <c r="V459" s="940"/>
      <c r="W459" s="746"/>
      <c r="X459" s="312"/>
      <c r="Y459" s="308"/>
      <c r="Z459" s="312"/>
      <c r="AA459" s="308"/>
      <c r="AB459" s="312"/>
      <c r="AC459" s="308"/>
      <c r="AD459" s="312"/>
      <c r="AE459" s="308"/>
      <c r="AF459" s="312"/>
      <c r="AG459" s="308"/>
      <c r="AH459" s="312"/>
      <c r="AI459" s="308"/>
      <c r="AJ459" s="117"/>
      <c r="AK459" s="330"/>
      <c r="AL459" s="117"/>
      <c r="AM459" s="330"/>
      <c r="AN459" s="117"/>
      <c r="AO459" s="330"/>
      <c r="AP459" s="117"/>
      <c r="AQ459" s="330"/>
      <c r="AR459" s="117"/>
      <c r="AS459" s="1096" t="s">
        <v>159</v>
      </c>
      <c r="AT459" s="1097"/>
      <c r="AU459" s="1097"/>
      <c r="AV459" s="1097"/>
      <c r="AW459" s="1097"/>
      <c r="AX459" s="1097"/>
      <c r="AY459" s="1100"/>
      <c r="AZ459" s="257"/>
      <c r="BA459" s="257"/>
      <c r="BB459" s="1059" t="s">
        <v>162</v>
      </c>
      <c r="BC459" s="1060"/>
      <c r="BD459" s="1061" t="s">
        <v>159</v>
      </c>
      <c r="BE459" s="1061"/>
      <c r="BF459" s="1061"/>
      <c r="BG459" s="1062" t="s">
        <v>159</v>
      </c>
      <c r="BH459" s="1063"/>
      <c r="BI459" s="1063"/>
      <c r="BJ459" s="1064"/>
      <c r="BK459" s="1065"/>
      <c r="BL459" s="1066"/>
      <c r="BM459" s="1067"/>
      <c r="BN459" s="259"/>
      <c r="BO459" s="259"/>
      <c r="BP459" s="1062"/>
      <c r="BQ459" s="1063"/>
      <c r="BR459" s="1064"/>
      <c r="BS459" s="1061" t="s">
        <v>159</v>
      </c>
      <c r="BT459" s="1061"/>
      <c r="BU459" s="1061"/>
    </row>
    <row r="460" spans="1:73" ht="30" customHeight="1" x14ac:dyDescent="0.25">
      <c r="A460" s="199">
        <f t="shared" si="7"/>
        <v>446</v>
      </c>
      <c r="B460" s="1081" t="s">
        <v>162</v>
      </c>
      <c r="C460" s="1082"/>
      <c r="D460" s="1083" t="s">
        <v>159</v>
      </c>
      <c r="E460" s="1084"/>
      <c r="F460" s="1084"/>
      <c r="G460" s="1085"/>
      <c r="H460" s="1086" t="s">
        <v>159</v>
      </c>
      <c r="I460" s="1087"/>
      <c r="J460" s="1087"/>
      <c r="K460" s="1088"/>
      <c r="L460" s="1089" t="s">
        <v>159</v>
      </c>
      <c r="M460" s="1090"/>
      <c r="N460" s="1091"/>
      <c r="O460" s="1092" t="s">
        <v>159</v>
      </c>
      <c r="P460" s="1093"/>
      <c r="Q460" s="1094"/>
      <c r="R460" s="812"/>
      <c r="S460" s="1095"/>
      <c r="T460" s="813"/>
      <c r="U460" s="745"/>
      <c r="V460" s="940"/>
      <c r="W460" s="746"/>
      <c r="X460" s="312"/>
      <c r="Y460" s="308"/>
      <c r="Z460" s="312"/>
      <c r="AA460" s="308"/>
      <c r="AB460" s="312"/>
      <c r="AC460" s="308"/>
      <c r="AD460" s="312"/>
      <c r="AE460" s="308"/>
      <c r="AF460" s="312"/>
      <c r="AG460" s="308"/>
      <c r="AH460" s="312"/>
      <c r="AI460" s="308"/>
      <c r="AJ460" s="117"/>
      <c r="AK460" s="330"/>
      <c r="AL460" s="117"/>
      <c r="AM460" s="330"/>
      <c r="AN460" s="117"/>
      <c r="AO460" s="330"/>
      <c r="AP460" s="117"/>
      <c r="AQ460" s="330"/>
      <c r="AR460" s="117"/>
      <c r="AS460" s="1096" t="s">
        <v>159</v>
      </c>
      <c r="AT460" s="1097"/>
      <c r="AU460" s="1097"/>
      <c r="AV460" s="1097"/>
      <c r="AW460" s="1097"/>
      <c r="AX460" s="1097"/>
      <c r="AY460" s="1100"/>
      <c r="AZ460" s="257"/>
      <c r="BA460" s="257"/>
      <c r="BB460" s="1059" t="s">
        <v>162</v>
      </c>
      <c r="BC460" s="1060"/>
      <c r="BD460" s="1061" t="s">
        <v>159</v>
      </c>
      <c r="BE460" s="1061"/>
      <c r="BF460" s="1061"/>
      <c r="BG460" s="1062" t="s">
        <v>159</v>
      </c>
      <c r="BH460" s="1063"/>
      <c r="BI460" s="1063"/>
      <c r="BJ460" s="1064"/>
      <c r="BK460" s="1065"/>
      <c r="BL460" s="1066"/>
      <c r="BM460" s="1067"/>
      <c r="BN460" s="259"/>
      <c r="BO460" s="259"/>
      <c r="BP460" s="1062"/>
      <c r="BQ460" s="1063"/>
      <c r="BR460" s="1064"/>
      <c r="BS460" s="1061" t="s">
        <v>159</v>
      </c>
      <c r="BT460" s="1061"/>
      <c r="BU460" s="1061"/>
    </row>
    <row r="461" spans="1:73" ht="30" customHeight="1" x14ac:dyDescent="0.25">
      <c r="A461" s="199">
        <f t="shared" si="7"/>
        <v>447</v>
      </c>
      <c r="B461" s="1081" t="s">
        <v>162</v>
      </c>
      <c r="C461" s="1082"/>
      <c r="D461" s="1083" t="s">
        <v>159</v>
      </c>
      <c r="E461" s="1084"/>
      <c r="F461" s="1084"/>
      <c r="G461" s="1085"/>
      <c r="H461" s="1086" t="s">
        <v>159</v>
      </c>
      <c r="I461" s="1087"/>
      <c r="J461" s="1087"/>
      <c r="K461" s="1088"/>
      <c r="L461" s="1089" t="s">
        <v>159</v>
      </c>
      <c r="M461" s="1090"/>
      <c r="N461" s="1091"/>
      <c r="O461" s="1092" t="s">
        <v>159</v>
      </c>
      <c r="P461" s="1093"/>
      <c r="Q461" s="1094"/>
      <c r="R461" s="812"/>
      <c r="S461" s="1095"/>
      <c r="T461" s="813"/>
      <c r="U461" s="745"/>
      <c r="V461" s="940"/>
      <c r="W461" s="746"/>
      <c r="X461" s="312"/>
      <c r="Y461" s="308"/>
      <c r="Z461" s="312"/>
      <c r="AA461" s="308"/>
      <c r="AB461" s="312"/>
      <c r="AC461" s="308"/>
      <c r="AD461" s="312"/>
      <c r="AE461" s="308"/>
      <c r="AF461" s="312"/>
      <c r="AG461" s="308"/>
      <c r="AH461" s="312"/>
      <c r="AI461" s="308"/>
      <c r="AJ461" s="117"/>
      <c r="AK461" s="330"/>
      <c r="AL461" s="117"/>
      <c r="AM461" s="330"/>
      <c r="AN461" s="117"/>
      <c r="AO461" s="330"/>
      <c r="AP461" s="117"/>
      <c r="AQ461" s="330"/>
      <c r="AR461" s="117"/>
      <c r="AS461" s="1096" t="s">
        <v>159</v>
      </c>
      <c r="AT461" s="1097"/>
      <c r="AU461" s="1097"/>
      <c r="AV461" s="1097"/>
      <c r="AW461" s="1097"/>
      <c r="AX461" s="1097"/>
      <c r="AY461" s="1100"/>
      <c r="AZ461" s="257"/>
      <c r="BA461" s="257"/>
      <c r="BB461" s="1059" t="s">
        <v>162</v>
      </c>
      <c r="BC461" s="1060"/>
      <c r="BD461" s="1061" t="s">
        <v>159</v>
      </c>
      <c r="BE461" s="1061"/>
      <c r="BF461" s="1061"/>
      <c r="BG461" s="1062" t="s">
        <v>159</v>
      </c>
      <c r="BH461" s="1063"/>
      <c r="BI461" s="1063"/>
      <c r="BJ461" s="1064"/>
      <c r="BK461" s="1065"/>
      <c r="BL461" s="1066"/>
      <c r="BM461" s="1067"/>
      <c r="BN461" s="259"/>
      <c r="BO461" s="259"/>
      <c r="BP461" s="1062"/>
      <c r="BQ461" s="1063"/>
      <c r="BR461" s="1064"/>
      <c r="BS461" s="1061" t="s">
        <v>159</v>
      </c>
      <c r="BT461" s="1061"/>
      <c r="BU461" s="1061"/>
    </row>
    <row r="462" spans="1:73" ht="30" customHeight="1" x14ac:dyDescent="0.25">
      <c r="A462" s="199">
        <f t="shared" si="7"/>
        <v>448</v>
      </c>
      <c r="B462" s="1081" t="s">
        <v>162</v>
      </c>
      <c r="C462" s="1082"/>
      <c r="D462" s="1083" t="s">
        <v>159</v>
      </c>
      <c r="E462" s="1084"/>
      <c r="F462" s="1084"/>
      <c r="G462" s="1085"/>
      <c r="H462" s="1086" t="s">
        <v>159</v>
      </c>
      <c r="I462" s="1087"/>
      <c r="J462" s="1087"/>
      <c r="K462" s="1088"/>
      <c r="L462" s="1089" t="s">
        <v>159</v>
      </c>
      <c r="M462" s="1090"/>
      <c r="N462" s="1091"/>
      <c r="O462" s="1092" t="s">
        <v>159</v>
      </c>
      <c r="P462" s="1093"/>
      <c r="Q462" s="1094"/>
      <c r="R462" s="812"/>
      <c r="S462" s="1095"/>
      <c r="T462" s="813"/>
      <c r="U462" s="745"/>
      <c r="V462" s="940"/>
      <c r="W462" s="746"/>
      <c r="X462" s="312"/>
      <c r="Y462" s="308"/>
      <c r="Z462" s="312"/>
      <c r="AA462" s="308"/>
      <c r="AB462" s="312"/>
      <c r="AC462" s="308"/>
      <c r="AD462" s="312"/>
      <c r="AE462" s="308"/>
      <c r="AF462" s="312"/>
      <c r="AG462" s="308"/>
      <c r="AH462" s="312"/>
      <c r="AI462" s="308"/>
      <c r="AJ462" s="117"/>
      <c r="AK462" s="330"/>
      <c r="AL462" s="117"/>
      <c r="AM462" s="330"/>
      <c r="AN462" s="117"/>
      <c r="AO462" s="330"/>
      <c r="AP462" s="117"/>
      <c r="AQ462" s="330"/>
      <c r="AR462" s="117"/>
      <c r="AS462" s="1096" t="s">
        <v>159</v>
      </c>
      <c r="AT462" s="1097"/>
      <c r="AU462" s="1097"/>
      <c r="AV462" s="1097"/>
      <c r="AW462" s="1097"/>
      <c r="AX462" s="1097"/>
      <c r="AY462" s="1100"/>
      <c r="AZ462" s="257"/>
      <c r="BA462" s="257"/>
      <c r="BB462" s="1059" t="s">
        <v>162</v>
      </c>
      <c r="BC462" s="1060"/>
      <c r="BD462" s="1061" t="s">
        <v>159</v>
      </c>
      <c r="BE462" s="1061"/>
      <c r="BF462" s="1061"/>
      <c r="BG462" s="1062" t="s">
        <v>159</v>
      </c>
      <c r="BH462" s="1063"/>
      <c r="BI462" s="1063"/>
      <c r="BJ462" s="1064"/>
      <c r="BK462" s="1065"/>
      <c r="BL462" s="1066"/>
      <c r="BM462" s="1067"/>
      <c r="BN462" s="259"/>
      <c r="BO462" s="259"/>
      <c r="BP462" s="1062"/>
      <c r="BQ462" s="1063"/>
      <c r="BR462" s="1064"/>
      <c r="BS462" s="1061" t="s">
        <v>159</v>
      </c>
      <c r="BT462" s="1061"/>
      <c r="BU462" s="1061"/>
    </row>
    <row r="463" spans="1:73" ht="30" customHeight="1" x14ac:dyDescent="0.25">
      <c r="A463" s="199">
        <f t="shared" si="7"/>
        <v>449</v>
      </c>
      <c r="B463" s="1081" t="s">
        <v>162</v>
      </c>
      <c r="C463" s="1082"/>
      <c r="D463" s="1083" t="s">
        <v>159</v>
      </c>
      <c r="E463" s="1084"/>
      <c r="F463" s="1084"/>
      <c r="G463" s="1085"/>
      <c r="H463" s="1086" t="s">
        <v>159</v>
      </c>
      <c r="I463" s="1087"/>
      <c r="J463" s="1087"/>
      <c r="K463" s="1088"/>
      <c r="L463" s="1089" t="s">
        <v>159</v>
      </c>
      <c r="M463" s="1090"/>
      <c r="N463" s="1091"/>
      <c r="O463" s="1092" t="s">
        <v>159</v>
      </c>
      <c r="P463" s="1093"/>
      <c r="Q463" s="1094"/>
      <c r="R463" s="812"/>
      <c r="S463" s="1095"/>
      <c r="T463" s="813"/>
      <c r="U463" s="745"/>
      <c r="V463" s="940"/>
      <c r="W463" s="746"/>
      <c r="X463" s="312"/>
      <c r="Y463" s="308"/>
      <c r="Z463" s="312"/>
      <c r="AA463" s="308"/>
      <c r="AB463" s="312"/>
      <c r="AC463" s="308"/>
      <c r="AD463" s="312"/>
      <c r="AE463" s="308"/>
      <c r="AF463" s="312"/>
      <c r="AG463" s="308"/>
      <c r="AH463" s="312"/>
      <c r="AI463" s="308"/>
      <c r="AJ463" s="117"/>
      <c r="AK463" s="330"/>
      <c r="AL463" s="117"/>
      <c r="AM463" s="330"/>
      <c r="AN463" s="117"/>
      <c r="AO463" s="330"/>
      <c r="AP463" s="117"/>
      <c r="AQ463" s="330"/>
      <c r="AR463" s="117"/>
      <c r="AS463" s="1096" t="s">
        <v>159</v>
      </c>
      <c r="AT463" s="1097"/>
      <c r="AU463" s="1097"/>
      <c r="AV463" s="1097"/>
      <c r="AW463" s="1097"/>
      <c r="AX463" s="1097"/>
      <c r="AY463" s="1100"/>
      <c r="AZ463" s="257"/>
      <c r="BA463" s="257"/>
      <c r="BB463" s="1059" t="s">
        <v>162</v>
      </c>
      <c r="BC463" s="1060"/>
      <c r="BD463" s="1061" t="s">
        <v>159</v>
      </c>
      <c r="BE463" s="1061"/>
      <c r="BF463" s="1061"/>
      <c r="BG463" s="1062" t="s">
        <v>159</v>
      </c>
      <c r="BH463" s="1063"/>
      <c r="BI463" s="1063"/>
      <c r="BJ463" s="1064"/>
      <c r="BK463" s="1065"/>
      <c r="BL463" s="1066"/>
      <c r="BM463" s="1067"/>
      <c r="BN463" s="259"/>
      <c r="BO463" s="259"/>
      <c r="BP463" s="1062"/>
      <c r="BQ463" s="1063"/>
      <c r="BR463" s="1064"/>
      <c r="BS463" s="1061" t="s">
        <v>159</v>
      </c>
      <c r="BT463" s="1061"/>
      <c r="BU463" s="1061"/>
    </row>
    <row r="464" spans="1:73" ht="30" customHeight="1" x14ac:dyDescent="0.25">
      <c r="A464" s="199">
        <f t="shared" si="7"/>
        <v>450</v>
      </c>
      <c r="B464" s="1081" t="s">
        <v>162</v>
      </c>
      <c r="C464" s="1082"/>
      <c r="D464" s="1083" t="s">
        <v>159</v>
      </c>
      <c r="E464" s="1084"/>
      <c r="F464" s="1084"/>
      <c r="G464" s="1085"/>
      <c r="H464" s="1086" t="s">
        <v>159</v>
      </c>
      <c r="I464" s="1087"/>
      <c r="J464" s="1087"/>
      <c r="K464" s="1088"/>
      <c r="L464" s="1089" t="s">
        <v>159</v>
      </c>
      <c r="M464" s="1090"/>
      <c r="N464" s="1091"/>
      <c r="O464" s="1092" t="s">
        <v>159</v>
      </c>
      <c r="P464" s="1093"/>
      <c r="Q464" s="1094"/>
      <c r="R464" s="812"/>
      <c r="S464" s="1095"/>
      <c r="T464" s="813"/>
      <c r="U464" s="745"/>
      <c r="V464" s="940"/>
      <c r="W464" s="746"/>
      <c r="X464" s="312"/>
      <c r="Y464" s="308"/>
      <c r="Z464" s="312"/>
      <c r="AA464" s="308"/>
      <c r="AB464" s="312"/>
      <c r="AC464" s="308"/>
      <c r="AD464" s="312"/>
      <c r="AE464" s="308"/>
      <c r="AF464" s="312"/>
      <c r="AG464" s="308"/>
      <c r="AH464" s="312"/>
      <c r="AI464" s="308"/>
      <c r="AJ464" s="117"/>
      <c r="AK464" s="330"/>
      <c r="AL464" s="117"/>
      <c r="AM464" s="330"/>
      <c r="AN464" s="117"/>
      <c r="AO464" s="330"/>
      <c r="AP464" s="117"/>
      <c r="AQ464" s="330"/>
      <c r="AR464" s="117"/>
      <c r="AS464" s="1096" t="s">
        <v>159</v>
      </c>
      <c r="AT464" s="1097"/>
      <c r="AU464" s="1097"/>
      <c r="AV464" s="1097"/>
      <c r="AW464" s="1097"/>
      <c r="AX464" s="1097"/>
      <c r="AY464" s="1100"/>
      <c r="AZ464" s="257"/>
      <c r="BA464" s="257"/>
      <c r="BB464" s="1059" t="s">
        <v>162</v>
      </c>
      <c r="BC464" s="1060"/>
      <c r="BD464" s="1061" t="s">
        <v>159</v>
      </c>
      <c r="BE464" s="1061"/>
      <c r="BF464" s="1061"/>
      <c r="BG464" s="1062" t="s">
        <v>159</v>
      </c>
      <c r="BH464" s="1063"/>
      <c r="BI464" s="1063"/>
      <c r="BJ464" s="1064"/>
      <c r="BK464" s="1065"/>
      <c r="BL464" s="1066"/>
      <c r="BM464" s="1067"/>
      <c r="BN464" s="259"/>
      <c r="BO464" s="259"/>
      <c r="BP464" s="1062"/>
      <c r="BQ464" s="1063"/>
      <c r="BR464" s="1064"/>
      <c r="BS464" s="1061" t="s">
        <v>159</v>
      </c>
      <c r="BT464" s="1061"/>
      <c r="BU464" s="1061"/>
    </row>
    <row r="465" spans="1:73" ht="30" customHeight="1" x14ac:dyDescent="0.25">
      <c r="A465" s="199">
        <f t="shared" si="7"/>
        <v>451</v>
      </c>
      <c r="B465" s="1081" t="s">
        <v>162</v>
      </c>
      <c r="C465" s="1082"/>
      <c r="D465" s="1083" t="s">
        <v>159</v>
      </c>
      <c r="E465" s="1084"/>
      <c r="F465" s="1084"/>
      <c r="G465" s="1085"/>
      <c r="H465" s="1086" t="s">
        <v>159</v>
      </c>
      <c r="I465" s="1087"/>
      <c r="J465" s="1087"/>
      <c r="K465" s="1088"/>
      <c r="L465" s="1089" t="s">
        <v>159</v>
      </c>
      <c r="M465" s="1090"/>
      <c r="N465" s="1091"/>
      <c r="O465" s="1092" t="s">
        <v>159</v>
      </c>
      <c r="P465" s="1093"/>
      <c r="Q465" s="1094"/>
      <c r="R465" s="812"/>
      <c r="S465" s="1095"/>
      <c r="T465" s="813"/>
      <c r="U465" s="745"/>
      <c r="V465" s="940"/>
      <c r="W465" s="746"/>
      <c r="X465" s="312"/>
      <c r="Y465" s="308"/>
      <c r="Z465" s="312"/>
      <c r="AA465" s="308"/>
      <c r="AB465" s="312"/>
      <c r="AC465" s="308"/>
      <c r="AD465" s="312"/>
      <c r="AE465" s="308"/>
      <c r="AF465" s="312"/>
      <c r="AG465" s="308"/>
      <c r="AH465" s="312"/>
      <c r="AI465" s="308"/>
      <c r="AJ465" s="117"/>
      <c r="AK465" s="330"/>
      <c r="AL465" s="117"/>
      <c r="AM465" s="330"/>
      <c r="AN465" s="117"/>
      <c r="AO465" s="330"/>
      <c r="AP465" s="117"/>
      <c r="AQ465" s="330"/>
      <c r="AR465" s="117"/>
      <c r="AS465" s="1096" t="s">
        <v>159</v>
      </c>
      <c r="AT465" s="1097"/>
      <c r="AU465" s="1097"/>
      <c r="AV465" s="1097"/>
      <c r="AW465" s="1097"/>
      <c r="AX465" s="1097"/>
      <c r="AY465" s="1100"/>
      <c r="AZ465" s="257"/>
      <c r="BA465" s="257"/>
      <c r="BB465" s="1059" t="s">
        <v>162</v>
      </c>
      <c r="BC465" s="1060"/>
      <c r="BD465" s="1061" t="s">
        <v>159</v>
      </c>
      <c r="BE465" s="1061"/>
      <c r="BF465" s="1061"/>
      <c r="BG465" s="1062" t="s">
        <v>159</v>
      </c>
      <c r="BH465" s="1063"/>
      <c r="BI465" s="1063"/>
      <c r="BJ465" s="1064"/>
      <c r="BK465" s="1065"/>
      <c r="BL465" s="1066"/>
      <c r="BM465" s="1067"/>
      <c r="BN465" s="259"/>
      <c r="BO465" s="259"/>
      <c r="BP465" s="1062"/>
      <c r="BQ465" s="1063"/>
      <c r="BR465" s="1064"/>
      <c r="BS465" s="1061" t="s">
        <v>159</v>
      </c>
      <c r="BT465" s="1061"/>
      <c r="BU465" s="1061"/>
    </row>
    <row r="466" spans="1:73" ht="30" customHeight="1" x14ac:dyDescent="0.25">
      <c r="A466" s="199">
        <f t="shared" si="7"/>
        <v>452</v>
      </c>
      <c r="B466" s="1081" t="s">
        <v>162</v>
      </c>
      <c r="C466" s="1082"/>
      <c r="D466" s="1083" t="s">
        <v>159</v>
      </c>
      <c r="E466" s="1084"/>
      <c r="F466" s="1084"/>
      <c r="G466" s="1085"/>
      <c r="H466" s="1086" t="s">
        <v>159</v>
      </c>
      <c r="I466" s="1087"/>
      <c r="J466" s="1087"/>
      <c r="K466" s="1088"/>
      <c r="L466" s="1089" t="s">
        <v>159</v>
      </c>
      <c r="M466" s="1090"/>
      <c r="N466" s="1091"/>
      <c r="O466" s="1092" t="s">
        <v>159</v>
      </c>
      <c r="P466" s="1093"/>
      <c r="Q466" s="1094"/>
      <c r="R466" s="812"/>
      <c r="S466" s="1095"/>
      <c r="T466" s="813"/>
      <c r="U466" s="745"/>
      <c r="V466" s="940"/>
      <c r="W466" s="746"/>
      <c r="X466" s="312"/>
      <c r="Y466" s="308"/>
      <c r="Z466" s="312"/>
      <c r="AA466" s="308"/>
      <c r="AB466" s="312"/>
      <c r="AC466" s="308"/>
      <c r="AD466" s="312"/>
      <c r="AE466" s="308"/>
      <c r="AF466" s="312"/>
      <c r="AG466" s="308"/>
      <c r="AH466" s="312"/>
      <c r="AI466" s="308"/>
      <c r="AJ466" s="117"/>
      <c r="AK466" s="330"/>
      <c r="AL466" s="117"/>
      <c r="AM466" s="330"/>
      <c r="AN466" s="117"/>
      <c r="AO466" s="330"/>
      <c r="AP466" s="117"/>
      <c r="AQ466" s="330"/>
      <c r="AR466" s="117"/>
      <c r="AS466" s="1096" t="s">
        <v>159</v>
      </c>
      <c r="AT466" s="1097"/>
      <c r="AU466" s="1097"/>
      <c r="AV466" s="1097"/>
      <c r="AW466" s="1097"/>
      <c r="AX466" s="1097"/>
      <c r="AY466" s="1100"/>
      <c r="AZ466" s="296"/>
      <c r="BA466" s="296"/>
      <c r="BB466" s="1059" t="s">
        <v>162</v>
      </c>
      <c r="BC466" s="1060"/>
      <c r="BD466" s="1068" t="s">
        <v>159</v>
      </c>
      <c r="BE466" s="1068"/>
      <c r="BF466" s="1068"/>
      <c r="BG466" s="1069" t="s">
        <v>159</v>
      </c>
      <c r="BH466" s="1070"/>
      <c r="BI466" s="1070"/>
      <c r="BJ466" s="1071"/>
      <c r="BK466" s="1072"/>
      <c r="BL466" s="1073"/>
      <c r="BM466" s="1074"/>
      <c r="BN466" s="297"/>
      <c r="BO466" s="297"/>
      <c r="BP466" s="1069"/>
      <c r="BQ466" s="1070"/>
      <c r="BR466" s="1071"/>
      <c r="BS466" s="1068" t="s">
        <v>159</v>
      </c>
      <c r="BT466" s="1068"/>
      <c r="BU466" s="1068"/>
    </row>
    <row r="467" spans="1:73" ht="30" customHeight="1" x14ac:dyDescent="0.25">
      <c r="A467" s="199">
        <f t="shared" si="7"/>
        <v>453</v>
      </c>
      <c r="B467" s="1081" t="s">
        <v>162</v>
      </c>
      <c r="C467" s="1082"/>
      <c r="D467" s="1083" t="s">
        <v>159</v>
      </c>
      <c r="E467" s="1084"/>
      <c r="F467" s="1084"/>
      <c r="G467" s="1085"/>
      <c r="H467" s="1086" t="s">
        <v>159</v>
      </c>
      <c r="I467" s="1087"/>
      <c r="J467" s="1087"/>
      <c r="K467" s="1088"/>
      <c r="L467" s="1089" t="s">
        <v>159</v>
      </c>
      <c r="M467" s="1090"/>
      <c r="N467" s="1091"/>
      <c r="O467" s="1092" t="s">
        <v>159</v>
      </c>
      <c r="P467" s="1093"/>
      <c r="Q467" s="1094"/>
      <c r="R467" s="812"/>
      <c r="S467" s="1095"/>
      <c r="T467" s="813"/>
      <c r="U467" s="745"/>
      <c r="V467" s="940"/>
      <c r="W467" s="746"/>
      <c r="X467" s="312"/>
      <c r="Y467" s="308"/>
      <c r="Z467" s="312"/>
      <c r="AA467" s="308"/>
      <c r="AB467" s="312"/>
      <c r="AC467" s="308"/>
      <c r="AD467" s="312"/>
      <c r="AE467" s="308"/>
      <c r="AF467" s="312"/>
      <c r="AG467" s="308"/>
      <c r="AH467" s="312"/>
      <c r="AI467" s="308"/>
      <c r="AJ467" s="117"/>
      <c r="AK467" s="330"/>
      <c r="AL467" s="117"/>
      <c r="AM467" s="330"/>
      <c r="AN467" s="117"/>
      <c r="AO467" s="330"/>
      <c r="AP467" s="117"/>
      <c r="AQ467" s="330"/>
      <c r="AR467" s="117"/>
      <c r="AS467" s="1096" t="s">
        <v>159</v>
      </c>
      <c r="AT467" s="1097"/>
      <c r="AU467" s="1097"/>
      <c r="AV467" s="1097"/>
      <c r="AW467" s="1097"/>
      <c r="AX467" s="1097"/>
      <c r="AY467" s="1100"/>
      <c r="AZ467" s="257"/>
      <c r="BA467" s="257"/>
      <c r="BB467" s="1059" t="s">
        <v>162</v>
      </c>
      <c r="BC467" s="1060"/>
      <c r="BD467" s="1061" t="s">
        <v>159</v>
      </c>
      <c r="BE467" s="1061"/>
      <c r="BF467" s="1061"/>
      <c r="BG467" s="1062" t="s">
        <v>159</v>
      </c>
      <c r="BH467" s="1063"/>
      <c r="BI467" s="1063"/>
      <c r="BJ467" s="1064"/>
      <c r="BK467" s="1065"/>
      <c r="BL467" s="1066"/>
      <c r="BM467" s="1067"/>
      <c r="BN467" s="259"/>
      <c r="BO467" s="259"/>
      <c r="BP467" s="1062"/>
      <c r="BQ467" s="1063"/>
      <c r="BR467" s="1064"/>
      <c r="BS467" s="1061" t="s">
        <v>159</v>
      </c>
      <c r="BT467" s="1061"/>
      <c r="BU467" s="1061"/>
    </row>
    <row r="468" spans="1:73" ht="30" customHeight="1" x14ac:dyDescent="0.25">
      <c r="A468" s="199">
        <f t="shared" si="7"/>
        <v>454</v>
      </c>
      <c r="B468" s="1081" t="s">
        <v>162</v>
      </c>
      <c r="C468" s="1082"/>
      <c r="D468" s="1083" t="s">
        <v>159</v>
      </c>
      <c r="E468" s="1084"/>
      <c r="F468" s="1084"/>
      <c r="G468" s="1085"/>
      <c r="H468" s="1086" t="s">
        <v>159</v>
      </c>
      <c r="I468" s="1087"/>
      <c r="J468" s="1087"/>
      <c r="K468" s="1088"/>
      <c r="L468" s="1089" t="s">
        <v>159</v>
      </c>
      <c r="M468" s="1090"/>
      <c r="N468" s="1091"/>
      <c r="O468" s="1092" t="s">
        <v>159</v>
      </c>
      <c r="P468" s="1093"/>
      <c r="Q468" s="1094"/>
      <c r="R468" s="812"/>
      <c r="S468" s="1095"/>
      <c r="T468" s="813"/>
      <c r="U468" s="745"/>
      <c r="V468" s="940"/>
      <c r="W468" s="746"/>
      <c r="X468" s="312"/>
      <c r="Y468" s="308"/>
      <c r="Z468" s="312"/>
      <c r="AA468" s="308"/>
      <c r="AB468" s="312"/>
      <c r="AC468" s="308"/>
      <c r="AD468" s="312"/>
      <c r="AE468" s="308"/>
      <c r="AF468" s="312"/>
      <c r="AG468" s="308"/>
      <c r="AH468" s="312"/>
      <c r="AI468" s="308"/>
      <c r="AJ468" s="117"/>
      <c r="AK468" s="330"/>
      <c r="AL468" s="117"/>
      <c r="AM468" s="330"/>
      <c r="AN468" s="117"/>
      <c r="AO468" s="330"/>
      <c r="AP468" s="117"/>
      <c r="AQ468" s="330"/>
      <c r="AR468" s="117"/>
      <c r="AS468" s="1096" t="s">
        <v>159</v>
      </c>
      <c r="AT468" s="1097"/>
      <c r="AU468" s="1097"/>
      <c r="AV468" s="1097"/>
      <c r="AW468" s="1097"/>
      <c r="AX468" s="1097"/>
      <c r="AY468" s="1100"/>
      <c r="AZ468" s="257"/>
      <c r="BA468" s="257"/>
      <c r="BB468" s="1059" t="s">
        <v>162</v>
      </c>
      <c r="BC468" s="1060"/>
      <c r="BD468" s="1061" t="s">
        <v>159</v>
      </c>
      <c r="BE468" s="1061"/>
      <c r="BF468" s="1061"/>
      <c r="BG468" s="1062" t="s">
        <v>159</v>
      </c>
      <c r="BH468" s="1063"/>
      <c r="BI468" s="1063"/>
      <c r="BJ468" s="1064"/>
      <c r="BK468" s="1065"/>
      <c r="BL468" s="1066"/>
      <c r="BM468" s="1067"/>
      <c r="BN468" s="259"/>
      <c r="BO468" s="259"/>
      <c r="BP468" s="1062"/>
      <c r="BQ468" s="1063"/>
      <c r="BR468" s="1064"/>
      <c r="BS468" s="1061" t="s">
        <v>159</v>
      </c>
      <c r="BT468" s="1061"/>
      <c r="BU468" s="1061"/>
    </row>
    <row r="469" spans="1:73" ht="30" customHeight="1" x14ac:dyDescent="0.25">
      <c r="A469" s="199">
        <f t="shared" si="7"/>
        <v>455</v>
      </c>
      <c r="B469" s="1081" t="s">
        <v>162</v>
      </c>
      <c r="C469" s="1082"/>
      <c r="D469" s="1083" t="s">
        <v>159</v>
      </c>
      <c r="E469" s="1084"/>
      <c r="F469" s="1084"/>
      <c r="G469" s="1085"/>
      <c r="H469" s="1086" t="s">
        <v>159</v>
      </c>
      <c r="I469" s="1087"/>
      <c r="J469" s="1087"/>
      <c r="K469" s="1088"/>
      <c r="L469" s="1089" t="s">
        <v>159</v>
      </c>
      <c r="M469" s="1090"/>
      <c r="N469" s="1091"/>
      <c r="O469" s="1092" t="s">
        <v>159</v>
      </c>
      <c r="P469" s="1093"/>
      <c r="Q469" s="1094"/>
      <c r="R469" s="812"/>
      <c r="S469" s="1095"/>
      <c r="T469" s="813"/>
      <c r="U469" s="745"/>
      <c r="V469" s="940"/>
      <c r="W469" s="746"/>
      <c r="X469" s="312"/>
      <c r="Y469" s="308"/>
      <c r="Z469" s="312"/>
      <c r="AA469" s="308"/>
      <c r="AB469" s="312"/>
      <c r="AC469" s="308"/>
      <c r="AD469" s="312"/>
      <c r="AE469" s="308"/>
      <c r="AF469" s="312"/>
      <c r="AG469" s="308"/>
      <c r="AH469" s="312"/>
      <c r="AI469" s="308"/>
      <c r="AJ469" s="117"/>
      <c r="AK469" s="330"/>
      <c r="AL469" s="117"/>
      <c r="AM469" s="330"/>
      <c r="AN469" s="117"/>
      <c r="AO469" s="330"/>
      <c r="AP469" s="117"/>
      <c r="AQ469" s="330"/>
      <c r="AR469" s="117"/>
      <c r="AS469" s="1096" t="s">
        <v>159</v>
      </c>
      <c r="AT469" s="1097"/>
      <c r="AU469" s="1097"/>
      <c r="AV469" s="1097"/>
      <c r="AW469" s="1097"/>
      <c r="AX469" s="1097"/>
      <c r="AY469" s="1100"/>
      <c r="AZ469" s="257"/>
      <c r="BA469" s="257"/>
      <c r="BB469" s="1059" t="s">
        <v>162</v>
      </c>
      <c r="BC469" s="1060"/>
      <c r="BD469" s="1061" t="s">
        <v>159</v>
      </c>
      <c r="BE469" s="1061"/>
      <c r="BF469" s="1061"/>
      <c r="BG469" s="1062" t="s">
        <v>159</v>
      </c>
      <c r="BH469" s="1063"/>
      <c r="BI469" s="1063"/>
      <c r="BJ469" s="1064"/>
      <c r="BK469" s="1065"/>
      <c r="BL469" s="1066"/>
      <c r="BM469" s="1067"/>
      <c r="BN469" s="259"/>
      <c r="BO469" s="259"/>
      <c r="BP469" s="1062"/>
      <c r="BQ469" s="1063"/>
      <c r="BR469" s="1064"/>
      <c r="BS469" s="1061" t="s">
        <v>159</v>
      </c>
      <c r="BT469" s="1061"/>
      <c r="BU469" s="1061"/>
    </row>
    <row r="470" spans="1:73" ht="30" customHeight="1" x14ac:dyDescent="0.25">
      <c r="A470" s="199">
        <f t="shared" si="7"/>
        <v>456</v>
      </c>
      <c r="B470" s="1081" t="s">
        <v>162</v>
      </c>
      <c r="C470" s="1082"/>
      <c r="D470" s="1083" t="s">
        <v>159</v>
      </c>
      <c r="E470" s="1084"/>
      <c r="F470" s="1084"/>
      <c r="G470" s="1085"/>
      <c r="H470" s="1086" t="s">
        <v>159</v>
      </c>
      <c r="I470" s="1087"/>
      <c r="J470" s="1087"/>
      <c r="K470" s="1088"/>
      <c r="L470" s="1089" t="s">
        <v>159</v>
      </c>
      <c r="M470" s="1090"/>
      <c r="N470" s="1091"/>
      <c r="O470" s="1092" t="s">
        <v>159</v>
      </c>
      <c r="P470" s="1093"/>
      <c r="Q470" s="1094"/>
      <c r="R470" s="812"/>
      <c r="S470" s="1095"/>
      <c r="T470" s="813"/>
      <c r="U470" s="745"/>
      <c r="V470" s="940"/>
      <c r="W470" s="746"/>
      <c r="X470" s="312"/>
      <c r="Y470" s="308"/>
      <c r="Z470" s="312"/>
      <c r="AA470" s="308"/>
      <c r="AB470" s="312"/>
      <c r="AC470" s="308"/>
      <c r="AD470" s="312"/>
      <c r="AE470" s="308"/>
      <c r="AF470" s="312"/>
      <c r="AG470" s="308"/>
      <c r="AH470" s="312"/>
      <c r="AI470" s="308"/>
      <c r="AJ470" s="117"/>
      <c r="AK470" s="330"/>
      <c r="AL470" s="117"/>
      <c r="AM470" s="330"/>
      <c r="AN470" s="117"/>
      <c r="AO470" s="330"/>
      <c r="AP470" s="117"/>
      <c r="AQ470" s="330"/>
      <c r="AR470" s="117"/>
      <c r="AS470" s="1096" t="s">
        <v>159</v>
      </c>
      <c r="AT470" s="1097"/>
      <c r="AU470" s="1097"/>
      <c r="AV470" s="1097"/>
      <c r="AW470" s="1097"/>
      <c r="AX470" s="1097"/>
      <c r="AY470" s="1100"/>
      <c r="AZ470" s="257"/>
      <c r="BA470" s="257"/>
      <c r="BB470" s="1059" t="s">
        <v>162</v>
      </c>
      <c r="BC470" s="1060"/>
      <c r="BD470" s="1061" t="s">
        <v>159</v>
      </c>
      <c r="BE470" s="1061"/>
      <c r="BF470" s="1061"/>
      <c r="BG470" s="1062" t="s">
        <v>159</v>
      </c>
      <c r="BH470" s="1063"/>
      <c r="BI470" s="1063"/>
      <c r="BJ470" s="1064"/>
      <c r="BK470" s="1065"/>
      <c r="BL470" s="1066"/>
      <c r="BM470" s="1067"/>
      <c r="BN470" s="259"/>
      <c r="BO470" s="259"/>
      <c r="BP470" s="1062"/>
      <c r="BQ470" s="1063"/>
      <c r="BR470" s="1064"/>
      <c r="BS470" s="1061" t="s">
        <v>159</v>
      </c>
      <c r="BT470" s="1061"/>
      <c r="BU470" s="1061"/>
    </row>
    <row r="471" spans="1:73" ht="30" customHeight="1" x14ac:dyDescent="0.25">
      <c r="A471" s="199">
        <f t="shared" si="7"/>
        <v>457</v>
      </c>
      <c r="B471" s="1081" t="s">
        <v>162</v>
      </c>
      <c r="C471" s="1082"/>
      <c r="D471" s="1083" t="s">
        <v>159</v>
      </c>
      <c r="E471" s="1084"/>
      <c r="F471" s="1084"/>
      <c r="G471" s="1085"/>
      <c r="H471" s="1086" t="s">
        <v>159</v>
      </c>
      <c r="I471" s="1087"/>
      <c r="J471" s="1087"/>
      <c r="K471" s="1088"/>
      <c r="L471" s="1089" t="s">
        <v>159</v>
      </c>
      <c r="M471" s="1090"/>
      <c r="N471" s="1091"/>
      <c r="O471" s="1092" t="s">
        <v>159</v>
      </c>
      <c r="P471" s="1093"/>
      <c r="Q471" s="1094"/>
      <c r="R471" s="812"/>
      <c r="S471" s="1095"/>
      <c r="T471" s="813"/>
      <c r="U471" s="745"/>
      <c r="V471" s="940"/>
      <c r="W471" s="746"/>
      <c r="X471" s="312"/>
      <c r="Y471" s="308"/>
      <c r="Z471" s="312"/>
      <c r="AA471" s="308"/>
      <c r="AB471" s="312"/>
      <c r="AC471" s="308"/>
      <c r="AD471" s="312"/>
      <c r="AE471" s="308"/>
      <c r="AF471" s="312"/>
      <c r="AG471" s="308"/>
      <c r="AH471" s="312"/>
      <c r="AI471" s="308"/>
      <c r="AJ471" s="117"/>
      <c r="AK471" s="330"/>
      <c r="AL471" s="117"/>
      <c r="AM471" s="330"/>
      <c r="AN471" s="117"/>
      <c r="AO471" s="330"/>
      <c r="AP471" s="117"/>
      <c r="AQ471" s="330"/>
      <c r="AR471" s="117"/>
      <c r="AS471" s="1096" t="s">
        <v>159</v>
      </c>
      <c r="AT471" s="1097"/>
      <c r="AU471" s="1097"/>
      <c r="AV471" s="1097"/>
      <c r="AW471" s="1097"/>
      <c r="AX471" s="1097"/>
      <c r="AY471" s="1100"/>
      <c r="AZ471" s="257"/>
      <c r="BA471" s="257"/>
      <c r="BB471" s="1059" t="s">
        <v>162</v>
      </c>
      <c r="BC471" s="1060"/>
      <c r="BD471" s="1061" t="s">
        <v>159</v>
      </c>
      <c r="BE471" s="1061"/>
      <c r="BF471" s="1061"/>
      <c r="BG471" s="1062" t="s">
        <v>159</v>
      </c>
      <c r="BH471" s="1063"/>
      <c r="BI471" s="1063"/>
      <c r="BJ471" s="1064"/>
      <c r="BK471" s="1065"/>
      <c r="BL471" s="1066"/>
      <c r="BM471" s="1067"/>
      <c r="BN471" s="259"/>
      <c r="BO471" s="259"/>
      <c r="BP471" s="1062"/>
      <c r="BQ471" s="1063"/>
      <c r="BR471" s="1064"/>
      <c r="BS471" s="1061" t="s">
        <v>159</v>
      </c>
      <c r="BT471" s="1061"/>
      <c r="BU471" s="1061"/>
    </row>
    <row r="472" spans="1:73" ht="30" customHeight="1" x14ac:dyDescent="0.25">
      <c r="A472" s="199">
        <f t="shared" si="7"/>
        <v>458</v>
      </c>
      <c r="B472" s="1081" t="s">
        <v>162</v>
      </c>
      <c r="C472" s="1082"/>
      <c r="D472" s="1083" t="s">
        <v>159</v>
      </c>
      <c r="E472" s="1084"/>
      <c r="F472" s="1084"/>
      <c r="G472" s="1085"/>
      <c r="H472" s="1086" t="s">
        <v>159</v>
      </c>
      <c r="I472" s="1087"/>
      <c r="J472" s="1087"/>
      <c r="K472" s="1088"/>
      <c r="L472" s="1089" t="s">
        <v>159</v>
      </c>
      <c r="M472" s="1090"/>
      <c r="N472" s="1091"/>
      <c r="O472" s="1092" t="s">
        <v>159</v>
      </c>
      <c r="P472" s="1093"/>
      <c r="Q472" s="1094"/>
      <c r="R472" s="812"/>
      <c r="S472" s="1095"/>
      <c r="T472" s="813"/>
      <c r="U472" s="745"/>
      <c r="V472" s="940"/>
      <c r="W472" s="746"/>
      <c r="X472" s="312"/>
      <c r="Y472" s="308"/>
      <c r="Z472" s="312"/>
      <c r="AA472" s="308"/>
      <c r="AB472" s="312"/>
      <c r="AC472" s="308"/>
      <c r="AD472" s="312"/>
      <c r="AE472" s="308"/>
      <c r="AF472" s="312"/>
      <c r="AG472" s="308"/>
      <c r="AH472" s="312"/>
      <c r="AI472" s="308"/>
      <c r="AJ472" s="117"/>
      <c r="AK472" s="330"/>
      <c r="AL472" s="117"/>
      <c r="AM472" s="330"/>
      <c r="AN472" s="117"/>
      <c r="AO472" s="330"/>
      <c r="AP472" s="117"/>
      <c r="AQ472" s="330"/>
      <c r="AR472" s="117"/>
      <c r="AS472" s="1096" t="s">
        <v>159</v>
      </c>
      <c r="AT472" s="1097"/>
      <c r="AU472" s="1097"/>
      <c r="AV472" s="1097"/>
      <c r="AW472" s="1097"/>
      <c r="AX472" s="1097"/>
      <c r="AY472" s="1100"/>
      <c r="AZ472" s="257"/>
      <c r="BA472" s="257"/>
      <c r="BB472" s="1059" t="s">
        <v>162</v>
      </c>
      <c r="BC472" s="1060"/>
      <c r="BD472" s="1061" t="s">
        <v>159</v>
      </c>
      <c r="BE472" s="1061"/>
      <c r="BF472" s="1061"/>
      <c r="BG472" s="1062" t="s">
        <v>159</v>
      </c>
      <c r="BH472" s="1063"/>
      <c r="BI472" s="1063"/>
      <c r="BJ472" s="1064"/>
      <c r="BK472" s="1065"/>
      <c r="BL472" s="1066"/>
      <c r="BM472" s="1067"/>
      <c r="BN472" s="259"/>
      <c r="BO472" s="259"/>
      <c r="BP472" s="1062"/>
      <c r="BQ472" s="1063"/>
      <c r="BR472" s="1064"/>
      <c r="BS472" s="1061" t="s">
        <v>159</v>
      </c>
      <c r="BT472" s="1061"/>
      <c r="BU472" s="1061"/>
    </row>
    <row r="473" spans="1:73" ht="30" customHeight="1" x14ac:dyDescent="0.25">
      <c r="A473" s="199">
        <f t="shared" si="7"/>
        <v>459</v>
      </c>
      <c r="B473" s="1081" t="s">
        <v>162</v>
      </c>
      <c r="C473" s="1082"/>
      <c r="D473" s="1083" t="s">
        <v>159</v>
      </c>
      <c r="E473" s="1084"/>
      <c r="F473" s="1084"/>
      <c r="G473" s="1085"/>
      <c r="H473" s="1086" t="s">
        <v>159</v>
      </c>
      <c r="I473" s="1087"/>
      <c r="J473" s="1087"/>
      <c r="K473" s="1088"/>
      <c r="L473" s="1089" t="s">
        <v>159</v>
      </c>
      <c r="M473" s="1090"/>
      <c r="N473" s="1091"/>
      <c r="O473" s="1092" t="s">
        <v>159</v>
      </c>
      <c r="P473" s="1093"/>
      <c r="Q473" s="1094"/>
      <c r="R473" s="812"/>
      <c r="S473" s="1095"/>
      <c r="T473" s="813"/>
      <c r="U473" s="745"/>
      <c r="V473" s="940"/>
      <c r="W473" s="746"/>
      <c r="X473" s="312"/>
      <c r="Y473" s="308"/>
      <c r="Z473" s="312"/>
      <c r="AA473" s="308"/>
      <c r="AB473" s="312"/>
      <c r="AC473" s="308"/>
      <c r="AD473" s="312"/>
      <c r="AE473" s="308"/>
      <c r="AF473" s="312"/>
      <c r="AG473" s="308"/>
      <c r="AH473" s="312"/>
      <c r="AI473" s="308"/>
      <c r="AJ473" s="117"/>
      <c r="AK473" s="330"/>
      <c r="AL473" s="117"/>
      <c r="AM473" s="330"/>
      <c r="AN473" s="117"/>
      <c r="AO473" s="330"/>
      <c r="AP473" s="117"/>
      <c r="AQ473" s="330"/>
      <c r="AR473" s="117"/>
      <c r="AS473" s="1096" t="s">
        <v>159</v>
      </c>
      <c r="AT473" s="1097"/>
      <c r="AU473" s="1097"/>
      <c r="AV473" s="1097"/>
      <c r="AW473" s="1097"/>
      <c r="AX473" s="1097"/>
      <c r="AY473" s="1100"/>
      <c r="AZ473" s="257"/>
      <c r="BA473" s="257"/>
      <c r="BB473" s="1059" t="s">
        <v>162</v>
      </c>
      <c r="BC473" s="1060"/>
      <c r="BD473" s="1061" t="s">
        <v>159</v>
      </c>
      <c r="BE473" s="1061"/>
      <c r="BF473" s="1061"/>
      <c r="BG473" s="1062" t="s">
        <v>159</v>
      </c>
      <c r="BH473" s="1063"/>
      <c r="BI473" s="1063"/>
      <c r="BJ473" s="1064"/>
      <c r="BK473" s="1065"/>
      <c r="BL473" s="1066"/>
      <c r="BM473" s="1067"/>
      <c r="BN473" s="259"/>
      <c r="BO473" s="259"/>
      <c r="BP473" s="1062"/>
      <c r="BQ473" s="1063"/>
      <c r="BR473" s="1064"/>
      <c r="BS473" s="1061" t="s">
        <v>159</v>
      </c>
      <c r="BT473" s="1061"/>
      <c r="BU473" s="1061"/>
    </row>
    <row r="474" spans="1:73" ht="30" customHeight="1" x14ac:dyDescent="0.25">
      <c r="A474" s="199">
        <f t="shared" si="7"/>
        <v>460</v>
      </c>
      <c r="B474" s="1081" t="s">
        <v>162</v>
      </c>
      <c r="C474" s="1082"/>
      <c r="D474" s="1083" t="s">
        <v>159</v>
      </c>
      <c r="E474" s="1084"/>
      <c r="F474" s="1084"/>
      <c r="G474" s="1085"/>
      <c r="H474" s="1086" t="s">
        <v>159</v>
      </c>
      <c r="I474" s="1087"/>
      <c r="J474" s="1087"/>
      <c r="K474" s="1088"/>
      <c r="L474" s="1089" t="s">
        <v>159</v>
      </c>
      <c r="M474" s="1090"/>
      <c r="N474" s="1091"/>
      <c r="O474" s="1092" t="s">
        <v>159</v>
      </c>
      <c r="P474" s="1093"/>
      <c r="Q474" s="1094"/>
      <c r="R474" s="812"/>
      <c r="S474" s="1095"/>
      <c r="T474" s="813"/>
      <c r="U474" s="745"/>
      <c r="V474" s="940"/>
      <c r="W474" s="746"/>
      <c r="X474" s="312"/>
      <c r="Y474" s="308"/>
      <c r="Z474" s="312"/>
      <c r="AA474" s="308"/>
      <c r="AB474" s="312"/>
      <c r="AC474" s="308"/>
      <c r="AD474" s="312"/>
      <c r="AE474" s="308"/>
      <c r="AF474" s="312"/>
      <c r="AG474" s="308"/>
      <c r="AH474" s="312"/>
      <c r="AI474" s="308"/>
      <c r="AJ474" s="117"/>
      <c r="AK474" s="330"/>
      <c r="AL474" s="117"/>
      <c r="AM474" s="330"/>
      <c r="AN474" s="117"/>
      <c r="AO474" s="330"/>
      <c r="AP474" s="117"/>
      <c r="AQ474" s="330"/>
      <c r="AR474" s="117"/>
      <c r="AS474" s="1096" t="s">
        <v>159</v>
      </c>
      <c r="AT474" s="1097"/>
      <c r="AU474" s="1097"/>
      <c r="AV474" s="1097"/>
      <c r="AW474" s="1097"/>
      <c r="AX474" s="1097"/>
      <c r="AY474" s="1100"/>
      <c r="AZ474" s="257"/>
      <c r="BA474" s="257"/>
      <c r="BB474" s="1059" t="s">
        <v>162</v>
      </c>
      <c r="BC474" s="1060"/>
      <c r="BD474" s="1061" t="s">
        <v>159</v>
      </c>
      <c r="BE474" s="1061"/>
      <c r="BF474" s="1061"/>
      <c r="BG474" s="1062" t="s">
        <v>159</v>
      </c>
      <c r="BH474" s="1063"/>
      <c r="BI474" s="1063"/>
      <c r="BJ474" s="1064"/>
      <c r="BK474" s="1065"/>
      <c r="BL474" s="1066"/>
      <c r="BM474" s="1067"/>
      <c r="BN474" s="259"/>
      <c r="BO474" s="259"/>
      <c r="BP474" s="1062"/>
      <c r="BQ474" s="1063"/>
      <c r="BR474" s="1064"/>
      <c r="BS474" s="1061" t="s">
        <v>159</v>
      </c>
      <c r="BT474" s="1061"/>
      <c r="BU474" s="1061"/>
    </row>
    <row r="475" spans="1:73" ht="30" customHeight="1" x14ac:dyDescent="0.25">
      <c r="A475" s="199">
        <f t="shared" si="7"/>
        <v>461</v>
      </c>
      <c r="B475" s="1081" t="s">
        <v>162</v>
      </c>
      <c r="C475" s="1082"/>
      <c r="D475" s="1083" t="s">
        <v>159</v>
      </c>
      <c r="E475" s="1084"/>
      <c r="F475" s="1084"/>
      <c r="G475" s="1085"/>
      <c r="H475" s="1086" t="s">
        <v>159</v>
      </c>
      <c r="I475" s="1087"/>
      <c r="J475" s="1087"/>
      <c r="K475" s="1088"/>
      <c r="L475" s="1089" t="s">
        <v>159</v>
      </c>
      <c r="M475" s="1090"/>
      <c r="N475" s="1091"/>
      <c r="O475" s="1092" t="s">
        <v>159</v>
      </c>
      <c r="P475" s="1093"/>
      <c r="Q475" s="1094"/>
      <c r="R475" s="812"/>
      <c r="S475" s="1095"/>
      <c r="T475" s="813"/>
      <c r="U475" s="745"/>
      <c r="V475" s="940"/>
      <c r="W475" s="746"/>
      <c r="X475" s="312"/>
      <c r="Y475" s="308"/>
      <c r="Z475" s="312"/>
      <c r="AA475" s="308"/>
      <c r="AB475" s="312"/>
      <c r="AC475" s="308"/>
      <c r="AD475" s="312"/>
      <c r="AE475" s="308"/>
      <c r="AF475" s="312"/>
      <c r="AG475" s="308"/>
      <c r="AH475" s="312"/>
      <c r="AI475" s="308"/>
      <c r="AJ475" s="117"/>
      <c r="AK475" s="330"/>
      <c r="AL475" s="117"/>
      <c r="AM475" s="330"/>
      <c r="AN475" s="117"/>
      <c r="AO475" s="330"/>
      <c r="AP475" s="117"/>
      <c r="AQ475" s="330"/>
      <c r="AR475" s="117"/>
      <c r="AS475" s="1096" t="s">
        <v>159</v>
      </c>
      <c r="AT475" s="1097"/>
      <c r="AU475" s="1097"/>
      <c r="AV475" s="1097"/>
      <c r="AW475" s="1097"/>
      <c r="AX475" s="1097"/>
      <c r="AY475" s="1100"/>
      <c r="AZ475" s="257"/>
      <c r="BA475" s="257"/>
      <c r="BB475" s="1059" t="s">
        <v>162</v>
      </c>
      <c r="BC475" s="1060"/>
      <c r="BD475" s="1061" t="s">
        <v>159</v>
      </c>
      <c r="BE475" s="1061"/>
      <c r="BF475" s="1061"/>
      <c r="BG475" s="1062" t="s">
        <v>159</v>
      </c>
      <c r="BH475" s="1063"/>
      <c r="BI475" s="1063"/>
      <c r="BJ475" s="1064"/>
      <c r="BK475" s="1065"/>
      <c r="BL475" s="1066"/>
      <c r="BM475" s="1067"/>
      <c r="BN475" s="259"/>
      <c r="BO475" s="259"/>
      <c r="BP475" s="1062"/>
      <c r="BQ475" s="1063"/>
      <c r="BR475" s="1064"/>
      <c r="BS475" s="1061" t="s">
        <v>159</v>
      </c>
      <c r="BT475" s="1061"/>
      <c r="BU475" s="1061"/>
    </row>
    <row r="476" spans="1:73" ht="30" customHeight="1" x14ac:dyDescent="0.25">
      <c r="A476" s="199">
        <f t="shared" si="7"/>
        <v>462</v>
      </c>
      <c r="B476" s="1081" t="s">
        <v>162</v>
      </c>
      <c r="C476" s="1082"/>
      <c r="D476" s="1083" t="s">
        <v>159</v>
      </c>
      <c r="E476" s="1084"/>
      <c r="F476" s="1084"/>
      <c r="G476" s="1085"/>
      <c r="H476" s="1086" t="s">
        <v>159</v>
      </c>
      <c r="I476" s="1087"/>
      <c r="J476" s="1087"/>
      <c r="K476" s="1088"/>
      <c r="L476" s="1089" t="s">
        <v>159</v>
      </c>
      <c r="M476" s="1090"/>
      <c r="N476" s="1091"/>
      <c r="O476" s="1092" t="s">
        <v>159</v>
      </c>
      <c r="P476" s="1093"/>
      <c r="Q476" s="1094"/>
      <c r="R476" s="812"/>
      <c r="S476" s="1095"/>
      <c r="T476" s="813"/>
      <c r="U476" s="745"/>
      <c r="V476" s="940"/>
      <c r="W476" s="746"/>
      <c r="X476" s="312"/>
      <c r="Y476" s="308"/>
      <c r="Z476" s="312"/>
      <c r="AA476" s="308"/>
      <c r="AB476" s="312"/>
      <c r="AC476" s="308"/>
      <c r="AD476" s="312"/>
      <c r="AE476" s="308"/>
      <c r="AF476" s="312"/>
      <c r="AG476" s="308"/>
      <c r="AH476" s="312"/>
      <c r="AI476" s="308"/>
      <c r="AJ476" s="117"/>
      <c r="AK476" s="330"/>
      <c r="AL476" s="117"/>
      <c r="AM476" s="330"/>
      <c r="AN476" s="117"/>
      <c r="AO476" s="330"/>
      <c r="AP476" s="117"/>
      <c r="AQ476" s="330"/>
      <c r="AR476" s="117"/>
      <c r="AS476" s="1096" t="s">
        <v>159</v>
      </c>
      <c r="AT476" s="1097"/>
      <c r="AU476" s="1097"/>
      <c r="AV476" s="1097"/>
      <c r="AW476" s="1097"/>
      <c r="AX476" s="1097"/>
      <c r="AY476" s="1100"/>
      <c r="AZ476" s="257"/>
      <c r="BA476" s="257"/>
      <c r="BB476" s="1059" t="s">
        <v>162</v>
      </c>
      <c r="BC476" s="1060"/>
      <c r="BD476" s="1061" t="s">
        <v>159</v>
      </c>
      <c r="BE476" s="1061"/>
      <c r="BF476" s="1061"/>
      <c r="BG476" s="1062" t="s">
        <v>159</v>
      </c>
      <c r="BH476" s="1063"/>
      <c r="BI476" s="1063"/>
      <c r="BJ476" s="1064"/>
      <c r="BK476" s="1065"/>
      <c r="BL476" s="1066"/>
      <c r="BM476" s="1067"/>
      <c r="BN476" s="259"/>
      <c r="BO476" s="259"/>
      <c r="BP476" s="1062"/>
      <c r="BQ476" s="1063"/>
      <c r="BR476" s="1064"/>
      <c r="BS476" s="1061" t="s">
        <v>159</v>
      </c>
      <c r="BT476" s="1061"/>
      <c r="BU476" s="1061"/>
    </row>
    <row r="477" spans="1:73" ht="30" customHeight="1" x14ac:dyDescent="0.25">
      <c r="A477" s="199">
        <f t="shared" si="7"/>
        <v>463</v>
      </c>
      <c r="B477" s="1081" t="s">
        <v>162</v>
      </c>
      <c r="C477" s="1082"/>
      <c r="D477" s="1083" t="s">
        <v>159</v>
      </c>
      <c r="E477" s="1084"/>
      <c r="F477" s="1084"/>
      <c r="G477" s="1085"/>
      <c r="H477" s="1086" t="s">
        <v>159</v>
      </c>
      <c r="I477" s="1087"/>
      <c r="J477" s="1087"/>
      <c r="K477" s="1088"/>
      <c r="L477" s="1089" t="s">
        <v>159</v>
      </c>
      <c r="M477" s="1090"/>
      <c r="N477" s="1091"/>
      <c r="O477" s="1092" t="s">
        <v>159</v>
      </c>
      <c r="P477" s="1093"/>
      <c r="Q477" s="1094"/>
      <c r="R477" s="812"/>
      <c r="S477" s="1095"/>
      <c r="T477" s="813"/>
      <c r="U477" s="745"/>
      <c r="V477" s="940"/>
      <c r="W477" s="746"/>
      <c r="X477" s="312"/>
      <c r="Y477" s="308"/>
      <c r="Z477" s="312"/>
      <c r="AA477" s="308"/>
      <c r="AB477" s="312"/>
      <c r="AC477" s="308"/>
      <c r="AD477" s="312"/>
      <c r="AE477" s="308"/>
      <c r="AF477" s="312"/>
      <c r="AG477" s="308"/>
      <c r="AH477" s="312"/>
      <c r="AI477" s="308"/>
      <c r="AJ477" s="117"/>
      <c r="AK477" s="330"/>
      <c r="AL477" s="117"/>
      <c r="AM477" s="330"/>
      <c r="AN477" s="117"/>
      <c r="AO477" s="330"/>
      <c r="AP477" s="117"/>
      <c r="AQ477" s="330"/>
      <c r="AR477" s="117"/>
      <c r="AS477" s="1096" t="s">
        <v>159</v>
      </c>
      <c r="AT477" s="1097"/>
      <c r="AU477" s="1097"/>
      <c r="AV477" s="1097"/>
      <c r="AW477" s="1097"/>
      <c r="AX477" s="1097"/>
      <c r="AY477" s="1100"/>
      <c r="AZ477" s="257"/>
      <c r="BA477" s="257"/>
      <c r="BB477" s="1059" t="s">
        <v>162</v>
      </c>
      <c r="BC477" s="1060"/>
      <c r="BD477" s="1061" t="s">
        <v>159</v>
      </c>
      <c r="BE477" s="1061"/>
      <c r="BF477" s="1061"/>
      <c r="BG477" s="1062" t="s">
        <v>159</v>
      </c>
      <c r="BH477" s="1063"/>
      <c r="BI477" s="1063"/>
      <c r="BJ477" s="1064"/>
      <c r="BK477" s="1065"/>
      <c r="BL477" s="1066"/>
      <c r="BM477" s="1067"/>
      <c r="BN477" s="259"/>
      <c r="BO477" s="259"/>
      <c r="BP477" s="1062"/>
      <c r="BQ477" s="1063"/>
      <c r="BR477" s="1064"/>
      <c r="BS477" s="1061" t="s">
        <v>159</v>
      </c>
      <c r="BT477" s="1061"/>
      <c r="BU477" s="1061"/>
    </row>
    <row r="478" spans="1:73" ht="30" customHeight="1" x14ac:dyDescent="0.25">
      <c r="A478" s="199">
        <f t="shared" si="7"/>
        <v>464</v>
      </c>
      <c r="B478" s="1081" t="s">
        <v>162</v>
      </c>
      <c r="C478" s="1082"/>
      <c r="D478" s="1083" t="s">
        <v>159</v>
      </c>
      <c r="E478" s="1084"/>
      <c r="F478" s="1084"/>
      <c r="G478" s="1085"/>
      <c r="H478" s="1086" t="s">
        <v>159</v>
      </c>
      <c r="I478" s="1087"/>
      <c r="J478" s="1087"/>
      <c r="K478" s="1088"/>
      <c r="L478" s="1089" t="s">
        <v>159</v>
      </c>
      <c r="M478" s="1090"/>
      <c r="N478" s="1091"/>
      <c r="O478" s="1092" t="s">
        <v>159</v>
      </c>
      <c r="P478" s="1093"/>
      <c r="Q478" s="1094"/>
      <c r="R478" s="812"/>
      <c r="S478" s="1095"/>
      <c r="T478" s="813"/>
      <c r="U478" s="745"/>
      <c r="V478" s="940"/>
      <c r="W478" s="746"/>
      <c r="X478" s="312"/>
      <c r="Y478" s="308"/>
      <c r="Z478" s="312"/>
      <c r="AA478" s="308"/>
      <c r="AB478" s="312"/>
      <c r="AC478" s="308"/>
      <c r="AD478" s="312"/>
      <c r="AE478" s="308"/>
      <c r="AF478" s="312"/>
      <c r="AG478" s="308"/>
      <c r="AH478" s="312"/>
      <c r="AI478" s="308"/>
      <c r="AJ478" s="117"/>
      <c r="AK478" s="330"/>
      <c r="AL478" s="117"/>
      <c r="AM478" s="330"/>
      <c r="AN478" s="117"/>
      <c r="AO478" s="330"/>
      <c r="AP478" s="117"/>
      <c r="AQ478" s="330"/>
      <c r="AR478" s="117"/>
      <c r="AS478" s="1096" t="s">
        <v>159</v>
      </c>
      <c r="AT478" s="1097"/>
      <c r="AU478" s="1097"/>
      <c r="AV478" s="1097"/>
      <c r="AW478" s="1097"/>
      <c r="AX478" s="1097"/>
      <c r="AY478" s="1100"/>
      <c r="AZ478" s="257"/>
      <c r="BA478" s="257"/>
      <c r="BB478" s="1059" t="s">
        <v>162</v>
      </c>
      <c r="BC478" s="1060"/>
      <c r="BD478" s="1061" t="s">
        <v>159</v>
      </c>
      <c r="BE478" s="1061"/>
      <c r="BF478" s="1061"/>
      <c r="BG478" s="1062" t="s">
        <v>159</v>
      </c>
      <c r="BH478" s="1063"/>
      <c r="BI478" s="1063"/>
      <c r="BJ478" s="1064"/>
      <c r="BK478" s="1065"/>
      <c r="BL478" s="1066"/>
      <c r="BM478" s="1067"/>
      <c r="BN478" s="259"/>
      <c r="BO478" s="259"/>
      <c r="BP478" s="1062"/>
      <c r="BQ478" s="1063"/>
      <c r="BR478" s="1064"/>
      <c r="BS478" s="1061" t="s">
        <v>159</v>
      </c>
      <c r="BT478" s="1061"/>
      <c r="BU478" s="1061"/>
    </row>
    <row r="479" spans="1:73" ht="30" customHeight="1" x14ac:dyDescent="0.25">
      <c r="A479" s="199">
        <f t="shared" si="7"/>
        <v>465</v>
      </c>
      <c r="B479" s="1081" t="s">
        <v>162</v>
      </c>
      <c r="C479" s="1082"/>
      <c r="D479" s="1083" t="s">
        <v>159</v>
      </c>
      <c r="E479" s="1084"/>
      <c r="F479" s="1084"/>
      <c r="G479" s="1085"/>
      <c r="H479" s="1086" t="s">
        <v>159</v>
      </c>
      <c r="I479" s="1087"/>
      <c r="J479" s="1087"/>
      <c r="K479" s="1088"/>
      <c r="L479" s="1089" t="s">
        <v>159</v>
      </c>
      <c r="M479" s="1090"/>
      <c r="N479" s="1091"/>
      <c r="O479" s="1092" t="s">
        <v>159</v>
      </c>
      <c r="P479" s="1093"/>
      <c r="Q479" s="1094"/>
      <c r="R479" s="812"/>
      <c r="S479" s="1095"/>
      <c r="T479" s="813"/>
      <c r="U479" s="745"/>
      <c r="V479" s="940"/>
      <c r="W479" s="746"/>
      <c r="X479" s="312"/>
      <c r="Y479" s="308"/>
      <c r="Z479" s="312"/>
      <c r="AA479" s="308"/>
      <c r="AB479" s="312"/>
      <c r="AC479" s="308"/>
      <c r="AD479" s="312"/>
      <c r="AE479" s="308"/>
      <c r="AF479" s="312"/>
      <c r="AG479" s="308"/>
      <c r="AH479" s="312"/>
      <c r="AI479" s="308"/>
      <c r="AJ479" s="117"/>
      <c r="AK479" s="330"/>
      <c r="AL479" s="117"/>
      <c r="AM479" s="330"/>
      <c r="AN479" s="117"/>
      <c r="AO479" s="330"/>
      <c r="AP479" s="117"/>
      <c r="AQ479" s="330"/>
      <c r="AR479" s="117"/>
      <c r="AS479" s="1096" t="s">
        <v>159</v>
      </c>
      <c r="AT479" s="1097"/>
      <c r="AU479" s="1097"/>
      <c r="AV479" s="1097"/>
      <c r="AW479" s="1097"/>
      <c r="AX479" s="1097"/>
      <c r="AY479" s="1100"/>
      <c r="AZ479" s="257"/>
      <c r="BA479" s="257"/>
      <c r="BB479" s="1059" t="s">
        <v>162</v>
      </c>
      <c r="BC479" s="1060"/>
      <c r="BD479" s="1061" t="s">
        <v>159</v>
      </c>
      <c r="BE479" s="1061"/>
      <c r="BF479" s="1061"/>
      <c r="BG479" s="1062" t="s">
        <v>159</v>
      </c>
      <c r="BH479" s="1063"/>
      <c r="BI479" s="1063"/>
      <c r="BJ479" s="1064"/>
      <c r="BK479" s="1065"/>
      <c r="BL479" s="1066"/>
      <c r="BM479" s="1067"/>
      <c r="BN479" s="259"/>
      <c r="BO479" s="259"/>
      <c r="BP479" s="1062"/>
      <c r="BQ479" s="1063"/>
      <c r="BR479" s="1064"/>
      <c r="BS479" s="1061" t="s">
        <v>159</v>
      </c>
      <c r="BT479" s="1061"/>
      <c r="BU479" s="1061"/>
    </row>
    <row r="480" spans="1:73" ht="30" customHeight="1" x14ac:dyDescent="0.25">
      <c r="A480" s="199">
        <f t="shared" si="7"/>
        <v>466</v>
      </c>
      <c r="B480" s="1081" t="s">
        <v>162</v>
      </c>
      <c r="C480" s="1082"/>
      <c r="D480" s="1083" t="s">
        <v>159</v>
      </c>
      <c r="E480" s="1084"/>
      <c r="F480" s="1084"/>
      <c r="G480" s="1085"/>
      <c r="H480" s="1086" t="s">
        <v>159</v>
      </c>
      <c r="I480" s="1087"/>
      <c r="J480" s="1087"/>
      <c r="K480" s="1088"/>
      <c r="L480" s="1089" t="s">
        <v>159</v>
      </c>
      <c r="M480" s="1090"/>
      <c r="N480" s="1091"/>
      <c r="O480" s="1092" t="s">
        <v>159</v>
      </c>
      <c r="P480" s="1093"/>
      <c r="Q480" s="1094"/>
      <c r="R480" s="812"/>
      <c r="S480" s="1095"/>
      <c r="T480" s="813"/>
      <c r="U480" s="745"/>
      <c r="V480" s="940"/>
      <c r="W480" s="746"/>
      <c r="X480" s="312"/>
      <c r="Y480" s="308"/>
      <c r="Z480" s="312"/>
      <c r="AA480" s="308"/>
      <c r="AB480" s="312"/>
      <c r="AC480" s="308"/>
      <c r="AD480" s="312"/>
      <c r="AE480" s="308"/>
      <c r="AF480" s="312"/>
      <c r="AG480" s="308"/>
      <c r="AH480" s="312"/>
      <c r="AI480" s="308"/>
      <c r="AJ480" s="117"/>
      <c r="AK480" s="330"/>
      <c r="AL480" s="117"/>
      <c r="AM480" s="330"/>
      <c r="AN480" s="117"/>
      <c r="AO480" s="330"/>
      <c r="AP480" s="117"/>
      <c r="AQ480" s="330"/>
      <c r="AR480" s="117"/>
      <c r="AS480" s="1096" t="s">
        <v>159</v>
      </c>
      <c r="AT480" s="1097"/>
      <c r="AU480" s="1097"/>
      <c r="AV480" s="1097"/>
      <c r="AW480" s="1097"/>
      <c r="AX480" s="1097"/>
      <c r="AY480" s="1100"/>
      <c r="AZ480" s="257"/>
      <c r="BA480" s="257"/>
      <c r="BB480" s="1059" t="s">
        <v>162</v>
      </c>
      <c r="BC480" s="1060"/>
      <c r="BD480" s="1061" t="s">
        <v>159</v>
      </c>
      <c r="BE480" s="1061"/>
      <c r="BF480" s="1061"/>
      <c r="BG480" s="1062" t="s">
        <v>159</v>
      </c>
      <c r="BH480" s="1063"/>
      <c r="BI480" s="1063"/>
      <c r="BJ480" s="1064"/>
      <c r="BK480" s="1065"/>
      <c r="BL480" s="1066"/>
      <c r="BM480" s="1067"/>
      <c r="BN480" s="259"/>
      <c r="BO480" s="259"/>
      <c r="BP480" s="1062"/>
      <c r="BQ480" s="1063"/>
      <c r="BR480" s="1064"/>
      <c r="BS480" s="1061" t="s">
        <v>159</v>
      </c>
      <c r="BT480" s="1061"/>
      <c r="BU480" s="1061"/>
    </row>
    <row r="481" spans="1:73" ht="30" customHeight="1" x14ac:dyDescent="0.25">
      <c r="A481" s="199">
        <f t="shared" si="7"/>
        <v>467</v>
      </c>
      <c r="B481" s="1081" t="s">
        <v>162</v>
      </c>
      <c r="C481" s="1082"/>
      <c r="D481" s="1083" t="s">
        <v>159</v>
      </c>
      <c r="E481" s="1084"/>
      <c r="F481" s="1084"/>
      <c r="G481" s="1085"/>
      <c r="H481" s="1086" t="s">
        <v>159</v>
      </c>
      <c r="I481" s="1087"/>
      <c r="J481" s="1087"/>
      <c r="K481" s="1088"/>
      <c r="L481" s="1089" t="s">
        <v>159</v>
      </c>
      <c r="M481" s="1090"/>
      <c r="N481" s="1091"/>
      <c r="O481" s="1092" t="s">
        <v>159</v>
      </c>
      <c r="P481" s="1093"/>
      <c r="Q481" s="1094"/>
      <c r="R481" s="812"/>
      <c r="S481" s="1095"/>
      <c r="T481" s="813"/>
      <c r="U481" s="745"/>
      <c r="V481" s="940"/>
      <c r="W481" s="746"/>
      <c r="X481" s="312"/>
      <c r="Y481" s="308"/>
      <c r="Z481" s="312"/>
      <c r="AA481" s="308"/>
      <c r="AB481" s="312"/>
      <c r="AC481" s="308"/>
      <c r="AD481" s="312"/>
      <c r="AE481" s="308"/>
      <c r="AF481" s="312"/>
      <c r="AG481" s="308"/>
      <c r="AH481" s="312"/>
      <c r="AI481" s="308"/>
      <c r="AJ481" s="117"/>
      <c r="AK481" s="330"/>
      <c r="AL481" s="117"/>
      <c r="AM481" s="330"/>
      <c r="AN481" s="117"/>
      <c r="AO481" s="330"/>
      <c r="AP481" s="117"/>
      <c r="AQ481" s="330"/>
      <c r="AR481" s="117"/>
      <c r="AS481" s="1096" t="s">
        <v>159</v>
      </c>
      <c r="AT481" s="1097"/>
      <c r="AU481" s="1097"/>
      <c r="AV481" s="1097"/>
      <c r="AW481" s="1097"/>
      <c r="AX481" s="1097"/>
      <c r="AY481" s="1100"/>
      <c r="AZ481" s="257"/>
      <c r="BA481" s="257"/>
      <c r="BB481" s="1059" t="s">
        <v>162</v>
      </c>
      <c r="BC481" s="1060"/>
      <c r="BD481" s="1061" t="s">
        <v>159</v>
      </c>
      <c r="BE481" s="1061"/>
      <c r="BF481" s="1061"/>
      <c r="BG481" s="1062" t="s">
        <v>159</v>
      </c>
      <c r="BH481" s="1063"/>
      <c r="BI481" s="1063"/>
      <c r="BJ481" s="1064"/>
      <c r="BK481" s="1065"/>
      <c r="BL481" s="1066"/>
      <c r="BM481" s="1067"/>
      <c r="BN481" s="259"/>
      <c r="BO481" s="259"/>
      <c r="BP481" s="1062"/>
      <c r="BQ481" s="1063"/>
      <c r="BR481" s="1064"/>
      <c r="BS481" s="1061" t="s">
        <v>159</v>
      </c>
      <c r="BT481" s="1061"/>
      <c r="BU481" s="1061"/>
    </row>
    <row r="482" spans="1:73" ht="30" customHeight="1" x14ac:dyDescent="0.25">
      <c r="A482" s="199">
        <f t="shared" si="7"/>
        <v>468</v>
      </c>
      <c r="B482" s="1081" t="s">
        <v>162</v>
      </c>
      <c r="C482" s="1082"/>
      <c r="D482" s="1083" t="s">
        <v>159</v>
      </c>
      <c r="E482" s="1084"/>
      <c r="F482" s="1084"/>
      <c r="G482" s="1085"/>
      <c r="H482" s="1086" t="s">
        <v>159</v>
      </c>
      <c r="I482" s="1087"/>
      <c r="J482" s="1087"/>
      <c r="K482" s="1088"/>
      <c r="L482" s="1089" t="s">
        <v>159</v>
      </c>
      <c r="M482" s="1090"/>
      <c r="N482" s="1091"/>
      <c r="O482" s="1092" t="s">
        <v>159</v>
      </c>
      <c r="P482" s="1093"/>
      <c r="Q482" s="1094"/>
      <c r="R482" s="812"/>
      <c r="S482" s="1095"/>
      <c r="T482" s="813"/>
      <c r="U482" s="745"/>
      <c r="V482" s="940"/>
      <c r="W482" s="746"/>
      <c r="X482" s="312"/>
      <c r="Y482" s="308"/>
      <c r="Z482" s="312"/>
      <c r="AA482" s="308"/>
      <c r="AB482" s="312"/>
      <c r="AC482" s="308"/>
      <c r="AD482" s="312"/>
      <c r="AE482" s="308"/>
      <c r="AF482" s="312"/>
      <c r="AG482" s="308"/>
      <c r="AH482" s="312"/>
      <c r="AI482" s="308"/>
      <c r="AJ482" s="117"/>
      <c r="AK482" s="330"/>
      <c r="AL482" s="117"/>
      <c r="AM482" s="330"/>
      <c r="AN482" s="117"/>
      <c r="AO482" s="330"/>
      <c r="AP482" s="117"/>
      <c r="AQ482" s="330"/>
      <c r="AR482" s="117"/>
      <c r="AS482" s="1096" t="s">
        <v>159</v>
      </c>
      <c r="AT482" s="1097"/>
      <c r="AU482" s="1097"/>
      <c r="AV482" s="1097"/>
      <c r="AW482" s="1097"/>
      <c r="AX482" s="1097"/>
      <c r="AY482" s="1100"/>
      <c r="AZ482" s="257"/>
      <c r="BA482" s="257"/>
      <c r="BB482" s="1059" t="s">
        <v>162</v>
      </c>
      <c r="BC482" s="1060"/>
      <c r="BD482" s="1061" t="s">
        <v>159</v>
      </c>
      <c r="BE482" s="1061"/>
      <c r="BF482" s="1061"/>
      <c r="BG482" s="1062" t="s">
        <v>159</v>
      </c>
      <c r="BH482" s="1063"/>
      <c r="BI482" s="1063"/>
      <c r="BJ482" s="1064"/>
      <c r="BK482" s="1065"/>
      <c r="BL482" s="1066"/>
      <c r="BM482" s="1067"/>
      <c r="BN482" s="259"/>
      <c r="BO482" s="259"/>
      <c r="BP482" s="1062"/>
      <c r="BQ482" s="1063"/>
      <c r="BR482" s="1064"/>
      <c r="BS482" s="1061" t="s">
        <v>159</v>
      </c>
      <c r="BT482" s="1061"/>
      <c r="BU482" s="1061"/>
    </row>
    <row r="483" spans="1:73" ht="30" customHeight="1" x14ac:dyDescent="0.25">
      <c r="A483" s="199">
        <f t="shared" si="7"/>
        <v>469</v>
      </c>
      <c r="B483" s="1081" t="s">
        <v>162</v>
      </c>
      <c r="C483" s="1082"/>
      <c r="D483" s="1083" t="s">
        <v>159</v>
      </c>
      <c r="E483" s="1084"/>
      <c r="F483" s="1084"/>
      <c r="G483" s="1085"/>
      <c r="H483" s="1086" t="s">
        <v>159</v>
      </c>
      <c r="I483" s="1087"/>
      <c r="J483" s="1087"/>
      <c r="K483" s="1088"/>
      <c r="L483" s="1089" t="s">
        <v>159</v>
      </c>
      <c r="M483" s="1090"/>
      <c r="N483" s="1091"/>
      <c r="O483" s="1092" t="s">
        <v>159</v>
      </c>
      <c r="P483" s="1093"/>
      <c r="Q483" s="1094"/>
      <c r="R483" s="812"/>
      <c r="S483" s="1095"/>
      <c r="T483" s="813"/>
      <c r="U483" s="745"/>
      <c r="V483" s="940"/>
      <c r="W483" s="746"/>
      <c r="X483" s="312"/>
      <c r="Y483" s="308"/>
      <c r="Z483" s="312"/>
      <c r="AA483" s="308"/>
      <c r="AB483" s="312"/>
      <c r="AC483" s="308"/>
      <c r="AD483" s="312"/>
      <c r="AE483" s="308"/>
      <c r="AF483" s="312"/>
      <c r="AG483" s="308"/>
      <c r="AH483" s="312"/>
      <c r="AI483" s="308"/>
      <c r="AJ483" s="117"/>
      <c r="AK483" s="330"/>
      <c r="AL483" s="117"/>
      <c r="AM483" s="330"/>
      <c r="AN483" s="117"/>
      <c r="AO483" s="330"/>
      <c r="AP483" s="117"/>
      <c r="AQ483" s="330"/>
      <c r="AR483" s="117"/>
      <c r="AS483" s="1096" t="s">
        <v>159</v>
      </c>
      <c r="AT483" s="1097"/>
      <c r="AU483" s="1097"/>
      <c r="AV483" s="1097"/>
      <c r="AW483" s="1097"/>
      <c r="AX483" s="1097"/>
      <c r="AY483" s="1100"/>
      <c r="AZ483" s="257"/>
      <c r="BA483" s="257"/>
      <c r="BB483" s="1059" t="s">
        <v>162</v>
      </c>
      <c r="BC483" s="1060"/>
      <c r="BD483" s="1061" t="s">
        <v>159</v>
      </c>
      <c r="BE483" s="1061"/>
      <c r="BF483" s="1061"/>
      <c r="BG483" s="1062" t="s">
        <v>159</v>
      </c>
      <c r="BH483" s="1063"/>
      <c r="BI483" s="1063"/>
      <c r="BJ483" s="1064"/>
      <c r="BK483" s="1065"/>
      <c r="BL483" s="1066"/>
      <c r="BM483" s="1067"/>
      <c r="BN483" s="259"/>
      <c r="BO483" s="259"/>
      <c r="BP483" s="1062"/>
      <c r="BQ483" s="1063"/>
      <c r="BR483" s="1064"/>
      <c r="BS483" s="1061" t="s">
        <v>159</v>
      </c>
      <c r="BT483" s="1061"/>
      <c r="BU483" s="1061"/>
    </row>
    <row r="484" spans="1:73" ht="30" customHeight="1" x14ac:dyDescent="0.25">
      <c r="A484" s="199">
        <f t="shared" si="7"/>
        <v>470</v>
      </c>
      <c r="B484" s="1081" t="s">
        <v>162</v>
      </c>
      <c r="C484" s="1082"/>
      <c r="D484" s="1083" t="s">
        <v>159</v>
      </c>
      <c r="E484" s="1084"/>
      <c r="F484" s="1084"/>
      <c r="G484" s="1085"/>
      <c r="H484" s="1086" t="s">
        <v>159</v>
      </c>
      <c r="I484" s="1087"/>
      <c r="J484" s="1087"/>
      <c r="K484" s="1088"/>
      <c r="L484" s="1089" t="s">
        <v>159</v>
      </c>
      <c r="M484" s="1090"/>
      <c r="N484" s="1091"/>
      <c r="O484" s="1092" t="s">
        <v>159</v>
      </c>
      <c r="P484" s="1093"/>
      <c r="Q484" s="1094"/>
      <c r="R484" s="812"/>
      <c r="S484" s="1095"/>
      <c r="T484" s="813"/>
      <c r="U484" s="745"/>
      <c r="V484" s="940"/>
      <c r="W484" s="746"/>
      <c r="X484" s="312"/>
      <c r="Y484" s="308"/>
      <c r="Z484" s="312"/>
      <c r="AA484" s="308"/>
      <c r="AB484" s="312"/>
      <c r="AC484" s="308"/>
      <c r="AD484" s="312"/>
      <c r="AE484" s="308"/>
      <c r="AF484" s="312"/>
      <c r="AG484" s="308"/>
      <c r="AH484" s="312"/>
      <c r="AI484" s="308"/>
      <c r="AJ484" s="117"/>
      <c r="AK484" s="330"/>
      <c r="AL484" s="117"/>
      <c r="AM484" s="330"/>
      <c r="AN484" s="117"/>
      <c r="AO484" s="330"/>
      <c r="AP484" s="117"/>
      <c r="AQ484" s="330"/>
      <c r="AR484" s="117"/>
      <c r="AS484" s="1096" t="s">
        <v>159</v>
      </c>
      <c r="AT484" s="1097"/>
      <c r="AU484" s="1097"/>
      <c r="AV484" s="1097"/>
      <c r="AW484" s="1097"/>
      <c r="AX484" s="1097"/>
      <c r="AY484" s="1100"/>
      <c r="AZ484" s="257"/>
      <c r="BA484" s="257"/>
      <c r="BB484" s="1059" t="s">
        <v>162</v>
      </c>
      <c r="BC484" s="1060"/>
      <c r="BD484" s="1061" t="s">
        <v>159</v>
      </c>
      <c r="BE484" s="1061"/>
      <c r="BF484" s="1061"/>
      <c r="BG484" s="1062" t="s">
        <v>159</v>
      </c>
      <c r="BH484" s="1063"/>
      <c r="BI484" s="1063"/>
      <c r="BJ484" s="1064"/>
      <c r="BK484" s="1065"/>
      <c r="BL484" s="1066"/>
      <c r="BM484" s="1067"/>
      <c r="BN484" s="259"/>
      <c r="BO484" s="259"/>
      <c r="BP484" s="1062"/>
      <c r="BQ484" s="1063"/>
      <c r="BR484" s="1064"/>
      <c r="BS484" s="1061" t="s">
        <v>159</v>
      </c>
      <c r="BT484" s="1061"/>
      <c r="BU484" s="1061"/>
    </row>
    <row r="485" spans="1:73" ht="30" customHeight="1" x14ac:dyDescent="0.25">
      <c r="A485" s="199">
        <f t="shared" si="7"/>
        <v>471</v>
      </c>
      <c r="B485" s="1081" t="s">
        <v>162</v>
      </c>
      <c r="C485" s="1082"/>
      <c r="D485" s="1083" t="s">
        <v>159</v>
      </c>
      <c r="E485" s="1084"/>
      <c r="F485" s="1084"/>
      <c r="G485" s="1085"/>
      <c r="H485" s="1086" t="s">
        <v>159</v>
      </c>
      <c r="I485" s="1087"/>
      <c r="J485" s="1087"/>
      <c r="K485" s="1088"/>
      <c r="L485" s="1089" t="s">
        <v>159</v>
      </c>
      <c r="M485" s="1090"/>
      <c r="N485" s="1091"/>
      <c r="O485" s="1092" t="s">
        <v>159</v>
      </c>
      <c r="P485" s="1093"/>
      <c r="Q485" s="1094"/>
      <c r="R485" s="812"/>
      <c r="S485" s="1095"/>
      <c r="T485" s="813"/>
      <c r="U485" s="745"/>
      <c r="V485" s="940"/>
      <c r="W485" s="746"/>
      <c r="X485" s="312"/>
      <c r="Y485" s="308"/>
      <c r="Z485" s="312"/>
      <c r="AA485" s="308"/>
      <c r="AB485" s="312"/>
      <c r="AC485" s="308"/>
      <c r="AD485" s="312"/>
      <c r="AE485" s="308"/>
      <c r="AF485" s="312"/>
      <c r="AG485" s="308"/>
      <c r="AH485" s="312"/>
      <c r="AI485" s="308"/>
      <c r="AJ485" s="117"/>
      <c r="AK485" s="330"/>
      <c r="AL485" s="117"/>
      <c r="AM485" s="330"/>
      <c r="AN485" s="117"/>
      <c r="AO485" s="330"/>
      <c r="AP485" s="117"/>
      <c r="AQ485" s="330"/>
      <c r="AR485" s="117"/>
      <c r="AS485" s="1096" t="s">
        <v>159</v>
      </c>
      <c r="AT485" s="1097"/>
      <c r="AU485" s="1097"/>
      <c r="AV485" s="1097"/>
      <c r="AW485" s="1097"/>
      <c r="AX485" s="1097"/>
      <c r="AY485" s="1100"/>
      <c r="AZ485" s="257"/>
      <c r="BA485" s="257"/>
      <c r="BB485" s="1059" t="s">
        <v>162</v>
      </c>
      <c r="BC485" s="1060"/>
      <c r="BD485" s="1061" t="s">
        <v>159</v>
      </c>
      <c r="BE485" s="1061"/>
      <c r="BF485" s="1061"/>
      <c r="BG485" s="1062" t="s">
        <v>159</v>
      </c>
      <c r="BH485" s="1063"/>
      <c r="BI485" s="1063"/>
      <c r="BJ485" s="1064"/>
      <c r="BK485" s="1065"/>
      <c r="BL485" s="1066"/>
      <c r="BM485" s="1067"/>
      <c r="BN485" s="259"/>
      <c r="BO485" s="259"/>
      <c r="BP485" s="1062"/>
      <c r="BQ485" s="1063"/>
      <c r="BR485" s="1064"/>
      <c r="BS485" s="1061" t="s">
        <v>159</v>
      </c>
      <c r="BT485" s="1061"/>
      <c r="BU485" s="1061"/>
    </row>
    <row r="486" spans="1:73" ht="30" customHeight="1" x14ac:dyDescent="0.25">
      <c r="A486" s="199">
        <f t="shared" si="7"/>
        <v>472</v>
      </c>
      <c r="B486" s="1081" t="s">
        <v>162</v>
      </c>
      <c r="C486" s="1082"/>
      <c r="D486" s="1083" t="s">
        <v>159</v>
      </c>
      <c r="E486" s="1084"/>
      <c r="F486" s="1084"/>
      <c r="G486" s="1085"/>
      <c r="H486" s="1086" t="s">
        <v>159</v>
      </c>
      <c r="I486" s="1087"/>
      <c r="J486" s="1087"/>
      <c r="K486" s="1088"/>
      <c r="L486" s="1089" t="s">
        <v>159</v>
      </c>
      <c r="M486" s="1090"/>
      <c r="N486" s="1091"/>
      <c r="O486" s="1092" t="s">
        <v>159</v>
      </c>
      <c r="P486" s="1093"/>
      <c r="Q486" s="1094"/>
      <c r="R486" s="812"/>
      <c r="S486" s="1095"/>
      <c r="T486" s="813"/>
      <c r="U486" s="745"/>
      <c r="V486" s="940"/>
      <c r="W486" s="746"/>
      <c r="X486" s="312"/>
      <c r="Y486" s="308"/>
      <c r="Z486" s="312"/>
      <c r="AA486" s="308"/>
      <c r="AB486" s="312"/>
      <c r="AC486" s="308"/>
      <c r="AD486" s="312"/>
      <c r="AE486" s="308"/>
      <c r="AF486" s="312"/>
      <c r="AG486" s="308"/>
      <c r="AH486" s="312"/>
      <c r="AI486" s="308"/>
      <c r="AJ486" s="117"/>
      <c r="AK486" s="330"/>
      <c r="AL486" s="117"/>
      <c r="AM486" s="330"/>
      <c r="AN486" s="117"/>
      <c r="AO486" s="330"/>
      <c r="AP486" s="117"/>
      <c r="AQ486" s="330"/>
      <c r="AR486" s="117"/>
      <c r="AS486" s="1096" t="s">
        <v>159</v>
      </c>
      <c r="AT486" s="1097"/>
      <c r="AU486" s="1097"/>
      <c r="AV486" s="1097"/>
      <c r="AW486" s="1097"/>
      <c r="AX486" s="1097"/>
      <c r="AY486" s="1100"/>
      <c r="AZ486" s="257"/>
      <c r="BA486" s="257"/>
      <c r="BB486" s="1059" t="s">
        <v>162</v>
      </c>
      <c r="BC486" s="1060"/>
      <c r="BD486" s="1061" t="s">
        <v>159</v>
      </c>
      <c r="BE486" s="1061"/>
      <c r="BF486" s="1061"/>
      <c r="BG486" s="1062" t="s">
        <v>159</v>
      </c>
      <c r="BH486" s="1063"/>
      <c r="BI486" s="1063"/>
      <c r="BJ486" s="1064"/>
      <c r="BK486" s="1065"/>
      <c r="BL486" s="1066"/>
      <c r="BM486" s="1067"/>
      <c r="BN486" s="259"/>
      <c r="BO486" s="259"/>
      <c r="BP486" s="1062"/>
      <c r="BQ486" s="1063"/>
      <c r="BR486" s="1064"/>
      <c r="BS486" s="1061" t="s">
        <v>159</v>
      </c>
      <c r="BT486" s="1061"/>
      <c r="BU486" s="1061"/>
    </row>
    <row r="487" spans="1:73" ht="30" customHeight="1" x14ac:dyDescent="0.25">
      <c r="A487" s="199">
        <f t="shared" si="7"/>
        <v>473</v>
      </c>
      <c r="B487" s="1081" t="s">
        <v>162</v>
      </c>
      <c r="C487" s="1082"/>
      <c r="D487" s="1083" t="s">
        <v>159</v>
      </c>
      <c r="E487" s="1084"/>
      <c r="F487" s="1084"/>
      <c r="G487" s="1085"/>
      <c r="H487" s="1086" t="s">
        <v>159</v>
      </c>
      <c r="I487" s="1087"/>
      <c r="J487" s="1087"/>
      <c r="K487" s="1088"/>
      <c r="L487" s="1089" t="s">
        <v>159</v>
      </c>
      <c r="M487" s="1090"/>
      <c r="N487" s="1091"/>
      <c r="O487" s="1092" t="s">
        <v>159</v>
      </c>
      <c r="P487" s="1093"/>
      <c r="Q487" s="1094"/>
      <c r="R487" s="812"/>
      <c r="S487" s="1095"/>
      <c r="T487" s="813"/>
      <c r="U487" s="745"/>
      <c r="V487" s="940"/>
      <c r="W487" s="746"/>
      <c r="X487" s="312"/>
      <c r="Y487" s="308"/>
      <c r="Z487" s="312"/>
      <c r="AA487" s="308"/>
      <c r="AB487" s="312"/>
      <c r="AC487" s="308"/>
      <c r="AD487" s="312"/>
      <c r="AE487" s="308"/>
      <c r="AF487" s="312"/>
      <c r="AG487" s="308"/>
      <c r="AH487" s="312"/>
      <c r="AI487" s="308"/>
      <c r="AJ487" s="117"/>
      <c r="AK487" s="330"/>
      <c r="AL487" s="117"/>
      <c r="AM487" s="330"/>
      <c r="AN487" s="117"/>
      <c r="AO487" s="330"/>
      <c r="AP487" s="117"/>
      <c r="AQ487" s="330"/>
      <c r="AR487" s="117"/>
      <c r="AS487" s="1096" t="s">
        <v>159</v>
      </c>
      <c r="AT487" s="1097"/>
      <c r="AU487" s="1097"/>
      <c r="AV487" s="1097"/>
      <c r="AW487" s="1097"/>
      <c r="AX487" s="1097"/>
      <c r="AY487" s="1100"/>
      <c r="AZ487" s="257"/>
      <c r="BA487" s="257"/>
      <c r="BB487" s="1059" t="s">
        <v>162</v>
      </c>
      <c r="BC487" s="1060"/>
      <c r="BD487" s="1061" t="s">
        <v>159</v>
      </c>
      <c r="BE487" s="1061"/>
      <c r="BF487" s="1061"/>
      <c r="BG487" s="1062" t="s">
        <v>159</v>
      </c>
      <c r="BH487" s="1063"/>
      <c r="BI487" s="1063"/>
      <c r="BJ487" s="1064"/>
      <c r="BK487" s="1065"/>
      <c r="BL487" s="1066"/>
      <c r="BM487" s="1067"/>
      <c r="BN487" s="259"/>
      <c r="BO487" s="259"/>
      <c r="BP487" s="1062"/>
      <c r="BQ487" s="1063"/>
      <c r="BR487" s="1064"/>
      <c r="BS487" s="1061" t="s">
        <v>159</v>
      </c>
      <c r="BT487" s="1061"/>
      <c r="BU487" s="1061"/>
    </row>
    <row r="488" spans="1:73" ht="30" customHeight="1" x14ac:dyDescent="0.25">
      <c r="A488" s="199">
        <f t="shared" si="7"/>
        <v>474</v>
      </c>
      <c r="B488" s="1081" t="s">
        <v>162</v>
      </c>
      <c r="C488" s="1082"/>
      <c r="D488" s="1083" t="s">
        <v>159</v>
      </c>
      <c r="E488" s="1084"/>
      <c r="F488" s="1084"/>
      <c r="G488" s="1085"/>
      <c r="H488" s="1086" t="s">
        <v>159</v>
      </c>
      <c r="I488" s="1087"/>
      <c r="J488" s="1087"/>
      <c r="K488" s="1088"/>
      <c r="L488" s="1089" t="s">
        <v>159</v>
      </c>
      <c r="M488" s="1090"/>
      <c r="N488" s="1091"/>
      <c r="O488" s="1092" t="s">
        <v>159</v>
      </c>
      <c r="P488" s="1093"/>
      <c r="Q488" s="1094"/>
      <c r="R488" s="812"/>
      <c r="S488" s="1095"/>
      <c r="T488" s="813"/>
      <c r="U488" s="745"/>
      <c r="V488" s="940"/>
      <c r="W488" s="746"/>
      <c r="X488" s="312"/>
      <c r="Y488" s="308"/>
      <c r="Z488" s="312"/>
      <c r="AA488" s="308"/>
      <c r="AB488" s="312"/>
      <c r="AC488" s="308"/>
      <c r="AD488" s="312"/>
      <c r="AE488" s="308"/>
      <c r="AF488" s="312"/>
      <c r="AG488" s="308"/>
      <c r="AH488" s="312"/>
      <c r="AI488" s="308"/>
      <c r="AJ488" s="117"/>
      <c r="AK488" s="330"/>
      <c r="AL488" s="117"/>
      <c r="AM488" s="330"/>
      <c r="AN488" s="117"/>
      <c r="AO488" s="330"/>
      <c r="AP488" s="117"/>
      <c r="AQ488" s="330"/>
      <c r="AR488" s="117"/>
      <c r="AS488" s="1096" t="s">
        <v>159</v>
      </c>
      <c r="AT488" s="1097"/>
      <c r="AU488" s="1097"/>
      <c r="AV488" s="1097"/>
      <c r="AW488" s="1097"/>
      <c r="AX488" s="1097"/>
      <c r="AY488" s="1100"/>
      <c r="AZ488" s="257"/>
      <c r="BA488" s="257"/>
      <c r="BB488" s="1059" t="s">
        <v>162</v>
      </c>
      <c r="BC488" s="1060"/>
      <c r="BD488" s="1061" t="s">
        <v>159</v>
      </c>
      <c r="BE488" s="1061"/>
      <c r="BF488" s="1061"/>
      <c r="BG488" s="1062" t="s">
        <v>159</v>
      </c>
      <c r="BH488" s="1063"/>
      <c r="BI488" s="1063"/>
      <c r="BJ488" s="1064"/>
      <c r="BK488" s="1065"/>
      <c r="BL488" s="1066"/>
      <c r="BM488" s="1067"/>
      <c r="BN488" s="259"/>
      <c r="BO488" s="259"/>
      <c r="BP488" s="1062"/>
      <c r="BQ488" s="1063"/>
      <c r="BR488" s="1064"/>
      <c r="BS488" s="1061" t="s">
        <v>159</v>
      </c>
      <c r="BT488" s="1061"/>
      <c r="BU488" s="1061"/>
    </row>
    <row r="489" spans="1:73" ht="30" customHeight="1" x14ac:dyDescent="0.25">
      <c r="A489" s="199">
        <f t="shared" si="7"/>
        <v>475</v>
      </c>
      <c r="B489" s="1081" t="s">
        <v>162</v>
      </c>
      <c r="C489" s="1082"/>
      <c r="D489" s="1083" t="s">
        <v>159</v>
      </c>
      <c r="E489" s="1084"/>
      <c r="F489" s="1084"/>
      <c r="G489" s="1085"/>
      <c r="H489" s="1086" t="s">
        <v>159</v>
      </c>
      <c r="I489" s="1087"/>
      <c r="J489" s="1087"/>
      <c r="K489" s="1088"/>
      <c r="L489" s="1089" t="s">
        <v>159</v>
      </c>
      <c r="M489" s="1090"/>
      <c r="N489" s="1091"/>
      <c r="O489" s="1092" t="s">
        <v>159</v>
      </c>
      <c r="P489" s="1093"/>
      <c r="Q489" s="1094"/>
      <c r="R489" s="812"/>
      <c r="S489" s="1095"/>
      <c r="T489" s="813"/>
      <c r="U489" s="745"/>
      <c r="V489" s="940"/>
      <c r="W489" s="746"/>
      <c r="X489" s="312"/>
      <c r="Y489" s="308"/>
      <c r="Z489" s="312"/>
      <c r="AA489" s="308"/>
      <c r="AB489" s="312"/>
      <c r="AC489" s="308"/>
      <c r="AD489" s="312"/>
      <c r="AE489" s="308"/>
      <c r="AF489" s="312"/>
      <c r="AG489" s="308"/>
      <c r="AH489" s="312"/>
      <c r="AI489" s="308"/>
      <c r="AJ489" s="117"/>
      <c r="AK489" s="330"/>
      <c r="AL489" s="117"/>
      <c r="AM489" s="330"/>
      <c r="AN489" s="117"/>
      <c r="AO489" s="330"/>
      <c r="AP489" s="117"/>
      <c r="AQ489" s="330"/>
      <c r="AR489" s="117"/>
      <c r="AS489" s="1096" t="s">
        <v>159</v>
      </c>
      <c r="AT489" s="1097"/>
      <c r="AU489" s="1097"/>
      <c r="AV489" s="1097"/>
      <c r="AW489" s="1097"/>
      <c r="AX489" s="1097"/>
      <c r="AY489" s="1100"/>
      <c r="AZ489" s="257"/>
      <c r="BA489" s="257"/>
      <c r="BB489" s="1059" t="s">
        <v>162</v>
      </c>
      <c r="BC489" s="1060"/>
      <c r="BD489" s="1061" t="s">
        <v>159</v>
      </c>
      <c r="BE489" s="1061"/>
      <c r="BF489" s="1061"/>
      <c r="BG489" s="1062" t="s">
        <v>159</v>
      </c>
      <c r="BH489" s="1063"/>
      <c r="BI489" s="1063"/>
      <c r="BJ489" s="1064"/>
      <c r="BK489" s="1065"/>
      <c r="BL489" s="1066"/>
      <c r="BM489" s="1067"/>
      <c r="BN489" s="259"/>
      <c r="BO489" s="259"/>
      <c r="BP489" s="1062"/>
      <c r="BQ489" s="1063"/>
      <c r="BR489" s="1064"/>
      <c r="BS489" s="1061" t="s">
        <v>159</v>
      </c>
      <c r="BT489" s="1061"/>
      <c r="BU489" s="1061"/>
    </row>
    <row r="490" spans="1:73" ht="30" customHeight="1" x14ac:dyDescent="0.25">
      <c r="A490" s="199">
        <f t="shared" si="7"/>
        <v>476</v>
      </c>
      <c r="B490" s="1081" t="s">
        <v>162</v>
      </c>
      <c r="C490" s="1082"/>
      <c r="D490" s="1083" t="s">
        <v>159</v>
      </c>
      <c r="E490" s="1084"/>
      <c r="F490" s="1084"/>
      <c r="G490" s="1085"/>
      <c r="H490" s="1086" t="s">
        <v>159</v>
      </c>
      <c r="I490" s="1087"/>
      <c r="J490" s="1087"/>
      <c r="K490" s="1088"/>
      <c r="L490" s="1089" t="s">
        <v>159</v>
      </c>
      <c r="M490" s="1090"/>
      <c r="N490" s="1091"/>
      <c r="O490" s="1092" t="s">
        <v>159</v>
      </c>
      <c r="P490" s="1093"/>
      <c r="Q490" s="1094"/>
      <c r="R490" s="812"/>
      <c r="S490" s="1095"/>
      <c r="T490" s="813"/>
      <c r="U490" s="745"/>
      <c r="V490" s="940"/>
      <c r="W490" s="746"/>
      <c r="X490" s="312"/>
      <c r="Y490" s="308"/>
      <c r="Z490" s="312"/>
      <c r="AA490" s="308"/>
      <c r="AB490" s="312"/>
      <c r="AC490" s="308"/>
      <c r="AD490" s="312"/>
      <c r="AE490" s="308"/>
      <c r="AF490" s="312"/>
      <c r="AG490" s="308"/>
      <c r="AH490" s="312"/>
      <c r="AI490" s="308"/>
      <c r="AJ490" s="117"/>
      <c r="AK490" s="330"/>
      <c r="AL490" s="117"/>
      <c r="AM490" s="330"/>
      <c r="AN490" s="117"/>
      <c r="AO490" s="330"/>
      <c r="AP490" s="117"/>
      <c r="AQ490" s="330"/>
      <c r="AR490" s="117"/>
      <c r="AS490" s="1096" t="s">
        <v>159</v>
      </c>
      <c r="AT490" s="1097"/>
      <c r="AU490" s="1097"/>
      <c r="AV490" s="1097"/>
      <c r="AW490" s="1097"/>
      <c r="AX490" s="1097"/>
      <c r="AY490" s="1100"/>
      <c r="AZ490" s="257"/>
      <c r="BA490" s="257"/>
      <c r="BB490" s="1059" t="s">
        <v>162</v>
      </c>
      <c r="BC490" s="1060"/>
      <c r="BD490" s="1061" t="s">
        <v>159</v>
      </c>
      <c r="BE490" s="1061"/>
      <c r="BF490" s="1061"/>
      <c r="BG490" s="1062" t="s">
        <v>159</v>
      </c>
      <c r="BH490" s="1063"/>
      <c r="BI490" s="1063"/>
      <c r="BJ490" s="1064"/>
      <c r="BK490" s="1065"/>
      <c r="BL490" s="1066"/>
      <c r="BM490" s="1067"/>
      <c r="BN490" s="259"/>
      <c r="BO490" s="259"/>
      <c r="BP490" s="1062"/>
      <c r="BQ490" s="1063"/>
      <c r="BR490" s="1064"/>
      <c r="BS490" s="1061" t="s">
        <v>159</v>
      </c>
      <c r="BT490" s="1061"/>
      <c r="BU490" s="1061"/>
    </row>
    <row r="491" spans="1:73" ht="30" customHeight="1" x14ac:dyDescent="0.25">
      <c r="A491" s="199">
        <f t="shared" si="7"/>
        <v>477</v>
      </c>
      <c r="B491" s="1081" t="s">
        <v>162</v>
      </c>
      <c r="C491" s="1082"/>
      <c r="D491" s="1083" t="s">
        <v>159</v>
      </c>
      <c r="E491" s="1084"/>
      <c r="F491" s="1084"/>
      <c r="G491" s="1085"/>
      <c r="H491" s="1086" t="s">
        <v>159</v>
      </c>
      <c r="I491" s="1087"/>
      <c r="J491" s="1087"/>
      <c r="K491" s="1088"/>
      <c r="L491" s="1089" t="s">
        <v>159</v>
      </c>
      <c r="M491" s="1090"/>
      <c r="N491" s="1091"/>
      <c r="O491" s="1092" t="s">
        <v>159</v>
      </c>
      <c r="P491" s="1093"/>
      <c r="Q491" s="1094"/>
      <c r="R491" s="812"/>
      <c r="S491" s="1095"/>
      <c r="T491" s="813"/>
      <c r="U491" s="745"/>
      <c r="V491" s="940"/>
      <c r="W491" s="746"/>
      <c r="X491" s="312"/>
      <c r="Y491" s="308"/>
      <c r="Z491" s="312"/>
      <c r="AA491" s="308"/>
      <c r="AB491" s="312"/>
      <c r="AC491" s="308"/>
      <c r="AD491" s="312"/>
      <c r="AE491" s="308"/>
      <c r="AF491" s="312"/>
      <c r="AG491" s="308"/>
      <c r="AH491" s="312"/>
      <c r="AI491" s="308"/>
      <c r="AJ491" s="117"/>
      <c r="AK491" s="330"/>
      <c r="AL491" s="117"/>
      <c r="AM491" s="330"/>
      <c r="AN491" s="117"/>
      <c r="AO491" s="330"/>
      <c r="AP491" s="117"/>
      <c r="AQ491" s="330"/>
      <c r="AR491" s="117"/>
      <c r="AS491" s="1096" t="s">
        <v>159</v>
      </c>
      <c r="AT491" s="1097"/>
      <c r="AU491" s="1097"/>
      <c r="AV491" s="1097"/>
      <c r="AW491" s="1097"/>
      <c r="AX491" s="1097"/>
      <c r="AY491" s="1100"/>
      <c r="AZ491" s="257"/>
      <c r="BA491" s="257"/>
      <c r="BB491" s="1059" t="s">
        <v>162</v>
      </c>
      <c r="BC491" s="1060"/>
      <c r="BD491" s="1061" t="s">
        <v>159</v>
      </c>
      <c r="BE491" s="1061"/>
      <c r="BF491" s="1061"/>
      <c r="BG491" s="1062" t="s">
        <v>159</v>
      </c>
      <c r="BH491" s="1063"/>
      <c r="BI491" s="1063"/>
      <c r="BJ491" s="1064"/>
      <c r="BK491" s="1065"/>
      <c r="BL491" s="1066"/>
      <c r="BM491" s="1067"/>
      <c r="BN491" s="259"/>
      <c r="BO491" s="259"/>
      <c r="BP491" s="1062"/>
      <c r="BQ491" s="1063"/>
      <c r="BR491" s="1064"/>
      <c r="BS491" s="1061" t="s">
        <v>159</v>
      </c>
      <c r="BT491" s="1061"/>
      <c r="BU491" s="1061"/>
    </row>
    <row r="492" spans="1:73" ht="30" customHeight="1" x14ac:dyDescent="0.25">
      <c r="A492" s="199">
        <f t="shared" si="7"/>
        <v>478</v>
      </c>
      <c r="B492" s="1081" t="s">
        <v>162</v>
      </c>
      <c r="C492" s="1082"/>
      <c r="D492" s="1083" t="s">
        <v>159</v>
      </c>
      <c r="E492" s="1084"/>
      <c r="F492" s="1084"/>
      <c r="G492" s="1085"/>
      <c r="H492" s="1086" t="s">
        <v>159</v>
      </c>
      <c r="I492" s="1087"/>
      <c r="J492" s="1087"/>
      <c r="K492" s="1088"/>
      <c r="L492" s="1089" t="s">
        <v>159</v>
      </c>
      <c r="M492" s="1090"/>
      <c r="N492" s="1091"/>
      <c r="O492" s="1092" t="s">
        <v>159</v>
      </c>
      <c r="P492" s="1093"/>
      <c r="Q492" s="1094"/>
      <c r="R492" s="812"/>
      <c r="S492" s="1095"/>
      <c r="T492" s="813"/>
      <c r="U492" s="745"/>
      <c r="V492" s="940"/>
      <c r="W492" s="746"/>
      <c r="X492" s="312"/>
      <c r="Y492" s="308"/>
      <c r="Z492" s="312"/>
      <c r="AA492" s="308"/>
      <c r="AB492" s="312"/>
      <c r="AC492" s="308"/>
      <c r="AD492" s="312"/>
      <c r="AE492" s="308"/>
      <c r="AF492" s="312"/>
      <c r="AG492" s="308"/>
      <c r="AH492" s="312"/>
      <c r="AI492" s="308"/>
      <c r="AJ492" s="117"/>
      <c r="AK492" s="330"/>
      <c r="AL492" s="117"/>
      <c r="AM492" s="330"/>
      <c r="AN492" s="117"/>
      <c r="AO492" s="330"/>
      <c r="AP492" s="117"/>
      <c r="AQ492" s="330"/>
      <c r="AR492" s="117"/>
      <c r="AS492" s="1096" t="s">
        <v>159</v>
      </c>
      <c r="AT492" s="1097"/>
      <c r="AU492" s="1097"/>
      <c r="AV492" s="1097"/>
      <c r="AW492" s="1097"/>
      <c r="AX492" s="1097"/>
      <c r="AY492" s="1100"/>
      <c r="AZ492" s="257"/>
      <c r="BA492" s="257"/>
      <c r="BB492" s="1059" t="s">
        <v>162</v>
      </c>
      <c r="BC492" s="1060"/>
      <c r="BD492" s="1061" t="s">
        <v>159</v>
      </c>
      <c r="BE492" s="1061"/>
      <c r="BF492" s="1061"/>
      <c r="BG492" s="1062" t="s">
        <v>159</v>
      </c>
      <c r="BH492" s="1063"/>
      <c r="BI492" s="1063"/>
      <c r="BJ492" s="1064"/>
      <c r="BK492" s="1065"/>
      <c r="BL492" s="1066"/>
      <c r="BM492" s="1067"/>
      <c r="BN492" s="259"/>
      <c r="BO492" s="259"/>
      <c r="BP492" s="1062"/>
      <c r="BQ492" s="1063"/>
      <c r="BR492" s="1064"/>
      <c r="BS492" s="1061" t="s">
        <v>159</v>
      </c>
      <c r="BT492" s="1061"/>
      <c r="BU492" s="1061"/>
    </row>
    <row r="493" spans="1:73" ht="30" customHeight="1" x14ac:dyDescent="0.25">
      <c r="A493" s="199">
        <f t="shared" si="7"/>
        <v>479</v>
      </c>
      <c r="B493" s="1081" t="s">
        <v>162</v>
      </c>
      <c r="C493" s="1082"/>
      <c r="D493" s="1083" t="s">
        <v>159</v>
      </c>
      <c r="E493" s="1084"/>
      <c r="F493" s="1084"/>
      <c r="G493" s="1085"/>
      <c r="H493" s="1086" t="s">
        <v>159</v>
      </c>
      <c r="I493" s="1087"/>
      <c r="J493" s="1087"/>
      <c r="K493" s="1088"/>
      <c r="L493" s="1089" t="s">
        <v>159</v>
      </c>
      <c r="M493" s="1090"/>
      <c r="N493" s="1091"/>
      <c r="O493" s="1092" t="s">
        <v>159</v>
      </c>
      <c r="P493" s="1093"/>
      <c r="Q493" s="1094"/>
      <c r="R493" s="812"/>
      <c r="S493" s="1095"/>
      <c r="T493" s="813"/>
      <c r="U493" s="745"/>
      <c r="V493" s="940"/>
      <c r="W493" s="746"/>
      <c r="X493" s="312"/>
      <c r="Y493" s="308"/>
      <c r="Z493" s="312"/>
      <c r="AA493" s="308"/>
      <c r="AB493" s="312"/>
      <c r="AC493" s="308"/>
      <c r="AD493" s="312"/>
      <c r="AE493" s="308"/>
      <c r="AF493" s="312"/>
      <c r="AG493" s="308"/>
      <c r="AH493" s="312"/>
      <c r="AI493" s="308"/>
      <c r="AJ493" s="117"/>
      <c r="AK493" s="330"/>
      <c r="AL493" s="117"/>
      <c r="AM493" s="330"/>
      <c r="AN493" s="117"/>
      <c r="AO493" s="330"/>
      <c r="AP493" s="117"/>
      <c r="AQ493" s="330"/>
      <c r="AR493" s="117"/>
      <c r="AS493" s="1096" t="s">
        <v>159</v>
      </c>
      <c r="AT493" s="1097"/>
      <c r="AU493" s="1097"/>
      <c r="AV493" s="1097"/>
      <c r="AW493" s="1097"/>
      <c r="AX493" s="1097"/>
      <c r="AY493" s="1100"/>
      <c r="AZ493" s="257"/>
      <c r="BA493" s="257"/>
      <c r="BB493" s="1059" t="s">
        <v>162</v>
      </c>
      <c r="BC493" s="1060"/>
      <c r="BD493" s="1061" t="s">
        <v>159</v>
      </c>
      <c r="BE493" s="1061"/>
      <c r="BF493" s="1061"/>
      <c r="BG493" s="1062" t="s">
        <v>159</v>
      </c>
      <c r="BH493" s="1063"/>
      <c r="BI493" s="1063"/>
      <c r="BJ493" s="1064"/>
      <c r="BK493" s="1065"/>
      <c r="BL493" s="1066"/>
      <c r="BM493" s="1067"/>
      <c r="BN493" s="259"/>
      <c r="BO493" s="259"/>
      <c r="BP493" s="1062"/>
      <c r="BQ493" s="1063"/>
      <c r="BR493" s="1064"/>
      <c r="BS493" s="1061" t="s">
        <v>159</v>
      </c>
      <c r="BT493" s="1061"/>
      <c r="BU493" s="1061"/>
    </row>
    <row r="494" spans="1:73" ht="30" customHeight="1" x14ac:dyDescent="0.25">
      <c r="A494" s="199">
        <f t="shared" si="7"/>
        <v>480</v>
      </c>
      <c r="B494" s="1081" t="s">
        <v>162</v>
      </c>
      <c r="C494" s="1082"/>
      <c r="D494" s="1083" t="s">
        <v>159</v>
      </c>
      <c r="E494" s="1084"/>
      <c r="F494" s="1084"/>
      <c r="G494" s="1085"/>
      <c r="H494" s="1086" t="s">
        <v>159</v>
      </c>
      <c r="I494" s="1087"/>
      <c r="J494" s="1087"/>
      <c r="K494" s="1088"/>
      <c r="L494" s="1089" t="s">
        <v>159</v>
      </c>
      <c r="M494" s="1090"/>
      <c r="N494" s="1091"/>
      <c r="O494" s="1092" t="s">
        <v>159</v>
      </c>
      <c r="P494" s="1093"/>
      <c r="Q494" s="1094"/>
      <c r="R494" s="812"/>
      <c r="S494" s="1095"/>
      <c r="T494" s="813"/>
      <c r="U494" s="745"/>
      <c r="V494" s="940"/>
      <c r="W494" s="746"/>
      <c r="X494" s="312"/>
      <c r="Y494" s="308"/>
      <c r="Z494" s="312"/>
      <c r="AA494" s="308"/>
      <c r="AB494" s="312"/>
      <c r="AC494" s="308"/>
      <c r="AD494" s="312"/>
      <c r="AE494" s="308"/>
      <c r="AF494" s="312"/>
      <c r="AG494" s="308"/>
      <c r="AH494" s="312"/>
      <c r="AI494" s="308"/>
      <c r="AJ494" s="117"/>
      <c r="AK494" s="330"/>
      <c r="AL494" s="117"/>
      <c r="AM494" s="330"/>
      <c r="AN494" s="117"/>
      <c r="AO494" s="330"/>
      <c r="AP494" s="117"/>
      <c r="AQ494" s="330"/>
      <c r="AR494" s="117"/>
      <c r="AS494" s="1096" t="s">
        <v>159</v>
      </c>
      <c r="AT494" s="1097"/>
      <c r="AU494" s="1097"/>
      <c r="AV494" s="1097"/>
      <c r="AW494" s="1097"/>
      <c r="AX494" s="1097"/>
      <c r="AY494" s="1100"/>
      <c r="AZ494" s="257"/>
      <c r="BA494" s="257"/>
      <c r="BB494" s="1059" t="s">
        <v>162</v>
      </c>
      <c r="BC494" s="1060"/>
      <c r="BD494" s="1061" t="s">
        <v>159</v>
      </c>
      <c r="BE494" s="1061"/>
      <c r="BF494" s="1061"/>
      <c r="BG494" s="1062" t="s">
        <v>159</v>
      </c>
      <c r="BH494" s="1063"/>
      <c r="BI494" s="1063"/>
      <c r="BJ494" s="1064"/>
      <c r="BK494" s="1065"/>
      <c r="BL494" s="1066"/>
      <c r="BM494" s="1067"/>
      <c r="BN494" s="259"/>
      <c r="BO494" s="259"/>
      <c r="BP494" s="1062"/>
      <c r="BQ494" s="1063"/>
      <c r="BR494" s="1064"/>
      <c r="BS494" s="1061" t="s">
        <v>159</v>
      </c>
      <c r="BT494" s="1061"/>
      <c r="BU494" s="1061"/>
    </row>
    <row r="495" spans="1:73" ht="30" customHeight="1" x14ac:dyDescent="0.25">
      <c r="A495" s="199">
        <f t="shared" si="7"/>
        <v>481</v>
      </c>
      <c r="B495" s="1081" t="s">
        <v>162</v>
      </c>
      <c r="C495" s="1082"/>
      <c r="D495" s="1083" t="s">
        <v>159</v>
      </c>
      <c r="E495" s="1084"/>
      <c r="F495" s="1084"/>
      <c r="G495" s="1085"/>
      <c r="H495" s="1086" t="s">
        <v>159</v>
      </c>
      <c r="I495" s="1087"/>
      <c r="J495" s="1087"/>
      <c r="K495" s="1088"/>
      <c r="L495" s="1089" t="s">
        <v>159</v>
      </c>
      <c r="M495" s="1090"/>
      <c r="N495" s="1091"/>
      <c r="O495" s="1092" t="s">
        <v>159</v>
      </c>
      <c r="P495" s="1093"/>
      <c r="Q495" s="1094"/>
      <c r="R495" s="812"/>
      <c r="S495" s="1095"/>
      <c r="T495" s="813"/>
      <c r="U495" s="745"/>
      <c r="V495" s="940"/>
      <c r="W495" s="746"/>
      <c r="X495" s="312"/>
      <c r="Y495" s="308"/>
      <c r="Z495" s="312"/>
      <c r="AA495" s="308"/>
      <c r="AB495" s="312"/>
      <c r="AC495" s="308"/>
      <c r="AD495" s="312"/>
      <c r="AE495" s="308"/>
      <c r="AF495" s="312"/>
      <c r="AG495" s="308"/>
      <c r="AH495" s="312"/>
      <c r="AI495" s="308"/>
      <c r="AJ495" s="117"/>
      <c r="AK495" s="330"/>
      <c r="AL495" s="117"/>
      <c r="AM495" s="330"/>
      <c r="AN495" s="117"/>
      <c r="AO495" s="330"/>
      <c r="AP495" s="117"/>
      <c r="AQ495" s="330"/>
      <c r="AR495" s="117"/>
      <c r="AS495" s="1096" t="s">
        <v>159</v>
      </c>
      <c r="AT495" s="1097"/>
      <c r="AU495" s="1097"/>
      <c r="AV495" s="1097"/>
      <c r="AW495" s="1097"/>
      <c r="AX495" s="1097"/>
      <c r="AY495" s="1100"/>
      <c r="AZ495" s="257"/>
      <c r="BA495" s="257"/>
      <c r="BB495" s="1059" t="s">
        <v>162</v>
      </c>
      <c r="BC495" s="1060"/>
      <c r="BD495" s="1061" t="s">
        <v>159</v>
      </c>
      <c r="BE495" s="1061"/>
      <c r="BF495" s="1061"/>
      <c r="BG495" s="1062" t="s">
        <v>159</v>
      </c>
      <c r="BH495" s="1063"/>
      <c r="BI495" s="1063"/>
      <c r="BJ495" s="1064"/>
      <c r="BK495" s="1065"/>
      <c r="BL495" s="1066"/>
      <c r="BM495" s="1067"/>
      <c r="BN495" s="259"/>
      <c r="BO495" s="259"/>
      <c r="BP495" s="1062"/>
      <c r="BQ495" s="1063"/>
      <c r="BR495" s="1064"/>
      <c r="BS495" s="1061" t="s">
        <v>159</v>
      </c>
      <c r="BT495" s="1061"/>
      <c r="BU495" s="1061"/>
    </row>
    <row r="496" spans="1:73" ht="30" customHeight="1" x14ac:dyDescent="0.25">
      <c r="A496" s="199">
        <f t="shared" si="7"/>
        <v>482</v>
      </c>
      <c r="B496" s="1081" t="s">
        <v>162</v>
      </c>
      <c r="C496" s="1082"/>
      <c r="D496" s="1083" t="s">
        <v>159</v>
      </c>
      <c r="E496" s="1084"/>
      <c r="F496" s="1084"/>
      <c r="G496" s="1085"/>
      <c r="H496" s="1086" t="s">
        <v>159</v>
      </c>
      <c r="I496" s="1087"/>
      <c r="J496" s="1087"/>
      <c r="K496" s="1088"/>
      <c r="L496" s="1089" t="s">
        <v>159</v>
      </c>
      <c r="M496" s="1090"/>
      <c r="N496" s="1091"/>
      <c r="O496" s="1092" t="s">
        <v>159</v>
      </c>
      <c r="P496" s="1093"/>
      <c r="Q496" s="1094"/>
      <c r="R496" s="812"/>
      <c r="S496" s="1095"/>
      <c r="T496" s="813"/>
      <c r="U496" s="745"/>
      <c r="V496" s="940"/>
      <c r="W496" s="746"/>
      <c r="X496" s="312"/>
      <c r="Y496" s="308"/>
      <c r="Z496" s="312"/>
      <c r="AA496" s="308"/>
      <c r="AB496" s="312"/>
      <c r="AC496" s="308"/>
      <c r="AD496" s="312"/>
      <c r="AE496" s="308"/>
      <c r="AF496" s="312"/>
      <c r="AG496" s="308"/>
      <c r="AH496" s="312"/>
      <c r="AI496" s="308"/>
      <c r="AJ496" s="117"/>
      <c r="AK496" s="330"/>
      <c r="AL496" s="117"/>
      <c r="AM496" s="330"/>
      <c r="AN496" s="117"/>
      <c r="AO496" s="330"/>
      <c r="AP496" s="117"/>
      <c r="AQ496" s="330"/>
      <c r="AR496" s="117"/>
      <c r="AS496" s="1096" t="s">
        <v>159</v>
      </c>
      <c r="AT496" s="1097"/>
      <c r="AU496" s="1097"/>
      <c r="AV496" s="1097"/>
      <c r="AW496" s="1097"/>
      <c r="AX496" s="1097"/>
      <c r="AY496" s="1100"/>
      <c r="AZ496" s="257"/>
      <c r="BA496" s="257"/>
      <c r="BB496" s="1059" t="s">
        <v>162</v>
      </c>
      <c r="BC496" s="1060"/>
      <c r="BD496" s="1061" t="s">
        <v>159</v>
      </c>
      <c r="BE496" s="1061"/>
      <c r="BF496" s="1061"/>
      <c r="BG496" s="1062" t="s">
        <v>159</v>
      </c>
      <c r="BH496" s="1063"/>
      <c r="BI496" s="1063"/>
      <c r="BJ496" s="1064"/>
      <c r="BK496" s="1065"/>
      <c r="BL496" s="1066"/>
      <c r="BM496" s="1067"/>
      <c r="BN496" s="259"/>
      <c r="BO496" s="259"/>
      <c r="BP496" s="1062"/>
      <c r="BQ496" s="1063"/>
      <c r="BR496" s="1064"/>
      <c r="BS496" s="1061" t="s">
        <v>159</v>
      </c>
      <c r="BT496" s="1061"/>
      <c r="BU496" s="1061"/>
    </row>
    <row r="497" spans="1:73" ht="30" customHeight="1" x14ac:dyDescent="0.25">
      <c r="A497" s="199">
        <f t="shared" si="7"/>
        <v>483</v>
      </c>
      <c r="B497" s="1081" t="s">
        <v>162</v>
      </c>
      <c r="C497" s="1082"/>
      <c r="D497" s="1083" t="s">
        <v>159</v>
      </c>
      <c r="E497" s="1084"/>
      <c r="F497" s="1084"/>
      <c r="G497" s="1085"/>
      <c r="H497" s="1086" t="s">
        <v>159</v>
      </c>
      <c r="I497" s="1087"/>
      <c r="J497" s="1087"/>
      <c r="K497" s="1088"/>
      <c r="L497" s="1089" t="s">
        <v>159</v>
      </c>
      <c r="M497" s="1090"/>
      <c r="N497" s="1091"/>
      <c r="O497" s="1092" t="s">
        <v>159</v>
      </c>
      <c r="P497" s="1093"/>
      <c r="Q497" s="1094"/>
      <c r="R497" s="812"/>
      <c r="S497" s="1095"/>
      <c r="T497" s="813"/>
      <c r="U497" s="745"/>
      <c r="V497" s="940"/>
      <c r="W497" s="746"/>
      <c r="X497" s="312"/>
      <c r="Y497" s="308"/>
      <c r="Z497" s="312"/>
      <c r="AA497" s="308"/>
      <c r="AB497" s="312"/>
      <c r="AC497" s="308"/>
      <c r="AD497" s="312"/>
      <c r="AE497" s="308"/>
      <c r="AF497" s="312"/>
      <c r="AG497" s="308"/>
      <c r="AH497" s="312"/>
      <c r="AI497" s="308"/>
      <c r="AJ497" s="117"/>
      <c r="AK497" s="330"/>
      <c r="AL497" s="117"/>
      <c r="AM497" s="330"/>
      <c r="AN497" s="117"/>
      <c r="AO497" s="330"/>
      <c r="AP497" s="117"/>
      <c r="AQ497" s="330"/>
      <c r="AR497" s="117"/>
      <c r="AS497" s="1096" t="s">
        <v>159</v>
      </c>
      <c r="AT497" s="1097"/>
      <c r="AU497" s="1097"/>
      <c r="AV497" s="1097"/>
      <c r="AW497" s="1097"/>
      <c r="AX497" s="1097"/>
      <c r="AY497" s="1100"/>
      <c r="AZ497" s="257"/>
      <c r="BA497" s="257"/>
      <c r="BB497" s="1059" t="s">
        <v>162</v>
      </c>
      <c r="BC497" s="1060"/>
      <c r="BD497" s="1061" t="s">
        <v>159</v>
      </c>
      <c r="BE497" s="1061"/>
      <c r="BF497" s="1061"/>
      <c r="BG497" s="1062" t="s">
        <v>159</v>
      </c>
      <c r="BH497" s="1063"/>
      <c r="BI497" s="1063"/>
      <c r="BJ497" s="1064"/>
      <c r="BK497" s="1065"/>
      <c r="BL497" s="1066"/>
      <c r="BM497" s="1067"/>
      <c r="BN497" s="259"/>
      <c r="BO497" s="259"/>
      <c r="BP497" s="1062"/>
      <c r="BQ497" s="1063"/>
      <c r="BR497" s="1064"/>
      <c r="BS497" s="1061" t="s">
        <v>159</v>
      </c>
      <c r="BT497" s="1061"/>
      <c r="BU497" s="1061"/>
    </row>
    <row r="498" spans="1:73" ht="30" customHeight="1" x14ac:dyDescent="0.25">
      <c r="A498" s="199">
        <f t="shared" si="7"/>
        <v>484</v>
      </c>
      <c r="B498" s="1081" t="s">
        <v>162</v>
      </c>
      <c r="C498" s="1082"/>
      <c r="D498" s="1083" t="s">
        <v>159</v>
      </c>
      <c r="E498" s="1084"/>
      <c r="F498" s="1084"/>
      <c r="G498" s="1085"/>
      <c r="H498" s="1086" t="s">
        <v>159</v>
      </c>
      <c r="I498" s="1087"/>
      <c r="J498" s="1087"/>
      <c r="K498" s="1088"/>
      <c r="L498" s="1089" t="s">
        <v>159</v>
      </c>
      <c r="M498" s="1090"/>
      <c r="N498" s="1091"/>
      <c r="O498" s="1092" t="s">
        <v>159</v>
      </c>
      <c r="P498" s="1093"/>
      <c r="Q498" s="1094"/>
      <c r="R498" s="812"/>
      <c r="S498" s="1095"/>
      <c r="T498" s="813"/>
      <c r="U498" s="745"/>
      <c r="V498" s="940"/>
      <c r="W498" s="746"/>
      <c r="X498" s="312"/>
      <c r="Y498" s="308"/>
      <c r="Z498" s="312"/>
      <c r="AA498" s="308"/>
      <c r="AB498" s="312"/>
      <c r="AC498" s="308"/>
      <c r="AD498" s="312"/>
      <c r="AE498" s="308"/>
      <c r="AF498" s="312"/>
      <c r="AG498" s="308"/>
      <c r="AH498" s="312"/>
      <c r="AI498" s="308"/>
      <c r="AJ498" s="117"/>
      <c r="AK498" s="330"/>
      <c r="AL498" s="117"/>
      <c r="AM498" s="330"/>
      <c r="AN498" s="117"/>
      <c r="AO498" s="330"/>
      <c r="AP498" s="117"/>
      <c r="AQ498" s="330"/>
      <c r="AR498" s="117"/>
      <c r="AS498" s="1096" t="s">
        <v>159</v>
      </c>
      <c r="AT498" s="1097"/>
      <c r="AU498" s="1097"/>
      <c r="AV498" s="1097"/>
      <c r="AW498" s="1097"/>
      <c r="AX498" s="1097"/>
      <c r="AY498" s="1100"/>
      <c r="AZ498" s="257"/>
      <c r="BA498" s="257"/>
      <c r="BB498" s="1059" t="s">
        <v>162</v>
      </c>
      <c r="BC498" s="1060"/>
      <c r="BD498" s="1061" t="s">
        <v>159</v>
      </c>
      <c r="BE498" s="1061"/>
      <c r="BF498" s="1061"/>
      <c r="BG498" s="1062" t="s">
        <v>159</v>
      </c>
      <c r="BH498" s="1063"/>
      <c r="BI498" s="1063"/>
      <c r="BJ498" s="1064"/>
      <c r="BK498" s="1065"/>
      <c r="BL498" s="1066"/>
      <c r="BM498" s="1067"/>
      <c r="BN498" s="259"/>
      <c r="BO498" s="259"/>
      <c r="BP498" s="1062"/>
      <c r="BQ498" s="1063"/>
      <c r="BR498" s="1064"/>
      <c r="BS498" s="1061" t="s">
        <v>159</v>
      </c>
      <c r="BT498" s="1061"/>
      <c r="BU498" s="1061"/>
    </row>
    <row r="499" spans="1:73" ht="30" customHeight="1" x14ac:dyDescent="0.25">
      <c r="A499" s="199">
        <f t="shared" si="7"/>
        <v>485</v>
      </c>
      <c r="B499" s="1081" t="s">
        <v>162</v>
      </c>
      <c r="C499" s="1082"/>
      <c r="D499" s="1083" t="s">
        <v>159</v>
      </c>
      <c r="E499" s="1084"/>
      <c r="F499" s="1084"/>
      <c r="G499" s="1085"/>
      <c r="H499" s="1086" t="s">
        <v>159</v>
      </c>
      <c r="I499" s="1087"/>
      <c r="J499" s="1087"/>
      <c r="K499" s="1088"/>
      <c r="L499" s="1089" t="s">
        <v>159</v>
      </c>
      <c r="M499" s="1090"/>
      <c r="N499" s="1091"/>
      <c r="O499" s="1092" t="s">
        <v>159</v>
      </c>
      <c r="P499" s="1093"/>
      <c r="Q499" s="1094"/>
      <c r="R499" s="812"/>
      <c r="S499" s="1095"/>
      <c r="T499" s="813"/>
      <c r="U499" s="745"/>
      <c r="V499" s="940"/>
      <c r="W499" s="746"/>
      <c r="X499" s="312"/>
      <c r="Y499" s="308"/>
      <c r="Z499" s="312"/>
      <c r="AA499" s="308"/>
      <c r="AB499" s="312"/>
      <c r="AC499" s="308"/>
      <c r="AD499" s="312"/>
      <c r="AE499" s="308"/>
      <c r="AF499" s="312"/>
      <c r="AG499" s="308"/>
      <c r="AH499" s="312"/>
      <c r="AI499" s="308"/>
      <c r="AJ499" s="117"/>
      <c r="AK499" s="330"/>
      <c r="AL499" s="117"/>
      <c r="AM499" s="330"/>
      <c r="AN499" s="117"/>
      <c r="AO499" s="330"/>
      <c r="AP499" s="117"/>
      <c r="AQ499" s="330"/>
      <c r="AR499" s="117"/>
      <c r="AS499" s="1096" t="s">
        <v>159</v>
      </c>
      <c r="AT499" s="1097"/>
      <c r="AU499" s="1097"/>
      <c r="AV499" s="1097"/>
      <c r="AW499" s="1097"/>
      <c r="AX499" s="1097"/>
      <c r="AY499" s="1100"/>
      <c r="AZ499" s="257"/>
      <c r="BA499" s="257"/>
      <c r="BB499" s="1059" t="s">
        <v>162</v>
      </c>
      <c r="BC499" s="1060"/>
      <c r="BD499" s="1061" t="s">
        <v>159</v>
      </c>
      <c r="BE499" s="1061"/>
      <c r="BF499" s="1061"/>
      <c r="BG499" s="1062" t="s">
        <v>159</v>
      </c>
      <c r="BH499" s="1063"/>
      <c r="BI499" s="1063"/>
      <c r="BJ499" s="1064"/>
      <c r="BK499" s="1065"/>
      <c r="BL499" s="1066"/>
      <c r="BM499" s="1067"/>
      <c r="BN499" s="259"/>
      <c r="BO499" s="259"/>
      <c r="BP499" s="1062"/>
      <c r="BQ499" s="1063"/>
      <c r="BR499" s="1064"/>
      <c r="BS499" s="1061" t="s">
        <v>159</v>
      </c>
      <c r="BT499" s="1061"/>
      <c r="BU499" s="1061"/>
    </row>
    <row r="500" spans="1:73" ht="30" customHeight="1" x14ac:dyDescent="0.25">
      <c r="A500" s="199">
        <f t="shared" si="7"/>
        <v>486</v>
      </c>
      <c r="B500" s="1081" t="s">
        <v>162</v>
      </c>
      <c r="C500" s="1082"/>
      <c r="D500" s="1083" t="s">
        <v>159</v>
      </c>
      <c r="E500" s="1084"/>
      <c r="F500" s="1084"/>
      <c r="G500" s="1085"/>
      <c r="H500" s="1086" t="s">
        <v>159</v>
      </c>
      <c r="I500" s="1087"/>
      <c r="J500" s="1087"/>
      <c r="K500" s="1088"/>
      <c r="L500" s="1089" t="s">
        <v>159</v>
      </c>
      <c r="M500" s="1090"/>
      <c r="N500" s="1091"/>
      <c r="O500" s="1092" t="s">
        <v>159</v>
      </c>
      <c r="P500" s="1093"/>
      <c r="Q500" s="1094"/>
      <c r="R500" s="812"/>
      <c r="S500" s="1095"/>
      <c r="T500" s="813"/>
      <c r="U500" s="745"/>
      <c r="V500" s="940"/>
      <c r="W500" s="746"/>
      <c r="X500" s="312"/>
      <c r="Y500" s="308"/>
      <c r="Z500" s="312"/>
      <c r="AA500" s="308"/>
      <c r="AB500" s="312"/>
      <c r="AC500" s="308"/>
      <c r="AD500" s="312"/>
      <c r="AE500" s="308"/>
      <c r="AF500" s="312"/>
      <c r="AG500" s="308"/>
      <c r="AH500" s="312"/>
      <c r="AI500" s="308"/>
      <c r="AJ500" s="117"/>
      <c r="AK500" s="330"/>
      <c r="AL500" s="117"/>
      <c r="AM500" s="330"/>
      <c r="AN500" s="117"/>
      <c r="AO500" s="330"/>
      <c r="AP500" s="117"/>
      <c r="AQ500" s="330"/>
      <c r="AR500" s="117"/>
      <c r="AS500" s="1096" t="s">
        <v>159</v>
      </c>
      <c r="AT500" s="1097"/>
      <c r="AU500" s="1097"/>
      <c r="AV500" s="1097"/>
      <c r="AW500" s="1097"/>
      <c r="AX500" s="1097"/>
      <c r="AY500" s="1100"/>
      <c r="AZ500" s="257"/>
      <c r="BA500" s="257"/>
      <c r="BB500" s="1059" t="s">
        <v>162</v>
      </c>
      <c r="BC500" s="1060"/>
      <c r="BD500" s="1061" t="s">
        <v>159</v>
      </c>
      <c r="BE500" s="1061"/>
      <c r="BF500" s="1061"/>
      <c r="BG500" s="1062" t="s">
        <v>159</v>
      </c>
      <c r="BH500" s="1063"/>
      <c r="BI500" s="1063"/>
      <c r="BJ500" s="1064"/>
      <c r="BK500" s="1065"/>
      <c r="BL500" s="1066"/>
      <c r="BM500" s="1067"/>
      <c r="BN500" s="259"/>
      <c r="BO500" s="259"/>
      <c r="BP500" s="1062"/>
      <c r="BQ500" s="1063"/>
      <c r="BR500" s="1064"/>
      <c r="BS500" s="1061" t="s">
        <v>159</v>
      </c>
      <c r="BT500" s="1061"/>
      <c r="BU500" s="1061"/>
    </row>
    <row r="501" spans="1:73" ht="30" customHeight="1" x14ac:dyDescent="0.25">
      <c r="A501" s="199">
        <f t="shared" si="7"/>
        <v>487</v>
      </c>
      <c r="B501" s="1081" t="s">
        <v>162</v>
      </c>
      <c r="C501" s="1082"/>
      <c r="D501" s="1083" t="s">
        <v>159</v>
      </c>
      <c r="E501" s="1084"/>
      <c r="F501" s="1084"/>
      <c r="G501" s="1085"/>
      <c r="H501" s="1086" t="s">
        <v>159</v>
      </c>
      <c r="I501" s="1087"/>
      <c r="J501" s="1087"/>
      <c r="K501" s="1088"/>
      <c r="L501" s="1089" t="s">
        <v>159</v>
      </c>
      <c r="M501" s="1090"/>
      <c r="N501" s="1091"/>
      <c r="O501" s="1092" t="s">
        <v>159</v>
      </c>
      <c r="P501" s="1093"/>
      <c r="Q501" s="1094"/>
      <c r="R501" s="812"/>
      <c r="S501" s="1095"/>
      <c r="T501" s="813"/>
      <c r="U501" s="745"/>
      <c r="V501" s="940"/>
      <c r="W501" s="746"/>
      <c r="X501" s="312"/>
      <c r="Y501" s="308"/>
      <c r="Z501" s="312"/>
      <c r="AA501" s="308"/>
      <c r="AB501" s="312"/>
      <c r="AC501" s="308"/>
      <c r="AD501" s="312"/>
      <c r="AE501" s="308"/>
      <c r="AF501" s="312"/>
      <c r="AG501" s="308"/>
      <c r="AH501" s="312"/>
      <c r="AI501" s="308"/>
      <c r="AJ501" s="117"/>
      <c r="AK501" s="330"/>
      <c r="AL501" s="117"/>
      <c r="AM501" s="330"/>
      <c r="AN501" s="117"/>
      <c r="AO501" s="330"/>
      <c r="AP501" s="117"/>
      <c r="AQ501" s="330"/>
      <c r="AR501" s="117"/>
      <c r="AS501" s="1096" t="s">
        <v>159</v>
      </c>
      <c r="AT501" s="1097"/>
      <c r="AU501" s="1097"/>
      <c r="AV501" s="1097"/>
      <c r="AW501" s="1097"/>
      <c r="AX501" s="1097"/>
      <c r="AY501" s="1100"/>
      <c r="AZ501" s="257"/>
      <c r="BA501" s="257"/>
      <c r="BB501" s="1059" t="s">
        <v>162</v>
      </c>
      <c r="BC501" s="1060"/>
      <c r="BD501" s="1061" t="s">
        <v>159</v>
      </c>
      <c r="BE501" s="1061"/>
      <c r="BF501" s="1061"/>
      <c r="BG501" s="1062" t="s">
        <v>159</v>
      </c>
      <c r="BH501" s="1063"/>
      <c r="BI501" s="1063"/>
      <c r="BJ501" s="1064"/>
      <c r="BK501" s="1065"/>
      <c r="BL501" s="1066"/>
      <c r="BM501" s="1067"/>
      <c r="BN501" s="259"/>
      <c r="BO501" s="259"/>
      <c r="BP501" s="1062"/>
      <c r="BQ501" s="1063"/>
      <c r="BR501" s="1064"/>
      <c r="BS501" s="1061" t="s">
        <v>159</v>
      </c>
      <c r="BT501" s="1061"/>
      <c r="BU501" s="1061"/>
    </row>
    <row r="502" spans="1:73" ht="30" customHeight="1" x14ac:dyDescent="0.25">
      <c r="A502" s="199">
        <f t="shared" ref="A502:A514" si="8">ROW(A488)</f>
        <v>488</v>
      </c>
      <c r="B502" s="1081" t="s">
        <v>162</v>
      </c>
      <c r="C502" s="1082"/>
      <c r="D502" s="1083" t="s">
        <v>159</v>
      </c>
      <c r="E502" s="1084"/>
      <c r="F502" s="1084"/>
      <c r="G502" s="1085"/>
      <c r="H502" s="1086" t="s">
        <v>159</v>
      </c>
      <c r="I502" s="1087"/>
      <c r="J502" s="1087"/>
      <c r="K502" s="1088"/>
      <c r="L502" s="1089" t="s">
        <v>159</v>
      </c>
      <c r="M502" s="1090"/>
      <c r="N502" s="1091"/>
      <c r="O502" s="1092" t="s">
        <v>159</v>
      </c>
      <c r="P502" s="1093"/>
      <c r="Q502" s="1094"/>
      <c r="R502" s="812"/>
      <c r="S502" s="1095"/>
      <c r="T502" s="813"/>
      <c r="U502" s="745"/>
      <c r="V502" s="940"/>
      <c r="W502" s="746"/>
      <c r="X502" s="312"/>
      <c r="Y502" s="308"/>
      <c r="Z502" s="312"/>
      <c r="AA502" s="308"/>
      <c r="AB502" s="312"/>
      <c r="AC502" s="308"/>
      <c r="AD502" s="312"/>
      <c r="AE502" s="308"/>
      <c r="AF502" s="312"/>
      <c r="AG502" s="308"/>
      <c r="AH502" s="312"/>
      <c r="AI502" s="308"/>
      <c r="AJ502" s="117"/>
      <c r="AK502" s="330"/>
      <c r="AL502" s="117"/>
      <c r="AM502" s="330"/>
      <c r="AN502" s="117"/>
      <c r="AO502" s="330"/>
      <c r="AP502" s="117"/>
      <c r="AQ502" s="330"/>
      <c r="AR502" s="117"/>
      <c r="AS502" s="1096" t="s">
        <v>159</v>
      </c>
      <c r="AT502" s="1097"/>
      <c r="AU502" s="1097"/>
      <c r="AV502" s="1097"/>
      <c r="AW502" s="1097"/>
      <c r="AX502" s="1097"/>
      <c r="AY502" s="1100"/>
      <c r="AZ502" s="257"/>
      <c r="BA502" s="257"/>
      <c r="BB502" s="1059" t="s">
        <v>162</v>
      </c>
      <c r="BC502" s="1060"/>
      <c r="BD502" s="1061" t="s">
        <v>159</v>
      </c>
      <c r="BE502" s="1061"/>
      <c r="BF502" s="1061"/>
      <c r="BG502" s="1062" t="s">
        <v>159</v>
      </c>
      <c r="BH502" s="1063"/>
      <c r="BI502" s="1063"/>
      <c r="BJ502" s="1064"/>
      <c r="BK502" s="1065"/>
      <c r="BL502" s="1066"/>
      <c r="BM502" s="1067"/>
      <c r="BN502" s="259"/>
      <c r="BO502" s="259"/>
      <c r="BP502" s="1062"/>
      <c r="BQ502" s="1063"/>
      <c r="BR502" s="1064"/>
      <c r="BS502" s="1061" t="s">
        <v>159</v>
      </c>
      <c r="BT502" s="1061"/>
      <c r="BU502" s="1061"/>
    </row>
    <row r="503" spans="1:73" ht="30" customHeight="1" x14ac:dyDescent="0.25">
      <c r="A503" s="199">
        <f t="shared" si="8"/>
        <v>489</v>
      </c>
      <c r="B503" s="1081" t="s">
        <v>162</v>
      </c>
      <c r="C503" s="1082"/>
      <c r="D503" s="1083" t="s">
        <v>159</v>
      </c>
      <c r="E503" s="1084"/>
      <c r="F503" s="1084"/>
      <c r="G503" s="1085"/>
      <c r="H503" s="1086" t="s">
        <v>159</v>
      </c>
      <c r="I503" s="1087"/>
      <c r="J503" s="1087"/>
      <c r="K503" s="1088"/>
      <c r="L503" s="1089" t="s">
        <v>159</v>
      </c>
      <c r="M503" s="1090"/>
      <c r="N503" s="1091"/>
      <c r="O503" s="1092" t="s">
        <v>159</v>
      </c>
      <c r="P503" s="1093"/>
      <c r="Q503" s="1094"/>
      <c r="R503" s="812"/>
      <c r="S503" s="1095"/>
      <c r="T503" s="813"/>
      <c r="U503" s="745"/>
      <c r="V503" s="940"/>
      <c r="W503" s="746"/>
      <c r="X503" s="312"/>
      <c r="Y503" s="308"/>
      <c r="Z503" s="312"/>
      <c r="AA503" s="308"/>
      <c r="AB503" s="312"/>
      <c r="AC503" s="308"/>
      <c r="AD503" s="312"/>
      <c r="AE503" s="308"/>
      <c r="AF503" s="312"/>
      <c r="AG503" s="308"/>
      <c r="AH503" s="312"/>
      <c r="AI503" s="308"/>
      <c r="AJ503" s="117"/>
      <c r="AK503" s="330"/>
      <c r="AL503" s="117"/>
      <c r="AM503" s="330"/>
      <c r="AN503" s="117"/>
      <c r="AO503" s="330"/>
      <c r="AP503" s="117"/>
      <c r="AQ503" s="330"/>
      <c r="AR503" s="117"/>
      <c r="AS503" s="1096" t="s">
        <v>159</v>
      </c>
      <c r="AT503" s="1097"/>
      <c r="AU503" s="1097"/>
      <c r="AV503" s="1097"/>
      <c r="AW503" s="1097"/>
      <c r="AX503" s="1097"/>
      <c r="AY503" s="1100"/>
      <c r="AZ503" s="257"/>
      <c r="BA503" s="257"/>
      <c r="BB503" s="1059" t="s">
        <v>162</v>
      </c>
      <c r="BC503" s="1060"/>
      <c r="BD503" s="1061" t="s">
        <v>159</v>
      </c>
      <c r="BE503" s="1061"/>
      <c r="BF503" s="1061"/>
      <c r="BG503" s="1062" t="s">
        <v>159</v>
      </c>
      <c r="BH503" s="1063"/>
      <c r="BI503" s="1063"/>
      <c r="BJ503" s="1064"/>
      <c r="BK503" s="1065"/>
      <c r="BL503" s="1066"/>
      <c r="BM503" s="1067"/>
      <c r="BN503" s="259"/>
      <c r="BO503" s="259"/>
      <c r="BP503" s="1062"/>
      <c r="BQ503" s="1063"/>
      <c r="BR503" s="1064"/>
      <c r="BS503" s="1061" t="s">
        <v>159</v>
      </c>
      <c r="BT503" s="1061"/>
      <c r="BU503" s="1061"/>
    </row>
    <row r="504" spans="1:73" ht="30" customHeight="1" x14ac:dyDescent="0.25">
      <c r="A504" s="199">
        <f t="shared" si="8"/>
        <v>490</v>
      </c>
      <c r="B504" s="1081" t="s">
        <v>162</v>
      </c>
      <c r="C504" s="1082"/>
      <c r="D504" s="1083" t="s">
        <v>159</v>
      </c>
      <c r="E504" s="1084"/>
      <c r="F504" s="1084"/>
      <c r="G504" s="1085"/>
      <c r="H504" s="1086" t="s">
        <v>159</v>
      </c>
      <c r="I504" s="1087"/>
      <c r="J504" s="1087"/>
      <c r="K504" s="1088"/>
      <c r="L504" s="1089" t="s">
        <v>159</v>
      </c>
      <c r="M504" s="1090"/>
      <c r="N504" s="1091"/>
      <c r="O504" s="1092" t="s">
        <v>159</v>
      </c>
      <c r="P504" s="1093"/>
      <c r="Q504" s="1094"/>
      <c r="R504" s="812"/>
      <c r="S504" s="1095"/>
      <c r="T504" s="813"/>
      <c r="U504" s="745"/>
      <c r="V504" s="940"/>
      <c r="W504" s="746"/>
      <c r="X504" s="312"/>
      <c r="Y504" s="308"/>
      <c r="Z504" s="312"/>
      <c r="AA504" s="308"/>
      <c r="AB504" s="312"/>
      <c r="AC504" s="308"/>
      <c r="AD504" s="312"/>
      <c r="AE504" s="308"/>
      <c r="AF504" s="312"/>
      <c r="AG504" s="308"/>
      <c r="AH504" s="312"/>
      <c r="AI504" s="308"/>
      <c r="AJ504" s="117"/>
      <c r="AK504" s="330"/>
      <c r="AL504" s="117"/>
      <c r="AM504" s="330"/>
      <c r="AN504" s="117"/>
      <c r="AO504" s="330"/>
      <c r="AP504" s="117"/>
      <c r="AQ504" s="330"/>
      <c r="AR504" s="117"/>
      <c r="AS504" s="1096" t="s">
        <v>159</v>
      </c>
      <c r="AT504" s="1097"/>
      <c r="AU504" s="1097"/>
      <c r="AV504" s="1097"/>
      <c r="AW504" s="1097"/>
      <c r="AX504" s="1097"/>
      <c r="AY504" s="1100"/>
      <c r="AZ504" s="257"/>
      <c r="BA504" s="257"/>
      <c r="BB504" s="1059" t="s">
        <v>162</v>
      </c>
      <c r="BC504" s="1060"/>
      <c r="BD504" s="1061" t="s">
        <v>159</v>
      </c>
      <c r="BE504" s="1061"/>
      <c r="BF504" s="1061"/>
      <c r="BG504" s="1062" t="s">
        <v>159</v>
      </c>
      <c r="BH504" s="1063"/>
      <c r="BI504" s="1063"/>
      <c r="BJ504" s="1064"/>
      <c r="BK504" s="1065"/>
      <c r="BL504" s="1066"/>
      <c r="BM504" s="1067"/>
      <c r="BN504" s="259"/>
      <c r="BO504" s="259"/>
      <c r="BP504" s="1062"/>
      <c r="BQ504" s="1063"/>
      <c r="BR504" s="1064"/>
      <c r="BS504" s="1061" t="s">
        <v>159</v>
      </c>
      <c r="BT504" s="1061"/>
      <c r="BU504" s="1061"/>
    </row>
    <row r="505" spans="1:73" ht="30" customHeight="1" x14ac:dyDescent="0.25">
      <c r="A505" s="199">
        <f t="shared" si="8"/>
        <v>491</v>
      </c>
      <c r="B505" s="1081" t="s">
        <v>162</v>
      </c>
      <c r="C505" s="1082"/>
      <c r="D505" s="1083" t="s">
        <v>159</v>
      </c>
      <c r="E505" s="1084"/>
      <c r="F505" s="1084"/>
      <c r="G505" s="1085"/>
      <c r="H505" s="1086" t="s">
        <v>159</v>
      </c>
      <c r="I505" s="1087"/>
      <c r="J505" s="1087"/>
      <c r="K505" s="1088"/>
      <c r="L505" s="1089" t="s">
        <v>159</v>
      </c>
      <c r="M505" s="1090"/>
      <c r="N505" s="1091"/>
      <c r="O505" s="1092" t="s">
        <v>159</v>
      </c>
      <c r="P505" s="1093"/>
      <c r="Q505" s="1094"/>
      <c r="R505" s="812"/>
      <c r="S505" s="1095"/>
      <c r="T505" s="813"/>
      <c r="U505" s="745"/>
      <c r="V505" s="940"/>
      <c r="W505" s="746"/>
      <c r="X505" s="312"/>
      <c r="Y505" s="308"/>
      <c r="Z505" s="312"/>
      <c r="AA505" s="308"/>
      <c r="AB505" s="312"/>
      <c r="AC505" s="308"/>
      <c r="AD505" s="312"/>
      <c r="AE505" s="308"/>
      <c r="AF505" s="312"/>
      <c r="AG505" s="308"/>
      <c r="AH505" s="312"/>
      <c r="AI505" s="308"/>
      <c r="AJ505" s="117"/>
      <c r="AK505" s="330"/>
      <c r="AL505" s="117"/>
      <c r="AM505" s="330"/>
      <c r="AN505" s="117"/>
      <c r="AO505" s="330"/>
      <c r="AP505" s="117"/>
      <c r="AQ505" s="330"/>
      <c r="AR505" s="117"/>
      <c r="AS505" s="1096" t="s">
        <v>159</v>
      </c>
      <c r="AT505" s="1097"/>
      <c r="AU505" s="1097"/>
      <c r="AV505" s="1097"/>
      <c r="AW505" s="1097"/>
      <c r="AX505" s="1097"/>
      <c r="AY505" s="1100"/>
      <c r="AZ505" s="257"/>
      <c r="BA505" s="257"/>
      <c r="BB505" s="1059" t="s">
        <v>162</v>
      </c>
      <c r="BC505" s="1060"/>
      <c r="BD505" s="1061" t="s">
        <v>159</v>
      </c>
      <c r="BE505" s="1061"/>
      <c r="BF505" s="1061"/>
      <c r="BG505" s="1062" t="s">
        <v>159</v>
      </c>
      <c r="BH505" s="1063"/>
      <c r="BI505" s="1063"/>
      <c r="BJ505" s="1064"/>
      <c r="BK505" s="1065"/>
      <c r="BL505" s="1066"/>
      <c r="BM505" s="1067"/>
      <c r="BN505" s="259"/>
      <c r="BO505" s="259"/>
      <c r="BP505" s="1062"/>
      <c r="BQ505" s="1063"/>
      <c r="BR505" s="1064"/>
      <c r="BS505" s="1061" t="s">
        <v>159</v>
      </c>
      <c r="BT505" s="1061"/>
      <c r="BU505" s="1061"/>
    </row>
    <row r="506" spans="1:73" ht="30" customHeight="1" x14ac:dyDescent="0.25">
      <c r="A506" s="199">
        <f t="shared" si="8"/>
        <v>492</v>
      </c>
      <c r="B506" s="1081" t="s">
        <v>162</v>
      </c>
      <c r="C506" s="1082"/>
      <c r="D506" s="1101" t="s">
        <v>159</v>
      </c>
      <c r="E506" s="1102"/>
      <c r="F506" s="1102"/>
      <c r="G506" s="1103"/>
      <c r="H506" s="1086" t="s">
        <v>159</v>
      </c>
      <c r="I506" s="1087"/>
      <c r="J506" s="1087"/>
      <c r="K506" s="1088"/>
      <c r="L506" s="1089" t="s">
        <v>159</v>
      </c>
      <c r="M506" s="1090"/>
      <c r="N506" s="1091"/>
      <c r="O506" s="1092" t="s">
        <v>159</v>
      </c>
      <c r="P506" s="1093"/>
      <c r="Q506" s="1094"/>
      <c r="R506" s="812"/>
      <c r="S506" s="1095"/>
      <c r="T506" s="813"/>
      <c r="U506" s="745"/>
      <c r="V506" s="940"/>
      <c r="W506" s="746"/>
      <c r="X506" s="312"/>
      <c r="Y506" s="308"/>
      <c r="Z506" s="312"/>
      <c r="AA506" s="308"/>
      <c r="AB506" s="312"/>
      <c r="AC506" s="308"/>
      <c r="AD506" s="312"/>
      <c r="AE506" s="308"/>
      <c r="AF506" s="312"/>
      <c r="AG506" s="308"/>
      <c r="AH506" s="312"/>
      <c r="AI506" s="308"/>
      <c r="AJ506" s="117"/>
      <c r="AK506" s="330"/>
      <c r="AL506" s="117"/>
      <c r="AM506" s="330"/>
      <c r="AN506" s="117"/>
      <c r="AO506" s="330"/>
      <c r="AP506" s="117"/>
      <c r="AQ506" s="330"/>
      <c r="AR506" s="117"/>
      <c r="AS506" s="1096" t="s">
        <v>159</v>
      </c>
      <c r="AT506" s="1097"/>
      <c r="AU506" s="1097"/>
      <c r="AV506" s="1097"/>
      <c r="AW506" s="1097"/>
      <c r="AX506" s="1097"/>
      <c r="AY506" s="1100"/>
      <c r="AZ506" s="257"/>
      <c r="BA506" s="257"/>
      <c r="BB506" s="1059" t="s">
        <v>162</v>
      </c>
      <c r="BC506" s="1060"/>
      <c r="BD506" s="1061" t="s">
        <v>159</v>
      </c>
      <c r="BE506" s="1061"/>
      <c r="BF506" s="1061"/>
      <c r="BG506" s="1062" t="s">
        <v>159</v>
      </c>
      <c r="BH506" s="1063"/>
      <c r="BI506" s="1063"/>
      <c r="BJ506" s="1064"/>
      <c r="BK506" s="1065"/>
      <c r="BL506" s="1066"/>
      <c r="BM506" s="1067"/>
      <c r="BN506" s="259"/>
      <c r="BO506" s="259"/>
      <c r="BP506" s="1062"/>
      <c r="BQ506" s="1063"/>
      <c r="BR506" s="1064"/>
      <c r="BS506" s="1061" t="s">
        <v>159</v>
      </c>
      <c r="BT506" s="1061"/>
      <c r="BU506" s="1061"/>
    </row>
    <row r="507" spans="1:73" ht="30" customHeight="1" x14ac:dyDescent="0.25">
      <c r="A507" s="199">
        <f t="shared" si="8"/>
        <v>493</v>
      </c>
      <c r="B507" s="1081" t="s">
        <v>162</v>
      </c>
      <c r="C507" s="1082"/>
      <c r="D507" s="1083" t="s">
        <v>159</v>
      </c>
      <c r="E507" s="1084"/>
      <c r="F507" s="1084"/>
      <c r="G507" s="1085"/>
      <c r="H507" s="1086" t="s">
        <v>159</v>
      </c>
      <c r="I507" s="1087"/>
      <c r="J507" s="1087"/>
      <c r="K507" s="1088"/>
      <c r="L507" s="1089" t="s">
        <v>159</v>
      </c>
      <c r="M507" s="1090"/>
      <c r="N507" s="1091"/>
      <c r="O507" s="1092" t="s">
        <v>159</v>
      </c>
      <c r="P507" s="1093"/>
      <c r="Q507" s="1094"/>
      <c r="R507" s="812"/>
      <c r="S507" s="1095"/>
      <c r="T507" s="813"/>
      <c r="U507" s="745"/>
      <c r="V507" s="940"/>
      <c r="W507" s="746"/>
      <c r="X507" s="312"/>
      <c r="Y507" s="308"/>
      <c r="Z507" s="312"/>
      <c r="AA507" s="308"/>
      <c r="AB507" s="312"/>
      <c r="AC507" s="308"/>
      <c r="AD507" s="312"/>
      <c r="AE507" s="308"/>
      <c r="AF507" s="312"/>
      <c r="AG507" s="308"/>
      <c r="AH507" s="312"/>
      <c r="AI507" s="308"/>
      <c r="AJ507" s="117"/>
      <c r="AK507" s="330"/>
      <c r="AL507" s="117"/>
      <c r="AM507" s="330"/>
      <c r="AN507" s="117"/>
      <c r="AO507" s="330"/>
      <c r="AP507" s="117"/>
      <c r="AQ507" s="330"/>
      <c r="AR507" s="117"/>
      <c r="AS507" s="1096" t="s">
        <v>159</v>
      </c>
      <c r="AT507" s="1097"/>
      <c r="AU507" s="1097"/>
      <c r="AV507" s="1097"/>
      <c r="AW507" s="1097"/>
      <c r="AX507" s="1097"/>
      <c r="AY507" s="1100"/>
      <c r="AZ507" s="257"/>
      <c r="BA507" s="257"/>
      <c r="BB507" s="1059" t="s">
        <v>162</v>
      </c>
      <c r="BC507" s="1060"/>
      <c r="BD507" s="1061" t="s">
        <v>159</v>
      </c>
      <c r="BE507" s="1061"/>
      <c r="BF507" s="1061"/>
      <c r="BG507" s="1062" t="s">
        <v>159</v>
      </c>
      <c r="BH507" s="1063"/>
      <c r="BI507" s="1063"/>
      <c r="BJ507" s="1064"/>
      <c r="BK507" s="1065"/>
      <c r="BL507" s="1066"/>
      <c r="BM507" s="1067"/>
      <c r="BN507" s="259"/>
      <c r="BO507" s="259"/>
      <c r="BP507" s="1062"/>
      <c r="BQ507" s="1063"/>
      <c r="BR507" s="1064"/>
      <c r="BS507" s="1061" t="s">
        <v>159</v>
      </c>
      <c r="BT507" s="1061"/>
      <c r="BU507" s="1061"/>
    </row>
    <row r="508" spans="1:73" ht="30" customHeight="1" x14ac:dyDescent="0.25">
      <c r="A508" s="199">
        <f t="shared" si="8"/>
        <v>494</v>
      </c>
      <c r="B508" s="1081" t="s">
        <v>162</v>
      </c>
      <c r="C508" s="1082"/>
      <c r="D508" s="1083" t="s">
        <v>159</v>
      </c>
      <c r="E508" s="1084"/>
      <c r="F508" s="1084"/>
      <c r="G508" s="1085"/>
      <c r="H508" s="1086" t="s">
        <v>159</v>
      </c>
      <c r="I508" s="1087"/>
      <c r="J508" s="1087"/>
      <c r="K508" s="1088"/>
      <c r="L508" s="1089" t="s">
        <v>159</v>
      </c>
      <c r="M508" s="1090"/>
      <c r="N508" s="1091"/>
      <c r="O508" s="1092" t="s">
        <v>159</v>
      </c>
      <c r="P508" s="1093"/>
      <c r="Q508" s="1094"/>
      <c r="R508" s="812"/>
      <c r="S508" s="1095"/>
      <c r="T508" s="813"/>
      <c r="U508" s="745"/>
      <c r="V508" s="940"/>
      <c r="W508" s="746"/>
      <c r="X508" s="312"/>
      <c r="Y508" s="308"/>
      <c r="Z508" s="312"/>
      <c r="AA508" s="308"/>
      <c r="AB508" s="312"/>
      <c r="AC508" s="308"/>
      <c r="AD508" s="312"/>
      <c r="AE508" s="308"/>
      <c r="AF508" s="312"/>
      <c r="AG508" s="308"/>
      <c r="AH508" s="312"/>
      <c r="AI508" s="308"/>
      <c r="AJ508" s="117"/>
      <c r="AK508" s="330"/>
      <c r="AL508" s="117"/>
      <c r="AM508" s="330"/>
      <c r="AN508" s="117"/>
      <c r="AO508" s="330"/>
      <c r="AP508" s="117"/>
      <c r="AQ508" s="330"/>
      <c r="AR508" s="117"/>
      <c r="AS508" s="1096" t="s">
        <v>159</v>
      </c>
      <c r="AT508" s="1097"/>
      <c r="AU508" s="1097"/>
      <c r="AV508" s="1097"/>
      <c r="AW508" s="1097"/>
      <c r="AX508" s="1097"/>
      <c r="AY508" s="1100"/>
      <c r="AZ508" s="257"/>
      <c r="BA508" s="257"/>
      <c r="BB508" s="1059" t="s">
        <v>162</v>
      </c>
      <c r="BC508" s="1060"/>
      <c r="BD508" s="1061" t="s">
        <v>159</v>
      </c>
      <c r="BE508" s="1061"/>
      <c r="BF508" s="1061"/>
      <c r="BG508" s="1062" t="s">
        <v>159</v>
      </c>
      <c r="BH508" s="1063"/>
      <c r="BI508" s="1063"/>
      <c r="BJ508" s="1064"/>
      <c r="BK508" s="1065"/>
      <c r="BL508" s="1066"/>
      <c r="BM508" s="1067"/>
      <c r="BN508" s="259"/>
      <c r="BO508" s="259"/>
      <c r="BP508" s="1062"/>
      <c r="BQ508" s="1063"/>
      <c r="BR508" s="1064"/>
      <c r="BS508" s="1061" t="s">
        <v>159</v>
      </c>
      <c r="BT508" s="1061"/>
      <c r="BU508" s="1061"/>
    </row>
    <row r="509" spans="1:73" ht="30" customHeight="1" x14ac:dyDescent="0.25">
      <c r="A509" s="199">
        <f t="shared" si="8"/>
        <v>495</v>
      </c>
      <c r="B509" s="1081" t="s">
        <v>162</v>
      </c>
      <c r="C509" s="1082"/>
      <c r="D509" s="1083" t="s">
        <v>159</v>
      </c>
      <c r="E509" s="1084"/>
      <c r="F509" s="1084"/>
      <c r="G509" s="1085"/>
      <c r="H509" s="1086" t="s">
        <v>159</v>
      </c>
      <c r="I509" s="1087"/>
      <c r="J509" s="1087"/>
      <c r="K509" s="1088"/>
      <c r="L509" s="1089" t="s">
        <v>159</v>
      </c>
      <c r="M509" s="1090"/>
      <c r="N509" s="1091"/>
      <c r="O509" s="1092" t="s">
        <v>159</v>
      </c>
      <c r="P509" s="1093"/>
      <c r="Q509" s="1094"/>
      <c r="R509" s="812"/>
      <c r="S509" s="1095"/>
      <c r="T509" s="813"/>
      <c r="U509" s="745"/>
      <c r="V509" s="940"/>
      <c r="W509" s="746"/>
      <c r="X509" s="312"/>
      <c r="Y509" s="308"/>
      <c r="Z509" s="312"/>
      <c r="AA509" s="308"/>
      <c r="AB509" s="312"/>
      <c r="AC509" s="308"/>
      <c r="AD509" s="312"/>
      <c r="AE509" s="308"/>
      <c r="AF509" s="312"/>
      <c r="AG509" s="308"/>
      <c r="AH509" s="312"/>
      <c r="AI509" s="308"/>
      <c r="AJ509" s="117"/>
      <c r="AK509" s="330"/>
      <c r="AL509" s="117"/>
      <c r="AM509" s="330"/>
      <c r="AN509" s="117"/>
      <c r="AO509" s="330"/>
      <c r="AP509" s="117"/>
      <c r="AQ509" s="330"/>
      <c r="AR509" s="117"/>
      <c r="AS509" s="1096" t="s">
        <v>159</v>
      </c>
      <c r="AT509" s="1097"/>
      <c r="AU509" s="1097"/>
      <c r="AV509" s="1097"/>
      <c r="AW509" s="1097"/>
      <c r="AX509" s="1097"/>
      <c r="AY509" s="1100"/>
      <c r="AZ509" s="257"/>
      <c r="BA509" s="257"/>
      <c r="BB509" s="1059" t="s">
        <v>162</v>
      </c>
      <c r="BC509" s="1060"/>
      <c r="BD509" s="1061" t="s">
        <v>159</v>
      </c>
      <c r="BE509" s="1061"/>
      <c r="BF509" s="1061"/>
      <c r="BG509" s="1062" t="s">
        <v>159</v>
      </c>
      <c r="BH509" s="1063"/>
      <c r="BI509" s="1063"/>
      <c r="BJ509" s="1064"/>
      <c r="BK509" s="1065"/>
      <c r="BL509" s="1066"/>
      <c r="BM509" s="1067"/>
      <c r="BN509" s="259"/>
      <c r="BO509" s="259"/>
      <c r="BP509" s="1062"/>
      <c r="BQ509" s="1063"/>
      <c r="BR509" s="1064"/>
      <c r="BS509" s="1061" t="s">
        <v>159</v>
      </c>
      <c r="BT509" s="1061"/>
      <c r="BU509" s="1061"/>
    </row>
    <row r="510" spans="1:73" ht="30" customHeight="1" x14ac:dyDescent="0.25">
      <c r="A510" s="199">
        <f t="shared" si="8"/>
        <v>496</v>
      </c>
      <c r="B510" s="1081" t="s">
        <v>162</v>
      </c>
      <c r="C510" s="1082"/>
      <c r="D510" s="1083" t="s">
        <v>159</v>
      </c>
      <c r="E510" s="1084"/>
      <c r="F510" s="1084"/>
      <c r="G510" s="1085"/>
      <c r="H510" s="1086" t="s">
        <v>159</v>
      </c>
      <c r="I510" s="1087"/>
      <c r="J510" s="1087"/>
      <c r="K510" s="1088"/>
      <c r="L510" s="1089" t="s">
        <v>159</v>
      </c>
      <c r="M510" s="1090"/>
      <c r="N510" s="1091"/>
      <c r="O510" s="1092" t="s">
        <v>159</v>
      </c>
      <c r="P510" s="1093"/>
      <c r="Q510" s="1094"/>
      <c r="R510" s="812"/>
      <c r="S510" s="1095"/>
      <c r="T510" s="813"/>
      <c r="U510" s="745"/>
      <c r="V510" s="940"/>
      <c r="W510" s="746"/>
      <c r="X510" s="312"/>
      <c r="Y510" s="308"/>
      <c r="Z510" s="312"/>
      <c r="AA510" s="308"/>
      <c r="AB510" s="312"/>
      <c r="AC510" s="308"/>
      <c r="AD510" s="312"/>
      <c r="AE510" s="308"/>
      <c r="AF510" s="312"/>
      <c r="AG510" s="308"/>
      <c r="AH510" s="312"/>
      <c r="AI510" s="308"/>
      <c r="AJ510" s="117"/>
      <c r="AK510" s="330"/>
      <c r="AL510" s="117"/>
      <c r="AM510" s="330"/>
      <c r="AN510" s="117"/>
      <c r="AO510" s="330"/>
      <c r="AP510" s="117"/>
      <c r="AQ510" s="330"/>
      <c r="AR510" s="117"/>
      <c r="AS510" s="1096" t="s">
        <v>159</v>
      </c>
      <c r="AT510" s="1097"/>
      <c r="AU510" s="1097"/>
      <c r="AV510" s="1097"/>
      <c r="AW510" s="1097"/>
      <c r="AX510" s="1097"/>
      <c r="AY510" s="1100"/>
      <c r="AZ510" s="257"/>
      <c r="BA510" s="257"/>
      <c r="BB510" s="1059" t="s">
        <v>162</v>
      </c>
      <c r="BC510" s="1060"/>
      <c r="BD510" s="1061" t="s">
        <v>159</v>
      </c>
      <c r="BE510" s="1061"/>
      <c r="BF510" s="1061"/>
      <c r="BG510" s="1062" t="s">
        <v>159</v>
      </c>
      <c r="BH510" s="1063"/>
      <c r="BI510" s="1063"/>
      <c r="BJ510" s="1064"/>
      <c r="BK510" s="1065"/>
      <c r="BL510" s="1066"/>
      <c r="BM510" s="1067"/>
      <c r="BN510" s="259"/>
      <c r="BO510" s="259"/>
      <c r="BP510" s="1062"/>
      <c r="BQ510" s="1063"/>
      <c r="BR510" s="1064"/>
      <c r="BS510" s="1061" t="s">
        <v>159</v>
      </c>
      <c r="BT510" s="1061"/>
      <c r="BU510" s="1061"/>
    </row>
    <row r="511" spans="1:73" ht="30" customHeight="1" x14ac:dyDescent="0.25">
      <c r="A511" s="199">
        <f t="shared" si="8"/>
        <v>497</v>
      </c>
      <c r="B511" s="1081" t="s">
        <v>162</v>
      </c>
      <c r="C511" s="1082"/>
      <c r="D511" s="1083" t="s">
        <v>159</v>
      </c>
      <c r="E511" s="1084"/>
      <c r="F511" s="1084"/>
      <c r="G511" s="1085"/>
      <c r="H511" s="1086" t="s">
        <v>159</v>
      </c>
      <c r="I511" s="1087"/>
      <c r="J511" s="1087"/>
      <c r="K511" s="1088"/>
      <c r="L511" s="1089" t="s">
        <v>159</v>
      </c>
      <c r="M511" s="1090"/>
      <c r="N511" s="1091"/>
      <c r="O511" s="1092" t="s">
        <v>159</v>
      </c>
      <c r="P511" s="1093"/>
      <c r="Q511" s="1094"/>
      <c r="R511" s="812"/>
      <c r="S511" s="1095"/>
      <c r="T511" s="813"/>
      <c r="U511" s="745"/>
      <c r="V511" s="940"/>
      <c r="W511" s="746"/>
      <c r="X511" s="312"/>
      <c r="Y511" s="308"/>
      <c r="Z511" s="312"/>
      <c r="AA511" s="308"/>
      <c r="AB511" s="312"/>
      <c r="AC511" s="308"/>
      <c r="AD511" s="312"/>
      <c r="AE511" s="308"/>
      <c r="AF511" s="312"/>
      <c r="AG511" s="308"/>
      <c r="AH511" s="312"/>
      <c r="AI511" s="308"/>
      <c r="AJ511" s="117"/>
      <c r="AK511" s="330"/>
      <c r="AL511" s="117"/>
      <c r="AM511" s="330"/>
      <c r="AN511" s="117"/>
      <c r="AO511" s="330"/>
      <c r="AP511" s="117"/>
      <c r="AQ511" s="330"/>
      <c r="AR511" s="117"/>
      <c r="AS511" s="1096" t="s">
        <v>159</v>
      </c>
      <c r="AT511" s="1097"/>
      <c r="AU511" s="1097"/>
      <c r="AV511" s="1097"/>
      <c r="AW511" s="1097"/>
      <c r="AX511" s="1097"/>
      <c r="AY511" s="1100"/>
      <c r="AZ511" s="257"/>
      <c r="BA511" s="257"/>
      <c r="BB511" s="1059" t="s">
        <v>162</v>
      </c>
      <c r="BC511" s="1060"/>
      <c r="BD511" s="1061" t="s">
        <v>159</v>
      </c>
      <c r="BE511" s="1061"/>
      <c r="BF511" s="1061"/>
      <c r="BG511" s="1062" t="s">
        <v>159</v>
      </c>
      <c r="BH511" s="1063"/>
      <c r="BI511" s="1063"/>
      <c r="BJ511" s="1064"/>
      <c r="BK511" s="1065"/>
      <c r="BL511" s="1066"/>
      <c r="BM511" s="1067"/>
      <c r="BN511" s="259"/>
      <c r="BO511" s="259"/>
      <c r="BP511" s="1062"/>
      <c r="BQ511" s="1063"/>
      <c r="BR511" s="1064"/>
      <c r="BS511" s="1061" t="s">
        <v>159</v>
      </c>
      <c r="BT511" s="1061"/>
      <c r="BU511" s="1061"/>
    </row>
    <row r="512" spans="1:73" ht="30" customHeight="1" x14ac:dyDescent="0.25">
      <c r="A512" s="199">
        <f t="shared" si="8"/>
        <v>498</v>
      </c>
      <c r="B512" s="1081" t="s">
        <v>162</v>
      </c>
      <c r="C512" s="1082"/>
      <c r="D512" s="1083" t="s">
        <v>159</v>
      </c>
      <c r="E512" s="1084"/>
      <c r="F512" s="1084"/>
      <c r="G512" s="1085"/>
      <c r="H512" s="1086" t="s">
        <v>159</v>
      </c>
      <c r="I512" s="1087"/>
      <c r="J512" s="1087"/>
      <c r="K512" s="1088"/>
      <c r="L512" s="1089" t="s">
        <v>159</v>
      </c>
      <c r="M512" s="1090"/>
      <c r="N512" s="1091"/>
      <c r="O512" s="1092" t="s">
        <v>159</v>
      </c>
      <c r="P512" s="1093"/>
      <c r="Q512" s="1094"/>
      <c r="R512" s="812"/>
      <c r="S512" s="1095"/>
      <c r="T512" s="813"/>
      <c r="U512" s="745"/>
      <c r="V512" s="940"/>
      <c r="W512" s="746"/>
      <c r="X512" s="312"/>
      <c r="Y512" s="308"/>
      <c r="Z512" s="312"/>
      <c r="AA512" s="308"/>
      <c r="AB512" s="312"/>
      <c r="AC512" s="308"/>
      <c r="AD512" s="312"/>
      <c r="AE512" s="308"/>
      <c r="AF512" s="312"/>
      <c r="AG512" s="308"/>
      <c r="AH512" s="312"/>
      <c r="AI512" s="308"/>
      <c r="AJ512" s="117"/>
      <c r="AK512" s="330"/>
      <c r="AL512" s="117"/>
      <c r="AM512" s="330"/>
      <c r="AN512" s="117"/>
      <c r="AO512" s="330"/>
      <c r="AP512" s="117"/>
      <c r="AQ512" s="330"/>
      <c r="AR512" s="117"/>
      <c r="AS512" s="1096" t="s">
        <v>159</v>
      </c>
      <c r="AT512" s="1097"/>
      <c r="AU512" s="1097"/>
      <c r="AV512" s="1097"/>
      <c r="AW512" s="1097"/>
      <c r="AX512" s="1097"/>
      <c r="AY512" s="1100"/>
      <c r="AZ512" s="257"/>
      <c r="BA512" s="257"/>
      <c r="BB512" s="1059" t="s">
        <v>162</v>
      </c>
      <c r="BC512" s="1060"/>
      <c r="BD512" s="1061" t="s">
        <v>159</v>
      </c>
      <c r="BE512" s="1061"/>
      <c r="BF512" s="1061"/>
      <c r="BG512" s="1062" t="s">
        <v>159</v>
      </c>
      <c r="BH512" s="1063"/>
      <c r="BI512" s="1063"/>
      <c r="BJ512" s="1064"/>
      <c r="BK512" s="1065"/>
      <c r="BL512" s="1066"/>
      <c r="BM512" s="1067"/>
      <c r="BN512" s="259"/>
      <c r="BO512" s="259"/>
      <c r="BP512" s="1062"/>
      <c r="BQ512" s="1063"/>
      <c r="BR512" s="1064"/>
      <c r="BS512" s="1061" t="s">
        <v>159</v>
      </c>
      <c r="BT512" s="1061"/>
      <c r="BU512" s="1061"/>
    </row>
    <row r="513" spans="1:73" ht="30" customHeight="1" x14ac:dyDescent="0.25">
      <c r="A513" s="199">
        <f t="shared" si="8"/>
        <v>499</v>
      </c>
      <c r="B513" s="1081" t="s">
        <v>162</v>
      </c>
      <c r="C513" s="1082"/>
      <c r="D513" s="1083" t="s">
        <v>159</v>
      </c>
      <c r="E513" s="1084"/>
      <c r="F513" s="1084"/>
      <c r="G513" s="1085"/>
      <c r="H513" s="1086" t="s">
        <v>159</v>
      </c>
      <c r="I513" s="1087"/>
      <c r="J513" s="1087"/>
      <c r="K513" s="1088"/>
      <c r="L513" s="1089" t="s">
        <v>159</v>
      </c>
      <c r="M513" s="1090"/>
      <c r="N513" s="1091"/>
      <c r="O513" s="1092" t="s">
        <v>159</v>
      </c>
      <c r="P513" s="1093"/>
      <c r="Q513" s="1094"/>
      <c r="R513" s="812"/>
      <c r="S513" s="1095"/>
      <c r="T513" s="813"/>
      <c r="U513" s="745"/>
      <c r="V513" s="940"/>
      <c r="W513" s="746"/>
      <c r="X513" s="312"/>
      <c r="Y513" s="308"/>
      <c r="Z513" s="312"/>
      <c r="AA513" s="308"/>
      <c r="AB513" s="312"/>
      <c r="AC513" s="308"/>
      <c r="AD513" s="312"/>
      <c r="AE513" s="308"/>
      <c r="AF513" s="312"/>
      <c r="AG513" s="308"/>
      <c r="AH513" s="312"/>
      <c r="AI513" s="308"/>
      <c r="AJ513" s="117"/>
      <c r="AK513" s="330"/>
      <c r="AL513" s="117"/>
      <c r="AM513" s="330"/>
      <c r="AN513" s="117"/>
      <c r="AO513" s="330"/>
      <c r="AP513" s="117"/>
      <c r="AQ513" s="330"/>
      <c r="AR513" s="117"/>
      <c r="AS513" s="1096" t="s">
        <v>159</v>
      </c>
      <c r="AT513" s="1097"/>
      <c r="AU513" s="1097"/>
      <c r="AV513" s="1097"/>
      <c r="AW513" s="1097"/>
      <c r="AX513" s="1097"/>
      <c r="AY513" s="1100"/>
      <c r="AZ513" s="257"/>
      <c r="BA513" s="257"/>
      <c r="BB513" s="1059" t="s">
        <v>162</v>
      </c>
      <c r="BC513" s="1060"/>
      <c r="BD513" s="1061" t="s">
        <v>159</v>
      </c>
      <c r="BE513" s="1061"/>
      <c r="BF513" s="1061"/>
      <c r="BG513" s="1062" t="s">
        <v>159</v>
      </c>
      <c r="BH513" s="1063"/>
      <c r="BI513" s="1063"/>
      <c r="BJ513" s="1064"/>
      <c r="BK513" s="1065"/>
      <c r="BL513" s="1066"/>
      <c r="BM513" s="1067"/>
      <c r="BN513" s="259"/>
      <c r="BO513" s="259"/>
      <c r="BP513" s="1062"/>
      <c r="BQ513" s="1063"/>
      <c r="BR513" s="1064"/>
      <c r="BS513" s="1061" t="s">
        <v>159</v>
      </c>
      <c r="BT513" s="1061"/>
      <c r="BU513" s="1061"/>
    </row>
    <row r="514" spans="1:73" ht="30" customHeight="1" x14ac:dyDescent="0.25">
      <c r="A514" s="199">
        <f t="shared" si="8"/>
        <v>500</v>
      </c>
      <c r="B514" s="1081" t="s">
        <v>162</v>
      </c>
      <c r="C514" s="1082"/>
      <c r="D514" s="1083" t="s">
        <v>159</v>
      </c>
      <c r="E514" s="1084"/>
      <c r="F514" s="1084"/>
      <c r="G514" s="1085"/>
      <c r="H514" s="1086" t="s">
        <v>159</v>
      </c>
      <c r="I514" s="1087"/>
      <c r="J514" s="1087"/>
      <c r="K514" s="1088"/>
      <c r="L514" s="1089" t="s">
        <v>159</v>
      </c>
      <c r="M514" s="1090"/>
      <c r="N514" s="1091"/>
      <c r="O514" s="1092" t="s">
        <v>159</v>
      </c>
      <c r="P514" s="1093"/>
      <c r="Q514" s="1094"/>
      <c r="R514" s="812"/>
      <c r="S514" s="1095"/>
      <c r="T514" s="813"/>
      <c r="U514" s="745"/>
      <c r="V514" s="940"/>
      <c r="W514" s="746"/>
      <c r="X514" s="312"/>
      <c r="Y514" s="308"/>
      <c r="Z514" s="312"/>
      <c r="AA514" s="308"/>
      <c r="AB514" s="312"/>
      <c r="AC514" s="308"/>
      <c r="AD514" s="312"/>
      <c r="AE514" s="308"/>
      <c r="AF514" s="312"/>
      <c r="AG514" s="308"/>
      <c r="AH514" s="312"/>
      <c r="AI514" s="308"/>
      <c r="AJ514" s="117"/>
      <c r="AK514" s="330"/>
      <c r="AL514" s="117"/>
      <c r="AM514" s="330"/>
      <c r="AN514" s="117"/>
      <c r="AO514" s="330"/>
      <c r="AP514" s="117"/>
      <c r="AQ514" s="330"/>
      <c r="AR514" s="117"/>
      <c r="AS514" s="1096" t="s">
        <v>159</v>
      </c>
      <c r="AT514" s="1097"/>
      <c r="AU514" s="1097"/>
      <c r="AV514" s="1098"/>
      <c r="AW514" s="1098"/>
      <c r="AX514" s="1098"/>
      <c r="AY514" s="1099"/>
      <c r="AZ514" s="296"/>
      <c r="BA514" s="296"/>
      <c r="BB514" s="1059" t="s">
        <v>162</v>
      </c>
      <c r="BC514" s="1060"/>
      <c r="BD514" s="1068" t="s">
        <v>159</v>
      </c>
      <c r="BE514" s="1068"/>
      <c r="BF514" s="1068"/>
      <c r="BG514" s="1069" t="s">
        <v>159</v>
      </c>
      <c r="BH514" s="1070"/>
      <c r="BI514" s="1070"/>
      <c r="BJ514" s="1071"/>
      <c r="BK514" s="1072"/>
      <c r="BL514" s="1073"/>
      <c r="BM514" s="1074"/>
      <c r="BN514" s="297"/>
      <c r="BO514" s="297"/>
      <c r="BP514" s="1069"/>
      <c r="BQ514" s="1070"/>
      <c r="BR514" s="1071"/>
      <c r="BS514" s="1068" t="s">
        <v>159</v>
      </c>
      <c r="BT514" s="1068"/>
      <c r="BU514" s="1068"/>
    </row>
    <row r="515" spans="1:73" x14ac:dyDescent="0.25">
      <c r="AV515" s="291"/>
      <c r="AW515" s="291"/>
      <c r="AX515" s="291"/>
      <c r="AY515" s="291"/>
      <c r="AZ515" s="304"/>
      <c r="BA515" s="304"/>
      <c r="BB515" s="305"/>
      <c r="BC515" s="306"/>
      <c r="BD515" s="291"/>
      <c r="BE515" s="291"/>
      <c r="BF515" s="291"/>
      <c r="BG515" s="291"/>
      <c r="BH515" s="291"/>
      <c r="BI515" s="291"/>
      <c r="BJ515" s="291"/>
      <c r="BK515" s="307"/>
      <c r="BL515" s="307"/>
      <c r="BM515" s="307"/>
      <c r="BN515" s="307"/>
      <c r="BO515" s="307"/>
      <c r="BP515" s="291"/>
      <c r="BQ515" s="291"/>
      <c r="BR515" s="291"/>
      <c r="BS515" s="291"/>
      <c r="BT515" s="291"/>
      <c r="BU515" s="291"/>
    </row>
    <row r="516" spans="1:73" x14ac:dyDescent="0.25">
      <c r="AZ516" s="298"/>
      <c r="BA516" s="298"/>
      <c r="BB516" s="302"/>
      <c r="BC516" s="303"/>
      <c r="BK516" s="299"/>
      <c r="BL516" s="299"/>
      <c r="BM516" s="299"/>
      <c r="BN516" s="299"/>
      <c r="BO516" s="299"/>
    </row>
    <row r="517" spans="1:73" x14ac:dyDescent="0.25">
      <c r="AZ517" s="298"/>
      <c r="BA517" s="298"/>
      <c r="BB517" s="300"/>
      <c r="BC517" s="301"/>
      <c r="BK517" s="299"/>
      <c r="BL517" s="299"/>
      <c r="BM517" s="299"/>
      <c r="BN517" s="299"/>
      <c r="BO517" s="299"/>
    </row>
    <row r="518" spans="1:73" x14ac:dyDescent="0.25">
      <c r="AZ518" s="298"/>
      <c r="BA518" s="298"/>
      <c r="BB518" s="300"/>
      <c r="BC518" s="301"/>
      <c r="BK518" s="299"/>
      <c r="BL518" s="299"/>
      <c r="BM518" s="299"/>
      <c r="BN518" s="299"/>
      <c r="BO518" s="299"/>
    </row>
    <row r="519" spans="1:73" x14ac:dyDescent="0.25">
      <c r="AZ519" s="298"/>
      <c r="BA519" s="298"/>
      <c r="BB519" s="300"/>
      <c r="BC519" s="301"/>
      <c r="BK519" s="299"/>
      <c r="BL519" s="299"/>
      <c r="BM519" s="299"/>
      <c r="BN519" s="299"/>
      <c r="BO519" s="299"/>
    </row>
    <row r="520" spans="1:73" x14ac:dyDescent="0.25">
      <c r="AZ520" s="298"/>
      <c r="BA520" s="298"/>
      <c r="BB520" s="300"/>
      <c r="BC520" s="301"/>
      <c r="BK520" s="299"/>
      <c r="BL520" s="299"/>
      <c r="BM520" s="299"/>
      <c r="BN520" s="299"/>
      <c r="BO520" s="299"/>
    </row>
    <row r="521" spans="1:73" x14ac:dyDescent="0.25">
      <c r="AZ521" s="298"/>
      <c r="BA521" s="298"/>
      <c r="BB521" s="300"/>
      <c r="BC521" s="301"/>
      <c r="BK521" s="299"/>
      <c r="BL521" s="299"/>
      <c r="BM521" s="299"/>
      <c r="BN521" s="299"/>
      <c r="BO521" s="299"/>
    </row>
    <row r="522" spans="1:73" x14ac:dyDescent="0.25">
      <c r="AZ522" s="298"/>
      <c r="BA522" s="298"/>
      <c r="BB522" s="300"/>
      <c r="BC522" s="301"/>
      <c r="BK522" s="299"/>
      <c r="BL522" s="299"/>
      <c r="BM522" s="299"/>
      <c r="BN522" s="299"/>
      <c r="BO522" s="299"/>
    </row>
  </sheetData>
  <sheetProtection algorithmName="SHA-512" hashValue="wNv01VUE9oy9X+TrNVxudn3NUJWTtpCpOUpQqCBBJ5u11mIwKfKDnnrwjudi/+vo2egAsO0oiTOktX9luK+XfQ==" saltValue="uS4xodnTUwPOnK3/5U/xhA==" spinCount="100000" sheet="1" objects="1" scenarios="1"/>
  <mergeCells count="7068">
    <mergeCell ref="BB466:BC466"/>
    <mergeCell ref="BD466:BF466"/>
    <mergeCell ref="BG466:BJ466"/>
    <mergeCell ref="BK466:BM466"/>
    <mergeCell ref="BP466:BR466"/>
    <mergeCell ref="BS466:BU466"/>
    <mergeCell ref="BD409:BF409"/>
    <mergeCell ref="BG409:BJ409"/>
    <mergeCell ref="BK409:BM409"/>
    <mergeCell ref="BP409:BR409"/>
    <mergeCell ref="BS409:BU409"/>
    <mergeCell ref="BP1:BR1"/>
    <mergeCell ref="BP12:BU12"/>
    <mergeCell ref="BS1:BU1"/>
    <mergeCell ref="A2:BR2"/>
    <mergeCell ref="A3:BR3"/>
    <mergeCell ref="L1:N1"/>
    <mergeCell ref="O1:Q1"/>
    <mergeCell ref="R1:T1"/>
    <mergeCell ref="U1:W1"/>
    <mergeCell ref="AS1:AY1"/>
    <mergeCell ref="BB1:BC1"/>
    <mergeCell ref="BD1:BF1"/>
    <mergeCell ref="BG1:BJ1"/>
    <mergeCell ref="BK1:BM1"/>
    <mergeCell ref="AS12:AY12"/>
    <mergeCell ref="A11:AI11"/>
    <mergeCell ref="AJ12:AR12"/>
    <mergeCell ref="A5:G5"/>
    <mergeCell ref="H5:S5"/>
    <mergeCell ref="U5:Y5"/>
    <mergeCell ref="B1:C1"/>
    <mergeCell ref="D1:G1"/>
    <mergeCell ref="H1:K1"/>
    <mergeCell ref="A4:AX4"/>
    <mergeCell ref="BP15:BR15"/>
    <mergeCell ref="BP17:BR17"/>
    <mergeCell ref="BP18:BR18"/>
    <mergeCell ref="BP19:BR19"/>
    <mergeCell ref="BK16:BM16"/>
    <mergeCell ref="AS13:AY14"/>
    <mergeCell ref="BP16:BR16"/>
    <mergeCell ref="BB13:BC14"/>
    <mergeCell ref="BD13:BF14"/>
    <mergeCell ref="BG13:BJ14"/>
    <mergeCell ref="BK13:BM14"/>
    <mergeCell ref="BP13:BR14"/>
    <mergeCell ref="BS13:BU14"/>
    <mergeCell ref="BB12:BM12"/>
    <mergeCell ref="BG16:BJ16"/>
    <mergeCell ref="BS15:BU15"/>
    <mergeCell ref="BS16:BU16"/>
    <mergeCell ref="AS16:AY16"/>
    <mergeCell ref="B19:C19"/>
    <mergeCell ref="B18:C18"/>
    <mergeCell ref="D18:G18"/>
    <mergeCell ref="H18:K18"/>
    <mergeCell ref="O19:Q19"/>
    <mergeCell ref="R19:T19"/>
    <mergeCell ref="BD19:BF19"/>
    <mergeCell ref="AS19:AY19"/>
    <mergeCell ref="U19:W19"/>
    <mergeCell ref="BB19:BC19"/>
    <mergeCell ref="BS17:BU17"/>
    <mergeCell ref="BS18:BU18"/>
    <mergeCell ref="BS19:BU19"/>
    <mergeCell ref="BS20:BU20"/>
    <mergeCell ref="BS21:BU21"/>
    <mergeCell ref="BK20:BM20"/>
    <mergeCell ref="BK21:BM21"/>
    <mergeCell ref="BP20:BR20"/>
    <mergeCell ref="BP21:BR21"/>
    <mergeCell ref="BG17:BJ17"/>
    <mergeCell ref="BG18:BJ18"/>
    <mergeCell ref="BG19:BJ19"/>
    <mergeCell ref="BK17:BM17"/>
    <mergeCell ref="BK18:BM18"/>
    <mergeCell ref="BK19:BM19"/>
    <mergeCell ref="BG20:BJ20"/>
    <mergeCell ref="BG21:BJ21"/>
    <mergeCell ref="D19:G19"/>
    <mergeCell ref="H19:K19"/>
    <mergeCell ref="L18:N18"/>
    <mergeCell ref="O18:Q18"/>
    <mergeCell ref="R18:T18"/>
    <mergeCell ref="BD18:BF18"/>
    <mergeCell ref="AS18:AY18"/>
    <mergeCell ref="U18:W18"/>
    <mergeCell ref="BB18:BC18"/>
    <mergeCell ref="L19:N19"/>
    <mergeCell ref="B21:C21"/>
    <mergeCell ref="D21:G21"/>
    <mergeCell ref="H21:K21"/>
    <mergeCell ref="L20:N20"/>
    <mergeCell ref="O20:Q20"/>
    <mergeCell ref="R20:T20"/>
    <mergeCell ref="BD20:BF20"/>
    <mergeCell ref="AS20:AY20"/>
    <mergeCell ref="U20:W20"/>
    <mergeCell ref="BB20:BC20"/>
    <mergeCell ref="BB21:BC21"/>
    <mergeCell ref="L21:N21"/>
    <mergeCell ref="O21:Q21"/>
    <mergeCell ref="R21:T21"/>
    <mergeCell ref="BD21:BF21"/>
    <mergeCell ref="AS21:AY21"/>
    <mergeCell ref="U21:W21"/>
    <mergeCell ref="BD15:BF15"/>
    <mergeCell ref="U15:W15"/>
    <mergeCell ref="BB15:BC15"/>
    <mergeCell ref="BK15:BM15"/>
    <mergeCell ref="B15:C15"/>
    <mergeCell ref="D15:G15"/>
    <mergeCell ref="H15:K15"/>
    <mergeCell ref="AS15:AY15"/>
    <mergeCell ref="L15:N15"/>
    <mergeCell ref="BG15:BJ15"/>
    <mergeCell ref="B17:C17"/>
    <mergeCell ref="D17:G17"/>
    <mergeCell ref="H17:K17"/>
    <mergeCell ref="L16:N16"/>
    <mergeCell ref="O16:Q16"/>
    <mergeCell ref="R16:T16"/>
    <mergeCell ref="BD16:BF16"/>
    <mergeCell ref="U16:W16"/>
    <mergeCell ref="BB16:BC16"/>
    <mergeCell ref="B16:C16"/>
    <mergeCell ref="D16:G16"/>
    <mergeCell ref="H16:K16"/>
    <mergeCell ref="AS17:AY17"/>
    <mergeCell ref="L17:N17"/>
    <mergeCell ref="O17:Q17"/>
    <mergeCell ref="R17:T17"/>
    <mergeCell ref="BD17:BF17"/>
    <mergeCell ref="U17:W17"/>
    <mergeCell ref="BB17:BC17"/>
    <mergeCell ref="AR13:AR14"/>
    <mergeCell ref="B13:C14"/>
    <mergeCell ref="D13:G14"/>
    <mergeCell ref="H13:K14"/>
    <mergeCell ref="L13:N14"/>
    <mergeCell ref="O13:Q14"/>
    <mergeCell ref="A7:G8"/>
    <mergeCell ref="H7:S8"/>
    <mergeCell ref="U7:Y7"/>
    <mergeCell ref="U8:Y8"/>
    <mergeCell ref="A13:A14"/>
    <mergeCell ref="R13:T14"/>
    <mergeCell ref="U13:W14"/>
    <mergeCell ref="H9:O9"/>
    <mergeCell ref="P9:S9"/>
    <mergeCell ref="U9:Y9"/>
    <mergeCell ref="A10:AI10"/>
    <mergeCell ref="X12:AI12"/>
    <mergeCell ref="B12:W12"/>
    <mergeCell ref="A9:G9"/>
    <mergeCell ref="B22:C22"/>
    <mergeCell ref="D22:G22"/>
    <mergeCell ref="H22:K22"/>
    <mergeCell ref="L22:N22"/>
    <mergeCell ref="O22:Q22"/>
    <mergeCell ref="R22:T22"/>
    <mergeCell ref="U22:W22"/>
    <mergeCell ref="AS22:AY22"/>
    <mergeCell ref="B23:C23"/>
    <mergeCell ref="D23:G23"/>
    <mergeCell ref="H23:K23"/>
    <mergeCell ref="L23:N23"/>
    <mergeCell ref="O23:Q23"/>
    <mergeCell ref="R23:T23"/>
    <mergeCell ref="U23:W23"/>
    <mergeCell ref="AS23:AY23"/>
    <mergeCell ref="A6:G6"/>
    <mergeCell ref="H6:S6"/>
    <mergeCell ref="U6:Y6"/>
    <mergeCell ref="O15:Q15"/>
    <mergeCell ref="R15:T15"/>
    <mergeCell ref="B20:C20"/>
    <mergeCell ref="D20:G20"/>
    <mergeCell ref="H20:K20"/>
    <mergeCell ref="AJ13:AJ14"/>
    <mergeCell ref="AK13:AK14"/>
    <mergeCell ref="AL13:AL14"/>
    <mergeCell ref="AM13:AM14"/>
    <mergeCell ref="AN13:AN14"/>
    <mergeCell ref="AO13:AO14"/>
    <mergeCell ref="AP13:AP14"/>
    <mergeCell ref="AQ13:AQ14"/>
    <mergeCell ref="B26:C26"/>
    <mergeCell ref="D26:G26"/>
    <mergeCell ref="H26:K26"/>
    <mergeCell ref="L26:N26"/>
    <mergeCell ref="O26:Q26"/>
    <mergeCell ref="R26:T26"/>
    <mergeCell ref="U26:W26"/>
    <mergeCell ref="AS26:AY26"/>
    <mergeCell ref="B27:C27"/>
    <mergeCell ref="D27:G27"/>
    <mergeCell ref="H27:K27"/>
    <mergeCell ref="L27:N27"/>
    <mergeCell ref="O27:Q27"/>
    <mergeCell ref="R27:T27"/>
    <mergeCell ref="U27:W27"/>
    <mergeCell ref="AS27:AY27"/>
    <mergeCell ref="B24:C24"/>
    <mergeCell ref="D24:G24"/>
    <mergeCell ref="H24:K24"/>
    <mergeCell ref="L24:N24"/>
    <mergeCell ref="O24:Q24"/>
    <mergeCell ref="R24:T24"/>
    <mergeCell ref="U24:W24"/>
    <mergeCell ref="AS24:AY24"/>
    <mergeCell ref="B25:C25"/>
    <mergeCell ref="D25:G25"/>
    <mergeCell ref="H25:K25"/>
    <mergeCell ref="L25:N25"/>
    <mergeCell ref="O25:Q25"/>
    <mergeCell ref="R25:T25"/>
    <mergeCell ref="U25:W25"/>
    <mergeCell ref="AS25:AY25"/>
    <mergeCell ref="B30:C30"/>
    <mergeCell ref="D30:G30"/>
    <mergeCell ref="H30:K30"/>
    <mergeCell ref="L30:N30"/>
    <mergeCell ref="O30:Q30"/>
    <mergeCell ref="R30:T30"/>
    <mergeCell ref="U30:W30"/>
    <mergeCell ref="AS30:AY30"/>
    <mergeCell ref="B31:C31"/>
    <mergeCell ref="D31:G31"/>
    <mergeCell ref="H31:K31"/>
    <mergeCell ref="L31:N31"/>
    <mergeCell ref="O31:Q31"/>
    <mergeCell ref="R31:T31"/>
    <mergeCell ref="U31:W31"/>
    <mergeCell ref="AS31:AY31"/>
    <mergeCell ref="B28:C28"/>
    <mergeCell ref="D28:G28"/>
    <mergeCell ref="H28:K28"/>
    <mergeCell ref="L28:N28"/>
    <mergeCell ref="O28:Q28"/>
    <mergeCell ref="R28:T28"/>
    <mergeCell ref="U28:W28"/>
    <mergeCell ref="AS28:AY28"/>
    <mergeCell ref="B29:C29"/>
    <mergeCell ref="D29:G29"/>
    <mergeCell ref="H29:K29"/>
    <mergeCell ref="L29:N29"/>
    <mergeCell ref="O29:Q29"/>
    <mergeCell ref="R29:T29"/>
    <mergeCell ref="U29:W29"/>
    <mergeCell ref="AS29:AY29"/>
    <mergeCell ref="B34:C34"/>
    <mergeCell ref="D34:G34"/>
    <mergeCell ref="H34:K34"/>
    <mergeCell ref="L34:N34"/>
    <mergeCell ref="O34:Q34"/>
    <mergeCell ref="R34:T34"/>
    <mergeCell ref="U34:W34"/>
    <mergeCell ref="AS34:AY34"/>
    <mergeCell ref="B35:C35"/>
    <mergeCell ref="D35:G35"/>
    <mergeCell ref="H35:K35"/>
    <mergeCell ref="L35:N35"/>
    <mergeCell ref="O35:Q35"/>
    <mergeCell ref="R35:T35"/>
    <mergeCell ref="U35:W35"/>
    <mergeCell ref="AS35:AY35"/>
    <mergeCell ref="B32:C32"/>
    <mergeCell ref="D32:G32"/>
    <mergeCell ref="H32:K32"/>
    <mergeCell ref="L32:N32"/>
    <mergeCell ref="O32:Q32"/>
    <mergeCell ref="R32:T32"/>
    <mergeCell ref="U32:W32"/>
    <mergeCell ref="AS32:AY32"/>
    <mergeCell ref="B33:C33"/>
    <mergeCell ref="D33:G33"/>
    <mergeCell ref="H33:K33"/>
    <mergeCell ref="L33:N33"/>
    <mergeCell ref="O33:Q33"/>
    <mergeCell ref="R33:T33"/>
    <mergeCell ref="U33:W33"/>
    <mergeCell ref="AS33:AY33"/>
    <mergeCell ref="B38:C38"/>
    <mergeCell ref="D38:G38"/>
    <mergeCell ref="H38:K38"/>
    <mergeCell ref="L38:N38"/>
    <mergeCell ref="O38:Q38"/>
    <mergeCell ref="R38:T38"/>
    <mergeCell ref="U38:W38"/>
    <mergeCell ref="AS38:AY38"/>
    <mergeCell ref="B39:C39"/>
    <mergeCell ref="D39:G39"/>
    <mergeCell ref="H39:K39"/>
    <mergeCell ref="L39:N39"/>
    <mergeCell ref="O39:Q39"/>
    <mergeCell ref="R39:T39"/>
    <mergeCell ref="U39:W39"/>
    <mergeCell ref="AS39:AY39"/>
    <mergeCell ref="B36:C36"/>
    <mergeCell ref="D36:G36"/>
    <mergeCell ref="H36:K36"/>
    <mergeCell ref="L36:N36"/>
    <mergeCell ref="O36:Q36"/>
    <mergeCell ref="R36:T36"/>
    <mergeCell ref="U36:W36"/>
    <mergeCell ref="AS36:AY36"/>
    <mergeCell ref="B37:C37"/>
    <mergeCell ref="D37:G37"/>
    <mergeCell ref="H37:K37"/>
    <mergeCell ref="L37:N37"/>
    <mergeCell ref="O37:Q37"/>
    <mergeCell ref="R37:T37"/>
    <mergeCell ref="U37:W37"/>
    <mergeCell ref="AS37:AY37"/>
    <mergeCell ref="B42:C42"/>
    <mergeCell ref="D42:G42"/>
    <mergeCell ref="H42:K42"/>
    <mergeCell ref="L42:N42"/>
    <mergeCell ref="O42:Q42"/>
    <mergeCell ref="R42:T42"/>
    <mergeCell ref="U42:W42"/>
    <mergeCell ref="AS42:AY42"/>
    <mergeCell ref="B43:C43"/>
    <mergeCell ref="D43:G43"/>
    <mergeCell ref="H43:K43"/>
    <mergeCell ref="L43:N43"/>
    <mergeCell ref="O43:Q43"/>
    <mergeCell ref="R43:T43"/>
    <mergeCell ref="U43:W43"/>
    <mergeCell ref="AS43:AY43"/>
    <mergeCell ref="B40:C40"/>
    <mergeCell ref="D40:G40"/>
    <mergeCell ref="H40:K40"/>
    <mergeCell ref="L40:N40"/>
    <mergeCell ref="O40:Q40"/>
    <mergeCell ref="R40:T40"/>
    <mergeCell ref="U40:W40"/>
    <mergeCell ref="AS40:AY40"/>
    <mergeCell ref="B41:C41"/>
    <mergeCell ref="D41:G41"/>
    <mergeCell ref="H41:K41"/>
    <mergeCell ref="L41:N41"/>
    <mergeCell ref="O41:Q41"/>
    <mergeCell ref="R41:T41"/>
    <mergeCell ref="U41:W41"/>
    <mergeCell ref="AS41:AY41"/>
    <mergeCell ref="B46:C46"/>
    <mergeCell ref="D46:G46"/>
    <mergeCell ref="H46:K46"/>
    <mergeCell ref="L46:N46"/>
    <mergeCell ref="O46:Q46"/>
    <mergeCell ref="R46:T46"/>
    <mergeCell ref="U46:W46"/>
    <mergeCell ref="AS46:AY46"/>
    <mergeCell ref="B47:C47"/>
    <mergeCell ref="D47:G47"/>
    <mergeCell ref="H47:K47"/>
    <mergeCell ref="L47:N47"/>
    <mergeCell ref="O47:Q47"/>
    <mergeCell ref="R47:T47"/>
    <mergeCell ref="U47:W47"/>
    <mergeCell ref="AS47:AY47"/>
    <mergeCell ref="B44:C44"/>
    <mergeCell ref="D44:G44"/>
    <mergeCell ref="H44:K44"/>
    <mergeCell ref="L44:N44"/>
    <mergeCell ref="O44:Q44"/>
    <mergeCell ref="R44:T44"/>
    <mergeCell ref="U44:W44"/>
    <mergeCell ref="AS44:AY44"/>
    <mergeCell ref="B45:C45"/>
    <mergeCell ref="D45:G45"/>
    <mergeCell ref="H45:K45"/>
    <mergeCell ref="L45:N45"/>
    <mergeCell ref="O45:Q45"/>
    <mergeCell ref="R45:T45"/>
    <mergeCell ref="U45:W45"/>
    <mergeCell ref="AS45:AY45"/>
    <mergeCell ref="B50:C50"/>
    <mergeCell ref="D50:G50"/>
    <mergeCell ref="H50:K50"/>
    <mergeCell ref="L50:N50"/>
    <mergeCell ref="O50:Q50"/>
    <mergeCell ref="R50:T50"/>
    <mergeCell ref="U50:W50"/>
    <mergeCell ref="AS50:AY50"/>
    <mergeCell ref="B51:C51"/>
    <mergeCell ref="D51:G51"/>
    <mergeCell ref="H51:K51"/>
    <mergeCell ref="L51:N51"/>
    <mergeCell ref="O51:Q51"/>
    <mergeCell ref="R51:T51"/>
    <mergeCell ref="U51:W51"/>
    <mergeCell ref="AS51:AY51"/>
    <mergeCell ref="B48:C48"/>
    <mergeCell ref="D48:G48"/>
    <mergeCell ref="H48:K48"/>
    <mergeCell ref="L48:N48"/>
    <mergeCell ref="O48:Q48"/>
    <mergeCell ref="R48:T48"/>
    <mergeCell ref="U48:W48"/>
    <mergeCell ref="AS48:AY48"/>
    <mergeCell ref="B49:C49"/>
    <mergeCell ref="D49:G49"/>
    <mergeCell ref="H49:K49"/>
    <mergeCell ref="L49:N49"/>
    <mergeCell ref="O49:Q49"/>
    <mergeCell ref="R49:T49"/>
    <mergeCell ref="U49:W49"/>
    <mergeCell ref="AS49:AY49"/>
    <mergeCell ref="B54:C54"/>
    <mergeCell ref="D54:G54"/>
    <mergeCell ref="H54:K54"/>
    <mergeCell ref="L54:N54"/>
    <mergeCell ref="O54:Q54"/>
    <mergeCell ref="R54:T54"/>
    <mergeCell ref="U54:W54"/>
    <mergeCell ref="AS54:AY54"/>
    <mergeCell ref="B55:C55"/>
    <mergeCell ref="D55:G55"/>
    <mergeCell ref="H55:K55"/>
    <mergeCell ref="L55:N55"/>
    <mergeCell ref="O55:Q55"/>
    <mergeCell ref="R55:T55"/>
    <mergeCell ref="U55:W55"/>
    <mergeCell ref="AS55:AY55"/>
    <mergeCell ref="B52:C52"/>
    <mergeCell ref="D52:G52"/>
    <mergeCell ref="H52:K52"/>
    <mergeCell ref="L52:N52"/>
    <mergeCell ref="O52:Q52"/>
    <mergeCell ref="R52:T52"/>
    <mergeCell ref="U52:W52"/>
    <mergeCell ref="AS52:AY52"/>
    <mergeCell ref="B53:C53"/>
    <mergeCell ref="D53:G53"/>
    <mergeCell ref="H53:K53"/>
    <mergeCell ref="L53:N53"/>
    <mergeCell ref="O53:Q53"/>
    <mergeCell ref="R53:T53"/>
    <mergeCell ref="U53:W53"/>
    <mergeCell ref="AS53:AY53"/>
    <mergeCell ref="B58:C58"/>
    <mergeCell ref="D58:G58"/>
    <mergeCell ref="H58:K58"/>
    <mergeCell ref="L58:N58"/>
    <mergeCell ref="O58:Q58"/>
    <mergeCell ref="R58:T58"/>
    <mergeCell ref="U58:W58"/>
    <mergeCell ref="AS58:AY58"/>
    <mergeCell ref="B59:C59"/>
    <mergeCell ref="D59:G59"/>
    <mergeCell ref="H59:K59"/>
    <mergeCell ref="L59:N59"/>
    <mergeCell ref="O59:Q59"/>
    <mergeCell ref="R59:T59"/>
    <mergeCell ref="U59:W59"/>
    <mergeCell ref="AS59:AY59"/>
    <mergeCell ref="B56:C56"/>
    <mergeCell ref="D56:G56"/>
    <mergeCell ref="H56:K56"/>
    <mergeCell ref="L56:N56"/>
    <mergeCell ref="O56:Q56"/>
    <mergeCell ref="R56:T56"/>
    <mergeCell ref="U56:W56"/>
    <mergeCell ref="AS56:AY56"/>
    <mergeCell ref="B57:C57"/>
    <mergeCell ref="D57:G57"/>
    <mergeCell ref="H57:K57"/>
    <mergeCell ref="L57:N57"/>
    <mergeCell ref="O57:Q57"/>
    <mergeCell ref="R57:T57"/>
    <mergeCell ref="U57:W57"/>
    <mergeCell ref="AS57:AY57"/>
    <mergeCell ref="B62:C62"/>
    <mergeCell ref="D62:G62"/>
    <mergeCell ref="H62:K62"/>
    <mergeCell ref="L62:N62"/>
    <mergeCell ref="O62:Q62"/>
    <mergeCell ref="R62:T62"/>
    <mergeCell ref="U62:W62"/>
    <mergeCell ref="AS62:AY62"/>
    <mergeCell ref="B63:C63"/>
    <mergeCell ref="D63:G63"/>
    <mergeCell ref="H63:K63"/>
    <mergeCell ref="L63:N63"/>
    <mergeCell ref="O63:Q63"/>
    <mergeCell ref="R63:T63"/>
    <mergeCell ref="U63:W63"/>
    <mergeCell ref="AS63:AY63"/>
    <mergeCell ref="B60:C60"/>
    <mergeCell ref="D60:G60"/>
    <mergeCell ref="H60:K60"/>
    <mergeCell ref="L60:N60"/>
    <mergeCell ref="O60:Q60"/>
    <mergeCell ref="R60:T60"/>
    <mergeCell ref="U60:W60"/>
    <mergeCell ref="AS60:AY60"/>
    <mergeCell ref="B61:C61"/>
    <mergeCell ref="D61:G61"/>
    <mergeCell ref="H61:K61"/>
    <mergeCell ref="L61:N61"/>
    <mergeCell ref="O61:Q61"/>
    <mergeCell ref="R61:T61"/>
    <mergeCell ref="U61:W61"/>
    <mergeCell ref="AS61:AY61"/>
    <mergeCell ref="B66:C66"/>
    <mergeCell ref="D66:G66"/>
    <mergeCell ref="H66:K66"/>
    <mergeCell ref="L66:N66"/>
    <mergeCell ref="O66:Q66"/>
    <mergeCell ref="R66:T66"/>
    <mergeCell ref="U66:W66"/>
    <mergeCell ref="AS66:AY66"/>
    <mergeCell ref="B67:C67"/>
    <mergeCell ref="D67:G67"/>
    <mergeCell ref="H67:K67"/>
    <mergeCell ref="L67:N67"/>
    <mergeCell ref="O67:Q67"/>
    <mergeCell ref="R67:T67"/>
    <mergeCell ref="U67:W67"/>
    <mergeCell ref="AS67:AY67"/>
    <mergeCell ref="B64:C64"/>
    <mergeCell ref="D64:G64"/>
    <mergeCell ref="H64:K64"/>
    <mergeCell ref="L64:N64"/>
    <mergeCell ref="O64:Q64"/>
    <mergeCell ref="R64:T64"/>
    <mergeCell ref="U64:W64"/>
    <mergeCell ref="AS64:AY64"/>
    <mergeCell ref="B65:C65"/>
    <mergeCell ref="D65:G65"/>
    <mergeCell ref="H65:K65"/>
    <mergeCell ref="L65:N65"/>
    <mergeCell ref="O65:Q65"/>
    <mergeCell ref="R65:T65"/>
    <mergeCell ref="U65:W65"/>
    <mergeCell ref="AS65:AY65"/>
    <mergeCell ref="B70:C70"/>
    <mergeCell ref="D70:G70"/>
    <mergeCell ref="H70:K70"/>
    <mergeCell ref="L70:N70"/>
    <mergeCell ref="O70:Q70"/>
    <mergeCell ref="R70:T70"/>
    <mergeCell ref="U70:W70"/>
    <mergeCell ref="AS70:AY70"/>
    <mergeCell ref="B71:C71"/>
    <mergeCell ref="D71:G71"/>
    <mergeCell ref="H71:K71"/>
    <mergeCell ref="L71:N71"/>
    <mergeCell ref="O71:Q71"/>
    <mergeCell ref="R71:T71"/>
    <mergeCell ref="U71:W71"/>
    <mergeCell ref="AS71:AY71"/>
    <mergeCell ref="B68:C68"/>
    <mergeCell ref="D68:G68"/>
    <mergeCell ref="H68:K68"/>
    <mergeCell ref="L68:N68"/>
    <mergeCell ref="O68:Q68"/>
    <mergeCell ref="R68:T68"/>
    <mergeCell ref="U68:W68"/>
    <mergeCell ref="AS68:AY68"/>
    <mergeCell ref="B69:C69"/>
    <mergeCell ref="D69:G69"/>
    <mergeCell ref="H69:K69"/>
    <mergeCell ref="L69:N69"/>
    <mergeCell ref="O69:Q69"/>
    <mergeCell ref="R69:T69"/>
    <mergeCell ref="U69:W69"/>
    <mergeCell ref="AS69:AY69"/>
    <mergeCell ref="B74:C74"/>
    <mergeCell ref="D74:G74"/>
    <mergeCell ref="H74:K74"/>
    <mergeCell ref="L74:N74"/>
    <mergeCell ref="O74:Q74"/>
    <mergeCell ref="R74:T74"/>
    <mergeCell ref="U74:W74"/>
    <mergeCell ref="AS74:AY74"/>
    <mergeCell ref="B75:C75"/>
    <mergeCell ref="D75:G75"/>
    <mergeCell ref="H75:K75"/>
    <mergeCell ref="L75:N75"/>
    <mergeCell ref="O75:Q75"/>
    <mergeCell ref="R75:T75"/>
    <mergeCell ref="U75:W75"/>
    <mergeCell ref="AS75:AY75"/>
    <mergeCell ref="B72:C72"/>
    <mergeCell ref="D72:G72"/>
    <mergeCell ref="H72:K72"/>
    <mergeCell ref="L72:N72"/>
    <mergeCell ref="O72:Q72"/>
    <mergeCell ref="R72:T72"/>
    <mergeCell ref="U72:W72"/>
    <mergeCell ref="AS72:AY72"/>
    <mergeCell ref="B73:C73"/>
    <mergeCell ref="D73:G73"/>
    <mergeCell ref="H73:K73"/>
    <mergeCell ref="L73:N73"/>
    <mergeCell ref="O73:Q73"/>
    <mergeCell ref="R73:T73"/>
    <mergeCell ref="U73:W73"/>
    <mergeCell ref="AS73:AY73"/>
    <mergeCell ref="B78:C78"/>
    <mergeCell ref="D78:G78"/>
    <mergeCell ref="H78:K78"/>
    <mergeCell ref="L78:N78"/>
    <mergeCell ref="O78:Q78"/>
    <mergeCell ref="R78:T78"/>
    <mergeCell ref="U78:W78"/>
    <mergeCell ref="AS78:AY78"/>
    <mergeCell ref="B79:C79"/>
    <mergeCell ref="D79:G79"/>
    <mergeCell ref="H79:K79"/>
    <mergeCell ref="L79:N79"/>
    <mergeCell ref="O79:Q79"/>
    <mergeCell ref="R79:T79"/>
    <mergeCell ref="U79:W79"/>
    <mergeCell ref="AS79:AY79"/>
    <mergeCell ref="B76:C76"/>
    <mergeCell ref="D76:G76"/>
    <mergeCell ref="H76:K76"/>
    <mergeCell ref="L76:N76"/>
    <mergeCell ref="O76:Q76"/>
    <mergeCell ref="R76:T76"/>
    <mergeCell ref="U76:W76"/>
    <mergeCell ref="AS76:AY76"/>
    <mergeCell ref="B77:C77"/>
    <mergeCell ref="D77:G77"/>
    <mergeCell ref="H77:K77"/>
    <mergeCell ref="L77:N77"/>
    <mergeCell ref="O77:Q77"/>
    <mergeCell ref="R77:T77"/>
    <mergeCell ref="U77:W77"/>
    <mergeCell ref="AS77:AY77"/>
    <mergeCell ref="B82:C82"/>
    <mergeCell ref="D82:G82"/>
    <mergeCell ref="H82:K82"/>
    <mergeCell ref="L82:N82"/>
    <mergeCell ref="O82:Q82"/>
    <mergeCell ref="R82:T82"/>
    <mergeCell ref="U82:W82"/>
    <mergeCell ref="AS82:AY82"/>
    <mergeCell ref="B83:C83"/>
    <mergeCell ref="D83:G83"/>
    <mergeCell ref="H83:K83"/>
    <mergeCell ref="L83:N83"/>
    <mergeCell ref="O83:Q83"/>
    <mergeCell ref="R83:T83"/>
    <mergeCell ref="U83:W83"/>
    <mergeCell ref="AS83:AY83"/>
    <mergeCell ref="B80:C80"/>
    <mergeCell ref="D80:G80"/>
    <mergeCell ref="H80:K80"/>
    <mergeCell ref="L80:N80"/>
    <mergeCell ref="O80:Q80"/>
    <mergeCell ref="R80:T80"/>
    <mergeCell ref="U80:W80"/>
    <mergeCell ref="AS80:AY80"/>
    <mergeCell ref="B81:C81"/>
    <mergeCell ref="D81:G81"/>
    <mergeCell ref="H81:K81"/>
    <mergeCell ref="L81:N81"/>
    <mergeCell ref="O81:Q81"/>
    <mergeCell ref="R81:T81"/>
    <mergeCell ref="U81:W81"/>
    <mergeCell ref="AS81:AY81"/>
    <mergeCell ref="B86:C86"/>
    <mergeCell ref="D86:G86"/>
    <mergeCell ref="H86:K86"/>
    <mergeCell ref="L86:N86"/>
    <mergeCell ref="O86:Q86"/>
    <mergeCell ref="R86:T86"/>
    <mergeCell ref="U86:W86"/>
    <mergeCell ref="AS86:AY86"/>
    <mergeCell ref="B87:C87"/>
    <mergeCell ref="D87:G87"/>
    <mergeCell ref="H87:K87"/>
    <mergeCell ref="L87:N87"/>
    <mergeCell ref="O87:Q87"/>
    <mergeCell ref="R87:T87"/>
    <mergeCell ref="U87:W87"/>
    <mergeCell ref="AS87:AY87"/>
    <mergeCell ref="B84:C84"/>
    <mergeCell ref="D84:G84"/>
    <mergeCell ref="H84:K84"/>
    <mergeCell ref="L84:N84"/>
    <mergeCell ref="O84:Q84"/>
    <mergeCell ref="R84:T84"/>
    <mergeCell ref="U84:W84"/>
    <mergeCell ref="AS84:AY84"/>
    <mergeCell ref="B85:C85"/>
    <mergeCell ref="D85:G85"/>
    <mergeCell ref="H85:K85"/>
    <mergeCell ref="L85:N85"/>
    <mergeCell ref="O85:Q85"/>
    <mergeCell ref="R85:T85"/>
    <mergeCell ref="U85:W85"/>
    <mergeCell ref="AS85:AY85"/>
    <mergeCell ref="B90:C90"/>
    <mergeCell ref="D90:G90"/>
    <mergeCell ref="H90:K90"/>
    <mergeCell ref="L90:N90"/>
    <mergeCell ref="O90:Q90"/>
    <mergeCell ref="R90:T90"/>
    <mergeCell ref="U90:W90"/>
    <mergeCell ref="AS90:AY90"/>
    <mergeCell ref="B91:C91"/>
    <mergeCell ref="D91:G91"/>
    <mergeCell ref="H91:K91"/>
    <mergeCell ref="L91:N91"/>
    <mergeCell ref="O91:Q91"/>
    <mergeCell ref="R91:T91"/>
    <mergeCell ref="U91:W91"/>
    <mergeCell ref="AS91:AY91"/>
    <mergeCell ref="B88:C88"/>
    <mergeCell ref="D88:G88"/>
    <mergeCell ref="H88:K88"/>
    <mergeCell ref="L88:N88"/>
    <mergeCell ref="O88:Q88"/>
    <mergeCell ref="R88:T88"/>
    <mergeCell ref="U88:W88"/>
    <mergeCell ref="AS88:AY88"/>
    <mergeCell ref="B89:C89"/>
    <mergeCell ref="D89:G89"/>
    <mergeCell ref="H89:K89"/>
    <mergeCell ref="L89:N89"/>
    <mergeCell ref="O89:Q89"/>
    <mergeCell ref="R89:T89"/>
    <mergeCell ref="U89:W89"/>
    <mergeCell ref="AS89:AY89"/>
    <mergeCell ref="B94:C94"/>
    <mergeCell ref="D94:G94"/>
    <mergeCell ref="H94:K94"/>
    <mergeCell ref="L94:N94"/>
    <mergeCell ref="O94:Q94"/>
    <mergeCell ref="R94:T94"/>
    <mergeCell ref="U94:W94"/>
    <mergeCell ref="AS94:AY94"/>
    <mergeCell ref="B95:C95"/>
    <mergeCell ref="D95:G95"/>
    <mergeCell ref="H95:K95"/>
    <mergeCell ref="L95:N95"/>
    <mergeCell ref="O95:Q95"/>
    <mergeCell ref="R95:T95"/>
    <mergeCell ref="U95:W95"/>
    <mergeCell ref="AS95:AY95"/>
    <mergeCell ref="B92:C92"/>
    <mergeCell ref="D92:G92"/>
    <mergeCell ref="H92:K92"/>
    <mergeCell ref="L92:N92"/>
    <mergeCell ref="O92:Q92"/>
    <mergeCell ref="R92:T92"/>
    <mergeCell ref="U92:W92"/>
    <mergeCell ref="AS92:AY92"/>
    <mergeCell ref="B93:C93"/>
    <mergeCell ref="D93:G93"/>
    <mergeCell ref="H93:K93"/>
    <mergeCell ref="L93:N93"/>
    <mergeCell ref="O93:Q93"/>
    <mergeCell ref="R93:T93"/>
    <mergeCell ref="U93:W93"/>
    <mergeCell ref="AS93:AY93"/>
    <mergeCell ref="B98:C98"/>
    <mergeCell ref="D98:G98"/>
    <mergeCell ref="H98:K98"/>
    <mergeCell ref="L98:N98"/>
    <mergeCell ref="O98:Q98"/>
    <mergeCell ref="R98:T98"/>
    <mergeCell ref="U98:W98"/>
    <mergeCell ref="AS98:AY98"/>
    <mergeCell ref="B99:C99"/>
    <mergeCell ref="D99:G99"/>
    <mergeCell ref="H99:K99"/>
    <mergeCell ref="L99:N99"/>
    <mergeCell ref="O99:Q99"/>
    <mergeCell ref="R99:T99"/>
    <mergeCell ref="U99:W99"/>
    <mergeCell ref="AS99:AY99"/>
    <mergeCell ref="B96:C96"/>
    <mergeCell ref="D96:G96"/>
    <mergeCell ref="H96:K96"/>
    <mergeCell ref="L96:N96"/>
    <mergeCell ref="O96:Q96"/>
    <mergeCell ref="R96:T96"/>
    <mergeCell ref="U96:W96"/>
    <mergeCell ref="AS96:AY96"/>
    <mergeCell ref="B97:C97"/>
    <mergeCell ref="D97:G97"/>
    <mergeCell ref="H97:K97"/>
    <mergeCell ref="L97:N97"/>
    <mergeCell ref="O97:Q97"/>
    <mergeCell ref="R97:T97"/>
    <mergeCell ref="U97:W97"/>
    <mergeCell ref="AS97:AY97"/>
    <mergeCell ref="B102:C102"/>
    <mergeCell ref="D102:G102"/>
    <mergeCell ref="H102:K102"/>
    <mergeCell ref="L102:N102"/>
    <mergeCell ref="O102:Q102"/>
    <mergeCell ref="R102:T102"/>
    <mergeCell ref="U102:W102"/>
    <mergeCell ref="AS102:AY102"/>
    <mergeCell ref="B103:C103"/>
    <mergeCell ref="D103:G103"/>
    <mergeCell ref="H103:K103"/>
    <mergeCell ref="L103:N103"/>
    <mergeCell ref="O103:Q103"/>
    <mergeCell ref="R103:T103"/>
    <mergeCell ref="U103:W103"/>
    <mergeCell ref="AS103:AY103"/>
    <mergeCell ref="B100:C100"/>
    <mergeCell ref="D100:G100"/>
    <mergeCell ref="H100:K100"/>
    <mergeCell ref="L100:N100"/>
    <mergeCell ref="O100:Q100"/>
    <mergeCell ref="R100:T100"/>
    <mergeCell ref="U100:W100"/>
    <mergeCell ref="AS100:AY100"/>
    <mergeCell ref="B101:C101"/>
    <mergeCell ref="D101:G101"/>
    <mergeCell ref="H101:K101"/>
    <mergeCell ref="L101:N101"/>
    <mergeCell ref="O101:Q101"/>
    <mergeCell ref="R101:T101"/>
    <mergeCell ref="U101:W101"/>
    <mergeCell ref="AS101:AY101"/>
    <mergeCell ref="B106:C106"/>
    <mergeCell ref="D106:G106"/>
    <mergeCell ref="H106:K106"/>
    <mergeCell ref="L106:N106"/>
    <mergeCell ref="O106:Q106"/>
    <mergeCell ref="R106:T106"/>
    <mergeCell ref="U106:W106"/>
    <mergeCell ref="AS106:AY106"/>
    <mergeCell ref="B107:C107"/>
    <mergeCell ref="D107:G107"/>
    <mergeCell ref="H107:K107"/>
    <mergeCell ref="L107:N107"/>
    <mergeCell ref="O107:Q107"/>
    <mergeCell ref="R107:T107"/>
    <mergeCell ref="U107:W107"/>
    <mergeCell ref="AS107:AY107"/>
    <mergeCell ref="B104:C104"/>
    <mergeCell ref="D104:G104"/>
    <mergeCell ref="H104:K104"/>
    <mergeCell ref="L104:N104"/>
    <mergeCell ref="O104:Q104"/>
    <mergeCell ref="R104:T104"/>
    <mergeCell ref="U104:W104"/>
    <mergeCell ref="AS104:AY104"/>
    <mergeCell ref="B105:C105"/>
    <mergeCell ref="D105:G105"/>
    <mergeCell ref="H105:K105"/>
    <mergeCell ref="L105:N105"/>
    <mergeCell ref="O105:Q105"/>
    <mergeCell ref="R105:T105"/>
    <mergeCell ref="U105:W105"/>
    <mergeCell ref="AS105:AY105"/>
    <mergeCell ref="B110:C110"/>
    <mergeCell ref="D110:G110"/>
    <mergeCell ref="H110:K110"/>
    <mergeCell ref="L110:N110"/>
    <mergeCell ref="O110:Q110"/>
    <mergeCell ref="R110:T110"/>
    <mergeCell ref="U110:W110"/>
    <mergeCell ref="AS110:AY110"/>
    <mergeCell ref="B111:C111"/>
    <mergeCell ref="D111:G111"/>
    <mergeCell ref="H111:K111"/>
    <mergeCell ref="L111:N111"/>
    <mergeCell ref="O111:Q111"/>
    <mergeCell ref="R111:T111"/>
    <mergeCell ref="U111:W111"/>
    <mergeCell ref="AS111:AY111"/>
    <mergeCell ref="B108:C108"/>
    <mergeCell ref="D108:G108"/>
    <mergeCell ref="H108:K108"/>
    <mergeCell ref="L108:N108"/>
    <mergeCell ref="O108:Q108"/>
    <mergeCell ref="R108:T108"/>
    <mergeCell ref="U108:W108"/>
    <mergeCell ref="AS108:AY108"/>
    <mergeCell ref="B109:C109"/>
    <mergeCell ref="D109:G109"/>
    <mergeCell ref="H109:K109"/>
    <mergeCell ref="L109:N109"/>
    <mergeCell ref="O109:Q109"/>
    <mergeCell ref="R109:T109"/>
    <mergeCell ref="U109:W109"/>
    <mergeCell ref="AS109:AY109"/>
    <mergeCell ref="B114:C114"/>
    <mergeCell ref="D114:G114"/>
    <mergeCell ref="H114:K114"/>
    <mergeCell ref="L114:N114"/>
    <mergeCell ref="O114:Q114"/>
    <mergeCell ref="R114:T114"/>
    <mergeCell ref="U114:W114"/>
    <mergeCell ref="AS114:AY114"/>
    <mergeCell ref="B115:C115"/>
    <mergeCell ref="D115:G115"/>
    <mergeCell ref="H115:K115"/>
    <mergeCell ref="L115:N115"/>
    <mergeCell ref="O115:Q115"/>
    <mergeCell ref="R115:T115"/>
    <mergeCell ref="U115:W115"/>
    <mergeCell ref="AS115:AY115"/>
    <mergeCell ref="B112:C112"/>
    <mergeCell ref="D112:G112"/>
    <mergeCell ref="H112:K112"/>
    <mergeCell ref="L112:N112"/>
    <mergeCell ref="O112:Q112"/>
    <mergeCell ref="R112:T112"/>
    <mergeCell ref="U112:W112"/>
    <mergeCell ref="AS112:AY112"/>
    <mergeCell ref="B113:C113"/>
    <mergeCell ref="D113:G113"/>
    <mergeCell ref="H113:K113"/>
    <mergeCell ref="L113:N113"/>
    <mergeCell ref="O113:Q113"/>
    <mergeCell ref="R113:T113"/>
    <mergeCell ref="U113:W113"/>
    <mergeCell ref="AS113:AY113"/>
    <mergeCell ref="B118:C118"/>
    <mergeCell ref="D118:G118"/>
    <mergeCell ref="H118:K118"/>
    <mergeCell ref="L118:N118"/>
    <mergeCell ref="O118:Q118"/>
    <mergeCell ref="R118:T118"/>
    <mergeCell ref="U118:W118"/>
    <mergeCell ref="AS118:AY118"/>
    <mergeCell ref="B119:C119"/>
    <mergeCell ref="D119:G119"/>
    <mergeCell ref="H119:K119"/>
    <mergeCell ref="L119:N119"/>
    <mergeCell ref="O119:Q119"/>
    <mergeCell ref="R119:T119"/>
    <mergeCell ref="U119:W119"/>
    <mergeCell ref="AS119:AY119"/>
    <mergeCell ref="B116:C116"/>
    <mergeCell ref="D116:G116"/>
    <mergeCell ref="H116:K116"/>
    <mergeCell ref="L116:N116"/>
    <mergeCell ref="O116:Q116"/>
    <mergeCell ref="R116:T116"/>
    <mergeCell ref="U116:W116"/>
    <mergeCell ref="AS116:AY116"/>
    <mergeCell ref="B117:C117"/>
    <mergeCell ref="D117:G117"/>
    <mergeCell ref="H117:K117"/>
    <mergeCell ref="L117:N117"/>
    <mergeCell ref="O117:Q117"/>
    <mergeCell ref="R117:T117"/>
    <mergeCell ref="U117:W117"/>
    <mergeCell ref="AS117:AY117"/>
    <mergeCell ref="B122:C122"/>
    <mergeCell ref="D122:G122"/>
    <mergeCell ref="H122:K122"/>
    <mergeCell ref="L122:N122"/>
    <mergeCell ref="O122:Q122"/>
    <mergeCell ref="R122:T122"/>
    <mergeCell ref="U122:W122"/>
    <mergeCell ref="AS122:AY122"/>
    <mergeCell ref="B123:C123"/>
    <mergeCell ref="D123:G123"/>
    <mergeCell ref="H123:K123"/>
    <mergeCell ref="L123:N123"/>
    <mergeCell ref="O123:Q123"/>
    <mergeCell ref="R123:T123"/>
    <mergeCell ref="U123:W123"/>
    <mergeCell ref="AS123:AY123"/>
    <mergeCell ref="B120:C120"/>
    <mergeCell ref="D120:G120"/>
    <mergeCell ref="H120:K120"/>
    <mergeCell ref="L120:N120"/>
    <mergeCell ref="O120:Q120"/>
    <mergeCell ref="R120:T120"/>
    <mergeCell ref="U120:W120"/>
    <mergeCell ref="AS120:AY120"/>
    <mergeCell ref="B121:C121"/>
    <mergeCell ref="D121:G121"/>
    <mergeCell ref="H121:K121"/>
    <mergeCell ref="L121:N121"/>
    <mergeCell ref="O121:Q121"/>
    <mergeCell ref="R121:T121"/>
    <mergeCell ref="U121:W121"/>
    <mergeCell ref="AS121:AY121"/>
    <mergeCell ref="B126:C126"/>
    <mergeCell ref="D126:G126"/>
    <mergeCell ref="H126:K126"/>
    <mergeCell ref="L126:N126"/>
    <mergeCell ref="O126:Q126"/>
    <mergeCell ref="R126:T126"/>
    <mergeCell ref="U126:W126"/>
    <mergeCell ref="AS126:AY126"/>
    <mergeCell ref="B127:C127"/>
    <mergeCell ref="D127:G127"/>
    <mergeCell ref="H127:K127"/>
    <mergeCell ref="L127:N127"/>
    <mergeCell ref="O127:Q127"/>
    <mergeCell ref="R127:T127"/>
    <mergeCell ref="U127:W127"/>
    <mergeCell ref="AS127:AY127"/>
    <mergeCell ref="B124:C124"/>
    <mergeCell ref="D124:G124"/>
    <mergeCell ref="H124:K124"/>
    <mergeCell ref="L124:N124"/>
    <mergeCell ref="O124:Q124"/>
    <mergeCell ref="R124:T124"/>
    <mergeCell ref="U124:W124"/>
    <mergeCell ref="AS124:AY124"/>
    <mergeCell ref="B125:C125"/>
    <mergeCell ref="D125:G125"/>
    <mergeCell ref="H125:K125"/>
    <mergeCell ref="L125:N125"/>
    <mergeCell ref="O125:Q125"/>
    <mergeCell ref="R125:T125"/>
    <mergeCell ref="U125:W125"/>
    <mergeCell ref="AS125:AY125"/>
    <mergeCell ref="B130:C130"/>
    <mergeCell ref="D130:G130"/>
    <mergeCell ref="H130:K130"/>
    <mergeCell ref="L130:N130"/>
    <mergeCell ref="O130:Q130"/>
    <mergeCell ref="R130:T130"/>
    <mergeCell ref="U130:W130"/>
    <mergeCell ref="AS130:AY130"/>
    <mergeCell ref="B131:C131"/>
    <mergeCell ref="D131:G131"/>
    <mergeCell ref="H131:K131"/>
    <mergeCell ref="L131:N131"/>
    <mergeCell ref="O131:Q131"/>
    <mergeCell ref="R131:T131"/>
    <mergeCell ref="U131:W131"/>
    <mergeCell ref="AS131:AY131"/>
    <mergeCell ref="B128:C128"/>
    <mergeCell ref="D128:G128"/>
    <mergeCell ref="H128:K128"/>
    <mergeCell ref="L128:N128"/>
    <mergeCell ref="O128:Q128"/>
    <mergeCell ref="R128:T128"/>
    <mergeCell ref="U128:W128"/>
    <mergeCell ref="AS128:AY128"/>
    <mergeCell ref="B129:C129"/>
    <mergeCell ref="D129:G129"/>
    <mergeCell ref="H129:K129"/>
    <mergeCell ref="L129:N129"/>
    <mergeCell ref="O129:Q129"/>
    <mergeCell ref="R129:T129"/>
    <mergeCell ref="U129:W129"/>
    <mergeCell ref="AS129:AY129"/>
    <mergeCell ref="B134:C134"/>
    <mergeCell ref="D134:G134"/>
    <mergeCell ref="H134:K134"/>
    <mergeCell ref="L134:N134"/>
    <mergeCell ref="O134:Q134"/>
    <mergeCell ref="R134:T134"/>
    <mergeCell ref="U134:W134"/>
    <mergeCell ref="AS134:AY134"/>
    <mergeCell ref="B135:C135"/>
    <mergeCell ref="D135:G135"/>
    <mergeCell ref="H135:K135"/>
    <mergeCell ref="L135:N135"/>
    <mergeCell ref="O135:Q135"/>
    <mergeCell ref="R135:T135"/>
    <mergeCell ref="U135:W135"/>
    <mergeCell ref="AS135:AY135"/>
    <mergeCell ref="B132:C132"/>
    <mergeCell ref="D132:G132"/>
    <mergeCell ref="H132:K132"/>
    <mergeCell ref="L132:N132"/>
    <mergeCell ref="O132:Q132"/>
    <mergeCell ref="R132:T132"/>
    <mergeCell ref="U132:W132"/>
    <mergeCell ref="AS132:AY132"/>
    <mergeCell ref="B133:C133"/>
    <mergeCell ref="D133:G133"/>
    <mergeCell ref="H133:K133"/>
    <mergeCell ref="L133:N133"/>
    <mergeCell ref="O133:Q133"/>
    <mergeCell ref="R133:T133"/>
    <mergeCell ref="U133:W133"/>
    <mergeCell ref="AS133:AY133"/>
    <mergeCell ref="B138:C138"/>
    <mergeCell ref="D138:G138"/>
    <mergeCell ref="H138:K138"/>
    <mergeCell ref="L138:N138"/>
    <mergeCell ref="O138:Q138"/>
    <mergeCell ref="R138:T138"/>
    <mergeCell ref="U138:W138"/>
    <mergeCell ref="AS138:AY138"/>
    <mergeCell ref="B139:C139"/>
    <mergeCell ref="D139:G139"/>
    <mergeCell ref="H139:K139"/>
    <mergeCell ref="L139:N139"/>
    <mergeCell ref="O139:Q139"/>
    <mergeCell ref="R139:T139"/>
    <mergeCell ref="U139:W139"/>
    <mergeCell ref="AS139:AY139"/>
    <mergeCell ref="B136:C136"/>
    <mergeCell ref="D136:G136"/>
    <mergeCell ref="H136:K136"/>
    <mergeCell ref="L136:N136"/>
    <mergeCell ref="O136:Q136"/>
    <mergeCell ref="R136:T136"/>
    <mergeCell ref="U136:W136"/>
    <mergeCell ref="AS136:AY136"/>
    <mergeCell ref="B137:C137"/>
    <mergeCell ref="D137:G137"/>
    <mergeCell ref="H137:K137"/>
    <mergeCell ref="L137:N137"/>
    <mergeCell ref="O137:Q137"/>
    <mergeCell ref="R137:T137"/>
    <mergeCell ref="U137:W137"/>
    <mergeCell ref="AS137:AY137"/>
    <mergeCell ref="B142:C142"/>
    <mergeCell ref="D142:G142"/>
    <mergeCell ref="H142:K142"/>
    <mergeCell ref="L142:N142"/>
    <mergeCell ref="O142:Q142"/>
    <mergeCell ref="R142:T142"/>
    <mergeCell ref="U142:W142"/>
    <mergeCell ref="AS142:AY142"/>
    <mergeCell ref="B143:C143"/>
    <mergeCell ref="D143:G143"/>
    <mergeCell ref="H143:K143"/>
    <mergeCell ref="L143:N143"/>
    <mergeCell ref="O143:Q143"/>
    <mergeCell ref="R143:T143"/>
    <mergeCell ref="U143:W143"/>
    <mergeCell ref="AS143:AY143"/>
    <mergeCell ref="B140:C140"/>
    <mergeCell ref="D140:G140"/>
    <mergeCell ref="H140:K140"/>
    <mergeCell ref="L140:N140"/>
    <mergeCell ref="O140:Q140"/>
    <mergeCell ref="R140:T140"/>
    <mergeCell ref="U140:W140"/>
    <mergeCell ref="AS140:AY140"/>
    <mergeCell ref="B141:C141"/>
    <mergeCell ref="D141:G141"/>
    <mergeCell ref="H141:K141"/>
    <mergeCell ref="L141:N141"/>
    <mergeCell ref="O141:Q141"/>
    <mergeCell ref="R141:T141"/>
    <mergeCell ref="U141:W141"/>
    <mergeCell ref="AS141:AY141"/>
    <mergeCell ref="B146:C146"/>
    <mergeCell ref="D146:G146"/>
    <mergeCell ref="H146:K146"/>
    <mergeCell ref="L146:N146"/>
    <mergeCell ref="O146:Q146"/>
    <mergeCell ref="R146:T146"/>
    <mergeCell ref="U146:W146"/>
    <mergeCell ref="AS146:AY146"/>
    <mergeCell ref="B147:C147"/>
    <mergeCell ref="D147:G147"/>
    <mergeCell ref="H147:K147"/>
    <mergeCell ref="L147:N147"/>
    <mergeCell ref="O147:Q147"/>
    <mergeCell ref="R147:T147"/>
    <mergeCell ref="U147:W147"/>
    <mergeCell ref="AS147:AY147"/>
    <mergeCell ref="B144:C144"/>
    <mergeCell ref="D144:G144"/>
    <mergeCell ref="H144:K144"/>
    <mergeCell ref="L144:N144"/>
    <mergeCell ref="O144:Q144"/>
    <mergeCell ref="R144:T144"/>
    <mergeCell ref="U144:W144"/>
    <mergeCell ref="AS144:AY144"/>
    <mergeCell ref="B145:C145"/>
    <mergeCell ref="D145:G145"/>
    <mergeCell ref="H145:K145"/>
    <mergeCell ref="L145:N145"/>
    <mergeCell ref="O145:Q145"/>
    <mergeCell ref="R145:T145"/>
    <mergeCell ref="U145:W145"/>
    <mergeCell ref="AS145:AY145"/>
    <mergeCell ref="B150:C150"/>
    <mergeCell ref="D150:G150"/>
    <mergeCell ref="H150:K150"/>
    <mergeCell ref="L150:N150"/>
    <mergeCell ref="O150:Q150"/>
    <mergeCell ref="R150:T150"/>
    <mergeCell ref="U150:W150"/>
    <mergeCell ref="AS150:AY150"/>
    <mergeCell ref="B151:C151"/>
    <mergeCell ref="D151:G151"/>
    <mergeCell ref="H151:K151"/>
    <mergeCell ref="L151:N151"/>
    <mergeCell ref="O151:Q151"/>
    <mergeCell ref="R151:T151"/>
    <mergeCell ref="U151:W151"/>
    <mergeCell ref="AS151:AY151"/>
    <mergeCell ref="B148:C148"/>
    <mergeCell ref="D148:G148"/>
    <mergeCell ref="H148:K148"/>
    <mergeCell ref="L148:N148"/>
    <mergeCell ref="O148:Q148"/>
    <mergeCell ref="R148:T148"/>
    <mergeCell ref="U148:W148"/>
    <mergeCell ref="AS148:AY148"/>
    <mergeCell ref="B149:C149"/>
    <mergeCell ref="D149:G149"/>
    <mergeCell ref="H149:K149"/>
    <mergeCell ref="L149:N149"/>
    <mergeCell ref="O149:Q149"/>
    <mergeCell ref="R149:T149"/>
    <mergeCell ref="U149:W149"/>
    <mergeCell ref="AS149:AY149"/>
    <mergeCell ref="B154:C154"/>
    <mergeCell ref="D154:G154"/>
    <mergeCell ref="H154:K154"/>
    <mergeCell ref="L154:N154"/>
    <mergeCell ref="O154:Q154"/>
    <mergeCell ref="R154:T154"/>
    <mergeCell ref="U154:W154"/>
    <mergeCell ref="AS154:AY154"/>
    <mergeCell ref="B155:C155"/>
    <mergeCell ref="D155:G155"/>
    <mergeCell ref="H155:K155"/>
    <mergeCell ref="L155:N155"/>
    <mergeCell ref="O155:Q155"/>
    <mergeCell ref="R155:T155"/>
    <mergeCell ref="U155:W155"/>
    <mergeCell ref="AS155:AY155"/>
    <mergeCell ref="B152:C152"/>
    <mergeCell ref="D152:G152"/>
    <mergeCell ref="H152:K152"/>
    <mergeCell ref="L152:N152"/>
    <mergeCell ref="O152:Q152"/>
    <mergeCell ref="R152:T152"/>
    <mergeCell ref="U152:W152"/>
    <mergeCell ref="AS152:AY152"/>
    <mergeCell ref="B153:C153"/>
    <mergeCell ref="D153:G153"/>
    <mergeCell ref="H153:K153"/>
    <mergeCell ref="L153:N153"/>
    <mergeCell ref="O153:Q153"/>
    <mergeCell ref="R153:T153"/>
    <mergeCell ref="U153:W153"/>
    <mergeCell ref="AS153:AY153"/>
    <mergeCell ref="B158:C158"/>
    <mergeCell ref="D158:G158"/>
    <mergeCell ref="H158:K158"/>
    <mergeCell ref="L158:N158"/>
    <mergeCell ref="O158:Q158"/>
    <mergeCell ref="R158:T158"/>
    <mergeCell ref="U158:W158"/>
    <mergeCell ref="AS158:AY158"/>
    <mergeCell ref="B159:C159"/>
    <mergeCell ref="D159:G159"/>
    <mergeCell ref="H159:K159"/>
    <mergeCell ref="L159:N159"/>
    <mergeCell ref="O159:Q159"/>
    <mergeCell ref="R159:T159"/>
    <mergeCell ref="U159:W159"/>
    <mergeCell ref="AS159:AY159"/>
    <mergeCell ref="B156:C156"/>
    <mergeCell ref="D156:G156"/>
    <mergeCell ref="H156:K156"/>
    <mergeCell ref="L156:N156"/>
    <mergeCell ref="O156:Q156"/>
    <mergeCell ref="R156:T156"/>
    <mergeCell ref="U156:W156"/>
    <mergeCell ref="AS156:AY156"/>
    <mergeCell ref="B157:C157"/>
    <mergeCell ref="D157:G157"/>
    <mergeCell ref="H157:K157"/>
    <mergeCell ref="L157:N157"/>
    <mergeCell ref="O157:Q157"/>
    <mergeCell ref="R157:T157"/>
    <mergeCell ref="U157:W157"/>
    <mergeCell ref="AS157:AY157"/>
    <mergeCell ref="B162:C162"/>
    <mergeCell ref="D162:G162"/>
    <mergeCell ref="H162:K162"/>
    <mergeCell ref="L162:N162"/>
    <mergeCell ref="O162:Q162"/>
    <mergeCell ref="R162:T162"/>
    <mergeCell ref="U162:W162"/>
    <mergeCell ref="AS162:AY162"/>
    <mergeCell ref="B163:C163"/>
    <mergeCell ref="D163:G163"/>
    <mergeCell ref="H163:K163"/>
    <mergeCell ref="L163:N163"/>
    <mergeCell ref="O163:Q163"/>
    <mergeCell ref="R163:T163"/>
    <mergeCell ref="U163:W163"/>
    <mergeCell ref="AS163:AY163"/>
    <mergeCell ref="B160:C160"/>
    <mergeCell ref="D160:G160"/>
    <mergeCell ref="H160:K160"/>
    <mergeCell ref="L160:N160"/>
    <mergeCell ref="O160:Q160"/>
    <mergeCell ref="R160:T160"/>
    <mergeCell ref="U160:W160"/>
    <mergeCell ref="AS160:AY160"/>
    <mergeCell ref="B161:C161"/>
    <mergeCell ref="D161:G161"/>
    <mergeCell ref="H161:K161"/>
    <mergeCell ref="L161:N161"/>
    <mergeCell ref="O161:Q161"/>
    <mergeCell ref="R161:T161"/>
    <mergeCell ref="U161:W161"/>
    <mergeCell ref="AS161:AY161"/>
    <mergeCell ref="B166:C166"/>
    <mergeCell ref="D166:G166"/>
    <mergeCell ref="H166:K166"/>
    <mergeCell ref="L166:N166"/>
    <mergeCell ref="O166:Q166"/>
    <mergeCell ref="R166:T166"/>
    <mergeCell ref="U166:W166"/>
    <mergeCell ref="AS166:AY166"/>
    <mergeCell ref="B167:C167"/>
    <mergeCell ref="D167:G167"/>
    <mergeCell ref="H167:K167"/>
    <mergeCell ref="L167:N167"/>
    <mergeCell ref="O167:Q167"/>
    <mergeCell ref="R167:T167"/>
    <mergeCell ref="U167:W167"/>
    <mergeCell ref="AS167:AY167"/>
    <mergeCell ref="B164:C164"/>
    <mergeCell ref="D164:G164"/>
    <mergeCell ref="H164:K164"/>
    <mergeCell ref="L164:N164"/>
    <mergeCell ref="O164:Q164"/>
    <mergeCell ref="R164:T164"/>
    <mergeCell ref="U164:W164"/>
    <mergeCell ref="AS164:AY164"/>
    <mergeCell ref="B165:C165"/>
    <mergeCell ref="D165:G165"/>
    <mergeCell ref="H165:K165"/>
    <mergeCell ref="L165:N165"/>
    <mergeCell ref="O165:Q165"/>
    <mergeCell ref="R165:T165"/>
    <mergeCell ref="U165:W165"/>
    <mergeCell ref="AS165:AY165"/>
    <mergeCell ref="B170:C170"/>
    <mergeCell ref="D170:G170"/>
    <mergeCell ref="H170:K170"/>
    <mergeCell ref="L170:N170"/>
    <mergeCell ref="O170:Q170"/>
    <mergeCell ref="R170:T170"/>
    <mergeCell ref="U170:W170"/>
    <mergeCell ref="AS170:AY170"/>
    <mergeCell ref="B171:C171"/>
    <mergeCell ref="D171:G171"/>
    <mergeCell ref="H171:K171"/>
    <mergeCell ref="L171:N171"/>
    <mergeCell ref="O171:Q171"/>
    <mergeCell ref="R171:T171"/>
    <mergeCell ref="U171:W171"/>
    <mergeCell ref="AS171:AY171"/>
    <mergeCell ref="B168:C168"/>
    <mergeCell ref="D168:G168"/>
    <mergeCell ref="H168:K168"/>
    <mergeCell ref="L168:N168"/>
    <mergeCell ref="O168:Q168"/>
    <mergeCell ref="R168:T168"/>
    <mergeCell ref="U168:W168"/>
    <mergeCell ref="AS168:AY168"/>
    <mergeCell ref="B169:C169"/>
    <mergeCell ref="D169:G169"/>
    <mergeCell ref="H169:K169"/>
    <mergeCell ref="L169:N169"/>
    <mergeCell ref="O169:Q169"/>
    <mergeCell ref="R169:T169"/>
    <mergeCell ref="U169:W169"/>
    <mergeCell ref="AS169:AY169"/>
    <mergeCell ref="B174:C174"/>
    <mergeCell ref="D174:G174"/>
    <mergeCell ref="H174:K174"/>
    <mergeCell ref="L174:N174"/>
    <mergeCell ref="O174:Q174"/>
    <mergeCell ref="R174:T174"/>
    <mergeCell ref="U174:W174"/>
    <mergeCell ref="AS174:AY174"/>
    <mergeCell ref="B175:C175"/>
    <mergeCell ref="D175:G175"/>
    <mergeCell ref="H175:K175"/>
    <mergeCell ref="L175:N175"/>
    <mergeCell ref="O175:Q175"/>
    <mergeCell ref="R175:T175"/>
    <mergeCell ref="U175:W175"/>
    <mergeCell ref="AS175:AY175"/>
    <mergeCell ref="B172:C172"/>
    <mergeCell ref="D172:G172"/>
    <mergeCell ref="H172:K172"/>
    <mergeCell ref="L172:N172"/>
    <mergeCell ref="O172:Q172"/>
    <mergeCell ref="R172:T172"/>
    <mergeCell ref="U172:W172"/>
    <mergeCell ref="AS172:AY172"/>
    <mergeCell ref="B173:C173"/>
    <mergeCell ref="D173:G173"/>
    <mergeCell ref="H173:K173"/>
    <mergeCell ref="L173:N173"/>
    <mergeCell ref="O173:Q173"/>
    <mergeCell ref="R173:T173"/>
    <mergeCell ref="U173:W173"/>
    <mergeCell ref="AS173:AY173"/>
    <mergeCell ref="B178:C178"/>
    <mergeCell ref="D178:G178"/>
    <mergeCell ref="H178:K178"/>
    <mergeCell ref="L178:N178"/>
    <mergeCell ref="O178:Q178"/>
    <mergeCell ref="R178:T178"/>
    <mergeCell ref="U178:W178"/>
    <mergeCell ref="AS178:AY178"/>
    <mergeCell ref="B179:C179"/>
    <mergeCell ref="D179:G179"/>
    <mergeCell ref="H179:K179"/>
    <mergeCell ref="L179:N179"/>
    <mergeCell ref="O179:Q179"/>
    <mergeCell ref="R179:T179"/>
    <mergeCell ref="U179:W179"/>
    <mergeCell ref="AS179:AY179"/>
    <mergeCell ref="B176:C176"/>
    <mergeCell ref="D176:G176"/>
    <mergeCell ref="H176:K176"/>
    <mergeCell ref="L176:N176"/>
    <mergeCell ref="O176:Q176"/>
    <mergeCell ref="R176:T176"/>
    <mergeCell ref="U176:W176"/>
    <mergeCell ref="AS176:AY176"/>
    <mergeCell ref="B177:C177"/>
    <mergeCell ref="D177:G177"/>
    <mergeCell ref="H177:K177"/>
    <mergeCell ref="L177:N177"/>
    <mergeCell ref="O177:Q177"/>
    <mergeCell ref="R177:T177"/>
    <mergeCell ref="U177:W177"/>
    <mergeCell ref="AS177:AY177"/>
    <mergeCell ref="B182:C182"/>
    <mergeCell ref="D182:G182"/>
    <mergeCell ref="H182:K182"/>
    <mergeCell ref="L182:N182"/>
    <mergeCell ref="O182:Q182"/>
    <mergeCell ref="R182:T182"/>
    <mergeCell ref="U182:W182"/>
    <mergeCell ref="AS182:AY182"/>
    <mergeCell ref="B183:C183"/>
    <mergeCell ref="D183:G183"/>
    <mergeCell ref="H183:K183"/>
    <mergeCell ref="L183:N183"/>
    <mergeCell ref="O183:Q183"/>
    <mergeCell ref="R183:T183"/>
    <mergeCell ref="U183:W183"/>
    <mergeCell ref="AS183:AY183"/>
    <mergeCell ref="B180:C180"/>
    <mergeCell ref="D180:G180"/>
    <mergeCell ref="H180:K180"/>
    <mergeCell ref="L180:N180"/>
    <mergeCell ref="O180:Q180"/>
    <mergeCell ref="R180:T180"/>
    <mergeCell ref="U180:W180"/>
    <mergeCell ref="AS180:AY180"/>
    <mergeCell ref="B181:C181"/>
    <mergeCell ref="D181:G181"/>
    <mergeCell ref="H181:K181"/>
    <mergeCell ref="L181:N181"/>
    <mergeCell ref="O181:Q181"/>
    <mergeCell ref="R181:T181"/>
    <mergeCell ref="U181:W181"/>
    <mergeCell ref="AS181:AY181"/>
    <mergeCell ref="B186:C186"/>
    <mergeCell ref="D186:G186"/>
    <mergeCell ref="H186:K186"/>
    <mergeCell ref="L186:N186"/>
    <mergeCell ref="O186:Q186"/>
    <mergeCell ref="R186:T186"/>
    <mergeCell ref="U186:W186"/>
    <mergeCell ref="AS186:AY186"/>
    <mergeCell ref="B187:C187"/>
    <mergeCell ref="D187:G187"/>
    <mergeCell ref="H187:K187"/>
    <mergeCell ref="L187:N187"/>
    <mergeCell ref="O187:Q187"/>
    <mergeCell ref="R187:T187"/>
    <mergeCell ref="U187:W187"/>
    <mergeCell ref="AS187:AY187"/>
    <mergeCell ref="B184:C184"/>
    <mergeCell ref="D184:G184"/>
    <mergeCell ref="H184:K184"/>
    <mergeCell ref="L184:N184"/>
    <mergeCell ref="O184:Q184"/>
    <mergeCell ref="R184:T184"/>
    <mergeCell ref="U184:W184"/>
    <mergeCell ref="AS184:AY184"/>
    <mergeCell ref="B185:C185"/>
    <mergeCell ref="D185:G185"/>
    <mergeCell ref="H185:K185"/>
    <mergeCell ref="L185:N185"/>
    <mergeCell ref="O185:Q185"/>
    <mergeCell ref="R185:T185"/>
    <mergeCell ref="U185:W185"/>
    <mergeCell ref="AS185:AY185"/>
    <mergeCell ref="B190:C190"/>
    <mergeCell ref="D190:G190"/>
    <mergeCell ref="H190:K190"/>
    <mergeCell ref="L190:N190"/>
    <mergeCell ref="O190:Q190"/>
    <mergeCell ref="R190:T190"/>
    <mergeCell ref="U190:W190"/>
    <mergeCell ref="AS190:AY190"/>
    <mergeCell ref="B191:C191"/>
    <mergeCell ref="D191:G191"/>
    <mergeCell ref="H191:K191"/>
    <mergeCell ref="L191:N191"/>
    <mergeCell ref="O191:Q191"/>
    <mergeCell ref="R191:T191"/>
    <mergeCell ref="U191:W191"/>
    <mergeCell ref="AS191:AY191"/>
    <mergeCell ref="B188:C188"/>
    <mergeCell ref="D188:G188"/>
    <mergeCell ref="H188:K188"/>
    <mergeCell ref="L188:N188"/>
    <mergeCell ref="O188:Q188"/>
    <mergeCell ref="R188:T188"/>
    <mergeCell ref="U188:W188"/>
    <mergeCell ref="AS188:AY188"/>
    <mergeCell ref="B189:C189"/>
    <mergeCell ref="D189:G189"/>
    <mergeCell ref="H189:K189"/>
    <mergeCell ref="L189:N189"/>
    <mergeCell ref="O189:Q189"/>
    <mergeCell ref="R189:T189"/>
    <mergeCell ref="U189:W189"/>
    <mergeCell ref="AS189:AY189"/>
    <mergeCell ref="B194:C194"/>
    <mergeCell ref="D194:G194"/>
    <mergeCell ref="H194:K194"/>
    <mergeCell ref="L194:N194"/>
    <mergeCell ref="O194:Q194"/>
    <mergeCell ref="R194:T194"/>
    <mergeCell ref="U194:W194"/>
    <mergeCell ref="AS194:AY194"/>
    <mergeCell ref="B195:C195"/>
    <mergeCell ref="D195:G195"/>
    <mergeCell ref="H195:K195"/>
    <mergeCell ref="L195:N195"/>
    <mergeCell ref="O195:Q195"/>
    <mergeCell ref="R195:T195"/>
    <mergeCell ref="U195:W195"/>
    <mergeCell ref="AS195:AY195"/>
    <mergeCell ref="B192:C192"/>
    <mergeCell ref="D192:G192"/>
    <mergeCell ref="H192:K192"/>
    <mergeCell ref="L192:N192"/>
    <mergeCell ref="O192:Q192"/>
    <mergeCell ref="R192:T192"/>
    <mergeCell ref="U192:W192"/>
    <mergeCell ref="AS192:AY192"/>
    <mergeCell ref="B193:C193"/>
    <mergeCell ref="D193:G193"/>
    <mergeCell ref="H193:K193"/>
    <mergeCell ref="L193:N193"/>
    <mergeCell ref="O193:Q193"/>
    <mergeCell ref="R193:T193"/>
    <mergeCell ref="U193:W193"/>
    <mergeCell ref="AS193:AY193"/>
    <mergeCell ref="B198:C198"/>
    <mergeCell ref="D198:G198"/>
    <mergeCell ref="H198:K198"/>
    <mergeCell ref="L198:N198"/>
    <mergeCell ref="O198:Q198"/>
    <mergeCell ref="R198:T198"/>
    <mergeCell ref="U198:W198"/>
    <mergeCell ref="AS198:AY198"/>
    <mergeCell ref="B199:C199"/>
    <mergeCell ref="D199:G199"/>
    <mergeCell ref="H199:K199"/>
    <mergeCell ref="L199:N199"/>
    <mergeCell ref="O199:Q199"/>
    <mergeCell ref="R199:T199"/>
    <mergeCell ref="U199:W199"/>
    <mergeCell ref="AS199:AY199"/>
    <mergeCell ref="B196:C196"/>
    <mergeCell ref="D196:G196"/>
    <mergeCell ref="H196:K196"/>
    <mergeCell ref="L196:N196"/>
    <mergeCell ref="O196:Q196"/>
    <mergeCell ref="R196:T196"/>
    <mergeCell ref="U196:W196"/>
    <mergeCell ref="AS196:AY196"/>
    <mergeCell ref="B197:C197"/>
    <mergeCell ref="D197:G197"/>
    <mergeCell ref="H197:K197"/>
    <mergeCell ref="L197:N197"/>
    <mergeCell ref="O197:Q197"/>
    <mergeCell ref="R197:T197"/>
    <mergeCell ref="U197:W197"/>
    <mergeCell ref="AS197:AY197"/>
    <mergeCell ref="B202:C202"/>
    <mergeCell ref="D202:G202"/>
    <mergeCell ref="H202:K202"/>
    <mergeCell ref="L202:N202"/>
    <mergeCell ref="O202:Q202"/>
    <mergeCell ref="R202:T202"/>
    <mergeCell ref="U202:W202"/>
    <mergeCell ref="AS202:AY202"/>
    <mergeCell ref="B203:C203"/>
    <mergeCell ref="D203:G203"/>
    <mergeCell ref="H203:K203"/>
    <mergeCell ref="L203:N203"/>
    <mergeCell ref="O203:Q203"/>
    <mergeCell ref="R203:T203"/>
    <mergeCell ref="U203:W203"/>
    <mergeCell ref="AS203:AY203"/>
    <mergeCell ref="B200:C200"/>
    <mergeCell ref="D200:G200"/>
    <mergeCell ref="H200:K200"/>
    <mergeCell ref="L200:N200"/>
    <mergeCell ref="O200:Q200"/>
    <mergeCell ref="R200:T200"/>
    <mergeCell ref="U200:W200"/>
    <mergeCell ref="AS200:AY200"/>
    <mergeCell ref="B201:C201"/>
    <mergeCell ref="D201:G201"/>
    <mergeCell ref="H201:K201"/>
    <mergeCell ref="L201:N201"/>
    <mergeCell ref="O201:Q201"/>
    <mergeCell ref="R201:T201"/>
    <mergeCell ref="U201:W201"/>
    <mergeCell ref="AS201:AY201"/>
    <mergeCell ref="B206:C206"/>
    <mergeCell ref="D206:G206"/>
    <mergeCell ref="H206:K206"/>
    <mergeCell ref="L206:N206"/>
    <mergeCell ref="O206:Q206"/>
    <mergeCell ref="R206:T206"/>
    <mergeCell ref="U206:W206"/>
    <mergeCell ref="AS206:AY206"/>
    <mergeCell ref="B207:C207"/>
    <mergeCell ref="D207:G207"/>
    <mergeCell ref="H207:K207"/>
    <mergeCell ref="L207:N207"/>
    <mergeCell ref="O207:Q207"/>
    <mergeCell ref="R207:T207"/>
    <mergeCell ref="U207:W207"/>
    <mergeCell ref="AS207:AY207"/>
    <mergeCell ref="B204:C204"/>
    <mergeCell ref="D204:G204"/>
    <mergeCell ref="H204:K204"/>
    <mergeCell ref="L204:N204"/>
    <mergeCell ref="O204:Q204"/>
    <mergeCell ref="R204:T204"/>
    <mergeCell ref="U204:W204"/>
    <mergeCell ref="AS204:AY204"/>
    <mergeCell ref="B205:C205"/>
    <mergeCell ref="D205:G205"/>
    <mergeCell ref="H205:K205"/>
    <mergeCell ref="L205:N205"/>
    <mergeCell ref="O205:Q205"/>
    <mergeCell ref="R205:T205"/>
    <mergeCell ref="U205:W205"/>
    <mergeCell ref="AS205:AY205"/>
    <mergeCell ref="B210:C210"/>
    <mergeCell ref="D210:G210"/>
    <mergeCell ref="H210:K210"/>
    <mergeCell ref="L210:N210"/>
    <mergeCell ref="O210:Q210"/>
    <mergeCell ref="R210:T210"/>
    <mergeCell ref="U210:W210"/>
    <mergeCell ref="AS210:AY210"/>
    <mergeCell ref="B211:C211"/>
    <mergeCell ref="D211:G211"/>
    <mergeCell ref="H211:K211"/>
    <mergeCell ref="L211:N211"/>
    <mergeCell ref="O211:Q211"/>
    <mergeCell ref="R211:T211"/>
    <mergeCell ref="U211:W211"/>
    <mergeCell ref="AS211:AY211"/>
    <mergeCell ref="B208:C208"/>
    <mergeCell ref="D208:G208"/>
    <mergeCell ref="H208:K208"/>
    <mergeCell ref="L208:N208"/>
    <mergeCell ref="O208:Q208"/>
    <mergeCell ref="R208:T208"/>
    <mergeCell ref="U208:W208"/>
    <mergeCell ref="AS208:AY208"/>
    <mergeCell ref="B209:C209"/>
    <mergeCell ref="D209:G209"/>
    <mergeCell ref="H209:K209"/>
    <mergeCell ref="L209:N209"/>
    <mergeCell ref="O209:Q209"/>
    <mergeCell ref="R209:T209"/>
    <mergeCell ref="U209:W209"/>
    <mergeCell ref="AS209:AY209"/>
    <mergeCell ref="B214:C214"/>
    <mergeCell ref="D214:G214"/>
    <mergeCell ref="H214:K214"/>
    <mergeCell ref="L214:N214"/>
    <mergeCell ref="O214:Q214"/>
    <mergeCell ref="R214:T214"/>
    <mergeCell ref="U214:W214"/>
    <mergeCell ref="AS214:AY214"/>
    <mergeCell ref="B215:C215"/>
    <mergeCell ref="D215:G215"/>
    <mergeCell ref="H215:K215"/>
    <mergeCell ref="L215:N215"/>
    <mergeCell ref="O215:Q215"/>
    <mergeCell ref="R215:T215"/>
    <mergeCell ref="U215:W215"/>
    <mergeCell ref="AS215:AY215"/>
    <mergeCell ref="B212:C212"/>
    <mergeCell ref="D212:G212"/>
    <mergeCell ref="H212:K212"/>
    <mergeCell ref="L212:N212"/>
    <mergeCell ref="O212:Q212"/>
    <mergeCell ref="R212:T212"/>
    <mergeCell ref="U212:W212"/>
    <mergeCell ref="AS212:AY212"/>
    <mergeCell ref="B213:C213"/>
    <mergeCell ref="D213:G213"/>
    <mergeCell ref="H213:K213"/>
    <mergeCell ref="L213:N213"/>
    <mergeCell ref="O213:Q213"/>
    <mergeCell ref="R213:T213"/>
    <mergeCell ref="U213:W213"/>
    <mergeCell ref="AS213:AY213"/>
    <mergeCell ref="B218:C218"/>
    <mergeCell ref="D218:G218"/>
    <mergeCell ref="H218:K218"/>
    <mergeCell ref="L218:N218"/>
    <mergeCell ref="O218:Q218"/>
    <mergeCell ref="R218:T218"/>
    <mergeCell ref="U218:W218"/>
    <mergeCell ref="AS218:AY218"/>
    <mergeCell ref="B219:C219"/>
    <mergeCell ref="D219:G219"/>
    <mergeCell ref="H219:K219"/>
    <mergeCell ref="L219:N219"/>
    <mergeCell ref="O219:Q219"/>
    <mergeCell ref="R219:T219"/>
    <mergeCell ref="U219:W219"/>
    <mergeCell ref="AS219:AY219"/>
    <mergeCell ref="B216:C216"/>
    <mergeCell ref="D216:G216"/>
    <mergeCell ref="H216:K216"/>
    <mergeCell ref="L216:N216"/>
    <mergeCell ref="O216:Q216"/>
    <mergeCell ref="R216:T216"/>
    <mergeCell ref="U216:W216"/>
    <mergeCell ref="AS216:AY216"/>
    <mergeCell ref="B217:C217"/>
    <mergeCell ref="D217:G217"/>
    <mergeCell ref="H217:K217"/>
    <mergeCell ref="L217:N217"/>
    <mergeCell ref="O217:Q217"/>
    <mergeCell ref="R217:T217"/>
    <mergeCell ref="U217:W217"/>
    <mergeCell ref="AS217:AY217"/>
    <mergeCell ref="B222:C222"/>
    <mergeCell ref="D222:G222"/>
    <mergeCell ref="H222:K222"/>
    <mergeCell ref="L222:N222"/>
    <mergeCell ref="O222:Q222"/>
    <mergeCell ref="R222:T222"/>
    <mergeCell ref="U222:W222"/>
    <mergeCell ref="AS222:AY222"/>
    <mergeCell ref="B223:C223"/>
    <mergeCell ref="D223:G223"/>
    <mergeCell ref="H223:K223"/>
    <mergeCell ref="L223:N223"/>
    <mergeCell ref="O223:Q223"/>
    <mergeCell ref="R223:T223"/>
    <mergeCell ref="U223:W223"/>
    <mergeCell ref="AS223:AY223"/>
    <mergeCell ref="B220:C220"/>
    <mergeCell ref="D220:G220"/>
    <mergeCell ref="H220:K220"/>
    <mergeCell ref="L220:N220"/>
    <mergeCell ref="O220:Q220"/>
    <mergeCell ref="R220:T220"/>
    <mergeCell ref="U220:W220"/>
    <mergeCell ref="AS220:AY220"/>
    <mergeCell ref="B221:C221"/>
    <mergeCell ref="D221:G221"/>
    <mergeCell ref="H221:K221"/>
    <mergeCell ref="L221:N221"/>
    <mergeCell ref="O221:Q221"/>
    <mergeCell ref="R221:T221"/>
    <mergeCell ref="U221:W221"/>
    <mergeCell ref="AS221:AY221"/>
    <mergeCell ref="B226:C226"/>
    <mergeCell ref="D226:G226"/>
    <mergeCell ref="H226:K226"/>
    <mergeCell ref="L226:N226"/>
    <mergeCell ref="O226:Q226"/>
    <mergeCell ref="R226:T226"/>
    <mergeCell ref="U226:W226"/>
    <mergeCell ref="AS226:AY226"/>
    <mergeCell ref="B227:C227"/>
    <mergeCell ref="D227:G227"/>
    <mergeCell ref="H227:K227"/>
    <mergeCell ref="L227:N227"/>
    <mergeCell ref="O227:Q227"/>
    <mergeCell ref="R227:T227"/>
    <mergeCell ref="U227:W227"/>
    <mergeCell ref="AS227:AY227"/>
    <mergeCell ref="B224:C224"/>
    <mergeCell ref="D224:G224"/>
    <mergeCell ref="H224:K224"/>
    <mergeCell ref="L224:N224"/>
    <mergeCell ref="O224:Q224"/>
    <mergeCell ref="R224:T224"/>
    <mergeCell ref="U224:W224"/>
    <mergeCell ref="AS224:AY224"/>
    <mergeCell ref="B225:C225"/>
    <mergeCell ref="D225:G225"/>
    <mergeCell ref="H225:K225"/>
    <mergeCell ref="L225:N225"/>
    <mergeCell ref="O225:Q225"/>
    <mergeCell ref="R225:T225"/>
    <mergeCell ref="U225:W225"/>
    <mergeCell ref="AS225:AY225"/>
    <mergeCell ref="B230:C230"/>
    <mergeCell ref="D230:G230"/>
    <mergeCell ref="H230:K230"/>
    <mergeCell ref="L230:N230"/>
    <mergeCell ref="O230:Q230"/>
    <mergeCell ref="R230:T230"/>
    <mergeCell ref="U230:W230"/>
    <mergeCell ref="AS230:AY230"/>
    <mergeCell ref="B231:C231"/>
    <mergeCell ref="D231:G231"/>
    <mergeCell ref="H231:K231"/>
    <mergeCell ref="L231:N231"/>
    <mergeCell ref="O231:Q231"/>
    <mergeCell ref="R231:T231"/>
    <mergeCell ref="U231:W231"/>
    <mergeCell ref="AS231:AY231"/>
    <mergeCell ref="B228:C228"/>
    <mergeCell ref="D228:G228"/>
    <mergeCell ref="H228:K228"/>
    <mergeCell ref="L228:N228"/>
    <mergeCell ref="O228:Q228"/>
    <mergeCell ref="R228:T228"/>
    <mergeCell ref="U228:W228"/>
    <mergeCell ref="AS228:AY228"/>
    <mergeCell ref="B229:C229"/>
    <mergeCell ref="D229:G229"/>
    <mergeCell ref="H229:K229"/>
    <mergeCell ref="L229:N229"/>
    <mergeCell ref="O229:Q229"/>
    <mergeCell ref="R229:T229"/>
    <mergeCell ref="U229:W229"/>
    <mergeCell ref="AS229:AY229"/>
    <mergeCell ref="B234:C234"/>
    <mergeCell ref="D234:G234"/>
    <mergeCell ref="H234:K234"/>
    <mergeCell ref="L234:N234"/>
    <mergeCell ref="O234:Q234"/>
    <mergeCell ref="R234:T234"/>
    <mergeCell ref="U234:W234"/>
    <mergeCell ref="AS234:AY234"/>
    <mergeCell ref="B235:C235"/>
    <mergeCell ref="D235:G235"/>
    <mergeCell ref="H235:K235"/>
    <mergeCell ref="L235:N235"/>
    <mergeCell ref="O235:Q235"/>
    <mergeCell ref="R235:T235"/>
    <mergeCell ref="U235:W235"/>
    <mergeCell ref="AS235:AY235"/>
    <mergeCell ref="B232:C232"/>
    <mergeCell ref="D232:G232"/>
    <mergeCell ref="H232:K232"/>
    <mergeCell ref="L232:N232"/>
    <mergeCell ref="O232:Q232"/>
    <mergeCell ref="R232:T232"/>
    <mergeCell ref="U232:W232"/>
    <mergeCell ref="AS232:AY232"/>
    <mergeCell ref="B233:C233"/>
    <mergeCell ref="D233:G233"/>
    <mergeCell ref="H233:K233"/>
    <mergeCell ref="L233:N233"/>
    <mergeCell ref="O233:Q233"/>
    <mergeCell ref="R233:T233"/>
    <mergeCell ref="U233:W233"/>
    <mergeCell ref="AS233:AY233"/>
    <mergeCell ref="B238:C238"/>
    <mergeCell ref="D238:G238"/>
    <mergeCell ref="H238:K238"/>
    <mergeCell ref="L238:N238"/>
    <mergeCell ref="O238:Q238"/>
    <mergeCell ref="R238:T238"/>
    <mergeCell ref="U238:W238"/>
    <mergeCell ref="AS238:AY238"/>
    <mergeCell ref="B239:C239"/>
    <mergeCell ref="D239:G239"/>
    <mergeCell ref="H239:K239"/>
    <mergeCell ref="L239:N239"/>
    <mergeCell ref="O239:Q239"/>
    <mergeCell ref="R239:T239"/>
    <mergeCell ref="U239:W239"/>
    <mergeCell ref="AS239:AY239"/>
    <mergeCell ref="B236:C236"/>
    <mergeCell ref="D236:G236"/>
    <mergeCell ref="H236:K236"/>
    <mergeCell ref="L236:N236"/>
    <mergeCell ref="O236:Q236"/>
    <mergeCell ref="R236:T236"/>
    <mergeCell ref="U236:W236"/>
    <mergeCell ref="AS236:AY236"/>
    <mergeCell ref="B237:C237"/>
    <mergeCell ref="D237:G237"/>
    <mergeCell ref="H237:K237"/>
    <mergeCell ref="L237:N237"/>
    <mergeCell ref="O237:Q237"/>
    <mergeCell ref="R237:T237"/>
    <mergeCell ref="U237:W237"/>
    <mergeCell ref="AS237:AY237"/>
    <mergeCell ref="B242:C242"/>
    <mergeCell ref="D242:G242"/>
    <mergeCell ref="H242:K242"/>
    <mergeCell ref="L242:N242"/>
    <mergeCell ref="O242:Q242"/>
    <mergeCell ref="R242:T242"/>
    <mergeCell ref="U242:W242"/>
    <mergeCell ref="AS242:AY242"/>
    <mergeCell ref="B243:C243"/>
    <mergeCell ref="D243:G243"/>
    <mergeCell ref="H243:K243"/>
    <mergeCell ref="L243:N243"/>
    <mergeCell ref="O243:Q243"/>
    <mergeCell ref="R243:T243"/>
    <mergeCell ref="U243:W243"/>
    <mergeCell ref="AS243:AY243"/>
    <mergeCell ref="B240:C240"/>
    <mergeCell ref="D240:G240"/>
    <mergeCell ref="H240:K240"/>
    <mergeCell ref="L240:N240"/>
    <mergeCell ref="O240:Q240"/>
    <mergeCell ref="R240:T240"/>
    <mergeCell ref="U240:W240"/>
    <mergeCell ref="AS240:AY240"/>
    <mergeCell ref="B241:C241"/>
    <mergeCell ref="D241:G241"/>
    <mergeCell ref="H241:K241"/>
    <mergeCell ref="L241:N241"/>
    <mergeCell ref="O241:Q241"/>
    <mergeCell ref="R241:T241"/>
    <mergeCell ref="U241:W241"/>
    <mergeCell ref="AS241:AY241"/>
    <mergeCell ref="B246:C246"/>
    <mergeCell ref="D246:G246"/>
    <mergeCell ref="H246:K246"/>
    <mergeCell ref="L246:N246"/>
    <mergeCell ref="O246:Q246"/>
    <mergeCell ref="R246:T246"/>
    <mergeCell ref="U246:W246"/>
    <mergeCell ref="AS246:AY246"/>
    <mergeCell ref="B247:C247"/>
    <mergeCell ref="D247:G247"/>
    <mergeCell ref="H247:K247"/>
    <mergeCell ref="L247:N247"/>
    <mergeCell ref="O247:Q247"/>
    <mergeCell ref="R247:T247"/>
    <mergeCell ref="U247:W247"/>
    <mergeCell ref="AS247:AY247"/>
    <mergeCell ref="B244:C244"/>
    <mergeCell ref="D244:G244"/>
    <mergeCell ref="H244:K244"/>
    <mergeCell ref="L244:N244"/>
    <mergeCell ref="O244:Q244"/>
    <mergeCell ref="R244:T244"/>
    <mergeCell ref="U244:W244"/>
    <mergeCell ref="AS244:AY244"/>
    <mergeCell ref="B245:C245"/>
    <mergeCell ref="D245:G245"/>
    <mergeCell ref="H245:K245"/>
    <mergeCell ref="L245:N245"/>
    <mergeCell ref="O245:Q245"/>
    <mergeCell ref="R245:T245"/>
    <mergeCell ref="U245:W245"/>
    <mergeCell ref="AS245:AY245"/>
    <mergeCell ref="B250:C250"/>
    <mergeCell ref="D250:G250"/>
    <mergeCell ref="H250:K250"/>
    <mergeCell ref="L250:N250"/>
    <mergeCell ref="O250:Q250"/>
    <mergeCell ref="R250:T250"/>
    <mergeCell ref="U250:W250"/>
    <mergeCell ref="AS250:AY250"/>
    <mergeCell ref="B251:C251"/>
    <mergeCell ref="D251:G251"/>
    <mergeCell ref="H251:K251"/>
    <mergeCell ref="L251:N251"/>
    <mergeCell ref="O251:Q251"/>
    <mergeCell ref="R251:T251"/>
    <mergeCell ref="U251:W251"/>
    <mergeCell ref="AS251:AY251"/>
    <mergeCell ref="B248:C248"/>
    <mergeCell ref="D248:G248"/>
    <mergeCell ref="H248:K248"/>
    <mergeCell ref="L248:N248"/>
    <mergeCell ref="O248:Q248"/>
    <mergeCell ref="R248:T248"/>
    <mergeCell ref="U248:W248"/>
    <mergeCell ref="AS248:AY248"/>
    <mergeCell ref="B249:C249"/>
    <mergeCell ref="D249:G249"/>
    <mergeCell ref="H249:K249"/>
    <mergeCell ref="L249:N249"/>
    <mergeCell ref="O249:Q249"/>
    <mergeCell ref="R249:T249"/>
    <mergeCell ref="U249:W249"/>
    <mergeCell ref="AS249:AY249"/>
    <mergeCell ref="B254:C254"/>
    <mergeCell ref="D254:G254"/>
    <mergeCell ref="H254:K254"/>
    <mergeCell ref="L254:N254"/>
    <mergeCell ref="O254:Q254"/>
    <mergeCell ref="R254:T254"/>
    <mergeCell ref="U254:W254"/>
    <mergeCell ref="AS254:AY254"/>
    <mergeCell ref="B255:C255"/>
    <mergeCell ref="D255:G255"/>
    <mergeCell ref="H255:K255"/>
    <mergeCell ref="L255:N255"/>
    <mergeCell ref="O255:Q255"/>
    <mergeCell ref="R255:T255"/>
    <mergeCell ref="U255:W255"/>
    <mergeCell ref="AS255:AY255"/>
    <mergeCell ref="B252:C252"/>
    <mergeCell ref="D252:G252"/>
    <mergeCell ref="H252:K252"/>
    <mergeCell ref="L252:N252"/>
    <mergeCell ref="O252:Q252"/>
    <mergeCell ref="R252:T252"/>
    <mergeCell ref="U252:W252"/>
    <mergeCell ref="AS252:AY252"/>
    <mergeCell ref="B253:C253"/>
    <mergeCell ref="D253:G253"/>
    <mergeCell ref="H253:K253"/>
    <mergeCell ref="L253:N253"/>
    <mergeCell ref="O253:Q253"/>
    <mergeCell ref="R253:T253"/>
    <mergeCell ref="U253:W253"/>
    <mergeCell ref="AS253:AY253"/>
    <mergeCell ref="B258:C258"/>
    <mergeCell ref="D258:G258"/>
    <mergeCell ref="H258:K258"/>
    <mergeCell ref="L258:N258"/>
    <mergeCell ref="O258:Q258"/>
    <mergeCell ref="R258:T258"/>
    <mergeCell ref="U258:W258"/>
    <mergeCell ref="AS258:AY258"/>
    <mergeCell ref="B259:C259"/>
    <mergeCell ref="D259:G259"/>
    <mergeCell ref="H259:K259"/>
    <mergeCell ref="L259:N259"/>
    <mergeCell ref="O259:Q259"/>
    <mergeCell ref="R259:T259"/>
    <mergeCell ref="U259:W259"/>
    <mergeCell ref="AS259:AY259"/>
    <mergeCell ref="B256:C256"/>
    <mergeCell ref="D256:G256"/>
    <mergeCell ref="H256:K256"/>
    <mergeCell ref="L256:N256"/>
    <mergeCell ref="O256:Q256"/>
    <mergeCell ref="R256:T256"/>
    <mergeCell ref="U256:W256"/>
    <mergeCell ref="AS256:AY256"/>
    <mergeCell ref="B257:C257"/>
    <mergeCell ref="D257:G257"/>
    <mergeCell ref="H257:K257"/>
    <mergeCell ref="L257:N257"/>
    <mergeCell ref="O257:Q257"/>
    <mergeCell ref="R257:T257"/>
    <mergeCell ref="U257:W257"/>
    <mergeCell ref="AS257:AY257"/>
    <mergeCell ref="B262:C262"/>
    <mergeCell ref="D262:G262"/>
    <mergeCell ref="H262:K262"/>
    <mergeCell ref="L262:N262"/>
    <mergeCell ref="O262:Q262"/>
    <mergeCell ref="R262:T262"/>
    <mergeCell ref="U262:W262"/>
    <mergeCell ref="AS262:AY262"/>
    <mergeCell ref="B263:C263"/>
    <mergeCell ref="D263:G263"/>
    <mergeCell ref="H263:K263"/>
    <mergeCell ref="L263:N263"/>
    <mergeCell ref="O263:Q263"/>
    <mergeCell ref="R263:T263"/>
    <mergeCell ref="U263:W263"/>
    <mergeCell ref="AS263:AY263"/>
    <mergeCell ref="B260:C260"/>
    <mergeCell ref="D260:G260"/>
    <mergeCell ref="H260:K260"/>
    <mergeCell ref="L260:N260"/>
    <mergeCell ref="O260:Q260"/>
    <mergeCell ref="R260:T260"/>
    <mergeCell ref="U260:W260"/>
    <mergeCell ref="AS260:AY260"/>
    <mergeCell ref="B261:C261"/>
    <mergeCell ref="D261:G261"/>
    <mergeCell ref="H261:K261"/>
    <mergeCell ref="L261:N261"/>
    <mergeCell ref="O261:Q261"/>
    <mergeCell ref="R261:T261"/>
    <mergeCell ref="U261:W261"/>
    <mergeCell ref="AS261:AY261"/>
    <mergeCell ref="B266:C266"/>
    <mergeCell ref="D266:G266"/>
    <mergeCell ref="H266:K266"/>
    <mergeCell ref="L266:N266"/>
    <mergeCell ref="O266:Q266"/>
    <mergeCell ref="R266:T266"/>
    <mergeCell ref="U266:W266"/>
    <mergeCell ref="AS266:AY266"/>
    <mergeCell ref="B267:C267"/>
    <mergeCell ref="D267:G267"/>
    <mergeCell ref="H267:K267"/>
    <mergeCell ref="L267:N267"/>
    <mergeCell ref="O267:Q267"/>
    <mergeCell ref="R267:T267"/>
    <mergeCell ref="U267:W267"/>
    <mergeCell ref="AS267:AY267"/>
    <mergeCell ref="B264:C264"/>
    <mergeCell ref="D264:G264"/>
    <mergeCell ref="H264:K264"/>
    <mergeCell ref="L264:N264"/>
    <mergeCell ref="O264:Q264"/>
    <mergeCell ref="R264:T264"/>
    <mergeCell ref="U264:W264"/>
    <mergeCell ref="AS264:AY264"/>
    <mergeCell ref="B265:C265"/>
    <mergeCell ref="D265:G265"/>
    <mergeCell ref="H265:K265"/>
    <mergeCell ref="L265:N265"/>
    <mergeCell ref="O265:Q265"/>
    <mergeCell ref="R265:T265"/>
    <mergeCell ref="U265:W265"/>
    <mergeCell ref="AS265:AY265"/>
    <mergeCell ref="B270:C270"/>
    <mergeCell ref="D270:G270"/>
    <mergeCell ref="H270:K270"/>
    <mergeCell ref="L270:N270"/>
    <mergeCell ref="O270:Q270"/>
    <mergeCell ref="R270:T270"/>
    <mergeCell ref="U270:W270"/>
    <mergeCell ref="AS270:AY270"/>
    <mergeCell ref="B271:C271"/>
    <mergeCell ref="D271:G271"/>
    <mergeCell ref="H271:K271"/>
    <mergeCell ref="L271:N271"/>
    <mergeCell ref="O271:Q271"/>
    <mergeCell ref="R271:T271"/>
    <mergeCell ref="U271:W271"/>
    <mergeCell ref="AS271:AY271"/>
    <mergeCell ref="B268:C268"/>
    <mergeCell ref="D268:G268"/>
    <mergeCell ref="H268:K268"/>
    <mergeCell ref="L268:N268"/>
    <mergeCell ref="O268:Q268"/>
    <mergeCell ref="R268:T268"/>
    <mergeCell ref="U268:W268"/>
    <mergeCell ref="AS268:AY268"/>
    <mergeCell ref="B269:C269"/>
    <mergeCell ref="D269:G269"/>
    <mergeCell ref="H269:K269"/>
    <mergeCell ref="L269:N269"/>
    <mergeCell ref="O269:Q269"/>
    <mergeCell ref="R269:T269"/>
    <mergeCell ref="U269:W269"/>
    <mergeCell ref="AS269:AY269"/>
    <mergeCell ref="B274:C274"/>
    <mergeCell ref="D274:G274"/>
    <mergeCell ref="H274:K274"/>
    <mergeCell ref="L274:N274"/>
    <mergeCell ref="O274:Q274"/>
    <mergeCell ref="R274:T274"/>
    <mergeCell ref="U274:W274"/>
    <mergeCell ref="AS274:AY274"/>
    <mergeCell ref="B275:C275"/>
    <mergeCell ref="D275:G275"/>
    <mergeCell ref="H275:K275"/>
    <mergeCell ref="L275:N275"/>
    <mergeCell ref="O275:Q275"/>
    <mergeCell ref="R275:T275"/>
    <mergeCell ref="U275:W275"/>
    <mergeCell ref="AS275:AY275"/>
    <mergeCell ref="B272:C272"/>
    <mergeCell ref="D272:G272"/>
    <mergeCell ref="H272:K272"/>
    <mergeCell ref="L272:N272"/>
    <mergeCell ref="O272:Q272"/>
    <mergeCell ref="R272:T272"/>
    <mergeCell ref="U272:W272"/>
    <mergeCell ref="AS272:AY272"/>
    <mergeCell ref="B273:C273"/>
    <mergeCell ref="D273:G273"/>
    <mergeCell ref="H273:K273"/>
    <mergeCell ref="L273:N273"/>
    <mergeCell ref="O273:Q273"/>
    <mergeCell ref="R273:T273"/>
    <mergeCell ref="U273:W273"/>
    <mergeCell ref="AS273:AY273"/>
    <mergeCell ref="B278:C278"/>
    <mergeCell ref="D278:G278"/>
    <mergeCell ref="H278:K278"/>
    <mergeCell ref="L278:N278"/>
    <mergeCell ref="O278:Q278"/>
    <mergeCell ref="R278:T278"/>
    <mergeCell ref="U278:W278"/>
    <mergeCell ref="AS278:AY278"/>
    <mergeCell ref="B279:C279"/>
    <mergeCell ref="D279:G279"/>
    <mergeCell ref="H279:K279"/>
    <mergeCell ref="L279:N279"/>
    <mergeCell ref="O279:Q279"/>
    <mergeCell ref="R279:T279"/>
    <mergeCell ref="U279:W279"/>
    <mergeCell ref="AS279:AY279"/>
    <mergeCell ref="B276:C276"/>
    <mergeCell ref="D276:G276"/>
    <mergeCell ref="H276:K276"/>
    <mergeCell ref="L276:N276"/>
    <mergeCell ref="O276:Q276"/>
    <mergeCell ref="R276:T276"/>
    <mergeCell ref="U276:W276"/>
    <mergeCell ref="AS276:AY276"/>
    <mergeCell ref="B277:C277"/>
    <mergeCell ref="D277:G277"/>
    <mergeCell ref="H277:K277"/>
    <mergeCell ref="L277:N277"/>
    <mergeCell ref="O277:Q277"/>
    <mergeCell ref="R277:T277"/>
    <mergeCell ref="U277:W277"/>
    <mergeCell ref="AS277:AY277"/>
    <mergeCell ref="B282:C282"/>
    <mergeCell ref="D282:G282"/>
    <mergeCell ref="H282:K282"/>
    <mergeCell ref="L282:N282"/>
    <mergeCell ref="O282:Q282"/>
    <mergeCell ref="R282:T282"/>
    <mergeCell ref="U282:W282"/>
    <mergeCell ref="AS282:AY282"/>
    <mergeCell ref="B283:C283"/>
    <mergeCell ref="D283:G283"/>
    <mergeCell ref="H283:K283"/>
    <mergeCell ref="L283:N283"/>
    <mergeCell ref="O283:Q283"/>
    <mergeCell ref="R283:T283"/>
    <mergeCell ref="U283:W283"/>
    <mergeCell ref="AS283:AY283"/>
    <mergeCell ref="B280:C280"/>
    <mergeCell ref="D280:G280"/>
    <mergeCell ref="H280:K280"/>
    <mergeCell ref="L280:N280"/>
    <mergeCell ref="O280:Q280"/>
    <mergeCell ref="R280:T280"/>
    <mergeCell ref="U280:W280"/>
    <mergeCell ref="AS280:AY280"/>
    <mergeCell ref="B281:C281"/>
    <mergeCell ref="D281:G281"/>
    <mergeCell ref="H281:K281"/>
    <mergeCell ref="L281:N281"/>
    <mergeCell ref="O281:Q281"/>
    <mergeCell ref="R281:T281"/>
    <mergeCell ref="U281:W281"/>
    <mergeCell ref="AS281:AY281"/>
    <mergeCell ref="B286:C286"/>
    <mergeCell ref="D286:G286"/>
    <mergeCell ref="H286:K286"/>
    <mergeCell ref="L286:N286"/>
    <mergeCell ref="O286:Q286"/>
    <mergeCell ref="R286:T286"/>
    <mergeCell ref="U286:W286"/>
    <mergeCell ref="AS286:AY286"/>
    <mergeCell ref="B287:C287"/>
    <mergeCell ref="D287:G287"/>
    <mergeCell ref="H287:K287"/>
    <mergeCell ref="L287:N287"/>
    <mergeCell ref="O287:Q287"/>
    <mergeCell ref="R287:T287"/>
    <mergeCell ref="U287:W287"/>
    <mergeCell ref="AS287:AY287"/>
    <mergeCell ref="B284:C284"/>
    <mergeCell ref="D284:G284"/>
    <mergeCell ref="H284:K284"/>
    <mergeCell ref="L284:N284"/>
    <mergeCell ref="O284:Q284"/>
    <mergeCell ref="R284:T284"/>
    <mergeCell ref="U284:W284"/>
    <mergeCell ref="AS284:AY284"/>
    <mergeCell ref="B285:C285"/>
    <mergeCell ref="D285:G285"/>
    <mergeCell ref="H285:K285"/>
    <mergeCell ref="L285:N285"/>
    <mergeCell ref="O285:Q285"/>
    <mergeCell ref="R285:T285"/>
    <mergeCell ref="U285:W285"/>
    <mergeCell ref="AS285:AY285"/>
    <mergeCell ref="B290:C290"/>
    <mergeCell ref="D290:G290"/>
    <mergeCell ref="H290:K290"/>
    <mergeCell ref="L290:N290"/>
    <mergeCell ref="O290:Q290"/>
    <mergeCell ref="R290:T290"/>
    <mergeCell ref="U290:W290"/>
    <mergeCell ref="AS290:AY290"/>
    <mergeCell ref="B291:C291"/>
    <mergeCell ref="D291:G291"/>
    <mergeCell ref="H291:K291"/>
    <mergeCell ref="L291:N291"/>
    <mergeCell ref="O291:Q291"/>
    <mergeCell ref="R291:T291"/>
    <mergeCell ref="U291:W291"/>
    <mergeCell ref="AS291:AY291"/>
    <mergeCell ref="B288:C288"/>
    <mergeCell ref="D288:G288"/>
    <mergeCell ref="H288:K288"/>
    <mergeCell ref="L288:N288"/>
    <mergeCell ref="O288:Q288"/>
    <mergeCell ref="R288:T288"/>
    <mergeCell ref="U288:W288"/>
    <mergeCell ref="AS288:AY288"/>
    <mergeCell ref="B289:C289"/>
    <mergeCell ref="D289:G289"/>
    <mergeCell ref="H289:K289"/>
    <mergeCell ref="L289:N289"/>
    <mergeCell ref="O289:Q289"/>
    <mergeCell ref="R289:T289"/>
    <mergeCell ref="U289:W289"/>
    <mergeCell ref="AS289:AY289"/>
    <mergeCell ref="B294:C294"/>
    <mergeCell ref="D294:G294"/>
    <mergeCell ref="H294:K294"/>
    <mergeCell ref="L294:N294"/>
    <mergeCell ref="O294:Q294"/>
    <mergeCell ref="R294:T294"/>
    <mergeCell ref="U294:W294"/>
    <mergeCell ref="AS294:AY294"/>
    <mergeCell ref="B295:C295"/>
    <mergeCell ref="D295:G295"/>
    <mergeCell ref="H295:K295"/>
    <mergeCell ref="L295:N295"/>
    <mergeCell ref="O295:Q295"/>
    <mergeCell ref="R295:T295"/>
    <mergeCell ref="U295:W295"/>
    <mergeCell ref="AS295:AY295"/>
    <mergeCell ref="B292:C292"/>
    <mergeCell ref="D292:G292"/>
    <mergeCell ref="H292:K292"/>
    <mergeCell ref="L292:N292"/>
    <mergeCell ref="O292:Q292"/>
    <mergeCell ref="R292:T292"/>
    <mergeCell ref="U292:W292"/>
    <mergeCell ref="AS292:AY292"/>
    <mergeCell ref="B293:C293"/>
    <mergeCell ref="D293:G293"/>
    <mergeCell ref="H293:K293"/>
    <mergeCell ref="L293:N293"/>
    <mergeCell ref="O293:Q293"/>
    <mergeCell ref="R293:T293"/>
    <mergeCell ref="U293:W293"/>
    <mergeCell ref="AS293:AY293"/>
    <mergeCell ref="B298:C298"/>
    <mergeCell ref="D298:G298"/>
    <mergeCell ref="H298:K298"/>
    <mergeCell ref="L298:N298"/>
    <mergeCell ref="O298:Q298"/>
    <mergeCell ref="R298:T298"/>
    <mergeCell ref="U298:W298"/>
    <mergeCell ref="AS298:AY298"/>
    <mergeCell ref="B299:C299"/>
    <mergeCell ref="D299:G299"/>
    <mergeCell ref="H299:K299"/>
    <mergeCell ref="L299:N299"/>
    <mergeCell ref="O299:Q299"/>
    <mergeCell ref="R299:T299"/>
    <mergeCell ref="U299:W299"/>
    <mergeCell ref="AS299:AY299"/>
    <mergeCell ref="B296:C296"/>
    <mergeCell ref="D296:G296"/>
    <mergeCell ref="H296:K296"/>
    <mergeCell ref="L296:N296"/>
    <mergeCell ref="O296:Q296"/>
    <mergeCell ref="R296:T296"/>
    <mergeCell ref="U296:W296"/>
    <mergeCell ref="AS296:AY296"/>
    <mergeCell ref="B297:C297"/>
    <mergeCell ref="D297:G297"/>
    <mergeCell ref="H297:K297"/>
    <mergeCell ref="L297:N297"/>
    <mergeCell ref="O297:Q297"/>
    <mergeCell ref="R297:T297"/>
    <mergeCell ref="U297:W297"/>
    <mergeCell ref="AS297:AY297"/>
    <mergeCell ref="B302:C302"/>
    <mergeCell ref="D302:G302"/>
    <mergeCell ref="H302:K302"/>
    <mergeCell ref="L302:N302"/>
    <mergeCell ref="O302:Q302"/>
    <mergeCell ref="R302:T302"/>
    <mergeCell ref="U302:W302"/>
    <mergeCell ref="AS302:AY302"/>
    <mergeCell ref="B303:C303"/>
    <mergeCell ref="D303:G303"/>
    <mergeCell ref="H303:K303"/>
    <mergeCell ref="L303:N303"/>
    <mergeCell ref="O303:Q303"/>
    <mergeCell ref="R303:T303"/>
    <mergeCell ref="U303:W303"/>
    <mergeCell ref="AS303:AY303"/>
    <mergeCell ref="B300:C300"/>
    <mergeCell ref="D300:G300"/>
    <mergeCell ref="H300:K300"/>
    <mergeCell ref="L300:N300"/>
    <mergeCell ref="O300:Q300"/>
    <mergeCell ref="R300:T300"/>
    <mergeCell ref="U300:W300"/>
    <mergeCell ref="AS300:AY300"/>
    <mergeCell ref="B301:C301"/>
    <mergeCell ref="D301:G301"/>
    <mergeCell ref="H301:K301"/>
    <mergeCell ref="L301:N301"/>
    <mergeCell ref="O301:Q301"/>
    <mergeCell ref="R301:T301"/>
    <mergeCell ref="U301:W301"/>
    <mergeCell ref="AS301:AY301"/>
    <mergeCell ref="B306:C306"/>
    <mergeCell ref="D306:G306"/>
    <mergeCell ref="H306:K306"/>
    <mergeCell ref="L306:N306"/>
    <mergeCell ref="O306:Q306"/>
    <mergeCell ref="R306:T306"/>
    <mergeCell ref="U306:W306"/>
    <mergeCell ref="AS306:AY306"/>
    <mergeCell ref="B307:C307"/>
    <mergeCell ref="D307:G307"/>
    <mergeCell ref="H307:K307"/>
    <mergeCell ref="L307:N307"/>
    <mergeCell ref="O307:Q307"/>
    <mergeCell ref="R307:T307"/>
    <mergeCell ref="U307:W307"/>
    <mergeCell ref="AS307:AY307"/>
    <mergeCell ref="B304:C304"/>
    <mergeCell ref="D304:G304"/>
    <mergeCell ref="H304:K304"/>
    <mergeCell ref="L304:N304"/>
    <mergeCell ref="O304:Q304"/>
    <mergeCell ref="R304:T304"/>
    <mergeCell ref="U304:W304"/>
    <mergeCell ref="AS304:AY304"/>
    <mergeCell ref="B305:C305"/>
    <mergeCell ref="D305:G305"/>
    <mergeCell ref="H305:K305"/>
    <mergeCell ref="L305:N305"/>
    <mergeCell ref="O305:Q305"/>
    <mergeCell ref="R305:T305"/>
    <mergeCell ref="U305:W305"/>
    <mergeCell ref="AS305:AY305"/>
    <mergeCell ref="B310:C310"/>
    <mergeCell ref="D310:G310"/>
    <mergeCell ref="H310:K310"/>
    <mergeCell ref="L310:N310"/>
    <mergeCell ref="O310:Q310"/>
    <mergeCell ref="R310:T310"/>
    <mergeCell ref="U310:W310"/>
    <mergeCell ref="AS310:AY310"/>
    <mergeCell ref="B311:C311"/>
    <mergeCell ref="D311:G311"/>
    <mergeCell ref="H311:K311"/>
    <mergeCell ref="L311:N311"/>
    <mergeCell ref="O311:Q311"/>
    <mergeCell ref="R311:T311"/>
    <mergeCell ref="U311:W311"/>
    <mergeCell ref="AS311:AY311"/>
    <mergeCell ref="B308:C308"/>
    <mergeCell ref="D308:G308"/>
    <mergeCell ref="H308:K308"/>
    <mergeCell ref="L308:N308"/>
    <mergeCell ref="O308:Q308"/>
    <mergeCell ref="R308:T308"/>
    <mergeCell ref="U308:W308"/>
    <mergeCell ref="AS308:AY308"/>
    <mergeCell ref="B309:C309"/>
    <mergeCell ref="D309:G309"/>
    <mergeCell ref="H309:K309"/>
    <mergeCell ref="L309:N309"/>
    <mergeCell ref="O309:Q309"/>
    <mergeCell ref="R309:T309"/>
    <mergeCell ref="U309:W309"/>
    <mergeCell ref="AS309:AY309"/>
    <mergeCell ref="B314:C314"/>
    <mergeCell ref="D314:G314"/>
    <mergeCell ref="H314:K314"/>
    <mergeCell ref="L314:N314"/>
    <mergeCell ref="O314:Q314"/>
    <mergeCell ref="R314:T314"/>
    <mergeCell ref="U314:W314"/>
    <mergeCell ref="AS314:AY314"/>
    <mergeCell ref="B315:C315"/>
    <mergeCell ref="D315:G315"/>
    <mergeCell ref="H315:K315"/>
    <mergeCell ref="L315:N315"/>
    <mergeCell ref="O315:Q315"/>
    <mergeCell ref="R315:T315"/>
    <mergeCell ref="U315:W315"/>
    <mergeCell ref="AS315:AY315"/>
    <mergeCell ref="B312:C312"/>
    <mergeCell ref="D312:G312"/>
    <mergeCell ref="H312:K312"/>
    <mergeCell ref="L312:N312"/>
    <mergeCell ref="O312:Q312"/>
    <mergeCell ref="R312:T312"/>
    <mergeCell ref="U312:W312"/>
    <mergeCell ref="AS312:AY312"/>
    <mergeCell ref="B313:C313"/>
    <mergeCell ref="D313:G313"/>
    <mergeCell ref="H313:K313"/>
    <mergeCell ref="L313:N313"/>
    <mergeCell ref="O313:Q313"/>
    <mergeCell ref="R313:T313"/>
    <mergeCell ref="U313:W313"/>
    <mergeCell ref="AS313:AY313"/>
    <mergeCell ref="B318:C318"/>
    <mergeCell ref="D318:G318"/>
    <mergeCell ref="H318:K318"/>
    <mergeCell ref="L318:N318"/>
    <mergeCell ref="O318:Q318"/>
    <mergeCell ref="R318:T318"/>
    <mergeCell ref="U318:W318"/>
    <mergeCell ref="AS318:AY318"/>
    <mergeCell ref="B319:C319"/>
    <mergeCell ref="D319:G319"/>
    <mergeCell ref="H319:K319"/>
    <mergeCell ref="L319:N319"/>
    <mergeCell ref="O319:Q319"/>
    <mergeCell ref="R319:T319"/>
    <mergeCell ref="U319:W319"/>
    <mergeCell ref="AS319:AY319"/>
    <mergeCell ref="B316:C316"/>
    <mergeCell ref="D316:G316"/>
    <mergeCell ref="H316:K316"/>
    <mergeCell ref="L316:N316"/>
    <mergeCell ref="O316:Q316"/>
    <mergeCell ref="R316:T316"/>
    <mergeCell ref="U316:W316"/>
    <mergeCell ref="AS316:AY316"/>
    <mergeCell ref="B317:C317"/>
    <mergeCell ref="D317:G317"/>
    <mergeCell ref="H317:K317"/>
    <mergeCell ref="L317:N317"/>
    <mergeCell ref="O317:Q317"/>
    <mergeCell ref="R317:T317"/>
    <mergeCell ref="U317:W317"/>
    <mergeCell ref="AS317:AY317"/>
    <mergeCell ref="B322:C322"/>
    <mergeCell ref="D322:G322"/>
    <mergeCell ref="H322:K322"/>
    <mergeCell ref="L322:N322"/>
    <mergeCell ref="O322:Q322"/>
    <mergeCell ref="R322:T322"/>
    <mergeCell ref="U322:W322"/>
    <mergeCell ref="AS322:AY322"/>
    <mergeCell ref="B323:C323"/>
    <mergeCell ref="D323:G323"/>
    <mergeCell ref="H323:K323"/>
    <mergeCell ref="L323:N323"/>
    <mergeCell ref="O323:Q323"/>
    <mergeCell ref="R323:T323"/>
    <mergeCell ref="U323:W323"/>
    <mergeCell ref="AS323:AY323"/>
    <mergeCell ref="B320:C320"/>
    <mergeCell ref="D320:G320"/>
    <mergeCell ref="H320:K320"/>
    <mergeCell ref="L320:N320"/>
    <mergeCell ref="O320:Q320"/>
    <mergeCell ref="R320:T320"/>
    <mergeCell ref="U320:W320"/>
    <mergeCell ref="AS320:AY320"/>
    <mergeCell ref="B321:C321"/>
    <mergeCell ref="D321:G321"/>
    <mergeCell ref="H321:K321"/>
    <mergeCell ref="L321:N321"/>
    <mergeCell ref="O321:Q321"/>
    <mergeCell ref="R321:T321"/>
    <mergeCell ref="U321:W321"/>
    <mergeCell ref="AS321:AY321"/>
    <mergeCell ref="B326:C326"/>
    <mergeCell ref="D326:G326"/>
    <mergeCell ref="H326:K326"/>
    <mergeCell ref="L326:N326"/>
    <mergeCell ref="O326:Q326"/>
    <mergeCell ref="R326:T326"/>
    <mergeCell ref="U326:W326"/>
    <mergeCell ref="AS326:AY326"/>
    <mergeCell ref="B327:C327"/>
    <mergeCell ref="D327:G327"/>
    <mergeCell ref="H327:K327"/>
    <mergeCell ref="L327:N327"/>
    <mergeCell ref="O327:Q327"/>
    <mergeCell ref="R327:T327"/>
    <mergeCell ref="U327:W327"/>
    <mergeCell ref="AS327:AY327"/>
    <mergeCell ref="B324:C324"/>
    <mergeCell ref="D324:G324"/>
    <mergeCell ref="H324:K324"/>
    <mergeCell ref="L324:N324"/>
    <mergeCell ref="O324:Q324"/>
    <mergeCell ref="R324:T324"/>
    <mergeCell ref="U324:W324"/>
    <mergeCell ref="AS324:AY324"/>
    <mergeCell ref="B325:C325"/>
    <mergeCell ref="D325:G325"/>
    <mergeCell ref="H325:K325"/>
    <mergeCell ref="L325:N325"/>
    <mergeCell ref="O325:Q325"/>
    <mergeCell ref="R325:T325"/>
    <mergeCell ref="U325:W325"/>
    <mergeCell ref="AS325:AY325"/>
    <mergeCell ref="B330:C330"/>
    <mergeCell ref="D330:G330"/>
    <mergeCell ref="H330:K330"/>
    <mergeCell ref="L330:N330"/>
    <mergeCell ref="O330:Q330"/>
    <mergeCell ref="R330:T330"/>
    <mergeCell ref="U330:W330"/>
    <mergeCell ref="AS330:AY330"/>
    <mergeCell ref="B331:C331"/>
    <mergeCell ref="D331:G331"/>
    <mergeCell ref="H331:K331"/>
    <mergeCell ref="L331:N331"/>
    <mergeCell ref="O331:Q331"/>
    <mergeCell ref="R331:T331"/>
    <mergeCell ref="U331:W331"/>
    <mergeCell ref="AS331:AY331"/>
    <mergeCell ref="B328:C328"/>
    <mergeCell ref="D328:G328"/>
    <mergeCell ref="H328:K328"/>
    <mergeCell ref="L328:N328"/>
    <mergeCell ref="O328:Q328"/>
    <mergeCell ref="R328:T328"/>
    <mergeCell ref="U328:W328"/>
    <mergeCell ref="AS328:AY328"/>
    <mergeCell ref="B329:C329"/>
    <mergeCell ref="D329:G329"/>
    <mergeCell ref="H329:K329"/>
    <mergeCell ref="L329:N329"/>
    <mergeCell ref="O329:Q329"/>
    <mergeCell ref="R329:T329"/>
    <mergeCell ref="U329:W329"/>
    <mergeCell ref="AS329:AY329"/>
    <mergeCell ref="B334:C334"/>
    <mergeCell ref="D334:G334"/>
    <mergeCell ref="H334:K334"/>
    <mergeCell ref="L334:N334"/>
    <mergeCell ref="O334:Q334"/>
    <mergeCell ref="R334:T334"/>
    <mergeCell ref="U334:W334"/>
    <mergeCell ref="AS334:AY334"/>
    <mergeCell ref="B335:C335"/>
    <mergeCell ref="D335:G335"/>
    <mergeCell ref="H335:K335"/>
    <mergeCell ref="L335:N335"/>
    <mergeCell ref="O335:Q335"/>
    <mergeCell ref="R335:T335"/>
    <mergeCell ref="U335:W335"/>
    <mergeCell ref="AS335:AY335"/>
    <mergeCell ref="B332:C332"/>
    <mergeCell ref="D332:G332"/>
    <mergeCell ref="H332:K332"/>
    <mergeCell ref="L332:N332"/>
    <mergeCell ref="O332:Q332"/>
    <mergeCell ref="R332:T332"/>
    <mergeCell ref="U332:W332"/>
    <mergeCell ref="AS332:AY332"/>
    <mergeCell ref="B333:C333"/>
    <mergeCell ref="D333:G333"/>
    <mergeCell ref="H333:K333"/>
    <mergeCell ref="L333:N333"/>
    <mergeCell ref="O333:Q333"/>
    <mergeCell ref="R333:T333"/>
    <mergeCell ref="U333:W333"/>
    <mergeCell ref="AS333:AY333"/>
    <mergeCell ref="B338:C338"/>
    <mergeCell ref="D338:G338"/>
    <mergeCell ref="H338:K338"/>
    <mergeCell ref="L338:N338"/>
    <mergeCell ref="O338:Q338"/>
    <mergeCell ref="R338:T338"/>
    <mergeCell ref="U338:W338"/>
    <mergeCell ref="AS338:AY338"/>
    <mergeCell ref="B339:C339"/>
    <mergeCell ref="D339:G339"/>
    <mergeCell ref="H339:K339"/>
    <mergeCell ref="L339:N339"/>
    <mergeCell ref="O339:Q339"/>
    <mergeCell ref="R339:T339"/>
    <mergeCell ref="U339:W339"/>
    <mergeCell ref="AS339:AY339"/>
    <mergeCell ref="B336:C336"/>
    <mergeCell ref="D336:G336"/>
    <mergeCell ref="H336:K336"/>
    <mergeCell ref="L336:N336"/>
    <mergeCell ref="O336:Q336"/>
    <mergeCell ref="R336:T336"/>
    <mergeCell ref="U336:W336"/>
    <mergeCell ref="AS336:AY336"/>
    <mergeCell ref="B337:C337"/>
    <mergeCell ref="D337:G337"/>
    <mergeCell ref="H337:K337"/>
    <mergeCell ref="L337:N337"/>
    <mergeCell ref="O337:Q337"/>
    <mergeCell ref="R337:T337"/>
    <mergeCell ref="U337:W337"/>
    <mergeCell ref="AS337:AY337"/>
    <mergeCell ref="B342:C342"/>
    <mergeCell ref="D342:G342"/>
    <mergeCell ref="H342:K342"/>
    <mergeCell ref="L342:N342"/>
    <mergeCell ref="O342:Q342"/>
    <mergeCell ref="R342:T342"/>
    <mergeCell ref="U342:W342"/>
    <mergeCell ref="AS342:AY342"/>
    <mergeCell ref="B343:C343"/>
    <mergeCell ref="D343:G343"/>
    <mergeCell ref="H343:K343"/>
    <mergeCell ref="L343:N343"/>
    <mergeCell ref="O343:Q343"/>
    <mergeCell ref="R343:T343"/>
    <mergeCell ref="U343:W343"/>
    <mergeCell ref="AS343:AY343"/>
    <mergeCell ref="B340:C340"/>
    <mergeCell ref="D340:G340"/>
    <mergeCell ref="H340:K340"/>
    <mergeCell ref="L340:N340"/>
    <mergeCell ref="O340:Q340"/>
    <mergeCell ref="R340:T340"/>
    <mergeCell ref="U340:W340"/>
    <mergeCell ref="AS340:AY340"/>
    <mergeCell ref="B341:C341"/>
    <mergeCell ref="D341:G341"/>
    <mergeCell ref="H341:K341"/>
    <mergeCell ref="L341:N341"/>
    <mergeCell ref="O341:Q341"/>
    <mergeCell ref="R341:T341"/>
    <mergeCell ref="U341:W341"/>
    <mergeCell ref="AS341:AY341"/>
    <mergeCell ref="B346:C346"/>
    <mergeCell ref="D346:G346"/>
    <mergeCell ref="H346:K346"/>
    <mergeCell ref="L346:N346"/>
    <mergeCell ref="O346:Q346"/>
    <mergeCell ref="R346:T346"/>
    <mergeCell ref="U346:W346"/>
    <mergeCell ref="AS346:AY346"/>
    <mergeCell ref="B347:C347"/>
    <mergeCell ref="D347:G347"/>
    <mergeCell ref="H347:K347"/>
    <mergeCell ref="L347:N347"/>
    <mergeCell ref="O347:Q347"/>
    <mergeCell ref="R347:T347"/>
    <mergeCell ref="U347:W347"/>
    <mergeCell ref="AS347:AY347"/>
    <mergeCell ref="B344:C344"/>
    <mergeCell ref="D344:G344"/>
    <mergeCell ref="H344:K344"/>
    <mergeCell ref="L344:N344"/>
    <mergeCell ref="O344:Q344"/>
    <mergeCell ref="R344:T344"/>
    <mergeCell ref="U344:W344"/>
    <mergeCell ref="AS344:AY344"/>
    <mergeCell ref="B345:C345"/>
    <mergeCell ref="D345:G345"/>
    <mergeCell ref="H345:K345"/>
    <mergeCell ref="L345:N345"/>
    <mergeCell ref="O345:Q345"/>
    <mergeCell ref="R345:T345"/>
    <mergeCell ref="U345:W345"/>
    <mergeCell ref="AS345:AY345"/>
    <mergeCell ref="B350:C350"/>
    <mergeCell ref="D350:G350"/>
    <mergeCell ref="H350:K350"/>
    <mergeCell ref="L350:N350"/>
    <mergeCell ref="O350:Q350"/>
    <mergeCell ref="R350:T350"/>
    <mergeCell ref="U350:W350"/>
    <mergeCell ref="AS350:AY350"/>
    <mergeCell ref="B351:C351"/>
    <mergeCell ref="D351:G351"/>
    <mergeCell ref="H351:K351"/>
    <mergeCell ref="L351:N351"/>
    <mergeCell ref="O351:Q351"/>
    <mergeCell ref="R351:T351"/>
    <mergeCell ref="U351:W351"/>
    <mergeCell ref="AS351:AY351"/>
    <mergeCell ref="B348:C348"/>
    <mergeCell ref="D348:G348"/>
    <mergeCell ref="H348:K348"/>
    <mergeCell ref="L348:N348"/>
    <mergeCell ref="O348:Q348"/>
    <mergeCell ref="R348:T348"/>
    <mergeCell ref="U348:W348"/>
    <mergeCell ref="AS348:AY348"/>
    <mergeCell ref="B349:C349"/>
    <mergeCell ref="D349:G349"/>
    <mergeCell ref="H349:K349"/>
    <mergeCell ref="L349:N349"/>
    <mergeCell ref="O349:Q349"/>
    <mergeCell ref="R349:T349"/>
    <mergeCell ref="U349:W349"/>
    <mergeCell ref="AS349:AY349"/>
    <mergeCell ref="B354:C354"/>
    <mergeCell ref="D354:G354"/>
    <mergeCell ref="H354:K354"/>
    <mergeCell ref="L354:N354"/>
    <mergeCell ref="O354:Q354"/>
    <mergeCell ref="R354:T354"/>
    <mergeCell ref="U354:W354"/>
    <mergeCell ref="AS354:AY354"/>
    <mergeCell ref="B355:C355"/>
    <mergeCell ref="D355:G355"/>
    <mergeCell ref="H355:K355"/>
    <mergeCell ref="L355:N355"/>
    <mergeCell ref="O355:Q355"/>
    <mergeCell ref="R355:T355"/>
    <mergeCell ref="U355:W355"/>
    <mergeCell ref="AS355:AY355"/>
    <mergeCell ref="B352:C352"/>
    <mergeCell ref="D352:G352"/>
    <mergeCell ref="H352:K352"/>
    <mergeCell ref="L352:N352"/>
    <mergeCell ref="O352:Q352"/>
    <mergeCell ref="R352:T352"/>
    <mergeCell ref="U352:W352"/>
    <mergeCell ref="AS352:AY352"/>
    <mergeCell ref="B353:C353"/>
    <mergeCell ref="D353:G353"/>
    <mergeCell ref="H353:K353"/>
    <mergeCell ref="L353:N353"/>
    <mergeCell ref="O353:Q353"/>
    <mergeCell ref="R353:T353"/>
    <mergeCell ref="U353:W353"/>
    <mergeCell ref="AS353:AY353"/>
    <mergeCell ref="B358:C358"/>
    <mergeCell ref="D358:G358"/>
    <mergeCell ref="H358:K358"/>
    <mergeCell ref="L358:N358"/>
    <mergeCell ref="O358:Q358"/>
    <mergeCell ref="R358:T358"/>
    <mergeCell ref="U358:W358"/>
    <mergeCell ref="AS358:AY358"/>
    <mergeCell ref="B359:C359"/>
    <mergeCell ref="D359:G359"/>
    <mergeCell ref="H359:K359"/>
    <mergeCell ref="L359:N359"/>
    <mergeCell ref="O359:Q359"/>
    <mergeCell ref="R359:T359"/>
    <mergeCell ref="U359:W359"/>
    <mergeCell ref="AS359:AY359"/>
    <mergeCell ref="B356:C356"/>
    <mergeCell ref="D356:G356"/>
    <mergeCell ref="H356:K356"/>
    <mergeCell ref="L356:N356"/>
    <mergeCell ref="O356:Q356"/>
    <mergeCell ref="R356:T356"/>
    <mergeCell ref="U356:W356"/>
    <mergeCell ref="AS356:AY356"/>
    <mergeCell ref="B357:C357"/>
    <mergeCell ref="D357:G357"/>
    <mergeCell ref="H357:K357"/>
    <mergeCell ref="L357:N357"/>
    <mergeCell ref="O357:Q357"/>
    <mergeCell ref="R357:T357"/>
    <mergeCell ref="U357:W357"/>
    <mergeCell ref="AS357:AY357"/>
    <mergeCell ref="B362:C362"/>
    <mergeCell ref="D362:G362"/>
    <mergeCell ref="H362:K362"/>
    <mergeCell ref="L362:N362"/>
    <mergeCell ref="O362:Q362"/>
    <mergeCell ref="R362:T362"/>
    <mergeCell ref="U362:W362"/>
    <mergeCell ref="AS362:AY362"/>
    <mergeCell ref="B363:C363"/>
    <mergeCell ref="D363:G363"/>
    <mergeCell ref="H363:K363"/>
    <mergeCell ref="L363:N363"/>
    <mergeCell ref="O363:Q363"/>
    <mergeCell ref="R363:T363"/>
    <mergeCell ref="U363:W363"/>
    <mergeCell ref="AS363:AY363"/>
    <mergeCell ref="B360:C360"/>
    <mergeCell ref="D360:G360"/>
    <mergeCell ref="H360:K360"/>
    <mergeCell ref="L360:N360"/>
    <mergeCell ref="O360:Q360"/>
    <mergeCell ref="R360:T360"/>
    <mergeCell ref="U360:W360"/>
    <mergeCell ref="AS360:AY360"/>
    <mergeCell ref="B361:C361"/>
    <mergeCell ref="D361:G361"/>
    <mergeCell ref="H361:K361"/>
    <mergeCell ref="L361:N361"/>
    <mergeCell ref="O361:Q361"/>
    <mergeCell ref="R361:T361"/>
    <mergeCell ref="U361:W361"/>
    <mergeCell ref="AS361:AY361"/>
    <mergeCell ref="B366:C366"/>
    <mergeCell ref="D366:G366"/>
    <mergeCell ref="H366:K366"/>
    <mergeCell ref="L366:N366"/>
    <mergeCell ref="O366:Q366"/>
    <mergeCell ref="R366:T366"/>
    <mergeCell ref="U366:W366"/>
    <mergeCell ref="AS366:AY366"/>
    <mergeCell ref="B367:C367"/>
    <mergeCell ref="D367:G367"/>
    <mergeCell ref="H367:K367"/>
    <mergeCell ref="L367:N367"/>
    <mergeCell ref="O367:Q367"/>
    <mergeCell ref="R367:T367"/>
    <mergeCell ref="U367:W367"/>
    <mergeCell ref="AS367:AY367"/>
    <mergeCell ref="B364:C364"/>
    <mergeCell ref="D364:G364"/>
    <mergeCell ref="H364:K364"/>
    <mergeCell ref="L364:N364"/>
    <mergeCell ref="O364:Q364"/>
    <mergeCell ref="R364:T364"/>
    <mergeCell ref="U364:W364"/>
    <mergeCell ref="AS364:AY364"/>
    <mergeCell ref="B365:C365"/>
    <mergeCell ref="D365:G365"/>
    <mergeCell ref="H365:K365"/>
    <mergeCell ref="L365:N365"/>
    <mergeCell ref="O365:Q365"/>
    <mergeCell ref="R365:T365"/>
    <mergeCell ref="U365:W365"/>
    <mergeCell ref="AS365:AY365"/>
    <mergeCell ref="B370:C370"/>
    <mergeCell ref="D370:G370"/>
    <mergeCell ref="H370:K370"/>
    <mergeCell ref="L370:N370"/>
    <mergeCell ref="O370:Q370"/>
    <mergeCell ref="R370:T370"/>
    <mergeCell ref="U370:W370"/>
    <mergeCell ref="AS370:AY370"/>
    <mergeCell ref="B371:C371"/>
    <mergeCell ref="D371:G371"/>
    <mergeCell ref="H371:K371"/>
    <mergeCell ref="L371:N371"/>
    <mergeCell ref="O371:Q371"/>
    <mergeCell ref="R371:T371"/>
    <mergeCell ref="U371:W371"/>
    <mergeCell ref="AS371:AY371"/>
    <mergeCell ref="B368:C368"/>
    <mergeCell ref="D368:G368"/>
    <mergeCell ref="H368:K368"/>
    <mergeCell ref="L368:N368"/>
    <mergeCell ref="O368:Q368"/>
    <mergeCell ref="R368:T368"/>
    <mergeCell ref="U368:W368"/>
    <mergeCell ref="AS368:AY368"/>
    <mergeCell ref="B369:C369"/>
    <mergeCell ref="D369:G369"/>
    <mergeCell ref="H369:K369"/>
    <mergeCell ref="L369:N369"/>
    <mergeCell ref="O369:Q369"/>
    <mergeCell ref="R369:T369"/>
    <mergeCell ref="U369:W369"/>
    <mergeCell ref="AS369:AY369"/>
    <mergeCell ref="B374:C374"/>
    <mergeCell ref="D374:G374"/>
    <mergeCell ref="H374:K374"/>
    <mergeCell ref="L374:N374"/>
    <mergeCell ref="O374:Q374"/>
    <mergeCell ref="R374:T374"/>
    <mergeCell ref="U374:W374"/>
    <mergeCell ref="AS374:AY374"/>
    <mergeCell ref="B375:C375"/>
    <mergeCell ref="D375:G375"/>
    <mergeCell ref="H375:K375"/>
    <mergeCell ref="L375:N375"/>
    <mergeCell ref="O375:Q375"/>
    <mergeCell ref="R375:T375"/>
    <mergeCell ref="U375:W375"/>
    <mergeCell ref="AS375:AY375"/>
    <mergeCell ref="B372:C372"/>
    <mergeCell ref="D372:G372"/>
    <mergeCell ref="H372:K372"/>
    <mergeCell ref="L372:N372"/>
    <mergeCell ref="O372:Q372"/>
    <mergeCell ref="R372:T372"/>
    <mergeCell ref="U372:W372"/>
    <mergeCell ref="AS372:AY372"/>
    <mergeCell ref="B373:C373"/>
    <mergeCell ref="D373:G373"/>
    <mergeCell ref="H373:K373"/>
    <mergeCell ref="L373:N373"/>
    <mergeCell ref="O373:Q373"/>
    <mergeCell ref="R373:T373"/>
    <mergeCell ref="U373:W373"/>
    <mergeCell ref="AS373:AY373"/>
    <mergeCell ref="B378:C378"/>
    <mergeCell ref="D378:G378"/>
    <mergeCell ref="H378:K378"/>
    <mergeCell ref="L378:N378"/>
    <mergeCell ref="O378:Q378"/>
    <mergeCell ref="R378:T378"/>
    <mergeCell ref="U378:W378"/>
    <mergeCell ref="AS378:AY378"/>
    <mergeCell ref="B379:C379"/>
    <mergeCell ref="D379:G379"/>
    <mergeCell ref="H379:K379"/>
    <mergeCell ref="L379:N379"/>
    <mergeCell ref="O379:Q379"/>
    <mergeCell ref="R379:T379"/>
    <mergeCell ref="U379:W379"/>
    <mergeCell ref="AS379:AY379"/>
    <mergeCell ref="B376:C376"/>
    <mergeCell ref="D376:G376"/>
    <mergeCell ref="H376:K376"/>
    <mergeCell ref="L376:N376"/>
    <mergeCell ref="O376:Q376"/>
    <mergeCell ref="R376:T376"/>
    <mergeCell ref="U376:W376"/>
    <mergeCell ref="AS376:AY376"/>
    <mergeCell ref="B377:C377"/>
    <mergeCell ref="D377:G377"/>
    <mergeCell ref="H377:K377"/>
    <mergeCell ref="L377:N377"/>
    <mergeCell ref="O377:Q377"/>
    <mergeCell ref="R377:T377"/>
    <mergeCell ref="U377:W377"/>
    <mergeCell ref="AS377:AY377"/>
    <mergeCell ref="B382:C382"/>
    <mergeCell ref="D382:G382"/>
    <mergeCell ref="H382:K382"/>
    <mergeCell ref="L382:N382"/>
    <mergeCell ref="O382:Q382"/>
    <mergeCell ref="R382:T382"/>
    <mergeCell ref="U382:W382"/>
    <mergeCell ref="AS382:AY382"/>
    <mergeCell ref="B383:C383"/>
    <mergeCell ref="D383:G383"/>
    <mergeCell ref="H383:K383"/>
    <mergeCell ref="L383:N383"/>
    <mergeCell ref="O383:Q383"/>
    <mergeCell ref="R383:T383"/>
    <mergeCell ref="U383:W383"/>
    <mergeCell ref="AS383:AY383"/>
    <mergeCell ref="B380:C380"/>
    <mergeCell ref="D380:G380"/>
    <mergeCell ref="H380:K380"/>
    <mergeCell ref="L380:N380"/>
    <mergeCell ref="O380:Q380"/>
    <mergeCell ref="R380:T380"/>
    <mergeCell ref="U380:W380"/>
    <mergeCell ref="AS380:AY380"/>
    <mergeCell ref="B381:C381"/>
    <mergeCell ref="D381:G381"/>
    <mergeCell ref="H381:K381"/>
    <mergeCell ref="L381:N381"/>
    <mergeCell ref="O381:Q381"/>
    <mergeCell ref="R381:T381"/>
    <mergeCell ref="U381:W381"/>
    <mergeCell ref="AS381:AY381"/>
    <mergeCell ref="B386:C386"/>
    <mergeCell ref="D386:G386"/>
    <mergeCell ref="H386:K386"/>
    <mergeCell ref="L386:N386"/>
    <mergeCell ref="O386:Q386"/>
    <mergeCell ref="R386:T386"/>
    <mergeCell ref="U386:W386"/>
    <mergeCell ref="AS386:AY386"/>
    <mergeCell ref="B387:C387"/>
    <mergeCell ref="D387:G387"/>
    <mergeCell ref="H387:K387"/>
    <mergeCell ref="L387:N387"/>
    <mergeCell ref="O387:Q387"/>
    <mergeCell ref="R387:T387"/>
    <mergeCell ref="U387:W387"/>
    <mergeCell ref="AS387:AY387"/>
    <mergeCell ref="B384:C384"/>
    <mergeCell ref="D384:G384"/>
    <mergeCell ref="H384:K384"/>
    <mergeCell ref="L384:N384"/>
    <mergeCell ref="O384:Q384"/>
    <mergeCell ref="R384:T384"/>
    <mergeCell ref="U384:W384"/>
    <mergeCell ref="AS384:AY384"/>
    <mergeCell ref="B385:C385"/>
    <mergeCell ref="D385:G385"/>
    <mergeCell ref="H385:K385"/>
    <mergeCell ref="L385:N385"/>
    <mergeCell ref="O385:Q385"/>
    <mergeCell ref="R385:T385"/>
    <mergeCell ref="U385:W385"/>
    <mergeCell ref="AS385:AY385"/>
    <mergeCell ref="B390:C390"/>
    <mergeCell ref="D390:G390"/>
    <mergeCell ref="H390:K390"/>
    <mergeCell ref="L390:N390"/>
    <mergeCell ref="O390:Q390"/>
    <mergeCell ref="R390:T390"/>
    <mergeCell ref="U390:W390"/>
    <mergeCell ref="AS390:AY390"/>
    <mergeCell ref="B391:C391"/>
    <mergeCell ref="D391:G391"/>
    <mergeCell ref="H391:K391"/>
    <mergeCell ref="L391:N391"/>
    <mergeCell ref="O391:Q391"/>
    <mergeCell ref="R391:T391"/>
    <mergeCell ref="U391:W391"/>
    <mergeCell ref="AS391:AY391"/>
    <mergeCell ref="B388:C388"/>
    <mergeCell ref="D388:G388"/>
    <mergeCell ref="H388:K388"/>
    <mergeCell ref="L388:N388"/>
    <mergeCell ref="O388:Q388"/>
    <mergeCell ref="R388:T388"/>
    <mergeCell ref="U388:W388"/>
    <mergeCell ref="AS388:AY388"/>
    <mergeCell ref="B389:C389"/>
    <mergeCell ref="D389:G389"/>
    <mergeCell ref="H389:K389"/>
    <mergeCell ref="L389:N389"/>
    <mergeCell ref="O389:Q389"/>
    <mergeCell ref="R389:T389"/>
    <mergeCell ref="U389:W389"/>
    <mergeCell ref="AS389:AY389"/>
    <mergeCell ref="B394:C394"/>
    <mergeCell ref="D394:G394"/>
    <mergeCell ref="H394:K394"/>
    <mergeCell ref="L394:N394"/>
    <mergeCell ref="O394:Q394"/>
    <mergeCell ref="R394:T394"/>
    <mergeCell ref="U394:W394"/>
    <mergeCell ref="AS394:AY394"/>
    <mergeCell ref="B395:C395"/>
    <mergeCell ref="D395:G395"/>
    <mergeCell ref="H395:K395"/>
    <mergeCell ref="L395:N395"/>
    <mergeCell ref="O395:Q395"/>
    <mergeCell ref="R395:T395"/>
    <mergeCell ref="U395:W395"/>
    <mergeCell ref="AS395:AY395"/>
    <mergeCell ref="B392:C392"/>
    <mergeCell ref="D392:G392"/>
    <mergeCell ref="H392:K392"/>
    <mergeCell ref="L392:N392"/>
    <mergeCell ref="O392:Q392"/>
    <mergeCell ref="R392:T392"/>
    <mergeCell ref="U392:W392"/>
    <mergeCell ref="AS392:AY392"/>
    <mergeCell ref="B393:C393"/>
    <mergeCell ref="D393:G393"/>
    <mergeCell ref="H393:K393"/>
    <mergeCell ref="L393:N393"/>
    <mergeCell ref="O393:Q393"/>
    <mergeCell ref="R393:T393"/>
    <mergeCell ref="U393:W393"/>
    <mergeCell ref="AS393:AY393"/>
    <mergeCell ref="B398:C398"/>
    <mergeCell ref="D398:G398"/>
    <mergeCell ref="H398:K398"/>
    <mergeCell ref="L398:N398"/>
    <mergeCell ref="O398:Q398"/>
    <mergeCell ref="R398:T398"/>
    <mergeCell ref="U398:W398"/>
    <mergeCell ref="AS398:AY398"/>
    <mergeCell ref="B399:C399"/>
    <mergeCell ref="D399:G399"/>
    <mergeCell ref="H399:K399"/>
    <mergeCell ref="L399:N399"/>
    <mergeCell ref="O399:Q399"/>
    <mergeCell ref="R399:T399"/>
    <mergeCell ref="U399:W399"/>
    <mergeCell ref="AS399:AY399"/>
    <mergeCell ref="B396:C396"/>
    <mergeCell ref="D396:G396"/>
    <mergeCell ref="H396:K396"/>
    <mergeCell ref="L396:N396"/>
    <mergeCell ref="O396:Q396"/>
    <mergeCell ref="R396:T396"/>
    <mergeCell ref="U396:W396"/>
    <mergeCell ref="AS396:AY396"/>
    <mergeCell ref="B397:C397"/>
    <mergeCell ref="D397:G397"/>
    <mergeCell ref="H397:K397"/>
    <mergeCell ref="L397:N397"/>
    <mergeCell ref="O397:Q397"/>
    <mergeCell ref="R397:T397"/>
    <mergeCell ref="U397:W397"/>
    <mergeCell ref="AS397:AY397"/>
    <mergeCell ref="B402:C402"/>
    <mergeCell ref="D402:G402"/>
    <mergeCell ref="H402:K402"/>
    <mergeCell ref="L402:N402"/>
    <mergeCell ref="O402:Q402"/>
    <mergeCell ref="R402:T402"/>
    <mergeCell ref="U402:W402"/>
    <mergeCell ref="AS402:AY402"/>
    <mergeCell ref="B403:C403"/>
    <mergeCell ref="D403:G403"/>
    <mergeCell ref="H403:K403"/>
    <mergeCell ref="L403:N403"/>
    <mergeCell ref="O403:Q403"/>
    <mergeCell ref="R403:T403"/>
    <mergeCell ref="U403:W403"/>
    <mergeCell ref="AS403:AY403"/>
    <mergeCell ref="B400:C400"/>
    <mergeCell ref="D400:G400"/>
    <mergeCell ref="H400:K400"/>
    <mergeCell ref="L400:N400"/>
    <mergeCell ref="O400:Q400"/>
    <mergeCell ref="R400:T400"/>
    <mergeCell ref="U400:W400"/>
    <mergeCell ref="AS400:AY400"/>
    <mergeCell ref="B401:C401"/>
    <mergeCell ref="D401:G401"/>
    <mergeCell ref="H401:K401"/>
    <mergeCell ref="L401:N401"/>
    <mergeCell ref="O401:Q401"/>
    <mergeCell ref="R401:T401"/>
    <mergeCell ref="U401:W401"/>
    <mergeCell ref="AS401:AY401"/>
    <mergeCell ref="B406:C406"/>
    <mergeCell ref="D406:G406"/>
    <mergeCell ref="H406:K406"/>
    <mergeCell ref="L406:N406"/>
    <mergeCell ref="O406:Q406"/>
    <mergeCell ref="R406:T406"/>
    <mergeCell ref="U406:W406"/>
    <mergeCell ref="AS406:AY406"/>
    <mergeCell ref="B407:C407"/>
    <mergeCell ref="D407:G407"/>
    <mergeCell ref="H407:K407"/>
    <mergeCell ref="L407:N407"/>
    <mergeCell ref="O407:Q407"/>
    <mergeCell ref="R407:T407"/>
    <mergeCell ref="U407:W407"/>
    <mergeCell ref="AS407:AY407"/>
    <mergeCell ref="B404:C404"/>
    <mergeCell ref="D404:G404"/>
    <mergeCell ref="H404:K404"/>
    <mergeCell ref="L404:N404"/>
    <mergeCell ref="O404:Q404"/>
    <mergeCell ref="R404:T404"/>
    <mergeCell ref="U404:W404"/>
    <mergeCell ref="AS404:AY404"/>
    <mergeCell ref="B405:C405"/>
    <mergeCell ref="D405:G405"/>
    <mergeCell ref="H405:K405"/>
    <mergeCell ref="L405:N405"/>
    <mergeCell ref="O405:Q405"/>
    <mergeCell ref="R405:T405"/>
    <mergeCell ref="U405:W405"/>
    <mergeCell ref="AS405:AY405"/>
    <mergeCell ref="B410:C410"/>
    <mergeCell ref="D410:G410"/>
    <mergeCell ref="H410:K410"/>
    <mergeCell ref="L410:N410"/>
    <mergeCell ref="O410:Q410"/>
    <mergeCell ref="R410:T410"/>
    <mergeCell ref="U410:W410"/>
    <mergeCell ref="AS410:AY410"/>
    <mergeCell ref="B411:C411"/>
    <mergeCell ref="D411:G411"/>
    <mergeCell ref="H411:K411"/>
    <mergeCell ref="L411:N411"/>
    <mergeCell ref="O411:Q411"/>
    <mergeCell ref="R411:T411"/>
    <mergeCell ref="U411:W411"/>
    <mergeCell ref="AS411:AY411"/>
    <mergeCell ref="B408:C408"/>
    <mergeCell ref="D408:G408"/>
    <mergeCell ref="H408:K408"/>
    <mergeCell ref="L408:N408"/>
    <mergeCell ref="O408:Q408"/>
    <mergeCell ref="R408:T408"/>
    <mergeCell ref="U408:W408"/>
    <mergeCell ref="AS408:AY408"/>
    <mergeCell ref="B409:C409"/>
    <mergeCell ref="D409:G409"/>
    <mergeCell ref="H409:K409"/>
    <mergeCell ref="L409:N409"/>
    <mergeCell ref="O409:Q409"/>
    <mergeCell ref="R409:T409"/>
    <mergeCell ref="U409:W409"/>
    <mergeCell ref="AS409:AY409"/>
    <mergeCell ref="B414:C414"/>
    <mergeCell ref="D414:G414"/>
    <mergeCell ref="H414:K414"/>
    <mergeCell ref="L414:N414"/>
    <mergeCell ref="O414:Q414"/>
    <mergeCell ref="R414:T414"/>
    <mergeCell ref="U414:W414"/>
    <mergeCell ref="AS414:AY414"/>
    <mergeCell ref="B415:C415"/>
    <mergeCell ref="D415:G415"/>
    <mergeCell ref="H415:K415"/>
    <mergeCell ref="L415:N415"/>
    <mergeCell ref="O415:Q415"/>
    <mergeCell ref="R415:T415"/>
    <mergeCell ref="U415:W415"/>
    <mergeCell ref="AS415:AY415"/>
    <mergeCell ref="B412:C412"/>
    <mergeCell ref="D412:G412"/>
    <mergeCell ref="H412:K412"/>
    <mergeCell ref="L412:N412"/>
    <mergeCell ref="O412:Q412"/>
    <mergeCell ref="R412:T412"/>
    <mergeCell ref="U412:W412"/>
    <mergeCell ref="AS412:AY412"/>
    <mergeCell ref="B413:C413"/>
    <mergeCell ref="D413:G413"/>
    <mergeCell ref="H413:K413"/>
    <mergeCell ref="L413:N413"/>
    <mergeCell ref="O413:Q413"/>
    <mergeCell ref="R413:T413"/>
    <mergeCell ref="U413:W413"/>
    <mergeCell ref="AS413:AY413"/>
    <mergeCell ref="B418:C418"/>
    <mergeCell ref="D418:G418"/>
    <mergeCell ref="H418:K418"/>
    <mergeCell ref="L418:N418"/>
    <mergeCell ref="O418:Q418"/>
    <mergeCell ref="R418:T418"/>
    <mergeCell ref="U418:W418"/>
    <mergeCell ref="AS418:AY418"/>
    <mergeCell ref="B419:C419"/>
    <mergeCell ref="D419:G419"/>
    <mergeCell ref="H419:K419"/>
    <mergeCell ref="L419:N419"/>
    <mergeCell ref="O419:Q419"/>
    <mergeCell ref="R419:T419"/>
    <mergeCell ref="U419:W419"/>
    <mergeCell ref="AS419:AY419"/>
    <mergeCell ref="B416:C416"/>
    <mergeCell ref="D416:G416"/>
    <mergeCell ref="H416:K416"/>
    <mergeCell ref="L416:N416"/>
    <mergeCell ref="O416:Q416"/>
    <mergeCell ref="R416:T416"/>
    <mergeCell ref="U416:W416"/>
    <mergeCell ref="AS416:AY416"/>
    <mergeCell ref="B417:C417"/>
    <mergeCell ref="D417:G417"/>
    <mergeCell ref="H417:K417"/>
    <mergeCell ref="L417:N417"/>
    <mergeCell ref="O417:Q417"/>
    <mergeCell ref="R417:T417"/>
    <mergeCell ref="U417:W417"/>
    <mergeCell ref="AS417:AY417"/>
    <mergeCell ref="B422:C422"/>
    <mergeCell ref="D422:G422"/>
    <mergeCell ref="H422:K422"/>
    <mergeCell ref="L422:N422"/>
    <mergeCell ref="O422:Q422"/>
    <mergeCell ref="R422:T422"/>
    <mergeCell ref="U422:W422"/>
    <mergeCell ref="AS422:AY422"/>
    <mergeCell ref="B423:C423"/>
    <mergeCell ref="D423:G423"/>
    <mergeCell ref="H423:K423"/>
    <mergeCell ref="L423:N423"/>
    <mergeCell ref="O423:Q423"/>
    <mergeCell ref="R423:T423"/>
    <mergeCell ref="U423:W423"/>
    <mergeCell ref="AS423:AY423"/>
    <mergeCell ref="B420:C420"/>
    <mergeCell ref="D420:G420"/>
    <mergeCell ref="H420:K420"/>
    <mergeCell ref="L420:N420"/>
    <mergeCell ref="O420:Q420"/>
    <mergeCell ref="R420:T420"/>
    <mergeCell ref="U420:W420"/>
    <mergeCell ref="AS420:AY420"/>
    <mergeCell ref="B421:C421"/>
    <mergeCell ref="D421:G421"/>
    <mergeCell ref="H421:K421"/>
    <mergeCell ref="L421:N421"/>
    <mergeCell ref="O421:Q421"/>
    <mergeCell ref="R421:T421"/>
    <mergeCell ref="U421:W421"/>
    <mergeCell ref="AS421:AY421"/>
    <mergeCell ref="B426:C426"/>
    <mergeCell ref="D426:G426"/>
    <mergeCell ref="H426:K426"/>
    <mergeCell ref="L426:N426"/>
    <mergeCell ref="O426:Q426"/>
    <mergeCell ref="R426:T426"/>
    <mergeCell ref="U426:W426"/>
    <mergeCell ref="AS426:AY426"/>
    <mergeCell ref="B427:C427"/>
    <mergeCell ref="D427:G427"/>
    <mergeCell ref="H427:K427"/>
    <mergeCell ref="L427:N427"/>
    <mergeCell ref="O427:Q427"/>
    <mergeCell ref="R427:T427"/>
    <mergeCell ref="U427:W427"/>
    <mergeCell ref="AS427:AY427"/>
    <mergeCell ref="B424:C424"/>
    <mergeCell ref="D424:G424"/>
    <mergeCell ref="H424:K424"/>
    <mergeCell ref="L424:N424"/>
    <mergeCell ref="O424:Q424"/>
    <mergeCell ref="R424:T424"/>
    <mergeCell ref="U424:W424"/>
    <mergeCell ref="AS424:AY424"/>
    <mergeCell ref="B425:C425"/>
    <mergeCell ref="D425:G425"/>
    <mergeCell ref="H425:K425"/>
    <mergeCell ref="L425:N425"/>
    <mergeCell ref="O425:Q425"/>
    <mergeCell ref="R425:T425"/>
    <mergeCell ref="U425:W425"/>
    <mergeCell ref="AS425:AY425"/>
    <mergeCell ref="B430:C430"/>
    <mergeCell ref="D430:G430"/>
    <mergeCell ref="H430:K430"/>
    <mergeCell ref="L430:N430"/>
    <mergeCell ref="O430:Q430"/>
    <mergeCell ref="R430:T430"/>
    <mergeCell ref="U430:W430"/>
    <mergeCell ref="AS430:AY430"/>
    <mergeCell ref="B431:C431"/>
    <mergeCell ref="D431:G431"/>
    <mergeCell ref="H431:K431"/>
    <mergeCell ref="L431:N431"/>
    <mergeCell ref="O431:Q431"/>
    <mergeCell ref="R431:T431"/>
    <mergeCell ref="U431:W431"/>
    <mergeCell ref="AS431:AY431"/>
    <mergeCell ref="B428:C428"/>
    <mergeCell ref="D428:G428"/>
    <mergeCell ref="H428:K428"/>
    <mergeCell ref="L428:N428"/>
    <mergeCell ref="O428:Q428"/>
    <mergeCell ref="R428:T428"/>
    <mergeCell ref="U428:W428"/>
    <mergeCell ref="AS428:AY428"/>
    <mergeCell ref="B429:C429"/>
    <mergeCell ref="D429:G429"/>
    <mergeCell ref="H429:K429"/>
    <mergeCell ref="L429:N429"/>
    <mergeCell ref="O429:Q429"/>
    <mergeCell ref="R429:T429"/>
    <mergeCell ref="U429:W429"/>
    <mergeCell ref="AS429:AY429"/>
    <mergeCell ref="B434:C434"/>
    <mergeCell ref="D434:G434"/>
    <mergeCell ref="H434:K434"/>
    <mergeCell ref="L434:N434"/>
    <mergeCell ref="O434:Q434"/>
    <mergeCell ref="R434:T434"/>
    <mergeCell ref="U434:W434"/>
    <mergeCell ref="AS434:AY434"/>
    <mergeCell ref="B435:C435"/>
    <mergeCell ref="D435:G435"/>
    <mergeCell ref="H435:K435"/>
    <mergeCell ref="L435:N435"/>
    <mergeCell ref="O435:Q435"/>
    <mergeCell ref="R435:T435"/>
    <mergeCell ref="U435:W435"/>
    <mergeCell ref="AS435:AY435"/>
    <mergeCell ref="B432:C432"/>
    <mergeCell ref="D432:G432"/>
    <mergeCell ref="H432:K432"/>
    <mergeCell ref="L432:N432"/>
    <mergeCell ref="O432:Q432"/>
    <mergeCell ref="R432:T432"/>
    <mergeCell ref="U432:W432"/>
    <mergeCell ref="AS432:AY432"/>
    <mergeCell ref="B433:C433"/>
    <mergeCell ref="D433:G433"/>
    <mergeCell ref="H433:K433"/>
    <mergeCell ref="L433:N433"/>
    <mergeCell ref="O433:Q433"/>
    <mergeCell ref="R433:T433"/>
    <mergeCell ref="U433:W433"/>
    <mergeCell ref="AS433:AY433"/>
    <mergeCell ref="B438:C438"/>
    <mergeCell ref="D438:G438"/>
    <mergeCell ref="H438:K438"/>
    <mergeCell ref="L438:N438"/>
    <mergeCell ref="O438:Q438"/>
    <mergeCell ref="R438:T438"/>
    <mergeCell ref="U438:W438"/>
    <mergeCell ref="AS438:AY438"/>
    <mergeCell ref="B439:C439"/>
    <mergeCell ref="D439:G439"/>
    <mergeCell ref="H439:K439"/>
    <mergeCell ref="L439:N439"/>
    <mergeCell ref="O439:Q439"/>
    <mergeCell ref="R439:T439"/>
    <mergeCell ref="U439:W439"/>
    <mergeCell ref="AS439:AY439"/>
    <mergeCell ref="B436:C436"/>
    <mergeCell ref="D436:G436"/>
    <mergeCell ref="H436:K436"/>
    <mergeCell ref="L436:N436"/>
    <mergeCell ref="O436:Q436"/>
    <mergeCell ref="R436:T436"/>
    <mergeCell ref="U436:W436"/>
    <mergeCell ref="AS436:AY436"/>
    <mergeCell ref="B437:C437"/>
    <mergeCell ref="D437:G437"/>
    <mergeCell ref="H437:K437"/>
    <mergeCell ref="L437:N437"/>
    <mergeCell ref="O437:Q437"/>
    <mergeCell ref="R437:T437"/>
    <mergeCell ref="U437:W437"/>
    <mergeCell ref="AS437:AY437"/>
    <mergeCell ref="B442:C442"/>
    <mergeCell ref="D442:G442"/>
    <mergeCell ref="H442:K442"/>
    <mergeCell ref="L442:N442"/>
    <mergeCell ref="O442:Q442"/>
    <mergeCell ref="R442:T442"/>
    <mergeCell ref="U442:W442"/>
    <mergeCell ref="AS442:AY442"/>
    <mergeCell ref="B443:C443"/>
    <mergeCell ref="D443:G443"/>
    <mergeCell ref="H443:K443"/>
    <mergeCell ref="L443:N443"/>
    <mergeCell ref="O443:Q443"/>
    <mergeCell ref="R443:T443"/>
    <mergeCell ref="U443:W443"/>
    <mergeCell ref="AS443:AY443"/>
    <mergeCell ref="B440:C440"/>
    <mergeCell ref="D440:G440"/>
    <mergeCell ref="H440:K440"/>
    <mergeCell ref="L440:N440"/>
    <mergeCell ref="O440:Q440"/>
    <mergeCell ref="R440:T440"/>
    <mergeCell ref="U440:W440"/>
    <mergeCell ref="AS440:AY440"/>
    <mergeCell ref="B441:C441"/>
    <mergeCell ref="D441:G441"/>
    <mergeCell ref="H441:K441"/>
    <mergeCell ref="L441:N441"/>
    <mergeCell ref="O441:Q441"/>
    <mergeCell ref="R441:T441"/>
    <mergeCell ref="U441:W441"/>
    <mergeCell ref="AS441:AY441"/>
    <mergeCell ref="B446:C446"/>
    <mergeCell ref="D446:G446"/>
    <mergeCell ref="H446:K446"/>
    <mergeCell ref="L446:N446"/>
    <mergeCell ref="O446:Q446"/>
    <mergeCell ref="R446:T446"/>
    <mergeCell ref="U446:W446"/>
    <mergeCell ref="AS446:AY446"/>
    <mergeCell ref="B447:C447"/>
    <mergeCell ref="D447:G447"/>
    <mergeCell ref="H447:K447"/>
    <mergeCell ref="L447:N447"/>
    <mergeCell ref="O447:Q447"/>
    <mergeCell ref="R447:T447"/>
    <mergeCell ref="U447:W447"/>
    <mergeCell ref="AS447:AY447"/>
    <mergeCell ref="B444:C444"/>
    <mergeCell ref="D444:G444"/>
    <mergeCell ref="H444:K444"/>
    <mergeCell ref="L444:N444"/>
    <mergeCell ref="O444:Q444"/>
    <mergeCell ref="R444:T444"/>
    <mergeCell ref="U444:W444"/>
    <mergeCell ref="AS444:AY444"/>
    <mergeCell ref="B445:C445"/>
    <mergeCell ref="D445:G445"/>
    <mergeCell ref="H445:K445"/>
    <mergeCell ref="L445:N445"/>
    <mergeCell ref="O445:Q445"/>
    <mergeCell ref="R445:T445"/>
    <mergeCell ref="U445:W445"/>
    <mergeCell ref="AS445:AY445"/>
    <mergeCell ref="B450:C450"/>
    <mergeCell ref="D450:G450"/>
    <mergeCell ref="H450:K450"/>
    <mergeCell ref="L450:N450"/>
    <mergeCell ref="O450:Q450"/>
    <mergeCell ref="R450:T450"/>
    <mergeCell ref="U450:W450"/>
    <mergeCell ref="AS450:AY450"/>
    <mergeCell ref="B451:C451"/>
    <mergeCell ref="D451:G451"/>
    <mergeCell ref="H451:K451"/>
    <mergeCell ref="L451:N451"/>
    <mergeCell ref="O451:Q451"/>
    <mergeCell ref="R451:T451"/>
    <mergeCell ref="U451:W451"/>
    <mergeCell ref="AS451:AY451"/>
    <mergeCell ref="B448:C448"/>
    <mergeCell ref="D448:G448"/>
    <mergeCell ref="H448:K448"/>
    <mergeCell ref="L448:N448"/>
    <mergeCell ref="O448:Q448"/>
    <mergeCell ref="R448:T448"/>
    <mergeCell ref="U448:W448"/>
    <mergeCell ref="AS448:AY448"/>
    <mergeCell ref="B449:C449"/>
    <mergeCell ref="D449:G449"/>
    <mergeCell ref="H449:K449"/>
    <mergeCell ref="L449:N449"/>
    <mergeCell ref="O449:Q449"/>
    <mergeCell ref="R449:T449"/>
    <mergeCell ref="U449:W449"/>
    <mergeCell ref="AS449:AY449"/>
    <mergeCell ref="B454:C454"/>
    <mergeCell ref="D454:G454"/>
    <mergeCell ref="H454:K454"/>
    <mergeCell ref="L454:N454"/>
    <mergeCell ref="O454:Q454"/>
    <mergeCell ref="R454:T454"/>
    <mergeCell ref="U454:W454"/>
    <mergeCell ref="AS454:AY454"/>
    <mergeCell ref="B455:C455"/>
    <mergeCell ref="D455:G455"/>
    <mergeCell ref="H455:K455"/>
    <mergeCell ref="L455:N455"/>
    <mergeCell ref="O455:Q455"/>
    <mergeCell ref="R455:T455"/>
    <mergeCell ref="U455:W455"/>
    <mergeCell ref="AS455:AY455"/>
    <mergeCell ref="B452:C452"/>
    <mergeCell ref="D452:G452"/>
    <mergeCell ref="H452:K452"/>
    <mergeCell ref="L452:N452"/>
    <mergeCell ref="O452:Q452"/>
    <mergeCell ref="R452:T452"/>
    <mergeCell ref="U452:W452"/>
    <mergeCell ref="AS452:AY452"/>
    <mergeCell ref="B453:C453"/>
    <mergeCell ref="D453:G453"/>
    <mergeCell ref="H453:K453"/>
    <mergeCell ref="L453:N453"/>
    <mergeCell ref="O453:Q453"/>
    <mergeCell ref="R453:T453"/>
    <mergeCell ref="U453:W453"/>
    <mergeCell ref="AS453:AY453"/>
    <mergeCell ref="B458:C458"/>
    <mergeCell ref="D458:G458"/>
    <mergeCell ref="H458:K458"/>
    <mergeCell ref="L458:N458"/>
    <mergeCell ref="O458:Q458"/>
    <mergeCell ref="R458:T458"/>
    <mergeCell ref="U458:W458"/>
    <mergeCell ref="AS458:AY458"/>
    <mergeCell ref="B459:C459"/>
    <mergeCell ref="D459:G459"/>
    <mergeCell ref="H459:K459"/>
    <mergeCell ref="L459:N459"/>
    <mergeCell ref="O459:Q459"/>
    <mergeCell ref="R459:T459"/>
    <mergeCell ref="U459:W459"/>
    <mergeCell ref="AS459:AY459"/>
    <mergeCell ref="B456:C456"/>
    <mergeCell ref="D456:G456"/>
    <mergeCell ref="H456:K456"/>
    <mergeCell ref="L456:N456"/>
    <mergeCell ref="O456:Q456"/>
    <mergeCell ref="R456:T456"/>
    <mergeCell ref="U456:W456"/>
    <mergeCell ref="AS456:AY456"/>
    <mergeCell ref="B457:C457"/>
    <mergeCell ref="D457:G457"/>
    <mergeCell ref="H457:K457"/>
    <mergeCell ref="L457:N457"/>
    <mergeCell ref="O457:Q457"/>
    <mergeCell ref="R457:T457"/>
    <mergeCell ref="U457:W457"/>
    <mergeCell ref="AS457:AY457"/>
    <mergeCell ref="B462:C462"/>
    <mergeCell ref="D462:G462"/>
    <mergeCell ref="H462:K462"/>
    <mergeCell ref="L462:N462"/>
    <mergeCell ref="O462:Q462"/>
    <mergeCell ref="R462:T462"/>
    <mergeCell ref="U462:W462"/>
    <mergeCell ref="AS462:AY462"/>
    <mergeCell ref="B463:C463"/>
    <mergeCell ref="D463:G463"/>
    <mergeCell ref="H463:K463"/>
    <mergeCell ref="L463:N463"/>
    <mergeCell ref="O463:Q463"/>
    <mergeCell ref="R463:T463"/>
    <mergeCell ref="U463:W463"/>
    <mergeCell ref="AS463:AY463"/>
    <mergeCell ref="B460:C460"/>
    <mergeCell ref="D460:G460"/>
    <mergeCell ref="H460:K460"/>
    <mergeCell ref="L460:N460"/>
    <mergeCell ref="O460:Q460"/>
    <mergeCell ref="R460:T460"/>
    <mergeCell ref="U460:W460"/>
    <mergeCell ref="AS460:AY460"/>
    <mergeCell ref="B461:C461"/>
    <mergeCell ref="D461:G461"/>
    <mergeCell ref="H461:K461"/>
    <mergeCell ref="L461:N461"/>
    <mergeCell ref="O461:Q461"/>
    <mergeCell ref="R461:T461"/>
    <mergeCell ref="U461:W461"/>
    <mergeCell ref="AS461:AY461"/>
    <mergeCell ref="B466:C466"/>
    <mergeCell ref="D466:G466"/>
    <mergeCell ref="H466:K466"/>
    <mergeCell ref="L466:N466"/>
    <mergeCell ref="O466:Q466"/>
    <mergeCell ref="R466:T466"/>
    <mergeCell ref="U466:W466"/>
    <mergeCell ref="AS466:AY466"/>
    <mergeCell ref="B467:C467"/>
    <mergeCell ref="D467:G467"/>
    <mergeCell ref="H467:K467"/>
    <mergeCell ref="L467:N467"/>
    <mergeCell ref="O467:Q467"/>
    <mergeCell ref="R467:T467"/>
    <mergeCell ref="U467:W467"/>
    <mergeCell ref="AS467:AY467"/>
    <mergeCell ref="B464:C464"/>
    <mergeCell ref="D464:G464"/>
    <mergeCell ref="H464:K464"/>
    <mergeCell ref="L464:N464"/>
    <mergeCell ref="O464:Q464"/>
    <mergeCell ref="R464:T464"/>
    <mergeCell ref="U464:W464"/>
    <mergeCell ref="AS464:AY464"/>
    <mergeCell ref="B465:C465"/>
    <mergeCell ref="D465:G465"/>
    <mergeCell ref="H465:K465"/>
    <mergeCell ref="L465:N465"/>
    <mergeCell ref="O465:Q465"/>
    <mergeCell ref="R465:T465"/>
    <mergeCell ref="U465:W465"/>
    <mergeCell ref="AS465:AY465"/>
    <mergeCell ref="B470:C470"/>
    <mergeCell ref="D470:G470"/>
    <mergeCell ref="H470:K470"/>
    <mergeCell ref="L470:N470"/>
    <mergeCell ref="O470:Q470"/>
    <mergeCell ref="R470:T470"/>
    <mergeCell ref="U470:W470"/>
    <mergeCell ref="AS470:AY470"/>
    <mergeCell ref="B471:C471"/>
    <mergeCell ref="D471:G471"/>
    <mergeCell ref="H471:K471"/>
    <mergeCell ref="L471:N471"/>
    <mergeCell ref="O471:Q471"/>
    <mergeCell ref="R471:T471"/>
    <mergeCell ref="U471:W471"/>
    <mergeCell ref="AS471:AY471"/>
    <mergeCell ref="B468:C468"/>
    <mergeCell ref="D468:G468"/>
    <mergeCell ref="H468:K468"/>
    <mergeCell ref="L468:N468"/>
    <mergeCell ref="O468:Q468"/>
    <mergeCell ref="R468:T468"/>
    <mergeCell ref="U468:W468"/>
    <mergeCell ref="AS468:AY468"/>
    <mergeCell ref="B469:C469"/>
    <mergeCell ref="D469:G469"/>
    <mergeCell ref="H469:K469"/>
    <mergeCell ref="L469:N469"/>
    <mergeCell ref="O469:Q469"/>
    <mergeCell ref="R469:T469"/>
    <mergeCell ref="U469:W469"/>
    <mergeCell ref="AS469:AY469"/>
    <mergeCell ref="B474:C474"/>
    <mergeCell ref="D474:G474"/>
    <mergeCell ref="H474:K474"/>
    <mergeCell ref="L474:N474"/>
    <mergeCell ref="O474:Q474"/>
    <mergeCell ref="R474:T474"/>
    <mergeCell ref="U474:W474"/>
    <mergeCell ref="AS474:AY474"/>
    <mergeCell ref="B475:C475"/>
    <mergeCell ref="D475:G475"/>
    <mergeCell ref="H475:K475"/>
    <mergeCell ref="L475:N475"/>
    <mergeCell ref="O475:Q475"/>
    <mergeCell ref="R475:T475"/>
    <mergeCell ref="U475:W475"/>
    <mergeCell ref="AS475:AY475"/>
    <mergeCell ref="B472:C472"/>
    <mergeCell ref="D472:G472"/>
    <mergeCell ref="H472:K472"/>
    <mergeCell ref="L472:N472"/>
    <mergeCell ref="O472:Q472"/>
    <mergeCell ref="R472:T472"/>
    <mergeCell ref="U472:W472"/>
    <mergeCell ref="AS472:AY472"/>
    <mergeCell ref="B473:C473"/>
    <mergeCell ref="D473:G473"/>
    <mergeCell ref="H473:K473"/>
    <mergeCell ref="L473:N473"/>
    <mergeCell ref="O473:Q473"/>
    <mergeCell ref="R473:T473"/>
    <mergeCell ref="U473:W473"/>
    <mergeCell ref="AS473:AY473"/>
    <mergeCell ref="B478:C478"/>
    <mergeCell ref="D478:G478"/>
    <mergeCell ref="H478:K478"/>
    <mergeCell ref="L478:N478"/>
    <mergeCell ref="O478:Q478"/>
    <mergeCell ref="R478:T478"/>
    <mergeCell ref="U478:W478"/>
    <mergeCell ref="AS478:AY478"/>
    <mergeCell ref="B479:C479"/>
    <mergeCell ref="D479:G479"/>
    <mergeCell ref="H479:K479"/>
    <mergeCell ref="L479:N479"/>
    <mergeCell ref="O479:Q479"/>
    <mergeCell ref="R479:T479"/>
    <mergeCell ref="U479:W479"/>
    <mergeCell ref="AS479:AY479"/>
    <mergeCell ref="B476:C476"/>
    <mergeCell ref="D476:G476"/>
    <mergeCell ref="H476:K476"/>
    <mergeCell ref="L476:N476"/>
    <mergeCell ref="O476:Q476"/>
    <mergeCell ref="R476:T476"/>
    <mergeCell ref="U476:W476"/>
    <mergeCell ref="AS476:AY476"/>
    <mergeCell ref="B477:C477"/>
    <mergeCell ref="D477:G477"/>
    <mergeCell ref="H477:K477"/>
    <mergeCell ref="L477:N477"/>
    <mergeCell ref="O477:Q477"/>
    <mergeCell ref="R477:T477"/>
    <mergeCell ref="U477:W477"/>
    <mergeCell ref="AS477:AY477"/>
    <mergeCell ref="B482:C482"/>
    <mergeCell ref="D482:G482"/>
    <mergeCell ref="H482:K482"/>
    <mergeCell ref="L482:N482"/>
    <mergeCell ref="O482:Q482"/>
    <mergeCell ref="R482:T482"/>
    <mergeCell ref="U482:W482"/>
    <mergeCell ref="AS482:AY482"/>
    <mergeCell ref="B483:C483"/>
    <mergeCell ref="D483:G483"/>
    <mergeCell ref="H483:K483"/>
    <mergeCell ref="L483:N483"/>
    <mergeCell ref="O483:Q483"/>
    <mergeCell ref="R483:T483"/>
    <mergeCell ref="U483:W483"/>
    <mergeCell ref="AS483:AY483"/>
    <mergeCell ref="B480:C480"/>
    <mergeCell ref="D480:G480"/>
    <mergeCell ref="H480:K480"/>
    <mergeCell ref="L480:N480"/>
    <mergeCell ref="O480:Q480"/>
    <mergeCell ref="R480:T480"/>
    <mergeCell ref="U480:W480"/>
    <mergeCell ref="AS480:AY480"/>
    <mergeCell ref="B481:C481"/>
    <mergeCell ref="D481:G481"/>
    <mergeCell ref="H481:K481"/>
    <mergeCell ref="L481:N481"/>
    <mergeCell ref="O481:Q481"/>
    <mergeCell ref="R481:T481"/>
    <mergeCell ref="U481:W481"/>
    <mergeCell ref="AS481:AY481"/>
    <mergeCell ref="B486:C486"/>
    <mergeCell ref="D486:G486"/>
    <mergeCell ref="H486:K486"/>
    <mergeCell ref="L486:N486"/>
    <mergeCell ref="O486:Q486"/>
    <mergeCell ref="R486:T486"/>
    <mergeCell ref="U486:W486"/>
    <mergeCell ref="AS486:AY486"/>
    <mergeCell ref="B487:C487"/>
    <mergeCell ref="D487:G487"/>
    <mergeCell ref="H487:K487"/>
    <mergeCell ref="L487:N487"/>
    <mergeCell ref="O487:Q487"/>
    <mergeCell ref="R487:T487"/>
    <mergeCell ref="U487:W487"/>
    <mergeCell ref="AS487:AY487"/>
    <mergeCell ref="B484:C484"/>
    <mergeCell ref="D484:G484"/>
    <mergeCell ref="H484:K484"/>
    <mergeCell ref="L484:N484"/>
    <mergeCell ref="O484:Q484"/>
    <mergeCell ref="R484:T484"/>
    <mergeCell ref="U484:W484"/>
    <mergeCell ref="AS484:AY484"/>
    <mergeCell ref="B485:C485"/>
    <mergeCell ref="D485:G485"/>
    <mergeCell ref="H485:K485"/>
    <mergeCell ref="L485:N485"/>
    <mergeCell ref="O485:Q485"/>
    <mergeCell ref="R485:T485"/>
    <mergeCell ref="U485:W485"/>
    <mergeCell ref="AS485:AY485"/>
    <mergeCell ref="B490:C490"/>
    <mergeCell ref="D490:G490"/>
    <mergeCell ref="H490:K490"/>
    <mergeCell ref="L490:N490"/>
    <mergeCell ref="O490:Q490"/>
    <mergeCell ref="R490:T490"/>
    <mergeCell ref="U490:W490"/>
    <mergeCell ref="AS490:AY490"/>
    <mergeCell ref="B491:C491"/>
    <mergeCell ref="D491:G491"/>
    <mergeCell ref="H491:K491"/>
    <mergeCell ref="L491:N491"/>
    <mergeCell ref="O491:Q491"/>
    <mergeCell ref="R491:T491"/>
    <mergeCell ref="U491:W491"/>
    <mergeCell ref="AS491:AY491"/>
    <mergeCell ref="B488:C488"/>
    <mergeCell ref="D488:G488"/>
    <mergeCell ref="H488:K488"/>
    <mergeCell ref="L488:N488"/>
    <mergeCell ref="O488:Q488"/>
    <mergeCell ref="R488:T488"/>
    <mergeCell ref="U488:W488"/>
    <mergeCell ref="AS488:AY488"/>
    <mergeCell ref="B489:C489"/>
    <mergeCell ref="D489:G489"/>
    <mergeCell ref="H489:K489"/>
    <mergeCell ref="L489:N489"/>
    <mergeCell ref="O489:Q489"/>
    <mergeCell ref="R489:T489"/>
    <mergeCell ref="U489:W489"/>
    <mergeCell ref="AS489:AY489"/>
    <mergeCell ref="B494:C494"/>
    <mergeCell ref="D494:G494"/>
    <mergeCell ref="H494:K494"/>
    <mergeCell ref="L494:N494"/>
    <mergeCell ref="O494:Q494"/>
    <mergeCell ref="R494:T494"/>
    <mergeCell ref="U494:W494"/>
    <mergeCell ref="AS494:AY494"/>
    <mergeCell ref="B495:C495"/>
    <mergeCell ref="D495:G495"/>
    <mergeCell ref="H495:K495"/>
    <mergeCell ref="L495:N495"/>
    <mergeCell ref="O495:Q495"/>
    <mergeCell ref="R495:T495"/>
    <mergeCell ref="U495:W495"/>
    <mergeCell ref="AS495:AY495"/>
    <mergeCell ref="B492:C492"/>
    <mergeCell ref="D492:G492"/>
    <mergeCell ref="H492:K492"/>
    <mergeCell ref="L492:N492"/>
    <mergeCell ref="O492:Q492"/>
    <mergeCell ref="R492:T492"/>
    <mergeCell ref="U492:W492"/>
    <mergeCell ref="AS492:AY492"/>
    <mergeCell ref="B493:C493"/>
    <mergeCell ref="D493:G493"/>
    <mergeCell ref="H493:K493"/>
    <mergeCell ref="L493:N493"/>
    <mergeCell ref="O493:Q493"/>
    <mergeCell ref="R493:T493"/>
    <mergeCell ref="U493:W493"/>
    <mergeCell ref="AS493:AY493"/>
    <mergeCell ref="B498:C498"/>
    <mergeCell ref="D498:G498"/>
    <mergeCell ref="H498:K498"/>
    <mergeCell ref="L498:N498"/>
    <mergeCell ref="O498:Q498"/>
    <mergeCell ref="R498:T498"/>
    <mergeCell ref="U498:W498"/>
    <mergeCell ref="AS498:AY498"/>
    <mergeCell ref="B499:C499"/>
    <mergeCell ref="D499:G499"/>
    <mergeCell ref="H499:K499"/>
    <mergeCell ref="L499:N499"/>
    <mergeCell ref="O499:Q499"/>
    <mergeCell ref="R499:T499"/>
    <mergeCell ref="U499:W499"/>
    <mergeCell ref="AS499:AY499"/>
    <mergeCell ref="B496:C496"/>
    <mergeCell ref="D496:G496"/>
    <mergeCell ref="H496:K496"/>
    <mergeCell ref="L496:N496"/>
    <mergeCell ref="O496:Q496"/>
    <mergeCell ref="R496:T496"/>
    <mergeCell ref="U496:W496"/>
    <mergeCell ref="AS496:AY496"/>
    <mergeCell ref="B497:C497"/>
    <mergeCell ref="D497:G497"/>
    <mergeCell ref="H497:K497"/>
    <mergeCell ref="L497:N497"/>
    <mergeCell ref="O497:Q497"/>
    <mergeCell ref="R497:T497"/>
    <mergeCell ref="U497:W497"/>
    <mergeCell ref="AS497:AY497"/>
    <mergeCell ref="B502:C502"/>
    <mergeCell ref="D502:G502"/>
    <mergeCell ref="H502:K502"/>
    <mergeCell ref="L502:N502"/>
    <mergeCell ref="O502:Q502"/>
    <mergeCell ref="R502:T502"/>
    <mergeCell ref="U502:W502"/>
    <mergeCell ref="AS502:AY502"/>
    <mergeCell ref="B503:C503"/>
    <mergeCell ref="D503:G503"/>
    <mergeCell ref="H503:K503"/>
    <mergeCell ref="L503:N503"/>
    <mergeCell ref="O503:Q503"/>
    <mergeCell ref="R503:T503"/>
    <mergeCell ref="U503:W503"/>
    <mergeCell ref="AS503:AY503"/>
    <mergeCell ref="B500:C500"/>
    <mergeCell ref="D500:G500"/>
    <mergeCell ref="H500:K500"/>
    <mergeCell ref="L500:N500"/>
    <mergeCell ref="O500:Q500"/>
    <mergeCell ref="R500:T500"/>
    <mergeCell ref="U500:W500"/>
    <mergeCell ref="AS500:AY500"/>
    <mergeCell ref="B501:C501"/>
    <mergeCell ref="D501:G501"/>
    <mergeCell ref="H501:K501"/>
    <mergeCell ref="L501:N501"/>
    <mergeCell ref="O501:Q501"/>
    <mergeCell ref="R501:T501"/>
    <mergeCell ref="U501:W501"/>
    <mergeCell ref="AS501:AY501"/>
    <mergeCell ref="B506:C506"/>
    <mergeCell ref="D506:G506"/>
    <mergeCell ref="H506:K506"/>
    <mergeCell ref="L506:N506"/>
    <mergeCell ref="O506:Q506"/>
    <mergeCell ref="R506:T506"/>
    <mergeCell ref="U506:W506"/>
    <mergeCell ref="AS506:AY506"/>
    <mergeCell ref="B507:C507"/>
    <mergeCell ref="D507:G507"/>
    <mergeCell ref="H507:K507"/>
    <mergeCell ref="L507:N507"/>
    <mergeCell ref="O507:Q507"/>
    <mergeCell ref="R507:T507"/>
    <mergeCell ref="U507:W507"/>
    <mergeCell ref="AS507:AY507"/>
    <mergeCell ref="B504:C504"/>
    <mergeCell ref="D504:G504"/>
    <mergeCell ref="H504:K504"/>
    <mergeCell ref="L504:N504"/>
    <mergeCell ref="O504:Q504"/>
    <mergeCell ref="R504:T504"/>
    <mergeCell ref="U504:W504"/>
    <mergeCell ref="AS504:AY504"/>
    <mergeCell ref="B505:C505"/>
    <mergeCell ref="D505:G505"/>
    <mergeCell ref="H505:K505"/>
    <mergeCell ref="L505:N505"/>
    <mergeCell ref="O505:Q505"/>
    <mergeCell ref="R505:T505"/>
    <mergeCell ref="U505:W505"/>
    <mergeCell ref="AS505:AY505"/>
    <mergeCell ref="B510:C510"/>
    <mergeCell ref="D510:G510"/>
    <mergeCell ref="H510:K510"/>
    <mergeCell ref="L510:N510"/>
    <mergeCell ref="O510:Q510"/>
    <mergeCell ref="R510:T510"/>
    <mergeCell ref="U510:W510"/>
    <mergeCell ref="AS510:AY510"/>
    <mergeCell ref="B511:C511"/>
    <mergeCell ref="D511:G511"/>
    <mergeCell ref="H511:K511"/>
    <mergeCell ref="L511:N511"/>
    <mergeCell ref="O511:Q511"/>
    <mergeCell ref="R511:T511"/>
    <mergeCell ref="U511:W511"/>
    <mergeCell ref="AS511:AY511"/>
    <mergeCell ref="B508:C508"/>
    <mergeCell ref="D508:G508"/>
    <mergeCell ref="H508:K508"/>
    <mergeCell ref="L508:N508"/>
    <mergeCell ref="O508:Q508"/>
    <mergeCell ref="R508:T508"/>
    <mergeCell ref="U508:W508"/>
    <mergeCell ref="AS508:AY508"/>
    <mergeCell ref="B509:C509"/>
    <mergeCell ref="D509:G509"/>
    <mergeCell ref="H509:K509"/>
    <mergeCell ref="L509:N509"/>
    <mergeCell ref="O509:Q509"/>
    <mergeCell ref="R509:T509"/>
    <mergeCell ref="U509:W509"/>
    <mergeCell ref="AS509:AY509"/>
    <mergeCell ref="B514:C514"/>
    <mergeCell ref="D514:G514"/>
    <mergeCell ref="H514:K514"/>
    <mergeCell ref="L514:N514"/>
    <mergeCell ref="O514:Q514"/>
    <mergeCell ref="R514:T514"/>
    <mergeCell ref="U514:W514"/>
    <mergeCell ref="AS514:AY514"/>
    <mergeCell ref="B512:C512"/>
    <mergeCell ref="D512:G512"/>
    <mergeCell ref="H512:K512"/>
    <mergeCell ref="L512:N512"/>
    <mergeCell ref="O512:Q512"/>
    <mergeCell ref="R512:T512"/>
    <mergeCell ref="U512:W512"/>
    <mergeCell ref="AS512:AY512"/>
    <mergeCell ref="B513:C513"/>
    <mergeCell ref="D513:G513"/>
    <mergeCell ref="H513:K513"/>
    <mergeCell ref="L513:N513"/>
    <mergeCell ref="O513:Q513"/>
    <mergeCell ref="R513:T513"/>
    <mergeCell ref="U513:W513"/>
    <mergeCell ref="AS513:AY513"/>
    <mergeCell ref="BB22:BC22"/>
    <mergeCell ref="BD22:BF22"/>
    <mergeCell ref="BG22:BJ22"/>
    <mergeCell ref="BK22:BM22"/>
    <mergeCell ref="BP22:BR22"/>
    <mergeCell ref="BS22:BU22"/>
    <mergeCell ref="BB23:BC23"/>
    <mergeCell ref="BD23:BF23"/>
    <mergeCell ref="BG23:BJ23"/>
    <mergeCell ref="BK23:BM23"/>
    <mergeCell ref="BP23:BR23"/>
    <mergeCell ref="BS23:BU23"/>
    <mergeCell ref="BB24:BC24"/>
    <mergeCell ref="BD24:BF24"/>
    <mergeCell ref="BG24:BJ24"/>
    <mergeCell ref="BK24:BM24"/>
    <mergeCell ref="BP24:BR24"/>
    <mergeCell ref="BS24:BU24"/>
    <mergeCell ref="BB25:BC25"/>
    <mergeCell ref="BD25:BF25"/>
    <mergeCell ref="BG25:BJ25"/>
    <mergeCell ref="BK25:BM25"/>
    <mergeCell ref="BP25:BR25"/>
    <mergeCell ref="BS25:BU25"/>
    <mergeCell ref="BB26:BC26"/>
    <mergeCell ref="BD26:BF26"/>
    <mergeCell ref="BG26:BJ26"/>
    <mergeCell ref="BK26:BM26"/>
    <mergeCell ref="BP26:BR26"/>
    <mergeCell ref="BS26:BU26"/>
    <mergeCell ref="BB27:BC27"/>
    <mergeCell ref="BD27:BF27"/>
    <mergeCell ref="BG27:BJ27"/>
    <mergeCell ref="BK27:BM27"/>
    <mergeCell ref="BP27:BR27"/>
    <mergeCell ref="BS27:BU27"/>
    <mergeCell ref="BB28:BC28"/>
    <mergeCell ref="BD28:BF28"/>
    <mergeCell ref="BG28:BJ28"/>
    <mergeCell ref="BK28:BM28"/>
    <mergeCell ref="BP28:BR28"/>
    <mergeCell ref="BS28:BU28"/>
    <mergeCell ref="BB29:BC29"/>
    <mergeCell ref="BD29:BF29"/>
    <mergeCell ref="BG29:BJ29"/>
    <mergeCell ref="BK29:BM29"/>
    <mergeCell ref="BP29:BR29"/>
    <mergeCell ref="BS29:BU29"/>
    <mergeCell ref="BB30:BC30"/>
    <mergeCell ref="BD30:BF30"/>
    <mergeCell ref="BG30:BJ30"/>
    <mergeCell ref="BK30:BM30"/>
    <mergeCell ref="BP30:BR30"/>
    <mergeCell ref="BS30:BU30"/>
    <mergeCell ref="BB31:BC31"/>
    <mergeCell ref="BD31:BF31"/>
    <mergeCell ref="BG31:BJ31"/>
    <mergeCell ref="BK31:BM31"/>
    <mergeCell ref="BP31:BR31"/>
    <mergeCell ref="BS31:BU31"/>
    <mergeCell ref="BB32:BC32"/>
    <mergeCell ref="BD32:BF32"/>
    <mergeCell ref="BG32:BJ32"/>
    <mergeCell ref="BK32:BM32"/>
    <mergeCell ref="BP32:BR32"/>
    <mergeCell ref="BS32:BU32"/>
    <mergeCell ref="BB33:BC33"/>
    <mergeCell ref="BD33:BF33"/>
    <mergeCell ref="BG33:BJ33"/>
    <mergeCell ref="BK33:BM33"/>
    <mergeCell ref="BP33:BR33"/>
    <mergeCell ref="BS33:BU33"/>
    <mergeCell ref="BB34:BC34"/>
    <mergeCell ref="BD34:BF34"/>
    <mergeCell ref="BG34:BJ34"/>
    <mergeCell ref="BK34:BM34"/>
    <mergeCell ref="BP34:BR34"/>
    <mergeCell ref="BS34:BU34"/>
    <mergeCell ref="BB35:BC35"/>
    <mergeCell ref="BD35:BF35"/>
    <mergeCell ref="BG35:BJ35"/>
    <mergeCell ref="BK35:BM35"/>
    <mergeCell ref="BP35:BR35"/>
    <mergeCell ref="BS35:BU35"/>
    <mergeCell ref="BB36:BC36"/>
    <mergeCell ref="BD36:BF36"/>
    <mergeCell ref="BG36:BJ36"/>
    <mergeCell ref="BK36:BM36"/>
    <mergeCell ref="BP36:BR36"/>
    <mergeCell ref="BS36:BU36"/>
    <mergeCell ref="BB37:BC37"/>
    <mergeCell ref="BD37:BF37"/>
    <mergeCell ref="BG37:BJ37"/>
    <mergeCell ref="BK37:BM37"/>
    <mergeCell ref="BP37:BR37"/>
    <mergeCell ref="BS37:BU37"/>
    <mergeCell ref="BB38:BC38"/>
    <mergeCell ref="BD38:BF38"/>
    <mergeCell ref="BG38:BJ38"/>
    <mergeCell ref="BK38:BM38"/>
    <mergeCell ref="BP38:BR38"/>
    <mergeCell ref="BS38:BU38"/>
    <mergeCell ref="BB39:BC39"/>
    <mergeCell ref="BD39:BF39"/>
    <mergeCell ref="BG39:BJ39"/>
    <mergeCell ref="BK39:BM39"/>
    <mergeCell ref="BP39:BR39"/>
    <mergeCell ref="BS39:BU39"/>
    <mergeCell ref="BB40:BC40"/>
    <mergeCell ref="BD40:BF40"/>
    <mergeCell ref="BG40:BJ40"/>
    <mergeCell ref="BK40:BM40"/>
    <mergeCell ref="BP40:BR40"/>
    <mergeCell ref="BS40:BU40"/>
    <mergeCell ref="BB41:BC41"/>
    <mergeCell ref="BD41:BF41"/>
    <mergeCell ref="BG41:BJ41"/>
    <mergeCell ref="BK41:BM41"/>
    <mergeCell ref="BP41:BR41"/>
    <mergeCell ref="BS41:BU41"/>
    <mergeCell ref="BB42:BC42"/>
    <mergeCell ref="BD42:BF42"/>
    <mergeCell ref="BG42:BJ42"/>
    <mergeCell ref="BK42:BM42"/>
    <mergeCell ref="BP42:BR42"/>
    <mergeCell ref="BS42:BU42"/>
    <mergeCell ref="BB43:BC43"/>
    <mergeCell ref="BD43:BF43"/>
    <mergeCell ref="BG43:BJ43"/>
    <mergeCell ref="BK43:BM43"/>
    <mergeCell ref="BP43:BR43"/>
    <mergeCell ref="BS43:BU43"/>
    <mergeCell ref="BB44:BC44"/>
    <mergeCell ref="BD44:BF44"/>
    <mergeCell ref="BG44:BJ44"/>
    <mergeCell ref="BK44:BM44"/>
    <mergeCell ref="BP44:BR44"/>
    <mergeCell ref="BS44:BU44"/>
    <mergeCell ref="BB45:BC45"/>
    <mergeCell ref="BD45:BF45"/>
    <mergeCell ref="BG45:BJ45"/>
    <mergeCell ref="BK45:BM45"/>
    <mergeCell ref="BP45:BR45"/>
    <mergeCell ref="BS45:BU45"/>
    <mergeCell ref="BB46:BC46"/>
    <mergeCell ref="BD46:BF46"/>
    <mergeCell ref="BG46:BJ46"/>
    <mergeCell ref="BK46:BM46"/>
    <mergeCell ref="BP46:BR46"/>
    <mergeCell ref="BS46:BU46"/>
    <mergeCell ref="BB47:BC47"/>
    <mergeCell ref="BD47:BF47"/>
    <mergeCell ref="BG47:BJ47"/>
    <mergeCell ref="BK47:BM47"/>
    <mergeCell ref="BP47:BR47"/>
    <mergeCell ref="BS47:BU47"/>
    <mergeCell ref="BB48:BC48"/>
    <mergeCell ref="BD48:BF48"/>
    <mergeCell ref="BG48:BJ48"/>
    <mergeCell ref="BK48:BM48"/>
    <mergeCell ref="BP48:BR48"/>
    <mergeCell ref="BS48:BU48"/>
    <mergeCell ref="BB49:BC49"/>
    <mergeCell ref="BD49:BF49"/>
    <mergeCell ref="BG49:BJ49"/>
    <mergeCell ref="BK49:BM49"/>
    <mergeCell ref="BP49:BR49"/>
    <mergeCell ref="BS49:BU49"/>
    <mergeCell ref="BB50:BC50"/>
    <mergeCell ref="BD50:BF50"/>
    <mergeCell ref="BG50:BJ50"/>
    <mergeCell ref="BK50:BM50"/>
    <mergeCell ref="BP50:BR50"/>
    <mergeCell ref="BS50:BU50"/>
    <mergeCell ref="BB51:BC51"/>
    <mergeCell ref="BD51:BF51"/>
    <mergeCell ref="BG51:BJ51"/>
    <mergeCell ref="BK51:BM51"/>
    <mergeCell ref="BP51:BR51"/>
    <mergeCell ref="BS51:BU51"/>
    <mergeCell ref="BB52:BC52"/>
    <mergeCell ref="BD52:BF52"/>
    <mergeCell ref="BG52:BJ52"/>
    <mergeCell ref="BK52:BM52"/>
    <mergeCell ref="BP52:BR52"/>
    <mergeCell ref="BS52:BU52"/>
    <mergeCell ref="BB53:BC53"/>
    <mergeCell ref="BD53:BF53"/>
    <mergeCell ref="BG53:BJ53"/>
    <mergeCell ref="BK53:BM53"/>
    <mergeCell ref="BP53:BR53"/>
    <mergeCell ref="BS53:BU53"/>
    <mergeCell ref="BB54:BC54"/>
    <mergeCell ref="BD54:BF54"/>
    <mergeCell ref="BG54:BJ54"/>
    <mergeCell ref="BK54:BM54"/>
    <mergeCell ref="BP54:BR54"/>
    <mergeCell ref="BS54:BU54"/>
    <mergeCell ref="BB55:BC55"/>
    <mergeCell ref="BD55:BF55"/>
    <mergeCell ref="BG55:BJ55"/>
    <mergeCell ref="BK55:BM55"/>
    <mergeCell ref="BP55:BR55"/>
    <mergeCell ref="BS55:BU55"/>
    <mergeCell ref="BB56:BC56"/>
    <mergeCell ref="BD56:BF56"/>
    <mergeCell ref="BG56:BJ56"/>
    <mergeCell ref="BK56:BM56"/>
    <mergeCell ref="BP56:BR56"/>
    <mergeCell ref="BS56:BU56"/>
    <mergeCell ref="BB57:BC57"/>
    <mergeCell ref="BD57:BF57"/>
    <mergeCell ref="BG57:BJ57"/>
    <mergeCell ref="BK57:BM57"/>
    <mergeCell ref="BP57:BR57"/>
    <mergeCell ref="BS57:BU57"/>
    <mergeCell ref="BB58:BC58"/>
    <mergeCell ref="BD58:BF58"/>
    <mergeCell ref="BG58:BJ58"/>
    <mergeCell ref="BK58:BM58"/>
    <mergeCell ref="BP58:BR58"/>
    <mergeCell ref="BS58:BU58"/>
    <mergeCell ref="BB59:BC59"/>
    <mergeCell ref="BD59:BF59"/>
    <mergeCell ref="BG59:BJ59"/>
    <mergeCell ref="BK59:BM59"/>
    <mergeCell ref="BP59:BR59"/>
    <mergeCell ref="BS59:BU59"/>
    <mergeCell ref="BB60:BC60"/>
    <mergeCell ref="BD60:BF60"/>
    <mergeCell ref="BG60:BJ60"/>
    <mergeCell ref="BK60:BM60"/>
    <mergeCell ref="BP60:BR60"/>
    <mergeCell ref="BS60:BU60"/>
    <mergeCell ref="BB61:BC61"/>
    <mergeCell ref="BD61:BF61"/>
    <mergeCell ref="BG61:BJ61"/>
    <mergeCell ref="BK61:BM61"/>
    <mergeCell ref="BP61:BR61"/>
    <mergeCell ref="BS61:BU61"/>
    <mergeCell ref="BB62:BC62"/>
    <mergeCell ref="BD62:BF62"/>
    <mergeCell ref="BG62:BJ62"/>
    <mergeCell ref="BK62:BM62"/>
    <mergeCell ref="BP62:BR62"/>
    <mergeCell ref="BS62:BU62"/>
    <mergeCell ref="BB63:BC63"/>
    <mergeCell ref="BD63:BF63"/>
    <mergeCell ref="BG63:BJ63"/>
    <mergeCell ref="BK63:BM63"/>
    <mergeCell ref="BP63:BR63"/>
    <mergeCell ref="BS63:BU63"/>
    <mergeCell ref="BB64:BC64"/>
    <mergeCell ref="BD64:BF64"/>
    <mergeCell ref="BG64:BJ64"/>
    <mergeCell ref="BK64:BM64"/>
    <mergeCell ref="BP64:BR64"/>
    <mergeCell ref="BS64:BU64"/>
    <mergeCell ref="BB65:BC65"/>
    <mergeCell ref="BD65:BF65"/>
    <mergeCell ref="BG65:BJ65"/>
    <mergeCell ref="BK65:BM65"/>
    <mergeCell ref="BP65:BR65"/>
    <mergeCell ref="BS65:BU65"/>
    <mergeCell ref="BB66:BC66"/>
    <mergeCell ref="BD66:BF66"/>
    <mergeCell ref="BG66:BJ66"/>
    <mergeCell ref="BK66:BM66"/>
    <mergeCell ref="BP66:BR66"/>
    <mergeCell ref="BS66:BU66"/>
    <mergeCell ref="BB67:BC67"/>
    <mergeCell ref="BD67:BF67"/>
    <mergeCell ref="BG67:BJ67"/>
    <mergeCell ref="BK67:BM67"/>
    <mergeCell ref="BP67:BR67"/>
    <mergeCell ref="BS67:BU67"/>
    <mergeCell ref="BB68:BC68"/>
    <mergeCell ref="BD68:BF68"/>
    <mergeCell ref="BG68:BJ68"/>
    <mergeCell ref="BK68:BM68"/>
    <mergeCell ref="BP68:BR68"/>
    <mergeCell ref="BS68:BU68"/>
    <mergeCell ref="BB69:BC69"/>
    <mergeCell ref="BD69:BF69"/>
    <mergeCell ref="BG69:BJ69"/>
    <mergeCell ref="BK69:BM69"/>
    <mergeCell ref="BP69:BR69"/>
    <mergeCell ref="BS69:BU69"/>
    <mergeCell ref="BB70:BC70"/>
    <mergeCell ref="BD70:BF70"/>
    <mergeCell ref="BG70:BJ70"/>
    <mergeCell ref="BK70:BM70"/>
    <mergeCell ref="BP70:BR70"/>
    <mergeCell ref="BS70:BU70"/>
    <mergeCell ref="BB71:BC71"/>
    <mergeCell ref="BD71:BF71"/>
    <mergeCell ref="BG71:BJ71"/>
    <mergeCell ref="BK71:BM71"/>
    <mergeCell ref="BP71:BR71"/>
    <mergeCell ref="BS71:BU71"/>
    <mergeCell ref="BB72:BC72"/>
    <mergeCell ref="BD72:BF72"/>
    <mergeCell ref="BG72:BJ72"/>
    <mergeCell ref="BK72:BM72"/>
    <mergeCell ref="BP72:BR72"/>
    <mergeCell ref="BS72:BU72"/>
    <mergeCell ref="BB73:BC73"/>
    <mergeCell ref="BD73:BF73"/>
    <mergeCell ref="BG73:BJ73"/>
    <mergeCell ref="BK73:BM73"/>
    <mergeCell ref="BP73:BR73"/>
    <mergeCell ref="BS73:BU73"/>
    <mergeCell ref="BB74:BC74"/>
    <mergeCell ref="BD74:BF74"/>
    <mergeCell ref="BG74:BJ74"/>
    <mergeCell ref="BK74:BM74"/>
    <mergeCell ref="BP74:BR74"/>
    <mergeCell ref="BS74:BU74"/>
    <mergeCell ref="BB75:BC75"/>
    <mergeCell ref="BD75:BF75"/>
    <mergeCell ref="BG75:BJ75"/>
    <mergeCell ref="BK75:BM75"/>
    <mergeCell ref="BP75:BR75"/>
    <mergeCell ref="BS75:BU75"/>
    <mergeCell ref="BB76:BC76"/>
    <mergeCell ref="BD76:BF76"/>
    <mergeCell ref="BG76:BJ76"/>
    <mergeCell ref="BK76:BM76"/>
    <mergeCell ref="BP76:BR76"/>
    <mergeCell ref="BS76:BU76"/>
    <mergeCell ref="BB77:BC77"/>
    <mergeCell ref="BD77:BF77"/>
    <mergeCell ref="BG77:BJ77"/>
    <mergeCell ref="BK77:BM77"/>
    <mergeCell ref="BP77:BR77"/>
    <mergeCell ref="BS77:BU77"/>
    <mergeCell ref="BB78:BC78"/>
    <mergeCell ref="BD78:BF78"/>
    <mergeCell ref="BG78:BJ78"/>
    <mergeCell ref="BK78:BM78"/>
    <mergeCell ref="BP78:BR78"/>
    <mergeCell ref="BS78:BU78"/>
    <mergeCell ref="BB79:BC79"/>
    <mergeCell ref="BD79:BF79"/>
    <mergeCell ref="BG79:BJ79"/>
    <mergeCell ref="BK79:BM79"/>
    <mergeCell ref="BP79:BR79"/>
    <mergeCell ref="BS79:BU79"/>
    <mergeCell ref="BB80:BC80"/>
    <mergeCell ref="BD80:BF80"/>
    <mergeCell ref="BG80:BJ80"/>
    <mergeCell ref="BK80:BM80"/>
    <mergeCell ref="BP80:BR80"/>
    <mergeCell ref="BS80:BU80"/>
    <mergeCell ref="BB81:BC81"/>
    <mergeCell ref="BD81:BF81"/>
    <mergeCell ref="BG81:BJ81"/>
    <mergeCell ref="BK81:BM81"/>
    <mergeCell ref="BP81:BR81"/>
    <mergeCell ref="BS81:BU81"/>
    <mergeCell ref="BB82:BC82"/>
    <mergeCell ref="BD82:BF82"/>
    <mergeCell ref="BG82:BJ82"/>
    <mergeCell ref="BK82:BM82"/>
    <mergeCell ref="BP82:BR82"/>
    <mergeCell ref="BS82:BU82"/>
    <mergeCell ref="BB83:BC83"/>
    <mergeCell ref="BD83:BF83"/>
    <mergeCell ref="BG83:BJ83"/>
    <mergeCell ref="BK83:BM83"/>
    <mergeCell ref="BP83:BR83"/>
    <mergeCell ref="BS83:BU83"/>
    <mergeCell ref="BB84:BC84"/>
    <mergeCell ref="BD84:BF84"/>
    <mergeCell ref="BG84:BJ84"/>
    <mergeCell ref="BK84:BM84"/>
    <mergeCell ref="BP84:BR84"/>
    <mergeCell ref="BS84:BU84"/>
    <mergeCell ref="BB85:BC85"/>
    <mergeCell ref="BD85:BF85"/>
    <mergeCell ref="BG85:BJ85"/>
    <mergeCell ref="BK85:BM85"/>
    <mergeCell ref="BP85:BR85"/>
    <mergeCell ref="BS85:BU85"/>
    <mergeCell ref="BB86:BC86"/>
    <mergeCell ref="BD86:BF86"/>
    <mergeCell ref="BG86:BJ86"/>
    <mergeCell ref="BK86:BM86"/>
    <mergeCell ref="BP86:BR86"/>
    <mergeCell ref="BS86:BU86"/>
    <mergeCell ref="BB87:BC87"/>
    <mergeCell ref="BD87:BF87"/>
    <mergeCell ref="BG87:BJ87"/>
    <mergeCell ref="BK87:BM87"/>
    <mergeCell ref="BP87:BR87"/>
    <mergeCell ref="BS87:BU87"/>
    <mergeCell ref="BB88:BC88"/>
    <mergeCell ref="BD88:BF88"/>
    <mergeCell ref="BG88:BJ88"/>
    <mergeCell ref="BK88:BM88"/>
    <mergeCell ref="BP88:BR88"/>
    <mergeCell ref="BS88:BU88"/>
    <mergeCell ref="BB89:BC89"/>
    <mergeCell ref="BD89:BF89"/>
    <mergeCell ref="BG89:BJ89"/>
    <mergeCell ref="BK89:BM89"/>
    <mergeCell ref="BP89:BR89"/>
    <mergeCell ref="BS89:BU89"/>
    <mergeCell ref="BB90:BC90"/>
    <mergeCell ref="BD90:BF90"/>
    <mergeCell ref="BG90:BJ90"/>
    <mergeCell ref="BK90:BM90"/>
    <mergeCell ref="BP90:BR90"/>
    <mergeCell ref="BS90:BU90"/>
    <mergeCell ref="BB91:BC91"/>
    <mergeCell ref="BD91:BF91"/>
    <mergeCell ref="BG91:BJ91"/>
    <mergeCell ref="BK91:BM91"/>
    <mergeCell ref="BP91:BR91"/>
    <mergeCell ref="BS91:BU91"/>
    <mergeCell ref="BB92:BC92"/>
    <mergeCell ref="BD92:BF92"/>
    <mergeCell ref="BG92:BJ92"/>
    <mergeCell ref="BK92:BM92"/>
    <mergeCell ref="BP92:BR92"/>
    <mergeCell ref="BS92:BU92"/>
    <mergeCell ref="BB93:BC93"/>
    <mergeCell ref="BD93:BF93"/>
    <mergeCell ref="BG93:BJ93"/>
    <mergeCell ref="BK93:BM93"/>
    <mergeCell ref="BP93:BR93"/>
    <mergeCell ref="BS93:BU93"/>
    <mergeCell ref="BB94:BC94"/>
    <mergeCell ref="BD94:BF94"/>
    <mergeCell ref="BG94:BJ94"/>
    <mergeCell ref="BK94:BM94"/>
    <mergeCell ref="BP94:BR94"/>
    <mergeCell ref="BS94:BU94"/>
    <mergeCell ref="BB95:BC95"/>
    <mergeCell ref="BD95:BF95"/>
    <mergeCell ref="BG95:BJ95"/>
    <mergeCell ref="BK95:BM95"/>
    <mergeCell ref="BP95:BR95"/>
    <mergeCell ref="BS95:BU95"/>
    <mergeCell ref="BB96:BC96"/>
    <mergeCell ref="BD96:BF96"/>
    <mergeCell ref="BG96:BJ96"/>
    <mergeCell ref="BK96:BM96"/>
    <mergeCell ref="BP96:BR96"/>
    <mergeCell ref="BS96:BU96"/>
    <mergeCell ref="BB97:BC97"/>
    <mergeCell ref="BD97:BF97"/>
    <mergeCell ref="BG97:BJ97"/>
    <mergeCell ref="BK97:BM97"/>
    <mergeCell ref="BP97:BR97"/>
    <mergeCell ref="BS97:BU97"/>
    <mergeCell ref="BB98:BC98"/>
    <mergeCell ref="BD98:BF98"/>
    <mergeCell ref="BG98:BJ98"/>
    <mergeCell ref="BK98:BM98"/>
    <mergeCell ref="BP98:BR98"/>
    <mergeCell ref="BS98:BU98"/>
    <mergeCell ref="BB99:BC99"/>
    <mergeCell ref="BD99:BF99"/>
    <mergeCell ref="BG99:BJ99"/>
    <mergeCell ref="BK99:BM99"/>
    <mergeCell ref="BP99:BR99"/>
    <mergeCell ref="BS99:BU99"/>
    <mergeCell ref="BB100:BC100"/>
    <mergeCell ref="BD100:BF100"/>
    <mergeCell ref="BG100:BJ100"/>
    <mergeCell ref="BK100:BM100"/>
    <mergeCell ref="BP100:BR100"/>
    <mergeCell ref="BS100:BU100"/>
    <mergeCell ref="BB101:BC101"/>
    <mergeCell ref="BD101:BF101"/>
    <mergeCell ref="BG101:BJ101"/>
    <mergeCell ref="BK101:BM101"/>
    <mergeCell ref="BP101:BR101"/>
    <mergeCell ref="BS101:BU101"/>
    <mergeCell ref="BB102:BC102"/>
    <mergeCell ref="BD102:BF102"/>
    <mergeCell ref="BG102:BJ102"/>
    <mergeCell ref="BK102:BM102"/>
    <mergeCell ref="BP102:BR102"/>
    <mergeCell ref="BS102:BU102"/>
    <mergeCell ref="BB103:BC103"/>
    <mergeCell ref="BD103:BF103"/>
    <mergeCell ref="BG103:BJ103"/>
    <mergeCell ref="BK103:BM103"/>
    <mergeCell ref="BP103:BR103"/>
    <mergeCell ref="BS103:BU103"/>
    <mergeCell ref="BB104:BC104"/>
    <mergeCell ref="BD104:BF104"/>
    <mergeCell ref="BG104:BJ104"/>
    <mergeCell ref="BK104:BM104"/>
    <mergeCell ref="BP104:BR104"/>
    <mergeCell ref="BS104:BU104"/>
    <mergeCell ref="BB105:BC105"/>
    <mergeCell ref="BD105:BF105"/>
    <mergeCell ref="BG105:BJ105"/>
    <mergeCell ref="BK105:BM105"/>
    <mergeCell ref="BP105:BR105"/>
    <mergeCell ref="BS105:BU105"/>
    <mergeCell ref="BB106:BC106"/>
    <mergeCell ref="BD106:BF106"/>
    <mergeCell ref="BG106:BJ106"/>
    <mergeCell ref="BK106:BM106"/>
    <mergeCell ref="BP106:BR106"/>
    <mergeCell ref="BS106:BU106"/>
    <mergeCell ref="BB107:BC107"/>
    <mergeCell ref="BD107:BF107"/>
    <mergeCell ref="BG107:BJ107"/>
    <mergeCell ref="BK107:BM107"/>
    <mergeCell ref="BP107:BR107"/>
    <mergeCell ref="BS107:BU107"/>
    <mergeCell ref="BB108:BC108"/>
    <mergeCell ref="BD108:BF108"/>
    <mergeCell ref="BG108:BJ108"/>
    <mergeCell ref="BK108:BM108"/>
    <mergeCell ref="BP108:BR108"/>
    <mergeCell ref="BS108:BU108"/>
    <mergeCell ref="BB109:BC109"/>
    <mergeCell ref="BD109:BF109"/>
    <mergeCell ref="BG109:BJ109"/>
    <mergeCell ref="BK109:BM109"/>
    <mergeCell ref="BP109:BR109"/>
    <mergeCell ref="BS109:BU109"/>
    <mergeCell ref="BB110:BC110"/>
    <mergeCell ref="BD110:BF110"/>
    <mergeCell ref="BG110:BJ110"/>
    <mergeCell ref="BK110:BM110"/>
    <mergeCell ref="BP110:BR110"/>
    <mergeCell ref="BS110:BU110"/>
    <mergeCell ref="BB111:BC111"/>
    <mergeCell ref="BD111:BF111"/>
    <mergeCell ref="BG111:BJ111"/>
    <mergeCell ref="BK111:BM111"/>
    <mergeCell ref="BP111:BR111"/>
    <mergeCell ref="BS111:BU111"/>
    <mergeCell ref="BB112:BC112"/>
    <mergeCell ref="BD112:BF112"/>
    <mergeCell ref="BG112:BJ112"/>
    <mergeCell ref="BK112:BM112"/>
    <mergeCell ref="BP112:BR112"/>
    <mergeCell ref="BS112:BU112"/>
    <mergeCell ref="BB113:BC113"/>
    <mergeCell ref="BD113:BF113"/>
    <mergeCell ref="BG113:BJ113"/>
    <mergeCell ref="BK113:BM113"/>
    <mergeCell ref="BP113:BR113"/>
    <mergeCell ref="BS113:BU113"/>
    <mergeCell ref="BB114:BC114"/>
    <mergeCell ref="BD114:BF114"/>
    <mergeCell ref="BG114:BJ114"/>
    <mergeCell ref="BK114:BM114"/>
    <mergeCell ref="BP114:BR114"/>
    <mergeCell ref="BS114:BU114"/>
    <mergeCell ref="BB115:BC115"/>
    <mergeCell ref="BD115:BF115"/>
    <mergeCell ref="BG115:BJ115"/>
    <mergeCell ref="BK115:BM115"/>
    <mergeCell ref="BP115:BR115"/>
    <mergeCell ref="BS115:BU115"/>
    <mergeCell ref="BB116:BC116"/>
    <mergeCell ref="BD116:BF116"/>
    <mergeCell ref="BG116:BJ116"/>
    <mergeCell ref="BK116:BM116"/>
    <mergeCell ref="BP116:BR116"/>
    <mergeCell ref="BS116:BU116"/>
    <mergeCell ref="BB117:BC117"/>
    <mergeCell ref="BD117:BF117"/>
    <mergeCell ref="BG117:BJ117"/>
    <mergeCell ref="BK117:BM117"/>
    <mergeCell ref="BP117:BR117"/>
    <mergeCell ref="BS117:BU117"/>
    <mergeCell ref="BB118:BC118"/>
    <mergeCell ref="BD118:BF118"/>
    <mergeCell ref="BG118:BJ118"/>
    <mergeCell ref="BK118:BM118"/>
    <mergeCell ref="BP118:BR118"/>
    <mergeCell ref="BS118:BU118"/>
    <mergeCell ref="BB119:BC119"/>
    <mergeCell ref="BD119:BF119"/>
    <mergeCell ref="BG119:BJ119"/>
    <mergeCell ref="BK119:BM119"/>
    <mergeCell ref="BP119:BR119"/>
    <mergeCell ref="BS119:BU119"/>
    <mergeCell ref="BB120:BC120"/>
    <mergeCell ref="BD120:BF120"/>
    <mergeCell ref="BG120:BJ120"/>
    <mergeCell ref="BK120:BM120"/>
    <mergeCell ref="BP120:BR120"/>
    <mergeCell ref="BS120:BU120"/>
    <mergeCell ref="BB121:BC121"/>
    <mergeCell ref="BD121:BF121"/>
    <mergeCell ref="BG121:BJ121"/>
    <mergeCell ref="BK121:BM121"/>
    <mergeCell ref="BP121:BR121"/>
    <mergeCell ref="BS121:BU121"/>
    <mergeCell ref="BB122:BC122"/>
    <mergeCell ref="BD122:BF122"/>
    <mergeCell ref="BG122:BJ122"/>
    <mergeCell ref="BK122:BM122"/>
    <mergeCell ref="BP122:BR122"/>
    <mergeCell ref="BS122:BU122"/>
    <mergeCell ref="BB123:BC123"/>
    <mergeCell ref="BD123:BF123"/>
    <mergeCell ref="BG123:BJ123"/>
    <mergeCell ref="BK123:BM123"/>
    <mergeCell ref="BP123:BR123"/>
    <mergeCell ref="BS123:BU123"/>
    <mergeCell ref="BB124:BC124"/>
    <mergeCell ref="BD124:BF124"/>
    <mergeCell ref="BG124:BJ124"/>
    <mergeCell ref="BK124:BM124"/>
    <mergeCell ref="BP124:BR124"/>
    <mergeCell ref="BS124:BU124"/>
    <mergeCell ref="BB125:BC125"/>
    <mergeCell ref="BD125:BF125"/>
    <mergeCell ref="BG125:BJ125"/>
    <mergeCell ref="BK125:BM125"/>
    <mergeCell ref="BP125:BR125"/>
    <mergeCell ref="BS125:BU125"/>
    <mergeCell ref="BB126:BC126"/>
    <mergeCell ref="BD126:BF126"/>
    <mergeCell ref="BG126:BJ126"/>
    <mergeCell ref="BK126:BM126"/>
    <mergeCell ref="BP126:BR126"/>
    <mergeCell ref="BS126:BU126"/>
    <mergeCell ref="BB127:BC127"/>
    <mergeCell ref="BD127:BF127"/>
    <mergeCell ref="BG127:BJ127"/>
    <mergeCell ref="BK127:BM127"/>
    <mergeCell ref="BP127:BR127"/>
    <mergeCell ref="BS127:BU127"/>
    <mergeCell ref="BB128:BC128"/>
    <mergeCell ref="BD128:BF128"/>
    <mergeCell ref="BG128:BJ128"/>
    <mergeCell ref="BK128:BM128"/>
    <mergeCell ref="BP128:BR128"/>
    <mergeCell ref="BS128:BU128"/>
    <mergeCell ref="BB129:BC129"/>
    <mergeCell ref="BD129:BF129"/>
    <mergeCell ref="BG129:BJ129"/>
    <mergeCell ref="BK129:BM129"/>
    <mergeCell ref="BP129:BR129"/>
    <mergeCell ref="BS129:BU129"/>
    <mergeCell ref="BB130:BC130"/>
    <mergeCell ref="BD130:BF130"/>
    <mergeCell ref="BG130:BJ130"/>
    <mergeCell ref="BK130:BM130"/>
    <mergeCell ref="BP130:BR130"/>
    <mergeCell ref="BS130:BU130"/>
    <mergeCell ref="BB131:BC131"/>
    <mergeCell ref="BD131:BF131"/>
    <mergeCell ref="BG131:BJ131"/>
    <mergeCell ref="BK131:BM131"/>
    <mergeCell ref="BP131:BR131"/>
    <mergeCell ref="BS131:BU131"/>
    <mergeCell ref="BB132:BC132"/>
    <mergeCell ref="BD132:BF132"/>
    <mergeCell ref="BG132:BJ132"/>
    <mergeCell ref="BK132:BM132"/>
    <mergeCell ref="BP132:BR132"/>
    <mergeCell ref="BS132:BU132"/>
    <mergeCell ref="BB133:BC133"/>
    <mergeCell ref="BD133:BF133"/>
    <mergeCell ref="BG133:BJ133"/>
    <mergeCell ref="BK133:BM133"/>
    <mergeCell ref="BP133:BR133"/>
    <mergeCell ref="BS133:BU133"/>
    <mergeCell ref="BB134:BC134"/>
    <mergeCell ref="BD134:BF134"/>
    <mergeCell ref="BG134:BJ134"/>
    <mergeCell ref="BK134:BM134"/>
    <mergeCell ref="BP134:BR134"/>
    <mergeCell ref="BS134:BU134"/>
    <mergeCell ref="BB135:BC135"/>
    <mergeCell ref="BD135:BF135"/>
    <mergeCell ref="BG135:BJ135"/>
    <mergeCell ref="BK135:BM135"/>
    <mergeCell ref="BP135:BR135"/>
    <mergeCell ref="BS135:BU135"/>
    <mergeCell ref="BB136:BC136"/>
    <mergeCell ref="BD136:BF136"/>
    <mergeCell ref="BG136:BJ136"/>
    <mergeCell ref="BK136:BM136"/>
    <mergeCell ref="BP136:BR136"/>
    <mergeCell ref="BS136:BU136"/>
    <mergeCell ref="BB137:BC137"/>
    <mergeCell ref="BD137:BF137"/>
    <mergeCell ref="BG137:BJ137"/>
    <mergeCell ref="BK137:BM137"/>
    <mergeCell ref="BP137:BR137"/>
    <mergeCell ref="BS137:BU137"/>
    <mergeCell ref="BB138:BC138"/>
    <mergeCell ref="BD138:BF138"/>
    <mergeCell ref="BG138:BJ138"/>
    <mergeCell ref="BK138:BM138"/>
    <mergeCell ref="BP138:BR138"/>
    <mergeCell ref="BS138:BU138"/>
    <mergeCell ref="BB139:BC139"/>
    <mergeCell ref="BD139:BF139"/>
    <mergeCell ref="BG139:BJ139"/>
    <mergeCell ref="BK139:BM139"/>
    <mergeCell ref="BP139:BR139"/>
    <mergeCell ref="BS139:BU139"/>
    <mergeCell ref="BB140:BC140"/>
    <mergeCell ref="BD140:BF140"/>
    <mergeCell ref="BG140:BJ140"/>
    <mergeCell ref="BK140:BM140"/>
    <mergeCell ref="BP140:BR140"/>
    <mergeCell ref="BS140:BU140"/>
    <mergeCell ref="BB141:BC141"/>
    <mergeCell ref="BD141:BF141"/>
    <mergeCell ref="BG141:BJ141"/>
    <mergeCell ref="BK141:BM141"/>
    <mergeCell ref="BP141:BR141"/>
    <mergeCell ref="BS141:BU141"/>
    <mergeCell ref="BB142:BC142"/>
    <mergeCell ref="BD142:BF142"/>
    <mergeCell ref="BG142:BJ142"/>
    <mergeCell ref="BK142:BM142"/>
    <mergeCell ref="BP142:BR142"/>
    <mergeCell ref="BS142:BU142"/>
    <mergeCell ref="BB143:BC143"/>
    <mergeCell ref="BD143:BF143"/>
    <mergeCell ref="BG143:BJ143"/>
    <mergeCell ref="BK143:BM143"/>
    <mergeCell ref="BP143:BR143"/>
    <mergeCell ref="BS143:BU143"/>
    <mergeCell ref="BB144:BC144"/>
    <mergeCell ref="BD144:BF144"/>
    <mergeCell ref="BG144:BJ144"/>
    <mergeCell ref="BK144:BM144"/>
    <mergeCell ref="BP144:BR144"/>
    <mergeCell ref="BS144:BU144"/>
    <mergeCell ref="BB145:BC145"/>
    <mergeCell ref="BD145:BF145"/>
    <mergeCell ref="BG145:BJ145"/>
    <mergeCell ref="BK145:BM145"/>
    <mergeCell ref="BP145:BR145"/>
    <mergeCell ref="BS145:BU145"/>
    <mergeCell ref="BB146:BC146"/>
    <mergeCell ref="BD146:BF146"/>
    <mergeCell ref="BG146:BJ146"/>
    <mergeCell ref="BK146:BM146"/>
    <mergeCell ref="BP146:BR146"/>
    <mergeCell ref="BS146:BU146"/>
    <mergeCell ref="BB147:BC147"/>
    <mergeCell ref="BD147:BF147"/>
    <mergeCell ref="BG147:BJ147"/>
    <mergeCell ref="BK147:BM147"/>
    <mergeCell ref="BP147:BR147"/>
    <mergeCell ref="BS147:BU147"/>
    <mergeCell ref="BB148:BC148"/>
    <mergeCell ref="BD148:BF148"/>
    <mergeCell ref="BG148:BJ148"/>
    <mergeCell ref="BK148:BM148"/>
    <mergeCell ref="BP148:BR148"/>
    <mergeCell ref="BS148:BU148"/>
    <mergeCell ref="BB149:BC149"/>
    <mergeCell ref="BD149:BF149"/>
    <mergeCell ref="BG149:BJ149"/>
    <mergeCell ref="BK149:BM149"/>
    <mergeCell ref="BP149:BR149"/>
    <mergeCell ref="BS149:BU149"/>
    <mergeCell ref="BB150:BC150"/>
    <mergeCell ref="BD150:BF150"/>
    <mergeCell ref="BG150:BJ150"/>
    <mergeCell ref="BK150:BM150"/>
    <mergeCell ref="BP150:BR150"/>
    <mergeCell ref="BS150:BU150"/>
    <mergeCell ref="BB151:BC151"/>
    <mergeCell ref="BD151:BF151"/>
    <mergeCell ref="BG151:BJ151"/>
    <mergeCell ref="BK151:BM151"/>
    <mergeCell ref="BP151:BR151"/>
    <mergeCell ref="BS151:BU151"/>
    <mergeCell ref="BB152:BC152"/>
    <mergeCell ref="BD152:BF152"/>
    <mergeCell ref="BG152:BJ152"/>
    <mergeCell ref="BK152:BM152"/>
    <mergeCell ref="BP152:BR152"/>
    <mergeCell ref="BS152:BU152"/>
    <mergeCell ref="BB153:BC153"/>
    <mergeCell ref="BD153:BF153"/>
    <mergeCell ref="BG153:BJ153"/>
    <mergeCell ref="BK153:BM153"/>
    <mergeCell ref="BP153:BR153"/>
    <mergeCell ref="BS153:BU153"/>
    <mergeCell ref="BB154:BC154"/>
    <mergeCell ref="BD154:BF154"/>
    <mergeCell ref="BG154:BJ154"/>
    <mergeCell ref="BK154:BM154"/>
    <mergeCell ref="BP154:BR154"/>
    <mergeCell ref="BS154:BU154"/>
    <mergeCell ref="BB155:BC155"/>
    <mergeCell ref="BD155:BF155"/>
    <mergeCell ref="BG155:BJ155"/>
    <mergeCell ref="BK155:BM155"/>
    <mergeCell ref="BP155:BR155"/>
    <mergeCell ref="BS155:BU155"/>
    <mergeCell ref="BB156:BC156"/>
    <mergeCell ref="BD156:BF156"/>
    <mergeCell ref="BG156:BJ156"/>
    <mergeCell ref="BK156:BM156"/>
    <mergeCell ref="BP156:BR156"/>
    <mergeCell ref="BS156:BU156"/>
    <mergeCell ref="BB157:BC157"/>
    <mergeCell ref="BD157:BF157"/>
    <mergeCell ref="BG157:BJ157"/>
    <mergeCell ref="BK157:BM157"/>
    <mergeCell ref="BP157:BR157"/>
    <mergeCell ref="BS157:BU157"/>
    <mergeCell ref="BB158:BC158"/>
    <mergeCell ref="BD158:BF158"/>
    <mergeCell ref="BG158:BJ158"/>
    <mergeCell ref="BK158:BM158"/>
    <mergeCell ref="BP158:BR158"/>
    <mergeCell ref="BS158:BU158"/>
    <mergeCell ref="BB159:BC159"/>
    <mergeCell ref="BD159:BF159"/>
    <mergeCell ref="BG159:BJ159"/>
    <mergeCell ref="BK159:BM159"/>
    <mergeCell ref="BP159:BR159"/>
    <mergeCell ref="BS159:BU159"/>
    <mergeCell ref="BB160:BC160"/>
    <mergeCell ref="BD160:BF160"/>
    <mergeCell ref="BG160:BJ160"/>
    <mergeCell ref="BK160:BM160"/>
    <mergeCell ref="BP160:BR160"/>
    <mergeCell ref="BS160:BU160"/>
    <mergeCell ref="BB161:BC161"/>
    <mergeCell ref="BD161:BF161"/>
    <mergeCell ref="BG161:BJ161"/>
    <mergeCell ref="BK161:BM161"/>
    <mergeCell ref="BP161:BR161"/>
    <mergeCell ref="BS161:BU161"/>
    <mergeCell ref="BB162:BC162"/>
    <mergeCell ref="BD162:BF162"/>
    <mergeCell ref="BG162:BJ162"/>
    <mergeCell ref="BK162:BM162"/>
    <mergeCell ref="BP162:BR162"/>
    <mergeCell ref="BS162:BU162"/>
    <mergeCell ref="BB163:BC163"/>
    <mergeCell ref="BD163:BF163"/>
    <mergeCell ref="BG163:BJ163"/>
    <mergeCell ref="BK163:BM163"/>
    <mergeCell ref="BP163:BR163"/>
    <mergeCell ref="BS163:BU163"/>
    <mergeCell ref="BB164:BC164"/>
    <mergeCell ref="BD164:BF164"/>
    <mergeCell ref="BG164:BJ164"/>
    <mergeCell ref="BK164:BM164"/>
    <mergeCell ref="BP164:BR164"/>
    <mergeCell ref="BS164:BU164"/>
    <mergeCell ref="BB165:BC165"/>
    <mergeCell ref="BD165:BF165"/>
    <mergeCell ref="BG165:BJ165"/>
    <mergeCell ref="BK165:BM165"/>
    <mergeCell ref="BP165:BR165"/>
    <mergeCell ref="BS165:BU165"/>
    <mergeCell ref="BB166:BC166"/>
    <mergeCell ref="BD166:BF166"/>
    <mergeCell ref="BG166:BJ166"/>
    <mergeCell ref="BK166:BM166"/>
    <mergeCell ref="BP166:BR166"/>
    <mergeCell ref="BS166:BU166"/>
    <mergeCell ref="BB167:BC167"/>
    <mergeCell ref="BD167:BF167"/>
    <mergeCell ref="BG167:BJ167"/>
    <mergeCell ref="BK167:BM167"/>
    <mergeCell ref="BP167:BR167"/>
    <mergeCell ref="BS167:BU167"/>
    <mergeCell ref="BB168:BC168"/>
    <mergeCell ref="BD168:BF168"/>
    <mergeCell ref="BG168:BJ168"/>
    <mergeCell ref="BK168:BM168"/>
    <mergeCell ref="BP168:BR168"/>
    <mergeCell ref="BS168:BU168"/>
    <mergeCell ref="BB169:BC169"/>
    <mergeCell ref="BD169:BF169"/>
    <mergeCell ref="BG169:BJ169"/>
    <mergeCell ref="BK169:BM169"/>
    <mergeCell ref="BP169:BR169"/>
    <mergeCell ref="BS169:BU169"/>
    <mergeCell ref="BB170:BC170"/>
    <mergeCell ref="BD170:BF170"/>
    <mergeCell ref="BG170:BJ170"/>
    <mergeCell ref="BK170:BM170"/>
    <mergeCell ref="BP170:BR170"/>
    <mergeCell ref="BS170:BU170"/>
    <mergeCell ref="BB171:BC171"/>
    <mergeCell ref="BD171:BF171"/>
    <mergeCell ref="BG171:BJ171"/>
    <mergeCell ref="BK171:BM171"/>
    <mergeCell ref="BP171:BR171"/>
    <mergeCell ref="BS171:BU171"/>
    <mergeCell ref="BB172:BC172"/>
    <mergeCell ref="BD172:BF172"/>
    <mergeCell ref="BG172:BJ172"/>
    <mergeCell ref="BK172:BM172"/>
    <mergeCell ref="BP172:BR172"/>
    <mergeCell ref="BS172:BU172"/>
    <mergeCell ref="BB173:BC173"/>
    <mergeCell ref="BD173:BF173"/>
    <mergeCell ref="BG173:BJ173"/>
    <mergeCell ref="BK173:BM173"/>
    <mergeCell ref="BP173:BR173"/>
    <mergeCell ref="BS173:BU173"/>
    <mergeCell ref="BB174:BC174"/>
    <mergeCell ref="BD174:BF174"/>
    <mergeCell ref="BG174:BJ174"/>
    <mergeCell ref="BK174:BM174"/>
    <mergeCell ref="BP174:BR174"/>
    <mergeCell ref="BS174:BU174"/>
    <mergeCell ref="BB175:BC175"/>
    <mergeCell ref="BD175:BF175"/>
    <mergeCell ref="BG175:BJ175"/>
    <mergeCell ref="BK175:BM175"/>
    <mergeCell ref="BP175:BR175"/>
    <mergeCell ref="BS175:BU175"/>
    <mergeCell ref="BB176:BC176"/>
    <mergeCell ref="BD176:BF176"/>
    <mergeCell ref="BG176:BJ176"/>
    <mergeCell ref="BK176:BM176"/>
    <mergeCell ref="BP176:BR176"/>
    <mergeCell ref="BS176:BU176"/>
    <mergeCell ref="BB177:BC177"/>
    <mergeCell ref="BD177:BF177"/>
    <mergeCell ref="BG177:BJ177"/>
    <mergeCell ref="BK177:BM177"/>
    <mergeCell ref="BP177:BR177"/>
    <mergeCell ref="BS177:BU177"/>
    <mergeCell ref="BB178:BC178"/>
    <mergeCell ref="BD178:BF178"/>
    <mergeCell ref="BG178:BJ178"/>
    <mergeCell ref="BK178:BM178"/>
    <mergeCell ref="BP178:BR178"/>
    <mergeCell ref="BS178:BU178"/>
    <mergeCell ref="BB179:BC179"/>
    <mergeCell ref="BD179:BF179"/>
    <mergeCell ref="BG179:BJ179"/>
    <mergeCell ref="BK179:BM179"/>
    <mergeCell ref="BP179:BR179"/>
    <mergeCell ref="BS179:BU179"/>
    <mergeCell ref="BB180:BC180"/>
    <mergeCell ref="BD180:BF180"/>
    <mergeCell ref="BG180:BJ180"/>
    <mergeCell ref="BK180:BM180"/>
    <mergeCell ref="BP180:BR180"/>
    <mergeCell ref="BS180:BU180"/>
    <mergeCell ref="BB181:BC181"/>
    <mergeCell ref="BD181:BF181"/>
    <mergeCell ref="BG181:BJ181"/>
    <mergeCell ref="BK181:BM181"/>
    <mergeCell ref="BP181:BR181"/>
    <mergeCell ref="BS181:BU181"/>
    <mergeCell ref="BB182:BC182"/>
    <mergeCell ref="BD182:BF182"/>
    <mergeCell ref="BG182:BJ182"/>
    <mergeCell ref="BK182:BM182"/>
    <mergeCell ref="BP182:BR182"/>
    <mergeCell ref="BS182:BU182"/>
    <mergeCell ref="BB183:BC183"/>
    <mergeCell ref="BD183:BF183"/>
    <mergeCell ref="BG183:BJ183"/>
    <mergeCell ref="BK183:BM183"/>
    <mergeCell ref="BP183:BR183"/>
    <mergeCell ref="BS183:BU183"/>
    <mergeCell ref="BB184:BC184"/>
    <mergeCell ref="BD184:BF184"/>
    <mergeCell ref="BG184:BJ184"/>
    <mergeCell ref="BK184:BM184"/>
    <mergeCell ref="BP184:BR184"/>
    <mergeCell ref="BS184:BU184"/>
    <mergeCell ref="BB185:BC185"/>
    <mergeCell ref="BD185:BF185"/>
    <mergeCell ref="BG185:BJ185"/>
    <mergeCell ref="BK185:BM185"/>
    <mergeCell ref="BP185:BR185"/>
    <mergeCell ref="BS185:BU185"/>
    <mergeCell ref="BB186:BC186"/>
    <mergeCell ref="BD186:BF186"/>
    <mergeCell ref="BG186:BJ186"/>
    <mergeCell ref="BK186:BM186"/>
    <mergeCell ref="BP186:BR186"/>
    <mergeCell ref="BS186:BU186"/>
    <mergeCell ref="BB187:BC187"/>
    <mergeCell ref="BD187:BF187"/>
    <mergeCell ref="BG187:BJ187"/>
    <mergeCell ref="BK187:BM187"/>
    <mergeCell ref="BP187:BR187"/>
    <mergeCell ref="BS187:BU187"/>
    <mergeCell ref="BB188:BC188"/>
    <mergeCell ref="BD188:BF188"/>
    <mergeCell ref="BG188:BJ188"/>
    <mergeCell ref="BK188:BM188"/>
    <mergeCell ref="BP188:BR188"/>
    <mergeCell ref="BS188:BU188"/>
    <mergeCell ref="BB189:BC189"/>
    <mergeCell ref="BD189:BF189"/>
    <mergeCell ref="BG189:BJ189"/>
    <mergeCell ref="BK189:BM189"/>
    <mergeCell ref="BP189:BR189"/>
    <mergeCell ref="BS189:BU189"/>
    <mergeCell ref="BB190:BC190"/>
    <mergeCell ref="BD190:BF190"/>
    <mergeCell ref="BG190:BJ190"/>
    <mergeCell ref="BK190:BM190"/>
    <mergeCell ref="BP190:BR190"/>
    <mergeCell ref="BS190:BU190"/>
    <mergeCell ref="BB191:BC191"/>
    <mergeCell ref="BD191:BF191"/>
    <mergeCell ref="BG191:BJ191"/>
    <mergeCell ref="BK191:BM191"/>
    <mergeCell ref="BP191:BR191"/>
    <mergeCell ref="BS191:BU191"/>
    <mergeCell ref="BB192:BC192"/>
    <mergeCell ref="BD192:BF192"/>
    <mergeCell ref="BG192:BJ192"/>
    <mergeCell ref="BK192:BM192"/>
    <mergeCell ref="BP192:BR192"/>
    <mergeCell ref="BS192:BU192"/>
    <mergeCell ref="BB193:BC193"/>
    <mergeCell ref="BD193:BF193"/>
    <mergeCell ref="BG193:BJ193"/>
    <mergeCell ref="BK193:BM193"/>
    <mergeCell ref="BP193:BR193"/>
    <mergeCell ref="BS193:BU193"/>
    <mergeCell ref="BB194:BC194"/>
    <mergeCell ref="BD194:BF194"/>
    <mergeCell ref="BG194:BJ194"/>
    <mergeCell ref="BK194:BM194"/>
    <mergeCell ref="BP194:BR194"/>
    <mergeCell ref="BS194:BU194"/>
    <mergeCell ref="BB195:BC195"/>
    <mergeCell ref="BD195:BF195"/>
    <mergeCell ref="BG195:BJ195"/>
    <mergeCell ref="BK195:BM195"/>
    <mergeCell ref="BP195:BR195"/>
    <mergeCell ref="BS195:BU195"/>
    <mergeCell ref="BB196:BC196"/>
    <mergeCell ref="BD196:BF196"/>
    <mergeCell ref="BG196:BJ196"/>
    <mergeCell ref="BK196:BM196"/>
    <mergeCell ref="BP196:BR196"/>
    <mergeCell ref="BS196:BU196"/>
    <mergeCell ref="BB197:BC197"/>
    <mergeCell ref="BD197:BF197"/>
    <mergeCell ref="BG197:BJ197"/>
    <mergeCell ref="BK197:BM197"/>
    <mergeCell ref="BP197:BR197"/>
    <mergeCell ref="BS197:BU197"/>
    <mergeCell ref="BB198:BC198"/>
    <mergeCell ref="BD198:BF198"/>
    <mergeCell ref="BG198:BJ198"/>
    <mergeCell ref="BK198:BM198"/>
    <mergeCell ref="BP198:BR198"/>
    <mergeCell ref="BS198:BU198"/>
    <mergeCell ref="BB199:BC199"/>
    <mergeCell ref="BD199:BF199"/>
    <mergeCell ref="BG199:BJ199"/>
    <mergeCell ref="BK199:BM199"/>
    <mergeCell ref="BP199:BR199"/>
    <mergeCell ref="BS199:BU199"/>
    <mergeCell ref="BB200:BC200"/>
    <mergeCell ref="BD200:BF200"/>
    <mergeCell ref="BG200:BJ200"/>
    <mergeCell ref="BK200:BM200"/>
    <mergeCell ref="BP200:BR200"/>
    <mergeCell ref="BS200:BU200"/>
    <mergeCell ref="BB201:BC201"/>
    <mergeCell ref="BD201:BF201"/>
    <mergeCell ref="BG201:BJ201"/>
    <mergeCell ref="BK201:BM201"/>
    <mergeCell ref="BP201:BR201"/>
    <mergeCell ref="BS201:BU201"/>
    <mergeCell ref="BB202:BC202"/>
    <mergeCell ref="BD202:BF202"/>
    <mergeCell ref="BG202:BJ202"/>
    <mergeCell ref="BK202:BM202"/>
    <mergeCell ref="BP202:BR202"/>
    <mergeCell ref="BS202:BU202"/>
    <mergeCell ref="BB203:BC203"/>
    <mergeCell ref="BD203:BF203"/>
    <mergeCell ref="BG203:BJ203"/>
    <mergeCell ref="BK203:BM203"/>
    <mergeCell ref="BP203:BR203"/>
    <mergeCell ref="BS203:BU203"/>
    <mergeCell ref="BB204:BC204"/>
    <mergeCell ref="BD204:BF204"/>
    <mergeCell ref="BG204:BJ204"/>
    <mergeCell ref="BK204:BM204"/>
    <mergeCell ref="BP204:BR204"/>
    <mergeCell ref="BS204:BU204"/>
    <mergeCell ref="BB205:BC205"/>
    <mergeCell ref="BD205:BF205"/>
    <mergeCell ref="BG205:BJ205"/>
    <mergeCell ref="BK205:BM205"/>
    <mergeCell ref="BP205:BR205"/>
    <mergeCell ref="BS205:BU205"/>
    <mergeCell ref="BB206:BC206"/>
    <mergeCell ref="BD206:BF206"/>
    <mergeCell ref="BG206:BJ206"/>
    <mergeCell ref="BK206:BM206"/>
    <mergeCell ref="BP206:BR206"/>
    <mergeCell ref="BS206:BU206"/>
    <mergeCell ref="BB207:BC207"/>
    <mergeCell ref="BD207:BF207"/>
    <mergeCell ref="BG207:BJ207"/>
    <mergeCell ref="BK207:BM207"/>
    <mergeCell ref="BP207:BR207"/>
    <mergeCell ref="BS207:BU207"/>
    <mergeCell ref="BB208:BC208"/>
    <mergeCell ref="BD208:BF208"/>
    <mergeCell ref="BG208:BJ208"/>
    <mergeCell ref="BK208:BM208"/>
    <mergeCell ref="BP208:BR208"/>
    <mergeCell ref="BS208:BU208"/>
    <mergeCell ref="BB209:BC209"/>
    <mergeCell ref="BD209:BF209"/>
    <mergeCell ref="BG209:BJ209"/>
    <mergeCell ref="BK209:BM209"/>
    <mergeCell ref="BP209:BR209"/>
    <mergeCell ref="BS209:BU209"/>
    <mergeCell ref="BB210:BC210"/>
    <mergeCell ref="BD210:BF210"/>
    <mergeCell ref="BG210:BJ210"/>
    <mergeCell ref="BK210:BM210"/>
    <mergeCell ref="BP210:BR210"/>
    <mergeCell ref="BS210:BU210"/>
    <mergeCell ref="BB211:BC211"/>
    <mergeCell ref="BD211:BF211"/>
    <mergeCell ref="BG211:BJ211"/>
    <mergeCell ref="BK211:BM211"/>
    <mergeCell ref="BP211:BR211"/>
    <mergeCell ref="BS211:BU211"/>
    <mergeCell ref="BB212:BC212"/>
    <mergeCell ref="BD212:BF212"/>
    <mergeCell ref="BG212:BJ212"/>
    <mergeCell ref="BK212:BM212"/>
    <mergeCell ref="BP212:BR212"/>
    <mergeCell ref="BS212:BU212"/>
    <mergeCell ref="BB213:BC213"/>
    <mergeCell ref="BD213:BF213"/>
    <mergeCell ref="BG213:BJ213"/>
    <mergeCell ref="BK213:BM213"/>
    <mergeCell ref="BP213:BR213"/>
    <mergeCell ref="BS213:BU213"/>
    <mergeCell ref="BB214:BC214"/>
    <mergeCell ref="BD214:BF214"/>
    <mergeCell ref="BG214:BJ214"/>
    <mergeCell ref="BK214:BM214"/>
    <mergeCell ref="BP214:BR214"/>
    <mergeCell ref="BS214:BU214"/>
    <mergeCell ref="BB215:BC215"/>
    <mergeCell ref="BD215:BF215"/>
    <mergeCell ref="BG215:BJ215"/>
    <mergeCell ref="BK215:BM215"/>
    <mergeCell ref="BP215:BR215"/>
    <mergeCell ref="BS215:BU215"/>
    <mergeCell ref="BB216:BC216"/>
    <mergeCell ref="BD216:BF216"/>
    <mergeCell ref="BG216:BJ216"/>
    <mergeCell ref="BK216:BM216"/>
    <mergeCell ref="BP216:BR216"/>
    <mergeCell ref="BS216:BU216"/>
    <mergeCell ref="BB217:BC217"/>
    <mergeCell ref="BD217:BF217"/>
    <mergeCell ref="BG217:BJ217"/>
    <mergeCell ref="BK217:BM217"/>
    <mergeCell ref="BP217:BR217"/>
    <mergeCell ref="BS217:BU217"/>
    <mergeCell ref="BB218:BC218"/>
    <mergeCell ref="BD218:BF218"/>
    <mergeCell ref="BG218:BJ218"/>
    <mergeCell ref="BK218:BM218"/>
    <mergeCell ref="BP218:BR218"/>
    <mergeCell ref="BS218:BU218"/>
    <mergeCell ref="BB219:BC219"/>
    <mergeCell ref="BD219:BF219"/>
    <mergeCell ref="BG219:BJ219"/>
    <mergeCell ref="BK219:BM219"/>
    <mergeCell ref="BP219:BR219"/>
    <mergeCell ref="BS219:BU219"/>
    <mergeCell ref="BB220:BC220"/>
    <mergeCell ref="BD220:BF220"/>
    <mergeCell ref="BG220:BJ220"/>
    <mergeCell ref="BK220:BM220"/>
    <mergeCell ref="BP220:BR220"/>
    <mergeCell ref="BS220:BU220"/>
    <mergeCell ref="BB221:BC221"/>
    <mergeCell ref="BD221:BF221"/>
    <mergeCell ref="BG221:BJ221"/>
    <mergeCell ref="BK221:BM221"/>
    <mergeCell ref="BP221:BR221"/>
    <mergeCell ref="BS221:BU221"/>
    <mergeCell ref="BB222:BC222"/>
    <mergeCell ref="BD222:BF222"/>
    <mergeCell ref="BG222:BJ222"/>
    <mergeCell ref="BK222:BM222"/>
    <mergeCell ref="BP222:BR222"/>
    <mergeCell ref="BS222:BU222"/>
    <mergeCell ref="BB223:BC223"/>
    <mergeCell ref="BD223:BF223"/>
    <mergeCell ref="BG223:BJ223"/>
    <mergeCell ref="BK223:BM223"/>
    <mergeCell ref="BP223:BR223"/>
    <mergeCell ref="BS223:BU223"/>
    <mergeCell ref="BB224:BC224"/>
    <mergeCell ref="BD224:BF224"/>
    <mergeCell ref="BG224:BJ224"/>
    <mergeCell ref="BK224:BM224"/>
    <mergeCell ref="BP224:BR224"/>
    <mergeCell ref="BS224:BU224"/>
    <mergeCell ref="BB225:BC225"/>
    <mergeCell ref="BD225:BF225"/>
    <mergeCell ref="BG225:BJ225"/>
    <mergeCell ref="BK225:BM225"/>
    <mergeCell ref="BP225:BR225"/>
    <mergeCell ref="BS225:BU225"/>
    <mergeCell ref="BB226:BC226"/>
    <mergeCell ref="BD226:BF226"/>
    <mergeCell ref="BG226:BJ226"/>
    <mergeCell ref="BK226:BM226"/>
    <mergeCell ref="BP226:BR226"/>
    <mergeCell ref="BS226:BU226"/>
    <mergeCell ref="BB227:BC227"/>
    <mergeCell ref="BD227:BF227"/>
    <mergeCell ref="BG227:BJ227"/>
    <mergeCell ref="BK227:BM227"/>
    <mergeCell ref="BP227:BR227"/>
    <mergeCell ref="BS227:BU227"/>
    <mergeCell ref="BB228:BC228"/>
    <mergeCell ref="BD228:BF228"/>
    <mergeCell ref="BG228:BJ228"/>
    <mergeCell ref="BK228:BM228"/>
    <mergeCell ref="BP228:BR228"/>
    <mergeCell ref="BS228:BU228"/>
    <mergeCell ref="BB229:BC229"/>
    <mergeCell ref="BD229:BF229"/>
    <mergeCell ref="BG229:BJ229"/>
    <mergeCell ref="BK229:BM229"/>
    <mergeCell ref="BP229:BR229"/>
    <mergeCell ref="BS229:BU229"/>
    <mergeCell ref="BB230:BC230"/>
    <mergeCell ref="BD230:BF230"/>
    <mergeCell ref="BG230:BJ230"/>
    <mergeCell ref="BK230:BM230"/>
    <mergeCell ref="BP230:BR230"/>
    <mergeCell ref="BS230:BU230"/>
    <mergeCell ref="BB231:BC231"/>
    <mergeCell ref="BD231:BF231"/>
    <mergeCell ref="BG231:BJ231"/>
    <mergeCell ref="BK231:BM231"/>
    <mergeCell ref="BP231:BR231"/>
    <mergeCell ref="BS231:BU231"/>
    <mergeCell ref="BB232:BC232"/>
    <mergeCell ref="BD232:BF232"/>
    <mergeCell ref="BG232:BJ232"/>
    <mergeCell ref="BK232:BM232"/>
    <mergeCell ref="BP232:BR232"/>
    <mergeCell ref="BS232:BU232"/>
    <mergeCell ref="BB233:BC233"/>
    <mergeCell ref="BD233:BF233"/>
    <mergeCell ref="BG233:BJ233"/>
    <mergeCell ref="BK233:BM233"/>
    <mergeCell ref="BP233:BR233"/>
    <mergeCell ref="BS233:BU233"/>
    <mergeCell ref="BB234:BC234"/>
    <mergeCell ref="BD234:BF234"/>
    <mergeCell ref="BG234:BJ234"/>
    <mergeCell ref="BK234:BM234"/>
    <mergeCell ref="BP234:BR234"/>
    <mergeCell ref="BS234:BU234"/>
    <mergeCell ref="BB235:BC235"/>
    <mergeCell ref="BD235:BF235"/>
    <mergeCell ref="BG235:BJ235"/>
    <mergeCell ref="BK235:BM235"/>
    <mergeCell ref="BP235:BR235"/>
    <mergeCell ref="BS235:BU235"/>
    <mergeCell ref="BB236:BC236"/>
    <mergeCell ref="BD236:BF236"/>
    <mergeCell ref="BG236:BJ236"/>
    <mergeCell ref="BK236:BM236"/>
    <mergeCell ref="BP236:BR236"/>
    <mergeCell ref="BS236:BU236"/>
    <mergeCell ref="BB237:BC237"/>
    <mergeCell ref="BD237:BF237"/>
    <mergeCell ref="BG237:BJ237"/>
    <mergeCell ref="BK237:BM237"/>
    <mergeCell ref="BP237:BR237"/>
    <mergeCell ref="BS237:BU237"/>
    <mergeCell ref="BB238:BC238"/>
    <mergeCell ref="BD238:BF238"/>
    <mergeCell ref="BG238:BJ238"/>
    <mergeCell ref="BK238:BM238"/>
    <mergeCell ref="BP238:BR238"/>
    <mergeCell ref="BS238:BU238"/>
    <mergeCell ref="BB239:BC239"/>
    <mergeCell ref="BD239:BF239"/>
    <mergeCell ref="BG239:BJ239"/>
    <mergeCell ref="BK239:BM239"/>
    <mergeCell ref="BP239:BR239"/>
    <mergeCell ref="BS239:BU239"/>
    <mergeCell ref="BB240:BC240"/>
    <mergeCell ref="BD240:BF240"/>
    <mergeCell ref="BG240:BJ240"/>
    <mergeCell ref="BK240:BM240"/>
    <mergeCell ref="BP240:BR240"/>
    <mergeCell ref="BS240:BU240"/>
    <mergeCell ref="BB241:BC241"/>
    <mergeCell ref="BD241:BF241"/>
    <mergeCell ref="BG241:BJ241"/>
    <mergeCell ref="BK241:BM241"/>
    <mergeCell ref="BP241:BR241"/>
    <mergeCell ref="BS241:BU241"/>
    <mergeCell ref="BB242:BC242"/>
    <mergeCell ref="BD242:BF242"/>
    <mergeCell ref="BG242:BJ242"/>
    <mergeCell ref="BK242:BM242"/>
    <mergeCell ref="BP242:BR242"/>
    <mergeCell ref="BS242:BU242"/>
    <mergeCell ref="BB243:BC243"/>
    <mergeCell ref="BD243:BF243"/>
    <mergeCell ref="BG243:BJ243"/>
    <mergeCell ref="BK243:BM243"/>
    <mergeCell ref="BP243:BR243"/>
    <mergeCell ref="BS243:BU243"/>
    <mergeCell ref="BB244:BC244"/>
    <mergeCell ref="BD244:BF244"/>
    <mergeCell ref="BG244:BJ244"/>
    <mergeCell ref="BK244:BM244"/>
    <mergeCell ref="BP244:BR244"/>
    <mergeCell ref="BS244:BU244"/>
    <mergeCell ref="BB245:BC245"/>
    <mergeCell ref="BD245:BF245"/>
    <mergeCell ref="BG245:BJ245"/>
    <mergeCell ref="BK245:BM245"/>
    <mergeCell ref="BP245:BR245"/>
    <mergeCell ref="BS245:BU245"/>
    <mergeCell ref="BB246:BC246"/>
    <mergeCell ref="BD246:BF246"/>
    <mergeCell ref="BG246:BJ246"/>
    <mergeCell ref="BK246:BM246"/>
    <mergeCell ref="BP246:BR246"/>
    <mergeCell ref="BS246:BU246"/>
    <mergeCell ref="BB247:BC247"/>
    <mergeCell ref="BD247:BF247"/>
    <mergeCell ref="BG247:BJ247"/>
    <mergeCell ref="BK247:BM247"/>
    <mergeCell ref="BP247:BR247"/>
    <mergeCell ref="BS247:BU247"/>
    <mergeCell ref="BB248:BC248"/>
    <mergeCell ref="BD248:BF248"/>
    <mergeCell ref="BG248:BJ248"/>
    <mergeCell ref="BK248:BM248"/>
    <mergeCell ref="BP248:BR248"/>
    <mergeCell ref="BS248:BU248"/>
    <mergeCell ref="BB249:BC249"/>
    <mergeCell ref="BD249:BF249"/>
    <mergeCell ref="BG249:BJ249"/>
    <mergeCell ref="BK249:BM249"/>
    <mergeCell ref="BP249:BR249"/>
    <mergeCell ref="BS249:BU249"/>
    <mergeCell ref="BB250:BC250"/>
    <mergeCell ref="BD250:BF250"/>
    <mergeCell ref="BG250:BJ250"/>
    <mergeCell ref="BK250:BM250"/>
    <mergeCell ref="BP250:BR250"/>
    <mergeCell ref="BS250:BU250"/>
    <mergeCell ref="BB251:BC251"/>
    <mergeCell ref="BD251:BF251"/>
    <mergeCell ref="BG251:BJ251"/>
    <mergeCell ref="BK251:BM251"/>
    <mergeCell ref="BP251:BR251"/>
    <mergeCell ref="BS251:BU251"/>
    <mergeCell ref="BB252:BC252"/>
    <mergeCell ref="BD252:BF252"/>
    <mergeCell ref="BG252:BJ252"/>
    <mergeCell ref="BK252:BM252"/>
    <mergeCell ref="BP252:BR252"/>
    <mergeCell ref="BS252:BU252"/>
    <mergeCell ref="BB253:BC253"/>
    <mergeCell ref="BD253:BF253"/>
    <mergeCell ref="BG253:BJ253"/>
    <mergeCell ref="BK253:BM253"/>
    <mergeCell ref="BP253:BR253"/>
    <mergeCell ref="BS253:BU253"/>
    <mergeCell ref="BB254:BC254"/>
    <mergeCell ref="BD254:BF254"/>
    <mergeCell ref="BG254:BJ254"/>
    <mergeCell ref="BK254:BM254"/>
    <mergeCell ref="BP254:BR254"/>
    <mergeCell ref="BS254:BU254"/>
    <mergeCell ref="BB255:BC255"/>
    <mergeCell ref="BD255:BF255"/>
    <mergeCell ref="BG255:BJ255"/>
    <mergeCell ref="BK255:BM255"/>
    <mergeCell ref="BP255:BR255"/>
    <mergeCell ref="BS255:BU255"/>
    <mergeCell ref="BB256:BC256"/>
    <mergeCell ref="BD256:BF256"/>
    <mergeCell ref="BG256:BJ256"/>
    <mergeCell ref="BK256:BM256"/>
    <mergeCell ref="BP256:BR256"/>
    <mergeCell ref="BS256:BU256"/>
    <mergeCell ref="BB257:BC257"/>
    <mergeCell ref="BD257:BF257"/>
    <mergeCell ref="BG257:BJ257"/>
    <mergeCell ref="BK257:BM257"/>
    <mergeCell ref="BP257:BR257"/>
    <mergeCell ref="BS257:BU257"/>
    <mergeCell ref="BB258:BC258"/>
    <mergeCell ref="BD258:BF258"/>
    <mergeCell ref="BG258:BJ258"/>
    <mergeCell ref="BK258:BM258"/>
    <mergeCell ref="BP258:BR258"/>
    <mergeCell ref="BS258:BU258"/>
    <mergeCell ref="BB259:BC259"/>
    <mergeCell ref="BD259:BF259"/>
    <mergeCell ref="BG259:BJ259"/>
    <mergeCell ref="BK259:BM259"/>
    <mergeCell ref="BP259:BR259"/>
    <mergeCell ref="BS259:BU259"/>
    <mergeCell ref="BB260:BC260"/>
    <mergeCell ref="BD260:BF260"/>
    <mergeCell ref="BG260:BJ260"/>
    <mergeCell ref="BK260:BM260"/>
    <mergeCell ref="BP260:BR260"/>
    <mergeCell ref="BS260:BU260"/>
    <mergeCell ref="BB261:BC261"/>
    <mergeCell ref="BD261:BF261"/>
    <mergeCell ref="BG261:BJ261"/>
    <mergeCell ref="BK261:BM261"/>
    <mergeCell ref="BP261:BR261"/>
    <mergeCell ref="BS261:BU261"/>
    <mergeCell ref="BB262:BC262"/>
    <mergeCell ref="BD262:BF262"/>
    <mergeCell ref="BG262:BJ262"/>
    <mergeCell ref="BK262:BM262"/>
    <mergeCell ref="BP262:BR262"/>
    <mergeCell ref="BS262:BU262"/>
    <mergeCell ref="BB263:BC263"/>
    <mergeCell ref="BD263:BF263"/>
    <mergeCell ref="BG263:BJ263"/>
    <mergeCell ref="BK263:BM263"/>
    <mergeCell ref="BP263:BR263"/>
    <mergeCell ref="BS263:BU263"/>
    <mergeCell ref="BB264:BC264"/>
    <mergeCell ref="BD264:BF264"/>
    <mergeCell ref="BG264:BJ264"/>
    <mergeCell ref="BK264:BM264"/>
    <mergeCell ref="BP264:BR264"/>
    <mergeCell ref="BS264:BU264"/>
    <mergeCell ref="BB265:BC265"/>
    <mergeCell ref="BD265:BF265"/>
    <mergeCell ref="BG265:BJ265"/>
    <mergeCell ref="BK265:BM265"/>
    <mergeCell ref="BP265:BR265"/>
    <mergeCell ref="BS265:BU265"/>
    <mergeCell ref="BB266:BC266"/>
    <mergeCell ref="BD266:BF266"/>
    <mergeCell ref="BG266:BJ266"/>
    <mergeCell ref="BK266:BM266"/>
    <mergeCell ref="BP266:BR266"/>
    <mergeCell ref="BS266:BU266"/>
    <mergeCell ref="BB267:BC267"/>
    <mergeCell ref="BD267:BF267"/>
    <mergeCell ref="BG267:BJ267"/>
    <mergeCell ref="BK267:BM267"/>
    <mergeCell ref="BP267:BR267"/>
    <mergeCell ref="BS267:BU267"/>
    <mergeCell ref="BB268:BC268"/>
    <mergeCell ref="BD268:BF268"/>
    <mergeCell ref="BG268:BJ268"/>
    <mergeCell ref="BK268:BM268"/>
    <mergeCell ref="BP268:BR268"/>
    <mergeCell ref="BS268:BU268"/>
    <mergeCell ref="BB269:BC269"/>
    <mergeCell ref="BD269:BF269"/>
    <mergeCell ref="BG269:BJ269"/>
    <mergeCell ref="BK269:BM269"/>
    <mergeCell ref="BP269:BR269"/>
    <mergeCell ref="BS269:BU269"/>
    <mergeCell ref="BB270:BC270"/>
    <mergeCell ref="BD270:BF270"/>
    <mergeCell ref="BG270:BJ270"/>
    <mergeCell ref="BK270:BM270"/>
    <mergeCell ref="BP270:BR270"/>
    <mergeCell ref="BS270:BU270"/>
    <mergeCell ref="BB271:BC271"/>
    <mergeCell ref="BD271:BF271"/>
    <mergeCell ref="BG271:BJ271"/>
    <mergeCell ref="BK271:BM271"/>
    <mergeCell ref="BP271:BR271"/>
    <mergeCell ref="BS271:BU271"/>
    <mergeCell ref="BB272:BC272"/>
    <mergeCell ref="BD272:BF272"/>
    <mergeCell ref="BG272:BJ272"/>
    <mergeCell ref="BK272:BM272"/>
    <mergeCell ref="BP272:BR272"/>
    <mergeCell ref="BS272:BU272"/>
    <mergeCell ref="BB273:BC273"/>
    <mergeCell ref="BD273:BF273"/>
    <mergeCell ref="BG273:BJ273"/>
    <mergeCell ref="BK273:BM273"/>
    <mergeCell ref="BP273:BR273"/>
    <mergeCell ref="BS273:BU273"/>
    <mergeCell ref="BB274:BC274"/>
    <mergeCell ref="BD274:BF274"/>
    <mergeCell ref="BG274:BJ274"/>
    <mergeCell ref="BK274:BM274"/>
    <mergeCell ref="BP274:BR274"/>
    <mergeCell ref="BS274:BU274"/>
    <mergeCell ref="BB275:BC275"/>
    <mergeCell ref="BD275:BF275"/>
    <mergeCell ref="BG275:BJ275"/>
    <mergeCell ref="BK275:BM275"/>
    <mergeCell ref="BP275:BR275"/>
    <mergeCell ref="BS275:BU275"/>
    <mergeCell ref="BB276:BC276"/>
    <mergeCell ref="BD276:BF276"/>
    <mergeCell ref="BG276:BJ276"/>
    <mergeCell ref="BK276:BM276"/>
    <mergeCell ref="BP276:BR276"/>
    <mergeCell ref="BS276:BU276"/>
    <mergeCell ref="BB277:BC277"/>
    <mergeCell ref="BD277:BF277"/>
    <mergeCell ref="BG277:BJ277"/>
    <mergeCell ref="BK277:BM277"/>
    <mergeCell ref="BP277:BR277"/>
    <mergeCell ref="BS277:BU277"/>
    <mergeCell ref="BB278:BC278"/>
    <mergeCell ref="BD278:BF278"/>
    <mergeCell ref="BG278:BJ278"/>
    <mergeCell ref="BK278:BM278"/>
    <mergeCell ref="BP278:BR278"/>
    <mergeCell ref="BS278:BU278"/>
    <mergeCell ref="BB279:BC279"/>
    <mergeCell ref="BD279:BF279"/>
    <mergeCell ref="BG279:BJ279"/>
    <mergeCell ref="BK279:BM279"/>
    <mergeCell ref="BP279:BR279"/>
    <mergeCell ref="BS279:BU279"/>
    <mergeCell ref="BB280:BC280"/>
    <mergeCell ref="BD280:BF280"/>
    <mergeCell ref="BG280:BJ280"/>
    <mergeCell ref="BK280:BM280"/>
    <mergeCell ref="BP280:BR280"/>
    <mergeCell ref="BS280:BU280"/>
    <mergeCell ref="BB281:BC281"/>
    <mergeCell ref="BD281:BF281"/>
    <mergeCell ref="BG281:BJ281"/>
    <mergeCell ref="BK281:BM281"/>
    <mergeCell ref="BP281:BR281"/>
    <mergeCell ref="BS281:BU281"/>
    <mergeCell ref="BB282:BC282"/>
    <mergeCell ref="BD282:BF282"/>
    <mergeCell ref="BG282:BJ282"/>
    <mergeCell ref="BK282:BM282"/>
    <mergeCell ref="BP282:BR282"/>
    <mergeCell ref="BS282:BU282"/>
    <mergeCell ref="BB283:BC283"/>
    <mergeCell ref="BD283:BF283"/>
    <mergeCell ref="BG283:BJ283"/>
    <mergeCell ref="BK283:BM283"/>
    <mergeCell ref="BP283:BR283"/>
    <mergeCell ref="BS283:BU283"/>
    <mergeCell ref="BB284:BC284"/>
    <mergeCell ref="BD284:BF284"/>
    <mergeCell ref="BG284:BJ284"/>
    <mergeCell ref="BK284:BM284"/>
    <mergeCell ref="BP284:BR284"/>
    <mergeCell ref="BS284:BU284"/>
    <mergeCell ref="BB285:BC285"/>
    <mergeCell ref="BD285:BF285"/>
    <mergeCell ref="BG285:BJ285"/>
    <mergeCell ref="BK285:BM285"/>
    <mergeCell ref="BP285:BR285"/>
    <mergeCell ref="BS285:BU285"/>
    <mergeCell ref="BB286:BC286"/>
    <mergeCell ref="BD286:BF286"/>
    <mergeCell ref="BG286:BJ286"/>
    <mergeCell ref="BK286:BM286"/>
    <mergeCell ref="BP286:BR286"/>
    <mergeCell ref="BS286:BU286"/>
    <mergeCell ref="BB287:BC287"/>
    <mergeCell ref="BD287:BF287"/>
    <mergeCell ref="BG287:BJ287"/>
    <mergeCell ref="BK287:BM287"/>
    <mergeCell ref="BP287:BR287"/>
    <mergeCell ref="BS287:BU287"/>
    <mergeCell ref="BB288:BC288"/>
    <mergeCell ref="BD288:BF288"/>
    <mergeCell ref="BG288:BJ288"/>
    <mergeCell ref="BK288:BM288"/>
    <mergeCell ref="BP288:BR288"/>
    <mergeCell ref="BS288:BU288"/>
    <mergeCell ref="BB289:BC289"/>
    <mergeCell ref="BD289:BF289"/>
    <mergeCell ref="BG289:BJ289"/>
    <mergeCell ref="BK289:BM289"/>
    <mergeCell ref="BP289:BR289"/>
    <mergeCell ref="BS289:BU289"/>
    <mergeCell ref="BB290:BC290"/>
    <mergeCell ref="BD290:BF290"/>
    <mergeCell ref="BG290:BJ290"/>
    <mergeCell ref="BK290:BM290"/>
    <mergeCell ref="BP290:BR290"/>
    <mergeCell ref="BS290:BU290"/>
    <mergeCell ref="BB291:BC291"/>
    <mergeCell ref="BD291:BF291"/>
    <mergeCell ref="BG291:BJ291"/>
    <mergeCell ref="BK291:BM291"/>
    <mergeCell ref="BP291:BR291"/>
    <mergeCell ref="BS291:BU291"/>
    <mergeCell ref="BB292:BC292"/>
    <mergeCell ref="BD292:BF292"/>
    <mergeCell ref="BG292:BJ292"/>
    <mergeCell ref="BK292:BM292"/>
    <mergeCell ref="BP292:BR292"/>
    <mergeCell ref="BS292:BU292"/>
    <mergeCell ref="BB293:BC293"/>
    <mergeCell ref="BD293:BF293"/>
    <mergeCell ref="BG293:BJ293"/>
    <mergeCell ref="BK293:BM293"/>
    <mergeCell ref="BP293:BR293"/>
    <mergeCell ref="BS293:BU293"/>
    <mergeCell ref="BB294:BC294"/>
    <mergeCell ref="BD294:BF294"/>
    <mergeCell ref="BG294:BJ294"/>
    <mergeCell ref="BK294:BM294"/>
    <mergeCell ref="BP294:BR294"/>
    <mergeCell ref="BS294:BU294"/>
    <mergeCell ref="BB295:BC295"/>
    <mergeCell ref="BD295:BF295"/>
    <mergeCell ref="BG295:BJ295"/>
    <mergeCell ref="BK295:BM295"/>
    <mergeCell ref="BP295:BR295"/>
    <mergeCell ref="BS295:BU295"/>
    <mergeCell ref="BB296:BC296"/>
    <mergeCell ref="BD296:BF296"/>
    <mergeCell ref="BG296:BJ296"/>
    <mergeCell ref="BK296:BM296"/>
    <mergeCell ref="BP296:BR296"/>
    <mergeCell ref="BS296:BU296"/>
    <mergeCell ref="BB297:BC297"/>
    <mergeCell ref="BD297:BF297"/>
    <mergeCell ref="BG297:BJ297"/>
    <mergeCell ref="BK297:BM297"/>
    <mergeCell ref="BP297:BR297"/>
    <mergeCell ref="BS297:BU297"/>
    <mergeCell ref="BB298:BC298"/>
    <mergeCell ref="BD298:BF298"/>
    <mergeCell ref="BG298:BJ298"/>
    <mergeCell ref="BK298:BM298"/>
    <mergeCell ref="BP298:BR298"/>
    <mergeCell ref="BS298:BU298"/>
    <mergeCell ref="BB299:BC299"/>
    <mergeCell ref="BD299:BF299"/>
    <mergeCell ref="BG299:BJ299"/>
    <mergeCell ref="BK299:BM299"/>
    <mergeCell ref="BP299:BR299"/>
    <mergeCell ref="BS299:BU299"/>
    <mergeCell ref="BB300:BC300"/>
    <mergeCell ref="BD300:BF300"/>
    <mergeCell ref="BG300:BJ300"/>
    <mergeCell ref="BK300:BM300"/>
    <mergeCell ref="BP300:BR300"/>
    <mergeCell ref="BS300:BU300"/>
    <mergeCell ref="BB301:BC301"/>
    <mergeCell ref="BD301:BF301"/>
    <mergeCell ref="BG301:BJ301"/>
    <mergeCell ref="BK301:BM301"/>
    <mergeCell ref="BP301:BR301"/>
    <mergeCell ref="BS301:BU301"/>
    <mergeCell ref="BB302:BC302"/>
    <mergeCell ref="BD302:BF302"/>
    <mergeCell ref="BG302:BJ302"/>
    <mergeCell ref="BK302:BM302"/>
    <mergeCell ref="BP302:BR302"/>
    <mergeCell ref="BS302:BU302"/>
    <mergeCell ref="BB303:BC303"/>
    <mergeCell ref="BD303:BF303"/>
    <mergeCell ref="BG303:BJ303"/>
    <mergeCell ref="BK303:BM303"/>
    <mergeCell ref="BP303:BR303"/>
    <mergeCell ref="BS303:BU303"/>
    <mergeCell ref="BB304:BC304"/>
    <mergeCell ref="BD304:BF304"/>
    <mergeCell ref="BG304:BJ304"/>
    <mergeCell ref="BK304:BM304"/>
    <mergeCell ref="BP304:BR304"/>
    <mergeCell ref="BS304:BU304"/>
    <mergeCell ref="BB305:BC305"/>
    <mergeCell ref="BD305:BF305"/>
    <mergeCell ref="BG305:BJ305"/>
    <mergeCell ref="BK305:BM305"/>
    <mergeCell ref="BP305:BR305"/>
    <mergeCell ref="BS305:BU305"/>
    <mergeCell ref="BB306:BC306"/>
    <mergeCell ref="BD306:BF306"/>
    <mergeCell ref="BG306:BJ306"/>
    <mergeCell ref="BK306:BM306"/>
    <mergeCell ref="BP306:BR306"/>
    <mergeCell ref="BS306:BU306"/>
    <mergeCell ref="BB307:BC307"/>
    <mergeCell ref="BD307:BF307"/>
    <mergeCell ref="BG307:BJ307"/>
    <mergeCell ref="BK307:BM307"/>
    <mergeCell ref="BP307:BR307"/>
    <mergeCell ref="BS307:BU307"/>
    <mergeCell ref="BB308:BC308"/>
    <mergeCell ref="BD308:BF308"/>
    <mergeCell ref="BG308:BJ308"/>
    <mergeCell ref="BK308:BM308"/>
    <mergeCell ref="BP308:BR308"/>
    <mergeCell ref="BS308:BU308"/>
    <mergeCell ref="BB309:BC309"/>
    <mergeCell ref="BD309:BF309"/>
    <mergeCell ref="BG309:BJ309"/>
    <mergeCell ref="BK309:BM309"/>
    <mergeCell ref="BP309:BR309"/>
    <mergeCell ref="BS309:BU309"/>
    <mergeCell ref="BB310:BC310"/>
    <mergeCell ref="BD310:BF310"/>
    <mergeCell ref="BG310:BJ310"/>
    <mergeCell ref="BK310:BM310"/>
    <mergeCell ref="BP310:BR310"/>
    <mergeCell ref="BS310:BU310"/>
    <mergeCell ref="BB311:BC311"/>
    <mergeCell ref="BD311:BF311"/>
    <mergeCell ref="BG311:BJ311"/>
    <mergeCell ref="BK311:BM311"/>
    <mergeCell ref="BP311:BR311"/>
    <mergeCell ref="BS311:BU311"/>
    <mergeCell ref="BB312:BC312"/>
    <mergeCell ref="BD312:BF312"/>
    <mergeCell ref="BG312:BJ312"/>
    <mergeCell ref="BK312:BM312"/>
    <mergeCell ref="BP312:BR312"/>
    <mergeCell ref="BS312:BU312"/>
    <mergeCell ref="BB313:BC313"/>
    <mergeCell ref="BD313:BF313"/>
    <mergeCell ref="BG313:BJ313"/>
    <mergeCell ref="BK313:BM313"/>
    <mergeCell ref="BP313:BR313"/>
    <mergeCell ref="BS313:BU313"/>
    <mergeCell ref="BB314:BC314"/>
    <mergeCell ref="BD314:BF314"/>
    <mergeCell ref="BG314:BJ314"/>
    <mergeCell ref="BK314:BM314"/>
    <mergeCell ref="BP314:BR314"/>
    <mergeCell ref="BS314:BU314"/>
    <mergeCell ref="BB315:BC315"/>
    <mergeCell ref="BD315:BF315"/>
    <mergeCell ref="BG315:BJ315"/>
    <mergeCell ref="BK315:BM315"/>
    <mergeCell ref="BP315:BR315"/>
    <mergeCell ref="BS315:BU315"/>
    <mergeCell ref="BB316:BC316"/>
    <mergeCell ref="BD316:BF316"/>
    <mergeCell ref="BG316:BJ316"/>
    <mergeCell ref="BK316:BM316"/>
    <mergeCell ref="BP316:BR316"/>
    <mergeCell ref="BS316:BU316"/>
    <mergeCell ref="BB317:BC317"/>
    <mergeCell ref="BD317:BF317"/>
    <mergeCell ref="BG317:BJ317"/>
    <mergeCell ref="BK317:BM317"/>
    <mergeCell ref="BP317:BR317"/>
    <mergeCell ref="BS317:BU317"/>
    <mergeCell ref="BB318:BC318"/>
    <mergeCell ref="BD318:BF318"/>
    <mergeCell ref="BG318:BJ318"/>
    <mergeCell ref="BK318:BM318"/>
    <mergeCell ref="BP318:BR318"/>
    <mergeCell ref="BS318:BU318"/>
    <mergeCell ref="BB319:BC319"/>
    <mergeCell ref="BD319:BF319"/>
    <mergeCell ref="BG319:BJ319"/>
    <mergeCell ref="BK319:BM319"/>
    <mergeCell ref="BP319:BR319"/>
    <mergeCell ref="BS319:BU319"/>
    <mergeCell ref="BB320:BC320"/>
    <mergeCell ref="BD320:BF320"/>
    <mergeCell ref="BG320:BJ320"/>
    <mergeCell ref="BK320:BM320"/>
    <mergeCell ref="BP320:BR320"/>
    <mergeCell ref="BS320:BU320"/>
    <mergeCell ref="BB321:BC321"/>
    <mergeCell ref="BD321:BF321"/>
    <mergeCell ref="BG321:BJ321"/>
    <mergeCell ref="BK321:BM321"/>
    <mergeCell ref="BP321:BR321"/>
    <mergeCell ref="BS321:BU321"/>
    <mergeCell ref="BB322:BC322"/>
    <mergeCell ref="BD322:BF322"/>
    <mergeCell ref="BG322:BJ322"/>
    <mergeCell ref="BK322:BM322"/>
    <mergeCell ref="BP322:BR322"/>
    <mergeCell ref="BS322:BU322"/>
    <mergeCell ref="BB323:BC323"/>
    <mergeCell ref="BD323:BF323"/>
    <mergeCell ref="BG323:BJ323"/>
    <mergeCell ref="BK323:BM323"/>
    <mergeCell ref="BP323:BR323"/>
    <mergeCell ref="BS323:BU323"/>
    <mergeCell ref="BB324:BC324"/>
    <mergeCell ref="BD324:BF324"/>
    <mergeCell ref="BG324:BJ324"/>
    <mergeCell ref="BK324:BM324"/>
    <mergeCell ref="BP324:BR324"/>
    <mergeCell ref="BS324:BU324"/>
    <mergeCell ref="BB325:BC325"/>
    <mergeCell ref="BD325:BF325"/>
    <mergeCell ref="BG325:BJ325"/>
    <mergeCell ref="BK325:BM325"/>
    <mergeCell ref="BP325:BR325"/>
    <mergeCell ref="BS325:BU325"/>
    <mergeCell ref="BB326:BC326"/>
    <mergeCell ref="BD326:BF326"/>
    <mergeCell ref="BG326:BJ326"/>
    <mergeCell ref="BK326:BM326"/>
    <mergeCell ref="BP326:BR326"/>
    <mergeCell ref="BS326:BU326"/>
    <mergeCell ref="BB327:BC327"/>
    <mergeCell ref="BD327:BF327"/>
    <mergeCell ref="BG327:BJ327"/>
    <mergeCell ref="BK327:BM327"/>
    <mergeCell ref="BP327:BR327"/>
    <mergeCell ref="BS327:BU327"/>
    <mergeCell ref="BB328:BC328"/>
    <mergeCell ref="BD328:BF328"/>
    <mergeCell ref="BG328:BJ328"/>
    <mergeCell ref="BK328:BM328"/>
    <mergeCell ref="BP328:BR328"/>
    <mergeCell ref="BS328:BU328"/>
    <mergeCell ref="BB329:BC329"/>
    <mergeCell ref="BD329:BF329"/>
    <mergeCell ref="BG329:BJ329"/>
    <mergeCell ref="BK329:BM329"/>
    <mergeCell ref="BP329:BR329"/>
    <mergeCell ref="BS329:BU329"/>
    <mergeCell ref="BB330:BC330"/>
    <mergeCell ref="BD330:BF330"/>
    <mergeCell ref="BG330:BJ330"/>
    <mergeCell ref="BK330:BM330"/>
    <mergeCell ref="BP330:BR330"/>
    <mergeCell ref="BS330:BU330"/>
    <mergeCell ref="BB331:BC331"/>
    <mergeCell ref="BD331:BF331"/>
    <mergeCell ref="BG331:BJ331"/>
    <mergeCell ref="BK331:BM331"/>
    <mergeCell ref="BP331:BR331"/>
    <mergeCell ref="BS331:BU331"/>
    <mergeCell ref="BB332:BC332"/>
    <mergeCell ref="BD332:BF332"/>
    <mergeCell ref="BG332:BJ332"/>
    <mergeCell ref="BK332:BM332"/>
    <mergeCell ref="BP332:BR332"/>
    <mergeCell ref="BS332:BU332"/>
    <mergeCell ref="BB333:BC333"/>
    <mergeCell ref="BD333:BF333"/>
    <mergeCell ref="BG333:BJ333"/>
    <mergeCell ref="BK333:BM333"/>
    <mergeCell ref="BP333:BR333"/>
    <mergeCell ref="BS333:BU333"/>
    <mergeCell ref="BB334:BC334"/>
    <mergeCell ref="BD334:BF334"/>
    <mergeCell ref="BG334:BJ334"/>
    <mergeCell ref="BK334:BM334"/>
    <mergeCell ref="BP334:BR334"/>
    <mergeCell ref="BS334:BU334"/>
    <mergeCell ref="BB335:BC335"/>
    <mergeCell ref="BD335:BF335"/>
    <mergeCell ref="BG335:BJ335"/>
    <mergeCell ref="BK335:BM335"/>
    <mergeCell ref="BP335:BR335"/>
    <mergeCell ref="BS335:BU335"/>
    <mergeCell ref="BB336:BC336"/>
    <mergeCell ref="BD336:BF336"/>
    <mergeCell ref="BG336:BJ336"/>
    <mergeCell ref="BK336:BM336"/>
    <mergeCell ref="BP336:BR336"/>
    <mergeCell ref="BS336:BU336"/>
    <mergeCell ref="BB337:BC337"/>
    <mergeCell ref="BD337:BF337"/>
    <mergeCell ref="BG337:BJ337"/>
    <mergeCell ref="BK337:BM337"/>
    <mergeCell ref="BP337:BR337"/>
    <mergeCell ref="BS337:BU337"/>
    <mergeCell ref="BB338:BC338"/>
    <mergeCell ref="BD338:BF338"/>
    <mergeCell ref="BG338:BJ338"/>
    <mergeCell ref="BK338:BM338"/>
    <mergeCell ref="BP338:BR338"/>
    <mergeCell ref="BS338:BU338"/>
    <mergeCell ref="BB339:BC339"/>
    <mergeCell ref="BD339:BF339"/>
    <mergeCell ref="BG339:BJ339"/>
    <mergeCell ref="BK339:BM339"/>
    <mergeCell ref="BP339:BR339"/>
    <mergeCell ref="BS339:BU339"/>
    <mergeCell ref="BB340:BC340"/>
    <mergeCell ref="BD340:BF340"/>
    <mergeCell ref="BG340:BJ340"/>
    <mergeCell ref="BK340:BM340"/>
    <mergeCell ref="BP340:BR340"/>
    <mergeCell ref="BS340:BU340"/>
    <mergeCell ref="BB341:BC341"/>
    <mergeCell ref="BD341:BF341"/>
    <mergeCell ref="BG341:BJ341"/>
    <mergeCell ref="BK341:BM341"/>
    <mergeCell ref="BP341:BR341"/>
    <mergeCell ref="BS341:BU341"/>
    <mergeCell ref="BB342:BC342"/>
    <mergeCell ref="BD342:BF342"/>
    <mergeCell ref="BG342:BJ342"/>
    <mergeCell ref="BK342:BM342"/>
    <mergeCell ref="BP342:BR342"/>
    <mergeCell ref="BS342:BU342"/>
    <mergeCell ref="BB343:BC343"/>
    <mergeCell ref="BD343:BF343"/>
    <mergeCell ref="BG343:BJ343"/>
    <mergeCell ref="BK343:BM343"/>
    <mergeCell ref="BP343:BR343"/>
    <mergeCell ref="BS343:BU343"/>
    <mergeCell ref="BB344:BC344"/>
    <mergeCell ref="BD344:BF344"/>
    <mergeCell ref="BG344:BJ344"/>
    <mergeCell ref="BK344:BM344"/>
    <mergeCell ref="BP344:BR344"/>
    <mergeCell ref="BS344:BU344"/>
    <mergeCell ref="BB345:BC345"/>
    <mergeCell ref="BD345:BF345"/>
    <mergeCell ref="BG345:BJ345"/>
    <mergeCell ref="BK345:BM345"/>
    <mergeCell ref="BP345:BR345"/>
    <mergeCell ref="BS345:BU345"/>
    <mergeCell ref="BB346:BC346"/>
    <mergeCell ref="BD346:BF346"/>
    <mergeCell ref="BG346:BJ346"/>
    <mergeCell ref="BK346:BM346"/>
    <mergeCell ref="BP346:BR346"/>
    <mergeCell ref="BS346:BU346"/>
    <mergeCell ref="BB347:BC347"/>
    <mergeCell ref="BD347:BF347"/>
    <mergeCell ref="BG347:BJ347"/>
    <mergeCell ref="BK347:BM347"/>
    <mergeCell ref="BP347:BR347"/>
    <mergeCell ref="BS347:BU347"/>
    <mergeCell ref="BB348:BC348"/>
    <mergeCell ref="BD348:BF348"/>
    <mergeCell ref="BG348:BJ348"/>
    <mergeCell ref="BK348:BM348"/>
    <mergeCell ref="BP348:BR348"/>
    <mergeCell ref="BS348:BU348"/>
    <mergeCell ref="BB349:BC349"/>
    <mergeCell ref="BD349:BF349"/>
    <mergeCell ref="BG349:BJ349"/>
    <mergeCell ref="BK349:BM349"/>
    <mergeCell ref="BP349:BR349"/>
    <mergeCell ref="BS349:BU349"/>
    <mergeCell ref="BB350:BC350"/>
    <mergeCell ref="BD350:BF350"/>
    <mergeCell ref="BG350:BJ350"/>
    <mergeCell ref="BK350:BM350"/>
    <mergeCell ref="BP350:BR350"/>
    <mergeCell ref="BS350:BU350"/>
    <mergeCell ref="BB353:BC353"/>
    <mergeCell ref="BD353:BF353"/>
    <mergeCell ref="BG353:BJ353"/>
    <mergeCell ref="BK353:BM353"/>
    <mergeCell ref="BP353:BR353"/>
    <mergeCell ref="BS353:BU353"/>
    <mergeCell ref="BB351:BC351"/>
    <mergeCell ref="BD351:BF351"/>
    <mergeCell ref="BG351:BJ351"/>
    <mergeCell ref="BK351:BM351"/>
    <mergeCell ref="BP351:BR351"/>
    <mergeCell ref="BS351:BU351"/>
    <mergeCell ref="BB352:BC352"/>
    <mergeCell ref="BD352:BF352"/>
    <mergeCell ref="BG352:BJ352"/>
    <mergeCell ref="BK352:BM352"/>
    <mergeCell ref="BP352:BR352"/>
    <mergeCell ref="BS352:BU352"/>
    <mergeCell ref="BB354:BC354"/>
    <mergeCell ref="BD354:BF354"/>
    <mergeCell ref="BG354:BJ354"/>
    <mergeCell ref="BK354:BM354"/>
    <mergeCell ref="BP354:BR354"/>
    <mergeCell ref="BS354:BU354"/>
    <mergeCell ref="BB355:BC355"/>
    <mergeCell ref="BD355:BF355"/>
    <mergeCell ref="BG355:BJ355"/>
    <mergeCell ref="BK355:BM355"/>
    <mergeCell ref="BP355:BR355"/>
    <mergeCell ref="BS355:BU355"/>
    <mergeCell ref="BB356:BC356"/>
    <mergeCell ref="BD356:BF356"/>
    <mergeCell ref="BG356:BJ356"/>
    <mergeCell ref="BK356:BM356"/>
    <mergeCell ref="BP356:BR356"/>
    <mergeCell ref="BS356:BU356"/>
    <mergeCell ref="BB357:BC357"/>
    <mergeCell ref="BD357:BF357"/>
    <mergeCell ref="BG357:BJ357"/>
    <mergeCell ref="BK357:BM357"/>
    <mergeCell ref="BP357:BR357"/>
    <mergeCell ref="BS357:BU357"/>
    <mergeCell ref="BB358:BC358"/>
    <mergeCell ref="BD358:BF358"/>
    <mergeCell ref="BG358:BJ358"/>
    <mergeCell ref="BK358:BM358"/>
    <mergeCell ref="BP358:BR358"/>
    <mergeCell ref="BS358:BU358"/>
    <mergeCell ref="BB359:BC359"/>
    <mergeCell ref="BD359:BF359"/>
    <mergeCell ref="BG359:BJ359"/>
    <mergeCell ref="BK359:BM359"/>
    <mergeCell ref="BP359:BR359"/>
    <mergeCell ref="BS359:BU359"/>
    <mergeCell ref="BB360:BC360"/>
    <mergeCell ref="BD360:BF360"/>
    <mergeCell ref="BG360:BJ360"/>
    <mergeCell ref="BK360:BM360"/>
    <mergeCell ref="BP360:BR360"/>
    <mergeCell ref="BS360:BU360"/>
    <mergeCell ref="BB361:BC361"/>
    <mergeCell ref="BD361:BF361"/>
    <mergeCell ref="BG361:BJ361"/>
    <mergeCell ref="BK361:BM361"/>
    <mergeCell ref="BP361:BR361"/>
    <mergeCell ref="BS361:BU361"/>
    <mergeCell ref="BB362:BC362"/>
    <mergeCell ref="BD362:BF362"/>
    <mergeCell ref="BG362:BJ362"/>
    <mergeCell ref="BK362:BM362"/>
    <mergeCell ref="BP362:BR362"/>
    <mergeCell ref="BS362:BU362"/>
    <mergeCell ref="BB363:BC363"/>
    <mergeCell ref="BD363:BF363"/>
    <mergeCell ref="BG363:BJ363"/>
    <mergeCell ref="BK363:BM363"/>
    <mergeCell ref="BP363:BR363"/>
    <mergeCell ref="BS363:BU363"/>
    <mergeCell ref="BB364:BC364"/>
    <mergeCell ref="BD364:BF364"/>
    <mergeCell ref="BG364:BJ364"/>
    <mergeCell ref="BK364:BM364"/>
    <mergeCell ref="BP364:BR364"/>
    <mergeCell ref="BS364:BU364"/>
    <mergeCell ref="BB365:BC365"/>
    <mergeCell ref="BD365:BF365"/>
    <mergeCell ref="BG365:BJ365"/>
    <mergeCell ref="BK365:BM365"/>
    <mergeCell ref="BP365:BR365"/>
    <mergeCell ref="BS365:BU365"/>
    <mergeCell ref="BB366:BC366"/>
    <mergeCell ref="BD366:BF366"/>
    <mergeCell ref="BG366:BJ366"/>
    <mergeCell ref="BK366:BM366"/>
    <mergeCell ref="BP366:BR366"/>
    <mergeCell ref="BS366:BU366"/>
    <mergeCell ref="BB367:BC367"/>
    <mergeCell ref="BD367:BF367"/>
    <mergeCell ref="BG367:BJ367"/>
    <mergeCell ref="BK367:BM367"/>
    <mergeCell ref="BP367:BR367"/>
    <mergeCell ref="BS367:BU367"/>
    <mergeCell ref="BB368:BC368"/>
    <mergeCell ref="BD368:BF368"/>
    <mergeCell ref="BG368:BJ368"/>
    <mergeCell ref="BK368:BM368"/>
    <mergeCell ref="BP368:BR368"/>
    <mergeCell ref="BS368:BU368"/>
    <mergeCell ref="BB369:BC369"/>
    <mergeCell ref="BD369:BF369"/>
    <mergeCell ref="BG369:BJ369"/>
    <mergeCell ref="BK369:BM369"/>
    <mergeCell ref="BP369:BR369"/>
    <mergeCell ref="BS369:BU369"/>
    <mergeCell ref="BB370:BC370"/>
    <mergeCell ref="BD370:BF370"/>
    <mergeCell ref="BG370:BJ370"/>
    <mergeCell ref="BK370:BM370"/>
    <mergeCell ref="BP370:BR370"/>
    <mergeCell ref="BS370:BU370"/>
    <mergeCell ref="BB371:BC371"/>
    <mergeCell ref="BD371:BF371"/>
    <mergeCell ref="BG371:BJ371"/>
    <mergeCell ref="BK371:BM371"/>
    <mergeCell ref="BP371:BR371"/>
    <mergeCell ref="BS371:BU371"/>
    <mergeCell ref="BB372:BC372"/>
    <mergeCell ref="BD372:BF372"/>
    <mergeCell ref="BG372:BJ372"/>
    <mergeCell ref="BK372:BM372"/>
    <mergeCell ref="BP372:BR372"/>
    <mergeCell ref="BS372:BU372"/>
    <mergeCell ref="BB373:BC373"/>
    <mergeCell ref="BD373:BF373"/>
    <mergeCell ref="BG373:BJ373"/>
    <mergeCell ref="BK373:BM373"/>
    <mergeCell ref="BP373:BR373"/>
    <mergeCell ref="BS373:BU373"/>
    <mergeCell ref="BB374:BC374"/>
    <mergeCell ref="BD374:BF374"/>
    <mergeCell ref="BG374:BJ374"/>
    <mergeCell ref="BK374:BM374"/>
    <mergeCell ref="BP374:BR374"/>
    <mergeCell ref="BS374:BU374"/>
    <mergeCell ref="BB375:BC375"/>
    <mergeCell ref="BD375:BF375"/>
    <mergeCell ref="BG375:BJ375"/>
    <mergeCell ref="BK375:BM375"/>
    <mergeCell ref="BP375:BR375"/>
    <mergeCell ref="BS375:BU375"/>
    <mergeCell ref="BB376:BC376"/>
    <mergeCell ref="BD376:BF376"/>
    <mergeCell ref="BG376:BJ376"/>
    <mergeCell ref="BK376:BM376"/>
    <mergeCell ref="BP376:BR376"/>
    <mergeCell ref="BS376:BU376"/>
    <mergeCell ref="BB377:BC377"/>
    <mergeCell ref="BD377:BF377"/>
    <mergeCell ref="BG377:BJ377"/>
    <mergeCell ref="BK377:BM377"/>
    <mergeCell ref="BP377:BR377"/>
    <mergeCell ref="BS377:BU377"/>
    <mergeCell ref="BB378:BC378"/>
    <mergeCell ref="BD378:BF378"/>
    <mergeCell ref="BG378:BJ378"/>
    <mergeCell ref="BK378:BM378"/>
    <mergeCell ref="BP378:BR378"/>
    <mergeCell ref="BS378:BU378"/>
    <mergeCell ref="BB379:BC379"/>
    <mergeCell ref="BD379:BF379"/>
    <mergeCell ref="BG379:BJ379"/>
    <mergeCell ref="BK379:BM379"/>
    <mergeCell ref="BP379:BR379"/>
    <mergeCell ref="BS379:BU379"/>
    <mergeCell ref="BB380:BC380"/>
    <mergeCell ref="BD380:BF380"/>
    <mergeCell ref="BG380:BJ380"/>
    <mergeCell ref="BK380:BM380"/>
    <mergeCell ref="BP380:BR380"/>
    <mergeCell ref="BS380:BU380"/>
    <mergeCell ref="BB381:BC381"/>
    <mergeCell ref="BD381:BF381"/>
    <mergeCell ref="BG381:BJ381"/>
    <mergeCell ref="BK381:BM381"/>
    <mergeCell ref="BP381:BR381"/>
    <mergeCell ref="BS381:BU381"/>
    <mergeCell ref="BB382:BC382"/>
    <mergeCell ref="BD382:BF382"/>
    <mergeCell ref="BG382:BJ382"/>
    <mergeCell ref="BK382:BM382"/>
    <mergeCell ref="BP382:BR382"/>
    <mergeCell ref="BS382:BU382"/>
    <mergeCell ref="BB383:BC383"/>
    <mergeCell ref="BD383:BF383"/>
    <mergeCell ref="BG383:BJ383"/>
    <mergeCell ref="BK383:BM383"/>
    <mergeCell ref="BP383:BR383"/>
    <mergeCell ref="BS383:BU383"/>
    <mergeCell ref="BB384:BC384"/>
    <mergeCell ref="BD384:BF384"/>
    <mergeCell ref="BG384:BJ384"/>
    <mergeCell ref="BK384:BM384"/>
    <mergeCell ref="BP384:BR384"/>
    <mergeCell ref="BS384:BU384"/>
    <mergeCell ref="BB385:BC385"/>
    <mergeCell ref="BD385:BF385"/>
    <mergeCell ref="BG385:BJ385"/>
    <mergeCell ref="BK385:BM385"/>
    <mergeCell ref="BP385:BR385"/>
    <mergeCell ref="BS385:BU385"/>
    <mergeCell ref="BB386:BC386"/>
    <mergeCell ref="BD386:BF386"/>
    <mergeCell ref="BG386:BJ386"/>
    <mergeCell ref="BK386:BM386"/>
    <mergeCell ref="BP386:BR386"/>
    <mergeCell ref="BS386:BU386"/>
    <mergeCell ref="BB387:BC387"/>
    <mergeCell ref="BD387:BF387"/>
    <mergeCell ref="BG387:BJ387"/>
    <mergeCell ref="BK387:BM387"/>
    <mergeCell ref="BP387:BR387"/>
    <mergeCell ref="BS387:BU387"/>
    <mergeCell ref="BB388:BC388"/>
    <mergeCell ref="BD388:BF388"/>
    <mergeCell ref="BG388:BJ388"/>
    <mergeCell ref="BK388:BM388"/>
    <mergeCell ref="BP388:BR388"/>
    <mergeCell ref="BS388:BU388"/>
    <mergeCell ref="BB389:BC389"/>
    <mergeCell ref="BD389:BF389"/>
    <mergeCell ref="BG389:BJ389"/>
    <mergeCell ref="BK389:BM389"/>
    <mergeCell ref="BP389:BR389"/>
    <mergeCell ref="BS389:BU389"/>
    <mergeCell ref="BB390:BC390"/>
    <mergeCell ref="BD390:BF390"/>
    <mergeCell ref="BG390:BJ390"/>
    <mergeCell ref="BK390:BM390"/>
    <mergeCell ref="BP390:BR390"/>
    <mergeCell ref="BS390:BU390"/>
    <mergeCell ref="BB391:BC391"/>
    <mergeCell ref="BD391:BF391"/>
    <mergeCell ref="BG391:BJ391"/>
    <mergeCell ref="BK391:BM391"/>
    <mergeCell ref="BP391:BR391"/>
    <mergeCell ref="BS391:BU391"/>
    <mergeCell ref="BB392:BC392"/>
    <mergeCell ref="BD392:BF392"/>
    <mergeCell ref="BG392:BJ392"/>
    <mergeCell ref="BK392:BM392"/>
    <mergeCell ref="BP392:BR392"/>
    <mergeCell ref="BS392:BU392"/>
    <mergeCell ref="BB393:BC393"/>
    <mergeCell ref="BD393:BF393"/>
    <mergeCell ref="BG393:BJ393"/>
    <mergeCell ref="BK393:BM393"/>
    <mergeCell ref="BP393:BR393"/>
    <mergeCell ref="BS393:BU393"/>
    <mergeCell ref="BB394:BC394"/>
    <mergeCell ref="BD394:BF394"/>
    <mergeCell ref="BG394:BJ394"/>
    <mergeCell ref="BK394:BM394"/>
    <mergeCell ref="BP394:BR394"/>
    <mergeCell ref="BS394:BU394"/>
    <mergeCell ref="BB395:BC395"/>
    <mergeCell ref="BD395:BF395"/>
    <mergeCell ref="BG395:BJ395"/>
    <mergeCell ref="BK395:BM395"/>
    <mergeCell ref="BP395:BR395"/>
    <mergeCell ref="BS395:BU395"/>
    <mergeCell ref="BB396:BC396"/>
    <mergeCell ref="BD396:BF396"/>
    <mergeCell ref="BG396:BJ396"/>
    <mergeCell ref="BK396:BM396"/>
    <mergeCell ref="BP396:BR396"/>
    <mergeCell ref="BS396:BU396"/>
    <mergeCell ref="BB397:BC397"/>
    <mergeCell ref="BD397:BF397"/>
    <mergeCell ref="BG397:BJ397"/>
    <mergeCell ref="BK397:BM397"/>
    <mergeCell ref="BP397:BR397"/>
    <mergeCell ref="BS397:BU397"/>
    <mergeCell ref="BB398:BC398"/>
    <mergeCell ref="BD398:BF398"/>
    <mergeCell ref="BG398:BJ398"/>
    <mergeCell ref="BK398:BM398"/>
    <mergeCell ref="BP398:BR398"/>
    <mergeCell ref="BS398:BU398"/>
    <mergeCell ref="BB399:BC399"/>
    <mergeCell ref="BD399:BF399"/>
    <mergeCell ref="BG399:BJ399"/>
    <mergeCell ref="BK399:BM399"/>
    <mergeCell ref="BP399:BR399"/>
    <mergeCell ref="BS399:BU399"/>
    <mergeCell ref="BB400:BC400"/>
    <mergeCell ref="BD400:BF400"/>
    <mergeCell ref="BG400:BJ400"/>
    <mergeCell ref="BK400:BM400"/>
    <mergeCell ref="BP400:BR400"/>
    <mergeCell ref="BS400:BU400"/>
    <mergeCell ref="BB401:BC401"/>
    <mergeCell ref="BD401:BF401"/>
    <mergeCell ref="BG401:BJ401"/>
    <mergeCell ref="BK401:BM401"/>
    <mergeCell ref="BP401:BR401"/>
    <mergeCell ref="BS401:BU401"/>
    <mergeCell ref="BB402:BC402"/>
    <mergeCell ref="BD402:BF402"/>
    <mergeCell ref="BG402:BJ402"/>
    <mergeCell ref="BK402:BM402"/>
    <mergeCell ref="BP402:BR402"/>
    <mergeCell ref="BS402:BU402"/>
    <mergeCell ref="BB403:BC403"/>
    <mergeCell ref="BD403:BF403"/>
    <mergeCell ref="BG403:BJ403"/>
    <mergeCell ref="BK403:BM403"/>
    <mergeCell ref="BP403:BR403"/>
    <mergeCell ref="BS403:BU403"/>
    <mergeCell ref="BB404:BC404"/>
    <mergeCell ref="BD404:BF404"/>
    <mergeCell ref="BG404:BJ404"/>
    <mergeCell ref="BK404:BM404"/>
    <mergeCell ref="BP404:BR404"/>
    <mergeCell ref="BS404:BU404"/>
    <mergeCell ref="BB405:BC405"/>
    <mergeCell ref="BD405:BF405"/>
    <mergeCell ref="BG405:BJ405"/>
    <mergeCell ref="BK405:BM405"/>
    <mergeCell ref="BP405:BR405"/>
    <mergeCell ref="BS405:BU405"/>
    <mergeCell ref="BB406:BC406"/>
    <mergeCell ref="BD406:BF406"/>
    <mergeCell ref="BG406:BJ406"/>
    <mergeCell ref="BK406:BM406"/>
    <mergeCell ref="BP406:BR406"/>
    <mergeCell ref="BS406:BU406"/>
    <mergeCell ref="BB407:BC407"/>
    <mergeCell ref="BD407:BF407"/>
    <mergeCell ref="BG407:BJ407"/>
    <mergeCell ref="BK407:BM407"/>
    <mergeCell ref="BP407:BR407"/>
    <mergeCell ref="BS407:BU407"/>
    <mergeCell ref="BB408:BC408"/>
    <mergeCell ref="BD408:BF408"/>
    <mergeCell ref="BG408:BJ408"/>
    <mergeCell ref="BK408:BM408"/>
    <mergeCell ref="BP408:BR408"/>
    <mergeCell ref="BS408:BU408"/>
    <mergeCell ref="BB410:BC410"/>
    <mergeCell ref="BD410:BF410"/>
    <mergeCell ref="BG410:BJ410"/>
    <mergeCell ref="BK410:BM410"/>
    <mergeCell ref="BP410:BR410"/>
    <mergeCell ref="BS410:BU410"/>
    <mergeCell ref="BB411:BC411"/>
    <mergeCell ref="BD411:BF411"/>
    <mergeCell ref="BG411:BJ411"/>
    <mergeCell ref="BK411:BM411"/>
    <mergeCell ref="BP411:BR411"/>
    <mergeCell ref="BS411:BU411"/>
    <mergeCell ref="BB409:BC409"/>
    <mergeCell ref="BB412:BC412"/>
    <mergeCell ref="BD412:BF412"/>
    <mergeCell ref="BG412:BJ412"/>
    <mergeCell ref="BK412:BM412"/>
    <mergeCell ref="BP412:BR412"/>
    <mergeCell ref="BS412:BU412"/>
    <mergeCell ref="BB413:BC413"/>
    <mergeCell ref="BD413:BF413"/>
    <mergeCell ref="BG413:BJ413"/>
    <mergeCell ref="BK413:BM413"/>
    <mergeCell ref="BP413:BR413"/>
    <mergeCell ref="BS413:BU413"/>
    <mergeCell ref="BB414:BC414"/>
    <mergeCell ref="BD414:BF414"/>
    <mergeCell ref="BG414:BJ414"/>
    <mergeCell ref="BK414:BM414"/>
    <mergeCell ref="BP414:BR414"/>
    <mergeCell ref="BS414:BU414"/>
    <mergeCell ref="BB415:BC415"/>
    <mergeCell ref="BD415:BF415"/>
    <mergeCell ref="BG415:BJ415"/>
    <mergeCell ref="BK415:BM415"/>
    <mergeCell ref="BP415:BR415"/>
    <mergeCell ref="BS415:BU415"/>
    <mergeCell ref="BB416:BC416"/>
    <mergeCell ref="BD416:BF416"/>
    <mergeCell ref="BG416:BJ416"/>
    <mergeCell ref="BK416:BM416"/>
    <mergeCell ref="BP416:BR416"/>
    <mergeCell ref="BS416:BU416"/>
    <mergeCell ref="BB417:BC417"/>
    <mergeCell ref="BD417:BF417"/>
    <mergeCell ref="BG417:BJ417"/>
    <mergeCell ref="BK417:BM417"/>
    <mergeCell ref="BP417:BR417"/>
    <mergeCell ref="BS417:BU417"/>
    <mergeCell ref="BB418:BC418"/>
    <mergeCell ref="BD418:BF418"/>
    <mergeCell ref="BG418:BJ418"/>
    <mergeCell ref="BK418:BM418"/>
    <mergeCell ref="BP418:BR418"/>
    <mergeCell ref="BS418:BU418"/>
    <mergeCell ref="BB419:BC419"/>
    <mergeCell ref="BD419:BF419"/>
    <mergeCell ref="BG419:BJ419"/>
    <mergeCell ref="BK419:BM419"/>
    <mergeCell ref="BP419:BR419"/>
    <mergeCell ref="BS419:BU419"/>
    <mergeCell ref="BB420:BC420"/>
    <mergeCell ref="BD420:BF420"/>
    <mergeCell ref="BG420:BJ420"/>
    <mergeCell ref="BK420:BM420"/>
    <mergeCell ref="BP420:BR420"/>
    <mergeCell ref="BS420:BU420"/>
    <mergeCell ref="BB421:BC421"/>
    <mergeCell ref="BD421:BF421"/>
    <mergeCell ref="BG421:BJ421"/>
    <mergeCell ref="BK421:BM421"/>
    <mergeCell ref="BP421:BR421"/>
    <mergeCell ref="BS421:BU421"/>
    <mergeCell ref="BB422:BC422"/>
    <mergeCell ref="BD422:BF422"/>
    <mergeCell ref="BG422:BJ422"/>
    <mergeCell ref="BK422:BM422"/>
    <mergeCell ref="BP422:BR422"/>
    <mergeCell ref="BS422:BU422"/>
    <mergeCell ref="BB423:BC423"/>
    <mergeCell ref="BD423:BF423"/>
    <mergeCell ref="BG423:BJ423"/>
    <mergeCell ref="BK423:BM423"/>
    <mergeCell ref="BP423:BR423"/>
    <mergeCell ref="BS423:BU423"/>
    <mergeCell ref="BB424:BC424"/>
    <mergeCell ref="BD424:BF424"/>
    <mergeCell ref="BG424:BJ424"/>
    <mergeCell ref="BK424:BM424"/>
    <mergeCell ref="BP424:BR424"/>
    <mergeCell ref="BS424:BU424"/>
    <mergeCell ref="BB425:BC425"/>
    <mergeCell ref="BD425:BF425"/>
    <mergeCell ref="BG425:BJ425"/>
    <mergeCell ref="BK425:BM425"/>
    <mergeCell ref="BP425:BR425"/>
    <mergeCell ref="BS425:BU425"/>
    <mergeCell ref="BB426:BC426"/>
    <mergeCell ref="BD426:BF426"/>
    <mergeCell ref="BG426:BJ426"/>
    <mergeCell ref="BK426:BM426"/>
    <mergeCell ref="BP426:BR426"/>
    <mergeCell ref="BS426:BU426"/>
    <mergeCell ref="BB427:BC427"/>
    <mergeCell ref="BD427:BF427"/>
    <mergeCell ref="BG427:BJ427"/>
    <mergeCell ref="BK427:BM427"/>
    <mergeCell ref="BP427:BR427"/>
    <mergeCell ref="BS427:BU427"/>
    <mergeCell ref="BB428:BC428"/>
    <mergeCell ref="BD428:BF428"/>
    <mergeCell ref="BG428:BJ428"/>
    <mergeCell ref="BK428:BM428"/>
    <mergeCell ref="BP428:BR428"/>
    <mergeCell ref="BS428:BU428"/>
    <mergeCell ref="BB429:BC429"/>
    <mergeCell ref="BD429:BF429"/>
    <mergeCell ref="BG429:BJ429"/>
    <mergeCell ref="BK429:BM429"/>
    <mergeCell ref="BP429:BR429"/>
    <mergeCell ref="BS429:BU429"/>
    <mergeCell ref="BB430:BC430"/>
    <mergeCell ref="BD430:BF430"/>
    <mergeCell ref="BG430:BJ430"/>
    <mergeCell ref="BK430:BM430"/>
    <mergeCell ref="BP430:BR430"/>
    <mergeCell ref="BS430:BU430"/>
    <mergeCell ref="BB431:BC431"/>
    <mergeCell ref="BD431:BF431"/>
    <mergeCell ref="BG431:BJ431"/>
    <mergeCell ref="BK431:BM431"/>
    <mergeCell ref="BP431:BR431"/>
    <mergeCell ref="BS431:BU431"/>
    <mergeCell ref="BB432:BC432"/>
    <mergeCell ref="BD432:BF432"/>
    <mergeCell ref="BG432:BJ432"/>
    <mergeCell ref="BK432:BM432"/>
    <mergeCell ref="BP432:BR432"/>
    <mergeCell ref="BS432:BU432"/>
    <mergeCell ref="BB433:BC433"/>
    <mergeCell ref="BD433:BF433"/>
    <mergeCell ref="BG433:BJ433"/>
    <mergeCell ref="BK433:BM433"/>
    <mergeCell ref="BP433:BR433"/>
    <mergeCell ref="BS433:BU433"/>
    <mergeCell ref="BB434:BC434"/>
    <mergeCell ref="BD434:BF434"/>
    <mergeCell ref="BG434:BJ434"/>
    <mergeCell ref="BK434:BM434"/>
    <mergeCell ref="BP434:BR434"/>
    <mergeCell ref="BS434:BU434"/>
    <mergeCell ref="BB435:BC435"/>
    <mergeCell ref="BD435:BF435"/>
    <mergeCell ref="BG435:BJ435"/>
    <mergeCell ref="BK435:BM435"/>
    <mergeCell ref="BP435:BR435"/>
    <mergeCell ref="BS435:BU435"/>
    <mergeCell ref="BB436:BC436"/>
    <mergeCell ref="BD436:BF436"/>
    <mergeCell ref="BG436:BJ436"/>
    <mergeCell ref="BK436:BM436"/>
    <mergeCell ref="BP436:BR436"/>
    <mergeCell ref="BS436:BU436"/>
    <mergeCell ref="BB437:BC437"/>
    <mergeCell ref="BD437:BF437"/>
    <mergeCell ref="BG437:BJ437"/>
    <mergeCell ref="BK437:BM437"/>
    <mergeCell ref="BP437:BR437"/>
    <mergeCell ref="BS437:BU437"/>
    <mergeCell ref="BB438:BC438"/>
    <mergeCell ref="BD438:BF438"/>
    <mergeCell ref="BG438:BJ438"/>
    <mergeCell ref="BK438:BM438"/>
    <mergeCell ref="BP438:BR438"/>
    <mergeCell ref="BS438:BU438"/>
    <mergeCell ref="BB439:BC439"/>
    <mergeCell ref="BD439:BF439"/>
    <mergeCell ref="BG439:BJ439"/>
    <mergeCell ref="BK439:BM439"/>
    <mergeCell ref="BP439:BR439"/>
    <mergeCell ref="BS439:BU439"/>
    <mergeCell ref="BB440:BC440"/>
    <mergeCell ref="BD440:BF440"/>
    <mergeCell ref="BG440:BJ440"/>
    <mergeCell ref="BK440:BM440"/>
    <mergeCell ref="BP440:BR440"/>
    <mergeCell ref="BS440:BU440"/>
    <mergeCell ref="BB441:BC441"/>
    <mergeCell ref="BD441:BF441"/>
    <mergeCell ref="BG441:BJ441"/>
    <mergeCell ref="BK441:BM441"/>
    <mergeCell ref="BP441:BR441"/>
    <mergeCell ref="BS441:BU441"/>
    <mergeCell ref="BB442:BC442"/>
    <mergeCell ref="BD442:BF442"/>
    <mergeCell ref="BG442:BJ442"/>
    <mergeCell ref="BK442:BM442"/>
    <mergeCell ref="BP442:BR442"/>
    <mergeCell ref="BS442:BU442"/>
    <mergeCell ref="BB443:BC443"/>
    <mergeCell ref="BD443:BF443"/>
    <mergeCell ref="BG443:BJ443"/>
    <mergeCell ref="BK443:BM443"/>
    <mergeCell ref="BP443:BR443"/>
    <mergeCell ref="BS443:BU443"/>
    <mergeCell ref="BB444:BC444"/>
    <mergeCell ref="BD444:BF444"/>
    <mergeCell ref="BG444:BJ444"/>
    <mergeCell ref="BK444:BM444"/>
    <mergeCell ref="BP444:BR444"/>
    <mergeCell ref="BS444:BU444"/>
    <mergeCell ref="BB445:BC445"/>
    <mergeCell ref="BD445:BF445"/>
    <mergeCell ref="BG445:BJ445"/>
    <mergeCell ref="BK445:BM445"/>
    <mergeCell ref="BP445:BR445"/>
    <mergeCell ref="BS445:BU445"/>
    <mergeCell ref="BB446:BC446"/>
    <mergeCell ref="BD446:BF446"/>
    <mergeCell ref="BG446:BJ446"/>
    <mergeCell ref="BK446:BM446"/>
    <mergeCell ref="BP446:BR446"/>
    <mergeCell ref="BS446:BU446"/>
    <mergeCell ref="BB447:BC447"/>
    <mergeCell ref="BD447:BF447"/>
    <mergeCell ref="BG447:BJ447"/>
    <mergeCell ref="BK447:BM447"/>
    <mergeCell ref="BP447:BR447"/>
    <mergeCell ref="BS447:BU447"/>
    <mergeCell ref="BB448:BC448"/>
    <mergeCell ref="BD448:BF448"/>
    <mergeCell ref="BG448:BJ448"/>
    <mergeCell ref="BK448:BM448"/>
    <mergeCell ref="BP448:BR448"/>
    <mergeCell ref="BS448:BU448"/>
    <mergeCell ref="BB449:BC449"/>
    <mergeCell ref="BD449:BF449"/>
    <mergeCell ref="BG449:BJ449"/>
    <mergeCell ref="BK449:BM449"/>
    <mergeCell ref="BP449:BR449"/>
    <mergeCell ref="BS449:BU449"/>
    <mergeCell ref="BB450:BC450"/>
    <mergeCell ref="BD450:BF450"/>
    <mergeCell ref="BG450:BJ450"/>
    <mergeCell ref="BK450:BM450"/>
    <mergeCell ref="BP450:BR450"/>
    <mergeCell ref="BS450:BU450"/>
    <mergeCell ref="BB451:BC451"/>
    <mergeCell ref="BD451:BF451"/>
    <mergeCell ref="BG451:BJ451"/>
    <mergeCell ref="BK451:BM451"/>
    <mergeCell ref="BP451:BR451"/>
    <mergeCell ref="BS451:BU451"/>
    <mergeCell ref="BB452:BC452"/>
    <mergeCell ref="BD452:BF452"/>
    <mergeCell ref="BG452:BJ452"/>
    <mergeCell ref="BK452:BM452"/>
    <mergeCell ref="BP452:BR452"/>
    <mergeCell ref="BS452:BU452"/>
    <mergeCell ref="BB453:BC453"/>
    <mergeCell ref="BD453:BF453"/>
    <mergeCell ref="BG453:BJ453"/>
    <mergeCell ref="BK453:BM453"/>
    <mergeCell ref="BP453:BR453"/>
    <mergeCell ref="BS453:BU453"/>
    <mergeCell ref="BB454:BC454"/>
    <mergeCell ref="BD454:BF454"/>
    <mergeCell ref="BG454:BJ454"/>
    <mergeCell ref="BK454:BM454"/>
    <mergeCell ref="BP454:BR454"/>
    <mergeCell ref="BS454:BU454"/>
    <mergeCell ref="BB455:BC455"/>
    <mergeCell ref="BD455:BF455"/>
    <mergeCell ref="BG455:BJ455"/>
    <mergeCell ref="BK455:BM455"/>
    <mergeCell ref="BP455:BR455"/>
    <mergeCell ref="BS455:BU455"/>
    <mergeCell ref="BB456:BC456"/>
    <mergeCell ref="BD456:BF456"/>
    <mergeCell ref="BG456:BJ456"/>
    <mergeCell ref="BK456:BM456"/>
    <mergeCell ref="BP456:BR456"/>
    <mergeCell ref="BS456:BU456"/>
    <mergeCell ref="BB457:BC457"/>
    <mergeCell ref="BD457:BF457"/>
    <mergeCell ref="BG457:BJ457"/>
    <mergeCell ref="BK457:BM457"/>
    <mergeCell ref="BP457:BR457"/>
    <mergeCell ref="BS457:BU457"/>
    <mergeCell ref="BB458:BC458"/>
    <mergeCell ref="BD458:BF458"/>
    <mergeCell ref="BG458:BJ458"/>
    <mergeCell ref="BK458:BM458"/>
    <mergeCell ref="BP458:BR458"/>
    <mergeCell ref="BS458:BU458"/>
    <mergeCell ref="BB459:BC459"/>
    <mergeCell ref="BD459:BF459"/>
    <mergeCell ref="BG459:BJ459"/>
    <mergeCell ref="BK459:BM459"/>
    <mergeCell ref="BP459:BR459"/>
    <mergeCell ref="BS459:BU459"/>
    <mergeCell ref="BB460:BC460"/>
    <mergeCell ref="BD460:BF460"/>
    <mergeCell ref="BG460:BJ460"/>
    <mergeCell ref="BK460:BM460"/>
    <mergeCell ref="BP460:BR460"/>
    <mergeCell ref="BS460:BU460"/>
    <mergeCell ref="BB461:BC461"/>
    <mergeCell ref="BD461:BF461"/>
    <mergeCell ref="BG461:BJ461"/>
    <mergeCell ref="BK461:BM461"/>
    <mergeCell ref="BP461:BR461"/>
    <mergeCell ref="BS461:BU461"/>
    <mergeCell ref="BB462:BC462"/>
    <mergeCell ref="BD462:BF462"/>
    <mergeCell ref="BG462:BJ462"/>
    <mergeCell ref="BK462:BM462"/>
    <mergeCell ref="BP462:BR462"/>
    <mergeCell ref="BS462:BU462"/>
    <mergeCell ref="BB463:BC463"/>
    <mergeCell ref="BD463:BF463"/>
    <mergeCell ref="BG463:BJ463"/>
    <mergeCell ref="BK463:BM463"/>
    <mergeCell ref="BP463:BR463"/>
    <mergeCell ref="BS463:BU463"/>
    <mergeCell ref="BB464:BC464"/>
    <mergeCell ref="BD464:BF464"/>
    <mergeCell ref="BG464:BJ464"/>
    <mergeCell ref="BK464:BM464"/>
    <mergeCell ref="BP464:BR464"/>
    <mergeCell ref="BS464:BU464"/>
    <mergeCell ref="BB465:BC465"/>
    <mergeCell ref="BD465:BF465"/>
    <mergeCell ref="BG465:BJ465"/>
    <mergeCell ref="BK465:BM465"/>
    <mergeCell ref="BP465:BR465"/>
    <mergeCell ref="BS465:BU465"/>
    <mergeCell ref="BB467:BC467"/>
    <mergeCell ref="BD467:BF467"/>
    <mergeCell ref="BG467:BJ467"/>
    <mergeCell ref="BK467:BM467"/>
    <mergeCell ref="BP467:BR467"/>
    <mergeCell ref="BS467:BU467"/>
    <mergeCell ref="BB468:BC468"/>
    <mergeCell ref="BD468:BF468"/>
    <mergeCell ref="BG468:BJ468"/>
    <mergeCell ref="BK468:BM468"/>
    <mergeCell ref="BP468:BR468"/>
    <mergeCell ref="BS468:BU468"/>
    <mergeCell ref="BB469:BC469"/>
    <mergeCell ref="BD469:BF469"/>
    <mergeCell ref="BG469:BJ469"/>
    <mergeCell ref="BK469:BM469"/>
    <mergeCell ref="BP469:BR469"/>
    <mergeCell ref="BS469:BU469"/>
    <mergeCell ref="BB470:BC470"/>
    <mergeCell ref="BD470:BF470"/>
    <mergeCell ref="BG470:BJ470"/>
    <mergeCell ref="BK470:BM470"/>
    <mergeCell ref="BP470:BR470"/>
    <mergeCell ref="BS470:BU470"/>
    <mergeCell ref="BB471:BC471"/>
    <mergeCell ref="BD471:BF471"/>
    <mergeCell ref="BG471:BJ471"/>
    <mergeCell ref="BK471:BM471"/>
    <mergeCell ref="BP471:BR471"/>
    <mergeCell ref="BS471:BU471"/>
    <mergeCell ref="BB472:BC472"/>
    <mergeCell ref="BD472:BF472"/>
    <mergeCell ref="BG472:BJ472"/>
    <mergeCell ref="BK472:BM472"/>
    <mergeCell ref="BP472:BR472"/>
    <mergeCell ref="BS472:BU472"/>
    <mergeCell ref="BB473:BC473"/>
    <mergeCell ref="BD473:BF473"/>
    <mergeCell ref="BG473:BJ473"/>
    <mergeCell ref="BK473:BM473"/>
    <mergeCell ref="BP473:BR473"/>
    <mergeCell ref="BS473:BU473"/>
    <mergeCell ref="BB474:BC474"/>
    <mergeCell ref="BD474:BF474"/>
    <mergeCell ref="BG474:BJ474"/>
    <mergeCell ref="BK474:BM474"/>
    <mergeCell ref="BP474:BR474"/>
    <mergeCell ref="BS474:BU474"/>
    <mergeCell ref="BB475:BC475"/>
    <mergeCell ref="BD475:BF475"/>
    <mergeCell ref="BG475:BJ475"/>
    <mergeCell ref="BK475:BM475"/>
    <mergeCell ref="BP475:BR475"/>
    <mergeCell ref="BS475:BU475"/>
    <mergeCell ref="BB476:BC476"/>
    <mergeCell ref="BD476:BF476"/>
    <mergeCell ref="BG476:BJ476"/>
    <mergeCell ref="BK476:BM476"/>
    <mergeCell ref="BP476:BR476"/>
    <mergeCell ref="BS476:BU476"/>
    <mergeCell ref="BB477:BC477"/>
    <mergeCell ref="BD477:BF477"/>
    <mergeCell ref="BG477:BJ477"/>
    <mergeCell ref="BK477:BM477"/>
    <mergeCell ref="BP477:BR477"/>
    <mergeCell ref="BS477:BU477"/>
    <mergeCell ref="BB478:BC478"/>
    <mergeCell ref="BD478:BF478"/>
    <mergeCell ref="BG478:BJ478"/>
    <mergeCell ref="BK478:BM478"/>
    <mergeCell ref="BP478:BR478"/>
    <mergeCell ref="BS478:BU478"/>
    <mergeCell ref="BB479:BC479"/>
    <mergeCell ref="BD479:BF479"/>
    <mergeCell ref="BG479:BJ479"/>
    <mergeCell ref="BK479:BM479"/>
    <mergeCell ref="BP479:BR479"/>
    <mergeCell ref="BS479:BU479"/>
    <mergeCell ref="BB480:BC480"/>
    <mergeCell ref="BD480:BF480"/>
    <mergeCell ref="BG480:BJ480"/>
    <mergeCell ref="BK480:BM480"/>
    <mergeCell ref="BP480:BR480"/>
    <mergeCell ref="BS480:BU480"/>
    <mergeCell ref="BB481:BC481"/>
    <mergeCell ref="BD481:BF481"/>
    <mergeCell ref="BG481:BJ481"/>
    <mergeCell ref="BK481:BM481"/>
    <mergeCell ref="BP481:BR481"/>
    <mergeCell ref="BS481:BU481"/>
    <mergeCell ref="BB482:BC482"/>
    <mergeCell ref="BD482:BF482"/>
    <mergeCell ref="BG482:BJ482"/>
    <mergeCell ref="BK482:BM482"/>
    <mergeCell ref="BP482:BR482"/>
    <mergeCell ref="BS482:BU482"/>
    <mergeCell ref="BB483:BC483"/>
    <mergeCell ref="BD483:BF483"/>
    <mergeCell ref="BG483:BJ483"/>
    <mergeCell ref="BK483:BM483"/>
    <mergeCell ref="BP483:BR483"/>
    <mergeCell ref="BS483:BU483"/>
    <mergeCell ref="BB484:BC484"/>
    <mergeCell ref="BD484:BF484"/>
    <mergeCell ref="BG484:BJ484"/>
    <mergeCell ref="BK484:BM484"/>
    <mergeCell ref="BP484:BR484"/>
    <mergeCell ref="BS484:BU484"/>
    <mergeCell ref="BB485:BC485"/>
    <mergeCell ref="BD485:BF485"/>
    <mergeCell ref="BG485:BJ485"/>
    <mergeCell ref="BK485:BM485"/>
    <mergeCell ref="BP485:BR485"/>
    <mergeCell ref="BS485:BU485"/>
    <mergeCell ref="BB486:BC486"/>
    <mergeCell ref="BD486:BF486"/>
    <mergeCell ref="BG486:BJ486"/>
    <mergeCell ref="BK486:BM486"/>
    <mergeCell ref="BP486:BR486"/>
    <mergeCell ref="BS486:BU486"/>
    <mergeCell ref="BB487:BC487"/>
    <mergeCell ref="BD487:BF487"/>
    <mergeCell ref="BG487:BJ487"/>
    <mergeCell ref="BK487:BM487"/>
    <mergeCell ref="BP487:BR487"/>
    <mergeCell ref="BS487:BU487"/>
    <mergeCell ref="BB488:BC488"/>
    <mergeCell ref="BD488:BF488"/>
    <mergeCell ref="BG488:BJ488"/>
    <mergeCell ref="BK488:BM488"/>
    <mergeCell ref="BP488:BR488"/>
    <mergeCell ref="BS488:BU488"/>
    <mergeCell ref="BB489:BC489"/>
    <mergeCell ref="BD489:BF489"/>
    <mergeCell ref="BG489:BJ489"/>
    <mergeCell ref="BK489:BM489"/>
    <mergeCell ref="BP489:BR489"/>
    <mergeCell ref="BS489:BU489"/>
    <mergeCell ref="BB490:BC490"/>
    <mergeCell ref="BD490:BF490"/>
    <mergeCell ref="BG490:BJ490"/>
    <mergeCell ref="BK490:BM490"/>
    <mergeCell ref="BP490:BR490"/>
    <mergeCell ref="BS490:BU490"/>
    <mergeCell ref="BB491:BC491"/>
    <mergeCell ref="BD491:BF491"/>
    <mergeCell ref="BG491:BJ491"/>
    <mergeCell ref="BK491:BM491"/>
    <mergeCell ref="BP491:BR491"/>
    <mergeCell ref="BS491:BU491"/>
    <mergeCell ref="BB492:BC492"/>
    <mergeCell ref="BD492:BF492"/>
    <mergeCell ref="BG492:BJ492"/>
    <mergeCell ref="BK492:BM492"/>
    <mergeCell ref="BP492:BR492"/>
    <mergeCell ref="BS492:BU492"/>
    <mergeCell ref="BB493:BC493"/>
    <mergeCell ref="BD493:BF493"/>
    <mergeCell ref="BG493:BJ493"/>
    <mergeCell ref="BK493:BM493"/>
    <mergeCell ref="BP493:BR493"/>
    <mergeCell ref="BS493:BU493"/>
    <mergeCell ref="BB494:BC494"/>
    <mergeCell ref="BD494:BF494"/>
    <mergeCell ref="BG494:BJ494"/>
    <mergeCell ref="BK494:BM494"/>
    <mergeCell ref="BP494:BR494"/>
    <mergeCell ref="BS494:BU494"/>
    <mergeCell ref="BB495:BC495"/>
    <mergeCell ref="BD495:BF495"/>
    <mergeCell ref="BG495:BJ495"/>
    <mergeCell ref="BK495:BM495"/>
    <mergeCell ref="BP495:BR495"/>
    <mergeCell ref="BS495:BU495"/>
    <mergeCell ref="BB496:BC496"/>
    <mergeCell ref="BD496:BF496"/>
    <mergeCell ref="BG496:BJ496"/>
    <mergeCell ref="BK496:BM496"/>
    <mergeCell ref="BP496:BR496"/>
    <mergeCell ref="BS496:BU496"/>
    <mergeCell ref="BB497:BC497"/>
    <mergeCell ref="BD497:BF497"/>
    <mergeCell ref="BG497:BJ497"/>
    <mergeCell ref="BK497:BM497"/>
    <mergeCell ref="BP497:BR497"/>
    <mergeCell ref="BS497:BU497"/>
    <mergeCell ref="BB498:BC498"/>
    <mergeCell ref="BD498:BF498"/>
    <mergeCell ref="BG498:BJ498"/>
    <mergeCell ref="BK498:BM498"/>
    <mergeCell ref="BP498:BR498"/>
    <mergeCell ref="BS498:BU498"/>
    <mergeCell ref="BB499:BC499"/>
    <mergeCell ref="BD499:BF499"/>
    <mergeCell ref="BG499:BJ499"/>
    <mergeCell ref="BK499:BM499"/>
    <mergeCell ref="BP499:BR499"/>
    <mergeCell ref="BS499:BU499"/>
    <mergeCell ref="BB500:BC500"/>
    <mergeCell ref="BD500:BF500"/>
    <mergeCell ref="BG500:BJ500"/>
    <mergeCell ref="BK500:BM500"/>
    <mergeCell ref="BP500:BR500"/>
    <mergeCell ref="BS500:BU500"/>
    <mergeCell ref="BB501:BC501"/>
    <mergeCell ref="BD501:BF501"/>
    <mergeCell ref="BG501:BJ501"/>
    <mergeCell ref="BK501:BM501"/>
    <mergeCell ref="BP501:BR501"/>
    <mergeCell ref="BS501:BU501"/>
    <mergeCell ref="BB502:BC502"/>
    <mergeCell ref="BD502:BF502"/>
    <mergeCell ref="BG502:BJ502"/>
    <mergeCell ref="BK502:BM502"/>
    <mergeCell ref="BP502:BR502"/>
    <mergeCell ref="BS502:BU502"/>
    <mergeCell ref="BK508:BM508"/>
    <mergeCell ref="BP508:BR508"/>
    <mergeCell ref="BS508:BU508"/>
    <mergeCell ref="BB503:BC503"/>
    <mergeCell ref="BD503:BF503"/>
    <mergeCell ref="BG503:BJ503"/>
    <mergeCell ref="BK503:BM503"/>
    <mergeCell ref="BP503:BR503"/>
    <mergeCell ref="BS503:BU503"/>
    <mergeCell ref="BB504:BC504"/>
    <mergeCell ref="BD504:BF504"/>
    <mergeCell ref="BG504:BJ504"/>
    <mergeCell ref="BK504:BM504"/>
    <mergeCell ref="BP504:BR504"/>
    <mergeCell ref="BS504:BU504"/>
    <mergeCell ref="BB505:BC505"/>
    <mergeCell ref="BD505:BF505"/>
    <mergeCell ref="BG505:BJ505"/>
    <mergeCell ref="BK505:BM505"/>
    <mergeCell ref="BP505:BR505"/>
    <mergeCell ref="BS505:BU505"/>
    <mergeCell ref="BB514:BC514"/>
    <mergeCell ref="BD514:BF514"/>
    <mergeCell ref="BG514:BJ514"/>
    <mergeCell ref="BK514:BM514"/>
    <mergeCell ref="BP514:BR514"/>
    <mergeCell ref="BS514:BU514"/>
    <mergeCell ref="BB509:BC509"/>
    <mergeCell ref="BD509:BF509"/>
    <mergeCell ref="BG509:BJ509"/>
    <mergeCell ref="BK509:BM509"/>
    <mergeCell ref="BP509:BR509"/>
    <mergeCell ref="BS509:BU509"/>
    <mergeCell ref="BB510:BC510"/>
    <mergeCell ref="BD510:BF510"/>
    <mergeCell ref="BG510:BJ510"/>
    <mergeCell ref="BK510:BM510"/>
    <mergeCell ref="BP510:BR510"/>
    <mergeCell ref="BS510:BU510"/>
    <mergeCell ref="BB511:BC511"/>
    <mergeCell ref="BD511:BF511"/>
    <mergeCell ref="BG511:BJ511"/>
    <mergeCell ref="BK511:BM511"/>
    <mergeCell ref="BP511:BR511"/>
    <mergeCell ref="BS511:BU511"/>
    <mergeCell ref="Z5:AL5"/>
    <mergeCell ref="Z6:AL6"/>
    <mergeCell ref="Z7:AL7"/>
    <mergeCell ref="Z8:AL8"/>
    <mergeCell ref="Z9:AL9"/>
    <mergeCell ref="BB512:BC512"/>
    <mergeCell ref="BD512:BF512"/>
    <mergeCell ref="BG512:BJ512"/>
    <mergeCell ref="BK512:BM512"/>
    <mergeCell ref="BP512:BR512"/>
    <mergeCell ref="BS512:BU512"/>
    <mergeCell ref="BB513:BC513"/>
    <mergeCell ref="BD513:BF513"/>
    <mergeCell ref="BG513:BJ513"/>
    <mergeCell ref="BK513:BM513"/>
    <mergeCell ref="BP513:BR513"/>
    <mergeCell ref="BS513:BU513"/>
    <mergeCell ref="BB506:BC506"/>
    <mergeCell ref="BD506:BF506"/>
    <mergeCell ref="BG506:BJ506"/>
    <mergeCell ref="BK506:BM506"/>
    <mergeCell ref="BP506:BR506"/>
    <mergeCell ref="BS506:BU506"/>
    <mergeCell ref="BB507:BC507"/>
    <mergeCell ref="BD507:BF507"/>
    <mergeCell ref="BG507:BJ507"/>
    <mergeCell ref="BK507:BM507"/>
    <mergeCell ref="BP507:BR507"/>
    <mergeCell ref="BS507:BU507"/>
    <mergeCell ref="BB508:BC508"/>
    <mergeCell ref="BD508:BF508"/>
    <mergeCell ref="BG508:BJ508"/>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688659D6-F7A4-4441-9C7A-9D166EF53092}">
          <x14:formula1>
            <xm:f>'Drop-Down Boxes '!$H$3:$H$11</xm:f>
          </x14:formula1>
          <xm:sqref>P9:S9</xm:sqref>
        </x14:dataValidation>
        <x14:dataValidation type="list" allowBlank="1" showInputMessage="1" showErrorMessage="1" xr:uid="{1CA49489-364D-4253-BFDD-625C2BEDAB4F}">
          <x14:formula1>
            <xm:f>'Drop-Down Boxes '!$D$3:$D$14</xm:f>
          </x14:formula1>
          <xm:sqref>H9:O9</xm:sqref>
        </x14:dataValidation>
        <x14:dataValidation type="list" allowBlank="1" showInputMessage="1" showErrorMessage="1" xr:uid="{C1B8920B-6AFF-43C2-A48B-0C26A8D908D9}">
          <x14:formula1>
            <xm:f>'Drop-Down Boxes '!$A$79:$A$80</xm:f>
          </x14:formula1>
          <xm:sqref>R15:W514 BK15:BO522</xm:sqref>
        </x14:dataValidation>
        <x14:dataValidation type="list" allowBlank="1" showInputMessage="1" showErrorMessage="1" xr:uid="{BCF08300-D8C8-4421-9260-63EEA4D3C74D}">
          <x14:formula1>
            <xm:f>'Drop-Down Boxes '!$H$89:$H$90</xm:f>
          </x14:formula1>
          <xm:sqref>X15:AI514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4DD6-154C-4452-8EA4-D243ED0CA3BA}">
  <sheetPr>
    <tabColor theme="4" tint="-0.249977111117893"/>
  </sheetPr>
  <dimension ref="A1:BO512"/>
  <sheetViews>
    <sheetView zoomScaleNormal="100" workbookViewId="0">
      <pane ySplit="1" topLeftCell="A2" activePane="bottomLeft" state="frozen"/>
      <selection pane="bottomLeft" activeCell="Y14" sqref="Y14:Z14"/>
    </sheetView>
  </sheetViews>
  <sheetFormatPr defaultColWidth="8.85546875" defaultRowHeight="15" x14ac:dyDescent="0.25"/>
  <cols>
    <col min="1" max="3" width="4.7109375" customWidth="1"/>
    <col min="4" max="4" width="5.42578125" customWidth="1"/>
    <col min="5" max="5" width="5" customWidth="1"/>
    <col min="6" max="6" width="5.5703125" customWidth="1"/>
    <col min="7" max="7" width="6" customWidth="1"/>
    <col min="8" max="8" width="7.28515625" customWidth="1"/>
    <col min="9" max="66" width="4.7109375" customWidth="1"/>
  </cols>
  <sheetData>
    <row r="1" spans="1:67" ht="50.1" customHeight="1" x14ac:dyDescent="0.25">
      <c r="A1" s="10" t="s">
        <v>15</v>
      </c>
      <c r="B1" s="1228" t="s">
        <v>690</v>
      </c>
      <c r="C1" s="1228"/>
      <c r="D1" s="1227" t="s">
        <v>691</v>
      </c>
      <c r="E1" s="1227"/>
      <c r="F1" s="1227"/>
      <c r="G1" s="1227"/>
      <c r="H1" s="1227"/>
      <c r="I1" s="776" t="s">
        <v>682</v>
      </c>
      <c r="J1" s="777"/>
      <c r="K1" s="777"/>
      <c r="L1" s="777"/>
      <c r="M1" s="777"/>
      <c r="N1" s="777"/>
      <c r="O1" s="777"/>
      <c r="P1" s="778"/>
      <c r="Q1" s="809" t="s">
        <v>701</v>
      </c>
      <c r="R1" s="810"/>
      <c r="S1" s="810"/>
      <c r="T1" s="810"/>
      <c r="U1" s="810"/>
      <c r="V1" s="810"/>
      <c r="W1" s="810"/>
      <c r="X1" s="811"/>
      <c r="Y1" s="776" t="s">
        <v>684</v>
      </c>
      <c r="Z1" s="778"/>
      <c r="AA1" s="809" t="s">
        <v>702</v>
      </c>
      <c r="AB1" s="810"/>
      <c r="AC1" s="810"/>
      <c r="AD1" s="811"/>
      <c r="AE1" s="599" t="s">
        <v>685</v>
      </c>
      <c r="AF1" s="1223"/>
      <c r="AG1" s="600"/>
      <c r="AH1" s="1224" t="s">
        <v>686</v>
      </c>
      <c r="AI1" s="1225"/>
      <c r="AJ1" s="1226"/>
      <c r="AK1" s="776" t="s">
        <v>687</v>
      </c>
      <c r="AL1" s="777"/>
      <c r="AM1" s="777"/>
      <c r="AN1" s="778"/>
      <c r="AO1" s="1224" t="s">
        <v>688</v>
      </c>
      <c r="AP1" s="1225"/>
      <c r="AQ1" s="1225"/>
      <c r="AR1" s="1225"/>
      <c r="AS1" s="1225"/>
      <c r="AT1" s="1225"/>
      <c r="AU1" s="1225"/>
      <c r="AV1" s="1226"/>
      <c r="AW1" s="1229" t="s">
        <v>689</v>
      </c>
      <c r="AX1" s="1230"/>
      <c r="AY1" s="1231"/>
      <c r="AZ1" s="1232" t="s">
        <v>30</v>
      </c>
      <c r="BA1" s="1233"/>
      <c r="BB1" s="1233"/>
      <c r="BC1" s="1233"/>
      <c r="BD1" s="1233"/>
      <c r="BE1" s="1233"/>
      <c r="BF1" s="1233"/>
      <c r="BG1" s="1233"/>
      <c r="BH1" s="1233"/>
      <c r="BI1" s="1233"/>
      <c r="BJ1" s="1233"/>
      <c r="BK1" s="1233"/>
      <c r="BL1" s="1233"/>
      <c r="BM1" s="1233"/>
      <c r="BN1" s="1233"/>
      <c r="BO1" s="1234"/>
    </row>
    <row r="2" spans="1:67" ht="16.149999999999999" customHeight="1" x14ac:dyDescent="0.25">
      <c r="A2" s="556" t="str">
        <f>'GRANTEE SET UP INFO &amp; DATE '!A1</f>
        <v>WV Bureau for Behavioral Health  - Peer Recovery Support Services  V 20200110</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261"/>
      <c r="BD2" s="261"/>
      <c r="BE2" s="261"/>
      <c r="BF2" s="261"/>
      <c r="BG2" s="261"/>
      <c r="BH2" s="261"/>
      <c r="BI2" s="261"/>
      <c r="BJ2" s="261"/>
      <c r="BK2" s="261"/>
      <c r="BL2" s="261"/>
      <c r="BM2" s="261"/>
      <c r="BN2" s="261"/>
      <c r="BO2" s="261"/>
    </row>
    <row r="3" spans="1:67" ht="15" customHeight="1" x14ac:dyDescent="0.25">
      <c r="A3" s="557" t="str">
        <f>'GRANTEE SET UP INFO &amp; DATE '!A2</f>
        <v xml:space="preserve">Program reports need to be submitted electronically, via e-mail to DHHRBBHReporting@wv.gov  within 25 calendar days of the end of each month </v>
      </c>
      <c r="B3" s="557"/>
      <c r="C3" s="557"/>
      <c r="D3" s="557"/>
      <c r="E3" s="557"/>
      <c r="F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261"/>
      <c r="BD3" s="261"/>
      <c r="BE3" s="261"/>
      <c r="BF3" s="261"/>
      <c r="BG3" s="261"/>
      <c r="BH3" s="261"/>
      <c r="BI3" s="261"/>
      <c r="BJ3" s="261"/>
      <c r="BK3" s="261"/>
      <c r="BL3" s="261"/>
      <c r="BM3" s="261"/>
      <c r="BN3" s="261"/>
      <c r="BO3" s="261"/>
    </row>
    <row r="4" spans="1:67" ht="20.100000000000001" customHeight="1" x14ac:dyDescent="0.25">
      <c r="A4" s="638" t="s">
        <v>679</v>
      </c>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c r="BC4" s="1"/>
      <c r="BD4" s="1"/>
      <c r="BE4" s="1"/>
      <c r="BF4" s="1"/>
      <c r="BG4" s="1"/>
      <c r="BH4" s="1"/>
      <c r="BI4" s="1"/>
      <c r="BJ4" s="1"/>
      <c r="BK4" s="1"/>
      <c r="BL4" s="1"/>
      <c r="BM4" s="1"/>
      <c r="BN4" s="1"/>
      <c r="BO4" s="1"/>
    </row>
    <row r="5" spans="1:67" ht="15" customHeight="1" x14ac:dyDescent="0.25">
      <c r="A5" s="1214" t="s">
        <v>642</v>
      </c>
      <c r="B5" s="1215"/>
      <c r="C5" s="1215"/>
      <c r="D5" s="1215"/>
      <c r="E5" s="1215"/>
      <c r="F5" s="1215"/>
      <c r="G5" s="1216"/>
      <c r="H5" s="643" t="str">
        <f>'GRANTEE SET UP INFO &amp; DATE '!H4</f>
        <v>Jobs and Hope</v>
      </c>
      <c r="I5" s="644"/>
      <c r="J5" s="644"/>
      <c r="K5" s="644"/>
      <c r="L5" s="644"/>
      <c r="M5" s="644"/>
      <c r="N5" s="644"/>
      <c r="O5" s="644"/>
      <c r="P5" s="644"/>
      <c r="Q5" s="644"/>
      <c r="R5" s="644"/>
      <c r="S5" s="645"/>
      <c r="T5" s="11"/>
      <c r="U5" s="388" t="s">
        <v>158</v>
      </c>
      <c r="V5" s="389"/>
      <c r="W5" s="389"/>
      <c r="X5" s="389"/>
      <c r="Y5" s="883"/>
      <c r="Z5" s="649" t="str">
        <f>'GRANTEE SET UP INFO &amp; DATE '!Z4</f>
        <v xml:space="preserve">Grantee formal Name (name on grant agreement) </v>
      </c>
      <c r="AA5" s="650"/>
      <c r="AB5" s="650"/>
      <c r="AC5" s="650"/>
      <c r="AD5" s="650"/>
      <c r="AE5" s="650"/>
      <c r="AF5" s="650"/>
      <c r="AG5" s="650"/>
      <c r="AH5" s="650"/>
      <c r="AI5" s="650"/>
      <c r="AJ5" s="266"/>
      <c r="AK5" s="266"/>
      <c r="AL5" s="266"/>
      <c r="AM5" s="266"/>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4.45" customHeight="1" x14ac:dyDescent="0.25">
      <c r="A6" s="377" t="s">
        <v>984</v>
      </c>
      <c r="B6" s="378"/>
      <c r="C6" s="378"/>
      <c r="D6" s="378"/>
      <c r="E6" s="378"/>
      <c r="F6" s="378"/>
      <c r="G6" s="379"/>
      <c r="H6" s="634" t="str">
        <f>'GRANTEE SET UP INFO &amp; DATE '!H5</f>
        <v>Jobs and Hope</v>
      </c>
      <c r="I6" s="509"/>
      <c r="J6" s="509"/>
      <c r="K6" s="509"/>
      <c r="L6" s="509"/>
      <c r="M6" s="509"/>
      <c r="N6" s="509"/>
      <c r="O6" s="509"/>
      <c r="P6" s="509"/>
      <c r="Q6" s="509"/>
      <c r="R6" s="509"/>
      <c r="S6" s="510"/>
      <c r="T6" s="11"/>
      <c r="U6" s="884" t="s">
        <v>4</v>
      </c>
      <c r="V6" s="885"/>
      <c r="W6" s="885"/>
      <c r="X6" s="885"/>
      <c r="Y6" s="886"/>
      <c r="Z6" s="616" t="str">
        <f>'GRANTEE SET UP INFO &amp; DATE '!Z5</f>
        <v>Names of Contact(s):</v>
      </c>
      <c r="AA6" s="617"/>
      <c r="AB6" s="617"/>
      <c r="AC6" s="617"/>
      <c r="AD6" s="617"/>
      <c r="AE6" s="617"/>
      <c r="AF6" s="617"/>
      <c r="AG6" s="617"/>
      <c r="AH6" s="617"/>
      <c r="AI6" s="617"/>
      <c r="AJ6" s="267"/>
      <c r="AK6" s="267"/>
      <c r="AL6" s="267"/>
      <c r="AM6" s="267"/>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15" customHeight="1" x14ac:dyDescent="0.25">
      <c r="A7" s="874" t="s">
        <v>1</v>
      </c>
      <c r="B7" s="875"/>
      <c r="C7" s="875"/>
      <c r="D7" s="875"/>
      <c r="E7" s="875"/>
      <c r="F7" s="875"/>
      <c r="G7" s="876"/>
      <c r="H7" s="622" t="str">
        <f>'GRANTEE SET UP INFO &amp; DATE '!H6</f>
        <v>123 Any Street, Any City, WV 12345</v>
      </c>
      <c r="I7" s="623"/>
      <c r="J7" s="623"/>
      <c r="K7" s="623"/>
      <c r="L7" s="623"/>
      <c r="M7" s="623"/>
      <c r="N7" s="623"/>
      <c r="O7" s="623"/>
      <c r="P7" s="623"/>
      <c r="Q7" s="623"/>
      <c r="R7" s="623"/>
      <c r="S7" s="624"/>
      <c r="T7" s="11"/>
      <c r="U7" s="377" t="s">
        <v>612</v>
      </c>
      <c r="V7" s="378"/>
      <c r="W7" s="378"/>
      <c r="X7" s="378"/>
      <c r="Y7" s="379"/>
      <c r="Z7" s="634" t="str">
        <f>'GRANTEE SET UP INFO &amp; DATE '!Z6</f>
        <v>Phone numbers for contacts</v>
      </c>
      <c r="AA7" s="509"/>
      <c r="AB7" s="509"/>
      <c r="AC7" s="509"/>
      <c r="AD7" s="509"/>
      <c r="AE7" s="509"/>
      <c r="AF7" s="509"/>
      <c r="AG7" s="509"/>
      <c r="AH7" s="509"/>
      <c r="AI7" s="509"/>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ht="15.6" customHeight="1" x14ac:dyDescent="0.25">
      <c r="A8" s="877"/>
      <c r="B8" s="878"/>
      <c r="C8" s="878"/>
      <c r="D8" s="878"/>
      <c r="E8" s="878"/>
      <c r="F8" s="878"/>
      <c r="G8" s="879"/>
      <c r="H8" s="625"/>
      <c r="I8" s="626"/>
      <c r="J8" s="626"/>
      <c r="K8" s="626"/>
      <c r="L8" s="626"/>
      <c r="M8" s="626"/>
      <c r="N8" s="626"/>
      <c r="O8" s="626"/>
      <c r="P8" s="626"/>
      <c r="Q8" s="626"/>
      <c r="R8" s="626"/>
      <c r="S8" s="627"/>
      <c r="T8" s="11"/>
      <c r="U8" s="377" t="s">
        <v>31</v>
      </c>
      <c r="V8" s="378"/>
      <c r="W8" s="378"/>
      <c r="X8" s="378"/>
      <c r="Y8" s="379"/>
      <c r="Z8" s="634" t="str">
        <f>'GRANTEE SET UP INFO &amp; DATE '!Z7</f>
        <v xml:space="preserve">number on grant agreement or TFB </v>
      </c>
      <c r="AA8" s="509"/>
      <c r="AB8" s="509"/>
      <c r="AC8" s="509"/>
      <c r="AD8" s="509"/>
      <c r="AE8" s="509"/>
      <c r="AF8" s="509"/>
      <c r="AG8" s="509"/>
      <c r="AH8" s="509"/>
      <c r="AI8" s="509"/>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25.15" customHeight="1" x14ac:dyDescent="0.25">
      <c r="A9" s="628" t="s">
        <v>44</v>
      </c>
      <c r="B9" s="629"/>
      <c r="C9" s="629"/>
      <c r="D9" s="629"/>
      <c r="E9" s="629"/>
      <c r="F9" s="629"/>
      <c r="G9" s="630"/>
      <c r="H9" s="1146" t="str">
        <f>'GRANTEE SET UP INFO &amp; DATE '!H8</f>
        <v>October 1 - 31</v>
      </c>
      <c r="I9" s="1147"/>
      <c r="J9" s="1147"/>
      <c r="K9" s="1147"/>
      <c r="L9" s="1147"/>
      <c r="M9" s="1147"/>
      <c r="N9" s="1147"/>
      <c r="O9" s="1148"/>
      <c r="P9" s="1149">
        <f>'GRANTEE SET UP INFO &amp; DATE '!P8</f>
        <v>2024</v>
      </c>
      <c r="Q9" s="1150"/>
      <c r="R9" s="1150"/>
      <c r="S9" s="1151"/>
      <c r="T9" s="11"/>
      <c r="U9" s="1152" t="s">
        <v>155</v>
      </c>
      <c r="V9" s="1153"/>
      <c r="W9" s="1153"/>
      <c r="X9" s="1153"/>
      <c r="Y9" s="1154"/>
      <c r="Z9" s="649" t="str">
        <f>'GRANTEE SET UP INFO &amp; DATE '!Z8</f>
        <v>program code can locate on SOW or  TFB</v>
      </c>
      <c r="AA9" s="650"/>
      <c r="AB9" s="650"/>
      <c r="AC9" s="650"/>
      <c r="AD9" s="650"/>
      <c r="AE9" s="650"/>
      <c r="AF9" s="650"/>
      <c r="AG9" s="650"/>
      <c r="AH9" s="650"/>
      <c r="AI9" s="650"/>
      <c r="AJ9" s="268"/>
      <c r="AK9" s="268"/>
      <c r="AL9" s="268"/>
      <c r="AM9" s="268"/>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9.950000000000003" customHeight="1" thickBot="1" x14ac:dyDescent="0.3">
      <c r="A10" s="1014" t="s">
        <v>636</v>
      </c>
      <c r="B10" s="1014"/>
      <c r="C10" s="1014"/>
      <c r="D10" s="1014"/>
      <c r="E10" s="1014"/>
      <c r="F10" s="1014"/>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ht="15" customHeight="1" thickTop="1" x14ac:dyDescent="0.25">
      <c r="A11" s="978" t="s">
        <v>681</v>
      </c>
      <c r="B11" s="979"/>
      <c r="C11" s="979"/>
      <c r="D11" s="979"/>
      <c r="E11" s="979"/>
      <c r="F11" s="979"/>
      <c r="G11" s="979"/>
      <c r="H11" s="980"/>
      <c r="I11" s="980"/>
      <c r="J11" s="980"/>
      <c r="K11" s="980"/>
      <c r="L11" s="979"/>
      <c r="M11" s="979"/>
      <c r="N11" s="979"/>
      <c r="O11" s="979"/>
      <c r="P11" s="979"/>
      <c r="Q11" s="979"/>
      <c r="R11" s="979"/>
      <c r="S11" s="979"/>
      <c r="T11" s="979"/>
      <c r="U11" s="979"/>
      <c r="V11" s="979"/>
      <c r="W11" s="980"/>
      <c r="X11" s="980"/>
      <c r="Y11" s="980"/>
      <c r="Z11" s="980"/>
      <c r="AA11" s="980"/>
      <c r="AB11" s="980"/>
      <c r="AC11" s="980"/>
      <c r="AD11" s="980"/>
      <c r="AE11" s="980"/>
      <c r="AF11" s="979"/>
      <c r="AG11" s="979"/>
      <c r="AH11" s="979"/>
      <c r="AI11" s="979"/>
      <c r="AJ11" s="979"/>
      <c r="AK11" s="979"/>
      <c r="AL11" s="980"/>
      <c r="AM11" s="980"/>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ht="60" customHeight="1" x14ac:dyDescent="0.25">
      <c r="A12" s="13" t="s">
        <v>15</v>
      </c>
      <c r="B12" s="1242" t="s">
        <v>707</v>
      </c>
      <c r="C12" s="1242"/>
      <c r="D12" s="1243" t="s">
        <v>683</v>
      </c>
      <c r="E12" s="1243"/>
      <c r="F12" s="1243"/>
      <c r="G12" s="1243"/>
      <c r="H12" s="1243"/>
      <c r="I12" s="1244" t="s">
        <v>700</v>
      </c>
      <c r="J12" s="1245"/>
      <c r="K12" s="1245"/>
      <c r="L12" s="1245"/>
      <c r="M12" s="1245"/>
      <c r="N12" s="1245"/>
      <c r="O12" s="1245"/>
      <c r="P12" s="1246"/>
      <c r="Q12" s="1247" t="s">
        <v>701</v>
      </c>
      <c r="R12" s="1248"/>
      <c r="S12" s="1248"/>
      <c r="T12" s="1248"/>
      <c r="U12" s="1248"/>
      <c r="V12" s="1248"/>
      <c r="W12" s="1248"/>
      <c r="X12" s="1249"/>
      <c r="Y12" s="1250" t="s">
        <v>684</v>
      </c>
      <c r="Z12" s="1251"/>
      <c r="AA12" s="1247" t="s">
        <v>702</v>
      </c>
      <c r="AB12" s="1248"/>
      <c r="AC12" s="1248"/>
      <c r="AD12" s="1249"/>
      <c r="AE12" s="1252" t="s">
        <v>704</v>
      </c>
      <c r="AF12" s="1253"/>
      <c r="AG12" s="1254"/>
      <c r="AH12" s="1255" t="s">
        <v>686</v>
      </c>
      <c r="AI12" s="1256"/>
      <c r="AJ12" s="1257"/>
      <c r="AK12" s="1244" t="s">
        <v>703</v>
      </c>
      <c r="AL12" s="1245"/>
      <c r="AM12" s="1245"/>
      <c r="AN12" s="1246"/>
      <c r="AO12" s="1260" t="s">
        <v>705</v>
      </c>
      <c r="AP12" s="1261"/>
      <c r="AQ12" s="1261"/>
      <c r="AR12" s="1261"/>
      <c r="AS12" s="1261"/>
      <c r="AT12" s="1261"/>
      <c r="AU12" s="1261"/>
      <c r="AV12" s="1262"/>
      <c r="AW12" s="1236" t="s">
        <v>706</v>
      </c>
      <c r="AX12" s="1237"/>
      <c r="AY12" s="1238"/>
      <c r="AZ12" s="1239" t="s">
        <v>30</v>
      </c>
      <c r="BA12" s="1240"/>
      <c r="BB12" s="1240"/>
      <c r="BC12" s="1240"/>
      <c r="BD12" s="1240"/>
      <c r="BE12" s="1240"/>
      <c r="BF12" s="1240"/>
      <c r="BG12" s="1240"/>
      <c r="BH12" s="1240"/>
      <c r="BI12" s="1240"/>
      <c r="BJ12" s="1240"/>
      <c r="BK12" s="1240"/>
      <c r="BL12" s="1240"/>
      <c r="BM12" s="1240"/>
      <c r="BN12" s="1240"/>
      <c r="BO12" s="1241"/>
    </row>
    <row r="13" spans="1:67" ht="35.1" customHeight="1" x14ac:dyDescent="0.25">
      <c r="A13" s="3">
        <f>+ROW(A1)</f>
        <v>1</v>
      </c>
      <c r="B13" s="1218" t="s">
        <v>162</v>
      </c>
      <c r="C13" s="1218"/>
      <c r="D13" s="1221"/>
      <c r="E13" s="1221"/>
      <c r="F13" s="1221"/>
      <c r="G13" s="1221"/>
      <c r="H13" s="1221"/>
      <c r="I13" s="540"/>
      <c r="J13" s="540"/>
      <c r="K13" s="540"/>
      <c r="L13" s="540"/>
      <c r="M13" s="540"/>
      <c r="N13" s="540"/>
      <c r="O13" s="540"/>
      <c r="P13" s="540"/>
      <c r="Q13" s="540"/>
      <c r="R13" s="540"/>
      <c r="S13" s="540"/>
      <c r="T13" s="540"/>
      <c r="U13" s="540"/>
      <c r="V13" s="540"/>
      <c r="W13" s="540"/>
      <c r="X13" s="540"/>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AV13" s="540"/>
      <c r="AW13" s="1259"/>
      <c r="AX13" s="1259"/>
      <c r="AY13" s="1259"/>
      <c r="AZ13" s="540"/>
      <c r="BA13" s="540"/>
      <c r="BB13" s="540"/>
      <c r="BC13" s="540"/>
      <c r="BD13" s="540"/>
      <c r="BE13" s="540"/>
      <c r="BF13" s="540"/>
      <c r="BG13" s="540"/>
      <c r="BH13" s="540"/>
      <c r="BI13" s="540"/>
      <c r="BJ13" s="540"/>
      <c r="BK13" s="540"/>
      <c r="BL13" s="540"/>
      <c r="BM13" s="540"/>
      <c r="BN13" s="540"/>
      <c r="BO13" s="540"/>
    </row>
    <row r="14" spans="1:67" ht="35.1" customHeight="1" x14ac:dyDescent="0.25">
      <c r="A14" s="91">
        <f t="shared" ref="A14:A77" si="0">+ROW(A2)</f>
        <v>2</v>
      </c>
      <c r="B14" s="1235" t="s">
        <v>162</v>
      </c>
      <c r="C14" s="1235"/>
      <c r="D14" s="1222"/>
      <c r="E14" s="1222"/>
      <c r="F14" s="1222"/>
      <c r="G14" s="1222"/>
      <c r="H14" s="1222"/>
      <c r="I14" s="1219"/>
      <c r="J14" s="1219"/>
      <c r="K14" s="1219"/>
      <c r="L14" s="1219"/>
      <c r="M14" s="1219"/>
      <c r="N14" s="1219"/>
      <c r="O14" s="1219"/>
      <c r="P14" s="1219"/>
      <c r="Q14" s="1220"/>
      <c r="R14" s="1220"/>
      <c r="S14" s="1220"/>
      <c r="T14" s="1220"/>
      <c r="U14" s="1220"/>
      <c r="V14" s="1220"/>
      <c r="W14" s="1220"/>
      <c r="X14" s="1220"/>
      <c r="Y14" s="1219"/>
      <c r="Z14" s="1219"/>
      <c r="AA14" s="1220"/>
      <c r="AB14" s="1220"/>
      <c r="AC14" s="1220"/>
      <c r="AD14" s="1220"/>
      <c r="AE14" s="1219"/>
      <c r="AF14" s="1219"/>
      <c r="AG14" s="1219"/>
      <c r="AH14" s="1220"/>
      <c r="AI14" s="1220"/>
      <c r="AJ14" s="1220"/>
      <c r="AK14" s="1219"/>
      <c r="AL14" s="1219"/>
      <c r="AM14" s="1219"/>
      <c r="AN14" s="1219"/>
      <c r="AO14" s="1220"/>
      <c r="AP14" s="1220"/>
      <c r="AQ14" s="1220"/>
      <c r="AR14" s="1220"/>
      <c r="AS14" s="1220"/>
      <c r="AT14" s="1220"/>
      <c r="AU14" s="1220"/>
      <c r="AV14" s="1220"/>
      <c r="AW14" s="1258"/>
      <c r="AX14" s="1258"/>
      <c r="AY14" s="1258"/>
      <c r="AZ14" s="1220"/>
      <c r="BA14" s="1220"/>
      <c r="BB14" s="1220"/>
      <c r="BC14" s="1220"/>
      <c r="BD14" s="1220"/>
      <c r="BE14" s="1220"/>
      <c r="BF14" s="1220"/>
      <c r="BG14" s="1220"/>
      <c r="BH14" s="1220"/>
      <c r="BI14" s="1220"/>
      <c r="BJ14" s="1220"/>
      <c r="BK14" s="1220"/>
      <c r="BL14" s="1220"/>
      <c r="BM14" s="1220"/>
      <c r="BN14" s="1220"/>
      <c r="BO14" s="1220"/>
    </row>
    <row r="15" spans="1:67" ht="35.1" customHeight="1" x14ac:dyDescent="0.25">
      <c r="A15" s="3">
        <f t="shared" si="0"/>
        <v>3</v>
      </c>
      <c r="B15" s="1218" t="s">
        <v>162</v>
      </c>
      <c r="C15" s="1218"/>
      <c r="D15" s="1221"/>
      <c r="E15" s="1221"/>
      <c r="F15" s="1221"/>
      <c r="G15" s="1221"/>
      <c r="H15" s="1221"/>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AV15" s="540"/>
      <c r="AW15" s="1259"/>
      <c r="AX15" s="1259"/>
      <c r="AY15" s="1259"/>
      <c r="AZ15" s="540"/>
      <c r="BA15" s="540"/>
      <c r="BB15" s="540"/>
      <c r="BC15" s="540"/>
      <c r="BD15" s="540"/>
      <c r="BE15" s="540"/>
      <c r="BF15" s="540"/>
      <c r="BG15" s="540"/>
      <c r="BH15" s="540"/>
      <c r="BI15" s="540"/>
      <c r="BJ15" s="540"/>
      <c r="BK15" s="540"/>
      <c r="BL15" s="540"/>
      <c r="BM15" s="540"/>
      <c r="BN15" s="540"/>
      <c r="BO15" s="540"/>
    </row>
    <row r="16" spans="1:67" ht="35.1" customHeight="1" x14ac:dyDescent="0.25">
      <c r="A16" s="3">
        <f t="shared" si="0"/>
        <v>4</v>
      </c>
      <c r="B16" s="1218" t="s">
        <v>162</v>
      </c>
      <c r="C16" s="1218"/>
      <c r="D16" s="1222"/>
      <c r="E16" s="1222"/>
      <c r="F16" s="1222"/>
      <c r="G16" s="1222"/>
      <c r="H16" s="1222"/>
      <c r="I16" s="1219"/>
      <c r="J16" s="1219"/>
      <c r="K16" s="1219"/>
      <c r="L16" s="1219"/>
      <c r="M16" s="1219"/>
      <c r="N16" s="1219"/>
      <c r="O16" s="1219"/>
      <c r="P16" s="1219"/>
      <c r="Q16" s="1220"/>
      <c r="R16" s="1220"/>
      <c r="S16" s="1220"/>
      <c r="T16" s="1220"/>
      <c r="U16" s="1220"/>
      <c r="V16" s="1220"/>
      <c r="W16" s="1220"/>
      <c r="X16" s="1220"/>
      <c r="Y16" s="1219"/>
      <c r="Z16" s="1219"/>
      <c r="AA16" s="1220"/>
      <c r="AB16" s="1220"/>
      <c r="AC16" s="1220"/>
      <c r="AD16" s="1220"/>
      <c r="AE16" s="1219"/>
      <c r="AF16" s="1219"/>
      <c r="AG16" s="1219"/>
      <c r="AH16" s="1220"/>
      <c r="AI16" s="1220"/>
      <c r="AJ16" s="1220"/>
      <c r="AK16" s="1219"/>
      <c r="AL16" s="1219"/>
      <c r="AM16" s="1219"/>
      <c r="AN16" s="1219"/>
      <c r="AO16" s="1220"/>
      <c r="AP16" s="1220"/>
      <c r="AQ16" s="1220"/>
      <c r="AR16" s="1220"/>
      <c r="AS16" s="1220"/>
      <c r="AT16" s="1220"/>
      <c r="AU16" s="1220"/>
      <c r="AV16" s="1220"/>
      <c r="AW16" s="1258"/>
      <c r="AX16" s="1258"/>
      <c r="AY16" s="1258"/>
      <c r="AZ16" s="1220"/>
      <c r="BA16" s="1220"/>
      <c r="BB16" s="1220"/>
      <c r="BC16" s="1220"/>
      <c r="BD16" s="1220"/>
      <c r="BE16" s="1220"/>
      <c r="BF16" s="1220"/>
      <c r="BG16" s="1220"/>
      <c r="BH16" s="1220"/>
      <c r="BI16" s="1220"/>
      <c r="BJ16" s="1220"/>
      <c r="BK16" s="1220"/>
      <c r="BL16" s="1220"/>
      <c r="BM16" s="1220"/>
      <c r="BN16" s="1220"/>
      <c r="BO16" s="1220"/>
    </row>
    <row r="17" spans="1:67" ht="35.1" customHeight="1" x14ac:dyDescent="0.25">
      <c r="A17" s="3">
        <f t="shared" si="0"/>
        <v>5</v>
      </c>
      <c r="B17" s="1218" t="s">
        <v>162</v>
      </c>
      <c r="C17" s="1218"/>
      <c r="D17" s="1221"/>
      <c r="E17" s="1221"/>
      <c r="F17" s="1221"/>
      <c r="G17" s="1221"/>
      <c r="H17" s="1221"/>
      <c r="I17" s="540"/>
      <c r="J17" s="540"/>
      <c r="K17" s="540"/>
      <c r="L17" s="540"/>
      <c r="M17" s="540"/>
      <c r="N17" s="540"/>
      <c r="O17" s="540"/>
      <c r="P17" s="540"/>
      <c r="Q17" s="540"/>
      <c r="R17" s="540"/>
      <c r="S17" s="540"/>
      <c r="T17" s="540"/>
      <c r="U17" s="540"/>
      <c r="V17" s="540"/>
      <c r="W17" s="540"/>
      <c r="X17" s="540"/>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AV17" s="540"/>
      <c r="AW17" s="1259"/>
      <c r="AX17" s="1259"/>
      <c r="AY17" s="1259"/>
      <c r="AZ17" s="540"/>
      <c r="BA17" s="540"/>
      <c r="BB17" s="540"/>
      <c r="BC17" s="540"/>
      <c r="BD17" s="540"/>
      <c r="BE17" s="540"/>
      <c r="BF17" s="540"/>
      <c r="BG17" s="540"/>
      <c r="BH17" s="540"/>
      <c r="BI17" s="540"/>
      <c r="BJ17" s="540"/>
      <c r="BK17" s="540"/>
      <c r="BL17" s="540"/>
      <c r="BM17" s="540"/>
      <c r="BN17" s="540"/>
      <c r="BO17" s="540"/>
    </row>
    <row r="18" spans="1:67" ht="35.1" customHeight="1" x14ac:dyDescent="0.25">
      <c r="A18" s="3">
        <f t="shared" si="0"/>
        <v>6</v>
      </c>
      <c r="B18" s="1218" t="s">
        <v>162</v>
      </c>
      <c r="C18" s="1218"/>
      <c r="D18" s="1222"/>
      <c r="E18" s="1222"/>
      <c r="F18" s="1222"/>
      <c r="G18" s="1222"/>
      <c r="H18" s="1222"/>
      <c r="I18" s="1219"/>
      <c r="J18" s="1219"/>
      <c r="K18" s="1219"/>
      <c r="L18" s="1219"/>
      <c r="M18" s="1219"/>
      <c r="N18" s="1219"/>
      <c r="O18" s="1219"/>
      <c r="P18" s="1219"/>
      <c r="Q18" s="1220"/>
      <c r="R18" s="1220"/>
      <c r="S18" s="1220"/>
      <c r="T18" s="1220"/>
      <c r="U18" s="1220"/>
      <c r="V18" s="1220"/>
      <c r="W18" s="1220"/>
      <c r="X18" s="1220"/>
      <c r="Y18" s="1219"/>
      <c r="Z18" s="1219"/>
      <c r="AA18" s="1220"/>
      <c r="AB18" s="1220"/>
      <c r="AC18" s="1220"/>
      <c r="AD18" s="1220"/>
      <c r="AE18" s="1219"/>
      <c r="AF18" s="1219"/>
      <c r="AG18" s="1219"/>
      <c r="AH18" s="1220"/>
      <c r="AI18" s="1220"/>
      <c r="AJ18" s="1220"/>
      <c r="AK18" s="1219"/>
      <c r="AL18" s="1219"/>
      <c r="AM18" s="1219"/>
      <c r="AN18" s="1219"/>
      <c r="AO18" s="1220"/>
      <c r="AP18" s="1220"/>
      <c r="AQ18" s="1220"/>
      <c r="AR18" s="1220"/>
      <c r="AS18" s="1220"/>
      <c r="AT18" s="1220"/>
      <c r="AU18" s="1220"/>
      <c r="AV18" s="1220"/>
      <c r="AW18" s="1258"/>
      <c r="AX18" s="1258"/>
      <c r="AY18" s="1258"/>
      <c r="AZ18" s="1220"/>
      <c r="BA18" s="1220"/>
      <c r="BB18" s="1220"/>
      <c r="BC18" s="1220"/>
      <c r="BD18" s="1220"/>
      <c r="BE18" s="1220"/>
      <c r="BF18" s="1220"/>
      <c r="BG18" s="1220"/>
      <c r="BH18" s="1220"/>
      <c r="BI18" s="1220"/>
      <c r="BJ18" s="1220"/>
      <c r="BK18" s="1220"/>
      <c r="BL18" s="1220"/>
      <c r="BM18" s="1220"/>
      <c r="BN18" s="1220"/>
      <c r="BO18" s="1220"/>
    </row>
    <row r="19" spans="1:67" ht="35.1" customHeight="1" x14ac:dyDescent="0.25">
      <c r="A19" s="3">
        <f t="shared" si="0"/>
        <v>7</v>
      </c>
      <c r="B19" s="1218" t="s">
        <v>162</v>
      </c>
      <c r="C19" s="1218"/>
      <c r="D19" s="1221"/>
      <c r="E19" s="1221"/>
      <c r="F19" s="1221"/>
      <c r="G19" s="1221"/>
      <c r="H19" s="1221"/>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AV19" s="540"/>
      <c r="AW19" s="1259"/>
      <c r="AX19" s="1259"/>
      <c r="AY19" s="1259"/>
      <c r="AZ19" s="540"/>
      <c r="BA19" s="540"/>
      <c r="BB19" s="540"/>
      <c r="BC19" s="540"/>
      <c r="BD19" s="540"/>
      <c r="BE19" s="540"/>
      <c r="BF19" s="540"/>
      <c r="BG19" s="540"/>
      <c r="BH19" s="540"/>
      <c r="BI19" s="540"/>
      <c r="BJ19" s="540"/>
      <c r="BK19" s="540"/>
      <c r="BL19" s="540"/>
      <c r="BM19" s="540"/>
      <c r="BN19" s="540"/>
      <c r="BO19" s="540"/>
    </row>
    <row r="20" spans="1:67" ht="35.1" customHeight="1" x14ac:dyDescent="0.25">
      <c r="A20" s="3">
        <f t="shared" si="0"/>
        <v>8</v>
      </c>
      <c r="B20" s="1218" t="s">
        <v>162</v>
      </c>
      <c r="C20" s="1218"/>
      <c r="D20" s="1222"/>
      <c r="E20" s="1222"/>
      <c r="F20" s="1222"/>
      <c r="G20" s="1222"/>
      <c r="H20" s="1222"/>
      <c r="I20" s="1219"/>
      <c r="J20" s="1219"/>
      <c r="K20" s="1219"/>
      <c r="L20" s="1219"/>
      <c r="M20" s="1219"/>
      <c r="N20" s="1219"/>
      <c r="O20" s="1219"/>
      <c r="P20" s="1219"/>
      <c r="Q20" s="1220"/>
      <c r="R20" s="1220"/>
      <c r="S20" s="1220"/>
      <c r="T20" s="1220"/>
      <c r="U20" s="1220"/>
      <c r="V20" s="1220"/>
      <c r="W20" s="1220"/>
      <c r="X20" s="1220"/>
      <c r="Y20" s="1219"/>
      <c r="Z20" s="1219"/>
      <c r="AA20" s="1220"/>
      <c r="AB20" s="1220"/>
      <c r="AC20" s="1220"/>
      <c r="AD20" s="1220"/>
      <c r="AE20" s="1219"/>
      <c r="AF20" s="1219"/>
      <c r="AG20" s="1219"/>
      <c r="AH20" s="1220"/>
      <c r="AI20" s="1220"/>
      <c r="AJ20" s="1220"/>
      <c r="AK20" s="1219"/>
      <c r="AL20" s="1219"/>
      <c r="AM20" s="1219"/>
      <c r="AN20" s="1219"/>
      <c r="AO20" s="1220"/>
      <c r="AP20" s="1220"/>
      <c r="AQ20" s="1220"/>
      <c r="AR20" s="1220"/>
      <c r="AS20" s="1220"/>
      <c r="AT20" s="1220"/>
      <c r="AU20" s="1220"/>
      <c r="AV20" s="1220"/>
      <c r="AW20" s="1258"/>
      <c r="AX20" s="1258"/>
      <c r="AY20" s="1258"/>
      <c r="AZ20" s="1220"/>
      <c r="BA20" s="1220"/>
      <c r="BB20" s="1220"/>
      <c r="BC20" s="1220"/>
      <c r="BD20" s="1220"/>
      <c r="BE20" s="1220"/>
      <c r="BF20" s="1220"/>
      <c r="BG20" s="1220"/>
      <c r="BH20" s="1220"/>
      <c r="BI20" s="1220"/>
      <c r="BJ20" s="1220"/>
      <c r="BK20" s="1220"/>
      <c r="BL20" s="1220"/>
      <c r="BM20" s="1220"/>
      <c r="BN20" s="1220"/>
      <c r="BO20" s="1220"/>
    </row>
    <row r="21" spans="1:67" ht="35.1" customHeight="1" x14ac:dyDescent="0.25">
      <c r="A21" s="3">
        <f t="shared" si="0"/>
        <v>9</v>
      </c>
      <c r="B21" s="1218" t="s">
        <v>162</v>
      </c>
      <c r="C21" s="1218"/>
      <c r="D21" s="1221"/>
      <c r="E21" s="1221"/>
      <c r="F21" s="1221"/>
      <c r="G21" s="1221"/>
      <c r="H21" s="1221"/>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1259"/>
      <c r="AX21" s="1259"/>
      <c r="AY21" s="1259"/>
      <c r="AZ21" s="540"/>
      <c r="BA21" s="540"/>
      <c r="BB21" s="540"/>
      <c r="BC21" s="540"/>
      <c r="BD21" s="540"/>
      <c r="BE21" s="540"/>
      <c r="BF21" s="540"/>
      <c r="BG21" s="540"/>
      <c r="BH21" s="540"/>
      <c r="BI21" s="540"/>
      <c r="BJ21" s="540"/>
      <c r="BK21" s="540"/>
      <c r="BL21" s="540"/>
      <c r="BM21" s="540"/>
      <c r="BN21" s="540"/>
      <c r="BO21" s="540"/>
    </row>
    <row r="22" spans="1:67" ht="35.1" customHeight="1" x14ac:dyDescent="0.25">
      <c r="A22" s="3">
        <f t="shared" si="0"/>
        <v>10</v>
      </c>
      <c r="B22" s="1218" t="s">
        <v>162</v>
      </c>
      <c r="C22" s="1218"/>
      <c r="D22" s="1222"/>
      <c r="E22" s="1222"/>
      <c r="F22" s="1222"/>
      <c r="G22" s="1222"/>
      <c r="H22" s="1222"/>
      <c r="I22" s="1219"/>
      <c r="J22" s="1219"/>
      <c r="K22" s="1219"/>
      <c r="L22" s="1219"/>
      <c r="M22" s="1219"/>
      <c r="N22" s="1219"/>
      <c r="O22" s="1219"/>
      <c r="P22" s="1219"/>
      <c r="Q22" s="1220"/>
      <c r="R22" s="1220"/>
      <c r="S22" s="1220"/>
      <c r="T22" s="1220"/>
      <c r="U22" s="1220"/>
      <c r="V22" s="1220"/>
      <c r="W22" s="1220"/>
      <c r="X22" s="1220"/>
      <c r="Y22" s="1219"/>
      <c r="Z22" s="1219"/>
      <c r="AA22" s="1220"/>
      <c r="AB22" s="1220"/>
      <c r="AC22" s="1220"/>
      <c r="AD22" s="1220"/>
      <c r="AE22" s="1219"/>
      <c r="AF22" s="1219"/>
      <c r="AG22" s="1219"/>
      <c r="AH22" s="1220"/>
      <c r="AI22" s="1220"/>
      <c r="AJ22" s="1220"/>
      <c r="AK22" s="1219"/>
      <c r="AL22" s="1219"/>
      <c r="AM22" s="1219"/>
      <c r="AN22" s="1219"/>
      <c r="AO22" s="1220"/>
      <c r="AP22" s="1220"/>
      <c r="AQ22" s="1220"/>
      <c r="AR22" s="1220"/>
      <c r="AS22" s="1220"/>
      <c r="AT22" s="1220"/>
      <c r="AU22" s="1220"/>
      <c r="AV22" s="1220"/>
      <c r="AW22" s="1258"/>
      <c r="AX22" s="1258"/>
      <c r="AY22" s="1258"/>
      <c r="AZ22" s="1220"/>
      <c r="BA22" s="1220"/>
      <c r="BB22" s="1220"/>
      <c r="BC22" s="1220"/>
      <c r="BD22" s="1220"/>
      <c r="BE22" s="1220"/>
      <c r="BF22" s="1220"/>
      <c r="BG22" s="1220"/>
      <c r="BH22" s="1220"/>
      <c r="BI22" s="1220"/>
      <c r="BJ22" s="1220"/>
      <c r="BK22" s="1220"/>
      <c r="BL22" s="1220"/>
      <c r="BM22" s="1220"/>
      <c r="BN22" s="1220"/>
      <c r="BO22" s="1220"/>
    </row>
    <row r="23" spans="1:67" ht="35.1" customHeight="1" x14ac:dyDescent="0.25">
      <c r="A23" s="3">
        <f t="shared" si="0"/>
        <v>11</v>
      </c>
      <c r="B23" s="1218" t="s">
        <v>162</v>
      </c>
      <c r="C23" s="1218"/>
      <c r="D23" s="1221"/>
      <c r="E23" s="1221"/>
      <c r="F23" s="1221"/>
      <c r="G23" s="1221"/>
      <c r="H23" s="1221"/>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c r="AG23" s="540"/>
      <c r="AH23" s="540"/>
      <c r="AI23" s="540"/>
      <c r="AJ23" s="540"/>
      <c r="AK23" s="540"/>
      <c r="AL23" s="540"/>
      <c r="AM23" s="540"/>
      <c r="AN23" s="540"/>
      <c r="AO23" s="540"/>
      <c r="AP23" s="540"/>
      <c r="AQ23" s="540"/>
      <c r="AR23" s="540"/>
      <c r="AS23" s="540"/>
      <c r="AT23" s="540"/>
      <c r="AU23" s="540"/>
      <c r="AV23" s="540"/>
      <c r="AW23" s="1259"/>
      <c r="AX23" s="1259"/>
      <c r="AY23" s="1259"/>
      <c r="AZ23" s="540"/>
      <c r="BA23" s="540"/>
      <c r="BB23" s="540"/>
      <c r="BC23" s="540"/>
      <c r="BD23" s="540"/>
      <c r="BE23" s="540"/>
      <c r="BF23" s="540"/>
      <c r="BG23" s="540"/>
      <c r="BH23" s="540"/>
      <c r="BI23" s="540"/>
      <c r="BJ23" s="540"/>
      <c r="BK23" s="540"/>
      <c r="BL23" s="540"/>
      <c r="BM23" s="540"/>
      <c r="BN23" s="540"/>
      <c r="BO23" s="540"/>
    </row>
    <row r="24" spans="1:67" ht="35.1" customHeight="1" x14ac:dyDescent="0.25">
      <c r="A24" s="3">
        <f t="shared" si="0"/>
        <v>12</v>
      </c>
      <c r="B24" s="1218" t="s">
        <v>162</v>
      </c>
      <c r="C24" s="1218"/>
      <c r="D24" s="1222"/>
      <c r="E24" s="1222"/>
      <c r="F24" s="1222"/>
      <c r="G24" s="1222"/>
      <c r="H24" s="1222"/>
      <c r="I24" s="1219"/>
      <c r="J24" s="1219"/>
      <c r="K24" s="1219"/>
      <c r="L24" s="1219"/>
      <c r="M24" s="1219"/>
      <c r="N24" s="1219"/>
      <c r="O24" s="1219"/>
      <c r="P24" s="1219"/>
      <c r="Q24" s="1220"/>
      <c r="R24" s="1220"/>
      <c r="S24" s="1220"/>
      <c r="T24" s="1220"/>
      <c r="U24" s="1220"/>
      <c r="V24" s="1220"/>
      <c r="W24" s="1220"/>
      <c r="X24" s="1220"/>
      <c r="Y24" s="1219"/>
      <c r="Z24" s="1219"/>
      <c r="AA24" s="1220"/>
      <c r="AB24" s="1220"/>
      <c r="AC24" s="1220"/>
      <c r="AD24" s="1220"/>
      <c r="AE24" s="1219"/>
      <c r="AF24" s="1219"/>
      <c r="AG24" s="1219"/>
      <c r="AH24" s="1220"/>
      <c r="AI24" s="1220"/>
      <c r="AJ24" s="1220"/>
      <c r="AK24" s="1219"/>
      <c r="AL24" s="1219"/>
      <c r="AM24" s="1219"/>
      <c r="AN24" s="1219"/>
      <c r="AO24" s="1220"/>
      <c r="AP24" s="1220"/>
      <c r="AQ24" s="1220"/>
      <c r="AR24" s="1220"/>
      <c r="AS24" s="1220"/>
      <c r="AT24" s="1220"/>
      <c r="AU24" s="1220"/>
      <c r="AV24" s="1220"/>
      <c r="AW24" s="1258"/>
      <c r="AX24" s="1258"/>
      <c r="AY24" s="1258"/>
      <c r="AZ24" s="1220"/>
      <c r="BA24" s="1220"/>
      <c r="BB24" s="1220"/>
      <c r="BC24" s="1220"/>
      <c r="BD24" s="1220"/>
      <c r="BE24" s="1220"/>
      <c r="BF24" s="1220"/>
      <c r="BG24" s="1220"/>
      <c r="BH24" s="1220"/>
      <c r="BI24" s="1220"/>
      <c r="BJ24" s="1220"/>
      <c r="BK24" s="1220"/>
      <c r="BL24" s="1220"/>
      <c r="BM24" s="1220"/>
      <c r="BN24" s="1220"/>
      <c r="BO24" s="1220"/>
    </row>
    <row r="25" spans="1:67" ht="35.1" customHeight="1" x14ac:dyDescent="0.25">
      <c r="A25" s="3">
        <f t="shared" si="0"/>
        <v>13</v>
      </c>
      <c r="B25" s="1218" t="s">
        <v>162</v>
      </c>
      <c r="C25" s="1218"/>
      <c r="D25" s="1221"/>
      <c r="E25" s="1221"/>
      <c r="F25" s="1221"/>
      <c r="G25" s="1221"/>
      <c r="H25" s="1221"/>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40"/>
      <c r="AO25" s="540"/>
      <c r="AP25" s="540"/>
      <c r="AQ25" s="540"/>
      <c r="AR25" s="540"/>
      <c r="AS25" s="540"/>
      <c r="AT25" s="540"/>
      <c r="AU25" s="540"/>
      <c r="AV25" s="540"/>
      <c r="AW25" s="1259"/>
      <c r="AX25" s="1259"/>
      <c r="AY25" s="1259"/>
      <c r="AZ25" s="540"/>
      <c r="BA25" s="540"/>
      <c r="BB25" s="540"/>
      <c r="BC25" s="540"/>
      <c r="BD25" s="540"/>
      <c r="BE25" s="540"/>
      <c r="BF25" s="540"/>
      <c r="BG25" s="540"/>
      <c r="BH25" s="540"/>
      <c r="BI25" s="540"/>
      <c r="BJ25" s="540"/>
      <c r="BK25" s="540"/>
      <c r="BL25" s="540"/>
      <c r="BM25" s="540"/>
      <c r="BN25" s="540"/>
      <c r="BO25" s="540"/>
    </row>
    <row r="26" spans="1:67" ht="35.1" customHeight="1" x14ac:dyDescent="0.25">
      <c r="A26" s="3">
        <f t="shared" si="0"/>
        <v>14</v>
      </c>
      <c r="B26" s="1218" t="s">
        <v>162</v>
      </c>
      <c r="C26" s="1218"/>
      <c r="D26" s="1222"/>
      <c r="E26" s="1222"/>
      <c r="F26" s="1222"/>
      <c r="G26" s="1222"/>
      <c r="H26" s="1222"/>
      <c r="I26" s="1219"/>
      <c r="J26" s="1219"/>
      <c r="K26" s="1219"/>
      <c r="L26" s="1219"/>
      <c r="M26" s="1219"/>
      <c r="N26" s="1219"/>
      <c r="O26" s="1219"/>
      <c r="P26" s="1219"/>
      <c r="Q26" s="1220"/>
      <c r="R26" s="1220"/>
      <c r="S26" s="1220"/>
      <c r="T26" s="1220"/>
      <c r="U26" s="1220"/>
      <c r="V26" s="1220"/>
      <c r="W26" s="1220"/>
      <c r="X26" s="1220"/>
      <c r="Y26" s="1219"/>
      <c r="Z26" s="1219"/>
      <c r="AA26" s="1220"/>
      <c r="AB26" s="1220"/>
      <c r="AC26" s="1220"/>
      <c r="AD26" s="1220"/>
      <c r="AE26" s="1219"/>
      <c r="AF26" s="1219"/>
      <c r="AG26" s="1219"/>
      <c r="AH26" s="1220"/>
      <c r="AI26" s="1220"/>
      <c r="AJ26" s="1220"/>
      <c r="AK26" s="1219"/>
      <c r="AL26" s="1219"/>
      <c r="AM26" s="1219"/>
      <c r="AN26" s="1219"/>
      <c r="AO26" s="1220"/>
      <c r="AP26" s="1220"/>
      <c r="AQ26" s="1220"/>
      <c r="AR26" s="1220"/>
      <c r="AS26" s="1220"/>
      <c r="AT26" s="1220"/>
      <c r="AU26" s="1220"/>
      <c r="AV26" s="1220"/>
      <c r="AW26" s="1258"/>
      <c r="AX26" s="1258"/>
      <c r="AY26" s="1258"/>
      <c r="AZ26" s="1220"/>
      <c r="BA26" s="1220"/>
      <c r="BB26" s="1220"/>
      <c r="BC26" s="1220"/>
      <c r="BD26" s="1220"/>
      <c r="BE26" s="1220"/>
      <c r="BF26" s="1220"/>
      <c r="BG26" s="1220"/>
      <c r="BH26" s="1220"/>
      <c r="BI26" s="1220"/>
      <c r="BJ26" s="1220"/>
      <c r="BK26" s="1220"/>
      <c r="BL26" s="1220"/>
      <c r="BM26" s="1220"/>
      <c r="BN26" s="1220"/>
      <c r="BO26" s="1220"/>
    </row>
    <row r="27" spans="1:67" ht="35.1" customHeight="1" x14ac:dyDescent="0.25">
      <c r="A27" s="3">
        <f t="shared" si="0"/>
        <v>15</v>
      </c>
      <c r="B27" s="1218" t="s">
        <v>162</v>
      </c>
      <c r="C27" s="1218"/>
      <c r="D27" s="1221"/>
      <c r="E27" s="1221"/>
      <c r="F27" s="1221"/>
      <c r="G27" s="1221"/>
      <c r="H27" s="1221"/>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40"/>
      <c r="AO27" s="540"/>
      <c r="AP27" s="540"/>
      <c r="AQ27" s="540"/>
      <c r="AR27" s="540"/>
      <c r="AS27" s="540"/>
      <c r="AT27" s="540"/>
      <c r="AU27" s="540"/>
      <c r="AV27" s="540"/>
      <c r="AW27" s="1259"/>
      <c r="AX27" s="1259"/>
      <c r="AY27" s="1259"/>
      <c r="AZ27" s="540"/>
      <c r="BA27" s="540"/>
      <c r="BB27" s="540"/>
      <c r="BC27" s="540"/>
      <c r="BD27" s="540"/>
      <c r="BE27" s="540"/>
      <c r="BF27" s="540"/>
      <c r="BG27" s="540"/>
      <c r="BH27" s="540"/>
      <c r="BI27" s="540"/>
      <c r="BJ27" s="540"/>
      <c r="BK27" s="540"/>
      <c r="BL27" s="540"/>
      <c r="BM27" s="540"/>
      <c r="BN27" s="540"/>
      <c r="BO27" s="540"/>
    </row>
    <row r="28" spans="1:67" ht="35.1" customHeight="1" x14ac:dyDescent="0.25">
      <c r="A28" s="3">
        <f t="shared" si="0"/>
        <v>16</v>
      </c>
      <c r="B28" s="1218" t="s">
        <v>162</v>
      </c>
      <c r="C28" s="1218"/>
      <c r="D28" s="1222"/>
      <c r="E28" s="1222"/>
      <c r="F28" s="1222"/>
      <c r="G28" s="1222"/>
      <c r="H28" s="1222"/>
      <c r="I28" s="1219"/>
      <c r="J28" s="1219"/>
      <c r="K28" s="1219"/>
      <c r="L28" s="1219"/>
      <c r="M28" s="1219"/>
      <c r="N28" s="1219"/>
      <c r="O28" s="1219"/>
      <c r="P28" s="1219"/>
      <c r="Q28" s="1220"/>
      <c r="R28" s="1220"/>
      <c r="S28" s="1220"/>
      <c r="T28" s="1220"/>
      <c r="U28" s="1220"/>
      <c r="V28" s="1220"/>
      <c r="W28" s="1220"/>
      <c r="X28" s="1220"/>
      <c r="Y28" s="1219"/>
      <c r="Z28" s="1219"/>
      <c r="AA28" s="1220"/>
      <c r="AB28" s="1220"/>
      <c r="AC28" s="1220"/>
      <c r="AD28" s="1220"/>
      <c r="AE28" s="1219"/>
      <c r="AF28" s="1219"/>
      <c r="AG28" s="1219"/>
      <c r="AH28" s="1220"/>
      <c r="AI28" s="1220"/>
      <c r="AJ28" s="1220"/>
      <c r="AK28" s="1219"/>
      <c r="AL28" s="1219"/>
      <c r="AM28" s="1219"/>
      <c r="AN28" s="1219"/>
      <c r="AO28" s="1220"/>
      <c r="AP28" s="1220"/>
      <c r="AQ28" s="1220"/>
      <c r="AR28" s="1220"/>
      <c r="AS28" s="1220"/>
      <c r="AT28" s="1220"/>
      <c r="AU28" s="1220"/>
      <c r="AV28" s="1220"/>
      <c r="AW28" s="1258"/>
      <c r="AX28" s="1258"/>
      <c r="AY28" s="1258"/>
      <c r="AZ28" s="1220"/>
      <c r="BA28" s="1220"/>
      <c r="BB28" s="1220"/>
      <c r="BC28" s="1220"/>
      <c r="BD28" s="1220"/>
      <c r="BE28" s="1220"/>
      <c r="BF28" s="1220"/>
      <c r="BG28" s="1220"/>
      <c r="BH28" s="1220"/>
      <c r="BI28" s="1220"/>
      <c r="BJ28" s="1220"/>
      <c r="BK28" s="1220"/>
      <c r="BL28" s="1220"/>
      <c r="BM28" s="1220"/>
      <c r="BN28" s="1220"/>
      <c r="BO28" s="1220"/>
    </row>
    <row r="29" spans="1:67" ht="35.1" customHeight="1" x14ac:dyDescent="0.25">
      <c r="A29" s="3">
        <f t="shared" si="0"/>
        <v>17</v>
      </c>
      <c r="B29" s="1218" t="s">
        <v>162</v>
      </c>
      <c r="C29" s="1218"/>
      <c r="D29" s="1221"/>
      <c r="E29" s="1221"/>
      <c r="F29" s="1221"/>
      <c r="G29" s="1221"/>
      <c r="H29" s="1221"/>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40"/>
      <c r="AO29" s="540"/>
      <c r="AP29" s="540"/>
      <c r="AQ29" s="540"/>
      <c r="AR29" s="540"/>
      <c r="AS29" s="540"/>
      <c r="AT29" s="540"/>
      <c r="AU29" s="540"/>
      <c r="AV29" s="540"/>
      <c r="AW29" s="1259"/>
      <c r="AX29" s="1259"/>
      <c r="AY29" s="1259"/>
      <c r="AZ29" s="540"/>
      <c r="BA29" s="540"/>
      <c r="BB29" s="540"/>
      <c r="BC29" s="540"/>
      <c r="BD29" s="540"/>
      <c r="BE29" s="540"/>
      <c r="BF29" s="540"/>
      <c r="BG29" s="540"/>
      <c r="BH29" s="540"/>
      <c r="BI29" s="540"/>
      <c r="BJ29" s="540"/>
      <c r="BK29" s="540"/>
      <c r="BL29" s="540"/>
      <c r="BM29" s="540"/>
      <c r="BN29" s="540"/>
      <c r="BO29" s="540"/>
    </row>
    <row r="30" spans="1:67" ht="35.1" customHeight="1" x14ac:dyDescent="0.25">
      <c r="A30" s="3">
        <f t="shared" si="0"/>
        <v>18</v>
      </c>
      <c r="B30" s="1218" t="s">
        <v>162</v>
      </c>
      <c r="C30" s="1218"/>
      <c r="D30" s="1222"/>
      <c r="E30" s="1222"/>
      <c r="F30" s="1222"/>
      <c r="G30" s="1222"/>
      <c r="H30" s="1222"/>
      <c r="I30" s="1219"/>
      <c r="J30" s="1219"/>
      <c r="K30" s="1219"/>
      <c r="L30" s="1219"/>
      <c r="M30" s="1219"/>
      <c r="N30" s="1219"/>
      <c r="O30" s="1219"/>
      <c r="P30" s="1219"/>
      <c r="Q30" s="1220"/>
      <c r="R30" s="1220"/>
      <c r="S30" s="1220"/>
      <c r="T30" s="1220"/>
      <c r="U30" s="1220"/>
      <c r="V30" s="1220"/>
      <c r="W30" s="1220"/>
      <c r="X30" s="1220"/>
      <c r="Y30" s="1219"/>
      <c r="Z30" s="1219"/>
      <c r="AA30" s="1220"/>
      <c r="AB30" s="1220"/>
      <c r="AC30" s="1220"/>
      <c r="AD30" s="1220"/>
      <c r="AE30" s="1219"/>
      <c r="AF30" s="1219"/>
      <c r="AG30" s="1219"/>
      <c r="AH30" s="1220"/>
      <c r="AI30" s="1220"/>
      <c r="AJ30" s="1220"/>
      <c r="AK30" s="1219"/>
      <c r="AL30" s="1219"/>
      <c r="AM30" s="1219"/>
      <c r="AN30" s="1219"/>
      <c r="AO30" s="1220"/>
      <c r="AP30" s="1220"/>
      <c r="AQ30" s="1220"/>
      <c r="AR30" s="1220"/>
      <c r="AS30" s="1220"/>
      <c r="AT30" s="1220"/>
      <c r="AU30" s="1220"/>
      <c r="AV30" s="1220"/>
      <c r="AW30" s="1258"/>
      <c r="AX30" s="1258"/>
      <c r="AY30" s="1258"/>
      <c r="AZ30" s="1220"/>
      <c r="BA30" s="1220"/>
      <c r="BB30" s="1220"/>
      <c r="BC30" s="1220"/>
      <c r="BD30" s="1220"/>
      <c r="BE30" s="1220"/>
      <c r="BF30" s="1220"/>
      <c r="BG30" s="1220"/>
      <c r="BH30" s="1220"/>
      <c r="BI30" s="1220"/>
      <c r="BJ30" s="1220"/>
      <c r="BK30" s="1220"/>
      <c r="BL30" s="1220"/>
      <c r="BM30" s="1220"/>
      <c r="BN30" s="1220"/>
      <c r="BO30" s="1220"/>
    </row>
    <row r="31" spans="1:67" ht="35.1" customHeight="1" x14ac:dyDescent="0.25">
      <c r="A31" s="3">
        <f t="shared" si="0"/>
        <v>19</v>
      </c>
      <c r="B31" s="1218" t="s">
        <v>162</v>
      </c>
      <c r="C31" s="1218"/>
      <c r="D31" s="1221"/>
      <c r="E31" s="1221"/>
      <c r="F31" s="1221"/>
      <c r="G31" s="1221"/>
      <c r="H31" s="1221"/>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40"/>
      <c r="AO31" s="540"/>
      <c r="AP31" s="540"/>
      <c r="AQ31" s="540"/>
      <c r="AR31" s="540"/>
      <c r="AS31" s="540"/>
      <c r="AT31" s="540"/>
      <c r="AU31" s="540"/>
      <c r="AV31" s="540"/>
      <c r="AW31" s="1259"/>
      <c r="AX31" s="1259"/>
      <c r="AY31" s="1259"/>
      <c r="AZ31" s="540"/>
      <c r="BA31" s="540"/>
      <c r="BB31" s="540"/>
      <c r="BC31" s="540"/>
      <c r="BD31" s="540"/>
      <c r="BE31" s="540"/>
      <c r="BF31" s="540"/>
      <c r="BG31" s="540"/>
      <c r="BH31" s="540"/>
      <c r="BI31" s="540"/>
      <c r="BJ31" s="540"/>
      <c r="BK31" s="540"/>
      <c r="BL31" s="540"/>
      <c r="BM31" s="540"/>
      <c r="BN31" s="540"/>
      <c r="BO31" s="540"/>
    </row>
    <row r="32" spans="1:67" ht="35.1" customHeight="1" x14ac:dyDescent="0.25">
      <c r="A32" s="3">
        <f t="shared" si="0"/>
        <v>20</v>
      </c>
      <c r="B32" s="1235" t="s">
        <v>162</v>
      </c>
      <c r="C32" s="1235"/>
      <c r="D32" s="1222"/>
      <c r="E32" s="1222"/>
      <c r="F32" s="1222"/>
      <c r="G32" s="1222"/>
      <c r="H32" s="1222"/>
      <c r="I32" s="1219"/>
      <c r="J32" s="1219"/>
      <c r="K32" s="1219"/>
      <c r="L32" s="1219"/>
      <c r="M32" s="1219"/>
      <c r="N32" s="1219"/>
      <c r="O32" s="1219"/>
      <c r="P32" s="1219"/>
      <c r="Q32" s="1220"/>
      <c r="R32" s="1220"/>
      <c r="S32" s="1220"/>
      <c r="T32" s="1220"/>
      <c r="U32" s="1220"/>
      <c r="V32" s="1220"/>
      <c r="W32" s="1220"/>
      <c r="X32" s="1220"/>
      <c r="Y32" s="1219"/>
      <c r="Z32" s="1219"/>
      <c r="AA32" s="1220"/>
      <c r="AB32" s="1220"/>
      <c r="AC32" s="1220"/>
      <c r="AD32" s="1220"/>
      <c r="AE32" s="1219"/>
      <c r="AF32" s="1219"/>
      <c r="AG32" s="1219"/>
      <c r="AH32" s="1220"/>
      <c r="AI32" s="1220"/>
      <c r="AJ32" s="1220"/>
      <c r="AK32" s="1219"/>
      <c r="AL32" s="1219"/>
      <c r="AM32" s="1219"/>
      <c r="AN32" s="1219"/>
      <c r="AO32" s="1220"/>
      <c r="AP32" s="1220"/>
      <c r="AQ32" s="1220"/>
      <c r="AR32" s="1220"/>
      <c r="AS32" s="1220"/>
      <c r="AT32" s="1220"/>
      <c r="AU32" s="1220"/>
      <c r="AV32" s="1220"/>
      <c r="AW32" s="1258"/>
      <c r="AX32" s="1258"/>
      <c r="AY32" s="1258"/>
      <c r="AZ32" s="1220"/>
      <c r="BA32" s="1220"/>
      <c r="BB32" s="1220"/>
      <c r="BC32" s="1220"/>
      <c r="BD32" s="1220"/>
      <c r="BE32" s="1220"/>
      <c r="BF32" s="1220"/>
      <c r="BG32" s="1220"/>
      <c r="BH32" s="1220"/>
      <c r="BI32" s="1220"/>
      <c r="BJ32" s="1220"/>
      <c r="BK32" s="1220"/>
      <c r="BL32" s="1220"/>
      <c r="BM32" s="1220"/>
      <c r="BN32" s="1220"/>
      <c r="BO32" s="1220"/>
    </row>
    <row r="33" spans="1:67" ht="35.1" customHeight="1" x14ac:dyDescent="0.25">
      <c r="A33" s="3">
        <f t="shared" si="0"/>
        <v>21</v>
      </c>
      <c r="B33" s="1218" t="s">
        <v>162</v>
      </c>
      <c r="C33" s="1218"/>
      <c r="D33" s="1221"/>
      <c r="E33" s="1221"/>
      <c r="F33" s="1221"/>
      <c r="G33" s="1221"/>
      <c r="H33" s="1221"/>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0"/>
      <c r="AV33" s="540"/>
      <c r="AW33" s="1259"/>
      <c r="AX33" s="1259"/>
      <c r="AY33" s="1259"/>
      <c r="AZ33" s="540"/>
      <c r="BA33" s="540"/>
      <c r="BB33" s="540"/>
      <c r="BC33" s="540"/>
      <c r="BD33" s="540"/>
      <c r="BE33" s="540"/>
      <c r="BF33" s="540"/>
      <c r="BG33" s="540"/>
      <c r="BH33" s="540"/>
      <c r="BI33" s="540"/>
      <c r="BJ33" s="540"/>
      <c r="BK33" s="540"/>
      <c r="BL33" s="540"/>
      <c r="BM33" s="540"/>
      <c r="BN33" s="540"/>
      <c r="BO33" s="540"/>
    </row>
    <row r="34" spans="1:67" ht="35.1" customHeight="1" x14ac:dyDescent="0.25">
      <c r="A34" s="3">
        <f t="shared" si="0"/>
        <v>22</v>
      </c>
      <c r="B34" s="1218" t="s">
        <v>162</v>
      </c>
      <c r="C34" s="1218"/>
      <c r="D34" s="1222"/>
      <c r="E34" s="1222"/>
      <c r="F34" s="1222"/>
      <c r="G34" s="1222"/>
      <c r="H34" s="1222"/>
      <c r="I34" s="1219"/>
      <c r="J34" s="1219"/>
      <c r="K34" s="1219"/>
      <c r="L34" s="1219"/>
      <c r="M34" s="1219"/>
      <c r="N34" s="1219"/>
      <c r="O34" s="1219"/>
      <c r="P34" s="1219"/>
      <c r="Q34" s="1220"/>
      <c r="R34" s="1220"/>
      <c r="S34" s="1220"/>
      <c r="T34" s="1220"/>
      <c r="U34" s="1220"/>
      <c r="V34" s="1220"/>
      <c r="W34" s="1220"/>
      <c r="X34" s="1220"/>
      <c r="Y34" s="1219"/>
      <c r="Z34" s="1219"/>
      <c r="AA34" s="1220"/>
      <c r="AB34" s="1220"/>
      <c r="AC34" s="1220"/>
      <c r="AD34" s="1220"/>
      <c r="AE34" s="1219"/>
      <c r="AF34" s="1219"/>
      <c r="AG34" s="1219"/>
      <c r="AH34" s="1220"/>
      <c r="AI34" s="1220"/>
      <c r="AJ34" s="1220"/>
      <c r="AK34" s="1219"/>
      <c r="AL34" s="1219"/>
      <c r="AM34" s="1219"/>
      <c r="AN34" s="1219"/>
      <c r="AO34" s="1220"/>
      <c r="AP34" s="1220"/>
      <c r="AQ34" s="1220"/>
      <c r="AR34" s="1220"/>
      <c r="AS34" s="1220"/>
      <c r="AT34" s="1220"/>
      <c r="AU34" s="1220"/>
      <c r="AV34" s="1220"/>
      <c r="AW34" s="1258"/>
      <c r="AX34" s="1258"/>
      <c r="AY34" s="1258"/>
      <c r="AZ34" s="1220"/>
      <c r="BA34" s="1220"/>
      <c r="BB34" s="1220"/>
      <c r="BC34" s="1220"/>
      <c r="BD34" s="1220"/>
      <c r="BE34" s="1220"/>
      <c r="BF34" s="1220"/>
      <c r="BG34" s="1220"/>
      <c r="BH34" s="1220"/>
      <c r="BI34" s="1220"/>
      <c r="BJ34" s="1220"/>
      <c r="BK34" s="1220"/>
      <c r="BL34" s="1220"/>
      <c r="BM34" s="1220"/>
      <c r="BN34" s="1220"/>
      <c r="BO34" s="1220"/>
    </row>
    <row r="35" spans="1:67" ht="35.1" customHeight="1" x14ac:dyDescent="0.25">
      <c r="A35" s="3">
        <f t="shared" si="0"/>
        <v>23</v>
      </c>
      <c r="B35" s="1218" t="s">
        <v>162</v>
      </c>
      <c r="C35" s="1218"/>
      <c r="D35" s="1221"/>
      <c r="E35" s="1221"/>
      <c r="F35" s="1221"/>
      <c r="G35" s="1221"/>
      <c r="H35" s="1221"/>
      <c r="I35" s="540"/>
      <c r="J35" s="540"/>
      <c r="K35" s="540"/>
      <c r="L35" s="540"/>
      <c r="M35" s="540"/>
      <c r="N35" s="540"/>
      <c r="O35" s="540"/>
      <c r="P35" s="540"/>
      <c r="Q35" s="540"/>
      <c r="R35" s="540"/>
      <c r="S35" s="540"/>
      <c r="T35" s="540"/>
      <c r="U35" s="540"/>
      <c r="V35" s="540"/>
      <c r="W35" s="540"/>
      <c r="X35" s="540"/>
      <c r="Y35" s="540"/>
      <c r="Z35" s="540"/>
      <c r="AA35" s="540"/>
      <c r="AB35" s="540"/>
      <c r="AC35" s="540"/>
      <c r="AD35" s="540"/>
      <c r="AE35" s="540"/>
      <c r="AF35" s="540"/>
      <c r="AG35" s="540"/>
      <c r="AH35" s="540"/>
      <c r="AI35" s="540"/>
      <c r="AJ35" s="540"/>
      <c r="AK35" s="540"/>
      <c r="AL35" s="540"/>
      <c r="AM35" s="540"/>
      <c r="AN35" s="540"/>
      <c r="AO35" s="540"/>
      <c r="AP35" s="540"/>
      <c r="AQ35" s="540"/>
      <c r="AR35" s="540"/>
      <c r="AS35" s="540"/>
      <c r="AT35" s="540"/>
      <c r="AU35" s="540"/>
      <c r="AV35" s="540"/>
      <c r="AW35" s="1259"/>
      <c r="AX35" s="1259"/>
      <c r="AY35" s="1259"/>
      <c r="AZ35" s="540"/>
      <c r="BA35" s="540"/>
      <c r="BB35" s="540"/>
      <c r="BC35" s="540"/>
      <c r="BD35" s="540"/>
      <c r="BE35" s="540"/>
      <c r="BF35" s="540"/>
      <c r="BG35" s="540"/>
      <c r="BH35" s="540"/>
      <c r="BI35" s="540"/>
      <c r="BJ35" s="540"/>
      <c r="BK35" s="540"/>
      <c r="BL35" s="540"/>
      <c r="BM35" s="540"/>
      <c r="BN35" s="540"/>
      <c r="BO35" s="540"/>
    </row>
    <row r="36" spans="1:67" ht="35.1" customHeight="1" x14ac:dyDescent="0.25">
      <c r="A36" s="3">
        <f t="shared" si="0"/>
        <v>24</v>
      </c>
      <c r="B36" s="1218" t="s">
        <v>162</v>
      </c>
      <c r="C36" s="1218"/>
      <c r="D36" s="1222"/>
      <c r="E36" s="1222"/>
      <c r="F36" s="1222"/>
      <c r="G36" s="1222"/>
      <c r="H36" s="1222"/>
      <c r="I36" s="1219"/>
      <c r="J36" s="1219"/>
      <c r="K36" s="1219"/>
      <c r="L36" s="1219"/>
      <c r="M36" s="1219"/>
      <c r="N36" s="1219"/>
      <c r="O36" s="1219"/>
      <c r="P36" s="1219"/>
      <c r="Q36" s="1220"/>
      <c r="R36" s="1220"/>
      <c r="S36" s="1220"/>
      <c r="T36" s="1220"/>
      <c r="U36" s="1220"/>
      <c r="V36" s="1220"/>
      <c r="W36" s="1220"/>
      <c r="X36" s="1220"/>
      <c r="Y36" s="1219"/>
      <c r="Z36" s="1219"/>
      <c r="AA36" s="1220"/>
      <c r="AB36" s="1220"/>
      <c r="AC36" s="1220"/>
      <c r="AD36" s="1220"/>
      <c r="AE36" s="1219"/>
      <c r="AF36" s="1219"/>
      <c r="AG36" s="1219"/>
      <c r="AH36" s="1220"/>
      <c r="AI36" s="1220"/>
      <c r="AJ36" s="1220"/>
      <c r="AK36" s="1219"/>
      <c r="AL36" s="1219"/>
      <c r="AM36" s="1219"/>
      <c r="AN36" s="1219"/>
      <c r="AO36" s="1220"/>
      <c r="AP36" s="1220"/>
      <c r="AQ36" s="1220"/>
      <c r="AR36" s="1220"/>
      <c r="AS36" s="1220"/>
      <c r="AT36" s="1220"/>
      <c r="AU36" s="1220"/>
      <c r="AV36" s="1220"/>
      <c r="AW36" s="1258"/>
      <c r="AX36" s="1258"/>
      <c r="AY36" s="1258"/>
      <c r="AZ36" s="1220"/>
      <c r="BA36" s="1220"/>
      <c r="BB36" s="1220"/>
      <c r="BC36" s="1220"/>
      <c r="BD36" s="1220"/>
      <c r="BE36" s="1220"/>
      <c r="BF36" s="1220"/>
      <c r="BG36" s="1220"/>
      <c r="BH36" s="1220"/>
      <c r="BI36" s="1220"/>
      <c r="BJ36" s="1220"/>
      <c r="BK36" s="1220"/>
      <c r="BL36" s="1220"/>
      <c r="BM36" s="1220"/>
      <c r="BN36" s="1220"/>
      <c r="BO36" s="1220"/>
    </row>
    <row r="37" spans="1:67" ht="35.1" customHeight="1" x14ac:dyDescent="0.25">
      <c r="A37" s="3">
        <f t="shared" si="0"/>
        <v>25</v>
      </c>
      <c r="B37" s="1218" t="s">
        <v>162</v>
      </c>
      <c r="C37" s="1218"/>
      <c r="D37" s="1221"/>
      <c r="E37" s="1221"/>
      <c r="F37" s="1221"/>
      <c r="G37" s="1221"/>
      <c r="H37" s="1221"/>
      <c r="I37" s="540"/>
      <c r="J37" s="540"/>
      <c r="K37" s="540"/>
      <c r="L37" s="540"/>
      <c r="M37" s="540"/>
      <c r="N37" s="540"/>
      <c r="O37" s="540"/>
      <c r="P37" s="540"/>
      <c r="Q37" s="540"/>
      <c r="R37" s="540"/>
      <c r="S37" s="540"/>
      <c r="T37" s="540"/>
      <c r="U37" s="540"/>
      <c r="V37" s="540"/>
      <c r="W37" s="540"/>
      <c r="X37" s="540"/>
      <c r="Y37" s="540"/>
      <c r="Z37" s="540"/>
      <c r="AA37" s="540"/>
      <c r="AB37" s="540"/>
      <c r="AC37" s="540"/>
      <c r="AD37" s="540"/>
      <c r="AE37" s="540"/>
      <c r="AF37" s="540"/>
      <c r="AG37" s="540"/>
      <c r="AH37" s="540"/>
      <c r="AI37" s="540"/>
      <c r="AJ37" s="540"/>
      <c r="AK37" s="540"/>
      <c r="AL37" s="540"/>
      <c r="AM37" s="540"/>
      <c r="AN37" s="540"/>
      <c r="AO37" s="540"/>
      <c r="AP37" s="540"/>
      <c r="AQ37" s="540"/>
      <c r="AR37" s="540"/>
      <c r="AS37" s="540"/>
      <c r="AT37" s="540"/>
      <c r="AU37" s="540"/>
      <c r="AV37" s="540"/>
      <c r="AW37" s="1259"/>
      <c r="AX37" s="1259"/>
      <c r="AY37" s="1259"/>
      <c r="AZ37" s="540"/>
      <c r="BA37" s="540"/>
      <c r="BB37" s="540"/>
      <c r="BC37" s="540"/>
      <c r="BD37" s="540"/>
      <c r="BE37" s="540"/>
      <c r="BF37" s="540"/>
      <c r="BG37" s="540"/>
      <c r="BH37" s="540"/>
      <c r="BI37" s="540"/>
      <c r="BJ37" s="540"/>
      <c r="BK37" s="540"/>
      <c r="BL37" s="540"/>
      <c r="BM37" s="540"/>
      <c r="BN37" s="540"/>
      <c r="BO37" s="540"/>
    </row>
    <row r="38" spans="1:67" ht="35.1" customHeight="1" x14ac:dyDescent="0.25">
      <c r="A38" s="3">
        <f t="shared" si="0"/>
        <v>26</v>
      </c>
      <c r="B38" s="1218" t="s">
        <v>162</v>
      </c>
      <c r="C38" s="1218"/>
      <c r="D38" s="1222"/>
      <c r="E38" s="1222"/>
      <c r="F38" s="1222"/>
      <c r="G38" s="1222"/>
      <c r="H38" s="1222"/>
      <c r="I38" s="1219"/>
      <c r="J38" s="1219"/>
      <c r="K38" s="1219"/>
      <c r="L38" s="1219"/>
      <c r="M38" s="1219"/>
      <c r="N38" s="1219"/>
      <c r="O38" s="1219"/>
      <c r="P38" s="1219"/>
      <c r="Q38" s="1220"/>
      <c r="R38" s="1220"/>
      <c r="S38" s="1220"/>
      <c r="T38" s="1220"/>
      <c r="U38" s="1220"/>
      <c r="V38" s="1220"/>
      <c r="W38" s="1220"/>
      <c r="X38" s="1220"/>
      <c r="Y38" s="1219"/>
      <c r="Z38" s="1219"/>
      <c r="AA38" s="1220"/>
      <c r="AB38" s="1220"/>
      <c r="AC38" s="1220"/>
      <c r="AD38" s="1220"/>
      <c r="AE38" s="1219"/>
      <c r="AF38" s="1219"/>
      <c r="AG38" s="1219"/>
      <c r="AH38" s="1220"/>
      <c r="AI38" s="1220"/>
      <c r="AJ38" s="1220"/>
      <c r="AK38" s="1219"/>
      <c r="AL38" s="1219"/>
      <c r="AM38" s="1219"/>
      <c r="AN38" s="1219"/>
      <c r="AO38" s="1220"/>
      <c r="AP38" s="1220"/>
      <c r="AQ38" s="1220"/>
      <c r="AR38" s="1220"/>
      <c r="AS38" s="1220"/>
      <c r="AT38" s="1220"/>
      <c r="AU38" s="1220"/>
      <c r="AV38" s="1220"/>
      <c r="AW38" s="1258"/>
      <c r="AX38" s="1258"/>
      <c r="AY38" s="1258"/>
      <c r="AZ38" s="1220"/>
      <c r="BA38" s="1220"/>
      <c r="BB38" s="1220"/>
      <c r="BC38" s="1220"/>
      <c r="BD38" s="1220"/>
      <c r="BE38" s="1220"/>
      <c r="BF38" s="1220"/>
      <c r="BG38" s="1220"/>
      <c r="BH38" s="1220"/>
      <c r="BI38" s="1220"/>
      <c r="BJ38" s="1220"/>
      <c r="BK38" s="1220"/>
      <c r="BL38" s="1220"/>
      <c r="BM38" s="1220"/>
      <c r="BN38" s="1220"/>
      <c r="BO38" s="1220"/>
    </row>
    <row r="39" spans="1:67" ht="35.1" customHeight="1" x14ac:dyDescent="0.25">
      <c r="A39" s="3">
        <f t="shared" si="0"/>
        <v>27</v>
      </c>
      <c r="B39" s="1218" t="s">
        <v>162</v>
      </c>
      <c r="C39" s="1218"/>
      <c r="D39" s="1221"/>
      <c r="E39" s="1221"/>
      <c r="F39" s="1221"/>
      <c r="G39" s="1221"/>
      <c r="H39" s="1221"/>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AV39" s="540"/>
      <c r="AW39" s="1259"/>
      <c r="AX39" s="1259"/>
      <c r="AY39" s="1259"/>
      <c r="AZ39" s="540"/>
      <c r="BA39" s="540"/>
      <c r="BB39" s="540"/>
      <c r="BC39" s="540"/>
      <c r="BD39" s="540"/>
      <c r="BE39" s="540"/>
      <c r="BF39" s="540"/>
      <c r="BG39" s="540"/>
      <c r="BH39" s="540"/>
      <c r="BI39" s="540"/>
      <c r="BJ39" s="540"/>
      <c r="BK39" s="540"/>
      <c r="BL39" s="540"/>
      <c r="BM39" s="540"/>
      <c r="BN39" s="540"/>
      <c r="BO39" s="540"/>
    </row>
    <row r="40" spans="1:67" ht="35.1" customHeight="1" x14ac:dyDescent="0.25">
      <c r="A40" s="3">
        <f t="shared" si="0"/>
        <v>28</v>
      </c>
      <c r="B40" s="1218" t="s">
        <v>162</v>
      </c>
      <c r="C40" s="1218"/>
      <c r="D40" s="1222"/>
      <c r="E40" s="1222"/>
      <c r="F40" s="1222"/>
      <c r="G40" s="1222"/>
      <c r="H40" s="1222"/>
      <c r="I40" s="1219"/>
      <c r="J40" s="1219"/>
      <c r="K40" s="1219"/>
      <c r="L40" s="1219"/>
      <c r="M40" s="1219"/>
      <c r="N40" s="1219"/>
      <c r="O40" s="1219"/>
      <c r="P40" s="1219"/>
      <c r="Q40" s="1220"/>
      <c r="R40" s="1220"/>
      <c r="S40" s="1220"/>
      <c r="T40" s="1220"/>
      <c r="U40" s="1220"/>
      <c r="V40" s="1220"/>
      <c r="W40" s="1220"/>
      <c r="X40" s="1220"/>
      <c r="Y40" s="1219"/>
      <c r="Z40" s="1219"/>
      <c r="AA40" s="1220"/>
      <c r="AB40" s="1220"/>
      <c r="AC40" s="1220"/>
      <c r="AD40" s="1220"/>
      <c r="AE40" s="1219"/>
      <c r="AF40" s="1219"/>
      <c r="AG40" s="1219"/>
      <c r="AH40" s="1220"/>
      <c r="AI40" s="1220"/>
      <c r="AJ40" s="1220"/>
      <c r="AK40" s="1219"/>
      <c r="AL40" s="1219"/>
      <c r="AM40" s="1219"/>
      <c r="AN40" s="1219"/>
      <c r="AO40" s="1220"/>
      <c r="AP40" s="1220"/>
      <c r="AQ40" s="1220"/>
      <c r="AR40" s="1220"/>
      <c r="AS40" s="1220"/>
      <c r="AT40" s="1220"/>
      <c r="AU40" s="1220"/>
      <c r="AV40" s="1220"/>
      <c r="AW40" s="1258"/>
      <c r="AX40" s="1258"/>
      <c r="AY40" s="1258"/>
      <c r="AZ40" s="1220"/>
      <c r="BA40" s="1220"/>
      <c r="BB40" s="1220"/>
      <c r="BC40" s="1220"/>
      <c r="BD40" s="1220"/>
      <c r="BE40" s="1220"/>
      <c r="BF40" s="1220"/>
      <c r="BG40" s="1220"/>
      <c r="BH40" s="1220"/>
      <c r="BI40" s="1220"/>
      <c r="BJ40" s="1220"/>
      <c r="BK40" s="1220"/>
      <c r="BL40" s="1220"/>
      <c r="BM40" s="1220"/>
      <c r="BN40" s="1220"/>
      <c r="BO40" s="1220"/>
    </row>
    <row r="41" spans="1:67" ht="35.1" customHeight="1" x14ac:dyDescent="0.25">
      <c r="A41" s="3">
        <f t="shared" si="0"/>
        <v>29</v>
      </c>
      <c r="B41" s="1218" t="s">
        <v>162</v>
      </c>
      <c r="C41" s="1218"/>
      <c r="D41" s="1221"/>
      <c r="E41" s="1221"/>
      <c r="F41" s="1221"/>
      <c r="G41" s="1221"/>
      <c r="H41" s="1221"/>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40"/>
      <c r="AO41" s="540"/>
      <c r="AP41" s="540"/>
      <c r="AQ41" s="540"/>
      <c r="AR41" s="540"/>
      <c r="AS41" s="540"/>
      <c r="AT41" s="540"/>
      <c r="AU41" s="540"/>
      <c r="AV41" s="540"/>
      <c r="AW41" s="1259"/>
      <c r="AX41" s="1259"/>
      <c r="AY41" s="1259"/>
      <c r="AZ41" s="540"/>
      <c r="BA41" s="540"/>
      <c r="BB41" s="540"/>
      <c r="BC41" s="540"/>
      <c r="BD41" s="540"/>
      <c r="BE41" s="540"/>
      <c r="BF41" s="540"/>
      <c r="BG41" s="540"/>
      <c r="BH41" s="540"/>
      <c r="BI41" s="540"/>
      <c r="BJ41" s="540"/>
      <c r="BK41" s="540"/>
      <c r="BL41" s="540"/>
      <c r="BM41" s="540"/>
      <c r="BN41" s="540"/>
      <c r="BO41" s="540"/>
    </row>
    <row r="42" spans="1:67" ht="35.1" customHeight="1" x14ac:dyDescent="0.25">
      <c r="A42" s="3">
        <f t="shared" si="0"/>
        <v>30</v>
      </c>
      <c r="B42" s="1218" t="s">
        <v>162</v>
      </c>
      <c r="C42" s="1218"/>
      <c r="D42" s="1222"/>
      <c r="E42" s="1222"/>
      <c r="F42" s="1222"/>
      <c r="G42" s="1222"/>
      <c r="H42" s="1222"/>
      <c r="I42" s="1219"/>
      <c r="J42" s="1219"/>
      <c r="K42" s="1219"/>
      <c r="L42" s="1219"/>
      <c r="M42" s="1219"/>
      <c r="N42" s="1219"/>
      <c r="O42" s="1219"/>
      <c r="P42" s="1219"/>
      <c r="Q42" s="1220"/>
      <c r="R42" s="1220"/>
      <c r="S42" s="1220"/>
      <c r="T42" s="1220"/>
      <c r="U42" s="1220"/>
      <c r="V42" s="1220"/>
      <c r="W42" s="1220"/>
      <c r="X42" s="1220"/>
      <c r="Y42" s="1219"/>
      <c r="Z42" s="1219"/>
      <c r="AA42" s="1220"/>
      <c r="AB42" s="1220"/>
      <c r="AC42" s="1220"/>
      <c r="AD42" s="1220"/>
      <c r="AE42" s="1219"/>
      <c r="AF42" s="1219"/>
      <c r="AG42" s="1219"/>
      <c r="AH42" s="1220"/>
      <c r="AI42" s="1220"/>
      <c r="AJ42" s="1220"/>
      <c r="AK42" s="1219"/>
      <c r="AL42" s="1219"/>
      <c r="AM42" s="1219"/>
      <c r="AN42" s="1219"/>
      <c r="AO42" s="1220"/>
      <c r="AP42" s="1220"/>
      <c r="AQ42" s="1220"/>
      <c r="AR42" s="1220"/>
      <c r="AS42" s="1220"/>
      <c r="AT42" s="1220"/>
      <c r="AU42" s="1220"/>
      <c r="AV42" s="1220"/>
      <c r="AW42" s="1258"/>
      <c r="AX42" s="1258"/>
      <c r="AY42" s="1258"/>
      <c r="AZ42" s="1220"/>
      <c r="BA42" s="1220"/>
      <c r="BB42" s="1220"/>
      <c r="BC42" s="1220"/>
      <c r="BD42" s="1220"/>
      <c r="BE42" s="1220"/>
      <c r="BF42" s="1220"/>
      <c r="BG42" s="1220"/>
      <c r="BH42" s="1220"/>
      <c r="BI42" s="1220"/>
      <c r="BJ42" s="1220"/>
      <c r="BK42" s="1220"/>
      <c r="BL42" s="1220"/>
      <c r="BM42" s="1220"/>
      <c r="BN42" s="1220"/>
      <c r="BO42" s="1220"/>
    </row>
    <row r="43" spans="1:67" ht="35.1" customHeight="1" x14ac:dyDescent="0.25">
      <c r="A43" s="3">
        <f t="shared" si="0"/>
        <v>31</v>
      </c>
      <c r="B43" s="1218" t="s">
        <v>162</v>
      </c>
      <c r="C43" s="1218"/>
      <c r="D43" s="1221"/>
      <c r="E43" s="1221"/>
      <c r="F43" s="1221"/>
      <c r="G43" s="1221"/>
      <c r="H43" s="1221"/>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40"/>
      <c r="AO43" s="540"/>
      <c r="AP43" s="540"/>
      <c r="AQ43" s="540"/>
      <c r="AR43" s="540"/>
      <c r="AS43" s="540"/>
      <c r="AT43" s="540"/>
      <c r="AU43" s="540"/>
      <c r="AV43" s="540"/>
      <c r="AW43" s="1259"/>
      <c r="AX43" s="1259"/>
      <c r="AY43" s="1259"/>
      <c r="AZ43" s="540"/>
      <c r="BA43" s="540"/>
      <c r="BB43" s="540"/>
      <c r="BC43" s="540"/>
      <c r="BD43" s="540"/>
      <c r="BE43" s="540"/>
      <c r="BF43" s="540"/>
      <c r="BG43" s="540"/>
      <c r="BH43" s="540"/>
      <c r="BI43" s="540"/>
      <c r="BJ43" s="540"/>
      <c r="BK43" s="540"/>
      <c r="BL43" s="540"/>
      <c r="BM43" s="540"/>
      <c r="BN43" s="540"/>
      <c r="BO43" s="540"/>
    </row>
    <row r="44" spans="1:67" ht="35.1" customHeight="1" x14ac:dyDescent="0.25">
      <c r="A44" s="3">
        <f t="shared" si="0"/>
        <v>32</v>
      </c>
      <c r="B44" s="1218" t="s">
        <v>162</v>
      </c>
      <c r="C44" s="1218"/>
      <c r="D44" s="1222"/>
      <c r="E44" s="1222"/>
      <c r="F44" s="1222"/>
      <c r="G44" s="1222"/>
      <c r="H44" s="1222"/>
      <c r="I44" s="1219"/>
      <c r="J44" s="1219"/>
      <c r="K44" s="1219"/>
      <c r="L44" s="1219"/>
      <c r="M44" s="1219"/>
      <c r="N44" s="1219"/>
      <c r="O44" s="1219"/>
      <c r="P44" s="1219"/>
      <c r="Q44" s="1220"/>
      <c r="R44" s="1220"/>
      <c r="S44" s="1220"/>
      <c r="T44" s="1220"/>
      <c r="U44" s="1220"/>
      <c r="V44" s="1220"/>
      <c r="W44" s="1220"/>
      <c r="X44" s="1220"/>
      <c r="Y44" s="1219"/>
      <c r="Z44" s="1219"/>
      <c r="AA44" s="1220"/>
      <c r="AB44" s="1220"/>
      <c r="AC44" s="1220"/>
      <c r="AD44" s="1220"/>
      <c r="AE44" s="1219"/>
      <c r="AF44" s="1219"/>
      <c r="AG44" s="1219"/>
      <c r="AH44" s="1220"/>
      <c r="AI44" s="1220"/>
      <c r="AJ44" s="1220"/>
      <c r="AK44" s="1219"/>
      <c r="AL44" s="1219"/>
      <c r="AM44" s="1219"/>
      <c r="AN44" s="1219"/>
      <c r="AO44" s="1220"/>
      <c r="AP44" s="1220"/>
      <c r="AQ44" s="1220"/>
      <c r="AR44" s="1220"/>
      <c r="AS44" s="1220"/>
      <c r="AT44" s="1220"/>
      <c r="AU44" s="1220"/>
      <c r="AV44" s="1220"/>
      <c r="AW44" s="1258"/>
      <c r="AX44" s="1258"/>
      <c r="AY44" s="1258"/>
      <c r="AZ44" s="1220"/>
      <c r="BA44" s="1220"/>
      <c r="BB44" s="1220"/>
      <c r="BC44" s="1220"/>
      <c r="BD44" s="1220"/>
      <c r="BE44" s="1220"/>
      <c r="BF44" s="1220"/>
      <c r="BG44" s="1220"/>
      <c r="BH44" s="1220"/>
      <c r="BI44" s="1220"/>
      <c r="BJ44" s="1220"/>
      <c r="BK44" s="1220"/>
      <c r="BL44" s="1220"/>
      <c r="BM44" s="1220"/>
      <c r="BN44" s="1220"/>
      <c r="BO44" s="1220"/>
    </row>
    <row r="45" spans="1:67" ht="35.1" customHeight="1" x14ac:dyDescent="0.25">
      <c r="A45" s="3">
        <f t="shared" si="0"/>
        <v>33</v>
      </c>
      <c r="B45" s="1218" t="s">
        <v>162</v>
      </c>
      <c r="C45" s="1218"/>
      <c r="D45" s="1221"/>
      <c r="E45" s="1221"/>
      <c r="F45" s="1221"/>
      <c r="G45" s="1221"/>
      <c r="H45" s="1221"/>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40"/>
      <c r="AO45" s="540"/>
      <c r="AP45" s="540"/>
      <c r="AQ45" s="540"/>
      <c r="AR45" s="540"/>
      <c r="AS45" s="540"/>
      <c r="AT45" s="540"/>
      <c r="AU45" s="540"/>
      <c r="AV45" s="540"/>
      <c r="AW45" s="1259"/>
      <c r="AX45" s="1259"/>
      <c r="AY45" s="1259"/>
      <c r="AZ45" s="540"/>
      <c r="BA45" s="540"/>
      <c r="BB45" s="540"/>
      <c r="BC45" s="540"/>
      <c r="BD45" s="540"/>
      <c r="BE45" s="540"/>
      <c r="BF45" s="540"/>
      <c r="BG45" s="540"/>
      <c r="BH45" s="540"/>
      <c r="BI45" s="540"/>
      <c r="BJ45" s="540"/>
      <c r="BK45" s="540"/>
      <c r="BL45" s="540"/>
      <c r="BM45" s="540"/>
      <c r="BN45" s="540"/>
      <c r="BO45" s="540"/>
    </row>
    <row r="46" spans="1:67" ht="35.1" customHeight="1" x14ac:dyDescent="0.25">
      <c r="A46" s="3">
        <f t="shared" si="0"/>
        <v>34</v>
      </c>
      <c r="B46" s="1218" t="s">
        <v>162</v>
      </c>
      <c r="C46" s="1218"/>
      <c r="D46" s="1222"/>
      <c r="E46" s="1222"/>
      <c r="F46" s="1222"/>
      <c r="G46" s="1222"/>
      <c r="H46" s="1222"/>
      <c r="I46" s="1219"/>
      <c r="J46" s="1219"/>
      <c r="K46" s="1219"/>
      <c r="L46" s="1219"/>
      <c r="M46" s="1219"/>
      <c r="N46" s="1219"/>
      <c r="O46" s="1219"/>
      <c r="P46" s="1219"/>
      <c r="Q46" s="1220"/>
      <c r="R46" s="1220"/>
      <c r="S46" s="1220"/>
      <c r="T46" s="1220"/>
      <c r="U46" s="1220"/>
      <c r="V46" s="1220"/>
      <c r="W46" s="1220"/>
      <c r="X46" s="1220"/>
      <c r="Y46" s="1219"/>
      <c r="Z46" s="1219"/>
      <c r="AA46" s="1220"/>
      <c r="AB46" s="1220"/>
      <c r="AC46" s="1220"/>
      <c r="AD46" s="1220"/>
      <c r="AE46" s="1219"/>
      <c r="AF46" s="1219"/>
      <c r="AG46" s="1219"/>
      <c r="AH46" s="1220"/>
      <c r="AI46" s="1220"/>
      <c r="AJ46" s="1220"/>
      <c r="AK46" s="1219"/>
      <c r="AL46" s="1219"/>
      <c r="AM46" s="1219"/>
      <c r="AN46" s="1219"/>
      <c r="AO46" s="1220"/>
      <c r="AP46" s="1220"/>
      <c r="AQ46" s="1220"/>
      <c r="AR46" s="1220"/>
      <c r="AS46" s="1220"/>
      <c r="AT46" s="1220"/>
      <c r="AU46" s="1220"/>
      <c r="AV46" s="1220"/>
      <c r="AW46" s="1258"/>
      <c r="AX46" s="1258"/>
      <c r="AY46" s="1258"/>
      <c r="AZ46" s="1220"/>
      <c r="BA46" s="1220"/>
      <c r="BB46" s="1220"/>
      <c r="BC46" s="1220"/>
      <c r="BD46" s="1220"/>
      <c r="BE46" s="1220"/>
      <c r="BF46" s="1220"/>
      <c r="BG46" s="1220"/>
      <c r="BH46" s="1220"/>
      <c r="BI46" s="1220"/>
      <c r="BJ46" s="1220"/>
      <c r="BK46" s="1220"/>
      <c r="BL46" s="1220"/>
      <c r="BM46" s="1220"/>
      <c r="BN46" s="1220"/>
      <c r="BO46" s="1220"/>
    </row>
    <row r="47" spans="1:67" ht="35.1" customHeight="1" x14ac:dyDescent="0.25">
      <c r="A47" s="3">
        <f t="shared" si="0"/>
        <v>35</v>
      </c>
      <c r="B47" s="1218" t="s">
        <v>162</v>
      </c>
      <c r="C47" s="1218"/>
      <c r="D47" s="1221"/>
      <c r="E47" s="1221"/>
      <c r="F47" s="1221"/>
      <c r="G47" s="1221"/>
      <c r="H47" s="1221"/>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c r="AG47" s="540"/>
      <c r="AH47" s="540"/>
      <c r="AI47" s="540"/>
      <c r="AJ47" s="540"/>
      <c r="AK47" s="540"/>
      <c r="AL47" s="540"/>
      <c r="AM47" s="540"/>
      <c r="AN47" s="540"/>
      <c r="AO47" s="540"/>
      <c r="AP47" s="540"/>
      <c r="AQ47" s="540"/>
      <c r="AR47" s="540"/>
      <c r="AS47" s="540"/>
      <c r="AT47" s="540"/>
      <c r="AU47" s="540"/>
      <c r="AV47" s="540"/>
      <c r="AW47" s="1259"/>
      <c r="AX47" s="1259"/>
      <c r="AY47" s="1259"/>
      <c r="AZ47" s="540"/>
      <c r="BA47" s="540"/>
      <c r="BB47" s="540"/>
      <c r="BC47" s="540"/>
      <c r="BD47" s="540"/>
      <c r="BE47" s="540"/>
      <c r="BF47" s="540"/>
      <c r="BG47" s="540"/>
      <c r="BH47" s="540"/>
      <c r="BI47" s="540"/>
      <c r="BJ47" s="540"/>
      <c r="BK47" s="540"/>
      <c r="BL47" s="540"/>
      <c r="BM47" s="540"/>
      <c r="BN47" s="540"/>
      <c r="BO47" s="540"/>
    </row>
    <row r="48" spans="1:67" ht="35.1" customHeight="1" x14ac:dyDescent="0.25">
      <c r="A48" s="3">
        <f t="shared" si="0"/>
        <v>36</v>
      </c>
      <c r="B48" s="1218" t="s">
        <v>162</v>
      </c>
      <c r="C48" s="1218"/>
      <c r="D48" s="1222"/>
      <c r="E48" s="1222"/>
      <c r="F48" s="1222"/>
      <c r="G48" s="1222"/>
      <c r="H48" s="1222"/>
      <c r="I48" s="1219"/>
      <c r="J48" s="1219"/>
      <c r="K48" s="1219"/>
      <c r="L48" s="1219"/>
      <c r="M48" s="1219"/>
      <c r="N48" s="1219"/>
      <c r="O48" s="1219"/>
      <c r="P48" s="1219"/>
      <c r="Q48" s="1220"/>
      <c r="R48" s="1220"/>
      <c r="S48" s="1220"/>
      <c r="T48" s="1220"/>
      <c r="U48" s="1220"/>
      <c r="V48" s="1220"/>
      <c r="W48" s="1220"/>
      <c r="X48" s="1220"/>
      <c r="Y48" s="1219"/>
      <c r="Z48" s="1219"/>
      <c r="AA48" s="1220"/>
      <c r="AB48" s="1220"/>
      <c r="AC48" s="1220"/>
      <c r="AD48" s="1220"/>
      <c r="AE48" s="1219"/>
      <c r="AF48" s="1219"/>
      <c r="AG48" s="1219"/>
      <c r="AH48" s="1220"/>
      <c r="AI48" s="1220"/>
      <c r="AJ48" s="1220"/>
      <c r="AK48" s="1219"/>
      <c r="AL48" s="1219"/>
      <c r="AM48" s="1219"/>
      <c r="AN48" s="1219"/>
      <c r="AO48" s="1220"/>
      <c r="AP48" s="1220"/>
      <c r="AQ48" s="1220"/>
      <c r="AR48" s="1220"/>
      <c r="AS48" s="1220"/>
      <c r="AT48" s="1220"/>
      <c r="AU48" s="1220"/>
      <c r="AV48" s="1220"/>
      <c r="AW48" s="1258"/>
      <c r="AX48" s="1258"/>
      <c r="AY48" s="1258"/>
      <c r="AZ48" s="1220"/>
      <c r="BA48" s="1220"/>
      <c r="BB48" s="1220"/>
      <c r="BC48" s="1220"/>
      <c r="BD48" s="1220"/>
      <c r="BE48" s="1220"/>
      <c r="BF48" s="1220"/>
      <c r="BG48" s="1220"/>
      <c r="BH48" s="1220"/>
      <c r="BI48" s="1220"/>
      <c r="BJ48" s="1220"/>
      <c r="BK48" s="1220"/>
      <c r="BL48" s="1220"/>
      <c r="BM48" s="1220"/>
      <c r="BN48" s="1220"/>
      <c r="BO48" s="1220"/>
    </row>
    <row r="49" spans="1:67" ht="35.1" customHeight="1" x14ac:dyDescent="0.25">
      <c r="A49" s="3">
        <f t="shared" si="0"/>
        <v>37</v>
      </c>
      <c r="B49" s="1218" t="s">
        <v>162</v>
      </c>
      <c r="C49" s="1218"/>
      <c r="D49" s="1221"/>
      <c r="E49" s="1221"/>
      <c r="F49" s="1221"/>
      <c r="G49" s="1221"/>
      <c r="H49" s="1221"/>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1259"/>
      <c r="AX49" s="1259"/>
      <c r="AY49" s="1259"/>
      <c r="AZ49" s="540"/>
      <c r="BA49" s="540"/>
      <c r="BB49" s="540"/>
      <c r="BC49" s="540"/>
      <c r="BD49" s="540"/>
      <c r="BE49" s="540"/>
      <c r="BF49" s="540"/>
      <c r="BG49" s="540"/>
      <c r="BH49" s="540"/>
      <c r="BI49" s="540"/>
      <c r="BJ49" s="540"/>
      <c r="BK49" s="540"/>
      <c r="BL49" s="540"/>
      <c r="BM49" s="540"/>
      <c r="BN49" s="540"/>
      <c r="BO49" s="540"/>
    </row>
    <row r="50" spans="1:67" ht="35.1" customHeight="1" x14ac:dyDescent="0.25">
      <c r="A50" s="3">
        <f t="shared" si="0"/>
        <v>38</v>
      </c>
      <c r="B50" s="1235" t="s">
        <v>162</v>
      </c>
      <c r="C50" s="1235"/>
      <c r="D50" s="1222"/>
      <c r="E50" s="1222"/>
      <c r="F50" s="1222"/>
      <c r="G50" s="1222"/>
      <c r="H50" s="1222"/>
      <c r="I50" s="1219"/>
      <c r="J50" s="1219"/>
      <c r="K50" s="1219"/>
      <c r="L50" s="1219"/>
      <c r="M50" s="1219"/>
      <c r="N50" s="1219"/>
      <c r="O50" s="1219"/>
      <c r="P50" s="1219"/>
      <c r="Q50" s="1220"/>
      <c r="R50" s="1220"/>
      <c r="S50" s="1220"/>
      <c r="T50" s="1220"/>
      <c r="U50" s="1220"/>
      <c r="V50" s="1220"/>
      <c r="W50" s="1220"/>
      <c r="X50" s="1220"/>
      <c r="Y50" s="1219"/>
      <c r="Z50" s="1219"/>
      <c r="AA50" s="1220"/>
      <c r="AB50" s="1220"/>
      <c r="AC50" s="1220"/>
      <c r="AD50" s="1220"/>
      <c r="AE50" s="1219"/>
      <c r="AF50" s="1219"/>
      <c r="AG50" s="1219"/>
      <c r="AH50" s="1220"/>
      <c r="AI50" s="1220"/>
      <c r="AJ50" s="1220"/>
      <c r="AK50" s="1219"/>
      <c r="AL50" s="1219"/>
      <c r="AM50" s="1219"/>
      <c r="AN50" s="1219"/>
      <c r="AO50" s="1220"/>
      <c r="AP50" s="1220"/>
      <c r="AQ50" s="1220"/>
      <c r="AR50" s="1220"/>
      <c r="AS50" s="1220"/>
      <c r="AT50" s="1220"/>
      <c r="AU50" s="1220"/>
      <c r="AV50" s="1220"/>
      <c r="AW50" s="1258"/>
      <c r="AX50" s="1258"/>
      <c r="AY50" s="1258"/>
      <c r="AZ50" s="1220"/>
      <c r="BA50" s="1220"/>
      <c r="BB50" s="1220"/>
      <c r="BC50" s="1220"/>
      <c r="BD50" s="1220"/>
      <c r="BE50" s="1220"/>
      <c r="BF50" s="1220"/>
      <c r="BG50" s="1220"/>
      <c r="BH50" s="1220"/>
      <c r="BI50" s="1220"/>
      <c r="BJ50" s="1220"/>
      <c r="BK50" s="1220"/>
      <c r="BL50" s="1220"/>
      <c r="BM50" s="1220"/>
      <c r="BN50" s="1220"/>
      <c r="BO50" s="1220"/>
    </row>
    <row r="51" spans="1:67" ht="35.1" customHeight="1" x14ac:dyDescent="0.25">
      <c r="A51" s="3">
        <f t="shared" si="0"/>
        <v>39</v>
      </c>
      <c r="B51" s="1218" t="s">
        <v>162</v>
      </c>
      <c r="C51" s="1218"/>
      <c r="D51" s="1221"/>
      <c r="E51" s="1221"/>
      <c r="F51" s="1221"/>
      <c r="G51" s="1221"/>
      <c r="H51" s="1221"/>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40"/>
      <c r="AO51" s="540"/>
      <c r="AP51" s="540"/>
      <c r="AQ51" s="540"/>
      <c r="AR51" s="540"/>
      <c r="AS51" s="540"/>
      <c r="AT51" s="540"/>
      <c r="AU51" s="540"/>
      <c r="AV51" s="540"/>
      <c r="AW51" s="1259"/>
      <c r="AX51" s="1259"/>
      <c r="AY51" s="1259"/>
      <c r="AZ51" s="540"/>
      <c r="BA51" s="540"/>
      <c r="BB51" s="540"/>
      <c r="BC51" s="540"/>
      <c r="BD51" s="540"/>
      <c r="BE51" s="540"/>
      <c r="BF51" s="540"/>
      <c r="BG51" s="540"/>
      <c r="BH51" s="540"/>
      <c r="BI51" s="540"/>
      <c r="BJ51" s="540"/>
      <c r="BK51" s="540"/>
      <c r="BL51" s="540"/>
      <c r="BM51" s="540"/>
      <c r="BN51" s="540"/>
      <c r="BO51" s="540"/>
    </row>
    <row r="52" spans="1:67" ht="35.1" customHeight="1" x14ac:dyDescent="0.25">
      <c r="A52" s="3">
        <f t="shared" si="0"/>
        <v>40</v>
      </c>
      <c r="B52" s="1218" t="s">
        <v>162</v>
      </c>
      <c r="C52" s="1218"/>
      <c r="D52" s="1222"/>
      <c r="E52" s="1222"/>
      <c r="F52" s="1222"/>
      <c r="G52" s="1222"/>
      <c r="H52" s="1222"/>
      <c r="I52" s="1219"/>
      <c r="J52" s="1219"/>
      <c r="K52" s="1219"/>
      <c r="L52" s="1219"/>
      <c r="M52" s="1219"/>
      <c r="N52" s="1219"/>
      <c r="O52" s="1219"/>
      <c r="P52" s="1219"/>
      <c r="Q52" s="1220"/>
      <c r="R52" s="1220"/>
      <c r="S52" s="1220"/>
      <c r="T52" s="1220"/>
      <c r="U52" s="1220"/>
      <c r="V52" s="1220"/>
      <c r="W52" s="1220"/>
      <c r="X52" s="1220"/>
      <c r="Y52" s="1219"/>
      <c r="Z52" s="1219"/>
      <c r="AA52" s="1220"/>
      <c r="AB52" s="1220"/>
      <c r="AC52" s="1220"/>
      <c r="AD52" s="1220"/>
      <c r="AE52" s="1219"/>
      <c r="AF52" s="1219"/>
      <c r="AG52" s="1219"/>
      <c r="AH52" s="1220"/>
      <c r="AI52" s="1220"/>
      <c r="AJ52" s="1220"/>
      <c r="AK52" s="1219"/>
      <c r="AL52" s="1219"/>
      <c r="AM52" s="1219"/>
      <c r="AN52" s="1219"/>
      <c r="AO52" s="1220"/>
      <c r="AP52" s="1220"/>
      <c r="AQ52" s="1220"/>
      <c r="AR52" s="1220"/>
      <c r="AS52" s="1220"/>
      <c r="AT52" s="1220"/>
      <c r="AU52" s="1220"/>
      <c r="AV52" s="1220"/>
      <c r="AW52" s="1258"/>
      <c r="AX52" s="1258"/>
      <c r="AY52" s="1258"/>
      <c r="AZ52" s="1220"/>
      <c r="BA52" s="1220"/>
      <c r="BB52" s="1220"/>
      <c r="BC52" s="1220"/>
      <c r="BD52" s="1220"/>
      <c r="BE52" s="1220"/>
      <c r="BF52" s="1220"/>
      <c r="BG52" s="1220"/>
      <c r="BH52" s="1220"/>
      <c r="BI52" s="1220"/>
      <c r="BJ52" s="1220"/>
      <c r="BK52" s="1220"/>
      <c r="BL52" s="1220"/>
      <c r="BM52" s="1220"/>
      <c r="BN52" s="1220"/>
      <c r="BO52" s="1220"/>
    </row>
    <row r="53" spans="1:67" ht="35.1" customHeight="1" x14ac:dyDescent="0.25">
      <c r="A53" s="3">
        <f t="shared" si="0"/>
        <v>41</v>
      </c>
      <c r="B53" s="1218" t="s">
        <v>162</v>
      </c>
      <c r="C53" s="1218"/>
      <c r="D53" s="1221"/>
      <c r="E53" s="1221"/>
      <c r="F53" s="1221"/>
      <c r="G53" s="1221"/>
      <c r="H53" s="1221"/>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40"/>
      <c r="AO53" s="540"/>
      <c r="AP53" s="540"/>
      <c r="AQ53" s="540"/>
      <c r="AR53" s="540"/>
      <c r="AS53" s="540"/>
      <c r="AT53" s="540"/>
      <c r="AU53" s="540"/>
      <c r="AV53" s="540"/>
      <c r="AW53" s="1259"/>
      <c r="AX53" s="1259"/>
      <c r="AY53" s="1259"/>
      <c r="AZ53" s="540"/>
      <c r="BA53" s="540"/>
      <c r="BB53" s="540"/>
      <c r="BC53" s="540"/>
      <c r="BD53" s="540"/>
      <c r="BE53" s="540"/>
      <c r="BF53" s="540"/>
      <c r="BG53" s="540"/>
      <c r="BH53" s="540"/>
      <c r="BI53" s="540"/>
      <c r="BJ53" s="540"/>
      <c r="BK53" s="540"/>
      <c r="BL53" s="540"/>
      <c r="BM53" s="540"/>
      <c r="BN53" s="540"/>
      <c r="BO53" s="540"/>
    </row>
    <row r="54" spans="1:67" ht="35.1" customHeight="1" x14ac:dyDescent="0.25">
      <c r="A54" s="3">
        <f t="shared" si="0"/>
        <v>42</v>
      </c>
      <c r="B54" s="1218" t="s">
        <v>162</v>
      </c>
      <c r="C54" s="1218"/>
      <c r="D54" s="1222"/>
      <c r="E54" s="1222"/>
      <c r="F54" s="1222"/>
      <c r="G54" s="1222"/>
      <c r="H54" s="1222"/>
      <c r="I54" s="1219"/>
      <c r="J54" s="1219"/>
      <c r="K54" s="1219"/>
      <c r="L54" s="1219"/>
      <c r="M54" s="1219"/>
      <c r="N54" s="1219"/>
      <c r="O54" s="1219"/>
      <c r="P54" s="1219"/>
      <c r="Q54" s="1220"/>
      <c r="R54" s="1220"/>
      <c r="S54" s="1220"/>
      <c r="T54" s="1220"/>
      <c r="U54" s="1220"/>
      <c r="V54" s="1220"/>
      <c r="W54" s="1220"/>
      <c r="X54" s="1220"/>
      <c r="Y54" s="1219"/>
      <c r="Z54" s="1219"/>
      <c r="AA54" s="1220"/>
      <c r="AB54" s="1220"/>
      <c r="AC54" s="1220"/>
      <c r="AD54" s="1220"/>
      <c r="AE54" s="1219"/>
      <c r="AF54" s="1219"/>
      <c r="AG54" s="1219"/>
      <c r="AH54" s="1220"/>
      <c r="AI54" s="1220"/>
      <c r="AJ54" s="1220"/>
      <c r="AK54" s="1219"/>
      <c r="AL54" s="1219"/>
      <c r="AM54" s="1219"/>
      <c r="AN54" s="1219"/>
      <c r="AO54" s="1220"/>
      <c r="AP54" s="1220"/>
      <c r="AQ54" s="1220"/>
      <c r="AR54" s="1220"/>
      <c r="AS54" s="1220"/>
      <c r="AT54" s="1220"/>
      <c r="AU54" s="1220"/>
      <c r="AV54" s="1220"/>
      <c r="AW54" s="1258"/>
      <c r="AX54" s="1258"/>
      <c r="AY54" s="1258"/>
      <c r="AZ54" s="1220"/>
      <c r="BA54" s="1220"/>
      <c r="BB54" s="1220"/>
      <c r="BC54" s="1220"/>
      <c r="BD54" s="1220"/>
      <c r="BE54" s="1220"/>
      <c r="BF54" s="1220"/>
      <c r="BG54" s="1220"/>
      <c r="BH54" s="1220"/>
      <c r="BI54" s="1220"/>
      <c r="BJ54" s="1220"/>
      <c r="BK54" s="1220"/>
      <c r="BL54" s="1220"/>
      <c r="BM54" s="1220"/>
      <c r="BN54" s="1220"/>
      <c r="BO54" s="1220"/>
    </row>
    <row r="55" spans="1:67" ht="35.1" customHeight="1" x14ac:dyDescent="0.25">
      <c r="A55" s="3">
        <f t="shared" si="0"/>
        <v>43</v>
      </c>
      <c r="B55" s="1218" t="s">
        <v>162</v>
      </c>
      <c r="C55" s="1218"/>
      <c r="D55" s="1221"/>
      <c r="E55" s="1221"/>
      <c r="F55" s="1221"/>
      <c r="G55" s="1221"/>
      <c r="H55" s="1221"/>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1259"/>
      <c r="AX55" s="1259"/>
      <c r="AY55" s="1259"/>
      <c r="AZ55" s="540"/>
      <c r="BA55" s="540"/>
      <c r="BB55" s="540"/>
      <c r="BC55" s="540"/>
      <c r="BD55" s="540"/>
      <c r="BE55" s="540"/>
      <c r="BF55" s="540"/>
      <c r="BG55" s="540"/>
      <c r="BH55" s="540"/>
      <c r="BI55" s="540"/>
      <c r="BJ55" s="540"/>
      <c r="BK55" s="540"/>
      <c r="BL55" s="540"/>
      <c r="BM55" s="540"/>
      <c r="BN55" s="540"/>
      <c r="BO55" s="540"/>
    </row>
    <row r="56" spans="1:67" ht="35.1" customHeight="1" x14ac:dyDescent="0.25">
      <c r="A56" s="3">
        <f t="shared" si="0"/>
        <v>44</v>
      </c>
      <c r="B56" s="1218" t="s">
        <v>162</v>
      </c>
      <c r="C56" s="1218"/>
      <c r="D56" s="1222"/>
      <c r="E56" s="1222"/>
      <c r="F56" s="1222"/>
      <c r="G56" s="1222"/>
      <c r="H56" s="1222"/>
      <c r="I56" s="1219"/>
      <c r="J56" s="1219"/>
      <c r="K56" s="1219"/>
      <c r="L56" s="1219"/>
      <c r="M56" s="1219"/>
      <c r="N56" s="1219"/>
      <c r="O56" s="1219"/>
      <c r="P56" s="1219"/>
      <c r="Q56" s="1220"/>
      <c r="R56" s="1220"/>
      <c r="S56" s="1220"/>
      <c r="T56" s="1220"/>
      <c r="U56" s="1220"/>
      <c r="V56" s="1220"/>
      <c r="W56" s="1220"/>
      <c r="X56" s="1220"/>
      <c r="Y56" s="1219"/>
      <c r="Z56" s="1219"/>
      <c r="AA56" s="1220"/>
      <c r="AB56" s="1220"/>
      <c r="AC56" s="1220"/>
      <c r="AD56" s="1220"/>
      <c r="AE56" s="1219"/>
      <c r="AF56" s="1219"/>
      <c r="AG56" s="1219"/>
      <c r="AH56" s="1220"/>
      <c r="AI56" s="1220"/>
      <c r="AJ56" s="1220"/>
      <c r="AK56" s="1219"/>
      <c r="AL56" s="1219"/>
      <c r="AM56" s="1219"/>
      <c r="AN56" s="1219"/>
      <c r="AO56" s="1220"/>
      <c r="AP56" s="1220"/>
      <c r="AQ56" s="1220"/>
      <c r="AR56" s="1220"/>
      <c r="AS56" s="1220"/>
      <c r="AT56" s="1220"/>
      <c r="AU56" s="1220"/>
      <c r="AV56" s="1220"/>
      <c r="AW56" s="1258"/>
      <c r="AX56" s="1258"/>
      <c r="AY56" s="1258"/>
      <c r="AZ56" s="1220"/>
      <c r="BA56" s="1220"/>
      <c r="BB56" s="1220"/>
      <c r="BC56" s="1220"/>
      <c r="BD56" s="1220"/>
      <c r="BE56" s="1220"/>
      <c r="BF56" s="1220"/>
      <c r="BG56" s="1220"/>
      <c r="BH56" s="1220"/>
      <c r="BI56" s="1220"/>
      <c r="BJ56" s="1220"/>
      <c r="BK56" s="1220"/>
      <c r="BL56" s="1220"/>
      <c r="BM56" s="1220"/>
      <c r="BN56" s="1220"/>
      <c r="BO56" s="1220"/>
    </row>
    <row r="57" spans="1:67" ht="35.1" customHeight="1" x14ac:dyDescent="0.25">
      <c r="A57" s="3">
        <f t="shared" si="0"/>
        <v>45</v>
      </c>
      <c r="B57" s="1218" t="s">
        <v>162</v>
      </c>
      <c r="C57" s="1218"/>
      <c r="D57" s="1221"/>
      <c r="E57" s="1221"/>
      <c r="F57" s="1221"/>
      <c r="G57" s="1221"/>
      <c r="H57" s="1221"/>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40"/>
      <c r="AO57" s="540"/>
      <c r="AP57" s="540"/>
      <c r="AQ57" s="540"/>
      <c r="AR57" s="540"/>
      <c r="AS57" s="540"/>
      <c r="AT57" s="540"/>
      <c r="AU57" s="540"/>
      <c r="AV57" s="540"/>
      <c r="AW57" s="1259"/>
      <c r="AX57" s="1259"/>
      <c r="AY57" s="1259"/>
      <c r="AZ57" s="540"/>
      <c r="BA57" s="540"/>
      <c r="BB57" s="540"/>
      <c r="BC57" s="540"/>
      <c r="BD57" s="540"/>
      <c r="BE57" s="540"/>
      <c r="BF57" s="540"/>
      <c r="BG57" s="540"/>
      <c r="BH57" s="540"/>
      <c r="BI57" s="540"/>
      <c r="BJ57" s="540"/>
      <c r="BK57" s="540"/>
      <c r="BL57" s="540"/>
      <c r="BM57" s="540"/>
      <c r="BN57" s="540"/>
      <c r="BO57" s="540"/>
    </row>
    <row r="58" spans="1:67" ht="35.1" customHeight="1" x14ac:dyDescent="0.25">
      <c r="A58" s="3">
        <f t="shared" si="0"/>
        <v>46</v>
      </c>
      <c r="B58" s="1218" t="s">
        <v>162</v>
      </c>
      <c r="C58" s="1218"/>
      <c r="D58" s="1222"/>
      <c r="E58" s="1222"/>
      <c r="F58" s="1222"/>
      <c r="G58" s="1222"/>
      <c r="H58" s="1222"/>
      <c r="I58" s="1219"/>
      <c r="J58" s="1219"/>
      <c r="K58" s="1219"/>
      <c r="L58" s="1219"/>
      <c r="M58" s="1219"/>
      <c r="N58" s="1219"/>
      <c r="O58" s="1219"/>
      <c r="P58" s="1219"/>
      <c r="Q58" s="1220"/>
      <c r="R58" s="1220"/>
      <c r="S58" s="1220"/>
      <c r="T58" s="1220"/>
      <c r="U58" s="1220"/>
      <c r="V58" s="1220"/>
      <c r="W58" s="1220"/>
      <c r="X58" s="1220"/>
      <c r="Y58" s="1219"/>
      <c r="Z58" s="1219"/>
      <c r="AA58" s="1220"/>
      <c r="AB58" s="1220"/>
      <c r="AC58" s="1220"/>
      <c r="AD58" s="1220"/>
      <c r="AE58" s="1219"/>
      <c r="AF58" s="1219"/>
      <c r="AG58" s="1219"/>
      <c r="AH58" s="1220"/>
      <c r="AI58" s="1220"/>
      <c r="AJ58" s="1220"/>
      <c r="AK58" s="1219"/>
      <c r="AL58" s="1219"/>
      <c r="AM58" s="1219"/>
      <c r="AN58" s="1219"/>
      <c r="AO58" s="1220"/>
      <c r="AP58" s="1220"/>
      <c r="AQ58" s="1220"/>
      <c r="AR58" s="1220"/>
      <c r="AS58" s="1220"/>
      <c r="AT58" s="1220"/>
      <c r="AU58" s="1220"/>
      <c r="AV58" s="1220"/>
      <c r="AW58" s="1258"/>
      <c r="AX58" s="1258"/>
      <c r="AY58" s="1258"/>
      <c r="AZ58" s="1220"/>
      <c r="BA58" s="1220"/>
      <c r="BB58" s="1220"/>
      <c r="BC58" s="1220"/>
      <c r="BD58" s="1220"/>
      <c r="BE58" s="1220"/>
      <c r="BF58" s="1220"/>
      <c r="BG58" s="1220"/>
      <c r="BH58" s="1220"/>
      <c r="BI58" s="1220"/>
      <c r="BJ58" s="1220"/>
      <c r="BK58" s="1220"/>
      <c r="BL58" s="1220"/>
      <c r="BM58" s="1220"/>
      <c r="BN58" s="1220"/>
      <c r="BO58" s="1220"/>
    </row>
    <row r="59" spans="1:67" ht="35.1" customHeight="1" x14ac:dyDescent="0.25">
      <c r="A59" s="3">
        <f t="shared" si="0"/>
        <v>47</v>
      </c>
      <c r="B59" s="1218" t="s">
        <v>162</v>
      </c>
      <c r="C59" s="1218"/>
      <c r="D59" s="1221"/>
      <c r="E59" s="1221"/>
      <c r="F59" s="1221"/>
      <c r="G59" s="1221"/>
      <c r="H59" s="1221"/>
      <c r="I59" s="540"/>
      <c r="J59" s="540"/>
      <c r="K59" s="540"/>
      <c r="L59" s="540"/>
      <c r="M59" s="540"/>
      <c r="N59" s="540"/>
      <c r="O59" s="540"/>
      <c r="P59" s="540"/>
      <c r="Q59" s="540"/>
      <c r="R59" s="540"/>
      <c r="S59" s="540"/>
      <c r="T59" s="540"/>
      <c r="U59" s="540"/>
      <c r="V59" s="540"/>
      <c r="W59" s="540"/>
      <c r="X59" s="540"/>
      <c r="Y59" s="540"/>
      <c r="Z59" s="540"/>
      <c r="AA59" s="540"/>
      <c r="AB59" s="540"/>
      <c r="AC59" s="540"/>
      <c r="AD59" s="540"/>
      <c r="AE59" s="540"/>
      <c r="AF59" s="540"/>
      <c r="AG59" s="540"/>
      <c r="AH59" s="540"/>
      <c r="AI59" s="540"/>
      <c r="AJ59" s="540"/>
      <c r="AK59" s="540"/>
      <c r="AL59" s="540"/>
      <c r="AM59" s="540"/>
      <c r="AN59" s="540"/>
      <c r="AO59" s="540"/>
      <c r="AP59" s="540"/>
      <c r="AQ59" s="540"/>
      <c r="AR59" s="540"/>
      <c r="AS59" s="540"/>
      <c r="AT59" s="540"/>
      <c r="AU59" s="540"/>
      <c r="AV59" s="540"/>
      <c r="AW59" s="1259"/>
      <c r="AX59" s="1259"/>
      <c r="AY59" s="1259"/>
      <c r="AZ59" s="540"/>
      <c r="BA59" s="540"/>
      <c r="BB59" s="540"/>
      <c r="BC59" s="540"/>
      <c r="BD59" s="540"/>
      <c r="BE59" s="540"/>
      <c r="BF59" s="540"/>
      <c r="BG59" s="540"/>
      <c r="BH59" s="540"/>
      <c r="BI59" s="540"/>
      <c r="BJ59" s="540"/>
      <c r="BK59" s="540"/>
      <c r="BL59" s="540"/>
      <c r="BM59" s="540"/>
      <c r="BN59" s="540"/>
      <c r="BO59" s="540"/>
    </row>
    <row r="60" spans="1:67" ht="35.1" customHeight="1" x14ac:dyDescent="0.25">
      <c r="A60" s="3">
        <f t="shared" si="0"/>
        <v>48</v>
      </c>
      <c r="B60" s="1218" t="s">
        <v>162</v>
      </c>
      <c r="C60" s="1218"/>
      <c r="D60" s="1222"/>
      <c r="E60" s="1222"/>
      <c r="F60" s="1222"/>
      <c r="G60" s="1222"/>
      <c r="H60" s="1222"/>
      <c r="I60" s="1219"/>
      <c r="J60" s="1219"/>
      <c r="K60" s="1219"/>
      <c r="L60" s="1219"/>
      <c r="M60" s="1219"/>
      <c r="N60" s="1219"/>
      <c r="O60" s="1219"/>
      <c r="P60" s="1219"/>
      <c r="Q60" s="1220"/>
      <c r="R60" s="1220"/>
      <c r="S60" s="1220"/>
      <c r="T60" s="1220"/>
      <c r="U60" s="1220"/>
      <c r="V60" s="1220"/>
      <c r="W60" s="1220"/>
      <c r="X60" s="1220"/>
      <c r="Y60" s="1219"/>
      <c r="Z60" s="1219"/>
      <c r="AA60" s="1220"/>
      <c r="AB60" s="1220"/>
      <c r="AC60" s="1220"/>
      <c r="AD60" s="1220"/>
      <c r="AE60" s="1219"/>
      <c r="AF60" s="1219"/>
      <c r="AG60" s="1219"/>
      <c r="AH60" s="1220"/>
      <c r="AI60" s="1220"/>
      <c r="AJ60" s="1220"/>
      <c r="AK60" s="1219"/>
      <c r="AL60" s="1219"/>
      <c r="AM60" s="1219"/>
      <c r="AN60" s="1219"/>
      <c r="AO60" s="1220"/>
      <c r="AP60" s="1220"/>
      <c r="AQ60" s="1220"/>
      <c r="AR60" s="1220"/>
      <c r="AS60" s="1220"/>
      <c r="AT60" s="1220"/>
      <c r="AU60" s="1220"/>
      <c r="AV60" s="1220"/>
      <c r="AW60" s="1258"/>
      <c r="AX60" s="1258"/>
      <c r="AY60" s="1258"/>
      <c r="AZ60" s="1220"/>
      <c r="BA60" s="1220"/>
      <c r="BB60" s="1220"/>
      <c r="BC60" s="1220"/>
      <c r="BD60" s="1220"/>
      <c r="BE60" s="1220"/>
      <c r="BF60" s="1220"/>
      <c r="BG60" s="1220"/>
      <c r="BH60" s="1220"/>
      <c r="BI60" s="1220"/>
      <c r="BJ60" s="1220"/>
      <c r="BK60" s="1220"/>
      <c r="BL60" s="1220"/>
      <c r="BM60" s="1220"/>
      <c r="BN60" s="1220"/>
      <c r="BO60" s="1220"/>
    </row>
    <row r="61" spans="1:67" ht="35.1" customHeight="1" x14ac:dyDescent="0.25">
      <c r="A61" s="3">
        <f t="shared" si="0"/>
        <v>49</v>
      </c>
      <c r="B61" s="1218" t="s">
        <v>162</v>
      </c>
      <c r="C61" s="1218"/>
      <c r="D61" s="1221"/>
      <c r="E61" s="1221"/>
      <c r="F61" s="1221"/>
      <c r="G61" s="1221"/>
      <c r="H61" s="1221"/>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40"/>
      <c r="AO61" s="540"/>
      <c r="AP61" s="540"/>
      <c r="AQ61" s="540"/>
      <c r="AR61" s="540"/>
      <c r="AS61" s="540"/>
      <c r="AT61" s="540"/>
      <c r="AU61" s="540"/>
      <c r="AV61" s="540"/>
      <c r="AW61" s="1259"/>
      <c r="AX61" s="1259"/>
      <c r="AY61" s="1259"/>
      <c r="AZ61" s="540"/>
      <c r="BA61" s="540"/>
      <c r="BB61" s="540"/>
      <c r="BC61" s="540"/>
      <c r="BD61" s="540"/>
      <c r="BE61" s="540"/>
      <c r="BF61" s="540"/>
      <c r="BG61" s="540"/>
      <c r="BH61" s="540"/>
      <c r="BI61" s="540"/>
      <c r="BJ61" s="540"/>
      <c r="BK61" s="540"/>
      <c r="BL61" s="540"/>
      <c r="BM61" s="540"/>
      <c r="BN61" s="540"/>
      <c r="BO61" s="540"/>
    </row>
    <row r="62" spans="1:67" ht="35.1" customHeight="1" x14ac:dyDescent="0.25">
      <c r="A62" s="3">
        <f t="shared" si="0"/>
        <v>50</v>
      </c>
      <c r="B62" s="1218" t="s">
        <v>162</v>
      </c>
      <c r="C62" s="1218"/>
      <c r="D62" s="1222"/>
      <c r="E62" s="1222"/>
      <c r="F62" s="1222"/>
      <c r="G62" s="1222"/>
      <c r="H62" s="1222"/>
      <c r="I62" s="1219"/>
      <c r="J62" s="1219"/>
      <c r="K62" s="1219"/>
      <c r="L62" s="1219"/>
      <c r="M62" s="1219"/>
      <c r="N62" s="1219"/>
      <c r="O62" s="1219"/>
      <c r="P62" s="1219"/>
      <c r="Q62" s="1220"/>
      <c r="R62" s="1220"/>
      <c r="S62" s="1220"/>
      <c r="T62" s="1220"/>
      <c r="U62" s="1220"/>
      <c r="V62" s="1220"/>
      <c r="W62" s="1220"/>
      <c r="X62" s="1220"/>
      <c r="Y62" s="1219"/>
      <c r="Z62" s="1219"/>
      <c r="AA62" s="1220"/>
      <c r="AB62" s="1220"/>
      <c r="AC62" s="1220"/>
      <c r="AD62" s="1220"/>
      <c r="AE62" s="1219"/>
      <c r="AF62" s="1219"/>
      <c r="AG62" s="1219"/>
      <c r="AH62" s="1220"/>
      <c r="AI62" s="1220"/>
      <c r="AJ62" s="1220"/>
      <c r="AK62" s="1219"/>
      <c r="AL62" s="1219"/>
      <c r="AM62" s="1219"/>
      <c r="AN62" s="1219"/>
      <c r="AO62" s="1220"/>
      <c r="AP62" s="1220"/>
      <c r="AQ62" s="1220"/>
      <c r="AR62" s="1220"/>
      <c r="AS62" s="1220"/>
      <c r="AT62" s="1220"/>
      <c r="AU62" s="1220"/>
      <c r="AV62" s="1220"/>
      <c r="AW62" s="1258"/>
      <c r="AX62" s="1258"/>
      <c r="AY62" s="1258"/>
      <c r="AZ62" s="1220"/>
      <c r="BA62" s="1220"/>
      <c r="BB62" s="1220"/>
      <c r="BC62" s="1220"/>
      <c r="BD62" s="1220"/>
      <c r="BE62" s="1220"/>
      <c r="BF62" s="1220"/>
      <c r="BG62" s="1220"/>
      <c r="BH62" s="1220"/>
      <c r="BI62" s="1220"/>
      <c r="BJ62" s="1220"/>
      <c r="BK62" s="1220"/>
      <c r="BL62" s="1220"/>
      <c r="BM62" s="1220"/>
      <c r="BN62" s="1220"/>
      <c r="BO62" s="1220"/>
    </row>
    <row r="63" spans="1:67" ht="35.1" customHeight="1" x14ac:dyDescent="0.25">
      <c r="A63" s="3">
        <f t="shared" si="0"/>
        <v>51</v>
      </c>
      <c r="B63" s="1218" t="s">
        <v>162</v>
      </c>
      <c r="C63" s="1218"/>
      <c r="D63" s="1221"/>
      <c r="E63" s="1221"/>
      <c r="F63" s="1221"/>
      <c r="G63" s="1221"/>
      <c r="H63" s="1221"/>
      <c r="I63" s="540"/>
      <c r="J63" s="540"/>
      <c r="K63" s="540"/>
      <c r="L63" s="540"/>
      <c r="M63" s="540"/>
      <c r="N63" s="540"/>
      <c r="O63" s="540"/>
      <c r="P63" s="540"/>
      <c r="Q63" s="540"/>
      <c r="R63" s="540"/>
      <c r="S63" s="540"/>
      <c r="T63" s="540"/>
      <c r="U63" s="540"/>
      <c r="V63" s="540"/>
      <c r="W63" s="540"/>
      <c r="X63" s="540"/>
      <c r="Y63" s="540"/>
      <c r="Z63" s="540"/>
      <c r="AA63" s="540"/>
      <c r="AB63" s="540"/>
      <c r="AC63" s="540"/>
      <c r="AD63" s="540"/>
      <c r="AE63" s="540"/>
      <c r="AF63" s="540"/>
      <c r="AG63" s="540"/>
      <c r="AH63" s="540"/>
      <c r="AI63" s="540"/>
      <c r="AJ63" s="540"/>
      <c r="AK63" s="540"/>
      <c r="AL63" s="540"/>
      <c r="AM63" s="540"/>
      <c r="AN63" s="540"/>
      <c r="AO63" s="540"/>
      <c r="AP63" s="540"/>
      <c r="AQ63" s="540"/>
      <c r="AR63" s="540"/>
      <c r="AS63" s="540"/>
      <c r="AT63" s="540"/>
      <c r="AU63" s="540"/>
      <c r="AV63" s="540"/>
      <c r="AW63" s="1259"/>
      <c r="AX63" s="1259"/>
      <c r="AY63" s="1259"/>
      <c r="AZ63" s="540"/>
      <c r="BA63" s="540"/>
      <c r="BB63" s="540"/>
      <c r="BC63" s="540"/>
      <c r="BD63" s="540"/>
      <c r="BE63" s="540"/>
      <c r="BF63" s="540"/>
      <c r="BG63" s="540"/>
      <c r="BH63" s="540"/>
      <c r="BI63" s="540"/>
      <c r="BJ63" s="540"/>
      <c r="BK63" s="540"/>
      <c r="BL63" s="540"/>
      <c r="BM63" s="540"/>
      <c r="BN63" s="540"/>
      <c r="BO63" s="540"/>
    </row>
    <row r="64" spans="1:67" ht="35.1" customHeight="1" x14ac:dyDescent="0.25">
      <c r="A64" s="3">
        <f t="shared" si="0"/>
        <v>52</v>
      </c>
      <c r="B64" s="1218" t="s">
        <v>162</v>
      </c>
      <c r="C64" s="1218"/>
      <c r="D64" s="1222"/>
      <c r="E64" s="1222"/>
      <c r="F64" s="1222"/>
      <c r="G64" s="1222"/>
      <c r="H64" s="1222"/>
      <c r="I64" s="1219"/>
      <c r="J64" s="1219"/>
      <c r="K64" s="1219"/>
      <c r="L64" s="1219"/>
      <c r="M64" s="1219"/>
      <c r="N64" s="1219"/>
      <c r="O64" s="1219"/>
      <c r="P64" s="1219"/>
      <c r="Q64" s="1220"/>
      <c r="R64" s="1220"/>
      <c r="S64" s="1220"/>
      <c r="T64" s="1220"/>
      <c r="U64" s="1220"/>
      <c r="V64" s="1220"/>
      <c r="W64" s="1220"/>
      <c r="X64" s="1220"/>
      <c r="Y64" s="1219"/>
      <c r="Z64" s="1219"/>
      <c r="AA64" s="1220"/>
      <c r="AB64" s="1220"/>
      <c r="AC64" s="1220"/>
      <c r="AD64" s="1220"/>
      <c r="AE64" s="1219"/>
      <c r="AF64" s="1219"/>
      <c r="AG64" s="1219"/>
      <c r="AH64" s="1220"/>
      <c r="AI64" s="1220"/>
      <c r="AJ64" s="1220"/>
      <c r="AK64" s="1219"/>
      <c r="AL64" s="1219"/>
      <c r="AM64" s="1219"/>
      <c r="AN64" s="1219"/>
      <c r="AO64" s="1220"/>
      <c r="AP64" s="1220"/>
      <c r="AQ64" s="1220"/>
      <c r="AR64" s="1220"/>
      <c r="AS64" s="1220"/>
      <c r="AT64" s="1220"/>
      <c r="AU64" s="1220"/>
      <c r="AV64" s="1220"/>
      <c r="AW64" s="1258"/>
      <c r="AX64" s="1258"/>
      <c r="AY64" s="1258"/>
      <c r="AZ64" s="1220"/>
      <c r="BA64" s="1220"/>
      <c r="BB64" s="1220"/>
      <c r="BC64" s="1220"/>
      <c r="BD64" s="1220"/>
      <c r="BE64" s="1220"/>
      <c r="BF64" s="1220"/>
      <c r="BG64" s="1220"/>
      <c r="BH64" s="1220"/>
      <c r="BI64" s="1220"/>
      <c r="BJ64" s="1220"/>
      <c r="BK64" s="1220"/>
      <c r="BL64" s="1220"/>
      <c r="BM64" s="1220"/>
      <c r="BN64" s="1220"/>
      <c r="BO64" s="1220"/>
    </row>
    <row r="65" spans="1:67" ht="35.1" customHeight="1" x14ac:dyDescent="0.25">
      <c r="A65" s="3">
        <f t="shared" si="0"/>
        <v>53</v>
      </c>
      <c r="B65" s="1218" t="s">
        <v>162</v>
      </c>
      <c r="C65" s="1218"/>
      <c r="D65" s="1221"/>
      <c r="E65" s="1221"/>
      <c r="F65" s="1221"/>
      <c r="G65" s="1221"/>
      <c r="H65" s="1221"/>
      <c r="I65" s="540"/>
      <c r="J65" s="540"/>
      <c r="K65" s="540"/>
      <c r="L65" s="540"/>
      <c r="M65" s="540"/>
      <c r="N65" s="540"/>
      <c r="O65" s="540"/>
      <c r="P65" s="540"/>
      <c r="Q65" s="540"/>
      <c r="R65" s="540"/>
      <c r="S65" s="540"/>
      <c r="T65" s="540"/>
      <c r="U65" s="540"/>
      <c r="V65" s="540"/>
      <c r="W65" s="540"/>
      <c r="X65" s="540"/>
      <c r="Y65" s="540"/>
      <c r="Z65" s="540"/>
      <c r="AA65" s="540"/>
      <c r="AB65" s="540"/>
      <c r="AC65" s="540"/>
      <c r="AD65" s="540"/>
      <c r="AE65" s="540"/>
      <c r="AF65" s="540"/>
      <c r="AG65" s="540"/>
      <c r="AH65" s="540"/>
      <c r="AI65" s="540"/>
      <c r="AJ65" s="540"/>
      <c r="AK65" s="540"/>
      <c r="AL65" s="540"/>
      <c r="AM65" s="540"/>
      <c r="AN65" s="540"/>
      <c r="AO65" s="540"/>
      <c r="AP65" s="540"/>
      <c r="AQ65" s="540"/>
      <c r="AR65" s="540"/>
      <c r="AS65" s="540"/>
      <c r="AT65" s="540"/>
      <c r="AU65" s="540"/>
      <c r="AV65" s="540"/>
      <c r="AW65" s="1259"/>
      <c r="AX65" s="1259"/>
      <c r="AY65" s="1259"/>
      <c r="AZ65" s="540"/>
      <c r="BA65" s="540"/>
      <c r="BB65" s="540"/>
      <c r="BC65" s="540"/>
      <c r="BD65" s="540"/>
      <c r="BE65" s="540"/>
      <c r="BF65" s="540"/>
      <c r="BG65" s="540"/>
      <c r="BH65" s="540"/>
      <c r="BI65" s="540"/>
      <c r="BJ65" s="540"/>
      <c r="BK65" s="540"/>
      <c r="BL65" s="540"/>
      <c r="BM65" s="540"/>
      <c r="BN65" s="540"/>
      <c r="BO65" s="540"/>
    </row>
    <row r="66" spans="1:67" ht="35.1" customHeight="1" x14ac:dyDescent="0.25">
      <c r="A66" s="3">
        <f t="shared" si="0"/>
        <v>54</v>
      </c>
      <c r="B66" s="1218" t="s">
        <v>162</v>
      </c>
      <c r="C66" s="1218"/>
      <c r="D66" s="1222"/>
      <c r="E66" s="1222"/>
      <c r="F66" s="1222"/>
      <c r="G66" s="1222"/>
      <c r="H66" s="1222"/>
      <c r="I66" s="1219"/>
      <c r="J66" s="1219"/>
      <c r="K66" s="1219"/>
      <c r="L66" s="1219"/>
      <c r="M66" s="1219"/>
      <c r="N66" s="1219"/>
      <c r="O66" s="1219"/>
      <c r="P66" s="1219"/>
      <c r="Q66" s="1220"/>
      <c r="R66" s="1220"/>
      <c r="S66" s="1220"/>
      <c r="T66" s="1220"/>
      <c r="U66" s="1220"/>
      <c r="V66" s="1220"/>
      <c r="W66" s="1220"/>
      <c r="X66" s="1220"/>
      <c r="Y66" s="1219"/>
      <c r="Z66" s="1219"/>
      <c r="AA66" s="1220"/>
      <c r="AB66" s="1220"/>
      <c r="AC66" s="1220"/>
      <c r="AD66" s="1220"/>
      <c r="AE66" s="1219"/>
      <c r="AF66" s="1219"/>
      <c r="AG66" s="1219"/>
      <c r="AH66" s="1220"/>
      <c r="AI66" s="1220"/>
      <c r="AJ66" s="1220"/>
      <c r="AK66" s="1219"/>
      <c r="AL66" s="1219"/>
      <c r="AM66" s="1219"/>
      <c r="AN66" s="1219"/>
      <c r="AO66" s="1220"/>
      <c r="AP66" s="1220"/>
      <c r="AQ66" s="1220"/>
      <c r="AR66" s="1220"/>
      <c r="AS66" s="1220"/>
      <c r="AT66" s="1220"/>
      <c r="AU66" s="1220"/>
      <c r="AV66" s="1220"/>
      <c r="AW66" s="1258"/>
      <c r="AX66" s="1258"/>
      <c r="AY66" s="1258"/>
      <c r="AZ66" s="1220"/>
      <c r="BA66" s="1220"/>
      <c r="BB66" s="1220"/>
      <c r="BC66" s="1220"/>
      <c r="BD66" s="1220"/>
      <c r="BE66" s="1220"/>
      <c r="BF66" s="1220"/>
      <c r="BG66" s="1220"/>
      <c r="BH66" s="1220"/>
      <c r="BI66" s="1220"/>
      <c r="BJ66" s="1220"/>
      <c r="BK66" s="1220"/>
      <c r="BL66" s="1220"/>
      <c r="BM66" s="1220"/>
      <c r="BN66" s="1220"/>
      <c r="BO66" s="1220"/>
    </row>
    <row r="67" spans="1:67" ht="35.1" customHeight="1" x14ac:dyDescent="0.25">
      <c r="A67" s="3">
        <f t="shared" si="0"/>
        <v>55</v>
      </c>
      <c r="B67" s="1218" t="s">
        <v>162</v>
      </c>
      <c r="C67" s="1218"/>
      <c r="D67" s="1221"/>
      <c r="E67" s="1221"/>
      <c r="F67" s="1221"/>
      <c r="G67" s="1221"/>
      <c r="H67" s="1221"/>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0"/>
      <c r="AF67" s="540"/>
      <c r="AG67" s="540"/>
      <c r="AH67" s="540"/>
      <c r="AI67" s="540"/>
      <c r="AJ67" s="540"/>
      <c r="AK67" s="540"/>
      <c r="AL67" s="540"/>
      <c r="AM67" s="540"/>
      <c r="AN67" s="540"/>
      <c r="AO67" s="540"/>
      <c r="AP67" s="540"/>
      <c r="AQ67" s="540"/>
      <c r="AR67" s="540"/>
      <c r="AS67" s="540"/>
      <c r="AT67" s="540"/>
      <c r="AU67" s="540"/>
      <c r="AV67" s="540"/>
      <c r="AW67" s="1259"/>
      <c r="AX67" s="1259"/>
      <c r="AY67" s="1259"/>
      <c r="AZ67" s="540"/>
      <c r="BA67" s="540"/>
      <c r="BB67" s="540"/>
      <c r="BC67" s="540"/>
      <c r="BD67" s="540"/>
      <c r="BE67" s="540"/>
      <c r="BF67" s="540"/>
      <c r="BG67" s="540"/>
      <c r="BH67" s="540"/>
      <c r="BI67" s="540"/>
      <c r="BJ67" s="540"/>
      <c r="BK67" s="540"/>
      <c r="BL67" s="540"/>
      <c r="BM67" s="540"/>
      <c r="BN67" s="540"/>
      <c r="BO67" s="540"/>
    </row>
    <row r="68" spans="1:67" ht="35.1" customHeight="1" x14ac:dyDescent="0.25">
      <c r="A68" s="3">
        <f t="shared" si="0"/>
        <v>56</v>
      </c>
      <c r="B68" s="1235" t="s">
        <v>162</v>
      </c>
      <c r="C68" s="1235"/>
      <c r="D68" s="1222"/>
      <c r="E68" s="1222"/>
      <c r="F68" s="1222"/>
      <c r="G68" s="1222"/>
      <c r="H68" s="1222"/>
      <c r="I68" s="1219"/>
      <c r="J68" s="1219"/>
      <c r="K68" s="1219"/>
      <c r="L68" s="1219"/>
      <c r="M68" s="1219"/>
      <c r="N68" s="1219"/>
      <c r="O68" s="1219"/>
      <c r="P68" s="1219"/>
      <c r="Q68" s="1220"/>
      <c r="R68" s="1220"/>
      <c r="S68" s="1220"/>
      <c r="T68" s="1220"/>
      <c r="U68" s="1220"/>
      <c r="V68" s="1220"/>
      <c r="W68" s="1220"/>
      <c r="X68" s="1220"/>
      <c r="Y68" s="1219"/>
      <c r="Z68" s="1219"/>
      <c r="AA68" s="1220"/>
      <c r="AB68" s="1220"/>
      <c r="AC68" s="1220"/>
      <c r="AD68" s="1220"/>
      <c r="AE68" s="1219"/>
      <c r="AF68" s="1219"/>
      <c r="AG68" s="1219"/>
      <c r="AH68" s="1220"/>
      <c r="AI68" s="1220"/>
      <c r="AJ68" s="1220"/>
      <c r="AK68" s="1219"/>
      <c r="AL68" s="1219"/>
      <c r="AM68" s="1219"/>
      <c r="AN68" s="1219"/>
      <c r="AO68" s="1220"/>
      <c r="AP68" s="1220"/>
      <c r="AQ68" s="1220"/>
      <c r="AR68" s="1220"/>
      <c r="AS68" s="1220"/>
      <c r="AT68" s="1220"/>
      <c r="AU68" s="1220"/>
      <c r="AV68" s="1220"/>
      <c r="AW68" s="1258"/>
      <c r="AX68" s="1258"/>
      <c r="AY68" s="1258"/>
      <c r="AZ68" s="1220"/>
      <c r="BA68" s="1220"/>
      <c r="BB68" s="1220"/>
      <c r="BC68" s="1220"/>
      <c r="BD68" s="1220"/>
      <c r="BE68" s="1220"/>
      <c r="BF68" s="1220"/>
      <c r="BG68" s="1220"/>
      <c r="BH68" s="1220"/>
      <c r="BI68" s="1220"/>
      <c r="BJ68" s="1220"/>
      <c r="BK68" s="1220"/>
      <c r="BL68" s="1220"/>
      <c r="BM68" s="1220"/>
      <c r="BN68" s="1220"/>
      <c r="BO68" s="1220"/>
    </row>
    <row r="69" spans="1:67" ht="35.1" customHeight="1" x14ac:dyDescent="0.25">
      <c r="A69" s="3">
        <f t="shared" si="0"/>
        <v>57</v>
      </c>
      <c r="B69" s="1218" t="s">
        <v>162</v>
      </c>
      <c r="C69" s="1218"/>
      <c r="D69" s="1221"/>
      <c r="E69" s="1221"/>
      <c r="F69" s="1221"/>
      <c r="G69" s="1221"/>
      <c r="H69" s="1221"/>
      <c r="I69" s="540"/>
      <c r="J69" s="540"/>
      <c r="K69" s="540"/>
      <c r="L69" s="540"/>
      <c r="M69" s="540"/>
      <c r="N69" s="540"/>
      <c r="O69" s="540"/>
      <c r="P69" s="540"/>
      <c r="Q69" s="540"/>
      <c r="R69" s="540"/>
      <c r="S69" s="540"/>
      <c r="T69" s="540"/>
      <c r="U69" s="540"/>
      <c r="V69" s="540"/>
      <c r="W69" s="540"/>
      <c r="X69" s="540"/>
      <c r="Y69" s="540"/>
      <c r="Z69" s="540"/>
      <c r="AA69" s="540"/>
      <c r="AB69" s="540"/>
      <c r="AC69" s="540"/>
      <c r="AD69" s="540"/>
      <c r="AE69" s="540"/>
      <c r="AF69" s="540"/>
      <c r="AG69" s="540"/>
      <c r="AH69" s="540"/>
      <c r="AI69" s="540"/>
      <c r="AJ69" s="540"/>
      <c r="AK69" s="540"/>
      <c r="AL69" s="540"/>
      <c r="AM69" s="540"/>
      <c r="AN69" s="540"/>
      <c r="AO69" s="540"/>
      <c r="AP69" s="540"/>
      <c r="AQ69" s="540"/>
      <c r="AR69" s="540"/>
      <c r="AS69" s="540"/>
      <c r="AT69" s="540"/>
      <c r="AU69" s="540"/>
      <c r="AV69" s="540"/>
      <c r="AW69" s="1259"/>
      <c r="AX69" s="1259"/>
      <c r="AY69" s="1259"/>
      <c r="AZ69" s="540"/>
      <c r="BA69" s="540"/>
      <c r="BB69" s="540"/>
      <c r="BC69" s="540"/>
      <c r="BD69" s="540"/>
      <c r="BE69" s="540"/>
      <c r="BF69" s="540"/>
      <c r="BG69" s="540"/>
      <c r="BH69" s="540"/>
      <c r="BI69" s="540"/>
      <c r="BJ69" s="540"/>
      <c r="BK69" s="540"/>
      <c r="BL69" s="540"/>
      <c r="BM69" s="540"/>
      <c r="BN69" s="540"/>
      <c r="BO69" s="540"/>
    </row>
    <row r="70" spans="1:67" ht="35.1" customHeight="1" x14ac:dyDescent="0.25">
      <c r="A70" s="3">
        <f t="shared" si="0"/>
        <v>58</v>
      </c>
      <c r="B70" s="1218" t="s">
        <v>162</v>
      </c>
      <c r="C70" s="1218"/>
      <c r="D70" s="1222"/>
      <c r="E70" s="1222"/>
      <c r="F70" s="1222"/>
      <c r="G70" s="1222"/>
      <c r="H70" s="1222"/>
      <c r="I70" s="1219"/>
      <c r="J70" s="1219"/>
      <c r="K70" s="1219"/>
      <c r="L70" s="1219"/>
      <c r="M70" s="1219"/>
      <c r="N70" s="1219"/>
      <c r="O70" s="1219"/>
      <c r="P70" s="1219"/>
      <c r="Q70" s="1220"/>
      <c r="R70" s="1220"/>
      <c r="S70" s="1220"/>
      <c r="T70" s="1220"/>
      <c r="U70" s="1220"/>
      <c r="V70" s="1220"/>
      <c r="W70" s="1220"/>
      <c r="X70" s="1220"/>
      <c r="Y70" s="1219"/>
      <c r="Z70" s="1219"/>
      <c r="AA70" s="1220"/>
      <c r="AB70" s="1220"/>
      <c r="AC70" s="1220"/>
      <c r="AD70" s="1220"/>
      <c r="AE70" s="1219"/>
      <c r="AF70" s="1219"/>
      <c r="AG70" s="1219"/>
      <c r="AH70" s="1220"/>
      <c r="AI70" s="1220"/>
      <c r="AJ70" s="1220"/>
      <c r="AK70" s="1219"/>
      <c r="AL70" s="1219"/>
      <c r="AM70" s="1219"/>
      <c r="AN70" s="1219"/>
      <c r="AO70" s="1220"/>
      <c r="AP70" s="1220"/>
      <c r="AQ70" s="1220"/>
      <c r="AR70" s="1220"/>
      <c r="AS70" s="1220"/>
      <c r="AT70" s="1220"/>
      <c r="AU70" s="1220"/>
      <c r="AV70" s="1220"/>
      <c r="AW70" s="1258"/>
      <c r="AX70" s="1258"/>
      <c r="AY70" s="1258"/>
      <c r="AZ70" s="1220"/>
      <c r="BA70" s="1220"/>
      <c r="BB70" s="1220"/>
      <c r="BC70" s="1220"/>
      <c r="BD70" s="1220"/>
      <c r="BE70" s="1220"/>
      <c r="BF70" s="1220"/>
      <c r="BG70" s="1220"/>
      <c r="BH70" s="1220"/>
      <c r="BI70" s="1220"/>
      <c r="BJ70" s="1220"/>
      <c r="BK70" s="1220"/>
      <c r="BL70" s="1220"/>
      <c r="BM70" s="1220"/>
      <c r="BN70" s="1220"/>
      <c r="BO70" s="1220"/>
    </row>
    <row r="71" spans="1:67" ht="35.1" customHeight="1" x14ac:dyDescent="0.25">
      <c r="A71" s="3">
        <f t="shared" si="0"/>
        <v>59</v>
      </c>
      <c r="B71" s="1218" t="s">
        <v>162</v>
      </c>
      <c r="C71" s="1218"/>
      <c r="D71" s="1221"/>
      <c r="E71" s="1221"/>
      <c r="F71" s="1221"/>
      <c r="G71" s="1221"/>
      <c r="H71" s="1221"/>
      <c r="I71" s="540"/>
      <c r="J71" s="540"/>
      <c r="K71" s="540"/>
      <c r="L71" s="540"/>
      <c r="M71" s="540"/>
      <c r="N71" s="540"/>
      <c r="O71" s="540"/>
      <c r="P71" s="540"/>
      <c r="Q71" s="540"/>
      <c r="R71" s="540"/>
      <c r="S71" s="540"/>
      <c r="T71" s="540"/>
      <c r="U71" s="540"/>
      <c r="V71" s="540"/>
      <c r="W71" s="540"/>
      <c r="X71" s="540"/>
      <c r="Y71" s="540"/>
      <c r="Z71" s="540"/>
      <c r="AA71" s="540"/>
      <c r="AB71" s="540"/>
      <c r="AC71" s="540"/>
      <c r="AD71" s="540"/>
      <c r="AE71" s="540"/>
      <c r="AF71" s="540"/>
      <c r="AG71" s="540"/>
      <c r="AH71" s="540"/>
      <c r="AI71" s="540"/>
      <c r="AJ71" s="540"/>
      <c r="AK71" s="540"/>
      <c r="AL71" s="540"/>
      <c r="AM71" s="540"/>
      <c r="AN71" s="540"/>
      <c r="AO71" s="540"/>
      <c r="AP71" s="540"/>
      <c r="AQ71" s="540"/>
      <c r="AR71" s="540"/>
      <c r="AS71" s="540"/>
      <c r="AT71" s="540"/>
      <c r="AU71" s="540"/>
      <c r="AV71" s="540"/>
      <c r="AW71" s="1259"/>
      <c r="AX71" s="1259"/>
      <c r="AY71" s="1259"/>
      <c r="AZ71" s="540"/>
      <c r="BA71" s="540"/>
      <c r="BB71" s="540"/>
      <c r="BC71" s="540"/>
      <c r="BD71" s="540"/>
      <c r="BE71" s="540"/>
      <c r="BF71" s="540"/>
      <c r="BG71" s="540"/>
      <c r="BH71" s="540"/>
      <c r="BI71" s="540"/>
      <c r="BJ71" s="540"/>
      <c r="BK71" s="540"/>
      <c r="BL71" s="540"/>
      <c r="BM71" s="540"/>
      <c r="BN71" s="540"/>
      <c r="BO71" s="540"/>
    </row>
    <row r="72" spans="1:67" ht="35.1" customHeight="1" x14ac:dyDescent="0.25">
      <c r="A72" s="3">
        <f t="shared" si="0"/>
        <v>60</v>
      </c>
      <c r="B72" s="1218" t="s">
        <v>162</v>
      </c>
      <c r="C72" s="1218"/>
      <c r="D72" s="1222"/>
      <c r="E72" s="1222"/>
      <c r="F72" s="1222"/>
      <c r="G72" s="1222"/>
      <c r="H72" s="1222"/>
      <c r="I72" s="1219"/>
      <c r="J72" s="1219"/>
      <c r="K72" s="1219"/>
      <c r="L72" s="1219"/>
      <c r="M72" s="1219"/>
      <c r="N72" s="1219"/>
      <c r="O72" s="1219"/>
      <c r="P72" s="1219"/>
      <c r="Q72" s="1220"/>
      <c r="R72" s="1220"/>
      <c r="S72" s="1220"/>
      <c r="T72" s="1220"/>
      <c r="U72" s="1220"/>
      <c r="V72" s="1220"/>
      <c r="W72" s="1220"/>
      <c r="X72" s="1220"/>
      <c r="Y72" s="1219"/>
      <c r="Z72" s="1219"/>
      <c r="AA72" s="1220"/>
      <c r="AB72" s="1220"/>
      <c r="AC72" s="1220"/>
      <c r="AD72" s="1220"/>
      <c r="AE72" s="1219"/>
      <c r="AF72" s="1219"/>
      <c r="AG72" s="1219"/>
      <c r="AH72" s="1220"/>
      <c r="AI72" s="1220"/>
      <c r="AJ72" s="1220"/>
      <c r="AK72" s="1219"/>
      <c r="AL72" s="1219"/>
      <c r="AM72" s="1219"/>
      <c r="AN72" s="1219"/>
      <c r="AO72" s="1220"/>
      <c r="AP72" s="1220"/>
      <c r="AQ72" s="1220"/>
      <c r="AR72" s="1220"/>
      <c r="AS72" s="1220"/>
      <c r="AT72" s="1220"/>
      <c r="AU72" s="1220"/>
      <c r="AV72" s="1220"/>
      <c r="AW72" s="1258"/>
      <c r="AX72" s="1258"/>
      <c r="AY72" s="1258"/>
      <c r="AZ72" s="1220"/>
      <c r="BA72" s="1220"/>
      <c r="BB72" s="1220"/>
      <c r="BC72" s="1220"/>
      <c r="BD72" s="1220"/>
      <c r="BE72" s="1220"/>
      <c r="BF72" s="1220"/>
      <c r="BG72" s="1220"/>
      <c r="BH72" s="1220"/>
      <c r="BI72" s="1220"/>
      <c r="BJ72" s="1220"/>
      <c r="BK72" s="1220"/>
      <c r="BL72" s="1220"/>
      <c r="BM72" s="1220"/>
      <c r="BN72" s="1220"/>
      <c r="BO72" s="1220"/>
    </row>
    <row r="73" spans="1:67" ht="35.1" customHeight="1" x14ac:dyDescent="0.25">
      <c r="A73" s="3">
        <f t="shared" si="0"/>
        <v>61</v>
      </c>
      <c r="B73" s="1218" t="s">
        <v>162</v>
      </c>
      <c r="C73" s="1218"/>
      <c r="D73" s="1221"/>
      <c r="E73" s="1221"/>
      <c r="F73" s="1221"/>
      <c r="G73" s="1221"/>
      <c r="H73" s="1221"/>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0"/>
      <c r="AL73" s="540"/>
      <c r="AM73" s="540"/>
      <c r="AN73" s="540"/>
      <c r="AO73" s="540"/>
      <c r="AP73" s="540"/>
      <c r="AQ73" s="540"/>
      <c r="AR73" s="540"/>
      <c r="AS73" s="540"/>
      <c r="AT73" s="540"/>
      <c r="AU73" s="540"/>
      <c r="AV73" s="540"/>
      <c r="AW73" s="1259"/>
      <c r="AX73" s="1259"/>
      <c r="AY73" s="1259"/>
      <c r="AZ73" s="540"/>
      <c r="BA73" s="540"/>
      <c r="BB73" s="540"/>
      <c r="BC73" s="540"/>
      <c r="BD73" s="540"/>
      <c r="BE73" s="540"/>
      <c r="BF73" s="540"/>
      <c r="BG73" s="540"/>
      <c r="BH73" s="540"/>
      <c r="BI73" s="540"/>
      <c r="BJ73" s="540"/>
      <c r="BK73" s="540"/>
      <c r="BL73" s="540"/>
      <c r="BM73" s="540"/>
      <c r="BN73" s="540"/>
      <c r="BO73" s="540"/>
    </row>
    <row r="74" spans="1:67" ht="35.1" customHeight="1" x14ac:dyDescent="0.25">
      <c r="A74" s="3">
        <f t="shared" si="0"/>
        <v>62</v>
      </c>
      <c r="B74" s="1218" t="s">
        <v>162</v>
      </c>
      <c r="C74" s="1218"/>
      <c r="D74" s="1222"/>
      <c r="E74" s="1222"/>
      <c r="F74" s="1222"/>
      <c r="G74" s="1222"/>
      <c r="H74" s="1222"/>
      <c r="I74" s="1219"/>
      <c r="J74" s="1219"/>
      <c r="K74" s="1219"/>
      <c r="L74" s="1219"/>
      <c r="M74" s="1219"/>
      <c r="N74" s="1219"/>
      <c r="O74" s="1219"/>
      <c r="P74" s="1219"/>
      <c r="Q74" s="1220"/>
      <c r="R74" s="1220"/>
      <c r="S74" s="1220"/>
      <c r="T74" s="1220"/>
      <c r="U74" s="1220"/>
      <c r="V74" s="1220"/>
      <c r="W74" s="1220"/>
      <c r="X74" s="1220"/>
      <c r="Y74" s="1219"/>
      <c r="Z74" s="1219"/>
      <c r="AA74" s="1220"/>
      <c r="AB74" s="1220"/>
      <c r="AC74" s="1220"/>
      <c r="AD74" s="1220"/>
      <c r="AE74" s="1219"/>
      <c r="AF74" s="1219"/>
      <c r="AG74" s="1219"/>
      <c r="AH74" s="1220"/>
      <c r="AI74" s="1220"/>
      <c r="AJ74" s="1220"/>
      <c r="AK74" s="1219"/>
      <c r="AL74" s="1219"/>
      <c r="AM74" s="1219"/>
      <c r="AN74" s="1219"/>
      <c r="AO74" s="1220"/>
      <c r="AP74" s="1220"/>
      <c r="AQ74" s="1220"/>
      <c r="AR74" s="1220"/>
      <c r="AS74" s="1220"/>
      <c r="AT74" s="1220"/>
      <c r="AU74" s="1220"/>
      <c r="AV74" s="1220"/>
      <c r="AW74" s="1258"/>
      <c r="AX74" s="1258"/>
      <c r="AY74" s="1258"/>
      <c r="AZ74" s="1220"/>
      <c r="BA74" s="1220"/>
      <c r="BB74" s="1220"/>
      <c r="BC74" s="1220"/>
      <c r="BD74" s="1220"/>
      <c r="BE74" s="1220"/>
      <c r="BF74" s="1220"/>
      <c r="BG74" s="1220"/>
      <c r="BH74" s="1220"/>
      <c r="BI74" s="1220"/>
      <c r="BJ74" s="1220"/>
      <c r="BK74" s="1220"/>
      <c r="BL74" s="1220"/>
      <c r="BM74" s="1220"/>
      <c r="BN74" s="1220"/>
      <c r="BO74" s="1220"/>
    </row>
    <row r="75" spans="1:67" ht="35.1" customHeight="1" x14ac:dyDescent="0.25">
      <c r="A75" s="3">
        <f t="shared" si="0"/>
        <v>63</v>
      </c>
      <c r="B75" s="1218" t="s">
        <v>162</v>
      </c>
      <c r="C75" s="1218"/>
      <c r="D75" s="1221"/>
      <c r="E75" s="1221"/>
      <c r="F75" s="1221"/>
      <c r="G75" s="1221"/>
      <c r="H75" s="1221"/>
      <c r="I75" s="540"/>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1259"/>
      <c r="AX75" s="1259"/>
      <c r="AY75" s="1259"/>
      <c r="AZ75" s="540"/>
      <c r="BA75" s="540"/>
      <c r="BB75" s="540"/>
      <c r="BC75" s="540"/>
      <c r="BD75" s="540"/>
      <c r="BE75" s="540"/>
      <c r="BF75" s="540"/>
      <c r="BG75" s="540"/>
      <c r="BH75" s="540"/>
      <c r="BI75" s="540"/>
      <c r="BJ75" s="540"/>
      <c r="BK75" s="540"/>
      <c r="BL75" s="540"/>
      <c r="BM75" s="540"/>
      <c r="BN75" s="540"/>
      <c r="BO75" s="540"/>
    </row>
    <row r="76" spans="1:67" ht="35.1" customHeight="1" x14ac:dyDescent="0.25">
      <c r="A76" s="3">
        <f t="shared" si="0"/>
        <v>64</v>
      </c>
      <c r="B76" s="1218" t="s">
        <v>162</v>
      </c>
      <c r="C76" s="1218"/>
      <c r="D76" s="1222"/>
      <c r="E76" s="1222"/>
      <c r="F76" s="1222"/>
      <c r="G76" s="1222"/>
      <c r="H76" s="1222"/>
      <c r="I76" s="1219"/>
      <c r="J76" s="1219"/>
      <c r="K76" s="1219"/>
      <c r="L76" s="1219"/>
      <c r="M76" s="1219"/>
      <c r="N76" s="1219"/>
      <c r="O76" s="1219"/>
      <c r="P76" s="1219"/>
      <c r="Q76" s="1220"/>
      <c r="R76" s="1220"/>
      <c r="S76" s="1220"/>
      <c r="T76" s="1220"/>
      <c r="U76" s="1220"/>
      <c r="V76" s="1220"/>
      <c r="W76" s="1220"/>
      <c r="X76" s="1220"/>
      <c r="Y76" s="1219"/>
      <c r="Z76" s="1219"/>
      <c r="AA76" s="1220"/>
      <c r="AB76" s="1220"/>
      <c r="AC76" s="1220"/>
      <c r="AD76" s="1220"/>
      <c r="AE76" s="1219"/>
      <c r="AF76" s="1219"/>
      <c r="AG76" s="1219"/>
      <c r="AH76" s="1220"/>
      <c r="AI76" s="1220"/>
      <c r="AJ76" s="1220"/>
      <c r="AK76" s="1219"/>
      <c r="AL76" s="1219"/>
      <c r="AM76" s="1219"/>
      <c r="AN76" s="1219"/>
      <c r="AO76" s="1220"/>
      <c r="AP76" s="1220"/>
      <c r="AQ76" s="1220"/>
      <c r="AR76" s="1220"/>
      <c r="AS76" s="1220"/>
      <c r="AT76" s="1220"/>
      <c r="AU76" s="1220"/>
      <c r="AV76" s="1220"/>
      <c r="AW76" s="1258"/>
      <c r="AX76" s="1258"/>
      <c r="AY76" s="1258"/>
      <c r="AZ76" s="1220"/>
      <c r="BA76" s="1220"/>
      <c r="BB76" s="1220"/>
      <c r="BC76" s="1220"/>
      <c r="BD76" s="1220"/>
      <c r="BE76" s="1220"/>
      <c r="BF76" s="1220"/>
      <c r="BG76" s="1220"/>
      <c r="BH76" s="1220"/>
      <c r="BI76" s="1220"/>
      <c r="BJ76" s="1220"/>
      <c r="BK76" s="1220"/>
      <c r="BL76" s="1220"/>
      <c r="BM76" s="1220"/>
      <c r="BN76" s="1220"/>
      <c r="BO76" s="1220"/>
    </row>
    <row r="77" spans="1:67" ht="35.1" customHeight="1" x14ac:dyDescent="0.25">
      <c r="A77" s="3">
        <f t="shared" si="0"/>
        <v>65</v>
      </c>
      <c r="B77" s="1218" t="s">
        <v>162</v>
      </c>
      <c r="C77" s="1218"/>
      <c r="D77" s="1221"/>
      <c r="E77" s="1221"/>
      <c r="F77" s="1221"/>
      <c r="G77" s="1221"/>
      <c r="H77" s="1221"/>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0"/>
      <c r="AL77" s="540"/>
      <c r="AM77" s="540"/>
      <c r="AN77" s="540"/>
      <c r="AO77" s="540"/>
      <c r="AP77" s="540"/>
      <c r="AQ77" s="540"/>
      <c r="AR77" s="540"/>
      <c r="AS77" s="540"/>
      <c r="AT77" s="540"/>
      <c r="AU77" s="540"/>
      <c r="AV77" s="540"/>
      <c r="AW77" s="1259"/>
      <c r="AX77" s="1259"/>
      <c r="AY77" s="1259"/>
      <c r="AZ77" s="540"/>
      <c r="BA77" s="540"/>
      <c r="BB77" s="540"/>
      <c r="BC77" s="540"/>
      <c r="BD77" s="540"/>
      <c r="BE77" s="540"/>
      <c r="BF77" s="540"/>
      <c r="BG77" s="540"/>
      <c r="BH77" s="540"/>
      <c r="BI77" s="540"/>
      <c r="BJ77" s="540"/>
      <c r="BK77" s="540"/>
      <c r="BL77" s="540"/>
      <c r="BM77" s="540"/>
      <c r="BN77" s="540"/>
      <c r="BO77" s="540"/>
    </row>
    <row r="78" spans="1:67" ht="35.1" customHeight="1" x14ac:dyDescent="0.25">
      <c r="A78" s="3">
        <f t="shared" ref="A78:A129" si="1">+ROW(A66)</f>
        <v>66</v>
      </c>
      <c r="B78" s="1218" t="s">
        <v>162</v>
      </c>
      <c r="C78" s="1218"/>
      <c r="D78" s="1222"/>
      <c r="E78" s="1222"/>
      <c r="F78" s="1222"/>
      <c r="G78" s="1222"/>
      <c r="H78" s="1222"/>
      <c r="I78" s="1219"/>
      <c r="J78" s="1219"/>
      <c r="K78" s="1219"/>
      <c r="L78" s="1219"/>
      <c r="M78" s="1219"/>
      <c r="N78" s="1219"/>
      <c r="O78" s="1219"/>
      <c r="P78" s="1219"/>
      <c r="Q78" s="1220"/>
      <c r="R78" s="1220"/>
      <c r="S78" s="1220"/>
      <c r="T78" s="1220"/>
      <c r="U78" s="1220"/>
      <c r="V78" s="1220"/>
      <c r="W78" s="1220"/>
      <c r="X78" s="1220"/>
      <c r="Y78" s="1219"/>
      <c r="Z78" s="1219"/>
      <c r="AA78" s="1220"/>
      <c r="AB78" s="1220"/>
      <c r="AC78" s="1220"/>
      <c r="AD78" s="1220"/>
      <c r="AE78" s="1219"/>
      <c r="AF78" s="1219"/>
      <c r="AG78" s="1219"/>
      <c r="AH78" s="1220"/>
      <c r="AI78" s="1220"/>
      <c r="AJ78" s="1220"/>
      <c r="AK78" s="1219"/>
      <c r="AL78" s="1219"/>
      <c r="AM78" s="1219"/>
      <c r="AN78" s="1219"/>
      <c r="AO78" s="1220"/>
      <c r="AP78" s="1220"/>
      <c r="AQ78" s="1220"/>
      <c r="AR78" s="1220"/>
      <c r="AS78" s="1220"/>
      <c r="AT78" s="1220"/>
      <c r="AU78" s="1220"/>
      <c r="AV78" s="1220"/>
      <c r="AW78" s="1258"/>
      <c r="AX78" s="1258"/>
      <c r="AY78" s="1258"/>
      <c r="AZ78" s="1220"/>
      <c r="BA78" s="1220"/>
      <c r="BB78" s="1220"/>
      <c r="BC78" s="1220"/>
      <c r="BD78" s="1220"/>
      <c r="BE78" s="1220"/>
      <c r="BF78" s="1220"/>
      <c r="BG78" s="1220"/>
      <c r="BH78" s="1220"/>
      <c r="BI78" s="1220"/>
      <c r="BJ78" s="1220"/>
      <c r="BK78" s="1220"/>
      <c r="BL78" s="1220"/>
      <c r="BM78" s="1220"/>
      <c r="BN78" s="1220"/>
      <c r="BO78" s="1220"/>
    </row>
    <row r="79" spans="1:67" ht="35.1" customHeight="1" x14ac:dyDescent="0.25">
      <c r="A79" s="3">
        <f t="shared" si="1"/>
        <v>67</v>
      </c>
      <c r="B79" s="1218" t="s">
        <v>162</v>
      </c>
      <c r="C79" s="1218"/>
      <c r="D79" s="1221"/>
      <c r="E79" s="1221"/>
      <c r="F79" s="1221"/>
      <c r="G79" s="1221"/>
      <c r="H79" s="1221"/>
      <c r="I79" s="540"/>
      <c r="J79" s="540"/>
      <c r="K79" s="540"/>
      <c r="L79" s="540"/>
      <c r="M79" s="540"/>
      <c r="N79" s="540"/>
      <c r="O79" s="540"/>
      <c r="P79" s="540"/>
      <c r="Q79" s="540"/>
      <c r="R79" s="540"/>
      <c r="S79" s="540"/>
      <c r="T79" s="540"/>
      <c r="U79" s="540"/>
      <c r="V79" s="540"/>
      <c r="W79" s="540"/>
      <c r="X79" s="540"/>
      <c r="Y79" s="540"/>
      <c r="Z79" s="540"/>
      <c r="AA79" s="540"/>
      <c r="AB79" s="540"/>
      <c r="AC79" s="540"/>
      <c r="AD79" s="540"/>
      <c r="AE79" s="540"/>
      <c r="AF79" s="540"/>
      <c r="AG79" s="540"/>
      <c r="AH79" s="540"/>
      <c r="AI79" s="540"/>
      <c r="AJ79" s="540"/>
      <c r="AK79" s="540"/>
      <c r="AL79" s="540"/>
      <c r="AM79" s="540"/>
      <c r="AN79" s="540"/>
      <c r="AO79" s="540"/>
      <c r="AP79" s="540"/>
      <c r="AQ79" s="540"/>
      <c r="AR79" s="540"/>
      <c r="AS79" s="540"/>
      <c r="AT79" s="540"/>
      <c r="AU79" s="540"/>
      <c r="AV79" s="540"/>
      <c r="AW79" s="1259"/>
      <c r="AX79" s="1259"/>
      <c r="AY79" s="1259"/>
      <c r="AZ79" s="540"/>
      <c r="BA79" s="540"/>
      <c r="BB79" s="540"/>
      <c r="BC79" s="540"/>
      <c r="BD79" s="540"/>
      <c r="BE79" s="540"/>
      <c r="BF79" s="540"/>
      <c r="BG79" s="540"/>
      <c r="BH79" s="540"/>
      <c r="BI79" s="540"/>
      <c r="BJ79" s="540"/>
      <c r="BK79" s="540"/>
      <c r="BL79" s="540"/>
      <c r="BM79" s="540"/>
      <c r="BN79" s="540"/>
      <c r="BO79" s="540"/>
    </row>
    <row r="80" spans="1:67" ht="35.1" customHeight="1" x14ac:dyDescent="0.25">
      <c r="A80" s="3">
        <f t="shared" si="1"/>
        <v>68</v>
      </c>
      <c r="B80" s="1218" t="s">
        <v>162</v>
      </c>
      <c r="C80" s="1218"/>
      <c r="D80" s="1222"/>
      <c r="E80" s="1222"/>
      <c r="F80" s="1222"/>
      <c r="G80" s="1222"/>
      <c r="H80" s="1222"/>
      <c r="I80" s="1219"/>
      <c r="J80" s="1219"/>
      <c r="K80" s="1219"/>
      <c r="L80" s="1219"/>
      <c r="M80" s="1219"/>
      <c r="N80" s="1219"/>
      <c r="O80" s="1219"/>
      <c r="P80" s="1219"/>
      <c r="Q80" s="1220"/>
      <c r="R80" s="1220"/>
      <c r="S80" s="1220"/>
      <c r="T80" s="1220"/>
      <c r="U80" s="1220"/>
      <c r="V80" s="1220"/>
      <c r="W80" s="1220"/>
      <c r="X80" s="1220"/>
      <c r="Y80" s="1219"/>
      <c r="Z80" s="1219"/>
      <c r="AA80" s="1220"/>
      <c r="AB80" s="1220"/>
      <c r="AC80" s="1220"/>
      <c r="AD80" s="1220"/>
      <c r="AE80" s="1219"/>
      <c r="AF80" s="1219"/>
      <c r="AG80" s="1219"/>
      <c r="AH80" s="1220"/>
      <c r="AI80" s="1220"/>
      <c r="AJ80" s="1220"/>
      <c r="AK80" s="1219"/>
      <c r="AL80" s="1219"/>
      <c r="AM80" s="1219"/>
      <c r="AN80" s="1219"/>
      <c r="AO80" s="1220"/>
      <c r="AP80" s="1220"/>
      <c r="AQ80" s="1220"/>
      <c r="AR80" s="1220"/>
      <c r="AS80" s="1220"/>
      <c r="AT80" s="1220"/>
      <c r="AU80" s="1220"/>
      <c r="AV80" s="1220"/>
      <c r="AW80" s="1258"/>
      <c r="AX80" s="1258"/>
      <c r="AY80" s="1258"/>
      <c r="AZ80" s="1220"/>
      <c r="BA80" s="1220"/>
      <c r="BB80" s="1220"/>
      <c r="BC80" s="1220"/>
      <c r="BD80" s="1220"/>
      <c r="BE80" s="1220"/>
      <c r="BF80" s="1220"/>
      <c r="BG80" s="1220"/>
      <c r="BH80" s="1220"/>
      <c r="BI80" s="1220"/>
      <c r="BJ80" s="1220"/>
      <c r="BK80" s="1220"/>
      <c r="BL80" s="1220"/>
      <c r="BM80" s="1220"/>
      <c r="BN80" s="1220"/>
      <c r="BO80" s="1220"/>
    </row>
    <row r="81" spans="1:67" ht="35.1" customHeight="1" x14ac:dyDescent="0.25">
      <c r="A81" s="3">
        <f t="shared" si="1"/>
        <v>69</v>
      </c>
      <c r="B81" s="1218" t="s">
        <v>162</v>
      </c>
      <c r="C81" s="1218"/>
      <c r="D81" s="1221"/>
      <c r="E81" s="1221"/>
      <c r="F81" s="1221"/>
      <c r="G81" s="1221"/>
      <c r="H81" s="1221"/>
      <c r="I81" s="540"/>
      <c r="J81" s="540"/>
      <c r="K81" s="540"/>
      <c r="L81" s="540"/>
      <c r="M81" s="540"/>
      <c r="N81" s="540"/>
      <c r="O81" s="540"/>
      <c r="P81" s="540"/>
      <c r="Q81" s="540"/>
      <c r="R81" s="540"/>
      <c r="S81" s="540"/>
      <c r="T81" s="540"/>
      <c r="U81" s="540"/>
      <c r="V81" s="540"/>
      <c r="W81" s="540"/>
      <c r="X81" s="540"/>
      <c r="Y81" s="540"/>
      <c r="Z81" s="540"/>
      <c r="AA81" s="540"/>
      <c r="AB81" s="540"/>
      <c r="AC81" s="540"/>
      <c r="AD81" s="540"/>
      <c r="AE81" s="540"/>
      <c r="AF81" s="540"/>
      <c r="AG81" s="540"/>
      <c r="AH81" s="540"/>
      <c r="AI81" s="540"/>
      <c r="AJ81" s="540"/>
      <c r="AK81" s="540"/>
      <c r="AL81" s="540"/>
      <c r="AM81" s="540"/>
      <c r="AN81" s="540"/>
      <c r="AO81" s="540"/>
      <c r="AP81" s="540"/>
      <c r="AQ81" s="540"/>
      <c r="AR81" s="540"/>
      <c r="AS81" s="540"/>
      <c r="AT81" s="540"/>
      <c r="AU81" s="540"/>
      <c r="AV81" s="540"/>
      <c r="AW81" s="1259"/>
      <c r="AX81" s="1259"/>
      <c r="AY81" s="1259"/>
      <c r="AZ81" s="540"/>
      <c r="BA81" s="540"/>
      <c r="BB81" s="540"/>
      <c r="BC81" s="540"/>
      <c r="BD81" s="540"/>
      <c r="BE81" s="540"/>
      <c r="BF81" s="540"/>
      <c r="BG81" s="540"/>
      <c r="BH81" s="540"/>
      <c r="BI81" s="540"/>
      <c r="BJ81" s="540"/>
      <c r="BK81" s="540"/>
      <c r="BL81" s="540"/>
      <c r="BM81" s="540"/>
      <c r="BN81" s="540"/>
      <c r="BO81" s="540"/>
    </row>
    <row r="82" spans="1:67" ht="35.1" customHeight="1" x14ac:dyDescent="0.25">
      <c r="A82" s="3">
        <f t="shared" si="1"/>
        <v>70</v>
      </c>
      <c r="B82" s="1218" t="s">
        <v>162</v>
      </c>
      <c r="C82" s="1218"/>
      <c r="D82" s="1222"/>
      <c r="E82" s="1222"/>
      <c r="F82" s="1222"/>
      <c r="G82" s="1222"/>
      <c r="H82" s="1222"/>
      <c r="I82" s="1219"/>
      <c r="J82" s="1219"/>
      <c r="K82" s="1219"/>
      <c r="L82" s="1219"/>
      <c r="M82" s="1219"/>
      <c r="N82" s="1219"/>
      <c r="O82" s="1219"/>
      <c r="P82" s="1219"/>
      <c r="Q82" s="1220"/>
      <c r="R82" s="1220"/>
      <c r="S82" s="1220"/>
      <c r="T82" s="1220"/>
      <c r="U82" s="1220"/>
      <c r="V82" s="1220"/>
      <c r="W82" s="1220"/>
      <c r="X82" s="1220"/>
      <c r="Y82" s="1219"/>
      <c r="Z82" s="1219"/>
      <c r="AA82" s="1220"/>
      <c r="AB82" s="1220"/>
      <c r="AC82" s="1220"/>
      <c r="AD82" s="1220"/>
      <c r="AE82" s="1219"/>
      <c r="AF82" s="1219"/>
      <c r="AG82" s="1219"/>
      <c r="AH82" s="1220"/>
      <c r="AI82" s="1220"/>
      <c r="AJ82" s="1220"/>
      <c r="AK82" s="1219"/>
      <c r="AL82" s="1219"/>
      <c r="AM82" s="1219"/>
      <c r="AN82" s="1219"/>
      <c r="AO82" s="1220"/>
      <c r="AP82" s="1220"/>
      <c r="AQ82" s="1220"/>
      <c r="AR82" s="1220"/>
      <c r="AS82" s="1220"/>
      <c r="AT82" s="1220"/>
      <c r="AU82" s="1220"/>
      <c r="AV82" s="1220"/>
      <c r="AW82" s="1258"/>
      <c r="AX82" s="1258"/>
      <c r="AY82" s="1258"/>
      <c r="AZ82" s="1220"/>
      <c r="BA82" s="1220"/>
      <c r="BB82" s="1220"/>
      <c r="BC82" s="1220"/>
      <c r="BD82" s="1220"/>
      <c r="BE82" s="1220"/>
      <c r="BF82" s="1220"/>
      <c r="BG82" s="1220"/>
      <c r="BH82" s="1220"/>
      <c r="BI82" s="1220"/>
      <c r="BJ82" s="1220"/>
      <c r="BK82" s="1220"/>
      <c r="BL82" s="1220"/>
      <c r="BM82" s="1220"/>
      <c r="BN82" s="1220"/>
      <c r="BO82" s="1220"/>
    </row>
    <row r="83" spans="1:67" ht="35.1" customHeight="1" x14ac:dyDescent="0.25">
      <c r="A83" s="3">
        <f t="shared" si="1"/>
        <v>71</v>
      </c>
      <c r="B83" s="1218" t="s">
        <v>162</v>
      </c>
      <c r="C83" s="1218"/>
      <c r="D83" s="1221"/>
      <c r="E83" s="1221"/>
      <c r="F83" s="1221"/>
      <c r="G83" s="1221"/>
      <c r="H83" s="1221"/>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0"/>
      <c r="AL83" s="540"/>
      <c r="AM83" s="540"/>
      <c r="AN83" s="540"/>
      <c r="AO83" s="540"/>
      <c r="AP83" s="540"/>
      <c r="AQ83" s="540"/>
      <c r="AR83" s="540"/>
      <c r="AS83" s="540"/>
      <c r="AT83" s="540"/>
      <c r="AU83" s="540"/>
      <c r="AV83" s="540"/>
      <c r="AW83" s="1259"/>
      <c r="AX83" s="1259"/>
      <c r="AY83" s="1259"/>
      <c r="AZ83" s="540"/>
      <c r="BA83" s="540"/>
      <c r="BB83" s="540"/>
      <c r="BC83" s="540"/>
      <c r="BD83" s="540"/>
      <c r="BE83" s="540"/>
      <c r="BF83" s="540"/>
      <c r="BG83" s="540"/>
      <c r="BH83" s="540"/>
      <c r="BI83" s="540"/>
      <c r="BJ83" s="540"/>
      <c r="BK83" s="540"/>
      <c r="BL83" s="540"/>
      <c r="BM83" s="540"/>
      <c r="BN83" s="540"/>
      <c r="BO83" s="540"/>
    </row>
    <row r="84" spans="1:67" ht="35.1" customHeight="1" x14ac:dyDescent="0.25">
      <c r="A84" s="3">
        <f t="shared" si="1"/>
        <v>72</v>
      </c>
      <c r="B84" s="1218" t="s">
        <v>162</v>
      </c>
      <c r="C84" s="1218"/>
      <c r="D84" s="1222"/>
      <c r="E84" s="1222"/>
      <c r="F84" s="1222"/>
      <c r="G84" s="1222"/>
      <c r="H84" s="1222"/>
      <c r="I84" s="1219"/>
      <c r="J84" s="1219"/>
      <c r="K84" s="1219"/>
      <c r="L84" s="1219"/>
      <c r="M84" s="1219"/>
      <c r="N84" s="1219"/>
      <c r="O84" s="1219"/>
      <c r="P84" s="1219"/>
      <c r="Q84" s="1220"/>
      <c r="R84" s="1220"/>
      <c r="S84" s="1220"/>
      <c r="T84" s="1220"/>
      <c r="U84" s="1220"/>
      <c r="V84" s="1220"/>
      <c r="W84" s="1220"/>
      <c r="X84" s="1220"/>
      <c r="Y84" s="1219"/>
      <c r="Z84" s="1219"/>
      <c r="AA84" s="1220"/>
      <c r="AB84" s="1220"/>
      <c r="AC84" s="1220"/>
      <c r="AD84" s="1220"/>
      <c r="AE84" s="1219"/>
      <c r="AF84" s="1219"/>
      <c r="AG84" s="1219"/>
      <c r="AH84" s="1220"/>
      <c r="AI84" s="1220"/>
      <c r="AJ84" s="1220"/>
      <c r="AK84" s="1219"/>
      <c r="AL84" s="1219"/>
      <c r="AM84" s="1219"/>
      <c r="AN84" s="1219"/>
      <c r="AO84" s="1220"/>
      <c r="AP84" s="1220"/>
      <c r="AQ84" s="1220"/>
      <c r="AR84" s="1220"/>
      <c r="AS84" s="1220"/>
      <c r="AT84" s="1220"/>
      <c r="AU84" s="1220"/>
      <c r="AV84" s="1220"/>
      <c r="AW84" s="1258"/>
      <c r="AX84" s="1258"/>
      <c r="AY84" s="1258"/>
      <c r="AZ84" s="1220"/>
      <c r="BA84" s="1220"/>
      <c r="BB84" s="1220"/>
      <c r="BC84" s="1220"/>
      <c r="BD84" s="1220"/>
      <c r="BE84" s="1220"/>
      <c r="BF84" s="1220"/>
      <c r="BG84" s="1220"/>
      <c r="BH84" s="1220"/>
      <c r="BI84" s="1220"/>
      <c r="BJ84" s="1220"/>
      <c r="BK84" s="1220"/>
      <c r="BL84" s="1220"/>
      <c r="BM84" s="1220"/>
      <c r="BN84" s="1220"/>
      <c r="BO84" s="1220"/>
    </row>
    <row r="85" spans="1:67" ht="35.1" customHeight="1" x14ac:dyDescent="0.25">
      <c r="A85" s="3">
        <f t="shared" si="1"/>
        <v>73</v>
      </c>
      <c r="B85" s="1218" t="s">
        <v>162</v>
      </c>
      <c r="C85" s="1218"/>
      <c r="D85" s="1221"/>
      <c r="E85" s="1221"/>
      <c r="F85" s="1221"/>
      <c r="G85" s="1221"/>
      <c r="H85" s="1221"/>
      <c r="I85" s="540"/>
      <c r="J85" s="540"/>
      <c r="K85" s="540"/>
      <c r="L85" s="540"/>
      <c r="M85" s="540"/>
      <c r="N85" s="540"/>
      <c r="O85" s="540"/>
      <c r="P85" s="540"/>
      <c r="Q85" s="540"/>
      <c r="R85" s="540"/>
      <c r="S85" s="540"/>
      <c r="T85" s="540"/>
      <c r="U85" s="540"/>
      <c r="V85" s="540"/>
      <c r="W85" s="540"/>
      <c r="X85" s="540"/>
      <c r="Y85" s="540"/>
      <c r="Z85" s="540"/>
      <c r="AA85" s="540"/>
      <c r="AB85" s="540"/>
      <c r="AC85" s="540"/>
      <c r="AD85" s="540"/>
      <c r="AE85" s="540"/>
      <c r="AF85" s="540"/>
      <c r="AG85" s="540"/>
      <c r="AH85" s="540"/>
      <c r="AI85" s="540"/>
      <c r="AJ85" s="540"/>
      <c r="AK85" s="540"/>
      <c r="AL85" s="540"/>
      <c r="AM85" s="540"/>
      <c r="AN85" s="540"/>
      <c r="AO85" s="540"/>
      <c r="AP85" s="540"/>
      <c r="AQ85" s="540"/>
      <c r="AR85" s="540"/>
      <c r="AS85" s="540"/>
      <c r="AT85" s="540"/>
      <c r="AU85" s="540"/>
      <c r="AV85" s="540"/>
      <c r="AW85" s="1259"/>
      <c r="AX85" s="1259"/>
      <c r="AY85" s="1259"/>
      <c r="AZ85" s="540"/>
      <c r="BA85" s="540"/>
      <c r="BB85" s="540"/>
      <c r="BC85" s="540"/>
      <c r="BD85" s="540"/>
      <c r="BE85" s="540"/>
      <c r="BF85" s="540"/>
      <c r="BG85" s="540"/>
      <c r="BH85" s="540"/>
      <c r="BI85" s="540"/>
      <c r="BJ85" s="540"/>
      <c r="BK85" s="540"/>
      <c r="BL85" s="540"/>
      <c r="BM85" s="540"/>
      <c r="BN85" s="540"/>
      <c r="BO85" s="540"/>
    </row>
    <row r="86" spans="1:67" ht="35.1" customHeight="1" x14ac:dyDescent="0.25">
      <c r="A86" s="3">
        <f t="shared" si="1"/>
        <v>74</v>
      </c>
      <c r="B86" s="1235" t="s">
        <v>162</v>
      </c>
      <c r="C86" s="1235"/>
      <c r="D86" s="1222"/>
      <c r="E86" s="1222"/>
      <c r="F86" s="1222"/>
      <c r="G86" s="1222"/>
      <c r="H86" s="1222"/>
      <c r="I86" s="1219"/>
      <c r="J86" s="1219"/>
      <c r="K86" s="1219"/>
      <c r="L86" s="1219"/>
      <c r="M86" s="1219"/>
      <c r="N86" s="1219"/>
      <c r="O86" s="1219"/>
      <c r="P86" s="1219"/>
      <c r="Q86" s="1220"/>
      <c r="R86" s="1220"/>
      <c r="S86" s="1220"/>
      <c r="T86" s="1220"/>
      <c r="U86" s="1220"/>
      <c r="V86" s="1220"/>
      <c r="W86" s="1220"/>
      <c r="X86" s="1220"/>
      <c r="Y86" s="1219"/>
      <c r="Z86" s="1219"/>
      <c r="AA86" s="1220"/>
      <c r="AB86" s="1220"/>
      <c r="AC86" s="1220"/>
      <c r="AD86" s="1220"/>
      <c r="AE86" s="1219"/>
      <c r="AF86" s="1219"/>
      <c r="AG86" s="1219"/>
      <c r="AH86" s="1220"/>
      <c r="AI86" s="1220"/>
      <c r="AJ86" s="1220"/>
      <c r="AK86" s="1219"/>
      <c r="AL86" s="1219"/>
      <c r="AM86" s="1219"/>
      <c r="AN86" s="1219"/>
      <c r="AO86" s="1220"/>
      <c r="AP86" s="1220"/>
      <c r="AQ86" s="1220"/>
      <c r="AR86" s="1220"/>
      <c r="AS86" s="1220"/>
      <c r="AT86" s="1220"/>
      <c r="AU86" s="1220"/>
      <c r="AV86" s="1220"/>
      <c r="AW86" s="1258"/>
      <c r="AX86" s="1258"/>
      <c r="AY86" s="1258"/>
      <c r="AZ86" s="1220"/>
      <c r="BA86" s="1220"/>
      <c r="BB86" s="1220"/>
      <c r="BC86" s="1220"/>
      <c r="BD86" s="1220"/>
      <c r="BE86" s="1220"/>
      <c r="BF86" s="1220"/>
      <c r="BG86" s="1220"/>
      <c r="BH86" s="1220"/>
      <c r="BI86" s="1220"/>
      <c r="BJ86" s="1220"/>
      <c r="BK86" s="1220"/>
      <c r="BL86" s="1220"/>
      <c r="BM86" s="1220"/>
      <c r="BN86" s="1220"/>
      <c r="BO86" s="1220"/>
    </row>
    <row r="87" spans="1:67" ht="35.1" customHeight="1" x14ac:dyDescent="0.25">
      <c r="A87" s="3">
        <f t="shared" si="1"/>
        <v>75</v>
      </c>
      <c r="B87" s="1218" t="s">
        <v>162</v>
      </c>
      <c r="C87" s="1218"/>
      <c r="D87" s="1221"/>
      <c r="E87" s="1221"/>
      <c r="F87" s="1221"/>
      <c r="G87" s="1221"/>
      <c r="H87" s="1221"/>
      <c r="I87" s="540"/>
      <c r="J87" s="540"/>
      <c r="K87" s="540"/>
      <c r="L87" s="540"/>
      <c r="M87" s="540"/>
      <c r="N87" s="540"/>
      <c r="O87" s="540"/>
      <c r="P87" s="540"/>
      <c r="Q87" s="540"/>
      <c r="R87" s="540"/>
      <c r="S87" s="540"/>
      <c r="T87" s="540"/>
      <c r="U87" s="540"/>
      <c r="V87" s="540"/>
      <c r="W87" s="540"/>
      <c r="X87" s="540"/>
      <c r="Y87" s="540"/>
      <c r="Z87" s="540"/>
      <c r="AA87" s="540"/>
      <c r="AB87" s="540"/>
      <c r="AC87" s="540"/>
      <c r="AD87" s="540"/>
      <c r="AE87" s="540"/>
      <c r="AF87" s="540"/>
      <c r="AG87" s="540"/>
      <c r="AH87" s="540"/>
      <c r="AI87" s="540"/>
      <c r="AJ87" s="540"/>
      <c r="AK87" s="540"/>
      <c r="AL87" s="540"/>
      <c r="AM87" s="540"/>
      <c r="AN87" s="540"/>
      <c r="AO87" s="540"/>
      <c r="AP87" s="540"/>
      <c r="AQ87" s="540"/>
      <c r="AR87" s="540"/>
      <c r="AS87" s="540"/>
      <c r="AT87" s="540"/>
      <c r="AU87" s="540"/>
      <c r="AV87" s="540"/>
      <c r="AW87" s="1259"/>
      <c r="AX87" s="1259"/>
      <c r="AY87" s="1259"/>
      <c r="AZ87" s="540"/>
      <c r="BA87" s="540"/>
      <c r="BB87" s="540"/>
      <c r="BC87" s="540"/>
      <c r="BD87" s="540"/>
      <c r="BE87" s="540"/>
      <c r="BF87" s="540"/>
      <c r="BG87" s="540"/>
      <c r="BH87" s="540"/>
      <c r="BI87" s="540"/>
      <c r="BJ87" s="540"/>
      <c r="BK87" s="540"/>
      <c r="BL87" s="540"/>
      <c r="BM87" s="540"/>
      <c r="BN87" s="540"/>
      <c r="BO87" s="540"/>
    </row>
    <row r="88" spans="1:67" ht="35.1" customHeight="1" x14ac:dyDescent="0.25">
      <c r="A88" s="3">
        <f t="shared" si="1"/>
        <v>76</v>
      </c>
      <c r="B88" s="1218" t="s">
        <v>162</v>
      </c>
      <c r="C88" s="1218"/>
      <c r="D88" s="1222"/>
      <c r="E88" s="1222"/>
      <c r="F88" s="1222"/>
      <c r="G88" s="1222"/>
      <c r="H88" s="1222"/>
      <c r="I88" s="1219"/>
      <c r="J88" s="1219"/>
      <c r="K88" s="1219"/>
      <c r="L88" s="1219"/>
      <c r="M88" s="1219"/>
      <c r="N88" s="1219"/>
      <c r="O88" s="1219"/>
      <c r="P88" s="1219"/>
      <c r="Q88" s="1220"/>
      <c r="R88" s="1220"/>
      <c r="S88" s="1220"/>
      <c r="T88" s="1220"/>
      <c r="U88" s="1220"/>
      <c r="V88" s="1220"/>
      <c r="W88" s="1220"/>
      <c r="X88" s="1220"/>
      <c r="Y88" s="1219"/>
      <c r="Z88" s="1219"/>
      <c r="AA88" s="1220"/>
      <c r="AB88" s="1220"/>
      <c r="AC88" s="1220"/>
      <c r="AD88" s="1220"/>
      <c r="AE88" s="1219"/>
      <c r="AF88" s="1219"/>
      <c r="AG88" s="1219"/>
      <c r="AH88" s="1220"/>
      <c r="AI88" s="1220"/>
      <c r="AJ88" s="1220"/>
      <c r="AK88" s="1219"/>
      <c r="AL88" s="1219"/>
      <c r="AM88" s="1219"/>
      <c r="AN88" s="1219"/>
      <c r="AO88" s="1220"/>
      <c r="AP88" s="1220"/>
      <c r="AQ88" s="1220"/>
      <c r="AR88" s="1220"/>
      <c r="AS88" s="1220"/>
      <c r="AT88" s="1220"/>
      <c r="AU88" s="1220"/>
      <c r="AV88" s="1220"/>
      <c r="AW88" s="1258"/>
      <c r="AX88" s="1258"/>
      <c r="AY88" s="1258"/>
      <c r="AZ88" s="1220"/>
      <c r="BA88" s="1220"/>
      <c r="BB88" s="1220"/>
      <c r="BC88" s="1220"/>
      <c r="BD88" s="1220"/>
      <c r="BE88" s="1220"/>
      <c r="BF88" s="1220"/>
      <c r="BG88" s="1220"/>
      <c r="BH88" s="1220"/>
      <c r="BI88" s="1220"/>
      <c r="BJ88" s="1220"/>
      <c r="BK88" s="1220"/>
      <c r="BL88" s="1220"/>
      <c r="BM88" s="1220"/>
      <c r="BN88" s="1220"/>
      <c r="BO88" s="1220"/>
    </row>
    <row r="89" spans="1:67" ht="35.1" customHeight="1" x14ac:dyDescent="0.25">
      <c r="A89" s="3">
        <f t="shared" si="1"/>
        <v>77</v>
      </c>
      <c r="B89" s="1218" t="s">
        <v>162</v>
      </c>
      <c r="C89" s="1218"/>
      <c r="D89" s="1221"/>
      <c r="E89" s="1221"/>
      <c r="F89" s="1221"/>
      <c r="G89" s="1221"/>
      <c r="H89" s="1221"/>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0"/>
      <c r="AF89" s="540"/>
      <c r="AG89" s="540"/>
      <c r="AH89" s="540"/>
      <c r="AI89" s="540"/>
      <c r="AJ89" s="540"/>
      <c r="AK89" s="540"/>
      <c r="AL89" s="540"/>
      <c r="AM89" s="540"/>
      <c r="AN89" s="540"/>
      <c r="AO89" s="540"/>
      <c r="AP89" s="540"/>
      <c r="AQ89" s="540"/>
      <c r="AR89" s="540"/>
      <c r="AS89" s="540"/>
      <c r="AT89" s="540"/>
      <c r="AU89" s="540"/>
      <c r="AV89" s="540"/>
      <c r="AW89" s="1259"/>
      <c r="AX89" s="1259"/>
      <c r="AY89" s="1259"/>
      <c r="AZ89" s="540"/>
      <c r="BA89" s="540"/>
      <c r="BB89" s="540"/>
      <c r="BC89" s="540"/>
      <c r="BD89" s="540"/>
      <c r="BE89" s="540"/>
      <c r="BF89" s="540"/>
      <c r="BG89" s="540"/>
      <c r="BH89" s="540"/>
      <c r="BI89" s="540"/>
      <c r="BJ89" s="540"/>
      <c r="BK89" s="540"/>
      <c r="BL89" s="540"/>
      <c r="BM89" s="540"/>
      <c r="BN89" s="540"/>
      <c r="BO89" s="540"/>
    </row>
    <row r="90" spans="1:67" ht="35.1" customHeight="1" x14ac:dyDescent="0.25">
      <c r="A90" s="3">
        <f t="shared" si="1"/>
        <v>78</v>
      </c>
      <c r="B90" s="1218" t="s">
        <v>162</v>
      </c>
      <c r="C90" s="1218"/>
      <c r="D90" s="1222"/>
      <c r="E90" s="1222"/>
      <c r="F90" s="1222"/>
      <c r="G90" s="1222"/>
      <c r="H90" s="1222"/>
      <c r="I90" s="1219"/>
      <c r="J90" s="1219"/>
      <c r="K90" s="1219"/>
      <c r="L90" s="1219"/>
      <c r="M90" s="1219"/>
      <c r="N90" s="1219"/>
      <c r="O90" s="1219"/>
      <c r="P90" s="1219"/>
      <c r="Q90" s="1220"/>
      <c r="R90" s="1220"/>
      <c r="S90" s="1220"/>
      <c r="T90" s="1220"/>
      <c r="U90" s="1220"/>
      <c r="V90" s="1220"/>
      <c r="W90" s="1220"/>
      <c r="X90" s="1220"/>
      <c r="Y90" s="1219"/>
      <c r="Z90" s="1219"/>
      <c r="AA90" s="1220"/>
      <c r="AB90" s="1220"/>
      <c r="AC90" s="1220"/>
      <c r="AD90" s="1220"/>
      <c r="AE90" s="1219"/>
      <c r="AF90" s="1219"/>
      <c r="AG90" s="1219"/>
      <c r="AH90" s="1220"/>
      <c r="AI90" s="1220"/>
      <c r="AJ90" s="1220"/>
      <c r="AK90" s="1219"/>
      <c r="AL90" s="1219"/>
      <c r="AM90" s="1219"/>
      <c r="AN90" s="1219"/>
      <c r="AO90" s="1220"/>
      <c r="AP90" s="1220"/>
      <c r="AQ90" s="1220"/>
      <c r="AR90" s="1220"/>
      <c r="AS90" s="1220"/>
      <c r="AT90" s="1220"/>
      <c r="AU90" s="1220"/>
      <c r="AV90" s="1220"/>
      <c r="AW90" s="1258"/>
      <c r="AX90" s="1258"/>
      <c r="AY90" s="1258"/>
      <c r="AZ90" s="1220"/>
      <c r="BA90" s="1220"/>
      <c r="BB90" s="1220"/>
      <c r="BC90" s="1220"/>
      <c r="BD90" s="1220"/>
      <c r="BE90" s="1220"/>
      <c r="BF90" s="1220"/>
      <c r="BG90" s="1220"/>
      <c r="BH90" s="1220"/>
      <c r="BI90" s="1220"/>
      <c r="BJ90" s="1220"/>
      <c r="BK90" s="1220"/>
      <c r="BL90" s="1220"/>
      <c r="BM90" s="1220"/>
      <c r="BN90" s="1220"/>
      <c r="BO90" s="1220"/>
    </row>
    <row r="91" spans="1:67" ht="35.1" customHeight="1" x14ac:dyDescent="0.25">
      <c r="A91" s="3">
        <f t="shared" si="1"/>
        <v>79</v>
      </c>
      <c r="B91" s="1218" t="s">
        <v>162</v>
      </c>
      <c r="C91" s="1218"/>
      <c r="D91" s="1221"/>
      <c r="E91" s="1221"/>
      <c r="F91" s="1221"/>
      <c r="G91" s="1221"/>
      <c r="H91" s="1221"/>
      <c r="I91" s="540"/>
      <c r="J91" s="540"/>
      <c r="K91" s="540"/>
      <c r="L91" s="540"/>
      <c r="M91" s="540"/>
      <c r="N91" s="540"/>
      <c r="O91" s="540"/>
      <c r="P91" s="540"/>
      <c r="Q91" s="540"/>
      <c r="R91" s="540"/>
      <c r="S91" s="540"/>
      <c r="T91" s="540"/>
      <c r="U91" s="540"/>
      <c r="V91" s="540"/>
      <c r="W91" s="540"/>
      <c r="X91" s="540"/>
      <c r="Y91" s="540"/>
      <c r="Z91" s="540"/>
      <c r="AA91" s="540"/>
      <c r="AB91" s="540"/>
      <c r="AC91" s="540"/>
      <c r="AD91" s="540"/>
      <c r="AE91" s="540"/>
      <c r="AF91" s="540"/>
      <c r="AG91" s="540"/>
      <c r="AH91" s="540"/>
      <c r="AI91" s="540"/>
      <c r="AJ91" s="540"/>
      <c r="AK91" s="540"/>
      <c r="AL91" s="540"/>
      <c r="AM91" s="540"/>
      <c r="AN91" s="540"/>
      <c r="AO91" s="540"/>
      <c r="AP91" s="540"/>
      <c r="AQ91" s="540"/>
      <c r="AR91" s="540"/>
      <c r="AS91" s="540"/>
      <c r="AT91" s="540"/>
      <c r="AU91" s="540"/>
      <c r="AV91" s="540"/>
      <c r="AW91" s="1259"/>
      <c r="AX91" s="1259"/>
      <c r="AY91" s="1259"/>
      <c r="AZ91" s="540"/>
      <c r="BA91" s="540"/>
      <c r="BB91" s="540"/>
      <c r="BC91" s="540"/>
      <c r="BD91" s="540"/>
      <c r="BE91" s="540"/>
      <c r="BF91" s="540"/>
      <c r="BG91" s="540"/>
      <c r="BH91" s="540"/>
      <c r="BI91" s="540"/>
      <c r="BJ91" s="540"/>
      <c r="BK91" s="540"/>
      <c r="BL91" s="540"/>
      <c r="BM91" s="540"/>
      <c r="BN91" s="540"/>
      <c r="BO91" s="540"/>
    </row>
    <row r="92" spans="1:67" ht="35.1" customHeight="1" x14ac:dyDescent="0.25">
      <c r="A92" s="3">
        <f t="shared" si="1"/>
        <v>80</v>
      </c>
      <c r="B92" s="1218" t="s">
        <v>162</v>
      </c>
      <c r="C92" s="1218"/>
      <c r="D92" s="1222"/>
      <c r="E92" s="1222"/>
      <c r="F92" s="1222"/>
      <c r="G92" s="1222"/>
      <c r="H92" s="1222"/>
      <c r="I92" s="1219"/>
      <c r="J92" s="1219"/>
      <c r="K92" s="1219"/>
      <c r="L92" s="1219"/>
      <c r="M92" s="1219"/>
      <c r="N92" s="1219"/>
      <c r="O92" s="1219"/>
      <c r="P92" s="1219"/>
      <c r="Q92" s="1220"/>
      <c r="R92" s="1220"/>
      <c r="S92" s="1220"/>
      <c r="T92" s="1220"/>
      <c r="U92" s="1220"/>
      <c r="V92" s="1220"/>
      <c r="W92" s="1220"/>
      <c r="X92" s="1220"/>
      <c r="Y92" s="1219"/>
      <c r="Z92" s="1219"/>
      <c r="AA92" s="1220"/>
      <c r="AB92" s="1220"/>
      <c r="AC92" s="1220"/>
      <c r="AD92" s="1220"/>
      <c r="AE92" s="1219"/>
      <c r="AF92" s="1219"/>
      <c r="AG92" s="1219"/>
      <c r="AH92" s="1220"/>
      <c r="AI92" s="1220"/>
      <c r="AJ92" s="1220"/>
      <c r="AK92" s="1219"/>
      <c r="AL92" s="1219"/>
      <c r="AM92" s="1219"/>
      <c r="AN92" s="1219"/>
      <c r="AO92" s="1220"/>
      <c r="AP92" s="1220"/>
      <c r="AQ92" s="1220"/>
      <c r="AR92" s="1220"/>
      <c r="AS92" s="1220"/>
      <c r="AT92" s="1220"/>
      <c r="AU92" s="1220"/>
      <c r="AV92" s="1220"/>
      <c r="AW92" s="1258"/>
      <c r="AX92" s="1258"/>
      <c r="AY92" s="1258"/>
      <c r="AZ92" s="1220"/>
      <c r="BA92" s="1220"/>
      <c r="BB92" s="1220"/>
      <c r="BC92" s="1220"/>
      <c r="BD92" s="1220"/>
      <c r="BE92" s="1220"/>
      <c r="BF92" s="1220"/>
      <c r="BG92" s="1220"/>
      <c r="BH92" s="1220"/>
      <c r="BI92" s="1220"/>
      <c r="BJ92" s="1220"/>
      <c r="BK92" s="1220"/>
      <c r="BL92" s="1220"/>
      <c r="BM92" s="1220"/>
      <c r="BN92" s="1220"/>
      <c r="BO92" s="1220"/>
    </row>
    <row r="93" spans="1:67" ht="35.1" customHeight="1" x14ac:dyDescent="0.25">
      <c r="A93" s="3">
        <f t="shared" si="1"/>
        <v>81</v>
      </c>
      <c r="B93" s="1218" t="s">
        <v>162</v>
      </c>
      <c r="C93" s="1218"/>
      <c r="D93" s="1221"/>
      <c r="E93" s="1221"/>
      <c r="F93" s="1221"/>
      <c r="G93" s="1221"/>
      <c r="H93" s="1221"/>
      <c r="I93" s="540"/>
      <c r="J93" s="540"/>
      <c r="K93" s="540"/>
      <c r="L93" s="540"/>
      <c r="M93" s="540"/>
      <c r="N93" s="540"/>
      <c r="O93" s="540"/>
      <c r="P93" s="540"/>
      <c r="Q93" s="540"/>
      <c r="R93" s="540"/>
      <c r="S93" s="540"/>
      <c r="T93" s="540"/>
      <c r="U93" s="540"/>
      <c r="V93" s="540"/>
      <c r="W93" s="540"/>
      <c r="X93" s="540"/>
      <c r="Y93" s="540"/>
      <c r="Z93" s="540"/>
      <c r="AA93" s="540"/>
      <c r="AB93" s="540"/>
      <c r="AC93" s="540"/>
      <c r="AD93" s="540"/>
      <c r="AE93" s="540"/>
      <c r="AF93" s="540"/>
      <c r="AG93" s="540"/>
      <c r="AH93" s="540"/>
      <c r="AI93" s="540"/>
      <c r="AJ93" s="540"/>
      <c r="AK93" s="540"/>
      <c r="AL93" s="540"/>
      <c r="AM93" s="540"/>
      <c r="AN93" s="540"/>
      <c r="AO93" s="540"/>
      <c r="AP93" s="540"/>
      <c r="AQ93" s="540"/>
      <c r="AR93" s="540"/>
      <c r="AS93" s="540"/>
      <c r="AT93" s="540"/>
      <c r="AU93" s="540"/>
      <c r="AV93" s="540"/>
      <c r="AW93" s="1259"/>
      <c r="AX93" s="1259"/>
      <c r="AY93" s="1259"/>
      <c r="AZ93" s="540"/>
      <c r="BA93" s="540"/>
      <c r="BB93" s="540"/>
      <c r="BC93" s="540"/>
      <c r="BD93" s="540"/>
      <c r="BE93" s="540"/>
      <c r="BF93" s="540"/>
      <c r="BG93" s="540"/>
      <c r="BH93" s="540"/>
      <c r="BI93" s="540"/>
      <c r="BJ93" s="540"/>
      <c r="BK93" s="540"/>
      <c r="BL93" s="540"/>
      <c r="BM93" s="540"/>
      <c r="BN93" s="540"/>
      <c r="BO93" s="540"/>
    </row>
    <row r="94" spans="1:67" ht="35.1" customHeight="1" x14ac:dyDescent="0.25">
      <c r="A94" s="3">
        <f t="shared" si="1"/>
        <v>82</v>
      </c>
      <c r="B94" s="1218" t="s">
        <v>162</v>
      </c>
      <c r="C94" s="1218"/>
      <c r="D94" s="1222"/>
      <c r="E94" s="1222"/>
      <c r="F94" s="1222"/>
      <c r="G94" s="1222"/>
      <c r="H94" s="1222"/>
      <c r="I94" s="1219"/>
      <c r="J94" s="1219"/>
      <c r="K94" s="1219"/>
      <c r="L94" s="1219"/>
      <c r="M94" s="1219"/>
      <c r="N94" s="1219"/>
      <c r="O94" s="1219"/>
      <c r="P94" s="1219"/>
      <c r="Q94" s="1220"/>
      <c r="R94" s="1220"/>
      <c r="S94" s="1220"/>
      <c r="T94" s="1220"/>
      <c r="U94" s="1220"/>
      <c r="V94" s="1220"/>
      <c r="W94" s="1220"/>
      <c r="X94" s="1220"/>
      <c r="Y94" s="1219"/>
      <c r="Z94" s="1219"/>
      <c r="AA94" s="1220"/>
      <c r="AB94" s="1220"/>
      <c r="AC94" s="1220"/>
      <c r="AD94" s="1220"/>
      <c r="AE94" s="1219"/>
      <c r="AF94" s="1219"/>
      <c r="AG94" s="1219"/>
      <c r="AH94" s="1220"/>
      <c r="AI94" s="1220"/>
      <c r="AJ94" s="1220"/>
      <c r="AK94" s="1219"/>
      <c r="AL94" s="1219"/>
      <c r="AM94" s="1219"/>
      <c r="AN94" s="1219"/>
      <c r="AO94" s="1220"/>
      <c r="AP94" s="1220"/>
      <c r="AQ94" s="1220"/>
      <c r="AR94" s="1220"/>
      <c r="AS94" s="1220"/>
      <c r="AT94" s="1220"/>
      <c r="AU94" s="1220"/>
      <c r="AV94" s="1220"/>
      <c r="AW94" s="1258"/>
      <c r="AX94" s="1258"/>
      <c r="AY94" s="1258"/>
      <c r="AZ94" s="1220"/>
      <c r="BA94" s="1220"/>
      <c r="BB94" s="1220"/>
      <c r="BC94" s="1220"/>
      <c r="BD94" s="1220"/>
      <c r="BE94" s="1220"/>
      <c r="BF94" s="1220"/>
      <c r="BG94" s="1220"/>
      <c r="BH94" s="1220"/>
      <c r="BI94" s="1220"/>
      <c r="BJ94" s="1220"/>
      <c r="BK94" s="1220"/>
      <c r="BL94" s="1220"/>
      <c r="BM94" s="1220"/>
      <c r="BN94" s="1220"/>
      <c r="BO94" s="1220"/>
    </row>
    <row r="95" spans="1:67" ht="35.1" customHeight="1" x14ac:dyDescent="0.25">
      <c r="A95" s="3">
        <f t="shared" si="1"/>
        <v>83</v>
      </c>
      <c r="B95" s="1218" t="s">
        <v>162</v>
      </c>
      <c r="C95" s="1218"/>
      <c r="D95" s="1221"/>
      <c r="E95" s="1221"/>
      <c r="F95" s="1221"/>
      <c r="G95" s="1221"/>
      <c r="H95" s="1221"/>
      <c r="I95" s="540"/>
      <c r="J95" s="540"/>
      <c r="K95" s="540"/>
      <c r="L95" s="540"/>
      <c r="M95" s="540"/>
      <c r="N95" s="540"/>
      <c r="O95" s="540"/>
      <c r="P95" s="540"/>
      <c r="Q95" s="540"/>
      <c r="R95" s="540"/>
      <c r="S95" s="540"/>
      <c r="T95" s="540"/>
      <c r="U95" s="540"/>
      <c r="V95" s="540"/>
      <c r="W95" s="540"/>
      <c r="X95" s="540"/>
      <c r="Y95" s="540"/>
      <c r="Z95" s="540"/>
      <c r="AA95" s="540"/>
      <c r="AB95" s="540"/>
      <c r="AC95" s="540"/>
      <c r="AD95" s="540"/>
      <c r="AE95" s="540"/>
      <c r="AF95" s="540"/>
      <c r="AG95" s="540"/>
      <c r="AH95" s="540"/>
      <c r="AI95" s="540"/>
      <c r="AJ95" s="540"/>
      <c r="AK95" s="540"/>
      <c r="AL95" s="540"/>
      <c r="AM95" s="540"/>
      <c r="AN95" s="540"/>
      <c r="AO95" s="540"/>
      <c r="AP95" s="540"/>
      <c r="AQ95" s="540"/>
      <c r="AR95" s="540"/>
      <c r="AS95" s="540"/>
      <c r="AT95" s="540"/>
      <c r="AU95" s="540"/>
      <c r="AV95" s="540"/>
      <c r="AW95" s="1259"/>
      <c r="AX95" s="1259"/>
      <c r="AY95" s="1259"/>
      <c r="AZ95" s="540"/>
      <c r="BA95" s="540"/>
      <c r="BB95" s="540"/>
      <c r="BC95" s="540"/>
      <c r="BD95" s="540"/>
      <c r="BE95" s="540"/>
      <c r="BF95" s="540"/>
      <c r="BG95" s="540"/>
      <c r="BH95" s="540"/>
      <c r="BI95" s="540"/>
      <c r="BJ95" s="540"/>
      <c r="BK95" s="540"/>
      <c r="BL95" s="540"/>
      <c r="BM95" s="540"/>
      <c r="BN95" s="540"/>
      <c r="BO95" s="540"/>
    </row>
    <row r="96" spans="1:67" ht="35.1" customHeight="1" x14ac:dyDescent="0.25">
      <c r="A96" s="3">
        <f t="shared" si="1"/>
        <v>84</v>
      </c>
      <c r="B96" s="1218" t="s">
        <v>162</v>
      </c>
      <c r="C96" s="1218"/>
      <c r="D96" s="1222"/>
      <c r="E96" s="1222"/>
      <c r="F96" s="1222"/>
      <c r="G96" s="1222"/>
      <c r="H96" s="1222"/>
      <c r="I96" s="1219"/>
      <c r="J96" s="1219"/>
      <c r="K96" s="1219"/>
      <c r="L96" s="1219"/>
      <c r="M96" s="1219"/>
      <c r="N96" s="1219"/>
      <c r="O96" s="1219"/>
      <c r="P96" s="1219"/>
      <c r="Q96" s="1220"/>
      <c r="R96" s="1220"/>
      <c r="S96" s="1220"/>
      <c r="T96" s="1220"/>
      <c r="U96" s="1220"/>
      <c r="V96" s="1220"/>
      <c r="W96" s="1220"/>
      <c r="X96" s="1220"/>
      <c r="Y96" s="1219"/>
      <c r="Z96" s="1219"/>
      <c r="AA96" s="1220"/>
      <c r="AB96" s="1220"/>
      <c r="AC96" s="1220"/>
      <c r="AD96" s="1220"/>
      <c r="AE96" s="1219"/>
      <c r="AF96" s="1219"/>
      <c r="AG96" s="1219"/>
      <c r="AH96" s="1220"/>
      <c r="AI96" s="1220"/>
      <c r="AJ96" s="1220"/>
      <c r="AK96" s="1219"/>
      <c r="AL96" s="1219"/>
      <c r="AM96" s="1219"/>
      <c r="AN96" s="1219"/>
      <c r="AO96" s="1220"/>
      <c r="AP96" s="1220"/>
      <c r="AQ96" s="1220"/>
      <c r="AR96" s="1220"/>
      <c r="AS96" s="1220"/>
      <c r="AT96" s="1220"/>
      <c r="AU96" s="1220"/>
      <c r="AV96" s="1220"/>
      <c r="AW96" s="1258"/>
      <c r="AX96" s="1258"/>
      <c r="AY96" s="1258"/>
      <c r="AZ96" s="1220"/>
      <c r="BA96" s="1220"/>
      <c r="BB96" s="1220"/>
      <c r="BC96" s="1220"/>
      <c r="BD96" s="1220"/>
      <c r="BE96" s="1220"/>
      <c r="BF96" s="1220"/>
      <c r="BG96" s="1220"/>
      <c r="BH96" s="1220"/>
      <c r="BI96" s="1220"/>
      <c r="BJ96" s="1220"/>
      <c r="BK96" s="1220"/>
      <c r="BL96" s="1220"/>
      <c r="BM96" s="1220"/>
      <c r="BN96" s="1220"/>
      <c r="BO96" s="1220"/>
    </row>
    <row r="97" spans="1:67" ht="35.1" customHeight="1" x14ac:dyDescent="0.25">
      <c r="A97" s="3">
        <f t="shared" si="1"/>
        <v>85</v>
      </c>
      <c r="B97" s="1218" t="s">
        <v>162</v>
      </c>
      <c r="C97" s="1218"/>
      <c r="D97" s="1221"/>
      <c r="E97" s="1221"/>
      <c r="F97" s="1221"/>
      <c r="G97" s="1221"/>
      <c r="H97" s="1221"/>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0"/>
      <c r="AF97" s="540"/>
      <c r="AG97" s="540"/>
      <c r="AH97" s="540"/>
      <c r="AI97" s="540"/>
      <c r="AJ97" s="540"/>
      <c r="AK97" s="540"/>
      <c r="AL97" s="540"/>
      <c r="AM97" s="540"/>
      <c r="AN97" s="540"/>
      <c r="AO97" s="540"/>
      <c r="AP97" s="540"/>
      <c r="AQ97" s="540"/>
      <c r="AR97" s="540"/>
      <c r="AS97" s="540"/>
      <c r="AT97" s="540"/>
      <c r="AU97" s="540"/>
      <c r="AV97" s="540"/>
      <c r="AW97" s="1259"/>
      <c r="AX97" s="1259"/>
      <c r="AY97" s="1259"/>
      <c r="AZ97" s="540"/>
      <c r="BA97" s="540"/>
      <c r="BB97" s="540"/>
      <c r="BC97" s="540"/>
      <c r="BD97" s="540"/>
      <c r="BE97" s="540"/>
      <c r="BF97" s="540"/>
      <c r="BG97" s="540"/>
      <c r="BH97" s="540"/>
      <c r="BI97" s="540"/>
      <c r="BJ97" s="540"/>
      <c r="BK97" s="540"/>
      <c r="BL97" s="540"/>
      <c r="BM97" s="540"/>
      <c r="BN97" s="540"/>
      <c r="BO97" s="540"/>
    </row>
    <row r="98" spans="1:67" ht="35.1" customHeight="1" x14ac:dyDescent="0.25">
      <c r="A98" s="3">
        <f t="shared" si="1"/>
        <v>86</v>
      </c>
      <c r="B98" s="1218" t="s">
        <v>162</v>
      </c>
      <c r="C98" s="1218"/>
      <c r="D98" s="1222"/>
      <c r="E98" s="1222"/>
      <c r="F98" s="1222"/>
      <c r="G98" s="1222"/>
      <c r="H98" s="1222"/>
      <c r="I98" s="1219"/>
      <c r="J98" s="1219"/>
      <c r="K98" s="1219"/>
      <c r="L98" s="1219"/>
      <c r="M98" s="1219"/>
      <c r="N98" s="1219"/>
      <c r="O98" s="1219"/>
      <c r="P98" s="1219"/>
      <c r="Q98" s="1220"/>
      <c r="R98" s="1220"/>
      <c r="S98" s="1220"/>
      <c r="T98" s="1220"/>
      <c r="U98" s="1220"/>
      <c r="V98" s="1220"/>
      <c r="W98" s="1220"/>
      <c r="X98" s="1220"/>
      <c r="Y98" s="1219"/>
      <c r="Z98" s="1219"/>
      <c r="AA98" s="1220"/>
      <c r="AB98" s="1220"/>
      <c r="AC98" s="1220"/>
      <c r="AD98" s="1220"/>
      <c r="AE98" s="1219"/>
      <c r="AF98" s="1219"/>
      <c r="AG98" s="1219"/>
      <c r="AH98" s="1220"/>
      <c r="AI98" s="1220"/>
      <c r="AJ98" s="1220"/>
      <c r="AK98" s="1219"/>
      <c r="AL98" s="1219"/>
      <c r="AM98" s="1219"/>
      <c r="AN98" s="1219"/>
      <c r="AO98" s="1220"/>
      <c r="AP98" s="1220"/>
      <c r="AQ98" s="1220"/>
      <c r="AR98" s="1220"/>
      <c r="AS98" s="1220"/>
      <c r="AT98" s="1220"/>
      <c r="AU98" s="1220"/>
      <c r="AV98" s="1220"/>
      <c r="AW98" s="1258"/>
      <c r="AX98" s="1258"/>
      <c r="AY98" s="1258"/>
      <c r="AZ98" s="1220"/>
      <c r="BA98" s="1220"/>
      <c r="BB98" s="1220"/>
      <c r="BC98" s="1220"/>
      <c r="BD98" s="1220"/>
      <c r="BE98" s="1220"/>
      <c r="BF98" s="1220"/>
      <c r="BG98" s="1220"/>
      <c r="BH98" s="1220"/>
      <c r="BI98" s="1220"/>
      <c r="BJ98" s="1220"/>
      <c r="BK98" s="1220"/>
      <c r="BL98" s="1220"/>
      <c r="BM98" s="1220"/>
      <c r="BN98" s="1220"/>
      <c r="BO98" s="1220"/>
    </row>
    <row r="99" spans="1:67" ht="35.1" customHeight="1" x14ac:dyDescent="0.25">
      <c r="A99" s="3">
        <f t="shared" si="1"/>
        <v>87</v>
      </c>
      <c r="B99" s="1218" t="s">
        <v>162</v>
      </c>
      <c r="C99" s="1218"/>
      <c r="D99" s="1221"/>
      <c r="E99" s="1221"/>
      <c r="F99" s="1221"/>
      <c r="G99" s="1221"/>
      <c r="H99" s="1221"/>
      <c r="I99" s="540"/>
      <c r="J99" s="540"/>
      <c r="K99" s="540"/>
      <c r="L99" s="540"/>
      <c r="M99" s="540"/>
      <c r="N99" s="540"/>
      <c r="O99" s="540"/>
      <c r="P99" s="540"/>
      <c r="Q99" s="540"/>
      <c r="R99" s="540"/>
      <c r="S99" s="540"/>
      <c r="T99" s="540"/>
      <c r="U99" s="540"/>
      <c r="V99" s="540"/>
      <c r="W99" s="540"/>
      <c r="X99" s="540"/>
      <c r="Y99" s="540"/>
      <c r="Z99" s="540"/>
      <c r="AA99" s="540"/>
      <c r="AB99" s="540"/>
      <c r="AC99" s="540"/>
      <c r="AD99" s="540"/>
      <c r="AE99" s="540"/>
      <c r="AF99" s="540"/>
      <c r="AG99" s="540"/>
      <c r="AH99" s="540"/>
      <c r="AI99" s="540"/>
      <c r="AJ99" s="540"/>
      <c r="AK99" s="540"/>
      <c r="AL99" s="540"/>
      <c r="AM99" s="540"/>
      <c r="AN99" s="540"/>
      <c r="AO99" s="540"/>
      <c r="AP99" s="540"/>
      <c r="AQ99" s="540"/>
      <c r="AR99" s="540"/>
      <c r="AS99" s="540"/>
      <c r="AT99" s="540"/>
      <c r="AU99" s="540"/>
      <c r="AV99" s="540"/>
      <c r="AW99" s="1259"/>
      <c r="AX99" s="1259"/>
      <c r="AY99" s="1259"/>
      <c r="AZ99" s="540"/>
      <c r="BA99" s="540"/>
      <c r="BB99" s="540"/>
      <c r="BC99" s="540"/>
      <c r="BD99" s="540"/>
      <c r="BE99" s="540"/>
      <c r="BF99" s="540"/>
      <c r="BG99" s="540"/>
      <c r="BH99" s="540"/>
      <c r="BI99" s="540"/>
      <c r="BJ99" s="540"/>
      <c r="BK99" s="540"/>
      <c r="BL99" s="540"/>
      <c r="BM99" s="540"/>
      <c r="BN99" s="540"/>
      <c r="BO99" s="540"/>
    </row>
    <row r="100" spans="1:67" ht="35.1" customHeight="1" x14ac:dyDescent="0.25">
      <c r="A100" s="3">
        <f t="shared" si="1"/>
        <v>88</v>
      </c>
      <c r="B100" s="1218" t="s">
        <v>162</v>
      </c>
      <c r="C100" s="1218"/>
      <c r="D100" s="1222"/>
      <c r="E100" s="1222"/>
      <c r="F100" s="1222"/>
      <c r="G100" s="1222"/>
      <c r="H100" s="1222"/>
      <c r="I100" s="1219"/>
      <c r="J100" s="1219"/>
      <c r="K100" s="1219"/>
      <c r="L100" s="1219"/>
      <c r="M100" s="1219"/>
      <c r="N100" s="1219"/>
      <c r="O100" s="1219"/>
      <c r="P100" s="1219"/>
      <c r="Q100" s="1220"/>
      <c r="R100" s="1220"/>
      <c r="S100" s="1220"/>
      <c r="T100" s="1220"/>
      <c r="U100" s="1220"/>
      <c r="V100" s="1220"/>
      <c r="W100" s="1220"/>
      <c r="X100" s="1220"/>
      <c r="Y100" s="1219"/>
      <c r="Z100" s="1219"/>
      <c r="AA100" s="1220"/>
      <c r="AB100" s="1220"/>
      <c r="AC100" s="1220"/>
      <c r="AD100" s="1220"/>
      <c r="AE100" s="1219"/>
      <c r="AF100" s="1219"/>
      <c r="AG100" s="1219"/>
      <c r="AH100" s="1220"/>
      <c r="AI100" s="1220"/>
      <c r="AJ100" s="1220"/>
      <c r="AK100" s="1219"/>
      <c r="AL100" s="1219"/>
      <c r="AM100" s="1219"/>
      <c r="AN100" s="1219"/>
      <c r="AO100" s="1220"/>
      <c r="AP100" s="1220"/>
      <c r="AQ100" s="1220"/>
      <c r="AR100" s="1220"/>
      <c r="AS100" s="1220"/>
      <c r="AT100" s="1220"/>
      <c r="AU100" s="1220"/>
      <c r="AV100" s="1220"/>
      <c r="AW100" s="1258"/>
      <c r="AX100" s="1258"/>
      <c r="AY100" s="1258"/>
      <c r="AZ100" s="1220"/>
      <c r="BA100" s="1220"/>
      <c r="BB100" s="1220"/>
      <c r="BC100" s="1220"/>
      <c r="BD100" s="1220"/>
      <c r="BE100" s="1220"/>
      <c r="BF100" s="1220"/>
      <c r="BG100" s="1220"/>
      <c r="BH100" s="1220"/>
      <c r="BI100" s="1220"/>
      <c r="BJ100" s="1220"/>
      <c r="BK100" s="1220"/>
      <c r="BL100" s="1220"/>
      <c r="BM100" s="1220"/>
      <c r="BN100" s="1220"/>
      <c r="BO100" s="1220"/>
    </row>
    <row r="101" spans="1:67" ht="35.1" customHeight="1" x14ac:dyDescent="0.25">
      <c r="A101" s="3">
        <f t="shared" si="1"/>
        <v>89</v>
      </c>
      <c r="B101" s="1218" t="s">
        <v>162</v>
      </c>
      <c r="C101" s="1218"/>
      <c r="D101" s="1221"/>
      <c r="E101" s="1221"/>
      <c r="F101" s="1221"/>
      <c r="G101" s="1221"/>
      <c r="H101" s="1221"/>
      <c r="I101" s="540"/>
      <c r="J101" s="540"/>
      <c r="K101" s="540"/>
      <c r="L101" s="540"/>
      <c r="M101" s="540"/>
      <c r="N101" s="540"/>
      <c r="O101" s="540"/>
      <c r="P101" s="540"/>
      <c r="Q101" s="540"/>
      <c r="R101" s="540"/>
      <c r="S101" s="540"/>
      <c r="T101" s="540"/>
      <c r="U101" s="540"/>
      <c r="V101" s="540"/>
      <c r="W101" s="540"/>
      <c r="X101" s="540"/>
      <c r="Y101" s="540"/>
      <c r="Z101" s="540"/>
      <c r="AA101" s="540"/>
      <c r="AB101" s="540"/>
      <c r="AC101" s="540"/>
      <c r="AD101" s="540"/>
      <c r="AE101" s="540"/>
      <c r="AF101" s="540"/>
      <c r="AG101" s="540"/>
      <c r="AH101" s="540"/>
      <c r="AI101" s="540"/>
      <c r="AJ101" s="540"/>
      <c r="AK101" s="540"/>
      <c r="AL101" s="540"/>
      <c r="AM101" s="540"/>
      <c r="AN101" s="540"/>
      <c r="AO101" s="540"/>
      <c r="AP101" s="540"/>
      <c r="AQ101" s="540"/>
      <c r="AR101" s="540"/>
      <c r="AS101" s="540"/>
      <c r="AT101" s="540"/>
      <c r="AU101" s="540"/>
      <c r="AV101" s="540"/>
      <c r="AW101" s="1259"/>
      <c r="AX101" s="1259"/>
      <c r="AY101" s="1259"/>
      <c r="AZ101" s="540"/>
      <c r="BA101" s="540"/>
      <c r="BB101" s="540"/>
      <c r="BC101" s="540"/>
      <c r="BD101" s="540"/>
      <c r="BE101" s="540"/>
      <c r="BF101" s="540"/>
      <c r="BG101" s="540"/>
      <c r="BH101" s="540"/>
      <c r="BI101" s="540"/>
      <c r="BJ101" s="540"/>
      <c r="BK101" s="540"/>
      <c r="BL101" s="540"/>
      <c r="BM101" s="540"/>
      <c r="BN101" s="540"/>
      <c r="BO101" s="540"/>
    </row>
    <row r="102" spans="1:67" ht="35.1" customHeight="1" x14ac:dyDescent="0.25">
      <c r="A102" s="3">
        <f t="shared" si="1"/>
        <v>90</v>
      </c>
      <c r="B102" s="1218" t="s">
        <v>162</v>
      </c>
      <c r="C102" s="1218"/>
      <c r="D102" s="1222"/>
      <c r="E102" s="1222"/>
      <c r="F102" s="1222"/>
      <c r="G102" s="1222"/>
      <c r="H102" s="1222"/>
      <c r="I102" s="1219"/>
      <c r="J102" s="1219"/>
      <c r="K102" s="1219"/>
      <c r="L102" s="1219"/>
      <c r="M102" s="1219"/>
      <c r="N102" s="1219"/>
      <c r="O102" s="1219"/>
      <c r="P102" s="1219"/>
      <c r="Q102" s="1220"/>
      <c r="R102" s="1220"/>
      <c r="S102" s="1220"/>
      <c r="T102" s="1220"/>
      <c r="U102" s="1220"/>
      <c r="V102" s="1220"/>
      <c r="W102" s="1220"/>
      <c r="X102" s="1220"/>
      <c r="Y102" s="1219"/>
      <c r="Z102" s="1219"/>
      <c r="AA102" s="1220"/>
      <c r="AB102" s="1220"/>
      <c r="AC102" s="1220"/>
      <c r="AD102" s="1220"/>
      <c r="AE102" s="1219"/>
      <c r="AF102" s="1219"/>
      <c r="AG102" s="1219"/>
      <c r="AH102" s="1220"/>
      <c r="AI102" s="1220"/>
      <c r="AJ102" s="1220"/>
      <c r="AK102" s="1219"/>
      <c r="AL102" s="1219"/>
      <c r="AM102" s="1219"/>
      <c r="AN102" s="1219"/>
      <c r="AO102" s="1220"/>
      <c r="AP102" s="1220"/>
      <c r="AQ102" s="1220"/>
      <c r="AR102" s="1220"/>
      <c r="AS102" s="1220"/>
      <c r="AT102" s="1220"/>
      <c r="AU102" s="1220"/>
      <c r="AV102" s="1220"/>
      <c r="AW102" s="1258"/>
      <c r="AX102" s="1258"/>
      <c r="AY102" s="1258"/>
      <c r="AZ102" s="1220"/>
      <c r="BA102" s="1220"/>
      <c r="BB102" s="1220"/>
      <c r="BC102" s="1220"/>
      <c r="BD102" s="1220"/>
      <c r="BE102" s="1220"/>
      <c r="BF102" s="1220"/>
      <c r="BG102" s="1220"/>
      <c r="BH102" s="1220"/>
      <c r="BI102" s="1220"/>
      <c r="BJ102" s="1220"/>
      <c r="BK102" s="1220"/>
      <c r="BL102" s="1220"/>
      <c r="BM102" s="1220"/>
      <c r="BN102" s="1220"/>
      <c r="BO102" s="1220"/>
    </row>
    <row r="103" spans="1:67" ht="35.1" customHeight="1" x14ac:dyDescent="0.25">
      <c r="A103" s="3">
        <f t="shared" si="1"/>
        <v>91</v>
      </c>
      <c r="B103" s="1218" t="s">
        <v>162</v>
      </c>
      <c r="C103" s="1218"/>
      <c r="D103" s="1221"/>
      <c r="E103" s="1221"/>
      <c r="F103" s="1221"/>
      <c r="G103" s="1221"/>
      <c r="H103" s="1221"/>
      <c r="I103" s="540"/>
      <c r="J103" s="540"/>
      <c r="K103" s="540"/>
      <c r="L103" s="540"/>
      <c r="M103" s="540"/>
      <c r="N103" s="540"/>
      <c r="O103" s="540"/>
      <c r="P103" s="540"/>
      <c r="Q103" s="540"/>
      <c r="R103" s="540"/>
      <c r="S103" s="540"/>
      <c r="T103" s="540"/>
      <c r="U103" s="540"/>
      <c r="V103" s="540"/>
      <c r="W103" s="540"/>
      <c r="X103" s="540"/>
      <c r="Y103" s="540"/>
      <c r="Z103" s="540"/>
      <c r="AA103" s="540"/>
      <c r="AB103" s="540"/>
      <c r="AC103" s="540"/>
      <c r="AD103" s="540"/>
      <c r="AE103" s="540"/>
      <c r="AF103" s="540"/>
      <c r="AG103" s="540"/>
      <c r="AH103" s="540"/>
      <c r="AI103" s="540"/>
      <c r="AJ103" s="540"/>
      <c r="AK103" s="540"/>
      <c r="AL103" s="540"/>
      <c r="AM103" s="540"/>
      <c r="AN103" s="540"/>
      <c r="AO103" s="540"/>
      <c r="AP103" s="540"/>
      <c r="AQ103" s="540"/>
      <c r="AR103" s="540"/>
      <c r="AS103" s="540"/>
      <c r="AT103" s="540"/>
      <c r="AU103" s="540"/>
      <c r="AV103" s="540"/>
      <c r="AW103" s="1259"/>
      <c r="AX103" s="1259"/>
      <c r="AY103" s="1259"/>
      <c r="AZ103" s="540"/>
      <c r="BA103" s="540"/>
      <c r="BB103" s="540"/>
      <c r="BC103" s="540"/>
      <c r="BD103" s="540"/>
      <c r="BE103" s="540"/>
      <c r="BF103" s="540"/>
      <c r="BG103" s="540"/>
      <c r="BH103" s="540"/>
      <c r="BI103" s="540"/>
      <c r="BJ103" s="540"/>
      <c r="BK103" s="540"/>
      <c r="BL103" s="540"/>
      <c r="BM103" s="540"/>
      <c r="BN103" s="540"/>
      <c r="BO103" s="540"/>
    </row>
    <row r="104" spans="1:67" ht="35.1" customHeight="1" x14ac:dyDescent="0.25">
      <c r="A104" s="3">
        <f t="shared" si="1"/>
        <v>92</v>
      </c>
      <c r="B104" s="1235" t="s">
        <v>162</v>
      </c>
      <c r="C104" s="1235"/>
      <c r="D104" s="1222"/>
      <c r="E104" s="1222"/>
      <c r="F104" s="1222"/>
      <c r="G104" s="1222"/>
      <c r="H104" s="1222"/>
      <c r="I104" s="1219"/>
      <c r="J104" s="1219"/>
      <c r="K104" s="1219"/>
      <c r="L104" s="1219"/>
      <c r="M104" s="1219"/>
      <c r="N104" s="1219"/>
      <c r="O104" s="1219"/>
      <c r="P104" s="1219"/>
      <c r="Q104" s="1220"/>
      <c r="R104" s="1220"/>
      <c r="S104" s="1220"/>
      <c r="T104" s="1220"/>
      <c r="U104" s="1220"/>
      <c r="V104" s="1220"/>
      <c r="W104" s="1220"/>
      <c r="X104" s="1220"/>
      <c r="Y104" s="1219"/>
      <c r="Z104" s="1219"/>
      <c r="AA104" s="1220"/>
      <c r="AB104" s="1220"/>
      <c r="AC104" s="1220"/>
      <c r="AD104" s="1220"/>
      <c r="AE104" s="1219"/>
      <c r="AF104" s="1219"/>
      <c r="AG104" s="1219"/>
      <c r="AH104" s="1220"/>
      <c r="AI104" s="1220"/>
      <c r="AJ104" s="1220"/>
      <c r="AK104" s="1219"/>
      <c r="AL104" s="1219"/>
      <c r="AM104" s="1219"/>
      <c r="AN104" s="1219"/>
      <c r="AO104" s="1220"/>
      <c r="AP104" s="1220"/>
      <c r="AQ104" s="1220"/>
      <c r="AR104" s="1220"/>
      <c r="AS104" s="1220"/>
      <c r="AT104" s="1220"/>
      <c r="AU104" s="1220"/>
      <c r="AV104" s="1220"/>
      <c r="AW104" s="1258"/>
      <c r="AX104" s="1258"/>
      <c r="AY104" s="1258"/>
      <c r="AZ104" s="1220"/>
      <c r="BA104" s="1220"/>
      <c r="BB104" s="1220"/>
      <c r="BC104" s="1220"/>
      <c r="BD104" s="1220"/>
      <c r="BE104" s="1220"/>
      <c r="BF104" s="1220"/>
      <c r="BG104" s="1220"/>
      <c r="BH104" s="1220"/>
      <c r="BI104" s="1220"/>
      <c r="BJ104" s="1220"/>
      <c r="BK104" s="1220"/>
      <c r="BL104" s="1220"/>
      <c r="BM104" s="1220"/>
      <c r="BN104" s="1220"/>
      <c r="BO104" s="1220"/>
    </row>
    <row r="105" spans="1:67" ht="35.1" customHeight="1" x14ac:dyDescent="0.25">
      <c r="A105" s="3">
        <f t="shared" si="1"/>
        <v>93</v>
      </c>
      <c r="B105" s="1218" t="s">
        <v>162</v>
      </c>
      <c r="C105" s="1218"/>
      <c r="D105" s="1221"/>
      <c r="E105" s="1221"/>
      <c r="F105" s="1221"/>
      <c r="G105" s="1221"/>
      <c r="H105" s="1221"/>
      <c r="I105" s="540"/>
      <c r="J105" s="540"/>
      <c r="K105" s="540"/>
      <c r="L105" s="540"/>
      <c r="M105" s="540"/>
      <c r="N105" s="540"/>
      <c r="O105" s="540"/>
      <c r="P105" s="540"/>
      <c r="Q105" s="540"/>
      <c r="R105" s="540"/>
      <c r="S105" s="540"/>
      <c r="T105" s="540"/>
      <c r="U105" s="540"/>
      <c r="V105" s="540"/>
      <c r="W105" s="540"/>
      <c r="X105" s="540"/>
      <c r="Y105" s="540"/>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c r="AV105" s="540"/>
      <c r="AW105" s="1259"/>
      <c r="AX105" s="1259"/>
      <c r="AY105" s="1259"/>
      <c r="AZ105" s="540"/>
      <c r="BA105" s="540"/>
      <c r="BB105" s="540"/>
      <c r="BC105" s="540"/>
      <c r="BD105" s="540"/>
      <c r="BE105" s="540"/>
      <c r="BF105" s="540"/>
      <c r="BG105" s="540"/>
      <c r="BH105" s="540"/>
      <c r="BI105" s="540"/>
      <c r="BJ105" s="540"/>
      <c r="BK105" s="540"/>
      <c r="BL105" s="540"/>
      <c r="BM105" s="540"/>
      <c r="BN105" s="540"/>
      <c r="BO105" s="540"/>
    </row>
    <row r="106" spans="1:67" ht="35.1" customHeight="1" x14ac:dyDescent="0.25">
      <c r="A106" s="3">
        <f t="shared" si="1"/>
        <v>94</v>
      </c>
      <c r="B106" s="1218" t="s">
        <v>162</v>
      </c>
      <c r="C106" s="1218"/>
      <c r="D106" s="1222"/>
      <c r="E106" s="1222"/>
      <c r="F106" s="1222"/>
      <c r="G106" s="1222"/>
      <c r="H106" s="1222"/>
      <c r="I106" s="1219"/>
      <c r="J106" s="1219"/>
      <c r="K106" s="1219"/>
      <c r="L106" s="1219"/>
      <c r="M106" s="1219"/>
      <c r="N106" s="1219"/>
      <c r="O106" s="1219"/>
      <c r="P106" s="1219"/>
      <c r="Q106" s="1220"/>
      <c r="R106" s="1220"/>
      <c r="S106" s="1220"/>
      <c r="T106" s="1220"/>
      <c r="U106" s="1220"/>
      <c r="V106" s="1220"/>
      <c r="W106" s="1220"/>
      <c r="X106" s="1220"/>
      <c r="Y106" s="1219"/>
      <c r="Z106" s="1219"/>
      <c r="AA106" s="1220"/>
      <c r="AB106" s="1220"/>
      <c r="AC106" s="1220"/>
      <c r="AD106" s="1220"/>
      <c r="AE106" s="1219"/>
      <c r="AF106" s="1219"/>
      <c r="AG106" s="1219"/>
      <c r="AH106" s="1220"/>
      <c r="AI106" s="1220"/>
      <c r="AJ106" s="1220"/>
      <c r="AK106" s="1219"/>
      <c r="AL106" s="1219"/>
      <c r="AM106" s="1219"/>
      <c r="AN106" s="1219"/>
      <c r="AO106" s="1220"/>
      <c r="AP106" s="1220"/>
      <c r="AQ106" s="1220"/>
      <c r="AR106" s="1220"/>
      <c r="AS106" s="1220"/>
      <c r="AT106" s="1220"/>
      <c r="AU106" s="1220"/>
      <c r="AV106" s="1220"/>
      <c r="AW106" s="1258"/>
      <c r="AX106" s="1258"/>
      <c r="AY106" s="1258"/>
      <c r="AZ106" s="1220"/>
      <c r="BA106" s="1220"/>
      <c r="BB106" s="1220"/>
      <c r="BC106" s="1220"/>
      <c r="BD106" s="1220"/>
      <c r="BE106" s="1220"/>
      <c r="BF106" s="1220"/>
      <c r="BG106" s="1220"/>
      <c r="BH106" s="1220"/>
      <c r="BI106" s="1220"/>
      <c r="BJ106" s="1220"/>
      <c r="BK106" s="1220"/>
      <c r="BL106" s="1220"/>
      <c r="BM106" s="1220"/>
      <c r="BN106" s="1220"/>
      <c r="BO106" s="1220"/>
    </row>
    <row r="107" spans="1:67" ht="35.1" customHeight="1" x14ac:dyDescent="0.25">
      <c r="A107" s="3">
        <f t="shared" si="1"/>
        <v>95</v>
      </c>
      <c r="B107" s="1218" t="s">
        <v>162</v>
      </c>
      <c r="C107" s="1218"/>
      <c r="D107" s="1221"/>
      <c r="E107" s="1221"/>
      <c r="F107" s="1221"/>
      <c r="G107" s="1221"/>
      <c r="H107" s="1221"/>
      <c r="I107" s="540"/>
      <c r="J107" s="540"/>
      <c r="K107" s="540"/>
      <c r="L107" s="540"/>
      <c r="M107" s="540"/>
      <c r="N107" s="540"/>
      <c r="O107" s="540"/>
      <c r="P107" s="540"/>
      <c r="Q107" s="540"/>
      <c r="R107" s="540"/>
      <c r="S107" s="540"/>
      <c r="T107" s="540"/>
      <c r="U107" s="540"/>
      <c r="V107" s="540"/>
      <c r="W107" s="540"/>
      <c r="X107" s="540"/>
      <c r="Y107" s="540"/>
      <c r="Z107" s="540"/>
      <c r="AA107" s="540"/>
      <c r="AB107" s="540"/>
      <c r="AC107" s="540"/>
      <c r="AD107" s="540"/>
      <c r="AE107" s="540"/>
      <c r="AF107" s="540"/>
      <c r="AG107" s="540"/>
      <c r="AH107" s="540"/>
      <c r="AI107" s="540"/>
      <c r="AJ107" s="540"/>
      <c r="AK107" s="540"/>
      <c r="AL107" s="540"/>
      <c r="AM107" s="540"/>
      <c r="AN107" s="540"/>
      <c r="AO107" s="540"/>
      <c r="AP107" s="540"/>
      <c r="AQ107" s="540"/>
      <c r="AR107" s="540"/>
      <c r="AS107" s="540"/>
      <c r="AT107" s="540"/>
      <c r="AU107" s="540"/>
      <c r="AV107" s="540"/>
      <c r="AW107" s="1259"/>
      <c r="AX107" s="1259"/>
      <c r="AY107" s="1259"/>
      <c r="AZ107" s="540"/>
      <c r="BA107" s="540"/>
      <c r="BB107" s="540"/>
      <c r="BC107" s="540"/>
      <c r="BD107" s="540"/>
      <c r="BE107" s="540"/>
      <c r="BF107" s="540"/>
      <c r="BG107" s="540"/>
      <c r="BH107" s="540"/>
      <c r="BI107" s="540"/>
      <c r="BJ107" s="540"/>
      <c r="BK107" s="540"/>
      <c r="BL107" s="540"/>
      <c r="BM107" s="540"/>
      <c r="BN107" s="540"/>
      <c r="BO107" s="540"/>
    </row>
    <row r="108" spans="1:67" ht="35.1" customHeight="1" x14ac:dyDescent="0.25">
      <c r="A108" s="3">
        <f t="shared" si="1"/>
        <v>96</v>
      </c>
      <c r="B108" s="1218" t="s">
        <v>162</v>
      </c>
      <c r="C108" s="1218"/>
      <c r="D108" s="1222"/>
      <c r="E108" s="1222"/>
      <c r="F108" s="1222"/>
      <c r="G108" s="1222"/>
      <c r="H108" s="1222"/>
      <c r="I108" s="1219"/>
      <c r="J108" s="1219"/>
      <c r="K108" s="1219"/>
      <c r="L108" s="1219"/>
      <c r="M108" s="1219"/>
      <c r="N108" s="1219"/>
      <c r="O108" s="1219"/>
      <c r="P108" s="1219"/>
      <c r="Q108" s="1220"/>
      <c r="R108" s="1220"/>
      <c r="S108" s="1220"/>
      <c r="T108" s="1220"/>
      <c r="U108" s="1220"/>
      <c r="V108" s="1220"/>
      <c r="W108" s="1220"/>
      <c r="X108" s="1220"/>
      <c r="Y108" s="1219"/>
      <c r="Z108" s="1219"/>
      <c r="AA108" s="1220"/>
      <c r="AB108" s="1220"/>
      <c r="AC108" s="1220"/>
      <c r="AD108" s="1220"/>
      <c r="AE108" s="1219"/>
      <c r="AF108" s="1219"/>
      <c r="AG108" s="1219"/>
      <c r="AH108" s="1220"/>
      <c r="AI108" s="1220"/>
      <c r="AJ108" s="1220"/>
      <c r="AK108" s="1219"/>
      <c r="AL108" s="1219"/>
      <c r="AM108" s="1219"/>
      <c r="AN108" s="1219"/>
      <c r="AO108" s="1220"/>
      <c r="AP108" s="1220"/>
      <c r="AQ108" s="1220"/>
      <c r="AR108" s="1220"/>
      <c r="AS108" s="1220"/>
      <c r="AT108" s="1220"/>
      <c r="AU108" s="1220"/>
      <c r="AV108" s="1220"/>
      <c r="AW108" s="1258"/>
      <c r="AX108" s="1258"/>
      <c r="AY108" s="1258"/>
      <c r="AZ108" s="1220"/>
      <c r="BA108" s="1220"/>
      <c r="BB108" s="1220"/>
      <c r="BC108" s="1220"/>
      <c r="BD108" s="1220"/>
      <c r="BE108" s="1220"/>
      <c r="BF108" s="1220"/>
      <c r="BG108" s="1220"/>
      <c r="BH108" s="1220"/>
      <c r="BI108" s="1220"/>
      <c r="BJ108" s="1220"/>
      <c r="BK108" s="1220"/>
      <c r="BL108" s="1220"/>
      <c r="BM108" s="1220"/>
      <c r="BN108" s="1220"/>
      <c r="BO108" s="1220"/>
    </row>
    <row r="109" spans="1:67" ht="35.1" customHeight="1" x14ac:dyDescent="0.25">
      <c r="A109" s="3">
        <f t="shared" si="1"/>
        <v>97</v>
      </c>
      <c r="B109" s="1218" t="s">
        <v>162</v>
      </c>
      <c r="C109" s="1218"/>
      <c r="D109" s="1221"/>
      <c r="E109" s="1221"/>
      <c r="F109" s="1221"/>
      <c r="G109" s="1221"/>
      <c r="H109" s="1221"/>
      <c r="I109" s="540"/>
      <c r="J109" s="540"/>
      <c r="K109" s="540"/>
      <c r="L109" s="540"/>
      <c r="M109" s="540"/>
      <c r="N109" s="540"/>
      <c r="O109" s="540"/>
      <c r="P109" s="540"/>
      <c r="Q109" s="540"/>
      <c r="R109" s="540"/>
      <c r="S109" s="540"/>
      <c r="T109" s="540"/>
      <c r="U109" s="540"/>
      <c r="V109" s="540"/>
      <c r="W109" s="540"/>
      <c r="X109" s="540"/>
      <c r="Y109" s="540"/>
      <c r="Z109" s="540"/>
      <c r="AA109" s="540"/>
      <c r="AB109" s="540"/>
      <c r="AC109" s="540"/>
      <c r="AD109" s="540"/>
      <c r="AE109" s="540"/>
      <c r="AF109" s="540"/>
      <c r="AG109" s="540"/>
      <c r="AH109" s="540"/>
      <c r="AI109" s="540"/>
      <c r="AJ109" s="540"/>
      <c r="AK109" s="540"/>
      <c r="AL109" s="540"/>
      <c r="AM109" s="540"/>
      <c r="AN109" s="540"/>
      <c r="AO109" s="540"/>
      <c r="AP109" s="540"/>
      <c r="AQ109" s="540"/>
      <c r="AR109" s="540"/>
      <c r="AS109" s="540"/>
      <c r="AT109" s="540"/>
      <c r="AU109" s="540"/>
      <c r="AV109" s="540"/>
      <c r="AW109" s="1259"/>
      <c r="AX109" s="1259"/>
      <c r="AY109" s="1259"/>
      <c r="AZ109" s="540"/>
      <c r="BA109" s="540"/>
      <c r="BB109" s="540"/>
      <c r="BC109" s="540"/>
      <c r="BD109" s="540"/>
      <c r="BE109" s="540"/>
      <c r="BF109" s="540"/>
      <c r="BG109" s="540"/>
      <c r="BH109" s="540"/>
      <c r="BI109" s="540"/>
      <c r="BJ109" s="540"/>
      <c r="BK109" s="540"/>
      <c r="BL109" s="540"/>
      <c r="BM109" s="540"/>
      <c r="BN109" s="540"/>
      <c r="BO109" s="540"/>
    </row>
    <row r="110" spans="1:67" ht="35.1" customHeight="1" x14ac:dyDescent="0.25">
      <c r="A110" s="3">
        <f t="shared" si="1"/>
        <v>98</v>
      </c>
      <c r="B110" s="1218" t="s">
        <v>162</v>
      </c>
      <c r="C110" s="1218"/>
      <c r="D110" s="1222"/>
      <c r="E110" s="1222"/>
      <c r="F110" s="1222"/>
      <c r="G110" s="1222"/>
      <c r="H110" s="1222"/>
      <c r="I110" s="1219"/>
      <c r="J110" s="1219"/>
      <c r="K110" s="1219"/>
      <c r="L110" s="1219"/>
      <c r="M110" s="1219"/>
      <c r="N110" s="1219"/>
      <c r="O110" s="1219"/>
      <c r="P110" s="1219"/>
      <c r="Q110" s="1220"/>
      <c r="R110" s="1220"/>
      <c r="S110" s="1220"/>
      <c r="T110" s="1220"/>
      <c r="U110" s="1220"/>
      <c r="V110" s="1220"/>
      <c r="W110" s="1220"/>
      <c r="X110" s="1220"/>
      <c r="Y110" s="1219"/>
      <c r="Z110" s="1219"/>
      <c r="AA110" s="1220"/>
      <c r="AB110" s="1220"/>
      <c r="AC110" s="1220"/>
      <c r="AD110" s="1220"/>
      <c r="AE110" s="1219"/>
      <c r="AF110" s="1219"/>
      <c r="AG110" s="1219"/>
      <c r="AH110" s="1220"/>
      <c r="AI110" s="1220"/>
      <c r="AJ110" s="1220"/>
      <c r="AK110" s="1219"/>
      <c r="AL110" s="1219"/>
      <c r="AM110" s="1219"/>
      <c r="AN110" s="1219"/>
      <c r="AO110" s="1220"/>
      <c r="AP110" s="1220"/>
      <c r="AQ110" s="1220"/>
      <c r="AR110" s="1220"/>
      <c r="AS110" s="1220"/>
      <c r="AT110" s="1220"/>
      <c r="AU110" s="1220"/>
      <c r="AV110" s="1220"/>
      <c r="AW110" s="1258"/>
      <c r="AX110" s="1258"/>
      <c r="AY110" s="1258"/>
      <c r="AZ110" s="1220"/>
      <c r="BA110" s="1220"/>
      <c r="BB110" s="1220"/>
      <c r="BC110" s="1220"/>
      <c r="BD110" s="1220"/>
      <c r="BE110" s="1220"/>
      <c r="BF110" s="1220"/>
      <c r="BG110" s="1220"/>
      <c r="BH110" s="1220"/>
      <c r="BI110" s="1220"/>
      <c r="BJ110" s="1220"/>
      <c r="BK110" s="1220"/>
      <c r="BL110" s="1220"/>
      <c r="BM110" s="1220"/>
      <c r="BN110" s="1220"/>
      <c r="BO110" s="1220"/>
    </row>
    <row r="111" spans="1:67" ht="35.1" customHeight="1" x14ac:dyDescent="0.25">
      <c r="A111" s="3">
        <f t="shared" si="1"/>
        <v>99</v>
      </c>
      <c r="B111" s="1218" t="s">
        <v>162</v>
      </c>
      <c r="C111" s="1218"/>
      <c r="D111" s="1221"/>
      <c r="E111" s="1221"/>
      <c r="F111" s="1221"/>
      <c r="G111" s="1221"/>
      <c r="H111" s="1221"/>
      <c r="I111" s="540"/>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40"/>
      <c r="AH111" s="540"/>
      <c r="AI111" s="540"/>
      <c r="AJ111" s="540"/>
      <c r="AK111" s="540"/>
      <c r="AL111" s="540"/>
      <c r="AM111" s="540"/>
      <c r="AN111" s="540"/>
      <c r="AO111" s="540"/>
      <c r="AP111" s="540"/>
      <c r="AQ111" s="540"/>
      <c r="AR111" s="540"/>
      <c r="AS111" s="540"/>
      <c r="AT111" s="540"/>
      <c r="AU111" s="540"/>
      <c r="AV111" s="540"/>
      <c r="AW111" s="1259"/>
      <c r="AX111" s="1259"/>
      <c r="AY111" s="1259"/>
      <c r="AZ111" s="540"/>
      <c r="BA111" s="540"/>
      <c r="BB111" s="540"/>
      <c r="BC111" s="540"/>
      <c r="BD111" s="540"/>
      <c r="BE111" s="540"/>
      <c r="BF111" s="540"/>
      <c r="BG111" s="540"/>
      <c r="BH111" s="540"/>
      <c r="BI111" s="540"/>
      <c r="BJ111" s="540"/>
      <c r="BK111" s="540"/>
      <c r="BL111" s="540"/>
      <c r="BM111" s="540"/>
      <c r="BN111" s="540"/>
      <c r="BO111" s="540"/>
    </row>
    <row r="112" spans="1:67" ht="35.1" customHeight="1" x14ac:dyDescent="0.25">
      <c r="A112" s="3">
        <f t="shared" si="1"/>
        <v>100</v>
      </c>
      <c r="B112" s="1218" t="s">
        <v>162</v>
      </c>
      <c r="C112" s="1218"/>
      <c r="D112" s="1222"/>
      <c r="E112" s="1222"/>
      <c r="F112" s="1222"/>
      <c r="G112" s="1222"/>
      <c r="H112" s="1222"/>
      <c r="I112" s="1219"/>
      <c r="J112" s="1219"/>
      <c r="K112" s="1219"/>
      <c r="L112" s="1219"/>
      <c r="M112" s="1219"/>
      <c r="N112" s="1219"/>
      <c r="O112" s="1219"/>
      <c r="P112" s="1219"/>
      <c r="Q112" s="1220"/>
      <c r="R112" s="1220"/>
      <c r="S112" s="1220"/>
      <c r="T112" s="1220"/>
      <c r="U112" s="1220"/>
      <c r="V112" s="1220"/>
      <c r="W112" s="1220"/>
      <c r="X112" s="1220"/>
      <c r="Y112" s="1219"/>
      <c r="Z112" s="1219"/>
      <c r="AA112" s="1220"/>
      <c r="AB112" s="1220"/>
      <c r="AC112" s="1220"/>
      <c r="AD112" s="1220"/>
      <c r="AE112" s="1219"/>
      <c r="AF112" s="1219"/>
      <c r="AG112" s="1219"/>
      <c r="AH112" s="1220"/>
      <c r="AI112" s="1220"/>
      <c r="AJ112" s="1220"/>
      <c r="AK112" s="1219"/>
      <c r="AL112" s="1219"/>
      <c r="AM112" s="1219"/>
      <c r="AN112" s="1219"/>
      <c r="AO112" s="1220"/>
      <c r="AP112" s="1220"/>
      <c r="AQ112" s="1220"/>
      <c r="AR112" s="1220"/>
      <c r="AS112" s="1220"/>
      <c r="AT112" s="1220"/>
      <c r="AU112" s="1220"/>
      <c r="AV112" s="1220"/>
      <c r="AW112" s="1258"/>
      <c r="AX112" s="1258"/>
      <c r="AY112" s="1258"/>
      <c r="AZ112" s="1220"/>
      <c r="BA112" s="1220"/>
      <c r="BB112" s="1220"/>
      <c r="BC112" s="1220"/>
      <c r="BD112" s="1220"/>
      <c r="BE112" s="1220"/>
      <c r="BF112" s="1220"/>
      <c r="BG112" s="1220"/>
      <c r="BH112" s="1220"/>
      <c r="BI112" s="1220"/>
      <c r="BJ112" s="1220"/>
      <c r="BK112" s="1220"/>
      <c r="BL112" s="1220"/>
      <c r="BM112" s="1220"/>
      <c r="BN112" s="1220"/>
      <c r="BO112" s="1220"/>
    </row>
    <row r="113" spans="1:67" ht="35.1" customHeight="1" x14ac:dyDescent="0.25">
      <c r="A113" s="3">
        <f t="shared" si="1"/>
        <v>101</v>
      </c>
      <c r="B113" s="1218" t="s">
        <v>162</v>
      </c>
      <c r="C113" s="1218"/>
      <c r="D113" s="1221"/>
      <c r="E113" s="1221"/>
      <c r="F113" s="1221"/>
      <c r="G113" s="1221"/>
      <c r="H113" s="1221"/>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0"/>
      <c r="AF113" s="540"/>
      <c r="AG113" s="540"/>
      <c r="AH113" s="540"/>
      <c r="AI113" s="540"/>
      <c r="AJ113" s="540"/>
      <c r="AK113" s="540"/>
      <c r="AL113" s="540"/>
      <c r="AM113" s="540"/>
      <c r="AN113" s="540"/>
      <c r="AO113" s="540"/>
      <c r="AP113" s="540"/>
      <c r="AQ113" s="540"/>
      <c r="AR113" s="540"/>
      <c r="AS113" s="540"/>
      <c r="AT113" s="540"/>
      <c r="AU113" s="540"/>
      <c r="AV113" s="540"/>
      <c r="AW113" s="1259"/>
      <c r="AX113" s="1259"/>
      <c r="AY113" s="1259"/>
      <c r="AZ113" s="540"/>
      <c r="BA113" s="540"/>
      <c r="BB113" s="540"/>
      <c r="BC113" s="540"/>
      <c r="BD113" s="540"/>
      <c r="BE113" s="540"/>
      <c r="BF113" s="540"/>
      <c r="BG113" s="540"/>
      <c r="BH113" s="540"/>
      <c r="BI113" s="540"/>
      <c r="BJ113" s="540"/>
      <c r="BK113" s="540"/>
      <c r="BL113" s="540"/>
      <c r="BM113" s="540"/>
      <c r="BN113" s="540"/>
      <c r="BO113" s="540"/>
    </row>
    <row r="114" spans="1:67" ht="35.1" customHeight="1" x14ac:dyDescent="0.25">
      <c r="A114" s="3">
        <f t="shared" si="1"/>
        <v>102</v>
      </c>
      <c r="B114" s="1218" t="s">
        <v>162</v>
      </c>
      <c r="C114" s="1218"/>
      <c r="D114" s="1222"/>
      <c r="E114" s="1222"/>
      <c r="F114" s="1222"/>
      <c r="G114" s="1222"/>
      <c r="H114" s="1222"/>
      <c r="I114" s="1219"/>
      <c r="J114" s="1219"/>
      <c r="K114" s="1219"/>
      <c r="L114" s="1219"/>
      <c r="M114" s="1219"/>
      <c r="N114" s="1219"/>
      <c r="O114" s="1219"/>
      <c r="P114" s="1219"/>
      <c r="Q114" s="1220"/>
      <c r="R114" s="1220"/>
      <c r="S114" s="1220"/>
      <c r="T114" s="1220"/>
      <c r="U114" s="1220"/>
      <c r="V114" s="1220"/>
      <c r="W114" s="1220"/>
      <c r="X114" s="1220"/>
      <c r="Y114" s="1219"/>
      <c r="Z114" s="1219"/>
      <c r="AA114" s="1220"/>
      <c r="AB114" s="1220"/>
      <c r="AC114" s="1220"/>
      <c r="AD114" s="1220"/>
      <c r="AE114" s="1219"/>
      <c r="AF114" s="1219"/>
      <c r="AG114" s="1219"/>
      <c r="AH114" s="1220"/>
      <c r="AI114" s="1220"/>
      <c r="AJ114" s="1220"/>
      <c r="AK114" s="1219"/>
      <c r="AL114" s="1219"/>
      <c r="AM114" s="1219"/>
      <c r="AN114" s="1219"/>
      <c r="AO114" s="1220"/>
      <c r="AP114" s="1220"/>
      <c r="AQ114" s="1220"/>
      <c r="AR114" s="1220"/>
      <c r="AS114" s="1220"/>
      <c r="AT114" s="1220"/>
      <c r="AU114" s="1220"/>
      <c r="AV114" s="1220"/>
      <c r="AW114" s="1258"/>
      <c r="AX114" s="1258"/>
      <c r="AY114" s="1258"/>
      <c r="AZ114" s="1220"/>
      <c r="BA114" s="1220"/>
      <c r="BB114" s="1220"/>
      <c r="BC114" s="1220"/>
      <c r="BD114" s="1220"/>
      <c r="BE114" s="1220"/>
      <c r="BF114" s="1220"/>
      <c r="BG114" s="1220"/>
      <c r="BH114" s="1220"/>
      <c r="BI114" s="1220"/>
      <c r="BJ114" s="1220"/>
      <c r="BK114" s="1220"/>
      <c r="BL114" s="1220"/>
      <c r="BM114" s="1220"/>
      <c r="BN114" s="1220"/>
      <c r="BO114" s="1220"/>
    </row>
    <row r="115" spans="1:67" ht="35.1" customHeight="1" x14ac:dyDescent="0.25">
      <c r="A115" s="3">
        <f t="shared" si="1"/>
        <v>103</v>
      </c>
      <c r="B115" s="1218" t="s">
        <v>162</v>
      </c>
      <c r="C115" s="1218"/>
      <c r="D115" s="1221"/>
      <c r="E115" s="1221"/>
      <c r="F115" s="1221"/>
      <c r="G115" s="1221"/>
      <c r="H115" s="1221"/>
      <c r="I115" s="540"/>
      <c r="J115" s="540"/>
      <c r="K115" s="540"/>
      <c r="L115" s="540"/>
      <c r="M115" s="540"/>
      <c r="N115" s="540"/>
      <c r="O115" s="540"/>
      <c r="P115" s="540"/>
      <c r="Q115" s="540"/>
      <c r="R115" s="540"/>
      <c r="S115" s="540"/>
      <c r="T115" s="540"/>
      <c r="U115" s="540"/>
      <c r="V115" s="540"/>
      <c r="W115" s="540"/>
      <c r="X115" s="540"/>
      <c r="Y115" s="540"/>
      <c r="Z115" s="540"/>
      <c r="AA115" s="540"/>
      <c r="AB115" s="540"/>
      <c r="AC115" s="540"/>
      <c r="AD115" s="540"/>
      <c r="AE115" s="540"/>
      <c r="AF115" s="540"/>
      <c r="AG115" s="540"/>
      <c r="AH115" s="540"/>
      <c r="AI115" s="540"/>
      <c r="AJ115" s="540"/>
      <c r="AK115" s="540"/>
      <c r="AL115" s="540"/>
      <c r="AM115" s="540"/>
      <c r="AN115" s="540"/>
      <c r="AO115" s="540"/>
      <c r="AP115" s="540"/>
      <c r="AQ115" s="540"/>
      <c r="AR115" s="540"/>
      <c r="AS115" s="540"/>
      <c r="AT115" s="540"/>
      <c r="AU115" s="540"/>
      <c r="AV115" s="540"/>
      <c r="AW115" s="1259"/>
      <c r="AX115" s="1259"/>
      <c r="AY115" s="1259"/>
      <c r="AZ115" s="540"/>
      <c r="BA115" s="540"/>
      <c r="BB115" s="540"/>
      <c r="BC115" s="540"/>
      <c r="BD115" s="540"/>
      <c r="BE115" s="540"/>
      <c r="BF115" s="540"/>
      <c r="BG115" s="540"/>
      <c r="BH115" s="540"/>
      <c r="BI115" s="540"/>
      <c r="BJ115" s="540"/>
      <c r="BK115" s="540"/>
      <c r="BL115" s="540"/>
      <c r="BM115" s="540"/>
      <c r="BN115" s="540"/>
      <c r="BO115" s="540"/>
    </row>
    <row r="116" spans="1:67" ht="35.1" customHeight="1" x14ac:dyDescent="0.25">
      <c r="A116" s="3">
        <f t="shared" si="1"/>
        <v>104</v>
      </c>
      <c r="B116" s="1218" t="s">
        <v>162</v>
      </c>
      <c r="C116" s="1218"/>
      <c r="D116" s="1222"/>
      <c r="E116" s="1222"/>
      <c r="F116" s="1222"/>
      <c r="G116" s="1222"/>
      <c r="H116" s="1222"/>
      <c r="I116" s="1219"/>
      <c r="J116" s="1219"/>
      <c r="K116" s="1219"/>
      <c r="L116" s="1219"/>
      <c r="M116" s="1219"/>
      <c r="N116" s="1219"/>
      <c r="O116" s="1219"/>
      <c r="P116" s="1219"/>
      <c r="Q116" s="1220"/>
      <c r="R116" s="1220"/>
      <c r="S116" s="1220"/>
      <c r="T116" s="1220"/>
      <c r="U116" s="1220"/>
      <c r="V116" s="1220"/>
      <c r="W116" s="1220"/>
      <c r="X116" s="1220"/>
      <c r="Y116" s="1219"/>
      <c r="Z116" s="1219"/>
      <c r="AA116" s="1220"/>
      <c r="AB116" s="1220"/>
      <c r="AC116" s="1220"/>
      <c r="AD116" s="1220"/>
      <c r="AE116" s="1219"/>
      <c r="AF116" s="1219"/>
      <c r="AG116" s="1219"/>
      <c r="AH116" s="1220"/>
      <c r="AI116" s="1220"/>
      <c r="AJ116" s="1220"/>
      <c r="AK116" s="1219"/>
      <c r="AL116" s="1219"/>
      <c r="AM116" s="1219"/>
      <c r="AN116" s="1219"/>
      <c r="AO116" s="1220"/>
      <c r="AP116" s="1220"/>
      <c r="AQ116" s="1220"/>
      <c r="AR116" s="1220"/>
      <c r="AS116" s="1220"/>
      <c r="AT116" s="1220"/>
      <c r="AU116" s="1220"/>
      <c r="AV116" s="1220"/>
      <c r="AW116" s="1258"/>
      <c r="AX116" s="1258"/>
      <c r="AY116" s="1258"/>
      <c r="AZ116" s="1220"/>
      <c r="BA116" s="1220"/>
      <c r="BB116" s="1220"/>
      <c r="BC116" s="1220"/>
      <c r="BD116" s="1220"/>
      <c r="BE116" s="1220"/>
      <c r="BF116" s="1220"/>
      <c r="BG116" s="1220"/>
      <c r="BH116" s="1220"/>
      <c r="BI116" s="1220"/>
      <c r="BJ116" s="1220"/>
      <c r="BK116" s="1220"/>
      <c r="BL116" s="1220"/>
      <c r="BM116" s="1220"/>
      <c r="BN116" s="1220"/>
      <c r="BO116" s="1220"/>
    </row>
    <row r="117" spans="1:67" ht="35.1" customHeight="1" x14ac:dyDescent="0.25">
      <c r="A117" s="3">
        <f t="shared" si="1"/>
        <v>105</v>
      </c>
      <c r="B117" s="1218" t="s">
        <v>162</v>
      </c>
      <c r="C117" s="1218"/>
      <c r="D117" s="1221"/>
      <c r="E117" s="1221"/>
      <c r="F117" s="1221"/>
      <c r="G117" s="1221"/>
      <c r="H117" s="1221"/>
      <c r="I117" s="540"/>
      <c r="J117" s="540"/>
      <c r="K117" s="540"/>
      <c r="L117" s="540"/>
      <c r="M117" s="540"/>
      <c r="N117" s="540"/>
      <c r="O117" s="540"/>
      <c r="P117" s="540"/>
      <c r="Q117" s="540"/>
      <c r="R117" s="540"/>
      <c r="S117" s="540"/>
      <c r="T117" s="540"/>
      <c r="U117" s="540"/>
      <c r="V117" s="540"/>
      <c r="W117" s="540"/>
      <c r="X117" s="540"/>
      <c r="Y117" s="540"/>
      <c r="Z117" s="540"/>
      <c r="AA117" s="540"/>
      <c r="AB117" s="540"/>
      <c r="AC117" s="540"/>
      <c r="AD117" s="540"/>
      <c r="AE117" s="540"/>
      <c r="AF117" s="540"/>
      <c r="AG117" s="540"/>
      <c r="AH117" s="540"/>
      <c r="AI117" s="540"/>
      <c r="AJ117" s="540"/>
      <c r="AK117" s="540"/>
      <c r="AL117" s="540"/>
      <c r="AM117" s="540"/>
      <c r="AN117" s="540"/>
      <c r="AO117" s="540"/>
      <c r="AP117" s="540"/>
      <c r="AQ117" s="540"/>
      <c r="AR117" s="540"/>
      <c r="AS117" s="540"/>
      <c r="AT117" s="540"/>
      <c r="AU117" s="540"/>
      <c r="AV117" s="540"/>
      <c r="AW117" s="1259"/>
      <c r="AX117" s="1259"/>
      <c r="AY117" s="1259"/>
      <c r="AZ117" s="540"/>
      <c r="BA117" s="540"/>
      <c r="BB117" s="540"/>
      <c r="BC117" s="540"/>
      <c r="BD117" s="540"/>
      <c r="BE117" s="540"/>
      <c r="BF117" s="540"/>
      <c r="BG117" s="540"/>
      <c r="BH117" s="540"/>
      <c r="BI117" s="540"/>
      <c r="BJ117" s="540"/>
      <c r="BK117" s="540"/>
      <c r="BL117" s="540"/>
      <c r="BM117" s="540"/>
      <c r="BN117" s="540"/>
      <c r="BO117" s="540"/>
    </row>
    <row r="118" spans="1:67" ht="35.1" customHeight="1" x14ac:dyDescent="0.25">
      <c r="A118" s="3">
        <f t="shared" si="1"/>
        <v>106</v>
      </c>
      <c r="B118" s="1218" t="s">
        <v>162</v>
      </c>
      <c r="C118" s="1218"/>
      <c r="D118" s="1222"/>
      <c r="E118" s="1222"/>
      <c r="F118" s="1222"/>
      <c r="G118" s="1222"/>
      <c r="H118" s="1222"/>
      <c r="I118" s="1219"/>
      <c r="J118" s="1219"/>
      <c r="K118" s="1219"/>
      <c r="L118" s="1219"/>
      <c r="M118" s="1219"/>
      <c r="N118" s="1219"/>
      <c r="O118" s="1219"/>
      <c r="P118" s="1219"/>
      <c r="Q118" s="1220"/>
      <c r="R118" s="1220"/>
      <c r="S118" s="1220"/>
      <c r="T118" s="1220"/>
      <c r="U118" s="1220"/>
      <c r="V118" s="1220"/>
      <c r="W118" s="1220"/>
      <c r="X118" s="1220"/>
      <c r="Y118" s="1219"/>
      <c r="Z118" s="1219"/>
      <c r="AA118" s="1220"/>
      <c r="AB118" s="1220"/>
      <c r="AC118" s="1220"/>
      <c r="AD118" s="1220"/>
      <c r="AE118" s="1219"/>
      <c r="AF118" s="1219"/>
      <c r="AG118" s="1219"/>
      <c r="AH118" s="1220"/>
      <c r="AI118" s="1220"/>
      <c r="AJ118" s="1220"/>
      <c r="AK118" s="1219"/>
      <c r="AL118" s="1219"/>
      <c r="AM118" s="1219"/>
      <c r="AN118" s="1219"/>
      <c r="AO118" s="1220"/>
      <c r="AP118" s="1220"/>
      <c r="AQ118" s="1220"/>
      <c r="AR118" s="1220"/>
      <c r="AS118" s="1220"/>
      <c r="AT118" s="1220"/>
      <c r="AU118" s="1220"/>
      <c r="AV118" s="1220"/>
      <c r="AW118" s="1258"/>
      <c r="AX118" s="1258"/>
      <c r="AY118" s="1258"/>
      <c r="AZ118" s="1220"/>
      <c r="BA118" s="1220"/>
      <c r="BB118" s="1220"/>
      <c r="BC118" s="1220"/>
      <c r="BD118" s="1220"/>
      <c r="BE118" s="1220"/>
      <c r="BF118" s="1220"/>
      <c r="BG118" s="1220"/>
      <c r="BH118" s="1220"/>
      <c r="BI118" s="1220"/>
      <c r="BJ118" s="1220"/>
      <c r="BK118" s="1220"/>
      <c r="BL118" s="1220"/>
      <c r="BM118" s="1220"/>
      <c r="BN118" s="1220"/>
      <c r="BO118" s="1220"/>
    </row>
    <row r="119" spans="1:67" ht="35.1" customHeight="1" x14ac:dyDescent="0.25">
      <c r="A119" s="3">
        <f t="shared" si="1"/>
        <v>107</v>
      </c>
      <c r="B119" s="1218" t="s">
        <v>162</v>
      </c>
      <c r="C119" s="1218"/>
      <c r="D119" s="1221"/>
      <c r="E119" s="1221"/>
      <c r="F119" s="1221"/>
      <c r="G119" s="1221"/>
      <c r="H119" s="1221"/>
      <c r="I119" s="540"/>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E119" s="540"/>
      <c r="AF119" s="540"/>
      <c r="AG119" s="540"/>
      <c r="AH119" s="540"/>
      <c r="AI119" s="540"/>
      <c r="AJ119" s="540"/>
      <c r="AK119" s="540"/>
      <c r="AL119" s="540"/>
      <c r="AM119" s="540"/>
      <c r="AN119" s="540"/>
      <c r="AO119" s="540"/>
      <c r="AP119" s="540"/>
      <c r="AQ119" s="540"/>
      <c r="AR119" s="540"/>
      <c r="AS119" s="540"/>
      <c r="AT119" s="540"/>
      <c r="AU119" s="540"/>
      <c r="AV119" s="540"/>
      <c r="AW119" s="1259"/>
      <c r="AX119" s="1259"/>
      <c r="AY119" s="1259"/>
      <c r="AZ119" s="540"/>
      <c r="BA119" s="540"/>
      <c r="BB119" s="540"/>
      <c r="BC119" s="540"/>
      <c r="BD119" s="540"/>
      <c r="BE119" s="540"/>
      <c r="BF119" s="540"/>
      <c r="BG119" s="540"/>
      <c r="BH119" s="540"/>
      <c r="BI119" s="540"/>
      <c r="BJ119" s="540"/>
      <c r="BK119" s="540"/>
      <c r="BL119" s="540"/>
      <c r="BM119" s="540"/>
      <c r="BN119" s="540"/>
      <c r="BO119" s="540"/>
    </row>
    <row r="120" spans="1:67" ht="35.1" customHeight="1" x14ac:dyDescent="0.25">
      <c r="A120" s="3">
        <f t="shared" si="1"/>
        <v>108</v>
      </c>
      <c r="B120" s="1218" t="s">
        <v>162</v>
      </c>
      <c r="C120" s="1218"/>
      <c r="D120" s="1222"/>
      <c r="E120" s="1222"/>
      <c r="F120" s="1222"/>
      <c r="G120" s="1222"/>
      <c r="H120" s="1222"/>
      <c r="I120" s="1219"/>
      <c r="J120" s="1219"/>
      <c r="K120" s="1219"/>
      <c r="L120" s="1219"/>
      <c r="M120" s="1219"/>
      <c r="N120" s="1219"/>
      <c r="O120" s="1219"/>
      <c r="P120" s="1219"/>
      <c r="Q120" s="1220"/>
      <c r="R120" s="1220"/>
      <c r="S120" s="1220"/>
      <c r="T120" s="1220"/>
      <c r="U120" s="1220"/>
      <c r="V120" s="1220"/>
      <c r="W120" s="1220"/>
      <c r="X120" s="1220"/>
      <c r="Y120" s="1219"/>
      <c r="Z120" s="1219"/>
      <c r="AA120" s="1220"/>
      <c r="AB120" s="1220"/>
      <c r="AC120" s="1220"/>
      <c r="AD120" s="1220"/>
      <c r="AE120" s="1219"/>
      <c r="AF120" s="1219"/>
      <c r="AG120" s="1219"/>
      <c r="AH120" s="1220"/>
      <c r="AI120" s="1220"/>
      <c r="AJ120" s="1220"/>
      <c r="AK120" s="1219"/>
      <c r="AL120" s="1219"/>
      <c r="AM120" s="1219"/>
      <c r="AN120" s="1219"/>
      <c r="AO120" s="1220"/>
      <c r="AP120" s="1220"/>
      <c r="AQ120" s="1220"/>
      <c r="AR120" s="1220"/>
      <c r="AS120" s="1220"/>
      <c r="AT120" s="1220"/>
      <c r="AU120" s="1220"/>
      <c r="AV120" s="1220"/>
      <c r="AW120" s="1258"/>
      <c r="AX120" s="1258"/>
      <c r="AY120" s="1258"/>
      <c r="AZ120" s="1220"/>
      <c r="BA120" s="1220"/>
      <c r="BB120" s="1220"/>
      <c r="BC120" s="1220"/>
      <c r="BD120" s="1220"/>
      <c r="BE120" s="1220"/>
      <c r="BF120" s="1220"/>
      <c r="BG120" s="1220"/>
      <c r="BH120" s="1220"/>
      <c r="BI120" s="1220"/>
      <c r="BJ120" s="1220"/>
      <c r="BK120" s="1220"/>
      <c r="BL120" s="1220"/>
      <c r="BM120" s="1220"/>
      <c r="BN120" s="1220"/>
      <c r="BO120" s="1220"/>
    </row>
    <row r="121" spans="1:67" ht="35.1" customHeight="1" x14ac:dyDescent="0.25">
      <c r="A121" s="3">
        <f t="shared" si="1"/>
        <v>109</v>
      </c>
      <c r="B121" s="1218" t="s">
        <v>162</v>
      </c>
      <c r="C121" s="1218"/>
      <c r="D121" s="1221"/>
      <c r="E121" s="1221"/>
      <c r="F121" s="1221"/>
      <c r="G121" s="1221"/>
      <c r="H121" s="1221"/>
      <c r="I121" s="540"/>
      <c r="J121" s="540"/>
      <c r="K121" s="540"/>
      <c r="L121" s="540"/>
      <c r="M121" s="540"/>
      <c r="N121" s="540"/>
      <c r="O121" s="540"/>
      <c r="P121" s="540"/>
      <c r="Q121" s="540"/>
      <c r="R121" s="540"/>
      <c r="S121" s="540"/>
      <c r="T121" s="540"/>
      <c r="U121" s="540"/>
      <c r="V121" s="540"/>
      <c r="W121" s="540"/>
      <c r="X121" s="540"/>
      <c r="Y121" s="540"/>
      <c r="Z121" s="540"/>
      <c r="AA121" s="540"/>
      <c r="AB121" s="540"/>
      <c r="AC121" s="540"/>
      <c r="AD121" s="540"/>
      <c r="AE121" s="540"/>
      <c r="AF121" s="540"/>
      <c r="AG121" s="540"/>
      <c r="AH121" s="540"/>
      <c r="AI121" s="540"/>
      <c r="AJ121" s="540"/>
      <c r="AK121" s="540"/>
      <c r="AL121" s="540"/>
      <c r="AM121" s="540"/>
      <c r="AN121" s="540"/>
      <c r="AO121" s="540"/>
      <c r="AP121" s="540"/>
      <c r="AQ121" s="540"/>
      <c r="AR121" s="540"/>
      <c r="AS121" s="540"/>
      <c r="AT121" s="540"/>
      <c r="AU121" s="540"/>
      <c r="AV121" s="540"/>
      <c r="AW121" s="1259"/>
      <c r="AX121" s="1259"/>
      <c r="AY121" s="1259"/>
      <c r="AZ121" s="540"/>
      <c r="BA121" s="540"/>
      <c r="BB121" s="540"/>
      <c r="BC121" s="540"/>
      <c r="BD121" s="540"/>
      <c r="BE121" s="540"/>
      <c r="BF121" s="540"/>
      <c r="BG121" s="540"/>
      <c r="BH121" s="540"/>
      <c r="BI121" s="540"/>
      <c r="BJ121" s="540"/>
      <c r="BK121" s="540"/>
      <c r="BL121" s="540"/>
      <c r="BM121" s="540"/>
      <c r="BN121" s="540"/>
      <c r="BO121" s="540"/>
    </row>
    <row r="122" spans="1:67" ht="35.1" customHeight="1" x14ac:dyDescent="0.25">
      <c r="A122" s="3">
        <f t="shared" si="1"/>
        <v>110</v>
      </c>
      <c r="B122" s="1235" t="s">
        <v>162</v>
      </c>
      <c r="C122" s="1235"/>
      <c r="D122" s="1222"/>
      <c r="E122" s="1222"/>
      <c r="F122" s="1222"/>
      <c r="G122" s="1222"/>
      <c r="H122" s="1222"/>
      <c r="I122" s="1219"/>
      <c r="J122" s="1219"/>
      <c r="K122" s="1219"/>
      <c r="L122" s="1219"/>
      <c r="M122" s="1219"/>
      <c r="N122" s="1219"/>
      <c r="O122" s="1219"/>
      <c r="P122" s="1219"/>
      <c r="Q122" s="1220"/>
      <c r="R122" s="1220"/>
      <c r="S122" s="1220"/>
      <c r="T122" s="1220"/>
      <c r="U122" s="1220"/>
      <c r="V122" s="1220"/>
      <c r="W122" s="1220"/>
      <c r="X122" s="1220"/>
      <c r="Y122" s="1219"/>
      <c r="Z122" s="1219"/>
      <c r="AA122" s="1220"/>
      <c r="AB122" s="1220"/>
      <c r="AC122" s="1220"/>
      <c r="AD122" s="1220"/>
      <c r="AE122" s="1219"/>
      <c r="AF122" s="1219"/>
      <c r="AG122" s="1219"/>
      <c r="AH122" s="1220"/>
      <c r="AI122" s="1220"/>
      <c r="AJ122" s="1220"/>
      <c r="AK122" s="1219"/>
      <c r="AL122" s="1219"/>
      <c r="AM122" s="1219"/>
      <c r="AN122" s="1219"/>
      <c r="AO122" s="1220"/>
      <c r="AP122" s="1220"/>
      <c r="AQ122" s="1220"/>
      <c r="AR122" s="1220"/>
      <c r="AS122" s="1220"/>
      <c r="AT122" s="1220"/>
      <c r="AU122" s="1220"/>
      <c r="AV122" s="1220"/>
      <c r="AW122" s="1258"/>
      <c r="AX122" s="1258"/>
      <c r="AY122" s="1258"/>
      <c r="AZ122" s="1220"/>
      <c r="BA122" s="1220"/>
      <c r="BB122" s="1220"/>
      <c r="BC122" s="1220"/>
      <c r="BD122" s="1220"/>
      <c r="BE122" s="1220"/>
      <c r="BF122" s="1220"/>
      <c r="BG122" s="1220"/>
      <c r="BH122" s="1220"/>
      <c r="BI122" s="1220"/>
      <c r="BJ122" s="1220"/>
      <c r="BK122" s="1220"/>
      <c r="BL122" s="1220"/>
      <c r="BM122" s="1220"/>
      <c r="BN122" s="1220"/>
      <c r="BO122" s="1220"/>
    </row>
    <row r="123" spans="1:67" ht="35.1" customHeight="1" x14ac:dyDescent="0.25">
      <c r="A123" s="3">
        <f t="shared" si="1"/>
        <v>111</v>
      </c>
      <c r="B123" s="1218" t="s">
        <v>162</v>
      </c>
      <c r="C123" s="1218"/>
      <c r="D123" s="1221"/>
      <c r="E123" s="1221"/>
      <c r="F123" s="1221"/>
      <c r="G123" s="1221"/>
      <c r="H123" s="1221"/>
      <c r="I123" s="540"/>
      <c r="J123" s="540"/>
      <c r="K123" s="540"/>
      <c r="L123" s="540"/>
      <c r="M123" s="540"/>
      <c r="N123" s="540"/>
      <c r="O123" s="540"/>
      <c r="P123" s="540"/>
      <c r="Q123" s="540"/>
      <c r="R123" s="540"/>
      <c r="S123" s="540"/>
      <c r="T123" s="540"/>
      <c r="U123" s="540"/>
      <c r="V123" s="540"/>
      <c r="W123" s="540"/>
      <c r="X123" s="540"/>
      <c r="Y123" s="540"/>
      <c r="Z123" s="540"/>
      <c r="AA123" s="540"/>
      <c r="AB123" s="540"/>
      <c r="AC123" s="540"/>
      <c r="AD123" s="540"/>
      <c r="AE123" s="540"/>
      <c r="AF123" s="540"/>
      <c r="AG123" s="540"/>
      <c r="AH123" s="540"/>
      <c r="AI123" s="540"/>
      <c r="AJ123" s="540"/>
      <c r="AK123" s="540"/>
      <c r="AL123" s="540"/>
      <c r="AM123" s="540"/>
      <c r="AN123" s="540"/>
      <c r="AO123" s="540"/>
      <c r="AP123" s="540"/>
      <c r="AQ123" s="540"/>
      <c r="AR123" s="540"/>
      <c r="AS123" s="540"/>
      <c r="AT123" s="540"/>
      <c r="AU123" s="540"/>
      <c r="AV123" s="540"/>
      <c r="AW123" s="1259"/>
      <c r="AX123" s="1259"/>
      <c r="AY123" s="1259"/>
      <c r="AZ123" s="540"/>
      <c r="BA123" s="540"/>
      <c r="BB123" s="540"/>
      <c r="BC123" s="540"/>
      <c r="BD123" s="540"/>
      <c r="BE123" s="540"/>
      <c r="BF123" s="540"/>
      <c r="BG123" s="540"/>
      <c r="BH123" s="540"/>
      <c r="BI123" s="540"/>
      <c r="BJ123" s="540"/>
      <c r="BK123" s="540"/>
      <c r="BL123" s="540"/>
      <c r="BM123" s="540"/>
      <c r="BN123" s="540"/>
      <c r="BO123" s="540"/>
    </row>
    <row r="124" spans="1:67" ht="35.1" customHeight="1" x14ac:dyDescent="0.25">
      <c r="A124" s="3">
        <f t="shared" si="1"/>
        <v>112</v>
      </c>
      <c r="B124" s="1218" t="s">
        <v>162</v>
      </c>
      <c r="C124" s="1218"/>
      <c r="D124" s="1222"/>
      <c r="E124" s="1222"/>
      <c r="F124" s="1222"/>
      <c r="G124" s="1222"/>
      <c r="H124" s="1222"/>
      <c r="I124" s="1219"/>
      <c r="J124" s="1219"/>
      <c r="K124" s="1219"/>
      <c r="L124" s="1219"/>
      <c r="M124" s="1219"/>
      <c r="N124" s="1219"/>
      <c r="O124" s="1219"/>
      <c r="P124" s="1219"/>
      <c r="Q124" s="1220"/>
      <c r="R124" s="1220"/>
      <c r="S124" s="1220"/>
      <c r="T124" s="1220"/>
      <c r="U124" s="1220"/>
      <c r="V124" s="1220"/>
      <c r="W124" s="1220"/>
      <c r="X124" s="1220"/>
      <c r="Y124" s="1219"/>
      <c r="Z124" s="1219"/>
      <c r="AA124" s="1220"/>
      <c r="AB124" s="1220"/>
      <c r="AC124" s="1220"/>
      <c r="AD124" s="1220"/>
      <c r="AE124" s="1219"/>
      <c r="AF124" s="1219"/>
      <c r="AG124" s="1219"/>
      <c r="AH124" s="1220"/>
      <c r="AI124" s="1220"/>
      <c r="AJ124" s="1220"/>
      <c r="AK124" s="1219"/>
      <c r="AL124" s="1219"/>
      <c r="AM124" s="1219"/>
      <c r="AN124" s="1219"/>
      <c r="AO124" s="1220"/>
      <c r="AP124" s="1220"/>
      <c r="AQ124" s="1220"/>
      <c r="AR124" s="1220"/>
      <c r="AS124" s="1220"/>
      <c r="AT124" s="1220"/>
      <c r="AU124" s="1220"/>
      <c r="AV124" s="1220"/>
      <c r="AW124" s="1258"/>
      <c r="AX124" s="1258"/>
      <c r="AY124" s="1258"/>
      <c r="AZ124" s="1220"/>
      <c r="BA124" s="1220"/>
      <c r="BB124" s="1220"/>
      <c r="BC124" s="1220"/>
      <c r="BD124" s="1220"/>
      <c r="BE124" s="1220"/>
      <c r="BF124" s="1220"/>
      <c r="BG124" s="1220"/>
      <c r="BH124" s="1220"/>
      <c r="BI124" s="1220"/>
      <c r="BJ124" s="1220"/>
      <c r="BK124" s="1220"/>
      <c r="BL124" s="1220"/>
      <c r="BM124" s="1220"/>
      <c r="BN124" s="1220"/>
      <c r="BO124" s="1220"/>
    </row>
    <row r="125" spans="1:67" ht="35.1" customHeight="1" x14ac:dyDescent="0.25">
      <c r="A125" s="3">
        <f t="shared" si="1"/>
        <v>113</v>
      </c>
      <c r="B125" s="1218" t="s">
        <v>162</v>
      </c>
      <c r="C125" s="1218"/>
      <c r="D125" s="1221"/>
      <c r="E125" s="1221"/>
      <c r="F125" s="1221"/>
      <c r="G125" s="1221"/>
      <c r="H125" s="1221"/>
      <c r="I125" s="540"/>
      <c r="J125" s="540"/>
      <c r="K125" s="540"/>
      <c r="L125" s="540"/>
      <c r="M125" s="540"/>
      <c r="N125" s="540"/>
      <c r="O125" s="540"/>
      <c r="P125" s="540"/>
      <c r="Q125" s="540"/>
      <c r="R125" s="540"/>
      <c r="S125" s="540"/>
      <c r="T125" s="540"/>
      <c r="U125" s="540"/>
      <c r="V125" s="540"/>
      <c r="W125" s="540"/>
      <c r="X125" s="540"/>
      <c r="Y125" s="540"/>
      <c r="Z125" s="540"/>
      <c r="AA125" s="540"/>
      <c r="AB125" s="540"/>
      <c r="AC125" s="540"/>
      <c r="AD125" s="540"/>
      <c r="AE125" s="540"/>
      <c r="AF125" s="540"/>
      <c r="AG125" s="540"/>
      <c r="AH125" s="540"/>
      <c r="AI125" s="540"/>
      <c r="AJ125" s="540"/>
      <c r="AK125" s="540"/>
      <c r="AL125" s="540"/>
      <c r="AM125" s="540"/>
      <c r="AN125" s="540"/>
      <c r="AO125" s="540"/>
      <c r="AP125" s="540"/>
      <c r="AQ125" s="540"/>
      <c r="AR125" s="540"/>
      <c r="AS125" s="540"/>
      <c r="AT125" s="540"/>
      <c r="AU125" s="540"/>
      <c r="AV125" s="540"/>
      <c r="AW125" s="1259"/>
      <c r="AX125" s="1259"/>
      <c r="AY125" s="1259"/>
      <c r="AZ125" s="540"/>
      <c r="BA125" s="540"/>
      <c r="BB125" s="540"/>
      <c r="BC125" s="540"/>
      <c r="BD125" s="540"/>
      <c r="BE125" s="540"/>
      <c r="BF125" s="540"/>
      <c r="BG125" s="540"/>
      <c r="BH125" s="540"/>
      <c r="BI125" s="540"/>
      <c r="BJ125" s="540"/>
      <c r="BK125" s="540"/>
      <c r="BL125" s="540"/>
      <c r="BM125" s="540"/>
      <c r="BN125" s="540"/>
      <c r="BO125" s="540"/>
    </row>
    <row r="126" spans="1:67" ht="35.1" customHeight="1" x14ac:dyDescent="0.25">
      <c r="A126" s="3">
        <f t="shared" si="1"/>
        <v>114</v>
      </c>
      <c r="B126" s="1218" t="s">
        <v>162</v>
      </c>
      <c r="C126" s="1218"/>
      <c r="D126" s="1222"/>
      <c r="E126" s="1222"/>
      <c r="F126" s="1222"/>
      <c r="G126" s="1222"/>
      <c r="H126" s="1222"/>
      <c r="I126" s="1219"/>
      <c r="J126" s="1219"/>
      <c r="K126" s="1219"/>
      <c r="L126" s="1219"/>
      <c r="M126" s="1219"/>
      <c r="N126" s="1219"/>
      <c r="O126" s="1219"/>
      <c r="P126" s="1219"/>
      <c r="Q126" s="1220"/>
      <c r="R126" s="1220"/>
      <c r="S126" s="1220"/>
      <c r="T126" s="1220"/>
      <c r="U126" s="1220"/>
      <c r="V126" s="1220"/>
      <c r="W126" s="1220"/>
      <c r="X126" s="1220"/>
      <c r="Y126" s="1219"/>
      <c r="Z126" s="1219"/>
      <c r="AA126" s="1220"/>
      <c r="AB126" s="1220"/>
      <c r="AC126" s="1220"/>
      <c r="AD126" s="1220"/>
      <c r="AE126" s="1219"/>
      <c r="AF126" s="1219"/>
      <c r="AG126" s="1219"/>
      <c r="AH126" s="1220"/>
      <c r="AI126" s="1220"/>
      <c r="AJ126" s="1220"/>
      <c r="AK126" s="1219"/>
      <c r="AL126" s="1219"/>
      <c r="AM126" s="1219"/>
      <c r="AN126" s="1219"/>
      <c r="AO126" s="1220"/>
      <c r="AP126" s="1220"/>
      <c r="AQ126" s="1220"/>
      <c r="AR126" s="1220"/>
      <c r="AS126" s="1220"/>
      <c r="AT126" s="1220"/>
      <c r="AU126" s="1220"/>
      <c r="AV126" s="1220"/>
      <c r="AW126" s="1258"/>
      <c r="AX126" s="1258"/>
      <c r="AY126" s="1258"/>
      <c r="AZ126" s="1220"/>
      <c r="BA126" s="1220"/>
      <c r="BB126" s="1220"/>
      <c r="BC126" s="1220"/>
      <c r="BD126" s="1220"/>
      <c r="BE126" s="1220"/>
      <c r="BF126" s="1220"/>
      <c r="BG126" s="1220"/>
      <c r="BH126" s="1220"/>
      <c r="BI126" s="1220"/>
      <c r="BJ126" s="1220"/>
      <c r="BK126" s="1220"/>
      <c r="BL126" s="1220"/>
      <c r="BM126" s="1220"/>
      <c r="BN126" s="1220"/>
      <c r="BO126" s="1220"/>
    </row>
    <row r="127" spans="1:67" ht="35.1" customHeight="1" x14ac:dyDescent="0.25">
      <c r="A127" s="3">
        <f t="shared" si="1"/>
        <v>115</v>
      </c>
      <c r="B127" s="1218" t="s">
        <v>162</v>
      </c>
      <c r="C127" s="1218"/>
      <c r="D127" s="1221"/>
      <c r="E127" s="1221"/>
      <c r="F127" s="1221"/>
      <c r="G127" s="1221"/>
      <c r="H127" s="1221"/>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c r="AF127" s="540"/>
      <c r="AG127" s="540"/>
      <c r="AH127" s="540"/>
      <c r="AI127" s="540"/>
      <c r="AJ127" s="540"/>
      <c r="AK127" s="540"/>
      <c r="AL127" s="540"/>
      <c r="AM127" s="540"/>
      <c r="AN127" s="540"/>
      <c r="AO127" s="540"/>
      <c r="AP127" s="540"/>
      <c r="AQ127" s="540"/>
      <c r="AR127" s="540"/>
      <c r="AS127" s="540"/>
      <c r="AT127" s="540"/>
      <c r="AU127" s="540"/>
      <c r="AV127" s="540"/>
      <c r="AW127" s="1259"/>
      <c r="AX127" s="1259"/>
      <c r="AY127" s="1259"/>
      <c r="AZ127" s="540"/>
      <c r="BA127" s="540"/>
      <c r="BB127" s="540"/>
      <c r="BC127" s="540"/>
      <c r="BD127" s="540"/>
      <c r="BE127" s="540"/>
      <c r="BF127" s="540"/>
      <c r="BG127" s="540"/>
      <c r="BH127" s="540"/>
      <c r="BI127" s="540"/>
      <c r="BJ127" s="540"/>
      <c r="BK127" s="540"/>
      <c r="BL127" s="540"/>
      <c r="BM127" s="540"/>
      <c r="BN127" s="540"/>
      <c r="BO127" s="540"/>
    </row>
    <row r="128" spans="1:67" ht="35.1" customHeight="1" x14ac:dyDescent="0.25">
      <c r="A128" s="3">
        <f t="shared" si="1"/>
        <v>116</v>
      </c>
      <c r="B128" s="1218" t="s">
        <v>162</v>
      </c>
      <c r="C128" s="1218"/>
      <c r="D128" s="1222"/>
      <c r="E128" s="1222"/>
      <c r="F128" s="1222"/>
      <c r="G128" s="1222"/>
      <c r="H128" s="1222"/>
      <c r="I128" s="1219"/>
      <c r="J128" s="1219"/>
      <c r="K128" s="1219"/>
      <c r="L128" s="1219"/>
      <c r="M128" s="1219"/>
      <c r="N128" s="1219"/>
      <c r="O128" s="1219"/>
      <c r="P128" s="1219"/>
      <c r="Q128" s="1220"/>
      <c r="R128" s="1220"/>
      <c r="S128" s="1220"/>
      <c r="T128" s="1220"/>
      <c r="U128" s="1220"/>
      <c r="V128" s="1220"/>
      <c r="W128" s="1220"/>
      <c r="X128" s="1220"/>
      <c r="Y128" s="1219"/>
      <c r="Z128" s="1219"/>
      <c r="AA128" s="1220"/>
      <c r="AB128" s="1220"/>
      <c r="AC128" s="1220"/>
      <c r="AD128" s="1220"/>
      <c r="AE128" s="1219"/>
      <c r="AF128" s="1219"/>
      <c r="AG128" s="1219"/>
      <c r="AH128" s="1220"/>
      <c r="AI128" s="1220"/>
      <c r="AJ128" s="1220"/>
      <c r="AK128" s="1219"/>
      <c r="AL128" s="1219"/>
      <c r="AM128" s="1219"/>
      <c r="AN128" s="1219"/>
      <c r="AO128" s="1220"/>
      <c r="AP128" s="1220"/>
      <c r="AQ128" s="1220"/>
      <c r="AR128" s="1220"/>
      <c r="AS128" s="1220"/>
      <c r="AT128" s="1220"/>
      <c r="AU128" s="1220"/>
      <c r="AV128" s="1220"/>
      <c r="AW128" s="1258"/>
      <c r="AX128" s="1258"/>
      <c r="AY128" s="1258"/>
      <c r="AZ128" s="1220"/>
      <c r="BA128" s="1220"/>
      <c r="BB128" s="1220"/>
      <c r="BC128" s="1220"/>
      <c r="BD128" s="1220"/>
      <c r="BE128" s="1220"/>
      <c r="BF128" s="1220"/>
      <c r="BG128" s="1220"/>
      <c r="BH128" s="1220"/>
      <c r="BI128" s="1220"/>
      <c r="BJ128" s="1220"/>
      <c r="BK128" s="1220"/>
      <c r="BL128" s="1220"/>
      <c r="BM128" s="1220"/>
      <c r="BN128" s="1220"/>
      <c r="BO128" s="1220"/>
    </row>
    <row r="129" spans="1:67" ht="35.1" customHeight="1" x14ac:dyDescent="0.25">
      <c r="A129" s="3">
        <f t="shared" si="1"/>
        <v>117</v>
      </c>
      <c r="B129" s="1218" t="s">
        <v>162</v>
      </c>
      <c r="C129" s="1218"/>
      <c r="D129" s="1221"/>
      <c r="E129" s="1221"/>
      <c r="F129" s="1221"/>
      <c r="G129" s="1221"/>
      <c r="H129" s="1221"/>
      <c r="I129" s="540"/>
      <c r="J129" s="540"/>
      <c r="K129" s="540"/>
      <c r="L129" s="540"/>
      <c r="M129" s="540"/>
      <c r="N129" s="540"/>
      <c r="O129" s="540"/>
      <c r="P129" s="540"/>
      <c r="Q129" s="540"/>
      <c r="R129" s="540"/>
      <c r="S129" s="540"/>
      <c r="T129" s="540"/>
      <c r="U129" s="540"/>
      <c r="V129" s="540"/>
      <c r="W129" s="540"/>
      <c r="X129" s="540"/>
      <c r="Y129" s="540"/>
      <c r="Z129" s="540"/>
      <c r="AA129" s="540"/>
      <c r="AB129" s="540"/>
      <c r="AC129" s="540"/>
      <c r="AD129" s="540"/>
      <c r="AE129" s="540"/>
      <c r="AF129" s="540"/>
      <c r="AG129" s="540"/>
      <c r="AH129" s="540"/>
      <c r="AI129" s="540"/>
      <c r="AJ129" s="540"/>
      <c r="AK129" s="540"/>
      <c r="AL129" s="540"/>
      <c r="AM129" s="540"/>
      <c r="AN129" s="540"/>
      <c r="AO129" s="540"/>
      <c r="AP129" s="540"/>
      <c r="AQ129" s="540"/>
      <c r="AR129" s="540"/>
      <c r="AS129" s="540"/>
      <c r="AT129" s="540"/>
      <c r="AU129" s="540"/>
      <c r="AV129" s="540"/>
      <c r="AW129" s="1259"/>
      <c r="AX129" s="1259"/>
      <c r="AY129" s="1259"/>
      <c r="AZ129" s="540"/>
      <c r="BA129" s="540"/>
      <c r="BB129" s="540"/>
      <c r="BC129" s="540"/>
      <c r="BD129" s="540"/>
      <c r="BE129" s="540"/>
      <c r="BF129" s="540"/>
      <c r="BG129" s="540"/>
      <c r="BH129" s="540"/>
      <c r="BI129" s="540"/>
      <c r="BJ129" s="540"/>
      <c r="BK129" s="540"/>
      <c r="BL129" s="540"/>
      <c r="BM129" s="540"/>
      <c r="BN129" s="540"/>
      <c r="BO129" s="540"/>
    </row>
    <row r="130" spans="1:67" ht="35.1" customHeight="1" x14ac:dyDescent="0.25">
      <c r="A130" s="3">
        <f>+ROW(A118)</f>
        <v>118</v>
      </c>
      <c r="B130" s="1218" t="s">
        <v>162</v>
      </c>
      <c r="C130" s="1218"/>
      <c r="D130" s="1222"/>
      <c r="E130" s="1222"/>
      <c r="F130" s="1222"/>
      <c r="G130" s="1222"/>
      <c r="H130" s="1222"/>
      <c r="I130" s="1219"/>
      <c r="J130" s="1219"/>
      <c r="K130" s="1219"/>
      <c r="L130" s="1219"/>
      <c r="M130" s="1219"/>
      <c r="N130" s="1219"/>
      <c r="O130" s="1219"/>
      <c r="P130" s="1219"/>
      <c r="Q130" s="1220"/>
      <c r="R130" s="1220"/>
      <c r="S130" s="1220"/>
      <c r="T130" s="1220"/>
      <c r="U130" s="1220"/>
      <c r="V130" s="1220"/>
      <c r="W130" s="1220"/>
      <c r="X130" s="1220"/>
      <c r="Y130" s="1219"/>
      <c r="Z130" s="1219"/>
      <c r="AA130" s="1220"/>
      <c r="AB130" s="1220"/>
      <c r="AC130" s="1220"/>
      <c r="AD130" s="1220"/>
      <c r="AE130" s="1219"/>
      <c r="AF130" s="1219"/>
      <c r="AG130" s="1219"/>
      <c r="AH130" s="1220"/>
      <c r="AI130" s="1220"/>
      <c r="AJ130" s="1220"/>
      <c r="AK130" s="1219"/>
      <c r="AL130" s="1219"/>
      <c r="AM130" s="1219"/>
      <c r="AN130" s="1219"/>
      <c r="AO130" s="1220"/>
      <c r="AP130" s="1220"/>
      <c r="AQ130" s="1220"/>
      <c r="AR130" s="1220"/>
      <c r="AS130" s="1220"/>
      <c r="AT130" s="1220"/>
      <c r="AU130" s="1220"/>
      <c r="AV130" s="1220"/>
      <c r="AW130" s="1258"/>
      <c r="AX130" s="1258"/>
      <c r="AY130" s="1258"/>
      <c r="AZ130" s="1220"/>
      <c r="BA130" s="1220"/>
      <c r="BB130" s="1220"/>
      <c r="BC130" s="1220"/>
      <c r="BD130" s="1220"/>
      <c r="BE130" s="1220"/>
      <c r="BF130" s="1220"/>
      <c r="BG130" s="1220"/>
      <c r="BH130" s="1220"/>
      <c r="BI130" s="1220"/>
      <c r="BJ130" s="1220"/>
      <c r="BK130" s="1220"/>
      <c r="BL130" s="1220"/>
      <c r="BM130" s="1220"/>
      <c r="BN130" s="1220"/>
      <c r="BO130" s="1220"/>
    </row>
    <row r="131" spans="1:67" ht="35.1" customHeight="1" x14ac:dyDescent="0.25">
      <c r="A131" s="3">
        <f t="shared" ref="A131:A194" si="2">+ROW(A119)</f>
        <v>119</v>
      </c>
      <c r="B131" s="1218" t="s">
        <v>162</v>
      </c>
      <c r="C131" s="1218"/>
      <c r="D131" s="1221"/>
      <c r="E131" s="1221"/>
      <c r="F131" s="1221"/>
      <c r="G131" s="1221"/>
      <c r="H131" s="1221"/>
      <c r="I131" s="540"/>
      <c r="J131" s="540"/>
      <c r="K131" s="540"/>
      <c r="L131" s="540"/>
      <c r="M131" s="540"/>
      <c r="N131" s="540"/>
      <c r="O131" s="540"/>
      <c r="P131" s="540"/>
      <c r="Q131" s="540"/>
      <c r="R131" s="540"/>
      <c r="S131" s="540"/>
      <c r="T131" s="540"/>
      <c r="U131" s="540"/>
      <c r="V131" s="540"/>
      <c r="W131" s="540"/>
      <c r="X131" s="540"/>
      <c r="Y131" s="540"/>
      <c r="Z131" s="540"/>
      <c r="AA131" s="540"/>
      <c r="AB131" s="540"/>
      <c r="AC131" s="540"/>
      <c r="AD131" s="540"/>
      <c r="AE131" s="540"/>
      <c r="AF131" s="540"/>
      <c r="AG131" s="540"/>
      <c r="AH131" s="540"/>
      <c r="AI131" s="540"/>
      <c r="AJ131" s="540"/>
      <c r="AK131" s="540"/>
      <c r="AL131" s="540"/>
      <c r="AM131" s="540"/>
      <c r="AN131" s="540"/>
      <c r="AO131" s="540"/>
      <c r="AP131" s="540"/>
      <c r="AQ131" s="540"/>
      <c r="AR131" s="540"/>
      <c r="AS131" s="540"/>
      <c r="AT131" s="540"/>
      <c r="AU131" s="540"/>
      <c r="AV131" s="540"/>
      <c r="AW131" s="1259"/>
      <c r="AX131" s="1259"/>
      <c r="AY131" s="1259"/>
      <c r="AZ131" s="540"/>
      <c r="BA131" s="540"/>
      <c r="BB131" s="540"/>
      <c r="BC131" s="540"/>
      <c r="BD131" s="540"/>
      <c r="BE131" s="540"/>
      <c r="BF131" s="540"/>
      <c r="BG131" s="540"/>
      <c r="BH131" s="540"/>
      <c r="BI131" s="540"/>
      <c r="BJ131" s="540"/>
      <c r="BK131" s="540"/>
      <c r="BL131" s="540"/>
      <c r="BM131" s="540"/>
      <c r="BN131" s="540"/>
      <c r="BO131" s="540"/>
    </row>
    <row r="132" spans="1:67" ht="35.1" customHeight="1" x14ac:dyDescent="0.25">
      <c r="A132" s="3">
        <f t="shared" si="2"/>
        <v>120</v>
      </c>
      <c r="B132" s="1218" t="s">
        <v>162</v>
      </c>
      <c r="C132" s="1218"/>
      <c r="D132" s="1222"/>
      <c r="E132" s="1222"/>
      <c r="F132" s="1222"/>
      <c r="G132" s="1222"/>
      <c r="H132" s="1222"/>
      <c r="I132" s="1219"/>
      <c r="J132" s="1219"/>
      <c r="K132" s="1219"/>
      <c r="L132" s="1219"/>
      <c r="M132" s="1219"/>
      <c r="N132" s="1219"/>
      <c r="O132" s="1219"/>
      <c r="P132" s="1219"/>
      <c r="Q132" s="1220"/>
      <c r="R132" s="1220"/>
      <c r="S132" s="1220"/>
      <c r="T132" s="1220"/>
      <c r="U132" s="1220"/>
      <c r="V132" s="1220"/>
      <c r="W132" s="1220"/>
      <c r="X132" s="1220"/>
      <c r="Y132" s="1219"/>
      <c r="Z132" s="1219"/>
      <c r="AA132" s="1220"/>
      <c r="AB132" s="1220"/>
      <c r="AC132" s="1220"/>
      <c r="AD132" s="1220"/>
      <c r="AE132" s="1219"/>
      <c r="AF132" s="1219"/>
      <c r="AG132" s="1219"/>
      <c r="AH132" s="1220"/>
      <c r="AI132" s="1220"/>
      <c r="AJ132" s="1220"/>
      <c r="AK132" s="1219"/>
      <c r="AL132" s="1219"/>
      <c r="AM132" s="1219"/>
      <c r="AN132" s="1219"/>
      <c r="AO132" s="1220"/>
      <c r="AP132" s="1220"/>
      <c r="AQ132" s="1220"/>
      <c r="AR132" s="1220"/>
      <c r="AS132" s="1220"/>
      <c r="AT132" s="1220"/>
      <c r="AU132" s="1220"/>
      <c r="AV132" s="1220"/>
      <c r="AW132" s="1258"/>
      <c r="AX132" s="1258"/>
      <c r="AY132" s="1258"/>
      <c r="AZ132" s="1220"/>
      <c r="BA132" s="1220"/>
      <c r="BB132" s="1220"/>
      <c r="BC132" s="1220"/>
      <c r="BD132" s="1220"/>
      <c r="BE132" s="1220"/>
      <c r="BF132" s="1220"/>
      <c r="BG132" s="1220"/>
      <c r="BH132" s="1220"/>
      <c r="BI132" s="1220"/>
      <c r="BJ132" s="1220"/>
      <c r="BK132" s="1220"/>
      <c r="BL132" s="1220"/>
      <c r="BM132" s="1220"/>
      <c r="BN132" s="1220"/>
      <c r="BO132" s="1220"/>
    </row>
    <row r="133" spans="1:67" ht="35.1" customHeight="1" x14ac:dyDescent="0.25">
      <c r="A133" s="3">
        <f t="shared" si="2"/>
        <v>121</v>
      </c>
      <c r="B133" s="1218" t="s">
        <v>162</v>
      </c>
      <c r="C133" s="1218"/>
      <c r="D133" s="1221"/>
      <c r="E133" s="1221"/>
      <c r="F133" s="1221"/>
      <c r="G133" s="1221"/>
      <c r="H133" s="1221"/>
      <c r="I133" s="540"/>
      <c r="J133" s="540"/>
      <c r="K133" s="540"/>
      <c r="L133" s="540"/>
      <c r="M133" s="540"/>
      <c r="N133" s="540"/>
      <c r="O133" s="540"/>
      <c r="P133" s="540"/>
      <c r="Q133" s="540"/>
      <c r="R133" s="540"/>
      <c r="S133" s="540"/>
      <c r="T133" s="540"/>
      <c r="U133" s="540"/>
      <c r="V133" s="540"/>
      <c r="W133" s="540"/>
      <c r="X133" s="540"/>
      <c r="Y133" s="540"/>
      <c r="Z133" s="540"/>
      <c r="AA133" s="540"/>
      <c r="AB133" s="540"/>
      <c r="AC133" s="540"/>
      <c r="AD133" s="540"/>
      <c r="AE133" s="540"/>
      <c r="AF133" s="540"/>
      <c r="AG133" s="540"/>
      <c r="AH133" s="540"/>
      <c r="AI133" s="540"/>
      <c r="AJ133" s="540"/>
      <c r="AK133" s="540"/>
      <c r="AL133" s="540"/>
      <c r="AM133" s="540"/>
      <c r="AN133" s="540"/>
      <c r="AO133" s="540"/>
      <c r="AP133" s="540"/>
      <c r="AQ133" s="540"/>
      <c r="AR133" s="540"/>
      <c r="AS133" s="540"/>
      <c r="AT133" s="540"/>
      <c r="AU133" s="540"/>
      <c r="AV133" s="540"/>
      <c r="AW133" s="1259"/>
      <c r="AX133" s="1259"/>
      <c r="AY133" s="1259"/>
      <c r="AZ133" s="540"/>
      <c r="BA133" s="540"/>
      <c r="BB133" s="540"/>
      <c r="BC133" s="540"/>
      <c r="BD133" s="540"/>
      <c r="BE133" s="540"/>
      <c r="BF133" s="540"/>
      <c r="BG133" s="540"/>
      <c r="BH133" s="540"/>
      <c r="BI133" s="540"/>
      <c r="BJ133" s="540"/>
      <c r="BK133" s="540"/>
      <c r="BL133" s="540"/>
      <c r="BM133" s="540"/>
      <c r="BN133" s="540"/>
      <c r="BO133" s="540"/>
    </row>
    <row r="134" spans="1:67" ht="35.1" customHeight="1" x14ac:dyDescent="0.25">
      <c r="A134" s="3">
        <f t="shared" si="2"/>
        <v>122</v>
      </c>
      <c r="B134" s="1218" t="s">
        <v>162</v>
      </c>
      <c r="C134" s="1218"/>
      <c r="D134" s="1222"/>
      <c r="E134" s="1222"/>
      <c r="F134" s="1222"/>
      <c r="G134" s="1222"/>
      <c r="H134" s="1222"/>
      <c r="I134" s="1219"/>
      <c r="J134" s="1219"/>
      <c r="K134" s="1219"/>
      <c r="L134" s="1219"/>
      <c r="M134" s="1219"/>
      <c r="N134" s="1219"/>
      <c r="O134" s="1219"/>
      <c r="P134" s="1219"/>
      <c r="Q134" s="1220"/>
      <c r="R134" s="1220"/>
      <c r="S134" s="1220"/>
      <c r="T134" s="1220"/>
      <c r="U134" s="1220"/>
      <c r="V134" s="1220"/>
      <c r="W134" s="1220"/>
      <c r="X134" s="1220"/>
      <c r="Y134" s="1219"/>
      <c r="Z134" s="1219"/>
      <c r="AA134" s="1220"/>
      <c r="AB134" s="1220"/>
      <c r="AC134" s="1220"/>
      <c r="AD134" s="1220"/>
      <c r="AE134" s="1219"/>
      <c r="AF134" s="1219"/>
      <c r="AG134" s="1219"/>
      <c r="AH134" s="1220"/>
      <c r="AI134" s="1220"/>
      <c r="AJ134" s="1220"/>
      <c r="AK134" s="1219"/>
      <c r="AL134" s="1219"/>
      <c r="AM134" s="1219"/>
      <c r="AN134" s="1219"/>
      <c r="AO134" s="1220"/>
      <c r="AP134" s="1220"/>
      <c r="AQ134" s="1220"/>
      <c r="AR134" s="1220"/>
      <c r="AS134" s="1220"/>
      <c r="AT134" s="1220"/>
      <c r="AU134" s="1220"/>
      <c r="AV134" s="1220"/>
      <c r="AW134" s="1258"/>
      <c r="AX134" s="1258"/>
      <c r="AY134" s="1258"/>
      <c r="AZ134" s="1220"/>
      <c r="BA134" s="1220"/>
      <c r="BB134" s="1220"/>
      <c r="BC134" s="1220"/>
      <c r="BD134" s="1220"/>
      <c r="BE134" s="1220"/>
      <c r="BF134" s="1220"/>
      <c r="BG134" s="1220"/>
      <c r="BH134" s="1220"/>
      <c r="BI134" s="1220"/>
      <c r="BJ134" s="1220"/>
      <c r="BK134" s="1220"/>
      <c r="BL134" s="1220"/>
      <c r="BM134" s="1220"/>
      <c r="BN134" s="1220"/>
      <c r="BO134" s="1220"/>
    </row>
    <row r="135" spans="1:67" ht="35.1" customHeight="1" x14ac:dyDescent="0.25">
      <c r="A135" s="3">
        <f t="shared" si="2"/>
        <v>123</v>
      </c>
      <c r="B135" s="1218" t="s">
        <v>162</v>
      </c>
      <c r="C135" s="1218"/>
      <c r="D135" s="1221"/>
      <c r="E135" s="1221"/>
      <c r="F135" s="1221"/>
      <c r="G135" s="1221"/>
      <c r="H135" s="1221"/>
      <c r="I135" s="540"/>
      <c r="J135" s="540"/>
      <c r="K135" s="540"/>
      <c r="L135" s="540"/>
      <c r="M135" s="540"/>
      <c r="N135" s="540"/>
      <c r="O135" s="540"/>
      <c r="P135" s="540"/>
      <c r="Q135" s="540"/>
      <c r="R135" s="540"/>
      <c r="S135" s="540"/>
      <c r="T135" s="540"/>
      <c r="U135" s="540"/>
      <c r="V135" s="540"/>
      <c r="W135" s="540"/>
      <c r="X135" s="540"/>
      <c r="Y135" s="540"/>
      <c r="Z135" s="540"/>
      <c r="AA135" s="540"/>
      <c r="AB135" s="540"/>
      <c r="AC135" s="540"/>
      <c r="AD135" s="540"/>
      <c r="AE135" s="540"/>
      <c r="AF135" s="540"/>
      <c r="AG135" s="540"/>
      <c r="AH135" s="540"/>
      <c r="AI135" s="540"/>
      <c r="AJ135" s="540"/>
      <c r="AK135" s="540"/>
      <c r="AL135" s="540"/>
      <c r="AM135" s="540"/>
      <c r="AN135" s="540"/>
      <c r="AO135" s="540"/>
      <c r="AP135" s="540"/>
      <c r="AQ135" s="540"/>
      <c r="AR135" s="540"/>
      <c r="AS135" s="540"/>
      <c r="AT135" s="540"/>
      <c r="AU135" s="540"/>
      <c r="AV135" s="540"/>
      <c r="AW135" s="1259"/>
      <c r="AX135" s="1259"/>
      <c r="AY135" s="1259"/>
      <c r="AZ135" s="540"/>
      <c r="BA135" s="540"/>
      <c r="BB135" s="540"/>
      <c r="BC135" s="540"/>
      <c r="BD135" s="540"/>
      <c r="BE135" s="540"/>
      <c r="BF135" s="540"/>
      <c r="BG135" s="540"/>
      <c r="BH135" s="540"/>
      <c r="BI135" s="540"/>
      <c r="BJ135" s="540"/>
      <c r="BK135" s="540"/>
      <c r="BL135" s="540"/>
      <c r="BM135" s="540"/>
      <c r="BN135" s="540"/>
      <c r="BO135" s="540"/>
    </row>
    <row r="136" spans="1:67" ht="35.1" customHeight="1" x14ac:dyDescent="0.25">
      <c r="A136" s="3">
        <f t="shared" si="2"/>
        <v>124</v>
      </c>
      <c r="B136" s="1218" t="s">
        <v>162</v>
      </c>
      <c r="C136" s="1218"/>
      <c r="D136" s="1222"/>
      <c r="E136" s="1222"/>
      <c r="F136" s="1222"/>
      <c r="G136" s="1222"/>
      <c r="H136" s="1222"/>
      <c r="I136" s="1219"/>
      <c r="J136" s="1219"/>
      <c r="K136" s="1219"/>
      <c r="L136" s="1219"/>
      <c r="M136" s="1219"/>
      <c r="N136" s="1219"/>
      <c r="O136" s="1219"/>
      <c r="P136" s="1219"/>
      <c r="Q136" s="1220"/>
      <c r="R136" s="1220"/>
      <c r="S136" s="1220"/>
      <c r="T136" s="1220"/>
      <c r="U136" s="1220"/>
      <c r="V136" s="1220"/>
      <c r="W136" s="1220"/>
      <c r="X136" s="1220"/>
      <c r="Y136" s="1219"/>
      <c r="Z136" s="1219"/>
      <c r="AA136" s="1220"/>
      <c r="AB136" s="1220"/>
      <c r="AC136" s="1220"/>
      <c r="AD136" s="1220"/>
      <c r="AE136" s="1219"/>
      <c r="AF136" s="1219"/>
      <c r="AG136" s="1219"/>
      <c r="AH136" s="1220"/>
      <c r="AI136" s="1220"/>
      <c r="AJ136" s="1220"/>
      <c r="AK136" s="1219"/>
      <c r="AL136" s="1219"/>
      <c r="AM136" s="1219"/>
      <c r="AN136" s="1219"/>
      <c r="AO136" s="1220"/>
      <c r="AP136" s="1220"/>
      <c r="AQ136" s="1220"/>
      <c r="AR136" s="1220"/>
      <c r="AS136" s="1220"/>
      <c r="AT136" s="1220"/>
      <c r="AU136" s="1220"/>
      <c r="AV136" s="1220"/>
      <c r="AW136" s="1258"/>
      <c r="AX136" s="1258"/>
      <c r="AY136" s="1258"/>
      <c r="AZ136" s="1220"/>
      <c r="BA136" s="1220"/>
      <c r="BB136" s="1220"/>
      <c r="BC136" s="1220"/>
      <c r="BD136" s="1220"/>
      <c r="BE136" s="1220"/>
      <c r="BF136" s="1220"/>
      <c r="BG136" s="1220"/>
      <c r="BH136" s="1220"/>
      <c r="BI136" s="1220"/>
      <c r="BJ136" s="1220"/>
      <c r="BK136" s="1220"/>
      <c r="BL136" s="1220"/>
      <c r="BM136" s="1220"/>
      <c r="BN136" s="1220"/>
      <c r="BO136" s="1220"/>
    </row>
    <row r="137" spans="1:67" ht="35.1" customHeight="1" x14ac:dyDescent="0.25">
      <c r="A137" s="3">
        <f t="shared" si="2"/>
        <v>125</v>
      </c>
      <c r="B137" s="1218" t="s">
        <v>162</v>
      </c>
      <c r="C137" s="1218"/>
      <c r="D137" s="1221"/>
      <c r="E137" s="1221"/>
      <c r="F137" s="1221"/>
      <c r="G137" s="1221"/>
      <c r="H137" s="1221"/>
      <c r="I137" s="540"/>
      <c r="J137" s="540"/>
      <c r="K137" s="540"/>
      <c r="L137" s="540"/>
      <c r="M137" s="540"/>
      <c r="N137" s="540"/>
      <c r="O137" s="540"/>
      <c r="P137" s="540"/>
      <c r="Q137" s="540"/>
      <c r="R137" s="540"/>
      <c r="S137" s="540"/>
      <c r="T137" s="540"/>
      <c r="U137" s="540"/>
      <c r="V137" s="540"/>
      <c r="W137" s="540"/>
      <c r="X137" s="540"/>
      <c r="Y137" s="540"/>
      <c r="Z137" s="540"/>
      <c r="AA137" s="540"/>
      <c r="AB137" s="540"/>
      <c r="AC137" s="540"/>
      <c r="AD137" s="540"/>
      <c r="AE137" s="540"/>
      <c r="AF137" s="540"/>
      <c r="AG137" s="540"/>
      <c r="AH137" s="540"/>
      <c r="AI137" s="540"/>
      <c r="AJ137" s="540"/>
      <c r="AK137" s="540"/>
      <c r="AL137" s="540"/>
      <c r="AM137" s="540"/>
      <c r="AN137" s="540"/>
      <c r="AO137" s="540"/>
      <c r="AP137" s="540"/>
      <c r="AQ137" s="540"/>
      <c r="AR137" s="540"/>
      <c r="AS137" s="540"/>
      <c r="AT137" s="540"/>
      <c r="AU137" s="540"/>
      <c r="AV137" s="540"/>
      <c r="AW137" s="1259"/>
      <c r="AX137" s="1259"/>
      <c r="AY137" s="1259"/>
      <c r="AZ137" s="540"/>
      <c r="BA137" s="540"/>
      <c r="BB137" s="540"/>
      <c r="BC137" s="540"/>
      <c r="BD137" s="540"/>
      <c r="BE137" s="540"/>
      <c r="BF137" s="540"/>
      <c r="BG137" s="540"/>
      <c r="BH137" s="540"/>
      <c r="BI137" s="540"/>
      <c r="BJ137" s="540"/>
      <c r="BK137" s="540"/>
      <c r="BL137" s="540"/>
      <c r="BM137" s="540"/>
      <c r="BN137" s="540"/>
      <c r="BO137" s="540"/>
    </row>
    <row r="138" spans="1:67" ht="35.1" customHeight="1" x14ac:dyDescent="0.25">
      <c r="A138" s="3">
        <f t="shared" si="2"/>
        <v>126</v>
      </c>
      <c r="B138" s="1218" t="s">
        <v>162</v>
      </c>
      <c r="C138" s="1218"/>
      <c r="D138" s="1222"/>
      <c r="E138" s="1222"/>
      <c r="F138" s="1222"/>
      <c r="G138" s="1222"/>
      <c r="H138" s="1222"/>
      <c r="I138" s="1219"/>
      <c r="J138" s="1219"/>
      <c r="K138" s="1219"/>
      <c r="L138" s="1219"/>
      <c r="M138" s="1219"/>
      <c r="N138" s="1219"/>
      <c r="O138" s="1219"/>
      <c r="P138" s="1219"/>
      <c r="Q138" s="1220"/>
      <c r="R138" s="1220"/>
      <c r="S138" s="1220"/>
      <c r="T138" s="1220"/>
      <c r="U138" s="1220"/>
      <c r="V138" s="1220"/>
      <c r="W138" s="1220"/>
      <c r="X138" s="1220"/>
      <c r="Y138" s="1219"/>
      <c r="Z138" s="1219"/>
      <c r="AA138" s="1220"/>
      <c r="AB138" s="1220"/>
      <c r="AC138" s="1220"/>
      <c r="AD138" s="1220"/>
      <c r="AE138" s="1219"/>
      <c r="AF138" s="1219"/>
      <c r="AG138" s="1219"/>
      <c r="AH138" s="1220"/>
      <c r="AI138" s="1220"/>
      <c r="AJ138" s="1220"/>
      <c r="AK138" s="1219"/>
      <c r="AL138" s="1219"/>
      <c r="AM138" s="1219"/>
      <c r="AN138" s="1219"/>
      <c r="AO138" s="1220"/>
      <c r="AP138" s="1220"/>
      <c r="AQ138" s="1220"/>
      <c r="AR138" s="1220"/>
      <c r="AS138" s="1220"/>
      <c r="AT138" s="1220"/>
      <c r="AU138" s="1220"/>
      <c r="AV138" s="1220"/>
      <c r="AW138" s="1258"/>
      <c r="AX138" s="1258"/>
      <c r="AY138" s="1258"/>
      <c r="AZ138" s="1220"/>
      <c r="BA138" s="1220"/>
      <c r="BB138" s="1220"/>
      <c r="BC138" s="1220"/>
      <c r="BD138" s="1220"/>
      <c r="BE138" s="1220"/>
      <c r="BF138" s="1220"/>
      <c r="BG138" s="1220"/>
      <c r="BH138" s="1220"/>
      <c r="BI138" s="1220"/>
      <c r="BJ138" s="1220"/>
      <c r="BK138" s="1220"/>
      <c r="BL138" s="1220"/>
      <c r="BM138" s="1220"/>
      <c r="BN138" s="1220"/>
      <c r="BO138" s="1220"/>
    </row>
    <row r="139" spans="1:67" ht="35.1" customHeight="1" x14ac:dyDescent="0.25">
      <c r="A139" s="3">
        <f t="shared" si="2"/>
        <v>127</v>
      </c>
      <c r="B139" s="1218" t="s">
        <v>162</v>
      </c>
      <c r="C139" s="1218"/>
      <c r="D139" s="1221"/>
      <c r="E139" s="1221"/>
      <c r="F139" s="1221"/>
      <c r="G139" s="1221"/>
      <c r="H139" s="1221"/>
      <c r="I139" s="540"/>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1259"/>
      <c r="AX139" s="1259"/>
      <c r="AY139" s="1259"/>
      <c r="AZ139" s="540"/>
      <c r="BA139" s="540"/>
      <c r="BB139" s="540"/>
      <c r="BC139" s="540"/>
      <c r="BD139" s="540"/>
      <c r="BE139" s="540"/>
      <c r="BF139" s="540"/>
      <c r="BG139" s="540"/>
      <c r="BH139" s="540"/>
      <c r="BI139" s="540"/>
      <c r="BJ139" s="540"/>
      <c r="BK139" s="540"/>
      <c r="BL139" s="540"/>
      <c r="BM139" s="540"/>
      <c r="BN139" s="540"/>
      <c r="BO139" s="540"/>
    </row>
    <row r="140" spans="1:67" ht="35.1" customHeight="1" x14ac:dyDescent="0.25">
      <c r="A140" s="3">
        <f t="shared" si="2"/>
        <v>128</v>
      </c>
      <c r="B140" s="1235" t="s">
        <v>162</v>
      </c>
      <c r="C140" s="1235"/>
      <c r="D140" s="1222"/>
      <c r="E140" s="1222"/>
      <c r="F140" s="1222"/>
      <c r="G140" s="1222"/>
      <c r="H140" s="1222"/>
      <c r="I140" s="1219"/>
      <c r="J140" s="1219"/>
      <c r="K140" s="1219"/>
      <c r="L140" s="1219"/>
      <c r="M140" s="1219"/>
      <c r="N140" s="1219"/>
      <c r="O140" s="1219"/>
      <c r="P140" s="1219"/>
      <c r="Q140" s="1220"/>
      <c r="R140" s="1220"/>
      <c r="S140" s="1220"/>
      <c r="T140" s="1220"/>
      <c r="U140" s="1220"/>
      <c r="V140" s="1220"/>
      <c r="W140" s="1220"/>
      <c r="X140" s="1220"/>
      <c r="Y140" s="1219"/>
      <c r="Z140" s="1219"/>
      <c r="AA140" s="1220"/>
      <c r="AB140" s="1220"/>
      <c r="AC140" s="1220"/>
      <c r="AD140" s="1220"/>
      <c r="AE140" s="1219"/>
      <c r="AF140" s="1219"/>
      <c r="AG140" s="1219"/>
      <c r="AH140" s="1220"/>
      <c r="AI140" s="1220"/>
      <c r="AJ140" s="1220"/>
      <c r="AK140" s="1219"/>
      <c r="AL140" s="1219"/>
      <c r="AM140" s="1219"/>
      <c r="AN140" s="1219"/>
      <c r="AO140" s="1220"/>
      <c r="AP140" s="1220"/>
      <c r="AQ140" s="1220"/>
      <c r="AR140" s="1220"/>
      <c r="AS140" s="1220"/>
      <c r="AT140" s="1220"/>
      <c r="AU140" s="1220"/>
      <c r="AV140" s="1220"/>
      <c r="AW140" s="1258"/>
      <c r="AX140" s="1258"/>
      <c r="AY140" s="1258"/>
      <c r="AZ140" s="1220"/>
      <c r="BA140" s="1220"/>
      <c r="BB140" s="1220"/>
      <c r="BC140" s="1220"/>
      <c r="BD140" s="1220"/>
      <c r="BE140" s="1220"/>
      <c r="BF140" s="1220"/>
      <c r="BG140" s="1220"/>
      <c r="BH140" s="1220"/>
      <c r="BI140" s="1220"/>
      <c r="BJ140" s="1220"/>
      <c r="BK140" s="1220"/>
      <c r="BL140" s="1220"/>
      <c r="BM140" s="1220"/>
      <c r="BN140" s="1220"/>
      <c r="BO140" s="1220"/>
    </row>
    <row r="141" spans="1:67" ht="35.1" customHeight="1" x14ac:dyDescent="0.25">
      <c r="A141" s="3">
        <f t="shared" si="2"/>
        <v>129</v>
      </c>
      <c r="B141" s="1218" t="s">
        <v>162</v>
      </c>
      <c r="C141" s="1218"/>
      <c r="D141" s="1221"/>
      <c r="E141" s="1221"/>
      <c r="F141" s="1221"/>
      <c r="G141" s="1221"/>
      <c r="H141" s="1221"/>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40"/>
      <c r="AO141" s="540"/>
      <c r="AP141" s="540"/>
      <c r="AQ141" s="540"/>
      <c r="AR141" s="540"/>
      <c r="AS141" s="540"/>
      <c r="AT141" s="540"/>
      <c r="AU141" s="540"/>
      <c r="AV141" s="540"/>
      <c r="AW141" s="1259"/>
      <c r="AX141" s="1259"/>
      <c r="AY141" s="1259"/>
      <c r="AZ141" s="540"/>
      <c r="BA141" s="540"/>
      <c r="BB141" s="540"/>
      <c r="BC141" s="540"/>
      <c r="BD141" s="540"/>
      <c r="BE141" s="540"/>
      <c r="BF141" s="540"/>
      <c r="BG141" s="540"/>
      <c r="BH141" s="540"/>
      <c r="BI141" s="540"/>
      <c r="BJ141" s="540"/>
      <c r="BK141" s="540"/>
      <c r="BL141" s="540"/>
      <c r="BM141" s="540"/>
      <c r="BN141" s="540"/>
      <c r="BO141" s="540"/>
    </row>
    <row r="142" spans="1:67" ht="35.1" customHeight="1" x14ac:dyDescent="0.25">
      <c r="A142" s="3">
        <f t="shared" si="2"/>
        <v>130</v>
      </c>
      <c r="B142" s="1218" t="s">
        <v>162</v>
      </c>
      <c r="C142" s="1218"/>
      <c r="D142" s="1222"/>
      <c r="E142" s="1222"/>
      <c r="F142" s="1222"/>
      <c r="G142" s="1222"/>
      <c r="H142" s="1222"/>
      <c r="I142" s="1219"/>
      <c r="J142" s="1219"/>
      <c r="K142" s="1219"/>
      <c r="L142" s="1219"/>
      <c r="M142" s="1219"/>
      <c r="N142" s="1219"/>
      <c r="O142" s="1219"/>
      <c r="P142" s="1219"/>
      <c r="Q142" s="1220"/>
      <c r="R142" s="1220"/>
      <c r="S142" s="1220"/>
      <c r="T142" s="1220"/>
      <c r="U142" s="1220"/>
      <c r="V142" s="1220"/>
      <c r="W142" s="1220"/>
      <c r="X142" s="1220"/>
      <c r="Y142" s="1219"/>
      <c r="Z142" s="1219"/>
      <c r="AA142" s="1220"/>
      <c r="AB142" s="1220"/>
      <c r="AC142" s="1220"/>
      <c r="AD142" s="1220"/>
      <c r="AE142" s="1219"/>
      <c r="AF142" s="1219"/>
      <c r="AG142" s="1219"/>
      <c r="AH142" s="1220"/>
      <c r="AI142" s="1220"/>
      <c r="AJ142" s="1220"/>
      <c r="AK142" s="1219"/>
      <c r="AL142" s="1219"/>
      <c r="AM142" s="1219"/>
      <c r="AN142" s="1219"/>
      <c r="AO142" s="1220"/>
      <c r="AP142" s="1220"/>
      <c r="AQ142" s="1220"/>
      <c r="AR142" s="1220"/>
      <c r="AS142" s="1220"/>
      <c r="AT142" s="1220"/>
      <c r="AU142" s="1220"/>
      <c r="AV142" s="1220"/>
      <c r="AW142" s="1258"/>
      <c r="AX142" s="1258"/>
      <c r="AY142" s="1258"/>
      <c r="AZ142" s="1220"/>
      <c r="BA142" s="1220"/>
      <c r="BB142" s="1220"/>
      <c r="BC142" s="1220"/>
      <c r="BD142" s="1220"/>
      <c r="BE142" s="1220"/>
      <c r="BF142" s="1220"/>
      <c r="BG142" s="1220"/>
      <c r="BH142" s="1220"/>
      <c r="BI142" s="1220"/>
      <c r="BJ142" s="1220"/>
      <c r="BK142" s="1220"/>
      <c r="BL142" s="1220"/>
      <c r="BM142" s="1220"/>
      <c r="BN142" s="1220"/>
      <c r="BO142" s="1220"/>
    </row>
    <row r="143" spans="1:67" ht="35.1" customHeight="1" x14ac:dyDescent="0.25">
      <c r="A143" s="3">
        <f t="shared" si="2"/>
        <v>131</v>
      </c>
      <c r="B143" s="1218" t="s">
        <v>162</v>
      </c>
      <c r="C143" s="1218"/>
      <c r="D143" s="1221"/>
      <c r="E143" s="1221"/>
      <c r="F143" s="1221"/>
      <c r="G143" s="1221"/>
      <c r="H143" s="1221"/>
      <c r="I143" s="540"/>
      <c r="J143" s="540"/>
      <c r="K143" s="540"/>
      <c r="L143" s="540"/>
      <c r="M143" s="540"/>
      <c r="N143" s="540"/>
      <c r="O143" s="540"/>
      <c r="P143" s="540"/>
      <c r="Q143" s="540"/>
      <c r="R143" s="540"/>
      <c r="S143" s="540"/>
      <c r="T143" s="540"/>
      <c r="U143" s="540"/>
      <c r="V143" s="540"/>
      <c r="W143" s="540"/>
      <c r="X143" s="540"/>
      <c r="Y143" s="540"/>
      <c r="Z143" s="540"/>
      <c r="AA143" s="540"/>
      <c r="AB143" s="540"/>
      <c r="AC143" s="540"/>
      <c r="AD143" s="540"/>
      <c r="AE143" s="540"/>
      <c r="AF143" s="540"/>
      <c r="AG143" s="540"/>
      <c r="AH143" s="540"/>
      <c r="AI143" s="540"/>
      <c r="AJ143" s="540"/>
      <c r="AK143" s="540"/>
      <c r="AL143" s="540"/>
      <c r="AM143" s="540"/>
      <c r="AN143" s="540"/>
      <c r="AO143" s="540"/>
      <c r="AP143" s="540"/>
      <c r="AQ143" s="540"/>
      <c r="AR143" s="540"/>
      <c r="AS143" s="540"/>
      <c r="AT143" s="540"/>
      <c r="AU143" s="540"/>
      <c r="AV143" s="540"/>
      <c r="AW143" s="1259"/>
      <c r="AX143" s="1259"/>
      <c r="AY143" s="1259"/>
      <c r="AZ143" s="540"/>
      <c r="BA143" s="540"/>
      <c r="BB143" s="540"/>
      <c r="BC143" s="540"/>
      <c r="BD143" s="540"/>
      <c r="BE143" s="540"/>
      <c r="BF143" s="540"/>
      <c r="BG143" s="540"/>
      <c r="BH143" s="540"/>
      <c r="BI143" s="540"/>
      <c r="BJ143" s="540"/>
      <c r="BK143" s="540"/>
      <c r="BL143" s="540"/>
      <c r="BM143" s="540"/>
      <c r="BN143" s="540"/>
      <c r="BO143" s="540"/>
    </row>
    <row r="144" spans="1:67" ht="35.1" customHeight="1" x14ac:dyDescent="0.25">
      <c r="A144" s="3">
        <f t="shared" si="2"/>
        <v>132</v>
      </c>
      <c r="B144" s="1218" t="s">
        <v>162</v>
      </c>
      <c r="C144" s="1218"/>
      <c r="D144" s="1222"/>
      <c r="E144" s="1222"/>
      <c r="F144" s="1222"/>
      <c r="G144" s="1222"/>
      <c r="H144" s="1222"/>
      <c r="I144" s="1219"/>
      <c r="J144" s="1219"/>
      <c r="K144" s="1219"/>
      <c r="L144" s="1219"/>
      <c r="M144" s="1219"/>
      <c r="N144" s="1219"/>
      <c r="O144" s="1219"/>
      <c r="P144" s="1219"/>
      <c r="Q144" s="1220"/>
      <c r="R144" s="1220"/>
      <c r="S144" s="1220"/>
      <c r="T144" s="1220"/>
      <c r="U144" s="1220"/>
      <c r="V144" s="1220"/>
      <c r="W144" s="1220"/>
      <c r="X144" s="1220"/>
      <c r="Y144" s="1219"/>
      <c r="Z144" s="1219"/>
      <c r="AA144" s="1220"/>
      <c r="AB144" s="1220"/>
      <c r="AC144" s="1220"/>
      <c r="AD144" s="1220"/>
      <c r="AE144" s="1219"/>
      <c r="AF144" s="1219"/>
      <c r="AG144" s="1219"/>
      <c r="AH144" s="1220"/>
      <c r="AI144" s="1220"/>
      <c r="AJ144" s="1220"/>
      <c r="AK144" s="1219"/>
      <c r="AL144" s="1219"/>
      <c r="AM144" s="1219"/>
      <c r="AN144" s="1219"/>
      <c r="AO144" s="1220"/>
      <c r="AP144" s="1220"/>
      <c r="AQ144" s="1220"/>
      <c r="AR144" s="1220"/>
      <c r="AS144" s="1220"/>
      <c r="AT144" s="1220"/>
      <c r="AU144" s="1220"/>
      <c r="AV144" s="1220"/>
      <c r="AW144" s="1258"/>
      <c r="AX144" s="1258"/>
      <c r="AY144" s="1258"/>
      <c r="AZ144" s="1220"/>
      <c r="BA144" s="1220"/>
      <c r="BB144" s="1220"/>
      <c r="BC144" s="1220"/>
      <c r="BD144" s="1220"/>
      <c r="BE144" s="1220"/>
      <c r="BF144" s="1220"/>
      <c r="BG144" s="1220"/>
      <c r="BH144" s="1220"/>
      <c r="BI144" s="1220"/>
      <c r="BJ144" s="1220"/>
      <c r="BK144" s="1220"/>
      <c r="BL144" s="1220"/>
      <c r="BM144" s="1220"/>
      <c r="BN144" s="1220"/>
      <c r="BO144" s="1220"/>
    </row>
    <row r="145" spans="1:67" ht="35.1" customHeight="1" x14ac:dyDescent="0.25">
      <c r="A145" s="3">
        <f t="shared" si="2"/>
        <v>133</v>
      </c>
      <c r="B145" s="1218" t="s">
        <v>162</v>
      </c>
      <c r="C145" s="1218"/>
      <c r="D145" s="1221"/>
      <c r="E145" s="1221"/>
      <c r="F145" s="1221"/>
      <c r="G145" s="1221"/>
      <c r="H145" s="1221"/>
      <c r="I145" s="540"/>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c r="AR145" s="540"/>
      <c r="AS145" s="540"/>
      <c r="AT145" s="540"/>
      <c r="AU145" s="540"/>
      <c r="AV145" s="540"/>
      <c r="AW145" s="1259"/>
      <c r="AX145" s="1259"/>
      <c r="AY145" s="1259"/>
      <c r="AZ145" s="540"/>
      <c r="BA145" s="540"/>
      <c r="BB145" s="540"/>
      <c r="BC145" s="540"/>
      <c r="BD145" s="540"/>
      <c r="BE145" s="540"/>
      <c r="BF145" s="540"/>
      <c r="BG145" s="540"/>
      <c r="BH145" s="540"/>
      <c r="BI145" s="540"/>
      <c r="BJ145" s="540"/>
      <c r="BK145" s="540"/>
      <c r="BL145" s="540"/>
      <c r="BM145" s="540"/>
      <c r="BN145" s="540"/>
      <c r="BO145" s="540"/>
    </row>
    <row r="146" spans="1:67" ht="35.1" customHeight="1" x14ac:dyDescent="0.25">
      <c r="A146" s="3">
        <f t="shared" si="2"/>
        <v>134</v>
      </c>
      <c r="B146" s="1218" t="s">
        <v>162</v>
      </c>
      <c r="C146" s="1218"/>
      <c r="D146" s="1222"/>
      <c r="E146" s="1222"/>
      <c r="F146" s="1222"/>
      <c r="G146" s="1222"/>
      <c r="H146" s="1222"/>
      <c r="I146" s="1219"/>
      <c r="J146" s="1219"/>
      <c r="K146" s="1219"/>
      <c r="L146" s="1219"/>
      <c r="M146" s="1219"/>
      <c r="N146" s="1219"/>
      <c r="O146" s="1219"/>
      <c r="P146" s="1219"/>
      <c r="Q146" s="1220"/>
      <c r="R146" s="1220"/>
      <c r="S146" s="1220"/>
      <c r="T146" s="1220"/>
      <c r="U146" s="1220"/>
      <c r="V146" s="1220"/>
      <c r="W146" s="1220"/>
      <c r="X146" s="1220"/>
      <c r="Y146" s="1219"/>
      <c r="Z146" s="1219"/>
      <c r="AA146" s="1220"/>
      <c r="AB146" s="1220"/>
      <c r="AC146" s="1220"/>
      <c r="AD146" s="1220"/>
      <c r="AE146" s="1219"/>
      <c r="AF146" s="1219"/>
      <c r="AG146" s="1219"/>
      <c r="AH146" s="1220"/>
      <c r="AI146" s="1220"/>
      <c r="AJ146" s="1220"/>
      <c r="AK146" s="1219"/>
      <c r="AL146" s="1219"/>
      <c r="AM146" s="1219"/>
      <c r="AN146" s="1219"/>
      <c r="AO146" s="1220"/>
      <c r="AP146" s="1220"/>
      <c r="AQ146" s="1220"/>
      <c r="AR146" s="1220"/>
      <c r="AS146" s="1220"/>
      <c r="AT146" s="1220"/>
      <c r="AU146" s="1220"/>
      <c r="AV146" s="1220"/>
      <c r="AW146" s="1258"/>
      <c r="AX146" s="1258"/>
      <c r="AY146" s="1258"/>
      <c r="AZ146" s="1220"/>
      <c r="BA146" s="1220"/>
      <c r="BB146" s="1220"/>
      <c r="BC146" s="1220"/>
      <c r="BD146" s="1220"/>
      <c r="BE146" s="1220"/>
      <c r="BF146" s="1220"/>
      <c r="BG146" s="1220"/>
      <c r="BH146" s="1220"/>
      <c r="BI146" s="1220"/>
      <c r="BJ146" s="1220"/>
      <c r="BK146" s="1220"/>
      <c r="BL146" s="1220"/>
      <c r="BM146" s="1220"/>
      <c r="BN146" s="1220"/>
      <c r="BO146" s="1220"/>
    </row>
    <row r="147" spans="1:67" ht="35.1" customHeight="1" x14ac:dyDescent="0.25">
      <c r="A147" s="3">
        <f t="shared" si="2"/>
        <v>135</v>
      </c>
      <c r="B147" s="1218" t="s">
        <v>162</v>
      </c>
      <c r="C147" s="1218"/>
      <c r="D147" s="1221"/>
      <c r="E147" s="1221"/>
      <c r="F147" s="1221"/>
      <c r="G147" s="1221"/>
      <c r="H147" s="1221"/>
      <c r="I147" s="540"/>
      <c r="J147" s="540"/>
      <c r="K147" s="540"/>
      <c r="L147" s="540"/>
      <c r="M147" s="540"/>
      <c r="N147" s="540"/>
      <c r="O147" s="540"/>
      <c r="P147" s="540"/>
      <c r="Q147" s="540"/>
      <c r="R147" s="540"/>
      <c r="S147" s="540"/>
      <c r="T147" s="540"/>
      <c r="U147" s="540"/>
      <c r="V147" s="540"/>
      <c r="W147" s="540"/>
      <c r="X147" s="540"/>
      <c r="Y147" s="540"/>
      <c r="Z147" s="540"/>
      <c r="AA147" s="540"/>
      <c r="AB147" s="540"/>
      <c r="AC147" s="540"/>
      <c r="AD147" s="540"/>
      <c r="AE147" s="540"/>
      <c r="AF147" s="540"/>
      <c r="AG147" s="540"/>
      <c r="AH147" s="540"/>
      <c r="AI147" s="540"/>
      <c r="AJ147" s="540"/>
      <c r="AK147" s="540"/>
      <c r="AL147" s="540"/>
      <c r="AM147" s="540"/>
      <c r="AN147" s="540"/>
      <c r="AO147" s="540"/>
      <c r="AP147" s="540"/>
      <c r="AQ147" s="540"/>
      <c r="AR147" s="540"/>
      <c r="AS147" s="540"/>
      <c r="AT147" s="540"/>
      <c r="AU147" s="540"/>
      <c r="AV147" s="540"/>
      <c r="AW147" s="1259"/>
      <c r="AX147" s="1259"/>
      <c r="AY147" s="1259"/>
      <c r="AZ147" s="540"/>
      <c r="BA147" s="540"/>
      <c r="BB147" s="540"/>
      <c r="BC147" s="540"/>
      <c r="BD147" s="540"/>
      <c r="BE147" s="540"/>
      <c r="BF147" s="540"/>
      <c r="BG147" s="540"/>
      <c r="BH147" s="540"/>
      <c r="BI147" s="540"/>
      <c r="BJ147" s="540"/>
      <c r="BK147" s="540"/>
      <c r="BL147" s="540"/>
      <c r="BM147" s="540"/>
      <c r="BN147" s="540"/>
      <c r="BO147" s="540"/>
    </row>
    <row r="148" spans="1:67" ht="35.1" customHeight="1" x14ac:dyDescent="0.25">
      <c r="A148" s="3">
        <f t="shared" si="2"/>
        <v>136</v>
      </c>
      <c r="B148" s="1218" t="s">
        <v>162</v>
      </c>
      <c r="C148" s="1218"/>
      <c r="D148" s="1222"/>
      <c r="E148" s="1222"/>
      <c r="F148" s="1222"/>
      <c r="G148" s="1222"/>
      <c r="H148" s="1222"/>
      <c r="I148" s="1219"/>
      <c r="J148" s="1219"/>
      <c r="K148" s="1219"/>
      <c r="L148" s="1219"/>
      <c r="M148" s="1219"/>
      <c r="N148" s="1219"/>
      <c r="O148" s="1219"/>
      <c r="P148" s="1219"/>
      <c r="Q148" s="1220"/>
      <c r="R148" s="1220"/>
      <c r="S148" s="1220"/>
      <c r="T148" s="1220"/>
      <c r="U148" s="1220"/>
      <c r="V148" s="1220"/>
      <c r="W148" s="1220"/>
      <c r="X148" s="1220"/>
      <c r="Y148" s="1219"/>
      <c r="Z148" s="1219"/>
      <c r="AA148" s="1220"/>
      <c r="AB148" s="1220"/>
      <c r="AC148" s="1220"/>
      <c r="AD148" s="1220"/>
      <c r="AE148" s="1219"/>
      <c r="AF148" s="1219"/>
      <c r="AG148" s="1219"/>
      <c r="AH148" s="1220"/>
      <c r="AI148" s="1220"/>
      <c r="AJ148" s="1220"/>
      <c r="AK148" s="1219"/>
      <c r="AL148" s="1219"/>
      <c r="AM148" s="1219"/>
      <c r="AN148" s="1219"/>
      <c r="AO148" s="1220"/>
      <c r="AP148" s="1220"/>
      <c r="AQ148" s="1220"/>
      <c r="AR148" s="1220"/>
      <c r="AS148" s="1220"/>
      <c r="AT148" s="1220"/>
      <c r="AU148" s="1220"/>
      <c r="AV148" s="1220"/>
      <c r="AW148" s="1258"/>
      <c r="AX148" s="1258"/>
      <c r="AY148" s="1258"/>
      <c r="AZ148" s="1220"/>
      <c r="BA148" s="1220"/>
      <c r="BB148" s="1220"/>
      <c r="BC148" s="1220"/>
      <c r="BD148" s="1220"/>
      <c r="BE148" s="1220"/>
      <c r="BF148" s="1220"/>
      <c r="BG148" s="1220"/>
      <c r="BH148" s="1220"/>
      <c r="BI148" s="1220"/>
      <c r="BJ148" s="1220"/>
      <c r="BK148" s="1220"/>
      <c r="BL148" s="1220"/>
      <c r="BM148" s="1220"/>
      <c r="BN148" s="1220"/>
      <c r="BO148" s="1220"/>
    </row>
    <row r="149" spans="1:67" ht="35.1" customHeight="1" x14ac:dyDescent="0.25">
      <c r="A149" s="3">
        <f t="shared" si="2"/>
        <v>137</v>
      </c>
      <c r="B149" s="1218" t="s">
        <v>162</v>
      </c>
      <c r="C149" s="1218"/>
      <c r="D149" s="1221"/>
      <c r="E149" s="1221"/>
      <c r="F149" s="1221"/>
      <c r="G149" s="1221"/>
      <c r="H149" s="1221"/>
      <c r="I149" s="540"/>
      <c r="J149" s="540"/>
      <c r="K149" s="540"/>
      <c r="L149" s="540"/>
      <c r="M149" s="540"/>
      <c r="N149" s="540"/>
      <c r="O149" s="540"/>
      <c r="P149" s="540"/>
      <c r="Q149" s="540"/>
      <c r="R149" s="540"/>
      <c r="S149" s="540"/>
      <c r="T149" s="540"/>
      <c r="U149" s="540"/>
      <c r="V149" s="540"/>
      <c r="W149" s="540"/>
      <c r="X149" s="540"/>
      <c r="Y149" s="540"/>
      <c r="Z149" s="540"/>
      <c r="AA149" s="540"/>
      <c r="AB149" s="540"/>
      <c r="AC149" s="540"/>
      <c r="AD149" s="540"/>
      <c r="AE149" s="540"/>
      <c r="AF149" s="540"/>
      <c r="AG149" s="540"/>
      <c r="AH149" s="540"/>
      <c r="AI149" s="540"/>
      <c r="AJ149" s="540"/>
      <c r="AK149" s="540"/>
      <c r="AL149" s="540"/>
      <c r="AM149" s="540"/>
      <c r="AN149" s="540"/>
      <c r="AO149" s="540"/>
      <c r="AP149" s="540"/>
      <c r="AQ149" s="540"/>
      <c r="AR149" s="540"/>
      <c r="AS149" s="540"/>
      <c r="AT149" s="540"/>
      <c r="AU149" s="540"/>
      <c r="AV149" s="540"/>
      <c r="AW149" s="1259"/>
      <c r="AX149" s="1259"/>
      <c r="AY149" s="1259"/>
      <c r="AZ149" s="540"/>
      <c r="BA149" s="540"/>
      <c r="BB149" s="540"/>
      <c r="BC149" s="540"/>
      <c r="BD149" s="540"/>
      <c r="BE149" s="540"/>
      <c r="BF149" s="540"/>
      <c r="BG149" s="540"/>
      <c r="BH149" s="540"/>
      <c r="BI149" s="540"/>
      <c r="BJ149" s="540"/>
      <c r="BK149" s="540"/>
      <c r="BL149" s="540"/>
      <c r="BM149" s="540"/>
      <c r="BN149" s="540"/>
      <c r="BO149" s="540"/>
    </row>
    <row r="150" spans="1:67" ht="35.1" customHeight="1" x14ac:dyDescent="0.25">
      <c r="A150" s="3">
        <f t="shared" si="2"/>
        <v>138</v>
      </c>
      <c r="B150" s="1218" t="s">
        <v>162</v>
      </c>
      <c r="C150" s="1218"/>
      <c r="D150" s="1222"/>
      <c r="E150" s="1222"/>
      <c r="F150" s="1222"/>
      <c r="G150" s="1222"/>
      <c r="H150" s="1222"/>
      <c r="I150" s="1219"/>
      <c r="J150" s="1219"/>
      <c r="K150" s="1219"/>
      <c r="L150" s="1219"/>
      <c r="M150" s="1219"/>
      <c r="N150" s="1219"/>
      <c r="O150" s="1219"/>
      <c r="P150" s="1219"/>
      <c r="Q150" s="1220"/>
      <c r="R150" s="1220"/>
      <c r="S150" s="1220"/>
      <c r="T150" s="1220"/>
      <c r="U150" s="1220"/>
      <c r="V150" s="1220"/>
      <c r="W150" s="1220"/>
      <c r="X150" s="1220"/>
      <c r="Y150" s="1219"/>
      <c r="Z150" s="1219"/>
      <c r="AA150" s="1220"/>
      <c r="AB150" s="1220"/>
      <c r="AC150" s="1220"/>
      <c r="AD150" s="1220"/>
      <c r="AE150" s="1219"/>
      <c r="AF150" s="1219"/>
      <c r="AG150" s="1219"/>
      <c r="AH150" s="1220"/>
      <c r="AI150" s="1220"/>
      <c r="AJ150" s="1220"/>
      <c r="AK150" s="1219"/>
      <c r="AL150" s="1219"/>
      <c r="AM150" s="1219"/>
      <c r="AN150" s="1219"/>
      <c r="AO150" s="1220"/>
      <c r="AP150" s="1220"/>
      <c r="AQ150" s="1220"/>
      <c r="AR150" s="1220"/>
      <c r="AS150" s="1220"/>
      <c r="AT150" s="1220"/>
      <c r="AU150" s="1220"/>
      <c r="AV150" s="1220"/>
      <c r="AW150" s="1258"/>
      <c r="AX150" s="1258"/>
      <c r="AY150" s="1258"/>
      <c r="AZ150" s="1220"/>
      <c r="BA150" s="1220"/>
      <c r="BB150" s="1220"/>
      <c r="BC150" s="1220"/>
      <c r="BD150" s="1220"/>
      <c r="BE150" s="1220"/>
      <c r="BF150" s="1220"/>
      <c r="BG150" s="1220"/>
      <c r="BH150" s="1220"/>
      <c r="BI150" s="1220"/>
      <c r="BJ150" s="1220"/>
      <c r="BK150" s="1220"/>
      <c r="BL150" s="1220"/>
      <c r="BM150" s="1220"/>
      <c r="BN150" s="1220"/>
      <c r="BO150" s="1220"/>
    </row>
    <row r="151" spans="1:67" ht="35.1" customHeight="1" x14ac:dyDescent="0.25">
      <c r="A151" s="3">
        <f t="shared" si="2"/>
        <v>139</v>
      </c>
      <c r="B151" s="1218" t="s">
        <v>162</v>
      </c>
      <c r="C151" s="1218"/>
      <c r="D151" s="1221"/>
      <c r="E151" s="1221"/>
      <c r="F151" s="1221"/>
      <c r="G151" s="1221"/>
      <c r="H151" s="1221"/>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40"/>
      <c r="AF151" s="540"/>
      <c r="AG151" s="540"/>
      <c r="AH151" s="540"/>
      <c r="AI151" s="540"/>
      <c r="AJ151" s="540"/>
      <c r="AK151" s="540"/>
      <c r="AL151" s="540"/>
      <c r="AM151" s="540"/>
      <c r="AN151" s="540"/>
      <c r="AO151" s="540"/>
      <c r="AP151" s="540"/>
      <c r="AQ151" s="540"/>
      <c r="AR151" s="540"/>
      <c r="AS151" s="540"/>
      <c r="AT151" s="540"/>
      <c r="AU151" s="540"/>
      <c r="AV151" s="540"/>
      <c r="AW151" s="1259"/>
      <c r="AX151" s="1259"/>
      <c r="AY151" s="1259"/>
      <c r="AZ151" s="540"/>
      <c r="BA151" s="540"/>
      <c r="BB151" s="540"/>
      <c r="BC151" s="540"/>
      <c r="BD151" s="540"/>
      <c r="BE151" s="540"/>
      <c r="BF151" s="540"/>
      <c r="BG151" s="540"/>
      <c r="BH151" s="540"/>
      <c r="BI151" s="540"/>
      <c r="BJ151" s="540"/>
      <c r="BK151" s="540"/>
      <c r="BL151" s="540"/>
      <c r="BM151" s="540"/>
      <c r="BN151" s="540"/>
      <c r="BO151" s="540"/>
    </row>
    <row r="152" spans="1:67" ht="35.1" customHeight="1" x14ac:dyDescent="0.25">
      <c r="A152" s="3">
        <f t="shared" si="2"/>
        <v>140</v>
      </c>
      <c r="B152" s="1218" t="s">
        <v>162</v>
      </c>
      <c r="C152" s="1218"/>
      <c r="D152" s="1222"/>
      <c r="E152" s="1222"/>
      <c r="F152" s="1222"/>
      <c r="G152" s="1222"/>
      <c r="H152" s="1222"/>
      <c r="I152" s="1219"/>
      <c r="J152" s="1219"/>
      <c r="K152" s="1219"/>
      <c r="L152" s="1219"/>
      <c r="M152" s="1219"/>
      <c r="N152" s="1219"/>
      <c r="O152" s="1219"/>
      <c r="P152" s="1219"/>
      <c r="Q152" s="1220"/>
      <c r="R152" s="1220"/>
      <c r="S152" s="1220"/>
      <c r="T152" s="1220"/>
      <c r="U152" s="1220"/>
      <c r="V152" s="1220"/>
      <c r="W152" s="1220"/>
      <c r="X152" s="1220"/>
      <c r="Y152" s="1219"/>
      <c r="Z152" s="1219"/>
      <c r="AA152" s="1220"/>
      <c r="AB152" s="1220"/>
      <c r="AC152" s="1220"/>
      <c r="AD152" s="1220"/>
      <c r="AE152" s="1219"/>
      <c r="AF152" s="1219"/>
      <c r="AG152" s="1219"/>
      <c r="AH152" s="1220"/>
      <c r="AI152" s="1220"/>
      <c r="AJ152" s="1220"/>
      <c r="AK152" s="1219"/>
      <c r="AL152" s="1219"/>
      <c r="AM152" s="1219"/>
      <c r="AN152" s="1219"/>
      <c r="AO152" s="1220"/>
      <c r="AP152" s="1220"/>
      <c r="AQ152" s="1220"/>
      <c r="AR152" s="1220"/>
      <c r="AS152" s="1220"/>
      <c r="AT152" s="1220"/>
      <c r="AU152" s="1220"/>
      <c r="AV152" s="1220"/>
      <c r="AW152" s="1258"/>
      <c r="AX152" s="1258"/>
      <c r="AY152" s="1258"/>
      <c r="AZ152" s="1220"/>
      <c r="BA152" s="1220"/>
      <c r="BB152" s="1220"/>
      <c r="BC152" s="1220"/>
      <c r="BD152" s="1220"/>
      <c r="BE152" s="1220"/>
      <c r="BF152" s="1220"/>
      <c r="BG152" s="1220"/>
      <c r="BH152" s="1220"/>
      <c r="BI152" s="1220"/>
      <c r="BJ152" s="1220"/>
      <c r="BK152" s="1220"/>
      <c r="BL152" s="1220"/>
      <c r="BM152" s="1220"/>
      <c r="BN152" s="1220"/>
      <c r="BO152" s="1220"/>
    </row>
    <row r="153" spans="1:67" ht="35.1" customHeight="1" x14ac:dyDescent="0.25">
      <c r="A153" s="3">
        <f t="shared" si="2"/>
        <v>141</v>
      </c>
      <c r="B153" s="1218" t="s">
        <v>162</v>
      </c>
      <c r="C153" s="1218"/>
      <c r="D153" s="1221"/>
      <c r="E153" s="1221"/>
      <c r="F153" s="1221"/>
      <c r="G153" s="1221"/>
      <c r="H153" s="1221"/>
      <c r="I153" s="540"/>
      <c r="J153" s="540"/>
      <c r="K153" s="540"/>
      <c r="L153" s="540"/>
      <c r="M153" s="540"/>
      <c r="N153" s="540"/>
      <c r="O153" s="540"/>
      <c r="P153" s="540"/>
      <c r="Q153" s="540"/>
      <c r="R153" s="540"/>
      <c r="S153" s="540"/>
      <c r="T153" s="540"/>
      <c r="U153" s="540"/>
      <c r="V153" s="540"/>
      <c r="W153" s="540"/>
      <c r="X153" s="540"/>
      <c r="Y153" s="540"/>
      <c r="Z153" s="540"/>
      <c r="AA153" s="540"/>
      <c r="AB153" s="540"/>
      <c r="AC153" s="540"/>
      <c r="AD153" s="540"/>
      <c r="AE153" s="540"/>
      <c r="AF153" s="540"/>
      <c r="AG153" s="540"/>
      <c r="AH153" s="540"/>
      <c r="AI153" s="540"/>
      <c r="AJ153" s="540"/>
      <c r="AK153" s="540"/>
      <c r="AL153" s="540"/>
      <c r="AM153" s="540"/>
      <c r="AN153" s="540"/>
      <c r="AO153" s="540"/>
      <c r="AP153" s="540"/>
      <c r="AQ153" s="540"/>
      <c r="AR153" s="540"/>
      <c r="AS153" s="540"/>
      <c r="AT153" s="540"/>
      <c r="AU153" s="540"/>
      <c r="AV153" s="540"/>
      <c r="AW153" s="1259"/>
      <c r="AX153" s="1259"/>
      <c r="AY153" s="1259"/>
      <c r="AZ153" s="540"/>
      <c r="BA153" s="540"/>
      <c r="BB153" s="540"/>
      <c r="BC153" s="540"/>
      <c r="BD153" s="540"/>
      <c r="BE153" s="540"/>
      <c r="BF153" s="540"/>
      <c r="BG153" s="540"/>
      <c r="BH153" s="540"/>
      <c r="BI153" s="540"/>
      <c r="BJ153" s="540"/>
      <c r="BK153" s="540"/>
      <c r="BL153" s="540"/>
      <c r="BM153" s="540"/>
      <c r="BN153" s="540"/>
      <c r="BO153" s="540"/>
    </row>
    <row r="154" spans="1:67" ht="35.1" customHeight="1" x14ac:dyDescent="0.25">
      <c r="A154" s="3">
        <f t="shared" si="2"/>
        <v>142</v>
      </c>
      <c r="B154" s="1218" t="s">
        <v>162</v>
      </c>
      <c r="C154" s="1218"/>
      <c r="D154" s="1222"/>
      <c r="E154" s="1222"/>
      <c r="F154" s="1222"/>
      <c r="G154" s="1222"/>
      <c r="H154" s="1222"/>
      <c r="I154" s="1219"/>
      <c r="J154" s="1219"/>
      <c r="K154" s="1219"/>
      <c r="L154" s="1219"/>
      <c r="M154" s="1219"/>
      <c r="N154" s="1219"/>
      <c r="O154" s="1219"/>
      <c r="P154" s="1219"/>
      <c r="Q154" s="1220"/>
      <c r="R154" s="1220"/>
      <c r="S154" s="1220"/>
      <c r="T154" s="1220"/>
      <c r="U154" s="1220"/>
      <c r="V154" s="1220"/>
      <c r="W154" s="1220"/>
      <c r="X154" s="1220"/>
      <c r="Y154" s="1219"/>
      <c r="Z154" s="1219"/>
      <c r="AA154" s="1220"/>
      <c r="AB154" s="1220"/>
      <c r="AC154" s="1220"/>
      <c r="AD154" s="1220"/>
      <c r="AE154" s="1219"/>
      <c r="AF154" s="1219"/>
      <c r="AG154" s="1219"/>
      <c r="AH154" s="1220"/>
      <c r="AI154" s="1220"/>
      <c r="AJ154" s="1220"/>
      <c r="AK154" s="1219"/>
      <c r="AL154" s="1219"/>
      <c r="AM154" s="1219"/>
      <c r="AN154" s="1219"/>
      <c r="AO154" s="1220"/>
      <c r="AP154" s="1220"/>
      <c r="AQ154" s="1220"/>
      <c r="AR154" s="1220"/>
      <c r="AS154" s="1220"/>
      <c r="AT154" s="1220"/>
      <c r="AU154" s="1220"/>
      <c r="AV154" s="1220"/>
      <c r="AW154" s="1258"/>
      <c r="AX154" s="1258"/>
      <c r="AY154" s="1258"/>
      <c r="AZ154" s="1220"/>
      <c r="BA154" s="1220"/>
      <c r="BB154" s="1220"/>
      <c r="BC154" s="1220"/>
      <c r="BD154" s="1220"/>
      <c r="BE154" s="1220"/>
      <c r="BF154" s="1220"/>
      <c r="BG154" s="1220"/>
      <c r="BH154" s="1220"/>
      <c r="BI154" s="1220"/>
      <c r="BJ154" s="1220"/>
      <c r="BK154" s="1220"/>
      <c r="BL154" s="1220"/>
      <c r="BM154" s="1220"/>
      <c r="BN154" s="1220"/>
      <c r="BO154" s="1220"/>
    </row>
    <row r="155" spans="1:67" ht="35.1" customHeight="1" x14ac:dyDescent="0.25">
      <c r="A155" s="3">
        <f t="shared" si="2"/>
        <v>143</v>
      </c>
      <c r="B155" s="1218" t="s">
        <v>162</v>
      </c>
      <c r="C155" s="1218"/>
      <c r="D155" s="1221"/>
      <c r="E155" s="1221"/>
      <c r="F155" s="1221"/>
      <c r="G155" s="1221"/>
      <c r="H155" s="1221"/>
      <c r="I155" s="540"/>
      <c r="J155" s="540"/>
      <c r="K155" s="540"/>
      <c r="L155" s="540"/>
      <c r="M155" s="540"/>
      <c r="N155" s="540"/>
      <c r="O155" s="540"/>
      <c r="P155" s="540"/>
      <c r="Q155" s="540"/>
      <c r="R155" s="540"/>
      <c r="S155" s="540"/>
      <c r="T155" s="540"/>
      <c r="U155" s="540"/>
      <c r="V155" s="540"/>
      <c r="W155" s="540"/>
      <c r="X155" s="540"/>
      <c r="Y155" s="540"/>
      <c r="Z155" s="540"/>
      <c r="AA155" s="540"/>
      <c r="AB155" s="540"/>
      <c r="AC155" s="540"/>
      <c r="AD155" s="540"/>
      <c r="AE155" s="540"/>
      <c r="AF155" s="540"/>
      <c r="AG155" s="540"/>
      <c r="AH155" s="540"/>
      <c r="AI155" s="540"/>
      <c r="AJ155" s="540"/>
      <c r="AK155" s="540"/>
      <c r="AL155" s="540"/>
      <c r="AM155" s="540"/>
      <c r="AN155" s="540"/>
      <c r="AO155" s="540"/>
      <c r="AP155" s="540"/>
      <c r="AQ155" s="540"/>
      <c r="AR155" s="540"/>
      <c r="AS155" s="540"/>
      <c r="AT155" s="540"/>
      <c r="AU155" s="540"/>
      <c r="AV155" s="540"/>
      <c r="AW155" s="1259"/>
      <c r="AX155" s="1259"/>
      <c r="AY155" s="1259"/>
      <c r="AZ155" s="540"/>
      <c r="BA155" s="540"/>
      <c r="BB155" s="540"/>
      <c r="BC155" s="540"/>
      <c r="BD155" s="540"/>
      <c r="BE155" s="540"/>
      <c r="BF155" s="540"/>
      <c r="BG155" s="540"/>
      <c r="BH155" s="540"/>
      <c r="BI155" s="540"/>
      <c r="BJ155" s="540"/>
      <c r="BK155" s="540"/>
      <c r="BL155" s="540"/>
      <c r="BM155" s="540"/>
      <c r="BN155" s="540"/>
      <c r="BO155" s="540"/>
    </row>
    <row r="156" spans="1:67" ht="35.1" customHeight="1" x14ac:dyDescent="0.25">
      <c r="A156" s="3">
        <f t="shared" si="2"/>
        <v>144</v>
      </c>
      <c r="B156" s="1218" t="s">
        <v>162</v>
      </c>
      <c r="C156" s="1218"/>
      <c r="D156" s="1222"/>
      <c r="E156" s="1222"/>
      <c r="F156" s="1222"/>
      <c r="G156" s="1222"/>
      <c r="H156" s="1222"/>
      <c r="I156" s="1219"/>
      <c r="J156" s="1219"/>
      <c r="K156" s="1219"/>
      <c r="L156" s="1219"/>
      <c r="M156" s="1219"/>
      <c r="N156" s="1219"/>
      <c r="O156" s="1219"/>
      <c r="P156" s="1219"/>
      <c r="Q156" s="1220"/>
      <c r="R156" s="1220"/>
      <c r="S156" s="1220"/>
      <c r="T156" s="1220"/>
      <c r="U156" s="1220"/>
      <c r="V156" s="1220"/>
      <c r="W156" s="1220"/>
      <c r="X156" s="1220"/>
      <c r="Y156" s="1219"/>
      <c r="Z156" s="1219"/>
      <c r="AA156" s="1220"/>
      <c r="AB156" s="1220"/>
      <c r="AC156" s="1220"/>
      <c r="AD156" s="1220"/>
      <c r="AE156" s="1219"/>
      <c r="AF156" s="1219"/>
      <c r="AG156" s="1219"/>
      <c r="AH156" s="1220"/>
      <c r="AI156" s="1220"/>
      <c r="AJ156" s="1220"/>
      <c r="AK156" s="1219"/>
      <c r="AL156" s="1219"/>
      <c r="AM156" s="1219"/>
      <c r="AN156" s="1219"/>
      <c r="AO156" s="1220"/>
      <c r="AP156" s="1220"/>
      <c r="AQ156" s="1220"/>
      <c r="AR156" s="1220"/>
      <c r="AS156" s="1220"/>
      <c r="AT156" s="1220"/>
      <c r="AU156" s="1220"/>
      <c r="AV156" s="1220"/>
      <c r="AW156" s="1258"/>
      <c r="AX156" s="1258"/>
      <c r="AY156" s="1258"/>
      <c r="AZ156" s="1220"/>
      <c r="BA156" s="1220"/>
      <c r="BB156" s="1220"/>
      <c r="BC156" s="1220"/>
      <c r="BD156" s="1220"/>
      <c r="BE156" s="1220"/>
      <c r="BF156" s="1220"/>
      <c r="BG156" s="1220"/>
      <c r="BH156" s="1220"/>
      <c r="BI156" s="1220"/>
      <c r="BJ156" s="1220"/>
      <c r="BK156" s="1220"/>
      <c r="BL156" s="1220"/>
      <c r="BM156" s="1220"/>
      <c r="BN156" s="1220"/>
      <c r="BO156" s="1220"/>
    </row>
    <row r="157" spans="1:67" ht="35.1" customHeight="1" x14ac:dyDescent="0.25">
      <c r="A157" s="3">
        <f t="shared" si="2"/>
        <v>145</v>
      </c>
      <c r="B157" s="1218" t="s">
        <v>162</v>
      </c>
      <c r="C157" s="1218"/>
      <c r="D157" s="1221"/>
      <c r="E157" s="1221"/>
      <c r="F157" s="1221"/>
      <c r="G157" s="1221"/>
      <c r="H157" s="1221"/>
      <c r="I157" s="540"/>
      <c r="J157" s="540"/>
      <c r="K157" s="540"/>
      <c r="L157" s="540"/>
      <c r="M157" s="540"/>
      <c r="N157" s="540"/>
      <c r="O157" s="540"/>
      <c r="P157" s="540"/>
      <c r="Q157" s="540"/>
      <c r="R157" s="540"/>
      <c r="S157" s="540"/>
      <c r="T157" s="540"/>
      <c r="U157" s="540"/>
      <c r="V157" s="540"/>
      <c r="W157" s="540"/>
      <c r="X157" s="540"/>
      <c r="Y157" s="540"/>
      <c r="Z157" s="540"/>
      <c r="AA157" s="540"/>
      <c r="AB157" s="540"/>
      <c r="AC157" s="540"/>
      <c r="AD157" s="540"/>
      <c r="AE157" s="540"/>
      <c r="AF157" s="540"/>
      <c r="AG157" s="540"/>
      <c r="AH157" s="540"/>
      <c r="AI157" s="540"/>
      <c r="AJ157" s="540"/>
      <c r="AK157" s="540"/>
      <c r="AL157" s="540"/>
      <c r="AM157" s="540"/>
      <c r="AN157" s="540"/>
      <c r="AO157" s="540"/>
      <c r="AP157" s="540"/>
      <c r="AQ157" s="540"/>
      <c r="AR157" s="540"/>
      <c r="AS157" s="540"/>
      <c r="AT157" s="540"/>
      <c r="AU157" s="540"/>
      <c r="AV157" s="540"/>
      <c r="AW157" s="1259"/>
      <c r="AX157" s="1259"/>
      <c r="AY157" s="1259"/>
      <c r="AZ157" s="540"/>
      <c r="BA157" s="540"/>
      <c r="BB157" s="540"/>
      <c r="BC157" s="540"/>
      <c r="BD157" s="540"/>
      <c r="BE157" s="540"/>
      <c r="BF157" s="540"/>
      <c r="BG157" s="540"/>
      <c r="BH157" s="540"/>
      <c r="BI157" s="540"/>
      <c r="BJ157" s="540"/>
      <c r="BK157" s="540"/>
      <c r="BL157" s="540"/>
      <c r="BM157" s="540"/>
      <c r="BN157" s="540"/>
      <c r="BO157" s="540"/>
    </row>
    <row r="158" spans="1:67" ht="35.1" customHeight="1" x14ac:dyDescent="0.25">
      <c r="A158" s="3">
        <f t="shared" si="2"/>
        <v>146</v>
      </c>
      <c r="B158" s="1235" t="s">
        <v>162</v>
      </c>
      <c r="C158" s="1235"/>
      <c r="D158" s="1222"/>
      <c r="E158" s="1222"/>
      <c r="F158" s="1222"/>
      <c r="G158" s="1222"/>
      <c r="H158" s="1222"/>
      <c r="I158" s="1219"/>
      <c r="J158" s="1219"/>
      <c r="K158" s="1219"/>
      <c r="L158" s="1219"/>
      <c r="M158" s="1219"/>
      <c r="N158" s="1219"/>
      <c r="O158" s="1219"/>
      <c r="P158" s="1219"/>
      <c r="Q158" s="1220"/>
      <c r="R158" s="1220"/>
      <c r="S158" s="1220"/>
      <c r="T158" s="1220"/>
      <c r="U158" s="1220"/>
      <c r="V158" s="1220"/>
      <c r="W158" s="1220"/>
      <c r="X158" s="1220"/>
      <c r="Y158" s="1219"/>
      <c r="Z158" s="1219"/>
      <c r="AA158" s="1220"/>
      <c r="AB158" s="1220"/>
      <c r="AC158" s="1220"/>
      <c r="AD158" s="1220"/>
      <c r="AE158" s="1219"/>
      <c r="AF158" s="1219"/>
      <c r="AG158" s="1219"/>
      <c r="AH158" s="1220"/>
      <c r="AI158" s="1220"/>
      <c r="AJ158" s="1220"/>
      <c r="AK158" s="1219"/>
      <c r="AL158" s="1219"/>
      <c r="AM158" s="1219"/>
      <c r="AN158" s="1219"/>
      <c r="AO158" s="1220"/>
      <c r="AP158" s="1220"/>
      <c r="AQ158" s="1220"/>
      <c r="AR158" s="1220"/>
      <c r="AS158" s="1220"/>
      <c r="AT158" s="1220"/>
      <c r="AU158" s="1220"/>
      <c r="AV158" s="1220"/>
      <c r="AW158" s="1258"/>
      <c r="AX158" s="1258"/>
      <c r="AY158" s="1258"/>
      <c r="AZ158" s="1220"/>
      <c r="BA158" s="1220"/>
      <c r="BB158" s="1220"/>
      <c r="BC158" s="1220"/>
      <c r="BD158" s="1220"/>
      <c r="BE158" s="1220"/>
      <c r="BF158" s="1220"/>
      <c r="BG158" s="1220"/>
      <c r="BH158" s="1220"/>
      <c r="BI158" s="1220"/>
      <c r="BJ158" s="1220"/>
      <c r="BK158" s="1220"/>
      <c r="BL158" s="1220"/>
      <c r="BM158" s="1220"/>
      <c r="BN158" s="1220"/>
      <c r="BO158" s="1220"/>
    </row>
    <row r="159" spans="1:67" ht="35.1" customHeight="1" x14ac:dyDescent="0.25">
      <c r="A159" s="3">
        <f t="shared" si="2"/>
        <v>147</v>
      </c>
      <c r="B159" s="1218" t="s">
        <v>162</v>
      </c>
      <c r="C159" s="1218"/>
      <c r="D159" s="1221"/>
      <c r="E159" s="1221"/>
      <c r="F159" s="1221"/>
      <c r="G159" s="1221"/>
      <c r="H159" s="1221"/>
      <c r="I159" s="540"/>
      <c r="J159" s="540"/>
      <c r="K159" s="540"/>
      <c r="L159" s="540"/>
      <c r="M159" s="540"/>
      <c r="N159" s="540"/>
      <c r="O159" s="540"/>
      <c r="P159" s="540"/>
      <c r="Q159" s="540"/>
      <c r="R159" s="540"/>
      <c r="S159" s="540"/>
      <c r="T159" s="540"/>
      <c r="U159" s="540"/>
      <c r="V159" s="540"/>
      <c r="W159" s="540"/>
      <c r="X159" s="540"/>
      <c r="Y159" s="540"/>
      <c r="Z159" s="540"/>
      <c r="AA159" s="540"/>
      <c r="AB159" s="540"/>
      <c r="AC159" s="540"/>
      <c r="AD159" s="540"/>
      <c r="AE159" s="540"/>
      <c r="AF159" s="540"/>
      <c r="AG159" s="540"/>
      <c r="AH159" s="540"/>
      <c r="AI159" s="540"/>
      <c r="AJ159" s="540"/>
      <c r="AK159" s="540"/>
      <c r="AL159" s="540"/>
      <c r="AM159" s="540"/>
      <c r="AN159" s="540"/>
      <c r="AO159" s="540"/>
      <c r="AP159" s="540"/>
      <c r="AQ159" s="540"/>
      <c r="AR159" s="540"/>
      <c r="AS159" s="540"/>
      <c r="AT159" s="540"/>
      <c r="AU159" s="540"/>
      <c r="AV159" s="540"/>
      <c r="AW159" s="1259"/>
      <c r="AX159" s="1259"/>
      <c r="AY159" s="1259"/>
      <c r="AZ159" s="540"/>
      <c r="BA159" s="540"/>
      <c r="BB159" s="540"/>
      <c r="BC159" s="540"/>
      <c r="BD159" s="540"/>
      <c r="BE159" s="540"/>
      <c r="BF159" s="540"/>
      <c r="BG159" s="540"/>
      <c r="BH159" s="540"/>
      <c r="BI159" s="540"/>
      <c r="BJ159" s="540"/>
      <c r="BK159" s="540"/>
      <c r="BL159" s="540"/>
      <c r="BM159" s="540"/>
      <c r="BN159" s="540"/>
      <c r="BO159" s="540"/>
    </row>
    <row r="160" spans="1:67" ht="35.1" customHeight="1" x14ac:dyDescent="0.25">
      <c r="A160" s="3">
        <f t="shared" si="2"/>
        <v>148</v>
      </c>
      <c r="B160" s="1218" t="s">
        <v>162</v>
      </c>
      <c r="C160" s="1218"/>
      <c r="D160" s="1222"/>
      <c r="E160" s="1222"/>
      <c r="F160" s="1222"/>
      <c r="G160" s="1222"/>
      <c r="H160" s="1222"/>
      <c r="I160" s="1219"/>
      <c r="J160" s="1219"/>
      <c r="K160" s="1219"/>
      <c r="L160" s="1219"/>
      <c r="M160" s="1219"/>
      <c r="N160" s="1219"/>
      <c r="O160" s="1219"/>
      <c r="P160" s="1219"/>
      <c r="Q160" s="1220"/>
      <c r="R160" s="1220"/>
      <c r="S160" s="1220"/>
      <c r="T160" s="1220"/>
      <c r="U160" s="1220"/>
      <c r="V160" s="1220"/>
      <c r="W160" s="1220"/>
      <c r="X160" s="1220"/>
      <c r="Y160" s="1219"/>
      <c r="Z160" s="1219"/>
      <c r="AA160" s="1220"/>
      <c r="AB160" s="1220"/>
      <c r="AC160" s="1220"/>
      <c r="AD160" s="1220"/>
      <c r="AE160" s="1219"/>
      <c r="AF160" s="1219"/>
      <c r="AG160" s="1219"/>
      <c r="AH160" s="1220"/>
      <c r="AI160" s="1220"/>
      <c r="AJ160" s="1220"/>
      <c r="AK160" s="1219"/>
      <c r="AL160" s="1219"/>
      <c r="AM160" s="1219"/>
      <c r="AN160" s="1219"/>
      <c r="AO160" s="1220"/>
      <c r="AP160" s="1220"/>
      <c r="AQ160" s="1220"/>
      <c r="AR160" s="1220"/>
      <c r="AS160" s="1220"/>
      <c r="AT160" s="1220"/>
      <c r="AU160" s="1220"/>
      <c r="AV160" s="1220"/>
      <c r="AW160" s="1258"/>
      <c r="AX160" s="1258"/>
      <c r="AY160" s="1258"/>
      <c r="AZ160" s="1220"/>
      <c r="BA160" s="1220"/>
      <c r="BB160" s="1220"/>
      <c r="BC160" s="1220"/>
      <c r="BD160" s="1220"/>
      <c r="BE160" s="1220"/>
      <c r="BF160" s="1220"/>
      <c r="BG160" s="1220"/>
      <c r="BH160" s="1220"/>
      <c r="BI160" s="1220"/>
      <c r="BJ160" s="1220"/>
      <c r="BK160" s="1220"/>
      <c r="BL160" s="1220"/>
      <c r="BM160" s="1220"/>
      <c r="BN160" s="1220"/>
      <c r="BO160" s="1220"/>
    </row>
    <row r="161" spans="1:67" ht="35.1" customHeight="1" x14ac:dyDescent="0.25">
      <c r="A161" s="3">
        <f t="shared" si="2"/>
        <v>149</v>
      </c>
      <c r="B161" s="1218" t="s">
        <v>162</v>
      </c>
      <c r="C161" s="1218"/>
      <c r="D161" s="1221"/>
      <c r="E161" s="1221"/>
      <c r="F161" s="1221"/>
      <c r="G161" s="1221"/>
      <c r="H161" s="1221"/>
      <c r="I161" s="540"/>
      <c r="J161" s="540"/>
      <c r="K161" s="540"/>
      <c r="L161" s="540"/>
      <c r="M161" s="540"/>
      <c r="N161" s="540"/>
      <c r="O161" s="540"/>
      <c r="P161" s="540"/>
      <c r="Q161" s="540"/>
      <c r="R161" s="540"/>
      <c r="S161" s="540"/>
      <c r="T161" s="540"/>
      <c r="U161" s="540"/>
      <c r="V161" s="540"/>
      <c r="W161" s="540"/>
      <c r="X161" s="540"/>
      <c r="Y161" s="540"/>
      <c r="Z161" s="540"/>
      <c r="AA161" s="540"/>
      <c r="AB161" s="540"/>
      <c r="AC161" s="540"/>
      <c r="AD161" s="540"/>
      <c r="AE161" s="540"/>
      <c r="AF161" s="540"/>
      <c r="AG161" s="540"/>
      <c r="AH161" s="540"/>
      <c r="AI161" s="540"/>
      <c r="AJ161" s="540"/>
      <c r="AK161" s="540"/>
      <c r="AL161" s="540"/>
      <c r="AM161" s="540"/>
      <c r="AN161" s="540"/>
      <c r="AO161" s="540"/>
      <c r="AP161" s="540"/>
      <c r="AQ161" s="540"/>
      <c r="AR161" s="540"/>
      <c r="AS161" s="540"/>
      <c r="AT161" s="540"/>
      <c r="AU161" s="540"/>
      <c r="AV161" s="540"/>
      <c r="AW161" s="1259"/>
      <c r="AX161" s="1259"/>
      <c r="AY161" s="1259"/>
      <c r="AZ161" s="540"/>
      <c r="BA161" s="540"/>
      <c r="BB161" s="540"/>
      <c r="BC161" s="540"/>
      <c r="BD161" s="540"/>
      <c r="BE161" s="540"/>
      <c r="BF161" s="540"/>
      <c r="BG161" s="540"/>
      <c r="BH161" s="540"/>
      <c r="BI161" s="540"/>
      <c r="BJ161" s="540"/>
      <c r="BK161" s="540"/>
      <c r="BL161" s="540"/>
      <c r="BM161" s="540"/>
      <c r="BN161" s="540"/>
      <c r="BO161" s="540"/>
    </row>
    <row r="162" spans="1:67" ht="35.1" customHeight="1" x14ac:dyDescent="0.25">
      <c r="A162" s="3">
        <f t="shared" si="2"/>
        <v>150</v>
      </c>
      <c r="B162" s="1218" t="s">
        <v>162</v>
      </c>
      <c r="C162" s="1218"/>
      <c r="D162" s="1222"/>
      <c r="E162" s="1222"/>
      <c r="F162" s="1222"/>
      <c r="G162" s="1222"/>
      <c r="H162" s="1222"/>
      <c r="I162" s="1219"/>
      <c r="J162" s="1219"/>
      <c r="K162" s="1219"/>
      <c r="L162" s="1219"/>
      <c r="M162" s="1219"/>
      <c r="N162" s="1219"/>
      <c r="O162" s="1219"/>
      <c r="P162" s="1219"/>
      <c r="Q162" s="1220"/>
      <c r="R162" s="1220"/>
      <c r="S162" s="1220"/>
      <c r="T162" s="1220"/>
      <c r="U162" s="1220"/>
      <c r="V162" s="1220"/>
      <c r="W162" s="1220"/>
      <c r="X162" s="1220"/>
      <c r="Y162" s="1219"/>
      <c r="Z162" s="1219"/>
      <c r="AA162" s="1220"/>
      <c r="AB162" s="1220"/>
      <c r="AC162" s="1220"/>
      <c r="AD162" s="1220"/>
      <c r="AE162" s="1219"/>
      <c r="AF162" s="1219"/>
      <c r="AG162" s="1219"/>
      <c r="AH162" s="1220"/>
      <c r="AI162" s="1220"/>
      <c r="AJ162" s="1220"/>
      <c r="AK162" s="1219"/>
      <c r="AL162" s="1219"/>
      <c r="AM162" s="1219"/>
      <c r="AN162" s="1219"/>
      <c r="AO162" s="1220"/>
      <c r="AP162" s="1220"/>
      <c r="AQ162" s="1220"/>
      <c r="AR162" s="1220"/>
      <c r="AS162" s="1220"/>
      <c r="AT162" s="1220"/>
      <c r="AU162" s="1220"/>
      <c r="AV162" s="1220"/>
      <c r="AW162" s="1258"/>
      <c r="AX162" s="1258"/>
      <c r="AY162" s="1258"/>
      <c r="AZ162" s="1220"/>
      <c r="BA162" s="1220"/>
      <c r="BB162" s="1220"/>
      <c r="BC162" s="1220"/>
      <c r="BD162" s="1220"/>
      <c r="BE162" s="1220"/>
      <c r="BF162" s="1220"/>
      <c r="BG162" s="1220"/>
      <c r="BH162" s="1220"/>
      <c r="BI162" s="1220"/>
      <c r="BJ162" s="1220"/>
      <c r="BK162" s="1220"/>
      <c r="BL162" s="1220"/>
      <c r="BM162" s="1220"/>
      <c r="BN162" s="1220"/>
      <c r="BO162" s="1220"/>
    </row>
    <row r="163" spans="1:67" ht="35.1" customHeight="1" x14ac:dyDescent="0.25">
      <c r="A163" s="3">
        <f t="shared" si="2"/>
        <v>151</v>
      </c>
      <c r="B163" s="1218" t="s">
        <v>162</v>
      </c>
      <c r="C163" s="1218"/>
      <c r="D163" s="1221"/>
      <c r="E163" s="1221"/>
      <c r="F163" s="1221"/>
      <c r="G163" s="1221"/>
      <c r="H163" s="1221"/>
      <c r="I163" s="540"/>
      <c r="J163" s="540"/>
      <c r="K163" s="540"/>
      <c r="L163" s="540"/>
      <c r="M163" s="540"/>
      <c r="N163" s="540"/>
      <c r="O163" s="540"/>
      <c r="P163" s="540"/>
      <c r="Q163" s="540"/>
      <c r="R163" s="540"/>
      <c r="S163" s="540"/>
      <c r="T163" s="540"/>
      <c r="U163" s="540"/>
      <c r="V163" s="540"/>
      <c r="W163" s="540"/>
      <c r="X163" s="540"/>
      <c r="Y163" s="540"/>
      <c r="Z163" s="540"/>
      <c r="AA163" s="540"/>
      <c r="AB163" s="540"/>
      <c r="AC163" s="540"/>
      <c r="AD163" s="540"/>
      <c r="AE163" s="540"/>
      <c r="AF163" s="540"/>
      <c r="AG163" s="540"/>
      <c r="AH163" s="540"/>
      <c r="AI163" s="540"/>
      <c r="AJ163" s="540"/>
      <c r="AK163" s="540"/>
      <c r="AL163" s="540"/>
      <c r="AM163" s="540"/>
      <c r="AN163" s="540"/>
      <c r="AO163" s="540"/>
      <c r="AP163" s="540"/>
      <c r="AQ163" s="540"/>
      <c r="AR163" s="540"/>
      <c r="AS163" s="540"/>
      <c r="AT163" s="540"/>
      <c r="AU163" s="540"/>
      <c r="AV163" s="540"/>
      <c r="AW163" s="1259"/>
      <c r="AX163" s="1259"/>
      <c r="AY163" s="1259"/>
      <c r="AZ163" s="540"/>
      <c r="BA163" s="540"/>
      <c r="BB163" s="540"/>
      <c r="BC163" s="540"/>
      <c r="BD163" s="540"/>
      <c r="BE163" s="540"/>
      <c r="BF163" s="540"/>
      <c r="BG163" s="540"/>
      <c r="BH163" s="540"/>
      <c r="BI163" s="540"/>
      <c r="BJ163" s="540"/>
      <c r="BK163" s="540"/>
      <c r="BL163" s="540"/>
      <c r="BM163" s="540"/>
      <c r="BN163" s="540"/>
      <c r="BO163" s="540"/>
    </row>
    <row r="164" spans="1:67" ht="35.1" customHeight="1" x14ac:dyDescent="0.25">
      <c r="A164" s="3">
        <f t="shared" si="2"/>
        <v>152</v>
      </c>
      <c r="B164" s="1218" t="s">
        <v>162</v>
      </c>
      <c r="C164" s="1218"/>
      <c r="D164" s="1222"/>
      <c r="E164" s="1222"/>
      <c r="F164" s="1222"/>
      <c r="G164" s="1222"/>
      <c r="H164" s="1222"/>
      <c r="I164" s="1219"/>
      <c r="J164" s="1219"/>
      <c r="K164" s="1219"/>
      <c r="L164" s="1219"/>
      <c r="M164" s="1219"/>
      <c r="N164" s="1219"/>
      <c r="O164" s="1219"/>
      <c r="P164" s="1219"/>
      <c r="Q164" s="1220"/>
      <c r="R164" s="1220"/>
      <c r="S164" s="1220"/>
      <c r="T164" s="1220"/>
      <c r="U164" s="1220"/>
      <c r="V164" s="1220"/>
      <c r="W164" s="1220"/>
      <c r="X164" s="1220"/>
      <c r="Y164" s="1219"/>
      <c r="Z164" s="1219"/>
      <c r="AA164" s="1220"/>
      <c r="AB164" s="1220"/>
      <c r="AC164" s="1220"/>
      <c r="AD164" s="1220"/>
      <c r="AE164" s="1219"/>
      <c r="AF164" s="1219"/>
      <c r="AG164" s="1219"/>
      <c r="AH164" s="1220"/>
      <c r="AI164" s="1220"/>
      <c r="AJ164" s="1220"/>
      <c r="AK164" s="1219"/>
      <c r="AL164" s="1219"/>
      <c r="AM164" s="1219"/>
      <c r="AN164" s="1219"/>
      <c r="AO164" s="1220"/>
      <c r="AP164" s="1220"/>
      <c r="AQ164" s="1220"/>
      <c r="AR164" s="1220"/>
      <c r="AS164" s="1220"/>
      <c r="AT164" s="1220"/>
      <c r="AU164" s="1220"/>
      <c r="AV164" s="1220"/>
      <c r="AW164" s="1258"/>
      <c r="AX164" s="1258"/>
      <c r="AY164" s="1258"/>
      <c r="AZ164" s="1220"/>
      <c r="BA164" s="1220"/>
      <c r="BB164" s="1220"/>
      <c r="BC164" s="1220"/>
      <c r="BD164" s="1220"/>
      <c r="BE164" s="1220"/>
      <c r="BF164" s="1220"/>
      <c r="BG164" s="1220"/>
      <c r="BH164" s="1220"/>
      <c r="BI164" s="1220"/>
      <c r="BJ164" s="1220"/>
      <c r="BK164" s="1220"/>
      <c r="BL164" s="1220"/>
      <c r="BM164" s="1220"/>
      <c r="BN164" s="1220"/>
      <c r="BO164" s="1220"/>
    </row>
    <row r="165" spans="1:67" ht="35.1" customHeight="1" x14ac:dyDescent="0.25">
      <c r="A165" s="3">
        <f t="shared" si="2"/>
        <v>153</v>
      </c>
      <c r="B165" s="1218" t="s">
        <v>162</v>
      </c>
      <c r="C165" s="1218"/>
      <c r="D165" s="1221"/>
      <c r="E165" s="1221"/>
      <c r="F165" s="1221"/>
      <c r="G165" s="1221"/>
      <c r="H165" s="1221"/>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540"/>
      <c r="AF165" s="540"/>
      <c r="AG165" s="540"/>
      <c r="AH165" s="540"/>
      <c r="AI165" s="540"/>
      <c r="AJ165" s="540"/>
      <c r="AK165" s="540"/>
      <c r="AL165" s="540"/>
      <c r="AM165" s="540"/>
      <c r="AN165" s="540"/>
      <c r="AO165" s="540"/>
      <c r="AP165" s="540"/>
      <c r="AQ165" s="540"/>
      <c r="AR165" s="540"/>
      <c r="AS165" s="540"/>
      <c r="AT165" s="540"/>
      <c r="AU165" s="540"/>
      <c r="AV165" s="540"/>
      <c r="AW165" s="1259"/>
      <c r="AX165" s="1259"/>
      <c r="AY165" s="1259"/>
      <c r="AZ165" s="540"/>
      <c r="BA165" s="540"/>
      <c r="BB165" s="540"/>
      <c r="BC165" s="540"/>
      <c r="BD165" s="540"/>
      <c r="BE165" s="540"/>
      <c r="BF165" s="540"/>
      <c r="BG165" s="540"/>
      <c r="BH165" s="540"/>
      <c r="BI165" s="540"/>
      <c r="BJ165" s="540"/>
      <c r="BK165" s="540"/>
      <c r="BL165" s="540"/>
      <c r="BM165" s="540"/>
      <c r="BN165" s="540"/>
      <c r="BO165" s="540"/>
    </row>
    <row r="166" spans="1:67" ht="35.1" customHeight="1" x14ac:dyDescent="0.25">
      <c r="A166" s="3">
        <f t="shared" si="2"/>
        <v>154</v>
      </c>
      <c r="B166" s="1218" t="s">
        <v>162</v>
      </c>
      <c r="C166" s="1218"/>
      <c r="D166" s="1222"/>
      <c r="E166" s="1222"/>
      <c r="F166" s="1222"/>
      <c r="G166" s="1222"/>
      <c r="H166" s="1222"/>
      <c r="I166" s="1219"/>
      <c r="J166" s="1219"/>
      <c r="K166" s="1219"/>
      <c r="L166" s="1219"/>
      <c r="M166" s="1219"/>
      <c r="N166" s="1219"/>
      <c r="O166" s="1219"/>
      <c r="P166" s="1219"/>
      <c r="Q166" s="1220"/>
      <c r="R166" s="1220"/>
      <c r="S166" s="1220"/>
      <c r="T166" s="1220"/>
      <c r="U166" s="1220"/>
      <c r="V166" s="1220"/>
      <c r="W166" s="1220"/>
      <c r="X166" s="1220"/>
      <c r="Y166" s="1219"/>
      <c r="Z166" s="1219"/>
      <c r="AA166" s="1220"/>
      <c r="AB166" s="1220"/>
      <c r="AC166" s="1220"/>
      <c r="AD166" s="1220"/>
      <c r="AE166" s="1219"/>
      <c r="AF166" s="1219"/>
      <c r="AG166" s="1219"/>
      <c r="AH166" s="1220"/>
      <c r="AI166" s="1220"/>
      <c r="AJ166" s="1220"/>
      <c r="AK166" s="1219"/>
      <c r="AL166" s="1219"/>
      <c r="AM166" s="1219"/>
      <c r="AN166" s="1219"/>
      <c r="AO166" s="1220"/>
      <c r="AP166" s="1220"/>
      <c r="AQ166" s="1220"/>
      <c r="AR166" s="1220"/>
      <c r="AS166" s="1220"/>
      <c r="AT166" s="1220"/>
      <c r="AU166" s="1220"/>
      <c r="AV166" s="1220"/>
      <c r="AW166" s="1258"/>
      <c r="AX166" s="1258"/>
      <c r="AY166" s="1258"/>
      <c r="AZ166" s="1220"/>
      <c r="BA166" s="1220"/>
      <c r="BB166" s="1220"/>
      <c r="BC166" s="1220"/>
      <c r="BD166" s="1220"/>
      <c r="BE166" s="1220"/>
      <c r="BF166" s="1220"/>
      <c r="BG166" s="1220"/>
      <c r="BH166" s="1220"/>
      <c r="BI166" s="1220"/>
      <c r="BJ166" s="1220"/>
      <c r="BK166" s="1220"/>
      <c r="BL166" s="1220"/>
      <c r="BM166" s="1220"/>
      <c r="BN166" s="1220"/>
      <c r="BO166" s="1220"/>
    </row>
    <row r="167" spans="1:67" ht="35.1" customHeight="1" x14ac:dyDescent="0.25">
      <c r="A167" s="3">
        <f t="shared" si="2"/>
        <v>155</v>
      </c>
      <c r="B167" s="1218" t="s">
        <v>162</v>
      </c>
      <c r="C167" s="1218"/>
      <c r="D167" s="1221"/>
      <c r="E167" s="1221"/>
      <c r="F167" s="1221"/>
      <c r="G167" s="1221"/>
      <c r="H167" s="1221"/>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540"/>
      <c r="AF167" s="540"/>
      <c r="AG167" s="540"/>
      <c r="AH167" s="540"/>
      <c r="AI167" s="540"/>
      <c r="AJ167" s="540"/>
      <c r="AK167" s="540"/>
      <c r="AL167" s="540"/>
      <c r="AM167" s="540"/>
      <c r="AN167" s="540"/>
      <c r="AO167" s="540"/>
      <c r="AP167" s="540"/>
      <c r="AQ167" s="540"/>
      <c r="AR167" s="540"/>
      <c r="AS167" s="540"/>
      <c r="AT167" s="540"/>
      <c r="AU167" s="540"/>
      <c r="AV167" s="540"/>
      <c r="AW167" s="1259"/>
      <c r="AX167" s="1259"/>
      <c r="AY167" s="1259"/>
      <c r="AZ167" s="540"/>
      <c r="BA167" s="540"/>
      <c r="BB167" s="540"/>
      <c r="BC167" s="540"/>
      <c r="BD167" s="540"/>
      <c r="BE167" s="540"/>
      <c r="BF167" s="540"/>
      <c r="BG167" s="540"/>
      <c r="BH167" s="540"/>
      <c r="BI167" s="540"/>
      <c r="BJ167" s="540"/>
      <c r="BK167" s="540"/>
      <c r="BL167" s="540"/>
      <c r="BM167" s="540"/>
      <c r="BN167" s="540"/>
      <c r="BO167" s="540"/>
    </row>
    <row r="168" spans="1:67" ht="35.1" customHeight="1" x14ac:dyDescent="0.25">
      <c r="A168" s="3">
        <f t="shared" si="2"/>
        <v>156</v>
      </c>
      <c r="B168" s="1218" t="s">
        <v>162</v>
      </c>
      <c r="C168" s="1218"/>
      <c r="D168" s="1222"/>
      <c r="E168" s="1222"/>
      <c r="F168" s="1222"/>
      <c r="G168" s="1222"/>
      <c r="H168" s="1222"/>
      <c r="I168" s="1219"/>
      <c r="J168" s="1219"/>
      <c r="K168" s="1219"/>
      <c r="L168" s="1219"/>
      <c r="M168" s="1219"/>
      <c r="N168" s="1219"/>
      <c r="O168" s="1219"/>
      <c r="P168" s="1219"/>
      <c r="Q168" s="1220"/>
      <c r="R168" s="1220"/>
      <c r="S168" s="1220"/>
      <c r="T168" s="1220"/>
      <c r="U168" s="1220"/>
      <c r="V168" s="1220"/>
      <c r="W168" s="1220"/>
      <c r="X168" s="1220"/>
      <c r="Y168" s="1219"/>
      <c r="Z168" s="1219"/>
      <c r="AA168" s="1220"/>
      <c r="AB168" s="1220"/>
      <c r="AC168" s="1220"/>
      <c r="AD168" s="1220"/>
      <c r="AE168" s="1219"/>
      <c r="AF168" s="1219"/>
      <c r="AG168" s="1219"/>
      <c r="AH168" s="1220"/>
      <c r="AI168" s="1220"/>
      <c r="AJ168" s="1220"/>
      <c r="AK168" s="1219"/>
      <c r="AL168" s="1219"/>
      <c r="AM168" s="1219"/>
      <c r="AN168" s="1219"/>
      <c r="AO168" s="1220"/>
      <c r="AP168" s="1220"/>
      <c r="AQ168" s="1220"/>
      <c r="AR168" s="1220"/>
      <c r="AS168" s="1220"/>
      <c r="AT168" s="1220"/>
      <c r="AU168" s="1220"/>
      <c r="AV168" s="1220"/>
      <c r="AW168" s="1258"/>
      <c r="AX168" s="1258"/>
      <c r="AY168" s="1258"/>
      <c r="AZ168" s="1220"/>
      <c r="BA168" s="1220"/>
      <c r="BB168" s="1220"/>
      <c r="BC168" s="1220"/>
      <c r="BD168" s="1220"/>
      <c r="BE168" s="1220"/>
      <c r="BF168" s="1220"/>
      <c r="BG168" s="1220"/>
      <c r="BH168" s="1220"/>
      <c r="BI168" s="1220"/>
      <c r="BJ168" s="1220"/>
      <c r="BK168" s="1220"/>
      <c r="BL168" s="1220"/>
      <c r="BM168" s="1220"/>
      <c r="BN168" s="1220"/>
      <c r="BO168" s="1220"/>
    </row>
    <row r="169" spans="1:67" ht="35.1" customHeight="1" x14ac:dyDescent="0.25">
      <c r="A169" s="3">
        <f t="shared" si="2"/>
        <v>157</v>
      </c>
      <c r="B169" s="1218" t="s">
        <v>162</v>
      </c>
      <c r="C169" s="1218"/>
      <c r="D169" s="1221"/>
      <c r="E169" s="1221"/>
      <c r="F169" s="1221"/>
      <c r="G169" s="1221"/>
      <c r="H169" s="1221"/>
      <c r="I169" s="540"/>
      <c r="J169" s="540"/>
      <c r="K169" s="540"/>
      <c r="L169" s="540"/>
      <c r="M169" s="540"/>
      <c r="N169" s="540"/>
      <c r="O169" s="540"/>
      <c r="P169" s="540"/>
      <c r="Q169" s="540"/>
      <c r="R169" s="540"/>
      <c r="S169" s="540"/>
      <c r="T169" s="540"/>
      <c r="U169" s="540"/>
      <c r="V169" s="540"/>
      <c r="W169" s="540"/>
      <c r="X169" s="540"/>
      <c r="Y169" s="540"/>
      <c r="Z169" s="540"/>
      <c r="AA169" s="540"/>
      <c r="AB169" s="540"/>
      <c r="AC169" s="540"/>
      <c r="AD169" s="540"/>
      <c r="AE169" s="540"/>
      <c r="AF169" s="540"/>
      <c r="AG169" s="540"/>
      <c r="AH169" s="540"/>
      <c r="AI169" s="540"/>
      <c r="AJ169" s="540"/>
      <c r="AK169" s="540"/>
      <c r="AL169" s="540"/>
      <c r="AM169" s="540"/>
      <c r="AN169" s="540"/>
      <c r="AO169" s="540"/>
      <c r="AP169" s="540"/>
      <c r="AQ169" s="540"/>
      <c r="AR169" s="540"/>
      <c r="AS169" s="540"/>
      <c r="AT169" s="540"/>
      <c r="AU169" s="540"/>
      <c r="AV169" s="540"/>
      <c r="AW169" s="1259"/>
      <c r="AX169" s="1259"/>
      <c r="AY169" s="1259"/>
      <c r="AZ169" s="540"/>
      <c r="BA169" s="540"/>
      <c r="BB169" s="540"/>
      <c r="BC169" s="540"/>
      <c r="BD169" s="540"/>
      <c r="BE169" s="540"/>
      <c r="BF169" s="540"/>
      <c r="BG169" s="540"/>
      <c r="BH169" s="540"/>
      <c r="BI169" s="540"/>
      <c r="BJ169" s="540"/>
      <c r="BK169" s="540"/>
      <c r="BL169" s="540"/>
      <c r="BM169" s="540"/>
      <c r="BN169" s="540"/>
      <c r="BO169" s="540"/>
    </row>
    <row r="170" spans="1:67" ht="35.1" customHeight="1" x14ac:dyDescent="0.25">
      <c r="A170" s="3">
        <f t="shared" si="2"/>
        <v>158</v>
      </c>
      <c r="B170" s="1218" t="s">
        <v>162</v>
      </c>
      <c r="C170" s="1218"/>
      <c r="D170" s="1222"/>
      <c r="E170" s="1222"/>
      <c r="F170" s="1222"/>
      <c r="G170" s="1222"/>
      <c r="H170" s="1222"/>
      <c r="I170" s="1219"/>
      <c r="J170" s="1219"/>
      <c r="K170" s="1219"/>
      <c r="L170" s="1219"/>
      <c r="M170" s="1219"/>
      <c r="N170" s="1219"/>
      <c r="O170" s="1219"/>
      <c r="P170" s="1219"/>
      <c r="Q170" s="1220"/>
      <c r="R170" s="1220"/>
      <c r="S170" s="1220"/>
      <c r="T170" s="1220"/>
      <c r="U170" s="1220"/>
      <c r="V170" s="1220"/>
      <c r="W170" s="1220"/>
      <c r="X170" s="1220"/>
      <c r="Y170" s="1219"/>
      <c r="Z170" s="1219"/>
      <c r="AA170" s="1220"/>
      <c r="AB170" s="1220"/>
      <c r="AC170" s="1220"/>
      <c r="AD170" s="1220"/>
      <c r="AE170" s="1219"/>
      <c r="AF170" s="1219"/>
      <c r="AG170" s="1219"/>
      <c r="AH170" s="1220"/>
      <c r="AI170" s="1220"/>
      <c r="AJ170" s="1220"/>
      <c r="AK170" s="1219"/>
      <c r="AL170" s="1219"/>
      <c r="AM170" s="1219"/>
      <c r="AN170" s="1219"/>
      <c r="AO170" s="1220"/>
      <c r="AP170" s="1220"/>
      <c r="AQ170" s="1220"/>
      <c r="AR170" s="1220"/>
      <c r="AS170" s="1220"/>
      <c r="AT170" s="1220"/>
      <c r="AU170" s="1220"/>
      <c r="AV170" s="1220"/>
      <c r="AW170" s="1258"/>
      <c r="AX170" s="1258"/>
      <c r="AY170" s="1258"/>
      <c r="AZ170" s="1220"/>
      <c r="BA170" s="1220"/>
      <c r="BB170" s="1220"/>
      <c r="BC170" s="1220"/>
      <c r="BD170" s="1220"/>
      <c r="BE170" s="1220"/>
      <c r="BF170" s="1220"/>
      <c r="BG170" s="1220"/>
      <c r="BH170" s="1220"/>
      <c r="BI170" s="1220"/>
      <c r="BJ170" s="1220"/>
      <c r="BK170" s="1220"/>
      <c r="BL170" s="1220"/>
      <c r="BM170" s="1220"/>
      <c r="BN170" s="1220"/>
      <c r="BO170" s="1220"/>
    </row>
    <row r="171" spans="1:67" ht="35.1" customHeight="1" x14ac:dyDescent="0.25">
      <c r="A171" s="3">
        <f t="shared" si="2"/>
        <v>159</v>
      </c>
      <c r="B171" s="1218" t="s">
        <v>162</v>
      </c>
      <c r="C171" s="1218"/>
      <c r="D171" s="1221"/>
      <c r="E171" s="1221"/>
      <c r="F171" s="1221"/>
      <c r="G171" s="1221"/>
      <c r="H171" s="1221"/>
      <c r="I171" s="540"/>
      <c r="J171" s="540"/>
      <c r="K171" s="540"/>
      <c r="L171" s="540"/>
      <c r="M171" s="540"/>
      <c r="N171" s="540"/>
      <c r="O171" s="540"/>
      <c r="P171" s="540"/>
      <c r="Q171" s="540"/>
      <c r="R171" s="540"/>
      <c r="S171" s="540"/>
      <c r="T171" s="540"/>
      <c r="U171" s="540"/>
      <c r="V171" s="540"/>
      <c r="W171" s="540"/>
      <c r="X171" s="540"/>
      <c r="Y171" s="540"/>
      <c r="Z171" s="540"/>
      <c r="AA171" s="540"/>
      <c r="AB171" s="540"/>
      <c r="AC171" s="540"/>
      <c r="AD171" s="540"/>
      <c r="AE171" s="540"/>
      <c r="AF171" s="540"/>
      <c r="AG171" s="540"/>
      <c r="AH171" s="540"/>
      <c r="AI171" s="540"/>
      <c r="AJ171" s="540"/>
      <c r="AK171" s="540"/>
      <c r="AL171" s="540"/>
      <c r="AM171" s="540"/>
      <c r="AN171" s="540"/>
      <c r="AO171" s="540"/>
      <c r="AP171" s="540"/>
      <c r="AQ171" s="540"/>
      <c r="AR171" s="540"/>
      <c r="AS171" s="540"/>
      <c r="AT171" s="540"/>
      <c r="AU171" s="540"/>
      <c r="AV171" s="540"/>
      <c r="AW171" s="1259"/>
      <c r="AX171" s="1259"/>
      <c r="AY171" s="1259"/>
      <c r="AZ171" s="540"/>
      <c r="BA171" s="540"/>
      <c r="BB171" s="540"/>
      <c r="BC171" s="540"/>
      <c r="BD171" s="540"/>
      <c r="BE171" s="540"/>
      <c r="BF171" s="540"/>
      <c r="BG171" s="540"/>
      <c r="BH171" s="540"/>
      <c r="BI171" s="540"/>
      <c r="BJ171" s="540"/>
      <c r="BK171" s="540"/>
      <c r="BL171" s="540"/>
      <c r="BM171" s="540"/>
      <c r="BN171" s="540"/>
      <c r="BO171" s="540"/>
    </row>
    <row r="172" spans="1:67" ht="35.1" customHeight="1" x14ac:dyDescent="0.25">
      <c r="A172" s="3">
        <f t="shared" si="2"/>
        <v>160</v>
      </c>
      <c r="B172" s="1218" t="s">
        <v>162</v>
      </c>
      <c r="C172" s="1218"/>
      <c r="D172" s="1222"/>
      <c r="E172" s="1222"/>
      <c r="F172" s="1222"/>
      <c r="G172" s="1222"/>
      <c r="H172" s="1222"/>
      <c r="I172" s="1219"/>
      <c r="J172" s="1219"/>
      <c r="K172" s="1219"/>
      <c r="L172" s="1219"/>
      <c r="M172" s="1219"/>
      <c r="N172" s="1219"/>
      <c r="O172" s="1219"/>
      <c r="P172" s="1219"/>
      <c r="Q172" s="1220"/>
      <c r="R172" s="1220"/>
      <c r="S172" s="1220"/>
      <c r="T172" s="1220"/>
      <c r="U172" s="1220"/>
      <c r="V172" s="1220"/>
      <c r="W172" s="1220"/>
      <c r="X172" s="1220"/>
      <c r="Y172" s="1219"/>
      <c r="Z172" s="1219"/>
      <c r="AA172" s="1220"/>
      <c r="AB172" s="1220"/>
      <c r="AC172" s="1220"/>
      <c r="AD172" s="1220"/>
      <c r="AE172" s="1219"/>
      <c r="AF172" s="1219"/>
      <c r="AG172" s="1219"/>
      <c r="AH172" s="1220"/>
      <c r="AI172" s="1220"/>
      <c r="AJ172" s="1220"/>
      <c r="AK172" s="1219"/>
      <c r="AL172" s="1219"/>
      <c r="AM172" s="1219"/>
      <c r="AN172" s="1219"/>
      <c r="AO172" s="1220"/>
      <c r="AP172" s="1220"/>
      <c r="AQ172" s="1220"/>
      <c r="AR172" s="1220"/>
      <c r="AS172" s="1220"/>
      <c r="AT172" s="1220"/>
      <c r="AU172" s="1220"/>
      <c r="AV172" s="1220"/>
      <c r="AW172" s="1258"/>
      <c r="AX172" s="1258"/>
      <c r="AY172" s="1258"/>
      <c r="AZ172" s="1220"/>
      <c r="BA172" s="1220"/>
      <c r="BB172" s="1220"/>
      <c r="BC172" s="1220"/>
      <c r="BD172" s="1220"/>
      <c r="BE172" s="1220"/>
      <c r="BF172" s="1220"/>
      <c r="BG172" s="1220"/>
      <c r="BH172" s="1220"/>
      <c r="BI172" s="1220"/>
      <c r="BJ172" s="1220"/>
      <c r="BK172" s="1220"/>
      <c r="BL172" s="1220"/>
      <c r="BM172" s="1220"/>
      <c r="BN172" s="1220"/>
      <c r="BO172" s="1220"/>
    </row>
    <row r="173" spans="1:67" ht="35.1" customHeight="1" x14ac:dyDescent="0.25">
      <c r="A173" s="3">
        <f t="shared" si="2"/>
        <v>161</v>
      </c>
      <c r="B173" s="1218" t="s">
        <v>162</v>
      </c>
      <c r="C173" s="1218"/>
      <c r="D173" s="1221"/>
      <c r="E173" s="1221"/>
      <c r="F173" s="1221"/>
      <c r="G173" s="1221"/>
      <c r="H173" s="1221"/>
      <c r="I173" s="540"/>
      <c r="J173" s="540"/>
      <c r="K173" s="540"/>
      <c r="L173" s="540"/>
      <c r="M173" s="540"/>
      <c r="N173" s="540"/>
      <c r="O173" s="540"/>
      <c r="P173" s="540"/>
      <c r="Q173" s="540"/>
      <c r="R173" s="540"/>
      <c r="S173" s="540"/>
      <c r="T173" s="540"/>
      <c r="U173" s="540"/>
      <c r="V173" s="540"/>
      <c r="W173" s="540"/>
      <c r="X173" s="540"/>
      <c r="Y173" s="540"/>
      <c r="Z173" s="540"/>
      <c r="AA173" s="540"/>
      <c r="AB173" s="540"/>
      <c r="AC173" s="540"/>
      <c r="AD173" s="540"/>
      <c r="AE173" s="540"/>
      <c r="AF173" s="540"/>
      <c r="AG173" s="540"/>
      <c r="AH173" s="540"/>
      <c r="AI173" s="540"/>
      <c r="AJ173" s="540"/>
      <c r="AK173" s="540"/>
      <c r="AL173" s="540"/>
      <c r="AM173" s="540"/>
      <c r="AN173" s="540"/>
      <c r="AO173" s="540"/>
      <c r="AP173" s="540"/>
      <c r="AQ173" s="540"/>
      <c r="AR173" s="540"/>
      <c r="AS173" s="540"/>
      <c r="AT173" s="540"/>
      <c r="AU173" s="540"/>
      <c r="AV173" s="540"/>
      <c r="AW173" s="1259"/>
      <c r="AX173" s="1259"/>
      <c r="AY173" s="1259"/>
      <c r="AZ173" s="540"/>
      <c r="BA173" s="540"/>
      <c r="BB173" s="540"/>
      <c r="BC173" s="540"/>
      <c r="BD173" s="540"/>
      <c r="BE173" s="540"/>
      <c r="BF173" s="540"/>
      <c r="BG173" s="540"/>
      <c r="BH173" s="540"/>
      <c r="BI173" s="540"/>
      <c r="BJ173" s="540"/>
      <c r="BK173" s="540"/>
      <c r="BL173" s="540"/>
      <c r="BM173" s="540"/>
      <c r="BN173" s="540"/>
      <c r="BO173" s="540"/>
    </row>
    <row r="174" spans="1:67" ht="35.1" customHeight="1" x14ac:dyDescent="0.25">
      <c r="A174" s="3">
        <f t="shared" si="2"/>
        <v>162</v>
      </c>
      <c r="B174" s="1218" t="s">
        <v>162</v>
      </c>
      <c r="C174" s="1218"/>
      <c r="D174" s="1222"/>
      <c r="E174" s="1222"/>
      <c r="F174" s="1222"/>
      <c r="G174" s="1222"/>
      <c r="H174" s="1222"/>
      <c r="I174" s="1219"/>
      <c r="J174" s="1219"/>
      <c r="K174" s="1219"/>
      <c r="L174" s="1219"/>
      <c r="M174" s="1219"/>
      <c r="N174" s="1219"/>
      <c r="O174" s="1219"/>
      <c r="P174" s="1219"/>
      <c r="Q174" s="1220"/>
      <c r="R174" s="1220"/>
      <c r="S174" s="1220"/>
      <c r="T174" s="1220"/>
      <c r="U174" s="1220"/>
      <c r="V174" s="1220"/>
      <c r="W174" s="1220"/>
      <c r="X174" s="1220"/>
      <c r="Y174" s="1219"/>
      <c r="Z174" s="1219"/>
      <c r="AA174" s="1220"/>
      <c r="AB174" s="1220"/>
      <c r="AC174" s="1220"/>
      <c r="AD174" s="1220"/>
      <c r="AE174" s="1219"/>
      <c r="AF174" s="1219"/>
      <c r="AG174" s="1219"/>
      <c r="AH174" s="1220"/>
      <c r="AI174" s="1220"/>
      <c r="AJ174" s="1220"/>
      <c r="AK174" s="1219"/>
      <c r="AL174" s="1219"/>
      <c r="AM174" s="1219"/>
      <c r="AN174" s="1219"/>
      <c r="AO174" s="1220"/>
      <c r="AP174" s="1220"/>
      <c r="AQ174" s="1220"/>
      <c r="AR174" s="1220"/>
      <c r="AS174" s="1220"/>
      <c r="AT174" s="1220"/>
      <c r="AU174" s="1220"/>
      <c r="AV174" s="1220"/>
      <c r="AW174" s="1258"/>
      <c r="AX174" s="1258"/>
      <c r="AY174" s="1258"/>
      <c r="AZ174" s="1220"/>
      <c r="BA174" s="1220"/>
      <c r="BB174" s="1220"/>
      <c r="BC174" s="1220"/>
      <c r="BD174" s="1220"/>
      <c r="BE174" s="1220"/>
      <c r="BF174" s="1220"/>
      <c r="BG174" s="1220"/>
      <c r="BH174" s="1220"/>
      <c r="BI174" s="1220"/>
      <c r="BJ174" s="1220"/>
      <c r="BK174" s="1220"/>
      <c r="BL174" s="1220"/>
      <c r="BM174" s="1220"/>
      <c r="BN174" s="1220"/>
      <c r="BO174" s="1220"/>
    </row>
    <row r="175" spans="1:67" ht="35.1" customHeight="1" x14ac:dyDescent="0.25">
      <c r="A175" s="3">
        <f t="shared" si="2"/>
        <v>163</v>
      </c>
      <c r="B175" s="1218" t="s">
        <v>162</v>
      </c>
      <c r="C175" s="1218"/>
      <c r="D175" s="1221"/>
      <c r="E175" s="1221"/>
      <c r="F175" s="1221"/>
      <c r="G175" s="1221"/>
      <c r="H175" s="1221"/>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40"/>
      <c r="AM175" s="540"/>
      <c r="AN175" s="540"/>
      <c r="AO175" s="540"/>
      <c r="AP175" s="540"/>
      <c r="AQ175" s="540"/>
      <c r="AR175" s="540"/>
      <c r="AS175" s="540"/>
      <c r="AT175" s="540"/>
      <c r="AU175" s="540"/>
      <c r="AV175" s="540"/>
      <c r="AW175" s="1259"/>
      <c r="AX175" s="1259"/>
      <c r="AY175" s="1259"/>
      <c r="AZ175" s="540"/>
      <c r="BA175" s="540"/>
      <c r="BB175" s="540"/>
      <c r="BC175" s="540"/>
      <c r="BD175" s="540"/>
      <c r="BE175" s="540"/>
      <c r="BF175" s="540"/>
      <c r="BG175" s="540"/>
      <c r="BH175" s="540"/>
      <c r="BI175" s="540"/>
      <c r="BJ175" s="540"/>
      <c r="BK175" s="540"/>
      <c r="BL175" s="540"/>
      <c r="BM175" s="540"/>
      <c r="BN175" s="540"/>
      <c r="BO175" s="540"/>
    </row>
    <row r="176" spans="1:67" ht="35.1" customHeight="1" x14ac:dyDescent="0.25">
      <c r="A176" s="3">
        <f t="shared" si="2"/>
        <v>164</v>
      </c>
      <c r="B176" s="1235" t="s">
        <v>162</v>
      </c>
      <c r="C176" s="1235"/>
      <c r="D176" s="1222"/>
      <c r="E176" s="1222"/>
      <c r="F176" s="1222"/>
      <c r="G176" s="1222"/>
      <c r="H176" s="1222"/>
      <c r="I176" s="1219"/>
      <c r="J176" s="1219"/>
      <c r="K176" s="1219"/>
      <c r="L176" s="1219"/>
      <c r="M176" s="1219"/>
      <c r="N176" s="1219"/>
      <c r="O176" s="1219"/>
      <c r="P176" s="1219"/>
      <c r="Q176" s="1220"/>
      <c r="R176" s="1220"/>
      <c r="S176" s="1220"/>
      <c r="T176" s="1220"/>
      <c r="U176" s="1220"/>
      <c r="V176" s="1220"/>
      <c r="W176" s="1220"/>
      <c r="X176" s="1220"/>
      <c r="Y176" s="1219"/>
      <c r="Z176" s="1219"/>
      <c r="AA176" s="1220"/>
      <c r="AB176" s="1220"/>
      <c r="AC176" s="1220"/>
      <c r="AD176" s="1220"/>
      <c r="AE176" s="1219"/>
      <c r="AF176" s="1219"/>
      <c r="AG176" s="1219"/>
      <c r="AH176" s="1220"/>
      <c r="AI176" s="1220"/>
      <c r="AJ176" s="1220"/>
      <c r="AK176" s="1219"/>
      <c r="AL176" s="1219"/>
      <c r="AM176" s="1219"/>
      <c r="AN176" s="1219"/>
      <c r="AO176" s="1220"/>
      <c r="AP176" s="1220"/>
      <c r="AQ176" s="1220"/>
      <c r="AR176" s="1220"/>
      <c r="AS176" s="1220"/>
      <c r="AT176" s="1220"/>
      <c r="AU176" s="1220"/>
      <c r="AV176" s="1220"/>
      <c r="AW176" s="1258"/>
      <c r="AX176" s="1258"/>
      <c r="AY176" s="1258"/>
      <c r="AZ176" s="1220"/>
      <c r="BA176" s="1220"/>
      <c r="BB176" s="1220"/>
      <c r="BC176" s="1220"/>
      <c r="BD176" s="1220"/>
      <c r="BE176" s="1220"/>
      <c r="BF176" s="1220"/>
      <c r="BG176" s="1220"/>
      <c r="BH176" s="1220"/>
      <c r="BI176" s="1220"/>
      <c r="BJ176" s="1220"/>
      <c r="BK176" s="1220"/>
      <c r="BL176" s="1220"/>
      <c r="BM176" s="1220"/>
      <c r="BN176" s="1220"/>
      <c r="BO176" s="1220"/>
    </row>
    <row r="177" spans="1:67" ht="35.1" customHeight="1" x14ac:dyDescent="0.25">
      <c r="A177" s="3">
        <f t="shared" si="2"/>
        <v>165</v>
      </c>
      <c r="B177" s="1218" t="s">
        <v>162</v>
      </c>
      <c r="C177" s="1218"/>
      <c r="D177" s="1221"/>
      <c r="E177" s="1221"/>
      <c r="F177" s="1221"/>
      <c r="G177" s="1221"/>
      <c r="H177" s="1221"/>
      <c r="I177" s="540"/>
      <c r="J177" s="540"/>
      <c r="K177" s="540"/>
      <c r="L177" s="540"/>
      <c r="M177" s="540"/>
      <c r="N177" s="540"/>
      <c r="O177" s="540"/>
      <c r="P177" s="540"/>
      <c r="Q177" s="540"/>
      <c r="R177" s="540"/>
      <c r="S177" s="540"/>
      <c r="T177" s="540"/>
      <c r="U177" s="540"/>
      <c r="V177" s="540"/>
      <c r="W177" s="540"/>
      <c r="X177" s="540"/>
      <c r="Y177" s="540"/>
      <c r="Z177" s="540"/>
      <c r="AA177" s="540"/>
      <c r="AB177" s="540"/>
      <c r="AC177" s="540"/>
      <c r="AD177" s="540"/>
      <c r="AE177" s="540"/>
      <c r="AF177" s="540"/>
      <c r="AG177" s="540"/>
      <c r="AH177" s="540"/>
      <c r="AI177" s="540"/>
      <c r="AJ177" s="540"/>
      <c r="AK177" s="540"/>
      <c r="AL177" s="540"/>
      <c r="AM177" s="540"/>
      <c r="AN177" s="540"/>
      <c r="AO177" s="540"/>
      <c r="AP177" s="540"/>
      <c r="AQ177" s="540"/>
      <c r="AR177" s="540"/>
      <c r="AS177" s="540"/>
      <c r="AT177" s="540"/>
      <c r="AU177" s="540"/>
      <c r="AV177" s="540"/>
      <c r="AW177" s="1259"/>
      <c r="AX177" s="1259"/>
      <c r="AY177" s="1259"/>
      <c r="AZ177" s="540"/>
      <c r="BA177" s="540"/>
      <c r="BB177" s="540"/>
      <c r="BC177" s="540"/>
      <c r="BD177" s="540"/>
      <c r="BE177" s="540"/>
      <c r="BF177" s="540"/>
      <c r="BG177" s="540"/>
      <c r="BH177" s="540"/>
      <c r="BI177" s="540"/>
      <c r="BJ177" s="540"/>
      <c r="BK177" s="540"/>
      <c r="BL177" s="540"/>
      <c r="BM177" s="540"/>
      <c r="BN177" s="540"/>
      <c r="BO177" s="540"/>
    </row>
    <row r="178" spans="1:67" ht="35.1" customHeight="1" x14ac:dyDescent="0.25">
      <c r="A178" s="3">
        <f t="shared" si="2"/>
        <v>166</v>
      </c>
      <c r="B178" s="1218" t="s">
        <v>162</v>
      </c>
      <c r="C178" s="1218"/>
      <c r="D178" s="1222"/>
      <c r="E178" s="1222"/>
      <c r="F178" s="1222"/>
      <c r="G178" s="1222"/>
      <c r="H178" s="1222"/>
      <c r="I178" s="1219"/>
      <c r="J178" s="1219"/>
      <c r="K178" s="1219"/>
      <c r="L178" s="1219"/>
      <c r="M178" s="1219"/>
      <c r="N178" s="1219"/>
      <c r="O178" s="1219"/>
      <c r="P178" s="1219"/>
      <c r="Q178" s="1220"/>
      <c r="R178" s="1220"/>
      <c r="S178" s="1220"/>
      <c r="T178" s="1220"/>
      <c r="U178" s="1220"/>
      <c r="V178" s="1220"/>
      <c r="W178" s="1220"/>
      <c r="X178" s="1220"/>
      <c r="Y178" s="1219"/>
      <c r="Z178" s="1219"/>
      <c r="AA178" s="1220"/>
      <c r="AB178" s="1220"/>
      <c r="AC178" s="1220"/>
      <c r="AD178" s="1220"/>
      <c r="AE178" s="1219"/>
      <c r="AF178" s="1219"/>
      <c r="AG178" s="1219"/>
      <c r="AH178" s="1220"/>
      <c r="AI178" s="1220"/>
      <c r="AJ178" s="1220"/>
      <c r="AK178" s="1219"/>
      <c r="AL178" s="1219"/>
      <c r="AM178" s="1219"/>
      <c r="AN178" s="1219"/>
      <c r="AO178" s="1220"/>
      <c r="AP178" s="1220"/>
      <c r="AQ178" s="1220"/>
      <c r="AR178" s="1220"/>
      <c r="AS178" s="1220"/>
      <c r="AT178" s="1220"/>
      <c r="AU178" s="1220"/>
      <c r="AV178" s="1220"/>
      <c r="AW178" s="1258"/>
      <c r="AX178" s="1258"/>
      <c r="AY178" s="1258"/>
      <c r="AZ178" s="1220"/>
      <c r="BA178" s="1220"/>
      <c r="BB178" s="1220"/>
      <c r="BC178" s="1220"/>
      <c r="BD178" s="1220"/>
      <c r="BE178" s="1220"/>
      <c r="BF178" s="1220"/>
      <c r="BG178" s="1220"/>
      <c r="BH178" s="1220"/>
      <c r="BI178" s="1220"/>
      <c r="BJ178" s="1220"/>
      <c r="BK178" s="1220"/>
      <c r="BL178" s="1220"/>
      <c r="BM178" s="1220"/>
      <c r="BN178" s="1220"/>
      <c r="BO178" s="1220"/>
    </row>
    <row r="179" spans="1:67" ht="35.1" customHeight="1" x14ac:dyDescent="0.25">
      <c r="A179" s="3">
        <f t="shared" si="2"/>
        <v>167</v>
      </c>
      <c r="B179" s="1218" t="s">
        <v>162</v>
      </c>
      <c r="C179" s="1218"/>
      <c r="D179" s="1221"/>
      <c r="E179" s="1221"/>
      <c r="F179" s="1221"/>
      <c r="G179" s="1221"/>
      <c r="H179" s="1221"/>
      <c r="I179" s="540"/>
      <c r="J179" s="540"/>
      <c r="K179" s="540"/>
      <c r="L179" s="540"/>
      <c r="M179" s="540"/>
      <c r="N179" s="540"/>
      <c r="O179" s="540"/>
      <c r="P179" s="540"/>
      <c r="Q179" s="540"/>
      <c r="R179" s="540"/>
      <c r="S179" s="540"/>
      <c r="T179" s="540"/>
      <c r="U179" s="540"/>
      <c r="V179" s="540"/>
      <c r="W179" s="540"/>
      <c r="X179" s="540"/>
      <c r="Y179" s="540"/>
      <c r="Z179" s="540"/>
      <c r="AA179" s="540"/>
      <c r="AB179" s="540"/>
      <c r="AC179" s="540"/>
      <c r="AD179" s="540"/>
      <c r="AE179" s="540"/>
      <c r="AF179" s="540"/>
      <c r="AG179" s="540"/>
      <c r="AH179" s="540"/>
      <c r="AI179" s="540"/>
      <c r="AJ179" s="540"/>
      <c r="AK179" s="540"/>
      <c r="AL179" s="540"/>
      <c r="AM179" s="540"/>
      <c r="AN179" s="540"/>
      <c r="AO179" s="540"/>
      <c r="AP179" s="540"/>
      <c r="AQ179" s="540"/>
      <c r="AR179" s="540"/>
      <c r="AS179" s="540"/>
      <c r="AT179" s="540"/>
      <c r="AU179" s="540"/>
      <c r="AV179" s="540"/>
      <c r="AW179" s="1259"/>
      <c r="AX179" s="1259"/>
      <c r="AY179" s="1259"/>
      <c r="AZ179" s="540"/>
      <c r="BA179" s="540"/>
      <c r="BB179" s="540"/>
      <c r="BC179" s="540"/>
      <c r="BD179" s="540"/>
      <c r="BE179" s="540"/>
      <c r="BF179" s="540"/>
      <c r="BG179" s="540"/>
      <c r="BH179" s="540"/>
      <c r="BI179" s="540"/>
      <c r="BJ179" s="540"/>
      <c r="BK179" s="540"/>
      <c r="BL179" s="540"/>
      <c r="BM179" s="540"/>
      <c r="BN179" s="540"/>
      <c r="BO179" s="540"/>
    </row>
    <row r="180" spans="1:67" ht="35.1" customHeight="1" x14ac:dyDescent="0.25">
      <c r="A180" s="3">
        <f t="shared" si="2"/>
        <v>168</v>
      </c>
      <c r="B180" s="1218" t="s">
        <v>162</v>
      </c>
      <c r="C180" s="1218"/>
      <c r="D180" s="1222"/>
      <c r="E180" s="1222"/>
      <c r="F180" s="1222"/>
      <c r="G180" s="1222"/>
      <c r="H180" s="1222"/>
      <c r="I180" s="1219"/>
      <c r="J180" s="1219"/>
      <c r="K180" s="1219"/>
      <c r="L180" s="1219"/>
      <c r="M180" s="1219"/>
      <c r="N180" s="1219"/>
      <c r="O180" s="1219"/>
      <c r="P180" s="1219"/>
      <c r="Q180" s="1220"/>
      <c r="R180" s="1220"/>
      <c r="S180" s="1220"/>
      <c r="T180" s="1220"/>
      <c r="U180" s="1220"/>
      <c r="V180" s="1220"/>
      <c r="W180" s="1220"/>
      <c r="X180" s="1220"/>
      <c r="Y180" s="1219"/>
      <c r="Z180" s="1219"/>
      <c r="AA180" s="1220"/>
      <c r="AB180" s="1220"/>
      <c r="AC180" s="1220"/>
      <c r="AD180" s="1220"/>
      <c r="AE180" s="1219"/>
      <c r="AF180" s="1219"/>
      <c r="AG180" s="1219"/>
      <c r="AH180" s="1220"/>
      <c r="AI180" s="1220"/>
      <c r="AJ180" s="1220"/>
      <c r="AK180" s="1219"/>
      <c r="AL180" s="1219"/>
      <c r="AM180" s="1219"/>
      <c r="AN180" s="1219"/>
      <c r="AO180" s="1220"/>
      <c r="AP180" s="1220"/>
      <c r="AQ180" s="1220"/>
      <c r="AR180" s="1220"/>
      <c r="AS180" s="1220"/>
      <c r="AT180" s="1220"/>
      <c r="AU180" s="1220"/>
      <c r="AV180" s="1220"/>
      <c r="AW180" s="1258"/>
      <c r="AX180" s="1258"/>
      <c r="AY180" s="1258"/>
      <c r="AZ180" s="1220"/>
      <c r="BA180" s="1220"/>
      <c r="BB180" s="1220"/>
      <c r="BC180" s="1220"/>
      <c r="BD180" s="1220"/>
      <c r="BE180" s="1220"/>
      <c r="BF180" s="1220"/>
      <c r="BG180" s="1220"/>
      <c r="BH180" s="1220"/>
      <c r="BI180" s="1220"/>
      <c r="BJ180" s="1220"/>
      <c r="BK180" s="1220"/>
      <c r="BL180" s="1220"/>
      <c r="BM180" s="1220"/>
      <c r="BN180" s="1220"/>
      <c r="BO180" s="1220"/>
    </row>
    <row r="181" spans="1:67" ht="35.1" customHeight="1" x14ac:dyDescent="0.25">
      <c r="A181" s="3">
        <f t="shared" si="2"/>
        <v>169</v>
      </c>
      <c r="B181" s="1218" t="s">
        <v>162</v>
      </c>
      <c r="C181" s="1218"/>
      <c r="D181" s="1221"/>
      <c r="E181" s="1221"/>
      <c r="F181" s="1221"/>
      <c r="G181" s="1221"/>
      <c r="H181" s="1221"/>
      <c r="I181" s="540"/>
      <c r="J181" s="540"/>
      <c r="K181" s="540"/>
      <c r="L181" s="540"/>
      <c r="M181" s="540"/>
      <c r="N181" s="540"/>
      <c r="O181" s="540"/>
      <c r="P181" s="540"/>
      <c r="Q181" s="540"/>
      <c r="R181" s="540"/>
      <c r="S181" s="540"/>
      <c r="T181" s="540"/>
      <c r="U181" s="540"/>
      <c r="V181" s="540"/>
      <c r="W181" s="540"/>
      <c r="X181" s="540"/>
      <c r="Y181" s="540"/>
      <c r="Z181" s="540"/>
      <c r="AA181" s="540"/>
      <c r="AB181" s="540"/>
      <c r="AC181" s="540"/>
      <c r="AD181" s="540"/>
      <c r="AE181" s="540"/>
      <c r="AF181" s="540"/>
      <c r="AG181" s="540"/>
      <c r="AH181" s="540"/>
      <c r="AI181" s="540"/>
      <c r="AJ181" s="540"/>
      <c r="AK181" s="540"/>
      <c r="AL181" s="540"/>
      <c r="AM181" s="540"/>
      <c r="AN181" s="540"/>
      <c r="AO181" s="540"/>
      <c r="AP181" s="540"/>
      <c r="AQ181" s="540"/>
      <c r="AR181" s="540"/>
      <c r="AS181" s="540"/>
      <c r="AT181" s="540"/>
      <c r="AU181" s="540"/>
      <c r="AV181" s="540"/>
      <c r="AW181" s="1259"/>
      <c r="AX181" s="1259"/>
      <c r="AY181" s="1259"/>
      <c r="AZ181" s="540"/>
      <c r="BA181" s="540"/>
      <c r="BB181" s="540"/>
      <c r="BC181" s="540"/>
      <c r="BD181" s="540"/>
      <c r="BE181" s="540"/>
      <c r="BF181" s="540"/>
      <c r="BG181" s="540"/>
      <c r="BH181" s="540"/>
      <c r="BI181" s="540"/>
      <c r="BJ181" s="540"/>
      <c r="BK181" s="540"/>
      <c r="BL181" s="540"/>
      <c r="BM181" s="540"/>
      <c r="BN181" s="540"/>
      <c r="BO181" s="540"/>
    </row>
    <row r="182" spans="1:67" ht="35.1" customHeight="1" x14ac:dyDescent="0.25">
      <c r="A182" s="3">
        <f t="shared" si="2"/>
        <v>170</v>
      </c>
      <c r="B182" s="1218" t="s">
        <v>162</v>
      </c>
      <c r="C182" s="1218"/>
      <c r="D182" s="1222"/>
      <c r="E182" s="1222"/>
      <c r="F182" s="1222"/>
      <c r="G182" s="1222"/>
      <c r="H182" s="1222"/>
      <c r="I182" s="1219"/>
      <c r="J182" s="1219"/>
      <c r="K182" s="1219"/>
      <c r="L182" s="1219"/>
      <c r="M182" s="1219"/>
      <c r="N182" s="1219"/>
      <c r="O182" s="1219"/>
      <c r="P182" s="1219"/>
      <c r="Q182" s="1220"/>
      <c r="R182" s="1220"/>
      <c r="S182" s="1220"/>
      <c r="T182" s="1220"/>
      <c r="U182" s="1220"/>
      <c r="V182" s="1220"/>
      <c r="W182" s="1220"/>
      <c r="X182" s="1220"/>
      <c r="Y182" s="1219"/>
      <c r="Z182" s="1219"/>
      <c r="AA182" s="1220"/>
      <c r="AB182" s="1220"/>
      <c r="AC182" s="1220"/>
      <c r="AD182" s="1220"/>
      <c r="AE182" s="1219"/>
      <c r="AF182" s="1219"/>
      <c r="AG182" s="1219"/>
      <c r="AH182" s="1220"/>
      <c r="AI182" s="1220"/>
      <c r="AJ182" s="1220"/>
      <c r="AK182" s="1219"/>
      <c r="AL182" s="1219"/>
      <c r="AM182" s="1219"/>
      <c r="AN182" s="1219"/>
      <c r="AO182" s="1220"/>
      <c r="AP182" s="1220"/>
      <c r="AQ182" s="1220"/>
      <c r="AR182" s="1220"/>
      <c r="AS182" s="1220"/>
      <c r="AT182" s="1220"/>
      <c r="AU182" s="1220"/>
      <c r="AV182" s="1220"/>
      <c r="AW182" s="1258"/>
      <c r="AX182" s="1258"/>
      <c r="AY182" s="1258"/>
      <c r="AZ182" s="1220"/>
      <c r="BA182" s="1220"/>
      <c r="BB182" s="1220"/>
      <c r="BC182" s="1220"/>
      <c r="BD182" s="1220"/>
      <c r="BE182" s="1220"/>
      <c r="BF182" s="1220"/>
      <c r="BG182" s="1220"/>
      <c r="BH182" s="1220"/>
      <c r="BI182" s="1220"/>
      <c r="BJ182" s="1220"/>
      <c r="BK182" s="1220"/>
      <c r="BL182" s="1220"/>
      <c r="BM182" s="1220"/>
      <c r="BN182" s="1220"/>
      <c r="BO182" s="1220"/>
    </row>
    <row r="183" spans="1:67" ht="35.1" customHeight="1" x14ac:dyDescent="0.25">
      <c r="A183" s="3">
        <f t="shared" si="2"/>
        <v>171</v>
      </c>
      <c r="B183" s="1218" t="s">
        <v>162</v>
      </c>
      <c r="C183" s="1218"/>
      <c r="D183" s="1221"/>
      <c r="E183" s="1221"/>
      <c r="F183" s="1221"/>
      <c r="G183" s="1221"/>
      <c r="H183" s="1221"/>
      <c r="I183" s="540"/>
      <c r="J183" s="540"/>
      <c r="K183" s="540"/>
      <c r="L183" s="540"/>
      <c r="M183" s="540"/>
      <c r="N183" s="540"/>
      <c r="O183" s="540"/>
      <c r="P183" s="540"/>
      <c r="Q183" s="540"/>
      <c r="R183" s="540"/>
      <c r="S183" s="540"/>
      <c r="T183" s="540"/>
      <c r="U183" s="540"/>
      <c r="V183" s="540"/>
      <c r="W183" s="540"/>
      <c r="X183" s="540"/>
      <c r="Y183" s="540"/>
      <c r="Z183" s="540"/>
      <c r="AA183" s="540"/>
      <c r="AB183" s="540"/>
      <c r="AC183" s="540"/>
      <c r="AD183" s="540"/>
      <c r="AE183" s="540"/>
      <c r="AF183" s="540"/>
      <c r="AG183" s="540"/>
      <c r="AH183" s="540"/>
      <c r="AI183" s="540"/>
      <c r="AJ183" s="540"/>
      <c r="AK183" s="540"/>
      <c r="AL183" s="540"/>
      <c r="AM183" s="540"/>
      <c r="AN183" s="540"/>
      <c r="AO183" s="540"/>
      <c r="AP183" s="540"/>
      <c r="AQ183" s="540"/>
      <c r="AR183" s="540"/>
      <c r="AS183" s="540"/>
      <c r="AT183" s="540"/>
      <c r="AU183" s="540"/>
      <c r="AV183" s="540"/>
      <c r="AW183" s="1259"/>
      <c r="AX183" s="1259"/>
      <c r="AY183" s="1259"/>
      <c r="AZ183" s="540"/>
      <c r="BA183" s="540"/>
      <c r="BB183" s="540"/>
      <c r="BC183" s="540"/>
      <c r="BD183" s="540"/>
      <c r="BE183" s="540"/>
      <c r="BF183" s="540"/>
      <c r="BG183" s="540"/>
      <c r="BH183" s="540"/>
      <c r="BI183" s="540"/>
      <c r="BJ183" s="540"/>
      <c r="BK183" s="540"/>
      <c r="BL183" s="540"/>
      <c r="BM183" s="540"/>
      <c r="BN183" s="540"/>
      <c r="BO183" s="540"/>
    </row>
    <row r="184" spans="1:67" ht="35.1" customHeight="1" x14ac:dyDescent="0.25">
      <c r="A184" s="3">
        <f t="shared" si="2"/>
        <v>172</v>
      </c>
      <c r="B184" s="1218" t="s">
        <v>162</v>
      </c>
      <c r="C184" s="1218"/>
      <c r="D184" s="1222"/>
      <c r="E184" s="1222"/>
      <c r="F184" s="1222"/>
      <c r="G184" s="1222"/>
      <c r="H184" s="1222"/>
      <c r="I184" s="1219"/>
      <c r="J184" s="1219"/>
      <c r="K184" s="1219"/>
      <c r="L184" s="1219"/>
      <c r="M184" s="1219"/>
      <c r="N184" s="1219"/>
      <c r="O184" s="1219"/>
      <c r="P184" s="1219"/>
      <c r="Q184" s="1220"/>
      <c r="R184" s="1220"/>
      <c r="S184" s="1220"/>
      <c r="T184" s="1220"/>
      <c r="U184" s="1220"/>
      <c r="V184" s="1220"/>
      <c r="W184" s="1220"/>
      <c r="X184" s="1220"/>
      <c r="Y184" s="1219"/>
      <c r="Z184" s="1219"/>
      <c r="AA184" s="1220"/>
      <c r="AB184" s="1220"/>
      <c r="AC184" s="1220"/>
      <c r="AD184" s="1220"/>
      <c r="AE184" s="1219"/>
      <c r="AF184" s="1219"/>
      <c r="AG184" s="1219"/>
      <c r="AH184" s="1220"/>
      <c r="AI184" s="1220"/>
      <c r="AJ184" s="1220"/>
      <c r="AK184" s="1219"/>
      <c r="AL184" s="1219"/>
      <c r="AM184" s="1219"/>
      <c r="AN184" s="1219"/>
      <c r="AO184" s="1220"/>
      <c r="AP184" s="1220"/>
      <c r="AQ184" s="1220"/>
      <c r="AR184" s="1220"/>
      <c r="AS184" s="1220"/>
      <c r="AT184" s="1220"/>
      <c r="AU184" s="1220"/>
      <c r="AV184" s="1220"/>
      <c r="AW184" s="1258"/>
      <c r="AX184" s="1258"/>
      <c r="AY184" s="1258"/>
      <c r="AZ184" s="1220"/>
      <c r="BA184" s="1220"/>
      <c r="BB184" s="1220"/>
      <c r="BC184" s="1220"/>
      <c r="BD184" s="1220"/>
      <c r="BE184" s="1220"/>
      <c r="BF184" s="1220"/>
      <c r="BG184" s="1220"/>
      <c r="BH184" s="1220"/>
      <c r="BI184" s="1220"/>
      <c r="BJ184" s="1220"/>
      <c r="BK184" s="1220"/>
      <c r="BL184" s="1220"/>
      <c r="BM184" s="1220"/>
      <c r="BN184" s="1220"/>
      <c r="BO184" s="1220"/>
    </row>
    <row r="185" spans="1:67" ht="35.1" customHeight="1" x14ac:dyDescent="0.25">
      <c r="A185" s="3">
        <f t="shared" si="2"/>
        <v>173</v>
      </c>
      <c r="B185" s="1218" t="s">
        <v>162</v>
      </c>
      <c r="C185" s="1218"/>
      <c r="D185" s="1221"/>
      <c r="E185" s="1221"/>
      <c r="F185" s="1221"/>
      <c r="G185" s="1221"/>
      <c r="H185" s="1221"/>
      <c r="I185" s="540"/>
      <c r="J185" s="540"/>
      <c r="K185" s="540"/>
      <c r="L185" s="540"/>
      <c r="M185" s="540"/>
      <c r="N185" s="540"/>
      <c r="O185" s="540"/>
      <c r="P185" s="540"/>
      <c r="Q185" s="540"/>
      <c r="R185" s="540"/>
      <c r="S185" s="540"/>
      <c r="T185" s="540"/>
      <c r="U185" s="540"/>
      <c r="V185" s="540"/>
      <c r="W185" s="540"/>
      <c r="X185" s="540"/>
      <c r="Y185" s="540"/>
      <c r="Z185" s="540"/>
      <c r="AA185" s="540"/>
      <c r="AB185" s="540"/>
      <c r="AC185" s="540"/>
      <c r="AD185" s="540"/>
      <c r="AE185" s="540"/>
      <c r="AF185" s="540"/>
      <c r="AG185" s="540"/>
      <c r="AH185" s="540"/>
      <c r="AI185" s="540"/>
      <c r="AJ185" s="540"/>
      <c r="AK185" s="540"/>
      <c r="AL185" s="540"/>
      <c r="AM185" s="540"/>
      <c r="AN185" s="540"/>
      <c r="AO185" s="540"/>
      <c r="AP185" s="540"/>
      <c r="AQ185" s="540"/>
      <c r="AR185" s="540"/>
      <c r="AS185" s="540"/>
      <c r="AT185" s="540"/>
      <c r="AU185" s="540"/>
      <c r="AV185" s="540"/>
      <c r="AW185" s="1259"/>
      <c r="AX185" s="1259"/>
      <c r="AY185" s="1259"/>
      <c r="AZ185" s="540"/>
      <c r="BA185" s="540"/>
      <c r="BB185" s="540"/>
      <c r="BC185" s="540"/>
      <c r="BD185" s="540"/>
      <c r="BE185" s="540"/>
      <c r="BF185" s="540"/>
      <c r="BG185" s="540"/>
      <c r="BH185" s="540"/>
      <c r="BI185" s="540"/>
      <c r="BJ185" s="540"/>
      <c r="BK185" s="540"/>
      <c r="BL185" s="540"/>
      <c r="BM185" s="540"/>
      <c r="BN185" s="540"/>
      <c r="BO185" s="540"/>
    </row>
    <row r="186" spans="1:67" ht="35.1" customHeight="1" x14ac:dyDescent="0.25">
      <c r="A186" s="3">
        <f t="shared" si="2"/>
        <v>174</v>
      </c>
      <c r="B186" s="1218" t="s">
        <v>162</v>
      </c>
      <c r="C186" s="1218"/>
      <c r="D186" s="1222"/>
      <c r="E186" s="1222"/>
      <c r="F186" s="1222"/>
      <c r="G186" s="1222"/>
      <c r="H186" s="1222"/>
      <c r="I186" s="1219"/>
      <c r="J186" s="1219"/>
      <c r="K186" s="1219"/>
      <c r="L186" s="1219"/>
      <c r="M186" s="1219"/>
      <c r="N186" s="1219"/>
      <c r="O186" s="1219"/>
      <c r="P186" s="1219"/>
      <c r="Q186" s="1220"/>
      <c r="R186" s="1220"/>
      <c r="S186" s="1220"/>
      <c r="T186" s="1220"/>
      <c r="U186" s="1220"/>
      <c r="V186" s="1220"/>
      <c r="W186" s="1220"/>
      <c r="X186" s="1220"/>
      <c r="Y186" s="1219"/>
      <c r="Z186" s="1219"/>
      <c r="AA186" s="1220"/>
      <c r="AB186" s="1220"/>
      <c r="AC186" s="1220"/>
      <c r="AD186" s="1220"/>
      <c r="AE186" s="1219"/>
      <c r="AF186" s="1219"/>
      <c r="AG186" s="1219"/>
      <c r="AH186" s="1220"/>
      <c r="AI186" s="1220"/>
      <c r="AJ186" s="1220"/>
      <c r="AK186" s="1219"/>
      <c r="AL186" s="1219"/>
      <c r="AM186" s="1219"/>
      <c r="AN186" s="1219"/>
      <c r="AO186" s="1220"/>
      <c r="AP186" s="1220"/>
      <c r="AQ186" s="1220"/>
      <c r="AR186" s="1220"/>
      <c r="AS186" s="1220"/>
      <c r="AT186" s="1220"/>
      <c r="AU186" s="1220"/>
      <c r="AV186" s="1220"/>
      <c r="AW186" s="1258"/>
      <c r="AX186" s="1258"/>
      <c r="AY186" s="1258"/>
      <c r="AZ186" s="1220"/>
      <c r="BA186" s="1220"/>
      <c r="BB186" s="1220"/>
      <c r="BC186" s="1220"/>
      <c r="BD186" s="1220"/>
      <c r="BE186" s="1220"/>
      <c r="BF186" s="1220"/>
      <c r="BG186" s="1220"/>
      <c r="BH186" s="1220"/>
      <c r="BI186" s="1220"/>
      <c r="BJ186" s="1220"/>
      <c r="BK186" s="1220"/>
      <c r="BL186" s="1220"/>
      <c r="BM186" s="1220"/>
      <c r="BN186" s="1220"/>
      <c r="BO186" s="1220"/>
    </row>
    <row r="187" spans="1:67" ht="35.1" customHeight="1" x14ac:dyDescent="0.25">
      <c r="A187" s="3">
        <f t="shared" si="2"/>
        <v>175</v>
      </c>
      <c r="B187" s="1218" t="s">
        <v>162</v>
      </c>
      <c r="C187" s="1218"/>
      <c r="D187" s="1221"/>
      <c r="E187" s="1221"/>
      <c r="F187" s="1221"/>
      <c r="G187" s="1221"/>
      <c r="H187" s="1221"/>
      <c r="I187" s="540"/>
      <c r="J187" s="540"/>
      <c r="K187" s="540"/>
      <c r="L187" s="540"/>
      <c r="M187" s="540"/>
      <c r="N187" s="540"/>
      <c r="O187" s="540"/>
      <c r="P187" s="540"/>
      <c r="Q187" s="540"/>
      <c r="R187" s="540"/>
      <c r="S187" s="540"/>
      <c r="T187" s="540"/>
      <c r="U187" s="540"/>
      <c r="V187" s="540"/>
      <c r="W187" s="540"/>
      <c r="X187" s="540"/>
      <c r="Y187" s="540"/>
      <c r="Z187" s="540"/>
      <c r="AA187" s="540"/>
      <c r="AB187" s="540"/>
      <c r="AC187" s="540"/>
      <c r="AD187" s="540"/>
      <c r="AE187" s="540"/>
      <c r="AF187" s="540"/>
      <c r="AG187" s="540"/>
      <c r="AH187" s="540"/>
      <c r="AI187" s="540"/>
      <c r="AJ187" s="540"/>
      <c r="AK187" s="540"/>
      <c r="AL187" s="540"/>
      <c r="AM187" s="540"/>
      <c r="AN187" s="540"/>
      <c r="AO187" s="540"/>
      <c r="AP187" s="540"/>
      <c r="AQ187" s="540"/>
      <c r="AR187" s="540"/>
      <c r="AS187" s="540"/>
      <c r="AT187" s="540"/>
      <c r="AU187" s="540"/>
      <c r="AV187" s="540"/>
      <c r="AW187" s="1259"/>
      <c r="AX187" s="1259"/>
      <c r="AY187" s="1259"/>
      <c r="AZ187" s="540"/>
      <c r="BA187" s="540"/>
      <c r="BB187" s="540"/>
      <c r="BC187" s="540"/>
      <c r="BD187" s="540"/>
      <c r="BE187" s="540"/>
      <c r="BF187" s="540"/>
      <c r="BG187" s="540"/>
      <c r="BH187" s="540"/>
      <c r="BI187" s="540"/>
      <c r="BJ187" s="540"/>
      <c r="BK187" s="540"/>
      <c r="BL187" s="540"/>
      <c r="BM187" s="540"/>
      <c r="BN187" s="540"/>
      <c r="BO187" s="540"/>
    </row>
    <row r="188" spans="1:67" ht="35.1" customHeight="1" x14ac:dyDescent="0.25">
      <c r="A188" s="3">
        <f t="shared" si="2"/>
        <v>176</v>
      </c>
      <c r="B188" s="1218" t="s">
        <v>162</v>
      </c>
      <c r="C188" s="1218"/>
      <c r="D188" s="1222"/>
      <c r="E188" s="1222"/>
      <c r="F188" s="1222"/>
      <c r="G188" s="1222"/>
      <c r="H188" s="1222"/>
      <c r="I188" s="1219"/>
      <c r="J188" s="1219"/>
      <c r="K188" s="1219"/>
      <c r="L188" s="1219"/>
      <c r="M188" s="1219"/>
      <c r="N188" s="1219"/>
      <c r="O188" s="1219"/>
      <c r="P188" s="1219"/>
      <c r="Q188" s="1220"/>
      <c r="R188" s="1220"/>
      <c r="S188" s="1220"/>
      <c r="T188" s="1220"/>
      <c r="U188" s="1220"/>
      <c r="V188" s="1220"/>
      <c r="W188" s="1220"/>
      <c r="X188" s="1220"/>
      <c r="Y188" s="1219"/>
      <c r="Z188" s="1219"/>
      <c r="AA188" s="1220"/>
      <c r="AB188" s="1220"/>
      <c r="AC188" s="1220"/>
      <c r="AD188" s="1220"/>
      <c r="AE188" s="1219"/>
      <c r="AF188" s="1219"/>
      <c r="AG188" s="1219"/>
      <c r="AH188" s="1220"/>
      <c r="AI188" s="1220"/>
      <c r="AJ188" s="1220"/>
      <c r="AK188" s="1219"/>
      <c r="AL188" s="1219"/>
      <c r="AM188" s="1219"/>
      <c r="AN188" s="1219"/>
      <c r="AO188" s="1220"/>
      <c r="AP188" s="1220"/>
      <c r="AQ188" s="1220"/>
      <c r="AR188" s="1220"/>
      <c r="AS188" s="1220"/>
      <c r="AT188" s="1220"/>
      <c r="AU188" s="1220"/>
      <c r="AV188" s="1220"/>
      <c r="AW188" s="1258"/>
      <c r="AX188" s="1258"/>
      <c r="AY188" s="1258"/>
      <c r="AZ188" s="1220"/>
      <c r="BA188" s="1220"/>
      <c r="BB188" s="1220"/>
      <c r="BC188" s="1220"/>
      <c r="BD188" s="1220"/>
      <c r="BE188" s="1220"/>
      <c r="BF188" s="1220"/>
      <c r="BG188" s="1220"/>
      <c r="BH188" s="1220"/>
      <c r="BI188" s="1220"/>
      <c r="BJ188" s="1220"/>
      <c r="BK188" s="1220"/>
      <c r="BL188" s="1220"/>
      <c r="BM188" s="1220"/>
      <c r="BN188" s="1220"/>
      <c r="BO188" s="1220"/>
    </row>
    <row r="189" spans="1:67" ht="35.1" customHeight="1" x14ac:dyDescent="0.25">
      <c r="A189" s="3">
        <f t="shared" si="2"/>
        <v>177</v>
      </c>
      <c r="B189" s="1218" t="s">
        <v>162</v>
      </c>
      <c r="C189" s="1218"/>
      <c r="D189" s="1221"/>
      <c r="E189" s="1221"/>
      <c r="F189" s="1221"/>
      <c r="G189" s="1221"/>
      <c r="H189" s="1221"/>
      <c r="I189" s="540"/>
      <c r="J189" s="540"/>
      <c r="K189" s="540"/>
      <c r="L189" s="540"/>
      <c r="M189" s="540"/>
      <c r="N189" s="540"/>
      <c r="O189" s="540"/>
      <c r="P189" s="540"/>
      <c r="Q189" s="540"/>
      <c r="R189" s="540"/>
      <c r="S189" s="540"/>
      <c r="T189" s="540"/>
      <c r="U189" s="540"/>
      <c r="V189" s="540"/>
      <c r="W189" s="540"/>
      <c r="X189" s="540"/>
      <c r="Y189" s="540"/>
      <c r="Z189" s="540"/>
      <c r="AA189" s="540"/>
      <c r="AB189" s="540"/>
      <c r="AC189" s="540"/>
      <c r="AD189" s="540"/>
      <c r="AE189" s="540"/>
      <c r="AF189" s="540"/>
      <c r="AG189" s="540"/>
      <c r="AH189" s="540"/>
      <c r="AI189" s="540"/>
      <c r="AJ189" s="540"/>
      <c r="AK189" s="540"/>
      <c r="AL189" s="540"/>
      <c r="AM189" s="540"/>
      <c r="AN189" s="540"/>
      <c r="AO189" s="540"/>
      <c r="AP189" s="540"/>
      <c r="AQ189" s="540"/>
      <c r="AR189" s="540"/>
      <c r="AS189" s="540"/>
      <c r="AT189" s="540"/>
      <c r="AU189" s="540"/>
      <c r="AV189" s="540"/>
      <c r="AW189" s="1259"/>
      <c r="AX189" s="1259"/>
      <c r="AY189" s="1259"/>
      <c r="AZ189" s="540"/>
      <c r="BA189" s="540"/>
      <c r="BB189" s="540"/>
      <c r="BC189" s="540"/>
      <c r="BD189" s="540"/>
      <c r="BE189" s="540"/>
      <c r="BF189" s="540"/>
      <c r="BG189" s="540"/>
      <c r="BH189" s="540"/>
      <c r="BI189" s="540"/>
      <c r="BJ189" s="540"/>
      <c r="BK189" s="540"/>
      <c r="BL189" s="540"/>
      <c r="BM189" s="540"/>
      <c r="BN189" s="540"/>
      <c r="BO189" s="540"/>
    </row>
    <row r="190" spans="1:67" ht="35.1" customHeight="1" x14ac:dyDescent="0.25">
      <c r="A190" s="3">
        <f t="shared" si="2"/>
        <v>178</v>
      </c>
      <c r="B190" s="1218" t="s">
        <v>162</v>
      </c>
      <c r="C190" s="1218"/>
      <c r="D190" s="1222"/>
      <c r="E190" s="1222"/>
      <c r="F190" s="1222"/>
      <c r="G190" s="1222"/>
      <c r="H190" s="1222"/>
      <c r="I190" s="1219"/>
      <c r="J190" s="1219"/>
      <c r="K190" s="1219"/>
      <c r="L190" s="1219"/>
      <c r="M190" s="1219"/>
      <c r="N190" s="1219"/>
      <c r="O190" s="1219"/>
      <c r="P190" s="1219"/>
      <c r="Q190" s="1220"/>
      <c r="R190" s="1220"/>
      <c r="S190" s="1220"/>
      <c r="T190" s="1220"/>
      <c r="U190" s="1220"/>
      <c r="V190" s="1220"/>
      <c r="W190" s="1220"/>
      <c r="X190" s="1220"/>
      <c r="Y190" s="1219"/>
      <c r="Z190" s="1219"/>
      <c r="AA190" s="1220"/>
      <c r="AB190" s="1220"/>
      <c r="AC190" s="1220"/>
      <c r="AD190" s="1220"/>
      <c r="AE190" s="1219"/>
      <c r="AF190" s="1219"/>
      <c r="AG190" s="1219"/>
      <c r="AH190" s="1220"/>
      <c r="AI190" s="1220"/>
      <c r="AJ190" s="1220"/>
      <c r="AK190" s="1219"/>
      <c r="AL190" s="1219"/>
      <c r="AM190" s="1219"/>
      <c r="AN190" s="1219"/>
      <c r="AO190" s="1220"/>
      <c r="AP190" s="1220"/>
      <c r="AQ190" s="1220"/>
      <c r="AR190" s="1220"/>
      <c r="AS190" s="1220"/>
      <c r="AT190" s="1220"/>
      <c r="AU190" s="1220"/>
      <c r="AV190" s="1220"/>
      <c r="AW190" s="1258"/>
      <c r="AX190" s="1258"/>
      <c r="AY190" s="1258"/>
      <c r="AZ190" s="1220"/>
      <c r="BA190" s="1220"/>
      <c r="BB190" s="1220"/>
      <c r="BC190" s="1220"/>
      <c r="BD190" s="1220"/>
      <c r="BE190" s="1220"/>
      <c r="BF190" s="1220"/>
      <c r="BG190" s="1220"/>
      <c r="BH190" s="1220"/>
      <c r="BI190" s="1220"/>
      <c r="BJ190" s="1220"/>
      <c r="BK190" s="1220"/>
      <c r="BL190" s="1220"/>
      <c r="BM190" s="1220"/>
      <c r="BN190" s="1220"/>
      <c r="BO190" s="1220"/>
    </row>
    <row r="191" spans="1:67" ht="35.1" customHeight="1" x14ac:dyDescent="0.25">
      <c r="A191" s="3">
        <f t="shared" si="2"/>
        <v>179</v>
      </c>
      <c r="B191" s="1218" t="s">
        <v>162</v>
      </c>
      <c r="C191" s="1218"/>
      <c r="D191" s="1221"/>
      <c r="E191" s="1221"/>
      <c r="F191" s="1221"/>
      <c r="G191" s="1221"/>
      <c r="H191" s="1221"/>
      <c r="I191" s="540"/>
      <c r="J191" s="540"/>
      <c r="K191" s="540"/>
      <c r="L191" s="540"/>
      <c r="M191" s="540"/>
      <c r="N191" s="540"/>
      <c r="O191" s="540"/>
      <c r="P191" s="540"/>
      <c r="Q191" s="540"/>
      <c r="R191" s="540"/>
      <c r="S191" s="540"/>
      <c r="T191" s="540"/>
      <c r="U191" s="540"/>
      <c r="V191" s="540"/>
      <c r="W191" s="540"/>
      <c r="X191" s="540"/>
      <c r="Y191" s="540"/>
      <c r="Z191" s="540"/>
      <c r="AA191" s="540"/>
      <c r="AB191" s="540"/>
      <c r="AC191" s="540"/>
      <c r="AD191" s="540"/>
      <c r="AE191" s="540"/>
      <c r="AF191" s="540"/>
      <c r="AG191" s="540"/>
      <c r="AH191" s="540"/>
      <c r="AI191" s="540"/>
      <c r="AJ191" s="540"/>
      <c r="AK191" s="540"/>
      <c r="AL191" s="540"/>
      <c r="AM191" s="540"/>
      <c r="AN191" s="540"/>
      <c r="AO191" s="540"/>
      <c r="AP191" s="540"/>
      <c r="AQ191" s="540"/>
      <c r="AR191" s="540"/>
      <c r="AS191" s="540"/>
      <c r="AT191" s="540"/>
      <c r="AU191" s="540"/>
      <c r="AV191" s="540"/>
      <c r="AW191" s="1259"/>
      <c r="AX191" s="1259"/>
      <c r="AY191" s="1259"/>
      <c r="AZ191" s="540"/>
      <c r="BA191" s="540"/>
      <c r="BB191" s="540"/>
      <c r="BC191" s="540"/>
      <c r="BD191" s="540"/>
      <c r="BE191" s="540"/>
      <c r="BF191" s="540"/>
      <c r="BG191" s="540"/>
      <c r="BH191" s="540"/>
      <c r="BI191" s="540"/>
      <c r="BJ191" s="540"/>
      <c r="BK191" s="540"/>
      <c r="BL191" s="540"/>
      <c r="BM191" s="540"/>
      <c r="BN191" s="540"/>
      <c r="BO191" s="540"/>
    </row>
    <row r="192" spans="1:67" ht="35.1" customHeight="1" x14ac:dyDescent="0.25">
      <c r="A192" s="3">
        <f t="shared" si="2"/>
        <v>180</v>
      </c>
      <c r="B192" s="1218" t="s">
        <v>162</v>
      </c>
      <c r="C192" s="1218"/>
      <c r="D192" s="1222"/>
      <c r="E192" s="1222"/>
      <c r="F192" s="1222"/>
      <c r="G192" s="1222"/>
      <c r="H192" s="1222"/>
      <c r="I192" s="1219"/>
      <c r="J192" s="1219"/>
      <c r="K192" s="1219"/>
      <c r="L192" s="1219"/>
      <c r="M192" s="1219"/>
      <c r="N192" s="1219"/>
      <c r="O192" s="1219"/>
      <c r="P192" s="1219"/>
      <c r="Q192" s="1220"/>
      <c r="R192" s="1220"/>
      <c r="S192" s="1220"/>
      <c r="T192" s="1220"/>
      <c r="U192" s="1220"/>
      <c r="V192" s="1220"/>
      <c r="W192" s="1220"/>
      <c r="X192" s="1220"/>
      <c r="Y192" s="1219"/>
      <c r="Z192" s="1219"/>
      <c r="AA192" s="1220"/>
      <c r="AB192" s="1220"/>
      <c r="AC192" s="1220"/>
      <c r="AD192" s="1220"/>
      <c r="AE192" s="1219"/>
      <c r="AF192" s="1219"/>
      <c r="AG192" s="1219"/>
      <c r="AH192" s="1220"/>
      <c r="AI192" s="1220"/>
      <c r="AJ192" s="1220"/>
      <c r="AK192" s="1219"/>
      <c r="AL192" s="1219"/>
      <c r="AM192" s="1219"/>
      <c r="AN192" s="1219"/>
      <c r="AO192" s="1220"/>
      <c r="AP192" s="1220"/>
      <c r="AQ192" s="1220"/>
      <c r="AR192" s="1220"/>
      <c r="AS192" s="1220"/>
      <c r="AT192" s="1220"/>
      <c r="AU192" s="1220"/>
      <c r="AV192" s="1220"/>
      <c r="AW192" s="1258"/>
      <c r="AX192" s="1258"/>
      <c r="AY192" s="1258"/>
      <c r="AZ192" s="1220"/>
      <c r="BA192" s="1220"/>
      <c r="BB192" s="1220"/>
      <c r="BC192" s="1220"/>
      <c r="BD192" s="1220"/>
      <c r="BE192" s="1220"/>
      <c r="BF192" s="1220"/>
      <c r="BG192" s="1220"/>
      <c r="BH192" s="1220"/>
      <c r="BI192" s="1220"/>
      <c r="BJ192" s="1220"/>
      <c r="BK192" s="1220"/>
      <c r="BL192" s="1220"/>
      <c r="BM192" s="1220"/>
      <c r="BN192" s="1220"/>
      <c r="BO192" s="1220"/>
    </row>
    <row r="193" spans="1:67" ht="35.1" customHeight="1" x14ac:dyDescent="0.25">
      <c r="A193" s="3">
        <f t="shared" si="2"/>
        <v>181</v>
      </c>
      <c r="B193" s="1218" t="s">
        <v>162</v>
      </c>
      <c r="C193" s="1218"/>
      <c r="D193" s="1221"/>
      <c r="E193" s="1221"/>
      <c r="F193" s="1221"/>
      <c r="G193" s="1221"/>
      <c r="H193" s="1221"/>
      <c r="I193" s="540"/>
      <c r="J193" s="540"/>
      <c r="K193" s="540"/>
      <c r="L193" s="540"/>
      <c r="M193" s="540"/>
      <c r="N193" s="540"/>
      <c r="O193" s="540"/>
      <c r="P193" s="540"/>
      <c r="Q193" s="540"/>
      <c r="R193" s="540"/>
      <c r="S193" s="540"/>
      <c r="T193" s="540"/>
      <c r="U193" s="540"/>
      <c r="V193" s="540"/>
      <c r="W193" s="540"/>
      <c r="X193" s="540"/>
      <c r="Y193" s="540"/>
      <c r="Z193" s="540"/>
      <c r="AA193" s="540"/>
      <c r="AB193" s="540"/>
      <c r="AC193" s="540"/>
      <c r="AD193" s="540"/>
      <c r="AE193" s="540"/>
      <c r="AF193" s="540"/>
      <c r="AG193" s="540"/>
      <c r="AH193" s="540"/>
      <c r="AI193" s="540"/>
      <c r="AJ193" s="540"/>
      <c r="AK193" s="540"/>
      <c r="AL193" s="540"/>
      <c r="AM193" s="540"/>
      <c r="AN193" s="540"/>
      <c r="AO193" s="540"/>
      <c r="AP193" s="540"/>
      <c r="AQ193" s="540"/>
      <c r="AR193" s="540"/>
      <c r="AS193" s="540"/>
      <c r="AT193" s="540"/>
      <c r="AU193" s="540"/>
      <c r="AV193" s="540"/>
      <c r="AW193" s="1259"/>
      <c r="AX193" s="1259"/>
      <c r="AY193" s="1259"/>
      <c r="AZ193" s="540"/>
      <c r="BA193" s="540"/>
      <c r="BB193" s="540"/>
      <c r="BC193" s="540"/>
      <c r="BD193" s="540"/>
      <c r="BE193" s="540"/>
      <c r="BF193" s="540"/>
      <c r="BG193" s="540"/>
      <c r="BH193" s="540"/>
      <c r="BI193" s="540"/>
      <c r="BJ193" s="540"/>
      <c r="BK193" s="540"/>
      <c r="BL193" s="540"/>
      <c r="BM193" s="540"/>
      <c r="BN193" s="540"/>
      <c r="BO193" s="540"/>
    </row>
    <row r="194" spans="1:67" ht="35.1" customHeight="1" x14ac:dyDescent="0.25">
      <c r="A194" s="3">
        <f t="shared" si="2"/>
        <v>182</v>
      </c>
      <c r="B194" s="1235" t="s">
        <v>162</v>
      </c>
      <c r="C194" s="1235"/>
      <c r="D194" s="1222"/>
      <c r="E194" s="1222"/>
      <c r="F194" s="1222"/>
      <c r="G194" s="1222"/>
      <c r="H194" s="1222"/>
      <c r="I194" s="1219"/>
      <c r="J194" s="1219"/>
      <c r="K194" s="1219"/>
      <c r="L194" s="1219"/>
      <c r="M194" s="1219"/>
      <c r="N194" s="1219"/>
      <c r="O194" s="1219"/>
      <c r="P194" s="1219"/>
      <c r="Q194" s="1220"/>
      <c r="R194" s="1220"/>
      <c r="S194" s="1220"/>
      <c r="T194" s="1220"/>
      <c r="U194" s="1220"/>
      <c r="V194" s="1220"/>
      <c r="W194" s="1220"/>
      <c r="X194" s="1220"/>
      <c r="Y194" s="1219"/>
      <c r="Z194" s="1219"/>
      <c r="AA194" s="1220"/>
      <c r="AB194" s="1220"/>
      <c r="AC194" s="1220"/>
      <c r="AD194" s="1220"/>
      <c r="AE194" s="1219"/>
      <c r="AF194" s="1219"/>
      <c r="AG194" s="1219"/>
      <c r="AH194" s="1220"/>
      <c r="AI194" s="1220"/>
      <c r="AJ194" s="1220"/>
      <c r="AK194" s="1219"/>
      <c r="AL194" s="1219"/>
      <c r="AM194" s="1219"/>
      <c r="AN194" s="1219"/>
      <c r="AO194" s="1220"/>
      <c r="AP194" s="1220"/>
      <c r="AQ194" s="1220"/>
      <c r="AR194" s="1220"/>
      <c r="AS194" s="1220"/>
      <c r="AT194" s="1220"/>
      <c r="AU194" s="1220"/>
      <c r="AV194" s="1220"/>
      <c r="AW194" s="1258"/>
      <c r="AX194" s="1258"/>
      <c r="AY194" s="1258"/>
      <c r="AZ194" s="1220"/>
      <c r="BA194" s="1220"/>
      <c r="BB194" s="1220"/>
      <c r="BC194" s="1220"/>
      <c r="BD194" s="1220"/>
      <c r="BE194" s="1220"/>
      <c r="BF194" s="1220"/>
      <c r="BG194" s="1220"/>
      <c r="BH194" s="1220"/>
      <c r="BI194" s="1220"/>
      <c r="BJ194" s="1220"/>
      <c r="BK194" s="1220"/>
      <c r="BL194" s="1220"/>
      <c r="BM194" s="1220"/>
      <c r="BN194" s="1220"/>
      <c r="BO194" s="1220"/>
    </row>
    <row r="195" spans="1:67" ht="35.1" customHeight="1" x14ac:dyDescent="0.25">
      <c r="A195" s="3">
        <f t="shared" ref="A195:A246" si="3">+ROW(A183)</f>
        <v>183</v>
      </c>
      <c r="B195" s="1218" t="s">
        <v>162</v>
      </c>
      <c r="C195" s="1218"/>
      <c r="D195" s="1221"/>
      <c r="E195" s="1221"/>
      <c r="F195" s="1221"/>
      <c r="G195" s="1221"/>
      <c r="H195" s="1221"/>
      <c r="I195" s="540"/>
      <c r="J195" s="540"/>
      <c r="K195" s="540"/>
      <c r="L195" s="540"/>
      <c r="M195" s="540"/>
      <c r="N195" s="540"/>
      <c r="O195" s="540"/>
      <c r="P195" s="540"/>
      <c r="Q195" s="540"/>
      <c r="R195" s="540"/>
      <c r="S195" s="540"/>
      <c r="T195" s="540"/>
      <c r="U195" s="540"/>
      <c r="V195" s="540"/>
      <c r="W195" s="540"/>
      <c r="X195" s="540"/>
      <c r="Y195" s="540"/>
      <c r="Z195" s="540"/>
      <c r="AA195" s="540"/>
      <c r="AB195" s="540"/>
      <c r="AC195" s="540"/>
      <c r="AD195" s="540"/>
      <c r="AE195" s="540"/>
      <c r="AF195" s="540"/>
      <c r="AG195" s="540"/>
      <c r="AH195" s="540"/>
      <c r="AI195" s="540"/>
      <c r="AJ195" s="540"/>
      <c r="AK195" s="540"/>
      <c r="AL195" s="540"/>
      <c r="AM195" s="540"/>
      <c r="AN195" s="540"/>
      <c r="AO195" s="540"/>
      <c r="AP195" s="540"/>
      <c r="AQ195" s="540"/>
      <c r="AR195" s="540"/>
      <c r="AS195" s="540"/>
      <c r="AT195" s="540"/>
      <c r="AU195" s="540"/>
      <c r="AV195" s="540"/>
      <c r="AW195" s="1259"/>
      <c r="AX195" s="1259"/>
      <c r="AY195" s="1259"/>
      <c r="AZ195" s="540"/>
      <c r="BA195" s="540"/>
      <c r="BB195" s="540"/>
      <c r="BC195" s="540"/>
      <c r="BD195" s="540"/>
      <c r="BE195" s="540"/>
      <c r="BF195" s="540"/>
      <c r="BG195" s="540"/>
      <c r="BH195" s="540"/>
      <c r="BI195" s="540"/>
      <c r="BJ195" s="540"/>
      <c r="BK195" s="540"/>
      <c r="BL195" s="540"/>
      <c r="BM195" s="540"/>
      <c r="BN195" s="540"/>
      <c r="BO195" s="540"/>
    </row>
    <row r="196" spans="1:67" ht="35.1" customHeight="1" x14ac:dyDescent="0.25">
      <c r="A196" s="3">
        <f t="shared" si="3"/>
        <v>184</v>
      </c>
      <c r="B196" s="1218" t="s">
        <v>162</v>
      </c>
      <c r="C196" s="1218"/>
      <c r="D196" s="1222"/>
      <c r="E196" s="1222"/>
      <c r="F196" s="1222"/>
      <c r="G196" s="1222"/>
      <c r="H196" s="1222"/>
      <c r="I196" s="1219"/>
      <c r="J196" s="1219"/>
      <c r="K196" s="1219"/>
      <c r="L196" s="1219"/>
      <c r="M196" s="1219"/>
      <c r="N196" s="1219"/>
      <c r="O196" s="1219"/>
      <c r="P196" s="1219"/>
      <c r="Q196" s="1220"/>
      <c r="R196" s="1220"/>
      <c r="S196" s="1220"/>
      <c r="T196" s="1220"/>
      <c r="U196" s="1220"/>
      <c r="V196" s="1220"/>
      <c r="W196" s="1220"/>
      <c r="X196" s="1220"/>
      <c r="Y196" s="1219"/>
      <c r="Z196" s="1219"/>
      <c r="AA196" s="1220"/>
      <c r="AB196" s="1220"/>
      <c r="AC196" s="1220"/>
      <c r="AD196" s="1220"/>
      <c r="AE196" s="1219"/>
      <c r="AF196" s="1219"/>
      <c r="AG196" s="1219"/>
      <c r="AH196" s="1220"/>
      <c r="AI196" s="1220"/>
      <c r="AJ196" s="1220"/>
      <c r="AK196" s="1219"/>
      <c r="AL196" s="1219"/>
      <c r="AM196" s="1219"/>
      <c r="AN196" s="1219"/>
      <c r="AO196" s="1220"/>
      <c r="AP196" s="1220"/>
      <c r="AQ196" s="1220"/>
      <c r="AR196" s="1220"/>
      <c r="AS196" s="1220"/>
      <c r="AT196" s="1220"/>
      <c r="AU196" s="1220"/>
      <c r="AV196" s="1220"/>
      <c r="AW196" s="1258"/>
      <c r="AX196" s="1258"/>
      <c r="AY196" s="1258"/>
      <c r="AZ196" s="1220"/>
      <c r="BA196" s="1220"/>
      <c r="BB196" s="1220"/>
      <c r="BC196" s="1220"/>
      <c r="BD196" s="1220"/>
      <c r="BE196" s="1220"/>
      <c r="BF196" s="1220"/>
      <c r="BG196" s="1220"/>
      <c r="BH196" s="1220"/>
      <c r="BI196" s="1220"/>
      <c r="BJ196" s="1220"/>
      <c r="BK196" s="1220"/>
      <c r="BL196" s="1220"/>
      <c r="BM196" s="1220"/>
      <c r="BN196" s="1220"/>
      <c r="BO196" s="1220"/>
    </row>
    <row r="197" spans="1:67" ht="35.1" customHeight="1" x14ac:dyDescent="0.25">
      <c r="A197" s="3">
        <f t="shared" si="3"/>
        <v>185</v>
      </c>
      <c r="B197" s="1218" t="s">
        <v>162</v>
      </c>
      <c r="C197" s="1218"/>
      <c r="D197" s="1221"/>
      <c r="E197" s="1221"/>
      <c r="F197" s="1221"/>
      <c r="G197" s="1221"/>
      <c r="H197" s="1221"/>
      <c r="I197" s="540"/>
      <c r="J197" s="540"/>
      <c r="K197" s="540"/>
      <c r="L197" s="540"/>
      <c r="M197" s="540"/>
      <c r="N197" s="540"/>
      <c r="O197" s="540"/>
      <c r="P197" s="540"/>
      <c r="Q197" s="540"/>
      <c r="R197" s="540"/>
      <c r="S197" s="540"/>
      <c r="T197" s="540"/>
      <c r="U197" s="540"/>
      <c r="V197" s="540"/>
      <c r="W197" s="540"/>
      <c r="X197" s="540"/>
      <c r="Y197" s="540"/>
      <c r="Z197" s="540"/>
      <c r="AA197" s="540"/>
      <c r="AB197" s="540"/>
      <c r="AC197" s="540"/>
      <c r="AD197" s="540"/>
      <c r="AE197" s="540"/>
      <c r="AF197" s="540"/>
      <c r="AG197" s="540"/>
      <c r="AH197" s="540"/>
      <c r="AI197" s="540"/>
      <c r="AJ197" s="540"/>
      <c r="AK197" s="540"/>
      <c r="AL197" s="540"/>
      <c r="AM197" s="540"/>
      <c r="AN197" s="540"/>
      <c r="AO197" s="540"/>
      <c r="AP197" s="540"/>
      <c r="AQ197" s="540"/>
      <c r="AR197" s="540"/>
      <c r="AS197" s="540"/>
      <c r="AT197" s="540"/>
      <c r="AU197" s="540"/>
      <c r="AV197" s="540"/>
      <c r="AW197" s="1259"/>
      <c r="AX197" s="1259"/>
      <c r="AY197" s="1259"/>
      <c r="AZ197" s="540"/>
      <c r="BA197" s="540"/>
      <c r="BB197" s="540"/>
      <c r="BC197" s="540"/>
      <c r="BD197" s="540"/>
      <c r="BE197" s="540"/>
      <c r="BF197" s="540"/>
      <c r="BG197" s="540"/>
      <c r="BH197" s="540"/>
      <c r="BI197" s="540"/>
      <c r="BJ197" s="540"/>
      <c r="BK197" s="540"/>
      <c r="BL197" s="540"/>
      <c r="BM197" s="540"/>
      <c r="BN197" s="540"/>
      <c r="BO197" s="540"/>
    </row>
    <row r="198" spans="1:67" ht="35.1" customHeight="1" x14ac:dyDescent="0.25">
      <c r="A198" s="3">
        <f t="shared" si="3"/>
        <v>186</v>
      </c>
      <c r="B198" s="1218" t="s">
        <v>162</v>
      </c>
      <c r="C198" s="1218"/>
      <c r="D198" s="1222"/>
      <c r="E198" s="1222"/>
      <c r="F198" s="1222"/>
      <c r="G198" s="1222"/>
      <c r="H198" s="1222"/>
      <c r="I198" s="1219"/>
      <c r="J198" s="1219"/>
      <c r="K198" s="1219"/>
      <c r="L198" s="1219"/>
      <c r="M198" s="1219"/>
      <c r="N198" s="1219"/>
      <c r="O198" s="1219"/>
      <c r="P198" s="1219"/>
      <c r="Q198" s="1220"/>
      <c r="R198" s="1220"/>
      <c r="S198" s="1220"/>
      <c r="T198" s="1220"/>
      <c r="U198" s="1220"/>
      <c r="V198" s="1220"/>
      <c r="W198" s="1220"/>
      <c r="X198" s="1220"/>
      <c r="Y198" s="1219"/>
      <c r="Z198" s="1219"/>
      <c r="AA198" s="1220"/>
      <c r="AB198" s="1220"/>
      <c r="AC198" s="1220"/>
      <c r="AD198" s="1220"/>
      <c r="AE198" s="1219"/>
      <c r="AF198" s="1219"/>
      <c r="AG198" s="1219"/>
      <c r="AH198" s="1220"/>
      <c r="AI198" s="1220"/>
      <c r="AJ198" s="1220"/>
      <c r="AK198" s="1219"/>
      <c r="AL198" s="1219"/>
      <c r="AM198" s="1219"/>
      <c r="AN198" s="1219"/>
      <c r="AO198" s="1220"/>
      <c r="AP198" s="1220"/>
      <c r="AQ198" s="1220"/>
      <c r="AR198" s="1220"/>
      <c r="AS198" s="1220"/>
      <c r="AT198" s="1220"/>
      <c r="AU198" s="1220"/>
      <c r="AV198" s="1220"/>
      <c r="AW198" s="1258"/>
      <c r="AX198" s="1258"/>
      <c r="AY198" s="1258"/>
      <c r="AZ198" s="1220"/>
      <c r="BA198" s="1220"/>
      <c r="BB198" s="1220"/>
      <c r="BC198" s="1220"/>
      <c r="BD198" s="1220"/>
      <c r="BE198" s="1220"/>
      <c r="BF198" s="1220"/>
      <c r="BG198" s="1220"/>
      <c r="BH198" s="1220"/>
      <c r="BI198" s="1220"/>
      <c r="BJ198" s="1220"/>
      <c r="BK198" s="1220"/>
      <c r="BL198" s="1220"/>
      <c r="BM198" s="1220"/>
      <c r="BN198" s="1220"/>
      <c r="BO198" s="1220"/>
    </row>
    <row r="199" spans="1:67" ht="35.1" customHeight="1" x14ac:dyDescent="0.25">
      <c r="A199" s="3">
        <f t="shared" si="3"/>
        <v>187</v>
      </c>
      <c r="B199" s="1218" t="s">
        <v>162</v>
      </c>
      <c r="C199" s="1218"/>
      <c r="D199" s="1221"/>
      <c r="E199" s="1221"/>
      <c r="F199" s="1221"/>
      <c r="G199" s="1221"/>
      <c r="H199" s="1221"/>
      <c r="I199" s="540"/>
      <c r="J199" s="540"/>
      <c r="K199" s="540"/>
      <c r="L199" s="540"/>
      <c r="M199" s="540"/>
      <c r="N199" s="540"/>
      <c r="O199" s="540"/>
      <c r="P199" s="540"/>
      <c r="Q199" s="540"/>
      <c r="R199" s="540"/>
      <c r="S199" s="540"/>
      <c r="T199" s="540"/>
      <c r="U199" s="540"/>
      <c r="V199" s="540"/>
      <c r="W199" s="540"/>
      <c r="X199" s="540"/>
      <c r="Y199" s="540"/>
      <c r="Z199" s="540"/>
      <c r="AA199" s="540"/>
      <c r="AB199" s="540"/>
      <c r="AC199" s="540"/>
      <c r="AD199" s="540"/>
      <c r="AE199" s="540"/>
      <c r="AF199" s="540"/>
      <c r="AG199" s="540"/>
      <c r="AH199" s="540"/>
      <c r="AI199" s="540"/>
      <c r="AJ199" s="540"/>
      <c r="AK199" s="540"/>
      <c r="AL199" s="540"/>
      <c r="AM199" s="540"/>
      <c r="AN199" s="540"/>
      <c r="AO199" s="540"/>
      <c r="AP199" s="540"/>
      <c r="AQ199" s="540"/>
      <c r="AR199" s="540"/>
      <c r="AS199" s="540"/>
      <c r="AT199" s="540"/>
      <c r="AU199" s="540"/>
      <c r="AV199" s="540"/>
      <c r="AW199" s="1259"/>
      <c r="AX199" s="1259"/>
      <c r="AY199" s="1259"/>
      <c r="AZ199" s="540"/>
      <c r="BA199" s="540"/>
      <c r="BB199" s="540"/>
      <c r="BC199" s="540"/>
      <c r="BD199" s="540"/>
      <c r="BE199" s="540"/>
      <c r="BF199" s="540"/>
      <c r="BG199" s="540"/>
      <c r="BH199" s="540"/>
      <c r="BI199" s="540"/>
      <c r="BJ199" s="540"/>
      <c r="BK199" s="540"/>
      <c r="BL199" s="540"/>
      <c r="BM199" s="540"/>
      <c r="BN199" s="540"/>
      <c r="BO199" s="540"/>
    </row>
    <row r="200" spans="1:67" ht="35.1" customHeight="1" x14ac:dyDescent="0.25">
      <c r="A200" s="3">
        <f t="shared" si="3"/>
        <v>188</v>
      </c>
      <c r="B200" s="1218" t="s">
        <v>162</v>
      </c>
      <c r="C200" s="1218"/>
      <c r="D200" s="1222"/>
      <c r="E200" s="1222"/>
      <c r="F200" s="1222"/>
      <c r="G200" s="1222"/>
      <c r="H200" s="1222"/>
      <c r="I200" s="1219"/>
      <c r="J200" s="1219"/>
      <c r="K200" s="1219"/>
      <c r="L200" s="1219"/>
      <c r="M200" s="1219"/>
      <c r="N200" s="1219"/>
      <c r="O200" s="1219"/>
      <c r="P200" s="1219"/>
      <c r="Q200" s="1220"/>
      <c r="R200" s="1220"/>
      <c r="S200" s="1220"/>
      <c r="T200" s="1220"/>
      <c r="U200" s="1220"/>
      <c r="V200" s="1220"/>
      <c r="W200" s="1220"/>
      <c r="X200" s="1220"/>
      <c r="Y200" s="1219"/>
      <c r="Z200" s="1219"/>
      <c r="AA200" s="1220"/>
      <c r="AB200" s="1220"/>
      <c r="AC200" s="1220"/>
      <c r="AD200" s="1220"/>
      <c r="AE200" s="1219"/>
      <c r="AF200" s="1219"/>
      <c r="AG200" s="1219"/>
      <c r="AH200" s="1220"/>
      <c r="AI200" s="1220"/>
      <c r="AJ200" s="1220"/>
      <c r="AK200" s="1219"/>
      <c r="AL200" s="1219"/>
      <c r="AM200" s="1219"/>
      <c r="AN200" s="1219"/>
      <c r="AO200" s="1220"/>
      <c r="AP200" s="1220"/>
      <c r="AQ200" s="1220"/>
      <c r="AR200" s="1220"/>
      <c r="AS200" s="1220"/>
      <c r="AT200" s="1220"/>
      <c r="AU200" s="1220"/>
      <c r="AV200" s="1220"/>
      <c r="AW200" s="1258"/>
      <c r="AX200" s="1258"/>
      <c r="AY200" s="1258"/>
      <c r="AZ200" s="1220"/>
      <c r="BA200" s="1220"/>
      <c r="BB200" s="1220"/>
      <c r="BC200" s="1220"/>
      <c r="BD200" s="1220"/>
      <c r="BE200" s="1220"/>
      <c r="BF200" s="1220"/>
      <c r="BG200" s="1220"/>
      <c r="BH200" s="1220"/>
      <c r="BI200" s="1220"/>
      <c r="BJ200" s="1220"/>
      <c r="BK200" s="1220"/>
      <c r="BL200" s="1220"/>
      <c r="BM200" s="1220"/>
      <c r="BN200" s="1220"/>
      <c r="BO200" s="1220"/>
    </row>
    <row r="201" spans="1:67" ht="35.1" customHeight="1" x14ac:dyDescent="0.25">
      <c r="A201" s="3">
        <f t="shared" si="3"/>
        <v>189</v>
      </c>
      <c r="B201" s="1218" t="s">
        <v>162</v>
      </c>
      <c r="C201" s="1218"/>
      <c r="D201" s="1221"/>
      <c r="E201" s="1221"/>
      <c r="F201" s="1221"/>
      <c r="G201" s="1221"/>
      <c r="H201" s="1221"/>
      <c r="I201" s="540"/>
      <c r="J201" s="540"/>
      <c r="K201" s="540"/>
      <c r="L201" s="540"/>
      <c r="M201" s="540"/>
      <c r="N201" s="540"/>
      <c r="O201" s="540"/>
      <c r="P201" s="540"/>
      <c r="Q201" s="540"/>
      <c r="R201" s="540"/>
      <c r="S201" s="540"/>
      <c r="T201" s="540"/>
      <c r="U201" s="540"/>
      <c r="V201" s="540"/>
      <c r="W201" s="540"/>
      <c r="X201" s="540"/>
      <c r="Y201" s="540"/>
      <c r="Z201" s="540"/>
      <c r="AA201" s="540"/>
      <c r="AB201" s="540"/>
      <c r="AC201" s="540"/>
      <c r="AD201" s="540"/>
      <c r="AE201" s="540"/>
      <c r="AF201" s="540"/>
      <c r="AG201" s="540"/>
      <c r="AH201" s="540"/>
      <c r="AI201" s="540"/>
      <c r="AJ201" s="540"/>
      <c r="AK201" s="540"/>
      <c r="AL201" s="540"/>
      <c r="AM201" s="540"/>
      <c r="AN201" s="540"/>
      <c r="AO201" s="540"/>
      <c r="AP201" s="540"/>
      <c r="AQ201" s="540"/>
      <c r="AR201" s="540"/>
      <c r="AS201" s="540"/>
      <c r="AT201" s="540"/>
      <c r="AU201" s="540"/>
      <c r="AV201" s="540"/>
      <c r="AW201" s="1259"/>
      <c r="AX201" s="1259"/>
      <c r="AY201" s="1259"/>
      <c r="AZ201" s="540"/>
      <c r="BA201" s="540"/>
      <c r="BB201" s="540"/>
      <c r="BC201" s="540"/>
      <c r="BD201" s="540"/>
      <c r="BE201" s="540"/>
      <c r="BF201" s="540"/>
      <c r="BG201" s="540"/>
      <c r="BH201" s="540"/>
      <c r="BI201" s="540"/>
      <c r="BJ201" s="540"/>
      <c r="BK201" s="540"/>
      <c r="BL201" s="540"/>
      <c r="BM201" s="540"/>
      <c r="BN201" s="540"/>
      <c r="BO201" s="540"/>
    </row>
    <row r="202" spans="1:67" ht="35.1" customHeight="1" x14ac:dyDescent="0.25">
      <c r="A202" s="3">
        <f t="shared" si="3"/>
        <v>190</v>
      </c>
      <c r="B202" s="1218" t="s">
        <v>162</v>
      </c>
      <c r="C202" s="1218"/>
      <c r="D202" s="1222"/>
      <c r="E202" s="1222"/>
      <c r="F202" s="1222"/>
      <c r="G202" s="1222"/>
      <c r="H202" s="1222"/>
      <c r="I202" s="1219"/>
      <c r="J202" s="1219"/>
      <c r="K202" s="1219"/>
      <c r="L202" s="1219"/>
      <c r="M202" s="1219"/>
      <c r="N202" s="1219"/>
      <c r="O202" s="1219"/>
      <c r="P202" s="1219"/>
      <c r="Q202" s="1220"/>
      <c r="R202" s="1220"/>
      <c r="S202" s="1220"/>
      <c r="T202" s="1220"/>
      <c r="U202" s="1220"/>
      <c r="V202" s="1220"/>
      <c r="W202" s="1220"/>
      <c r="X202" s="1220"/>
      <c r="Y202" s="1219"/>
      <c r="Z202" s="1219"/>
      <c r="AA202" s="1220"/>
      <c r="AB202" s="1220"/>
      <c r="AC202" s="1220"/>
      <c r="AD202" s="1220"/>
      <c r="AE202" s="1219"/>
      <c r="AF202" s="1219"/>
      <c r="AG202" s="1219"/>
      <c r="AH202" s="1220"/>
      <c r="AI202" s="1220"/>
      <c r="AJ202" s="1220"/>
      <c r="AK202" s="1219"/>
      <c r="AL202" s="1219"/>
      <c r="AM202" s="1219"/>
      <c r="AN202" s="1219"/>
      <c r="AO202" s="1220"/>
      <c r="AP202" s="1220"/>
      <c r="AQ202" s="1220"/>
      <c r="AR202" s="1220"/>
      <c r="AS202" s="1220"/>
      <c r="AT202" s="1220"/>
      <c r="AU202" s="1220"/>
      <c r="AV202" s="1220"/>
      <c r="AW202" s="1258"/>
      <c r="AX202" s="1258"/>
      <c r="AY202" s="1258"/>
      <c r="AZ202" s="1220"/>
      <c r="BA202" s="1220"/>
      <c r="BB202" s="1220"/>
      <c r="BC202" s="1220"/>
      <c r="BD202" s="1220"/>
      <c r="BE202" s="1220"/>
      <c r="BF202" s="1220"/>
      <c r="BG202" s="1220"/>
      <c r="BH202" s="1220"/>
      <c r="BI202" s="1220"/>
      <c r="BJ202" s="1220"/>
      <c r="BK202" s="1220"/>
      <c r="BL202" s="1220"/>
      <c r="BM202" s="1220"/>
      <c r="BN202" s="1220"/>
      <c r="BO202" s="1220"/>
    </row>
    <row r="203" spans="1:67" ht="35.1" customHeight="1" x14ac:dyDescent="0.25">
      <c r="A203" s="3">
        <f t="shared" si="3"/>
        <v>191</v>
      </c>
      <c r="B203" s="1218" t="s">
        <v>162</v>
      </c>
      <c r="C203" s="1218"/>
      <c r="D203" s="1221"/>
      <c r="E203" s="1221"/>
      <c r="F203" s="1221"/>
      <c r="G203" s="1221"/>
      <c r="H203" s="1221"/>
      <c r="I203" s="540"/>
      <c r="J203" s="540"/>
      <c r="K203" s="540"/>
      <c r="L203" s="540"/>
      <c r="M203" s="540"/>
      <c r="N203" s="540"/>
      <c r="O203" s="540"/>
      <c r="P203" s="540"/>
      <c r="Q203" s="540"/>
      <c r="R203" s="540"/>
      <c r="S203" s="540"/>
      <c r="T203" s="540"/>
      <c r="U203" s="540"/>
      <c r="V203" s="540"/>
      <c r="W203" s="540"/>
      <c r="X203" s="540"/>
      <c r="Y203" s="540"/>
      <c r="Z203" s="540"/>
      <c r="AA203" s="540"/>
      <c r="AB203" s="540"/>
      <c r="AC203" s="540"/>
      <c r="AD203" s="540"/>
      <c r="AE203" s="540"/>
      <c r="AF203" s="540"/>
      <c r="AG203" s="540"/>
      <c r="AH203" s="540"/>
      <c r="AI203" s="540"/>
      <c r="AJ203" s="540"/>
      <c r="AK203" s="540"/>
      <c r="AL203" s="540"/>
      <c r="AM203" s="540"/>
      <c r="AN203" s="540"/>
      <c r="AO203" s="540"/>
      <c r="AP203" s="540"/>
      <c r="AQ203" s="540"/>
      <c r="AR203" s="540"/>
      <c r="AS203" s="540"/>
      <c r="AT203" s="540"/>
      <c r="AU203" s="540"/>
      <c r="AV203" s="540"/>
      <c r="AW203" s="1259"/>
      <c r="AX203" s="1259"/>
      <c r="AY203" s="1259"/>
      <c r="AZ203" s="540"/>
      <c r="BA203" s="540"/>
      <c r="BB203" s="540"/>
      <c r="BC203" s="540"/>
      <c r="BD203" s="540"/>
      <c r="BE203" s="540"/>
      <c r="BF203" s="540"/>
      <c r="BG203" s="540"/>
      <c r="BH203" s="540"/>
      <c r="BI203" s="540"/>
      <c r="BJ203" s="540"/>
      <c r="BK203" s="540"/>
      <c r="BL203" s="540"/>
      <c r="BM203" s="540"/>
      <c r="BN203" s="540"/>
      <c r="BO203" s="540"/>
    </row>
    <row r="204" spans="1:67" ht="35.1" customHeight="1" x14ac:dyDescent="0.25">
      <c r="A204" s="3">
        <f t="shared" si="3"/>
        <v>192</v>
      </c>
      <c r="B204" s="1218" t="s">
        <v>162</v>
      </c>
      <c r="C204" s="1218"/>
      <c r="D204" s="1222"/>
      <c r="E204" s="1222"/>
      <c r="F204" s="1222"/>
      <c r="G204" s="1222"/>
      <c r="H204" s="1222"/>
      <c r="I204" s="1219"/>
      <c r="J204" s="1219"/>
      <c r="K204" s="1219"/>
      <c r="L204" s="1219"/>
      <c r="M204" s="1219"/>
      <c r="N204" s="1219"/>
      <c r="O204" s="1219"/>
      <c r="P204" s="1219"/>
      <c r="Q204" s="1220"/>
      <c r="R204" s="1220"/>
      <c r="S204" s="1220"/>
      <c r="T204" s="1220"/>
      <c r="U204" s="1220"/>
      <c r="V204" s="1220"/>
      <c r="W204" s="1220"/>
      <c r="X204" s="1220"/>
      <c r="Y204" s="1219"/>
      <c r="Z204" s="1219"/>
      <c r="AA204" s="1220"/>
      <c r="AB204" s="1220"/>
      <c r="AC204" s="1220"/>
      <c r="AD204" s="1220"/>
      <c r="AE204" s="1219"/>
      <c r="AF204" s="1219"/>
      <c r="AG204" s="1219"/>
      <c r="AH204" s="1220"/>
      <c r="AI204" s="1220"/>
      <c r="AJ204" s="1220"/>
      <c r="AK204" s="1219"/>
      <c r="AL204" s="1219"/>
      <c r="AM204" s="1219"/>
      <c r="AN204" s="1219"/>
      <c r="AO204" s="1220"/>
      <c r="AP204" s="1220"/>
      <c r="AQ204" s="1220"/>
      <c r="AR204" s="1220"/>
      <c r="AS204" s="1220"/>
      <c r="AT204" s="1220"/>
      <c r="AU204" s="1220"/>
      <c r="AV204" s="1220"/>
      <c r="AW204" s="1258"/>
      <c r="AX204" s="1258"/>
      <c r="AY204" s="1258"/>
      <c r="AZ204" s="1220"/>
      <c r="BA204" s="1220"/>
      <c r="BB204" s="1220"/>
      <c r="BC204" s="1220"/>
      <c r="BD204" s="1220"/>
      <c r="BE204" s="1220"/>
      <c r="BF204" s="1220"/>
      <c r="BG204" s="1220"/>
      <c r="BH204" s="1220"/>
      <c r="BI204" s="1220"/>
      <c r="BJ204" s="1220"/>
      <c r="BK204" s="1220"/>
      <c r="BL204" s="1220"/>
      <c r="BM204" s="1220"/>
      <c r="BN204" s="1220"/>
      <c r="BO204" s="1220"/>
    </row>
    <row r="205" spans="1:67" ht="35.1" customHeight="1" x14ac:dyDescent="0.25">
      <c r="A205" s="3">
        <f t="shared" si="3"/>
        <v>193</v>
      </c>
      <c r="B205" s="1218" t="s">
        <v>162</v>
      </c>
      <c r="C205" s="1218"/>
      <c r="D205" s="1221"/>
      <c r="E205" s="1221"/>
      <c r="F205" s="1221"/>
      <c r="G205" s="1221"/>
      <c r="H205" s="1221"/>
      <c r="I205" s="540"/>
      <c r="J205" s="540"/>
      <c r="K205" s="540"/>
      <c r="L205" s="540"/>
      <c r="M205" s="540"/>
      <c r="N205" s="540"/>
      <c r="O205" s="540"/>
      <c r="P205" s="540"/>
      <c r="Q205" s="540"/>
      <c r="R205" s="540"/>
      <c r="S205" s="540"/>
      <c r="T205" s="540"/>
      <c r="U205" s="540"/>
      <c r="V205" s="540"/>
      <c r="W205" s="540"/>
      <c r="X205" s="540"/>
      <c r="Y205" s="540"/>
      <c r="Z205" s="540"/>
      <c r="AA205" s="540"/>
      <c r="AB205" s="540"/>
      <c r="AC205" s="540"/>
      <c r="AD205" s="540"/>
      <c r="AE205" s="540"/>
      <c r="AF205" s="540"/>
      <c r="AG205" s="540"/>
      <c r="AH205" s="540"/>
      <c r="AI205" s="540"/>
      <c r="AJ205" s="540"/>
      <c r="AK205" s="540"/>
      <c r="AL205" s="540"/>
      <c r="AM205" s="540"/>
      <c r="AN205" s="540"/>
      <c r="AO205" s="540"/>
      <c r="AP205" s="540"/>
      <c r="AQ205" s="540"/>
      <c r="AR205" s="540"/>
      <c r="AS205" s="540"/>
      <c r="AT205" s="540"/>
      <c r="AU205" s="540"/>
      <c r="AV205" s="540"/>
      <c r="AW205" s="1259"/>
      <c r="AX205" s="1259"/>
      <c r="AY205" s="1259"/>
      <c r="AZ205" s="540"/>
      <c r="BA205" s="540"/>
      <c r="BB205" s="540"/>
      <c r="BC205" s="540"/>
      <c r="BD205" s="540"/>
      <c r="BE205" s="540"/>
      <c r="BF205" s="540"/>
      <c r="BG205" s="540"/>
      <c r="BH205" s="540"/>
      <c r="BI205" s="540"/>
      <c r="BJ205" s="540"/>
      <c r="BK205" s="540"/>
      <c r="BL205" s="540"/>
      <c r="BM205" s="540"/>
      <c r="BN205" s="540"/>
      <c r="BO205" s="540"/>
    </row>
    <row r="206" spans="1:67" ht="35.1" customHeight="1" x14ac:dyDescent="0.25">
      <c r="A206" s="3">
        <f t="shared" si="3"/>
        <v>194</v>
      </c>
      <c r="B206" s="1218" t="s">
        <v>162</v>
      </c>
      <c r="C206" s="1218"/>
      <c r="D206" s="1222"/>
      <c r="E206" s="1222"/>
      <c r="F206" s="1222"/>
      <c r="G206" s="1222"/>
      <c r="H206" s="1222"/>
      <c r="I206" s="1219"/>
      <c r="J206" s="1219"/>
      <c r="K206" s="1219"/>
      <c r="L206" s="1219"/>
      <c r="M206" s="1219"/>
      <c r="N206" s="1219"/>
      <c r="O206" s="1219"/>
      <c r="P206" s="1219"/>
      <c r="Q206" s="1220"/>
      <c r="R206" s="1220"/>
      <c r="S206" s="1220"/>
      <c r="T206" s="1220"/>
      <c r="U206" s="1220"/>
      <c r="V206" s="1220"/>
      <c r="W206" s="1220"/>
      <c r="X206" s="1220"/>
      <c r="Y206" s="1219"/>
      <c r="Z206" s="1219"/>
      <c r="AA206" s="1220"/>
      <c r="AB206" s="1220"/>
      <c r="AC206" s="1220"/>
      <c r="AD206" s="1220"/>
      <c r="AE206" s="1219"/>
      <c r="AF206" s="1219"/>
      <c r="AG206" s="1219"/>
      <c r="AH206" s="1220"/>
      <c r="AI206" s="1220"/>
      <c r="AJ206" s="1220"/>
      <c r="AK206" s="1219"/>
      <c r="AL206" s="1219"/>
      <c r="AM206" s="1219"/>
      <c r="AN206" s="1219"/>
      <c r="AO206" s="1220"/>
      <c r="AP206" s="1220"/>
      <c r="AQ206" s="1220"/>
      <c r="AR206" s="1220"/>
      <c r="AS206" s="1220"/>
      <c r="AT206" s="1220"/>
      <c r="AU206" s="1220"/>
      <c r="AV206" s="1220"/>
      <c r="AW206" s="1258"/>
      <c r="AX206" s="1258"/>
      <c r="AY206" s="1258"/>
      <c r="AZ206" s="1220"/>
      <c r="BA206" s="1220"/>
      <c r="BB206" s="1220"/>
      <c r="BC206" s="1220"/>
      <c r="BD206" s="1220"/>
      <c r="BE206" s="1220"/>
      <c r="BF206" s="1220"/>
      <c r="BG206" s="1220"/>
      <c r="BH206" s="1220"/>
      <c r="BI206" s="1220"/>
      <c r="BJ206" s="1220"/>
      <c r="BK206" s="1220"/>
      <c r="BL206" s="1220"/>
      <c r="BM206" s="1220"/>
      <c r="BN206" s="1220"/>
      <c r="BO206" s="1220"/>
    </row>
    <row r="207" spans="1:67" ht="35.1" customHeight="1" x14ac:dyDescent="0.25">
      <c r="A207" s="3">
        <f t="shared" si="3"/>
        <v>195</v>
      </c>
      <c r="B207" s="1218" t="s">
        <v>162</v>
      </c>
      <c r="C207" s="1218"/>
      <c r="D207" s="1221"/>
      <c r="E207" s="1221"/>
      <c r="F207" s="1221"/>
      <c r="G207" s="1221"/>
      <c r="H207" s="1221"/>
      <c r="I207" s="540"/>
      <c r="J207" s="540"/>
      <c r="K207" s="540"/>
      <c r="L207" s="540"/>
      <c r="M207" s="540"/>
      <c r="N207" s="540"/>
      <c r="O207" s="540"/>
      <c r="P207" s="540"/>
      <c r="Q207" s="540"/>
      <c r="R207" s="540"/>
      <c r="S207" s="540"/>
      <c r="T207" s="540"/>
      <c r="U207" s="540"/>
      <c r="V207" s="540"/>
      <c r="W207" s="540"/>
      <c r="X207" s="540"/>
      <c r="Y207" s="540"/>
      <c r="Z207" s="540"/>
      <c r="AA207" s="540"/>
      <c r="AB207" s="540"/>
      <c r="AC207" s="540"/>
      <c r="AD207" s="540"/>
      <c r="AE207" s="540"/>
      <c r="AF207" s="540"/>
      <c r="AG207" s="540"/>
      <c r="AH207" s="540"/>
      <c r="AI207" s="540"/>
      <c r="AJ207" s="540"/>
      <c r="AK207" s="540"/>
      <c r="AL207" s="540"/>
      <c r="AM207" s="540"/>
      <c r="AN207" s="540"/>
      <c r="AO207" s="540"/>
      <c r="AP207" s="540"/>
      <c r="AQ207" s="540"/>
      <c r="AR207" s="540"/>
      <c r="AS207" s="540"/>
      <c r="AT207" s="540"/>
      <c r="AU207" s="540"/>
      <c r="AV207" s="540"/>
      <c r="AW207" s="1259"/>
      <c r="AX207" s="1259"/>
      <c r="AY207" s="1259"/>
      <c r="AZ207" s="540"/>
      <c r="BA207" s="540"/>
      <c r="BB207" s="540"/>
      <c r="BC207" s="540"/>
      <c r="BD207" s="540"/>
      <c r="BE207" s="540"/>
      <c r="BF207" s="540"/>
      <c r="BG207" s="540"/>
      <c r="BH207" s="540"/>
      <c r="BI207" s="540"/>
      <c r="BJ207" s="540"/>
      <c r="BK207" s="540"/>
      <c r="BL207" s="540"/>
      <c r="BM207" s="540"/>
      <c r="BN207" s="540"/>
      <c r="BO207" s="540"/>
    </row>
    <row r="208" spans="1:67" ht="35.1" customHeight="1" x14ac:dyDescent="0.25">
      <c r="A208" s="3">
        <f t="shared" si="3"/>
        <v>196</v>
      </c>
      <c r="B208" s="1218" t="s">
        <v>162</v>
      </c>
      <c r="C208" s="1218"/>
      <c r="D208" s="1222"/>
      <c r="E208" s="1222"/>
      <c r="F208" s="1222"/>
      <c r="G208" s="1222"/>
      <c r="H208" s="1222"/>
      <c r="I208" s="1219"/>
      <c r="J208" s="1219"/>
      <c r="K208" s="1219"/>
      <c r="L208" s="1219"/>
      <c r="M208" s="1219"/>
      <c r="N208" s="1219"/>
      <c r="O208" s="1219"/>
      <c r="P208" s="1219"/>
      <c r="Q208" s="1220"/>
      <c r="R208" s="1220"/>
      <c r="S208" s="1220"/>
      <c r="T208" s="1220"/>
      <c r="U208" s="1220"/>
      <c r="V208" s="1220"/>
      <c r="W208" s="1220"/>
      <c r="X208" s="1220"/>
      <c r="Y208" s="1219"/>
      <c r="Z208" s="1219"/>
      <c r="AA208" s="1220"/>
      <c r="AB208" s="1220"/>
      <c r="AC208" s="1220"/>
      <c r="AD208" s="1220"/>
      <c r="AE208" s="1219"/>
      <c r="AF208" s="1219"/>
      <c r="AG208" s="1219"/>
      <c r="AH208" s="1220"/>
      <c r="AI208" s="1220"/>
      <c r="AJ208" s="1220"/>
      <c r="AK208" s="1219"/>
      <c r="AL208" s="1219"/>
      <c r="AM208" s="1219"/>
      <c r="AN208" s="1219"/>
      <c r="AO208" s="1220"/>
      <c r="AP208" s="1220"/>
      <c r="AQ208" s="1220"/>
      <c r="AR208" s="1220"/>
      <c r="AS208" s="1220"/>
      <c r="AT208" s="1220"/>
      <c r="AU208" s="1220"/>
      <c r="AV208" s="1220"/>
      <c r="AW208" s="1258"/>
      <c r="AX208" s="1258"/>
      <c r="AY208" s="1258"/>
      <c r="AZ208" s="1220"/>
      <c r="BA208" s="1220"/>
      <c r="BB208" s="1220"/>
      <c r="BC208" s="1220"/>
      <c r="BD208" s="1220"/>
      <c r="BE208" s="1220"/>
      <c r="BF208" s="1220"/>
      <c r="BG208" s="1220"/>
      <c r="BH208" s="1220"/>
      <c r="BI208" s="1220"/>
      <c r="BJ208" s="1220"/>
      <c r="BK208" s="1220"/>
      <c r="BL208" s="1220"/>
      <c r="BM208" s="1220"/>
      <c r="BN208" s="1220"/>
      <c r="BO208" s="1220"/>
    </row>
    <row r="209" spans="1:67" ht="35.1" customHeight="1" x14ac:dyDescent="0.25">
      <c r="A209" s="3">
        <f t="shared" si="3"/>
        <v>197</v>
      </c>
      <c r="B209" s="1218" t="s">
        <v>162</v>
      </c>
      <c r="C209" s="1218"/>
      <c r="D209" s="1221"/>
      <c r="E209" s="1221"/>
      <c r="F209" s="1221"/>
      <c r="G209" s="1221"/>
      <c r="H209" s="1221"/>
      <c r="I209" s="540"/>
      <c r="J209" s="540"/>
      <c r="K209" s="540"/>
      <c r="L209" s="540"/>
      <c r="M209" s="540"/>
      <c r="N209" s="540"/>
      <c r="O209" s="540"/>
      <c r="P209" s="540"/>
      <c r="Q209" s="540"/>
      <c r="R209" s="540"/>
      <c r="S209" s="540"/>
      <c r="T209" s="540"/>
      <c r="U209" s="540"/>
      <c r="V209" s="540"/>
      <c r="W209" s="540"/>
      <c r="X209" s="540"/>
      <c r="Y209" s="540"/>
      <c r="Z209" s="540"/>
      <c r="AA209" s="540"/>
      <c r="AB209" s="540"/>
      <c r="AC209" s="540"/>
      <c r="AD209" s="540"/>
      <c r="AE209" s="540"/>
      <c r="AF209" s="540"/>
      <c r="AG209" s="540"/>
      <c r="AH209" s="540"/>
      <c r="AI209" s="540"/>
      <c r="AJ209" s="540"/>
      <c r="AK209" s="540"/>
      <c r="AL209" s="540"/>
      <c r="AM209" s="540"/>
      <c r="AN209" s="540"/>
      <c r="AO209" s="540"/>
      <c r="AP209" s="540"/>
      <c r="AQ209" s="540"/>
      <c r="AR209" s="540"/>
      <c r="AS209" s="540"/>
      <c r="AT209" s="540"/>
      <c r="AU209" s="540"/>
      <c r="AV209" s="540"/>
      <c r="AW209" s="1259"/>
      <c r="AX209" s="1259"/>
      <c r="AY209" s="1259"/>
      <c r="AZ209" s="540"/>
      <c r="BA209" s="540"/>
      <c r="BB209" s="540"/>
      <c r="BC209" s="540"/>
      <c r="BD209" s="540"/>
      <c r="BE209" s="540"/>
      <c r="BF209" s="540"/>
      <c r="BG209" s="540"/>
      <c r="BH209" s="540"/>
      <c r="BI209" s="540"/>
      <c r="BJ209" s="540"/>
      <c r="BK209" s="540"/>
      <c r="BL209" s="540"/>
      <c r="BM209" s="540"/>
      <c r="BN209" s="540"/>
      <c r="BO209" s="540"/>
    </row>
    <row r="210" spans="1:67" ht="35.1" customHeight="1" x14ac:dyDescent="0.25">
      <c r="A210" s="3">
        <f t="shared" si="3"/>
        <v>198</v>
      </c>
      <c r="B210" s="1218" t="s">
        <v>162</v>
      </c>
      <c r="C210" s="1218"/>
      <c r="D210" s="1222"/>
      <c r="E210" s="1222"/>
      <c r="F210" s="1222"/>
      <c r="G210" s="1222"/>
      <c r="H210" s="1222"/>
      <c r="I210" s="1219"/>
      <c r="J210" s="1219"/>
      <c r="K210" s="1219"/>
      <c r="L210" s="1219"/>
      <c r="M210" s="1219"/>
      <c r="N210" s="1219"/>
      <c r="O210" s="1219"/>
      <c r="P210" s="1219"/>
      <c r="Q210" s="1220"/>
      <c r="R210" s="1220"/>
      <c r="S210" s="1220"/>
      <c r="T210" s="1220"/>
      <c r="U210" s="1220"/>
      <c r="V210" s="1220"/>
      <c r="W210" s="1220"/>
      <c r="X210" s="1220"/>
      <c r="Y210" s="1219"/>
      <c r="Z210" s="1219"/>
      <c r="AA210" s="1220"/>
      <c r="AB210" s="1220"/>
      <c r="AC210" s="1220"/>
      <c r="AD210" s="1220"/>
      <c r="AE210" s="1219"/>
      <c r="AF210" s="1219"/>
      <c r="AG210" s="1219"/>
      <c r="AH210" s="1220"/>
      <c r="AI210" s="1220"/>
      <c r="AJ210" s="1220"/>
      <c r="AK210" s="1219"/>
      <c r="AL210" s="1219"/>
      <c r="AM210" s="1219"/>
      <c r="AN210" s="1219"/>
      <c r="AO210" s="1220"/>
      <c r="AP210" s="1220"/>
      <c r="AQ210" s="1220"/>
      <c r="AR210" s="1220"/>
      <c r="AS210" s="1220"/>
      <c r="AT210" s="1220"/>
      <c r="AU210" s="1220"/>
      <c r="AV210" s="1220"/>
      <c r="AW210" s="1258"/>
      <c r="AX210" s="1258"/>
      <c r="AY210" s="1258"/>
      <c r="AZ210" s="1220"/>
      <c r="BA210" s="1220"/>
      <c r="BB210" s="1220"/>
      <c r="BC210" s="1220"/>
      <c r="BD210" s="1220"/>
      <c r="BE210" s="1220"/>
      <c r="BF210" s="1220"/>
      <c r="BG210" s="1220"/>
      <c r="BH210" s="1220"/>
      <c r="BI210" s="1220"/>
      <c r="BJ210" s="1220"/>
      <c r="BK210" s="1220"/>
      <c r="BL210" s="1220"/>
      <c r="BM210" s="1220"/>
      <c r="BN210" s="1220"/>
      <c r="BO210" s="1220"/>
    </row>
    <row r="211" spans="1:67" ht="35.1" customHeight="1" x14ac:dyDescent="0.25">
      <c r="A211" s="3">
        <f t="shared" si="3"/>
        <v>199</v>
      </c>
      <c r="B211" s="1218" t="s">
        <v>162</v>
      </c>
      <c r="C211" s="1218"/>
      <c r="D211" s="1221"/>
      <c r="E211" s="1221"/>
      <c r="F211" s="1221"/>
      <c r="G211" s="1221"/>
      <c r="H211" s="1221"/>
      <c r="I211" s="540"/>
      <c r="J211" s="540"/>
      <c r="K211" s="540"/>
      <c r="L211" s="540"/>
      <c r="M211" s="540"/>
      <c r="N211" s="540"/>
      <c r="O211" s="540"/>
      <c r="P211" s="540"/>
      <c r="Q211" s="540"/>
      <c r="R211" s="540"/>
      <c r="S211" s="540"/>
      <c r="T211" s="540"/>
      <c r="U211" s="540"/>
      <c r="V211" s="540"/>
      <c r="W211" s="540"/>
      <c r="X211" s="540"/>
      <c r="Y211" s="540"/>
      <c r="Z211" s="540"/>
      <c r="AA211" s="540"/>
      <c r="AB211" s="540"/>
      <c r="AC211" s="540"/>
      <c r="AD211" s="540"/>
      <c r="AE211" s="540"/>
      <c r="AF211" s="540"/>
      <c r="AG211" s="540"/>
      <c r="AH211" s="540"/>
      <c r="AI211" s="540"/>
      <c r="AJ211" s="540"/>
      <c r="AK211" s="540"/>
      <c r="AL211" s="540"/>
      <c r="AM211" s="540"/>
      <c r="AN211" s="540"/>
      <c r="AO211" s="540"/>
      <c r="AP211" s="540"/>
      <c r="AQ211" s="540"/>
      <c r="AR211" s="540"/>
      <c r="AS211" s="540"/>
      <c r="AT211" s="540"/>
      <c r="AU211" s="540"/>
      <c r="AV211" s="540"/>
      <c r="AW211" s="1259"/>
      <c r="AX211" s="1259"/>
      <c r="AY211" s="1259"/>
      <c r="AZ211" s="540"/>
      <c r="BA211" s="540"/>
      <c r="BB211" s="540"/>
      <c r="BC211" s="540"/>
      <c r="BD211" s="540"/>
      <c r="BE211" s="540"/>
      <c r="BF211" s="540"/>
      <c r="BG211" s="540"/>
      <c r="BH211" s="540"/>
      <c r="BI211" s="540"/>
      <c r="BJ211" s="540"/>
      <c r="BK211" s="540"/>
      <c r="BL211" s="540"/>
      <c r="BM211" s="540"/>
      <c r="BN211" s="540"/>
      <c r="BO211" s="540"/>
    </row>
    <row r="212" spans="1:67" ht="35.1" customHeight="1" x14ac:dyDescent="0.25">
      <c r="A212" s="3">
        <f t="shared" si="3"/>
        <v>200</v>
      </c>
      <c r="B212" s="1235" t="s">
        <v>162</v>
      </c>
      <c r="C212" s="1235"/>
      <c r="D212" s="1222"/>
      <c r="E212" s="1222"/>
      <c r="F212" s="1222"/>
      <c r="G212" s="1222"/>
      <c r="H212" s="1222"/>
      <c r="I212" s="1219"/>
      <c r="J212" s="1219"/>
      <c r="K212" s="1219"/>
      <c r="L212" s="1219"/>
      <c r="M212" s="1219"/>
      <c r="N212" s="1219"/>
      <c r="O212" s="1219"/>
      <c r="P212" s="1219"/>
      <c r="Q212" s="1220"/>
      <c r="R212" s="1220"/>
      <c r="S212" s="1220"/>
      <c r="T212" s="1220"/>
      <c r="U212" s="1220"/>
      <c r="V212" s="1220"/>
      <c r="W212" s="1220"/>
      <c r="X212" s="1220"/>
      <c r="Y212" s="1219"/>
      <c r="Z212" s="1219"/>
      <c r="AA212" s="1220"/>
      <c r="AB212" s="1220"/>
      <c r="AC212" s="1220"/>
      <c r="AD212" s="1220"/>
      <c r="AE212" s="1219"/>
      <c r="AF212" s="1219"/>
      <c r="AG212" s="1219"/>
      <c r="AH212" s="1220"/>
      <c r="AI212" s="1220"/>
      <c r="AJ212" s="1220"/>
      <c r="AK212" s="1219"/>
      <c r="AL212" s="1219"/>
      <c r="AM212" s="1219"/>
      <c r="AN212" s="1219"/>
      <c r="AO212" s="1220"/>
      <c r="AP212" s="1220"/>
      <c r="AQ212" s="1220"/>
      <c r="AR212" s="1220"/>
      <c r="AS212" s="1220"/>
      <c r="AT212" s="1220"/>
      <c r="AU212" s="1220"/>
      <c r="AV212" s="1220"/>
      <c r="AW212" s="1258"/>
      <c r="AX212" s="1258"/>
      <c r="AY212" s="1258"/>
      <c r="AZ212" s="1220"/>
      <c r="BA212" s="1220"/>
      <c r="BB212" s="1220"/>
      <c r="BC212" s="1220"/>
      <c r="BD212" s="1220"/>
      <c r="BE212" s="1220"/>
      <c r="BF212" s="1220"/>
      <c r="BG212" s="1220"/>
      <c r="BH212" s="1220"/>
      <c r="BI212" s="1220"/>
      <c r="BJ212" s="1220"/>
      <c r="BK212" s="1220"/>
      <c r="BL212" s="1220"/>
      <c r="BM212" s="1220"/>
      <c r="BN212" s="1220"/>
      <c r="BO212" s="1220"/>
    </row>
    <row r="213" spans="1:67" ht="35.1" customHeight="1" x14ac:dyDescent="0.25">
      <c r="A213" s="3">
        <f t="shared" si="3"/>
        <v>201</v>
      </c>
      <c r="B213" s="1218" t="s">
        <v>162</v>
      </c>
      <c r="C213" s="1218"/>
      <c r="D213" s="1221"/>
      <c r="E213" s="1221"/>
      <c r="F213" s="1221"/>
      <c r="G213" s="1221"/>
      <c r="H213" s="1221"/>
      <c r="I213" s="540"/>
      <c r="J213" s="540"/>
      <c r="K213" s="540"/>
      <c r="L213" s="540"/>
      <c r="M213" s="540"/>
      <c r="N213" s="540"/>
      <c r="O213" s="540"/>
      <c r="P213" s="540"/>
      <c r="Q213" s="540"/>
      <c r="R213" s="540"/>
      <c r="S213" s="540"/>
      <c r="T213" s="540"/>
      <c r="U213" s="540"/>
      <c r="V213" s="540"/>
      <c r="W213" s="540"/>
      <c r="X213" s="540"/>
      <c r="Y213" s="540"/>
      <c r="Z213" s="540"/>
      <c r="AA213" s="540"/>
      <c r="AB213" s="540"/>
      <c r="AC213" s="540"/>
      <c r="AD213" s="540"/>
      <c r="AE213" s="540"/>
      <c r="AF213" s="540"/>
      <c r="AG213" s="540"/>
      <c r="AH213" s="540"/>
      <c r="AI213" s="540"/>
      <c r="AJ213" s="540"/>
      <c r="AK213" s="540"/>
      <c r="AL213" s="540"/>
      <c r="AM213" s="540"/>
      <c r="AN213" s="540"/>
      <c r="AO213" s="540"/>
      <c r="AP213" s="540"/>
      <c r="AQ213" s="540"/>
      <c r="AR213" s="540"/>
      <c r="AS213" s="540"/>
      <c r="AT213" s="540"/>
      <c r="AU213" s="540"/>
      <c r="AV213" s="540"/>
      <c r="AW213" s="1259"/>
      <c r="AX213" s="1259"/>
      <c r="AY213" s="1259"/>
      <c r="AZ213" s="540"/>
      <c r="BA213" s="540"/>
      <c r="BB213" s="540"/>
      <c r="BC213" s="540"/>
      <c r="BD213" s="540"/>
      <c r="BE213" s="540"/>
      <c r="BF213" s="540"/>
      <c r="BG213" s="540"/>
      <c r="BH213" s="540"/>
      <c r="BI213" s="540"/>
      <c r="BJ213" s="540"/>
      <c r="BK213" s="540"/>
      <c r="BL213" s="540"/>
      <c r="BM213" s="540"/>
      <c r="BN213" s="540"/>
      <c r="BO213" s="540"/>
    </row>
    <row r="214" spans="1:67" ht="35.1" customHeight="1" x14ac:dyDescent="0.25">
      <c r="A214" s="3">
        <f t="shared" si="3"/>
        <v>202</v>
      </c>
      <c r="B214" s="1218" t="s">
        <v>162</v>
      </c>
      <c r="C214" s="1218"/>
      <c r="D214" s="1222"/>
      <c r="E214" s="1222"/>
      <c r="F214" s="1222"/>
      <c r="G214" s="1222"/>
      <c r="H214" s="1222"/>
      <c r="I214" s="1219"/>
      <c r="J214" s="1219"/>
      <c r="K214" s="1219"/>
      <c r="L214" s="1219"/>
      <c r="M214" s="1219"/>
      <c r="N214" s="1219"/>
      <c r="O214" s="1219"/>
      <c r="P214" s="1219"/>
      <c r="Q214" s="1220"/>
      <c r="R214" s="1220"/>
      <c r="S214" s="1220"/>
      <c r="T214" s="1220"/>
      <c r="U214" s="1220"/>
      <c r="V214" s="1220"/>
      <c r="W214" s="1220"/>
      <c r="X214" s="1220"/>
      <c r="Y214" s="1219"/>
      <c r="Z214" s="1219"/>
      <c r="AA214" s="1220"/>
      <c r="AB214" s="1220"/>
      <c r="AC214" s="1220"/>
      <c r="AD214" s="1220"/>
      <c r="AE214" s="1219"/>
      <c r="AF214" s="1219"/>
      <c r="AG214" s="1219"/>
      <c r="AH214" s="1220"/>
      <c r="AI214" s="1220"/>
      <c r="AJ214" s="1220"/>
      <c r="AK214" s="1219"/>
      <c r="AL214" s="1219"/>
      <c r="AM214" s="1219"/>
      <c r="AN214" s="1219"/>
      <c r="AO214" s="1220"/>
      <c r="AP214" s="1220"/>
      <c r="AQ214" s="1220"/>
      <c r="AR214" s="1220"/>
      <c r="AS214" s="1220"/>
      <c r="AT214" s="1220"/>
      <c r="AU214" s="1220"/>
      <c r="AV214" s="1220"/>
      <c r="AW214" s="1258"/>
      <c r="AX214" s="1258"/>
      <c r="AY214" s="1258"/>
      <c r="AZ214" s="1220"/>
      <c r="BA214" s="1220"/>
      <c r="BB214" s="1220"/>
      <c r="BC214" s="1220"/>
      <c r="BD214" s="1220"/>
      <c r="BE214" s="1220"/>
      <c r="BF214" s="1220"/>
      <c r="BG214" s="1220"/>
      <c r="BH214" s="1220"/>
      <c r="BI214" s="1220"/>
      <c r="BJ214" s="1220"/>
      <c r="BK214" s="1220"/>
      <c r="BL214" s="1220"/>
      <c r="BM214" s="1220"/>
      <c r="BN214" s="1220"/>
      <c r="BO214" s="1220"/>
    </row>
    <row r="215" spans="1:67" ht="35.1" customHeight="1" x14ac:dyDescent="0.25">
      <c r="A215" s="3">
        <f t="shared" si="3"/>
        <v>203</v>
      </c>
      <c r="B215" s="1218" t="s">
        <v>162</v>
      </c>
      <c r="C215" s="1218"/>
      <c r="D215" s="1221"/>
      <c r="E215" s="1221"/>
      <c r="F215" s="1221"/>
      <c r="G215" s="1221"/>
      <c r="H215" s="1221"/>
      <c r="I215" s="540"/>
      <c r="J215" s="540"/>
      <c r="K215" s="540"/>
      <c r="L215" s="540"/>
      <c r="M215" s="540"/>
      <c r="N215" s="540"/>
      <c r="O215" s="540"/>
      <c r="P215" s="540"/>
      <c r="Q215" s="540"/>
      <c r="R215" s="540"/>
      <c r="S215" s="540"/>
      <c r="T215" s="540"/>
      <c r="U215" s="540"/>
      <c r="V215" s="540"/>
      <c r="W215" s="540"/>
      <c r="X215" s="540"/>
      <c r="Y215" s="540"/>
      <c r="Z215" s="540"/>
      <c r="AA215" s="540"/>
      <c r="AB215" s="540"/>
      <c r="AC215" s="540"/>
      <c r="AD215" s="540"/>
      <c r="AE215" s="540"/>
      <c r="AF215" s="540"/>
      <c r="AG215" s="540"/>
      <c r="AH215" s="540"/>
      <c r="AI215" s="540"/>
      <c r="AJ215" s="540"/>
      <c r="AK215" s="540"/>
      <c r="AL215" s="540"/>
      <c r="AM215" s="540"/>
      <c r="AN215" s="540"/>
      <c r="AO215" s="540"/>
      <c r="AP215" s="540"/>
      <c r="AQ215" s="540"/>
      <c r="AR215" s="540"/>
      <c r="AS215" s="540"/>
      <c r="AT215" s="540"/>
      <c r="AU215" s="540"/>
      <c r="AV215" s="540"/>
      <c r="AW215" s="1259"/>
      <c r="AX215" s="1259"/>
      <c r="AY215" s="1259"/>
      <c r="AZ215" s="540"/>
      <c r="BA215" s="540"/>
      <c r="BB215" s="540"/>
      <c r="BC215" s="540"/>
      <c r="BD215" s="540"/>
      <c r="BE215" s="540"/>
      <c r="BF215" s="540"/>
      <c r="BG215" s="540"/>
      <c r="BH215" s="540"/>
      <c r="BI215" s="540"/>
      <c r="BJ215" s="540"/>
      <c r="BK215" s="540"/>
      <c r="BL215" s="540"/>
      <c r="BM215" s="540"/>
      <c r="BN215" s="540"/>
      <c r="BO215" s="540"/>
    </row>
    <row r="216" spans="1:67" ht="35.1" customHeight="1" x14ac:dyDescent="0.25">
      <c r="A216" s="3">
        <f t="shared" si="3"/>
        <v>204</v>
      </c>
      <c r="B216" s="1218" t="s">
        <v>162</v>
      </c>
      <c r="C216" s="1218"/>
      <c r="D216" s="1222"/>
      <c r="E216" s="1222"/>
      <c r="F216" s="1222"/>
      <c r="G216" s="1222"/>
      <c r="H216" s="1222"/>
      <c r="I216" s="1219"/>
      <c r="J216" s="1219"/>
      <c r="K216" s="1219"/>
      <c r="L216" s="1219"/>
      <c r="M216" s="1219"/>
      <c r="N216" s="1219"/>
      <c r="O216" s="1219"/>
      <c r="P216" s="1219"/>
      <c r="Q216" s="1220"/>
      <c r="R216" s="1220"/>
      <c r="S216" s="1220"/>
      <c r="T216" s="1220"/>
      <c r="U216" s="1220"/>
      <c r="V216" s="1220"/>
      <c r="W216" s="1220"/>
      <c r="X216" s="1220"/>
      <c r="Y216" s="1219"/>
      <c r="Z216" s="1219"/>
      <c r="AA216" s="1220"/>
      <c r="AB216" s="1220"/>
      <c r="AC216" s="1220"/>
      <c r="AD216" s="1220"/>
      <c r="AE216" s="1219"/>
      <c r="AF216" s="1219"/>
      <c r="AG216" s="1219"/>
      <c r="AH216" s="1220"/>
      <c r="AI216" s="1220"/>
      <c r="AJ216" s="1220"/>
      <c r="AK216" s="1219"/>
      <c r="AL216" s="1219"/>
      <c r="AM216" s="1219"/>
      <c r="AN216" s="1219"/>
      <c r="AO216" s="1220"/>
      <c r="AP216" s="1220"/>
      <c r="AQ216" s="1220"/>
      <c r="AR216" s="1220"/>
      <c r="AS216" s="1220"/>
      <c r="AT216" s="1220"/>
      <c r="AU216" s="1220"/>
      <c r="AV216" s="1220"/>
      <c r="AW216" s="1258"/>
      <c r="AX216" s="1258"/>
      <c r="AY216" s="1258"/>
      <c r="AZ216" s="1220"/>
      <c r="BA216" s="1220"/>
      <c r="BB216" s="1220"/>
      <c r="BC216" s="1220"/>
      <c r="BD216" s="1220"/>
      <c r="BE216" s="1220"/>
      <c r="BF216" s="1220"/>
      <c r="BG216" s="1220"/>
      <c r="BH216" s="1220"/>
      <c r="BI216" s="1220"/>
      <c r="BJ216" s="1220"/>
      <c r="BK216" s="1220"/>
      <c r="BL216" s="1220"/>
      <c r="BM216" s="1220"/>
      <c r="BN216" s="1220"/>
      <c r="BO216" s="1220"/>
    </row>
    <row r="217" spans="1:67" ht="35.1" customHeight="1" x14ac:dyDescent="0.25">
      <c r="A217" s="3">
        <f t="shared" si="3"/>
        <v>205</v>
      </c>
      <c r="B217" s="1218" t="s">
        <v>162</v>
      </c>
      <c r="C217" s="1218"/>
      <c r="D217" s="1221"/>
      <c r="E217" s="1221"/>
      <c r="F217" s="1221"/>
      <c r="G217" s="1221"/>
      <c r="H217" s="1221"/>
      <c r="I217" s="540"/>
      <c r="J217" s="540"/>
      <c r="K217" s="540"/>
      <c r="L217" s="540"/>
      <c r="M217" s="540"/>
      <c r="N217" s="540"/>
      <c r="O217" s="540"/>
      <c r="P217" s="540"/>
      <c r="Q217" s="540"/>
      <c r="R217" s="540"/>
      <c r="S217" s="540"/>
      <c r="T217" s="540"/>
      <c r="U217" s="540"/>
      <c r="V217" s="540"/>
      <c r="W217" s="540"/>
      <c r="X217" s="540"/>
      <c r="Y217" s="540"/>
      <c r="Z217" s="540"/>
      <c r="AA217" s="540"/>
      <c r="AB217" s="540"/>
      <c r="AC217" s="540"/>
      <c r="AD217" s="540"/>
      <c r="AE217" s="540"/>
      <c r="AF217" s="540"/>
      <c r="AG217" s="540"/>
      <c r="AH217" s="540"/>
      <c r="AI217" s="540"/>
      <c r="AJ217" s="540"/>
      <c r="AK217" s="540"/>
      <c r="AL217" s="540"/>
      <c r="AM217" s="540"/>
      <c r="AN217" s="540"/>
      <c r="AO217" s="540"/>
      <c r="AP217" s="540"/>
      <c r="AQ217" s="540"/>
      <c r="AR217" s="540"/>
      <c r="AS217" s="540"/>
      <c r="AT217" s="540"/>
      <c r="AU217" s="540"/>
      <c r="AV217" s="540"/>
      <c r="AW217" s="1259"/>
      <c r="AX217" s="1259"/>
      <c r="AY217" s="1259"/>
      <c r="AZ217" s="540"/>
      <c r="BA217" s="540"/>
      <c r="BB217" s="540"/>
      <c r="BC217" s="540"/>
      <c r="BD217" s="540"/>
      <c r="BE217" s="540"/>
      <c r="BF217" s="540"/>
      <c r="BG217" s="540"/>
      <c r="BH217" s="540"/>
      <c r="BI217" s="540"/>
      <c r="BJ217" s="540"/>
      <c r="BK217" s="540"/>
      <c r="BL217" s="540"/>
      <c r="BM217" s="540"/>
      <c r="BN217" s="540"/>
      <c r="BO217" s="540"/>
    </row>
    <row r="218" spans="1:67" ht="35.1" customHeight="1" x14ac:dyDescent="0.25">
      <c r="A218" s="3">
        <f t="shared" si="3"/>
        <v>206</v>
      </c>
      <c r="B218" s="1218" t="s">
        <v>162</v>
      </c>
      <c r="C218" s="1218"/>
      <c r="D218" s="1222"/>
      <c r="E218" s="1222"/>
      <c r="F218" s="1222"/>
      <c r="G218" s="1222"/>
      <c r="H218" s="1222"/>
      <c r="I218" s="1219"/>
      <c r="J218" s="1219"/>
      <c r="K218" s="1219"/>
      <c r="L218" s="1219"/>
      <c r="M218" s="1219"/>
      <c r="N218" s="1219"/>
      <c r="O218" s="1219"/>
      <c r="P218" s="1219"/>
      <c r="Q218" s="1220"/>
      <c r="R218" s="1220"/>
      <c r="S218" s="1220"/>
      <c r="T218" s="1220"/>
      <c r="U218" s="1220"/>
      <c r="V218" s="1220"/>
      <c r="W218" s="1220"/>
      <c r="X218" s="1220"/>
      <c r="Y218" s="1219"/>
      <c r="Z218" s="1219"/>
      <c r="AA218" s="1220"/>
      <c r="AB218" s="1220"/>
      <c r="AC218" s="1220"/>
      <c r="AD218" s="1220"/>
      <c r="AE218" s="1219"/>
      <c r="AF218" s="1219"/>
      <c r="AG218" s="1219"/>
      <c r="AH218" s="1220"/>
      <c r="AI218" s="1220"/>
      <c r="AJ218" s="1220"/>
      <c r="AK218" s="1219"/>
      <c r="AL218" s="1219"/>
      <c r="AM218" s="1219"/>
      <c r="AN218" s="1219"/>
      <c r="AO218" s="1220"/>
      <c r="AP218" s="1220"/>
      <c r="AQ218" s="1220"/>
      <c r="AR218" s="1220"/>
      <c r="AS218" s="1220"/>
      <c r="AT218" s="1220"/>
      <c r="AU218" s="1220"/>
      <c r="AV218" s="1220"/>
      <c r="AW218" s="1258"/>
      <c r="AX218" s="1258"/>
      <c r="AY218" s="1258"/>
      <c r="AZ218" s="1220"/>
      <c r="BA218" s="1220"/>
      <c r="BB218" s="1220"/>
      <c r="BC218" s="1220"/>
      <c r="BD218" s="1220"/>
      <c r="BE218" s="1220"/>
      <c r="BF218" s="1220"/>
      <c r="BG218" s="1220"/>
      <c r="BH218" s="1220"/>
      <c r="BI218" s="1220"/>
      <c r="BJ218" s="1220"/>
      <c r="BK218" s="1220"/>
      <c r="BL218" s="1220"/>
      <c r="BM218" s="1220"/>
      <c r="BN218" s="1220"/>
      <c r="BO218" s="1220"/>
    </row>
    <row r="219" spans="1:67" ht="35.1" customHeight="1" x14ac:dyDescent="0.25">
      <c r="A219" s="3">
        <f t="shared" si="3"/>
        <v>207</v>
      </c>
      <c r="B219" s="1218" t="s">
        <v>162</v>
      </c>
      <c r="C219" s="1218"/>
      <c r="D219" s="1221"/>
      <c r="E219" s="1221"/>
      <c r="F219" s="1221"/>
      <c r="G219" s="1221"/>
      <c r="H219" s="1221"/>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40"/>
      <c r="AI219" s="540"/>
      <c r="AJ219" s="540"/>
      <c r="AK219" s="540"/>
      <c r="AL219" s="540"/>
      <c r="AM219" s="540"/>
      <c r="AN219" s="540"/>
      <c r="AO219" s="540"/>
      <c r="AP219" s="540"/>
      <c r="AQ219" s="540"/>
      <c r="AR219" s="540"/>
      <c r="AS219" s="540"/>
      <c r="AT219" s="540"/>
      <c r="AU219" s="540"/>
      <c r="AV219" s="540"/>
      <c r="AW219" s="1259"/>
      <c r="AX219" s="1259"/>
      <c r="AY219" s="1259"/>
      <c r="AZ219" s="540"/>
      <c r="BA219" s="540"/>
      <c r="BB219" s="540"/>
      <c r="BC219" s="540"/>
      <c r="BD219" s="540"/>
      <c r="BE219" s="540"/>
      <c r="BF219" s="540"/>
      <c r="BG219" s="540"/>
      <c r="BH219" s="540"/>
      <c r="BI219" s="540"/>
      <c r="BJ219" s="540"/>
      <c r="BK219" s="540"/>
      <c r="BL219" s="540"/>
      <c r="BM219" s="540"/>
      <c r="BN219" s="540"/>
      <c r="BO219" s="540"/>
    </row>
    <row r="220" spans="1:67" ht="35.1" customHeight="1" x14ac:dyDescent="0.25">
      <c r="A220" s="3">
        <f t="shared" si="3"/>
        <v>208</v>
      </c>
      <c r="B220" s="1218" t="s">
        <v>162</v>
      </c>
      <c r="C220" s="1218"/>
      <c r="D220" s="1222"/>
      <c r="E220" s="1222"/>
      <c r="F220" s="1222"/>
      <c r="G220" s="1222"/>
      <c r="H220" s="1222"/>
      <c r="I220" s="1219"/>
      <c r="J220" s="1219"/>
      <c r="K220" s="1219"/>
      <c r="L220" s="1219"/>
      <c r="M220" s="1219"/>
      <c r="N220" s="1219"/>
      <c r="O220" s="1219"/>
      <c r="P220" s="1219"/>
      <c r="Q220" s="1220"/>
      <c r="R220" s="1220"/>
      <c r="S220" s="1220"/>
      <c r="T220" s="1220"/>
      <c r="U220" s="1220"/>
      <c r="V220" s="1220"/>
      <c r="W220" s="1220"/>
      <c r="X220" s="1220"/>
      <c r="Y220" s="1219"/>
      <c r="Z220" s="1219"/>
      <c r="AA220" s="1220"/>
      <c r="AB220" s="1220"/>
      <c r="AC220" s="1220"/>
      <c r="AD220" s="1220"/>
      <c r="AE220" s="1219"/>
      <c r="AF220" s="1219"/>
      <c r="AG220" s="1219"/>
      <c r="AH220" s="1220"/>
      <c r="AI220" s="1220"/>
      <c r="AJ220" s="1220"/>
      <c r="AK220" s="1219"/>
      <c r="AL220" s="1219"/>
      <c r="AM220" s="1219"/>
      <c r="AN220" s="1219"/>
      <c r="AO220" s="1220"/>
      <c r="AP220" s="1220"/>
      <c r="AQ220" s="1220"/>
      <c r="AR220" s="1220"/>
      <c r="AS220" s="1220"/>
      <c r="AT220" s="1220"/>
      <c r="AU220" s="1220"/>
      <c r="AV220" s="1220"/>
      <c r="AW220" s="1258"/>
      <c r="AX220" s="1258"/>
      <c r="AY220" s="1258"/>
      <c r="AZ220" s="1220"/>
      <c r="BA220" s="1220"/>
      <c r="BB220" s="1220"/>
      <c r="BC220" s="1220"/>
      <c r="BD220" s="1220"/>
      <c r="BE220" s="1220"/>
      <c r="BF220" s="1220"/>
      <c r="BG220" s="1220"/>
      <c r="BH220" s="1220"/>
      <c r="BI220" s="1220"/>
      <c r="BJ220" s="1220"/>
      <c r="BK220" s="1220"/>
      <c r="BL220" s="1220"/>
      <c r="BM220" s="1220"/>
      <c r="BN220" s="1220"/>
      <c r="BO220" s="1220"/>
    </row>
    <row r="221" spans="1:67" ht="35.1" customHeight="1" x14ac:dyDescent="0.25">
      <c r="A221" s="3">
        <f t="shared" si="3"/>
        <v>209</v>
      </c>
      <c r="B221" s="1218" t="s">
        <v>162</v>
      </c>
      <c r="C221" s="1218"/>
      <c r="D221" s="1221"/>
      <c r="E221" s="1221"/>
      <c r="F221" s="1221"/>
      <c r="G221" s="1221"/>
      <c r="H221" s="1221"/>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c r="AH221" s="540"/>
      <c r="AI221" s="540"/>
      <c r="AJ221" s="540"/>
      <c r="AK221" s="540"/>
      <c r="AL221" s="540"/>
      <c r="AM221" s="540"/>
      <c r="AN221" s="540"/>
      <c r="AO221" s="540"/>
      <c r="AP221" s="540"/>
      <c r="AQ221" s="540"/>
      <c r="AR221" s="540"/>
      <c r="AS221" s="540"/>
      <c r="AT221" s="540"/>
      <c r="AU221" s="540"/>
      <c r="AV221" s="540"/>
      <c r="AW221" s="1259"/>
      <c r="AX221" s="1259"/>
      <c r="AY221" s="1259"/>
      <c r="AZ221" s="540"/>
      <c r="BA221" s="540"/>
      <c r="BB221" s="540"/>
      <c r="BC221" s="540"/>
      <c r="BD221" s="540"/>
      <c r="BE221" s="540"/>
      <c r="BF221" s="540"/>
      <c r="BG221" s="540"/>
      <c r="BH221" s="540"/>
      <c r="BI221" s="540"/>
      <c r="BJ221" s="540"/>
      <c r="BK221" s="540"/>
      <c r="BL221" s="540"/>
      <c r="BM221" s="540"/>
      <c r="BN221" s="540"/>
      <c r="BO221" s="540"/>
    </row>
    <row r="222" spans="1:67" ht="35.1" customHeight="1" x14ac:dyDescent="0.25">
      <c r="A222" s="3">
        <f t="shared" si="3"/>
        <v>210</v>
      </c>
      <c r="B222" s="1218" t="s">
        <v>162</v>
      </c>
      <c r="C222" s="1218"/>
      <c r="D222" s="1222"/>
      <c r="E222" s="1222"/>
      <c r="F222" s="1222"/>
      <c r="G222" s="1222"/>
      <c r="H222" s="1222"/>
      <c r="I222" s="1219"/>
      <c r="J222" s="1219"/>
      <c r="K222" s="1219"/>
      <c r="L222" s="1219"/>
      <c r="M222" s="1219"/>
      <c r="N222" s="1219"/>
      <c r="O222" s="1219"/>
      <c r="P222" s="1219"/>
      <c r="Q222" s="1220"/>
      <c r="R222" s="1220"/>
      <c r="S222" s="1220"/>
      <c r="T222" s="1220"/>
      <c r="U222" s="1220"/>
      <c r="V222" s="1220"/>
      <c r="W222" s="1220"/>
      <c r="X222" s="1220"/>
      <c r="Y222" s="1219"/>
      <c r="Z222" s="1219"/>
      <c r="AA222" s="1220"/>
      <c r="AB222" s="1220"/>
      <c r="AC222" s="1220"/>
      <c r="AD222" s="1220"/>
      <c r="AE222" s="1219"/>
      <c r="AF222" s="1219"/>
      <c r="AG222" s="1219"/>
      <c r="AH222" s="1220"/>
      <c r="AI222" s="1220"/>
      <c r="AJ222" s="1220"/>
      <c r="AK222" s="1219"/>
      <c r="AL222" s="1219"/>
      <c r="AM222" s="1219"/>
      <c r="AN222" s="1219"/>
      <c r="AO222" s="1220"/>
      <c r="AP222" s="1220"/>
      <c r="AQ222" s="1220"/>
      <c r="AR222" s="1220"/>
      <c r="AS222" s="1220"/>
      <c r="AT222" s="1220"/>
      <c r="AU222" s="1220"/>
      <c r="AV222" s="1220"/>
      <c r="AW222" s="1258"/>
      <c r="AX222" s="1258"/>
      <c r="AY222" s="1258"/>
      <c r="AZ222" s="1220"/>
      <c r="BA222" s="1220"/>
      <c r="BB222" s="1220"/>
      <c r="BC222" s="1220"/>
      <c r="BD222" s="1220"/>
      <c r="BE222" s="1220"/>
      <c r="BF222" s="1220"/>
      <c r="BG222" s="1220"/>
      <c r="BH222" s="1220"/>
      <c r="BI222" s="1220"/>
      <c r="BJ222" s="1220"/>
      <c r="BK222" s="1220"/>
      <c r="BL222" s="1220"/>
      <c r="BM222" s="1220"/>
      <c r="BN222" s="1220"/>
      <c r="BO222" s="1220"/>
    </row>
    <row r="223" spans="1:67" ht="35.1" customHeight="1" x14ac:dyDescent="0.25">
      <c r="A223" s="3">
        <f t="shared" si="3"/>
        <v>211</v>
      </c>
      <c r="B223" s="1218" t="s">
        <v>162</v>
      </c>
      <c r="C223" s="1218"/>
      <c r="D223" s="1221"/>
      <c r="E223" s="1221"/>
      <c r="F223" s="1221"/>
      <c r="G223" s="1221"/>
      <c r="H223" s="1221"/>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c r="AH223" s="540"/>
      <c r="AI223" s="540"/>
      <c r="AJ223" s="540"/>
      <c r="AK223" s="540"/>
      <c r="AL223" s="540"/>
      <c r="AM223" s="540"/>
      <c r="AN223" s="540"/>
      <c r="AO223" s="540"/>
      <c r="AP223" s="540"/>
      <c r="AQ223" s="540"/>
      <c r="AR223" s="540"/>
      <c r="AS223" s="540"/>
      <c r="AT223" s="540"/>
      <c r="AU223" s="540"/>
      <c r="AV223" s="540"/>
      <c r="AW223" s="1259"/>
      <c r="AX223" s="1259"/>
      <c r="AY223" s="1259"/>
      <c r="AZ223" s="540"/>
      <c r="BA223" s="540"/>
      <c r="BB223" s="540"/>
      <c r="BC223" s="540"/>
      <c r="BD223" s="540"/>
      <c r="BE223" s="540"/>
      <c r="BF223" s="540"/>
      <c r="BG223" s="540"/>
      <c r="BH223" s="540"/>
      <c r="BI223" s="540"/>
      <c r="BJ223" s="540"/>
      <c r="BK223" s="540"/>
      <c r="BL223" s="540"/>
      <c r="BM223" s="540"/>
      <c r="BN223" s="540"/>
      <c r="BO223" s="540"/>
    </row>
    <row r="224" spans="1:67" ht="35.1" customHeight="1" x14ac:dyDescent="0.25">
      <c r="A224" s="3">
        <f t="shared" si="3"/>
        <v>212</v>
      </c>
      <c r="B224" s="1218" t="s">
        <v>162</v>
      </c>
      <c r="C224" s="1218"/>
      <c r="D224" s="1222"/>
      <c r="E224" s="1222"/>
      <c r="F224" s="1222"/>
      <c r="G224" s="1222"/>
      <c r="H224" s="1222"/>
      <c r="I224" s="1219"/>
      <c r="J224" s="1219"/>
      <c r="K224" s="1219"/>
      <c r="L224" s="1219"/>
      <c r="M224" s="1219"/>
      <c r="N224" s="1219"/>
      <c r="O224" s="1219"/>
      <c r="P224" s="1219"/>
      <c r="Q224" s="1220"/>
      <c r="R224" s="1220"/>
      <c r="S224" s="1220"/>
      <c r="T224" s="1220"/>
      <c r="U224" s="1220"/>
      <c r="V224" s="1220"/>
      <c r="W224" s="1220"/>
      <c r="X224" s="1220"/>
      <c r="Y224" s="1219"/>
      <c r="Z224" s="1219"/>
      <c r="AA224" s="1220"/>
      <c r="AB224" s="1220"/>
      <c r="AC224" s="1220"/>
      <c r="AD224" s="1220"/>
      <c r="AE224" s="1219"/>
      <c r="AF224" s="1219"/>
      <c r="AG224" s="1219"/>
      <c r="AH224" s="1220"/>
      <c r="AI224" s="1220"/>
      <c r="AJ224" s="1220"/>
      <c r="AK224" s="1219"/>
      <c r="AL224" s="1219"/>
      <c r="AM224" s="1219"/>
      <c r="AN224" s="1219"/>
      <c r="AO224" s="1220"/>
      <c r="AP224" s="1220"/>
      <c r="AQ224" s="1220"/>
      <c r="AR224" s="1220"/>
      <c r="AS224" s="1220"/>
      <c r="AT224" s="1220"/>
      <c r="AU224" s="1220"/>
      <c r="AV224" s="1220"/>
      <c r="AW224" s="1258"/>
      <c r="AX224" s="1258"/>
      <c r="AY224" s="1258"/>
      <c r="AZ224" s="1220"/>
      <c r="BA224" s="1220"/>
      <c r="BB224" s="1220"/>
      <c r="BC224" s="1220"/>
      <c r="BD224" s="1220"/>
      <c r="BE224" s="1220"/>
      <c r="BF224" s="1220"/>
      <c r="BG224" s="1220"/>
      <c r="BH224" s="1220"/>
      <c r="BI224" s="1220"/>
      <c r="BJ224" s="1220"/>
      <c r="BK224" s="1220"/>
      <c r="BL224" s="1220"/>
      <c r="BM224" s="1220"/>
      <c r="BN224" s="1220"/>
      <c r="BO224" s="1220"/>
    </row>
    <row r="225" spans="1:67" ht="35.1" customHeight="1" x14ac:dyDescent="0.25">
      <c r="A225" s="3">
        <f t="shared" si="3"/>
        <v>213</v>
      </c>
      <c r="B225" s="1218" t="s">
        <v>162</v>
      </c>
      <c r="C225" s="1218"/>
      <c r="D225" s="1221"/>
      <c r="E225" s="1221"/>
      <c r="F225" s="1221"/>
      <c r="G225" s="1221"/>
      <c r="H225" s="1221"/>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540"/>
      <c r="AT225" s="540"/>
      <c r="AU225" s="540"/>
      <c r="AV225" s="540"/>
      <c r="AW225" s="1259"/>
      <c r="AX225" s="1259"/>
      <c r="AY225" s="1259"/>
      <c r="AZ225" s="540"/>
      <c r="BA225" s="540"/>
      <c r="BB225" s="540"/>
      <c r="BC225" s="540"/>
      <c r="BD225" s="540"/>
      <c r="BE225" s="540"/>
      <c r="BF225" s="540"/>
      <c r="BG225" s="540"/>
      <c r="BH225" s="540"/>
      <c r="BI225" s="540"/>
      <c r="BJ225" s="540"/>
      <c r="BK225" s="540"/>
      <c r="BL225" s="540"/>
      <c r="BM225" s="540"/>
      <c r="BN225" s="540"/>
      <c r="BO225" s="540"/>
    </row>
    <row r="226" spans="1:67" ht="35.1" customHeight="1" x14ac:dyDescent="0.25">
      <c r="A226" s="3">
        <f t="shared" si="3"/>
        <v>214</v>
      </c>
      <c r="B226" s="1218" t="s">
        <v>162</v>
      </c>
      <c r="C226" s="1218"/>
      <c r="D226" s="1222"/>
      <c r="E226" s="1222"/>
      <c r="F226" s="1222"/>
      <c r="G226" s="1222"/>
      <c r="H226" s="1222"/>
      <c r="I226" s="1219"/>
      <c r="J226" s="1219"/>
      <c r="K226" s="1219"/>
      <c r="L226" s="1219"/>
      <c r="M226" s="1219"/>
      <c r="N226" s="1219"/>
      <c r="O226" s="1219"/>
      <c r="P226" s="1219"/>
      <c r="Q226" s="1220"/>
      <c r="R226" s="1220"/>
      <c r="S226" s="1220"/>
      <c r="T226" s="1220"/>
      <c r="U226" s="1220"/>
      <c r="V226" s="1220"/>
      <c r="W226" s="1220"/>
      <c r="X226" s="1220"/>
      <c r="Y226" s="1219"/>
      <c r="Z226" s="1219"/>
      <c r="AA226" s="1220"/>
      <c r="AB226" s="1220"/>
      <c r="AC226" s="1220"/>
      <c r="AD226" s="1220"/>
      <c r="AE226" s="1219"/>
      <c r="AF226" s="1219"/>
      <c r="AG226" s="1219"/>
      <c r="AH226" s="1220"/>
      <c r="AI226" s="1220"/>
      <c r="AJ226" s="1220"/>
      <c r="AK226" s="1219"/>
      <c r="AL226" s="1219"/>
      <c r="AM226" s="1219"/>
      <c r="AN226" s="1219"/>
      <c r="AO226" s="1220"/>
      <c r="AP226" s="1220"/>
      <c r="AQ226" s="1220"/>
      <c r="AR226" s="1220"/>
      <c r="AS226" s="1220"/>
      <c r="AT226" s="1220"/>
      <c r="AU226" s="1220"/>
      <c r="AV226" s="1220"/>
      <c r="AW226" s="1258"/>
      <c r="AX226" s="1258"/>
      <c r="AY226" s="1258"/>
      <c r="AZ226" s="1220"/>
      <c r="BA226" s="1220"/>
      <c r="BB226" s="1220"/>
      <c r="BC226" s="1220"/>
      <c r="BD226" s="1220"/>
      <c r="BE226" s="1220"/>
      <c r="BF226" s="1220"/>
      <c r="BG226" s="1220"/>
      <c r="BH226" s="1220"/>
      <c r="BI226" s="1220"/>
      <c r="BJ226" s="1220"/>
      <c r="BK226" s="1220"/>
      <c r="BL226" s="1220"/>
      <c r="BM226" s="1220"/>
      <c r="BN226" s="1220"/>
      <c r="BO226" s="1220"/>
    </row>
    <row r="227" spans="1:67" ht="35.1" customHeight="1" x14ac:dyDescent="0.25">
      <c r="A227" s="3">
        <f t="shared" si="3"/>
        <v>215</v>
      </c>
      <c r="B227" s="1218" t="s">
        <v>162</v>
      </c>
      <c r="C227" s="1218"/>
      <c r="D227" s="1221"/>
      <c r="E227" s="1221"/>
      <c r="F227" s="1221"/>
      <c r="G227" s="1221"/>
      <c r="H227" s="1221"/>
      <c r="I227" s="540"/>
      <c r="J227" s="540"/>
      <c r="K227" s="540"/>
      <c r="L227" s="540"/>
      <c r="M227" s="540"/>
      <c r="N227" s="540"/>
      <c r="O227" s="540"/>
      <c r="P227" s="540"/>
      <c r="Q227" s="540"/>
      <c r="R227" s="540"/>
      <c r="S227" s="540"/>
      <c r="T227" s="540"/>
      <c r="U227" s="540"/>
      <c r="V227" s="540"/>
      <c r="W227" s="540"/>
      <c r="X227" s="540"/>
      <c r="Y227" s="540"/>
      <c r="Z227" s="540"/>
      <c r="AA227" s="540"/>
      <c r="AB227" s="540"/>
      <c r="AC227" s="540"/>
      <c r="AD227" s="540"/>
      <c r="AE227" s="540"/>
      <c r="AF227" s="540"/>
      <c r="AG227" s="540"/>
      <c r="AH227" s="540"/>
      <c r="AI227" s="540"/>
      <c r="AJ227" s="540"/>
      <c r="AK227" s="540"/>
      <c r="AL227" s="540"/>
      <c r="AM227" s="540"/>
      <c r="AN227" s="540"/>
      <c r="AO227" s="540"/>
      <c r="AP227" s="540"/>
      <c r="AQ227" s="540"/>
      <c r="AR227" s="540"/>
      <c r="AS227" s="540"/>
      <c r="AT227" s="540"/>
      <c r="AU227" s="540"/>
      <c r="AV227" s="540"/>
      <c r="AW227" s="1259"/>
      <c r="AX227" s="1259"/>
      <c r="AY227" s="1259"/>
      <c r="AZ227" s="540"/>
      <c r="BA227" s="540"/>
      <c r="BB227" s="540"/>
      <c r="BC227" s="540"/>
      <c r="BD227" s="540"/>
      <c r="BE227" s="540"/>
      <c r="BF227" s="540"/>
      <c r="BG227" s="540"/>
      <c r="BH227" s="540"/>
      <c r="BI227" s="540"/>
      <c r="BJ227" s="540"/>
      <c r="BK227" s="540"/>
      <c r="BL227" s="540"/>
      <c r="BM227" s="540"/>
      <c r="BN227" s="540"/>
      <c r="BO227" s="540"/>
    </row>
    <row r="228" spans="1:67" ht="35.1" customHeight="1" x14ac:dyDescent="0.25">
      <c r="A228" s="3">
        <f t="shared" si="3"/>
        <v>216</v>
      </c>
      <c r="B228" s="1218" t="s">
        <v>162</v>
      </c>
      <c r="C228" s="1218"/>
      <c r="D228" s="1222"/>
      <c r="E228" s="1222"/>
      <c r="F228" s="1222"/>
      <c r="G228" s="1222"/>
      <c r="H228" s="1222"/>
      <c r="I228" s="1219"/>
      <c r="J228" s="1219"/>
      <c r="K228" s="1219"/>
      <c r="L228" s="1219"/>
      <c r="M228" s="1219"/>
      <c r="N228" s="1219"/>
      <c r="O228" s="1219"/>
      <c r="P228" s="1219"/>
      <c r="Q228" s="1220"/>
      <c r="R228" s="1220"/>
      <c r="S228" s="1220"/>
      <c r="T228" s="1220"/>
      <c r="U228" s="1220"/>
      <c r="V228" s="1220"/>
      <c r="W228" s="1220"/>
      <c r="X228" s="1220"/>
      <c r="Y228" s="1219"/>
      <c r="Z228" s="1219"/>
      <c r="AA228" s="1220"/>
      <c r="AB228" s="1220"/>
      <c r="AC228" s="1220"/>
      <c r="AD228" s="1220"/>
      <c r="AE228" s="1219"/>
      <c r="AF228" s="1219"/>
      <c r="AG228" s="1219"/>
      <c r="AH228" s="1220"/>
      <c r="AI228" s="1220"/>
      <c r="AJ228" s="1220"/>
      <c r="AK228" s="1219"/>
      <c r="AL228" s="1219"/>
      <c r="AM228" s="1219"/>
      <c r="AN228" s="1219"/>
      <c r="AO228" s="1220"/>
      <c r="AP228" s="1220"/>
      <c r="AQ228" s="1220"/>
      <c r="AR228" s="1220"/>
      <c r="AS228" s="1220"/>
      <c r="AT228" s="1220"/>
      <c r="AU228" s="1220"/>
      <c r="AV228" s="1220"/>
      <c r="AW228" s="1258"/>
      <c r="AX228" s="1258"/>
      <c r="AY228" s="1258"/>
      <c r="AZ228" s="1220"/>
      <c r="BA228" s="1220"/>
      <c r="BB228" s="1220"/>
      <c r="BC228" s="1220"/>
      <c r="BD228" s="1220"/>
      <c r="BE228" s="1220"/>
      <c r="BF228" s="1220"/>
      <c r="BG228" s="1220"/>
      <c r="BH228" s="1220"/>
      <c r="BI228" s="1220"/>
      <c r="BJ228" s="1220"/>
      <c r="BK228" s="1220"/>
      <c r="BL228" s="1220"/>
      <c r="BM228" s="1220"/>
      <c r="BN228" s="1220"/>
      <c r="BO228" s="1220"/>
    </row>
    <row r="229" spans="1:67" ht="35.1" customHeight="1" x14ac:dyDescent="0.25">
      <c r="A229" s="3">
        <f t="shared" si="3"/>
        <v>217</v>
      </c>
      <c r="B229" s="1218" t="s">
        <v>162</v>
      </c>
      <c r="C229" s="1218"/>
      <c r="D229" s="1221"/>
      <c r="E229" s="1221"/>
      <c r="F229" s="1221"/>
      <c r="G229" s="1221"/>
      <c r="H229" s="1221"/>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c r="AH229" s="540"/>
      <c r="AI229" s="540"/>
      <c r="AJ229" s="540"/>
      <c r="AK229" s="540"/>
      <c r="AL229" s="540"/>
      <c r="AM229" s="540"/>
      <c r="AN229" s="540"/>
      <c r="AO229" s="540"/>
      <c r="AP229" s="540"/>
      <c r="AQ229" s="540"/>
      <c r="AR229" s="540"/>
      <c r="AS229" s="540"/>
      <c r="AT229" s="540"/>
      <c r="AU229" s="540"/>
      <c r="AV229" s="540"/>
      <c r="AW229" s="1259"/>
      <c r="AX229" s="1259"/>
      <c r="AY229" s="1259"/>
      <c r="AZ229" s="540"/>
      <c r="BA229" s="540"/>
      <c r="BB229" s="540"/>
      <c r="BC229" s="540"/>
      <c r="BD229" s="540"/>
      <c r="BE229" s="540"/>
      <c r="BF229" s="540"/>
      <c r="BG229" s="540"/>
      <c r="BH229" s="540"/>
      <c r="BI229" s="540"/>
      <c r="BJ229" s="540"/>
      <c r="BK229" s="540"/>
      <c r="BL229" s="540"/>
      <c r="BM229" s="540"/>
      <c r="BN229" s="540"/>
      <c r="BO229" s="540"/>
    </row>
    <row r="230" spans="1:67" ht="35.1" customHeight="1" x14ac:dyDescent="0.25">
      <c r="A230" s="3">
        <f t="shared" si="3"/>
        <v>218</v>
      </c>
      <c r="B230" s="1235" t="s">
        <v>162</v>
      </c>
      <c r="C230" s="1235"/>
      <c r="D230" s="1222"/>
      <c r="E230" s="1222"/>
      <c r="F230" s="1222"/>
      <c r="G230" s="1222"/>
      <c r="H230" s="1222"/>
      <c r="I230" s="1219"/>
      <c r="J230" s="1219"/>
      <c r="K230" s="1219"/>
      <c r="L230" s="1219"/>
      <c r="M230" s="1219"/>
      <c r="N230" s="1219"/>
      <c r="O230" s="1219"/>
      <c r="P230" s="1219"/>
      <c r="Q230" s="1220"/>
      <c r="R230" s="1220"/>
      <c r="S230" s="1220"/>
      <c r="T230" s="1220"/>
      <c r="U230" s="1220"/>
      <c r="V230" s="1220"/>
      <c r="W230" s="1220"/>
      <c r="X230" s="1220"/>
      <c r="Y230" s="1219"/>
      <c r="Z230" s="1219"/>
      <c r="AA230" s="1220"/>
      <c r="AB230" s="1220"/>
      <c r="AC230" s="1220"/>
      <c r="AD230" s="1220"/>
      <c r="AE230" s="1219"/>
      <c r="AF230" s="1219"/>
      <c r="AG230" s="1219"/>
      <c r="AH230" s="1220"/>
      <c r="AI230" s="1220"/>
      <c r="AJ230" s="1220"/>
      <c r="AK230" s="1219"/>
      <c r="AL230" s="1219"/>
      <c r="AM230" s="1219"/>
      <c r="AN230" s="1219"/>
      <c r="AO230" s="1220"/>
      <c r="AP230" s="1220"/>
      <c r="AQ230" s="1220"/>
      <c r="AR230" s="1220"/>
      <c r="AS230" s="1220"/>
      <c r="AT230" s="1220"/>
      <c r="AU230" s="1220"/>
      <c r="AV230" s="1220"/>
      <c r="AW230" s="1258"/>
      <c r="AX230" s="1258"/>
      <c r="AY230" s="1258"/>
      <c r="AZ230" s="1220"/>
      <c r="BA230" s="1220"/>
      <c r="BB230" s="1220"/>
      <c r="BC230" s="1220"/>
      <c r="BD230" s="1220"/>
      <c r="BE230" s="1220"/>
      <c r="BF230" s="1220"/>
      <c r="BG230" s="1220"/>
      <c r="BH230" s="1220"/>
      <c r="BI230" s="1220"/>
      <c r="BJ230" s="1220"/>
      <c r="BK230" s="1220"/>
      <c r="BL230" s="1220"/>
      <c r="BM230" s="1220"/>
      <c r="BN230" s="1220"/>
      <c r="BO230" s="1220"/>
    </row>
    <row r="231" spans="1:67" ht="35.1" customHeight="1" x14ac:dyDescent="0.25">
      <c r="A231" s="3">
        <f t="shared" si="3"/>
        <v>219</v>
      </c>
      <c r="B231" s="1218" t="s">
        <v>162</v>
      </c>
      <c r="C231" s="1218"/>
      <c r="D231" s="1221"/>
      <c r="E231" s="1221"/>
      <c r="F231" s="1221"/>
      <c r="G231" s="1221"/>
      <c r="H231" s="1221"/>
      <c r="I231" s="540"/>
      <c r="J231" s="540"/>
      <c r="K231" s="540"/>
      <c r="L231" s="540"/>
      <c r="M231" s="540"/>
      <c r="N231" s="540"/>
      <c r="O231" s="540"/>
      <c r="P231" s="540"/>
      <c r="Q231" s="540"/>
      <c r="R231" s="540"/>
      <c r="S231" s="540"/>
      <c r="T231" s="540"/>
      <c r="U231" s="540"/>
      <c r="V231" s="540"/>
      <c r="W231" s="540"/>
      <c r="X231" s="540"/>
      <c r="Y231" s="540"/>
      <c r="Z231" s="540"/>
      <c r="AA231" s="540"/>
      <c r="AB231" s="540"/>
      <c r="AC231" s="540"/>
      <c r="AD231" s="540"/>
      <c r="AE231" s="540"/>
      <c r="AF231" s="540"/>
      <c r="AG231" s="540"/>
      <c r="AH231" s="540"/>
      <c r="AI231" s="540"/>
      <c r="AJ231" s="540"/>
      <c r="AK231" s="540"/>
      <c r="AL231" s="540"/>
      <c r="AM231" s="540"/>
      <c r="AN231" s="540"/>
      <c r="AO231" s="540"/>
      <c r="AP231" s="540"/>
      <c r="AQ231" s="540"/>
      <c r="AR231" s="540"/>
      <c r="AS231" s="540"/>
      <c r="AT231" s="540"/>
      <c r="AU231" s="540"/>
      <c r="AV231" s="540"/>
      <c r="AW231" s="1259"/>
      <c r="AX231" s="1259"/>
      <c r="AY231" s="1259"/>
      <c r="AZ231" s="540"/>
      <c r="BA231" s="540"/>
      <c r="BB231" s="540"/>
      <c r="BC231" s="540"/>
      <c r="BD231" s="540"/>
      <c r="BE231" s="540"/>
      <c r="BF231" s="540"/>
      <c r="BG231" s="540"/>
      <c r="BH231" s="540"/>
      <c r="BI231" s="540"/>
      <c r="BJ231" s="540"/>
      <c r="BK231" s="540"/>
      <c r="BL231" s="540"/>
      <c r="BM231" s="540"/>
      <c r="BN231" s="540"/>
      <c r="BO231" s="540"/>
    </row>
    <row r="232" spans="1:67" ht="35.1" customHeight="1" x14ac:dyDescent="0.25">
      <c r="A232" s="3">
        <f t="shared" si="3"/>
        <v>220</v>
      </c>
      <c r="B232" s="1218" t="s">
        <v>162</v>
      </c>
      <c r="C232" s="1218"/>
      <c r="D232" s="1222"/>
      <c r="E232" s="1222"/>
      <c r="F232" s="1222"/>
      <c r="G232" s="1222"/>
      <c r="H232" s="1222"/>
      <c r="I232" s="1219"/>
      <c r="J232" s="1219"/>
      <c r="K232" s="1219"/>
      <c r="L232" s="1219"/>
      <c r="M232" s="1219"/>
      <c r="N232" s="1219"/>
      <c r="O232" s="1219"/>
      <c r="P232" s="1219"/>
      <c r="Q232" s="1220"/>
      <c r="R232" s="1220"/>
      <c r="S232" s="1220"/>
      <c r="T232" s="1220"/>
      <c r="U232" s="1220"/>
      <c r="V232" s="1220"/>
      <c r="W232" s="1220"/>
      <c r="X232" s="1220"/>
      <c r="Y232" s="1219"/>
      <c r="Z232" s="1219"/>
      <c r="AA232" s="1220"/>
      <c r="AB232" s="1220"/>
      <c r="AC232" s="1220"/>
      <c r="AD232" s="1220"/>
      <c r="AE232" s="1219"/>
      <c r="AF232" s="1219"/>
      <c r="AG232" s="1219"/>
      <c r="AH232" s="1220"/>
      <c r="AI232" s="1220"/>
      <c r="AJ232" s="1220"/>
      <c r="AK232" s="1219"/>
      <c r="AL232" s="1219"/>
      <c r="AM232" s="1219"/>
      <c r="AN232" s="1219"/>
      <c r="AO232" s="1220"/>
      <c r="AP232" s="1220"/>
      <c r="AQ232" s="1220"/>
      <c r="AR232" s="1220"/>
      <c r="AS232" s="1220"/>
      <c r="AT232" s="1220"/>
      <c r="AU232" s="1220"/>
      <c r="AV232" s="1220"/>
      <c r="AW232" s="1258"/>
      <c r="AX232" s="1258"/>
      <c r="AY232" s="1258"/>
      <c r="AZ232" s="1220"/>
      <c r="BA232" s="1220"/>
      <c r="BB232" s="1220"/>
      <c r="BC232" s="1220"/>
      <c r="BD232" s="1220"/>
      <c r="BE232" s="1220"/>
      <c r="BF232" s="1220"/>
      <c r="BG232" s="1220"/>
      <c r="BH232" s="1220"/>
      <c r="BI232" s="1220"/>
      <c r="BJ232" s="1220"/>
      <c r="BK232" s="1220"/>
      <c r="BL232" s="1220"/>
      <c r="BM232" s="1220"/>
      <c r="BN232" s="1220"/>
      <c r="BO232" s="1220"/>
    </row>
    <row r="233" spans="1:67" ht="35.1" customHeight="1" x14ac:dyDescent="0.25">
      <c r="A233" s="3">
        <f t="shared" si="3"/>
        <v>221</v>
      </c>
      <c r="B233" s="1218" t="s">
        <v>162</v>
      </c>
      <c r="C233" s="1218"/>
      <c r="D233" s="1221"/>
      <c r="E233" s="1221"/>
      <c r="F233" s="1221"/>
      <c r="G233" s="1221"/>
      <c r="H233" s="1221"/>
      <c r="I233" s="540"/>
      <c r="J233" s="540"/>
      <c r="K233" s="540"/>
      <c r="L233" s="540"/>
      <c r="M233" s="540"/>
      <c r="N233" s="540"/>
      <c r="O233" s="540"/>
      <c r="P233" s="540"/>
      <c r="Q233" s="540"/>
      <c r="R233" s="540"/>
      <c r="S233" s="540"/>
      <c r="T233" s="540"/>
      <c r="U233" s="540"/>
      <c r="V233" s="540"/>
      <c r="W233" s="540"/>
      <c r="X233" s="540"/>
      <c r="Y233" s="540"/>
      <c r="Z233" s="540"/>
      <c r="AA233" s="540"/>
      <c r="AB233" s="540"/>
      <c r="AC233" s="540"/>
      <c r="AD233" s="540"/>
      <c r="AE233" s="540"/>
      <c r="AF233" s="540"/>
      <c r="AG233" s="540"/>
      <c r="AH233" s="540"/>
      <c r="AI233" s="540"/>
      <c r="AJ233" s="540"/>
      <c r="AK233" s="540"/>
      <c r="AL233" s="540"/>
      <c r="AM233" s="540"/>
      <c r="AN233" s="540"/>
      <c r="AO233" s="540"/>
      <c r="AP233" s="540"/>
      <c r="AQ233" s="540"/>
      <c r="AR233" s="540"/>
      <c r="AS233" s="540"/>
      <c r="AT233" s="540"/>
      <c r="AU233" s="540"/>
      <c r="AV233" s="540"/>
      <c r="AW233" s="1259"/>
      <c r="AX233" s="1259"/>
      <c r="AY233" s="1259"/>
      <c r="AZ233" s="540"/>
      <c r="BA233" s="540"/>
      <c r="BB233" s="540"/>
      <c r="BC233" s="540"/>
      <c r="BD233" s="540"/>
      <c r="BE233" s="540"/>
      <c r="BF233" s="540"/>
      <c r="BG233" s="540"/>
      <c r="BH233" s="540"/>
      <c r="BI233" s="540"/>
      <c r="BJ233" s="540"/>
      <c r="BK233" s="540"/>
      <c r="BL233" s="540"/>
      <c r="BM233" s="540"/>
      <c r="BN233" s="540"/>
      <c r="BO233" s="540"/>
    </row>
    <row r="234" spans="1:67" ht="35.1" customHeight="1" x14ac:dyDescent="0.25">
      <c r="A234" s="3">
        <f t="shared" si="3"/>
        <v>222</v>
      </c>
      <c r="B234" s="1218" t="s">
        <v>162</v>
      </c>
      <c r="C234" s="1218"/>
      <c r="D234" s="1222"/>
      <c r="E234" s="1222"/>
      <c r="F234" s="1222"/>
      <c r="G234" s="1222"/>
      <c r="H234" s="1222"/>
      <c r="I234" s="1219"/>
      <c r="J234" s="1219"/>
      <c r="K234" s="1219"/>
      <c r="L234" s="1219"/>
      <c r="M234" s="1219"/>
      <c r="N234" s="1219"/>
      <c r="O234" s="1219"/>
      <c r="P234" s="1219"/>
      <c r="Q234" s="1220"/>
      <c r="R234" s="1220"/>
      <c r="S234" s="1220"/>
      <c r="T234" s="1220"/>
      <c r="U234" s="1220"/>
      <c r="V234" s="1220"/>
      <c r="W234" s="1220"/>
      <c r="X234" s="1220"/>
      <c r="Y234" s="1219"/>
      <c r="Z234" s="1219"/>
      <c r="AA234" s="1220"/>
      <c r="AB234" s="1220"/>
      <c r="AC234" s="1220"/>
      <c r="AD234" s="1220"/>
      <c r="AE234" s="1219"/>
      <c r="AF234" s="1219"/>
      <c r="AG234" s="1219"/>
      <c r="AH234" s="1220"/>
      <c r="AI234" s="1220"/>
      <c r="AJ234" s="1220"/>
      <c r="AK234" s="1219"/>
      <c r="AL234" s="1219"/>
      <c r="AM234" s="1219"/>
      <c r="AN234" s="1219"/>
      <c r="AO234" s="1220"/>
      <c r="AP234" s="1220"/>
      <c r="AQ234" s="1220"/>
      <c r="AR234" s="1220"/>
      <c r="AS234" s="1220"/>
      <c r="AT234" s="1220"/>
      <c r="AU234" s="1220"/>
      <c r="AV234" s="1220"/>
      <c r="AW234" s="1258"/>
      <c r="AX234" s="1258"/>
      <c r="AY234" s="1258"/>
      <c r="AZ234" s="1220"/>
      <c r="BA234" s="1220"/>
      <c r="BB234" s="1220"/>
      <c r="BC234" s="1220"/>
      <c r="BD234" s="1220"/>
      <c r="BE234" s="1220"/>
      <c r="BF234" s="1220"/>
      <c r="BG234" s="1220"/>
      <c r="BH234" s="1220"/>
      <c r="BI234" s="1220"/>
      <c r="BJ234" s="1220"/>
      <c r="BK234" s="1220"/>
      <c r="BL234" s="1220"/>
      <c r="BM234" s="1220"/>
      <c r="BN234" s="1220"/>
      <c r="BO234" s="1220"/>
    </row>
    <row r="235" spans="1:67" ht="35.1" customHeight="1" x14ac:dyDescent="0.25">
      <c r="A235" s="3">
        <f t="shared" si="3"/>
        <v>223</v>
      </c>
      <c r="B235" s="1218" t="s">
        <v>162</v>
      </c>
      <c r="C235" s="1218"/>
      <c r="D235" s="1221"/>
      <c r="E235" s="1221"/>
      <c r="F235" s="1221"/>
      <c r="G235" s="1221"/>
      <c r="H235" s="1221"/>
      <c r="I235" s="540"/>
      <c r="J235" s="540"/>
      <c r="K235" s="540"/>
      <c r="L235" s="540"/>
      <c r="M235" s="540"/>
      <c r="N235" s="540"/>
      <c r="O235" s="540"/>
      <c r="P235" s="540"/>
      <c r="Q235" s="540"/>
      <c r="R235" s="540"/>
      <c r="S235" s="540"/>
      <c r="T235" s="540"/>
      <c r="U235" s="540"/>
      <c r="V235" s="540"/>
      <c r="W235" s="540"/>
      <c r="X235" s="540"/>
      <c r="Y235" s="540"/>
      <c r="Z235" s="540"/>
      <c r="AA235" s="540"/>
      <c r="AB235" s="540"/>
      <c r="AC235" s="540"/>
      <c r="AD235" s="540"/>
      <c r="AE235" s="540"/>
      <c r="AF235" s="540"/>
      <c r="AG235" s="540"/>
      <c r="AH235" s="540"/>
      <c r="AI235" s="540"/>
      <c r="AJ235" s="540"/>
      <c r="AK235" s="540"/>
      <c r="AL235" s="540"/>
      <c r="AM235" s="540"/>
      <c r="AN235" s="540"/>
      <c r="AO235" s="540"/>
      <c r="AP235" s="540"/>
      <c r="AQ235" s="540"/>
      <c r="AR235" s="540"/>
      <c r="AS235" s="540"/>
      <c r="AT235" s="540"/>
      <c r="AU235" s="540"/>
      <c r="AV235" s="540"/>
      <c r="AW235" s="1259"/>
      <c r="AX235" s="1259"/>
      <c r="AY235" s="1259"/>
      <c r="AZ235" s="540"/>
      <c r="BA235" s="540"/>
      <c r="BB235" s="540"/>
      <c r="BC235" s="540"/>
      <c r="BD235" s="540"/>
      <c r="BE235" s="540"/>
      <c r="BF235" s="540"/>
      <c r="BG235" s="540"/>
      <c r="BH235" s="540"/>
      <c r="BI235" s="540"/>
      <c r="BJ235" s="540"/>
      <c r="BK235" s="540"/>
      <c r="BL235" s="540"/>
      <c r="BM235" s="540"/>
      <c r="BN235" s="540"/>
      <c r="BO235" s="540"/>
    </row>
    <row r="236" spans="1:67" ht="35.1" customHeight="1" x14ac:dyDescent="0.25">
      <c r="A236" s="3">
        <f t="shared" si="3"/>
        <v>224</v>
      </c>
      <c r="B236" s="1218" t="s">
        <v>162</v>
      </c>
      <c r="C236" s="1218"/>
      <c r="D236" s="1222"/>
      <c r="E236" s="1222"/>
      <c r="F236" s="1222"/>
      <c r="G236" s="1222"/>
      <c r="H236" s="1222"/>
      <c r="I236" s="1219"/>
      <c r="J236" s="1219"/>
      <c r="K236" s="1219"/>
      <c r="L236" s="1219"/>
      <c r="M236" s="1219"/>
      <c r="N236" s="1219"/>
      <c r="O236" s="1219"/>
      <c r="P236" s="1219"/>
      <c r="Q236" s="1220"/>
      <c r="R236" s="1220"/>
      <c r="S236" s="1220"/>
      <c r="T236" s="1220"/>
      <c r="U236" s="1220"/>
      <c r="V236" s="1220"/>
      <c r="W236" s="1220"/>
      <c r="X236" s="1220"/>
      <c r="Y236" s="1219"/>
      <c r="Z236" s="1219"/>
      <c r="AA236" s="1220"/>
      <c r="AB236" s="1220"/>
      <c r="AC236" s="1220"/>
      <c r="AD236" s="1220"/>
      <c r="AE236" s="1219"/>
      <c r="AF236" s="1219"/>
      <c r="AG236" s="1219"/>
      <c r="AH236" s="1220"/>
      <c r="AI236" s="1220"/>
      <c r="AJ236" s="1220"/>
      <c r="AK236" s="1219"/>
      <c r="AL236" s="1219"/>
      <c r="AM236" s="1219"/>
      <c r="AN236" s="1219"/>
      <c r="AO236" s="1220"/>
      <c r="AP236" s="1220"/>
      <c r="AQ236" s="1220"/>
      <c r="AR236" s="1220"/>
      <c r="AS236" s="1220"/>
      <c r="AT236" s="1220"/>
      <c r="AU236" s="1220"/>
      <c r="AV236" s="1220"/>
      <c r="AW236" s="1258"/>
      <c r="AX236" s="1258"/>
      <c r="AY236" s="1258"/>
      <c r="AZ236" s="1220"/>
      <c r="BA236" s="1220"/>
      <c r="BB236" s="1220"/>
      <c r="BC236" s="1220"/>
      <c r="BD236" s="1220"/>
      <c r="BE236" s="1220"/>
      <c r="BF236" s="1220"/>
      <c r="BG236" s="1220"/>
      <c r="BH236" s="1220"/>
      <c r="BI236" s="1220"/>
      <c r="BJ236" s="1220"/>
      <c r="BK236" s="1220"/>
      <c r="BL236" s="1220"/>
      <c r="BM236" s="1220"/>
      <c r="BN236" s="1220"/>
      <c r="BO236" s="1220"/>
    </row>
    <row r="237" spans="1:67" ht="35.1" customHeight="1" x14ac:dyDescent="0.25">
      <c r="A237" s="3">
        <f t="shared" si="3"/>
        <v>225</v>
      </c>
      <c r="B237" s="1218" t="s">
        <v>162</v>
      </c>
      <c r="C237" s="1218"/>
      <c r="D237" s="1221"/>
      <c r="E237" s="1221"/>
      <c r="F237" s="1221"/>
      <c r="G237" s="1221"/>
      <c r="H237" s="1221"/>
      <c r="I237" s="540"/>
      <c r="J237" s="540"/>
      <c r="K237" s="540"/>
      <c r="L237" s="540"/>
      <c r="M237" s="540"/>
      <c r="N237" s="540"/>
      <c r="O237" s="540"/>
      <c r="P237" s="540"/>
      <c r="Q237" s="540"/>
      <c r="R237" s="540"/>
      <c r="S237" s="540"/>
      <c r="T237" s="540"/>
      <c r="U237" s="540"/>
      <c r="V237" s="540"/>
      <c r="W237" s="540"/>
      <c r="X237" s="540"/>
      <c r="Y237" s="540"/>
      <c r="Z237" s="540"/>
      <c r="AA237" s="540"/>
      <c r="AB237" s="540"/>
      <c r="AC237" s="540"/>
      <c r="AD237" s="540"/>
      <c r="AE237" s="540"/>
      <c r="AF237" s="540"/>
      <c r="AG237" s="540"/>
      <c r="AH237" s="540"/>
      <c r="AI237" s="540"/>
      <c r="AJ237" s="540"/>
      <c r="AK237" s="540"/>
      <c r="AL237" s="540"/>
      <c r="AM237" s="540"/>
      <c r="AN237" s="540"/>
      <c r="AO237" s="540"/>
      <c r="AP237" s="540"/>
      <c r="AQ237" s="540"/>
      <c r="AR237" s="540"/>
      <c r="AS237" s="540"/>
      <c r="AT237" s="540"/>
      <c r="AU237" s="540"/>
      <c r="AV237" s="540"/>
      <c r="AW237" s="1259"/>
      <c r="AX237" s="1259"/>
      <c r="AY237" s="1259"/>
      <c r="AZ237" s="540"/>
      <c r="BA237" s="540"/>
      <c r="BB237" s="540"/>
      <c r="BC237" s="540"/>
      <c r="BD237" s="540"/>
      <c r="BE237" s="540"/>
      <c r="BF237" s="540"/>
      <c r="BG237" s="540"/>
      <c r="BH237" s="540"/>
      <c r="BI237" s="540"/>
      <c r="BJ237" s="540"/>
      <c r="BK237" s="540"/>
      <c r="BL237" s="540"/>
      <c r="BM237" s="540"/>
      <c r="BN237" s="540"/>
      <c r="BO237" s="540"/>
    </row>
    <row r="238" spans="1:67" ht="35.1" customHeight="1" x14ac:dyDescent="0.25">
      <c r="A238" s="3">
        <f t="shared" si="3"/>
        <v>226</v>
      </c>
      <c r="B238" s="1218" t="s">
        <v>162</v>
      </c>
      <c r="C238" s="1218"/>
      <c r="D238" s="1222"/>
      <c r="E238" s="1222"/>
      <c r="F238" s="1222"/>
      <c r="G238" s="1222"/>
      <c r="H238" s="1222"/>
      <c r="I238" s="1219"/>
      <c r="J238" s="1219"/>
      <c r="K238" s="1219"/>
      <c r="L238" s="1219"/>
      <c r="M238" s="1219"/>
      <c r="N238" s="1219"/>
      <c r="O238" s="1219"/>
      <c r="P238" s="1219"/>
      <c r="Q238" s="1220"/>
      <c r="R238" s="1220"/>
      <c r="S238" s="1220"/>
      <c r="T238" s="1220"/>
      <c r="U238" s="1220"/>
      <c r="V238" s="1220"/>
      <c r="W238" s="1220"/>
      <c r="X238" s="1220"/>
      <c r="Y238" s="1219"/>
      <c r="Z238" s="1219"/>
      <c r="AA238" s="1220"/>
      <c r="AB238" s="1220"/>
      <c r="AC238" s="1220"/>
      <c r="AD238" s="1220"/>
      <c r="AE238" s="1219"/>
      <c r="AF238" s="1219"/>
      <c r="AG238" s="1219"/>
      <c r="AH238" s="1220"/>
      <c r="AI238" s="1220"/>
      <c r="AJ238" s="1220"/>
      <c r="AK238" s="1219"/>
      <c r="AL238" s="1219"/>
      <c r="AM238" s="1219"/>
      <c r="AN238" s="1219"/>
      <c r="AO238" s="1220"/>
      <c r="AP238" s="1220"/>
      <c r="AQ238" s="1220"/>
      <c r="AR238" s="1220"/>
      <c r="AS238" s="1220"/>
      <c r="AT238" s="1220"/>
      <c r="AU238" s="1220"/>
      <c r="AV238" s="1220"/>
      <c r="AW238" s="1258"/>
      <c r="AX238" s="1258"/>
      <c r="AY238" s="1258"/>
      <c r="AZ238" s="1220"/>
      <c r="BA238" s="1220"/>
      <c r="BB238" s="1220"/>
      <c r="BC238" s="1220"/>
      <c r="BD238" s="1220"/>
      <c r="BE238" s="1220"/>
      <c r="BF238" s="1220"/>
      <c r="BG238" s="1220"/>
      <c r="BH238" s="1220"/>
      <c r="BI238" s="1220"/>
      <c r="BJ238" s="1220"/>
      <c r="BK238" s="1220"/>
      <c r="BL238" s="1220"/>
      <c r="BM238" s="1220"/>
      <c r="BN238" s="1220"/>
      <c r="BO238" s="1220"/>
    </row>
    <row r="239" spans="1:67" ht="35.1" customHeight="1" x14ac:dyDescent="0.25">
      <c r="A239" s="3">
        <f t="shared" si="3"/>
        <v>227</v>
      </c>
      <c r="B239" s="1218" t="s">
        <v>162</v>
      </c>
      <c r="C239" s="1218"/>
      <c r="D239" s="1221"/>
      <c r="E239" s="1221"/>
      <c r="F239" s="1221"/>
      <c r="G239" s="1221"/>
      <c r="H239" s="1221"/>
      <c r="I239" s="540"/>
      <c r="J239" s="540"/>
      <c r="K239" s="540"/>
      <c r="L239" s="540"/>
      <c r="M239" s="540"/>
      <c r="N239" s="540"/>
      <c r="O239" s="540"/>
      <c r="P239" s="540"/>
      <c r="Q239" s="540"/>
      <c r="R239" s="540"/>
      <c r="S239" s="540"/>
      <c r="T239" s="540"/>
      <c r="U239" s="540"/>
      <c r="V239" s="540"/>
      <c r="W239" s="540"/>
      <c r="X239" s="540"/>
      <c r="Y239" s="540"/>
      <c r="Z239" s="540"/>
      <c r="AA239" s="540"/>
      <c r="AB239" s="540"/>
      <c r="AC239" s="540"/>
      <c r="AD239" s="540"/>
      <c r="AE239" s="540"/>
      <c r="AF239" s="540"/>
      <c r="AG239" s="540"/>
      <c r="AH239" s="540"/>
      <c r="AI239" s="540"/>
      <c r="AJ239" s="540"/>
      <c r="AK239" s="540"/>
      <c r="AL239" s="540"/>
      <c r="AM239" s="540"/>
      <c r="AN239" s="540"/>
      <c r="AO239" s="540"/>
      <c r="AP239" s="540"/>
      <c r="AQ239" s="540"/>
      <c r="AR239" s="540"/>
      <c r="AS239" s="540"/>
      <c r="AT239" s="540"/>
      <c r="AU239" s="540"/>
      <c r="AV239" s="540"/>
      <c r="AW239" s="1259"/>
      <c r="AX239" s="1259"/>
      <c r="AY239" s="1259"/>
      <c r="AZ239" s="540"/>
      <c r="BA239" s="540"/>
      <c r="BB239" s="540"/>
      <c r="BC239" s="540"/>
      <c r="BD239" s="540"/>
      <c r="BE239" s="540"/>
      <c r="BF239" s="540"/>
      <c r="BG239" s="540"/>
      <c r="BH239" s="540"/>
      <c r="BI239" s="540"/>
      <c r="BJ239" s="540"/>
      <c r="BK239" s="540"/>
      <c r="BL239" s="540"/>
      <c r="BM239" s="540"/>
      <c r="BN239" s="540"/>
      <c r="BO239" s="540"/>
    </row>
    <row r="240" spans="1:67" ht="35.1" customHeight="1" x14ac:dyDescent="0.25">
      <c r="A240" s="3">
        <f t="shared" si="3"/>
        <v>228</v>
      </c>
      <c r="B240" s="1218" t="s">
        <v>162</v>
      </c>
      <c r="C240" s="1218"/>
      <c r="D240" s="1222"/>
      <c r="E240" s="1222"/>
      <c r="F240" s="1222"/>
      <c r="G240" s="1222"/>
      <c r="H240" s="1222"/>
      <c r="I240" s="1219"/>
      <c r="J240" s="1219"/>
      <c r="K240" s="1219"/>
      <c r="L240" s="1219"/>
      <c r="M240" s="1219"/>
      <c r="N240" s="1219"/>
      <c r="O240" s="1219"/>
      <c r="P240" s="1219"/>
      <c r="Q240" s="1220"/>
      <c r="R240" s="1220"/>
      <c r="S240" s="1220"/>
      <c r="T240" s="1220"/>
      <c r="U240" s="1220"/>
      <c r="V240" s="1220"/>
      <c r="W240" s="1220"/>
      <c r="X240" s="1220"/>
      <c r="Y240" s="1219"/>
      <c r="Z240" s="1219"/>
      <c r="AA240" s="1220"/>
      <c r="AB240" s="1220"/>
      <c r="AC240" s="1220"/>
      <c r="AD240" s="1220"/>
      <c r="AE240" s="1219"/>
      <c r="AF240" s="1219"/>
      <c r="AG240" s="1219"/>
      <c r="AH240" s="1220"/>
      <c r="AI240" s="1220"/>
      <c r="AJ240" s="1220"/>
      <c r="AK240" s="1219"/>
      <c r="AL240" s="1219"/>
      <c r="AM240" s="1219"/>
      <c r="AN240" s="1219"/>
      <c r="AO240" s="1220"/>
      <c r="AP240" s="1220"/>
      <c r="AQ240" s="1220"/>
      <c r="AR240" s="1220"/>
      <c r="AS240" s="1220"/>
      <c r="AT240" s="1220"/>
      <c r="AU240" s="1220"/>
      <c r="AV240" s="1220"/>
      <c r="AW240" s="1258"/>
      <c r="AX240" s="1258"/>
      <c r="AY240" s="1258"/>
      <c r="AZ240" s="1220"/>
      <c r="BA240" s="1220"/>
      <c r="BB240" s="1220"/>
      <c r="BC240" s="1220"/>
      <c r="BD240" s="1220"/>
      <c r="BE240" s="1220"/>
      <c r="BF240" s="1220"/>
      <c r="BG240" s="1220"/>
      <c r="BH240" s="1220"/>
      <c r="BI240" s="1220"/>
      <c r="BJ240" s="1220"/>
      <c r="BK240" s="1220"/>
      <c r="BL240" s="1220"/>
      <c r="BM240" s="1220"/>
      <c r="BN240" s="1220"/>
      <c r="BO240" s="1220"/>
    </row>
    <row r="241" spans="1:67" ht="35.1" customHeight="1" x14ac:dyDescent="0.25">
      <c r="A241" s="3">
        <f t="shared" si="3"/>
        <v>229</v>
      </c>
      <c r="B241" s="1218" t="s">
        <v>162</v>
      </c>
      <c r="C241" s="1218"/>
      <c r="D241" s="1221"/>
      <c r="E241" s="1221"/>
      <c r="F241" s="1221"/>
      <c r="G241" s="1221"/>
      <c r="H241" s="1221"/>
      <c r="I241" s="540"/>
      <c r="J241" s="540"/>
      <c r="K241" s="540"/>
      <c r="L241" s="540"/>
      <c r="M241" s="540"/>
      <c r="N241" s="540"/>
      <c r="O241" s="540"/>
      <c r="P241" s="540"/>
      <c r="Q241" s="540"/>
      <c r="R241" s="540"/>
      <c r="S241" s="540"/>
      <c r="T241" s="540"/>
      <c r="U241" s="540"/>
      <c r="V241" s="540"/>
      <c r="W241" s="540"/>
      <c r="X241" s="540"/>
      <c r="Y241" s="540"/>
      <c r="Z241" s="540"/>
      <c r="AA241" s="540"/>
      <c r="AB241" s="540"/>
      <c r="AC241" s="540"/>
      <c r="AD241" s="540"/>
      <c r="AE241" s="540"/>
      <c r="AF241" s="540"/>
      <c r="AG241" s="540"/>
      <c r="AH241" s="540"/>
      <c r="AI241" s="540"/>
      <c r="AJ241" s="540"/>
      <c r="AK241" s="540"/>
      <c r="AL241" s="540"/>
      <c r="AM241" s="540"/>
      <c r="AN241" s="540"/>
      <c r="AO241" s="540"/>
      <c r="AP241" s="540"/>
      <c r="AQ241" s="540"/>
      <c r="AR241" s="540"/>
      <c r="AS241" s="540"/>
      <c r="AT241" s="540"/>
      <c r="AU241" s="540"/>
      <c r="AV241" s="540"/>
      <c r="AW241" s="1259"/>
      <c r="AX241" s="1259"/>
      <c r="AY241" s="1259"/>
      <c r="AZ241" s="540"/>
      <c r="BA241" s="540"/>
      <c r="BB241" s="540"/>
      <c r="BC241" s="540"/>
      <c r="BD241" s="540"/>
      <c r="BE241" s="540"/>
      <c r="BF241" s="540"/>
      <c r="BG241" s="540"/>
      <c r="BH241" s="540"/>
      <c r="BI241" s="540"/>
      <c r="BJ241" s="540"/>
      <c r="BK241" s="540"/>
      <c r="BL241" s="540"/>
      <c r="BM241" s="540"/>
      <c r="BN241" s="540"/>
      <c r="BO241" s="540"/>
    </row>
    <row r="242" spans="1:67" ht="35.1" customHeight="1" x14ac:dyDescent="0.25">
      <c r="A242" s="3">
        <f t="shared" si="3"/>
        <v>230</v>
      </c>
      <c r="B242" s="1218" t="s">
        <v>162</v>
      </c>
      <c r="C242" s="1218"/>
      <c r="D242" s="1222"/>
      <c r="E242" s="1222"/>
      <c r="F242" s="1222"/>
      <c r="G242" s="1222"/>
      <c r="H242" s="1222"/>
      <c r="I242" s="1219"/>
      <c r="J242" s="1219"/>
      <c r="K242" s="1219"/>
      <c r="L242" s="1219"/>
      <c r="M242" s="1219"/>
      <c r="N242" s="1219"/>
      <c r="O242" s="1219"/>
      <c r="P242" s="1219"/>
      <c r="Q242" s="1220"/>
      <c r="R242" s="1220"/>
      <c r="S242" s="1220"/>
      <c r="T242" s="1220"/>
      <c r="U242" s="1220"/>
      <c r="V242" s="1220"/>
      <c r="W242" s="1220"/>
      <c r="X242" s="1220"/>
      <c r="Y242" s="1219"/>
      <c r="Z242" s="1219"/>
      <c r="AA242" s="1220"/>
      <c r="AB242" s="1220"/>
      <c r="AC242" s="1220"/>
      <c r="AD242" s="1220"/>
      <c r="AE242" s="1219"/>
      <c r="AF242" s="1219"/>
      <c r="AG242" s="1219"/>
      <c r="AH242" s="1220"/>
      <c r="AI242" s="1220"/>
      <c r="AJ242" s="1220"/>
      <c r="AK242" s="1219"/>
      <c r="AL242" s="1219"/>
      <c r="AM242" s="1219"/>
      <c r="AN242" s="1219"/>
      <c r="AO242" s="1220"/>
      <c r="AP242" s="1220"/>
      <c r="AQ242" s="1220"/>
      <c r="AR242" s="1220"/>
      <c r="AS242" s="1220"/>
      <c r="AT242" s="1220"/>
      <c r="AU242" s="1220"/>
      <c r="AV242" s="1220"/>
      <c r="AW242" s="1258"/>
      <c r="AX242" s="1258"/>
      <c r="AY242" s="1258"/>
      <c r="AZ242" s="1220"/>
      <c r="BA242" s="1220"/>
      <c r="BB242" s="1220"/>
      <c r="BC242" s="1220"/>
      <c r="BD242" s="1220"/>
      <c r="BE242" s="1220"/>
      <c r="BF242" s="1220"/>
      <c r="BG242" s="1220"/>
      <c r="BH242" s="1220"/>
      <c r="BI242" s="1220"/>
      <c r="BJ242" s="1220"/>
      <c r="BK242" s="1220"/>
      <c r="BL242" s="1220"/>
      <c r="BM242" s="1220"/>
      <c r="BN242" s="1220"/>
      <c r="BO242" s="1220"/>
    </row>
    <row r="243" spans="1:67" ht="35.1" customHeight="1" x14ac:dyDescent="0.25">
      <c r="A243" s="3">
        <f t="shared" si="3"/>
        <v>231</v>
      </c>
      <c r="B243" s="1218" t="s">
        <v>162</v>
      </c>
      <c r="C243" s="1218"/>
      <c r="D243" s="1221"/>
      <c r="E243" s="1221"/>
      <c r="F243" s="1221"/>
      <c r="G243" s="1221"/>
      <c r="H243" s="1221"/>
      <c r="I243" s="540"/>
      <c r="J243" s="540"/>
      <c r="K243" s="540"/>
      <c r="L243" s="540"/>
      <c r="M243" s="540"/>
      <c r="N243" s="540"/>
      <c r="O243" s="540"/>
      <c r="P243" s="540"/>
      <c r="Q243" s="540"/>
      <c r="R243" s="540"/>
      <c r="S243" s="540"/>
      <c r="T243" s="540"/>
      <c r="U243" s="540"/>
      <c r="V243" s="540"/>
      <c r="W243" s="540"/>
      <c r="X243" s="540"/>
      <c r="Y243" s="540"/>
      <c r="Z243" s="540"/>
      <c r="AA243" s="540"/>
      <c r="AB243" s="540"/>
      <c r="AC243" s="540"/>
      <c r="AD243" s="540"/>
      <c r="AE243" s="540"/>
      <c r="AF243" s="540"/>
      <c r="AG243" s="540"/>
      <c r="AH243" s="540"/>
      <c r="AI243" s="540"/>
      <c r="AJ243" s="540"/>
      <c r="AK243" s="540"/>
      <c r="AL243" s="540"/>
      <c r="AM243" s="540"/>
      <c r="AN243" s="540"/>
      <c r="AO243" s="540"/>
      <c r="AP243" s="540"/>
      <c r="AQ243" s="540"/>
      <c r="AR243" s="540"/>
      <c r="AS243" s="540"/>
      <c r="AT243" s="540"/>
      <c r="AU243" s="540"/>
      <c r="AV243" s="540"/>
      <c r="AW243" s="1259"/>
      <c r="AX243" s="1259"/>
      <c r="AY243" s="1259"/>
      <c r="AZ243" s="540"/>
      <c r="BA243" s="540"/>
      <c r="BB243" s="540"/>
      <c r="BC243" s="540"/>
      <c r="BD243" s="540"/>
      <c r="BE243" s="540"/>
      <c r="BF243" s="540"/>
      <c r="BG243" s="540"/>
      <c r="BH243" s="540"/>
      <c r="BI243" s="540"/>
      <c r="BJ243" s="540"/>
      <c r="BK243" s="540"/>
      <c r="BL243" s="540"/>
      <c r="BM243" s="540"/>
      <c r="BN243" s="540"/>
      <c r="BO243" s="540"/>
    </row>
    <row r="244" spans="1:67" ht="35.1" customHeight="1" x14ac:dyDescent="0.25">
      <c r="A244" s="3">
        <f t="shared" si="3"/>
        <v>232</v>
      </c>
      <c r="B244" s="1218" t="s">
        <v>162</v>
      </c>
      <c r="C244" s="1218"/>
      <c r="D244" s="1222"/>
      <c r="E244" s="1222"/>
      <c r="F244" s="1222"/>
      <c r="G244" s="1222"/>
      <c r="H244" s="1222"/>
      <c r="I244" s="1219"/>
      <c r="J244" s="1219"/>
      <c r="K244" s="1219"/>
      <c r="L244" s="1219"/>
      <c r="M244" s="1219"/>
      <c r="N244" s="1219"/>
      <c r="O244" s="1219"/>
      <c r="P244" s="1219"/>
      <c r="Q244" s="1220"/>
      <c r="R244" s="1220"/>
      <c r="S244" s="1220"/>
      <c r="T244" s="1220"/>
      <c r="U244" s="1220"/>
      <c r="V244" s="1220"/>
      <c r="W244" s="1220"/>
      <c r="X244" s="1220"/>
      <c r="Y244" s="1219"/>
      <c r="Z244" s="1219"/>
      <c r="AA244" s="1220"/>
      <c r="AB244" s="1220"/>
      <c r="AC244" s="1220"/>
      <c r="AD244" s="1220"/>
      <c r="AE244" s="1219"/>
      <c r="AF244" s="1219"/>
      <c r="AG244" s="1219"/>
      <c r="AH244" s="1220"/>
      <c r="AI244" s="1220"/>
      <c r="AJ244" s="1220"/>
      <c r="AK244" s="1219"/>
      <c r="AL244" s="1219"/>
      <c r="AM244" s="1219"/>
      <c r="AN244" s="1219"/>
      <c r="AO244" s="1220"/>
      <c r="AP244" s="1220"/>
      <c r="AQ244" s="1220"/>
      <c r="AR244" s="1220"/>
      <c r="AS244" s="1220"/>
      <c r="AT244" s="1220"/>
      <c r="AU244" s="1220"/>
      <c r="AV244" s="1220"/>
      <c r="AW244" s="1258"/>
      <c r="AX244" s="1258"/>
      <c r="AY244" s="1258"/>
      <c r="AZ244" s="1220"/>
      <c r="BA244" s="1220"/>
      <c r="BB244" s="1220"/>
      <c r="BC244" s="1220"/>
      <c r="BD244" s="1220"/>
      <c r="BE244" s="1220"/>
      <c r="BF244" s="1220"/>
      <c r="BG244" s="1220"/>
      <c r="BH244" s="1220"/>
      <c r="BI244" s="1220"/>
      <c r="BJ244" s="1220"/>
      <c r="BK244" s="1220"/>
      <c r="BL244" s="1220"/>
      <c r="BM244" s="1220"/>
      <c r="BN244" s="1220"/>
      <c r="BO244" s="1220"/>
    </row>
    <row r="245" spans="1:67" ht="35.1" customHeight="1" x14ac:dyDescent="0.25">
      <c r="A245" s="3">
        <f t="shared" si="3"/>
        <v>233</v>
      </c>
      <c r="B245" s="1218" t="s">
        <v>162</v>
      </c>
      <c r="C245" s="1218"/>
      <c r="D245" s="1221"/>
      <c r="E245" s="1221"/>
      <c r="F245" s="1221"/>
      <c r="G245" s="1221"/>
      <c r="H245" s="1221"/>
      <c r="I245" s="540"/>
      <c r="J245" s="540"/>
      <c r="K245" s="540"/>
      <c r="L245" s="540"/>
      <c r="M245" s="540"/>
      <c r="N245" s="540"/>
      <c r="O245" s="540"/>
      <c r="P245" s="540"/>
      <c r="Q245" s="540"/>
      <c r="R245" s="540"/>
      <c r="S245" s="540"/>
      <c r="T245" s="540"/>
      <c r="U245" s="540"/>
      <c r="V245" s="540"/>
      <c r="W245" s="540"/>
      <c r="X245" s="540"/>
      <c r="Y245" s="540"/>
      <c r="Z245" s="540"/>
      <c r="AA245" s="540"/>
      <c r="AB245" s="540"/>
      <c r="AC245" s="540"/>
      <c r="AD245" s="540"/>
      <c r="AE245" s="540"/>
      <c r="AF245" s="540"/>
      <c r="AG245" s="540"/>
      <c r="AH245" s="540"/>
      <c r="AI245" s="540"/>
      <c r="AJ245" s="540"/>
      <c r="AK245" s="540"/>
      <c r="AL245" s="540"/>
      <c r="AM245" s="540"/>
      <c r="AN245" s="540"/>
      <c r="AO245" s="540"/>
      <c r="AP245" s="540"/>
      <c r="AQ245" s="540"/>
      <c r="AR245" s="540"/>
      <c r="AS245" s="540"/>
      <c r="AT245" s="540"/>
      <c r="AU245" s="540"/>
      <c r="AV245" s="540"/>
      <c r="AW245" s="1259"/>
      <c r="AX245" s="1259"/>
      <c r="AY245" s="1259"/>
      <c r="AZ245" s="540"/>
      <c r="BA245" s="540"/>
      <c r="BB245" s="540"/>
      <c r="BC245" s="540"/>
      <c r="BD245" s="540"/>
      <c r="BE245" s="540"/>
      <c r="BF245" s="540"/>
      <c r="BG245" s="540"/>
      <c r="BH245" s="540"/>
      <c r="BI245" s="540"/>
      <c r="BJ245" s="540"/>
      <c r="BK245" s="540"/>
      <c r="BL245" s="540"/>
      <c r="BM245" s="540"/>
      <c r="BN245" s="540"/>
      <c r="BO245" s="540"/>
    </row>
    <row r="246" spans="1:67" ht="35.1" customHeight="1" x14ac:dyDescent="0.25">
      <c r="A246" s="3">
        <f t="shared" si="3"/>
        <v>234</v>
      </c>
      <c r="B246" s="1218" t="s">
        <v>162</v>
      </c>
      <c r="C246" s="1218"/>
      <c r="D246" s="1222"/>
      <c r="E246" s="1222"/>
      <c r="F246" s="1222"/>
      <c r="G246" s="1222"/>
      <c r="H246" s="1222"/>
      <c r="I246" s="1219"/>
      <c r="J246" s="1219"/>
      <c r="K246" s="1219"/>
      <c r="L246" s="1219"/>
      <c r="M246" s="1219"/>
      <c r="N246" s="1219"/>
      <c r="O246" s="1219"/>
      <c r="P246" s="1219"/>
      <c r="Q246" s="1220"/>
      <c r="R246" s="1220"/>
      <c r="S246" s="1220"/>
      <c r="T246" s="1220"/>
      <c r="U246" s="1220"/>
      <c r="V246" s="1220"/>
      <c r="W246" s="1220"/>
      <c r="X246" s="1220"/>
      <c r="Y246" s="1219"/>
      <c r="Z246" s="1219"/>
      <c r="AA246" s="1220"/>
      <c r="AB246" s="1220"/>
      <c r="AC246" s="1220"/>
      <c r="AD246" s="1220"/>
      <c r="AE246" s="1219"/>
      <c r="AF246" s="1219"/>
      <c r="AG246" s="1219"/>
      <c r="AH246" s="1220"/>
      <c r="AI246" s="1220"/>
      <c r="AJ246" s="1220"/>
      <c r="AK246" s="1219"/>
      <c r="AL246" s="1219"/>
      <c r="AM246" s="1219"/>
      <c r="AN246" s="1219"/>
      <c r="AO246" s="1220"/>
      <c r="AP246" s="1220"/>
      <c r="AQ246" s="1220"/>
      <c r="AR246" s="1220"/>
      <c r="AS246" s="1220"/>
      <c r="AT246" s="1220"/>
      <c r="AU246" s="1220"/>
      <c r="AV246" s="1220"/>
      <c r="AW246" s="1258"/>
      <c r="AX246" s="1258"/>
      <c r="AY246" s="1258"/>
      <c r="AZ246" s="1220"/>
      <c r="BA246" s="1220"/>
      <c r="BB246" s="1220"/>
      <c r="BC246" s="1220"/>
      <c r="BD246" s="1220"/>
      <c r="BE246" s="1220"/>
      <c r="BF246" s="1220"/>
      <c r="BG246" s="1220"/>
      <c r="BH246" s="1220"/>
      <c r="BI246" s="1220"/>
      <c r="BJ246" s="1220"/>
      <c r="BK246" s="1220"/>
      <c r="BL246" s="1220"/>
      <c r="BM246" s="1220"/>
      <c r="BN246" s="1220"/>
      <c r="BO246" s="1220"/>
    </row>
    <row r="247" spans="1:67" ht="35.1" customHeight="1" x14ac:dyDescent="0.25">
      <c r="A247" s="3">
        <f>+ROW(A235)</f>
        <v>235</v>
      </c>
      <c r="B247" s="1218" t="s">
        <v>162</v>
      </c>
      <c r="C247" s="1218"/>
      <c r="D247" s="1221"/>
      <c r="E247" s="1221"/>
      <c r="F247" s="1221"/>
      <c r="G247" s="1221"/>
      <c r="H247" s="1221"/>
      <c r="I247" s="540"/>
      <c r="J247" s="540"/>
      <c r="K247" s="540"/>
      <c r="L247" s="540"/>
      <c r="M247" s="540"/>
      <c r="N247" s="540"/>
      <c r="O247" s="540"/>
      <c r="P247" s="540"/>
      <c r="Q247" s="540"/>
      <c r="R247" s="540"/>
      <c r="S247" s="540"/>
      <c r="T247" s="540"/>
      <c r="U247" s="540"/>
      <c r="V247" s="540"/>
      <c r="W247" s="540"/>
      <c r="X247" s="540"/>
      <c r="Y247" s="540"/>
      <c r="Z247" s="540"/>
      <c r="AA247" s="540"/>
      <c r="AB247" s="540"/>
      <c r="AC247" s="540"/>
      <c r="AD247" s="540"/>
      <c r="AE247" s="540"/>
      <c r="AF247" s="540"/>
      <c r="AG247" s="540"/>
      <c r="AH247" s="540"/>
      <c r="AI247" s="540"/>
      <c r="AJ247" s="540"/>
      <c r="AK247" s="540"/>
      <c r="AL247" s="540"/>
      <c r="AM247" s="540"/>
      <c r="AN247" s="540"/>
      <c r="AO247" s="540"/>
      <c r="AP247" s="540"/>
      <c r="AQ247" s="540"/>
      <c r="AR247" s="540"/>
      <c r="AS247" s="540"/>
      <c r="AT247" s="540"/>
      <c r="AU247" s="540"/>
      <c r="AV247" s="540"/>
      <c r="AW247" s="1259"/>
      <c r="AX247" s="1259"/>
      <c r="AY247" s="1259"/>
      <c r="AZ247" s="540"/>
      <c r="BA247" s="540"/>
      <c r="BB247" s="540"/>
      <c r="BC247" s="540"/>
      <c r="BD247" s="540"/>
      <c r="BE247" s="540"/>
      <c r="BF247" s="540"/>
      <c r="BG247" s="540"/>
      <c r="BH247" s="540"/>
      <c r="BI247" s="540"/>
      <c r="BJ247" s="540"/>
      <c r="BK247" s="540"/>
      <c r="BL247" s="540"/>
      <c r="BM247" s="540"/>
      <c r="BN247" s="540"/>
      <c r="BO247" s="540"/>
    </row>
    <row r="248" spans="1:67" ht="35.1" customHeight="1" x14ac:dyDescent="0.25">
      <c r="A248" s="3">
        <f t="shared" ref="A248:A311" si="4">+ROW(A236)</f>
        <v>236</v>
      </c>
      <c r="B248" s="1235" t="s">
        <v>162</v>
      </c>
      <c r="C248" s="1235"/>
      <c r="D248" s="1222"/>
      <c r="E248" s="1222"/>
      <c r="F248" s="1222"/>
      <c r="G248" s="1222"/>
      <c r="H248" s="1222"/>
      <c r="I248" s="1219"/>
      <c r="J248" s="1219"/>
      <c r="K248" s="1219"/>
      <c r="L248" s="1219"/>
      <c r="M248" s="1219"/>
      <c r="N248" s="1219"/>
      <c r="O248" s="1219"/>
      <c r="P248" s="1219"/>
      <c r="Q248" s="1220"/>
      <c r="R248" s="1220"/>
      <c r="S248" s="1220"/>
      <c r="T248" s="1220"/>
      <c r="U248" s="1220"/>
      <c r="V248" s="1220"/>
      <c r="W248" s="1220"/>
      <c r="X248" s="1220"/>
      <c r="Y248" s="1219"/>
      <c r="Z248" s="1219"/>
      <c r="AA248" s="1220"/>
      <c r="AB248" s="1220"/>
      <c r="AC248" s="1220"/>
      <c r="AD248" s="1220"/>
      <c r="AE248" s="1219"/>
      <c r="AF248" s="1219"/>
      <c r="AG248" s="1219"/>
      <c r="AH248" s="1220"/>
      <c r="AI248" s="1220"/>
      <c r="AJ248" s="1220"/>
      <c r="AK248" s="1219"/>
      <c r="AL248" s="1219"/>
      <c r="AM248" s="1219"/>
      <c r="AN248" s="1219"/>
      <c r="AO248" s="1220"/>
      <c r="AP248" s="1220"/>
      <c r="AQ248" s="1220"/>
      <c r="AR248" s="1220"/>
      <c r="AS248" s="1220"/>
      <c r="AT248" s="1220"/>
      <c r="AU248" s="1220"/>
      <c r="AV248" s="1220"/>
      <c r="AW248" s="1258"/>
      <c r="AX248" s="1258"/>
      <c r="AY248" s="1258"/>
      <c r="AZ248" s="1220"/>
      <c r="BA248" s="1220"/>
      <c r="BB248" s="1220"/>
      <c r="BC248" s="1220"/>
      <c r="BD248" s="1220"/>
      <c r="BE248" s="1220"/>
      <c r="BF248" s="1220"/>
      <c r="BG248" s="1220"/>
      <c r="BH248" s="1220"/>
      <c r="BI248" s="1220"/>
      <c r="BJ248" s="1220"/>
      <c r="BK248" s="1220"/>
      <c r="BL248" s="1220"/>
      <c r="BM248" s="1220"/>
      <c r="BN248" s="1220"/>
      <c r="BO248" s="1220"/>
    </row>
    <row r="249" spans="1:67" ht="35.1" customHeight="1" x14ac:dyDescent="0.25">
      <c r="A249" s="3">
        <f t="shared" si="4"/>
        <v>237</v>
      </c>
      <c r="B249" s="1218" t="s">
        <v>162</v>
      </c>
      <c r="C249" s="1218"/>
      <c r="D249" s="1221"/>
      <c r="E249" s="1221"/>
      <c r="F249" s="1221"/>
      <c r="G249" s="1221"/>
      <c r="H249" s="1221"/>
      <c r="I249" s="540"/>
      <c r="J249" s="540"/>
      <c r="K249" s="540"/>
      <c r="L249" s="540"/>
      <c r="M249" s="540"/>
      <c r="N249" s="540"/>
      <c r="O249" s="540"/>
      <c r="P249" s="540"/>
      <c r="Q249" s="540"/>
      <c r="R249" s="540"/>
      <c r="S249" s="540"/>
      <c r="T249" s="540"/>
      <c r="U249" s="540"/>
      <c r="V249" s="540"/>
      <c r="W249" s="540"/>
      <c r="X249" s="540"/>
      <c r="Y249" s="540"/>
      <c r="Z249" s="540"/>
      <c r="AA249" s="540"/>
      <c r="AB249" s="540"/>
      <c r="AC249" s="540"/>
      <c r="AD249" s="540"/>
      <c r="AE249" s="540"/>
      <c r="AF249" s="540"/>
      <c r="AG249" s="540"/>
      <c r="AH249" s="540"/>
      <c r="AI249" s="540"/>
      <c r="AJ249" s="540"/>
      <c r="AK249" s="540"/>
      <c r="AL249" s="540"/>
      <c r="AM249" s="540"/>
      <c r="AN249" s="540"/>
      <c r="AO249" s="540"/>
      <c r="AP249" s="540"/>
      <c r="AQ249" s="540"/>
      <c r="AR249" s="540"/>
      <c r="AS249" s="540"/>
      <c r="AT249" s="540"/>
      <c r="AU249" s="540"/>
      <c r="AV249" s="540"/>
      <c r="AW249" s="1259"/>
      <c r="AX249" s="1259"/>
      <c r="AY249" s="1259"/>
      <c r="AZ249" s="540"/>
      <c r="BA249" s="540"/>
      <c r="BB249" s="540"/>
      <c r="BC249" s="540"/>
      <c r="BD249" s="540"/>
      <c r="BE249" s="540"/>
      <c r="BF249" s="540"/>
      <c r="BG249" s="540"/>
      <c r="BH249" s="540"/>
      <c r="BI249" s="540"/>
      <c r="BJ249" s="540"/>
      <c r="BK249" s="540"/>
      <c r="BL249" s="540"/>
      <c r="BM249" s="540"/>
      <c r="BN249" s="540"/>
      <c r="BO249" s="540"/>
    </row>
    <row r="250" spans="1:67" ht="35.1" customHeight="1" x14ac:dyDescent="0.25">
      <c r="A250" s="3">
        <f t="shared" si="4"/>
        <v>238</v>
      </c>
      <c r="B250" s="1218" t="s">
        <v>162</v>
      </c>
      <c r="C250" s="1218"/>
      <c r="D250" s="1222"/>
      <c r="E250" s="1222"/>
      <c r="F250" s="1222"/>
      <c r="G250" s="1222"/>
      <c r="H250" s="1222"/>
      <c r="I250" s="1219"/>
      <c r="J250" s="1219"/>
      <c r="K250" s="1219"/>
      <c r="L250" s="1219"/>
      <c r="M250" s="1219"/>
      <c r="N250" s="1219"/>
      <c r="O250" s="1219"/>
      <c r="P250" s="1219"/>
      <c r="Q250" s="1220"/>
      <c r="R250" s="1220"/>
      <c r="S250" s="1220"/>
      <c r="T250" s="1220"/>
      <c r="U250" s="1220"/>
      <c r="V250" s="1220"/>
      <c r="W250" s="1220"/>
      <c r="X250" s="1220"/>
      <c r="Y250" s="1219"/>
      <c r="Z250" s="1219"/>
      <c r="AA250" s="1220"/>
      <c r="AB250" s="1220"/>
      <c r="AC250" s="1220"/>
      <c r="AD250" s="1220"/>
      <c r="AE250" s="1219"/>
      <c r="AF250" s="1219"/>
      <c r="AG250" s="1219"/>
      <c r="AH250" s="1220"/>
      <c r="AI250" s="1220"/>
      <c r="AJ250" s="1220"/>
      <c r="AK250" s="1219"/>
      <c r="AL250" s="1219"/>
      <c r="AM250" s="1219"/>
      <c r="AN250" s="1219"/>
      <c r="AO250" s="1220"/>
      <c r="AP250" s="1220"/>
      <c r="AQ250" s="1220"/>
      <c r="AR250" s="1220"/>
      <c r="AS250" s="1220"/>
      <c r="AT250" s="1220"/>
      <c r="AU250" s="1220"/>
      <c r="AV250" s="1220"/>
      <c r="AW250" s="1258"/>
      <c r="AX250" s="1258"/>
      <c r="AY250" s="1258"/>
      <c r="AZ250" s="1220"/>
      <c r="BA250" s="1220"/>
      <c r="BB250" s="1220"/>
      <c r="BC250" s="1220"/>
      <c r="BD250" s="1220"/>
      <c r="BE250" s="1220"/>
      <c r="BF250" s="1220"/>
      <c r="BG250" s="1220"/>
      <c r="BH250" s="1220"/>
      <c r="BI250" s="1220"/>
      <c r="BJ250" s="1220"/>
      <c r="BK250" s="1220"/>
      <c r="BL250" s="1220"/>
      <c r="BM250" s="1220"/>
      <c r="BN250" s="1220"/>
      <c r="BO250" s="1220"/>
    </row>
    <row r="251" spans="1:67" ht="35.1" customHeight="1" x14ac:dyDescent="0.25">
      <c r="A251" s="3">
        <f t="shared" si="4"/>
        <v>239</v>
      </c>
      <c r="B251" s="1218" t="s">
        <v>162</v>
      </c>
      <c r="C251" s="1218"/>
      <c r="D251" s="1221"/>
      <c r="E251" s="1221"/>
      <c r="F251" s="1221"/>
      <c r="G251" s="1221"/>
      <c r="H251" s="1221"/>
      <c r="I251" s="540"/>
      <c r="J251" s="540"/>
      <c r="K251" s="540"/>
      <c r="L251" s="540"/>
      <c r="M251" s="540"/>
      <c r="N251" s="540"/>
      <c r="O251" s="540"/>
      <c r="P251" s="540"/>
      <c r="Q251" s="540"/>
      <c r="R251" s="540"/>
      <c r="S251" s="540"/>
      <c r="T251" s="540"/>
      <c r="U251" s="540"/>
      <c r="V251" s="540"/>
      <c r="W251" s="540"/>
      <c r="X251" s="540"/>
      <c r="Y251" s="540"/>
      <c r="Z251" s="540"/>
      <c r="AA251" s="540"/>
      <c r="AB251" s="540"/>
      <c r="AC251" s="540"/>
      <c r="AD251" s="540"/>
      <c r="AE251" s="540"/>
      <c r="AF251" s="540"/>
      <c r="AG251" s="540"/>
      <c r="AH251" s="540"/>
      <c r="AI251" s="540"/>
      <c r="AJ251" s="540"/>
      <c r="AK251" s="540"/>
      <c r="AL251" s="540"/>
      <c r="AM251" s="540"/>
      <c r="AN251" s="540"/>
      <c r="AO251" s="540"/>
      <c r="AP251" s="540"/>
      <c r="AQ251" s="540"/>
      <c r="AR251" s="540"/>
      <c r="AS251" s="540"/>
      <c r="AT251" s="540"/>
      <c r="AU251" s="540"/>
      <c r="AV251" s="540"/>
      <c r="AW251" s="1259"/>
      <c r="AX251" s="1259"/>
      <c r="AY251" s="1259"/>
      <c r="AZ251" s="540"/>
      <c r="BA251" s="540"/>
      <c r="BB251" s="540"/>
      <c r="BC251" s="540"/>
      <c r="BD251" s="540"/>
      <c r="BE251" s="540"/>
      <c r="BF251" s="540"/>
      <c r="BG251" s="540"/>
      <c r="BH251" s="540"/>
      <c r="BI251" s="540"/>
      <c r="BJ251" s="540"/>
      <c r="BK251" s="540"/>
      <c r="BL251" s="540"/>
      <c r="BM251" s="540"/>
      <c r="BN251" s="540"/>
      <c r="BO251" s="540"/>
    </row>
    <row r="252" spans="1:67" ht="35.1" customHeight="1" x14ac:dyDescent="0.25">
      <c r="A252" s="3">
        <f t="shared" si="4"/>
        <v>240</v>
      </c>
      <c r="B252" s="1218" t="s">
        <v>162</v>
      </c>
      <c r="C252" s="1218"/>
      <c r="D252" s="1222"/>
      <c r="E252" s="1222"/>
      <c r="F252" s="1222"/>
      <c r="G252" s="1222"/>
      <c r="H252" s="1222"/>
      <c r="I252" s="1219"/>
      <c r="J252" s="1219"/>
      <c r="K252" s="1219"/>
      <c r="L252" s="1219"/>
      <c r="M252" s="1219"/>
      <c r="N252" s="1219"/>
      <c r="O252" s="1219"/>
      <c r="P252" s="1219"/>
      <c r="Q252" s="1220"/>
      <c r="R252" s="1220"/>
      <c r="S252" s="1220"/>
      <c r="T252" s="1220"/>
      <c r="U252" s="1220"/>
      <c r="V252" s="1220"/>
      <c r="W252" s="1220"/>
      <c r="X252" s="1220"/>
      <c r="Y252" s="1219"/>
      <c r="Z252" s="1219"/>
      <c r="AA252" s="1220"/>
      <c r="AB252" s="1220"/>
      <c r="AC252" s="1220"/>
      <c r="AD252" s="1220"/>
      <c r="AE252" s="1219"/>
      <c r="AF252" s="1219"/>
      <c r="AG252" s="1219"/>
      <c r="AH252" s="1220"/>
      <c r="AI252" s="1220"/>
      <c r="AJ252" s="1220"/>
      <c r="AK252" s="1219"/>
      <c r="AL252" s="1219"/>
      <c r="AM252" s="1219"/>
      <c r="AN252" s="1219"/>
      <c r="AO252" s="1220"/>
      <c r="AP252" s="1220"/>
      <c r="AQ252" s="1220"/>
      <c r="AR252" s="1220"/>
      <c r="AS252" s="1220"/>
      <c r="AT252" s="1220"/>
      <c r="AU252" s="1220"/>
      <c r="AV252" s="1220"/>
      <c r="AW252" s="1258"/>
      <c r="AX252" s="1258"/>
      <c r="AY252" s="1258"/>
      <c r="AZ252" s="1220"/>
      <c r="BA252" s="1220"/>
      <c r="BB252" s="1220"/>
      <c r="BC252" s="1220"/>
      <c r="BD252" s="1220"/>
      <c r="BE252" s="1220"/>
      <c r="BF252" s="1220"/>
      <c r="BG252" s="1220"/>
      <c r="BH252" s="1220"/>
      <c r="BI252" s="1220"/>
      <c r="BJ252" s="1220"/>
      <c r="BK252" s="1220"/>
      <c r="BL252" s="1220"/>
      <c r="BM252" s="1220"/>
      <c r="BN252" s="1220"/>
      <c r="BO252" s="1220"/>
    </row>
    <row r="253" spans="1:67" ht="35.1" customHeight="1" x14ac:dyDescent="0.25">
      <c r="A253" s="3">
        <f t="shared" si="4"/>
        <v>241</v>
      </c>
      <c r="B253" s="1218" t="s">
        <v>162</v>
      </c>
      <c r="C253" s="1218"/>
      <c r="D253" s="1221"/>
      <c r="E253" s="1221"/>
      <c r="F253" s="1221"/>
      <c r="G253" s="1221"/>
      <c r="H253" s="1221"/>
      <c r="I253" s="540"/>
      <c r="J253" s="540"/>
      <c r="K253" s="540"/>
      <c r="L253" s="540"/>
      <c r="M253" s="540"/>
      <c r="N253" s="540"/>
      <c r="O253" s="540"/>
      <c r="P253" s="540"/>
      <c r="Q253" s="540"/>
      <c r="R253" s="540"/>
      <c r="S253" s="540"/>
      <c r="T253" s="540"/>
      <c r="U253" s="540"/>
      <c r="V253" s="540"/>
      <c r="W253" s="540"/>
      <c r="X253" s="540"/>
      <c r="Y253" s="540"/>
      <c r="Z253" s="540"/>
      <c r="AA253" s="540"/>
      <c r="AB253" s="540"/>
      <c r="AC253" s="540"/>
      <c r="AD253" s="540"/>
      <c r="AE253" s="540"/>
      <c r="AF253" s="540"/>
      <c r="AG253" s="540"/>
      <c r="AH253" s="540"/>
      <c r="AI253" s="540"/>
      <c r="AJ253" s="540"/>
      <c r="AK253" s="540"/>
      <c r="AL253" s="540"/>
      <c r="AM253" s="540"/>
      <c r="AN253" s="540"/>
      <c r="AO253" s="540"/>
      <c r="AP253" s="540"/>
      <c r="AQ253" s="540"/>
      <c r="AR253" s="540"/>
      <c r="AS253" s="540"/>
      <c r="AT253" s="540"/>
      <c r="AU253" s="540"/>
      <c r="AV253" s="540"/>
      <c r="AW253" s="1259"/>
      <c r="AX253" s="1259"/>
      <c r="AY253" s="1259"/>
      <c r="AZ253" s="540"/>
      <c r="BA253" s="540"/>
      <c r="BB253" s="540"/>
      <c r="BC253" s="540"/>
      <c r="BD253" s="540"/>
      <c r="BE253" s="540"/>
      <c r="BF253" s="540"/>
      <c r="BG253" s="540"/>
      <c r="BH253" s="540"/>
      <c r="BI253" s="540"/>
      <c r="BJ253" s="540"/>
      <c r="BK253" s="540"/>
      <c r="BL253" s="540"/>
      <c r="BM253" s="540"/>
      <c r="BN253" s="540"/>
      <c r="BO253" s="540"/>
    </row>
    <row r="254" spans="1:67" ht="35.1" customHeight="1" x14ac:dyDescent="0.25">
      <c r="A254" s="3">
        <f t="shared" si="4"/>
        <v>242</v>
      </c>
      <c r="B254" s="1218" t="s">
        <v>162</v>
      </c>
      <c r="C254" s="1218"/>
      <c r="D254" s="1222"/>
      <c r="E254" s="1222"/>
      <c r="F254" s="1222"/>
      <c r="G254" s="1222"/>
      <c r="H254" s="1222"/>
      <c r="I254" s="1219"/>
      <c r="J254" s="1219"/>
      <c r="K254" s="1219"/>
      <c r="L254" s="1219"/>
      <c r="M254" s="1219"/>
      <c r="N254" s="1219"/>
      <c r="O254" s="1219"/>
      <c r="P254" s="1219"/>
      <c r="Q254" s="1220"/>
      <c r="R254" s="1220"/>
      <c r="S254" s="1220"/>
      <c r="T254" s="1220"/>
      <c r="U254" s="1220"/>
      <c r="V254" s="1220"/>
      <c r="W254" s="1220"/>
      <c r="X254" s="1220"/>
      <c r="Y254" s="1219"/>
      <c r="Z254" s="1219"/>
      <c r="AA254" s="1220"/>
      <c r="AB254" s="1220"/>
      <c r="AC254" s="1220"/>
      <c r="AD254" s="1220"/>
      <c r="AE254" s="1219"/>
      <c r="AF254" s="1219"/>
      <c r="AG254" s="1219"/>
      <c r="AH254" s="1220"/>
      <c r="AI254" s="1220"/>
      <c r="AJ254" s="1220"/>
      <c r="AK254" s="1219"/>
      <c r="AL254" s="1219"/>
      <c r="AM254" s="1219"/>
      <c r="AN254" s="1219"/>
      <c r="AO254" s="1220"/>
      <c r="AP254" s="1220"/>
      <c r="AQ254" s="1220"/>
      <c r="AR254" s="1220"/>
      <c r="AS254" s="1220"/>
      <c r="AT254" s="1220"/>
      <c r="AU254" s="1220"/>
      <c r="AV254" s="1220"/>
      <c r="AW254" s="1258"/>
      <c r="AX254" s="1258"/>
      <c r="AY254" s="1258"/>
      <c r="AZ254" s="1220"/>
      <c r="BA254" s="1220"/>
      <c r="BB254" s="1220"/>
      <c r="BC254" s="1220"/>
      <c r="BD254" s="1220"/>
      <c r="BE254" s="1220"/>
      <c r="BF254" s="1220"/>
      <c r="BG254" s="1220"/>
      <c r="BH254" s="1220"/>
      <c r="BI254" s="1220"/>
      <c r="BJ254" s="1220"/>
      <c r="BK254" s="1220"/>
      <c r="BL254" s="1220"/>
      <c r="BM254" s="1220"/>
      <c r="BN254" s="1220"/>
      <c r="BO254" s="1220"/>
    </row>
    <row r="255" spans="1:67" ht="35.1" customHeight="1" x14ac:dyDescent="0.25">
      <c r="A255" s="3">
        <f t="shared" si="4"/>
        <v>243</v>
      </c>
      <c r="B255" s="1218" t="s">
        <v>162</v>
      </c>
      <c r="C255" s="1218"/>
      <c r="D255" s="1221"/>
      <c r="E255" s="1221"/>
      <c r="F255" s="1221"/>
      <c r="G255" s="1221"/>
      <c r="H255" s="1221"/>
      <c r="I255" s="540"/>
      <c r="J255" s="540"/>
      <c r="K255" s="540"/>
      <c r="L255" s="540"/>
      <c r="M255" s="540"/>
      <c r="N255" s="540"/>
      <c r="O255" s="540"/>
      <c r="P255" s="540"/>
      <c r="Q255" s="540"/>
      <c r="R255" s="540"/>
      <c r="S255" s="540"/>
      <c r="T255" s="540"/>
      <c r="U255" s="540"/>
      <c r="V255" s="540"/>
      <c r="W255" s="540"/>
      <c r="X255" s="540"/>
      <c r="Y255" s="540"/>
      <c r="Z255" s="540"/>
      <c r="AA255" s="540"/>
      <c r="AB255" s="540"/>
      <c r="AC255" s="540"/>
      <c r="AD255" s="540"/>
      <c r="AE255" s="540"/>
      <c r="AF255" s="540"/>
      <c r="AG255" s="540"/>
      <c r="AH255" s="540"/>
      <c r="AI255" s="540"/>
      <c r="AJ255" s="540"/>
      <c r="AK255" s="540"/>
      <c r="AL255" s="540"/>
      <c r="AM255" s="540"/>
      <c r="AN255" s="540"/>
      <c r="AO255" s="540"/>
      <c r="AP255" s="540"/>
      <c r="AQ255" s="540"/>
      <c r="AR255" s="540"/>
      <c r="AS255" s="540"/>
      <c r="AT255" s="540"/>
      <c r="AU255" s="540"/>
      <c r="AV255" s="540"/>
      <c r="AW255" s="1259"/>
      <c r="AX255" s="1259"/>
      <c r="AY255" s="1259"/>
      <c r="AZ255" s="540"/>
      <c r="BA255" s="540"/>
      <c r="BB255" s="540"/>
      <c r="BC255" s="540"/>
      <c r="BD255" s="540"/>
      <c r="BE255" s="540"/>
      <c r="BF255" s="540"/>
      <c r="BG255" s="540"/>
      <c r="BH255" s="540"/>
      <c r="BI255" s="540"/>
      <c r="BJ255" s="540"/>
      <c r="BK255" s="540"/>
      <c r="BL255" s="540"/>
      <c r="BM255" s="540"/>
      <c r="BN255" s="540"/>
      <c r="BO255" s="540"/>
    </row>
    <row r="256" spans="1:67" ht="35.1" customHeight="1" x14ac:dyDescent="0.25">
      <c r="A256" s="3">
        <f t="shared" si="4"/>
        <v>244</v>
      </c>
      <c r="B256" s="1218" t="s">
        <v>162</v>
      </c>
      <c r="C256" s="1218"/>
      <c r="D256" s="1222"/>
      <c r="E256" s="1222"/>
      <c r="F256" s="1222"/>
      <c r="G256" s="1222"/>
      <c r="H256" s="1222"/>
      <c r="I256" s="1219"/>
      <c r="J256" s="1219"/>
      <c r="K256" s="1219"/>
      <c r="L256" s="1219"/>
      <c r="M256" s="1219"/>
      <c r="N256" s="1219"/>
      <c r="O256" s="1219"/>
      <c r="P256" s="1219"/>
      <c r="Q256" s="1220"/>
      <c r="R256" s="1220"/>
      <c r="S256" s="1220"/>
      <c r="T256" s="1220"/>
      <c r="U256" s="1220"/>
      <c r="V256" s="1220"/>
      <c r="W256" s="1220"/>
      <c r="X256" s="1220"/>
      <c r="Y256" s="1219"/>
      <c r="Z256" s="1219"/>
      <c r="AA256" s="1220"/>
      <c r="AB256" s="1220"/>
      <c r="AC256" s="1220"/>
      <c r="AD256" s="1220"/>
      <c r="AE256" s="1219"/>
      <c r="AF256" s="1219"/>
      <c r="AG256" s="1219"/>
      <c r="AH256" s="1220"/>
      <c r="AI256" s="1220"/>
      <c r="AJ256" s="1220"/>
      <c r="AK256" s="1219"/>
      <c r="AL256" s="1219"/>
      <c r="AM256" s="1219"/>
      <c r="AN256" s="1219"/>
      <c r="AO256" s="1220"/>
      <c r="AP256" s="1220"/>
      <c r="AQ256" s="1220"/>
      <c r="AR256" s="1220"/>
      <c r="AS256" s="1220"/>
      <c r="AT256" s="1220"/>
      <c r="AU256" s="1220"/>
      <c r="AV256" s="1220"/>
      <c r="AW256" s="1258"/>
      <c r="AX256" s="1258"/>
      <c r="AY256" s="1258"/>
      <c r="AZ256" s="1220"/>
      <c r="BA256" s="1220"/>
      <c r="BB256" s="1220"/>
      <c r="BC256" s="1220"/>
      <c r="BD256" s="1220"/>
      <c r="BE256" s="1220"/>
      <c r="BF256" s="1220"/>
      <c r="BG256" s="1220"/>
      <c r="BH256" s="1220"/>
      <c r="BI256" s="1220"/>
      <c r="BJ256" s="1220"/>
      <c r="BK256" s="1220"/>
      <c r="BL256" s="1220"/>
      <c r="BM256" s="1220"/>
      <c r="BN256" s="1220"/>
      <c r="BO256" s="1220"/>
    </row>
    <row r="257" spans="1:67" ht="35.1" customHeight="1" x14ac:dyDescent="0.25">
      <c r="A257" s="3">
        <f t="shared" si="4"/>
        <v>245</v>
      </c>
      <c r="B257" s="1218" t="s">
        <v>162</v>
      </c>
      <c r="C257" s="1218"/>
      <c r="D257" s="1221"/>
      <c r="E257" s="1221"/>
      <c r="F257" s="1221"/>
      <c r="G257" s="1221"/>
      <c r="H257" s="1221"/>
      <c r="I257" s="540"/>
      <c r="J257" s="540"/>
      <c r="K257" s="540"/>
      <c r="L257" s="540"/>
      <c r="M257" s="540"/>
      <c r="N257" s="540"/>
      <c r="O257" s="540"/>
      <c r="P257" s="540"/>
      <c r="Q257" s="540"/>
      <c r="R257" s="540"/>
      <c r="S257" s="540"/>
      <c r="T257" s="540"/>
      <c r="U257" s="540"/>
      <c r="V257" s="540"/>
      <c r="W257" s="540"/>
      <c r="X257" s="540"/>
      <c r="Y257" s="540"/>
      <c r="Z257" s="540"/>
      <c r="AA257" s="540"/>
      <c r="AB257" s="540"/>
      <c r="AC257" s="540"/>
      <c r="AD257" s="540"/>
      <c r="AE257" s="540"/>
      <c r="AF257" s="540"/>
      <c r="AG257" s="540"/>
      <c r="AH257" s="540"/>
      <c r="AI257" s="540"/>
      <c r="AJ257" s="540"/>
      <c r="AK257" s="540"/>
      <c r="AL257" s="540"/>
      <c r="AM257" s="540"/>
      <c r="AN257" s="540"/>
      <c r="AO257" s="540"/>
      <c r="AP257" s="540"/>
      <c r="AQ257" s="540"/>
      <c r="AR257" s="540"/>
      <c r="AS257" s="540"/>
      <c r="AT257" s="540"/>
      <c r="AU257" s="540"/>
      <c r="AV257" s="540"/>
      <c r="AW257" s="1259"/>
      <c r="AX257" s="1259"/>
      <c r="AY257" s="1259"/>
      <c r="AZ257" s="540"/>
      <c r="BA257" s="540"/>
      <c r="BB257" s="540"/>
      <c r="BC257" s="540"/>
      <c r="BD257" s="540"/>
      <c r="BE257" s="540"/>
      <c r="BF257" s="540"/>
      <c r="BG257" s="540"/>
      <c r="BH257" s="540"/>
      <c r="BI257" s="540"/>
      <c r="BJ257" s="540"/>
      <c r="BK257" s="540"/>
      <c r="BL257" s="540"/>
      <c r="BM257" s="540"/>
      <c r="BN257" s="540"/>
      <c r="BO257" s="540"/>
    </row>
    <row r="258" spans="1:67" ht="35.1" customHeight="1" x14ac:dyDescent="0.25">
      <c r="A258" s="3">
        <f t="shared" si="4"/>
        <v>246</v>
      </c>
      <c r="B258" s="1218" t="s">
        <v>162</v>
      </c>
      <c r="C258" s="1218"/>
      <c r="D258" s="1222"/>
      <c r="E258" s="1222"/>
      <c r="F258" s="1222"/>
      <c r="G258" s="1222"/>
      <c r="H258" s="1222"/>
      <c r="I258" s="1219"/>
      <c r="J258" s="1219"/>
      <c r="K258" s="1219"/>
      <c r="L258" s="1219"/>
      <c r="M258" s="1219"/>
      <c r="N258" s="1219"/>
      <c r="O258" s="1219"/>
      <c r="P258" s="1219"/>
      <c r="Q258" s="1220"/>
      <c r="R258" s="1220"/>
      <c r="S258" s="1220"/>
      <c r="T258" s="1220"/>
      <c r="U258" s="1220"/>
      <c r="V258" s="1220"/>
      <c r="W258" s="1220"/>
      <c r="X258" s="1220"/>
      <c r="Y258" s="1219"/>
      <c r="Z258" s="1219"/>
      <c r="AA258" s="1220"/>
      <c r="AB258" s="1220"/>
      <c r="AC258" s="1220"/>
      <c r="AD258" s="1220"/>
      <c r="AE258" s="1219"/>
      <c r="AF258" s="1219"/>
      <c r="AG258" s="1219"/>
      <c r="AH258" s="1220"/>
      <c r="AI258" s="1220"/>
      <c r="AJ258" s="1220"/>
      <c r="AK258" s="1219"/>
      <c r="AL258" s="1219"/>
      <c r="AM258" s="1219"/>
      <c r="AN258" s="1219"/>
      <c r="AO258" s="1220"/>
      <c r="AP258" s="1220"/>
      <c r="AQ258" s="1220"/>
      <c r="AR258" s="1220"/>
      <c r="AS258" s="1220"/>
      <c r="AT258" s="1220"/>
      <c r="AU258" s="1220"/>
      <c r="AV258" s="1220"/>
      <c r="AW258" s="1258"/>
      <c r="AX258" s="1258"/>
      <c r="AY258" s="1258"/>
      <c r="AZ258" s="1220"/>
      <c r="BA258" s="1220"/>
      <c r="BB258" s="1220"/>
      <c r="BC258" s="1220"/>
      <c r="BD258" s="1220"/>
      <c r="BE258" s="1220"/>
      <c r="BF258" s="1220"/>
      <c r="BG258" s="1220"/>
      <c r="BH258" s="1220"/>
      <c r="BI258" s="1220"/>
      <c r="BJ258" s="1220"/>
      <c r="BK258" s="1220"/>
      <c r="BL258" s="1220"/>
      <c r="BM258" s="1220"/>
      <c r="BN258" s="1220"/>
      <c r="BO258" s="1220"/>
    </row>
    <row r="259" spans="1:67" ht="35.1" customHeight="1" x14ac:dyDescent="0.25">
      <c r="A259" s="3">
        <f t="shared" si="4"/>
        <v>247</v>
      </c>
      <c r="B259" s="1218" t="s">
        <v>162</v>
      </c>
      <c r="C259" s="1218"/>
      <c r="D259" s="1221"/>
      <c r="E259" s="1221"/>
      <c r="F259" s="1221"/>
      <c r="G259" s="1221"/>
      <c r="H259" s="1221"/>
      <c r="I259" s="540"/>
      <c r="J259" s="540"/>
      <c r="K259" s="540"/>
      <c r="L259" s="540"/>
      <c r="M259" s="540"/>
      <c r="N259" s="540"/>
      <c r="O259" s="540"/>
      <c r="P259" s="540"/>
      <c r="Q259" s="540"/>
      <c r="R259" s="540"/>
      <c r="S259" s="540"/>
      <c r="T259" s="540"/>
      <c r="U259" s="540"/>
      <c r="V259" s="540"/>
      <c r="W259" s="540"/>
      <c r="X259" s="540"/>
      <c r="Y259" s="540"/>
      <c r="Z259" s="540"/>
      <c r="AA259" s="540"/>
      <c r="AB259" s="540"/>
      <c r="AC259" s="540"/>
      <c r="AD259" s="540"/>
      <c r="AE259" s="540"/>
      <c r="AF259" s="540"/>
      <c r="AG259" s="540"/>
      <c r="AH259" s="540"/>
      <c r="AI259" s="540"/>
      <c r="AJ259" s="540"/>
      <c r="AK259" s="540"/>
      <c r="AL259" s="540"/>
      <c r="AM259" s="540"/>
      <c r="AN259" s="540"/>
      <c r="AO259" s="540"/>
      <c r="AP259" s="540"/>
      <c r="AQ259" s="540"/>
      <c r="AR259" s="540"/>
      <c r="AS259" s="540"/>
      <c r="AT259" s="540"/>
      <c r="AU259" s="540"/>
      <c r="AV259" s="540"/>
      <c r="AW259" s="1259"/>
      <c r="AX259" s="1259"/>
      <c r="AY259" s="1259"/>
      <c r="AZ259" s="540"/>
      <c r="BA259" s="540"/>
      <c r="BB259" s="540"/>
      <c r="BC259" s="540"/>
      <c r="BD259" s="540"/>
      <c r="BE259" s="540"/>
      <c r="BF259" s="540"/>
      <c r="BG259" s="540"/>
      <c r="BH259" s="540"/>
      <c r="BI259" s="540"/>
      <c r="BJ259" s="540"/>
      <c r="BK259" s="540"/>
      <c r="BL259" s="540"/>
      <c r="BM259" s="540"/>
      <c r="BN259" s="540"/>
      <c r="BO259" s="540"/>
    </row>
    <row r="260" spans="1:67" ht="35.1" customHeight="1" x14ac:dyDescent="0.25">
      <c r="A260" s="3">
        <f t="shared" si="4"/>
        <v>248</v>
      </c>
      <c r="B260" s="1218" t="s">
        <v>162</v>
      </c>
      <c r="C260" s="1218"/>
      <c r="D260" s="1222"/>
      <c r="E260" s="1222"/>
      <c r="F260" s="1222"/>
      <c r="G260" s="1222"/>
      <c r="H260" s="1222"/>
      <c r="I260" s="1219"/>
      <c r="J260" s="1219"/>
      <c r="K260" s="1219"/>
      <c r="L260" s="1219"/>
      <c r="M260" s="1219"/>
      <c r="N260" s="1219"/>
      <c r="O260" s="1219"/>
      <c r="P260" s="1219"/>
      <c r="Q260" s="1220"/>
      <c r="R260" s="1220"/>
      <c r="S260" s="1220"/>
      <c r="T260" s="1220"/>
      <c r="U260" s="1220"/>
      <c r="V260" s="1220"/>
      <c r="W260" s="1220"/>
      <c r="X260" s="1220"/>
      <c r="Y260" s="1219"/>
      <c r="Z260" s="1219"/>
      <c r="AA260" s="1220"/>
      <c r="AB260" s="1220"/>
      <c r="AC260" s="1220"/>
      <c r="AD260" s="1220"/>
      <c r="AE260" s="1219"/>
      <c r="AF260" s="1219"/>
      <c r="AG260" s="1219"/>
      <c r="AH260" s="1220"/>
      <c r="AI260" s="1220"/>
      <c r="AJ260" s="1220"/>
      <c r="AK260" s="1219"/>
      <c r="AL260" s="1219"/>
      <c r="AM260" s="1219"/>
      <c r="AN260" s="1219"/>
      <c r="AO260" s="1220"/>
      <c r="AP260" s="1220"/>
      <c r="AQ260" s="1220"/>
      <c r="AR260" s="1220"/>
      <c r="AS260" s="1220"/>
      <c r="AT260" s="1220"/>
      <c r="AU260" s="1220"/>
      <c r="AV260" s="1220"/>
      <c r="AW260" s="1258"/>
      <c r="AX260" s="1258"/>
      <c r="AY260" s="1258"/>
      <c r="AZ260" s="1220"/>
      <c r="BA260" s="1220"/>
      <c r="BB260" s="1220"/>
      <c r="BC260" s="1220"/>
      <c r="BD260" s="1220"/>
      <c r="BE260" s="1220"/>
      <c r="BF260" s="1220"/>
      <c r="BG260" s="1220"/>
      <c r="BH260" s="1220"/>
      <c r="BI260" s="1220"/>
      <c r="BJ260" s="1220"/>
      <c r="BK260" s="1220"/>
      <c r="BL260" s="1220"/>
      <c r="BM260" s="1220"/>
      <c r="BN260" s="1220"/>
      <c r="BO260" s="1220"/>
    </row>
    <row r="261" spans="1:67" ht="35.1" customHeight="1" x14ac:dyDescent="0.25">
      <c r="A261" s="3">
        <f t="shared" si="4"/>
        <v>249</v>
      </c>
      <c r="B261" s="1218" t="s">
        <v>162</v>
      </c>
      <c r="C261" s="1218"/>
      <c r="D261" s="1221"/>
      <c r="E261" s="1221"/>
      <c r="F261" s="1221"/>
      <c r="G261" s="1221"/>
      <c r="H261" s="1221"/>
      <c r="I261" s="540"/>
      <c r="J261" s="540"/>
      <c r="K261" s="540"/>
      <c r="L261" s="540"/>
      <c r="M261" s="540"/>
      <c r="N261" s="540"/>
      <c r="O261" s="540"/>
      <c r="P261" s="540"/>
      <c r="Q261" s="540"/>
      <c r="R261" s="540"/>
      <c r="S261" s="540"/>
      <c r="T261" s="540"/>
      <c r="U261" s="540"/>
      <c r="V261" s="540"/>
      <c r="W261" s="540"/>
      <c r="X261" s="540"/>
      <c r="Y261" s="540"/>
      <c r="Z261" s="540"/>
      <c r="AA261" s="540"/>
      <c r="AB261" s="540"/>
      <c r="AC261" s="540"/>
      <c r="AD261" s="540"/>
      <c r="AE261" s="540"/>
      <c r="AF261" s="540"/>
      <c r="AG261" s="540"/>
      <c r="AH261" s="540"/>
      <c r="AI261" s="540"/>
      <c r="AJ261" s="540"/>
      <c r="AK261" s="540"/>
      <c r="AL261" s="540"/>
      <c r="AM261" s="540"/>
      <c r="AN261" s="540"/>
      <c r="AO261" s="540"/>
      <c r="AP261" s="540"/>
      <c r="AQ261" s="540"/>
      <c r="AR261" s="540"/>
      <c r="AS261" s="540"/>
      <c r="AT261" s="540"/>
      <c r="AU261" s="540"/>
      <c r="AV261" s="540"/>
      <c r="AW261" s="1259"/>
      <c r="AX261" s="1259"/>
      <c r="AY261" s="1259"/>
      <c r="AZ261" s="540"/>
      <c r="BA261" s="540"/>
      <c r="BB261" s="540"/>
      <c r="BC261" s="540"/>
      <c r="BD261" s="540"/>
      <c r="BE261" s="540"/>
      <c r="BF261" s="540"/>
      <c r="BG261" s="540"/>
      <c r="BH261" s="540"/>
      <c r="BI261" s="540"/>
      <c r="BJ261" s="540"/>
      <c r="BK261" s="540"/>
      <c r="BL261" s="540"/>
      <c r="BM261" s="540"/>
      <c r="BN261" s="540"/>
      <c r="BO261" s="540"/>
    </row>
    <row r="262" spans="1:67" ht="35.1" customHeight="1" x14ac:dyDescent="0.25">
      <c r="A262" s="3">
        <f t="shared" si="4"/>
        <v>250</v>
      </c>
      <c r="B262" s="1218" t="s">
        <v>162</v>
      </c>
      <c r="C262" s="1218"/>
      <c r="D262" s="1222"/>
      <c r="E262" s="1222"/>
      <c r="F262" s="1222"/>
      <c r="G262" s="1222"/>
      <c r="H262" s="1222"/>
      <c r="I262" s="1219"/>
      <c r="J262" s="1219"/>
      <c r="K262" s="1219"/>
      <c r="L262" s="1219"/>
      <c r="M262" s="1219"/>
      <c r="N262" s="1219"/>
      <c r="O262" s="1219"/>
      <c r="P262" s="1219"/>
      <c r="Q262" s="1220"/>
      <c r="R262" s="1220"/>
      <c r="S262" s="1220"/>
      <c r="T262" s="1220"/>
      <c r="U262" s="1220"/>
      <c r="V262" s="1220"/>
      <c r="W262" s="1220"/>
      <c r="X262" s="1220"/>
      <c r="Y262" s="1219"/>
      <c r="Z262" s="1219"/>
      <c r="AA262" s="1220"/>
      <c r="AB262" s="1220"/>
      <c r="AC262" s="1220"/>
      <c r="AD262" s="1220"/>
      <c r="AE262" s="1219"/>
      <c r="AF262" s="1219"/>
      <c r="AG262" s="1219"/>
      <c r="AH262" s="1220"/>
      <c r="AI262" s="1220"/>
      <c r="AJ262" s="1220"/>
      <c r="AK262" s="1219"/>
      <c r="AL262" s="1219"/>
      <c r="AM262" s="1219"/>
      <c r="AN262" s="1219"/>
      <c r="AO262" s="1220"/>
      <c r="AP262" s="1220"/>
      <c r="AQ262" s="1220"/>
      <c r="AR262" s="1220"/>
      <c r="AS262" s="1220"/>
      <c r="AT262" s="1220"/>
      <c r="AU262" s="1220"/>
      <c r="AV262" s="1220"/>
      <c r="AW262" s="1258"/>
      <c r="AX262" s="1258"/>
      <c r="AY262" s="1258"/>
      <c r="AZ262" s="1220"/>
      <c r="BA262" s="1220"/>
      <c r="BB262" s="1220"/>
      <c r="BC262" s="1220"/>
      <c r="BD262" s="1220"/>
      <c r="BE262" s="1220"/>
      <c r="BF262" s="1220"/>
      <c r="BG262" s="1220"/>
      <c r="BH262" s="1220"/>
      <c r="BI262" s="1220"/>
      <c r="BJ262" s="1220"/>
      <c r="BK262" s="1220"/>
      <c r="BL262" s="1220"/>
      <c r="BM262" s="1220"/>
      <c r="BN262" s="1220"/>
      <c r="BO262" s="1220"/>
    </row>
    <row r="263" spans="1:67" ht="35.1" customHeight="1" x14ac:dyDescent="0.25">
      <c r="A263" s="3">
        <f t="shared" si="4"/>
        <v>251</v>
      </c>
      <c r="B263" s="1218" t="s">
        <v>162</v>
      </c>
      <c r="C263" s="1218"/>
      <c r="D263" s="1221"/>
      <c r="E263" s="1221"/>
      <c r="F263" s="1221"/>
      <c r="G263" s="1221"/>
      <c r="H263" s="1221"/>
      <c r="I263" s="540"/>
      <c r="J263" s="540"/>
      <c r="K263" s="540"/>
      <c r="L263" s="540"/>
      <c r="M263" s="540"/>
      <c r="N263" s="540"/>
      <c r="O263" s="540"/>
      <c r="P263" s="540"/>
      <c r="Q263" s="540"/>
      <c r="R263" s="540"/>
      <c r="S263" s="540"/>
      <c r="T263" s="540"/>
      <c r="U263" s="540"/>
      <c r="V263" s="540"/>
      <c r="W263" s="540"/>
      <c r="X263" s="540"/>
      <c r="Y263" s="540"/>
      <c r="Z263" s="540"/>
      <c r="AA263" s="540"/>
      <c r="AB263" s="540"/>
      <c r="AC263" s="540"/>
      <c r="AD263" s="540"/>
      <c r="AE263" s="540"/>
      <c r="AF263" s="540"/>
      <c r="AG263" s="540"/>
      <c r="AH263" s="540"/>
      <c r="AI263" s="540"/>
      <c r="AJ263" s="540"/>
      <c r="AK263" s="540"/>
      <c r="AL263" s="540"/>
      <c r="AM263" s="540"/>
      <c r="AN263" s="540"/>
      <c r="AO263" s="540"/>
      <c r="AP263" s="540"/>
      <c r="AQ263" s="540"/>
      <c r="AR263" s="540"/>
      <c r="AS263" s="540"/>
      <c r="AT263" s="540"/>
      <c r="AU263" s="540"/>
      <c r="AV263" s="540"/>
      <c r="AW263" s="1259"/>
      <c r="AX263" s="1259"/>
      <c r="AY263" s="1259"/>
      <c r="AZ263" s="540"/>
      <c r="BA263" s="540"/>
      <c r="BB263" s="540"/>
      <c r="BC263" s="540"/>
      <c r="BD263" s="540"/>
      <c r="BE263" s="540"/>
      <c r="BF263" s="540"/>
      <c r="BG263" s="540"/>
      <c r="BH263" s="540"/>
      <c r="BI263" s="540"/>
      <c r="BJ263" s="540"/>
      <c r="BK263" s="540"/>
      <c r="BL263" s="540"/>
      <c r="BM263" s="540"/>
      <c r="BN263" s="540"/>
      <c r="BO263" s="540"/>
    </row>
    <row r="264" spans="1:67" ht="35.1" customHeight="1" x14ac:dyDescent="0.25">
      <c r="A264" s="3">
        <f t="shared" si="4"/>
        <v>252</v>
      </c>
      <c r="B264" s="1218" t="s">
        <v>162</v>
      </c>
      <c r="C264" s="1218"/>
      <c r="D264" s="1222"/>
      <c r="E264" s="1222"/>
      <c r="F264" s="1222"/>
      <c r="G264" s="1222"/>
      <c r="H264" s="1222"/>
      <c r="I264" s="1219"/>
      <c r="J264" s="1219"/>
      <c r="K264" s="1219"/>
      <c r="L264" s="1219"/>
      <c r="M264" s="1219"/>
      <c r="N264" s="1219"/>
      <c r="O264" s="1219"/>
      <c r="P264" s="1219"/>
      <c r="Q264" s="1220"/>
      <c r="R264" s="1220"/>
      <c r="S264" s="1220"/>
      <c r="T264" s="1220"/>
      <c r="U264" s="1220"/>
      <c r="V264" s="1220"/>
      <c r="W264" s="1220"/>
      <c r="X264" s="1220"/>
      <c r="Y264" s="1219"/>
      <c r="Z264" s="1219"/>
      <c r="AA264" s="1220"/>
      <c r="AB264" s="1220"/>
      <c r="AC264" s="1220"/>
      <c r="AD264" s="1220"/>
      <c r="AE264" s="1219"/>
      <c r="AF264" s="1219"/>
      <c r="AG264" s="1219"/>
      <c r="AH264" s="1220"/>
      <c r="AI264" s="1220"/>
      <c r="AJ264" s="1220"/>
      <c r="AK264" s="1219"/>
      <c r="AL264" s="1219"/>
      <c r="AM264" s="1219"/>
      <c r="AN264" s="1219"/>
      <c r="AO264" s="1220"/>
      <c r="AP264" s="1220"/>
      <c r="AQ264" s="1220"/>
      <c r="AR264" s="1220"/>
      <c r="AS264" s="1220"/>
      <c r="AT264" s="1220"/>
      <c r="AU264" s="1220"/>
      <c r="AV264" s="1220"/>
      <c r="AW264" s="1258"/>
      <c r="AX264" s="1258"/>
      <c r="AY264" s="1258"/>
      <c r="AZ264" s="1220"/>
      <c r="BA264" s="1220"/>
      <c r="BB264" s="1220"/>
      <c r="BC264" s="1220"/>
      <c r="BD264" s="1220"/>
      <c r="BE264" s="1220"/>
      <c r="BF264" s="1220"/>
      <c r="BG264" s="1220"/>
      <c r="BH264" s="1220"/>
      <c r="BI264" s="1220"/>
      <c r="BJ264" s="1220"/>
      <c r="BK264" s="1220"/>
      <c r="BL264" s="1220"/>
      <c r="BM264" s="1220"/>
      <c r="BN264" s="1220"/>
      <c r="BO264" s="1220"/>
    </row>
    <row r="265" spans="1:67" ht="35.1" customHeight="1" x14ac:dyDescent="0.25">
      <c r="A265" s="3">
        <f t="shared" si="4"/>
        <v>253</v>
      </c>
      <c r="B265" s="1218" t="s">
        <v>162</v>
      </c>
      <c r="C265" s="1218"/>
      <c r="D265" s="1221"/>
      <c r="E265" s="1221"/>
      <c r="F265" s="1221"/>
      <c r="G265" s="1221"/>
      <c r="H265" s="1221"/>
      <c r="I265" s="540"/>
      <c r="J265" s="540"/>
      <c r="K265" s="540"/>
      <c r="L265" s="540"/>
      <c r="M265" s="540"/>
      <c r="N265" s="540"/>
      <c r="O265" s="540"/>
      <c r="P265" s="540"/>
      <c r="Q265" s="540"/>
      <c r="R265" s="540"/>
      <c r="S265" s="540"/>
      <c r="T265" s="540"/>
      <c r="U265" s="540"/>
      <c r="V265" s="540"/>
      <c r="W265" s="540"/>
      <c r="X265" s="540"/>
      <c r="Y265" s="540"/>
      <c r="Z265" s="540"/>
      <c r="AA265" s="540"/>
      <c r="AB265" s="540"/>
      <c r="AC265" s="540"/>
      <c r="AD265" s="540"/>
      <c r="AE265" s="540"/>
      <c r="AF265" s="540"/>
      <c r="AG265" s="540"/>
      <c r="AH265" s="540"/>
      <c r="AI265" s="540"/>
      <c r="AJ265" s="540"/>
      <c r="AK265" s="540"/>
      <c r="AL265" s="540"/>
      <c r="AM265" s="540"/>
      <c r="AN265" s="540"/>
      <c r="AO265" s="540"/>
      <c r="AP265" s="540"/>
      <c r="AQ265" s="540"/>
      <c r="AR265" s="540"/>
      <c r="AS265" s="540"/>
      <c r="AT265" s="540"/>
      <c r="AU265" s="540"/>
      <c r="AV265" s="540"/>
      <c r="AW265" s="1259"/>
      <c r="AX265" s="1259"/>
      <c r="AY265" s="1259"/>
      <c r="AZ265" s="540"/>
      <c r="BA265" s="540"/>
      <c r="BB265" s="540"/>
      <c r="BC265" s="540"/>
      <c r="BD265" s="540"/>
      <c r="BE265" s="540"/>
      <c r="BF265" s="540"/>
      <c r="BG265" s="540"/>
      <c r="BH265" s="540"/>
      <c r="BI265" s="540"/>
      <c r="BJ265" s="540"/>
      <c r="BK265" s="540"/>
      <c r="BL265" s="540"/>
      <c r="BM265" s="540"/>
      <c r="BN265" s="540"/>
      <c r="BO265" s="540"/>
    </row>
    <row r="266" spans="1:67" ht="35.1" customHeight="1" x14ac:dyDescent="0.25">
      <c r="A266" s="3">
        <f t="shared" si="4"/>
        <v>254</v>
      </c>
      <c r="B266" s="1235" t="s">
        <v>162</v>
      </c>
      <c r="C266" s="1235"/>
      <c r="D266" s="1222"/>
      <c r="E266" s="1222"/>
      <c r="F266" s="1222"/>
      <c r="G266" s="1222"/>
      <c r="H266" s="1222"/>
      <c r="I266" s="1219"/>
      <c r="J266" s="1219"/>
      <c r="K266" s="1219"/>
      <c r="L266" s="1219"/>
      <c r="M266" s="1219"/>
      <c r="N266" s="1219"/>
      <c r="O266" s="1219"/>
      <c r="P266" s="1219"/>
      <c r="Q266" s="1220"/>
      <c r="R266" s="1220"/>
      <c r="S266" s="1220"/>
      <c r="T266" s="1220"/>
      <c r="U266" s="1220"/>
      <c r="V266" s="1220"/>
      <c r="W266" s="1220"/>
      <c r="X266" s="1220"/>
      <c r="Y266" s="1219"/>
      <c r="Z266" s="1219"/>
      <c r="AA266" s="1220"/>
      <c r="AB266" s="1220"/>
      <c r="AC266" s="1220"/>
      <c r="AD266" s="1220"/>
      <c r="AE266" s="1219"/>
      <c r="AF266" s="1219"/>
      <c r="AG266" s="1219"/>
      <c r="AH266" s="1220"/>
      <c r="AI266" s="1220"/>
      <c r="AJ266" s="1220"/>
      <c r="AK266" s="1219"/>
      <c r="AL266" s="1219"/>
      <c r="AM266" s="1219"/>
      <c r="AN266" s="1219"/>
      <c r="AO266" s="1220"/>
      <c r="AP266" s="1220"/>
      <c r="AQ266" s="1220"/>
      <c r="AR266" s="1220"/>
      <c r="AS266" s="1220"/>
      <c r="AT266" s="1220"/>
      <c r="AU266" s="1220"/>
      <c r="AV266" s="1220"/>
      <c r="AW266" s="1258"/>
      <c r="AX266" s="1258"/>
      <c r="AY266" s="1258"/>
      <c r="AZ266" s="1220"/>
      <c r="BA266" s="1220"/>
      <c r="BB266" s="1220"/>
      <c r="BC266" s="1220"/>
      <c r="BD266" s="1220"/>
      <c r="BE266" s="1220"/>
      <c r="BF266" s="1220"/>
      <c r="BG266" s="1220"/>
      <c r="BH266" s="1220"/>
      <c r="BI266" s="1220"/>
      <c r="BJ266" s="1220"/>
      <c r="BK266" s="1220"/>
      <c r="BL266" s="1220"/>
      <c r="BM266" s="1220"/>
      <c r="BN266" s="1220"/>
      <c r="BO266" s="1220"/>
    </row>
    <row r="267" spans="1:67" ht="35.1" customHeight="1" x14ac:dyDescent="0.25">
      <c r="A267" s="3">
        <f t="shared" si="4"/>
        <v>255</v>
      </c>
      <c r="B267" s="1218" t="s">
        <v>162</v>
      </c>
      <c r="C267" s="1218"/>
      <c r="D267" s="1221"/>
      <c r="E267" s="1221"/>
      <c r="F267" s="1221"/>
      <c r="G267" s="1221"/>
      <c r="H267" s="1221"/>
      <c r="I267" s="540"/>
      <c r="J267" s="540"/>
      <c r="K267" s="540"/>
      <c r="L267" s="540"/>
      <c r="M267" s="540"/>
      <c r="N267" s="540"/>
      <c r="O267" s="540"/>
      <c r="P267" s="540"/>
      <c r="Q267" s="540"/>
      <c r="R267" s="540"/>
      <c r="S267" s="540"/>
      <c r="T267" s="540"/>
      <c r="U267" s="540"/>
      <c r="V267" s="540"/>
      <c r="W267" s="540"/>
      <c r="X267" s="540"/>
      <c r="Y267" s="540"/>
      <c r="Z267" s="540"/>
      <c r="AA267" s="540"/>
      <c r="AB267" s="540"/>
      <c r="AC267" s="540"/>
      <c r="AD267" s="540"/>
      <c r="AE267" s="540"/>
      <c r="AF267" s="540"/>
      <c r="AG267" s="540"/>
      <c r="AH267" s="540"/>
      <c r="AI267" s="540"/>
      <c r="AJ267" s="540"/>
      <c r="AK267" s="540"/>
      <c r="AL267" s="540"/>
      <c r="AM267" s="540"/>
      <c r="AN267" s="540"/>
      <c r="AO267" s="540"/>
      <c r="AP267" s="540"/>
      <c r="AQ267" s="540"/>
      <c r="AR267" s="540"/>
      <c r="AS267" s="540"/>
      <c r="AT267" s="540"/>
      <c r="AU267" s="540"/>
      <c r="AV267" s="540"/>
      <c r="AW267" s="1259"/>
      <c r="AX267" s="1259"/>
      <c r="AY267" s="1259"/>
      <c r="AZ267" s="540"/>
      <c r="BA267" s="540"/>
      <c r="BB267" s="540"/>
      <c r="BC267" s="540"/>
      <c r="BD267" s="540"/>
      <c r="BE267" s="540"/>
      <c r="BF267" s="540"/>
      <c r="BG267" s="540"/>
      <c r="BH267" s="540"/>
      <c r="BI267" s="540"/>
      <c r="BJ267" s="540"/>
      <c r="BK267" s="540"/>
      <c r="BL267" s="540"/>
      <c r="BM267" s="540"/>
      <c r="BN267" s="540"/>
      <c r="BO267" s="540"/>
    </row>
    <row r="268" spans="1:67" ht="35.1" customHeight="1" x14ac:dyDescent="0.25">
      <c r="A268" s="3">
        <f t="shared" si="4"/>
        <v>256</v>
      </c>
      <c r="B268" s="1218" t="s">
        <v>162</v>
      </c>
      <c r="C268" s="1218"/>
      <c r="D268" s="1222"/>
      <c r="E268" s="1222"/>
      <c r="F268" s="1222"/>
      <c r="G268" s="1222"/>
      <c r="H268" s="1222"/>
      <c r="I268" s="1219"/>
      <c r="J268" s="1219"/>
      <c r="K268" s="1219"/>
      <c r="L268" s="1219"/>
      <c r="M268" s="1219"/>
      <c r="N268" s="1219"/>
      <c r="O268" s="1219"/>
      <c r="P268" s="1219"/>
      <c r="Q268" s="1220"/>
      <c r="R268" s="1220"/>
      <c r="S268" s="1220"/>
      <c r="T268" s="1220"/>
      <c r="U268" s="1220"/>
      <c r="V268" s="1220"/>
      <c r="W268" s="1220"/>
      <c r="X268" s="1220"/>
      <c r="Y268" s="1219"/>
      <c r="Z268" s="1219"/>
      <c r="AA268" s="1220"/>
      <c r="AB268" s="1220"/>
      <c r="AC268" s="1220"/>
      <c r="AD268" s="1220"/>
      <c r="AE268" s="1219"/>
      <c r="AF268" s="1219"/>
      <c r="AG268" s="1219"/>
      <c r="AH268" s="1220"/>
      <c r="AI268" s="1220"/>
      <c r="AJ268" s="1220"/>
      <c r="AK268" s="1219"/>
      <c r="AL268" s="1219"/>
      <c r="AM268" s="1219"/>
      <c r="AN268" s="1219"/>
      <c r="AO268" s="1220"/>
      <c r="AP268" s="1220"/>
      <c r="AQ268" s="1220"/>
      <c r="AR268" s="1220"/>
      <c r="AS268" s="1220"/>
      <c r="AT268" s="1220"/>
      <c r="AU268" s="1220"/>
      <c r="AV268" s="1220"/>
      <c r="AW268" s="1258"/>
      <c r="AX268" s="1258"/>
      <c r="AY268" s="1258"/>
      <c r="AZ268" s="1220"/>
      <c r="BA268" s="1220"/>
      <c r="BB268" s="1220"/>
      <c r="BC268" s="1220"/>
      <c r="BD268" s="1220"/>
      <c r="BE268" s="1220"/>
      <c r="BF268" s="1220"/>
      <c r="BG268" s="1220"/>
      <c r="BH268" s="1220"/>
      <c r="BI268" s="1220"/>
      <c r="BJ268" s="1220"/>
      <c r="BK268" s="1220"/>
      <c r="BL268" s="1220"/>
      <c r="BM268" s="1220"/>
      <c r="BN268" s="1220"/>
      <c r="BO268" s="1220"/>
    </row>
    <row r="269" spans="1:67" ht="35.1" customHeight="1" x14ac:dyDescent="0.25">
      <c r="A269" s="3">
        <f t="shared" si="4"/>
        <v>257</v>
      </c>
      <c r="B269" s="1218" t="s">
        <v>162</v>
      </c>
      <c r="C269" s="1218"/>
      <c r="D269" s="1221"/>
      <c r="E269" s="1221"/>
      <c r="F269" s="1221"/>
      <c r="G269" s="1221"/>
      <c r="H269" s="1221"/>
      <c r="I269" s="540"/>
      <c r="J269" s="540"/>
      <c r="K269" s="540"/>
      <c r="L269" s="540"/>
      <c r="M269" s="540"/>
      <c r="N269" s="540"/>
      <c r="O269" s="540"/>
      <c r="P269" s="540"/>
      <c r="Q269" s="540"/>
      <c r="R269" s="540"/>
      <c r="S269" s="540"/>
      <c r="T269" s="540"/>
      <c r="U269" s="540"/>
      <c r="V269" s="540"/>
      <c r="W269" s="540"/>
      <c r="X269" s="540"/>
      <c r="Y269" s="540"/>
      <c r="Z269" s="540"/>
      <c r="AA269" s="540"/>
      <c r="AB269" s="540"/>
      <c r="AC269" s="540"/>
      <c r="AD269" s="540"/>
      <c r="AE269" s="540"/>
      <c r="AF269" s="540"/>
      <c r="AG269" s="540"/>
      <c r="AH269" s="540"/>
      <c r="AI269" s="540"/>
      <c r="AJ269" s="540"/>
      <c r="AK269" s="540"/>
      <c r="AL269" s="540"/>
      <c r="AM269" s="540"/>
      <c r="AN269" s="540"/>
      <c r="AO269" s="540"/>
      <c r="AP269" s="540"/>
      <c r="AQ269" s="540"/>
      <c r="AR269" s="540"/>
      <c r="AS269" s="540"/>
      <c r="AT269" s="540"/>
      <c r="AU269" s="540"/>
      <c r="AV269" s="540"/>
      <c r="AW269" s="1259"/>
      <c r="AX269" s="1259"/>
      <c r="AY269" s="1259"/>
      <c r="AZ269" s="540"/>
      <c r="BA269" s="540"/>
      <c r="BB269" s="540"/>
      <c r="BC269" s="540"/>
      <c r="BD269" s="540"/>
      <c r="BE269" s="540"/>
      <c r="BF269" s="540"/>
      <c r="BG269" s="540"/>
      <c r="BH269" s="540"/>
      <c r="BI269" s="540"/>
      <c r="BJ269" s="540"/>
      <c r="BK269" s="540"/>
      <c r="BL269" s="540"/>
      <c r="BM269" s="540"/>
      <c r="BN269" s="540"/>
      <c r="BO269" s="540"/>
    </row>
    <row r="270" spans="1:67" ht="35.1" customHeight="1" x14ac:dyDescent="0.25">
      <c r="A270" s="3">
        <f t="shared" si="4"/>
        <v>258</v>
      </c>
      <c r="B270" s="1218" t="s">
        <v>162</v>
      </c>
      <c r="C270" s="1218"/>
      <c r="D270" s="1222"/>
      <c r="E270" s="1222"/>
      <c r="F270" s="1222"/>
      <c r="G270" s="1222"/>
      <c r="H270" s="1222"/>
      <c r="I270" s="1219"/>
      <c r="J270" s="1219"/>
      <c r="K270" s="1219"/>
      <c r="L270" s="1219"/>
      <c r="M270" s="1219"/>
      <c r="N270" s="1219"/>
      <c r="O270" s="1219"/>
      <c r="P270" s="1219"/>
      <c r="Q270" s="1220"/>
      <c r="R270" s="1220"/>
      <c r="S270" s="1220"/>
      <c r="T270" s="1220"/>
      <c r="U270" s="1220"/>
      <c r="V270" s="1220"/>
      <c r="W270" s="1220"/>
      <c r="X270" s="1220"/>
      <c r="Y270" s="1219"/>
      <c r="Z270" s="1219"/>
      <c r="AA270" s="1220"/>
      <c r="AB270" s="1220"/>
      <c r="AC270" s="1220"/>
      <c r="AD270" s="1220"/>
      <c r="AE270" s="1219"/>
      <c r="AF270" s="1219"/>
      <c r="AG270" s="1219"/>
      <c r="AH270" s="1220"/>
      <c r="AI270" s="1220"/>
      <c r="AJ270" s="1220"/>
      <c r="AK270" s="1219"/>
      <c r="AL270" s="1219"/>
      <c r="AM270" s="1219"/>
      <c r="AN270" s="1219"/>
      <c r="AO270" s="1220"/>
      <c r="AP270" s="1220"/>
      <c r="AQ270" s="1220"/>
      <c r="AR270" s="1220"/>
      <c r="AS270" s="1220"/>
      <c r="AT270" s="1220"/>
      <c r="AU270" s="1220"/>
      <c r="AV270" s="1220"/>
      <c r="AW270" s="1258"/>
      <c r="AX270" s="1258"/>
      <c r="AY270" s="1258"/>
      <c r="AZ270" s="1220"/>
      <c r="BA270" s="1220"/>
      <c r="BB270" s="1220"/>
      <c r="BC270" s="1220"/>
      <c r="BD270" s="1220"/>
      <c r="BE270" s="1220"/>
      <c r="BF270" s="1220"/>
      <c r="BG270" s="1220"/>
      <c r="BH270" s="1220"/>
      <c r="BI270" s="1220"/>
      <c r="BJ270" s="1220"/>
      <c r="BK270" s="1220"/>
      <c r="BL270" s="1220"/>
      <c r="BM270" s="1220"/>
      <c r="BN270" s="1220"/>
      <c r="BO270" s="1220"/>
    </row>
    <row r="271" spans="1:67" ht="35.1" customHeight="1" x14ac:dyDescent="0.25">
      <c r="A271" s="3">
        <f t="shared" si="4"/>
        <v>259</v>
      </c>
      <c r="B271" s="1218" t="s">
        <v>162</v>
      </c>
      <c r="C271" s="1218"/>
      <c r="D271" s="1221"/>
      <c r="E271" s="1221"/>
      <c r="F271" s="1221"/>
      <c r="G271" s="1221"/>
      <c r="H271" s="1221"/>
      <c r="I271" s="540"/>
      <c r="J271" s="540"/>
      <c r="K271" s="540"/>
      <c r="L271" s="540"/>
      <c r="M271" s="540"/>
      <c r="N271" s="540"/>
      <c r="O271" s="540"/>
      <c r="P271" s="540"/>
      <c r="Q271" s="540"/>
      <c r="R271" s="540"/>
      <c r="S271" s="540"/>
      <c r="T271" s="540"/>
      <c r="U271" s="540"/>
      <c r="V271" s="540"/>
      <c r="W271" s="540"/>
      <c r="X271" s="540"/>
      <c r="Y271" s="540"/>
      <c r="Z271" s="540"/>
      <c r="AA271" s="540"/>
      <c r="AB271" s="540"/>
      <c r="AC271" s="540"/>
      <c r="AD271" s="540"/>
      <c r="AE271" s="540"/>
      <c r="AF271" s="540"/>
      <c r="AG271" s="540"/>
      <c r="AH271" s="540"/>
      <c r="AI271" s="540"/>
      <c r="AJ271" s="540"/>
      <c r="AK271" s="540"/>
      <c r="AL271" s="540"/>
      <c r="AM271" s="540"/>
      <c r="AN271" s="540"/>
      <c r="AO271" s="540"/>
      <c r="AP271" s="540"/>
      <c r="AQ271" s="540"/>
      <c r="AR271" s="540"/>
      <c r="AS271" s="540"/>
      <c r="AT271" s="540"/>
      <c r="AU271" s="540"/>
      <c r="AV271" s="540"/>
      <c r="AW271" s="1259"/>
      <c r="AX271" s="1259"/>
      <c r="AY271" s="1259"/>
      <c r="AZ271" s="540"/>
      <c r="BA271" s="540"/>
      <c r="BB271" s="540"/>
      <c r="BC271" s="540"/>
      <c r="BD271" s="540"/>
      <c r="BE271" s="540"/>
      <c r="BF271" s="540"/>
      <c r="BG271" s="540"/>
      <c r="BH271" s="540"/>
      <c r="BI271" s="540"/>
      <c r="BJ271" s="540"/>
      <c r="BK271" s="540"/>
      <c r="BL271" s="540"/>
      <c r="BM271" s="540"/>
      <c r="BN271" s="540"/>
      <c r="BO271" s="540"/>
    </row>
    <row r="272" spans="1:67" ht="35.1" customHeight="1" x14ac:dyDescent="0.25">
      <c r="A272" s="3">
        <f t="shared" si="4"/>
        <v>260</v>
      </c>
      <c r="B272" s="1218" t="s">
        <v>162</v>
      </c>
      <c r="C272" s="1218"/>
      <c r="D272" s="1222"/>
      <c r="E272" s="1222"/>
      <c r="F272" s="1222"/>
      <c r="G272" s="1222"/>
      <c r="H272" s="1222"/>
      <c r="I272" s="1219"/>
      <c r="J272" s="1219"/>
      <c r="K272" s="1219"/>
      <c r="L272" s="1219"/>
      <c r="M272" s="1219"/>
      <c r="N272" s="1219"/>
      <c r="O272" s="1219"/>
      <c r="P272" s="1219"/>
      <c r="Q272" s="1220"/>
      <c r="R272" s="1220"/>
      <c r="S272" s="1220"/>
      <c r="T272" s="1220"/>
      <c r="U272" s="1220"/>
      <c r="V272" s="1220"/>
      <c r="W272" s="1220"/>
      <c r="X272" s="1220"/>
      <c r="Y272" s="1219"/>
      <c r="Z272" s="1219"/>
      <c r="AA272" s="1220"/>
      <c r="AB272" s="1220"/>
      <c r="AC272" s="1220"/>
      <c r="AD272" s="1220"/>
      <c r="AE272" s="1219"/>
      <c r="AF272" s="1219"/>
      <c r="AG272" s="1219"/>
      <c r="AH272" s="1220"/>
      <c r="AI272" s="1220"/>
      <c r="AJ272" s="1220"/>
      <c r="AK272" s="1219"/>
      <c r="AL272" s="1219"/>
      <c r="AM272" s="1219"/>
      <c r="AN272" s="1219"/>
      <c r="AO272" s="1220"/>
      <c r="AP272" s="1220"/>
      <c r="AQ272" s="1220"/>
      <c r="AR272" s="1220"/>
      <c r="AS272" s="1220"/>
      <c r="AT272" s="1220"/>
      <c r="AU272" s="1220"/>
      <c r="AV272" s="1220"/>
      <c r="AW272" s="1258"/>
      <c r="AX272" s="1258"/>
      <c r="AY272" s="1258"/>
      <c r="AZ272" s="1220"/>
      <c r="BA272" s="1220"/>
      <c r="BB272" s="1220"/>
      <c r="BC272" s="1220"/>
      <c r="BD272" s="1220"/>
      <c r="BE272" s="1220"/>
      <c r="BF272" s="1220"/>
      <c r="BG272" s="1220"/>
      <c r="BH272" s="1220"/>
      <c r="BI272" s="1220"/>
      <c r="BJ272" s="1220"/>
      <c r="BK272" s="1220"/>
      <c r="BL272" s="1220"/>
      <c r="BM272" s="1220"/>
      <c r="BN272" s="1220"/>
      <c r="BO272" s="1220"/>
    </row>
    <row r="273" spans="1:67" ht="35.1" customHeight="1" x14ac:dyDescent="0.25">
      <c r="A273" s="3">
        <f t="shared" si="4"/>
        <v>261</v>
      </c>
      <c r="B273" s="1218" t="s">
        <v>162</v>
      </c>
      <c r="C273" s="1218"/>
      <c r="D273" s="1221"/>
      <c r="E273" s="1221"/>
      <c r="F273" s="1221"/>
      <c r="G273" s="1221"/>
      <c r="H273" s="1221"/>
      <c r="I273" s="540"/>
      <c r="J273" s="540"/>
      <c r="K273" s="540"/>
      <c r="L273" s="540"/>
      <c r="M273" s="540"/>
      <c r="N273" s="540"/>
      <c r="O273" s="540"/>
      <c r="P273" s="540"/>
      <c r="Q273" s="540"/>
      <c r="R273" s="540"/>
      <c r="S273" s="540"/>
      <c r="T273" s="540"/>
      <c r="U273" s="540"/>
      <c r="V273" s="540"/>
      <c r="W273" s="540"/>
      <c r="X273" s="540"/>
      <c r="Y273" s="540"/>
      <c r="Z273" s="540"/>
      <c r="AA273" s="540"/>
      <c r="AB273" s="540"/>
      <c r="AC273" s="540"/>
      <c r="AD273" s="540"/>
      <c r="AE273" s="540"/>
      <c r="AF273" s="540"/>
      <c r="AG273" s="540"/>
      <c r="AH273" s="540"/>
      <c r="AI273" s="540"/>
      <c r="AJ273" s="540"/>
      <c r="AK273" s="540"/>
      <c r="AL273" s="540"/>
      <c r="AM273" s="540"/>
      <c r="AN273" s="540"/>
      <c r="AO273" s="540"/>
      <c r="AP273" s="540"/>
      <c r="AQ273" s="540"/>
      <c r="AR273" s="540"/>
      <c r="AS273" s="540"/>
      <c r="AT273" s="540"/>
      <c r="AU273" s="540"/>
      <c r="AV273" s="540"/>
      <c r="AW273" s="1259"/>
      <c r="AX273" s="1259"/>
      <c r="AY273" s="1259"/>
      <c r="AZ273" s="540"/>
      <c r="BA273" s="540"/>
      <c r="BB273" s="540"/>
      <c r="BC273" s="540"/>
      <c r="BD273" s="540"/>
      <c r="BE273" s="540"/>
      <c r="BF273" s="540"/>
      <c r="BG273" s="540"/>
      <c r="BH273" s="540"/>
      <c r="BI273" s="540"/>
      <c r="BJ273" s="540"/>
      <c r="BK273" s="540"/>
      <c r="BL273" s="540"/>
      <c r="BM273" s="540"/>
      <c r="BN273" s="540"/>
      <c r="BO273" s="540"/>
    </row>
    <row r="274" spans="1:67" ht="35.1" customHeight="1" x14ac:dyDescent="0.25">
      <c r="A274" s="3">
        <f t="shared" si="4"/>
        <v>262</v>
      </c>
      <c r="B274" s="1218" t="s">
        <v>162</v>
      </c>
      <c r="C274" s="1218"/>
      <c r="D274" s="1222"/>
      <c r="E274" s="1222"/>
      <c r="F274" s="1222"/>
      <c r="G274" s="1222"/>
      <c r="H274" s="1222"/>
      <c r="I274" s="1219"/>
      <c r="J274" s="1219"/>
      <c r="K274" s="1219"/>
      <c r="L274" s="1219"/>
      <c r="M274" s="1219"/>
      <c r="N274" s="1219"/>
      <c r="O274" s="1219"/>
      <c r="P274" s="1219"/>
      <c r="Q274" s="1220"/>
      <c r="R274" s="1220"/>
      <c r="S274" s="1220"/>
      <c r="T274" s="1220"/>
      <c r="U274" s="1220"/>
      <c r="V274" s="1220"/>
      <c r="W274" s="1220"/>
      <c r="X274" s="1220"/>
      <c r="Y274" s="1219"/>
      <c r="Z274" s="1219"/>
      <c r="AA274" s="1220"/>
      <c r="AB274" s="1220"/>
      <c r="AC274" s="1220"/>
      <c r="AD274" s="1220"/>
      <c r="AE274" s="1219"/>
      <c r="AF274" s="1219"/>
      <c r="AG274" s="1219"/>
      <c r="AH274" s="1220"/>
      <c r="AI274" s="1220"/>
      <c r="AJ274" s="1220"/>
      <c r="AK274" s="1219"/>
      <c r="AL274" s="1219"/>
      <c r="AM274" s="1219"/>
      <c r="AN274" s="1219"/>
      <c r="AO274" s="1220"/>
      <c r="AP274" s="1220"/>
      <c r="AQ274" s="1220"/>
      <c r="AR274" s="1220"/>
      <c r="AS274" s="1220"/>
      <c r="AT274" s="1220"/>
      <c r="AU274" s="1220"/>
      <c r="AV274" s="1220"/>
      <c r="AW274" s="1258"/>
      <c r="AX274" s="1258"/>
      <c r="AY274" s="1258"/>
      <c r="AZ274" s="1220"/>
      <c r="BA274" s="1220"/>
      <c r="BB274" s="1220"/>
      <c r="BC274" s="1220"/>
      <c r="BD274" s="1220"/>
      <c r="BE274" s="1220"/>
      <c r="BF274" s="1220"/>
      <c r="BG274" s="1220"/>
      <c r="BH274" s="1220"/>
      <c r="BI274" s="1220"/>
      <c r="BJ274" s="1220"/>
      <c r="BK274" s="1220"/>
      <c r="BL274" s="1220"/>
      <c r="BM274" s="1220"/>
      <c r="BN274" s="1220"/>
      <c r="BO274" s="1220"/>
    </row>
    <row r="275" spans="1:67" ht="35.1" customHeight="1" x14ac:dyDescent="0.25">
      <c r="A275" s="3">
        <f t="shared" si="4"/>
        <v>263</v>
      </c>
      <c r="B275" s="1218" t="s">
        <v>162</v>
      </c>
      <c r="C275" s="1218"/>
      <c r="D275" s="1221"/>
      <c r="E275" s="1221"/>
      <c r="F275" s="1221"/>
      <c r="G275" s="1221"/>
      <c r="H275" s="1221"/>
      <c r="I275" s="540"/>
      <c r="J275" s="540"/>
      <c r="K275" s="540"/>
      <c r="L275" s="540"/>
      <c r="M275" s="540"/>
      <c r="N275" s="540"/>
      <c r="O275" s="540"/>
      <c r="P275" s="540"/>
      <c r="Q275" s="540"/>
      <c r="R275" s="540"/>
      <c r="S275" s="540"/>
      <c r="T275" s="540"/>
      <c r="U275" s="540"/>
      <c r="V275" s="540"/>
      <c r="W275" s="540"/>
      <c r="X275" s="540"/>
      <c r="Y275" s="540"/>
      <c r="Z275" s="540"/>
      <c r="AA275" s="540"/>
      <c r="AB275" s="540"/>
      <c r="AC275" s="540"/>
      <c r="AD275" s="540"/>
      <c r="AE275" s="540"/>
      <c r="AF275" s="540"/>
      <c r="AG275" s="540"/>
      <c r="AH275" s="540"/>
      <c r="AI275" s="540"/>
      <c r="AJ275" s="540"/>
      <c r="AK275" s="540"/>
      <c r="AL275" s="540"/>
      <c r="AM275" s="540"/>
      <c r="AN275" s="540"/>
      <c r="AO275" s="540"/>
      <c r="AP275" s="540"/>
      <c r="AQ275" s="540"/>
      <c r="AR275" s="540"/>
      <c r="AS275" s="540"/>
      <c r="AT275" s="540"/>
      <c r="AU275" s="540"/>
      <c r="AV275" s="540"/>
      <c r="AW275" s="1259"/>
      <c r="AX275" s="1259"/>
      <c r="AY275" s="1259"/>
      <c r="AZ275" s="540"/>
      <c r="BA275" s="540"/>
      <c r="BB275" s="540"/>
      <c r="BC275" s="540"/>
      <c r="BD275" s="540"/>
      <c r="BE275" s="540"/>
      <c r="BF275" s="540"/>
      <c r="BG275" s="540"/>
      <c r="BH275" s="540"/>
      <c r="BI275" s="540"/>
      <c r="BJ275" s="540"/>
      <c r="BK275" s="540"/>
      <c r="BL275" s="540"/>
      <c r="BM275" s="540"/>
      <c r="BN275" s="540"/>
      <c r="BO275" s="540"/>
    </row>
    <row r="276" spans="1:67" ht="35.1" customHeight="1" x14ac:dyDescent="0.25">
      <c r="A276" s="3">
        <f t="shared" si="4"/>
        <v>264</v>
      </c>
      <c r="B276" s="1218" t="s">
        <v>162</v>
      </c>
      <c r="C276" s="1218"/>
      <c r="D276" s="1222"/>
      <c r="E276" s="1222"/>
      <c r="F276" s="1222"/>
      <c r="G276" s="1222"/>
      <c r="H276" s="1222"/>
      <c r="I276" s="1219"/>
      <c r="J276" s="1219"/>
      <c r="K276" s="1219"/>
      <c r="L276" s="1219"/>
      <c r="M276" s="1219"/>
      <c r="N276" s="1219"/>
      <c r="O276" s="1219"/>
      <c r="P276" s="1219"/>
      <c r="Q276" s="1220"/>
      <c r="R276" s="1220"/>
      <c r="S276" s="1220"/>
      <c r="T276" s="1220"/>
      <c r="U276" s="1220"/>
      <c r="V276" s="1220"/>
      <c r="W276" s="1220"/>
      <c r="X276" s="1220"/>
      <c r="Y276" s="1219"/>
      <c r="Z276" s="1219"/>
      <c r="AA276" s="1220"/>
      <c r="AB276" s="1220"/>
      <c r="AC276" s="1220"/>
      <c r="AD276" s="1220"/>
      <c r="AE276" s="1219"/>
      <c r="AF276" s="1219"/>
      <c r="AG276" s="1219"/>
      <c r="AH276" s="1220"/>
      <c r="AI276" s="1220"/>
      <c r="AJ276" s="1220"/>
      <c r="AK276" s="1219"/>
      <c r="AL276" s="1219"/>
      <c r="AM276" s="1219"/>
      <c r="AN276" s="1219"/>
      <c r="AO276" s="1220"/>
      <c r="AP276" s="1220"/>
      <c r="AQ276" s="1220"/>
      <c r="AR276" s="1220"/>
      <c r="AS276" s="1220"/>
      <c r="AT276" s="1220"/>
      <c r="AU276" s="1220"/>
      <c r="AV276" s="1220"/>
      <c r="AW276" s="1258"/>
      <c r="AX276" s="1258"/>
      <c r="AY276" s="1258"/>
      <c r="AZ276" s="1220"/>
      <c r="BA276" s="1220"/>
      <c r="BB276" s="1220"/>
      <c r="BC276" s="1220"/>
      <c r="BD276" s="1220"/>
      <c r="BE276" s="1220"/>
      <c r="BF276" s="1220"/>
      <c r="BG276" s="1220"/>
      <c r="BH276" s="1220"/>
      <c r="BI276" s="1220"/>
      <c r="BJ276" s="1220"/>
      <c r="BK276" s="1220"/>
      <c r="BL276" s="1220"/>
      <c r="BM276" s="1220"/>
      <c r="BN276" s="1220"/>
      <c r="BO276" s="1220"/>
    </row>
    <row r="277" spans="1:67" ht="35.1" customHeight="1" x14ac:dyDescent="0.25">
      <c r="A277" s="3">
        <f t="shared" si="4"/>
        <v>265</v>
      </c>
      <c r="B277" s="1218" t="s">
        <v>162</v>
      </c>
      <c r="C277" s="1218"/>
      <c r="D277" s="1221"/>
      <c r="E277" s="1221"/>
      <c r="F277" s="1221"/>
      <c r="G277" s="1221"/>
      <c r="H277" s="1221"/>
      <c r="I277" s="540"/>
      <c r="J277" s="540"/>
      <c r="K277" s="540"/>
      <c r="L277" s="540"/>
      <c r="M277" s="540"/>
      <c r="N277" s="540"/>
      <c r="O277" s="540"/>
      <c r="P277" s="540"/>
      <c r="Q277" s="540"/>
      <c r="R277" s="540"/>
      <c r="S277" s="540"/>
      <c r="T277" s="540"/>
      <c r="U277" s="540"/>
      <c r="V277" s="540"/>
      <c r="W277" s="540"/>
      <c r="X277" s="540"/>
      <c r="Y277" s="540"/>
      <c r="Z277" s="540"/>
      <c r="AA277" s="540"/>
      <c r="AB277" s="540"/>
      <c r="AC277" s="540"/>
      <c r="AD277" s="540"/>
      <c r="AE277" s="540"/>
      <c r="AF277" s="540"/>
      <c r="AG277" s="540"/>
      <c r="AH277" s="540"/>
      <c r="AI277" s="540"/>
      <c r="AJ277" s="540"/>
      <c r="AK277" s="540"/>
      <c r="AL277" s="540"/>
      <c r="AM277" s="540"/>
      <c r="AN277" s="540"/>
      <c r="AO277" s="540"/>
      <c r="AP277" s="540"/>
      <c r="AQ277" s="540"/>
      <c r="AR277" s="540"/>
      <c r="AS277" s="540"/>
      <c r="AT277" s="540"/>
      <c r="AU277" s="540"/>
      <c r="AV277" s="540"/>
      <c r="AW277" s="1259"/>
      <c r="AX277" s="1259"/>
      <c r="AY277" s="1259"/>
      <c r="AZ277" s="540"/>
      <c r="BA277" s="540"/>
      <c r="BB277" s="540"/>
      <c r="BC277" s="540"/>
      <c r="BD277" s="540"/>
      <c r="BE277" s="540"/>
      <c r="BF277" s="540"/>
      <c r="BG277" s="540"/>
      <c r="BH277" s="540"/>
      <c r="BI277" s="540"/>
      <c r="BJ277" s="540"/>
      <c r="BK277" s="540"/>
      <c r="BL277" s="540"/>
      <c r="BM277" s="540"/>
      <c r="BN277" s="540"/>
      <c r="BO277" s="540"/>
    </row>
    <row r="278" spans="1:67" ht="35.1" customHeight="1" x14ac:dyDescent="0.25">
      <c r="A278" s="3">
        <f t="shared" si="4"/>
        <v>266</v>
      </c>
      <c r="B278" s="1218" t="s">
        <v>162</v>
      </c>
      <c r="C278" s="1218"/>
      <c r="D278" s="1222"/>
      <c r="E278" s="1222"/>
      <c r="F278" s="1222"/>
      <c r="G278" s="1222"/>
      <c r="H278" s="1222"/>
      <c r="I278" s="1219"/>
      <c r="J278" s="1219"/>
      <c r="K278" s="1219"/>
      <c r="L278" s="1219"/>
      <c r="M278" s="1219"/>
      <c r="N278" s="1219"/>
      <c r="O278" s="1219"/>
      <c r="P278" s="1219"/>
      <c r="Q278" s="1220"/>
      <c r="R278" s="1220"/>
      <c r="S278" s="1220"/>
      <c r="T278" s="1220"/>
      <c r="U278" s="1220"/>
      <c r="V278" s="1220"/>
      <c r="W278" s="1220"/>
      <c r="X278" s="1220"/>
      <c r="Y278" s="1219"/>
      <c r="Z278" s="1219"/>
      <c r="AA278" s="1220"/>
      <c r="AB278" s="1220"/>
      <c r="AC278" s="1220"/>
      <c r="AD278" s="1220"/>
      <c r="AE278" s="1219"/>
      <c r="AF278" s="1219"/>
      <c r="AG278" s="1219"/>
      <c r="AH278" s="1220"/>
      <c r="AI278" s="1220"/>
      <c r="AJ278" s="1220"/>
      <c r="AK278" s="1219"/>
      <c r="AL278" s="1219"/>
      <c r="AM278" s="1219"/>
      <c r="AN278" s="1219"/>
      <c r="AO278" s="1220"/>
      <c r="AP278" s="1220"/>
      <c r="AQ278" s="1220"/>
      <c r="AR278" s="1220"/>
      <c r="AS278" s="1220"/>
      <c r="AT278" s="1220"/>
      <c r="AU278" s="1220"/>
      <c r="AV278" s="1220"/>
      <c r="AW278" s="1258"/>
      <c r="AX278" s="1258"/>
      <c r="AY278" s="1258"/>
      <c r="AZ278" s="1220"/>
      <c r="BA278" s="1220"/>
      <c r="BB278" s="1220"/>
      <c r="BC278" s="1220"/>
      <c r="BD278" s="1220"/>
      <c r="BE278" s="1220"/>
      <c r="BF278" s="1220"/>
      <c r="BG278" s="1220"/>
      <c r="BH278" s="1220"/>
      <c r="BI278" s="1220"/>
      <c r="BJ278" s="1220"/>
      <c r="BK278" s="1220"/>
      <c r="BL278" s="1220"/>
      <c r="BM278" s="1220"/>
      <c r="BN278" s="1220"/>
      <c r="BO278" s="1220"/>
    </row>
    <row r="279" spans="1:67" ht="35.1" customHeight="1" x14ac:dyDescent="0.25">
      <c r="A279" s="3">
        <f t="shared" si="4"/>
        <v>267</v>
      </c>
      <c r="B279" s="1218" t="s">
        <v>162</v>
      </c>
      <c r="C279" s="1218"/>
      <c r="D279" s="1221"/>
      <c r="E279" s="1221"/>
      <c r="F279" s="1221"/>
      <c r="G279" s="1221"/>
      <c r="H279" s="1221"/>
      <c r="I279" s="540"/>
      <c r="J279" s="540"/>
      <c r="K279" s="540"/>
      <c r="L279" s="540"/>
      <c r="M279" s="540"/>
      <c r="N279" s="540"/>
      <c r="O279" s="540"/>
      <c r="P279" s="540"/>
      <c r="Q279" s="540"/>
      <c r="R279" s="540"/>
      <c r="S279" s="540"/>
      <c r="T279" s="540"/>
      <c r="U279" s="540"/>
      <c r="V279" s="540"/>
      <c r="W279" s="540"/>
      <c r="X279" s="540"/>
      <c r="Y279" s="540"/>
      <c r="Z279" s="540"/>
      <c r="AA279" s="540"/>
      <c r="AB279" s="540"/>
      <c r="AC279" s="540"/>
      <c r="AD279" s="540"/>
      <c r="AE279" s="540"/>
      <c r="AF279" s="540"/>
      <c r="AG279" s="540"/>
      <c r="AH279" s="540"/>
      <c r="AI279" s="540"/>
      <c r="AJ279" s="540"/>
      <c r="AK279" s="540"/>
      <c r="AL279" s="540"/>
      <c r="AM279" s="540"/>
      <c r="AN279" s="540"/>
      <c r="AO279" s="540"/>
      <c r="AP279" s="540"/>
      <c r="AQ279" s="540"/>
      <c r="AR279" s="540"/>
      <c r="AS279" s="540"/>
      <c r="AT279" s="540"/>
      <c r="AU279" s="540"/>
      <c r="AV279" s="540"/>
      <c r="AW279" s="1259"/>
      <c r="AX279" s="1259"/>
      <c r="AY279" s="1259"/>
      <c r="AZ279" s="540"/>
      <c r="BA279" s="540"/>
      <c r="BB279" s="540"/>
      <c r="BC279" s="540"/>
      <c r="BD279" s="540"/>
      <c r="BE279" s="540"/>
      <c r="BF279" s="540"/>
      <c r="BG279" s="540"/>
      <c r="BH279" s="540"/>
      <c r="BI279" s="540"/>
      <c r="BJ279" s="540"/>
      <c r="BK279" s="540"/>
      <c r="BL279" s="540"/>
      <c r="BM279" s="540"/>
      <c r="BN279" s="540"/>
      <c r="BO279" s="540"/>
    </row>
    <row r="280" spans="1:67" ht="35.1" customHeight="1" x14ac:dyDescent="0.25">
      <c r="A280" s="3">
        <f t="shared" si="4"/>
        <v>268</v>
      </c>
      <c r="B280" s="1218" t="s">
        <v>162</v>
      </c>
      <c r="C280" s="1218"/>
      <c r="D280" s="1222"/>
      <c r="E280" s="1222"/>
      <c r="F280" s="1222"/>
      <c r="G280" s="1222"/>
      <c r="H280" s="1222"/>
      <c r="I280" s="1219"/>
      <c r="J280" s="1219"/>
      <c r="K280" s="1219"/>
      <c r="L280" s="1219"/>
      <c r="M280" s="1219"/>
      <c r="N280" s="1219"/>
      <c r="O280" s="1219"/>
      <c r="P280" s="1219"/>
      <c r="Q280" s="1220"/>
      <c r="R280" s="1220"/>
      <c r="S280" s="1220"/>
      <c r="T280" s="1220"/>
      <c r="U280" s="1220"/>
      <c r="V280" s="1220"/>
      <c r="W280" s="1220"/>
      <c r="X280" s="1220"/>
      <c r="Y280" s="1219"/>
      <c r="Z280" s="1219"/>
      <c r="AA280" s="1220"/>
      <c r="AB280" s="1220"/>
      <c r="AC280" s="1220"/>
      <c r="AD280" s="1220"/>
      <c r="AE280" s="1219"/>
      <c r="AF280" s="1219"/>
      <c r="AG280" s="1219"/>
      <c r="AH280" s="1220"/>
      <c r="AI280" s="1220"/>
      <c r="AJ280" s="1220"/>
      <c r="AK280" s="1219"/>
      <c r="AL280" s="1219"/>
      <c r="AM280" s="1219"/>
      <c r="AN280" s="1219"/>
      <c r="AO280" s="1220"/>
      <c r="AP280" s="1220"/>
      <c r="AQ280" s="1220"/>
      <c r="AR280" s="1220"/>
      <c r="AS280" s="1220"/>
      <c r="AT280" s="1220"/>
      <c r="AU280" s="1220"/>
      <c r="AV280" s="1220"/>
      <c r="AW280" s="1258"/>
      <c r="AX280" s="1258"/>
      <c r="AY280" s="1258"/>
      <c r="AZ280" s="1220"/>
      <c r="BA280" s="1220"/>
      <c r="BB280" s="1220"/>
      <c r="BC280" s="1220"/>
      <c r="BD280" s="1220"/>
      <c r="BE280" s="1220"/>
      <c r="BF280" s="1220"/>
      <c r="BG280" s="1220"/>
      <c r="BH280" s="1220"/>
      <c r="BI280" s="1220"/>
      <c r="BJ280" s="1220"/>
      <c r="BK280" s="1220"/>
      <c r="BL280" s="1220"/>
      <c r="BM280" s="1220"/>
      <c r="BN280" s="1220"/>
      <c r="BO280" s="1220"/>
    </row>
    <row r="281" spans="1:67" ht="35.1" customHeight="1" x14ac:dyDescent="0.25">
      <c r="A281" s="3">
        <f t="shared" si="4"/>
        <v>269</v>
      </c>
      <c r="B281" s="1218" t="s">
        <v>162</v>
      </c>
      <c r="C281" s="1218"/>
      <c r="D281" s="1221"/>
      <c r="E281" s="1221"/>
      <c r="F281" s="1221"/>
      <c r="G281" s="1221"/>
      <c r="H281" s="1221"/>
      <c r="I281" s="540"/>
      <c r="J281" s="540"/>
      <c r="K281" s="540"/>
      <c r="L281" s="540"/>
      <c r="M281" s="540"/>
      <c r="N281" s="540"/>
      <c r="O281" s="540"/>
      <c r="P281" s="540"/>
      <c r="Q281" s="540"/>
      <c r="R281" s="540"/>
      <c r="S281" s="540"/>
      <c r="T281" s="540"/>
      <c r="U281" s="540"/>
      <c r="V281" s="540"/>
      <c r="W281" s="540"/>
      <c r="X281" s="540"/>
      <c r="Y281" s="540"/>
      <c r="Z281" s="540"/>
      <c r="AA281" s="540"/>
      <c r="AB281" s="540"/>
      <c r="AC281" s="540"/>
      <c r="AD281" s="540"/>
      <c r="AE281" s="540"/>
      <c r="AF281" s="540"/>
      <c r="AG281" s="540"/>
      <c r="AH281" s="540"/>
      <c r="AI281" s="540"/>
      <c r="AJ281" s="540"/>
      <c r="AK281" s="540"/>
      <c r="AL281" s="540"/>
      <c r="AM281" s="540"/>
      <c r="AN281" s="540"/>
      <c r="AO281" s="540"/>
      <c r="AP281" s="540"/>
      <c r="AQ281" s="540"/>
      <c r="AR281" s="540"/>
      <c r="AS281" s="540"/>
      <c r="AT281" s="540"/>
      <c r="AU281" s="540"/>
      <c r="AV281" s="540"/>
      <c r="AW281" s="1259"/>
      <c r="AX281" s="1259"/>
      <c r="AY281" s="1259"/>
      <c r="AZ281" s="540"/>
      <c r="BA281" s="540"/>
      <c r="BB281" s="540"/>
      <c r="BC281" s="540"/>
      <c r="BD281" s="540"/>
      <c r="BE281" s="540"/>
      <c r="BF281" s="540"/>
      <c r="BG281" s="540"/>
      <c r="BH281" s="540"/>
      <c r="BI281" s="540"/>
      <c r="BJ281" s="540"/>
      <c r="BK281" s="540"/>
      <c r="BL281" s="540"/>
      <c r="BM281" s="540"/>
      <c r="BN281" s="540"/>
      <c r="BO281" s="540"/>
    </row>
    <row r="282" spans="1:67" ht="35.1" customHeight="1" x14ac:dyDescent="0.25">
      <c r="A282" s="3">
        <f t="shared" si="4"/>
        <v>270</v>
      </c>
      <c r="B282" s="1218" t="s">
        <v>162</v>
      </c>
      <c r="C282" s="1218"/>
      <c r="D282" s="1222"/>
      <c r="E282" s="1222"/>
      <c r="F282" s="1222"/>
      <c r="G282" s="1222"/>
      <c r="H282" s="1222"/>
      <c r="I282" s="1219"/>
      <c r="J282" s="1219"/>
      <c r="K282" s="1219"/>
      <c r="L282" s="1219"/>
      <c r="M282" s="1219"/>
      <c r="N282" s="1219"/>
      <c r="O282" s="1219"/>
      <c r="P282" s="1219"/>
      <c r="Q282" s="1220"/>
      <c r="R282" s="1220"/>
      <c r="S282" s="1220"/>
      <c r="T282" s="1220"/>
      <c r="U282" s="1220"/>
      <c r="V282" s="1220"/>
      <c r="W282" s="1220"/>
      <c r="X282" s="1220"/>
      <c r="Y282" s="1219"/>
      <c r="Z282" s="1219"/>
      <c r="AA282" s="1220"/>
      <c r="AB282" s="1220"/>
      <c r="AC282" s="1220"/>
      <c r="AD282" s="1220"/>
      <c r="AE282" s="1219"/>
      <c r="AF282" s="1219"/>
      <c r="AG282" s="1219"/>
      <c r="AH282" s="1220"/>
      <c r="AI282" s="1220"/>
      <c r="AJ282" s="1220"/>
      <c r="AK282" s="1219"/>
      <c r="AL282" s="1219"/>
      <c r="AM282" s="1219"/>
      <c r="AN282" s="1219"/>
      <c r="AO282" s="1220"/>
      <c r="AP282" s="1220"/>
      <c r="AQ282" s="1220"/>
      <c r="AR282" s="1220"/>
      <c r="AS282" s="1220"/>
      <c r="AT282" s="1220"/>
      <c r="AU282" s="1220"/>
      <c r="AV282" s="1220"/>
      <c r="AW282" s="1258"/>
      <c r="AX282" s="1258"/>
      <c r="AY282" s="1258"/>
      <c r="AZ282" s="1220"/>
      <c r="BA282" s="1220"/>
      <c r="BB282" s="1220"/>
      <c r="BC282" s="1220"/>
      <c r="BD282" s="1220"/>
      <c r="BE282" s="1220"/>
      <c r="BF282" s="1220"/>
      <c r="BG282" s="1220"/>
      <c r="BH282" s="1220"/>
      <c r="BI282" s="1220"/>
      <c r="BJ282" s="1220"/>
      <c r="BK282" s="1220"/>
      <c r="BL282" s="1220"/>
      <c r="BM282" s="1220"/>
      <c r="BN282" s="1220"/>
      <c r="BO282" s="1220"/>
    </row>
    <row r="283" spans="1:67" ht="35.1" customHeight="1" x14ac:dyDescent="0.25">
      <c r="A283" s="3">
        <f t="shared" si="4"/>
        <v>271</v>
      </c>
      <c r="B283" s="1218" t="s">
        <v>162</v>
      </c>
      <c r="C283" s="1218"/>
      <c r="D283" s="1221"/>
      <c r="E283" s="1221"/>
      <c r="F283" s="1221"/>
      <c r="G283" s="1221"/>
      <c r="H283" s="1221"/>
      <c r="I283" s="540"/>
      <c r="J283" s="540"/>
      <c r="K283" s="540"/>
      <c r="L283" s="540"/>
      <c r="M283" s="540"/>
      <c r="N283" s="540"/>
      <c r="O283" s="540"/>
      <c r="P283" s="540"/>
      <c r="Q283" s="540"/>
      <c r="R283" s="540"/>
      <c r="S283" s="540"/>
      <c r="T283" s="540"/>
      <c r="U283" s="540"/>
      <c r="V283" s="540"/>
      <c r="W283" s="540"/>
      <c r="X283" s="540"/>
      <c r="Y283" s="540"/>
      <c r="Z283" s="540"/>
      <c r="AA283" s="540"/>
      <c r="AB283" s="540"/>
      <c r="AC283" s="540"/>
      <c r="AD283" s="540"/>
      <c r="AE283" s="540"/>
      <c r="AF283" s="540"/>
      <c r="AG283" s="540"/>
      <c r="AH283" s="540"/>
      <c r="AI283" s="540"/>
      <c r="AJ283" s="540"/>
      <c r="AK283" s="540"/>
      <c r="AL283" s="540"/>
      <c r="AM283" s="540"/>
      <c r="AN283" s="540"/>
      <c r="AO283" s="540"/>
      <c r="AP283" s="540"/>
      <c r="AQ283" s="540"/>
      <c r="AR283" s="540"/>
      <c r="AS283" s="540"/>
      <c r="AT283" s="540"/>
      <c r="AU283" s="540"/>
      <c r="AV283" s="540"/>
      <c r="AW283" s="1259"/>
      <c r="AX283" s="1259"/>
      <c r="AY283" s="1259"/>
      <c r="AZ283" s="540"/>
      <c r="BA283" s="540"/>
      <c r="BB283" s="540"/>
      <c r="BC283" s="540"/>
      <c r="BD283" s="540"/>
      <c r="BE283" s="540"/>
      <c r="BF283" s="540"/>
      <c r="BG283" s="540"/>
      <c r="BH283" s="540"/>
      <c r="BI283" s="540"/>
      <c r="BJ283" s="540"/>
      <c r="BK283" s="540"/>
      <c r="BL283" s="540"/>
      <c r="BM283" s="540"/>
      <c r="BN283" s="540"/>
      <c r="BO283" s="540"/>
    </row>
    <row r="284" spans="1:67" ht="35.1" customHeight="1" x14ac:dyDescent="0.25">
      <c r="A284" s="3">
        <f t="shared" si="4"/>
        <v>272</v>
      </c>
      <c r="B284" s="1235" t="s">
        <v>162</v>
      </c>
      <c r="C284" s="1235"/>
      <c r="D284" s="1222"/>
      <c r="E284" s="1222"/>
      <c r="F284" s="1222"/>
      <c r="G284" s="1222"/>
      <c r="H284" s="1222"/>
      <c r="I284" s="1219"/>
      <c r="J284" s="1219"/>
      <c r="K284" s="1219"/>
      <c r="L284" s="1219"/>
      <c r="M284" s="1219"/>
      <c r="N284" s="1219"/>
      <c r="O284" s="1219"/>
      <c r="P284" s="1219"/>
      <c r="Q284" s="1220"/>
      <c r="R284" s="1220"/>
      <c r="S284" s="1220"/>
      <c r="T284" s="1220"/>
      <c r="U284" s="1220"/>
      <c r="V284" s="1220"/>
      <c r="W284" s="1220"/>
      <c r="X284" s="1220"/>
      <c r="Y284" s="1219"/>
      <c r="Z284" s="1219"/>
      <c r="AA284" s="1220"/>
      <c r="AB284" s="1220"/>
      <c r="AC284" s="1220"/>
      <c r="AD284" s="1220"/>
      <c r="AE284" s="1219"/>
      <c r="AF284" s="1219"/>
      <c r="AG284" s="1219"/>
      <c r="AH284" s="1220"/>
      <c r="AI284" s="1220"/>
      <c r="AJ284" s="1220"/>
      <c r="AK284" s="1219"/>
      <c r="AL284" s="1219"/>
      <c r="AM284" s="1219"/>
      <c r="AN284" s="1219"/>
      <c r="AO284" s="1220"/>
      <c r="AP284" s="1220"/>
      <c r="AQ284" s="1220"/>
      <c r="AR284" s="1220"/>
      <c r="AS284" s="1220"/>
      <c r="AT284" s="1220"/>
      <c r="AU284" s="1220"/>
      <c r="AV284" s="1220"/>
      <c r="AW284" s="1258"/>
      <c r="AX284" s="1258"/>
      <c r="AY284" s="1258"/>
      <c r="AZ284" s="1220"/>
      <c r="BA284" s="1220"/>
      <c r="BB284" s="1220"/>
      <c r="BC284" s="1220"/>
      <c r="BD284" s="1220"/>
      <c r="BE284" s="1220"/>
      <c r="BF284" s="1220"/>
      <c r="BG284" s="1220"/>
      <c r="BH284" s="1220"/>
      <c r="BI284" s="1220"/>
      <c r="BJ284" s="1220"/>
      <c r="BK284" s="1220"/>
      <c r="BL284" s="1220"/>
      <c r="BM284" s="1220"/>
      <c r="BN284" s="1220"/>
      <c r="BO284" s="1220"/>
    </row>
    <row r="285" spans="1:67" ht="35.1" customHeight="1" x14ac:dyDescent="0.25">
      <c r="A285" s="3">
        <f t="shared" si="4"/>
        <v>273</v>
      </c>
      <c r="B285" s="1218" t="s">
        <v>162</v>
      </c>
      <c r="C285" s="1218"/>
      <c r="D285" s="1221"/>
      <c r="E285" s="1221"/>
      <c r="F285" s="1221"/>
      <c r="G285" s="1221"/>
      <c r="H285" s="1221"/>
      <c r="I285" s="540"/>
      <c r="J285" s="540"/>
      <c r="K285" s="540"/>
      <c r="L285" s="540"/>
      <c r="M285" s="540"/>
      <c r="N285" s="540"/>
      <c r="O285" s="540"/>
      <c r="P285" s="540"/>
      <c r="Q285" s="540"/>
      <c r="R285" s="540"/>
      <c r="S285" s="540"/>
      <c r="T285" s="540"/>
      <c r="U285" s="540"/>
      <c r="V285" s="540"/>
      <c r="W285" s="540"/>
      <c r="X285" s="540"/>
      <c r="Y285" s="540"/>
      <c r="Z285" s="540"/>
      <c r="AA285" s="540"/>
      <c r="AB285" s="540"/>
      <c r="AC285" s="540"/>
      <c r="AD285" s="540"/>
      <c r="AE285" s="540"/>
      <c r="AF285" s="540"/>
      <c r="AG285" s="540"/>
      <c r="AH285" s="540"/>
      <c r="AI285" s="540"/>
      <c r="AJ285" s="540"/>
      <c r="AK285" s="540"/>
      <c r="AL285" s="540"/>
      <c r="AM285" s="540"/>
      <c r="AN285" s="540"/>
      <c r="AO285" s="540"/>
      <c r="AP285" s="540"/>
      <c r="AQ285" s="540"/>
      <c r="AR285" s="540"/>
      <c r="AS285" s="540"/>
      <c r="AT285" s="540"/>
      <c r="AU285" s="540"/>
      <c r="AV285" s="540"/>
      <c r="AW285" s="1259"/>
      <c r="AX285" s="1259"/>
      <c r="AY285" s="1259"/>
      <c r="AZ285" s="540"/>
      <c r="BA285" s="540"/>
      <c r="BB285" s="540"/>
      <c r="BC285" s="540"/>
      <c r="BD285" s="540"/>
      <c r="BE285" s="540"/>
      <c r="BF285" s="540"/>
      <c r="BG285" s="540"/>
      <c r="BH285" s="540"/>
      <c r="BI285" s="540"/>
      <c r="BJ285" s="540"/>
      <c r="BK285" s="540"/>
      <c r="BL285" s="540"/>
      <c r="BM285" s="540"/>
      <c r="BN285" s="540"/>
      <c r="BO285" s="540"/>
    </row>
    <row r="286" spans="1:67" ht="35.1" customHeight="1" x14ac:dyDescent="0.25">
      <c r="A286" s="3">
        <f t="shared" si="4"/>
        <v>274</v>
      </c>
      <c r="B286" s="1218" t="s">
        <v>162</v>
      </c>
      <c r="C286" s="1218"/>
      <c r="D286" s="1222"/>
      <c r="E286" s="1222"/>
      <c r="F286" s="1222"/>
      <c r="G286" s="1222"/>
      <c r="H286" s="1222"/>
      <c r="I286" s="1219"/>
      <c r="J286" s="1219"/>
      <c r="K286" s="1219"/>
      <c r="L286" s="1219"/>
      <c r="M286" s="1219"/>
      <c r="N286" s="1219"/>
      <c r="O286" s="1219"/>
      <c r="P286" s="1219"/>
      <c r="Q286" s="1220"/>
      <c r="R286" s="1220"/>
      <c r="S286" s="1220"/>
      <c r="T286" s="1220"/>
      <c r="U286" s="1220"/>
      <c r="V286" s="1220"/>
      <c r="W286" s="1220"/>
      <c r="X286" s="1220"/>
      <c r="Y286" s="1219"/>
      <c r="Z286" s="1219"/>
      <c r="AA286" s="1220"/>
      <c r="AB286" s="1220"/>
      <c r="AC286" s="1220"/>
      <c r="AD286" s="1220"/>
      <c r="AE286" s="1219"/>
      <c r="AF286" s="1219"/>
      <c r="AG286" s="1219"/>
      <c r="AH286" s="1220"/>
      <c r="AI286" s="1220"/>
      <c r="AJ286" s="1220"/>
      <c r="AK286" s="1219"/>
      <c r="AL286" s="1219"/>
      <c r="AM286" s="1219"/>
      <c r="AN286" s="1219"/>
      <c r="AO286" s="1220"/>
      <c r="AP286" s="1220"/>
      <c r="AQ286" s="1220"/>
      <c r="AR286" s="1220"/>
      <c r="AS286" s="1220"/>
      <c r="AT286" s="1220"/>
      <c r="AU286" s="1220"/>
      <c r="AV286" s="1220"/>
      <c r="AW286" s="1258"/>
      <c r="AX286" s="1258"/>
      <c r="AY286" s="1258"/>
      <c r="AZ286" s="1220"/>
      <c r="BA286" s="1220"/>
      <c r="BB286" s="1220"/>
      <c r="BC286" s="1220"/>
      <c r="BD286" s="1220"/>
      <c r="BE286" s="1220"/>
      <c r="BF286" s="1220"/>
      <c r="BG286" s="1220"/>
      <c r="BH286" s="1220"/>
      <c r="BI286" s="1220"/>
      <c r="BJ286" s="1220"/>
      <c r="BK286" s="1220"/>
      <c r="BL286" s="1220"/>
      <c r="BM286" s="1220"/>
      <c r="BN286" s="1220"/>
      <c r="BO286" s="1220"/>
    </row>
    <row r="287" spans="1:67" ht="35.1" customHeight="1" x14ac:dyDescent="0.25">
      <c r="A287" s="3">
        <f t="shared" si="4"/>
        <v>275</v>
      </c>
      <c r="B287" s="1218" t="s">
        <v>162</v>
      </c>
      <c r="C287" s="1218"/>
      <c r="D287" s="1221"/>
      <c r="E287" s="1221"/>
      <c r="F287" s="1221"/>
      <c r="G287" s="1221"/>
      <c r="H287" s="1221"/>
      <c r="I287" s="540"/>
      <c r="J287" s="540"/>
      <c r="K287" s="540"/>
      <c r="L287" s="540"/>
      <c r="M287" s="540"/>
      <c r="N287" s="540"/>
      <c r="O287" s="540"/>
      <c r="P287" s="540"/>
      <c r="Q287" s="540"/>
      <c r="R287" s="540"/>
      <c r="S287" s="540"/>
      <c r="T287" s="540"/>
      <c r="U287" s="540"/>
      <c r="V287" s="540"/>
      <c r="W287" s="540"/>
      <c r="X287" s="540"/>
      <c r="Y287" s="540"/>
      <c r="Z287" s="540"/>
      <c r="AA287" s="540"/>
      <c r="AB287" s="540"/>
      <c r="AC287" s="540"/>
      <c r="AD287" s="540"/>
      <c r="AE287" s="540"/>
      <c r="AF287" s="540"/>
      <c r="AG287" s="540"/>
      <c r="AH287" s="540"/>
      <c r="AI287" s="540"/>
      <c r="AJ287" s="540"/>
      <c r="AK287" s="540"/>
      <c r="AL287" s="540"/>
      <c r="AM287" s="540"/>
      <c r="AN287" s="540"/>
      <c r="AO287" s="540"/>
      <c r="AP287" s="540"/>
      <c r="AQ287" s="540"/>
      <c r="AR287" s="540"/>
      <c r="AS287" s="540"/>
      <c r="AT287" s="540"/>
      <c r="AU287" s="540"/>
      <c r="AV287" s="540"/>
      <c r="AW287" s="1259"/>
      <c r="AX287" s="1259"/>
      <c r="AY287" s="1259"/>
      <c r="AZ287" s="540"/>
      <c r="BA287" s="540"/>
      <c r="BB287" s="540"/>
      <c r="BC287" s="540"/>
      <c r="BD287" s="540"/>
      <c r="BE287" s="540"/>
      <c r="BF287" s="540"/>
      <c r="BG287" s="540"/>
      <c r="BH287" s="540"/>
      <c r="BI287" s="540"/>
      <c r="BJ287" s="540"/>
      <c r="BK287" s="540"/>
      <c r="BL287" s="540"/>
      <c r="BM287" s="540"/>
      <c r="BN287" s="540"/>
      <c r="BO287" s="540"/>
    </row>
    <row r="288" spans="1:67" ht="35.1" customHeight="1" x14ac:dyDescent="0.25">
      <c r="A288" s="3">
        <f t="shared" si="4"/>
        <v>276</v>
      </c>
      <c r="B288" s="1218" t="s">
        <v>162</v>
      </c>
      <c r="C288" s="1218"/>
      <c r="D288" s="1222"/>
      <c r="E288" s="1222"/>
      <c r="F288" s="1222"/>
      <c r="G288" s="1222"/>
      <c r="H288" s="1222"/>
      <c r="I288" s="1219"/>
      <c r="J288" s="1219"/>
      <c r="K288" s="1219"/>
      <c r="L288" s="1219"/>
      <c r="M288" s="1219"/>
      <c r="N288" s="1219"/>
      <c r="O288" s="1219"/>
      <c r="P288" s="1219"/>
      <c r="Q288" s="1220"/>
      <c r="R288" s="1220"/>
      <c r="S288" s="1220"/>
      <c r="T288" s="1220"/>
      <c r="U288" s="1220"/>
      <c r="V288" s="1220"/>
      <c r="W288" s="1220"/>
      <c r="X288" s="1220"/>
      <c r="Y288" s="1219"/>
      <c r="Z288" s="1219"/>
      <c r="AA288" s="1220"/>
      <c r="AB288" s="1220"/>
      <c r="AC288" s="1220"/>
      <c r="AD288" s="1220"/>
      <c r="AE288" s="1219"/>
      <c r="AF288" s="1219"/>
      <c r="AG288" s="1219"/>
      <c r="AH288" s="1220"/>
      <c r="AI288" s="1220"/>
      <c r="AJ288" s="1220"/>
      <c r="AK288" s="1219"/>
      <c r="AL288" s="1219"/>
      <c r="AM288" s="1219"/>
      <c r="AN288" s="1219"/>
      <c r="AO288" s="1220"/>
      <c r="AP288" s="1220"/>
      <c r="AQ288" s="1220"/>
      <c r="AR288" s="1220"/>
      <c r="AS288" s="1220"/>
      <c r="AT288" s="1220"/>
      <c r="AU288" s="1220"/>
      <c r="AV288" s="1220"/>
      <c r="AW288" s="1258"/>
      <c r="AX288" s="1258"/>
      <c r="AY288" s="1258"/>
      <c r="AZ288" s="1220"/>
      <c r="BA288" s="1220"/>
      <c r="BB288" s="1220"/>
      <c r="BC288" s="1220"/>
      <c r="BD288" s="1220"/>
      <c r="BE288" s="1220"/>
      <c r="BF288" s="1220"/>
      <c r="BG288" s="1220"/>
      <c r="BH288" s="1220"/>
      <c r="BI288" s="1220"/>
      <c r="BJ288" s="1220"/>
      <c r="BK288" s="1220"/>
      <c r="BL288" s="1220"/>
      <c r="BM288" s="1220"/>
      <c r="BN288" s="1220"/>
      <c r="BO288" s="1220"/>
    </row>
    <row r="289" spans="1:67" ht="35.1" customHeight="1" x14ac:dyDescent="0.25">
      <c r="A289" s="3">
        <f t="shared" si="4"/>
        <v>277</v>
      </c>
      <c r="B289" s="1218" t="s">
        <v>162</v>
      </c>
      <c r="C289" s="1218"/>
      <c r="D289" s="1221"/>
      <c r="E289" s="1221"/>
      <c r="F289" s="1221"/>
      <c r="G289" s="1221"/>
      <c r="H289" s="1221"/>
      <c r="I289" s="540"/>
      <c r="J289" s="540"/>
      <c r="K289" s="540"/>
      <c r="L289" s="540"/>
      <c r="M289" s="540"/>
      <c r="N289" s="540"/>
      <c r="O289" s="540"/>
      <c r="P289" s="540"/>
      <c r="Q289" s="540"/>
      <c r="R289" s="540"/>
      <c r="S289" s="540"/>
      <c r="T289" s="540"/>
      <c r="U289" s="540"/>
      <c r="V289" s="540"/>
      <c r="W289" s="540"/>
      <c r="X289" s="540"/>
      <c r="Y289" s="540"/>
      <c r="Z289" s="540"/>
      <c r="AA289" s="540"/>
      <c r="AB289" s="540"/>
      <c r="AC289" s="540"/>
      <c r="AD289" s="540"/>
      <c r="AE289" s="540"/>
      <c r="AF289" s="540"/>
      <c r="AG289" s="540"/>
      <c r="AH289" s="540"/>
      <c r="AI289" s="540"/>
      <c r="AJ289" s="540"/>
      <c r="AK289" s="540"/>
      <c r="AL289" s="540"/>
      <c r="AM289" s="540"/>
      <c r="AN289" s="540"/>
      <c r="AO289" s="540"/>
      <c r="AP289" s="540"/>
      <c r="AQ289" s="540"/>
      <c r="AR289" s="540"/>
      <c r="AS289" s="540"/>
      <c r="AT289" s="540"/>
      <c r="AU289" s="540"/>
      <c r="AV289" s="540"/>
      <c r="AW289" s="1259"/>
      <c r="AX289" s="1259"/>
      <c r="AY289" s="1259"/>
      <c r="AZ289" s="540"/>
      <c r="BA289" s="540"/>
      <c r="BB289" s="540"/>
      <c r="BC289" s="540"/>
      <c r="BD289" s="540"/>
      <c r="BE289" s="540"/>
      <c r="BF289" s="540"/>
      <c r="BG289" s="540"/>
      <c r="BH289" s="540"/>
      <c r="BI289" s="540"/>
      <c r="BJ289" s="540"/>
      <c r="BK289" s="540"/>
      <c r="BL289" s="540"/>
      <c r="BM289" s="540"/>
      <c r="BN289" s="540"/>
      <c r="BO289" s="540"/>
    </row>
    <row r="290" spans="1:67" ht="35.1" customHeight="1" x14ac:dyDescent="0.25">
      <c r="A290" s="3">
        <f t="shared" si="4"/>
        <v>278</v>
      </c>
      <c r="B290" s="1218" t="s">
        <v>162</v>
      </c>
      <c r="C290" s="1218"/>
      <c r="D290" s="1222"/>
      <c r="E290" s="1222"/>
      <c r="F290" s="1222"/>
      <c r="G290" s="1222"/>
      <c r="H290" s="1222"/>
      <c r="I290" s="1219"/>
      <c r="J290" s="1219"/>
      <c r="K290" s="1219"/>
      <c r="L290" s="1219"/>
      <c r="M290" s="1219"/>
      <c r="N290" s="1219"/>
      <c r="O290" s="1219"/>
      <c r="P290" s="1219"/>
      <c r="Q290" s="1220"/>
      <c r="R290" s="1220"/>
      <c r="S290" s="1220"/>
      <c r="T290" s="1220"/>
      <c r="U290" s="1220"/>
      <c r="V290" s="1220"/>
      <c r="W290" s="1220"/>
      <c r="X290" s="1220"/>
      <c r="Y290" s="1219"/>
      <c r="Z290" s="1219"/>
      <c r="AA290" s="1220"/>
      <c r="AB290" s="1220"/>
      <c r="AC290" s="1220"/>
      <c r="AD290" s="1220"/>
      <c r="AE290" s="1219"/>
      <c r="AF290" s="1219"/>
      <c r="AG290" s="1219"/>
      <c r="AH290" s="1220"/>
      <c r="AI290" s="1220"/>
      <c r="AJ290" s="1220"/>
      <c r="AK290" s="1219"/>
      <c r="AL290" s="1219"/>
      <c r="AM290" s="1219"/>
      <c r="AN290" s="1219"/>
      <c r="AO290" s="1220"/>
      <c r="AP290" s="1220"/>
      <c r="AQ290" s="1220"/>
      <c r="AR290" s="1220"/>
      <c r="AS290" s="1220"/>
      <c r="AT290" s="1220"/>
      <c r="AU290" s="1220"/>
      <c r="AV290" s="1220"/>
      <c r="AW290" s="1258"/>
      <c r="AX290" s="1258"/>
      <c r="AY290" s="1258"/>
      <c r="AZ290" s="1220"/>
      <c r="BA290" s="1220"/>
      <c r="BB290" s="1220"/>
      <c r="BC290" s="1220"/>
      <c r="BD290" s="1220"/>
      <c r="BE290" s="1220"/>
      <c r="BF290" s="1220"/>
      <c r="BG290" s="1220"/>
      <c r="BH290" s="1220"/>
      <c r="BI290" s="1220"/>
      <c r="BJ290" s="1220"/>
      <c r="BK290" s="1220"/>
      <c r="BL290" s="1220"/>
      <c r="BM290" s="1220"/>
      <c r="BN290" s="1220"/>
      <c r="BO290" s="1220"/>
    </row>
    <row r="291" spans="1:67" ht="35.1" customHeight="1" x14ac:dyDescent="0.25">
      <c r="A291" s="3">
        <f t="shared" si="4"/>
        <v>279</v>
      </c>
      <c r="B291" s="1218" t="s">
        <v>162</v>
      </c>
      <c r="C291" s="1218"/>
      <c r="D291" s="1221"/>
      <c r="E291" s="1221"/>
      <c r="F291" s="1221"/>
      <c r="G291" s="1221"/>
      <c r="H291" s="1221"/>
      <c r="I291" s="540"/>
      <c r="J291" s="540"/>
      <c r="K291" s="540"/>
      <c r="L291" s="540"/>
      <c r="M291" s="540"/>
      <c r="N291" s="540"/>
      <c r="O291" s="540"/>
      <c r="P291" s="540"/>
      <c r="Q291" s="540"/>
      <c r="R291" s="540"/>
      <c r="S291" s="540"/>
      <c r="T291" s="540"/>
      <c r="U291" s="540"/>
      <c r="V291" s="540"/>
      <c r="W291" s="540"/>
      <c r="X291" s="540"/>
      <c r="Y291" s="540"/>
      <c r="Z291" s="540"/>
      <c r="AA291" s="540"/>
      <c r="AB291" s="540"/>
      <c r="AC291" s="540"/>
      <c r="AD291" s="540"/>
      <c r="AE291" s="540"/>
      <c r="AF291" s="540"/>
      <c r="AG291" s="540"/>
      <c r="AH291" s="540"/>
      <c r="AI291" s="540"/>
      <c r="AJ291" s="540"/>
      <c r="AK291" s="540"/>
      <c r="AL291" s="540"/>
      <c r="AM291" s="540"/>
      <c r="AN291" s="540"/>
      <c r="AO291" s="540"/>
      <c r="AP291" s="540"/>
      <c r="AQ291" s="540"/>
      <c r="AR291" s="540"/>
      <c r="AS291" s="540"/>
      <c r="AT291" s="540"/>
      <c r="AU291" s="540"/>
      <c r="AV291" s="540"/>
      <c r="AW291" s="1259"/>
      <c r="AX291" s="1259"/>
      <c r="AY291" s="1259"/>
      <c r="AZ291" s="540"/>
      <c r="BA291" s="540"/>
      <c r="BB291" s="540"/>
      <c r="BC291" s="540"/>
      <c r="BD291" s="540"/>
      <c r="BE291" s="540"/>
      <c r="BF291" s="540"/>
      <c r="BG291" s="540"/>
      <c r="BH291" s="540"/>
      <c r="BI291" s="540"/>
      <c r="BJ291" s="540"/>
      <c r="BK291" s="540"/>
      <c r="BL291" s="540"/>
      <c r="BM291" s="540"/>
      <c r="BN291" s="540"/>
      <c r="BO291" s="540"/>
    </row>
    <row r="292" spans="1:67" ht="35.1" customHeight="1" x14ac:dyDescent="0.25">
      <c r="A292" s="3">
        <f t="shared" si="4"/>
        <v>280</v>
      </c>
      <c r="B292" s="1218" t="s">
        <v>162</v>
      </c>
      <c r="C292" s="1218"/>
      <c r="D292" s="1222"/>
      <c r="E292" s="1222"/>
      <c r="F292" s="1222"/>
      <c r="G292" s="1222"/>
      <c r="H292" s="1222"/>
      <c r="I292" s="1219"/>
      <c r="J292" s="1219"/>
      <c r="K292" s="1219"/>
      <c r="L292" s="1219"/>
      <c r="M292" s="1219"/>
      <c r="N292" s="1219"/>
      <c r="O292" s="1219"/>
      <c r="P292" s="1219"/>
      <c r="Q292" s="1220"/>
      <c r="R292" s="1220"/>
      <c r="S292" s="1220"/>
      <c r="T292" s="1220"/>
      <c r="U292" s="1220"/>
      <c r="V292" s="1220"/>
      <c r="W292" s="1220"/>
      <c r="X292" s="1220"/>
      <c r="Y292" s="1219"/>
      <c r="Z292" s="1219"/>
      <c r="AA292" s="1220"/>
      <c r="AB292" s="1220"/>
      <c r="AC292" s="1220"/>
      <c r="AD292" s="1220"/>
      <c r="AE292" s="1219"/>
      <c r="AF292" s="1219"/>
      <c r="AG292" s="1219"/>
      <c r="AH292" s="1220"/>
      <c r="AI292" s="1220"/>
      <c r="AJ292" s="1220"/>
      <c r="AK292" s="1219"/>
      <c r="AL292" s="1219"/>
      <c r="AM292" s="1219"/>
      <c r="AN292" s="1219"/>
      <c r="AO292" s="1220"/>
      <c r="AP292" s="1220"/>
      <c r="AQ292" s="1220"/>
      <c r="AR292" s="1220"/>
      <c r="AS292" s="1220"/>
      <c r="AT292" s="1220"/>
      <c r="AU292" s="1220"/>
      <c r="AV292" s="1220"/>
      <c r="AW292" s="1258"/>
      <c r="AX292" s="1258"/>
      <c r="AY292" s="1258"/>
      <c r="AZ292" s="1220"/>
      <c r="BA292" s="1220"/>
      <c r="BB292" s="1220"/>
      <c r="BC292" s="1220"/>
      <c r="BD292" s="1220"/>
      <c r="BE292" s="1220"/>
      <c r="BF292" s="1220"/>
      <c r="BG292" s="1220"/>
      <c r="BH292" s="1220"/>
      <c r="BI292" s="1220"/>
      <c r="BJ292" s="1220"/>
      <c r="BK292" s="1220"/>
      <c r="BL292" s="1220"/>
      <c r="BM292" s="1220"/>
      <c r="BN292" s="1220"/>
      <c r="BO292" s="1220"/>
    </row>
    <row r="293" spans="1:67" ht="35.1" customHeight="1" x14ac:dyDescent="0.25">
      <c r="A293" s="3">
        <f t="shared" si="4"/>
        <v>281</v>
      </c>
      <c r="B293" s="1218" t="s">
        <v>162</v>
      </c>
      <c r="C293" s="1218"/>
      <c r="D293" s="1221"/>
      <c r="E293" s="1221"/>
      <c r="F293" s="1221"/>
      <c r="G293" s="1221"/>
      <c r="H293" s="1221"/>
      <c r="I293" s="540"/>
      <c r="J293" s="540"/>
      <c r="K293" s="540"/>
      <c r="L293" s="540"/>
      <c r="M293" s="540"/>
      <c r="N293" s="540"/>
      <c r="O293" s="540"/>
      <c r="P293" s="540"/>
      <c r="Q293" s="540"/>
      <c r="R293" s="540"/>
      <c r="S293" s="540"/>
      <c r="T293" s="540"/>
      <c r="U293" s="540"/>
      <c r="V293" s="540"/>
      <c r="W293" s="540"/>
      <c r="X293" s="540"/>
      <c r="Y293" s="540"/>
      <c r="Z293" s="540"/>
      <c r="AA293" s="540"/>
      <c r="AB293" s="540"/>
      <c r="AC293" s="540"/>
      <c r="AD293" s="540"/>
      <c r="AE293" s="540"/>
      <c r="AF293" s="540"/>
      <c r="AG293" s="540"/>
      <c r="AH293" s="540"/>
      <c r="AI293" s="540"/>
      <c r="AJ293" s="540"/>
      <c r="AK293" s="540"/>
      <c r="AL293" s="540"/>
      <c r="AM293" s="540"/>
      <c r="AN293" s="540"/>
      <c r="AO293" s="540"/>
      <c r="AP293" s="540"/>
      <c r="AQ293" s="540"/>
      <c r="AR293" s="540"/>
      <c r="AS293" s="540"/>
      <c r="AT293" s="540"/>
      <c r="AU293" s="540"/>
      <c r="AV293" s="540"/>
      <c r="AW293" s="1259"/>
      <c r="AX293" s="1259"/>
      <c r="AY293" s="1259"/>
      <c r="AZ293" s="540"/>
      <c r="BA293" s="540"/>
      <c r="BB293" s="540"/>
      <c r="BC293" s="540"/>
      <c r="BD293" s="540"/>
      <c r="BE293" s="540"/>
      <c r="BF293" s="540"/>
      <c r="BG293" s="540"/>
      <c r="BH293" s="540"/>
      <c r="BI293" s="540"/>
      <c r="BJ293" s="540"/>
      <c r="BK293" s="540"/>
      <c r="BL293" s="540"/>
      <c r="BM293" s="540"/>
      <c r="BN293" s="540"/>
      <c r="BO293" s="540"/>
    </row>
    <row r="294" spans="1:67" ht="35.1" customHeight="1" x14ac:dyDescent="0.25">
      <c r="A294" s="3">
        <f t="shared" si="4"/>
        <v>282</v>
      </c>
      <c r="B294" s="1218" t="s">
        <v>162</v>
      </c>
      <c r="C294" s="1218"/>
      <c r="D294" s="1222"/>
      <c r="E294" s="1222"/>
      <c r="F294" s="1222"/>
      <c r="G294" s="1222"/>
      <c r="H294" s="1222"/>
      <c r="I294" s="1219"/>
      <c r="J294" s="1219"/>
      <c r="K294" s="1219"/>
      <c r="L294" s="1219"/>
      <c r="M294" s="1219"/>
      <c r="N294" s="1219"/>
      <c r="O294" s="1219"/>
      <c r="P294" s="1219"/>
      <c r="Q294" s="1220"/>
      <c r="R294" s="1220"/>
      <c r="S294" s="1220"/>
      <c r="T294" s="1220"/>
      <c r="U294" s="1220"/>
      <c r="V294" s="1220"/>
      <c r="W294" s="1220"/>
      <c r="X294" s="1220"/>
      <c r="Y294" s="1219"/>
      <c r="Z294" s="1219"/>
      <c r="AA294" s="1220"/>
      <c r="AB294" s="1220"/>
      <c r="AC294" s="1220"/>
      <c r="AD294" s="1220"/>
      <c r="AE294" s="1219"/>
      <c r="AF294" s="1219"/>
      <c r="AG294" s="1219"/>
      <c r="AH294" s="1220"/>
      <c r="AI294" s="1220"/>
      <c r="AJ294" s="1220"/>
      <c r="AK294" s="1219"/>
      <c r="AL294" s="1219"/>
      <c r="AM294" s="1219"/>
      <c r="AN294" s="1219"/>
      <c r="AO294" s="1220"/>
      <c r="AP294" s="1220"/>
      <c r="AQ294" s="1220"/>
      <c r="AR294" s="1220"/>
      <c r="AS294" s="1220"/>
      <c r="AT294" s="1220"/>
      <c r="AU294" s="1220"/>
      <c r="AV294" s="1220"/>
      <c r="AW294" s="1258"/>
      <c r="AX294" s="1258"/>
      <c r="AY294" s="1258"/>
      <c r="AZ294" s="1220"/>
      <c r="BA294" s="1220"/>
      <c r="BB294" s="1220"/>
      <c r="BC294" s="1220"/>
      <c r="BD294" s="1220"/>
      <c r="BE294" s="1220"/>
      <c r="BF294" s="1220"/>
      <c r="BG294" s="1220"/>
      <c r="BH294" s="1220"/>
      <c r="BI294" s="1220"/>
      <c r="BJ294" s="1220"/>
      <c r="BK294" s="1220"/>
      <c r="BL294" s="1220"/>
      <c r="BM294" s="1220"/>
      <c r="BN294" s="1220"/>
      <c r="BO294" s="1220"/>
    </row>
    <row r="295" spans="1:67" ht="35.1" customHeight="1" x14ac:dyDescent="0.25">
      <c r="A295" s="3">
        <f t="shared" si="4"/>
        <v>283</v>
      </c>
      <c r="B295" s="1218" t="s">
        <v>162</v>
      </c>
      <c r="C295" s="1218"/>
      <c r="D295" s="1221"/>
      <c r="E295" s="1221"/>
      <c r="F295" s="1221"/>
      <c r="G295" s="1221"/>
      <c r="H295" s="1221"/>
      <c r="I295" s="540"/>
      <c r="J295" s="540"/>
      <c r="K295" s="540"/>
      <c r="L295" s="540"/>
      <c r="M295" s="540"/>
      <c r="N295" s="540"/>
      <c r="O295" s="540"/>
      <c r="P295" s="540"/>
      <c r="Q295" s="540"/>
      <c r="R295" s="540"/>
      <c r="S295" s="540"/>
      <c r="T295" s="540"/>
      <c r="U295" s="540"/>
      <c r="V295" s="540"/>
      <c r="W295" s="540"/>
      <c r="X295" s="540"/>
      <c r="Y295" s="540"/>
      <c r="Z295" s="540"/>
      <c r="AA295" s="540"/>
      <c r="AB295" s="540"/>
      <c r="AC295" s="540"/>
      <c r="AD295" s="540"/>
      <c r="AE295" s="540"/>
      <c r="AF295" s="540"/>
      <c r="AG295" s="540"/>
      <c r="AH295" s="540"/>
      <c r="AI295" s="540"/>
      <c r="AJ295" s="540"/>
      <c r="AK295" s="540"/>
      <c r="AL295" s="540"/>
      <c r="AM295" s="540"/>
      <c r="AN295" s="540"/>
      <c r="AO295" s="540"/>
      <c r="AP295" s="540"/>
      <c r="AQ295" s="540"/>
      <c r="AR295" s="540"/>
      <c r="AS295" s="540"/>
      <c r="AT295" s="540"/>
      <c r="AU295" s="540"/>
      <c r="AV295" s="540"/>
      <c r="AW295" s="1259"/>
      <c r="AX295" s="1259"/>
      <c r="AY295" s="1259"/>
      <c r="AZ295" s="540"/>
      <c r="BA295" s="540"/>
      <c r="BB295" s="540"/>
      <c r="BC295" s="540"/>
      <c r="BD295" s="540"/>
      <c r="BE295" s="540"/>
      <c r="BF295" s="540"/>
      <c r="BG295" s="540"/>
      <c r="BH295" s="540"/>
      <c r="BI295" s="540"/>
      <c r="BJ295" s="540"/>
      <c r="BK295" s="540"/>
      <c r="BL295" s="540"/>
      <c r="BM295" s="540"/>
      <c r="BN295" s="540"/>
      <c r="BO295" s="540"/>
    </row>
    <row r="296" spans="1:67" ht="35.1" customHeight="1" x14ac:dyDescent="0.25">
      <c r="A296" s="3">
        <f t="shared" si="4"/>
        <v>284</v>
      </c>
      <c r="B296" s="1218" t="s">
        <v>162</v>
      </c>
      <c r="C296" s="1218"/>
      <c r="D296" s="1222"/>
      <c r="E296" s="1222"/>
      <c r="F296" s="1222"/>
      <c r="G296" s="1222"/>
      <c r="H296" s="1222"/>
      <c r="I296" s="1219"/>
      <c r="J296" s="1219"/>
      <c r="K296" s="1219"/>
      <c r="L296" s="1219"/>
      <c r="M296" s="1219"/>
      <c r="N296" s="1219"/>
      <c r="O296" s="1219"/>
      <c r="P296" s="1219"/>
      <c r="Q296" s="1220"/>
      <c r="R296" s="1220"/>
      <c r="S296" s="1220"/>
      <c r="T296" s="1220"/>
      <c r="U296" s="1220"/>
      <c r="V296" s="1220"/>
      <c r="W296" s="1220"/>
      <c r="X296" s="1220"/>
      <c r="Y296" s="1219"/>
      <c r="Z296" s="1219"/>
      <c r="AA296" s="1220"/>
      <c r="AB296" s="1220"/>
      <c r="AC296" s="1220"/>
      <c r="AD296" s="1220"/>
      <c r="AE296" s="1219"/>
      <c r="AF296" s="1219"/>
      <c r="AG296" s="1219"/>
      <c r="AH296" s="1220"/>
      <c r="AI296" s="1220"/>
      <c r="AJ296" s="1220"/>
      <c r="AK296" s="1219"/>
      <c r="AL296" s="1219"/>
      <c r="AM296" s="1219"/>
      <c r="AN296" s="1219"/>
      <c r="AO296" s="1220"/>
      <c r="AP296" s="1220"/>
      <c r="AQ296" s="1220"/>
      <c r="AR296" s="1220"/>
      <c r="AS296" s="1220"/>
      <c r="AT296" s="1220"/>
      <c r="AU296" s="1220"/>
      <c r="AV296" s="1220"/>
      <c r="AW296" s="1258"/>
      <c r="AX296" s="1258"/>
      <c r="AY296" s="1258"/>
      <c r="AZ296" s="1220"/>
      <c r="BA296" s="1220"/>
      <c r="BB296" s="1220"/>
      <c r="BC296" s="1220"/>
      <c r="BD296" s="1220"/>
      <c r="BE296" s="1220"/>
      <c r="BF296" s="1220"/>
      <c r="BG296" s="1220"/>
      <c r="BH296" s="1220"/>
      <c r="BI296" s="1220"/>
      <c r="BJ296" s="1220"/>
      <c r="BK296" s="1220"/>
      <c r="BL296" s="1220"/>
      <c r="BM296" s="1220"/>
      <c r="BN296" s="1220"/>
      <c r="BO296" s="1220"/>
    </row>
    <row r="297" spans="1:67" ht="35.1" customHeight="1" x14ac:dyDescent="0.25">
      <c r="A297" s="3">
        <f t="shared" si="4"/>
        <v>285</v>
      </c>
      <c r="B297" s="1218" t="s">
        <v>162</v>
      </c>
      <c r="C297" s="1218"/>
      <c r="D297" s="1221"/>
      <c r="E297" s="1221"/>
      <c r="F297" s="1221"/>
      <c r="G297" s="1221"/>
      <c r="H297" s="1221"/>
      <c r="I297" s="540"/>
      <c r="J297" s="540"/>
      <c r="K297" s="540"/>
      <c r="L297" s="540"/>
      <c r="M297" s="540"/>
      <c r="N297" s="540"/>
      <c r="O297" s="540"/>
      <c r="P297" s="540"/>
      <c r="Q297" s="540"/>
      <c r="R297" s="540"/>
      <c r="S297" s="540"/>
      <c r="T297" s="540"/>
      <c r="U297" s="540"/>
      <c r="V297" s="540"/>
      <c r="W297" s="540"/>
      <c r="X297" s="540"/>
      <c r="Y297" s="540"/>
      <c r="Z297" s="540"/>
      <c r="AA297" s="540"/>
      <c r="AB297" s="540"/>
      <c r="AC297" s="540"/>
      <c r="AD297" s="540"/>
      <c r="AE297" s="540"/>
      <c r="AF297" s="540"/>
      <c r="AG297" s="540"/>
      <c r="AH297" s="540"/>
      <c r="AI297" s="540"/>
      <c r="AJ297" s="540"/>
      <c r="AK297" s="540"/>
      <c r="AL297" s="540"/>
      <c r="AM297" s="540"/>
      <c r="AN297" s="540"/>
      <c r="AO297" s="540"/>
      <c r="AP297" s="540"/>
      <c r="AQ297" s="540"/>
      <c r="AR297" s="540"/>
      <c r="AS297" s="540"/>
      <c r="AT297" s="540"/>
      <c r="AU297" s="540"/>
      <c r="AV297" s="540"/>
      <c r="AW297" s="1259"/>
      <c r="AX297" s="1259"/>
      <c r="AY297" s="1259"/>
      <c r="AZ297" s="540"/>
      <c r="BA297" s="540"/>
      <c r="BB297" s="540"/>
      <c r="BC297" s="540"/>
      <c r="BD297" s="540"/>
      <c r="BE297" s="540"/>
      <c r="BF297" s="540"/>
      <c r="BG297" s="540"/>
      <c r="BH297" s="540"/>
      <c r="BI297" s="540"/>
      <c r="BJ297" s="540"/>
      <c r="BK297" s="540"/>
      <c r="BL297" s="540"/>
      <c r="BM297" s="540"/>
      <c r="BN297" s="540"/>
      <c r="BO297" s="540"/>
    </row>
    <row r="298" spans="1:67" ht="35.1" customHeight="1" x14ac:dyDescent="0.25">
      <c r="A298" s="3">
        <f t="shared" si="4"/>
        <v>286</v>
      </c>
      <c r="B298" s="1218" t="s">
        <v>162</v>
      </c>
      <c r="C298" s="1218"/>
      <c r="D298" s="1222"/>
      <c r="E298" s="1222"/>
      <c r="F298" s="1222"/>
      <c r="G298" s="1222"/>
      <c r="H298" s="1222"/>
      <c r="I298" s="1219"/>
      <c r="J298" s="1219"/>
      <c r="K298" s="1219"/>
      <c r="L298" s="1219"/>
      <c r="M298" s="1219"/>
      <c r="N298" s="1219"/>
      <c r="O298" s="1219"/>
      <c r="P298" s="1219"/>
      <c r="Q298" s="1220"/>
      <c r="R298" s="1220"/>
      <c r="S298" s="1220"/>
      <c r="T298" s="1220"/>
      <c r="U298" s="1220"/>
      <c r="V298" s="1220"/>
      <c r="W298" s="1220"/>
      <c r="X298" s="1220"/>
      <c r="Y298" s="1219"/>
      <c r="Z298" s="1219"/>
      <c r="AA298" s="1220"/>
      <c r="AB298" s="1220"/>
      <c r="AC298" s="1220"/>
      <c r="AD298" s="1220"/>
      <c r="AE298" s="1219"/>
      <c r="AF298" s="1219"/>
      <c r="AG298" s="1219"/>
      <c r="AH298" s="1220"/>
      <c r="AI298" s="1220"/>
      <c r="AJ298" s="1220"/>
      <c r="AK298" s="1219"/>
      <c r="AL298" s="1219"/>
      <c r="AM298" s="1219"/>
      <c r="AN298" s="1219"/>
      <c r="AO298" s="1220"/>
      <c r="AP298" s="1220"/>
      <c r="AQ298" s="1220"/>
      <c r="AR298" s="1220"/>
      <c r="AS298" s="1220"/>
      <c r="AT298" s="1220"/>
      <c r="AU298" s="1220"/>
      <c r="AV298" s="1220"/>
      <c r="AW298" s="1258"/>
      <c r="AX298" s="1258"/>
      <c r="AY298" s="1258"/>
      <c r="AZ298" s="1220"/>
      <c r="BA298" s="1220"/>
      <c r="BB298" s="1220"/>
      <c r="BC298" s="1220"/>
      <c r="BD298" s="1220"/>
      <c r="BE298" s="1220"/>
      <c r="BF298" s="1220"/>
      <c r="BG298" s="1220"/>
      <c r="BH298" s="1220"/>
      <c r="BI298" s="1220"/>
      <c r="BJ298" s="1220"/>
      <c r="BK298" s="1220"/>
      <c r="BL298" s="1220"/>
      <c r="BM298" s="1220"/>
      <c r="BN298" s="1220"/>
      <c r="BO298" s="1220"/>
    </row>
    <row r="299" spans="1:67" ht="35.1" customHeight="1" x14ac:dyDescent="0.25">
      <c r="A299" s="3">
        <f t="shared" si="4"/>
        <v>287</v>
      </c>
      <c r="B299" s="1218" t="s">
        <v>162</v>
      </c>
      <c r="C299" s="1218"/>
      <c r="D299" s="1221"/>
      <c r="E299" s="1221"/>
      <c r="F299" s="1221"/>
      <c r="G299" s="1221"/>
      <c r="H299" s="1221"/>
      <c r="I299" s="540"/>
      <c r="J299" s="540"/>
      <c r="K299" s="540"/>
      <c r="L299" s="540"/>
      <c r="M299" s="540"/>
      <c r="N299" s="540"/>
      <c r="O299" s="540"/>
      <c r="P299" s="540"/>
      <c r="Q299" s="540"/>
      <c r="R299" s="540"/>
      <c r="S299" s="540"/>
      <c r="T299" s="540"/>
      <c r="U299" s="540"/>
      <c r="V299" s="540"/>
      <c r="W299" s="540"/>
      <c r="X299" s="540"/>
      <c r="Y299" s="540"/>
      <c r="Z299" s="540"/>
      <c r="AA299" s="540"/>
      <c r="AB299" s="540"/>
      <c r="AC299" s="540"/>
      <c r="AD299" s="540"/>
      <c r="AE299" s="540"/>
      <c r="AF299" s="540"/>
      <c r="AG299" s="540"/>
      <c r="AH299" s="540"/>
      <c r="AI299" s="540"/>
      <c r="AJ299" s="540"/>
      <c r="AK299" s="540"/>
      <c r="AL299" s="540"/>
      <c r="AM299" s="540"/>
      <c r="AN299" s="540"/>
      <c r="AO299" s="540"/>
      <c r="AP299" s="540"/>
      <c r="AQ299" s="540"/>
      <c r="AR299" s="540"/>
      <c r="AS299" s="540"/>
      <c r="AT299" s="540"/>
      <c r="AU299" s="540"/>
      <c r="AV299" s="540"/>
      <c r="AW299" s="1259"/>
      <c r="AX299" s="1259"/>
      <c r="AY299" s="1259"/>
      <c r="AZ299" s="540"/>
      <c r="BA299" s="540"/>
      <c r="BB299" s="540"/>
      <c r="BC299" s="540"/>
      <c r="BD299" s="540"/>
      <c r="BE299" s="540"/>
      <c r="BF299" s="540"/>
      <c r="BG299" s="540"/>
      <c r="BH299" s="540"/>
      <c r="BI299" s="540"/>
      <c r="BJ299" s="540"/>
      <c r="BK299" s="540"/>
      <c r="BL299" s="540"/>
      <c r="BM299" s="540"/>
      <c r="BN299" s="540"/>
      <c r="BO299" s="540"/>
    </row>
    <row r="300" spans="1:67" ht="35.1" customHeight="1" x14ac:dyDescent="0.25">
      <c r="A300" s="3">
        <f t="shared" si="4"/>
        <v>288</v>
      </c>
      <c r="B300" s="1218" t="s">
        <v>162</v>
      </c>
      <c r="C300" s="1218"/>
      <c r="D300" s="1222"/>
      <c r="E300" s="1222"/>
      <c r="F300" s="1222"/>
      <c r="G300" s="1222"/>
      <c r="H300" s="1222"/>
      <c r="I300" s="1219"/>
      <c r="J300" s="1219"/>
      <c r="K300" s="1219"/>
      <c r="L300" s="1219"/>
      <c r="M300" s="1219"/>
      <c r="N300" s="1219"/>
      <c r="O300" s="1219"/>
      <c r="P300" s="1219"/>
      <c r="Q300" s="1220"/>
      <c r="R300" s="1220"/>
      <c r="S300" s="1220"/>
      <c r="T300" s="1220"/>
      <c r="U300" s="1220"/>
      <c r="V300" s="1220"/>
      <c r="W300" s="1220"/>
      <c r="X300" s="1220"/>
      <c r="Y300" s="1219"/>
      <c r="Z300" s="1219"/>
      <c r="AA300" s="1220"/>
      <c r="AB300" s="1220"/>
      <c r="AC300" s="1220"/>
      <c r="AD300" s="1220"/>
      <c r="AE300" s="1219"/>
      <c r="AF300" s="1219"/>
      <c r="AG300" s="1219"/>
      <c r="AH300" s="1220"/>
      <c r="AI300" s="1220"/>
      <c r="AJ300" s="1220"/>
      <c r="AK300" s="1219"/>
      <c r="AL300" s="1219"/>
      <c r="AM300" s="1219"/>
      <c r="AN300" s="1219"/>
      <c r="AO300" s="1220"/>
      <c r="AP300" s="1220"/>
      <c r="AQ300" s="1220"/>
      <c r="AR300" s="1220"/>
      <c r="AS300" s="1220"/>
      <c r="AT300" s="1220"/>
      <c r="AU300" s="1220"/>
      <c r="AV300" s="1220"/>
      <c r="AW300" s="1258"/>
      <c r="AX300" s="1258"/>
      <c r="AY300" s="1258"/>
      <c r="AZ300" s="1220"/>
      <c r="BA300" s="1220"/>
      <c r="BB300" s="1220"/>
      <c r="BC300" s="1220"/>
      <c r="BD300" s="1220"/>
      <c r="BE300" s="1220"/>
      <c r="BF300" s="1220"/>
      <c r="BG300" s="1220"/>
      <c r="BH300" s="1220"/>
      <c r="BI300" s="1220"/>
      <c r="BJ300" s="1220"/>
      <c r="BK300" s="1220"/>
      <c r="BL300" s="1220"/>
      <c r="BM300" s="1220"/>
      <c r="BN300" s="1220"/>
      <c r="BO300" s="1220"/>
    </row>
    <row r="301" spans="1:67" ht="35.1" customHeight="1" x14ac:dyDescent="0.25">
      <c r="A301" s="3">
        <f t="shared" si="4"/>
        <v>289</v>
      </c>
      <c r="B301" s="1218" t="s">
        <v>162</v>
      </c>
      <c r="C301" s="1218"/>
      <c r="D301" s="1221"/>
      <c r="E301" s="1221"/>
      <c r="F301" s="1221"/>
      <c r="G301" s="1221"/>
      <c r="H301" s="1221"/>
      <c r="I301" s="540"/>
      <c r="J301" s="540"/>
      <c r="K301" s="540"/>
      <c r="L301" s="540"/>
      <c r="M301" s="540"/>
      <c r="N301" s="540"/>
      <c r="O301" s="540"/>
      <c r="P301" s="540"/>
      <c r="Q301" s="540"/>
      <c r="R301" s="540"/>
      <c r="S301" s="540"/>
      <c r="T301" s="540"/>
      <c r="U301" s="540"/>
      <c r="V301" s="540"/>
      <c r="W301" s="540"/>
      <c r="X301" s="540"/>
      <c r="Y301" s="540"/>
      <c r="Z301" s="540"/>
      <c r="AA301" s="540"/>
      <c r="AB301" s="540"/>
      <c r="AC301" s="540"/>
      <c r="AD301" s="540"/>
      <c r="AE301" s="540"/>
      <c r="AF301" s="540"/>
      <c r="AG301" s="540"/>
      <c r="AH301" s="540"/>
      <c r="AI301" s="540"/>
      <c r="AJ301" s="540"/>
      <c r="AK301" s="540"/>
      <c r="AL301" s="540"/>
      <c r="AM301" s="540"/>
      <c r="AN301" s="540"/>
      <c r="AO301" s="540"/>
      <c r="AP301" s="540"/>
      <c r="AQ301" s="540"/>
      <c r="AR301" s="540"/>
      <c r="AS301" s="540"/>
      <c r="AT301" s="540"/>
      <c r="AU301" s="540"/>
      <c r="AV301" s="540"/>
      <c r="AW301" s="1259"/>
      <c r="AX301" s="1259"/>
      <c r="AY301" s="1259"/>
      <c r="AZ301" s="540"/>
      <c r="BA301" s="540"/>
      <c r="BB301" s="540"/>
      <c r="BC301" s="540"/>
      <c r="BD301" s="540"/>
      <c r="BE301" s="540"/>
      <c r="BF301" s="540"/>
      <c r="BG301" s="540"/>
      <c r="BH301" s="540"/>
      <c r="BI301" s="540"/>
      <c r="BJ301" s="540"/>
      <c r="BK301" s="540"/>
      <c r="BL301" s="540"/>
      <c r="BM301" s="540"/>
      <c r="BN301" s="540"/>
      <c r="BO301" s="540"/>
    </row>
    <row r="302" spans="1:67" ht="35.1" customHeight="1" x14ac:dyDescent="0.25">
      <c r="A302" s="3">
        <f t="shared" si="4"/>
        <v>290</v>
      </c>
      <c r="B302" s="1235" t="s">
        <v>162</v>
      </c>
      <c r="C302" s="1235"/>
      <c r="D302" s="1222"/>
      <c r="E302" s="1222"/>
      <c r="F302" s="1222"/>
      <c r="G302" s="1222"/>
      <c r="H302" s="1222"/>
      <c r="I302" s="1219"/>
      <c r="J302" s="1219"/>
      <c r="K302" s="1219"/>
      <c r="L302" s="1219"/>
      <c r="M302" s="1219"/>
      <c r="N302" s="1219"/>
      <c r="O302" s="1219"/>
      <c r="P302" s="1219"/>
      <c r="Q302" s="1220"/>
      <c r="R302" s="1220"/>
      <c r="S302" s="1220"/>
      <c r="T302" s="1220"/>
      <c r="U302" s="1220"/>
      <c r="V302" s="1220"/>
      <c r="W302" s="1220"/>
      <c r="X302" s="1220"/>
      <c r="Y302" s="1219"/>
      <c r="Z302" s="1219"/>
      <c r="AA302" s="1220"/>
      <c r="AB302" s="1220"/>
      <c r="AC302" s="1220"/>
      <c r="AD302" s="1220"/>
      <c r="AE302" s="1219"/>
      <c r="AF302" s="1219"/>
      <c r="AG302" s="1219"/>
      <c r="AH302" s="1220"/>
      <c r="AI302" s="1220"/>
      <c r="AJ302" s="1220"/>
      <c r="AK302" s="1219"/>
      <c r="AL302" s="1219"/>
      <c r="AM302" s="1219"/>
      <c r="AN302" s="1219"/>
      <c r="AO302" s="1220"/>
      <c r="AP302" s="1220"/>
      <c r="AQ302" s="1220"/>
      <c r="AR302" s="1220"/>
      <c r="AS302" s="1220"/>
      <c r="AT302" s="1220"/>
      <c r="AU302" s="1220"/>
      <c r="AV302" s="1220"/>
      <c r="AW302" s="1258"/>
      <c r="AX302" s="1258"/>
      <c r="AY302" s="1258"/>
      <c r="AZ302" s="1220"/>
      <c r="BA302" s="1220"/>
      <c r="BB302" s="1220"/>
      <c r="BC302" s="1220"/>
      <c r="BD302" s="1220"/>
      <c r="BE302" s="1220"/>
      <c r="BF302" s="1220"/>
      <c r="BG302" s="1220"/>
      <c r="BH302" s="1220"/>
      <c r="BI302" s="1220"/>
      <c r="BJ302" s="1220"/>
      <c r="BK302" s="1220"/>
      <c r="BL302" s="1220"/>
      <c r="BM302" s="1220"/>
      <c r="BN302" s="1220"/>
      <c r="BO302" s="1220"/>
    </row>
    <row r="303" spans="1:67" ht="35.1" customHeight="1" x14ac:dyDescent="0.25">
      <c r="A303" s="3">
        <f t="shared" si="4"/>
        <v>291</v>
      </c>
      <c r="B303" s="1218" t="s">
        <v>162</v>
      </c>
      <c r="C303" s="1218"/>
      <c r="D303" s="1221"/>
      <c r="E303" s="1221"/>
      <c r="F303" s="1221"/>
      <c r="G303" s="1221"/>
      <c r="H303" s="1221"/>
      <c r="I303" s="540"/>
      <c r="J303" s="540"/>
      <c r="K303" s="540"/>
      <c r="L303" s="540"/>
      <c r="M303" s="540"/>
      <c r="N303" s="540"/>
      <c r="O303" s="540"/>
      <c r="P303" s="540"/>
      <c r="Q303" s="540"/>
      <c r="R303" s="540"/>
      <c r="S303" s="540"/>
      <c r="T303" s="540"/>
      <c r="U303" s="540"/>
      <c r="V303" s="540"/>
      <c r="W303" s="540"/>
      <c r="X303" s="540"/>
      <c r="Y303" s="540"/>
      <c r="Z303" s="540"/>
      <c r="AA303" s="540"/>
      <c r="AB303" s="540"/>
      <c r="AC303" s="540"/>
      <c r="AD303" s="540"/>
      <c r="AE303" s="540"/>
      <c r="AF303" s="540"/>
      <c r="AG303" s="540"/>
      <c r="AH303" s="540"/>
      <c r="AI303" s="540"/>
      <c r="AJ303" s="540"/>
      <c r="AK303" s="540"/>
      <c r="AL303" s="540"/>
      <c r="AM303" s="540"/>
      <c r="AN303" s="540"/>
      <c r="AO303" s="540"/>
      <c r="AP303" s="540"/>
      <c r="AQ303" s="540"/>
      <c r="AR303" s="540"/>
      <c r="AS303" s="540"/>
      <c r="AT303" s="540"/>
      <c r="AU303" s="540"/>
      <c r="AV303" s="540"/>
      <c r="AW303" s="1259"/>
      <c r="AX303" s="1259"/>
      <c r="AY303" s="1259"/>
      <c r="AZ303" s="540"/>
      <c r="BA303" s="540"/>
      <c r="BB303" s="540"/>
      <c r="BC303" s="540"/>
      <c r="BD303" s="540"/>
      <c r="BE303" s="540"/>
      <c r="BF303" s="540"/>
      <c r="BG303" s="540"/>
      <c r="BH303" s="540"/>
      <c r="BI303" s="540"/>
      <c r="BJ303" s="540"/>
      <c r="BK303" s="540"/>
      <c r="BL303" s="540"/>
      <c r="BM303" s="540"/>
      <c r="BN303" s="540"/>
      <c r="BO303" s="540"/>
    </row>
    <row r="304" spans="1:67" ht="35.1" customHeight="1" x14ac:dyDescent="0.25">
      <c r="A304" s="3">
        <f t="shared" si="4"/>
        <v>292</v>
      </c>
      <c r="B304" s="1218" t="s">
        <v>162</v>
      </c>
      <c r="C304" s="1218"/>
      <c r="D304" s="1222"/>
      <c r="E304" s="1222"/>
      <c r="F304" s="1222"/>
      <c r="G304" s="1222"/>
      <c r="H304" s="1222"/>
      <c r="I304" s="1219"/>
      <c r="J304" s="1219"/>
      <c r="K304" s="1219"/>
      <c r="L304" s="1219"/>
      <c r="M304" s="1219"/>
      <c r="N304" s="1219"/>
      <c r="O304" s="1219"/>
      <c r="P304" s="1219"/>
      <c r="Q304" s="1220"/>
      <c r="R304" s="1220"/>
      <c r="S304" s="1220"/>
      <c r="T304" s="1220"/>
      <c r="U304" s="1220"/>
      <c r="V304" s="1220"/>
      <c r="W304" s="1220"/>
      <c r="X304" s="1220"/>
      <c r="Y304" s="1219"/>
      <c r="Z304" s="1219"/>
      <c r="AA304" s="1220"/>
      <c r="AB304" s="1220"/>
      <c r="AC304" s="1220"/>
      <c r="AD304" s="1220"/>
      <c r="AE304" s="1219"/>
      <c r="AF304" s="1219"/>
      <c r="AG304" s="1219"/>
      <c r="AH304" s="1220"/>
      <c r="AI304" s="1220"/>
      <c r="AJ304" s="1220"/>
      <c r="AK304" s="1219"/>
      <c r="AL304" s="1219"/>
      <c r="AM304" s="1219"/>
      <c r="AN304" s="1219"/>
      <c r="AO304" s="1220"/>
      <c r="AP304" s="1220"/>
      <c r="AQ304" s="1220"/>
      <c r="AR304" s="1220"/>
      <c r="AS304" s="1220"/>
      <c r="AT304" s="1220"/>
      <c r="AU304" s="1220"/>
      <c r="AV304" s="1220"/>
      <c r="AW304" s="1258"/>
      <c r="AX304" s="1258"/>
      <c r="AY304" s="1258"/>
      <c r="AZ304" s="1220"/>
      <c r="BA304" s="1220"/>
      <c r="BB304" s="1220"/>
      <c r="BC304" s="1220"/>
      <c r="BD304" s="1220"/>
      <c r="BE304" s="1220"/>
      <c r="BF304" s="1220"/>
      <c r="BG304" s="1220"/>
      <c r="BH304" s="1220"/>
      <c r="BI304" s="1220"/>
      <c r="BJ304" s="1220"/>
      <c r="BK304" s="1220"/>
      <c r="BL304" s="1220"/>
      <c r="BM304" s="1220"/>
      <c r="BN304" s="1220"/>
      <c r="BO304" s="1220"/>
    </row>
    <row r="305" spans="1:67" ht="35.1" customHeight="1" x14ac:dyDescent="0.25">
      <c r="A305" s="3">
        <f t="shared" si="4"/>
        <v>293</v>
      </c>
      <c r="B305" s="1218" t="s">
        <v>162</v>
      </c>
      <c r="C305" s="1218"/>
      <c r="D305" s="1221"/>
      <c r="E305" s="1221"/>
      <c r="F305" s="1221"/>
      <c r="G305" s="1221"/>
      <c r="H305" s="1221"/>
      <c r="I305" s="540"/>
      <c r="J305" s="540"/>
      <c r="K305" s="540"/>
      <c r="L305" s="540"/>
      <c r="M305" s="540"/>
      <c r="N305" s="540"/>
      <c r="O305" s="540"/>
      <c r="P305" s="540"/>
      <c r="Q305" s="540"/>
      <c r="R305" s="540"/>
      <c r="S305" s="540"/>
      <c r="T305" s="540"/>
      <c r="U305" s="540"/>
      <c r="V305" s="540"/>
      <c r="W305" s="540"/>
      <c r="X305" s="540"/>
      <c r="Y305" s="540"/>
      <c r="Z305" s="540"/>
      <c r="AA305" s="540"/>
      <c r="AB305" s="540"/>
      <c r="AC305" s="540"/>
      <c r="AD305" s="540"/>
      <c r="AE305" s="540"/>
      <c r="AF305" s="540"/>
      <c r="AG305" s="540"/>
      <c r="AH305" s="540"/>
      <c r="AI305" s="540"/>
      <c r="AJ305" s="540"/>
      <c r="AK305" s="540"/>
      <c r="AL305" s="540"/>
      <c r="AM305" s="540"/>
      <c r="AN305" s="540"/>
      <c r="AO305" s="540"/>
      <c r="AP305" s="540"/>
      <c r="AQ305" s="540"/>
      <c r="AR305" s="540"/>
      <c r="AS305" s="540"/>
      <c r="AT305" s="540"/>
      <c r="AU305" s="540"/>
      <c r="AV305" s="540"/>
      <c r="AW305" s="1259"/>
      <c r="AX305" s="1259"/>
      <c r="AY305" s="1259"/>
      <c r="AZ305" s="540"/>
      <c r="BA305" s="540"/>
      <c r="BB305" s="540"/>
      <c r="BC305" s="540"/>
      <c r="BD305" s="540"/>
      <c r="BE305" s="540"/>
      <c r="BF305" s="540"/>
      <c r="BG305" s="540"/>
      <c r="BH305" s="540"/>
      <c r="BI305" s="540"/>
      <c r="BJ305" s="540"/>
      <c r="BK305" s="540"/>
      <c r="BL305" s="540"/>
      <c r="BM305" s="540"/>
      <c r="BN305" s="540"/>
      <c r="BO305" s="540"/>
    </row>
    <row r="306" spans="1:67" ht="35.1" customHeight="1" x14ac:dyDescent="0.25">
      <c r="A306" s="3">
        <f t="shared" si="4"/>
        <v>294</v>
      </c>
      <c r="B306" s="1218" t="s">
        <v>162</v>
      </c>
      <c r="C306" s="1218"/>
      <c r="D306" s="1222"/>
      <c r="E306" s="1222"/>
      <c r="F306" s="1222"/>
      <c r="G306" s="1222"/>
      <c r="H306" s="1222"/>
      <c r="I306" s="1219"/>
      <c r="J306" s="1219"/>
      <c r="K306" s="1219"/>
      <c r="L306" s="1219"/>
      <c r="M306" s="1219"/>
      <c r="N306" s="1219"/>
      <c r="O306" s="1219"/>
      <c r="P306" s="1219"/>
      <c r="Q306" s="1220"/>
      <c r="R306" s="1220"/>
      <c r="S306" s="1220"/>
      <c r="T306" s="1220"/>
      <c r="U306" s="1220"/>
      <c r="V306" s="1220"/>
      <c r="W306" s="1220"/>
      <c r="X306" s="1220"/>
      <c r="Y306" s="1219"/>
      <c r="Z306" s="1219"/>
      <c r="AA306" s="1220"/>
      <c r="AB306" s="1220"/>
      <c r="AC306" s="1220"/>
      <c r="AD306" s="1220"/>
      <c r="AE306" s="1219"/>
      <c r="AF306" s="1219"/>
      <c r="AG306" s="1219"/>
      <c r="AH306" s="1220"/>
      <c r="AI306" s="1220"/>
      <c r="AJ306" s="1220"/>
      <c r="AK306" s="1219"/>
      <c r="AL306" s="1219"/>
      <c r="AM306" s="1219"/>
      <c r="AN306" s="1219"/>
      <c r="AO306" s="1220"/>
      <c r="AP306" s="1220"/>
      <c r="AQ306" s="1220"/>
      <c r="AR306" s="1220"/>
      <c r="AS306" s="1220"/>
      <c r="AT306" s="1220"/>
      <c r="AU306" s="1220"/>
      <c r="AV306" s="1220"/>
      <c r="AW306" s="1258"/>
      <c r="AX306" s="1258"/>
      <c r="AY306" s="1258"/>
      <c r="AZ306" s="1220"/>
      <c r="BA306" s="1220"/>
      <c r="BB306" s="1220"/>
      <c r="BC306" s="1220"/>
      <c r="BD306" s="1220"/>
      <c r="BE306" s="1220"/>
      <c r="BF306" s="1220"/>
      <c r="BG306" s="1220"/>
      <c r="BH306" s="1220"/>
      <c r="BI306" s="1220"/>
      <c r="BJ306" s="1220"/>
      <c r="BK306" s="1220"/>
      <c r="BL306" s="1220"/>
      <c r="BM306" s="1220"/>
      <c r="BN306" s="1220"/>
      <c r="BO306" s="1220"/>
    </row>
    <row r="307" spans="1:67" ht="35.1" customHeight="1" x14ac:dyDescent="0.25">
      <c r="A307" s="3">
        <f t="shared" si="4"/>
        <v>295</v>
      </c>
      <c r="B307" s="1218" t="s">
        <v>162</v>
      </c>
      <c r="C307" s="1218"/>
      <c r="D307" s="1221"/>
      <c r="E307" s="1221"/>
      <c r="F307" s="1221"/>
      <c r="G307" s="1221"/>
      <c r="H307" s="1221"/>
      <c r="I307" s="540"/>
      <c r="J307" s="540"/>
      <c r="K307" s="540"/>
      <c r="L307" s="540"/>
      <c r="M307" s="540"/>
      <c r="N307" s="540"/>
      <c r="O307" s="540"/>
      <c r="P307" s="540"/>
      <c r="Q307" s="540"/>
      <c r="R307" s="540"/>
      <c r="S307" s="540"/>
      <c r="T307" s="540"/>
      <c r="U307" s="540"/>
      <c r="V307" s="540"/>
      <c r="W307" s="540"/>
      <c r="X307" s="540"/>
      <c r="Y307" s="540"/>
      <c r="Z307" s="540"/>
      <c r="AA307" s="540"/>
      <c r="AB307" s="540"/>
      <c r="AC307" s="540"/>
      <c r="AD307" s="540"/>
      <c r="AE307" s="540"/>
      <c r="AF307" s="540"/>
      <c r="AG307" s="540"/>
      <c r="AH307" s="540"/>
      <c r="AI307" s="540"/>
      <c r="AJ307" s="540"/>
      <c r="AK307" s="540"/>
      <c r="AL307" s="540"/>
      <c r="AM307" s="540"/>
      <c r="AN307" s="540"/>
      <c r="AO307" s="540"/>
      <c r="AP307" s="540"/>
      <c r="AQ307" s="540"/>
      <c r="AR307" s="540"/>
      <c r="AS307" s="540"/>
      <c r="AT307" s="540"/>
      <c r="AU307" s="540"/>
      <c r="AV307" s="540"/>
      <c r="AW307" s="1259"/>
      <c r="AX307" s="1259"/>
      <c r="AY307" s="1259"/>
      <c r="AZ307" s="540"/>
      <c r="BA307" s="540"/>
      <c r="BB307" s="540"/>
      <c r="BC307" s="540"/>
      <c r="BD307" s="540"/>
      <c r="BE307" s="540"/>
      <c r="BF307" s="540"/>
      <c r="BG307" s="540"/>
      <c r="BH307" s="540"/>
      <c r="BI307" s="540"/>
      <c r="BJ307" s="540"/>
      <c r="BK307" s="540"/>
      <c r="BL307" s="540"/>
      <c r="BM307" s="540"/>
      <c r="BN307" s="540"/>
      <c r="BO307" s="540"/>
    </row>
    <row r="308" spans="1:67" ht="35.1" customHeight="1" x14ac:dyDescent="0.25">
      <c r="A308" s="3">
        <f t="shared" si="4"/>
        <v>296</v>
      </c>
      <c r="B308" s="1218" t="s">
        <v>162</v>
      </c>
      <c r="C308" s="1218"/>
      <c r="D308" s="1222"/>
      <c r="E308" s="1222"/>
      <c r="F308" s="1222"/>
      <c r="G308" s="1222"/>
      <c r="H308" s="1222"/>
      <c r="I308" s="1219"/>
      <c r="J308" s="1219"/>
      <c r="K308" s="1219"/>
      <c r="L308" s="1219"/>
      <c r="M308" s="1219"/>
      <c r="N308" s="1219"/>
      <c r="O308" s="1219"/>
      <c r="P308" s="1219"/>
      <c r="Q308" s="1220"/>
      <c r="R308" s="1220"/>
      <c r="S308" s="1220"/>
      <c r="T308" s="1220"/>
      <c r="U308" s="1220"/>
      <c r="V308" s="1220"/>
      <c r="W308" s="1220"/>
      <c r="X308" s="1220"/>
      <c r="Y308" s="1219"/>
      <c r="Z308" s="1219"/>
      <c r="AA308" s="1220"/>
      <c r="AB308" s="1220"/>
      <c r="AC308" s="1220"/>
      <c r="AD308" s="1220"/>
      <c r="AE308" s="1219"/>
      <c r="AF308" s="1219"/>
      <c r="AG308" s="1219"/>
      <c r="AH308" s="1220"/>
      <c r="AI308" s="1220"/>
      <c r="AJ308" s="1220"/>
      <c r="AK308" s="1219"/>
      <c r="AL308" s="1219"/>
      <c r="AM308" s="1219"/>
      <c r="AN308" s="1219"/>
      <c r="AO308" s="1220"/>
      <c r="AP308" s="1220"/>
      <c r="AQ308" s="1220"/>
      <c r="AR308" s="1220"/>
      <c r="AS308" s="1220"/>
      <c r="AT308" s="1220"/>
      <c r="AU308" s="1220"/>
      <c r="AV308" s="1220"/>
      <c r="AW308" s="1258"/>
      <c r="AX308" s="1258"/>
      <c r="AY308" s="1258"/>
      <c r="AZ308" s="1220"/>
      <c r="BA308" s="1220"/>
      <c r="BB308" s="1220"/>
      <c r="BC308" s="1220"/>
      <c r="BD308" s="1220"/>
      <c r="BE308" s="1220"/>
      <c r="BF308" s="1220"/>
      <c r="BG308" s="1220"/>
      <c r="BH308" s="1220"/>
      <c r="BI308" s="1220"/>
      <c r="BJ308" s="1220"/>
      <c r="BK308" s="1220"/>
      <c r="BL308" s="1220"/>
      <c r="BM308" s="1220"/>
      <c r="BN308" s="1220"/>
      <c r="BO308" s="1220"/>
    </row>
    <row r="309" spans="1:67" ht="35.1" customHeight="1" x14ac:dyDescent="0.25">
      <c r="A309" s="3">
        <f t="shared" si="4"/>
        <v>297</v>
      </c>
      <c r="B309" s="1218" t="s">
        <v>162</v>
      </c>
      <c r="C309" s="1218"/>
      <c r="D309" s="1221"/>
      <c r="E309" s="1221"/>
      <c r="F309" s="1221"/>
      <c r="G309" s="1221"/>
      <c r="H309" s="1221"/>
      <c r="I309" s="540"/>
      <c r="J309" s="540"/>
      <c r="K309" s="540"/>
      <c r="L309" s="540"/>
      <c r="M309" s="540"/>
      <c r="N309" s="540"/>
      <c r="O309" s="540"/>
      <c r="P309" s="540"/>
      <c r="Q309" s="540"/>
      <c r="R309" s="540"/>
      <c r="S309" s="540"/>
      <c r="T309" s="540"/>
      <c r="U309" s="540"/>
      <c r="V309" s="540"/>
      <c r="W309" s="540"/>
      <c r="X309" s="540"/>
      <c r="Y309" s="540"/>
      <c r="Z309" s="540"/>
      <c r="AA309" s="540"/>
      <c r="AB309" s="540"/>
      <c r="AC309" s="540"/>
      <c r="AD309" s="540"/>
      <c r="AE309" s="540"/>
      <c r="AF309" s="540"/>
      <c r="AG309" s="540"/>
      <c r="AH309" s="540"/>
      <c r="AI309" s="540"/>
      <c r="AJ309" s="540"/>
      <c r="AK309" s="540"/>
      <c r="AL309" s="540"/>
      <c r="AM309" s="540"/>
      <c r="AN309" s="540"/>
      <c r="AO309" s="540"/>
      <c r="AP309" s="540"/>
      <c r="AQ309" s="540"/>
      <c r="AR309" s="540"/>
      <c r="AS309" s="540"/>
      <c r="AT309" s="540"/>
      <c r="AU309" s="540"/>
      <c r="AV309" s="540"/>
      <c r="AW309" s="1259"/>
      <c r="AX309" s="1259"/>
      <c r="AY309" s="1259"/>
      <c r="AZ309" s="540"/>
      <c r="BA309" s="540"/>
      <c r="BB309" s="540"/>
      <c r="BC309" s="540"/>
      <c r="BD309" s="540"/>
      <c r="BE309" s="540"/>
      <c r="BF309" s="540"/>
      <c r="BG309" s="540"/>
      <c r="BH309" s="540"/>
      <c r="BI309" s="540"/>
      <c r="BJ309" s="540"/>
      <c r="BK309" s="540"/>
      <c r="BL309" s="540"/>
      <c r="BM309" s="540"/>
      <c r="BN309" s="540"/>
      <c r="BO309" s="540"/>
    </row>
    <row r="310" spans="1:67" ht="35.1" customHeight="1" x14ac:dyDescent="0.25">
      <c r="A310" s="3">
        <f t="shared" si="4"/>
        <v>298</v>
      </c>
      <c r="B310" s="1218" t="s">
        <v>162</v>
      </c>
      <c r="C310" s="1218"/>
      <c r="D310" s="1222"/>
      <c r="E310" s="1222"/>
      <c r="F310" s="1222"/>
      <c r="G310" s="1222"/>
      <c r="H310" s="1222"/>
      <c r="I310" s="1219"/>
      <c r="J310" s="1219"/>
      <c r="K310" s="1219"/>
      <c r="L310" s="1219"/>
      <c r="M310" s="1219"/>
      <c r="N310" s="1219"/>
      <c r="O310" s="1219"/>
      <c r="P310" s="1219"/>
      <c r="Q310" s="1220"/>
      <c r="R310" s="1220"/>
      <c r="S310" s="1220"/>
      <c r="T310" s="1220"/>
      <c r="U310" s="1220"/>
      <c r="V310" s="1220"/>
      <c r="W310" s="1220"/>
      <c r="X310" s="1220"/>
      <c r="Y310" s="1219"/>
      <c r="Z310" s="1219"/>
      <c r="AA310" s="1220"/>
      <c r="AB310" s="1220"/>
      <c r="AC310" s="1220"/>
      <c r="AD310" s="1220"/>
      <c r="AE310" s="1219"/>
      <c r="AF310" s="1219"/>
      <c r="AG310" s="1219"/>
      <c r="AH310" s="1220"/>
      <c r="AI310" s="1220"/>
      <c r="AJ310" s="1220"/>
      <c r="AK310" s="1219"/>
      <c r="AL310" s="1219"/>
      <c r="AM310" s="1219"/>
      <c r="AN310" s="1219"/>
      <c r="AO310" s="1220"/>
      <c r="AP310" s="1220"/>
      <c r="AQ310" s="1220"/>
      <c r="AR310" s="1220"/>
      <c r="AS310" s="1220"/>
      <c r="AT310" s="1220"/>
      <c r="AU310" s="1220"/>
      <c r="AV310" s="1220"/>
      <c r="AW310" s="1258"/>
      <c r="AX310" s="1258"/>
      <c r="AY310" s="1258"/>
      <c r="AZ310" s="1220"/>
      <c r="BA310" s="1220"/>
      <c r="BB310" s="1220"/>
      <c r="BC310" s="1220"/>
      <c r="BD310" s="1220"/>
      <c r="BE310" s="1220"/>
      <c r="BF310" s="1220"/>
      <c r="BG310" s="1220"/>
      <c r="BH310" s="1220"/>
      <c r="BI310" s="1220"/>
      <c r="BJ310" s="1220"/>
      <c r="BK310" s="1220"/>
      <c r="BL310" s="1220"/>
      <c r="BM310" s="1220"/>
      <c r="BN310" s="1220"/>
      <c r="BO310" s="1220"/>
    </row>
    <row r="311" spans="1:67" ht="35.1" customHeight="1" x14ac:dyDescent="0.25">
      <c r="A311" s="3">
        <f t="shared" si="4"/>
        <v>299</v>
      </c>
      <c r="B311" s="1218" t="s">
        <v>162</v>
      </c>
      <c r="C311" s="1218"/>
      <c r="D311" s="1221"/>
      <c r="E311" s="1221"/>
      <c r="F311" s="1221"/>
      <c r="G311" s="1221"/>
      <c r="H311" s="1221"/>
      <c r="I311" s="540"/>
      <c r="J311" s="540"/>
      <c r="K311" s="540"/>
      <c r="L311" s="540"/>
      <c r="M311" s="540"/>
      <c r="N311" s="540"/>
      <c r="O311" s="540"/>
      <c r="P311" s="540"/>
      <c r="Q311" s="540"/>
      <c r="R311" s="540"/>
      <c r="S311" s="540"/>
      <c r="T311" s="540"/>
      <c r="U311" s="540"/>
      <c r="V311" s="540"/>
      <c r="W311" s="540"/>
      <c r="X311" s="540"/>
      <c r="Y311" s="540"/>
      <c r="Z311" s="540"/>
      <c r="AA311" s="540"/>
      <c r="AB311" s="540"/>
      <c r="AC311" s="540"/>
      <c r="AD311" s="540"/>
      <c r="AE311" s="540"/>
      <c r="AF311" s="540"/>
      <c r="AG311" s="540"/>
      <c r="AH311" s="540"/>
      <c r="AI311" s="540"/>
      <c r="AJ311" s="540"/>
      <c r="AK311" s="540"/>
      <c r="AL311" s="540"/>
      <c r="AM311" s="540"/>
      <c r="AN311" s="540"/>
      <c r="AO311" s="540"/>
      <c r="AP311" s="540"/>
      <c r="AQ311" s="540"/>
      <c r="AR311" s="540"/>
      <c r="AS311" s="540"/>
      <c r="AT311" s="540"/>
      <c r="AU311" s="540"/>
      <c r="AV311" s="540"/>
      <c r="AW311" s="1259"/>
      <c r="AX311" s="1259"/>
      <c r="AY311" s="1259"/>
      <c r="AZ311" s="540"/>
      <c r="BA311" s="540"/>
      <c r="BB311" s="540"/>
      <c r="BC311" s="540"/>
      <c r="BD311" s="540"/>
      <c r="BE311" s="540"/>
      <c r="BF311" s="540"/>
      <c r="BG311" s="540"/>
      <c r="BH311" s="540"/>
      <c r="BI311" s="540"/>
      <c r="BJ311" s="540"/>
      <c r="BK311" s="540"/>
      <c r="BL311" s="540"/>
      <c r="BM311" s="540"/>
      <c r="BN311" s="540"/>
      <c r="BO311" s="540"/>
    </row>
    <row r="312" spans="1:67" ht="35.1" customHeight="1" x14ac:dyDescent="0.25">
      <c r="A312" s="3">
        <f t="shared" ref="A312:A363" si="5">+ROW(A300)</f>
        <v>300</v>
      </c>
      <c r="B312" s="1218" t="s">
        <v>162</v>
      </c>
      <c r="C312" s="1218"/>
      <c r="D312" s="1222"/>
      <c r="E312" s="1222"/>
      <c r="F312" s="1222"/>
      <c r="G312" s="1222"/>
      <c r="H312" s="1222"/>
      <c r="I312" s="1219"/>
      <c r="J312" s="1219"/>
      <c r="K312" s="1219"/>
      <c r="L312" s="1219"/>
      <c r="M312" s="1219"/>
      <c r="N312" s="1219"/>
      <c r="O312" s="1219"/>
      <c r="P312" s="1219"/>
      <c r="Q312" s="1220"/>
      <c r="R312" s="1220"/>
      <c r="S312" s="1220"/>
      <c r="T312" s="1220"/>
      <c r="U312" s="1220"/>
      <c r="V312" s="1220"/>
      <c r="W312" s="1220"/>
      <c r="X312" s="1220"/>
      <c r="Y312" s="1219"/>
      <c r="Z312" s="1219"/>
      <c r="AA312" s="1220"/>
      <c r="AB312" s="1220"/>
      <c r="AC312" s="1220"/>
      <c r="AD312" s="1220"/>
      <c r="AE312" s="1219"/>
      <c r="AF312" s="1219"/>
      <c r="AG312" s="1219"/>
      <c r="AH312" s="1220"/>
      <c r="AI312" s="1220"/>
      <c r="AJ312" s="1220"/>
      <c r="AK312" s="1219"/>
      <c r="AL312" s="1219"/>
      <c r="AM312" s="1219"/>
      <c r="AN312" s="1219"/>
      <c r="AO312" s="1220"/>
      <c r="AP312" s="1220"/>
      <c r="AQ312" s="1220"/>
      <c r="AR312" s="1220"/>
      <c r="AS312" s="1220"/>
      <c r="AT312" s="1220"/>
      <c r="AU312" s="1220"/>
      <c r="AV312" s="1220"/>
      <c r="AW312" s="1258"/>
      <c r="AX312" s="1258"/>
      <c r="AY312" s="1258"/>
      <c r="AZ312" s="1220"/>
      <c r="BA312" s="1220"/>
      <c r="BB312" s="1220"/>
      <c r="BC312" s="1220"/>
      <c r="BD312" s="1220"/>
      <c r="BE312" s="1220"/>
      <c r="BF312" s="1220"/>
      <c r="BG312" s="1220"/>
      <c r="BH312" s="1220"/>
      <c r="BI312" s="1220"/>
      <c r="BJ312" s="1220"/>
      <c r="BK312" s="1220"/>
      <c r="BL312" s="1220"/>
      <c r="BM312" s="1220"/>
      <c r="BN312" s="1220"/>
      <c r="BO312" s="1220"/>
    </row>
    <row r="313" spans="1:67" ht="35.1" customHeight="1" x14ac:dyDescent="0.25">
      <c r="A313" s="3">
        <f t="shared" si="5"/>
        <v>301</v>
      </c>
      <c r="B313" s="1218" t="s">
        <v>162</v>
      </c>
      <c r="C313" s="1218"/>
      <c r="D313" s="1221"/>
      <c r="E313" s="1221"/>
      <c r="F313" s="1221"/>
      <c r="G313" s="1221"/>
      <c r="H313" s="1221"/>
      <c r="I313" s="540"/>
      <c r="J313" s="540"/>
      <c r="K313" s="540"/>
      <c r="L313" s="540"/>
      <c r="M313" s="540"/>
      <c r="N313" s="540"/>
      <c r="O313" s="540"/>
      <c r="P313" s="540"/>
      <c r="Q313" s="540"/>
      <c r="R313" s="540"/>
      <c r="S313" s="540"/>
      <c r="T313" s="540"/>
      <c r="U313" s="540"/>
      <c r="V313" s="540"/>
      <c r="W313" s="540"/>
      <c r="X313" s="540"/>
      <c r="Y313" s="540"/>
      <c r="Z313" s="540"/>
      <c r="AA313" s="540"/>
      <c r="AB313" s="540"/>
      <c r="AC313" s="540"/>
      <c r="AD313" s="540"/>
      <c r="AE313" s="540"/>
      <c r="AF313" s="540"/>
      <c r="AG313" s="540"/>
      <c r="AH313" s="540"/>
      <c r="AI313" s="540"/>
      <c r="AJ313" s="540"/>
      <c r="AK313" s="540"/>
      <c r="AL313" s="540"/>
      <c r="AM313" s="540"/>
      <c r="AN313" s="540"/>
      <c r="AO313" s="540"/>
      <c r="AP313" s="540"/>
      <c r="AQ313" s="540"/>
      <c r="AR313" s="540"/>
      <c r="AS313" s="540"/>
      <c r="AT313" s="540"/>
      <c r="AU313" s="540"/>
      <c r="AV313" s="540"/>
      <c r="AW313" s="1259"/>
      <c r="AX313" s="1259"/>
      <c r="AY313" s="1259"/>
      <c r="AZ313" s="540"/>
      <c r="BA313" s="540"/>
      <c r="BB313" s="540"/>
      <c r="BC313" s="540"/>
      <c r="BD313" s="540"/>
      <c r="BE313" s="540"/>
      <c r="BF313" s="540"/>
      <c r="BG313" s="540"/>
      <c r="BH313" s="540"/>
      <c r="BI313" s="540"/>
      <c r="BJ313" s="540"/>
      <c r="BK313" s="540"/>
      <c r="BL313" s="540"/>
      <c r="BM313" s="540"/>
      <c r="BN313" s="540"/>
      <c r="BO313" s="540"/>
    </row>
    <row r="314" spans="1:67" ht="35.1" customHeight="1" x14ac:dyDescent="0.25">
      <c r="A314" s="3">
        <f t="shared" si="5"/>
        <v>302</v>
      </c>
      <c r="B314" s="1218" t="s">
        <v>162</v>
      </c>
      <c r="C314" s="1218"/>
      <c r="D314" s="1222"/>
      <c r="E314" s="1222"/>
      <c r="F314" s="1222"/>
      <c r="G314" s="1222"/>
      <c r="H314" s="1222"/>
      <c r="I314" s="1219"/>
      <c r="J314" s="1219"/>
      <c r="K314" s="1219"/>
      <c r="L314" s="1219"/>
      <c r="M314" s="1219"/>
      <c r="N314" s="1219"/>
      <c r="O314" s="1219"/>
      <c r="P314" s="1219"/>
      <c r="Q314" s="1220"/>
      <c r="R314" s="1220"/>
      <c r="S314" s="1220"/>
      <c r="T314" s="1220"/>
      <c r="U314" s="1220"/>
      <c r="V314" s="1220"/>
      <c r="W314" s="1220"/>
      <c r="X314" s="1220"/>
      <c r="Y314" s="1219"/>
      <c r="Z314" s="1219"/>
      <c r="AA314" s="1220"/>
      <c r="AB314" s="1220"/>
      <c r="AC314" s="1220"/>
      <c r="AD314" s="1220"/>
      <c r="AE314" s="1219"/>
      <c r="AF314" s="1219"/>
      <c r="AG314" s="1219"/>
      <c r="AH314" s="1220"/>
      <c r="AI314" s="1220"/>
      <c r="AJ314" s="1220"/>
      <c r="AK314" s="1219"/>
      <c r="AL314" s="1219"/>
      <c r="AM314" s="1219"/>
      <c r="AN314" s="1219"/>
      <c r="AO314" s="1220"/>
      <c r="AP314" s="1220"/>
      <c r="AQ314" s="1220"/>
      <c r="AR314" s="1220"/>
      <c r="AS314" s="1220"/>
      <c r="AT314" s="1220"/>
      <c r="AU314" s="1220"/>
      <c r="AV314" s="1220"/>
      <c r="AW314" s="1258"/>
      <c r="AX314" s="1258"/>
      <c r="AY314" s="1258"/>
      <c r="AZ314" s="1220"/>
      <c r="BA314" s="1220"/>
      <c r="BB314" s="1220"/>
      <c r="BC314" s="1220"/>
      <c r="BD314" s="1220"/>
      <c r="BE314" s="1220"/>
      <c r="BF314" s="1220"/>
      <c r="BG314" s="1220"/>
      <c r="BH314" s="1220"/>
      <c r="BI314" s="1220"/>
      <c r="BJ314" s="1220"/>
      <c r="BK314" s="1220"/>
      <c r="BL314" s="1220"/>
      <c r="BM314" s="1220"/>
      <c r="BN314" s="1220"/>
      <c r="BO314" s="1220"/>
    </row>
    <row r="315" spans="1:67" ht="35.1" customHeight="1" x14ac:dyDescent="0.25">
      <c r="A315" s="3">
        <f t="shared" si="5"/>
        <v>303</v>
      </c>
      <c r="B315" s="1218" t="s">
        <v>162</v>
      </c>
      <c r="C315" s="1218"/>
      <c r="D315" s="1221"/>
      <c r="E315" s="1221"/>
      <c r="F315" s="1221"/>
      <c r="G315" s="1221"/>
      <c r="H315" s="1221"/>
      <c r="I315" s="540"/>
      <c r="J315" s="540"/>
      <c r="K315" s="540"/>
      <c r="L315" s="540"/>
      <c r="M315" s="540"/>
      <c r="N315" s="540"/>
      <c r="O315" s="540"/>
      <c r="P315" s="540"/>
      <c r="Q315" s="540"/>
      <c r="R315" s="540"/>
      <c r="S315" s="540"/>
      <c r="T315" s="540"/>
      <c r="U315" s="540"/>
      <c r="V315" s="540"/>
      <c r="W315" s="540"/>
      <c r="X315" s="540"/>
      <c r="Y315" s="540"/>
      <c r="Z315" s="540"/>
      <c r="AA315" s="540"/>
      <c r="AB315" s="540"/>
      <c r="AC315" s="540"/>
      <c r="AD315" s="540"/>
      <c r="AE315" s="540"/>
      <c r="AF315" s="540"/>
      <c r="AG315" s="540"/>
      <c r="AH315" s="540"/>
      <c r="AI315" s="540"/>
      <c r="AJ315" s="540"/>
      <c r="AK315" s="540"/>
      <c r="AL315" s="540"/>
      <c r="AM315" s="540"/>
      <c r="AN315" s="540"/>
      <c r="AO315" s="540"/>
      <c r="AP315" s="540"/>
      <c r="AQ315" s="540"/>
      <c r="AR315" s="540"/>
      <c r="AS315" s="540"/>
      <c r="AT315" s="540"/>
      <c r="AU315" s="540"/>
      <c r="AV315" s="540"/>
      <c r="AW315" s="1259"/>
      <c r="AX315" s="1259"/>
      <c r="AY315" s="1259"/>
      <c r="AZ315" s="540"/>
      <c r="BA315" s="540"/>
      <c r="BB315" s="540"/>
      <c r="BC315" s="540"/>
      <c r="BD315" s="540"/>
      <c r="BE315" s="540"/>
      <c r="BF315" s="540"/>
      <c r="BG315" s="540"/>
      <c r="BH315" s="540"/>
      <c r="BI315" s="540"/>
      <c r="BJ315" s="540"/>
      <c r="BK315" s="540"/>
      <c r="BL315" s="540"/>
      <c r="BM315" s="540"/>
      <c r="BN315" s="540"/>
      <c r="BO315" s="540"/>
    </row>
    <row r="316" spans="1:67" ht="35.1" customHeight="1" x14ac:dyDescent="0.25">
      <c r="A316" s="3">
        <f t="shared" si="5"/>
        <v>304</v>
      </c>
      <c r="B316" s="1218" t="s">
        <v>162</v>
      </c>
      <c r="C316" s="1218"/>
      <c r="D316" s="1222"/>
      <c r="E316" s="1222"/>
      <c r="F316" s="1222"/>
      <c r="G316" s="1222"/>
      <c r="H316" s="1222"/>
      <c r="I316" s="1219"/>
      <c r="J316" s="1219"/>
      <c r="K316" s="1219"/>
      <c r="L316" s="1219"/>
      <c r="M316" s="1219"/>
      <c r="N316" s="1219"/>
      <c r="O316" s="1219"/>
      <c r="P316" s="1219"/>
      <c r="Q316" s="1220"/>
      <c r="R316" s="1220"/>
      <c r="S316" s="1220"/>
      <c r="T316" s="1220"/>
      <c r="U316" s="1220"/>
      <c r="V316" s="1220"/>
      <c r="W316" s="1220"/>
      <c r="X316" s="1220"/>
      <c r="Y316" s="1219"/>
      <c r="Z316" s="1219"/>
      <c r="AA316" s="1220"/>
      <c r="AB316" s="1220"/>
      <c r="AC316" s="1220"/>
      <c r="AD316" s="1220"/>
      <c r="AE316" s="1219"/>
      <c r="AF316" s="1219"/>
      <c r="AG316" s="1219"/>
      <c r="AH316" s="1220"/>
      <c r="AI316" s="1220"/>
      <c r="AJ316" s="1220"/>
      <c r="AK316" s="1219"/>
      <c r="AL316" s="1219"/>
      <c r="AM316" s="1219"/>
      <c r="AN316" s="1219"/>
      <c r="AO316" s="1220"/>
      <c r="AP316" s="1220"/>
      <c r="AQ316" s="1220"/>
      <c r="AR316" s="1220"/>
      <c r="AS316" s="1220"/>
      <c r="AT316" s="1220"/>
      <c r="AU316" s="1220"/>
      <c r="AV316" s="1220"/>
      <c r="AW316" s="1258"/>
      <c r="AX316" s="1258"/>
      <c r="AY316" s="1258"/>
      <c r="AZ316" s="1220"/>
      <c r="BA316" s="1220"/>
      <c r="BB316" s="1220"/>
      <c r="BC316" s="1220"/>
      <c r="BD316" s="1220"/>
      <c r="BE316" s="1220"/>
      <c r="BF316" s="1220"/>
      <c r="BG316" s="1220"/>
      <c r="BH316" s="1220"/>
      <c r="BI316" s="1220"/>
      <c r="BJ316" s="1220"/>
      <c r="BK316" s="1220"/>
      <c r="BL316" s="1220"/>
      <c r="BM316" s="1220"/>
      <c r="BN316" s="1220"/>
      <c r="BO316" s="1220"/>
    </row>
    <row r="317" spans="1:67" ht="35.1" customHeight="1" x14ac:dyDescent="0.25">
      <c r="A317" s="3">
        <f t="shared" si="5"/>
        <v>305</v>
      </c>
      <c r="B317" s="1218" t="s">
        <v>162</v>
      </c>
      <c r="C317" s="1218"/>
      <c r="D317" s="1221"/>
      <c r="E317" s="1221"/>
      <c r="F317" s="1221"/>
      <c r="G317" s="1221"/>
      <c r="H317" s="1221"/>
      <c r="I317" s="540"/>
      <c r="J317" s="540"/>
      <c r="K317" s="540"/>
      <c r="L317" s="540"/>
      <c r="M317" s="540"/>
      <c r="N317" s="540"/>
      <c r="O317" s="540"/>
      <c r="P317" s="540"/>
      <c r="Q317" s="540"/>
      <c r="R317" s="540"/>
      <c r="S317" s="540"/>
      <c r="T317" s="540"/>
      <c r="U317" s="540"/>
      <c r="V317" s="540"/>
      <c r="W317" s="540"/>
      <c r="X317" s="540"/>
      <c r="Y317" s="540"/>
      <c r="Z317" s="540"/>
      <c r="AA317" s="540"/>
      <c r="AB317" s="540"/>
      <c r="AC317" s="540"/>
      <c r="AD317" s="540"/>
      <c r="AE317" s="540"/>
      <c r="AF317" s="540"/>
      <c r="AG317" s="540"/>
      <c r="AH317" s="540"/>
      <c r="AI317" s="540"/>
      <c r="AJ317" s="540"/>
      <c r="AK317" s="540"/>
      <c r="AL317" s="540"/>
      <c r="AM317" s="540"/>
      <c r="AN317" s="540"/>
      <c r="AO317" s="540"/>
      <c r="AP317" s="540"/>
      <c r="AQ317" s="540"/>
      <c r="AR317" s="540"/>
      <c r="AS317" s="540"/>
      <c r="AT317" s="540"/>
      <c r="AU317" s="540"/>
      <c r="AV317" s="540"/>
      <c r="AW317" s="1259"/>
      <c r="AX317" s="1259"/>
      <c r="AY317" s="1259"/>
      <c r="AZ317" s="540"/>
      <c r="BA317" s="540"/>
      <c r="BB317" s="540"/>
      <c r="BC317" s="540"/>
      <c r="BD317" s="540"/>
      <c r="BE317" s="540"/>
      <c r="BF317" s="540"/>
      <c r="BG317" s="540"/>
      <c r="BH317" s="540"/>
      <c r="BI317" s="540"/>
      <c r="BJ317" s="540"/>
      <c r="BK317" s="540"/>
      <c r="BL317" s="540"/>
      <c r="BM317" s="540"/>
      <c r="BN317" s="540"/>
      <c r="BO317" s="540"/>
    </row>
    <row r="318" spans="1:67" ht="35.1" customHeight="1" x14ac:dyDescent="0.25">
      <c r="A318" s="3">
        <f t="shared" si="5"/>
        <v>306</v>
      </c>
      <c r="B318" s="1218" t="s">
        <v>162</v>
      </c>
      <c r="C318" s="1218"/>
      <c r="D318" s="1222"/>
      <c r="E318" s="1222"/>
      <c r="F318" s="1222"/>
      <c r="G318" s="1222"/>
      <c r="H318" s="1222"/>
      <c r="I318" s="1219"/>
      <c r="J318" s="1219"/>
      <c r="K318" s="1219"/>
      <c r="L318" s="1219"/>
      <c r="M318" s="1219"/>
      <c r="N318" s="1219"/>
      <c r="O318" s="1219"/>
      <c r="P318" s="1219"/>
      <c r="Q318" s="1220"/>
      <c r="R318" s="1220"/>
      <c r="S318" s="1220"/>
      <c r="T318" s="1220"/>
      <c r="U318" s="1220"/>
      <c r="V318" s="1220"/>
      <c r="W318" s="1220"/>
      <c r="X318" s="1220"/>
      <c r="Y318" s="1219"/>
      <c r="Z318" s="1219"/>
      <c r="AA318" s="1220"/>
      <c r="AB318" s="1220"/>
      <c r="AC318" s="1220"/>
      <c r="AD318" s="1220"/>
      <c r="AE318" s="1219"/>
      <c r="AF318" s="1219"/>
      <c r="AG318" s="1219"/>
      <c r="AH318" s="1220"/>
      <c r="AI318" s="1220"/>
      <c r="AJ318" s="1220"/>
      <c r="AK318" s="1219"/>
      <c r="AL318" s="1219"/>
      <c r="AM318" s="1219"/>
      <c r="AN318" s="1219"/>
      <c r="AO318" s="1220"/>
      <c r="AP318" s="1220"/>
      <c r="AQ318" s="1220"/>
      <c r="AR318" s="1220"/>
      <c r="AS318" s="1220"/>
      <c r="AT318" s="1220"/>
      <c r="AU318" s="1220"/>
      <c r="AV318" s="1220"/>
      <c r="AW318" s="1258"/>
      <c r="AX318" s="1258"/>
      <c r="AY318" s="1258"/>
      <c r="AZ318" s="1220"/>
      <c r="BA318" s="1220"/>
      <c r="BB318" s="1220"/>
      <c r="BC318" s="1220"/>
      <c r="BD318" s="1220"/>
      <c r="BE318" s="1220"/>
      <c r="BF318" s="1220"/>
      <c r="BG318" s="1220"/>
      <c r="BH318" s="1220"/>
      <c r="BI318" s="1220"/>
      <c r="BJ318" s="1220"/>
      <c r="BK318" s="1220"/>
      <c r="BL318" s="1220"/>
      <c r="BM318" s="1220"/>
      <c r="BN318" s="1220"/>
      <c r="BO318" s="1220"/>
    </row>
    <row r="319" spans="1:67" ht="35.1" customHeight="1" x14ac:dyDescent="0.25">
      <c r="A319" s="3">
        <f t="shared" si="5"/>
        <v>307</v>
      </c>
      <c r="B319" s="1218" t="s">
        <v>162</v>
      </c>
      <c r="C319" s="1218"/>
      <c r="D319" s="1221"/>
      <c r="E319" s="1221"/>
      <c r="F319" s="1221"/>
      <c r="G319" s="1221"/>
      <c r="H319" s="1221"/>
      <c r="I319" s="540"/>
      <c r="J319" s="540"/>
      <c r="K319" s="540"/>
      <c r="L319" s="540"/>
      <c r="M319" s="540"/>
      <c r="N319" s="540"/>
      <c r="O319" s="540"/>
      <c r="P319" s="540"/>
      <c r="Q319" s="540"/>
      <c r="R319" s="540"/>
      <c r="S319" s="540"/>
      <c r="T319" s="540"/>
      <c r="U319" s="540"/>
      <c r="V319" s="540"/>
      <c r="W319" s="540"/>
      <c r="X319" s="540"/>
      <c r="Y319" s="540"/>
      <c r="Z319" s="540"/>
      <c r="AA319" s="540"/>
      <c r="AB319" s="540"/>
      <c r="AC319" s="540"/>
      <c r="AD319" s="540"/>
      <c r="AE319" s="540"/>
      <c r="AF319" s="540"/>
      <c r="AG319" s="540"/>
      <c r="AH319" s="540"/>
      <c r="AI319" s="540"/>
      <c r="AJ319" s="540"/>
      <c r="AK319" s="540"/>
      <c r="AL319" s="540"/>
      <c r="AM319" s="540"/>
      <c r="AN319" s="540"/>
      <c r="AO319" s="540"/>
      <c r="AP319" s="540"/>
      <c r="AQ319" s="540"/>
      <c r="AR319" s="540"/>
      <c r="AS319" s="540"/>
      <c r="AT319" s="540"/>
      <c r="AU319" s="540"/>
      <c r="AV319" s="540"/>
      <c r="AW319" s="1259"/>
      <c r="AX319" s="1259"/>
      <c r="AY319" s="1259"/>
      <c r="AZ319" s="540"/>
      <c r="BA319" s="540"/>
      <c r="BB319" s="540"/>
      <c r="BC319" s="540"/>
      <c r="BD319" s="540"/>
      <c r="BE319" s="540"/>
      <c r="BF319" s="540"/>
      <c r="BG319" s="540"/>
      <c r="BH319" s="540"/>
      <c r="BI319" s="540"/>
      <c r="BJ319" s="540"/>
      <c r="BK319" s="540"/>
      <c r="BL319" s="540"/>
      <c r="BM319" s="540"/>
      <c r="BN319" s="540"/>
      <c r="BO319" s="540"/>
    </row>
    <row r="320" spans="1:67" ht="35.1" customHeight="1" x14ac:dyDescent="0.25">
      <c r="A320" s="3">
        <f t="shared" si="5"/>
        <v>308</v>
      </c>
      <c r="B320" s="1235" t="s">
        <v>162</v>
      </c>
      <c r="C320" s="1235"/>
      <c r="D320" s="1222"/>
      <c r="E320" s="1222"/>
      <c r="F320" s="1222"/>
      <c r="G320" s="1222"/>
      <c r="H320" s="1222"/>
      <c r="I320" s="1219"/>
      <c r="J320" s="1219"/>
      <c r="K320" s="1219"/>
      <c r="L320" s="1219"/>
      <c r="M320" s="1219"/>
      <c r="N320" s="1219"/>
      <c r="O320" s="1219"/>
      <c r="P320" s="1219"/>
      <c r="Q320" s="1220"/>
      <c r="R320" s="1220"/>
      <c r="S320" s="1220"/>
      <c r="T320" s="1220"/>
      <c r="U320" s="1220"/>
      <c r="V320" s="1220"/>
      <c r="W320" s="1220"/>
      <c r="X320" s="1220"/>
      <c r="Y320" s="1219"/>
      <c r="Z320" s="1219"/>
      <c r="AA320" s="1220"/>
      <c r="AB320" s="1220"/>
      <c r="AC320" s="1220"/>
      <c r="AD320" s="1220"/>
      <c r="AE320" s="1219"/>
      <c r="AF320" s="1219"/>
      <c r="AG320" s="1219"/>
      <c r="AH320" s="1220"/>
      <c r="AI320" s="1220"/>
      <c r="AJ320" s="1220"/>
      <c r="AK320" s="1219"/>
      <c r="AL320" s="1219"/>
      <c r="AM320" s="1219"/>
      <c r="AN320" s="1219"/>
      <c r="AO320" s="1220"/>
      <c r="AP320" s="1220"/>
      <c r="AQ320" s="1220"/>
      <c r="AR320" s="1220"/>
      <c r="AS320" s="1220"/>
      <c r="AT320" s="1220"/>
      <c r="AU320" s="1220"/>
      <c r="AV320" s="1220"/>
      <c r="AW320" s="1258"/>
      <c r="AX320" s="1258"/>
      <c r="AY320" s="1258"/>
      <c r="AZ320" s="1220"/>
      <c r="BA320" s="1220"/>
      <c r="BB320" s="1220"/>
      <c r="BC320" s="1220"/>
      <c r="BD320" s="1220"/>
      <c r="BE320" s="1220"/>
      <c r="BF320" s="1220"/>
      <c r="BG320" s="1220"/>
      <c r="BH320" s="1220"/>
      <c r="BI320" s="1220"/>
      <c r="BJ320" s="1220"/>
      <c r="BK320" s="1220"/>
      <c r="BL320" s="1220"/>
      <c r="BM320" s="1220"/>
      <c r="BN320" s="1220"/>
      <c r="BO320" s="1220"/>
    </row>
    <row r="321" spans="1:67" ht="35.1" customHeight="1" x14ac:dyDescent="0.25">
      <c r="A321" s="3">
        <f t="shared" si="5"/>
        <v>309</v>
      </c>
      <c r="B321" s="1218" t="s">
        <v>162</v>
      </c>
      <c r="C321" s="1218"/>
      <c r="D321" s="1221"/>
      <c r="E321" s="1221"/>
      <c r="F321" s="1221"/>
      <c r="G321" s="1221"/>
      <c r="H321" s="1221"/>
      <c r="I321" s="540"/>
      <c r="J321" s="540"/>
      <c r="K321" s="540"/>
      <c r="L321" s="540"/>
      <c r="M321" s="540"/>
      <c r="N321" s="540"/>
      <c r="O321" s="540"/>
      <c r="P321" s="540"/>
      <c r="Q321" s="540"/>
      <c r="R321" s="540"/>
      <c r="S321" s="540"/>
      <c r="T321" s="540"/>
      <c r="U321" s="540"/>
      <c r="V321" s="540"/>
      <c r="W321" s="540"/>
      <c r="X321" s="540"/>
      <c r="Y321" s="540"/>
      <c r="Z321" s="540"/>
      <c r="AA321" s="540"/>
      <c r="AB321" s="540"/>
      <c r="AC321" s="540"/>
      <c r="AD321" s="540"/>
      <c r="AE321" s="540"/>
      <c r="AF321" s="540"/>
      <c r="AG321" s="540"/>
      <c r="AH321" s="540"/>
      <c r="AI321" s="540"/>
      <c r="AJ321" s="540"/>
      <c r="AK321" s="540"/>
      <c r="AL321" s="540"/>
      <c r="AM321" s="540"/>
      <c r="AN321" s="540"/>
      <c r="AO321" s="540"/>
      <c r="AP321" s="540"/>
      <c r="AQ321" s="540"/>
      <c r="AR321" s="540"/>
      <c r="AS321" s="540"/>
      <c r="AT321" s="540"/>
      <c r="AU321" s="540"/>
      <c r="AV321" s="540"/>
      <c r="AW321" s="1259"/>
      <c r="AX321" s="1259"/>
      <c r="AY321" s="1259"/>
      <c r="AZ321" s="540"/>
      <c r="BA321" s="540"/>
      <c r="BB321" s="540"/>
      <c r="BC321" s="540"/>
      <c r="BD321" s="540"/>
      <c r="BE321" s="540"/>
      <c r="BF321" s="540"/>
      <c r="BG321" s="540"/>
      <c r="BH321" s="540"/>
      <c r="BI321" s="540"/>
      <c r="BJ321" s="540"/>
      <c r="BK321" s="540"/>
      <c r="BL321" s="540"/>
      <c r="BM321" s="540"/>
      <c r="BN321" s="540"/>
      <c r="BO321" s="540"/>
    </row>
    <row r="322" spans="1:67" ht="35.1" customHeight="1" x14ac:dyDescent="0.25">
      <c r="A322" s="3">
        <f t="shared" si="5"/>
        <v>310</v>
      </c>
      <c r="B322" s="1218" t="s">
        <v>162</v>
      </c>
      <c r="C322" s="1218"/>
      <c r="D322" s="1222"/>
      <c r="E322" s="1222"/>
      <c r="F322" s="1222"/>
      <c r="G322" s="1222"/>
      <c r="H322" s="1222"/>
      <c r="I322" s="1219"/>
      <c r="J322" s="1219"/>
      <c r="K322" s="1219"/>
      <c r="L322" s="1219"/>
      <c r="M322" s="1219"/>
      <c r="N322" s="1219"/>
      <c r="O322" s="1219"/>
      <c r="P322" s="1219"/>
      <c r="Q322" s="1220"/>
      <c r="R322" s="1220"/>
      <c r="S322" s="1220"/>
      <c r="T322" s="1220"/>
      <c r="U322" s="1220"/>
      <c r="V322" s="1220"/>
      <c r="W322" s="1220"/>
      <c r="X322" s="1220"/>
      <c r="Y322" s="1219"/>
      <c r="Z322" s="1219"/>
      <c r="AA322" s="1220"/>
      <c r="AB322" s="1220"/>
      <c r="AC322" s="1220"/>
      <c r="AD322" s="1220"/>
      <c r="AE322" s="1219"/>
      <c r="AF322" s="1219"/>
      <c r="AG322" s="1219"/>
      <c r="AH322" s="1220"/>
      <c r="AI322" s="1220"/>
      <c r="AJ322" s="1220"/>
      <c r="AK322" s="1219"/>
      <c r="AL322" s="1219"/>
      <c r="AM322" s="1219"/>
      <c r="AN322" s="1219"/>
      <c r="AO322" s="1220"/>
      <c r="AP322" s="1220"/>
      <c r="AQ322" s="1220"/>
      <c r="AR322" s="1220"/>
      <c r="AS322" s="1220"/>
      <c r="AT322" s="1220"/>
      <c r="AU322" s="1220"/>
      <c r="AV322" s="1220"/>
      <c r="AW322" s="1258"/>
      <c r="AX322" s="1258"/>
      <c r="AY322" s="1258"/>
      <c r="AZ322" s="1220"/>
      <c r="BA322" s="1220"/>
      <c r="BB322" s="1220"/>
      <c r="BC322" s="1220"/>
      <c r="BD322" s="1220"/>
      <c r="BE322" s="1220"/>
      <c r="BF322" s="1220"/>
      <c r="BG322" s="1220"/>
      <c r="BH322" s="1220"/>
      <c r="BI322" s="1220"/>
      <c r="BJ322" s="1220"/>
      <c r="BK322" s="1220"/>
      <c r="BL322" s="1220"/>
      <c r="BM322" s="1220"/>
      <c r="BN322" s="1220"/>
      <c r="BO322" s="1220"/>
    </row>
    <row r="323" spans="1:67" ht="35.1" customHeight="1" x14ac:dyDescent="0.25">
      <c r="A323" s="3">
        <f t="shared" si="5"/>
        <v>311</v>
      </c>
      <c r="B323" s="1218" t="s">
        <v>162</v>
      </c>
      <c r="C323" s="1218"/>
      <c r="D323" s="1221"/>
      <c r="E323" s="1221"/>
      <c r="F323" s="1221"/>
      <c r="G323" s="1221"/>
      <c r="H323" s="1221"/>
      <c r="I323" s="540"/>
      <c r="J323" s="540"/>
      <c r="K323" s="540"/>
      <c r="L323" s="540"/>
      <c r="M323" s="540"/>
      <c r="N323" s="540"/>
      <c r="O323" s="540"/>
      <c r="P323" s="540"/>
      <c r="Q323" s="540"/>
      <c r="R323" s="540"/>
      <c r="S323" s="540"/>
      <c r="T323" s="540"/>
      <c r="U323" s="540"/>
      <c r="V323" s="540"/>
      <c r="W323" s="540"/>
      <c r="X323" s="540"/>
      <c r="Y323" s="540"/>
      <c r="Z323" s="540"/>
      <c r="AA323" s="540"/>
      <c r="AB323" s="540"/>
      <c r="AC323" s="540"/>
      <c r="AD323" s="540"/>
      <c r="AE323" s="540"/>
      <c r="AF323" s="540"/>
      <c r="AG323" s="540"/>
      <c r="AH323" s="540"/>
      <c r="AI323" s="540"/>
      <c r="AJ323" s="540"/>
      <c r="AK323" s="540"/>
      <c r="AL323" s="540"/>
      <c r="AM323" s="540"/>
      <c r="AN323" s="540"/>
      <c r="AO323" s="540"/>
      <c r="AP323" s="540"/>
      <c r="AQ323" s="540"/>
      <c r="AR323" s="540"/>
      <c r="AS323" s="540"/>
      <c r="AT323" s="540"/>
      <c r="AU323" s="540"/>
      <c r="AV323" s="540"/>
      <c r="AW323" s="1259"/>
      <c r="AX323" s="1259"/>
      <c r="AY323" s="1259"/>
      <c r="AZ323" s="540"/>
      <c r="BA323" s="540"/>
      <c r="BB323" s="540"/>
      <c r="BC323" s="540"/>
      <c r="BD323" s="540"/>
      <c r="BE323" s="540"/>
      <c r="BF323" s="540"/>
      <c r="BG323" s="540"/>
      <c r="BH323" s="540"/>
      <c r="BI323" s="540"/>
      <c r="BJ323" s="540"/>
      <c r="BK323" s="540"/>
      <c r="BL323" s="540"/>
      <c r="BM323" s="540"/>
      <c r="BN323" s="540"/>
      <c r="BO323" s="540"/>
    </row>
    <row r="324" spans="1:67" ht="35.1" customHeight="1" x14ac:dyDescent="0.25">
      <c r="A324" s="3">
        <f t="shared" si="5"/>
        <v>312</v>
      </c>
      <c r="B324" s="1218" t="s">
        <v>162</v>
      </c>
      <c r="C324" s="1218"/>
      <c r="D324" s="1222"/>
      <c r="E324" s="1222"/>
      <c r="F324" s="1222"/>
      <c r="G324" s="1222"/>
      <c r="H324" s="1222"/>
      <c r="I324" s="1219"/>
      <c r="J324" s="1219"/>
      <c r="K324" s="1219"/>
      <c r="L324" s="1219"/>
      <c r="M324" s="1219"/>
      <c r="N324" s="1219"/>
      <c r="O324" s="1219"/>
      <c r="P324" s="1219"/>
      <c r="Q324" s="1220"/>
      <c r="R324" s="1220"/>
      <c r="S324" s="1220"/>
      <c r="T324" s="1220"/>
      <c r="U324" s="1220"/>
      <c r="V324" s="1220"/>
      <c r="W324" s="1220"/>
      <c r="X324" s="1220"/>
      <c r="Y324" s="1219"/>
      <c r="Z324" s="1219"/>
      <c r="AA324" s="1220"/>
      <c r="AB324" s="1220"/>
      <c r="AC324" s="1220"/>
      <c r="AD324" s="1220"/>
      <c r="AE324" s="1219"/>
      <c r="AF324" s="1219"/>
      <c r="AG324" s="1219"/>
      <c r="AH324" s="1220"/>
      <c r="AI324" s="1220"/>
      <c r="AJ324" s="1220"/>
      <c r="AK324" s="1219"/>
      <c r="AL324" s="1219"/>
      <c r="AM324" s="1219"/>
      <c r="AN324" s="1219"/>
      <c r="AO324" s="1220"/>
      <c r="AP324" s="1220"/>
      <c r="AQ324" s="1220"/>
      <c r="AR324" s="1220"/>
      <c r="AS324" s="1220"/>
      <c r="AT324" s="1220"/>
      <c r="AU324" s="1220"/>
      <c r="AV324" s="1220"/>
      <c r="AW324" s="1258"/>
      <c r="AX324" s="1258"/>
      <c r="AY324" s="1258"/>
      <c r="AZ324" s="1220"/>
      <c r="BA324" s="1220"/>
      <c r="BB324" s="1220"/>
      <c r="BC324" s="1220"/>
      <c r="BD324" s="1220"/>
      <c r="BE324" s="1220"/>
      <c r="BF324" s="1220"/>
      <c r="BG324" s="1220"/>
      <c r="BH324" s="1220"/>
      <c r="BI324" s="1220"/>
      <c r="BJ324" s="1220"/>
      <c r="BK324" s="1220"/>
      <c r="BL324" s="1220"/>
      <c r="BM324" s="1220"/>
      <c r="BN324" s="1220"/>
      <c r="BO324" s="1220"/>
    </row>
    <row r="325" spans="1:67" ht="35.1" customHeight="1" x14ac:dyDescent="0.25">
      <c r="A325" s="3">
        <f t="shared" si="5"/>
        <v>313</v>
      </c>
      <c r="B325" s="1218" t="s">
        <v>162</v>
      </c>
      <c r="C325" s="1218"/>
      <c r="D325" s="1221"/>
      <c r="E325" s="1221"/>
      <c r="F325" s="1221"/>
      <c r="G325" s="1221"/>
      <c r="H325" s="1221"/>
      <c r="I325" s="540"/>
      <c r="J325" s="540"/>
      <c r="K325" s="540"/>
      <c r="L325" s="540"/>
      <c r="M325" s="540"/>
      <c r="N325" s="540"/>
      <c r="O325" s="540"/>
      <c r="P325" s="540"/>
      <c r="Q325" s="540"/>
      <c r="R325" s="540"/>
      <c r="S325" s="540"/>
      <c r="T325" s="540"/>
      <c r="U325" s="540"/>
      <c r="V325" s="540"/>
      <c r="W325" s="540"/>
      <c r="X325" s="540"/>
      <c r="Y325" s="540"/>
      <c r="Z325" s="540"/>
      <c r="AA325" s="540"/>
      <c r="AB325" s="540"/>
      <c r="AC325" s="540"/>
      <c r="AD325" s="540"/>
      <c r="AE325" s="540"/>
      <c r="AF325" s="540"/>
      <c r="AG325" s="540"/>
      <c r="AH325" s="540"/>
      <c r="AI325" s="540"/>
      <c r="AJ325" s="540"/>
      <c r="AK325" s="540"/>
      <c r="AL325" s="540"/>
      <c r="AM325" s="540"/>
      <c r="AN325" s="540"/>
      <c r="AO325" s="540"/>
      <c r="AP325" s="540"/>
      <c r="AQ325" s="540"/>
      <c r="AR325" s="540"/>
      <c r="AS325" s="540"/>
      <c r="AT325" s="540"/>
      <c r="AU325" s="540"/>
      <c r="AV325" s="540"/>
      <c r="AW325" s="1259"/>
      <c r="AX325" s="1259"/>
      <c r="AY325" s="1259"/>
      <c r="AZ325" s="540"/>
      <c r="BA325" s="540"/>
      <c r="BB325" s="540"/>
      <c r="BC325" s="540"/>
      <c r="BD325" s="540"/>
      <c r="BE325" s="540"/>
      <c r="BF325" s="540"/>
      <c r="BG325" s="540"/>
      <c r="BH325" s="540"/>
      <c r="BI325" s="540"/>
      <c r="BJ325" s="540"/>
      <c r="BK325" s="540"/>
      <c r="BL325" s="540"/>
      <c r="BM325" s="540"/>
      <c r="BN325" s="540"/>
      <c r="BO325" s="540"/>
    </row>
    <row r="326" spans="1:67" ht="35.1" customHeight="1" x14ac:dyDescent="0.25">
      <c r="A326" s="3">
        <f t="shared" si="5"/>
        <v>314</v>
      </c>
      <c r="B326" s="1218" t="s">
        <v>162</v>
      </c>
      <c r="C326" s="1218"/>
      <c r="D326" s="1222"/>
      <c r="E326" s="1222"/>
      <c r="F326" s="1222"/>
      <c r="G326" s="1222"/>
      <c r="H326" s="1222"/>
      <c r="I326" s="1219"/>
      <c r="J326" s="1219"/>
      <c r="K326" s="1219"/>
      <c r="L326" s="1219"/>
      <c r="M326" s="1219"/>
      <c r="N326" s="1219"/>
      <c r="O326" s="1219"/>
      <c r="P326" s="1219"/>
      <c r="Q326" s="1220"/>
      <c r="R326" s="1220"/>
      <c r="S326" s="1220"/>
      <c r="T326" s="1220"/>
      <c r="U326" s="1220"/>
      <c r="V326" s="1220"/>
      <c r="W326" s="1220"/>
      <c r="X326" s="1220"/>
      <c r="Y326" s="1219"/>
      <c r="Z326" s="1219"/>
      <c r="AA326" s="1220"/>
      <c r="AB326" s="1220"/>
      <c r="AC326" s="1220"/>
      <c r="AD326" s="1220"/>
      <c r="AE326" s="1219"/>
      <c r="AF326" s="1219"/>
      <c r="AG326" s="1219"/>
      <c r="AH326" s="1220"/>
      <c r="AI326" s="1220"/>
      <c r="AJ326" s="1220"/>
      <c r="AK326" s="1219"/>
      <c r="AL326" s="1219"/>
      <c r="AM326" s="1219"/>
      <c r="AN326" s="1219"/>
      <c r="AO326" s="1220"/>
      <c r="AP326" s="1220"/>
      <c r="AQ326" s="1220"/>
      <c r="AR326" s="1220"/>
      <c r="AS326" s="1220"/>
      <c r="AT326" s="1220"/>
      <c r="AU326" s="1220"/>
      <c r="AV326" s="1220"/>
      <c r="AW326" s="1258"/>
      <c r="AX326" s="1258"/>
      <c r="AY326" s="1258"/>
      <c r="AZ326" s="1220"/>
      <c r="BA326" s="1220"/>
      <c r="BB326" s="1220"/>
      <c r="BC326" s="1220"/>
      <c r="BD326" s="1220"/>
      <c r="BE326" s="1220"/>
      <c r="BF326" s="1220"/>
      <c r="BG326" s="1220"/>
      <c r="BH326" s="1220"/>
      <c r="BI326" s="1220"/>
      <c r="BJ326" s="1220"/>
      <c r="BK326" s="1220"/>
      <c r="BL326" s="1220"/>
      <c r="BM326" s="1220"/>
      <c r="BN326" s="1220"/>
      <c r="BO326" s="1220"/>
    </row>
    <row r="327" spans="1:67" ht="35.1" customHeight="1" x14ac:dyDescent="0.25">
      <c r="A327" s="3">
        <f t="shared" si="5"/>
        <v>315</v>
      </c>
      <c r="B327" s="1218" t="s">
        <v>162</v>
      </c>
      <c r="C327" s="1218"/>
      <c r="D327" s="1221"/>
      <c r="E327" s="1221"/>
      <c r="F327" s="1221"/>
      <c r="G327" s="1221"/>
      <c r="H327" s="1221"/>
      <c r="I327" s="540"/>
      <c r="J327" s="540"/>
      <c r="K327" s="540"/>
      <c r="L327" s="540"/>
      <c r="M327" s="540"/>
      <c r="N327" s="540"/>
      <c r="O327" s="540"/>
      <c r="P327" s="540"/>
      <c r="Q327" s="540"/>
      <c r="R327" s="540"/>
      <c r="S327" s="540"/>
      <c r="T327" s="540"/>
      <c r="U327" s="540"/>
      <c r="V327" s="540"/>
      <c r="W327" s="540"/>
      <c r="X327" s="540"/>
      <c r="Y327" s="540"/>
      <c r="Z327" s="540"/>
      <c r="AA327" s="540"/>
      <c r="AB327" s="540"/>
      <c r="AC327" s="540"/>
      <c r="AD327" s="540"/>
      <c r="AE327" s="540"/>
      <c r="AF327" s="540"/>
      <c r="AG327" s="540"/>
      <c r="AH327" s="540"/>
      <c r="AI327" s="540"/>
      <c r="AJ327" s="540"/>
      <c r="AK327" s="540"/>
      <c r="AL327" s="540"/>
      <c r="AM327" s="540"/>
      <c r="AN327" s="540"/>
      <c r="AO327" s="540"/>
      <c r="AP327" s="540"/>
      <c r="AQ327" s="540"/>
      <c r="AR327" s="540"/>
      <c r="AS327" s="540"/>
      <c r="AT327" s="540"/>
      <c r="AU327" s="540"/>
      <c r="AV327" s="540"/>
      <c r="AW327" s="1259"/>
      <c r="AX327" s="1259"/>
      <c r="AY327" s="1259"/>
      <c r="AZ327" s="540"/>
      <c r="BA327" s="540"/>
      <c r="BB327" s="540"/>
      <c r="BC327" s="540"/>
      <c r="BD327" s="540"/>
      <c r="BE327" s="540"/>
      <c r="BF327" s="540"/>
      <c r="BG327" s="540"/>
      <c r="BH327" s="540"/>
      <c r="BI327" s="540"/>
      <c r="BJ327" s="540"/>
      <c r="BK327" s="540"/>
      <c r="BL327" s="540"/>
      <c r="BM327" s="540"/>
      <c r="BN327" s="540"/>
      <c r="BO327" s="540"/>
    </row>
    <row r="328" spans="1:67" ht="35.1" customHeight="1" x14ac:dyDescent="0.25">
      <c r="A328" s="3">
        <f t="shared" si="5"/>
        <v>316</v>
      </c>
      <c r="B328" s="1218" t="s">
        <v>162</v>
      </c>
      <c r="C328" s="1218"/>
      <c r="D328" s="1222"/>
      <c r="E328" s="1222"/>
      <c r="F328" s="1222"/>
      <c r="G328" s="1222"/>
      <c r="H328" s="1222"/>
      <c r="I328" s="1219"/>
      <c r="J328" s="1219"/>
      <c r="K328" s="1219"/>
      <c r="L328" s="1219"/>
      <c r="M328" s="1219"/>
      <c r="N328" s="1219"/>
      <c r="O328" s="1219"/>
      <c r="P328" s="1219"/>
      <c r="Q328" s="1220"/>
      <c r="R328" s="1220"/>
      <c r="S328" s="1220"/>
      <c r="T328" s="1220"/>
      <c r="U328" s="1220"/>
      <c r="V328" s="1220"/>
      <c r="W328" s="1220"/>
      <c r="X328" s="1220"/>
      <c r="Y328" s="1219"/>
      <c r="Z328" s="1219"/>
      <c r="AA328" s="1220"/>
      <c r="AB328" s="1220"/>
      <c r="AC328" s="1220"/>
      <c r="AD328" s="1220"/>
      <c r="AE328" s="1219"/>
      <c r="AF328" s="1219"/>
      <c r="AG328" s="1219"/>
      <c r="AH328" s="1220"/>
      <c r="AI328" s="1220"/>
      <c r="AJ328" s="1220"/>
      <c r="AK328" s="1219"/>
      <c r="AL328" s="1219"/>
      <c r="AM328" s="1219"/>
      <c r="AN328" s="1219"/>
      <c r="AO328" s="1220"/>
      <c r="AP328" s="1220"/>
      <c r="AQ328" s="1220"/>
      <c r="AR328" s="1220"/>
      <c r="AS328" s="1220"/>
      <c r="AT328" s="1220"/>
      <c r="AU328" s="1220"/>
      <c r="AV328" s="1220"/>
      <c r="AW328" s="1258"/>
      <c r="AX328" s="1258"/>
      <c r="AY328" s="1258"/>
      <c r="AZ328" s="1220"/>
      <c r="BA328" s="1220"/>
      <c r="BB328" s="1220"/>
      <c r="BC328" s="1220"/>
      <c r="BD328" s="1220"/>
      <c r="BE328" s="1220"/>
      <c r="BF328" s="1220"/>
      <c r="BG328" s="1220"/>
      <c r="BH328" s="1220"/>
      <c r="BI328" s="1220"/>
      <c r="BJ328" s="1220"/>
      <c r="BK328" s="1220"/>
      <c r="BL328" s="1220"/>
      <c r="BM328" s="1220"/>
      <c r="BN328" s="1220"/>
      <c r="BO328" s="1220"/>
    </row>
    <row r="329" spans="1:67" ht="35.1" customHeight="1" x14ac:dyDescent="0.25">
      <c r="A329" s="3">
        <f t="shared" si="5"/>
        <v>317</v>
      </c>
      <c r="B329" s="1218" t="s">
        <v>162</v>
      </c>
      <c r="C329" s="1218"/>
      <c r="D329" s="1221"/>
      <c r="E329" s="1221"/>
      <c r="F329" s="1221"/>
      <c r="G329" s="1221"/>
      <c r="H329" s="1221"/>
      <c r="I329" s="540"/>
      <c r="J329" s="540"/>
      <c r="K329" s="540"/>
      <c r="L329" s="540"/>
      <c r="M329" s="540"/>
      <c r="N329" s="540"/>
      <c r="O329" s="540"/>
      <c r="P329" s="540"/>
      <c r="Q329" s="540"/>
      <c r="R329" s="540"/>
      <c r="S329" s="540"/>
      <c r="T329" s="540"/>
      <c r="U329" s="540"/>
      <c r="V329" s="540"/>
      <c r="W329" s="540"/>
      <c r="X329" s="540"/>
      <c r="Y329" s="540"/>
      <c r="Z329" s="540"/>
      <c r="AA329" s="540"/>
      <c r="AB329" s="540"/>
      <c r="AC329" s="540"/>
      <c r="AD329" s="540"/>
      <c r="AE329" s="540"/>
      <c r="AF329" s="540"/>
      <c r="AG329" s="540"/>
      <c r="AH329" s="540"/>
      <c r="AI329" s="540"/>
      <c r="AJ329" s="540"/>
      <c r="AK329" s="540"/>
      <c r="AL329" s="540"/>
      <c r="AM329" s="540"/>
      <c r="AN329" s="540"/>
      <c r="AO329" s="540"/>
      <c r="AP329" s="540"/>
      <c r="AQ329" s="540"/>
      <c r="AR329" s="540"/>
      <c r="AS329" s="540"/>
      <c r="AT329" s="540"/>
      <c r="AU329" s="540"/>
      <c r="AV329" s="540"/>
      <c r="AW329" s="1259"/>
      <c r="AX329" s="1259"/>
      <c r="AY329" s="1259"/>
      <c r="AZ329" s="540"/>
      <c r="BA329" s="540"/>
      <c r="BB329" s="540"/>
      <c r="BC329" s="540"/>
      <c r="BD329" s="540"/>
      <c r="BE329" s="540"/>
      <c r="BF329" s="540"/>
      <c r="BG329" s="540"/>
      <c r="BH329" s="540"/>
      <c r="BI329" s="540"/>
      <c r="BJ329" s="540"/>
      <c r="BK329" s="540"/>
      <c r="BL329" s="540"/>
      <c r="BM329" s="540"/>
      <c r="BN329" s="540"/>
      <c r="BO329" s="540"/>
    </row>
    <row r="330" spans="1:67" ht="35.1" customHeight="1" x14ac:dyDescent="0.25">
      <c r="A330" s="3">
        <f t="shared" si="5"/>
        <v>318</v>
      </c>
      <c r="B330" s="1218" t="s">
        <v>162</v>
      </c>
      <c r="C330" s="1218"/>
      <c r="D330" s="1222"/>
      <c r="E330" s="1222"/>
      <c r="F330" s="1222"/>
      <c r="G330" s="1222"/>
      <c r="H330" s="1222"/>
      <c r="I330" s="1219"/>
      <c r="J330" s="1219"/>
      <c r="K330" s="1219"/>
      <c r="L330" s="1219"/>
      <c r="M330" s="1219"/>
      <c r="N330" s="1219"/>
      <c r="O330" s="1219"/>
      <c r="P330" s="1219"/>
      <c r="Q330" s="1220"/>
      <c r="R330" s="1220"/>
      <c r="S330" s="1220"/>
      <c r="T330" s="1220"/>
      <c r="U330" s="1220"/>
      <c r="V330" s="1220"/>
      <c r="W330" s="1220"/>
      <c r="X330" s="1220"/>
      <c r="Y330" s="1219"/>
      <c r="Z330" s="1219"/>
      <c r="AA330" s="1220"/>
      <c r="AB330" s="1220"/>
      <c r="AC330" s="1220"/>
      <c r="AD330" s="1220"/>
      <c r="AE330" s="1219"/>
      <c r="AF330" s="1219"/>
      <c r="AG330" s="1219"/>
      <c r="AH330" s="1220"/>
      <c r="AI330" s="1220"/>
      <c r="AJ330" s="1220"/>
      <c r="AK330" s="1219"/>
      <c r="AL330" s="1219"/>
      <c r="AM330" s="1219"/>
      <c r="AN330" s="1219"/>
      <c r="AO330" s="1220"/>
      <c r="AP330" s="1220"/>
      <c r="AQ330" s="1220"/>
      <c r="AR330" s="1220"/>
      <c r="AS330" s="1220"/>
      <c r="AT330" s="1220"/>
      <c r="AU330" s="1220"/>
      <c r="AV330" s="1220"/>
      <c r="AW330" s="1258"/>
      <c r="AX330" s="1258"/>
      <c r="AY330" s="1258"/>
      <c r="AZ330" s="1220"/>
      <c r="BA330" s="1220"/>
      <c r="BB330" s="1220"/>
      <c r="BC330" s="1220"/>
      <c r="BD330" s="1220"/>
      <c r="BE330" s="1220"/>
      <c r="BF330" s="1220"/>
      <c r="BG330" s="1220"/>
      <c r="BH330" s="1220"/>
      <c r="BI330" s="1220"/>
      <c r="BJ330" s="1220"/>
      <c r="BK330" s="1220"/>
      <c r="BL330" s="1220"/>
      <c r="BM330" s="1220"/>
      <c r="BN330" s="1220"/>
      <c r="BO330" s="1220"/>
    </row>
    <row r="331" spans="1:67" ht="35.1" customHeight="1" x14ac:dyDescent="0.25">
      <c r="A331" s="3">
        <f t="shared" si="5"/>
        <v>319</v>
      </c>
      <c r="B331" s="1218" t="s">
        <v>162</v>
      </c>
      <c r="C331" s="1218"/>
      <c r="D331" s="1221"/>
      <c r="E331" s="1221"/>
      <c r="F331" s="1221"/>
      <c r="G331" s="1221"/>
      <c r="H331" s="1221"/>
      <c r="I331" s="540"/>
      <c r="J331" s="540"/>
      <c r="K331" s="540"/>
      <c r="L331" s="540"/>
      <c r="M331" s="540"/>
      <c r="N331" s="540"/>
      <c r="O331" s="540"/>
      <c r="P331" s="540"/>
      <c r="Q331" s="540"/>
      <c r="R331" s="540"/>
      <c r="S331" s="540"/>
      <c r="T331" s="540"/>
      <c r="U331" s="540"/>
      <c r="V331" s="540"/>
      <c r="W331" s="540"/>
      <c r="X331" s="540"/>
      <c r="Y331" s="540"/>
      <c r="Z331" s="540"/>
      <c r="AA331" s="540"/>
      <c r="AB331" s="540"/>
      <c r="AC331" s="540"/>
      <c r="AD331" s="540"/>
      <c r="AE331" s="540"/>
      <c r="AF331" s="540"/>
      <c r="AG331" s="540"/>
      <c r="AH331" s="540"/>
      <c r="AI331" s="540"/>
      <c r="AJ331" s="540"/>
      <c r="AK331" s="540"/>
      <c r="AL331" s="540"/>
      <c r="AM331" s="540"/>
      <c r="AN331" s="540"/>
      <c r="AO331" s="540"/>
      <c r="AP331" s="540"/>
      <c r="AQ331" s="540"/>
      <c r="AR331" s="540"/>
      <c r="AS331" s="540"/>
      <c r="AT331" s="540"/>
      <c r="AU331" s="540"/>
      <c r="AV331" s="540"/>
      <c r="AW331" s="1259"/>
      <c r="AX331" s="1259"/>
      <c r="AY331" s="1259"/>
      <c r="AZ331" s="540"/>
      <c r="BA331" s="540"/>
      <c r="BB331" s="540"/>
      <c r="BC331" s="540"/>
      <c r="BD331" s="540"/>
      <c r="BE331" s="540"/>
      <c r="BF331" s="540"/>
      <c r="BG331" s="540"/>
      <c r="BH331" s="540"/>
      <c r="BI331" s="540"/>
      <c r="BJ331" s="540"/>
      <c r="BK331" s="540"/>
      <c r="BL331" s="540"/>
      <c r="BM331" s="540"/>
      <c r="BN331" s="540"/>
      <c r="BO331" s="540"/>
    </row>
    <row r="332" spans="1:67" ht="35.1" customHeight="1" x14ac:dyDescent="0.25">
      <c r="A332" s="3">
        <f t="shared" si="5"/>
        <v>320</v>
      </c>
      <c r="B332" s="1218" t="s">
        <v>162</v>
      </c>
      <c r="C332" s="1218"/>
      <c r="D332" s="1222"/>
      <c r="E332" s="1222"/>
      <c r="F332" s="1222"/>
      <c r="G332" s="1222"/>
      <c r="H332" s="1222"/>
      <c r="I332" s="1219"/>
      <c r="J332" s="1219"/>
      <c r="K332" s="1219"/>
      <c r="L332" s="1219"/>
      <c r="M332" s="1219"/>
      <c r="N332" s="1219"/>
      <c r="O332" s="1219"/>
      <c r="P332" s="1219"/>
      <c r="Q332" s="1220"/>
      <c r="R332" s="1220"/>
      <c r="S332" s="1220"/>
      <c r="T332" s="1220"/>
      <c r="U332" s="1220"/>
      <c r="V332" s="1220"/>
      <c r="W332" s="1220"/>
      <c r="X332" s="1220"/>
      <c r="Y332" s="1219"/>
      <c r="Z332" s="1219"/>
      <c r="AA332" s="1220"/>
      <c r="AB332" s="1220"/>
      <c r="AC332" s="1220"/>
      <c r="AD332" s="1220"/>
      <c r="AE332" s="1219"/>
      <c r="AF332" s="1219"/>
      <c r="AG332" s="1219"/>
      <c r="AH332" s="1220"/>
      <c r="AI332" s="1220"/>
      <c r="AJ332" s="1220"/>
      <c r="AK332" s="1219"/>
      <c r="AL332" s="1219"/>
      <c r="AM332" s="1219"/>
      <c r="AN332" s="1219"/>
      <c r="AO332" s="1220"/>
      <c r="AP332" s="1220"/>
      <c r="AQ332" s="1220"/>
      <c r="AR332" s="1220"/>
      <c r="AS332" s="1220"/>
      <c r="AT332" s="1220"/>
      <c r="AU332" s="1220"/>
      <c r="AV332" s="1220"/>
      <c r="AW332" s="1258"/>
      <c r="AX332" s="1258"/>
      <c r="AY332" s="1258"/>
      <c r="AZ332" s="1220"/>
      <c r="BA332" s="1220"/>
      <c r="BB332" s="1220"/>
      <c r="BC332" s="1220"/>
      <c r="BD332" s="1220"/>
      <c r="BE332" s="1220"/>
      <c r="BF332" s="1220"/>
      <c r="BG332" s="1220"/>
      <c r="BH332" s="1220"/>
      <c r="BI332" s="1220"/>
      <c r="BJ332" s="1220"/>
      <c r="BK332" s="1220"/>
      <c r="BL332" s="1220"/>
      <c r="BM332" s="1220"/>
      <c r="BN332" s="1220"/>
      <c r="BO332" s="1220"/>
    </row>
    <row r="333" spans="1:67" ht="35.1" customHeight="1" x14ac:dyDescent="0.25">
      <c r="A333" s="3">
        <f t="shared" si="5"/>
        <v>321</v>
      </c>
      <c r="B333" s="1218" t="s">
        <v>162</v>
      </c>
      <c r="C333" s="1218"/>
      <c r="D333" s="1221"/>
      <c r="E333" s="1221"/>
      <c r="F333" s="1221"/>
      <c r="G333" s="1221"/>
      <c r="H333" s="1221"/>
      <c r="I333" s="540"/>
      <c r="J333" s="540"/>
      <c r="K333" s="540"/>
      <c r="L333" s="540"/>
      <c r="M333" s="540"/>
      <c r="N333" s="540"/>
      <c r="O333" s="540"/>
      <c r="P333" s="540"/>
      <c r="Q333" s="540"/>
      <c r="R333" s="540"/>
      <c r="S333" s="540"/>
      <c r="T333" s="540"/>
      <c r="U333" s="540"/>
      <c r="V333" s="540"/>
      <c r="W333" s="540"/>
      <c r="X333" s="540"/>
      <c r="Y333" s="540"/>
      <c r="Z333" s="540"/>
      <c r="AA333" s="540"/>
      <c r="AB333" s="540"/>
      <c r="AC333" s="540"/>
      <c r="AD333" s="540"/>
      <c r="AE333" s="540"/>
      <c r="AF333" s="540"/>
      <c r="AG333" s="540"/>
      <c r="AH333" s="540"/>
      <c r="AI333" s="540"/>
      <c r="AJ333" s="540"/>
      <c r="AK333" s="540"/>
      <c r="AL333" s="540"/>
      <c r="AM333" s="540"/>
      <c r="AN333" s="540"/>
      <c r="AO333" s="540"/>
      <c r="AP333" s="540"/>
      <c r="AQ333" s="540"/>
      <c r="AR333" s="540"/>
      <c r="AS333" s="540"/>
      <c r="AT333" s="540"/>
      <c r="AU333" s="540"/>
      <c r="AV333" s="540"/>
      <c r="AW333" s="1259"/>
      <c r="AX333" s="1259"/>
      <c r="AY333" s="1259"/>
      <c r="AZ333" s="540"/>
      <c r="BA333" s="540"/>
      <c r="BB333" s="540"/>
      <c r="BC333" s="540"/>
      <c r="BD333" s="540"/>
      <c r="BE333" s="540"/>
      <c r="BF333" s="540"/>
      <c r="BG333" s="540"/>
      <c r="BH333" s="540"/>
      <c r="BI333" s="540"/>
      <c r="BJ333" s="540"/>
      <c r="BK333" s="540"/>
      <c r="BL333" s="540"/>
      <c r="BM333" s="540"/>
      <c r="BN333" s="540"/>
      <c r="BO333" s="540"/>
    </row>
    <row r="334" spans="1:67" ht="35.1" customHeight="1" x14ac:dyDescent="0.25">
      <c r="A334" s="3">
        <f t="shared" si="5"/>
        <v>322</v>
      </c>
      <c r="B334" s="1218" t="s">
        <v>162</v>
      </c>
      <c r="C334" s="1218"/>
      <c r="D334" s="1222"/>
      <c r="E334" s="1222"/>
      <c r="F334" s="1222"/>
      <c r="G334" s="1222"/>
      <c r="H334" s="1222"/>
      <c r="I334" s="1219"/>
      <c r="J334" s="1219"/>
      <c r="K334" s="1219"/>
      <c r="L334" s="1219"/>
      <c r="M334" s="1219"/>
      <c r="N334" s="1219"/>
      <c r="O334" s="1219"/>
      <c r="P334" s="1219"/>
      <c r="Q334" s="1220"/>
      <c r="R334" s="1220"/>
      <c r="S334" s="1220"/>
      <c r="T334" s="1220"/>
      <c r="U334" s="1220"/>
      <c r="V334" s="1220"/>
      <c r="W334" s="1220"/>
      <c r="X334" s="1220"/>
      <c r="Y334" s="1219"/>
      <c r="Z334" s="1219"/>
      <c r="AA334" s="1220"/>
      <c r="AB334" s="1220"/>
      <c r="AC334" s="1220"/>
      <c r="AD334" s="1220"/>
      <c r="AE334" s="1219"/>
      <c r="AF334" s="1219"/>
      <c r="AG334" s="1219"/>
      <c r="AH334" s="1220"/>
      <c r="AI334" s="1220"/>
      <c r="AJ334" s="1220"/>
      <c r="AK334" s="1219"/>
      <c r="AL334" s="1219"/>
      <c r="AM334" s="1219"/>
      <c r="AN334" s="1219"/>
      <c r="AO334" s="1220"/>
      <c r="AP334" s="1220"/>
      <c r="AQ334" s="1220"/>
      <c r="AR334" s="1220"/>
      <c r="AS334" s="1220"/>
      <c r="AT334" s="1220"/>
      <c r="AU334" s="1220"/>
      <c r="AV334" s="1220"/>
      <c r="AW334" s="1258"/>
      <c r="AX334" s="1258"/>
      <c r="AY334" s="1258"/>
      <c r="AZ334" s="1220"/>
      <c r="BA334" s="1220"/>
      <c r="BB334" s="1220"/>
      <c r="BC334" s="1220"/>
      <c r="BD334" s="1220"/>
      <c r="BE334" s="1220"/>
      <c r="BF334" s="1220"/>
      <c r="BG334" s="1220"/>
      <c r="BH334" s="1220"/>
      <c r="BI334" s="1220"/>
      <c r="BJ334" s="1220"/>
      <c r="BK334" s="1220"/>
      <c r="BL334" s="1220"/>
      <c r="BM334" s="1220"/>
      <c r="BN334" s="1220"/>
      <c r="BO334" s="1220"/>
    </row>
    <row r="335" spans="1:67" ht="35.1" customHeight="1" x14ac:dyDescent="0.25">
      <c r="A335" s="3">
        <f t="shared" si="5"/>
        <v>323</v>
      </c>
      <c r="B335" s="1218" t="s">
        <v>162</v>
      </c>
      <c r="C335" s="1218"/>
      <c r="D335" s="1221"/>
      <c r="E335" s="1221"/>
      <c r="F335" s="1221"/>
      <c r="G335" s="1221"/>
      <c r="H335" s="1221"/>
      <c r="I335" s="540"/>
      <c r="J335" s="540"/>
      <c r="K335" s="540"/>
      <c r="L335" s="540"/>
      <c r="M335" s="540"/>
      <c r="N335" s="540"/>
      <c r="O335" s="540"/>
      <c r="P335" s="540"/>
      <c r="Q335" s="540"/>
      <c r="R335" s="540"/>
      <c r="S335" s="540"/>
      <c r="T335" s="540"/>
      <c r="U335" s="540"/>
      <c r="V335" s="540"/>
      <c r="W335" s="540"/>
      <c r="X335" s="540"/>
      <c r="Y335" s="540"/>
      <c r="Z335" s="540"/>
      <c r="AA335" s="540"/>
      <c r="AB335" s="540"/>
      <c r="AC335" s="540"/>
      <c r="AD335" s="540"/>
      <c r="AE335" s="540"/>
      <c r="AF335" s="540"/>
      <c r="AG335" s="540"/>
      <c r="AH335" s="540"/>
      <c r="AI335" s="540"/>
      <c r="AJ335" s="540"/>
      <c r="AK335" s="540"/>
      <c r="AL335" s="540"/>
      <c r="AM335" s="540"/>
      <c r="AN335" s="540"/>
      <c r="AO335" s="540"/>
      <c r="AP335" s="540"/>
      <c r="AQ335" s="540"/>
      <c r="AR335" s="540"/>
      <c r="AS335" s="540"/>
      <c r="AT335" s="540"/>
      <c r="AU335" s="540"/>
      <c r="AV335" s="540"/>
      <c r="AW335" s="1259"/>
      <c r="AX335" s="1259"/>
      <c r="AY335" s="1259"/>
      <c r="AZ335" s="540"/>
      <c r="BA335" s="540"/>
      <c r="BB335" s="540"/>
      <c r="BC335" s="540"/>
      <c r="BD335" s="540"/>
      <c r="BE335" s="540"/>
      <c r="BF335" s="540"/>
      <c r="BG335" s="540"/>
      <c r="BH335" s="540"/>
      <c r="BI335" s="540"/>
      <c r="BJ335" s="540"/>
      <c r="BK335" s="540"/>
      <c r="BL335" s="540"/>
      <c r="BM335" s="540"/>
      <c r="BN335" s="540"/>
      <c r="BO335" s="540"/>
    </row>
    <row r="336" spans="1:67" ht="35.1" customHeight="1" x14ac:dyDescent="0.25">
      <c r="A336" s="3">
        <f t="shared" si="5"/>
        <v>324</v>
      </c>
      <c r="B336" s="1218" t="s">
        <v>162</v>
      </c>
      <c r="C336" s="1218"/>
      <c r="D336" s="1222"/>
      <c r="E336" s="1222"/>
      <c r="F336" s="1222"/>
      <c r="G336" s="1222"/>
      <c r="H336" s="1222"/>
      <c r="I336" s="1219"/>
      <c r="J336" s="1219"/>
      <c r="K336" s="1219"/>
      <c r="L336" s="1219"/>
      <c r="M336" s="1219"/>
      <c r="N336" s="1219"/>
      <c r="O336" s="1219"/>
      <c r="P336" s="1219"/>
      <c r="Q336" s="1220"/>
      <c r="R336" s="1220"/>
      <c r="S336" s="1220"/>
      <c r="T336" s="1220"/>
      <c r="U336" s="1220"/>
      <c r="V336" s="1220"/>
      <c r="W336" s="1220"/>
      <c r="X336" s="1220"/>
      <c r="Y336" s="1219"/>
      <c r="Z336" s="1219"/>
      <c r="AA336" s="1220"/>
      <c r="AB336" s="1220"/>
      <c r="AC336" s="1220"/>
      <c r="AD336" s="1220"/>
      <c r="AE336" s="1219"/>
      <c r="AF336" s="1219"/>
      <c r="AG336" s="1219"/>
      <c r="AH336" s="1220"/>
      <c r="AI336" s="1220"/>
      <c r="AJ336" s="1220"/>
      <c r="AK336" s="1219"/>
      <c r="AL336" s="1219"/>
      <c r="AM336" s="1219"/>
      <c r="AN336" s="1219"/>
      <c r="AO336" s="1220"/>
      <c r="AP336" s="1220"/>
      <c r="AQ336" s="1220"/>
      <c r="AR336" s="1220"/>
      <c r="AS336" s="1220"/>
      <c r="AT336" s="1220"/>
      <c r="AU336" s="1220"/>
      <c r="AV336" s="1220"/>
      <c r="AW336" s="1258"/>
      <c r="AX336" s="1258"/>
      <c r="AY336" s="1258"/>
      <c r="AZ336" s="1220"/>
      <c r="BA336" s="1220"/>
      <c r="BB336" s="1220"/>
      <c r="BC336" s="1220"/>
      <c r="BD336" s="1220"/>
      <c r="BE336" s="1220"/>
      <c r="BF336" s="1220"/>
      <c r="BG336" s="1220"/>
      <c r="BH336" s="1220"/>
      <c r="BI336" s="1220"/>
      <c r="BJ336" s="1220"/>
      <c r="BK336" s="1220"/>
      <c r="BL336" s="1220"/>
      <c r="BM336" s="1220"/>
      <c r="BN336" s="1220"/>
      <c r="BO336" s="1220"/>
    </row>
    <row r="337" spans="1:67" ht="35.1" customHeight="1" x14ac:dyDescent="0.25">
      <c r="A337" s="3">
        <f t="shared" si="5"/>
        <v>325</v>
      </c>
      <c r="B337" s="1218" t="s">
        <v>162</v>
      </c>
      <c r="C337" s="1218"/>
      <c r="D337" s="1221"/>
      <c r="E337" s="1221"/>
      <c r="F337" s="1221"/>
      <c r="G337" s="1221"/>
      <c r="H337" s="1221"/>
      <c r="I337" s="540"/>
      <c r="J337" s="540"/>
      <c r="K337" s="540"/>
      <c r="L337" s="540"/>
      <c r="M337" s="540"/>
      <c r="N337" s="540"/>
      <c r="O337" s="540"/>
      <c r="P337" s="540"/>
      <c r="Q337" s="540"/>
      <c r="R337" s="540"/>
      <c r="S337" s="540"/>
      <c r="T337" s="540"/>
      <c r="U337" s="540"/>
      <c r="V337" s="540"/>
      <c r="W337" s="540"/>
      <c r="X337" s="540"/>
      <c r="Y337" s="540"/>
      <c r="Z337" s="540"/>
      <c r="AA337" s="540"/>
      <c r="AB337" s="540"/>
      <c r="AC337" s="540"/>
      <c r="AD337" s="540"/>
      <c r="AE337" s="540"/>
      <c r="AF337" s="540"/>
      <c r="AG337" s="540"/>
      <c r="AH337" s="540"/>
      <c r="AI337" s="540"/>
      <c r="AJ337" s="540"/>
      <c r="AK337" s="540"/>
      <c r="AL337" s="540"/>
      <c r="AM337" s="540"/>
      <c r="AN337" s="540"/>
      <c r="AO337" s="540"/>
      <c r="AP337" s="540"/>
      <c r="AQ337" s="540"/>
      <c r="AR337" s="540"/>
      <c r="AS337" s="540"/>
      <c r="AT337" s="540"/>
      <c r="AU337" s="540"/>
      <c r="AV337" s="540"/>
      <c r="AW337" s="1259"/>
      <c r="AX337" s="1259"/>
      <c r="AY337" s="1259"/>
      <c r="AZ337" s="540"/>
      <c r="BA337" s="540"/>
      <c r="BB337" s="540"/>
      <c r="BC337" s="540"/>
      <c r="BD337" s="540"/>
      <c r="BE337" s="540"/>
      <c r="BF337" s="540"/>
      <c r="BG337" s="540"/>
      <c r="BH337" s="540"/>
      <c r="BI337" s="540"/>
      <c r="BJ337" s="540"/>
      <c r="BK337" s="540"/>
      <c r="BL337" s="540"/>
      <c r="BM337" s="540"/>
      <c r="BN337" s="540"/>
      <c r="BO337" s="540"/>
    </row>
    <row r="338" spans="1:67" ht="35.1" customHeight="1" x14ac:dyDescent="0.25">
      <c r="A338" s="3">
        <f t="shared" si="5"/>
        <v>326</v>
      </c>
      <c r="B338" s="1235" t="s">
        <v>162</v>
      </c>
      <c r="C338" s="1235"/>
      <c r="D338" s="1222"/>
      <c r="E338" s="1222"/>
      <c r="F338" s="1222"/>
      <c r="G338" s="1222"/>
      <c r="H338" s="1222"/>
      <c r="I338" s="1219"/>
      <c r="J338" s="1219"/>
      <c r="K338" s="1219"/>
      <c r="L338" s="1219"/>
      <c r="M338" s="1219"/>
      <c r="N338" s="1219"/>
      <c r="O338" s="1219"/>
      <c r="P338" s="1219"/>
      <c r="Q338" s="1220"/>
      <c r="R338" s="1220"/>
      <c r="S338" s="1220"/>
      <c r="T338" s="1220"/>
      <c r="U338" s="1220"/>
      <c r="V338" s="1220"/>
      <c r="W338" s="1220"/>
      <c r="X338" s="1220"/>
      <c r="Y338" s="1219"/>
      <c r="Z338" s="1219"/>
      <c r="AA338" s="1220"/>
      <c r="AB338" s="1220"/>
      <c r="AC338" s="1220"/>
      <c r="AD338" s="1220"/>
      <c r="AE338" s="1219"/>
      <c r="AF338" s="1219"/>
      <c r="AG338" s="1219"/>
      <c r="AH338" s="1220"/>
      <c r="AI338" s="1220"/>
      <c r="AJ338" s="1220"/>
      <c r="AK338" s="1219"/>
      <c r="AL338" s="1219"/>
      <c r="AM338" s="1219"/>
      <c r="AN338" s="1219"/>
      <c r="AO338" s="1220"/>
      <c r="AP338" s="1220"/>
      <c r="AQ338" s="1220"/>
      <c r="AR338" s="1220"/>
      <c r="AS338" s="1220"/>
      <c r="AT338" s="1220"/>
      <c r="AU338" s="1220"/>
      <c r="AV338" s="1220"/>
      <c r="AW338" s="1258"/>
      <c r="AX338" s="1258"/>
      <c r="AY338" s="1258"/>
      <c r="AZ338" s="1220"/>
      <c r="BA338" s="1220"/>
      <c r="BB338" s="1220"/>
      <c r="BC338" s="1220"/>
      <c r="BD338" s="1220"/>
      <c r="BE338" s="1220"/>
      <c r="BF338" s="1220"/>
      <c r="BG338" s="1220"/>
      <c r="BH338" s="1220"/>
      <c r="BI338" s="1220"/>
      <c r="BJ338" s="1220"/>
      <c r="BK338" s="1220"/>
      <c r="BL338" s="1220"/>
      <c r="BM338" s="1220"/>
      <c r="BN338" s="1220"/>
      <c r="BO338" s="1220"/>
    </row>
    <row r="339" spans="1:67" ht="35.1" customHeight="1" x14ac:dyDescent="0.25">
      <c r="A339" s="3">
        <f t="shared" si="5"/>
        <v>327</v>
      </c>
      <c r="B339" s="1218" t="s">
        <v>162</v>
      </c>
      <c r="C339" s="1218"/>
      <c r="D339" s="1221"/>
      <c r="E339" s="1221"/>
      <c r="F339" s="1221"/>
      <c r="G339" s="1221"/>
      <c r="H339" s="1221"/>
      <c r="I339" s="540"/>
      <c r="J339" s="540"/>
      <c r="K339" s="540"/>
      <c r="L339" s="540"/>
      <c r="M339" s="540"/>
      <c r="N339" s="540"/>
      <c r="O339" s="540"/>
      <c r="P339" s="540"/>
      <c r="Q339" s="540"/>
      <c r="R339" s="540"/>
      <c r="S339" s="540"/>
      <c r="T339" s="540"/>
      <c r="U339" s="540"/>
      <c r="V339" s="540"/>
      <c r="W339" s="540"/>
      <c r="X339" s="540"/>
      <c r="Y339" s="540"/>
      <c r="Z339" s="540"/>
      <c r="AA339" s="540"/>
      <c r="AB339" s="540"/>
      <c r="AC339" s="540"/>
      <c r="AD339" s="540"/>
      <c r="AE339" s="540"/>
      <c r="AF339" s="540"/>
      <c r="AG339" s="540"/>
      <c r="AH339" s="540"/>
      <c r="AI339" s="540"/>
      <c r="AJ339" s="540"/>
      <c r="AK339" s="540"/>
      <c r="AL339" s="540"/>
      <c r="AM339" s="540"/>
      <c r="AN339" s="540"/>
      <c r="AO339" s="540"/>
      <c r="AP339" s="540"/>
      <c r="AQ339" s="540"/>
      <c r="AR339" s="540"/>
      <c r="AS339" s="540"/>
      <c r="AT339" s="540"/>
      <c r="AU339" s="540"/>
      <c r="AV339" s="540"/>
      <c r="AW339" s="1259"/>
      <c r="AX339" s="1259"/>
      <c r="AY339" s="1259"/>
      <c r="AZ339" s="540"/>
      <c r="BA339" s="540"/>
      <c r="BB339" s="540"/>
      <c r="BC339" s="540"/>
      <c r="BD339" s="540"/>
      <c r="BE339" s="540"/>
      <c r="BF339" s="540"/>
      <c r="BG339" s="540"/>
      <c r="BH339" s="540"/>
      <c r="BI339" s="540"/>
      <c r="BJ339" s="540"/>
      <c r="BK339" s="540"/>
      <c r="BL339" s="540"/>
      <c r="BM339" s="540"/>
      <c r="BN339" s="540"/>
      <c r="BO339" s="540"/>
    </row>
    <row r="340" spans="1:67" ht="35.1" customHeight="1" x14ac:dyDescent="0.25">
      <c r="A340" s="3">
        <f t="shared" si="5"/>
        <v>328</v>
      </c>
      <c r="B340" s="1218" t="s">
        <v>162</v>
      </c>
      <c r="C340" s="1218"/>
      <c r="D340" s="1222"/>
      <c r="E340" s="1222"/>
      <c r="F340" s="1222"/>
      <c r="G340" s="1222"/>
      <c r="H340" s="1222"/>
      <c r="I340" s="1219"/>
      <c r="J340" s="1219"/>
      <c r="K340" s="1219"/>
      <c r="L340" s="1219"/>
      <c r="M340" s="1219"/>
      <c r="N340" s="1219"/>
      <c r="O340" s="1219"/>
      <c r="P340" s="1219"/>
      <c r="Q340" s="1220"/>
      <c r="R340" s="1220"/>
      <c r="S340" s="1220"/>
      <c r="T340" s="1220"/>
      <c r="U340" s="1220"/>
      <c r="V340" s="1220"/>
      <c r="W340" s="1220"/>
      <c r="X340" s="1220"/>
      <c r="Y340" s="1219"/>
      <c r="Z340" s="1219"/>
      <c r="AA340" s="1220"/>
      <c r="AB340" s="1220"/>
      <c r="AC340" s="1220"/>
      <c r="AD340" s="1220"/>
      <c r="AE340" s="1219"/>
      <c r="AF340" s="1219"/>
      <c r="AG340" s="1219"/>
      <c r="AH340" s="1220"/>
      <c r="AI340" s="1220"/>
      <c r="AJ340" s="1220"/>
      <c r="AK340" s="1219"/>
      <c r="AL340" s="1219"/>
      <c r="AM340" s="1219"/>
      <c r="AN340" s="1219"/>
      <c r="AO340" s="1220"/>
      <c r="AP340" s="1220"/>
      <c r="AQ340" s="1220"/>
      <c r="AR340" s="1220"/>
      <c r="AS340" s="1220"/>
      <c r="AT340" s="1220"/>
      <c r="AU340" s="1220"/>
      <c r="AV340" s="1220"/>
      <c r="AW340" s="1258"/>
      <c r="AX340" s="1258"/>
      <c r="AY340" s="1258"/>
      <c r="AZ340" s="1220"/>
      <c r="BA340" s="1220"/>
      <c r="BB340" s="1220"/>
      <c r="BC340" s="1220"/>
      <c r="BD340" s="1220"/>
      <c r="BE340" s="1220"/>
      <c r="BF340" s="1220"/>
      <c r="BG340" s="1220"/>
      <c r="BH340" s="1220"/>
      <c r="BI340" s="1220"/>
      <c r="BJ340" s="1220"/>
      <c r="BK340" s="1220"/>
      <c r="BL340" s="1220"/>
      <c r="BM340" s="1220"/>
      <c r="BN340" s="1220"/>
      <c r="BO340" s="1220"/>
    </row>
    <row r="341" spans="1:67" ht="35.1" customHeight="1" x14ac:dyDescent="0.25">
      <c r="A341" s="3">
        <f t="shared" si="5"/>
        <v>329</v>
      </c>
      <c r="B341" s="1218" t="s">
        <v>162</v>
      </c>
      <c r="C341" s="1218"/>
      <c r="D341" s="1221"/>
      <c r="E341" s="1221"/>
      <c r="F341" s="1221"/>
      <c r="G341" s="1221"/>
      <c r="H341" s="1221"/>
      <c r="I341" s="540"/>
      <c r="J341" s="540"/>
      <c r="K341" s="540"/>
      <c r="L341" s="540"/>
      <c r="M341" s="540"/>
      <c r="N341" s="540"/>
      <c r="O341" s="540"/>
      <c r="P341" s="540"/>
      <c r="Q341" s="540"/>
      <c r="R341" s="540"/>
      <c r="S341" s="540"/>
      <c r="T341" s="540"/>
      <c r="U341" s="540"/>
      <c r="V341" s="540"/>
      <c r="W341" s="540"/>
      <c r="X341" s="540"/>
      <c r="Y341" s="540"/>
      <c r="Z341" s="540"/>
      <c r="AA341" s="540"/>
      <c r="AB341" s="540"/>
      <c r="AC341" s="540"/>
      <c r="AD341" s="540"/>
      <c r="AE341" s="540"/>
      <c r="AF341" s="540"/>
      <c r="AG341" s="540"/>
      <c r="AH341" s="540"/>
      <c r="AI341" s="540"/>
      <c r="AJ341" s="540"/>
      <c r="AK341" s="540"/>
      <c r="AL341" s="540"/>
      <c r="AM341" s="540"/>
      <c r="AN341" s="540"/>
      <c r="AO341" s="540"/>
      <c r="AP341" s="540"/>
      <c r="AQ341" s="540"/>
      <c r="AR341" s="540"/>
      <c r="AS341" s="540"/>
      <c r="AT341" s="540"/>
      <c r="AU341" s="540"/>
      <c r="AV341" s="540"/>
      <c r="AW341" s="1259"/>
      <c r="AX341" s="1259"/>
      <c r="AY341" s="1259"/>
      <c r="AZ341" s="540"/>
      <c r="BA341" s="540"/>
      <c r="BB341" s="540"/>
      <c r="BC341" s="540"/>
      <c r="BD341" s="540"/>
      <c r="BE341" s="540"/>
      <c r="BF341" s="540"/>
      <c r="BG341" s="540"/>
      <c r="BH341" s="540"/>
      <c r="BI341" s="540"/>
      <c r="BJ341" s="540"/>
      <c r="BK341" s="540"/>
      <c r="BL341" s="540"/>
      <c r="BM341" s="540"/>
      <c r="BN341" s="540"/>
      <c r="BO341" s="540"/>
    </row>
    <row r="342" spans="1:67" ht="35.1" customHeight="1" x14ac:dyDescent="0.25">
      <c r="A342" s="3">
        <f t="shared" si="5"/>
        <v>330</v>
      </c>
      <c r="B342" s="1218" t="s">
        <v>162</v>
      </c>
      <c r="C342" s="1218"/>
      <c r="D342" s="1222"/>
      <c r="E342" s="1222"/>
      <c r="F342" s="1222"/>
      <c r="G342" s="1222"/>
      <c r="H342" s="1222"/>
      <c r="I342" s="1219"/>
      <c r="J342" s="1219"/>
      <c r="K342" s="1219"/>
      <c r="L342" s="1219"/>
      <c r="M342" s="1219"/>
      <c r="N342" s="1219"/>
      <c r="O342" s="1219"/>
      <c r="P342" s="1219"/>
      <c r="Q342" s="1220"/>
      <c r="R342" s="1220"/>
      <c r="S342" s="1220"/>
      <c r="T342" s="1220"/>
      <c r="U342" s="1220"/>
      <c r="V342" s="1220"/>
      <c r="W342" s="1220"/>
      <c r="X342" s="1220"/>
      <c r="Y342" s="1219"/>
      <c r="Z342" s="1219"/>
      <c r="AA342" s="1220"/>
      <c r="AB342" s="1220"/>
      <c r="AC342" s="1220"/>
      <c r="AD342" s="1220"/>
      <c r="AE342" s="1219"/>
      <c r="AF342" s="1219"/>
      <c r="AG342" s="1219"/>
      <c r="AH342" s="1220"/>
      <c r="AI342" s="1220"/>
      <c r="AJ342" s="1220"/>
      <c r="AK342" s="1219"/>
      <c r="AL342" s="1219"/>
      <c r="AM342" s="1219"/>
      <c r="AN342" s="1219"/>
      <c r="AO342" s="1220"/>
      <c r="AP342" s="1220"/>
      <c r="AQ342" s="1220"/>
      <c r="AR342" s="1220"/>
      <c r="AS342" s="1220"/>
      <c r="AT342" s="1220"/>
      <c r="AU342" s="1220"/>
      <c r="AV342" s="1220"/>
      <c r="AW342" s="1258"/>
      <c r="AX342" s="1258"/>
      <c r="AY342" s="1258"/>
      <c r="AZ342" s="1220"/>
      <c r="BA342" s="1220"/>
      <c r="BB342" s="1220"/>
      <c r="BC342" s="1220"/>
      <c r="BD342" s="1220"/>
      <c r="BE342" s="1220"/>
      <c r="BF342" s="1220"/>
      <c r="BG342" s="1220"/>
      <c r="BH342" s="1220"/>
      <c r="BI342" s="1220"/>
      <c r="BJ342" s="1220"/>
      <c r="BK342" s="1220"/>
      <c r="BL342" s="1220"/>
      <c r="BM342" s="1220"/>
      <c r="BN342" s="1220"/>
      <c r="BO342" s="1220"/>
    </row>
    <row r="343" spans="1:67" ht="35.1" customHeight="1" x14ac:dyDescent="0.25">
      <c r="A343" s="3">
        <f t="shared" si="5"/>
        <v>331</v>
      </c>
      <c r="B343" s="1218" t="s">
        <v>162</v>
      </c>
      <c r="C343" s="1218"/>
      <c r="D343" s="1221"/>
      <c r="E343" s="1221"/>
      <c r="F343" s="1221"/>
      <c r="G343" s="1221"/>
      <c r="H343" s="1221"/>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1259"/>
      <c r="AX343" s="1259"/>
      <c r="AY343" s="1259"/>
      <c r="AZ343" s="540"/>
      <c r="BA343" s="540"/>
      <c r="BB343" s="540"/>
      <c r="BC343" s="540"/>
      <c r="BD343" s="540"/>
      <c r="BE343" s="540"/>
      <c r="BF343" s="540"/>
      <c r="BG343" s="540"/>
      <c r="BH343" s="540"/>
      <c r="BI343" s="540"/>
      <c r="BJ343" s="540"/>
      <c r="BK343" s="540"/>
      <c r="BL343" s="540"/>
      <c r="BM343" s="540"/>
      <c r="BN343" s="540"/>
      <c r="BO343" s="540"/>
    </row>
    <row r="344" spans="1:67" ht="35.1" customHeight="1" x14ac:dyDescent="0.25">
      <c r="A344" s="3">
        <f t="shared" si="5"/>
        <v>332</v>
      </c>
      <c r="B344" s="1218" t="s">
        <v>162</v>
      </c>
      <c r="C344" s="1218"/>
      <c r="D344" s="1222"/>
      <c r="E344" s="1222"/>
      <c r="F344" s="1222"/>
      <c r="G344" s="1222"/>
      <c r="H344" s="1222"/>
      <c r="I344" s="1219"/>
      <c r="J344" s="1219"/>
      <c r="K344" s="1219"/>
      <c r="L344" s="1219"/>
      <c r="M344" s="1219"/>
      <c r="N344" s="1219"/>
      <c r="O344" s="1219"/>
      <c r="P344" s="1219"/>
      <c r="Q344" s="1220"/>
      <c r="R344" s="1220"/>
      <c r="S344" s="1220"/>
      <c r="T344" s="1220"/>
      <c r="U344" s="1220"/>
      <c r="V344" s="1220"/>
      <c r="W344" s="1220"/>
      <c r="X344" s="1220"/>
      <c r="Y344" s="1219"/>
      <c r="Z344" s="1219"/>
      <c r="AA344" s="1220"/>
      <c r="AB344" s="1220"/>
      <c r="AC344" s="1220"/>
      <c r="AD344" s="1220"/>
      <c r="AE344" s="1219"/>
      <c r="AF344" s="1219"/>
      <c r="AG344" s="1219"/>
      <c r="AH344" s="1220"/>
      <c r="AI344" s="1220"/>
      <c r="AJ344" s="1220"/>
      <c r="AK344" s="1219"/>
      <c r="AL344" s="1219"/>
      <c r="AM344" s="1219"/>
      <c r="AN344" s="1219"/>
      <c r="AO344" s="1220"/>
      <c r="AP344" s="1220"/>
      <c r="AQ344" s="1220"/>
      <c r="AR344" s="1220"/>
      <c r="AS344" s="1220"/>
      <c r="AT344" s="1220"/>
      <c r="AU344" s="1220"/>
      <c r="AV344" s="1220"/>
      <c r="AW344" s="1258"/>
      <c r="AX344" s="1258"/>
      <c r="AY344" s="1258"/>
      <c r="AZ344" s="1220"/>
      <c r="BA344" s="1220"/>
      <c r="BB344" s="1220"/>
      <c r="BC344" s="1220"/>
      <c r="BD344" s="1220"/>
      <c r="BE344" s="1220"/>
      <c r="BF344" s="1220"/>
      <c r="BG344" s="1220"/>
      <c r="BH344" s="1220"/>
      <c r="BI344" s="1220"/>
      <c r="BJ344" s="1220"/>
      <c r="BK344" s="1220"/>
      <c r="BL344" s="1220"/>
      <c r="BM344" s="1220"/>
      <c r="BN344" s="1220"/>
      <c r="BO344" s="1220"/>
    </row>
    <row r="345" spans="1:67" ht="35.1" customHeight="1" x14ac:dyDescent="0.25">
      <c r="A345" s="3">
        <f t="shared" si="5"/>
        <v>333</v>
      </c>
      <c r="B345" s="1218" t="s">
        <v>162</v>
      </c>
      <c r="C345" s="1218"/>
      <c r="D345" s="1221"/>
      <c r="E345" s="1221"/>
      <c r="F345" s="1221"/>
      <c r="G345" s="1221"/>
      <c r="H345" s="1221"/>
      <c r="I345" s="540"/>
      <c r="J345" s="540"/>
      <c r="K345" s="540"/>
      <c r="L345" s="540"/>
      <c r="M345" s="540"/>
      <c r="N345" s="540"/>
      <c r="O345" s="540"/>
      <c r="P345" s="540"/>
      <c r="Q345" s="540"/>
      <c r="R345" s="540"/>
      <c r="S345" s="540"/>
      <c r="T345" s="540"/>
      <c r="U345" s="540"/>
      <c r="V345" s="540"/>
      <c r="W345" s="540"/>
      <c r="X345" s="540"/>
      <c r="Y345" s="540"/>
      <c r="Z345" s="540"/>
      <c r="AA345" s="540"/>
      <c r="AB345" s="540"/>
      <c r="AC345" s="540"/>
      <c r="AD345" s="540"/>
      <c r="AE345" s="540"/>
      <c r="AF345" s="540"/>
      <c r="AG345" s="540"/>
      <c r="AH345" s="540"/>
      <c r="AI345" s="540"/>
      <c r="AJ345" s="540"/>
      <c r="AK345" s="540"/>
      <c r="AL345" s="540"/>
      <c r="AM345" s="540"/>
      <c r="AN345" s="540"/>
      <c r="AO345" s="540"/>
      <c r="AP345" s="540"/>
      <c r="AQ345" s="540"/>
      <c r="AR345" s="540"/>
      <c r="AS345" s="540"/>
      <c r="AT345" s="540"/>
      <c r="AU345" s="540"/>
      <c r="AV345" s="540"/>
      <c r="AW345" s="1259"/>
      <c r="AX345" s="1259"/>
      <c r="AY345" s="1259"/>
      <c r="AZ345" s="540"/>
      <c r="BA345" s="540"/>
      <c r="BB345" s="540"/>
      <c r="BC345" s="540"/>
      <c r="BD345" s="540"/>
      <c r="BE345" s="540"/>
      <c r="BF345" s="540"/>
      <c r="BG345" s="540"/>
      <c r="BH345" s="540"/>
      <c r="BI345" s="540"/>
      <c r="BJ345" s="540"/>
      <c r="BK345" s="540"/>
      <c r="BL345" s="540"/>
      <c r="BM345" s="540"/>
      <c r="BN345" s="540"/>
      <c r="BO345" s="540"/>
    </row>
    <row r="346" spans="1:67" ht="35.1" customHeight="1" x14ac:dyDescent="0.25">
      <c r="A346" s="3">
        <f t="shared" si="5"/>
        <v>334</v>
      </c>
      <c r="B346" s="1218" t="s">
        <v>162</v>
      </c>
      <c r="C346" s="1218"/>
      <c r="D346" s="1222"/>
      <c r="E346" s="1222"/>
      <c r="F346" s="1222"/>
      <c r="G346" s="1222"/>
      <c r="H346" s="1222"/>
      <c r="I346" s="1219"/>
      <c r="J346" s="1219"/>
      <c r="K346" s="1219"/>
      <c r="L346" s="1219"/>
      <c r="M346" s="1219"/>
      <c r="N346" s="1219"/>
      <c r="O346" s="1219"/>
      <c r="P346" s="1219"/>
      <c r="Q346" s="1220"/>
      <c r="R346" s="1220"/>
      <c r="S346" s="1220"/>
      <c r="T346" s="1220"/>
      <c r="U346" s="1220"/>
      <c r="V346" s="1220"/>
      <c r="W346" s="1220"/>
      <c r="X346" s="1220"/>
      <c r="Y346" s="1219"/>
      <c r="Z346" s="1219"/>
      <c r="AA346" s="1220"/>
      <c r="AB346" s="1220"/>
      <c r="AC346" s="1220"/>
      <c r="AD346" s="1220"/>
      <c r="AE346" s="1219"/>
      <c r="AF346" s="1219"/>
      <c r="AG346" s="1219"/>
      <c r="AH346" s="1220"/>
      <c r="AI346" s="1220"/>
      <c r="AJ346" s="1220"/>
      <c r="AK346" s="1219"/>
      <c r="AL346" s="1219"/>
      <c r="AM346" s="1219"/>
      <c r="AN346" s="1219"/>
      <c r="AO346" s="1220"/>
      <c r="AP346" s="1220"/>
      <c r="AQ346" s="1220"/>
      <c r="AR346" s="1220"/>
      <c r="AS346" s="1220"/>
      <c r="AT346" s="1220"/>
      <c r="AU346" s="1220"/>
      <c r="AV346" s="1220"/>
      <c r="AW346" s="1258"/>
      <c r="AX346" s="1258"/>
      <c r="AY346" s="1258"/>
      <c r="AZ346" s="1220"/>
      <c r="BA346" s="1220"/>
      <c r="BB346" s="1220"/>
      <c r="BC346" s="1220"/>
      <c r="BD346" s="1220"/>
      <c r="BE346" s="1220"/>
      <c r="BF346" s="1220"/>
      <c r="BG346" s="1220"/>
      <c r="BH346" s="1220"/>
      <c r="BI346" s="1220"/>
      <c r="BJ346" s="1220"/>
      <c r="BK346" s="1220"/>
      <c r="BL346" s="1220"/>
      <c r="BM346" s="1220"/>
      <c r="BN346" s="1220"/>
      <c r="BO346" s="1220"/>
    </row>
    <row r="347" spans="1:67" ht="35.1" customHeight="1" x14ac:dyDescent="0.25">
      <c r="A347" s="3">
        <f t="shared" si="5"/>
        <v>335</v>
      </c>
      <c r="B347" s="1218" t="s">
        <v>162</v>
      </c>
      <c r="C347" s="1218"/>
      <c r="D347" s="1221"/>
      <c r="E347" s="1221"/>
      <c r="F347" s="1221"/>
      <c r="G347" s="1221"/>
      <c r="H347" s="1221"/>
      <c r="I347" s="540"/>
      <c r="J347" s="540"/>
      <c r="K347" s="540"/>
      <c r="L347" s="540"/>
      <c r="M347" s="540"/>
      <c r="N347" s="540"/>
      <c r="O347" s="540"/>
      <c r="P347" s="540"/>
      <c r="Q347" s="540"/>
      <c r="R347" s="540"/>
      <c r="S347" s="540"/>
      <c r="T347" s="540"/>
      <c r="U347" s="540"/>
      <c r="V347" s="540"/>
      <c r="W347" s="540"/>
      <c r="X347" s="540"/>
      <c r="Y347" s="540"/>
      <c r="Z347" s="540"/>
      <c r="AA347" s="540"/>
      <c r="AB347" s="540"/>
      <c r="AC347" s="540"/>
      <c r="AD347" s="540"/>
      <c r="AE347" s="540"/>
      <c r="AF347" s="540"/>
      <c r="AG347" s="540"/>
      <c r="AH347" s="540"/>
      <c r="AI347" s="540"/>
      <c r="AJ347" s="540"/>
      <c r="AK347" s="540"/>
      <c r="AL347" s="540"/>
      <c r="AM347" s="540"/>
      <c r="AN347" s="540"/>
      <c r="AO347" s="540"/>
      <c r="AP347" s="540"/>
      <c r="AQ347" s="540"/>
      <c r="AR347" s="540"/>
      <c r="AS347" s="540"/>
      <c r="AT347" s="540"/>
      <c r="AU347" s="540"/>
      <c r="AV347" s="540"/>
      <c r="AW347" s="1259"/>
      <c r="AX347" s="1259"/>
      <c r="AY347" s="1259"/>
      <c r="AZ347" s="540"/>
      <c r="BA347" s="540"/>
      <c r="BB347" s="540"/>
      <c r="BC347" s="540"/>
      <c r="BD347" s="540"/>
      <c r="BE347" s="540"/>
      <c r="BF347" s="540"/>
      <c r="BG347" s="540"/>
      <c r="BH347" s="540"/>
      <c r="BI347" s="540"/>
      <c r="BJ347" s="540"/>
      <c r="BK347" s="540"/>
      <c r="BL347" s="540"/>
      <c r="BM347" s="540"/>
      <c r="BN347" s="540"/>
      <c r="BO347" s="540"/>
    </row>
    <row r="348" spans="1:67" ht="35.1" customHeight="1" x14ac:dyDescent="0.25">
      <c r="A348" s="3">
        <f t="shared" si="5"/>
        <v>336</v>
      </c>
      <c r="B348" s="1218" t="s">
        <v>162</v>
      </c>
      <c r="C348" s="1218"/>
      <c r="D348" s="1222"/>
      <c r="E348" s="1222"/>
      <c r="F348" s="1222"/>
      <c r="G348" s="1222"/>
      <c r="H348" s="1222"/>
      <c r="I348" s="1219"/>
      <c r="J348" s="1219"/>
      <c r="K348" s="1219"/>
      <c r="L348" s="1219"/>
      <c r="M348" s="1219"/>
      <c r="N348" s="1219"/>
      <c r="O348" s="1219"/>
      <c r="P348" s="1219"/>
      <c r="Q348" s="1220"/>
      <c r="R348" s="1220"/>
      <c r="S348" s="1220"/>
      <c r="T348" s="1220"/>
      <c r="U348" s="1220"/>
      <c r="V348" s="1220"/>
      <c r="W348" s="1220"/>
      <c r="X348" s="1220"/>
      <c r="Y348" s="1219"/>
      <c r="Z348" s="1219"/>
      <c r="AA348" s="1220"/>
      <c r="AB348" s="1220"/>
      <c r="AC348" s="1220"/>
      <c r="AD348" s="1220"/>
      <c r="AE348" s="1219"/>
      <c r="AF348" s="1219"/>
      <c r="AG348" s="1219"/>
      <c r="AH348" s="1220"/>
      <c r="AI348" s="1220"/>
      <c r="AJ348" s="1220"/>
      <c r="AK348" s="1219"/>
      <c r="AL348" s="1219"/>
      <c r="AM348" s="1219"/>
      <c r="AN348" s="1219"/>
      <c r="AO348" s="1220"/>
      <c r="AP348" s="1220"/>
      <c r="AQ348" s="1220"/>
      <c r="AR348" s="1220"/>
      <c r="AS348" s="1220"/>
      <c r="AT348" s="1220"/>
      <c r="AU348" s="1220"/>
      <c r="AV348" s="1220"/>
      <c r="AW348" s="1258"/>
      <c r="AX348" s="1258"/>
      <c r="AY348" s="1258"/>
      <c r="AZ348" s="1220"/>
      <c r="BA348" s="1220"/>
      <c r="BB348" s="1220"/>
      <c r="BC348" s="1220"/>
      <c r="BD348" s="1220"/>
      <c r="BE348" s="1220"/>
      <c r="BF348" s="1220"/>
      <c r="BG348" s="1220"/>
      <c r="BH348" s="1220"/>
      <c r="BI348" s="1220"/>
      <c r="BJ348" s="1220"/>
      <c r="BK348" s="1220"/>
      <c r="BL348" s="1220"/>
      <c r="BM348" s="1220"/>
      <c r="BN348" s="1220"/>
      <c r="BO348" s="1220"/>
    </row>
    <row r="349" spans="1:67" ht="35.1" customHeight="1" x14ac:dyDescent="0.25">
      <c r="A349" s="3">
        <f t="shared" si="5"/>
        <v>337</v>
      </c>
      <c r="B349" s="1218" t="s">
        <v>162</v>
      </c>
      <c r="C349" s="1218"/>
      <c r="D349" s="1221"/>
      <c r="E349" s="1221"/>
      <c r="F349" s="1221"/>
      <c r="G349" s="1221"/>
      <c r="H349" s="1221"/>
      <c r="I349" s="540"/>
      <c r="J349" s="540"/>
      <c r="K349" s="540"/>
      <c r="L349" s="540"/>
      <c r="M349" s="540"/>
      <c r="N349" s="540"/>
      <c r="O349" s="540"/>
      <c r="P349" s="540"/>
      <c r="Q349" s="540"/>
      <c r="R349" s="540"/>
      <c r="S349" s="540"/>
      <c r="T349" s="540"/>
      <c r="U349" s="540"/>
      <c r="V349" s="540"/>
      <c r="W349" s="540"/>
      <c r="X349" s="540"/>
      <c r="Y349" s="540"/>
      <c r="Z349" s="540"/>
      <c r="AA349" s="540"/>
      <c r="AB349" s="540"/>
      <c r="AC349" s="540"/>
      <c r="AD349" s="540"/>
      <c r="AE349" s="540"/>
      <c r="AF349" s="540"/>
      <c r="AG349" s="540"/>
      <c r="AH349" s="540"/>
      <c r="AI349" s="540"/>
      <c r="AJ349" s="540"/>
      <c r="AK349" s="540"/>
      <c r="AL349" s="540"/>
      <c r="AM349" s="540"/>
      <c r="AN349" s="540"/>
      <c r="AO349" s="540"/>
      <c r="AP349" s="540"/>
      <c r="AQ349" s="540"/>
      <c r="AR349" s="540"/>
      <c r="AS349" s="540"/>
      <c r="AT349" s="540"/>
      <c r="AU349" s="540"/>
      <c r="AV349" s="540"/>
      <c r="AW349" s="1259"/>
      <c r="AX349" s="1259"/>
      <c r="AY349" s="1259"/>
      <c r="AZ349" s="540"/>
      <c r="BA349" s="540"/>
      <c r="BB349" s="540"/>
      <c r="BC349" s="540"/>
      <c r="BD349" s="540"/>
      <c r="BE349" s="540"/>
      <c r="BF349" s="540"/>
      <c r="BG349" s="540"/>
      <c r="BH349" s="540"/>
      <c r="BI349" s="540"/>
      <c r="BJ349" s="540"/>
      <c r="BK349" s="540"/>
      <c r="BL349" s="540"/>
      <c r="BM349" s="540"/>
      <c r="BN349" s="540"/>
      <c r="BO349" s="540"/>
    </row>
    <row r="350" spans="1:67" ht="35.1" customHeight="1" x14ac:dyDescent="0.25">
      <c r="A350" s="3">
        <f t="shared" si="5"/>
        <v>338</v>
      </c>
      <c r="B350" s="1218" t="s">
        <v>162</v>
      </c>
      <c r="C350" s="1218"/>
      <c r="D350" s="1222"/>
      <c r="E350" s="1222"/>
      <c r="F350" s="1222"/>
      <c r="G350" s="1222"/>
      <c r="H350" s="1222"/>
      <c r="I350" s="1219"/>
      <c r="J350" s="1219"/>
      <c r="K350" s="1219"/>
      <c r="L350" s="1219"/>
      <c r="M350" s="1219"/>
      <c r="N350" s="1219"/>
      <c r="O350" s="1219"/>
      <c r="P350" s="1219"/>
      <c r="Q350" s="1220"/>
      <c r="R350" s="1220"/>
      <c r="S350" s="1220"/>
      <c r="T350" s="1220"/>
      <c r="U350" s="1220"/>
      <c r="V350" s="1220"/>
      <c r="W350" s="1220"/>
      <c r="X350" s="1220"/>
      <c r="Y350" s="1219"/>
      <c r="Z350" s="1219"/>
      <c r="AA350" s="1220"/>
      <c r="AB350" s="1220"/>
      <c r="AC350" s="1220"/>
      <c r="AD350" s="1220"/>
      <c r="AE350" s="1219"/>
      <c r="AF350" s="1219"/>
      <c r="AG350" s="1219"/>
      <c r="AH350" s="1220"/>
      <c r="AI350" s="1220"/>
      <c r="AJ350" s="1220"/>
      <c r="AK350" s="1219"/>
      <c r="AL350" s="1219"/>
      <c r="AM350" s="1219"/>
      <c r="AN350" s="1219"/>
      <c r="AO350" s="1220"/>
      <c r="AP350" s="1220"/>
      <c r="AQ350" s="1220"/>
      <c r="AR350" s="1220"/>
      <c r="AS350" s="1220"/>
      <c r="AT350" s="1220"/>
      <c r="AU350" s="1220"/>
      <c r="AV350" s="1220"/>
      <c r="AW350" s="1258"/>
      <c r="AX350" s="1258"/>
      <c r="AY350" s="1258"/>
      <c r="AZ350" s="1220"/>
      <c r="BA350" s="1220"/>
      <c r="BB350" s="1220"/>
      <c r="BC350" s="1220"/>
      <c r="BD350" s="1220"/>
      <c r="BE350" s="1220"/>
      <c r="BF350" s="1220"/>
      <c r="BG350" s="1220"/>
      <c r="BH350" s="1220"/>
      <c r="BI350" s="1220"/>
      <c r="BJ350" s="1220"/>
      <c r="BK350" s="1220"/>
      <c r="BL350" s="1220"/>
      <c r="BM350" s="1220"/>
      <c r="BN350" s="1220"/>
      <c r="BO350" s="1220"/>
    </row>
    <row r="351" spans="1:67" ht="35.1" customHeight="1" x14ac:dyDescent="0.25">
      <c r="A351" s="3">
        <f t="shared" si="5"/>
        <v>339</v>
      </c>
      <c r="B351" s="1218" t="s">
        <v>162</v>
      </c>
      <c r="C351" s="1218"/>
      <c r="D351" s="1221"/>
      <c r="E351" s="1221"/>
      <c r="F351" s="1221"/>
      <c r="G351" s="1221"/>
      <c r="H351" s="1221"/>
      <c r="I351" s="540"/>
      <c r="J351" s="540"/>
      <c r="K351" s="540"/>
      <c r="L351" s="540"/>
      <c r="M351" s="540"/>
      <c r="N351" s="540"/>
      <c r="O351" s="540"/>
      <c r="P351" s="540"/>
      <c r="Q351" s="540"/>
      <c r="R351" s="540"/>
      <c r="S351" s="540"/>
      <c r="T351" s="540"/>
      <c r="U351" s="540"/>
      <c r="V351" s="540"/>
      <c r="W351" s="540"/>
      <c r="X351" s="540"/>
      <c r="Y351" s="540"/>
      <c r="Z351" s="540"/>
      <c r="AA351" s="540"/>
      <c r="AB351" s="540"/>
      <c r="AC351" s="540"/>
      <c r="AD351" s="540"/>
      <c r="AE351" s="540"/>
      <c r="AF351" s="540"/>
      <c r="AG351" s="540"/>
      <c r="AH351" s="540"/>
      <c r="AI351" s="540"/>
      <c r="AJ351" s="540"/>
      <c r="AK351" s="540"/>
      <c r="AL351" s="540"/>
      <c r="AM351" s="540"/>
      <c r="AN351" s="540"/>
      <c r="AO351" s="540"/>
      <c r="AP351" s="540"/>
      <c r="AQ351" s="540"/>
      <c r="AR351" s="540"/>
      <c r="AS351" s="540"/>
      <c r="AT351" s="540"/>
      <c r="AU351" s="540"/>
      <c r="AV351" s="540"/>
      <c r="AW351" s="1259"/>
      <c r="AX351" s="1259"/>
      <c r="AY351" s="1259"/>
      <c r="AZ351" s="540"/>
      <c r="BA351" s="540"/>
      <c r="BB351" s="540"/>
      <c r="BC351" s="540"/>
      <c r="BD351" s="540"/>
      <c r="BE351" s="540"/>
      <c r="BF351" s="540"/>
      <c r="BG351" s="540"/>
      <c r="BH351" s="540"/>
      <c r="BI351" s="540"/>
      <c r="BJ351" s="540"/>
      <c r="BK351" s="540"/>
      <c r="BL351" s="540"/>
      <c r="BM351" s="540"/>
      <c r="BN351" s="540"/>
      <c r="BO351" s="540"/>
    </row>
    <row r="352" spans="1:67" ht="35.1" customHeight="1" x14ac:dyDescent="0.25">
      <c r="A352" s="3">
        <f t="shared" si="5"/>
        <v>340</v>
      </c>
      <c r="B352" s="1218" t="s">
        <v>162</v>
      </c>
      <c r="C352" s="1218"/>
      <c r="D352" s="1222"/>
      <c r="E352" s="1222"/>
      <c r="F352" s="1222"/>
      <c r="G352" s="1222"/>
      <c r="H352" s="1222"/>
      <c r="I352" s="1219"/>
      <c r="J352" s="1219"/>
      <c r="K352" s="1219"/>
      <c r="L352" s="1219"/>
      <c r="M352" s="1219"/>
      <c r="N352" s="1219"/>
      <c r="O352" s="1219"/>
      <c r="P352" s="1219"/>
      <c r="Q352" s="1220"/>
      <c r="R352" s="1220"/>
      <c r="S352" s="1220"/>
      <c r="T352" s="1220"/>
      <c r="U352" s="1220"/>
      <c r="V352" s="1220"/>
      <c r="W352" s="1220"/>
      <c r="X352" s="1220"/>
      <c r="Y352" s="1219"/>
      <c r="Z352" s="1219"/>
      <c r="AA352" s="1220"/>
      <c r="AB352" s="1220"/>
      <c r="AC352" s="1220"/>
      <c r="AD352" s="1220"/>
      <c r="AE352" s="1219"/>
      <c r="AF352" s="1219"/>
      <c r="AG352" s="1219"/>
      <c r="AH352" s="1220"/>
      <c r="AI352" s="1220"/>
      <c r="AJ352" s="1220"/>
      <c r="AK352" s="1219"/>
      <c r="AL352" s="1219"/>
      <c r="AM352" s="1219"/>
      <c r="AN352" s="1219"/>
      <c r="AO352" s="1220"/>
      <c r="AP352" s="1220"/>
      <c r="AQ352" s="1220"/>
      <c r="AR352" s="1220"/>
      <c r="AS352" s="1220"/>
      <c r="AT352" s="1220"/>
      <c r="AU352" s="1220"/>
      <c r="AV352" s="1220"/>
      <c r="AW352" s="1258"/>
      <c r="AX352" s="1258"/>
      <c r="AY352" s="1258"/>
      <c r="AZ352" s="1220"/>
      <c r="BA352" s="1220"/>
      <c r="BB352" s="1220"/>
      <c r="BC352" s="1220"/>
      <c r="BD352" s="1220"/>
      <c r="BE352" s="1220"/>
      <c r="BF352" s="1220"/>
      <c r="BG352" s="1220"/>
      <c r="BH352" s="1220"/>
      <c r="BI352" s="1220"/>
      <c r="BJ352" s="1220"/>
      <c r="BK352" s="1220"/>
      <c r="BL352" s="1220"/>
      <c r="BM352" s="1220"/>
      <c r="BN352" s="1220"/>
      <c r="BO352" s="1220"/>
    </row>
    <row r="353" spans="1:67" ht="35.1" customHeight="1" x14ac:dyDescent="0.25">
      <c r="A353" s="3">
        <f t="shared" si="5"/>
        <v>341</v>
      </c>
      <c r="B353" s="1218" t="s">
        <v>162</v>
      </c>
      <c r="C353" s="1218"/>
      <c r="D353" s="1221"/>
      <c r="E353" s="1221"/>
      <c r="F353" s="1221"/>
      <c r="G353" s="1221"/>
      <c r="H353" s="1221"/>
      <c r="I353" s="540"/>
      <c r="J353" s="540"/>
      <c r="K353" s="540"/>
      <c r="L353" s="540"/>
      <c r="M353" s="540"/>
      <c r="N353" s="540"/>
      <c r="O353" s="540"/>
      <c r="P353" s="540"/>
      <c r="Q353" s="540"/>
      <c r="R353" s="540"/>
      <c r="S353" s="540"/>
      <c r="T353" s="540"/>
      <c r="U353" s="540"/>
      <c r="V353" s="540"/>
      <c r="W353" s="540"/>
      <c r="X353" s="540"/>
      <c r="Y353" s="540"/>
      <c r="Z353" s="540"/>
      <c r="AA353" s="540"/>
      <c r="AB353" s="540"/>
      <c r="AC353" s="540"/>
      <c r="AD353" s="540"/>
      <c r="AE353" s="540"/>
      <c r="AF353" s="540"/>
      <c r="AG353" s="540"/>
      <c r="AH353" s="540"/>
      <c r="AI353" s="540"/>
      <c r="AJ353" s="540"/>
      <c r="AK353" s="540"/>
      <c r="AL353" s="540"/>
      <c r="AM353" s="540"/>
      <c r="AN353" s="540"/>
      <c r="AO353" s="540"/>
      <c r="AP353" s="540"/>
      <c r="AQ353" s="540"/>
      <c r="AR353" s="540"/>
      <c r="AS353" s="540"/>
      <c r="AT353" s="540"/>
      <c r="AU353" s="540"/>
      <c r="AV353" s="540"/>
      <c r="AW353" s="1259"/>
      <c r="AX353" s="1259"/>
      <c r="AY353" s="1259"/>
      <c r="AZ353" s="540"/>
      <c r="BA353" s="540"/>
      <c r="BB353" s="540"/>
      <c r="BC353" s="540"/>
      <c r="BD353" s="540"/>
      <c r="BE353" s="540"/>
      <c r="BF353" s="540"/>
      <c r="BG353" s="540"/>
      <c r="BH353" s="540"/>
      <c r="BI353" s="540"/>
      <c r="BJ353" s="540"/>
      <c r="BK353" s="540"/>
      <c r="BL353" s="540"/>
      <c r="BM353" s="540"/>
      <c r="BN353" s="540"/>
      <c r="BO353" s="540"/>
    </row>
    <row r="354" spans="1:67" ht="35.1" customHeight="1" x14ac:dyDescent="0.25">
      <c r="A354" s="3">
        <f t="shared" si="5"/>
        <v>342</v>
      </c>
      <c r="B354" s="1218" t="s">
        <v>162</v>
      </c>
      <c r="C354" s="1218"/>
      <c r="D354" s="1222"/>
      <c r="E354" s="1222"/>
      <c r="F354" s="1222"/>
      <c r="G354" s="1222"/>
      <c r="H354" s="1222"/>
      <c r="I354" s="1219"/>
      <c r="J354" s="1219"/>
      <c r="K354" s="1219"/>
      <c r="L354" s="1219"/>
      <c r="M354" s="1219"/>
      <c r="N354" s="1219"/>
      <c r="O354" s="1219"/>
      <c r="P354" s="1219"/>
      <c r="Q354" s="1220"/>
      <c r="R354" s="1220"/>
      <c r="S354" s="1220"/>
      <c r="T354" s="1220"/>
      <c r="U354" s="1220"/>
      <c r="V354" s="1220"/>
      <c r="W354" s="1220"/>
      <c r="X354" s="1220"/>
      <c r="Y354" s="1219"/>
      <c r="Z354" s="1219"/>
      <c r="AA354" s="1220"/>
      <c r="AB354" s="1220"/>
      <c r="AC354" s="1220"/>
      <c r="AD354" s="1220"/>
      <c r="AE354" s="1219"/>
      <c r="AF354" s="1219"/>
      <c r="AG354" s="1219"/>
      <c r="AH354" s="1220"/>
      <c r="AI354" s="1220"/>
      <c r="AJ354" s="1220"/>
      <c r="AK354" s="1219"/>
      <c r="AL354" s="1219"/>
      <c r="AM354" s="1219"/>
      <c r="AN354" s="1219"/>
      <c r="AO354" s="1220"/>
      <c r="AP354" s="1220"/>
      <c r="AQ354" s="1220"/>
      <c r="AR354" s="1220"/>
      <c r="AS354" s="1220"/>
      <c r="AT354" s="1220"/>
      <c r="AU354" s="1220"/>
      <c r="AV354" s="1220"/>
      <c r="AW354" s="1258"/>
      <c r="AX354" s="1258"/>
      <c r="AY354" s="1258"/>
      <c r="AZ354" s="1220"/>
      <c r="BA354" s="1220"/>
      <c r="BB354" s="1220"/>
      <c r="BC354" s="1220"/>
      <c r="BD354" s="1220"/>
      <c r="BE354" s="1220"/>
      <c r="BF354" s="1220"/>
      <c r="BG354" s="1220"/>
      <c r="BH354" s="1220"/>
      <c r="BI354" s="1220"/>
      <c r="BJ354" s="1220"/>
      <c r="BK354" s="1220"/>
      <c r="BL354" s="1220"/>
      <c r="BM354" s="1220"/>
      <c r="BN354" s="1220"/>
      <c r="BO354" s="1220"/>
    </row>
    <row r="355" spans="1:67" ht="35.1" customHeight="1" x14ac:dyDescent="0.25">
      <c r="A355" s="3">
        <f t="shared" si="5"/>
        <v>343</v>
      </c>
      <c r="B355" s="1218" t="s">
        <v>162</v>
      </c>
      <c r="C355" s="1218"/>
      <c r="D355" s="1221"/>
      <c r="E355" s="1221"/>
      <c r="F355" s="1221"/>
      <c r="G355" s="1221"/>
      <c r="H355" s="1221"/>
      <c r="I355" s="540"/>
      <c r="J355" s="540"/>
      <c r="K355" s="540"/>
      <c r="L355" s="540"/>
      <c r="M355" s="540"/>
      <c r="N355" s="540"/>
      <c r="O355" s="540"/>
      <c r="P355" s="540"/>
      <c r="Q355" s="540"/>
      <c r="R355" s="540"/>
      <c r="S355" s="540"/>
      <c r="T355" s="540"/>
      <c r="U355" s="540"/>
      <c r="V355" s="540"/>
      <c r="W355" s="540"/>
      <c r="X355" s="540"/>
      <c r="Y355" s="540"/>
      <c r="Z355" s="540"/>
      <c r="AA355" s="540"/>
      <c r="AB355" s="540"/>
      <c r="AC355" s="540"/>
      <c r="AD355" s="540"/>
      <c r="AE355" s="540"/>
      <c r="AF355" s="540"/>
      <c r="AG355" s="540"/>
      <c r="AH355" s="540"/>
      <c r="AI355" s="540"/>
      <c r="AJ355" s="540"/>
      <c r="AK355" s="540"/>
      <c r="AL355" s="540"/>
      <c r="AM355" s="540"/>
      <c r="AN355" s="540"/>
      <c r="AO355" s="540"/>
      <c r="AP355" s="540"/>
      <c r="AQ355" s="540"/>
      <c r="AR355" s="540"/>
      <c r="AS355" s="540"/>
      <c r="AT355" s="540"/>
      <c r="AU355" s="540"/>
      <c r="AV355" s="540"/>
      <c r="AW355" s="1259"/>
      <c r="AX355" s="1259"/>
      <c r="AY355" s="1259"/>
      <c r="AZ355" s="540"/>
      <c r="BA355" s="540"/>
      <c r="BB355" s="540"/>
      <c r="BC355" s="540"/>
      <c r="BD355" s="540"/>
      <c r="BE355" s="540"/>
      <c r="BF355" s="540"/>
      <c r="BG355" s="540"/>
      <c r="BH355" s="540"/>
      <c r="BI355" s="540"/>
      <c r="BJ355" s="540"/>
      <c r="BK355" s="540"/>
      <c r="BL355" s="540"/>
      <c r="BM355" s="540"/>
      <c r="BN355" s="540"/>
      <c r="BO355" s="540"/>
    </row>
    <row r="356" spans="1:67" ht="35.1" customHeight="1" x14ac:dyDescent="0.25">
      <c r="A356" s="3">
        <f t="shared" si="5"/>
        <v>344</v>
      </c>
      <c r="B356" s="1235" t="s">
        <v>162</v>
      </c>
      <c r="C356" s="1235"/>
      <c r="D356" s="1222"/>
      <c r="E356" s="1222"/>
      <c r="F356" s="1222"/>
      <c r="G356" s="1222"/>
      <c r="H356" s="1222"/>
      <c r="I356" s="1219"/>
      <c r="J356" s="1219"/>
      <c r="K356" s="1219"/>
      <c r="L356" s="1219"/>
      <c r="M356" s="1219"/>
      <c r="N356" s="1219"/>
      <c r="O356" s="1219"/>
      <c r="P356" s="1219"/>
      <c r="Q356" s="1220"/>
      <c r="R356" s="1220"/>
      <c r="S356" s="1220"/>
      <c r="T356" s="1220"/>
      <c r="U356" s="1220"/>
      <c r="V356" s="1220"/>
      <c r="W356" s="1220"/>
      <c r="X356" s="1220"/>
      <c r="Y356" s="1219"/>
      <c r="Z356" s="1219"/>
      <c r="AA356" s="1220"/>
      <c r="AB356" s="1220"/>
      <c r="AC356" s="1220"/>
      <c r="AD356" s="1220"/>
      <c r="AE356" s="1219"/>
      <c r="AF356" s="1219"/>
      <c r="AG356" s="1219"/>
      <c r="AH356" s="1220"/>
      <c r="AI356" s="1220"/>
      <c r="AJ356" s="1220"/>
      <c r="AK356" s="1219"/>
      <c r="AL356" s="1219"/>
      <c r="AM356" s="1219"/>
      <c r="AN356" s="1219"/>
      <c r="AO356" s="1220"/>
      <c r="AP356" s="1220"/>
      <c r="AQ356" s="1220"/>
      <c r="AR356" s="1220"/>
      <c r="AS356" s="1220"/>
      <c r="AT356" s="1220"/>
      <c r="AU356" s="1220"/>
      <c r="AV356" s="1220"/>
      <c r="AW356" s="1258"/>
      <c r="AX356" s="1258"/>
      <c r="AY356" s="1258"/>
      <c r="AZ356" s="1220"/>
      <c r="BA356" s="1220"/>
      <c r="BB356" s="1220"/>
      <c r="BC356" s="1220"/>
      <c r="BD356" s="1220"/>
      <c r="BE356" s="1220"/>
      <c r="BF356" s="1220"/>
      <c r="BG356" s="1220"/>
      <c r="BH356" s="1220"/>
      <c r="BI356" s="1220"/>
      <c r="BJ356" s="1220"/>
      <c r="BK356" s="1220"/>
      <c r="BL356" s="1220"/>
      <c r="BM356" s="1220"/>
      <c r="BN356" s="1220"/>
      <c r="BO356" s="1220"/>
    </row>
    <row r="357" spans="1:67" ht="35.1" customHeight="1" x14ac:dyDescent="0.25">
      <c r="A357" s="3">
        <f t="shared" si="5"/>
        <v>345</v>
      </c>
      <c r="B357" s="1218" t="s">
        <v>162</v>
      </c>
      <c r="C357" s="1218"/>
      <c r="D357" s="1221"/>
      <c r="E357" s="1221"/>
      <c r="F357" s="1221"/>
      <c r="G357" s="1221"/>
      <c r="H357" s="1221"/>
      <c r="I357" s="540"/>
      <c r="J357" s="540"/>
      <c r="K357" s="540"/>
      <c r="L357" s="540"/>
      <c r="M357" s="540"/>
      <c r="N357" s="540"/>
      <c r="O357" s="540"/>
      <c r="P357" s="540"/>
      <c r="Q357" s="540"/>
      <c r="R357" s="540"/>
      <c r="S357" s="540"/>
      <c r="T357" s="540"/>
      <c r="U357" s="540"/>
      <c r="V357" s="540"/>
      <c r="W357" s="540"/>
      <c r="X357" s="540"/>
      <c r="Y357" s="540"/>
      <c r="Z357" s="540"/>
      <c r="AA357" s="540"/>
      <c r="AB357" s="540"/>
      <c r="AC357" s="540"/>
      <c r="AD357" s="540"/>
      <c r="AE357" s="540"/>
      <c r="AF357" s="540"/>
      <c r="AG357" s="540"/>
      <c r="AH357" s="540"/>
      <c r="AI357" s="540"/>
      <c r="AJ357" s="540"/>
      <c r="AK357" s="540"/>
      <c r="AL357" s="540"/>
      <c r="AM357" s="540"/>
      <c r="AN357" s="540"/>
      <c r="AO357" s="540"/>
      <c r="AP357" s="540"/>
      <c r="AQ357" s="540"/>
      <c r="AR357" s="540"/>
      <c r="AS357" s="540"/>
      <c r="AT357" s="540"/>
      <c r="AU357" s="540"/>
      <c r="AV357" s="540"/>
      <c r="AW357" s="1259"/>
      <c r="AX357" s="1259"/>
      <c r="AY357" s="1259"/>
      <c r="AZ357" s="540"/>
      <c r="BA357" s="540"/>
      <c r="BB357" s="540"/>
      <c r="BC357" s="540"/>
      <c r="BD357" s="540"/>
      <c r="BE357" s="540"/>
      <c r="BF357" s="540"/>
      <c r="BG357" s="540"/>
      <c r="BH357" s="540"/>
      <c r="BI357" s="540"/>
      <c r="BJ357" s="540"/>
      <c r="BK357" s="540"/>
      <c r="BL357" s="540"/>
      <c r="BM357" s="540"/>
      <c r="BN357" s="540"/>
      <c r="BO357" s="540"/>
    </row>
    <row r="358" spans="1:67" ht="35.1" customHeight="1" x14ac:dyDescent="0.25">
      <c r="A358" s="3">
        <f t="shared" si="5"/>
        <v>346</v>
      </c>
      <c r="B358" s="1218" t="s">
        <v>162</v>
      </c>
      <c r="C358" s="1218"/>
      <c r="D358" s="1222"/>
      <c r="E358" s="1222"/>
      <c r="F358" s="1222"/>
      <c r="G358" s="1222"/>
      <c r="H358" s="1222"/>
      <c r="I358" s="1219"/>
      <c r="J358" s="1219"/>
      <c r="K358" s="1219"/>
      <c r="L358" s="1219"/>
      <c r="M358" s="1219"/>
      <c r="N358" s="1219"/>
      <c r="O358" s="1219"/>
      <c r="P358" s="1219"/>
      <c r="Q358" s="1220"/>
      <c r="R358" s="1220"/>
      <c r="S358" s="1220"/>
      <c r="T358" s="1220"/>
      <c r="U358" s="1220"/>
      <c r="V358" s="1220"/>
      <c r="W358" s="1220"/>
      <c r="X358" s="1220"/>
      <c r="Y358" s="1219"/>
      <c r="Z358" s="1219"/>
      <c r="AA358" s="1220"/>
      <c r="AB358" s="1220"/>
      <c r="AC358" s="1220"/>
      <c r="AD358" s="1220"/>
      <c r="AE358" s="1219"/>
      <c r="AF358" s="1219"/>
      <c r="AG358" s="1219"/>
      <c r="AH358" s="1220"/>
      <c r="AI358" s="1220"/>
      <c r="AJ358" s="1220"/>
      <c r="AK358" s="1219"/>
      <c r="AL358" s="1219"/>
      <c r="AM358" s="1219"/>
      <c r="AN358" s="1219"/>
      <c r="AO358" s="1220"/>
      <c r="AP358" s="1220"/>
      <c r="AQ358" s="1220"/>
      <c r="AR358" s="1220"/>
      <c r="AS358" s="1220"/>
      <c r="AT358" s="1220"/>
      <c r="AU358" s="1220"/>
      <c r="AV358" s="1220"/>
      <c r="AW358" s="1258"/>
      <c r="AX358" s="1258"/>
      <c r="AY358" s="1258"/>
      <c r="AZ358" s="1220"/>
      <c r="BA358" s="1220"/>
      <c r="BB358" s="1220"/>
      <c r="BC358" s="1220"/>
      <c r="BD358" s="1220"/>
      <c r="BE358" s="1220"/>
      <c r="BF358" s="1220"/>
      <c r="BG358" s="1220"/>
      <c r="BH358" s="1220"/>
      <c r="BI358" s="1220"/>
      <c r="BJ358" s="1220"/>
      <c r="BK358" s="1220"/>
      <c r="BL358" s="1220"/>
      <c r="BM358" s="1220"/>
      <c r="BN358" s="1220"/>
      <c r="BO358" s="1220"/>
    </row>
    <row r="359" spans="1:67" ht="35.1" customHeight="1" x14ac:dyDescent="0.25">
      <c r="A359" s="3">
        <f t="shared" si="5"/>
        <v>347</v>
      </c>
      <c r="B359" s="1218" t="s">
        <v>162</v>
      </c>
      <c r="C359" s="1218"/>
      <c r="D359" s="1221"/>
      <c r="E359" s="1221"/>
      <c r="F359" s="1221"/>
      <c r="G359" s="1221"/>
      <c r="H359" s="1221"/>
      <c r="I359" s="540"/>
      <c r="J359" s="540"/>
      <c r="K359" s="540"/>
      <c r="L359" s="540"/>
      <c r="M359" s="540"/>
      <c r="N359" s="540"/>
      <c r="O359" s="540"/>
      <c r="P359" s="540"/>
      <c r="Q359" s="540"/>
      <c r="R359" s="540"/>
      <c r="S359" s="540"/>
      <c r="T359" s="540"/>
      <c r="U359" s="540"/>
      <c r="V359" s="540"/>
      <c r="W359" s="540"/>
      <c r="X359" s="540"/>
      <c r="Y359" s="540"/>
      <c r="Z359" s="540"/>
      <c r="AA359" s="540"/>
      <c r="AB359" s="540"/>
      <c r="AC359" s="540"/>
      <c r="AD359" s="540"/>
      <c r="AE359" s="540"/>
      <c r="AF359" s="540"/>
      <c r="AG359" s="540"/>
      <c r="AH359" s="540"/>
      <c r="AI359" s="540"/>
      <c r="AJ359" s="540"/>
      <c r="AK359" s="540"/>
      <c r="AL359" s="540"/>
      <c r="AM359" s="540"/>
      <c r="AN359" s="540"/>
      <c r="AO359" s="540"/>
      <c r="AP359" s="540"/>
      <c r="AQ359" s="540"/>
      <c r="AR359" s="540"/>
      <c r="AS359" s="540"/>
      <c r="AT359" s="540"/>
      <c r="AU359" s="540"/>
      <c r="AV359" s="540"/>
      <c r="AW359" s="1259"/>
      <c r="AX359" s="1259"/>
      <c r="AY359" s="1259"/>
      <c r="AZ359" s="540"/>
      <c r="BA359" s="540"/>
      <c r="BB359" s="540"/>
      <c r="BC359" s="540"/>
      <c r="BD359" s="540"/>
      <c r="BE359" s="540"/>
      <c r="BF359" s="540"/>
      <c r="BG359" s="540"/>
      <c r="BH359" s="540"/>
      <c r="BI359" s="540"/>
      <c r="BJ359" s="540"/>
      <c r="BK359" s="540"/>
      <c r="BL359" s="540"/>
      <c r="BM359" s="540"/>
      <c r="BN359" s="540"/>
      <c r="BO359" s="540"/>
    </row>
    <row r="360" spans="1:67" ht="35.1" customHeight="1" x14ac:dyDescent="0.25">
      <c r="A360" s="3">
        <f t="shared" si="5"/>
        <v>348</v>
      </c>
      <c r="B360" s="1218" t="s">
        <v>162</v>
      </c>
      <c r="C360" s="1218"/>
      <c r="D360" s="1222"/>
      <c r="E360" s="1222"/>
      <c r="F360" s="1222"/>
      <c r="G360" s="1222"/>
      <c r="H360" s="1222"/>
      <c r="I360" s="1219"/>
      <c r="J360" s="1219"/>
      <c r="K360" s="1219"/>
      <c r="L360" s="1219"/>
      <c r="M360" s="1219"/>
      <c r="N360" s="1219"/>
      <c r="O360" s="1219"/>
      <c r="P360" s="1219"/>
      <c r="Q360" s="1220"/>
      <c r="R360" s="1220"/>
      <c r="S360" s="1220"/>
      <c r="T360" s="1220"/>
      <c r="U360" s="1220"/>
      <c r="V360" s="1220"/>
      <c r="W360" s="1220"/>
      <c r="X360" s="1220"/>
      <c r="Y360" s="1219"/>
      <c r="Z360" s="1219"/>
      <c r="AA360" s="1220"/>
      <c r="AB360" s="1220"/>
      <c r="AC360" s="1220"/>
      <c r="AD360" s="1220"/>
      <c r="AE360" s="1219"/>
      <c r="AF360" s="1219"/>
      <c r="AG360" s="1219"/>
      <c r="AH360" s="1220"/>
      <c r="AI360" s="1220"/>
      <c r="AJ360" s="1220"/>
      <c r="AK360" s="1219"/>
      <c r="AL360" s="1219"/>
      <c r="AM360" s="1219"/>
      <c r="AN360" s="1219"/>
      <c r="AO360" s="1220"/>
      <c r="AP360" s="1220"/>
      <c r="AQ360" s="1220"/>
      <c r="AR360" s="1220"/>
      <c r="AS360" s="1220"/>
      <c r="AT360" s="1220"/>
      <c r="AU360" s="1220"/>
      <c r="AV360" s="1220"/>
      <c r="AW360" s="1258"/>
      <c r="AX360" s="1258"/>
      <c r="AY360" s="1258"/>
      <c r="AZ360" s="1220"/>
      <c r="BA360" s="1220"/>
      <c r="BB360" s="1220"/>
      <c r="BC360" s="1220"/>
      <c r="BD360" s="1220"/>
      <c r="BE360" s="1220"/>
      <c r="BF360" s="1220"/>
      <c r="BG360" s="1220"/>
      <c r="BH360" s="1220"/>
      <c r="BI360" s="1220"/>
      <c r="BJ360" s="1220"/>
      <c r="BK360" s="1220"/>
      <c r="BL360" s="1220"/>
      <c r="BM360" s="1220"/>
      <c r="BN360" s="1220"/>
      <c r="BO360" s="1220"/>
    </row>
    <row r="361" spans="1:67" ht="35.1" customHeight="1" x14ac:dyDescent="0.25">
      <c r="A361" s="3">
        <f t="shared" si="5"/>
        <v>349</v>
      </c>
      <c r="B361" s="1218" t="s">
        <v>162</v>
      </c>
      <c r="C361" s="1218"/>
      <c r="D361" s="1221"/>
      <c r="E361" s="1221"/>
      <c r="F361" s="1221"/>
      <c r="G361" s="1221"/>
      <c r="H361" s="1221"/>
      <c r="I361" s="540"/>
      <c r="J361" s="540"/>
      <c r="K361" s="540"/>
      <c r="L361" s="540"/>
      <c r="M361" s="540"/>
      <c r="N361" s="540"/>
      <c r="O361" s="540"/>
      <c r="P361" s="540"/>
      <c r="Q361" s="540"/>
      <c r="R361" s="540"/>
      <c r="S361" s="540"/>
      <c r="T361" s="540"/>
      <c r="U361" s="540"/>
      <c r="V361" s="540"/>
      <c r="W361" s="540"/>
      <c r="X361" s="540"/>
      <c r="Y361" s="540"/>
      <c r="Z361" s="540"/>
      <c r="AA361" s="540"/>
      <c r="AB361" s="540"/>
      <c r="AC361" s="540"/>
      <c r="AD361" s="540"/>
      <c r="AE361" s="540"/>
      <c r="AF361" s="540"/>
      <c r="AG361" s="540"/>
      <c r="AH361" s="540"/>
      <c r="AI361" s="540"/>
      <c r="AJ361" s="540"/>
      <c r="AK361" s="540"/>
      <c r="AL361" s="540"/>
      <c r="AM361" s="540"/>
      <c r="AN361" s="540"/>
      <c r="AO361" s="540"/>
      <c r="AP361" s="540"/>
      <c r="AQ361" s="540"/>
      <c r="AR361" s="540"/>
      <c r="AS361" s="540"/>
      <c r="AT361" s="540"/>
      <c r="AU361" s="540"/>
      <c r="AV361" s="540"/>
      <c r="AW361" s="1259"/>
      <c r="AX361" s="1259"/>
      <c r="AY361" s="1259"/>
      <c r="AZ361" s="540"/>
      <c r="BA361" s="540"/>
      <c r="BB361" s="540"/>
      <c r="BC361" s="540"/>
      <c r="BD361" s="540"/>
      <c r="BE361" s="540"/>
      <c r="BF361" s="540"/>
      <c r="BG361" s="540"/>
      <c r="BH361" s="540"/>
      <c r="BI361" s="540"/>
      <c r="BJ361" s="540"/>
      <c r="BK361" s="540"/>
      <c r="BL361" s="540"/>
      <c r="BM361" s="540"/>
      <c r="BN361" s="540"/>
      <c r="BO361" s="540"/>
    </row>
    <row r="362" spans="1:67" ht="35.1" customHeight="1" x14ac:dyDescent="0.25">
      <c r="A362" s="3">
        <f t="shared" si="5"/>
        <v>350</v>
      </c>
      <c r="B362" s="1218" t="s">
        <v>162</v>
      </c>
      <c r="C362" s="1218"/>
      <c r="D362" s="1222"/>
      <c r="E362" s="1222"/>
      <c r="F362" s="1222"/>
      <c r="G362" s="1222"/>
      <c r="H362" s="1222"/>
      <c r="I362" s="1219"/>
      <c r="J362" s="1219"/>
      <c r="K362" s="1219"/>
      <c r="L362" s="1219"/>
      <c r="M362" s="1219"/>
      <c r="N362" s="1219"/>
      <c r="O362" s="1219"/>
      <c r="P362" s="1219"/>
      <c r="Q362" s="1220"/>
      <c r="R362" s="1220"/>
      <c r="S362" s="1220"/>
      <c r="T362" s="1220"/>
      <c r="U362" s="1220"/>
      <c r="V362" s="1220"/>
      <c r="W362" s="1220"/>
      <c r="X362" s="1220"/>
      <c r="Y362" s="1219"/>
      <c r="Z362" s="1219"/>
      <c r="AA362" s="1220"/>
      <c r="AB362" s="1220"/>
      <c r="AC362" s="1220"/>
      <c r="AD362" s="1220"/>
      <c r="AE362" s="1219"/>
      <c r="AF362" s="1219"/>
      <c r="AG362" s="1219"/>
      <c r="AH362" s="1220"/>
      <c r="AI362" s="1220"/>
      <c r="AJ362" s="1220"/>
      <c r="AK362" s="1219"/>
      <c r="AL362" s="1219"/>
      <c r="AM362" s="1219"/>
      <c r="AN362" s="1219"/>
      <c r="AO362" s="1220"/>
      <c r="AP362" s="1220"/>
      <c r="AQ362" s="1220"/>
      <c r="AR362" s="1220"/>
      <c r="AS362" s="1220"/>
      <c r="AT362" s="1220"/>
      <c r="AU362" s="1220"/>
      <c r="AV362" s="1220"/>
      <c r="AW362" s="1258"/>
      <c r="AX362" s="1258"/>
      <c r="AY362" s="1258"/>
      <c r="AZ362" s="1220"/>
      <c r="BA362" s="1220"/>
      <c r="BB362" s="1220"/>
      <c r="BC362" s="1220"/>
      <c r="BD362" s="1220"/>
      <c r="BE362" s="1220"/>
      <c r="BF362" s="1220"/>
      <c r="BG362" s="1220"/>
      <c r="BH362" s="1220"/>
      <c r="BI362" s="1220"/>
      <c r="BJ362" s="1220"/>
      <c r="BK362" s="1220"/>
      <c r="BL362" s="1220"/>
      <c r="BM362" s="1220"/>
      <c r="BN362" s="1220"/>
      <c r="BO362" s="1220"/>
    </row>
    <row r="363" spans="1:67" ht="35.1" customHeight="1" x14ac:dyDescent="0.25">
      <c r="A363" s="3">
        <f t="shared" si="5"/>
        <v>351</v>
      </c>
      <c r="B363" s="1218" t="s">
        <v>162</v>
      </c>
      <c r="C363" s="1218"/>
      <c r="D363" s="1221"/>
      <c r="E363" s="1221"/>
      <c r="F363" s="1221"/>
      <c r="G363" s="1221"/>
      <c r="H363" s="1221"/>
      <c r="I363" s="540"/>
      <c r="J363" s="540"/>
      <c r="K363" s="540"/>
      <c r="L363" s="540"/>
      <c r="M363" s="540"/>
      <c r="N363" s="540"/>
      <c r="O363" s="540"/>
      <c r="P363" s="540"/>
      <c r="Q363" s="540"/>
      <c r="R363" s="540"/>
      <c r="S363" s="540"/>
      <c r="T363" s="540"/>
      <c r="U363" s="540"/>
      <c r="V363" s="540"/>
      <c r="W363" s="540"/>
      <c r="X363" s="540"/>
      <c r="Y363" s="540"/>
      <c r="Z363" s="540"/>
      <c r="AA363" s="540"/>
      <c r="AB363" s="540"/>
      <c r="AC363" s="540"/>
      <c r="AD363" s="540"/>
      <c r="AE363" s="540"/>
      <c r="AF363" s="540"/>
      <c r="AG363" s="540"/>
      <c r="AH363" s="540"/>
      <c r="AI363" s="540"/>
      <c r="AJ363" s="540"/>
      <c r="AK363" s="540"/>
      <c r="AL363" s="540"/>
      <c r="AM363" s="540"/>
      <c r="AN363" s="540"/>
      <c r="AO363" s="540"/>
      <c r="AP363" s="540"/>
      <c r="AQ363" s="540"/>
      <c r="AR363" s="540"/>
      <c r="AS363" s="540"/>
      <c r="AT363" s="540"/>
      <c r="AU363" s="540"/>
      <c r="AV363" s="540"/>
      <c r="AW363" s="1259"/>
      <c r="AX363" s="1259"/>
      <c r="AY363" s="1259"/>
      <c r="AZ363" s="540"/>
      <c r="BA363" s="540"/>
      <c r="BB363" s="540"/>
      <c r="BC363" s="540"/>
      <c r="BD363" s="540"/>
      <c r="BE363" s="540"/>
      <c r="BF363" s="540"/>
      <c r="BG363" s="540"/>
      <c r="BH363" s="540"/>
      <c r="BI363" s="540"/>
      <c r="BJ363" s="540"/>
      <c r="BK363" s="540"/>
      <c r="BL363" s="540"/>
      <c r="BM363" s="540"/>
      <c r="BN363" s="540"/>
      <c r="BO363" s="540"/>
    </row>
    <row r="364" spans="1:67" ht="35.1" customHeight="1" x14ac:dyDescent="0.25">
      <c r="A364" s="3">
        <f>+ROW(A352)</f>
        <v>352</v>
      </c>
      <c r="B364" s="1218" t="s">
        <v>162</v>
      </c>
      <c r="C364" s="1218"/>
      <c r="D364" s="1222"/>
      <c r="E364" s="1222"/>
      <c r="F364" s="1222"/>
      <c r="G364" s="1222"/>
      <c r="H364" s="1222"/>
      <c r="I364" s="1219"/>
      <c r="J364" s="1219"/>
      <c r="K364" s="1219"/>
      <c r="L364" s="1219"/>
      <c r="M364" s="1219"/>
      <c r="N364" s="1219"/>
      <c r="O364" s="1219"/>
      <c r="P364" s="1219"/>
      <c r="Q364" s="1220"/>
      <c r="R364" s="1220"/>
      <c r="S364" s="1220"/>
      <c r="T364" s="1220"/>
      <c r="U364" s="1220"/>
      <c r="V364" s="1220"/>
      <c r="W364" s="1220"/>
      <c r="X364" s="1220"/>
      <c r="Y364" s="1219"/>
      <c r="Z364" s="1219"/>
      <c r="AA364" s="1220"/>
      <c r="AB364" s="1220"/>
      <c r="AC364" s="1220"/>
      <c r="AD364" s="1220"/>
      <c r="AE364" s="1219"/>
      <c r="AF364" s="1219"/>
      <c r="AG364" s="1219"/>
      <c r="AH364" s="1220"/>
      <c r="AI364" s="1220"/>
      <c r="AJ364" s="1220"/>
      <c r="AK364" s="1219"/>
      <c r="AL364" s="1219"/>
      <c r="AM364" s="1219"/>
      <c r="AN364" s="1219"/>
      <c r="AO364" s="1220"/>
      <c r="AP364" s="1220"/>
      <c r="AQ364" s="1220"/>
      <c r="AR364" s="1220"/>
      <c r="AS364" s="1220"/>
      <c r="AT364" s="1220"/>
      <c r="AU364" s="1220"/>
      <c r="AV364" s="1220"/>
      <c r="AW364" s="1258"/>
      <c r="AX364" s="1258"/>
      <c r="AY364" s="1258"/>
      <c r="AZ364" s="1220"/>
      <c r="BA364" s="1220"/>
      <c r="BB364" s="1220"/>
      <c r="BC364" s="1220"/>
      <c r="BD364" s="1220"/>
      <c r="BE364" s="1220"/>
      <c r="BF364" s="1220"/>
      <c r="BG364" s="1220"/>
      <c r="BH364" s="1220"/>
      <c r="BI364" s="1220"/>
      <c r="BJ364" s="1220"/>
      <c r="BK364" s="1220"/>
      <c r="BL364" s="1220"/>
      <c r="BM364" s="1220"/>
      <c r="BN364" s="1220"/>
      <c r="BO364" s="1220"/>
    </row>
    <row r="365" spans="1:67" ht="35.1" customHeight="1" x14ac:dyDescent="0.25">
      <c r="A365" s="3">
        <f t="shared" ref="A365:A428" si="6">+ROW(A353)</f>
        <v>353</v>
      </c>
      <c r="B365" s="1218" t="s">
        <v>162</v>
      </c>
      <c r="C365" s="1218"/>
      <c r="D365" s="1221"/>
      <c r="E365" s="1221"/>
      <c r="F365" s="1221"/>
      <c r="G365" s="1221"/>
      <c r="H365" s="1221"/>
      <c r="I365" s="540"/>
      <c r="J365" s="540"/>
      <c r="K365" s="540"/>
      <c r="L365" s="540"/>
      <c r="M365" s="540"/>
      <c r="N365" s="540"/>
      <c r="O365" s="540"/>
      <c r="P365" s="540"/>
      <c r="Q365" s="540"/>
      <c r="R365" s="540"/>
      <c r="S365" s="540"/>
      <c r="T365" s="540"/>
      <c r="U365" s="540"/>
      <c r="V365" s="540"/>
      <c r="W365" s="540"/>
      <c r="X365" s="540"/>
      <c r="Y365" s="540"/>
      <c r="Z365" s="540"/>
      <c r="AA365" s="540"/>
      <c r="AB365" s="540"/>
      <c r="AC365" s="540"/>
      <c r="AD365" s="540"/>
      <c r="AE365" s="540"/>
      <c r="AF365" s="540"/>
      <c r="AG365" s="540"/>
      <c r="AH365" s="540"/>
      <c r="AI365" s="540"/>
      <c r="AJ365" s="540"/>
      <c r="AK365" s="540"/>
      <c r="AL365" s="540"/>
      <c r="AM365" s="540"/>
      <c r="AN365" s="540"/>
      <c r="AO365" s="540"/>
      <c r="AP365" s="540"/>
      <c r="AQ365" s="540"/>
      <c r="AR365" s="540"/>
      <c r="AS365" s="540"/>
      <c r="AT365" s="540"/>
      <c r="AU365" s="540"/>
      <c r="AV365" s="540"/>
      <c r="AW365" s="1259"/>
      <c r="AX365" s="1259"/>
      <c r="AY365" s="1259"/>
      <c r="AZ365" s="540"/>
      <c r="BA365" s="540"/>
      <c r="BB365" s="540"/>
      <c r="BC365" s="540"/>
      <c r="BD365" s="540"/>
      <c r="BE365" s="540"/>
      <c r="BF365" s="540"/>
      <c r="BG365" s="540"/>
      <c r="BH365" s="540"/>
      <c r="BI365" s="540"/>
      <c r="BJ365" s="540"/>
      <c r="BK365" s="540"/>
      <c r="BL365" s="540"/>
      <c r="BM365" s="540"/>
      <c r="BN365" s="540"/>
      <c r="BO365" s="540"/>
    </row>
    <row r="366" spans="1:67" ht="35.1" customHeight="1" x14ac:dyDescent="0.25">
      <c r="A366" s="3">
        <f t="shared" si="6"/>
        <v>354</v>
      </c>
      <c r="B366" s="1218" t="s">
        <v>162</v>
      </c>
      <c r="C366" s="1218"/>
      <c r="D366" s="1222"/>
      <c r="E366" s="1222"/>
      <c r="F366" s="1222"/>
      <c r="G366" s="1222"/>
      <c r="H366" s="1222"/>
      <c r="I366" s="1219"/>
      <c r="J366" s="1219"/>
      <c r="K366" s="1219"/>
      <c r="L366" s="1219"/>
      <c r="M366" s="1219"/>
      <c r="N366" s="1219"/>
      <c r="O366" s="1219"/>
      <c r="P366" s="1219"/>
      <c r="Q366" s="1220"/>
      <c r="R366" s="1220"/>
      <c r="S366" s="1220"/>
      <c r="T366" s="1220"/>
      <c r="U366" s="1220"/>
      <c r="V366" s="1220"/>
      <c r="W366" s="1220"/>
      <c r="X366" s="1220"/>
      <c r="Y366" s="1219"/>
      <c r="Z366" s="1219"/>
      <c r="AA366" s="1220"/>
      <c r="AB366" s="1220"/>
      <c r="AC366" s="1220"/>
      <c r="AD366" s="1220"/>
      <c r="AE366" s="1219"/>
      <c r="AF366" s="1219"/>
      <c r="AG366" s="1219"/>
      <c r="AH366" s="1220"/>
      <c r="AI366" s="1220"/>
      <c r="AJ366" s="1220"/>
      <c r="AK366" s="1219"/>
      <c r="AL366" s="1219"/>
      <c r="AM366" s="1219"/>
      <c r="AN366" s="1219"/>
      <c r="AO366" s="1220"/>
      <c r="AP366" s="1220"/>
      <c r="AQ366" s="1220"/>
      <c r="AR366" s="1220"/>
      <c r="AS366" s="1220"/>
      <c r="AT366" s="1220"/>
      <c r="AU366" s="1220"/>
      <c r="AV366" s="1220"/>
      <c r="AW366" s="1258"/>
      <c r="AX366" s="1258"/>
      <c r="AY366" s="1258"/>
      <c r="AZ366" s="1220"/>
      <c r="BA366" s="1220"/>
      <c r="BB366" s="1220"/>
      <c r="BC366" s="1220"/>
      <c r="BD366" s="1220"/>
      <c r="BE366" s="1220"/>
      <c r="BF366" s="1220"/>
      <c r="BG366" s="1220"/>
      <c r="BH366" s="1220"/>
      <c r="BI366" s="1220"/>
      <c r="BJ366" s="1220"/>
      <c r="BK366" s="1220"/>
      <c r="BL366" s="1220"/>
      <c r="BM366" s="1220"/>
      <c r="BN366" s="1220"/>
      <c r="BO366" s="1220"/>
    </row>
    <row r="367" spans="1:67" ht="35.1" customHeight="1" x14ac:dyDescent="0.25">
      <c r="A367" s="3">
        <f t="shared" si="6"/>
        <v>355</v>
      </c>
      <c r="B367" s="1218" t="s">
        <v>162</v>
      </c>
      <c r="C367" s="1218"/>
      <c r="D367" s="1221"/>
      <c r="E367" s="1221"/>
      <c r="F367" s="1221"/>
      <c r="G367" s="1221"/>
      <c r="H367" s="1221"/>
      <c r="I367" s="540"/>
      <c r="J367" s="540"/>
      <c r="K367" s="540"/>
      <c r="L367" s="540"/>
      <c r="M367" s="540"/>
      <c r="N367" s="540"/>
      <c r="O367" s="540"/>
      <c r="P367" s="540"/>
      <c r="Q367" s="540"/>
      <c r="R367" s="540"/>
      <c r="S367" s="540"/>
      <c r="T367" s="540"/>
      <c r="U367" s="540"/>
      <c r="V367" s="540"/>
      <c r="W367" s="540"/>
      <c r="X367" s="540"/>
      <c r="Y367" s="540"/>
      <c r="Z367" s="540"/>
      <c r="AA367" s="540"/>
      <c r="AB367" s="540"/>
      <c r="AC367" s="540"/>
      <c r="AD367" s="540"/>
      <c r="AE367" s="540"/>
      <c r="AF367" s="540"/>
      <c r="AG367" s="540"/>
      <c r="AH367" s="540"/>
      <c r="AI367" s="540"/>
      <c r="AJ367" s="540"/>
      <c r="AK367" s="540"/>
      <c r="AL367" s="540"/>
      <c r="AM367" s="540"/>
      <c r="AN367" s="540"/>
      <c r="AO367" s="540"/>
      <c r="AP367" s="540"/>
      <c r="AQ367" s="540"/>
      <c r="AR367" s="540"/>
      <c r="AS367" s="540"/>
      <c r="AT367" s="540"/>
      <c r="AU367" s="540"/>
      <c r="AV367" s="540"/>
      <c r="AW367" s="1259"/>
      <c r="AX367" s="1259"/>
      <c r="AY367" s="1259"/>
      <c r="AZ367" s="540"/>
      <c r="BA367" s="540"/>
      <c r="BB367" s="540"/>
      <c r="BC367" s="540"/>
      <c r="BD367" s="540"/>
      <c r="BE367" s="540"/>
      <c r="BF367" s="540"/>
      <c r="BG367" s="540"/>
      <c r="BH367" s="540"/>
      <c r="BI367" s="540"/>
      <c r="BJ367" s="540"/>
      <c r="BK367" s="540"/>
      <c r="BL367" s="540"/>
      <c r="BM367" s="540"/>
      <c r="BN367" s="540"/>
      <c r="BO367" s="540"/>
    </row>
    <row r="368" spans="1:67" ht="35.1" customHeight="1" x14ac:dyDescent="0.25">
      <c r="A368" s="3">
        <f t="shared" si="6"/>
        <v>356</v>
      </c>
      <c r="B368" s="1218" t="s">
        <v>162</v>
      </c>
      <c r="C368" s="1218"/>
      <c r="D368" s="1222"/>
      <c r="E368" s="1222"/>
      <c r="F368" s="1222"/>
      <c r="G368" s="1222"/>
      <c r="H368" s="1222"/>
      <c r="I368" s="1219"/>
      <c r="J368" s="1219"/>
      <c r="K368" s="1219"/>
      <c r="L368" s="1219"/>
      <c r="M368" s="1219"/>
      <c r="N368" s="1219"/>
      <c r="O368" s="1219"/>
      <c r="P368" s="1219"/>
      <c r="Q368" s="1220"/>
      <c r="R368" s="1220"/>
      <c r="S368" s="1220"/>
      <c r="T368" s="1220"/>
      <c r="U368" s="1220"/>
      <c r="V368" s="1220"/>
      <c r="W368" s="1220"/>
      <c r="X368" s="1220"/>
      <c r="Y368" s="1219"/>
      <c r="Z368" s="1219"/>
      <c r="AA368" s="1220"/>
      <c r="AB368" s="1220"/>
      <c r="AC368" s="1220"/>
      <c r="AD368" s="1220"/>
      <c r="AE368" s="1219"/>
      <c r="AF368" s="1219"/>
      <c r="AG368" s="1219"/>
      <c r="AH368" s="1220"/>
      <c r="AI368" s="1220"/>
      <c r="AJ368" s="1220"/>
      <c r="AK368" s="1219"/>
      <c r="AL368" s="1219"/>
      <c r="AM368" s="1219"/>
      <c r="AN368" s="1219"/>
      <c r="AO368" s="1220"/>
      <c r="AP368" s="1220"/>
      <c r="AQ368" s="1220"/>
      <c r="AR368" s="1220"/>
      <c r="AS368" s="1220"/>
      <c r="AT368" s="1220"/>
      <c r="AU368" s="1220"/>
      <c r="AV368" s="1220"/>
      <c r="AW368" s="1258"/>
      <c r="AX368" s="1258"/>
      <c r="AY368" s="1258"/>
      <c r="AZ368" s="1220"/>
      <c r="BA368" s="1220"/>
      <c r="BB368" s="1220"/>
      <c r="BC368" s="1220"/>
      <c r="BD368" s="1220"/>
      <c r="BE368" s="1220"/>
      <c r="BF368" s="1220"/>
      <c r="BG368" s="1220"/>
      <c r="BH368" s="1220"/>
      <c r="BI368" s="1220"/>
      <c r="BJ368" s="1220"/>
      <c r="BK368" s="1220"/>
      <c r="BL368" s="1220"/>
      <c r="BM368" s="1220"/>
      <c r="BN368" s="1220"/>
      <c r="BO368" s="1220"/>
    </row>
    <row r="369" spans="1:67" ht="35.1" customHeight="1" x14ac:dyDescent="0.25">
      <c r="A369" s="3">
        <f t="shared" si="6"/>
        <v>357</v>
      </c>
      <c r="B369" s="1218" t="s">
        <v>162</v>
      </c>
      <c r="C369" s="1218"/>
      <c r="D369" s="1221"/>
      <c r="E369" s="1221"/>
      <c r="F369" s="1221"/>
      <c r="G369" s="1221"/>
      <c r="H369" s="1221"/>
      <c r="I369" s="540"/>
      <c r="J369" s="540"/>
      <c r="K369" s="540"/>
      <c r="L369" s="540"/>
      <c r="M369" s="540"/>
      <c r="N369" s="540"/>
      <c r="O369" s="540"/>
      <c r="P369" s="540"/>
      <c r="Q369" s="540"/>
      <c r="R369" s="540"/>
      <c r="S369" s="540"/>
      <c r="T369" s="540"/>
      <c r="U369" s="540"/>
      <c r="V369" s="540"/>
      <c r="W369" s="540"/>
      <c r="X369" s="540"/>
      <c r="Y369" s="540"/>
      <c r="Z369" s="540"/>
      <c r="AA369" s="540"/>
      <c r="AB369" s="540"/>
      <c r="AC369" s="540"/>
      <c r="AD369" s="540"/>
      <c r="AE369" s="540"/>
      <c r="AF369" s="540"/>
      <c r="AG369" s="540"/>
      <c r="AH369" s="540"/>
      <c r="AI369" s="540"/>
      <c r="AJ369" s="540"/>
      <c r="AK369" s="540"/>
      <c r="AL369" s="540"/>
      <c r="AM369" s="540"/>
      <c r="AN369" s="540"/>
      <c r="AO369" s="540"/>
      <c r="AP369" s="540"/>
      <c r="AQ369" s="540"/>
      <c r="AR369" s="540"/>
      <c r="AS369" s="540"/>
      <c r="AT369" s="540"/>
      <c r="AU369" s="540"/>
      <c r="AV369" s="540"/>
      <c r="AW369" s="1259"/>
      <c r="AX369" s="1259"/>
      <c r="AY369" s="1259"/>
      <c r="AZ369" s="540"/>
      <c r="BA369" s="540"/>
      <c r="BB369" s="540"/>
      <c r="BC369" s="540"/>
      <c r="BD369" s="540"/>
      <c r="BE369" s="540"/>
      <c r="BF369" s="540"/>
      <c r="BG369" s="540"/>
      <c r="BH369" s="540"/>
      <c r="BI369" s="540"/>
      <c r="BJ369" s="540"/>
      <c r="BK369" s="540"/>
      <c r="BL369" s="540"/>
      <c r="BM369" s="540"/>
      <c r="BN369" s="540"/>
      <c r="BO369" s="540"/>
    </row>
    <row r="370" spans="1:67" ht="35.1" customHeight="1" x14ac:dyDescent="0.25">
      <c r="A370" s="3">
        <f t="shared" si="6"/>
        <v>358</v>
      </c>
      <c r="B370" s="1218" t="s">
        <v>162</v>
      </c>
      <c r="C370" s="1218"/>
      <c r="D370" s="1222"/>
      <c r="E370" s="1222"/>
      <c r="F370" s="1222"/>
      <c r="G370" s="1222"/>
      <c r="H370" s="1222"/>
      <c r="I370" s="1219"/>
      <c r="J370" s="1219"/>
      <c r="K370" s="1219"/>
      <c r="L370" s="1219"/>
      <c r="M370" s="1219"/>
      <c r="N370" s="1219"/>
      <c r="O370" s="1219"/>
      <c r="P370" s="1219"/>
      <c r="Q370" s="1220"/>
      <c r="R370" s="1220"/>
      <c r="S370" s="1220"/>
      <c r="T370" s="1220"/>
      <c r="U370" s="1220"/>
      <c r="V370" s="1220"/>
      <c r="W370" s="1220"/>
      <c r="X370" s="1220"/>
      <c r="Y370" s="1219"/>
      <c r="Z370" s="1219"/>
      <c r="AA370" s="1220"/>
      <c r="AB370" s="1220"/>
      <c r="AC370" s="1220"/>
      <c r="AD370" s="1220"/>
      <c r="AE370" s="1219"/>
      <c r="AF370" s="1219"/>
      <c r="AG370" s="1219"/>
      <c r="AH370" s="1220"/>
      <c r="AI370" s="1220"/>
      <c r="AJ370" s="1220"/>
      <c r="AK370" s="1219"/>
      <c r="AL370" s="1219"/>
      <c r="AM370" s="1219"/>
      <c r="AN370" s="1219"/>
      <c r="AO370" s="1220"/>
      <c r="AP370" s="1220"/>
      <c r="AQ370" s="1220"/>
      <c r="AR370" s="1220"/>
      <c r="AS370" s="1220"/>
      <c r="AT370" s="1220"/>
      <c r="AU370" s="1220"/>
      <c r="AV370" s="1220"/>
      <c r="AW370" s="1258"/>
      <c r="AX370" s="1258"/>
      <c r="AY370" s="1258"/>
      <c r="AZ370" s="1220"/>
      <c r="BA370" s="1220"/>
      <c r="BB370" s="1220"/>
      <c r="BC370" s="1220"/>
      <c r="BD370" s="1220"/>
      <c r="BE370" s="1220"/>
      <c r="BF370" s="1220"/>
      <c r="BG370" s="1220"/>
      <c r="BH370" s="1220"/>
      <c r="BI370" s="1220"/>
      <c r="BJ370" s="1220"/>
      <c r="BK370" s="1220"/>
      <c r="BL370" s="1220"/>
      <c r="BM370" s="1220"/>
      <c r="BN370" s="1220"/>
      <c r="BO370" s="1220"/>
    </row>
    <row r="371" spans="1:67" ht="35.1" customHeight="1" x14ac:dyDescent="0.25">
      <c r="A371" s="3">
        <f t="shared" si="6"/>
        <v>359</v>
      </c>
      <c r="B371" s="1218" t="s">
        <v>162</v>
      </c>
      <c r="C371" s="1218"/>
      <c r="D371" s="1221"/>
      <c r="E371" s="1221"/>
      <c r="F371" s="1221"/>
      <c r="G371" s="1221"/>
      <c r="H371" s="1221"/>
      <c r="I371" s="540"/>
      <c r="J371" s="540"/>
      <c r="K371" s="540"/>
      <c r="L371" s="540"/>
      <c r="M371" s="540"/>
      <c r="N371" s="540"/>
      <c r="O371" s="540"/>
      <c r="P371" s="540"/>
      <c r="Q371" s="540"/>
      <c r="R371" s="540"/>
      <c r="S371" s="540"/>
      <c r="T371" s="540"/>
      <c r="U371" s="540"/>
      <c r="V371" s="540"/>
      <c r="W371" s="540"/>
      <c r="X371" s="540"/>
      <c r="Y371" s="540"/>
      <c r="Z371" s="540"/>
      <c r="AA371" s="540"/>
      <c r="AB371" s="540"/>
      <c r="AC371" s="540"/>
      <c r="AD371" s="540"/>
      <c r="AE371" s="540"/>
      <c r="AF371" s="540"/>
      <c r="AG371" s="540"/>
      <c r="AH371" s="540"/>
      <c r="AI371" s="540"/>
      <c r="AJ371" s="540"/>
      <c r="AK371" s="540"/>
      <c r="AL371" s="540"/>
      <c r="AM371" s="540"/>
      <c r="AN371" s="540"/>
      <c r="AO371" s="540"/>
      <c r="AP371" s="540"/>
      <c r="AQ371" s="540"/>
      <c r="AR371" s="540"/>
      <c r="AS371" s="540"/>
      <c r="AT371" s="540"/>
      <c r="AU371" s="540"/>
      <c r="AV371" s="540"/>
      <c r="AW371" s="1259"/>
      <c r="AX371" s="1259"/>
      <c r="AY371" s="1259"/>
      <c r="AZ371" s="540"/>
      <c r="BA371" s="540"/>
      <c r="BB371" s="540"/>
      <c r="BC371" s="540"/>
      <c r="BD371" s="540"/>
      <c r="BE371" s="540"/>
      <c r="BF371" s="540"/>
      <c r="BG371" s="540"/>
      <c r="BH371" s="540"/>
      <c r="BI371" s="540"/>
      <c r="BJ371" s="540"/>
      <c r="BK371" s="540"/>
      <c r="BL371" s="540"/>
      <c r="BM371" s="540"/>
      <c r="BN371" s="540"/>
      <c r="BO371" s="540"/>
    </row>
    <row r="372" spans="1:67" ht="35.1" customHeight="1" x14ac:dyDescent="0.25">
      <c r="A372" s="3">
        <f t="shared" si="6"/>
        <v>360</v>
      </c>
      <c r="B372" s="1218" t="s">
        <v>162</v>
      </c>
      <c r="C372" s="1218"/>
      <c r="D372" s="1222"/>
      <c r="E372" s="1222"/>
      <c r="F372" s="1222"/>
      <c r="G372" s="1222"/>
      <c r="H372" s="1222"/>
      <c r="I372" s="1219"/>
      <c r="J372" s="1219"/>
      <c r="K372" s="1219"/>
      <c r="L372" s="1219"/>
      <c r="M372" s="1219"/>
      <c r="N372" s="1219"/>
      <c r="O372" s="1219"/>
      <c r="P372" s="1219"/>
      <c r="Q372" s="1220"/>
      <c r="R372" s="1220"/>
      <c r="S372" s="1220"/>
      <c r="T372" s="1220"/>
      <c r="U372" s="1220"/>
      <c r="V372" s="1220"/>
      <c r="W372" s="1220"/>
      <c r="X372" s="1220"/>
      <c r="Y372" s="1219"/>
      <c r="Z372" s="1219"/>
      <c r="AA372" s="1220"/>
      <c r="AB372" s="1220"/>
      <c r="AC372" s="1220"/>
      <c r="AD372" s="1220"/>
      <c r="AE372" s="1219"/>
      <c r="AF372" s="1219"/>
      <c r="AG372" s="1219"/>
      <c r="AH372" s="1220"/>
      <c r="AI372" s="1220"/>
      <c r="AJ372" s="1220"/>
      <c r="AK372" s="1219"/>
      <c r="AL372" s="1219"/>
      <c r="AM372" s="1219"/>
      <c r="AN372" s="1219"/>
      <c r="AO372" s="1220"/>
      <c r="AP372" s="1220"/>
      <c r="AQ372" s="1220"/>
      <c r="AR372" s="1220"/>
      <c r="AS372" s="1220"/>
      <c r="AT372" s="1220"/>
      <c r="AU372" s="1220"/>
      <c r="AV372" s="1220"/>
      <c r="AW372" s="1258"/>
      <c r="AX372" s="1258"/>
      <c r="AY372" s="1258"/>
      <c r="AZ372" s="1220"/>
      <c r="BA372" s="1220"/>
      <c r="BB372" s="1220"/>
      <c r="BC372" s="1220"/>
      <c r="BD372" s="1220"/>
      <c r="BE372" s="1220"/>
      <c r="BF372" s="1220"/>
      <c r="BG372" s="1220"/>
      <c r="BH372" s="1220"/>
      <c r="BI372" s="1220"/>
      <c r="BJ372" s="1220"/>
      <c r="BK372" s="1220"/>
      <c r="BL372" s="1220"/>
      <c r="BM372" s="1220"/>
      <c r="BN372" s="1220"/>
      <c r="BO372" s="1220"/>
    </row>
    <row r="373" spans="1:67" ht="35.1" customHeight="1" x14ac:dyDescent="0.25">
      <c r="A373" s="3">
        <f t="shared" si="6"/>
        <v>361</v>
      </c>
      <c r="B373" s="1218" t="s">
        <v>162</v>
      </c>
      <c r="C373" s="1218"/>
      <c r="D373" s="1221"/>
      <c r="E373" s="1221"/>
      <c r="F373" s="1221"/>
      <c r="G373" s="1221"/>
      <c r="H373" s="1221"/>
      <c r="I373" s="540"/>
      <c r="J373" s="540"/>
      <c r="K373" s="540"/>
      <c r="L373" s="540"/>
      <c r="M373" s="540"/>
      <c r="N373" s="540"/>
      <c r="O373" s="540"/>
      <c r="P373" s="540"/>
      <c r="Q373" s="540"/>
      <c r="R373" s="540"/>
      <c r="S373" s="540"/>
      <c r="T373" s="540"/>
      <c r="U373" s="540"/>
      <c r="V373" s="540"/>
      <c r="W373" s="540"/>
      <c r="X373" s="540"/>
      <c r="Y373" s="540"/>
      <c r="Z373" s="540"/>
      <c r="AA373" s="540"/>
      <c r="AB373" s="540"/>
      <c r="AC373" s="540"/>
      <c r="AD373" s="540"/>
      <c r="AE373" s="540"/>
      <c r="AF373" s="540"/>
      <c r="AG373" s="540"/>
      <c r="AH373" s="540"/>
      <c r="AI373" s="540"/>
      <c r="AJ373" s="540"/>
      <c r="AK373" s="540"/>
      <c r="AL373" s="540"/>
      <c r="AM373" s="540"/>
      <c r="AN373" s="540"/>
      <c r="AO373" s="540"/>
      <c r="AP373" s="540"/>
      <c r="AQ373" s="540"/>
      <c r="AR373" s="540"/>
      <c r="AS373" s="540"/>
      <c r="AT373" s="540"/>
      <c r="AU373" s="540"/>
      <c r="AV373" s="540"/>
      <c r="AW373" s="1259"/>
      <c r="AX373" s="1259"/>
      <c r="AY373" s="1259"/>
      <c r="AZ373" s="540"/>
      <c r="BA373" s="540"/>
      <c r="BB373" s="540"/>
      <c r="BC373" s="540"/>
      <c r="BD373" s="540"/>
      <c r="BE373" s="540"/>
      <c r="BF373" s="540"/>
      <c r="BG373" s="540"/>
      <c r="BH373" s="540"/>
      <c r="BI373" s="540"/>
      <c r="BJ373" s="540"/>
      <c r="BK373" s="540"/>
      <c r="BL373" s="540"/>
      <c r="BM373" s="540"/>
      <c r="BN373" s="540"/>
      <c r="BO373" s="540"/>
    </row>
    <row r="374" spans="1:67" ht="35.1" customHeight="1" x14ac:dyDescent="0.25">
      <c r="A374" s="3">
        <f t="shared" si="6"/>
        <v>362</v>
      </c>
      <c r="B374" s="1235" t="s">
        <v>162</v>
      </c>
      <c r="C374" s="1235"/>
      <c r="D374" s="1222"/>
      <c r="E374" s="1222"/>
      <c r="F374" s="1222"/>
      <c r="G374" s="1222"/>
      <c r="H374" s="1222"/>
      <c r="I374" s="1219"/>
      <c r="J374" s="1219"/>
      <c r="K374" s="1219"/>
      <c r="L374" s="1219"/>
      <c r="M374" s="1219"/>
      <c r="N374" s="1219"/>
      <c r="O374" s="1219"/>
      <c r="P374" s="1219"/>
      <c r="Q374" s="1220"/>
      <c r="R374" s="1220"/>
      <c r="S374" s="1220"/>
      <c r="T374" s="1220"/>
      <c r="U374" s="1220"/>
      <c r="V374" s="1220"/>
      <c r="W374" s="1220"/>
      <c r="X374" s="1220"/>
      <c r="Y374" s="1219"/>
      <c r="Z374" s="1219"/>
      <c r="AA374" s="1220"/>
      <c r="AB374" s="1220"/>
      <c r="AC374" s="1220"/>
      <c r="AD374" s="1220"/>
      <c r="AE374" s="1219"/>
      <c r="AF374" s="1219"/>
      <c r="AG374" s="1219"/>
      <c r="AH374" s="1220"/>
      <c r="AI374" s="1220"/>
      <c r="AJ374" s="1220"/>
      <c r="AK374" s="1219"/>
      <c r="AL374" s="1219"/>
      <c r="AM374" s="1219"/>
      <c r="AN374" s="1219"/>
      <c r="AO374" s="1220"/>
      <c r="AP374" s="1220"/>
      <c r="AQ374" s="1220"/>
      <c r="AR374" s="1220"/>
      <c r="AS374" s="1220"/>
      <c r="AT374" s="1220"/>
      <c r="AU374" s="1220"/>
      <c r="AV374" s="1220"/>
      <c r="AW374" s="1258"/>
      <c r="AX374" s="1258"/>
      <c r="AY374" s="1258"/>
      <c r="AZ374" s="1220"/>
      <c r="BA374" s="1220"/>
      <c r="BB374" s="1220"/>
      <c r="BC374" s="1220"/>
      <c r="BD374" s="1220"/>
      <c r="BE374" s="1220"/>
      <c r="BF374" s="1220"/>
      <c r="BG374" s="1220"/>
      <c r="BH374" s="1220"/>
      <c r="BI374" s="1220"/>
      <c r="BJ374" s="1220"/>
      <c r="BK374" s="1220"/>
      <c r="BL374" s="1220"/>
      <c r="BM374" s="1220"/>
      <c r="BN374" s="1220"/>
      <c r="BO374" s="1220"/>
    </row>
    <row r="375" spans="1:67" ht="35.1" customHeight="1" x14ac:dyDescent="0.25">
      <c r="A375" s="3">
        <f t="shared" si="6"/>
        <v>363</v>
      </c>
      <c r="B375" s="1218" t="s">
        <v>162</v>
      </c>
      <c r="C375" s="1218"/>
      <c r="D375" s="1221"/>
      <c r="E375" s="1221"/>
      <c r="F375" s="1221"/>
      <c r="G375" s="1221"/>
      <c r="H375" s="1221"/>
      <c r="I375" s="540"/>
      <c r="J375" s="540"/>
      <c r="K375" s="540"/>
      <c r="L375" s="540"/>
      <c r="M375" s="540"/>
      <c r="N375" s="540"/>
      <c r="O375" s="540"/>
      <c r="P375" s="540"/>
      <c r="Q375" s="540"/>
      <c r="R375" s="540"/>
      <c r="S375" s="540"/>
      <c r="T375" s="540"/>
      <c r="U375" s="540"/>
      <c r="V375" s="540"/>
      <c r="W375" s="540"/>
      <c r="X375" s="540"/>
      <c r="Y375" s="540"/>
      <c r="Z375" s="540"/>
      <c r="AA375" s="540"/>
      <c r="AB375" s="540"/>
      <c r="AC375" s="540"/>
      <c r="AD375" s="540"/>
      <c r="AE375" s="540"/>
      <c r="AF375" s="540"/>
      <c r="AG375" s="540"/>
      <c r="AH375" s="540"/>
      <c r="AI375" s="540"/>
      <c r="AJ375" s="540"/>
      <c r="AK375" s="540"/>
      <c r="AL375" s="540"/>
      <c r="AM375" s="540"/>
      <c r="AN375" s="540"/>
      <c r="AO375" s="540"/>
      <c r="AP375" s="540"/>
      <c r="AQ375" s="540"/>
      <c r="AR375" s="540"/>
      <c r="AS375" s="540"/>
      <c r="AT375" s="540"/>
      <c r="AU375" s="540"/>
      <c r="AV375" s="540"/>
      <c r="AW375" s="1259"/>
      <c r="AX375" s="1259"/>
      <c r="AY375" s="1259"/>
      <c r="AZ375" s="540"/>
      <c r="BA375" s="540"/>
      <c r="BB375" s="540"/>
      <c r="BC375" s="540"/>
      <c r="BD375" s="540"/>
      <c r="BE375" s="540"/>
      <c r="BF375" s="540"/>
      <c r="BG375" s="540"/>
      <c r="BH375" s="540"/>
      <c r="BI375" s="540"/>
      <c r="BJ375" s="540"/>
      <c r="BK375" s="540"/>
      <c r="BL375" s="540"/>
      <c r="BM375" s="540"/>
      <c r="BN375" s="540"/>
      <c r="BO375" s="540"/>
    </row>
    <row r="376" spans="1:67" ht="35.1" customHeight="1" x14ac:dyDescent="0.25">
      <c r="A376" s="3">
        <f t="shared" si="6"/>
        <v>364</v>
      </c>
      <c r="B376" s="1218" t="s">
        <v>162</v>
      </c>
      <c r="C376" s="1218"/>
      <c r="D376" s="1222"/>
      <c r="E376" s="1222"/>
      <c r="F376" s="1222"/>
      <c r="G376" s="1222"/>
      <c r="H376" s="1222"/>
      <c r="I376" s="1219"/>
      <c r="J376" s="1219"/>
      <c r="K376" s="1219"/>
      <c r="L376" s="1219"/>
      <c r="M376" s="1219"/>
      <c r="N376" s="1219"/>
      <c r="O376" s="1219"/>
      <c r="P376" s="1219"/>
      <c r="Q376" s="1220"/>
      <c r="R376" s="1220"/>
      <c r="S376" s="1220"/>
      <c r="T376" s="1220"/>
      <c r="U376" s="1220"/>
      <c r="V376" s="1220"/>
      <c r="W376" s="1220"/>
      <c r="X376" s="1220"/>
      <c r="Y376" s="1219"/>
      <c r="Z376" s="1219"/>
      <c r="AA376" s="1220"/>
      <c r="AB376" s="1220"/>
      <c r="AC376" s="1220"/>
      <c r="AD376" s="1220"/>
      <c r="AE376" s="1219"/>
      <c r="AF376" s="1219"/>
      <c r="AG376" s="1219"/>
      <c r="AH376" s="1220"/>
      <c r="AI376" s="1220"/>
      <c r="AJ376" s="1220"/>
      <c r="AK376" s="1219"/>
      <c r="AL376" s="1219"/>
      <c r="AM376" s="1219"/>
      <c r="AN376" s="1219"/>
      <c r="AO376" s="1220"/>
      <c r="AP376" s="1220"/>
      <c r="AQ376" s="1220"/>
      <c r="AR376" s="1220"/>
      <c r="AS376" s="1220"/>
      <c r="AT376" s="1220"/>
      <c r="AU376" s="1220"/>
      <c r="AV376" s="1220"/>
      <c r="AW376" s="1258"/>
      <c r="AX376" s="1258"/>
      <c r="AY376" s="1258"/>
      <c r="AZ376" s="1220"/>
      <c r="BA376" s="1220"/>
      <c r="BB376" s="1220"/>
      <c r="BC376" s="1220"/>
      <c r="BD376" s="1220"/>
      <c r="BE376" s="1220"/>
      <c r="BF376" s="1220"/>
      <c r="BG376" s="1220"/>
      <c r="BH376" s="1220"/>
      <c r="BI376" s="1220"/>
      <c r="BJ376" s="1220"/>
      <c r="BK376" s="1220"/>
      <c r="BL376" s="1220"/>
      <c r="BM376" s="1220"/>
      <c r="BN376" s="1220"/>
      <c r="BO376" s="1220"/>
    </row>
    <row r="377" spans="1:67" ht="35.1" customHeight="1" x14ac:dyDescent="0.25">
      <c r="A377" s="3">
        <f t="shared" si="6"/>
        <v>365</v>
      </c>
      <c r="B377" s="1218" t="s">
        <v>162</v>
      </c>
      <c r="C377" s="1218"/>
      <c r="D377" s="1221"/>
      <c r="E377" s="1221"/>
      <c r="F377" s="1221"/>
      <c r="G377" s="1221"/>
      <c r="H377" s="1221"/>
      <c r="I377" s="540"/>
      <c r="J377" s="540"/>
      <c r="K377" s="540"/>
      <c r="L377" s="540"/>
      <c r="M377" s="540"/>
      <c r="N377" s="540"/>
      <c r="O377" s="540"/>
      <c r="P377" s="540"/>
      <c r="Q377" s="540"/>
      <c r="R377" s="540"/>
      <c r="S377" s="540"/>
      <c r="T377" s="540"/>
      <c r="U377" s="540"/>
      <c r="V377" s="540"/>
      <c r="W377" s="540"/>
      <c r="X377" s="540"/>
      <c r="Y377" s="540"/>
      <c r="Z377" s="540"/>
      <c r="AA377" s="540"/>
      <c r="AB377" s="540"/>
      <c r="AC377" s="540"/>
      <c r="AD377" s="540"/>
      <c r="AE377" s="540"/>
      <c r="AF377" s="540"/>
      <c r="AG377" s="540"/>
      <c r="AH377" s="540"/>
      <c r="AI377" s="540"/>
      <c r="AJ377" s="540"/>
      <c r="AK377" s="540"/>
      <c r="AL377" s="540"/>
      <c r="AM377" s="540"/>
      <c r="AN377" s="540"/>
      <c r="AO377" s="540"/>
      <c r="AP377" s="540"/>
      <c r="AQ377" s="540"/>
      <c r="AR377" s="540"/>
      <c r="AS377" s="540"/>
      <c r="AT377" s="540"/>
      <c r="AU377" s="540"/>
      <c r="AV377" s="540"/>
      <c r="AW377" s="1259"/>
      <c r="AX377" s="1259"/>
      <c r="AY377" s="1259"/>
      <c r="AZ377" s="540"/>
      <c r="BA377" s="540"/>
      <c r="BB377" s="540"/>
      <c r="BC377" s="540"/>
      <c r="BD377" s="540"/>
      <c r="BE377" s="540"/>
      <c r="BF377" s="540"/>
      <c r="BG377" s="540"/>
      <c r="BH377" s="540"/>
      <c r="BI377" s="540"/>
      <c r="BJ377" s="540"/>
      <c r="BK377" s="540"/>
      <c r="BL377" s="540"/>
      <c r="BM377" s="540"/>
      <c r="BN377" s="540"/>
      <c r="BO377" s="540"/>
    </row>
    <row r="378" spans="1:67" ht="35.1" customHeight="1" x14ac:dyDescent="0.25">
      <c r="A378" s="3">
        <f t="shared" si="6"/>
        <v>366</v>
      </c>
      <c r="B378" s="1218" t="s">
        <v>162</v>
      </c>
      <c r="C378" s="1218"/>
      <c r="D378" s="1222"/>
      <c r="E378" s="1222"/>
      <c r="F378" s="1222"/>
      <c r="G378" s="1222"/>
      <c r="H378" s="1222"/>
      <c r="I378" s="1219"/>
      <c r="J378" s="1219"/>
      <c r="K378" s="1219"/>
      <c r="L378" s="1219"/>
      <c r="M378" s="1219"/>
      <c r="N378" s="1219"/>
      <c r="O378" s="1219"/>
      <c r="P378" s="1219"/>
      <c r="Q378" s="1220"/>
      <c r="R378" s="1220"/>
      <c r="S378" s="1220"/>
      <c r="T378" s="1220"/>
      <c r="U378" s="1220"/>
      <c r="V378" s="1220"/>
      <c r="W378" s="1220"/>
      <c r="X378" s="1220"/>
      <c r="Y378" s="1219"/>
      <c r="Z378" s="1219"/>
      <c r="AA378" s="1220"/>
      <c r="AB378" s="1220"/>
      <c r="AC378" s="1220"/>
      <c r="AD378" s="1220"/>
      <c r="AE378" s="1219"/>
      <c r="AF378" s="1219"/>
      <c r="AG378" s="1219"/>
      <c r="AH378" s="1220"/>
      <c r="AI378" s="1220"/>
      <c r="AJ378" s="1220"/>
      <c r="AK378" s="1219"/>
      <c r="AL378" s="1219"/>
      <c r="AM378" s="1219"/>
      <c r="AN378" s="1219"/>
      <c r="AO378" s="1220"/>
      <c r="AP378" s="1220"/>
      <c r="AQ378" s="1220"/>
      <c r="AR378" s="1220"/>
      <c r="AS378" s="1220"/>
      <c r="AT378" s="1220"/>
      <c r="AU378" s="1220"/>
      <c r="AV378" s="1220"/>
      <c r="AW378" s="1258"/>
      <c r="AX378" s="1258"/>
      <c r="AY378" s="1258"/>
      <c r="AZ378" s="1220"/>
      <c r="BA378" s="1220"/>
      <c r="BB378" s="1220"/>
      <c r="BC378" s="1220"/>
      <c r="BD378" s="1220"/>
      <c r="BE378" s="1220"/>
      <c r="BF378" s="1220"/>
      <c r="BG378" s="1220"/>
      <c r="BH378" s="1220"/>
      <c r="BI378" s="1220"/>
      <c r="BJ378" s="1220"/>
      <c r="BK378" s="1220"/>
      <c r="BL378" s="1220"/>
      <c r="BM378" s="1220"/>
      <c r="BN378" s="1220"/>
      <c r="BO378" s="1220"/>
    </row>
    <row r="379" spans="1:67" ht="35.1" customHeight="1" x14ac:dyDescent="0.25">
      <c r="A379" s="3">
        <f t="shared" si="6"/>
        <v>367</v>
      </c>
      <c r="B379" s="1218" t="s">
        <v>162</v>
      </c>
      <c r="C379" s="1218"/>
      <c r="D379" s="1221"/>
      <c r="E379" s="1221"/>
      <c r="F379" s="1221"/>
      <c r="G379" s="1221"/>
      <c r="H379" s="1221"/>
      <c r="I379" s="540"/>
      <c r="J379" s="540"/>
      <c r="K379" s="540"/>
      <c r="L379" s="540"/>
      <c r="M379" s="540"/>
      <c r="N379" s="540"/>
      <c r="O379" s="540"/>
      <c r="P379" s="540"/>
      <c r="Q379" s="540"/>
      <c r="R379" s="540"/>
      <c r="S379" s="540"/>
      <c r="T379" s="540"/>
      <c r="U379" s="540"/>
      <c r="V379" s="540"/>
      <c r="W379" s="540"/>
      <c r="X379" s="540"/>
      <c r="Y379" s="540"/>
      <c r="Z379" s="540"/>
      <c r="AA379" s="540"/>
      <c r="AB379" s="540"/>
      <c r="AC379" s="540"/>
      <c r="AD379" s="540"/>
      <c r="AE379" s="540"/>
      <c r="AF379" s="540"/>
      <c r="AG379" s="540"/>
      <c r="AH379" s="540"/>
      <c r="AI379" s="540"/>
      <c r="AJ379" s="540"/>
      <c r="AK379" s="540"/>
      <c r="AL379" s="540"/>
      <c r="AM379" s="540"/>
      <c r="AN379" s="540"/>
      <c r="AO379" s="540"/>
      <c r="AP379" s="540"/>
      <c r="AQ379" s="540"/>
      <c r="AR379" s="540"/>
      <c r="AS379" s="540"/>
      <c r="AT379" s="540"/>
      <c r="AU379" s="540"/>
      <c r="AV379" s="540"/>
      <c r="AW379" s="1259"/>
      <c r="AX379" s="1259"/>
      <c r="AY379" s="1259"/>
      <c r="AZ379" s="540"/>
      <c r="BA379" s="540"/>
      <c r="BB379" s="540"/>
      <c r="BC379" s="540"/>
      <c r="BD379" s="540"/>
      <c r="BE379" s="540"/>
      <c r="BF379" s="540"/>
      <c r="BG379" s="540"/>
      <c r="BH379" s="540"/>
      <c r="BI379" s="540"/>
      <c r="BJ379" s="540"/>
      <c r="BK379" s="540"/>
      <c r="BL379" s="540"/>
      <c r="BM379" s="540"/>
      <c r="BN379" s="540"/>
      <c r="BO379" s="540"/>
    </row>
    <row r="380" spans="1:67" ht="35.1" customHeight="1" x14ac:dyDescent="0.25">
      <c r="A380" s="3">
        <f t="shared" si="6"/>
        <v>368</v>
      </c>
      <c r="B380" s="1218" t="s">
        <v>162</v>
      </c>
      <c r="C380" s="1218"/>
      <c r="D380" s="1222"/>
      <c r="E380" s="1222"/>
      <c r="F380" s="1222"/>
      <c r="G380" s="1222"/>
      <c r="H380" s="1222"/>
      <c r="I380" s="1219"/>
      <c r="J380" s="1219"/>
      <c r="K380" s="1219"/>
      <c r="L380" s="1219"/>
      <c r="M380" s="1219"/>
      <c r="N380" s="1219"/>
      <c r="O380" s="1219"/>
      <c r="P380" s="1219"/>
      <c r="Q380" s="1220"/>
      <c r="R380" s="1220"/>
      <c r="S380" s="1220"/>
      <c r="T380" s="1220"/>
      <c r="U380" s="1220"/>
      <c r="V380" s="1220"/>
      <c r="W380" s="1220"/>
      <c r="X380" s="1220"/>
      <c r="Y380" s="1219"/>
      <c r="Z380" s="1219"/>
      <c r="AA380" s="1220"/>
      <c r="AB380" s="1220"/>
      <c r="AC380" s="1220"/>
      <c r="AD380" s="1220"/>
      <c r="AE380" s="1219"/>
      <c r="AF380" s="1219"/>
      <c r="AG380" s="1219"/>
      <c r="AH380" s="1220"/>
      <c r="AI380" s="1220"/>
      <c r="AJ380" s="1220"/>
      <c r="AK380" s="1219"/>
      <c r="AL380" s="1219"/>
      <c r="AM380" s="1219"/>
      <c r="AN380" s="1219"/>
      <c r="AO380" s="1220"/>
      <c r="AP380" s="1220"/>
      <c r="AQ380" s="1220"/>
      <c r="AR380" s="1220"/>
      <c r="AS380" s="1220"/>
      <c r="AT380" s="1220"/>
      <c r="AU380" s="1220"/>
      <c r="AV380" s="1220"/>
      <c r="AW380" s="1258"/>
      <c r="AX380" s="1258"/>
      <c r="AY380" s="1258"/>
      <c r="AZ380" s="1220"/>
      <c r="BA380" s="1220"/>
      <c r="BB380" s="1220"/>
      <c r="BC380" s="1220"/>
      <c r="BD380" s="1220"/>
      <c r="BE380" s="1220"/>
      <c r="BF380" s="1220"/>
      <c r="BG380" s="1220"/>
      <c r="BH380" s="1220"/>
      <c r="BI380" s="1220"/>
      <c r="BJ380" s="1220"/>
      <c r="BK380" s="1220"/>
      <c r="BL380" s="1220"/>
      <c r="BM380" s="1220"/>
      <c r="BN380" s="1220"/>
      <c r="BO380" s="1220"/>
    </row>
    <row r="381" spans="1:67" ht="35.1" customHeight="1" x14ac:dyDescent="0.25">
      <c r="A381" s="3">
        <f t="shared" si="6"/>
        <v>369</v>
      </c>
      <c r="B381" s="1218" t="s">
        <v>162</v>
      </c>
      <c r="C381" s="1218"/>
      <c r="D381" s="1221"/>
      <c r="E381" s="1221"/>
      <c r="F381" s="1221"/>
      <c r="G381" s="1221"/>
      <c r="H381" s="1221"/>
      <c r="I381" s="540"/>
      <c r="J381" s="540"/>
      <c r="K381" s="540"/>
      <c r="L381" s="540"/>
      <c r="M381" s="540"/>
      <c r="N381" s="540"/>
      <c r="O381" s="540"/>
      <c r="P381" s="540"/>
      <c r="Q381" s="540"/>
      <c r="R381" s="540"/>
      <c r="S381" s="540"/>
      <c r="T381" s="540"/>
      <c r="U381" s="540"/>
      <c r="V381" s="540"/>
      <c r="W381" s="540"/>
      <c r="X381" s="540"/>
      <c r="Y381" s="540"/>
      <c r="Z381" s="540"/>
      <c r="AA381" s="540"/>
      <c r="AB381" s="540"/>
      <c r="AC381" s="540"/>
      <c r="AD381" s="540"/>
      <c r="AE381" s="540"/>
      <c r="AF381" s="540"/>
      <c r="AG381" s="540"/>
      <c r="AH381" s="540"/>
      <c r="AI381" s="540"/>
      <c r="AJ381" s="540"/>
      <c r="AK381" s="540"/>
      <c r="AL381" s="540"/>
      <c r="AM381" s="540"/>
      <c r="AN381" s="540"/>
      <c r="AO381" s="540"/>
      <c r="AP381" s="540"/>
      <c r="AQ381" s="540"/>
      <c r="AR381" s="540"/>
      <c r="AS381" s="540"/>
      <c r="AT381" s="540"/>
      <c r="AU381" s="540"/>
      <c r="AV381" s="540"/>
      <c r="AW381" s="1259"/>
      <c r="AX381" s="1259"/>
      <c r="AY381" s="1259"/>
      <c r="AZ381" s="540"/>
      <c r="BA381" s="540"/>
      <c r="BB381" s="540"/>
      <c r="BC381" s="540"/>
      <c r="BD381" s="540"/>
      <c r="BE381" s="540"/>
      <c r="BF381" s="540"/>
      <c r="BG381" s="540"/>
      <c r="BH381" s="540"/>
      <c r="BI381" s="540"/>
      <c r="BJ381" s="540"/>
      <c r="BK381" s="540"/>
      <c r="BL381" s="540"/>
      <c r="BM381" s="540"/>
      <c r="BN381" s="540"/>
      <c r="BO381" s="540"/>
    </row>
    <row r="382" spans="1:67" ht="35.1" customHeight="1" x14ac:dyDescent="0.25">
      <c r="A382" s="3">
        <f t="shared" si="6"/>
        <v>370</v>
      </c>
      <c r="B382" s="1218" t="s">
        <v>162</v>
      </c>
      <c r="C382" s="1218"/>
      <c r="D382" s="1222"/>
      <c r="E382" s="1222"/>
      <c r="F382" s="1222"/>
      <c r="G382" s="1222"/>
      <c r="H382" s="1222"/>
      <c r="I382" s="1219"/>
      <c r="J382" s="1219"/>
      <c r="K382" s="1219"/>
      <c r="L382" s="1219"/>
      <c r="M382" s="1219"/>
      <c r="N382" s="1219"/>
      <c r="O382" s="1219"/>
      <c r="P382" s="1219"/>
      <c r="Q382" s="1220"/>
      <c r="R382" s="1220"/>
      <c r="S382" s="1220"/>
      <c r="T382" s="1220"/>
      <c r="U382" s="1220"/>
      <c r="V382" s="1220"/>
      <c r="W382" s="1220"/>
      <c r="X382" s="1220"/>
      <c r="Y382" s="1219"/>
      <c r="Z382" s="1219"/>
      <c r="AA382" s="1220"/>
      <c r="AB382" s="1220"/>
      <c r="AC382" s="1220"/>
      <c r="AD382" s="1220"/>
      <c r="AE382" s="1219"/>
      <c r="AF382" s="1219"/>
      <c r="AG382" s="1219"/>
      <c r="AH382" s="1220"/>
      <c r="AI382" s="1220"/>
      <c r="AJ382" s="1220"/>
      <c r="AK382" s="1219"/>
      <c r="AL382" s="1219"/>
      <c r="AM382" s="1219"/>
      <c r="AN382" s="1219"/>
      <c r="AO382" s="1220"/>
      <c r="AP382" s="1220"/>
      <c r="AQ382" s="1220"/>
      <c r="AR382" s="1220"/>
      <c r="AS382" s="1220"/>
      <c r="AT382" s="1220"/>
      <c r="AU382" s="1220"/>
      <c r="AV382" s="1220"/>
      <c r="AW382" s="1258"/>
      <c r="AX382" s="1258"/>
      <c r="AY382" s="1258"/>
      <c r="AZ382" s="1220"/>
      <c r="BA382" s="1220"/>
      <c r="BB382" s="1220"/>
      <c r="BC382" s="1220"/>
      <c r="BD382" s="1220"/>
      <c r="BE382" s="1220"/>
      <c r="BF382" s="1220"/>
      <c r="BG382" s="1220"/>
      <c r="BH382" s="1220"/>
      <c r="BI382" s="1220"/>
      <c r="BJ382" s="1220"/>
      <c r="BK382" s="1220"/>
      <c r="BL382" s="1220"/>
      <c r="BM382" s="1220"/>
      <c r="BN382" s="1220"/>
      <c r="BO382" s="1220"/>
    </row>
    <row r="383" spans="1:67" ht="35.1" customHeight="1" x14ac:dyDescent="0.25">
      <c r="A383" s="3">
        <f t="shared" si="6"/>
        <v>371</v>
      </c>
      <c r="B383" s="1218" t="s">
        <v>162</v>
      </c>
      <c r="C383" s="1218"/>
      <c r="D383" s="1221"/>
      <c r="E383" s="1221"/>
      <c r="F383" s="1221"/>
      <c r="G383" s="1221"/>
      <c r="H383" s="1221"/>
      <c r="I383" s="540"/>
      <c r="J383" s="540"/>
      <c r="K383" s="540"/>
      <c r="L383" s="540"/>
      <c r="M383" s="540"/>
      <c r="N383" s="540"/>
      <c r="O383" s="540"/>
      <c r="P383" s="540"/>
      <c r="Q383" s="540"/>
      <c r="R383" s="540"/>
      <c r="S383" s="540"/>
      <c r="T383" s="540"/>
      <c r="U383" s="540"/>
      <c r="V383" s="540"/>
      <c r="W383" s="540"/>
      <c r="X383" s="540"/>
      <c r="Y383" s="540"/>
      <c r="Z383" s="540"/>
      <c r="AA383" s="540"/>
      <c r="AB383" s="540"/>
      <c r="AC383" s="540"/>
      <c r="AD383" s="540"/>
      <c r="AE383" s="540"/>
      <c r="AF383" s="540"/>
      <c r="AG383" s="540"/>
      <c r="AH383" s="540"/>
      <c r="AI383" s="540"/>
      <c r="AJ383" s="540"/>
      <c r="AK383" s="540"/>
      <c r="AL383" s="540"/>
      <c r="AM383" s="540"/>
      <c r="AN383" s="540"/>
      <c r="AO383" s="540"/>
      <c r="AP383" s="540"/>
      <c r="AQ383" s="540"/>
      <c r="AR383" s="540"/>
      <c r="AS383" s="540"/>
      <c r="AT383" s="540"/>
      <c r="AU383" s="540"/>
      <c r="AV383" s="540"/>
      <c r="AW383" s="1259"/>
      <c r="AX383" s="1259"/>
      <c r="AY383" s="1259"/>
      <c r="AZ383" s="540"/>
      <c r="BA383" s="540"/>
      <c r="BB383" s="540"/>
      <c r="BC383" s="540"/>
      <c r="BD383" s="540"/>
      <c r="BE383" s="540"/>
      <c r="BF383" s="540"/>
      <c r="BG383" s="540"/>
      <c r="BH383" s="540"/>
      <c r="BI383" s="540"/>
      <c r="BJ383" s="540"/>
      <c r="BK383" s="540"/>
      <c r="BL383" s="540"/>
      <c r="BM383" s="540"/>
      <c r="BN383" s="540"/>
      <c r="BO383" s="540"/>
    </row>
    <row r="384" spans="1:67" ht="35.1" customHeight="1" x14ac:dyDescent="0.25">
      <c r="A384" s="3">
        <f t="shared" si="6"/>
        <v>372</v>
      </c>
      <c r="B384" s="1218" t="s">
        <v>162</v>
      </c>
      <c r="C384" s="1218"/>
      <c r="D384" s="1222"/>
      <c r="E384" s="1222"/>
      <c r="F384" s="1222"/>
      <c r="G384" s="1222"/>
      <c r="H384" s="1222"/>
      <c r="I384" s="1219"/>
      <c r="J384" s="1219"/>
      <c r="K384" s="1219"/>
      <c r="L384" s="1219"/>
      <c r="M384" s="1219"/>
      <c r="N384" s="1219"/>
      <c r="O384" s="1219"/>
      <c r="P384" s="1219"/>
      <c r="Q384" s="1220"/>
      <c r="R384" s="1220"/>
      <c r="S384" s="1220"/>
      <c r="T384" s="1220"/>
      <c r="U384" s="1220"/>
      <c r="V384" s="1220"/>
      <c r="W384" s="1220"/>
      <c r="X384" s="1220"/>
      <c r="Y384" s="1219"/>
      <c r="Z384" s="1219"/>
      <c r="AA384" s="1220"/>
      <c r="AB384" s="1220"/>
      <c r="AC384" s="1220"/>
      <c r="AD384" s="1220"/>
      <c r="AE384" s="1219"/>
      <c r="AF384" s="1219"/>
      <c r="AG384" s="1219"/>
      <c r="AH384" s="1220"/>
      <c r="AI384" s="1220"/>
      <c r="AJ384" s="1220"/>
      <c r="AK384" s="1219"/>
      <c r="AL384" s="1219"/>
      <c r="AM384" s="1219"/>
      <c r="AN384" s="1219"/>
      <c r="AO384" s="1220"/>
      <c r="AP384" s="1220"/>
      <c r="AQ384" s="1220"/>
      <c r="AR384" s="1220"/>
      <c r="AS384" s="1220"/>
      <c r="AT384" s="1220"/>
      <c r="AU384" s="1220"/>
      <c r="AV384" s="1220"/>
      <c r="AW384" s="1258"/>
      <c r="AX384" s="1258"/>
      <c r="AY384" s="1258"/>
      <c r="AZ384" s="1220"/>
      <c r="BA384" s="1220"/>
      <c r="BB384" s="1220"/>
      <c r="BC384" s="1220"/>
      <c r="BD384" s="1220"/>
      <c r="BE384" s="1220"/>
      <c r="BF384" s="1220"/>
      <c r="BG384" s="1220"/>
      <c r="BH384" s="1220"/>
      <c r="BI384" s="1220"/>
      <c r="BJ384" s="1220"/>
      <c r="BK384" s="1220"/>
      <c r="BL384" s="1220"/>
      <c r="BM384" s="1220"/>
      <c r="BN384" s="1220"/>
      <c r="BO384" s="1220"/>
    </row>
    <row r="385" spans="1:67" ht="35.1" customHeight="1" x14ac:dyDescent="0.25">
      <c r="A385" s="3">
        <f t="shared" si="6"/>
        <v>373</v>
      </c>
      <c r="B385" s="1218" t="s">
        <v>162</v>
      </c>
      <c r="C385" s="1218"/>
      <c r="D385" s="1221"/>
      <c r="E385" s="1221"/>
      <c r="F385" s="1221"/>
      <c r="G385" s="1221"/>
      <c r="H385" s="1221"/>
      <c r="I385" s="540"/>
      <c r="J385" s="540"/>
      <c r="K385" s="540"/>
      <c r="L385" s="540"/>
      <c r="M385" s="540"/>
      <c r="N385" s="540"/>
      <c r="O385" s="540"/>
      <c r="P385" s="540"/>
      <c r="Q385" s="540"/>
      <c r="R385" s="540"/>
      <c r="S385" s="540"/>
      <c r="T385" s="540"/>
      <c r="U385" s="540"/>
      <c r="V385" s="540"/>
      <c r="W385" s="540"/>
      <c r="X385" s="540"/>
      <c r="Y385" s="540"/>
      <c r="Z385" s="540"/>
      <c r="AA385" s="540"/>
      <c r="AB385" s="540"/>
      <c r="AC385" s="540"/>
      <c r="AD385" s="540"/>
      <c r="AE385" s="540"/>
      <c r="AF385" s="540"/>
      <c r="AG385" s="540"/>
      <c r="AH385" s="540"/>
      <c r="AI385" s="540"/>
      <c r="AJ385" s="540"/>
      <c r="AK385" s="540"/>
      <c r="AL385" s="540"/>
      <c r="AM385" s="540"/>
      <c r="AN385" s="540"/>
      <c r="AO385" s="540"/>
      <c r="AP385" s="540"/>
      <c r="AQ385" s="540"/>
      <c r="AR385" s="540"/>
      <c r="AS385" s="540"/>
      <c r="AT385" s="540"/>
      <c r="AU385" s="540"/>
      <c r="AV385" s="540"/>
      <c r="AW385" s="1259"/>
      <c r="AX385" s="1259"/>
      <c r="AY385" s="1259"/>
      <c r="AZ385" s="540"/>
      <c r="BA385" s="540"/>
      <c r="BB385" s="540"/>
      <c r="BC385" s="540"/>
      <c r="BD385" s="540"/>
      <c r="BE385" s="540"/>
      <c r="BF385" s="540"/>
      <c r="BG385" s="540"/>
      <c r="BH385" s="540"/>
      <c r="BI385" s="540"/>
      <c r="BJ385" s="540"/>
      <c r="BK385" s="540"/>
      <c r="BL385" s="540"/>
      <c r="BM385" s="540"/>
      <c r="BN385" s="540"/>
      <c r="BO385" s="540"/>
    </row>
    <row r="386" spans="1:67" ht="35.1" customHeight="1" x14ac:dyDescent="0.25">
      <c r="A386" s="3">
        <f t="shared" si="6"/>
        <v>374</v>
      </c>
      <c r="B386" s="1218" t="s">
        <v>162</v>
      </c>
      <c r="C386" s="1218"/>
      <c r="D386" s="1222"/>
      <c r="E386" s="1222"/>
      <c r="F386" s="1222"/>
      <c r="G386" s="1222"/>
      <c r="H386" s="1222"/>
      <c r="I386" s="1219"/>
      <c r="J386" s="1219"/>
      <c r="K386" s="1219"/>
      <c r="L386" s="1219"/>
      <c r="M386" s="1219"/>
      <c r="N386" s="1219"/>
      <c r="O386" s="1219"/>
      <c r="P386" s="1219"/>
      <c r="Q386" s="1220"/>
      <c r="R386" s="1220"/>
      <c r="S386" s="1220"/>
      <c r="T386" s="1220"/>
      <c r="U386" s="1220"/>
      <c r="V386" s="1220"/>
      <c r="W386" s="1220"/>
      <c r="X386" s="1220"/>
      <c r="Y386" s="1219"/>
      <c r="Z386" s="1219"/>
      <c r="AA386" s="1220"/>
      <c r="AB386" s="1220"/>
      <c r="AC386" s="1220"/>
      <c r="AD386" s="1220"/>
      <c r="AE386" s="1219"/>
      <c r="AF386" s="1219"/>
      <c r="AG386" s="1219"/>
      <c r="AH386" s="1220"/>
      <c r="AI386" s="1220"/>
      <c r="AJ386" s="1220"/>
      <c r="AK386" s="1219"/>
      <c r="AL386" s="1219"/>
      <c r="AM386" s="1219"/>
      <c r="AN386" s="1219"/>
      <c r="AO386" s="1220"/>
      <c r="AP386" s="1220"/>
      <c r="AQ386" s="1220"/>
      <c r="AR386" s="1220"/>
      <c r="AS386" s="1220"/>
      <c r="AT386" s="1220"/>
      <c r="AU386" s="1220"/>
      <c r="AV386" s="1220"/>
      <c r="AW386" s="1258"/>
      <c r="AX386" s="1258"/>
      <c r="AY386" s="1258"/>
      <c r="AZ386" s="1220"/>
      <c r="BA386" s="1220"/>
      <c r="BB386" s="1220"/>
      <c r="BC386" s="1220"/>
      <c r="BD386" s="1220"/>
      <c r="BE386" s="1220"/>
      <c r="BF386" s="1220"/>
      <c r="BG386" s="1220"/>
      <c r="BH386" s="1220"/>
      <c r="BI386" s="1220"/>
      <c r="BJ386" s="1220"/>
      <c r="BK386" s="1220"/>
      <c r="BL386" s="1220"/>
      <c r="BM386" s="1220"/>
      <c r="BN386" s="1220"/>
      <c r="BO386" s="1220"/>
    </row>
    <row r="387" spans="1:67" ht="35.1" customHeight="1" x14ac:dyDescent="0.25">
      <c r="A387" s="3">
        <f t="shared" si="6"/>
        <v>375</v>
      </c>
      <c r="B387" s="1218" t="s">
        <v>162</v>
      </c>
      <c r="C387" s="1218"/>
      <c r="D387" s="1221"/>
      <c r="E387" s="1221"/>
      <c r="F387" s="1221"/>
      <c r="G387" s="1221"/>
      <c r="H387" s="1221"/>
      <c r="I387" s="540"/>
      <c r="J387" s="540"/>
      <c r="K387" s="540"/>
      <c r="L387" s="540"/>
      <c r="M387" s="540"/>
      <c r="N387" s="540"/>
      <c r="O387" s="540"/>
      <c r="P387" s="540"/>
      <c r="Q387" s="540"/>
      <c r="R387" s="540"/>
      <c r="S387" s="540"/>
      <c r="T387" s="540"/>
      <c r="U387" s="540"/>
      <c r="V387" s="540"/>
      <c r="W387" s="540"/>
      <c r="X387" s="540"/>
      <c r="Y387" s="540"/>
      <c r="Z387" s="540"/>
      <c r="AA387" s="540"/>
      <c r="AB387" s="540"/>
      <c r="AC387" s="540"/>
      <c r="AD387" s="540"/>
      <c r="AE387" s="540"/>
      <c r="AF387" s="540"/>
      <c r="AG387" s="540"/>
      <c r="AH387" s="540"/>
      <c r="AI387" s="540"/>
      <c r="AJ387" s="540"/>
      <c r="AK387" s="540"/>
      <c r="AL387" s="540"/>
      <c r="AM387" s="540"/>
      <c r="AN387" s="540"/>
      <c r="AO387" s="540"/>
      <c r="AP387" s="540"/>
      <c r="AQ387" s="540"/>
      <c r="AR387" s="540"/>
      <c r="AS387" s="540"/>
      <c r="AT387" s="540"/>
      <c r="AU387" s="540"/>
      <c r="AV387" s="540"/>
      <c r="AW387" s="1259"/>
      <c r="AX387" s="1259"/>
      <c r="AY387" s="1259"/>
      <c r="AZ387" s="540"/>
      <c r="BA387" s="540"/>
      <c r="BB387" s="540"/>
      <c r="BC387" s="540"/>
      <c r="BD387" s="540"/>
      <c r="BE387" s="540"/>
      <c r="BF387" s="540"/>
      <c r="BG387" s="540"/>
      <c r="BH387" s="540"/>
      <c r="BI387" s="540"/>
      <c r="BJ387" s="540"/>
      <c r="BK387" s="540"/>
      <c r="BL387" s="540"/>
      <c r="BM387" s="540"/>
      <c r="BN387" s="540"/>
      <c r="BO387" s="540"/>
    </row>
    <row r="388" spans="1:67" ht="35.1" customHeight="1" x14ac:dyDescent="0.25">
      <c r="A388" s="3">
        <f t="shared" si="6"/>
        <v>376</v>
      </c>
      <c r="B388" s="1218" t="s">
        <v>162</v>
      </c>
      <c r="C388" s="1218"/>
      <c r="D388" s="1222"/>
      <c r="E388" s="1222"/>
      <c r="F388" s="1222"/>
      <c r="G388" s="1222"/>
      <c r="H388" s="1222"/>
      <c r="I388" s="1219"/>
      <c r="J388" s="1219"/>
      <c r="K388" s="1219"/>
      <c r="L388" s="1219"/>
      <c r="M388" s="1219"/>
      <c r="N388" s="1219"/>
      <c r="O388" s="1219"/>
      <c r="P388" s="1219"/>
      <c r="Q388" s="1220"/>
      <c r="R388" s="1220"/>
      <c r="S388" s="1220"/>
      <c r="T388" s="1220"/>
      <c r="U388" s="1220"/>
      <c r="V388" s="1220"/>
      <c r="W388" s="1220"/>
      <c r="X388" s="1220"/>
      <c r="Y388" s="1219"/>
      <c r="Z388" s="1219"/>
      <c r="AA388" s="1220"/>
      <c r="AB388" s="1220"/>
      <c r="AC388" s="1220"/>
      <c r="AD388" s="1220"/>
      <c r="AE388" s="1219"/>
      <c r="AF388" s="1219"/>
      <c r="AG388" s="1219"/>
      <c r="AH388" s="1220"/>
      <c r="AI388" s="1220"/>
      <c r="AJ388" s="1220"/>
      <c r="AK388" s="1219"/>
      <c r="AL388" s="1219"/>
      <c r="AM388" s="1219"/>
      <c r="AN388" s="1219"/>
      <c r="AO388" s="1220"/>
      <c r="AP388" s="1220"/>
      <c r="AQ388" s="1220"/>
      <c r="AR388" s="1220"/>
      <c r="AS388" s="1220"/>
      <c r="AT388" s="1220"/>
      <c r="AU388" s="1220"/>
      <c r="AV388" s="1220"/>
      <c r="AW388" s="1258"/>
      <c r="AX388" s="1258"/>
      <c r="AY388" s="1258"/>
      <c r="AZ388" s="1220"/>
      <c r="BA388" s="1220"/>
      <c r="BB388" s="1220"/>
      <c r="BC388" s="1220"/>
      <c r="BD388" s="1220"/>
      <c r="BE388" s="1220"/>
      <c r="BF388" s="1220"/>
      <c r="BG388" s="1220"/>
      <c r="BH388" s="1220"/>
      <c r="BI388" s="1220"/>
      <c r="BJ388" s="1220"/>
      <c r="BK388" s="1220"/>
      <c r="BL388" s="1220"/>
      <c r="BM388" s="1220"/>
      <c r="BN388" s="1220"/>
      <c r="BO388" s="1220"/>
    </row>
    <row r="389" spans="1:67" ht="35.1" customHeight="1" x14ac:dyDescent="0.25">
      <c r="A389" s="3">
        <f t="shared" si="6"/>
        <v>377</v>
      </c>
      <c r="B389" s="1218" t="s">
        <v>162</v>
      </c>
      <c r="C389" s="1218"/>
      <c r="D389" s="1221"/>
      <c r="E389" s="1221"/>
      <c r="F389" s="1221"/>
      <c r="G389" s="1221"/>
      <c r="H389" s="1221"/>
      <c r="I389" s="540"/>
      <c r="J389" s="540"/>
      <c r="K389" s="540"/>
      <c r="L389" s="540"/>
      <c r="M389" s="540"/>
      <c r="N389" s="540"/>
      <c r="O389" s="540"/>
      <c r="P389" s="540"/>
      <c r="Q389" s="540"/>
      <c r="R389" s="540"/>
      <c r="S389" s="540"/>
      <c r="T389" s="540"/>
      <c r="U389" s="540"/>
      <c r="V389" s="540"/>
      <c r="W389" s="540"/>
      <c r="X389" s="540"/>
      <c r="Y389" s="540"/>
      <c r="Z389" s="540"/>
      <c r="AA389" s="540"/>
      <c r="AB389" s="540"/>
      <c r="AC389" s="540"/>
      <c r="AD389" s="540"/>
      <c r="AE389" s="540"/>
      <c r="AF389" s="540"/>
      <c r="AG389" s="540"/>
      <c r="AH389" s="540"/>
      <c r="AI389" s="540"/>
      <c r="AJ389" s="540"/>
      <c r="AK389" s="540"/>
      <c r="AL389" s="540"/>
      <c r="AM389" s="540"/>
      <c r="AN389" s="540"/>
      <c r="AO389" s="540"/>
      <c r="AP389" s="540"/>
      <c r="AQ389" s="540"/>
      <c r="AR389" s="540"/>
      <c r="AS389" s="540"/>
      <c r="AT389" s="540"/>
      <c r="AU389" s="540"/>
      <c r="AV389" s="540"/>
      <c r="AW389" s="1259"/>
      <c r="AX389" s="1259"/>
      <c r="AY389" s="1259"/>
      <c r="AZ389" s="540"/>
      <c r="BA389" s="540"/>
      <c r="BB389" s="540"/>
      <c r="BC389" s="540"/>
      <c r="BD389" s="540"/>
      <c r="BE389" s="540"/>
      <c r="BF389" s="540"/>
      <c r="BG389" s="540"/>
      <c r="BH389" s="540"/>
      <c r="BI389" s="540"/>
      <c r="BJ389" s="540"/>
      <c r="BK389" s="540"/>
      <c r="BL389" s="540"/>
      <c r="BM389" s="540"/>
      <c r="BN389" s="540"/>
      <c r="BO389" s="540"/>
    </row>
    <row r="390" spans="1:67" ht="35.1" customHeight="1" x14ac:dyDescent="0.25">
      <c r="A390" s="3">
        <f t="shared" si="6"/>
        <v>378</v>
      </c>
      <c r="B390" s="1218" t="s">
        <v>162</v>
      </c>
      <c r="C390" s="1218"/>
      <c r="D390" s="1222"/>
      <c r="E390" s="1222"/>
      <c r="F390" s="1222"/>
      <c r="G390" s="1222"/>
      <c r="H390" s="1222"/>
      <c r="I390" s="1219"/>
      <c r="J390" s="1219"/>
      <c r="K390" s="1219"/>
      <c r="L390" s="1219"/>
      <c r="M390" s="1219"/>
      <c r="N390" s="1219"/>
      <c r="O390" s="1219"/>
      <c r="P390" s="1219"/>
      <c r="Q390" s="1220"/>
      <c r="R390" s="1220"/>
      <c r="S390" s="1220"/>
      <c r="T390" s="1220"/>
      <c r="U390" s="1220"/>
      <c r="V390" s="1220"/>
      <c r="W390" s="1220"/>
      <c r="X390" s="1220"/>
      <c r="Y390" s="1219"/>
      <c r="Z390" s="1219"/>
      <c r="AA390" s="1220"/>
      <c r="AB390" s="1220"/>
      <c r="AC390" s="1220"/>
      <c r="AD390" s="1220"/>
      <c r="AE390" s="1219"/>
      <c r="AF390" s="1219"/>
      <c r="AG390" s="1219"/>
      <c r="AH390" s="1220"/>
      <c r="AI390" s="1220"/>
      <c r="AJ390" s="1220"/>
      <c r="AK390" s="1219"/>
      <c r="AL390" s="1219"/>
      <c r="AM390" s="1219"/>
      <c r="AN390" s="1219"/>
      <c r="AO390" s="1220"/>
      <c r="AP390" s="1220"/>
      <c r="AQ390" s="1220"/>
      <c r="AR390" s="1220"/>
      <c r="AS390" s="1220"/>
      <c r="AT390" s="1220"/>
      <c r="AU390" s="1220"/>
      <c r="AV390" s="1220"/>
      <c r="AW390" s="1258"/>
      <c r="AX390" s="1258"/>
      <c r="AY390" s="1258"/>
      <c r="AZ390" s="1220"/>
      <c r="BA390" s="1220"/>
      <c r="BB390" s="1220"/>
      <c r="BC390" s="1220"/>
      <c r="BD390" s="1220"/>
      <c r="BE390" s="1220"/>
      <c r="BF390" s="1220"/>
      <c r="BG390" s="1220"/>
      <c r="BH390" s="1220"/>
      <c r="BI390" s="1220"/>
      <c r="BJ390" s="1220"/>
      <c r="BK390" s="1220"/>
      <c r="BL390" s="1220"/>
      <c r="BM390" s="1220"/>
      <c r="BN390" s="1220"/>
      <c r="BO390" s="1220"/>
    </row>
    <row r="391" spans="1:67" ht="35.1" customHeight="1" x14ac:dyDescent="0.25">
      <c r="A391" s="3">
        <f t="shared" si="6"/>
        <v>379</v>
      </c>
      <c r="B391" s="1218" t="s">
        <v>162</v>
      </c>
      <c r="C391" s="1218"/>
      <c r="D391" s="1221"/>
      <c r="E391" s="1221"/>
      <c r="F391" s="1221"/>
      <c r="G391" s="1221"/>
      <c r="H391" s="1221"/>
      <c r="I391" s="540"/>
      <c r="J391" s="540"/>
      <c r="K391" s="540"/>
      <c r="L391" s="540"/>
      <c r="M391" s="540"/>
      <c r="N391" s="540"/>
      <c r="O391" s="540"/>
      <c r="P391" s="540"/>
      <c r="Q391" s="540"/>
      <c r="R391" s="540"/>
      <c r="S391" s="540"/>
      <c r="T391" s="540"/>
      <c r="U391" s="540"/>
      <c r="V391" s="540"/>
      <c r="W391" s="540"/>
      <c r="X391" s="540"/>
      <c r="Y391" s="540"/>
      <c r="Z391" s="540"/>
      <c r="AA391" s="540"/>
      <c r="AB391" s="540"/>
      <c r="AC391" s="540"/>
      <c r="AD391" s="540"/>
      <c r="AE391" s="540"/>
      <c r="AF391" s="540"/>
      <c r="AG391" s="540"/>
      <c r="AH391" s="540"/>
      <c r="AI391" s="540"/>
      <c r="AJ391" s="540"/>
      <c r="AK391" s="540"/>
      <c r="AL391" s="540"/>
      <c r="AM391" s="540"/>
      <c r="AN391" s="540"/>
      <c r="AO391" s="540"/>
      <c r="AP391" s="540"/>
      <c r="AQ391" s="540"/>
      <c r="AR391" s="540"/>
      <c r="AS391" s="540"/>
      <c r="AT391" s="540"/>
      <c r="AU391" s="540"/>
      <c r="AV391" s="540"/>
      <c r="AW391" s="1259"/>
      <c r="AX391" s="1259"/>
      <c r="AY391" s="1259"/>
      <c r="AZ391" s="540"/>
      <c r="BA391" s="540"/>
      <c r="BB391" s="540"/>
      <c r="BC391" s="540"/>
      <c r="BD391" s="540"/>
      <c r="BE391" s="540"/>
      <c r="BF391" s="540"/>
      <c r="BG391" s="540"/>
      <c r="BH391" s="540"/>
      <c r="BI391" s="540"/>
      <c r="BJ391" s="540"/>
      <c r="BK391" s="540"/>
      <c r="BL391" s="540"/>
      <c r="BM391" s="540"/>
      <c r="BN391" s="540"/>
      <c r="BO391" s="540"/>
    </row>
    <row r="392" spans="1:67" ht="35.1" customHeight="1" x14ac:dyDescent="0.25">
      <c r="A392" s="3">
        <f t="shared" si="6"/>
        <v>380</v>
      </c>
      <c r="B392" s="1235" t="s">
        <v>162</v>
      </c>
      <c r="C392" s="1235"/>
      <c r="D392" s="1222"/>
      <c r="E392" s="1222"/>
      <c r="F392" s="1222"/>
      <c r="G392" s="1222"/>
      <c r="H392" s="1222"/>
      <c r="I392" s="1219"/>
      <c r="J392" s="1219"/>
      <c r="K392" s="1219"/>
      <c r="L392" s="1219"/>
      <c r="M392" s="1219"/>
      <c r="N392" s="1219"/>
      <c r="O392" s="1219"/>
      <c r="P392" s="1219"/>
      <c r="Q392" s="1220"/>
      <c r="R392" s="1220"/>
      <c r="S392" s="1220"/>
      <c r="T392" s="1220"/>
      <c r="U392" s="1220"/>
      <c r="V392" s="1220"/>
      <c r="W392" s="1220"/>
      <c r="X392" s="1220"/>
      <c r="Y392" s="1219"/>
      <c r="Z392" s="1219"/>
      <c r="AA392" s="1220"/>
      <c r="AB392" s="1220"/>
      <c r="AC392" s="1220"/>
      <c r="AD392" s="1220"/>
      <c r="AE392" s="1219"/>
      <c r="AF392" s="1219"/>
      <c r="AG392" s="1219"/>
      <c r="AH392" s="1220"/>
      <c r="AI392" s="1220"/>
      <c r="AJ392" s="1220"/>
      <c r="AK392" s="1219"/>
      <c r="AL392" s="1219"/>
      <c r="AM392" s="1219"/>
      <c r="AN392" s="1219"/>
      <c r="AO392" s="1220"/>
      <c r="AP392" s="1220"/>
      <c r="AQ392" s="1220"/>
      <c r="AR392" s="1220"/>
      <c r="AS392" s="1220"/>
      <c r="AT392" s="1220"/>
      <c r="AU392" s="1220"/>
      <c r="AV392" s="1220"/>
      <c r="AW392" s="1258"/>
      <c r="AX392" s="1258"/>
      <c r="AY392" s="1258"/>
      <c r="AZ392" s="1220"/>
      <c r="BA392" s="1220"/>
      <c r="BB392" s="1220"/>
      <c r="BC392" s="1220"/>
      <c r="BD392" s="1220"/>
      <c r="BE392" s="1220"/>
      <c r="BF392" s="1220"/>
      <c r="BG392" s="1220"/>
      <c r="BH392" s="1220"/>
      <c r="BI392" s="1220"/>
      <c r="BJ392" s="1220"/>
      <c r="BK392" s="1220"/>
      <c r="BL392" s="1220"/>
      <c r="BM392" s="1220"/>
      <c r="BN392" s="1220"/>
      <c r="BO392" s="1220"/>
    </row>
    <row r="393" spans="1:67" ht="35.1" customHeight="1" x14ac:dyDescent="0.25">
      <c r="A393" s="3">
        <f t="shared" si="6"/>
        <v>381</v>
      </c>
      <c r="B393" s="1218" t="s">
        <v>162</v>
      </c>
      <c r="C393" s="1218"/>
      <c r="D393" s="1221"/>
      <c r="E393" s="1221"/>
      <c r="F393" s="1221"/>
      <c r="G393" s="1221"/>
      <c r="H393" s="1221"/>
      <c r="I393" s="540"/>
      <c r="J393" s="540"/>
      <c r="K393" s="540"/>
      <c r="L393" s="540"/>
      <c r="M393" s="540"/>
      <c r="N393" s="540"/>
      <c r="O393" s="540"/>
      <c r="P393" s="540"/>
      <c r="Q393" s="540"/>
      <c r="R393" s="540"/>
      <c r="S393" s="540"/>
      <c r="T393" s="540"/>
      <c r="U393" s="540"/>
      <c r="V393" s="540"/>
      <c r="W393" s="540"/>
      <c r="X393" s="540"/>
      <c r="Y393" s="540"/>
      <c r="Z393" s="540"/>
      <c r="AA393" s="540"/>
      <c r="AB393" s="540"/>
      <c r="AC393" s="540"/>
      <c r="AD393" s="540"/>
      <c r="AE393" s="540"/>
      <c r="AF393" s="540"/>
      <c r="AG393" s="540"/>
      <c r="AH393" s="540"/>
      <c r="AI393" s="540"/>
      <c r="AJ393" s="540"/>
      <c r="AK393" s="540"/>
      <c r="AL393" s="540"/>
      <c r="AM393" s="540"/>
      <c r="AN393" s="540"/>
      <c r="AO393" s="540"/>
      <c r="AP393" s="540"/>
      <c r="AQ393" s="540"/>
      <c r="AR393" s="540"/>
      <c r="AS393" s="540"/>
      <c r="AT393" s="540"/>
      <c r="AU393" s="540"/>
      <c r="AV393" s="540"/>
      <c r="AW393" s="1259"/>
      <c r="AX393" s="1259"/>
      <c r="AY393" s="1259"/>
      <c r="AZ393" s="540"/>
      <c r="BA393" s="540"/>
      <c r="BB393" s="540"/>
      <c r="BC393" s="540"/>
      <c r="BD393" s="540"/>
      <c r="BE393" s="540"/>
      <c r="BF393" s="540"/>
      <c r="BG393" s="540"/>
      <c r="BH393" s="540"/>
      <c r="BI393" s="540"/>
      <c r="BJ393" s="540"/>
      <c r="BK393" s="540"/>
      <c r="BL393" s="540"/>
      <c r="BM393" s="540"/>
      <c r="BN393" s="540"/>
      <c r="BO393" s="540"/>
    </row>
    <row r="394" spans="1:67" ht="35.1" customHeight="1" x14ac:dyDescent="0.25">
      <c r="A394" s="3">
        <f t="shared" si="6"/>
        <v>382</v>
      </c>
      <c r="B394" s="1218" t="s">
        <v>162</v>
      </c>
      <c r="C394" s="1218"/>
      <c r="D394" s="1222"/>
      <c r="E394" s="1222"/>
      <c r="F394" s="1222"/>
      <c r="G394" s="1222"/>
      <c r="H394" s="1222"/>
      <c r="I394" s="1219"/>
      <c r="J394" s="1219"/>
      <c r="K394" s="1219"/>
      <c r="L394" s="1219"/>
      <c r="M394" s="1219"/>
      <c r="N394" s="1219"/>
      <c r="O394" s="1219"/>
      <c r="P394" s="1219"/>
      <c r="Q394" s="1220"/>
      <c r="R394" s="1220"/>
      <c r="S394" s="1220"/>
      <c r="T394" s="1220"/>
      <c r="U394" s="1220"/>
      <c r="V394" s="1220"/>
      <c r="W394" s="1220"/>
      <c r="X394" s="1220"/>
      <c r="Y394" s="1219"/>
      <c r="Z394" s="1219"/>
      <c r="AA394" s="1220"/>
      <c r="AB394" s="1220"/>
      <c r="AC394" s="1220"/>
      <c r="AD394" s="1220"/>
      <c r="AE394" s="1219"/>
      <c r="AF394" s="1219"/>
      <c r="AG394" s="1219"/>
      <c r="AH394" s="1220"/>
      <c r="AI394" s="1220"/>
      <c r="AJ394" s="1220"/>
      <c r="AK394" s="1219"/>
      <c r="AL394" s="1219"/>
      <c r="AM394" s="1219"/>
      <c r="AN394" s="1219"/>
      <c r="AO394" s="1220"/>
      <c r="AP394" s="1220"/>
      <c r="AQ394" s="1220"/>
      <c r="AR394" s="1220"/>
      <c r="AS394" s="1220"/>
      <c r="AT394" s="1220"/>
      <c r="AU394" s="1220"/>
      <c r="AV394" s="1220"/>
      <c r="AW394" s="1258"/>
      <c r="AX394" s="1258"/>
      <c r="AY394" s="1258"/>
      <c r="AZ394" s="1220"/>
      <c r="BA394" s="1220"/>
      <c r="BB394" s="1220"/>
      <c r="BC394" s="1220"/>
      <c r="BD394" s="1220"/>
      <c r="BE394" s="1220"/>
      <c r="BF394" s="1220"/>
      <c r="BG394" s="1220"/>
      <c r="BH394" s="1220"/>
      <c r="BI394" s="1220"/>
      <c r="BJ394" s="1220"/>
      <c r="BK394" s="1220"/>
      <c r="BL394" s="1220"/>
      <c r="BM394" s="1220"/>
      <c r="BN394" s="1220"/>
      <c r="BO394" s="1220"/>
    </row>
    <row r="395" spans="1:67" ht="35.1" customHeight="1" x14ac:dyDescent="0.25">
      <c r="A395" s="3">
        <f t="shared" si="6"/>
        <v>383</v>
      </c>
      <c r="B395" s="1218" t="s">
        <v>162</v>
      </c>
      <c r="C395" s="1218"/>
      <c r="D395" s="1221"/>
      <c r="E395" s="1221"/>
      <c r="F395" s="1221"/>
      <c r="G395" s="1221"/>
      <c r="H395" s="1221"/>
      <c r="I395" s="540"/>
      <c r="J395" s="540"/>
      <c r="K395" s="540"/>
      <c r="L395" s="540"/>
      <c r="M395" s="540"/>
      <c r="N395" s="540"/>
      <c r="O395" s="540"/>
      <c r="P395" s="540"/>
      <c r="Q395" s="540"/>
      <c r="R395" s="540"/>
      <c r="S395" s="540"/>
      <c r="T395" s="540"/>
      <c r="U395" s="540"/>
      <c r="V395" s="540"/>
      <c r="W395" s="540"/>
      <c r="X395" s="540"/>
      <c r="Y395" s="540"/>
      <c r="Z395" s="540"/>
      <c r="AA395" s="540"/>
      <c r="AB395" s="540"/>
      <c r="AC395" s="540"/>
      <c r="AD395" s="540"/>
      <c r="AE395" s="540"/>
      <c r="AF395" s="540"/>
      <c r="AG395" s="540"/>
      <c r="AH395" s="540"/>
      <c r="AI395" s="540"/>
      <c r="AJ395" s="540"/>
      <c r="AK395" s="540"/>
      <c r="AL395" s="540"/>
      <c r="AM395" s="540"/>
      <c r="AN395" s="540"/>
      <c r="AO395" s="540"/>
      <c r="AP395" s="540"/>
      <c r="AQ395" s="540"/>
      <c r="AR395" s="540"/>
      <c r="AS395" s="540"/>
      <c r="AT395" s="540"/>
      <c r="AU395" s="540"/>
      <c r="AV395" s="540"/>
      <c r="AW395" s="1259"/>
      <c r="AX395" s="1259"/>
      <c r="AY395" s="1259"/>
      <c r="AZ395" s="540"/>
      <c r="BA395" s="540"/>
      <c r="BB395" s="540"/>
      <c r="BC395" s="540"/>
      <c r="BD395" s="540"/>
      <c r="BE395" s="540"/>
      <c r="BF395" s="540"/>
      <c r="BG395" s="540"/>
      <c r="BH395" s="540"/>
      <c r="BI395" s="540"/>
      <c r="BJ395" s="540"/>
      <c r="BK395" s="540"/>
      <c r="BL395" s="540"/>
      <c r="BM395" s="540"/>
      <c r="BN395" s="540"/>
      <c r="BO395" s="540"/>
    </row>
    <row r="396" spans="1:67" ht="35.1" customHeight="1" x14ac:dyDescent="0.25">
      <c r="A396" s="3">
        <f t="shared" si="6"/>
        <v>384</v>
      </c>
      <c r="B396" s="1218" t="s">
        <v>162</v>
      </c>
      <c r="C396" s="1218"/>
      <c r="D396" s="1222"/>
      <c r="E396" s="1222"/>
      <c r="F396" s="1222"/>
      <c r="G396" s="1222"/>
      <c r="H396" s="1222"/>
      <c r="I396" s="1219"/>
      <c r="J396" s="1219"/>
      <c r="K396" s="1219"/>
      <c r="L396" s="1219"/>
      <c r="M396" s="1219"/>
      <c r="N396" s="1219"/>
      <c r="O396" s="1219"/>
      <c r="P396" s="1219"/>
      <c r="Q396" s="1220"/>
      <c r="R396" s="1220"/>
      <c r="S396" s="1220"/>
      <c r="T396" s="1220"/>
      <c r="U396" s="1220"/>
      <c r="V396" s="1220"/>
      <c r="W396" s="1220"/>
      <c r="X396" s="1220"/>
      <c r="Y396" s="1219"/>
      <c r="Z396" s="1219"/>
      <c r="AA396" s="1220"/>
      <c r="AB396" s="1220"/>
      <c r="AC396" s="1220"/>
      <c r="AD396" s="1220"/>
      <c r="AE396" s="1219"/>
      <c r="AF396" s="1219"/>
      <c r="AG396" s="1219"/>
      <c r="AH396" s="1220"/>
      <c r="AI396" s="1220"/>
      <c r="AJ396" s="1220"/>
      <c r="AK396" s="1219"/>
      <c r="AL396" s="1219"/>
      <c r="AM396" s="1219"/>
      <c r="AN396" s="1219"/>
      <c r="AO396" s="1220"/>
      <c r="AP396" s="1220"/>
      <c r="AQ396" s="1220"/>
      <c r="AR396" s="1220"/>
      <c r="AS396" s="1220"/>
      <c r="AT396" s="1220"/>
      <c r="AU396" s="1220"/>
      <c r="AV396" s="1220"/>
      <c r="AW396" s="1258"/>
      <c r="AX396" s="1258"/>
      <c r="AY396" s="1258"/>
      <c r="AZ396" s="1220"/>
      <c r="BA396" s="1220"/>
      <c r="BB396" s="1220"/>
      <c r="BC396" s="1220"/>
      <c r="BD396" s="1220"/>
      <c r="BE396" s="1220"/>
      <c r="BF396" s="1220"/>
      <c r="BG396" s="1220"/>
      <c r="BH396" s="1220"/>
      <c r="BI396" s="1220"/>
      <c r="BJ396" s="1220"/>
      <c r="BK396" s="1220"/>
      <c r="BL396" s="1220"/>
      <c r="BM396" s="1220"/>
      <c r="BN396" s="1220"/>
      <c r="BO396" s="1220"/>
    </row>
    <row r="397" spans="1:67" ht="35.1" customHeight="1" x14ac:dyDescent="0.25">
      <c r="A397" s="3">
        <f t="shared" si="6"/>
        <v>385</v>
      </c>
      <c r="B397" s="1218" t="s">
        <v>162</v>
      </c>
      <c r="C397" s="1218"/>
      <c r="D397" s="1221"/>
      <c r="E397" s="1221"/>
      <c r="F397" s="1221"/>
      <c r="G397" s="1221"/>
      <c r="H397" s="1221"/>
      <c r="I397" s="540"/>
      <c r="J397" s="540"/>
      <c r="K397" s="540"/>
      <c r="L397" s="540"/>
      <c r="M397" s="540"/>
      <c r="N397" s="540"/>
      <c r="O397" s="540"/>
      <c r="P397" s="540"/>
      <c r="Q397" s="540"/>
      <c r="R397" s="540"/>
      <c r="S397" s="540"/>
      <c r="T397" s="540"/>
      <c r="U397" s="540"/>
      <c r="V397" s="540"/>
      <c r="W397" s="540"/>
      <c r="X397" s="540"/>
      <c r="Y397" s="540"/>
      <c r="Z397" s="540"/>
      <c r="AA397" s="540"/>
      <c r="AB397" s="540"/>
      <c r="AC397" s="540"/>
      <c r="AD397" s="540"/>
      <c r="AE397" s="540"/>
      <c r="AF397" s="540"/>
      <c r="AG397" s="540"/>
      <c r="AH397" s="540"/>
      <c r="AI397" s="540"/>
      <c r="AJ397" s="540"/>
      <c r="AK397" s="540"/>
      <c r="AL397" s="540"/>
      <c r="AM397" s="540"/>
      <c r="AN397" s="540"/>
      <c r="AO397" s="540"/>
      <c r="AP397" s="540"/>
      <c r="AQ397" s="540"/>
      <c r="AR397" s="540"/>
      <c r="AS397" s="540"/>
      <c r="AT397" s="540"/>
      <c r="AU397" s="540"/>
      <c r="AV397" s="540"/>
      <c r="AW397" s="1259"/>
      <c r="AX397" s="1259"/>
      <c r="AY397" s="1259"/>
      <c r="AZ397" s="540"/>
      <c r="BA397" s="540"/>
      <c r="BB397" s="540"/>
      <c r="BC397" s="540"/>
      <c r="BD397" s="540"/>
      <c r="BE397" s="540"/>
      <c r="BF397" s="540"/>
      <c r="BG397" s="540"/>
      <c r="BH397" s="540"/>
      <c r="BI397" s="540"/>
      <c r="BJ397" s="540"/>
      <c r="BK397" s="540"/>
      <c r="BL397" s="540"/>
      <c r="BM397" s="540"/>
      <c r="BN397" s="540"/>
      <c r="BO397" s="540"/>
    </row>
    <row r="398" spans="1:67" ht="35.1" customHeight="1" x14ac:dyDescent="0.25">
      <c r="A398" s="3">
        <f t="shared" si="6"/>
        <v>386</v>
      </c>
      <c r="B398" s="1218" t="s">
        <v>162</v>
      </c>
      <c r="C398" s="1218"/>
      <c r="D398" s="1222"/>
      <c r="E398" s="1222"/>
      <c r="F398" s="1222"/>
      <c r="G398" s="1222"/>
      <c r="H398" s="1222"/>
      <c r="I398" s="1219"/>
      <c r="J398" s="1219"/>
      <c r="K398" s="1219"/>
      <c r="L398" s="1219"/>
      <c r="M398" s="1219"/>
      <c r="N398" s="1219"/>
      <c r="O398" s="1219"/>
      <c r="P398" s="1219"/>
      <c r="Q398" s="1220"/>
      <c r="R398" s="1220"/>
      <c r="S398" s="1220"/>
      <c r="T398" s="1220"/>
      <c r="U398" s="1220"/>
      <c r="V398" s="1220"/>
      <c r="W398" s="1220"/>
      <c r="X398" s="1220"/>
      <c r="Y398" s="1219"/>
      <c r="Z398" s="1219"/>
      <c r="AA398" s="1220"/>
      <c r="AB398" s="1220"/>
      <c r="AC398" s="1220"/>
      <c r="AD398" s="1220"/>
      <c r="AE398" s="1219"/>
      <c r="AF398" s="1219"/>
      <c r="AG398" s="1219"/>
      <c r="AH398" s="1220"/>
      <c r="AI398" s="1220"/>
      <c r="AJ398" s="1220"/>
      <c r="AK398" s="1219"/>
      <c r="AL398" s="1219"/>
      <c r="AM398" s="1219"/>
      <c r="AN398" s="1219"/>
      <c r="AO398" s="1220"/>
      <c r="AP398" s="1220"/>
      <c r="AQ398" s="1220"/>
      <c r="AR398" s="1220"/>
      <c r="AS398" s="1220"/>
      <c r="AT398" s="1220"/>
      <c r="AU398" s="1220"/>
      <c r="AV398" s="1220"/>
      <c r="AW398" s="1258"/>
      <c r="AX398" s="1258"/>
      <c r="AY398" s="1258"/>
      <c r="AZ398" s="1220"/>
      <c r="BA398" s="1220"/>
      <c r="BB398" s="1220"/>
      <c r="BC398" s="1220"/>
      <c r="BD398" s="1220"/>
      <c r="BE398" s="1220"/>
      <c r="BF398" s="1220"/>
      <c r="BG398" s="1220"/>
      <c r="BH398" s="1220"/>
      <c r="BI398" s="1220"/>
      <c r="BJ398" s="1220"/>
      <c r="BK398" s="1220"/>
      <c r="BL398" s="1220"/>
      <c r="BM398" s="1220"/>
      <c r="BN398" s="1220"/>
      <c r="BO398" s="1220"/>
    </row>
    <row r="399" spans="1:67" ht="35.1" customHeight="1" x14ac:dyDescent="0.25">
      <c r="A399" s="3">
        <f t="shared" si="6"/>
        <v>387</v>
      </c>
      <c r="B399" s="1218" t="s">
        <v>162</v>
      </c>
      <c r="C399" s="1218"/>
      <c r="D399" s="1221"/>
      <c r="E399" s="1221"/>
      <c r="F399" s="1221"/>
      <c r="G399" s="1221"/>
      <c r="H399" s="1221"/>
      <c r="I399" s="540"/>
      <c r="J399" s="540"/>
      <c r="K399" s="540"/>
      <c r="L399" s="540"/>
      <c r="M399" s="540"/>
      <c r="N399" s="540"/>
      <c r="O399" s="540"/>
      <c r="P399" s="540"/>
      <c r="Q399" s="540"/>
      <c r="R399" s="540"/>
      <c r="S399" s="540"/>
      <c r="T399" s="540"/>
      <c r="U399" s="540"/>
      <c r="V399" s="540"/>
      <c r="W399" s="540"/>
      <c r="X399" s="540"/>
      <c r="Y399" s="540"/>
      <c r="Z399" s="540"/>
      <c r="AA399" s="540"/>
      <c r="AB399" s="540"/>
      <c r="AC399" s="540"/>
      <c r="AD399" s="540"/>
      <c r="AE399" s="540"/>
      <c r="AF399" s="540"/>
      <c r="AG399" s="540"/>
      <c r="AH399" s="540"/>
      <c r="AI399" s="540"/>
      <c r="AJ399" s="540"/>
      <c r="AK399" s="540"/>
      <c r="AL399" s="540"/>
      <c r="AM399" s="540"/>
      <c r="AN399" s="540"/>
      <c r="AO399" s="540"/>
      <c r="AP399" s="540"/>
      <c r="AQ399" s="540"/>
      <c r="AR399" s="540"/>
      <c r="AS399" s="540"/>
      <c r="AT399" s="540"/>
      <c r="AU399" s="540"/>
      <c r="AV399" s="540"/>
      <c r="AW399" s="1259"/>
      <c r="AX399" s="1259"/>
      <c r="AY399" s="1259"/>
      <c r="AZ399" s="540"/>
      <c r="BA399" s="540"/>
      <c r="BB399" s="540"/>
      <c r="BC399" s="540"/>
      <c r="BD399" s="540"/>
      <c r="BE399" s="540"/>
      <c r="BF399" s="540"/>
      <c r="BG399" s="540"/>
      <c r="BH399" s="540"/>
      <c r="BI399" s="540"/>
      <c r="BJ399" s="540"/>
      <c r="BK399" s="540"/>
      <c r="BL399" s="540"/>
      <c r="BM399" s="540"/>
      <c r="BN399" s="540"/>
      <c r="BO399" s="540"/>
    </row>
    <row r="400" spans="1:67" ht="35.1" customHeight="1" x14ac:dyDescent="0.25">
      <c r="A400" s="3">
        <f t="shared" si="6"/>
        <v>388</v>
      </c>
      <c r="B400" s="1218" t="s">
        <v>162</v>
      </c>
      <c r="C400" s="1218"/>
      <c r="D400" s="1222"/>
      <c r="E400" s="1222"/>
      <c r="F400" s="1222"/>
      <c r="G400" s="1222"/>
      <c r="H400" s="1222"/>
      <c r="I400" s="1219"/>
      <c r="J400" s="1219"/>
      <c r="K400" s="1219"/>
      <c r="L400" s="1219"/>
      <c r="M400" s="1219"/>
      <c r="N400" s="1219"/>
      <c r="O400" s="1219"/>
      <c r="P400" s="1219"/>
      <c r="Q400" s="1220"/>
      <c r="R400" s="1220"/>
      <c r="S400" s="1220"/>
      <c r="T400" s="1220"/>
      <c r="U400" s="1220"/>
      <c r="V400" s="1220"/>
      <c r="W400" s="1220"/>
      <c r="X400" s="1220"/>
      <c r="Y400" s="1219"/>
      <c r="Z400" s="1219"/>
      <c r="AA400" s="1220"/>
      <c r="AB400" s="1220"/>
      <c r="AC400" s="1220"/>
      <c r="AD400" s="1220"/>
      <c r="AE400" s="1219"/>
      <c r="AF400" s="1219"/>
      <c r="AG400" s="1219"/>
      <c r="AH400" s="1220"/>
      <c r="AI400" s="1220"/>
      <c r="AJ400" s="1220"/>
      <c r="AK400" s="1219"/>
      <c r="AL400" s="1219"/>
      <c r="AM400" s="1219"/>
      <c r="AN400" s="1219"/>
      <c r="AO400" s="1220"/>
      <c r="AP400" s="1220"/>
      <c r="AQ400" s="1220"/>
      <c r="AR400" s="1220"/>
      <c r="AS400" s="1220"/>
      <c r="AT400" s="1220"/>
      <c r="AU400" s="1220"/>
      <c r="AV400" s="1220"/>
      <c r="AW400" s="1258"/>
      <c r="AX400" s="1258"/>
      <c r="AY400" s="1258"/>
      <c r="AZ400" s="1220"/>
      <c r="BA400" s="1220"/>
      <c r="BB400" s="1220"/>
      <c r="BC400" s="1220"/>
      <c r="BD400" s="1220"/>
      <c r="BE400" s="1220"/>
      <c r="BF400" s="1220"/>
      <c r="BG400" s="1220"/>
      <c r="BH400" s="1220"/>
      <c r="BI400" s="1220"/>
      <c r="BJ400" s="1220"/>
      <c r="BK400" s="1220"/>
      <c r="BL400" s="1220"/>
      <c r="BM400" s="1220"/>
      <c r="BN400" s="1220"/>
      <c r="BO400" s="1220"/>
    </row>
    <row r="401" spans="1:67" ht="35.1" customHeight="1" x14ac:dyDescent="0.25">
      <c r="A401" s="3">
        <f t="shared" si="6"/>
        <v>389</v>
      </c>
      <c r="B401" s="1218" t="s">
        <v>162</v>
      </c>
      <c r="C401" s="1218"/>
      <c r="D401" s="1221"/>
      <c r="E401" s="1221"/>
      <c r="F401" s="1221"/>
      <c r="G401" s="1221"/>
      <c r="H401" s="1221"/>
      <c r="I401" s="540"/>
      <c r="J401" s="540"/>
      <c r="K401" s="540"/>
      <c r="L401" s="540"/>
      <c r="M401" s="540"/>
      <c r="N401" s="540"/>
      <c r="O401" s="540"/>
      <c r="P401" s="540"/>
      <c r="Q401" s="540"/>
      <c r="R401" s="540"/>
      <c r="S401" s="540"/>
      <c r="T401" s="540"/>
      <c r="U401" s="540"/>
      <c r="V401" s="540"/>
      <c r="W401" s="540"/>
      <c r="X401" s="540"/>
      <c r="Y401" s="540"/>
      <c r="Z401" s="540"/>
      <c r="AA401" s="540"/>
      <c r="AB401" s="540"/>
      <c r="AC401" s="540"/>
      <c r="AD401" s="540"/>
      <c r="AE401" s="540"/>
      <c r="AF401" s="540"/>
      <c r="AG401" s="540"/>
      <c r="AH401" s="540"/>
      <c r="AI401" s="540"/>
      <c r="AJ401" s="540"/>
      <c r="AK401" s="540"/>
      <c r="AL401" s="540"/>
      <c r="AM401" s="540"/>
      <c r="AN401" s="540"/>
      <c r="AO401" s="540"/>
      <c r="AP401" s="540"/>
      <c r="AQ401" s="540"/>
      <c r="AR401" s="540"/>
      <c r="AS401" s="540"/>
      <c r="AT401" s="540"/>
      <c r="AU401" s="540"/>
      <c r="AV401" s="540"/>
      <c r="AW401" s="1259"/>
      <c r="AX401" s="1259"/>
      <c r="AY401" s="1259"/>
      <c r="AZ401" s="540"/>
      <c r="BA401" s="540"/>
      <c r="BB401" s="540"/>
      <c r="BC401" s="540"/>
      <c r="BD401" s="540"/>
      <c r="BE401" s="540"/>
      <c r="BF401" s="540"/>
      <c r="BG401" s="540"/>
      <c r="BH401" s="540"/>
      <c r="BI401" s="540"/>
      <c r="BJ401" s="540"/>
      <c r="BK401" s="540"/>
      <c r="BL401" s="540"/>
      <c r="BM401" s="540"/>
      <c r="BN401" s="540"/>
      <c r="BO401" s="540"/>
    </row>
    <row r="402" spans="1:67" ht="35.1" customHeight="1" x14ac:dyDescent="0.25">
      <c r="A402" s="3">
        <f t="shared" si="6"/>
        <v>390</v>
      </c>
      <c r="B402" s="1218" t="s">
        <v>162</v>
      </c>
      <c r="C402" s="1218"/>
      <c r="D402" s="1222"/>
      <c r="E402" s="1222"/>
      <c r="F402" s="1222"/>
      <c r="G402" s="1222"/>
      <c r="H402" s="1222"/>
      <c r="I402" s="1219"/>
      <c r="J402" s="1219"/>
      <c r="K402" s="1219"/>
      <c r="L402" s="1219"/>
      <c r="M402" s="1219"/>
      <c r="N402" s="1219"/>
      <c r="O402" s="1219"/>
      <c r="P402" s="1219"/>
      <c r="Q402" s="1220"/>
      <c r="R402" s="1220"/>
      <c r="S402" s="1220"/>
      <c r="T402" s="1220"/>
      <c r="U402" s="1220"/>
      <c r="V402" s="1220"/>
      <c r="W402" s="1220"/>
      <c r="X402" s="1220"/>
      <c r="Y402" s="1219"/>
      <c r="Z402" s="1219"/>
      <c r="AA402" s="1220"/>
      <c r="AB402" s="1220"/>
      <c r="AC402" s="1220"/>
      <c r="AD402" s="1220"/>
      <c r="AE402" s="1219"/>
      <c r="AF402" s="1219"/>
      <c r="AG402" s="1219"/>
      <c r="AH402" s="1220"/>
      <c r="AI402" s="1220"/>
      <c r="AJ402" s="1220"/>
      <c r="AK402" s="1219"/>
      <c r="AL402" s="1219"/>
      <c r="AM402" s="1219"/>
      <c r="AN402" s="1219"/>
      <c r="AO402" s="1220"/>
      <c r="AP402" s="1220"/>
      <c r="AQ402" s="1220"/>
      <c r="AR402" s="1220"/>
      <c r="AS402" s="1220"/>
      <c r="AT402" s="1220"/>
      <c r="AU402" s="1220"/>
      <c r="AV402" s="1220"/>
      <c r="AW402" s="1258"/>
      <c r="AX402" s="1258"/>
      <c r="AY402" s="1258"/>
      <c r="AZ402" s="1220"/>
      <c r="BA402" s="1220"/>
      <c r="BB402" s="1220"/>
      <c r="BC402" s="1220"/>
      <c r="BD402" s="1220"/>
      <c r="BE402" s="1220"/>
      <c r="BF402" s="1220"/>
      <c r="BG402" s="1220"/>
      <c r="BH402" s="1220"/>
      <c r="BI402" s="1220"/>
      <c r="BJ402" s="1220"/>
      <c r="BK402" s="1220"/>
      <c r="BL402" s="1220"/>
      <c r="BM402" s="1220"/>
      <c r="BN402" s="1220"/>
      <c r="BO402" s="1220"/>
    </row>
    <row r="403" spans="1:67" ht="35.1" customHeight="1" x14ac:dyDescent="0.25">
      <c r="A403" s="3">
        <f t="shared" si="6"/>
        <v>391</v>
      </c>
      <c r="B403" s="1218" t="s">
        <v>162</v>
      </c>
      <c r="C403" s="1218"/>
      <c r="D403" s="1221"/>
      <c r="E403" s="1221"/>
      <c r="F403" s="1221"/>
      <c r="G403" s="1221"/>
      <c r="H403" s="1221"/>
      <c r="I403" s="540"/>
      <c r="J403" s="540"/>
      <c r="K403" s="540"/>
      <c r="L403" s="540"/>
      <c r="M403" s="540"/>
      <c r="N403" s="540"/>
      <c r="O403" s="540"/>
      <c r="P403" s="540"/>
      <c r="Q403" s="540"/>
      <c r="R403" s="540"/>
      <c r="S403" s="540"/>
      <c r="T403" s="540"/>
      <c r="U403" s="540"/>
      <c r="V403" s="540"/>
      <c r="W403" s="540"/>
      <c r="X403" s="540"/>
      <c r="Y403" s="540"/>
      <c r="Z403" s="540"/>
      <c r="AA403" s="540"/>
      <c r="AB403" s="540"/>
      <c r="AC403" s="540"/>
      <c r="AD403" s="540"/>
      <c r="AE403" s="540"/>
      <c r="AF403" s="540"/>
      <c r="AG403" s="540"/>
      <c r="AH403" s="540"/>
      <c r="AI403" s="540"/>
      <c r="AJ403" s="540"/>
      <c r="AK403" s="540"/>
      <c r="AL403" s="540"/>
      <c r="AM403" s="540"/>
      <c r="AN403" s="540"/>
      <c r="AO403" s="540"/>
      <c r="AP403" s="540"/>
      <c r="AQ403" s="540"/>
      <c r="AR403" s="540"/>
      <c r="AS403" s="540"/>
      <c r="AT403" s="540"/>
      <c r="AU403" s="540"/>
      <c r="AV403" s="540"/>
      <c r="AW403" s="1259"/>
      <c r="AX403" s="1259"/>
      <c r="AY403" s="1259"/>
      <c r="AZ403" s="540"/>
      <c r="BA403" s="540"/>
      <c r="BB403" s="540"/>
      <c r="BC403" s="540"/>
      <c r="BD403" s="540"/>
      <c r="BE403" s="540"/>
      <c r="BF403" s="540"/>
      <c r="BG403" s="540"/>
      <c r="BH403" s="540"/>
      <c r="BI403" s="540"/>
      <c r="BJ403" s="540"/>
      <c r="BK403" s="540"/>
      <c r="BL403" s="540"/>
      <c r="BM403" s="540"/>
      <c r="BN403" s="540"/>
      <c r="BO403" s="540"/>
    </row>
    <row r="404" spans="1:67" ht="35.1" customHeight="1" x14ac:dyDescent="0.25">
      <c r="A404" s="3">
        <f t="shared" si="6"/>
        <v>392</v>
      </c>
      <c r="B404" s="1218" t="s">
        <v>162</v>
      </c>
      <c r="C404" s="1218"/>
      <c r="D404" s="1222"/>
      <c r="E404" s="1222"/>
      <c r="F404" s="1222"/>
      <c r="G404" s="1222"/>
      <c r="H404" s="1222"/>
      <c r="I404" s="1219"/>
      <c r="J404" s="1219"/>
      <c r="K404" s="1219"/>
      <c r="L404" s="1219"/>
      <c r="M404" s="1219"/>
      <c r="N404" s="1219"/>
      <c r="O404" s="1219"/>
      <c r="P404" s="1219"/>
      <c r="Q404" s="1220"/>
      <c r="R404" s="1220"/>
      <c r="S404" s="1220"/>
      <c r="T404" s="1220"/>
      <c r="U404" s="1220"/>
      <c r="V404" s="1220"/>
      <c r="W404" s="1220"/>
      <c r="X404" s="1220"/>
      <c r="Y404" s="1219"/>
      <c r="Z404" s="1219"/>
      <c r="AA404" s="1220"/>
      <c r="AB404" s="1220"/>
      <c r="AC404" s="1220"/>
      <c r="AD404" s="1220"/>
      <c r="AE404" s="1219"/>
      <c r="AF404" s="1219"/>
      <c r="AG404" s="1219"/>
      <c r="AH404" s="1220"/>
      <c r="AI404" s="1220"/>
      <c r="AJ404" s="1220"/>
      <c r="AK404" s="1219"/>
      <c r="AL404" s="1219"/>
      <c r="AM404" s="1219"/>
      <c r="AN404" s="1219"/>
      <c r="AO404" s="1220"/>
      <c r="AP404" s="1220"/>
      <c r="AQ404" s="1220"/>
      <c r="AR404" s="1220"/>
      <c r="AS404" s="1220"/>
      <c r="AT404" s="1220"/>
      <c r="AU404" s="1220"/>
      <c r="AV404" s="1220"/>
      <c r="AW404" s="1258"/>
      <c r="AX404" s="1258"/>
      <c r="AY404" s="1258"/>
      <c r="AZ404" s="1220"/>
      <c r="BA404" s="1220"/>
      <c r="BB404" s="1220"/>
      <c r="BC404" s="1220"/>
      <c r="BD404" s="1220"/>
      <c r="BE404" s="1220"/>
      <c r="BF404" s="1220"/>
      <c r="BG404" s="1220"/>
      <c r="BH404" s="1220"/>
      <c r="BI404" s="1220"/>
      <c r="BJ404" s="1220"/>
      <c r="BK404" s="1220"/>
      <c r="BL404" s="1220"/>
      <c r="BM404" s="1220"/>
      <c r="BN404" s="1220"/>
      <c r="BO404" s="1220"/>
    </row>
    <row r="405" spans="1:67" ht="35.1" customHeight="1" x14ac:dyDescent="0.25">
      <c r="A405" s="3">
        <f t="shared" si="6"/>
        <v>393</v>
      </c>
      <c r="B405" s="1218" t="s">
        <v>162</v>
      </c>
      <c r="C405" s="1218"/>
      <c r="D405" s="1221"/>
      <c r="E405" s="1221"/>
      <c r="F405" s="1221"/>
      <c r="G405" s="1221"/>
      <c r="H405" s="1221"/>
      <c r="I405" s="540"/>
      <c r="J405" s="540"/>
      <c r="K405" s="540"/>
      <c r="L405" s="540"/>
      <c r="M405" s="540"/>
      <c r="N405" s="540"/>
      <c r="O405" s="540"/>
      <c r="P405" s="540"/>
      <c r="Q405" s="540"/>
      <c r="R405" s="540"/>
      <c r="S405" s="540"/>
      <c r="T405" s="540"/>
      <c r="U405" s="540"/>
      <c r="V405" s="540"/>
      <c r="W405" s="540"/>
      <c r="X405" s="540"/>
      <c r="Y405" s="540"/>
      <c r="Z405" s="540"/>
      <c r="AA405" s="540"/>
      <c r="AB405" s="540"/>
      <c r="AC405" s="540"/>
      <c r="AD405" s="540"/>
      <c r="AE405" s="540"/>
      <c r="AF405" s="540"/>
      <c r="AG405" s="540"/>
      <c r="AH405" s="540"/>
      <c r="AI405" s="540"/>
      <c r="AJ405" s="540"/>
      <c r="AK405" s="540"/>
      <c r="AL405" s="540"/>
      <c r="AM405" s="540"/>
      <c r="AN405" s="540"/>
      <c r="AO405" s="540"/>
      <c r="AP405" s="540"/>
      <c r="AQ405" s="540"/>
      <c r="AR405" s="540"/>
      <c r="AS405" s="540"/>
      <c r="AT405" s="540"/>
      <c r="AU405" s="540"/>
      <c r="AV405" s="540"/>
      <c r="AW405" s="1259"/>
      <c r="AX405" s="1259"/>
      <c r="AY405" s="1259"/>
      <c r="AZ405" s="540"/>
      <c r="BA405" s="540"/>
      <c r="BB405" s="540"/>
      <c r="BC405" s="540"/>
      <c r="BD405" s="540"/>
      <c r="BE405" s="540"/>
      <c r="BF405" s="540"/>
      <c r="BG405" s="540"/>
      <c r="BH405" s="540"/>
      <c r="BI405" s="540"/>
      <c r="BJ405" s="540"/>
      <c r="BK405" s="540"/>
      <c r="BL405" s="540"/>
      <c r="BM405" s="540"/>
      <c r="BN405" s="540"/>
      <c r="BO405" s="540"/>
    </row>
    <row r="406" spans="1:67" ht="35.1" customHeight="1" x14ac:dyDescent="0.25">
      <c r="A406" s="3">
        <f t="shared" si="6"/>
        <v>394</v>
      </c>
      <c r="B406" s="1218" t="s">
        <v>162</v>
      </c>
      <c r="C406" s="1218"/>
      <c r="D406" s="1222"/>
      <c r="E406" s="1222"/>
      <c r="F406" s="1222"/>
      <c r="G406" s="1222"/>
      <c r="H406" s="1222"/>
      <c r="I406" s="1219"/>
      <c r="J406" s="1219"/>
      <c r="K406" s="1219"/>
      <c r="L406" s="1219"/>
      <c r="M406" s="1219"/>
      <c r="N406" s="1219"/>
      <c r="O406" s="1219"/>
      <c r="P406" s="1219"/>
      <c r="Q406" s="1220"/>
      <c r="R406" s="1220"/>
      <c r="S406" s="1220"/>
      <c r="T406" s="1220"/>
      <c r="U406" s="1220"/>
      <c r="V406" s="1220"/>
      <c r="W406" s="1220"/>
      <c r="X406" s="1220"/>
      <c r="Y406" s="1219"/>
      <c r="Z406" s="1219"/>
      <c r="AA406" s="1220"/>
      <c r="AB406" s="1220"/>
      <c r="AC406" s="1220"/>
      <c r="AD406" s="1220"/>
      <c r="AE406" s="1219"/>
      <c r="AF406" s="1219"/>
      <c r="AG406" s="1219"/>
      <c r="AH406" s="1220"/>
      <c r="AI406" s="1220"/>
      <c r="AJ406" s="1220"/>
      <c r="AK406" s="1219"/>
      <c r="AL406" s="1219"/>
      <c r="AM406" s="1219"/>
      <c r="AN406" s="1219"/>
      <c r="AO406" s="1220"/>
      <c r="AP406" s="1220"/>
      <c r="AQ406" s="1220"/>
      <c r="AR406" s="1220"/>
      <c r="AS406" s="1220"/>
      <c r="AT406" s="1220"/>
      <c r="AU406" s="1220"/>
      <c r="AV406" s="1220"/>
      <c r="AW406" s="1258"/>
      <c r="AX406" s="1258"/>
      <c r="AY406" s="1258"/>
      <c r="AZ406" s="1220"/>
      <c r="BA406" s="1220"/>
      <c r="BB406" s="1220"/>
      <c r="BC406" s="1220"/>
      <c r="BD406" s="1220"/>
      <c r="BE406" s="1220"/>
      <c r="BF406" s="1220"/>
      <c r="BG406" s="1220"/>
      <c r="BH406" s="1220"/>
      <c r="BI406" s="1220"/>
      <c r="BJ406" s="1220"/>
      <c r="BK406" s="1220"/>
      <c r="BL406" s="1220"/>
      <c r="BM406" s="1220"/>
      <c r="BN406" s="1220"/>
      <c r="BO406" s="1220"/>
    </row>
    <row r="407" spans="1:67" ht="35.1" customHeight="1" x14ac:dyDescent="0.25">
      <c r="A407" s="3">
        <f t="shared" si="6"/>
        <v>395</v>
      </c>
      <c r="B407" s="1218" t="s">
        <v>162</v>
      </c>
      <c r="C407" s="1218"/>
      <c r="D407" s="1221"/>
      <c r="E407" s="1221"/>
      <c r="F407" s="1221"/>
      <c r="G407" s="1221"/>
      <c r="H407" s="1221"/>
      <c r="I407" s="540"/>
      <c r="J407" s="540"/>
      <c r="K407" s="540"/>
      <c r="L407" s="540"/>
      <c r="M407" s="540"/>
      <c r="N407" s="540"/>
      <c r="O407" s="540"/>
      <c r="P407" s="540"/>
      <c r="Q407" s="540"/>
      <c r="R407" s="540"/>
      <c r="S407" s="540"/>
      <c r="T407" s="540"/>
      <c r="U407" s="540"/>
      <c r="V407" s="540"/>
      <c r="W407" s="540"/>
      <c r="X407" s="540"/>
      <c r="Y407" s="540"/>
      <c r="Z407" s="540"/>
      <c r="AA407" s="540"/>
      <c r="AB407" s="540"/>
      <c r="AC407" s="540"/>
      <c r="AD407" s="540"/>
      <c r="AE407" s="540"/>
      <c r="AF407" s="540"/>
      <c r="AG407" s="540"/>
      <c r="AH407" s="540"/>
      <c r="AI407" s="540"/>
      <c r="AJ407" s="540"/>
      <c r="AK407" s="540"/>
      <c r="AL407" s="540"/>
      <c r="AM407" s="540"/>
      <c r="AN407" s="540"/>
      <c r="AO407" s="540"/>
      <c r="AP407" s="540"/>
      <c r="AQ407" s="540"/>
      <c r="AR407" s="540"/>
      <c r="AS407" s="540"/>
      <c r="AT407" s="540"/>
      <c r="AU407" s="540"/>
      <c r="AV407" s="540"/>
      <c r="AW407" s="1259"/>
      <c r="AX407" s="1259"/>
      <c r="AY407" s="1259"/>
      <c r="AZ407" s="540"/>
      <c r="BA407" s="540"/>
      <c r="BB407" s="540"/>
      <c r="BC407" s="540"/>
      <c r="BD407" s="540"/>
      <c r="BE407" s="540"/>
      <c r="BF407" s="540"/>
      <c r="BG407" s="540"/>
      <c r="BH407" s="540"/>
      <c r="BI407" s="540"/>
      <c r="BJ407" s="540"/>
      <c r="BK407" s="540"/>
      <c r="BL407" s="540"/>
      <c r="BM407" s="540"/>
      <c r="BN407" s="540"/>
      <c r="BO407" s="540"/>
    </row>
    <row r="408" spans="1:67" ht="35.1" customHeight="1" x14ac:dyDescent="0.25">
      <c r="A408" s="3">
        <f t="shared" si="6"/>
        <v>396</v>
      </c>
      <c r="B408" s="1218" t="s">
        <v>162</v>
      </c>
      <c r="C408" s="1218"/>
      <c r="D408" s="1222"/>
      <c r="E408" s="1222"/>
      <c r="F408" s="1222"/>
      <c r="G408" s="1222"/>
      <c r="H408" s="1222"/>
      <c r="I408" s="1219"/>
      <c r="J408" s="1219"/>
      <c r="K408" s="1219"/>
      <c r="L408" s="1219"/>
      <c r="M408" s="1219"/>
      <c r="N408" s="1219"/>
      <c r="O408" s="1219"/>
      <c r="P408" s="1219"/>
      <c r="Q408" s="1220"/>
      <c r="R408" s="1220"/>
      <c r="S408" s="1220"/>
      <c r="T408" s="1220"/>
      <c r="U408" s="1220"/>
      <c r="V408" s="1220"/>
      <c r="W408" s="1220"/>
      <c r="X408" s="1220"/>
      <c r="Y408" s="1219"/>
      <c r="Z408" s="1219"/>
      <c r="AA408" s="1220"/>
      <c r="AB408" s="1220"/>
      <c r="AC408" s="1220"/>
      <c r="AD408" s="1220"/>
      <c r="AE408" s="1219"/>
      <c r="AF408" s="1219"/>
      <c r="AG408" s="1219"/>
      <c r="AH408" s="1220"/>
      <c r="AI408" s="1220"/>
      <c r="AJ408" s="1220"/>
      <c r="AK408" s="1219"/>
      <c r="AL408" s="1219"/>
      <c r="AM408" s="1219"/>
      <c r="AN408" s="1219"/>
      <c r="AO408" s="1220"/>
      <c r="AP408" s="1220"/>
      <c r="AQ408" s="1220"/>
      <c r="AR408" s="1220"/>
      <c r="AS408" s="1220"/>
      <c r="AT408" s="1220"/>
      <c r="AU408" s="1220"/>
      <c r="AV408" s="1220"/>
      <c r="AW408" s="1258"/>
      <c r="AX408" s="1258"/>
      <c r="AY408" s="1258"/>
      <c r="AZ408" s="1220"/>
      <c r="BA408" s="1220"/>
      <c r="BB408" s="1220"/>
      <c r="BC408" s="1220"/>
      <c r="BD408" s="1220"/>
      <c r="BE408" s="1220"/>
      <c r="BF408" s="1220"/>
      <c r="BG408" s="1220"/>
      <c r="BH408" s="1220"/>
      <c r="BI408" s="1220"/>
      <c r="BJ408" s="1220"/>
      <c r="BK408" s="1220"/>
      <c r="BL408" s="1220"/>
      <c r="BM408" s="1220"/>
      <c r="BN408" s="1220"/>
      <c r="BO408" s="1220"/>
    </row>
    <row r="409" spans="1:67" ht="35.1" customHeight="1" x14ac:dyDescent="0.25">
      <c r="A409" s="3">
        <f t="shared" si="6"/>
        <v>397</v>
      </c>
      <c r="B409" s="1218" t="s">
        <v>162</v>
      </c>
      <c r="C409" s="1218"/>
      <c r="D409" s="1221"/>
      <c r="E409" s="1221"/>
      <c r="F409" s="1221"/>
      <c r="G409" s="1221"/>
      <c r="H409" s="1221"/>
      <c r="I409" s="540"/>
      <c r="J409" s="540"/>
      <c r="K409" s="540"/>
      <c r="L409" s="540"/>
      <c r="M409" s="540"/>
      <c r="N409" s="540"/>
      <c r="O409" s="540"/>
      <c r="P409" s="540"/>
      <c r="Q409" s="540"/>
      <c r="R409" s="540"/>
      <c r="S409" s="540"/>
      <c r="T409" s="540"/>
      <c r="U409" s="540"/>
      <c r="V409" s="540"/>
      <c r="W409" s="540"/>
      <c r="X409" s="540"/>
      <c r="Y409" s="540"/>
      <c r="Z409" s="540"/>
      <c r="AA409" s="540"/>
      <c r="AB409" s="540"/>
      <c r="AC409" s="540"/>
      <c r="AD409" s="540"/>
      <c r="AE409" s="540"/>
      <c r="AF409" s="540"/>
      <c r="AG409" s="540"/>
      <c r="AH409" s="540"/>
      <c r="AI409" s="540"/>
      <c r="AJ409" s="540"/>
      <c r="AK409" s="540"/>
      <c r="AL409" s="540"/>
      <c r="AM409" s="540"/>
      <c r="AN409" s="540"/>
      <c r="AO409" s="540"/>
      <c r="AP409" s="540"/>
      <c r="AQ409" s="540"/>
      <c r="AR409" s="540"/>
      <c r="AS409" s="540"/>
      <c r="AT409" s="540"/>
      <c r="AU409" s="540"/>
      <c r="AV409" s="540"/>
      <c r="AW409" s="1259"/>
      <c r="AX409" s="1259"/>
      <c r="AY409" s="1259"/>
      <c r="AZ409" s="540"/>
      <c r="BA409" s="540"/>
      <c r="BB409" s="540"/>
      <c r="BC409" s="540"/>
      <c r="BD409" s="540"/>
      <c r="BE409" s="540"/>
      <c r="BF409" s="540"/>
      <c r="BG409" s="540"/>
      <c r="BH409" s="540"/>
      <c r="BI409" s="540"/>
      <c r="BJ409" s="540"/>
      <c r="BK409" s="540"/>
      <c r="BL409" s="540"/>
      <c r="BM409" s="540"/>
      <c r="BN409" s="540"/>
      <c r="BO409" s="540"/>
    </row>
    <row r="410" spans="1:67" ht="35.1" customHeight="1" x14ac:dyDescent="0.25">
      <c r="A410" s="3">
        <f t="shared" si="6"/>
        <v>398</v>
      </c>
      <c r="B410" s="1235" t="s">
        <v>162</v>
      </c>
      <c r="C410" s="1235"/>
      <c r="D410" s="1222"/>
      <c r="E410" s="1222"/>
      <c r="F410" s="1222"/>
      <c r="G410" s="1222"/>
      <c r="H410" s="1222"/>
      <c r="I410" s="1219"/>
      <c r="J410" s="1219"/>
      <c r="K410" s="1219"/>
      <c r="L410" s="1219"/>
      <c r="M410" s="1219"/>
      <c r="N410" s="1219"/>
      <c r="O410" s="1219"/>
      <c r="P410" s="1219"/>
      <c r="Q410" s="1220"/>
      <c r="R410" s="1220"/>
      <c r="S410" s="1220"/>
      <c r="T410" s="1220"/>
      <c r="U410" s="1220"/>
      <c r="V410" s="1220"/>
      <c r="W410" s="1220"/>
      <c r="X410" s="1220"/>
      <c r="Y410" s="1219"/>
      <c r="Z410" s="1219"/>
      <c r="AA410" s="1220"/>
      <c r="AB410" s="1220"/>
      <c r="AC410" s="1220"/>
      <c r="AD410" s="1220"/>
      <c r="AE410" s="1219"/>
      <c r="AF410" s="1219"/>
      <c r="AG410" s="1219"/>
      <c r="AH410" s="1220"/>
      <c r="AI410" s="1220"/>
      <c r="AJ410" s="1220"/>
      <c r="AK410" s="1219"/>
      <c r="AL410" s="1219"/>
      <c r="AM410" s="1219"/>
      <c r="AN410" s="1219"/>
      <c r="AO410" s="1220"/>
      <c r="AP410" s="1220"/>
      <c r="AQ410" s="1220"/>
      <c r="AR410" s="1220"/>
      <c r="AS410" s="1220"/>
      <c r="AT410" s="1220"/>
      <c r="AU410" s="1220"/>
      <c r="AV410" s="1220"/>
      <c r="AW410" s="1258"/>
      <c r="AX410" s="1258"/>
      <c r="AY410" s="1258"/>
      <c r="AZ410" s="1220"/>
      <c r="BA410" s="1220"/>
      <c r="BB410" s="1220"/>
      <c r="BC410" s="1220"/>
      <c r="BD410" s="1220"/>
      <c r="BE410" s="1220"/>
      <c r="BF410" s="1220"/>
      <c r="BG410" s="1220"/>
      <c r="BH410" s="1220"/>
      <c r="BI410" s="1220"/>
      <c r="BJ410" s="1220"/>
      <c r="BK410" s="1220"/>
      <c r="BL410" s="1220"/>
      <c r="BM410" s="1220"/>
      <c r="BN410" s="1220"/>
      <c r="BO410" s="1220"/>
    </row>
    <row r="411" spans="1:67" ht="35.1" customHeight="1" x14ac:dyDescent="0.25">
      <c r="A411" s="3">
        <f t="shared" si="6"/>
        <v>399</v>
      </c>
      <c r="B411" s="1218" t="s">
        <v>162</v>
      </c>
      <c r="C411" s="1218"/>
      <c r="D411" s="1221"/>
      <c r="E411" s="1221"/>
      <c r="F411" s="1221"/>
      <c r="G411" s="1221"/>
      <c r="H411" s="1221"/>
      <c r="I411" s="540"/>
      <c r="J411" s="540"/>
      <c r="K411" s="540"/>
      <c r="L411" s="540"/>
      <c r="M411" s="540"/>
      <c r="N411" s="540"/>
      <c r="O411" s="540"/>
      <c r="P411" s="540"/>
      <c r="Q411" s="540"/>
      <c r="R411" s="540"/>
      <c r="S411" s="540"/>
      <c r="T411" s="540"/>
      <c r="U411" s="540"/>
      <c r="V411" s="540"/>
      <c r="W411" s="540"/>
      <c r="X411" s="540"/>
      <c r="Y411" s="540"/>
      <c r="Z411" s="540"/>
      <c r="AA411" s="540"/>
      <c r="AB411" s="540"/>
      <c r="AC411" s="540"/>
      <c r="AD411" s="540"/>
      <c r="AE411" s="540"/>
      <c r="AF411" s="540"/>
      <c r="AG411" s="540"/>
      <c r="AH411" s="540"/>
      <c r="AI411" s="540"/>
      <c r="AJ411" s="540"/>
      <c r="AK411" s="540"/>
      <c r="AL411" s="540"/>
      <c r="AM411" s="540"/>
      <c r="AN411" s="540"/>
      <c r="AO411" s="540"/>
      <c r="AP411" s="540"/>
      <c r="AQ411" s="540"/>
      <c r="AR411" s="540"/>
      <c r="AS411" s="540"/>
      <c r="AT411" s="540"/>
      <c r="AU411" s="540"/>
      <c r="AV411" s="540"/>
      <c r="AW411" s="1259"/>
      <c r="AX411" s="1259"/>
      <c r="AY411" s="1259"/>
      <c r="AZ411" s="540"/>
      <c r="BA411" s="540"/>
      <c r="BB411" s="540"/>
      <c r="BC411" s="540"/>
      <c r="BD411" s="540"/>
      <c r="BE411" s="540"/>
      <c r="BF411" s="540"/>
      <c r="BG411" s="540"/>
      <c r="BH411" s="540"/>
      <c r="BI411" s="540"/>
      <c r="BJ411" s="540"/>
      <c r="BK411" s="540"/>
      <c r="BL411" s="540"/>
      <c r="BM411" s="540"/>
      <c r="BN411" s="540"/>
      <c r="BO411" s="540"/>
    </row>
    <row r="412" spans="1:67" ht="35.1" customHeight="1" x14ac:dyDescent="0.25">
      <c r="A412" s="3">
        <f t="shared" si="6"/>
        <v>400</v>
      </c>
      <c r="B412" s="1218" t="s">
        <v>162</v>
      </c>
      <c r="C412" s="1218"/>
      <c r="D412" s="1222"/>
      <c r="E412" s="1222"/>
      <c r="F412" s="1222"/>
      <c r="G412" s="1222"/>
      <c r="H412" s="1222"/>
      <c r="I412" s="1219"/>
      <c r="J412" s="1219"/>
      <c r="K412" s="1219"/>
      <c r="L412" s="1219"/>
      <c r="M412" s="1219"/>
      <c r="N412" s="1219"/>
      <c r="O412" s="1219"/>
      <c r="P412" s="1219"/>
      <c r="Q412" s="1220"/>
      <c r="R412" s="1220"/>
      <c r="S412" s="1220"/>
      <c r="T412" s="1220"/>
      <c r="U412" s="1220"/>
      <c r="V412" s="1220"/>
      <c r="W412" s="1220"/>
      <c r="X412" s="1220"/>
      <c r="Y412" s="1219"/>
      <c r="Z412" s="1219"/>
      <c r="AA412" s="1220"/>
      <c r="AB412" s="1220"/>
      <c r="AC412" s="1220"/>
      <c r="AD412" s="1220"/>
      <c r="AE412" s="1219"/>
      <c r="AF412" s="1219"/>
      <c r="AG412" s="1219"/>
      <c r="AH412" s="1220"/>
      <c r="AI412" s="1220"/>
      <c r="AJ412" s="1220"/>
      <c r="AK412" s="1219"/>
      <c r="AL412" s="1219"/>
      <c r="AM412" s="1219"/>
      <c r="AN412" s="1219"/>
      <c r="AO412" s="1220"/>
      <c r="AP412" s="1220"/>
      <c r="AQ412" s="1220"/>
      <c r="AR412" s="1220"/>
      <c r="AS412" s="1220"/>
      <c r="AT412" s="1220"/>
      <c r="AU412" s="1220"/>
      <c r="AV412" s="1220"/>
      <c r="AW412" s="1258"/>
      <c r="AX412" s="1258"/>
      <c r="AY412" s="1258"/>
      <c r="AZ412" s="1220"/>
      <c r="BA412" s="1220"/>
      <c r="BB412" s="1220"/>
      <c r="BC412" s="1220"/>
      <c r="BD412" s="1220"/>
      <c r="BE412" s="1220"/>
      <c r="BF412" s="1220"/>
      <c r="BG412" s="1220"/>
      <c r="BH412" s="1220"/>
      <c r="BI412" s="1220"/>
      <c r="BJ412" s="1220"/>
      <c r="BK412" s="1220"/>
      <c r="BL412" s="1220"/>
      <c r="BM412" s="1220"/>
      <c r="BN412" s="1220"/>
      <c r="BO412" s="1220"/>
    </row>
    <row r="413" spans="1:67" ht="35.1" customHeight="1" x14ac:dyDescent="0.25">
      <c r="A413" s="3">
        <f t="shared" si="6"/>
        <v>401</v>
      </c>
      <c r="B413" s="1218" t="s">
        <v>162</v>
      </c>
      <c r="C413" s="1218"/>
      <c r="D413" s="1221"/>
      <c r="E413" s="1221"/>
      <c r="F413" s="1221"/>
      <c r="G413" s="1221"/>
      <c r="H413" s="1221"/>
      <c r="I413" s="540"/>
      <c r="J413" s="540"/>
      <c r="K413" s="540"/>
      <c r="L413" s="540"/>
      <c r="M413" s="540"/>
      <c r="N413" s="540"/>
      <c r="O413" s="540"/>
      <c r="P413" s="540"/>
      <c r="Q413" s="540"/>
      <c r="R413" s="540"/>
      <c r="S413" s="540"/>
      <c r="T413" s="540"/>
      <c r="U413" s="540"/>
      <c r="V413" s="540"/>
      <c r="W413" s="540"/>
      <c r="X413" s="540"/>
      <c r="Y413" s="540"/>
      <c r="Z413" s="540"/>
      <c r="AA413" s="540"/>
      <c r="AB413" s="540"/>
      <c r="AC413" s="540"/>
      <c r="AD413" s="540"/>
      <c r="AE413" s="540"/>
      <c r="AF413" s="540"/>
      <c r="AG413" s="540"/>
      <c r="AH413" s="540"/>
      <c r="AI413" s="540"/>
      <c r="AJ413" s="540"/>
      <c r="AK413" s="540"/>
      <c r="AL413" s="540"/>
      <c r="AM413" s="540"/>
      <c r="AN413" s="540"/>
      <c r="AO413" s="540"/>
      <c r="AP413" s="540"/>
      <c r="AQ413" s="540"/>
      <c r="AR413" s="540"/>
      <c r="AS413" s="540"/>
      <c r="AT413" s="540"/>
      <c r="AU413" s="540"/>
      <c r="AV413" s="540"/>
      <c r="AW413" s="1259"/>
      <c r="AX413" s="1259"/>
      <c r="AY413" s="1259"/>
      <c r="AZ413" s="540"/>
      <c r="BA413" s="540"/>
      <c r="BB413" s="540"/>
      <c r="BC413" s="540"/>
      <c r="BD413" s="540"/>
      <c r="BE413" s="540"/>
      <c r="BF413" s="540"/>
      <c r="BG413" s="540"/>
      <c r="BH413" s="540"/>
      <c r="BI413" s="540"/>
      <c r="BJ413" s="540"/>
      <c r="BK413" s="540"/>
      <c r="BL413" s="540"/>
      <c r="BM413" s="540"/>
      <c r="BN413" s="540"/>
      <c r="BO413" s="540"/>
    </row>
    <row r="414" spans="1:67" ht="35.1" customHeight="1" x14ac:dyDescent="0.25">
      <c r="A414" s="3">
        <f t="shared" si="6"/>
        <v>402</v>
      </c>
      <c r="B414" s="1218" t="s">
        <v>162</v>
      </c>
      <c r="C414" s="1218"/>
      <c r="D414" s="1222"/>
      <c r="E414" s="1222"/>
      <c r="F414" s="1222"/>
      <c r="G414" s="1222"/>
      <c r="H414" s="1222"/>
      <c r="I414" s="1219"/>
      <c r="J414" s="1219"/>
      <c r="K414" s="1219"/>
      <c r="L414" s="1219"/>
      <c r="M414" s="1219"/>
      <c r="N414" s="1219"/>
      <c r="O414" s="1219"/>
      <c r="P414" s="1219"/>
      <c r="Q414" s="1220"/>
      <c r="R414" s="1220"/>
      <c r="S414" s="1220"/>
      <c r="T414" s="1220"/>
      <c r="U414" s="1220"/>
      <c r="V414" s="1220"/>
      <c r="W414" s="1220"/>
      <c r="X414" s="1220"/>
      <c r="Y414" s="1219"/>
      <c r="Z414" s="1219"/>
      <c r="AA414" s="1220"/>
      <c r="AB414" s="1220"/>
      <c r="AC414" s="1220"/>
      <c r="AD414" s="1220"/>
      <c r="AE414" s="1219"/>
      <c r="AF414" s="1219"/>
      <c r="AG414" s="1219"/>
      <c r="AH414" s="1220"/>
      <c r="AI414" s="1220"/>
      <c r="AJ414" s="1220"/>
      <c r="AK414" s="1219"/>
      <c r="AL414" s="1219"/>
      <c r="AM414" s="1219"/>
      <c r="AN414" s="1219"/>
      <c r="AO414" s="1220"/>
      <c r="AP414" s="1220"/>
      <c r="AQ414" s="1220"/>
      <c r="AR414" s="1220"/>
      <c r="AS414" s="1220"/>
      <c r="AT414" s="1220"/>
      <c r="AU414" s="1220"/>
      <c r="AV414" s="1220"/>
      <c r="AW414" s="1258"/>
      <c r="AX414" s="1258"/>
      <c r="AY414" s="1258"/>
      <c r="AZ414" s="1220"/>
      <c r="BA414" s="1220"/>
      <c r="BB414" s="1220"/>
      <c r="BC414" s="1220"/>
      <c r="BD414" s="1220"/>
      <c r="BE414" s="1220"/>
      <c r="BF414" s="1220"/>
      <c r="BG414" s="1220"/>
      <c r="BH414" s="1220"/>
      <c r="BI414" s="1220"/>
      <c r="BJ414" s="1220"/>
      <c r="BK414" s="1220"/>
      <c r="BL414" s="1220"/>
      <c r="BM414" s="1220"/>
      <c r="BN414" s="1220"/>
      <c r="BO414" s="1220"/>
    </row>
    <row r="415" spans="1:67" ht="35.1" customHeight="1" x14ac:dyDescent="0.25">
      <c r="A415" s="3">
        <f t="shared" si="6"/>
        <v>403</v>
      </c>
      <c r="B415" s="1218" t="s">
        <v>162</v>
      </c>
      <c r="C415" s="1218"/>
      <c r="D415" s="1221"/>
      <c r="E415" s="1221"/>
      <c r="F415" s="1221"/>
      <c r="G415" s="1221"/>
      <c r="H415" s="1221"/>
      <c r="I415" s="540"/>
      <c r="J415" s="540"/>
      <c r="K415" s="540"/>
      <c r="L415" s="540"/>
      <c r="M415" s="540"/>
      <c r="N415" s="540"/>
      <c r="O415" s="540"/>
      <c r="P415" s="540"/>
      <c r="Q415" s="540"/>
      <c r="R415" s="540"/>
      <c r="S415" s="540"/>
      <c r="T415" s="540"/>
      <c r="U415" s="540"/>
      <c r="V415" s="540"/>
      <c r="W415" s="540"/>
      <c r="X415" s="540"/>
      <c r="Y415" s="540"/>
      <c r="Z415" s="540"/>
      <c r="AA415" s="540"/>
      <c r="AB415" s="540"/>
      <c r="AC415" s="540"/>
      <c r="AD415" s="540"/>
      <c r="AE415" s="540"/>
      <c r="AF415" s="540"/>
      <c r="AG415" s="540"/>
      <c r="AH415" s="540"/>
      <c r="AI415" s="540"/>
      <c r="AJ415" s="540"/>
      <c r="AK415" s="540"/>
      <c r="AL415" s="540"/>
      <c r="AM415" s="540"/>
      <c r="AN415" s="540"/>
      <c r="AO415" s="540"/>
      <c r="AP415" s="540"/>
      <c r="AQ415" s="540"/>
      <c r="AR415" s="540"/>
      <c r="AS415" s="540"/>
      <c r="AT415" s="540"/>
      <c r="AU415" s="540"/>
      <c r="AV415" s="540"/>
      <c r="AW415" s="1259"/>
      <c r="AX415" s="1259"/>
      <c r="AY415" s="1259"/>
      <c r="AZ415" s="540"/>
      <c r="BA415" s="540"/>
      <c r="BB415" s="540"/>
      <c r="BC415" s="540"/>
      <c r="BD415" s="540"/>
      <c r="BE415" s="540"/>
      <c r="BF415" s="540"/>
      <c r="BG415" s="540"/>
      <c r="BH415" s="540"/>
      <c r="BI415" s="540"/>
      <c r="BJ415" s="540"/>
      <c r="BK415" s="540"/>
      <c r="BL415" s="540"/>
      <c r="BM415" s="540"/>
      <c r="BN415" s="540"/>
      <c r="BO415" s="540"/>
    </row>
    <row r="416" spans="1:67" ht="35.1" customHeight="1" x14ac:dyDescent="0.25">
      <c r="A416" s="3">
        <f t="shared" si="6"/>
        <v>404</v>
      </c>
      <c r="B416" s="1218" t="s">
        <v>162</v>
      </c>
      <c r="C416" s="1218"/>
      <c r="D416" s="1222"/>
      <c r="E416" s="1222"/>
      <c r="F416" s="1222"/>
      <c r="G416" s="1222"/>
      <c r="H416" s="1222"/>
      <c r="I416" s="1219"/>
      <c r="J416" s="1219"/>
      <c r="K416" s="1219"/>
      <c r="L416" s="1219"/>
      <c r="M416" s="1219"/>
      <c r="N416" s="1219"/>
      <c r="O416" s="1219"/>
      <c r="P416" s="1219"/>
      <c r="Q416" s="1220"/>
      <c r="R416" s="1220"/>
      <c r="S416" s="1220"/>
      <c r="T416" s="1220"/>
      <c r="U416" s="1220"/>
      <c r="V416" s="1220"/>
      <c r="W416" s="1220"/>
      <c r="X416" s="1220"/>
      <c r="Y416" s="1219"/>
      <c r="Z416" s="1219"/>
      <c r="AA416" s="1220"/>
      <c r="AB416" s="1220"/>
      <c r="AC416" s="1220"/>
      <c r="AD416" s="1220"/>
      <c r="AE416" s="1219"/>
      <c r="AF416" s="1219"/>
      <c r="AG416" s="1219"/>
      <c r="AH416" s="1220"/>
      <c r="AI416" s="1220"/>
      <c r="AJ416" s="1220"/>
      <c r="AK416" s="1219"/>
      <c r="AL416" s="1219"/>
      <c r="AM416" s="1219"/>
      <c r="AN416" s="1219"/>
      <c r="AO416" s="1220"/>
      <c r="AP416" s="1220"/>
      <c r="AQ416" s="1220"/>
      <c r="AR416" s="1220"/>
      <c r="AS416" s="1220"/>
      <c r="AT416" s="1220"/>
      <c r="AU416" s="1220"/>
      <c r="AV416" s="1220"/>
      <c r="AW416" s="1258"/>
      <c r="AX416" s="1258"/>
      <c r="AY416" s="1258"/>
      <c r="AZ416" s="1220"/>
      <c r="BA416" s="1220"/>
      <c r="BB416" s="1220"/>
      <c r="BC416" s="1220"/>
      <c r="BD416" s="1220"/>
      <c r="BE416" s="1220"/>
      <c r="BF416" s="1220"/>
      <c r="BG416" s="1220"/>
      <c r="BH416" s="1220"/>
      <c r="BI416" s="1220"/>
      <c r="BJ416" s="1220"/>
      <c r="BK416" s="1220"/>
      <c r="BL416" s="1220"/>
      <c r="BM416" s="1220"/>
      <c r="BN416" s="1220"/>
      <c r="BO416" s="1220"/>
    </row>
    <row r="417" spans="1:67" ht="35.1" customHeight="1" x14ac:dyDescent="0.25">
      <c r="A417" s="3">
        <f t="shared" si="6"/>
        <v>405</v>
      </c>
      <c r="B417" s="1218" t="s">
        <v>162</v>
      </c>
      <c r="C417" s="1218"/>
      <c r="D417" s="1221"/>
      <c r="E417" s="1221"/>
      <c r="F417" s="1221"/>
      <c r="G417" s="1221"/>
      <c r="H417" s="1221"/>
      <c r="I417" s="540"/>
      <c r="J417" s="540"/>
      <c r="K417" s="540"/>
      <c r="L417" s="540"/>
      <c r="M417" s="540"/>
      <c r="N417" s="540"/>
      <c r="O417" s="540"/>
      <c r="P417" s="540"/>
      <c r="Q417" s="540"/>
      <c r="R417" s="540"/>
      <c r="S417" s="540"/>
      <c r="T417" s="540"/>
      <c r="U417" s="540"/>
      <c r="V417" s="540"/>
      <c r="W417" s="540"/>
      <c r="X417" s="540"/>
      <c r="Y417" s="540"/>
      <c r="Z417" s="540"/>
      <c r="AA417" s="540"/>
      <c r="AB417" s="540"/>
      <c r="AC417" s="540"/>
      <c r="AD417" s="540"/>
      <c r="AE417" s="540"/>
      <c r="AF417" s="540"/>
      <c r="AG417" s="540"/>
      <c r="AH417" s="540"/>
      <c r="AI417" s="540"/>
      <c r="AJ417" s="540"/>
      <c r="AK417" s="540"/>
      <c r="AL417" s="540"/>
      <c r="AM417" s="540"/>
      <c r="AN417" s="540"/>
      <c r="AO417" s="540"/>
      <c r="AP417" s="540"/>
      <c r="AQ417" s="540"/>
      <c r="AR417" s="540"/>
      <c r="AS417" s="540"/>
      <c r="AT417" s="540"/>
      <c r="AU417" s="540"/>
      <c r="AV417" s="540"/>
      <c r="AW417" s="1259"/>
      <c r="AX417" s="1259"/>
      <c r="AY417" s="1259"/>
      <c r="AZ417" s="540"/>
      <c r="BA417" s="540"/>
      <c r="BB417" s="540"/>
      <c r="BC417" s="540"/>
      <c r="BD417" s="540"/>
      <c r="BE417" s="540"/>
      <c r="BF417" s="540"/>
      <c r="BG417" s="540"/>
      <c r="BH417" s="540"/>
      <c r="BI417" s="540"/>
      <c r="BJ417" s="540"/>
      <c r="BK417" s="540"/>
      <c r="BL417" s="540"/>
      <c r="BM417" s="540"/>
      <c r="BN417" s="540"/>
      <c r="BO417" s="540"/>
    </row>
    <row r="418" spans="1:67" ht="35.1" customHeight="1" x14ac:dyDescent="0.25">
      <c r="A418" s="3">
        <f t="shared" si="6"/>
        <v>406</v>
      </c>
      <c r="B418" s="1218" t="s">
        <v>162</v>
      </c>
      <c r="C418" s="1218"/>
      <c r="D418" s="1222"/>
      <c r="E418" s="1222"/>
      <c r="F418" s="1222"/>
      <c r="G418" s="1222"/>
      <c r="H418" s="1222"/>
      <c r="I418" s="1219"/>
      <c r="J418" s="1219"/>
      <c r="K418" s="1219"/>
      <c r="L418" s="1219"/>
      <c r="M418" s="1219"/>
      <c r="N418" s="1219"/>
      <c r="O418" s="1219"/>
      <c r="P418" s="1219"/>
      <c r="Q418" s="1220"/>
      <c r="R418" s="1220"/>
      <c r="S418" s="1220"/>
      <c r="T418" s="1220"/>
      <c r="U418" s="1220"/>
      <c r="V418" s="1220"/>
      <c r="W418" s="1220"/>
      <c r="X418" s="1220"/>
      <c r="Y418" s="1219"/>
      <c r="Z418" s="1219"/>
      <c r="AA418" s="1220"/>
      <c r="AB418" s="1220"/>
      <c r="AC418" s="1220"/>
      <c r="AD418" s="1220"/>
      <c r="AE418" s="1219"/>
      <c r="AF418" s="1219"/>
      <c r="AG418" s="1219"/>
      <c r="AH418" s="1220"/>
      <c r="AI418" s="1220"/>
      <c r="AJ418" s="1220"/>
      <c r="AK418" s="1219"/>
      <c r="AL418" s="1219"/>
      <c r="AM418" s="1219"/>
      <c r="AN418" s="1219"/>
      <c r="AO418" s="1220"/>
      <c r="AP418" s="1220"/>
      <c r="AQ418" s="1220"/>
      <c r="AR418" s="1220"/>
      <c r="AS418" s="1220"/>
      <c r="AT418" s="1220"/>
      <c r="AU418" s="1220"/>
      <c r="AV418" s="1220"/>
      <c r="AW418" s="1258"/>
      <c r="AX418" s="1258"/>
      <c r="AY418" s="1258"/>
      <c r="AZ418" s="1220"/>
      <c r="BA418" s="1220"/>
      <c r="BB418" s="1220"/>
      <c r="BC418" s="1220"/>
      <c r="BD418" s="1220"/>
      <c r="BE418" s="1220"/>
      <c r="BF418" s="1220"/>
      <c r="BG418" s="1220"/>
      <c r="BH418" s="1220"/>
      <c r="BI418" s="1220"/>
      <c r="BJ418" s="1220"/>
      <c r="BK418" s="1220"/>
      <c r="BL418" s="1220"/>
      <c r="BM418" s="1220"/>
      <c r="BN418" s="1220"/>
      <c r="BO418" s="1220"/>
    </row>
    <row r="419" spans="1:67" ht="35.1" customHeight="1" x14ac:dyDescent="0.25">
      <c r="A419" s="3">
        <f t="shared" si="6"/>
        <v>407</v>
      </c>
      <c r="B419" s="1218" t="s">
        <v>162</v>
      </c>
      <c r="C419" s="1218"/>
      <c r="D419" s="1221"/>
      <c r="E419" s="1221"/>
      <c r="F419" s="1221"/>
      <c r="G419" s="1221"/>
      <c r="H419" s="1221"/>
      <c r="I419" s="540"/>
      <c r="J419" s="540"/>
      <c r="K419" s="540"/>
      <c r="L419" s="540"/>
      <c r="M419" s="540"/>
      <c r="N419" s="540"/>
      <c r="O419" s="540"/>
      <c r="P419" s="540"/>
      <c r="Q419" s="540"/>
      <c r="R419" s="540"/>
      <c r="S419" s="540"/>
      <c r="T419" s="540"/>
      <c r="U419" s="540"/>
      <c r="V419" s="540"/>
      <c r="W419" s="540"/>
      <c r="X419" s="540"/>
      <c r="Y419" s="540"/>
      <c r="Z419" s="540"/>
      <c r="AA419" s="540"/>
      <c r="AB419" s="540"/>
      <c r="AC419" s="540"/>
      <c r="AD419" s="540"/>
      <c r="AE419" s="540"/>
      <c r="AF419" s="540"/>
      <c r="AG419" s="540"/>
      <c r="AH419" s="540"/>
      <c r="AI419" s="540"/>
      <c r="AJ419" s="540"/>
      <c r="AK419" s="540"/>
      <c r="AL419" s="540"/>
      <c r="AM419" s="540"/>
      <c r="AN419" s="540"/>
      <c r="AO419" s="540"/>
      <c r="AP419" s="540"/>
      <c r="AQ419" s="540"/>
      <c r="AR419" s="540"/>
      <c r="AS419" s="540"/>
      <c r="AT419" s="540"/>
      <c r="AU419" s="540"/>
      <c r="AV419" s="540"/>
      <c r="AW419" s="1259"/>
      <c r="AX419" s="1259"/>
      <c r="AY419" s="1259"/>
      <c r="AZ419" s="540"/>
      <c r="BA419" s="540"/>
      <c r="BB419" s="540"/>
      <c r="BC419" s="540"/>
      <c r="BD419" s="540"/>
      <c r="BE419" s="540"/>
      <c r="BF419" s="540"/>
      <c r="BG419" s="540"/>
      <c r="BH419" s="540"/>
      <c r="BI419" s="540"/>
      <c r="BJ419" s="540"/>
      <c r="BK419" s="540"/>
      <c r="BL419" s="540"/>
      <c r="BM419" s="540"/>
      <c r="BN419" s="540"/>
      <c r="BO419" s="540"/>
    </row>
    <row r="420" spans="1:67" ht="35.1" customHeight="1" x14ac:dyDescent="0.25">
      <c r="A420" s="3">
        <f t="shared" si="6"/>
        <v>408</v>
      </c>
      <c r="B420" s="1218" t="s">
        <v>162</v>
      </c>
      <c r="C420" s="1218"/>
      <c r="D420" s="1222"/>
      <c r="E420" s="1222"/>
      <c r="F420" s="1222"/>
      <c r="G420" s="1222"/>
      <c r="H420" s="1222"/>
      <c r="I420" s="1219"/>
      <c r="J420" s="1219"/>
      <c r="K420" s="1219"/>
      <c r="L420" s="1219"/>
      <c r="M420" s="1219"/>
      <c r="N420" s="1219"/>
      <c r="O420" s="1219"/>
      <c r="P420" s="1219"/>
      <c r="Q420" s="1220"/>
      <c r="R420" s="1220"/>
      <c r="S420" s="1220"/>
      <c r="T420" s="1220"/>
      <c r="U420" s="1220"/>
      <c r="V420" s="1220"/>
      <c r="W420" s="1220"/>
      <c r="X420" s="1220"/>
      <c r="Y420" s="1219"/>
      <c r="Z420" s="1219"/>
      <c r="AA420" s="1220"/>
      <c r="AB420" s="1220"/>
      <c r="AC420" s="1220"/>
      <c r="AD420" s="1220"/>
      <c r="AE420" s="1219"/>
      <c r="AF420" s="1219"/>
      <c r="AG420" s="1219"/>
      <c r="AH420" s="1220"/>
      <c r="AI420" s="1220"/>
      <c r="AJ420" s="1220"/>
      <c r="AK420" s="1219"/>
      <c r="AL420" s="1219"/>
      <c r="AM420" s="1219"/>
      <c r="AN420" s="1219"/>
      <c r="AO420" s="1220"/>
      <c r="AP420" s="1220"/>
      <c r="AQ420" s="1220"/>
      <c r="AR420" s="1220"/>
      <c r="AS420" s="1220"/>
      <c r="AT420" s="1220"/>
      <c r="AU420" s="1220"/>
      <c r="AV420" s="1220"/>
      <c r="AW420" s="1258"/>
      <c r="AX420" s="1258"/>
      <c r="AY420" s="1258"/>
      <c r="AZ420" s="1220"/>
      <c r="BA420" s="1220"/>
      <c r="BB420" s="1220"/>
      <c r="BC420" s="1220"/>
      <c r="BD420" s="1220"/>
      <c r="BE420" s="1220"/>
      <c r="BF420" s="1220"/>
      <c r="BG420" s="1220"/>
      <c r="BH420" s="1220"/>
      <c r="BI420" s="1220"/>
      <c r="BJ420" s="1220"/>
      <c r="BK420" s="1220"/>
      <c r="BL420" s="1220"/>
      <c r="BM420" s="1220"/>
      <c r="BN420" s="1220"/>
      <c r="BO420" s="1220"/>
    </row>
    <row r="421" spans="1:67" ht="35.1" customHeight="1" x14ac:dyDescent="0.25">
      <c r="A421" s="3">
        <f t="shared" si="6"/>
        <v>409</v>
      </c>
      <c r="B421" s="1218" t="s">
        <v>162</v>
      </c>
      <c r="C421" s="1218"/>
      <c r="D421" s="1221"/>
      <c r="E421" s="1221"/>
      <c r="F421" s="1221"/>
      <c r="G421" s="1221"/>
      <c r="H421" s="1221"/>
      <c r="I421" s="540"/>
      <c r="J421" s="540"/>
      <c r="K421" s="540"/>
      <c r="L421" s="540"/>
      <c r="M421" s="540"/>
      <c r="N421" s="540"/>
      <c r="O421" s="540"/>
      <c r="P421" s="540"/>
      <c r="Q421" s="540"/>
      <c r="R421" s="540"/>
      <c r="S421" s="540"/>
      <c r="T421" s="540"/>
      <c r="U421" s="540"/>
      <c r="V421" s="540"/>
      <c r="W421" s="540"/>
      <c r="X421" s="540"/>
      <c r="Y421" s="540"/>
      <c r="Z421" s="540"/>
      <c r="AA421" s="540"/>
      <c r="AB421" s="540"/>
      <c r="AC421" s="540"/>
      <c r="AD421" s="540"/>
      <c r="AE421" s="540"/>
      <c r="AF421" s="540"/>
      <c r="AG421" s="540"/>
      <c r="AH421" s="540"/>
      <c r="AI421" s="540"/>
      <c r="AJ421" s="540"/>
      <c r="AK421" s="540"/>
      <c r="AL421" s="540"/>
      <c r="AM421" s="540"/>
      <c r="AN421" s="540"/>
      <c r="AO421" s="540"/>
      <c r="AP421" s="540"/>
      <c r="AQ421" s="540"/>
      <c r="AR421" s="540"/>
      <c r="AS421" s="540"/>
      <c r="AT421" s="540"/>
      <c r="AU421" s="540"/>
      <c r="AV421" s="540"/>
      <c r="AW421" s="1259"/>
      <c r="AX421" s="1259"/>
      <c r="AY421" s="1259"/>
      <c r="AZ421" s="540"/>
      <c r="BA421" s="540"/>
      <c r="BB421" s="540"/>
      <c r="BC421" s="540"/>
      <c r="BD421" s="540"/>
      <c r="BE421" s="540"/>
      <c r="BF421" s="540"/>
      <c r="BG421" s="540"/>
      <c r="BH421" s="540"/>
      <c r="BI421" s="540"/>
      <c r="BJ421" s="540"/>
      <c r="BK421" s="540"/>
      <c r="BL421" s="540"/>
      <c r="BM421" s="540"/>
      <c r="BN421" s="540"/>
      <c r="BO421" s="540"/>
    </row>
    <row r="422" spans="1:67" ht="35.1" customHeight="1" x14ac:dyDescent="0.25">
      <c r="A422" s="3">
        <f t="shared" si="6"/>
        <v>410</v>
      </c>
      <c r="B422" s="1218" t="s">
        <v>162</v>
      </c>
      <c r="C422" s="1218"/>
      <c r="D422" s="1222"/>
      <c r="E422" s="1222"/>
      <c r="F422" s="1222"/>
      <c r="G422" s="1222"/>
      <c r="H422" s="1222"/>
      <c r="I422" s="1219"/>
      <c r="J422" s="1219"/>
      <c r="K422" s="1219"/>
      <c r="L422" s="1219"/>
      <c r="M422" s="1219"/>
      <c r="N422" s="1219"/>
      <c r="O422" s="1219"/>
      <c r="P422" s="1219"/>
      <c r="Q422" s="1220"/>
      <c r="R422" s="1220"/>
      <c r="S422" s="1220"/>
      <c r="T422" s="1220"/>
      <c r="U422" s="1220"/>
      <c r="V422" s="1220"/>
      <c r="W422" s="1220"/>
      <c r="X422" s="1220"/>
      <c r="Y422" s="1219"/>
      <c r="Z422" s="1219"/>
      <c r="AA422" s="1220"/>
      <c r="AB422" s="1220"/>
      <c r="AC422" s="1220"/>
      <c r="AD422" s="1220"/>
      <c r="AE422" s="1219"/>
      <c r="AF422" s="1219"/>
      <c r="AG422" s="1219"/>
      <c r="AH422" s="1220"/>
      <c r="AI422" s="1220"/>
      <c r="AJ422" s="1220"/>
      <c r="AK422" s="1219"/>
      <c r="AL422" s="1219"/>
      <c r="AM422" s="1219"/>
      <c r="AN422" s="1219"/>
      <c r="AO422" s="1220"/>
      <c r="AP422" s="1220"/>
      <c r="AQ422" s="1220"/>
      <c r="AR422" s="1220"/>
      <c r="AS422" s="1220"/>
      <c r="AT422" s="1220"/>
      <c r="AU422" s="1220"/>
      <c r="AV422" s="1220"/>
      <c r="AW422" s="1258"/>
      <c r="AX422" s="1258"/>
      <c r="AY422" s="1258"/>
      <c r="AZ422" s="1220"/>
      <c r="BA422" s="1220"/>
      <c r="BB422" s="1220"/>
      <c r="BC422" s="1220"/>
      <c r="BD422" s="1220"/>
      <c r="BE422" s="1220"/>
      <c r="BF422" s="1220"/>
      <c r="BG422" s="1220"/>
      <c r="BH422" s="1220"/>
      <c r="BI422" s="1220"/>
      <c r="BJ422" s="1220"/>
      <c r="BK422" s="1220"/>
      <c r="BL422" s="1220"/>
      <c r="BM422" s="1220"/>
      <c r="BN422" s="1220"/>
      <c r="BO422" s="1220"/>
    </row>
    <row r="423" spans="1:67" ht="35.1" customHeight="1" x14ac:dyDescent="0.25">
      <c r="A423" s="3">
        <f t="shared" si="6"/>
        <v>411</v>
      </c>
      <c r="B423" s="1218" t="s">
        <v>162</v>
      </c>
      <c r="C423" s="1218"/>
      <c r="D423" s="1221"/>
      <c r="E423" s="1221"/>
      <c r="F423" s="1221"/>
      <c r="G423" s="1221"/>
      <c r="H423" s="1221"/>
      <c r="I423" s="540"/>
      <c r="J423" s="540"/>
      <c r="K423" s="540"/>
      <c r="L423" s="540"/>
      <c r="M423" s="540"/>
      <c r="N423" s="540"/>
      <c r="O423" s="540"/>
      <c r="P423" s="540"/>
      <c r="Q423" s="540"/>
      <c r="R423" s="540"/>
      <c r="S423" s="540"/>
      <c r="T423" s="540"/>
      <c r="U423" s="540"/>
      <c r="V423" s="540"/>
      <c r="W423" s="540"/>
      <c r="X423" s="540"/>
      <c r="Y423" s="540"/>
      <c r="Z423" s="540"/>
      <c r="AA423" s="540"/>
      <c r="AB423" s="540"/>
      <c r="AC423" s="540"/>
      <c r="AD423" s="540"/>
      <c r="AE423" s="540"/>
      <c r="AF423" s="540"/>
      <c r="AG423" s="540"/>
      <c r="AH423" s="540"/>
      <c r="AI423" s="540"/>
      <c r="AJ423" s="540"/>
      <c r="AK423" s="540"/>
      <c r="AL423" s="540"/>
      <c r="AM423" s="540"/>
      <c r="AN423" s="540"/>
      <c r="AO423" s="540"/>
      <c r="AP423" s="540"/>
      <c r="AQ423" s="540"/>
      <c r="AR423" s="540"/>
      <c r="AS423" s="540"/>
      <c r="AT423" s="540"/>
      <c r="AU423" s="540"/>
      <c r="AV423" s="540"/>
      <c r="AW423" s="1259"/>
      <c r="AX423" s="1259"/>
      <c r="AY423" s="1259"/>
      <c r="AZ423" s="540"/>
      <c r="BA423" s="540"/>
      <c r="BB423" s="540"/>
      <c r="BC423" s="540"/>
      <c r="BD423" s="540"/>
      <c r="BE423" s="540"/>
      <c r="BF423" s="540"/>
      <c r="BG423" s="540"/>
      <c r="BH423" s="540"/>
      <c r="BI423" s="540"/>
      <c r="BJ423" s="540"/>
      <c r="BK423" s="540"/>
      <c r="BL423" s="540"/>
      <c r="BM423" s="540"/>
      <c r="BN423" s="540"/>
      <c r="BO423" s="540"/>
    </row>
    <row r="424" spans="1:67" ht="35.1" customHeight="1" x14ac:dyDescent="0.25">
      <c r="A424" s="3">
        <f t="shared" si="6"/>
        <v>412</v>
      </c>
      <c r="B424" s="1218" t="s">
        <v>162</v>
      </c>
      <c r="C424" s="1218"/>
      <c r="D424" s="1222"/>
      <c r="E424" s="1222"/>
      <c r="F424" s="1222"/>
      <c r="G424" s="1222"/>
      <c r="H424" s="1222"/>
      <c r="I424" s="1219"/>
      <c r="J424" s="1219"/>
      <c r="K424" s="1219"/>
      <c r="L424" s="1219"/>
      <c r="M424" s="1219"/>
      <c r="N424" s="1219"/>
      <c r="O424" s="1219"/>
      <c r="P424" s="1219"/>
      <c r="Q424" s="1220"/>
      <c r="R424" s="1220"/>
      <c r="S424" s="1220"/>
      <c r="T424" s="1220"/>
      <c r="U424" s="1220"/>
      <c r="V424" s="1220"/>
      <c r="W424" s="1220"/>
      <c r="X424" s="1220"/>
      <c r="Y424" s="1219"/>
      <c r="Z424" s="1219"/>
      <c r="AA424" s="1220"/>
      <c r="AB424" s="1220"/>
      <c r="AC424" s="1220"/>
      <c r="AD424" s="1220"/>
      <c r="AE424" s="1219"/>
      <c r="AF424" s="1219"/>
      <c r="AG424" s="1219"/>
      <c r="AH424" s="1220"/>
      <c r="AI424" s="1220"/>
      <c r="AJ424" s="1220"/>
      <c r="AK424" s="1219"/>
      <c r="AL424" s="1219"/>
      <c r="AM424" s="1219"/>
      <c r="AN424" s="1219"/>
      <c r="AO424" s="1220"/>
      <c r="AP424" s="1220"/>
      <c r="AQ424" s="1220"/>
      <c r="AR424" s="1220"/>
      <c r="AS424" s="1220"/>
      <c r="AT424" s="1220"/>
      <c r="AU424" s="1220"/>
      <c r="AV424" s="1220"/>
      <c r="AW424" s="1258"/>
      <c r="AX424" s="1258"/>
      <c r="AY424" s="1258"/>
      <c r="AZ424" s="1220"/>
      <c r="BA424" s="1220"/>
      <c r="BB424" s="1220"/>
      <c r="BC424" s="1220"/>
      <c r="BD424" s="1220"/>
      <c r="BE424" s="1220"/>
      <c r="BF424" s="1220"/>
      <c r="BG424" s="1220"/>
      <c r="BH424" s="1220"/>
      <c r="BI424" s="1220"/>
      <c r="BJ424" s="1220"/>
      <c r="BK424" s="1220"/>
      <c r="BL424" s="1220"/>
      <c r="BM424" s="1220"/>
      <c r="BN424" s="1220"/>
      <c r="BO424" s="1220"/>
    </row>
    <row r="425" spans="1:67" ht="35.1" customHeight="1" x14ac:dyDescent="0.25">
      <c r="A425" s="3">
        <f t="shared" si="6"/>
        <v>413</v>
      </c>
      <c r="B425" s="1218" t="s">
        <v>162</v>
      </c>
      <c r="C425" s="1218"/>
      <c r="D425" s="1221"/>
      <c r="E425" s="1221"/>
      <c r="F425" s="1221"/>
      <c r="G425" s="1221"/>
      <c r="H425" s="1221"/>
      <c r="I425" s="540"/>
      <c r="J425" s="540"/>
      <c r="K425" s="540"/>
      <c r="L425" s="540"/>
      <c r="M425" s="540"/>
      <c r="N425" s="540"/>
      <c r="O425" s="540"/>
      <c r="P425" s="540"/>
      <c r="Q425" s="540"/>
      <c r="R425" s="540"/>
      <c r="S425" s="540"/>
      <c r="T425" s="540"/>
      <c r="U425" s="540"/>
      <c r="V425" s="540"/>
      <c r="W425" s="540"/>
      <c r="X425" s="540"/>
      <c r="Y425" s="540"/>
      <c r="Z425" s="540"/>
      <c r="AA425" s="540"/>
      <c r="AB425" s="540"/>
      <c r="AC425" s="540"/>
      <c r="AD425" s="540"/>
      <c r="AE425" s="540"/>
      <c r="AF425" s="540"/>
      <c r="AG425" s="540"/>
      <c r="AH425" s="540"/>
      <c r="AI425" s="540"/>
      <c r="AJ425" s="540"/>
      <c r="AK425" s="540"/>
      <c r="AL425" s="540"/>
      <c r="AM425" s="540"/>
      <c r="AN425" s="540"/>
      <c r="AO425" s="540"/>
      <c r="AP425" s="540"/>
      <c r="AQ425" s="540"/>
      <c r="AR425" s="540"/>
      <c r="AS425" s="540"/>
      <c r="AT425" s="540"/>
      <c r="AU425" s="540"/>
      <c r="AV425" s="540"/>
      <c r="AW425" s="1259"/>
      <c r="AX425" s="1259"/>
      <c r="AY425" s="1259"/>
      <c r="AZ425" s="540"/>
      <c r="BA425" s="540"/>
      <c r="BB425" s="540"/>
      <c r="BC425" s="540"/>
      <c r="BD425" s="540"/>
      <c r="BE425" s="540"/>
      <c r="BF425" s="540"/>
      <c r="BG425" s="540"/>
      <c r="BH425" s="540"/>
      <c r="BI425" s="540"/>
      <c r="BJ425" s="540"/>
      <c r="BK425" s="540"/>
      <c r="BL425" s="540"/>
      <c r="BM425" s="540"/>
      <c r="BN425" s="540"/>
      <c r="BO425" s="540"/>
    </row>
    <row r="426" spans="1:67" ht="35.1" customHeight="1" x14ac:dyDescent="0.25">
      <c r="A426" s="3">
        <f t="shared" si="6"/>
        <v>414</v>
      </c>
      <c r="B426" s="1218" t="s">
        <v>162</v>
      </c>
      <c r="C426" s="1218"/>
      <c r="D426" s="1222"/>
      <c r="E426" s="1222"/>
      <c r="F426" s="1222"/>
      <c r="G426" s="1222"/>
      <c r="H426" s="1222"/>
      <c r="I426" s="1219"/>
      <c r="J426" s="1219"/>
      <c r="K426" s="1219"/>
      <c r="L426" s="1219"/>
      <c r="M426" s="1219"/>
      <c r="N426" s="1219"/>
      <c r="O426" s="1219"/>
      <c r="P426" s="1219"/>
      <c r="Q426" s="1220"/>
      <c r="R426" s="1220"/>
      <c r="S426" s="1220"/>
      <c r="T426" s="1220"/>
      <c r="U426" s="1220"/>
      <c r="V426" s="1220"/>
      <c r="W426" s="1220"/>
      <c r="X426" s="1220"/>
      <c r="Y426" s="1219"/>
      <c r="Z426" s="1219"/>
      <c r="AA426" s="1220"/>
      <c r="AB426" s="1220"/>
      <c r="AC426" s="1220"/>
      <c r="AD426" s="1220"/>
      <c r="AE426" s="1219"/>
      <c r="AF426" s="1219"/>
      <c r="AG426" s="1219"/>
      <c r="AH426" s="1220"/>
      <c r="AI426" s="1220"/>
      <c r="AJ426" s="1220"/>
      <c r="AK426" s="1219"/>
      <c r="AL426" s="1219"/>
      <c r="AM426" s="1219"/>
      <c r="AN426" s="1219"/>
      <c r="AO426" s="1220"/>
      <c r="AP426" s="1220"/>
      <c r="AQ426" s="1220"/>
      <c r="AR426" s="1220"/>
      <c r="AS426" s="1220"/>
      <c r="AT426" s="1220"/>
      <c r="AU426" s="1220"/>
      <c r="AV426" s="1220"/>
      <c r="AW426" s="1258"/>
      <c r="AX426" s="1258"/>
      <c r="AY426" s="1258"/>
      <c r="AZ426" s="1220"/>
      <c r="BA426" s="1220"/>
      <c r="BB426" s="1220"/>
      <c r="BC426" s="1220"/>
      <c r="BD426" s="1220"/>
      <c r="BE426" s="1220"/>
      <c r="BF426" s="1220"/>
      <c r="BG426" s="1220"/>
      <c r="BH426" s="1220"/>
      <c r="BI426" s="1220"/>
      <c r="BJ426" s="1220"/>
      <c r="BK426" s="1220"/>
      <c r="BL426" s="1220"/>
      <c r="BM426" s="1220"/>
      <c r="BN426" s="1220"/>
      <c r="BO426" s="1220"/>
    </row>
    <row r="427" spans="1:67" ht="35.1" customHeight="1" x14ac:dyDescent="0.25">
      <c r="A427" s="3">
        <f t="shared" si="6"/>
        <v>415</v>
      </c>
      <c r="B427" s="1218" t="s">
        <v>162</v>
      </c>
      <c r="C427" s="1218"/>
      <c r="D427" s="1221"/>
      <c r="E427" s="1221"/>
      <c r="F427" s="1221"/>
      <c r="G427" s="1221"/>
      <c r="H427" s="1221"/>
      <c r="I427" s="540"/>
      <c r="J427" s="540"/>
      <c r="K427" s="540"/>
      <c r="L427" s="540"/>
      <c r="M427" s="540"/>
      <c r="N427" s="540"/>
      <c r="O427" s="540"/>
      <c r="P427" s="540"/>
      <c r="Q427" s="540"/>
      <c r="R427" s="540"/>
      <c r="S427" s="540"/>
      <c r="T427" s="540"/>
      <c r="U427" s="540"/>
      <c r="V427" s="540"/>
      <c r="W427" s="540"/>
      <c r="X427" s="540"/>
      <c r="Y427" s="540"/>
      <c r="Z427" s="540"/>
      <c r="AA427" s="540"/>
      <c r="AB427" s="540"/>
      <c r="AC427" s="540"/>
      <c r="AD427" s="540"/>
      <c r="AE427" s="540"/>
      <c r="AF427" s="540"/>
      <c r="AG427" s="540"/>
      <c r="AH427" s="540"/>
      <c r="AI427" s="540"/>
      <c r="AJ427" s="540"/>
      <c r="AK427" s="540"/>
      <c r="AL427" s="540"/>
      <c r="AM427" s="540"/>
      <c r="AN427" s="540"/>
      <c r="AO427" s="540"/>
      <c r="AP427" s="540"/>
      <c r="AQ427" s="540"/>
      <c r="AR427" s="540"/>
      <c r="AS427" s="540"/>
      <c r="AT427" s="540"/>
      <c r="AU427" s="540"/>
      <c r="AV427" s="540"/>
      <c r="AW427" s="1259"/>
      <c r="AX427" s="1259"/>
      <c r="AY427" s="1259"/>
      <c r="AZ427" s="540"/>
      <c r="BA427" s="540"/>
      <c r="BB427" s="540"/>
      <c r="BC427" s="540"/>
      <c r="BD427" s="540"/>
      <c r="BE427" s="540"/>
      <c r="BF427" s="540"/>
      <c r="BG427" s="540"/>
      <c r="BH427" s="540"/>
      <c r="BI427" s="540"/>
      <c r="BJ427" s="540"/>
      <c r="BK427" s="540"/>
      <c r="BL427" s="540"/>
      <c r="BM427" s="540"/>
      <c r="BN427" s="540"/>
      <c r="BO427" s="540"/>
    </row>
    <row r="428" spans="1:67" ht="35.1" customHeight="1" x14ac:dyDescent="0.25">
      <c r="A428" s="3">
        <f t="shared" si="6"/>
        <v>416</v>
      </c>
      <c r="B428" s="1235" t="s">
        <v>162</v>
      </c>
      <c r="C428" s="1235"/>
      <c r="D428" s="1222"/>
      <c r="E428" s="1222"/>
      <c r="F428" s="1222"/>
      <c r="G428" s="1222"/>
      <c r="H428" s="1222"/>
      <c r="I428" s="1219"/>
      <c r="J428" s="1219"/>
      <c r="K428" s="1219"/>
      <c r="L428" s="1219"/>
      <c r="M428" s="1219"/>
      <c r="N428" s="1219"/>
      <c r="O428" s="1219"/>
      <c r="P428" s="1219"/>
      <c r="Q428" s="1220"/>
      <c r="R428" s="1220"/>
      <c r="S428" s="1220"/>
      <c r="T428" s="1220"/>
      <c r="U428" s="1220"/>
      <c r="V428" s="1220"/>
      <c r="W428" s="1220"/>
      <c r="X428" s="1220"/>
      <c r="Y428" s="1219"/>
      <c r="Z428" s="1219"/>
      <c r="AA428" s="1220"/>
      <c r="AB428" s="1220"/>
      <c r="AC428" s="1220"/>
      <c r="AD428" s="1220"/>
      <c r="AE428" s="1219"/>
      <c r="AF428" s="1219"/>
      <c r="AG428" s="1219"/>
      <c r="AH428" s="1220"/>
      <c r="AI428" s="1220"/>
      <c r="AJ428" s="1220"/>
      <c r="AK428" s="1219"/>
      <c r="AL428" s="1219"/>
      <c r="AM428" s="1219"/>
      <c r="AN428" s="1219"/>
      <c r="AO428" s="1220"/>
      <c r="AP428" s="1220"/>
      <c r="AQ428" s="1220"/>
      <c r="AR428" s="1220"/>
      <c r="AS428" s="1220"/>
      <c r="AT428" s="1220"/>
      <c r="AU428" s="1220"/>
      <c r="AV428" s="1220"/>
      <c r="AW428" s="1258"/>
      <c r="AX428" s="1258"/>
      <c r="AY428" s="1258"/>
      <c r="AZ428" s="1220"/>
      <c r="BA428" s="1220"/>
      <c r="BB428" s="1220"/>
      <c r="BC428" s="1220"/>
      <c r="BD428" s="1220"/>
      <c r="BE428" s="1220"/>
      <c r="BF428" s="1220"/>
      <c r="BG428" s="1220"/>
      <c r="BH428" s="1220"/>
      <c r="BI428" s="1220"/>
      <c r="BJ428" s="1220"/>
      <c r="BK428" s="1220"/>
      <c r="BL428" s="1220"/>
      <c r="BM428" s="1220"/>
      <c r="BN428" s="1220"/>
      <c r="BO428" s="1220"/>
    </row>
    <row r="429" spans="1:67" ht="35.1" customHeight="1" x14ac:dyDescent="0.25">
      <c r="A429" s="3">
        <f t="shared" ref="A429:A480" si="7">+ROW(A417)</f>
        <v>417</v>
      </c>
      <c r="B429" s="1218" t="s">
        <v>162</v>
      </c>
      <c r="C429" s="1218"/>
      <c r="D429" s="1221"/>
      <c r="E429" s="1221"/>
      <c r="F429" s="1221"/>
      <c r="G429" s="1221"/>
      <c r="H429" s="1221"/>
      <c r="I429" s="540"/>
      <c r="J429" s="540"/>
      <c r="K429" s="540"/>
      <c r="L429" s="540"/>
      <c r="M429" s="540"/>
      <c r="N429" s="540"/>
      <c r="O429" s="540"/>
      <c r="P429" s="540"/>
      <c r="Q429" s="540"/>
      <c r="R429" s="540"/>
      <c r="S429" s="540"/>
      <c r="T429" s="540"/>
      <c r="U429" s="540"/>
      <c r="V429" s="540"/>
      <c r="W429" s="540"/>
      <c r="X429" s="540"/>
      <c r="Y429" s="540"/>
      <c r="Z429" s="540"/>
      <c r="AA429" s="540"/>
      <c r="AB429" s="540"/>
      <c r="AC429" s="540"/>
      <c r="AD429" s="540"/>
      <c r="AE429" s="540"/>
      <c r="AF429" s="540"/>
      <c r="AG429" s="540"/>
      <c r="AH429" s="540"/>
      <c r="AI429" s="540"/>
      <c r="AJ429" s="540"/>
      <c r="AK429" s="540"/>
      <c r="AL429" s="540"/>
      <c r="AM429" s="540"/>
      <c r="AN429" s="540"/>
      <c r="AO429" s="540"/>
      <c r="AP429" s="540"/>
      <c r="AQ429" s="540"/>
      <c r="AR429" s="540"/>
      <c r="AS429" s="540"/>
      <c r="AT429" s="540"/>
      <c r="AU429" s="540"/>
      <c r="AV429" s="540"/>
      <c r="AW429" s="1259"/>
      <c r="AX429" s="1259"/>
      <c r="AY429" s="1259"/>
      <c r="AZ429" s="540"/>
      <c r="BA429" s="540"/>
      <c r="BB429" s="540"/>
      <c r="BC429" s="540"/>
      <c r="BD429" s="540"/>
      <c r="BE429" s="540"/>
      <c r="BF429" s="540"/>
      <c r="BG429" s="540"/>
      <c r="BH429" s="540"/>
      <c r="BI429" s="540"/>
      <c r="BJ429" s="540"/>
      <c r="BK429" s="540"/>
      <c r="BL429" s="540"/>
      <c r="BM429" s="540"/>
      <c r="BN429" s="540"/>
      <c r="BO429" s="540"/>
    </row>
    <row r="430" spans="1:67" ht="35.1" customHeight="1" x14ac:dyDescent="0.25">
      <c r="A430" s="3">
        <f t="shared" si="7"/>
        <v>418</v>
      </c>
      <c r="B430" s="1218" t="s">
        <v>162</v>
      </c>
      <c r="C430" s="1218"/>
      <c r="D430" s="1222"/>
      <c r="E430" s="1222"/>
      <c r="F430" s="1222"/>
      <c r="G430" s="1222"/>
      <c r="H430" s="1222"/>
      <c r="I430" s="1219"/>
      <c r="J430" s="1219"/>
      <c r="K430" s="1219"/>
      <c r="L430" s="1219"/>
      <c r="M430" s="1219"/>
      <c r="N430" s="1219"/>
      <c r="O430" s="1219"/>
      <c r="P430" s="1219"/>
      <c r="Q430" s="1220"/>
      <c r="R430" s="1220"/>
      <c r="S430" s="1220"/>
      <c r="T430" s="1220"/>
      <c r="U430" s="1220"/>
      <c r="V430" s="1220"/>
      <c r="W430" s="1220"/>
      <c r="X430" s="1220"/>
      <c r="Y430" s="1219"/>
      <c r="Z430" s="1219"/>
      <c r="AA430" s="1220"/>
      <c r="AB430" s="1220"/>
      <c r="AC430" s="1220"/>
      <c r="AD430" s="1220"/>
      <c r="AE430" s="1219"/>
      <c r="AF430" s="1219"/>
      <c r="AG430" s="1219"/>
      <c r="AH430" s="1220"/>
      <c r="AI430" s="1220"/>
      <c r="AJ430" s="1220"/>
      <c r="AK430" s="1219"/>
      <c r="AL430" s="1219"/>
      <c r="AM430" s="1219"/>
      <c r="AN430" s="1219"/>
      <c r="AO430" s="1220"/>
      <c r="AP430" s="1220"/>
      <c r="AQ430" s="1220"/>
      <c r="AR430" s="1220"/>
      <c r="AS430" s="1220"/>
      <c r="AT430" s="1220"/>
      <c r="AU430" s="1220"/>
      <c r="AV430" s="1220"/>
      <c r="AW430" s="1258"/>
      <c r="AX430" s="1258"/>
      <c r="AY430" s="1258"/>
      <c r="AZ430" s="1220"/>
      <c r="BA430" s="1220"/>
      <c r="BB430" s="1220"/>
      <c r="BC430" s="1220"/>
      <c r="BD430" s="1220"/>
      <c r="BE430" s="1220"/>
      <c r="BF430" s="1220"/>
      <c r="BG430" s="1220"/>
      <c r="BH430" s="1220"/>
      <c r="BI430" s="1220"/>
      <c r="BJ430" s="1220"/>
      <c r="BK430" s="1220"/>
      <c r="BL430" s="1220"/>
      <c r="BM430" s="1220"/>
      <c r="BN430" s="1220"/>
      <c r="BO430" s="1220"/>
    </row>
    <row r="431" spans="1:67" ht="35.1" customHeight="1" x14ac:dyDescent="0.25">
      <c r="A431" s="3">
        <f t="shared" si="7"/>
        <v>419</v>
      </c>
      <c r="B431" s="1218" t="s">
        <v>162</v>
      </c>
      <c r="C431" s="1218"/>
      <c r="D431" s="1221"/>
      <c r="E431" s="1221"/>
      <c r="F431" s="1221"/>
      <c r="G431" s="1221"/>
      <c r="H431" s="1221"/>
      <c r="I431" s="540"/>
      <c r="J431" s="540"/>
      <c r="K431" s="540"/>
      <c r="L431" s="540"/>
      <c r="M431" s="540"/>
      <c r="N431" s="540"/>
      <c r="O431" s="540"/>
      <c r="P431" s="540"/>
      <c r="Q431" s="540"/>
      <c r="R431" s="540"/>
      <c r="S431" s="540"/>
      <c r="T431" s="540"/>
      <c r="U431" s="540"/>
      <c r="V431" s="540"/>
      <c r="W431" s="540"/>
      <c r="X431" s="540"/>
      <c r="Y431" s="540"/>
      <c r="Z431" s="540"/>
      <c r="AA431" s="540"/>
      <c r="AB431" s="540"/>
      <c r="AC431" s="540"/>
      <c r="AD431" s="540"/>
      <c r="AE431" s="540"/>
      <c r="AF431" s="540"/>
      <c r="AG431" s="540"/>
      <c r="AH431" s="540"/>
      <c r="AI431" s="540"/>
      <c r="AJ431" s="540"/>
      <c r="AK431" s="540"/>
      <c r="AL431" s="540"/>
      <c r="AM431" s="540"/>
      <c r="AN431" s="540"/>
      <c r="AO431" s="540"/>
      <c r="AP431" s="540"/>
      <c r="AQ431" s="540"/>
      <c r="AR431" s="540"/>
      <c r="AS431" s="540"/>
      <c r="AT431" s="540"/>
      <c r="AU431" s="540"/>
      <c r="AV431" s="540"/>
      <c r="AW431" s="1259"/>
      <c r="AX431" s="1259"/>
      <c r="AY431" s="1259"/>
      <c r="AZ431" s="540"/>
      <c r="BA431" s="540"/>
      <c r="BB431" s="540"/>
      <c r="BC431" s="540"/>
      <c r="BD431" s="540"/>
      <c r="BE431" s="540"/>
      <c r="BF431" s="540"/>
      <c r="BG431" s="540"/>
      <c r="BH431" s="540"/>
      <c r="BI431" s="540"/>
      <c r="BJ431" s="540"/>
      <c r="BK431" s="540"/>
      <c r="BL431" s="540"/>
      <c r="BM431" s="540"/>
      <c r="BN431" s="540"/>
      <c r="BO431" s="540"/>
    </row>
    <row r="432" spans="1:67" ht="35.1" customHeight="1" x14ac:dyDescent="0.25">
      <c r="A432" s="3">
        <f t="shared" si="7"/>
        <v>420</v>
      </c>
      <c r="B432" s="1218" t="s">
        <v>162</v>
      </c>
      <c r="C432" s="1218"/>
      <c r="D432" s="1222"/>
      <c r="E432" s="1222"/>
      <c r="F432" s="1222"/>
      <c r="G432" s="1222"/>
      <c r="H432" s="1222"/>
      <c r="I432" s="1219"/>
      <c r="J432" s="1219"/>
      <c r="K432" s="1219"/>
      <c r="L432" s="1219"/>
      <c r="M432" s="1219"/>
      <c r="N432" s="1219"/>
      <c r="O432" s="1219"/>
      <c r="P432" s="1219"/>
      <c r="Q432" s="1220"/>
      <c r="R432" s="1220"/>
      <c r="S432" s="1220"/>
      <c r="T432" s="1220"/>
      <c r="U432" s="1220"/>
      <c r="V432" s="1220"/>
      <c r="W432" s="1220"/>
      <c r="X432" s="1220"/>
      <c r="Y432" s="1219"/>
      <c r="Z432" s="1219"/>
      <c r="AA432" s="1220"/>
      <c r="AB432" s="1220"/>
      <c r="AC432" s="1220"/>
      <c r="AD432" s="1220"/>
      <c r="AE432" s="1219"/>
      <c r="AF432" s="1219"/>
      <c r="AG432" s="1219"/>
      <c r="AH432" s="1220"/>
      <c r="AI432" s="1220"/>
      <c r="AJ432" s="1220"/>
      <c r="AK432" s="1219"/>
      <c r="AL432" s="1219"/>
      <c r="AM432" s="1219"/>
      <c r="AN432" s="1219"/>
      <c r="AO432" s="1220"/>
      <c r="AP432" s="1220"/>
      <c r="AQ432" s="1220"/>
      <c r="AR432" s="1220"/>
      <c r="AS432" s="1220"/>
      <c r="AT432" s="1220"/>
      <c r="AU432" s="1220"/>
      <c r="AV432" s="1220"/>
      <c r="AW432" s="1258"/>
      <c r="AX432" s="1258"/>
      <c r="AY432" s="1258"/>
      <c r="AZ432" s="1220"/>
      <c r="BA432" s="1220"/>
      <c r="BB432" s="1220"/>
      <c r="BC432" s="1220"/>
      <c r="BD432" s="1220"/>
      <c r="BE432" s="1220"/>
      <c r="BF432" s="1220"/>
      <c r="BG432" s="1220"/>
      <c r="BH432" s="1220"/>
      <c r="BI432" s="1220"/>
      <c r="BJ432" s="1220"/>
      <c r="BK432" s="1220"/>
      <c r="BL432" s="1220"/>
      <c r="BM432" s="1220"/>
      <c r="BN432" s="1220"/>
      <c r="BO432" s="1220"/>
    </row>
    <row r="433" spans="1:67" ht="35.1" customHeight="1" x14ac:dyDescent="0.25">
      <c r="A433" s="3">
        <f t="shared" si="7"/>
        <v>421</v>
      </c>
      <c r="B433" s="1218" t="s">
        <v>162</v>
      </c>
      <c r="C433" s="1218"/>
      <c r="D433" s="1221"/>
      <c r="E433" s="1221"/>
      <c r="F433" s="1221"/>
      <c r="G433" s="1221"/>
      <c r="H433" s="1221"/>
      <c r="I433" s="540"/>
      <c r="J433" s="540"/>
      <c r="K433" s="540"/>
      <c r="L433" s="540"/>
      <c r="M433" s="540"/>
      <c r="N433" s="540"/>
      <c r="O433" s="540"/>
      <c r="P433" s="540"/>
      <c r="Q433" s="540"/>
      <c r="R433" s="540"/>
      <c r="S433" s="540"/>
      <c r="T433" s="540"/>
      <c r="U433" s="540"/>
      <c r="V433" s="540"/>
      <c r="W433" s="540"/>
      <c r="X433" s="540"/>
      <c r="Y433" s="540"/>
      <c r="Z433" s="540"/>
      <c r="AA433" s="540"/>
      <c r="AB433" s="540"/>
      <c r="AC433" s="540"/>
      <c r="AD433" s="540"/>
      <c r="AE433" s="540"/>
      <c r="AF433" s="540"/>
      <c r="AG433" s="540"/>
      <c r="AH433" s="540"/>
      <c r="AI433" s="540"/>
      <c r="AJ433" s="540"/>
      <c r="AK433" s="540"/>
      <c r="AL433" s="540"/>
      <c r="AM433" s="540"/>
      <c r="AN433" s="540"/>
      <c r="AO433" s="540"/>
      <c r="AP433" s="540"/>
      <c r="AQ433" s="540"/>
      <c r="AR433" s="540"/>
      <c r="AS433" s="540"/>
      <c r="AT433" s="540"/>
      <c r="AU433" s="540"/>
      <c r="AV433" s="540"/>
      <c r="AW433" s="1259"/>
      <c r="AX433" s="1259"/>
      <c r="AY433" s="1259"/>
      <c r="AZ433" s="540"/>
      <c r="BA433" s="540"/>
      <c r="BB433" s="540"/>
      <c r="BC433" s="540"/>
      <c r="BD433" s="540"/>
      <c r="BE433" s="540"/>
      <c r="BF433" s="540"/>
      <c r="BG433" s="540"/>
      <c r="BH433" s="540"/>
      <c r="BI433" s="540"/>
      <c r="BJ433" s="540"/>
      <c r="BK433" s="540"/>
      <c r="BL433" s="540"/>
      <c r="BM433" s="540"/>
      <c r="BN433" s="540"/>
      <c r="BO433" s="540"/>
    </row>
    <row r="434" spans="1:67" ht="35.1" customHeight="1" x14ac:dyDescent="0.25">
      <c r="A434" s="3">
        <f t="shared" si="7"/>
        <v>422</v>
      </c>
      <c r="B434" s="1218" t="s">
        <v>162</v>
      </c>
      <c r="C434" s="1218"/>
      <c r="D434" s="1222"/>
      <c r="E434" s="1222"/>
      <c r="F434" s="1222"/>
      <c r="G434" s="1222"/>
      <c r="H434" s="1222"/>
      <c r="I434" s="1219"/>
      <c r="J434" s="1219"/>
      <c r="K434" s="1219"/>
      <c r="L434" s="1219"/>
      <c r="M434" s="1219"/>
      <c r="N434" s="1219"/>
      <c r="O434" s="1219"/>
      <c r="P434" s="1219"/>
      <c r="Q434" s="1220"/>
      <c r="R434" s="1220"/>
      <c r="S434" s="1220"/>
      <c r="T434" s="1220"/>
      <c r="U434" s="1220"/>
      <c r="V434" s="1220"/>
      <c r="W434" s="1220"/>
      <c r="X434" s="1220"/>
      <c r="Y434" s="1219"/>
      <c r="Z434" s="1219"/>
      <c r="AA434" s="1220"/>
      <c r="AB434" s="1220"/>
      <c r="AC434" s="1220"/>
      <c r="AD434" s="1220"/>
      <c r="AE434" s="1219"/>
      <c r="AF434" s="1219"/>
      <c r="AG434" s="1219"/>
      <c r="AH434" s="1220"/>
      <c r="AI434" s="1220"/>
      <c r="AJ434" s="1220"/>
      <c r="AK434" s="1219"/>
      <c r="AL434" s="1219"/>
      <c r="AM434" s="1219"/>
      <c r="AN434" s="1219"/>
      <c r="AO434" s="1220"/>
      <c r="AP434" s="1220"/>
      <c r="AQ434" s="1220"/>
      <c r="AR434" s="1220"/>
      <c r="AS434" s="1220"/>
      <c r="AT434" s="1220"/>
      <c r="AU434" s="1220"/>
      <c r="AV434" s="1220"/>
      <c r="AW434" s="1258"/>
      <c r="AX434" s="1258"/>
      <c r="AY434" s="1258"/>
      <c r="AZ434" s="1220"/>
      <c r="BA434" s="1220"/>
      <c r="BB434" s="1220"/>
      <c r="BC434" s="1220"/>
      <c r="BD434" s="1220"/>
      <c r="BE434" s="1220"/>
      <c r="BF434" s="1220"/>
      <c r="BG434" s="1220"/>
      <c r="BH434" s="1220"/>
      <c r="BI434" s="1220"/>
      <c r="BJ434" s="1220"/>
      <c r="BK434" s="1220"/>
      <c r="BL434" s="1220"/>
      <c r="BM434" s="1220"/>
      <c r="BN434" s="1220"/>
      <c r="BO434" s="1220"/>
    </row>
    <row r="435" spans="1:67" ht="35.1" customHeight="1" x14ac:dyDescent="0.25">
      <c r="A435" s="3">
        <f t="shared" si="7"/>
        <v>423</v>
      </c>
      <c r="B435" s="1218" t="s">
        <v>162</v>
      </c>
      <c r="C435" s="1218"/>
      <c r="D435" s="1221"/>
      <c r="E435" s="1221"/>
      <c r="F435" s="1221"/>
      <c r="G435" s="1221"/>
      <c r="H435" s="1221"/>
      <c r="I435" s="540"/>
      <c r="J435" s="540"/>
      <c r="K435" s="540"/>
      <c r="L435" s="540"/>
      <c r="M435" s="540"/>
      <c r="N435" s="540"/>
      <c r="O435" s="540"/>
      <c r="P435" s="540"/>
      <c r="Q435" s="540"/>
      <c r="R435" s="540"/>
      <c r="S435" s="540"/>
      <c r="T435" s="540"/>
      <c r="U435" s="540"/>
      <c r="V435" s="540"/>
      <c r="W435" s="540"/>
      <c r="X435" s="540"/>
      <c r="Y435" s="540"/>
      <c r="Z435" s="540"/>
      <c r="AA435" s="540"/>
      <c r="AB435" s="540"/>
      <c r="AC435" s="540"/>
      <c r="AD435" s="540"/>
      <c r="AE435" s="540"/>
      <c r="AF435" s="540"/>
      <c r="AG435" s="540"/>
      <c r="AH435" s="540"/>
      <c r="AI435" s="540"/>
      <c r="AJ435" s="540"/>
      <c r="AK435" s="540"/>
      <c r="AL435" s="540"/>
      <c r="AM435" s="540"/>
      <c r="AN435" s="540"/>
      <c r="AO435" s="540"/>
      <c r="AP435" s="540"/>
      <c r="AQ435" s="540"/>
      <c r="AR435" s="540"/>
      <c r="AS435" s="540"/>
      <c r="AT435" s="540"/>
      <c r="AU435" s="540"/>
      <c r="AV435" s="540"/>
      <c r="AW435" s="1259"/>
      <c r="AX435" s="1259"/>
      <c r="AY435" s="1259"/>
      <c r="AZ435" s="540"/>
      <c r="BA435" s="540"/>
      <c r="BB435" s="540"/>
      <c r="BC435" s="540"/>
      <c r="BD435" s="540"/>
      <c r="BE435" s="540"/>
      <c r="BF435" s="540"/>
      <c r="BG435" s="540"/>
      <c r="BH435" s="540"/>
      <c r="BI435" s="540"/>
      <c r="BJ435" s="540"/>
      <c r="BK435" s="540"/>
      <c r="BL435" s="540"/>
      <c r="BM435" s="540"/>
      <c r="BN435" s="540"/>
      <c r="BO435" s="540"/>
    </row>
    <row r="436" spans="1:67" ht="35.1" customHeight="1" x14ac:dyDescent="0.25">
      <c r="A436" s="3">
        <f t="shared" si="7"/>
        <v>424</v>
      </c>
      <c r="B436" s="1218" t="s">
        <v>162</v>
      </c>
      <c r="C436" s="1218"/>
      <c r="D436" s="1222"/>
      <c r="E436" s="1222"/>
      <c r="F436" s="1222"/>
      <c r="G436" s="1222"/>
      <c r="H436" s="1222"/>
      <c r="I436" s="1219"/>
      <c r="J436" s="1219"/>
      <c r="K436" s="1219"/>
      <c r="L436" s="1219"/>
      <c r="M436" s="1219"/>
      <c r="N436" s="1219"/>
      <c r="O436" s="1219"/>
      <c r="P436" s="1219"/>
      <c r="Q436" s="1220"/>
      <c r="R436" s="1220"/>
      <c r="S436" s="1220"/>
      <c r="T436" s="1220"/>
      <c r="U436" s="1220"/>
      <c r="V436" s="1220"/>
      <c r="W436" s="1220"/>
      <c r="X436" s="1220"/>
      <c r="Y436" s="1219"/>
      <c r="Z436" s="1219"/>
      <c r="AA436" s="1220"/>
      <c r="AB436" s="1220"/>
      <c r="AC436" s="1220"/>
      <c r="AD436" s="1220"/>
      <c r="AE436" s="1219"/>
      <c r="AF436" s="1219"/>
      <c r="AG436" s="1219"/>
      <c r="AH436" s="1220"/>
      <c r="AI436" s="1220"/>
      <c r="AJ436" s="1220"/>
      <c r="AK436" s="1219"/>
      <c r="AL436" s="1219"/>
      <c r="AM436" s="1219"/>
      <c r="AN436" s="1219"/>
      <c r="AO436" s="1220"/>
      <c r="AP436" s="1220"/>
      <c r="AQ436" s="1220"/>
      <c r="AR436" s="1220"/>
      <c r="AS436" s="1220"/>
      <c r="AT436" s="1220"/>
      <c r="AU436" s="1220"/>
      <c r="AV436" s="1220"/>
      <c r="AW436" s="1258"/>
      <c r="AX436" s="1258"/>
      <c r="AY436" s="1258"/>
      <c r="AZ436" s="1220"/>
      <c r="BA436" s="1220"/>
      <c r="BB436" s="1220"/>
      <c r="BC436" s="1220"/>
      <c r="BD436" s="1220"/>
      <c r="BE436" s="1220"/>
      <c r="BF436" s="1220"/>
      <c r="BG436" s="1220"/>
      <c r="BH436" s="1220"/>
      <c r="BI436" s="1220"/>
      <c r="BJ436" s="1220"/>
      <c r="BK436" s="1220"/>
      <c r="BL436" s="1220"/>
      <c r="BM436" s="1220"/>
      <c r="BN436" s="1220"/>
      <c r="BO436" s="1220"/>
    </row>
    <row r="437" spans="1:67" ht="35.1" customHeight="1" x14ac:dyDescent="0.25">
      <c r="A437" s="3">
        <f t="shared" si="7"/>
        <v>425</v>
      </c>
      <c r="B437" s="1218" t="s">
        <v>162</v>
      </c>
      <c r="C437" s="1218"/>
      <c r="D437" s="1221"/>
      <c r="E437" s="1221"/>
      <c r="F437" s="1221"/>
      <c r="G437" s="1221"/>
      <c r="H437" s="1221"/>
      <c r="I437" s="540"/>
      <c r="J437" s="540"/>
      <c r="K437" s="540"/>
      <c r="L437" s="540"/>
      <c r="M437" s="540"/>
      <c r="N437" s="540"/>
      <c r="O437" s="540"/>
      <c r="P437" s="540"/>
      <c r="Q437" s="540"/>
      <c r="R437" s="540"/>
      <c r="S437" s="540"/>
      <c r="T437" s="540"/>
      <c r="U437" s="540"/>
      <c r="V437" s="540"/>
      <c r="W437" s="540"/>
      <c r="X437" s="540"/>
      <c r="Y437" s="540"/>
      <c r="Z437" s="540"/>
      <c r="AA437" s="540"/>
      <c r="AB437" s="540"/>
      <c r="AC437" s="540"/>
      <c r="AD437" s="540"/>
      <c r="AE437" s="540"/>
      <c r="AF437" s="540"/>
      <c r="AG437" s="540"/>
      <c r="AH437" s="540"/>
      <c r="AI437" s="540"/>
      <c r="AJ437" s="540"/>
      <c r="AK437" s="540"/>
      <c r="AL437" s="540"/>
      <c r="AM437" s="540"/>
      <c r="AN437" s="540"/>
      <c r="AO437" s="540"/>
      <c r="AP437" s="540"/>
      <c r="AQ437" s="540"/>
      <c r="AR437" s="540"/>
      <c r="AS437" s="540"/>
      <c r="AT437" s="540"/>
      <c r="AU437" s="540"/>
      <c r="AV437" s="540"/>
      <c r="AW437" s="1259"/>
      <c r="AX437" s="1259"/>
      <c r="AY437" s="1259"/>
      <c r="AZ437" s="540"/>
      <c r="BA437" s="540"/>
      <c r="BB437" s="540"/>
      <c r="BC437" s="540"/>
      <c r="BD437" s="540"/>
      <c r="BE437" s="540"/>
      <c r="BF437" s="540"/>
      <c r="BG437" s="540"/>
      <c r="BH437" s="540"/>
      <c r="BI437" s="540"/>
      <c r="BJ437" s="540"/>
      <c r="BK437" s="540"/>
      <c r="BL437" s="540"/>
      <c r="BM437" s="540"/>
      <c r="BN437" s="540"/>
      <c r="BO437" s="540"/>
    </row>
    <row r="438" spans="1:67" ht="35.1" customHeight="1" x14ac:dyDescent="0.25">
      <c r="A438" s="3">
        <f t="shared" si="7"/>
        <v>426</v>
      </c>
      <c r="B438" s="1218" t="s">
        <v>162</v>
      </c>
      <c r="C438" s="1218"/>
      <c r="D438" s="1222"/>
      <c r="E438" s="1222"/>
      <c r="F438" s="1222"/>
      <c r="G438" s="1222"/>
      <c r="H438" s="1222"/>
      <c r="I438" s="1219"/>
      <c r="J438" s="1219"/>
      <c r="K438" s="1219"/>
      <c r="L438" s="1219"/>
      <c r="M438" s="1219"/>
      <c r="N438" s="1219"/>
      <c r="O438" s="1219"/>
      <c r="P438" s="1219"/>
      <c r="Q438" s="1220"/>
      <c r="R438" s="1220"/>
      <c r="S438" s="1220"/>
      <c r="T438" s="1220"/>
      <c r="U438" s="1220"/>
      <c r="V438" s="1220"/>
      <c r="W438" s="1220"/>
      <c r="X438" s="1220"/>
      <c r="Y438" s="1219"/>
      <c r="Z438" s="1219"/>
      <c r="AA438" s="1220"/>
      <c r="AB438" s="1220"/>
      <c r="AC438" s="1220"/>
      <c r="AD438" s="1220"/>
      <c r="AE438" s="1219"/>
      <c r="AF438" s="1219"/>
      <c r="AG438" s="1219"/>
      <c r="AH438" s="1220"/>
      <c r="AI438" s="1220"/>
      <c r="AJ438" s="1220"/>
      <c r="AK438" s="1219"/>
      <c r="AL438" s="1219"/>
      <c r="AM438" s="1219"/>
      <c r="AN438" s="1219"/>
      <c r="AO438" s="1220"/>
      <c r="AP438" s="1220"/>
      <c r="AQ438" s="1220"/>
      <c r="AR438" s="1220"/>
      <c r="AS438" s="1220"/>
      <c r="AT438" s="1220"/>
      <c r="AU438" s="1220"/>
      <c r="AV438" s="1220"/>
      <c r="AW438" s="1258"/>
      <c r="AX438" s="1258"/>
      <c r="AY438" s="1258"/>
      <c r="AZ438" s="1220"/>
      <c r="BA438" s="1220"/>
      <c r="BB438" s="1220"/>
      <c r="BC438" s="1220"/>
      <c r="BD438" s="1220"/>
      <c r="BE438" s="1220"/>
      <c r="BF438" s="1220"/>
      <c r="BG438" s="1220"/>
      <c r="BH438" s="1220"/>
      <c r="BI438" s="1220"/>
      <c r="BJ438" s="1220"/>
      <c r="BK438" s="1220"/>
      <c r="BL438" s="1220"/>
      <c r="BM438" s="1220"/>
      <c r="BN438" s="1220"/>
      <c r="BO438" s="1220"/>
    </row>
    <row r="439" spans="1:67" ht="35.1" customHeight="1" x14ac:dyDescent="0.25">
      <c r="A439" s="3">
        <f t="shared" si="7"/>
        <v>427</v>
      </c>
      <c r="B439" s="1218" t="s">
        <v>162</v>
      </c>
      <c r="C439" s="1218"/>
      <c r="D439" s="1221"/>
      <c r="E439" s="1221"/>
      <c r="F439" s="1221"/>
      <c r="G439" s="1221"/>
      <c r="H439" s="1221"/>
      <c r="I439" s="540"/>
      <c r="J439" s="540"/>
      <c r="K439" s="540"/>
      <c r="L439" s="540"/>
      <c r="M439" s="540"/>
      <c r="N439" s="540"/>
      <c r="O439" s="540"/>
      <c r="P439" s="540"/>
      <c r="Q439" s="540"/>
      <c r="R439" s="540"/>
      <c r="S439" s="540"/>
      <c r="T439" s="540"/>
      <c r="U439" s="540"/>
      <c r="V439" s="540"/>
      <c r="W439" s="540"/>
      <c r="X439" s="540"/>
      <c r="Y439" s="540"/>
      <c r="Z439" s="540"/>
      <c r="AA439" s="540"/>
      <c r="AB439" s="540"/>
      <c r="AC439" s="540"/>
      <c r="AD439" s="540"/>
      <c r="AE439" s="540"/>
      <c r="AF439" s="540"/>
      <c r="AG439" s="540"/>
      <c r="AH439" s="540"/>
      <c r="AI439" s="540"/>
      <c r="AJ439" s="540"/>
      <c r="AK439" s="540"/>
      <c r="AL439" s="540"/>
      <c r="AM439" s="540"/>
      <c r="AN439" s="540"/>
      <c r="AO439" s="540"/>
      <c r="AP439" s="540"/>
      <c r="AQ439" s="540"/>
      <c r="AR439" s="540"/>
      <c r="AS439" s="540"/>
      <c r="AT439" s="540"/>
      <c r="AU439" s="540"/>
      <c r="AV439" s="540"/>
      <c r="AW439" s="1259"/>
      <c r="AX439" s="1259"/>
      <c r="AY439" s="1259"/>
      <c r="AZ439" s="540"/>
      <c r="BA439" s="540"/>
      <c r="BB439" s="540"/>
      <c r="BC439" s="540"/>
      <c r="BD439" s="540"/>
      <c r="BE439" s="540"/>
      <c r="BF439" s="540"/>
      <c r="BG439" s="540"/>
      <c r="BH439" s="540"/>
      <c r="BI439" s="540"/>
      <c r="BJ439" s="540"/>
      <c r="BK439" s="540"/>
      <c r="BL439" s="540"/>
      <c r="BM439" s="540"/>
      <c r="BN439" s="540"/>
      <c r="BO439" s="540"/>
    </row>
    <row r="440" spans="1:67" ht="35.1" customHeight="1" x14ac:dyDescent="0.25">
      <c r="A440" s="3">
        <f t="shared" si="7"/>
        <v>428</v>
      </c>
      <c r="B440" s="1218" t="s">
        <v>162</v>
      </c>
      <c r="C440" s="1218"/>
      <c r="D440" s="1222"/>
      <c r="E440" s="1222"/>
      <c r="F440" s="1222"/>
      <c r="G440" s="1222"/>
      <c r="H440" s="1222"/>
      <c r="I440" s="1219"/>
      <c r="J440" s="1219"/>
      <c r="K440" s="1219"/>
      <c r="L440" s="1219"/>
      <c r="M440" s="1219"/>
      <c r="N440" s="1219"/>
      <c r="O440" s="1219"/>
      <c r="P440" s="1219"/>
      <c r="Q440" s="1220"/>
      <c r="R440" s="1220"/>
      <c r="S440" s="1220"/>
      <c r="T440" s="1220"/>
      <c r="U440" s="1220"/>
      <c r="V440" s="1220"/>
      <c r="W440" s="1220"/>
      <c r="X440" s="1220"/>
      <c r="Y440" s="1219"/>
      <c r="Z440" s="1219"/>
      <c r="AA440" s="1220"/>
      <c r="AB440" s="1220"/>
      <c r="AC440" s="1220"/>
      <c r="AD440" s="1220"/>
      <c r="AE440" s="1219"/>
      <c r="AF440" s="1219"/>
      <c r="AG440" s="1219"/>
      <c r="AH440" s="1220"/>
      <c r="AI440" s="1220"/>
      <c r="AJ440" s="1220"/>
      <c r="AK440" s="1219"/>
      <c r="AL440" s="1219"/>
      <c r="AM440" s="1219"/>
      <c r="AN440" s="1219"/>
      <c r="AO440" s="1220"/>
      <c r="AP440" s="1220"/>
      <c r="AQ440" s="1220"/>
      <c r="AR440" s="1220"/>
      <c r="AS440" s="1220"/>
      <c r="AT440" s="1220"/>
      <c r="AU440" s="1220"/>
      <c r="AV440" s="1220"/>
      <c r="AW440" s="1258"/>
      <c r="AX440" s="1258"/>
      <c r="AY440" s="1258"/>
      <c r="AZ440" s="1220"/>
      <c r="BA440" s="1220"/>
      <c r="BB440" s="1220"/>
      <c r="BC440" s="1220"/>
      <c r="BD440" s="1220"/>
      <c r="BE440" s="1220"/>
      <c r="BF440" s="1220"/>
      <c r="BG440" s="1220"/>
      <c r="BH440" s="1220"/>
      <c r="BI440" s="1220"/>
      <c r="BJ440" s="1220"/>
      <c r="BK440" s="1220"/>
      <c r="BL440" s="1220"/>
      <c r="BM440" s="1220"/>
      <c r="BN440" s="1220"/>
      <c r="BO440" s="1220"/>
    </row>
    <row r="441" spans="1:67" ht="35.1" customHeight="1" x14ac:dyDescent="0.25">
      <c r="A441" s="3">
        <f t="shared" si="7"/>
        <v>429</v>
      </c>
      <c r="B441" s="1218" t="s">
        <v>162</v>
      </c>
      <c r="C441" s="1218"/>
      <c r="D441" s="1221"/>
      <c r="E441" s="1221"/>
      <c r="F441" s="1221"/>
      <c r="G441" s="1221"/>
      <c r="H441" s="1221"/>
      <c r="I441" s="540"/>
      <c r="J441" s="540"/>
      <c r="K441" s="540"/>
      <c r="L441" s="540"/>
      <c r="M441" s="540"/>
      <c r="N441" s="540"/>
      <c r="O441" s="540"/>
      <c r="P441" s="540"/>
      <c r="Q441" s="540"/>
      <c r="R441" s="540"/>
      <c r="S441" s="540"/>
      <c r="T441" s="540"/>
      <c r="U441" s="540"/>
      <c r="V441" s="540"/>
      <c r="W441" s="540"/>
      <c r="X441" s="540"/>
      <c r="Y441" s="540"/>
      <c r="Z441" s="540"/>
      <c r="AA441" s="540"/>
      <c r="AB441" s="540"/>
      <c r="AC441" s="540"/>
      <c r="AD441" s="540"/>
      <c r="AE441" s="540"/>
      <c r="AF441" s="540"/>
      <c r="AG441" s="540"/>
      <c r="AH441" s="540"/>
      <c r="AI441" s="540"/>
      <c r="AJ441" s="540"/>
      <c r="AK441" s="540"/>
      <c r="AL441" s="540"/>
      <c r="AM441" s="540"/>
      <c r="AN441" s="540"/>
      <c r="AO441" s="540"/>
      <c r="AP441" s="540"/>
      <c r="AQ441" s="540"/>
      <c r="AR441" s="540"/>
      <c r="AS441" s="540"/>
      <c r="AT441" s="540"/>
      <c r="AU441" s="540"/>
      <c r="AV441" s="540"/>
      <c r="AW441" s="1259"/>
      <c r="AX441" s="1259"/>
      <c r="AY441" s="1259"/>
      <c r="AZ441" s="540"/>
      <c r="BA441" s="540"/>
      <c r="BB441" s="540"/>
      <c r="BC441" s="540"/>
      <c r="BD441" s="540"/>
      <c r="BE441" s="540"/>
      <c r="BF441" s="540"/>
      <c r="BG441" s="540"/>
      <c r="BH441" s="540"/>
      <c r="BI441" s="540"/>
      <c r="BJ441" s="540"/>
      <c r="BK441" s="540"/>
      <c r="BL441" s="540"/>
      <c r="BM441" s="540"/>
      <c r="BN441" s="540"/>
      <c r="BO441" s="540"/>
    </row>
    <row r="442" spans="1:67" ht="35.1" customHeight="1" x14ac:dyDescent="0.25">
      <c r="A442" s="3">
        <f t="shared" si="7"/>
        <v>430</v>
      </c>
      <c r="B442" s="1218" t="s">
        <v>162</v>
      </c>
      <c r="C442" s="1218"/>
      <c r="D442" s="1222"/>
      <c r="E442" s="1222"/>
      <c r="F442" s="1222"/>
      <c r="G442" s="1222"/>
      <c r="H442" s="1222"/>
      <c r="I442" s="1219"/>
      <c r="J442" s="1219"/>
      <c r="K442" s="1219"/>
      <c r="L442" s="1219"/>
      <c r="M442" s="1219"/>
      <c r="N442" s="1219"/>
      <c r="O442" s="1219"/>
      <c r="P442" s="1219"/>
      <c r="Q442" s="1220"/>
      <c r="R442" s="1220"/>
      <c r="S442" s="1220"/>
      <c r="T442" s="1220"/>
      <c r="U442" s="1220"/>
      <c r="V442" s="1220"/>
      <c r="W442" s="1220"/>
      <c r="X442" s="1220"/>
      <c r="Y442" s="1219"/>
      <c r="Z442" s="1219"/>
      <c r="AA442" s="1220"/>
      <c r="AB442" s="1220"/>
      <c r="AC442" s="1220"/>
      <c r="AD442" s="1220"/>
      <c r="AE442" s="1219"/>
      <c r="AF442" s="1219"/>
      <c r="AG442" s="1219"/>
      <c r="AH442" s="1220"/>
      <c r="AI442" s="1220"/>
      <c r="AJ442" s="1220"/>
      <c r="AK442" s="1219"/>
      <c r="AL442" s="1219"/>
      <c r="AM442" s="1219"/>
      <c r="AN442" s="1219"/>
      <c r="AO442" s="1220"/>
      <c r="AP442" s="1220"/>
      <c r="AQ442" s="1220"/>
      <c r="AR442" s="1220"/>
      <c r="AS442" s="1220"/>
      <c r="AT442" s="1220"/>
      <c r="AU442" s="1220"/>
      <c r="AV442" s="1220"/>
      <c r="AW442" s="1258"/>
      <c r="AX442" s="1258"/>
      <c r="AY442" s="1258"/>
      <c r="AZ442" s="1220"/>
      <c r="BA442" s="1220"/>
      <c r="BB442" s="1220"/>
      <c r="BC442" s="1220"/>
      <c r="BD442" s="1220"/>
      <c r="BE442" s="1220"/>
      <c r="BF442" s="1220"/>
      <c r="BG442" s="1220"/>
      <c r="BH442" s="1220"/>
      <c r="BI442" s="1220"/>
      <c r="BJ442" s="1220"/>
      <c r="BK442" s="1220"/>
      <c r="BL442" s="1220"/>
      <c r="BM442" s="1220"/>
      <c r="BN442" s="1220"/>
      <c r="BO442" s="1220"/>
    </row>
    <row r="443" spans="1:67" ht="35.1" customHeight="1" x14ac:dyDescent="0.25">
      <c r="A443" s="3">
        <f t="shared" si="7"/>
        <v>431</v>
      </c>
      <c r="B443" s="1218" t="s">
        <v>162</v>
      </c>
      <c r="C443" s="1218"/>
      <c r="D443" s="1221"/>
      <c r="E443" s="1221"/>
      <c r="F443" s="1221"/>
      <c r="G443" s="1221"/>
      <c r="H443" s="1221"/>
      <c r="I443" s="540"/>
      <c r="J443" s="540"/>
      <c r="K443" s="540"/>
      <c r="L443" s="540"/>
      <c r="M443" s="540"/>
      <c r="N443" s="540"/>
      <c r="O443" s="540"/>
      <c r="P443" s="540"/>
      <c r="Q443" s="540"/>
      <c r="R443" s="540"/>
      <c r="S443" s="540"/>
      <c r="T443" s="540"/>
      <c r="U443" s="540"/>
      <c r="V443" s="540"/>
      <c r="W443" s="540"/>
      <c r="X443" s="540"/>
      <c r="Y443" s="540"/>
      <c r="Z443" s="540"/>
      <c r="AA443" s="540"/>
      <c r="AB443" s="540"/>
      <c r="AC443" s="540"/>
      <c r="AD443" s="540"/>
      <c r="AE443" s="540"/>
      <c r="AF443" s="540"/>
      <c r="AG443" s="540"/>
      <c r="AH443" s="540"/>
      <c r="AI443" s="540"/>
      <c r="AJ443" s="540"/>
      <c r="AK443" s="540"/>
      <c r="AL443" s="540"/>
      <c r="AM443" s="540"/>
      <c r="AN443" s="540"/>
      <c r="AO443" s="540"/>
      <c r="AP443" s="540"/>
      <c r="AQ443" s="540"/>
      <c r="AR443" s="540"/>
      <c r="AS443" s="540"/>
      <c r="AT443" s="540"/>
      <c r="AU443" s="540"/>
      <c r="AV443" s="540"/>
      <c r="AW443" s="1259"/>
      <c r="AX443" s="1259"/>
      <c r="AY443" s="1259"/>
      <c r="AZ443" s="540"/>
      <c r="BA443" s="540"/>
      <c r="BB443" s="540"/>
      <c r="BC443" s="540"/>
      <c r="BD443" s="540"/>
      <c r="BE443" s="540"/>
      <c r="BF443" s="540"/>
      <c r="BG443" s="540"/>
      <c r="BH443" s="540"/>
      <c r="BI443" s="540"/>
      <c r="BJ443" s="540"/>
      <c r="BK443" s="540"/>
      <c r="BL443" s="540"/>
      <c r="BM443" s="540"/>
      <c r="BN443" s="540"/>
      <c r="BO443" s="540"/>
    </row>
    <row r="444" spans="1:67" ht="35.1" customHeight="1" x14ac:dyDescent="0.25">
      <c r="A444" s="3">
        <f t="shared" si="7"/>
        <v>432</v>
      </c>
      <c r="B444" s="1218" t="s">
        <v>162</v>
      </c>
      <c r="C444" s="1218"/>
      <c r="D444" s="1222"/>
      <c r="E444" s="1222"/>
      <c r="F444" s="1222"/>
      <c r="G444" s="1222"/>
      <c r="H444" s="1222"/>
      <c r="I444" s="1219"/>
      <c r="J444" s="1219"/>
      <c r="K444" s="1219"/>
      <c r="L444" s="1219"/>
      <c r="M444" s="1219"/>
      <c r="N444" s="1219"/>
      <c r="O444" s="1219"/>
      <c r="P444" s="1219"/>
      <c r="Q444" s="1220"/>
      <c r="R444" s="1220"/>
      <c r="S444" s="1220"/>
      <c r="T444" s="1220"/>
      <c r="U444" s="1220"/>
      <c r="V444" s="1220"/>
      <c r="W444" s="1220"/>
      <c r="X444" s="1220"/>
      <c r="Y444" s="1219"/>
      <c r="Z444" s="1219"/>
      <c r="AA444" s="1220"/>
      <c r="AB444" s="1220"/>
      <c r="AC444" s="1220"/>
      <c r="AD444" s="1220"/>
      <c r="AE444" s="1219"/>
      <c r="AF444" s="1219"/>
      <c r="AG444" s="1219"/>
      <c r="AH444" s="1220"/>
      <c r="AI444" s="1220"/>
      <c r="AJ444" s="1220"/>
      <c r="AK444" s="1219"/>
      <c r="AL444" s="1219"/>
      <c r="AM444" s="1219"/>
      <c r="AN444" s="1219"/>
      <c r="AO444" s="1220"/>
      <c r="AP444" s="1220"/>
      <c r="AQ444" s="1220"/>
      <c r="AR444" s="1220"/>
      <c r="AS444" s="1220"/>
      <c r="AT444" s="1220"/>
      <c r="AU444" s="1220"/>
      <c r="AV444" s="1220"/>
      <c r="AW444" s="1258"/>
      <c r="AX444" s="1258"/>
      <c r="AY444" s="1258"/>
      <c r="AZ444" s="1220"/>
      <c r="BA444" s="1220"/>
      <c r="BB444" s="1220"/>
      <c r="BC444" s="1220"/>
      <c r="BD444" s="1220"/>
      <c r="BE444" s="1220"/>
      <c r="BF444" s="1220"/>
      <c r="BG444" s="1220"/>
      <c r="BH444" s="1220"/>
      <c r="BI444" s="1220"/>
      <c r="BJ444" s="1220"/>
      <c r="BK444" s="1220"/>
      <c r="BL444" s="1220"/>
      <c r="BM444" s="1220"/>
      <c r="BN444" s="1220"/>
      <c r="BO444" s="1220"/>
    </row>
    <row r="445" spans="1:67" ht="35.1" customHeight="1" x14ac:dyDescent="0.25">
      <c r="A445" s="3">
        <f t="shared" si="7"/>
        <v>433</v>
      </c>
      <c r="B445" s="1218" t="s">
        <v>162</v>
      </c>
      <c r="C445" s="1218"/>
      <c r="D445" s="1221"/>
      <c r="E445" s="1221"/>
      <c r="F445" s="1221"/>
      <c r="G445" s="1221"/>
      <c r="H445" s="1221"/>
      <c r="I445" s="540"/>
      <c r="J445" s="540"/>
      <c r="K445" s="540"/>
      <c r="L445" s="540"/>
      <c r="M445" s="540"/>
      <c r="N445" s="540"/>
      <c r="O445" s="540"/>
      <c r="P445" s="540"/>
      <c r="Q445" s="540"/>
      <c r="R445" s="540"/>
      <c r="S445" s="540"/>
      <c r="T445" s="540"/>
      <c r="U445" s="540"/>
      <c r="V445" s="540"/>
      <c r="W445" s="540"/>
      <c r="X445" s="540"/>
      <c r="Y445" s="540"/>
      <c r="Z445" s="540"/>
      <c r="AA445" s="540"/>
      <c r="AB445" s="540"/>
      <c r="AC445" s="540"/>
      <c r="AD445" s="540"/>
      <c r="AE445" s="540"/>
      <c r="AF445" s="540"/>
      <c r="AG445" s="540"/>
      <c r="AH445" s="540"/>
      <c r="AI445" s="540"/>
      <c r="AJ445" s="540"/>
      <c r="AK445" s="540"/>
      <c r="AL445" s="540"/>
      <c r="AM445" s="540"/>
      <c r="AN445" s="540"/>
      <c r="AO445" s="540"/>
      <c r="AP445" s="540"/>
      <c r="AQ445" s="540"/>
      <c r="AR445" s="540"/>
      <c r="AS445" s="540"/>
      <c r="AT445" s="540"/>
      <c r="AU445" s="540"/>
      <c r="AV445" s="540"/>
      <c r="AW445" s="1259"/>
      <c r="AX445" s="1259"/>
      <c r="AY445" s="1259"/>
      <c r="AZ445" s="540"/>
      <c r="BA445" s="540"/>
      <c r="BB445" s="540"/>
      <c r="BC445" s="540"/>
      <c r="BD445" s="540"/>
      <c r="BE445" s="540"/>
      <c r="BF445" s="540"/>
      <c r="BG445" s="540"/>
      <c r="BH445" s="540"/>
      <c r="BI445" s="540"/>
      <c r="BJ445" s="540"/>
      <c r="BK445" s="540"/>
      <c r="BL445" s="540"/>
      <c r="BM445" s="540"/>
      <c r="BN445" s="540"/>
      <c r="BO445" s="540"/>
    </row>
    <row r="446" spans="1:67" ht="35.1" customHeight="1" x14ac:dyDescent="0.25">
      <c r="A446" s="3">
        <f t="shared" si="7"/>
        <v>434</v>
      </c>
      <c r="B446" s="1235" t="s">
        <v>162</v>
      </c>
      <c r="C446" s="1235"/>
      <c r="D446" s="1222"/>
      <c r="E446" s="1222"/>
      <c r="F446" s="1222"/>
      <c r="G446" s="1222"/>
      <c r="H446" s="1222"/>
      <c r="I446" s="1219"/>
      <c r="J446" s="1219"/>
      <c r="K446" s="1219"/>
      <c r="L446" s="1219"/>
      <c r="M446" s="1219"/>
      <c r="N446" s="1219"/>
      <c r="O446" s="1219"/>
      <c r="P446" s="1219"/>
      <c r="Q446" s="1220"/>
      <c r="R446" s="1220"/>
      <c r="S446" s="1220"/>
      <c r="T446" s="1220"/>
      <c r="U446" s="1220"/>
      <c r="V446" s="1220"/>
      <c r="W446" s="1220"/>
      <c r="X446" s="1220"/>
      <c r="Y446" s="1219"/>
      <c r="Z446" s="1219"/>
      <c r="AA446" s="1220"/>
      <c r="AB446" s="1220"/>
      <c r="AC446" s="1220"/>
      <c r="AD446" s="1220"/>
      <c r="AE446" s="1219"/>
      <c r="AF446" s="1219"/>
      <c r="AG446" s="1219"/>
      <c r="AH446" s="1220"/>
      <c r="AI446" s="1220"/>
      <c r="AJ446" s="1220"/>
      <c r="AK446" s="1219"/>
      <c r="AL446" s="1219"/>
      <c r="AM446" s="1219"/>
      <c r="AN446" s="1219"/>
      <c r="AO446" s="1220"/>
      <c r="AP446" s="1220"/>
      <c r="AQ446" s="1220"/>
      <c r="AR446" s="1220"/>
      <c r="AS446" s="1220"/>
      <c r="AT446" s="1220"/>
      <c r="AU446" s="1220"/>
      <c r="AV446" s="1220"/>
      <c r="AW446" s="1258"/>
      <c r="AX446" s="1258"/>
      <c r="AY446" s="1258"/>
      <c r="AZ446" s="1220"/>
      <c r="BA446" s="1220"/>
      <c r="BB446" s="1220"/>
      <c r="BC446" s="1220"/>
      <c r="BD446" s="1220"/>
      <c r="BE446" s="1220"/>
      <c r="BF446" s="1220"/>
      <c r="BG446" s="1220"/>
      <c r="BH446" s="1220"/>
      <c r="BI446" s="1220"/>
      <c r="BJ446" s="1220"/>
      <c r="BK446" s="1220"/>
      <c r="BL446" s="1220"/>
      <c r="BM446" s="1220"/>
      <c r="BN446" s="1220"/>
      <c r="BO446" s="1220"/>
    </row>
    <row r="447" spans="1:67" ht="35.1" customHeight="1" x14ac:dyDescent="0.25">
      <c r="A447" s="3">
        <f t="shared" si="7"/>
        <v>435</v>
      </c>
      <c r="B447" s="1218" t="s">
        <v>162</v>
      </c>
      <c r="C447" s="1218"/>
      <c r="D447" s="1221"/>
      <c r="E447" s="1221"/>
      <c r="F447" s="1221"/>
      <c r="G447" s="1221"/>
      <c r="H447" s="1221"/>
      <c r="I447" s="540"/>
      <c r="J447" s="540"/>
      <c r="K447" s="540"/>
      <c r="L447" s="540"/>
      <c r="M447" s="540"/>
      <c r="N447" s="540"/>
      <c r="O447" s="540"/>
      <c r="P447" s="540"/>
      <c r="Q447" s="540"/>
      <c r="R447" s="540"/>
      <c r="S447" s="540"/>
      <c r="T447" s="540"/>
      <c r="U447" s="540"/>
      <c r="V447" s="540"/>
      <c r="W447" s="540"/>
      <c r="X447" s="540"/>
      <c r="Y447" s="540"/>
      <c r="Z447" s="540"/>
      <c r="AA447" s="540"/>
      <c r="AB447" s="540"/>
      <c r="AC447" s="540"/>
      <c r="AD447" s="540"/>
      <c r="AE447" s="540"/>
      <c r="AF447" s="540"/>
      <c r="AG447" s="540"/>
      <c r="AH447" s="540"/>
      <c r="AI447" s="540"/>
      <c r="AJ447" s="540"/>
      <c r="AK447" s="540"/>
      <c r="AL447" s="540"/>
      <c r="AM447" s="540"/>
      <c r="AN447" s="540"/>
      <c r="AO447" s="540"/>
      <c r="AP447" s="540"/>
      <c r="AQ447" s="540"/>
      <c r="AR447" s="540"/>
      <c r="AS447" s="540"/>
      <c r="AT447" s="540"/>
      <c r="AU447" s="540"/>
      <c r="AV447" s="540"/>
      <c r="AW447" s="1259"/>
      <c r="AX447" s="1259"/>
      <c r="AY447" s="1259"/>
      <c r="AZ447" s="540"/>
      <c r="BA447" s="540"/>
      <c r="BB447" s="540"/>
      <c r="BC447" s="540"/>
      <c r="BD447" s="540"/>
      <c r="BE447" s="540"/>
      <c r="BF447" s="540"/>
      <c r="BG447" s="540"/>
      <c r="BH447" s="540"/>
      <c r="BI447" s="540"/>
      <c r="BJ447" s="540"/>
      <c r="BK447" s="540"/>
      <c r="BL447" s="540"/>
      <c r="BM447" s="540"/>
      <c r="BN447" s="540"/>
      <c r="BO447" s="540"/>
    </row>
    <row r="448" spans="1:67" ht="35.1" customHeight="1" x14ac:dyDescent="0.25">
      <c r="A448" s="3">
        <f t="shared" si="7"/>
        <v>436</v>
      </c>
      <c r="B448" s="1218" t="s">
        <v>162</v>
      </c>
      <c r="C448" s="1218"/>
      <c r="D448" s="1222"/>
      <c r="E448" s="1222"/>
      <c r="F448" s="1222"/>
      <c r="G448" s="1222"/>
      <c r="H448" s="1222"/>
      <c r="I448" s="1219"/>
      <c r="J448" s="1219"/>
      <c r="K448" s="1219"/>
      <c r="L448" s="1219"/>
      <c r="M448" s="1219"/>
      <c r="N448" s="1219"/>
      <c r="O448" s="1219"/>
      <c r="P448" s="1219"/>
      <c r="Q448" s="1220"/>
      <c r="R448" s="1220"/>
      <c r="S448" s="1220"/>
      <c r="T448" s="1220"/>
      <c r="U448" s="1220"/>
      <c r="V448" s="1220"/>
      <c r="W448" s="1220"/>
      <c r="X448" s="1220"/>
      <c r="Y448" s="1219"/>
      <c r="Z448" s="1219"/>
      <c r="AA448" s="1220"/>
      <c r="AB448" s="1220"/>
      <c r="AC448" s="1220"/>
      <c r="AD448" s="1220"/>
      <c r="AE448" s="1219"/>
      <c r="AF448" s="1219"/>
      <c r="AG448" s="1219"/>
      <c r="AH448" s="1220"/>
      <c r="AI448" s="1220"/>
      <c r="AJ448" s="1220"/>
      <c r="AK448" s="1219"/>
      <c r="AL448" s="1219"/>
      <c r="AM448" s="1219"/>
      <c r="AN448" s="1219"/>
      <c r="AO448" s="1220"/>
      <c r="AP448" s="1220"/>
      <c r="AQ448" s="1220"/>
      <c r="AR448" s="1220"/>
      <c r="AS448" s="1220"/>
      <c r="AT448" s="1220"/>
      <c r="AU448" s="1220"/>
      <c r="AV448" s="1220"/>
      <c r="AW448" s="1258"/>
      <c r="AX448" s="1258"/>
      <c r="AY448" s="1258"/>
      <c r="AZ448" s="1220"/>
      <c r="BA448" s="1220"/>
      <c r="BB448" s="1220"/>
      <c r="BC448" s="1220"/>
      <c r="BD448" s="1220"/>
      <c r="BE448" s="1220"/>
      <c r="BF448" s="1220"/>
      <c r="BG448" s="1220"/>
      <c r="BH448" s="1220"/>
      <c r="BI448" s="1220"/>
      <c r="BJ448" s="1220"/>
      <c r="BK448" s="1220"/>
      <c r="BL448" s="1220"/>
      <c r="BM448" s="1220"/>
      <c r="BN448" s="1220"/>
      <c r="BO448" s="1220"/>
    </row>
    <row r="449" spans="1:67" ht="35.1" customHeight="1" x14ac:dyDescent="0.25">
      <c r="A449" s="3">
        <f t="shared" si="7"/>
        <v>437</v>
      </c>
      <c r="B449" s="1218" t="s">
        <v>162</v>
      </c>
      <c r="C449" s="1218"/>
      <c r="D449" s="1221"/>
      <c r="E449" s="1221"/>
      <c r="F449" s="1221"/>
      <c r="G449" s="1221"/>
      <c r="H449" s="1221"/>
      <c r="I449" s="540"/>
      <c r="J449" s="540"/>
      <c r="K449" s="540"/>
      <c r="L449" s="540"/>
      <c r="M449" s="540"/>
      <c r="N449" s="540"/>
      <c r="O449" s="540"/>
      <c r="P449" s="540"/>
      <c r="Q449" s="540"/>
      <c r="R449" s="540"/>
      <c r="S449" s="540"/>
      <c r="T449" s="540"/>
      <c r="U449" s="540"/>
      <c r="V449" s="540"/>
      <c r="W449" s="540"/>
      <c r="X449" s="540"/>
      <c r="Y449" s="540"/>
      <c r="Z449" s="540"/>
      <c r="AA449" s="540"/>
      <c r="AB449" s="540"/>
      <c r="AC449" s="540"/>
      <c r="AD449" s="540"/>
      <c r="AE449" s="540"/>
      <c r="AF449" s="540"/>
      <c r="AG449" s="540"/>
      <c r="AH449" s="540"/>
      <c r="AI449" s="540"/>
      <c r="AJ449" s="540"/>
      <c r="AK449" s="540"/>
      <c r="AL449" s="540"/>
      <c r="AM449" s="540"/>
      <c r="AN449" s="540"/>
      <c r="AO449" s="540"/>
      <c r="AP449" s="540"/>
      <c r="AQ449" s="540"/>
      <c r="AR449" s="540"/>
      <c r="AS449" s="540"/>
      <c r="AT449" s="540"/>
      <c r="AU449" s="540"/>
      <c r="AV449" s="540"/>
      <c r="AW449" s="1259"/>
      <c r="AX449" s="1259"/>
      <c r="AY449" s="1259"/>
      <c r="AZ449" s="540"/>
      <c r="BA449" s="540"/>
      <c r="BB449" s="540"/>
      <c r="BC449" s="540"/>
      <c r="BD449" s="540"/>
      <c r="BE449" s="540"/>
      <c r="BF449" s="540"/>
      <c r="BG449" s="540"/>
      <c r="BH449" s="540"/>
      <c r="BI449" s="540"/>
      <c r="BJ449" s="540"/>
      <c r="BK449" s="540"/>
      <c r="BL449" s="540"/>
      <c r="BM449" s="540"/>
      <c r="BN449" s="540"/>
      <c r="BO449" s="540"/>
    </row>
    <row r="450" spans="1:67" ht="35.1" customHeight="1" x14ac:dyDescent="0.25">
      <c r="A450" s="3">
        <f t="shared" si="7"/>
        <v>438</v>
      </c>
      <c r="B450" s="1218" t="s">
        <v>162</v>
      </c>
      <c r="C450" s="1218"/>
      <c r="D450" s="1222"/>
      <c r="E450" s="1222"/>
      <c r="F450" s="1222"/>
      <c r="G450" s="1222"/>
      <c r="H450" s="1222"/>
      <c r="I450" s="1219"/>
      <c r="J450" s="1219"/>
      <c r="K450" s="1219"/>
      <c r="L450" s="1219"/>
      <c r="M450" s="1219"/>
      <c r="N450" s="1219"/>
      <c r="O450" s="1219"/>
      <c r="P450" s="1219"/>
      <c r="Q450" s="1220"/>
      <c r="R450" s="1220"/>
      <c r="S450" s="1220"/>
      <c r="T450" s="1220"/>
      <c r="U450" s="1220"/>
      <c r="V450" s="1220"/>
      <c r="W450" s="1220"/>
      <c r="X450" s="1220"/>
      <c r="Y450" s="1219"/>
      <c r="Z450" s="1219"/>
      <c r="AA450" s="1220"/>
      <c r="AB450" s="1220"/>
      <c r="AC450" s="1220"/>
      <c r="AD450" s="1220"/>
      <c r="AE450" s="1219"/>
      <c r="AF450" s="1219"/>
      <c r="AG450" s="1219"/>
      <c r="AH450" s="1220"/>
      <c r="AI450" s="1220"/>
      <c r="AJ450" s="1220"/>
      <c r="AK450" s="1219"/>
      <c r="AL450" s="1219"/>
      <c r="AM450" s="1219"/>
      <c r="AN450" s="1219"/>
      <c r="AO450" s="1220"/>
      <c r="AP450" s="1220"/>
      <c r="AQ450" s="1220"/>
      <c r="AR450" s="1220"/>
      <c r="AS450" s="1220"/>
      <c r="AT450" s="1220"/>
      <c r="AU450" s="1220"/>
      <c r="AV450" s="1220"/>
      <c r="AW450" s="1258"/>
      <c r="AX450" s="1258"/>
      <c r="AY450" s="1258"/>
      <c r="AZ450" s="1220"/>
      <c r="BA450" s="1220"/>
      <c r="BB450" s="1220"/>
      <c r="BC450" s="1220"/>
      <c r="BD450" s="1220"/>
      <c r="BE450" s="1220"/>
      <c r="BF450" s="1220"/>
      <c r="BG450" s="1220"/>
      <c r="BH450" s="1220"/>
      <c r="BI450" s="1220"/>
      <c r="BJ450" s="1220"/>
      <c r="BK450" s="1220"/>
      <c r="BL450" s="1220"/>
      <c r="BM450" s="1220"/>
      <c r="BN450" s="1220"/>
      <c r="BO450" s="1220"/>
    </row>
    <row r="451" spans="1:67" ht="35.1" customHeight="1" x14ac:dyDescent="0.25">
      <c r="A451" s="3">
        <f t="shared" si="7"/>
        <v>439</v>
      </c>
      <c r="B451" s="1218" t="s">
        <v>162</v>
      </c>
      <c r="C451" s="1218"/>
      <c r="D451" s="1221"/>
      <c r="E451" s="1221"/>
      <c r="F451" s="1221"/>
      <c r="G451" s="1221"/>
      <c r="H451" s="1221"/>
      <c r="I451" s="540"/>
      <c r="J451" s="540"/>
      <c r="K451" s="540"/>
      <c r="L451" s="540"/>
      <c r="M451" s="540"/>
      <c r="N451" s="540"/>
      <c r="O451" s="540"/>
      <c r="P451" s="540"/>
      <c r="Q451" s="540"/>
      <c r="R451" s="540"/>
      <c r="S451" s="540"/>
      <c r="T451" s="540"/>
      <c r="U451" s="540"/>
      <c r="V451" s="540"/>
      <c r="W451" s="540"/>
      <c r="X451" s="540"/>
      <c r="Y451" s="540"/>
      <c r="Z451" s="540"/>
      <c r="AA451" s="540"/>
      <c r="AB451" s="540"/>
      <c r="AC451" s="540"/>
      <c r="AD451" s="540"/>
      <c r="AE451" s="540"/>
      <c r="AF451" s="540"/>
      <c r="AG451" s="540"/>
      <c r="AH451" s="540"/>
      <c r="AI451" s="540"/>
      <c r="AJ451" s="540"/>
      <c r="AK451" s="540"/>
      <c r="AL451" s="540"/>
      <c r="AM451" s="540"/>
      <c r="AN451" s="540"/>
      <c r="AO451" s="540"/>
      <c r="AP451" s="540"/>
      <c r="AQ451" s="540"/>
      <c r="AR451" s="540"/>
      <c r="AS451" s="540"/>
      <c r="AT451" s="540"/>
      <c r="AU451" s="540"/>
      <c r="AV451" s="540"/>
      <c r="AW451" s="1259"/>
      <c r="AX451" s="1259"/>
      <c r="AY451" s="1259"/>
      <c r="AZ451" s="540"/>
      <c r="BA451" s="540"/>
      <c r="BB451" s="540"/>
      <c r="BC451" s="540"/>
      <c r="BD451" s="540"/>
      <c r="BE451" s="540"/>
      <c r="BF451" s="540"/>
      <c r="BG451" s="540"/>
      <c r="BH451" s="540"/>
      <c r="BI451" s="540"/>
      <c r="BJ451" s="540"/>
      <c r="BK451" s="540"/>
      <c r="BL451" s="540"/>
      <c r="BM451" s="540"/>
      <c r="BN451" s="540"/>
      <c r="BO451" s="540"/>
    </row>
    <row r="452" spans="1:67" ht="35.1" customHeight="1" x14ac:dyDescent="0.25">
      <c r="A452" s="3">
        <f t="shared" si="7"/>
        <v>440</v>
      </c>
      <c r="B452" s="1218" t="s">
        <v>162</v>
      </c>
      <c r="C452" s="1218"/>
      <c r="D452" s="1222"/>
      <c r="E452" s="1222"/>
      <c r="F452" s="1222"/>
      <c r="G452" s="1222"/>
      <c r="H452" s="1222"/>
      <c r="I452" s="1219"/>
      <c r="J452" s="1219"/>
      <c r="K452" s="1219"/>
      <c r="L452" s="1219"/>
      <c r="M452" s="1219"/>
      <c r="N452" s="1219"/>
      <c r="O452" s="1219"/>
      <c r="P452" s="1219"/>
      <c r="Q452" s="1220"/>
      <c r="R452" s="1220"/>
      <c r="S452" s="1220"/>
      <c r="T452" s="1220"/>
      <c r="U452" s="1220"/>
      <c r="V452" s="1220"/>
      <c r="W452" s="1220"/>
      <c r="X452" s="1220"/>
      <c r="Y452" s="1219"/>
      <c r="Z452" s="1219"/>
      <c r="AA452" s="1220"/>
      <c r="AB452" s="1220"/>
      <c r="AC452" s="1220"/>
      <c r="AD452" s="1220"/>
      <c r="AE452" s="1219"/>
      <c r="AF452" s="1219"/>
      <c r="AG452" s="1219"/>
      <c r="AH452" s="1220"/>
      <c r="AI452" s="1220"/>
      <c r="AJ452" s="1220"/>
      <c r="AK452" s="1219"/>
      <c r="AL452" s="1219"/>
      <c r="AM452" s="1219"/>
      <c r="AN452" s="1219"/>
      <c r="AO452" s="1220"/>
      <c r="AP452" s="1220"/>
      <c r="AQ452" s="1220"/>
      <c r="AR452" s="1220"/>
      <c r="AS452" s="1220"/>
      <c r="AT452" s="1220"/>
      <c r="AU452" s="1220"/>
      <c r="AV452" s="1220"/>
      <c r="AW452" s="1258"/>
      <c r="AX452" s="1258"/>
      <c r="AY452" s="1258"/>
      <c r="AZ452" s="1220"/>
      <c r="BA452" s="1220"/>
      <c r="BB452" s="1220"/>
      <c r="BC452" s="1220"/>
      <c r="BD452" s="1220"/>
      <c r="BE452" s="1220"/>
      <c r="BF452" s="1220"/>
      <c r="BG452" s="1220"/>
      <c r="BH452" s="1220"/>
      <c r="BI452" s="1220"/>
      <c r="BJ452" s="1220"/>
      <c r="BK452" s="1220"/>
      <c r="BL452" s="1220"/>
      <c r="BM452" s="1220"/>
      <c r="BN452" s="1220"/>
      <c r="BO452" s="1220"/>
    </row>
    <row r="453" spans="1:67" ht="35.1" customHeight="1" x14ac:dyDescent="0.25">
      <c r="A453" s="3">
        <f t="shared" si="7"/>
        <v>441</v>
      </c>
      <c r="B453" s="1218" t="s">
        <v>162</v>
      </c>
      <c r="C453" s="1218"/>
      <c r="D453" s="1221"/>
      <c r="E453" s="1221"/>
      <c r="F453" s="1221"/>
      <c r="G453" s="1221"/>
      <c r="H453" s="1221"/>
      <c r="I453" s="540"/>
      <c r="J453" s="540"/>
      <c r="K453" s="540"/>
      <c r="L453" s="540"/>
      <c r="M453" s="540"/>
      <c r="N453" s="540"/>
      <c r="O453" s="540"/>
      <c r="P453" s="540"/>
      <c r="Q453" s="540"/>
      <c r="R453" s="540"/>
      <c r="S453" s="540"/>
      <c r="T453" s="540"/>
      <c r="U453" s="540"/>
      <c r="V453" s="540"/>
      <c r="W453" s="540"/>
      <c r="X453" s="540"/>
      <c r="Y453" s="540"/>
      <c r="Z453" s="540"/>
      <c r="AA453" s="540"/>
      <c r="AB453" s="540"/>
      <c r="AC453" s="540"/>
      <c r="AD453" s="540"/>
      <c r="AE453" s="540"/>
      <c r="AF453" s="540"/>
      <c r="AG453" s="540"/>
      <c r="AH453" s="540"/>
      <c r="AI453" s="540"/>
      <c r="AJ453" s="540"/>
      <c r="AK453" s="540"/>
      <c r="AL453" s="540"/>
      <c r="AM453" s="540"/>
      <c r="AN453" s="540"/>
      <c r="AO453" s="540"/>
      <c r="AP453" s="540"/>
      <c r="AQ453" s="540"/>
      <c r="AR453" s="540"/>
      <c r="AS453" s="540"/>
      <c r="AT453" s="540"/>
      <c r="AU453" s="540"/>
      <c r="AV453" s="540"/>
      <c r="AW453" s="1259"/>
      <c r="AX453" s="1259"/>
      <c r="AY453" s="1259"/>
      <c r="AZ453" s="540"/>
      <c r="BA453" s="540"/>
      <c r="BB453" s="540"/>
      <c r="BC453" s="540"/>
      <c r="BD453" s="540"/>
      <c r="BE453" s="540"/>
      <c r="BF453" s="540"/>
      <c r="BG453" s="540"/>
      <c r="BH453" s="540"/>
      <c r="BI453" s="540"/>
      <c r="BJ453" s="540"/>
      <c r="BK453" s="540"/>
      <c r="BL453" s="540"/>
      <c r="BM453" s="540"/>
      <c r="BN453" s="540"/>
      <c r="BO453" s="540"/>
    </row>
    <row r="454" spans="1:67" ht="35.1" customHeight="1" x14ac:dyDescent="0.25">
      <c r="A454" s="3">
        <f t="shared" si="7"/>
        <v>442</v>
      </c>
      <c r="B454" s="1218" t="s">
        <v>162</v>
      </c>
      <c r="C454" s="1218"/>
      <c r="D454" s="1222"/>
      <c r="E454" s="1222"/>
      <c r="F454" s="1222"/>
      <c r="G454" s="1222"/>
      <c r="H454" s="1222"/>
      <c r="I454" s="1219"/>
      <c r="J454" s="1219"/>
      <c r="K454" s="1219"/>
      <c r="L454" s="1219"/>
      <c r="M454" s="1219"/>
      <c r="N454" s="1219"/>
      <c r="O454" s="1219"/>
      <c r="P454" s="1219"/>
      <c r="Q454" s="1220"/>
      <c r="R454" s="1220"/>
      <c r="S454" s="1220"/>
      <c r="T454" s="1220"/>
      <c r="U454" s="1220"/>
      <c r="V454" s="1220"/>
      <c r="W454" s="1220"/>
      <c r="X454" s="1220"/>
      <c r="Y454" s="1219"/>
      <c r="Z454" s="1219"/>
      <c r="AA454" s="1220"/>
      <c r="AB454" s="1220"/>
      <c r="AC454" s="1220"/>
      <c r="AD454" s="1220"/>
      <c r="AE454" s="1219"/>
      <c r="AF454" s="1219"/>
      <c r="AG454" s="1219"/>
      <c r="AH454" s="1220"/>
      <c r="AI454" s="1220"/>
      <c r="AJ454" s="1220"/>
      <c r="AK454" s="1219"/>
      <c r="AL454" s="1219"/>
      <c r="AM454" s="1219"/>
      <c r="AN454" s="1219"/>
      <c r="AO454" s="1220"/>
      <c r="AP454" s="1220"/>
      <c r="AQ454" s="1220"/>
      <c r="AR454" s="1220"/>
      <c r="AS454" s="1220"/>
      <c r="AT454" s="1220"/>
      <c r="AU454" s="1220"/>
      <c r="AV454" s="1220"/>
      <c r="AW454" s="1258"/>
      <c r="AX454" s="1258"/>
      <c r="AY454" s="1258"/>
      <c r="AZ454" s="1220"/>
      <c r="BA454" s="1220"/>
      <c r="BB454" s="1220"/>
      <c r="BC454" s="1220"/>
      <c r="BD454" s="1220"/>
      <c r="BE454" s="1220"/>
      <c r="BF454" s="1220"/>
      <c r="BG454" s="1220"/>
      <c r="BH454" s="1220"/>
      <c r="BI454" s="1220"/>
      <c r="BJ454" s="1220"/>
      <c r="BK454" s="1220"/>
      <c r="BL454" s="1220"/>
      <c r="BM454" s="1220"/>
      <c r="BN454" s="1220"/>
      <c r="BO454" s="1220"/>
    </row>
    <row r="455" spans="1:67" ht="35.1" customHeight="1" x14ac:dyDescent="0.25">
      <c r="A455" s="3">
        <f t="shared" si="7"/>
        <v>443</v>
      </c>
      <c r="B455" s="1218" t="s">
        <v>162</v>
      </c>
      <c r="C455" s="1218"/>
      <c r="D455" s="1221"/>
      <c r="E455" s="1221"/>
      <c r="F455" s="1221"/>
      <c r="G455" s="1221"/>
      <c r="H455" s="1221"/>
      <c r="I455" s="540"/>
      <c r="J455" s="540"/>
      <c r="K455" s="540"/>
      <c r="L455" s="540"/>
      <c r="M455" s="540"/>
      <c r="N455" s="540"/>
      <c r="O455" s="540"/>
      <c r="P455" s="540"/>
      <c r="Q455" s="540"/>
      <c r="R455" s="540"/>
      <c r="S455" s="540"/>
      <c r="T455" s="540"/>
      <c r="U455" s="540"/>
      <c r="V455" s="540"/>
      <c r="W455" s="540"/>
      <c r="X455" s="540"/>
      <c r="Y455" s="540"/>
      <c r="Z455" s="540"/>
      <c r="AA455" s="540"/>
      <c r="AB455" s="540"/>
      <c r="AC455" s="540"/>
      <c r="AD455" s="540"/>
      <c r="AE455" s="540"/>
      <c r="AF455" s="540"/>
      <c r="AG455" s="540"/>
      <c r="AH455" s="540"/>
      <c r="AI455" s="540"/>
      <c r="AJ455" s="540"/>
      <c r="AK455" s="540"/>
      <c r="AL455" s="540"/>
      <c r="AM455" s="540"/>
      <c r="AN455" s="540"/>
      <c r="AO455" s="540"/>
      <c r="AP455" s="540"/>
      <c r="AQ455" s="540"/>
      <c r="AR455" s="540"/>
      <c r="AS455" s="540"/>
      <c r="AT455" s="540"/>
      <c r="AU455" s="540"/>
      <c r="AV455" s="540"/>
      <c r="AW455" s="1259"/>
      <c r="AX455" s="1259"/>
      <c r="AY455" s="1259"/>
      <c r="AZ455" s="540"/>
      <c r="BA455" s="540"/>
      <c r="BB455" s="540"/>
      <c r="BC455" s="540"/>
      <c r="BD455" s="540"/>
      <c r="BE455" s="540"/>
      <c r="BF455" s="540"/>
      <c r="BG455" s="540"/>
      <c r="BH455" s="540"/>
      <c r="BI455" s="540"/>
      <c r="BJ455" s="540"/>
      <c r="BK455" s="540"/>
      <c r="BL455" s="540"/>
      <c r="BM455" s="540"/>
      <c r="BN455" s="540"/>
      <c r="BO455" s="540"/>
    </row>
    <row r="456" spans="1:67" ht="35.1" customHeight="1" x14ac:dyDescent="0.25">
      <c r="A456" s="3">
        <f t="shared" si="7"/>
        <v>444</v>
      </c>
      <c r="B456" s="1218" t="s">
        <v>162</v>
      </c>
      <c r="C456" s="1218"/>
      <c r="D456" s="1222"/>
      <c r="E456" s="1222"/>
      <c r="F456" s="1222"/>
      <c r="G456" s="1222"/>
      <c r="H456" s="1222"/>
      <c r="I456" s="1219"/>
      <c r="J456" s="1219"/>
      <c r="K456" s="1219"/>
      <c r="L456" s="1219"/>
      <c r="M456" s="1219"/>
      <c r="N456" s="1219"/>
      <c r="O456" s="1219"/>
      <c r="P456" s="1219"/>
      <c r="Q456" s="1220"/>
      <c r="R456" s="1220"/>
      <c r="S456" s="1220"/>
      <c r="T456" s="1220"/>
      <c r="U456" s="1220"/>
      <c r="V456" s="1220"/>
      <c r="W456" s="1220"/>
      <c r="X456" s="1220"/>
      <c r="Y456" s="1219"/>
      <c r="Z456" s="1219"/>
      <c r="AA456" s="1220"/>
      <c r="AB456" s="1220"/>
      <c r="AC456" s="1220"/>
      <c r="AD456" s="1220"/>
      <c r="AE456" s="1219"/>
      <c r="AF456" s="1219"/>
      <c r="AG456" s="1219"/>
      <c r="AH456" s="1220"/>
      <c r="AI456" s="1220"/>
      <c r="AJ456" s="1220"/>
      <c r="AK456" s="1219"/>
      <c r="AL456" s="1219"/>
      <c r="AM456" s="1219"/>
      <c r="AN456" s="1219"/>
      <c r="AO456" s="1220"/>
      <c r="AP456" s="1220"/>
      <c r="AQ456" s="1220"/>
      <c r="AR456" s="1220"/>
      <c r="AS456" s="1220"/>
      <c r="AT456" s="1220"/>
      <c r="AU456" s="1220"/>
      <c r="AV456" s="1220"/>
      <c r="AW456" s="1258"/>
      <c r="AX456" s="1258"/>
      <c r="AY456" s="1258"/>
      <c r="AZ456" s="1220"/>
      <c r="BA456" s="1220"/>
      <c r="BB456" s="1220"/>
      <c r="BC456" s="1220"/>
      <c r="BD456" s="1220"/>
      <c r="BE456" s="1220"/>
      <c r="BF456" s="1220"/>
      <c r="BG456" s="1220"/>
      <c r="BH456" s="1220"/>
      <c r="BI456" s="1220"/>
      <c r="BJ456" s="1220"/>
      <c r="BK456" s="1220"/>
      <c r="BL456" s="1220"/>
      <c r="BM456" s="1220"/>
      <c r="BN456" s="1220"/>
      <c r="BO456" s="1220"/>
    </row>
    <row r="457" spans="1:67" ht="35.1" customHeight="1" x14ac:dyDescent="0.25">
      <c r="A457" s="3">
        <f t="shared" si="7"/>
        <v>445</v>
      </c>
      <c r="B457" s="1218" t="s">
        <v>162</v>
      </c>
      <c r="C457" s="1218"/>
      <c r="D457" s="1221"/>
      <c r="E457" s="1221"/>
      <c r="F457" s="1221"/>
      <c r="G457" s="1221"/>
      <c r="H457" s="1221"/>
      <c r="I457" s="540"/>
      <c r="J457" s="540"/>
      <c r="K457" s="540"/>
      <c r="L457" s="540"/>
      <c r="M457" s="540"/>
      <c r="N457" s="540"/>
      <c r="O457" s="540"/>
      <c r="P457" s="540"/>
      <c r="Q457" s="540"/>
      <c r="R457" s="540"/>
      <c r="S457" s="540"/>
      <c r="T457" s="540"/>
      <c r="U457" s="540"/>
      <c r="V457" s="540"/>
      <c r="W457" s="540"/>
      <c r="X457" s="540"/>
      <c r="Y457" s="540"/>
      <c r="Z457" s="540"/>
      <c r="AA457" s="540"/>
      <c r="AB457" s="540"/>
      <c r="AC457" s="540"/>
      <c r="AD457" s="540"/>
      <c r="AE457" s="540"/>
      <c r="AF457" s="540"/>
      <c r="AG457" s="540"/>
      <c r="AH457" s="540"/>
      <c r="AI457" s="540"/>
      <c r="AJ457" s="540"/>
      <c r="AK457" s="540"/>
      <c r="AL457" s="540"/>
      <c r="AM457" s="540"/>
      <c r="AN457" s="540"/>
      <c r="AO457" s="540"/>
      <c r="AP457" s="540"/>
      <c r="AQ457" s="540"/>
      <c r="AR457" s="540"/>
      <c r="AS457" s="540"/>
      <c r="AT457" s="540"/>
      <c r="AU457" s="540"/>
      <c r="AV457" s="540"/>
      <c r="AW457" s="1259"/>
      <c r="AX457" s="1259"/>
      <c r="AY457" s="1259"/>
      <c r="AZ457" s="540"/>
      <c r="BA457" s="540"/>
      <c r="BB457" s="540"/>
      <c r="BC457" s="540"/>
      <c r="BD457" s="540"/>
      <c r="BE457" s="540"/>
      <c r="BF457" s="540"/>
      <c r="BG457" s="540"/>
      <c r="BH457" s="540"/>
      <c r="BI457" s="540"/>
      <c r="BJ457" s="540"/>
      <c r="BK457" s="540"/>
      <c r="BL457" s="540"/>
      <c r="BM457" s="540"/>
      <c r="BN457" s="540"/>
      <c r="BO457" s="540"/>
    </row>
    <row r="458" spans="1:67" ht="35.1" customHeight="1" x14ac:dyDescent="0.25">
      <c r="A458" s="3">
        <f t="shared" si="7"/>
        <v>446</v>
      </c>
      <c r="B458" s="1218" t="s">
        <v>162</v>
      </c>
      <c r="C458" s="1218"/>
      <c r="D458" s="1222"/>
      <c r="E458" s="1222"/>
      <c r="F458" s="1222"/>
      <c r="G458" s="1222"/>
      <c r="H458" s="1222"/>
      <c r="I458" s="1219"/>
      <c r="J458" s="1219"/>
      <c r="K458" s="1219"/>
      <c r="L458" s="1219"/>
      <c r="M458" s="1219"/>
      <c r="N458" s="1219"/>
      <c r="O458" s="1219"/>
      <c r="P458" s="1219"/>
      <c r="Q458" s="1220"/>
      <c r="R458" s="1220"/>
      <c r="S458" s="1220"/>
      <c r="T458" s="1220"/>
      <c r="U458" s="1220"/>
      <c r="V458" s="1220"/>
      <c r="W458" s="1220"/>
      <c r="X458" s="1220"/>
      <c r="Y458" s="1219"/>
      <c r="Z458" s="1219"/>
      <c r="AA458" s="1220"/>
      <c r="AB458" s="1220"/>
      <c r="AC458" s="1220"/>
      <c r="AD458" s="1220"/>
      <c r="AE458" s="1219"/>
      <c r="AF458" s="1219"/>
      <c r="AG458" s="1219"/>
      <c r="AH458" s="1220"/>
      <c r="AI458" s="1220"/>
      <c r="AJ458" s="1220"/>
      <c r="AK458" s="1219"/>
      <c r="AL458" s="1219"/>
      <c r="AM458" s="1219"/>
      <c r="AN458" s="1219"/>
      <c r="AO458" s="1220"/>
      <c r="AP458" s="1220"/>
      <c r="AQ458" s="1220"/>
      <c r="AR458" s="1220"/>
      <c r="AS458" s="1220"/>
      <c r="AT458" s="1220"/>
      <c r="AU458" s="1220"/>
      <c r="AV458" s="1220"/>
      <c r="AW458" s="1258"/>
      <c r="AX458" s="1258"/>
      <c r="AY458" s="1258"/>
      <c r="AZ458" s="1220"/>
      <c r="BA458" s="1220"/>
      <c r="BB458" s="1220"/>
      <c r="BC458" s="1220"/>
      <c r="BD458" s="1220"/>
      <c r="BE458" s="1220"/>
      <c r="BF458" s="1220"/>
      <c r="BG458" s="1220"/>
      <c r="BH458" s="1220"/>
      <c r="BI458" s="1220"/>
      <c r="BJ458" s="1220"/>
      <c r="BK458" s="1220"/>
      <c r="BL458" s="1220"/>
      <c r="BM458" s="1220"/>
      <c r="BN458" s="1220"/>
      <c r="BO458" s="1220"/>
    </row>
    <row r="459" spans="1:67" ht="35.1" customHeight="1" x14ac:dyDescent="0.25">
      <c r="A459" s="3">
        <f t="shared" si="7"/>
        <v>447</v>
      </c>
      <c r="B459" s="1218" t="s">
        <v>162</v>
      </c>
      <c r="C459" s="1218"/>
      <c r="D459" s="1221"/>
      <c r="E459" s="1221"/>
      <c r="F459" s="1221"/>
      <c r="G459" s="1221"/>
      <c r="H459" s="1221"/>
      <c r="I459" s="540"/>
      <c r="J459" s="540"/>
      <c r="K459" s="540"/>
      <c r="L459" s="540"/>
      <c r="M459" s="540"/>
      <c r="N459" s="540"/>
      <c r="O459" s="540"/>
      <c r="P459" s="540"/>
      <c r="Q459" s="540"/>
      <c r="R459" s="540"/>
      <c r="S459" s="540"/>
      <c r="T459" s="540"/>
      <c r="U459" s="540"/>
      <c r="V459" s="540"/>
      <c r="W459" s="540"/>
      <c r="X459" s="540"/>
      <c r="Y459" s="540"/>
      <c r="Z459" s="540"/>
      <c r="AA459" s="540"/>
      <c r="AB459" s="540"/>
      <c r="AC459" s="540"/>
      <c r="AD459" s="540"/>
      <c r="AE459" s="540"/>
      <c r="AF459" s="540"/>
      <c r="AG459" s="540"/>
      <c r="AH459" s="540"/>
      <c r="AI459" s="540"/>
      <c r="AJ459" s="540"/>
      <c r="AK459" s="540"/>
      <c r="AL459" s="540"/>
      <c r="AM459" s="540"/>
      <c r="AN459" s="540"/>
      <c r="AO459" s="540"/>
      <c r="AP459" s="540"/>
      <c r="AQ459" s="540"/>
      <c r="AR459" s="540"/>
      <c r="AS459" s="540"/>
      <c r="AT459" s="540"/>
      <c r="AU459" s="540"/>
      <c r="AV459" s="540"/>
      <c r="AW459" s="1259"/>
      <c r="AX459" s="1259"/>
      <c r="AY459" s="1259"/>
      <c r="AZ459" s="540"/>
      <c r="BA459" s="540"/>
      <c r="BB459" s="540"/>
      <c r="BC459" s="540"/>
      <c r="BD459" s="540"/>
      <c r="BE459" s="540"/>
      <c r="BF459" s="540"/>
      <c r="BG459" s="540"/>
      <c r="BH459" s="540"/>
      <c r="BI459" s="540"/>
      <c r="BJ459" s="540"/>
      <c r="BK459" s="540"/>
      <c r="BL459" s="540"/>
      <c r="BM459" s="540"/>
      <c r="BN459" s="540"/>
      <c r="BO459" s="540"/>
    </row>
    <row r="460" spans="1:67" ht="35.1" customHeight="1" x14ac:dyDescent="0.25">
      <c r="A460" s="3">
        <f t="shared" si="7"/>
        <v>448</v>
      </c>
      <c r="B460" s="1218" t="s">
        <v>162</v>
      </c>
      <c r="C460" s="1218"/>
      <c r="D460" s="1222"/>
      <c r="E460" s="1222"/>
      <c r="F460" s="1222"/>
      <c r="G460" s="1222"/>
      <c r="H460" s="1222"/>
      <c r="I460" s="1219"/>
      <c r="J460" s="1219"/>
      <c r="K460" s="1219"/>
      <c r="L460" s="1219"/>
      <c r="M460" s="1219"/>
      <c r="N460" s="1219"/>
      <c r="O460" s="1219"/>
      <c r="P460" s="1219"/>
      <c r="Q460" s="1220"/>
      <c r="R460" s="1220"/>
      <c r="S460" s="1220"/>
      <c r="T460" s="1220"/>
      <c r="U460" s="1220"/>
      <c r="V460" s="1220"/>
      <c r="W460" s="1220"/>
      <c r="X460" s="1220"/>
      <c r="Y460" s="1219"/>
      <c r="Z460" s="1219"/>
      <c r="AA460" s="1220"/>
      <c r="AB460" s="1220"/>
      <c r="AC460" s="1220"/>
      <c r="AD460" s="1220"/>
      <c r="AE460" s="1219"/>
      <c r="AF460" s="1219"/>
      <c r="AG460" s="1219"/>
      <c r="AH460" s="1220"/>
      <c r="AI460" s="1220"/>
      <c r="AJ460" s="1220"/>
      <c r="AK460" s="1219"/>
      <c r="AL460" s="1219"/>
      <c r="AM460" s="1219"/>
      <c r="AN460" s="1219"/>
      <c r="AO460" s="1220"/>
      <c r="AP460" s="1220"/>
      <c r="AQ460" s="1220"/>
      <c r="AR460" s="1220"/>
      <c r="AS460" s="1220"/>
      <c r="AT460" s="1220"/>
      <c r="AU460" s="1220"/>
      <c r="AV460" s="1220"/>
      <c r="AW460" s="1258"/>
      <c r="AX460" s="1258"/>
      <c r="AY460" s="1258"/>
      <c r="AZ460" s="1220"/>
      <c r="BA460" s="1220"/>
      <c r="BB460" s="1220"/>
      <c r="BC460" s="1220"/>
      <c r="BD460" s="1220"/>
      <c r="BE460" s="1220"/>
      <c r="BF460" s="1220"/>
      <c r="BG460" s="1220"/>
      <c r="BH460" s="1220"/>
      <c r="BI460" s="1220"/>
      <c r="BJ460" s="1220"/>
      <c r="BK460" s="1220"/>
      <c r="BL460" s="1220"/>
      <c r="BM460" s="1220"/>
      <c r="BN460" s="1220"/>
      <c r="BO460" s="1220"/>
    </row>
    <row r="461" spans="1:67" ht="35.1" customHeight="1" x14ac:dyDescent="0.25">
      <c r="A461" s="3">
        <f t="shared" si="7"/>
        <v>449</v>
      </c>
      <c r="B461" s="1218" t="s">
        <v>162</v>
      </c>
      <c r="C461" s="1218"/>
      <c r="D461" s="1221"/>
      <c r="E461" s="1221"/>
      <c r="F461" s="1221"/>
      <c r="G461" s="1221"/>
      <c r="H461" s="1221"/>
      <c r="I461" s="540"/>
      <c r="J461" s="540"/>
      <c r="K461" s="540"/>
      <c r="L461" s="540"/>
      <c r="M461" s="540"/>
      <c r="N461" s="540"/>
      <c r="O461" s="540"/>
      <c r="P461" s="540"/>
      <c r="Q461" s="540"/>
      <c r="R461" s="540"/>
      <c r="S461" s="540"/>
      <c r="T461" s="540"/>
      <c r="U461" s="540"/>
      <c r="V461" s="540"/>
      <c r="W461" s="540"/>
      <c r="X461" s="540"/>
      <c r="Y461" s="540"/>
      <c r="Z461" s="540"/>
      <c r="AA461" s="540"/>
      <c r="AB461" s="540"/>
      <c r="AC461" s="540"/>
      <c r="AD461" s="540"/>
      <c r="AE461" s="540"/>
      <c r="AF461" s="540"/>
      <c r="AG461" s="540"/>
      <c r="AH461" s="540"/>
      <c r="AI461" s="540"/>
      <c r="AJ461" s="540"/>
      <c r="AK461" s="540"/>
      <c r="AL461" s="540"/>
      <c r="AM461" s="540"/>
      <c r="AN461" s="540"/>
      <c r="AO461" s="540"/>
      <c r="AP461" s="540"/>
      <c r="AQ461" s="540"/>
      <c r="AR461" s="540"/>
      <c r="AS461" s="540"/>
      <c r="AT461" s="540"/>
      <c r="AU461" s="540"/>
      <c r="AV461" s="540"/>
      <c r="AW461" s="1259"/>
      <c r="AX461" s="1259"/>
      <c r="AY461" s="1259"/>
      <c r="AZ461" s="540"/>
      <c r="BA461" s="540"/>
      <c r="BB461" s="540"/>
      <c r="BC461" s="540"/>
      <c r="BD461" s="540"/>
      <c r="BE461" s="540"/>
      <c r="BF461" s="540"/>
      <c r="BG461" s="540"/>
      <c r="BH461" s="540"/>
      <c r="BI461" s="540"/>
      <c r="BJ461" s="540"/>
      <c r="BK461" s="540"/>
      <c r="BL461" s="540"/>
      <c r="BM461" s="540"/>
      <c r="BN461" s="540"/>
      <c r="BO461" s="540"/>
    </row>
    <row r="462" spans="1:67" ht="35.1" customHeight="1" x14ac:dyDescent="0.25">
      <c r="A462" s="3">
        <f t="shared" si="7"/>
        <v>450</v>
      </c>
      <c r="B462" s="1218" t="s">
        <v>162</v>
      </c>
      <c r="C462" s="1218"/>
      <c r="D462" s="1222"/>
      <c r="E462" s="1222"/>
      <c r="F462" s="1222"/>
      <c r="G462" s="1222"/>
      <c r="H462" s="1222"/>
      <c r="I462" s="1219"/>
      <c r="J462" s="1219"/>
      <c r="K462" s="1219"/>
      <c r="L462" s="1219"/>
      <c r="M462" s="1219"/>
      <c r="N462" s="1219"/>
      <c r="O462" s="1219"/>
      <c r="P462" s="1219"/>
      <c r="Q462" s="1220"/>
      <c r="R462" s="1220"/>
      <c r="S462" s="1220"/>
      <c r="T462" s="1220"/>
      <c r="U462" s="1220"/>
      <c r="V462" s="1220"/>
      <c r="W462" s="1220"/>
      <c r="X462" s="1220"/>
      <c r="Y462" s="1219"/>
      <c r="Z462" s="1219"/>
      <c r="AA462" s="1220"/>
      <c r="AB462" s="1220"/>
      <c r="AC462" s="1220"/>
      <c r="AD462" s="1220"/>
      <c r="AE462" s="1219"/>
      <c r="AF462" s="1219"/>
      <c r="AG462" s="1219"/>
      <c r="AH462" s="1220"/>
      <c r="AI462" s="1220"/>
      <c r="AJ462" s="1220"/>
      <c r="AK462" s="1219"/>
      <c r="AL462" s="1219"/>
      <c r="AM462" s="1219"/>
      <c r="AN462" s="1219"/>
      <c r="AO462" s="1220"/>
      <c r="AP462" s="1220"/>
      <c r="AQ462" s="1220"/>
      <c r="AR462" s="1220"/>
      <c r="AS462" s="1220"/>
      <c r="AT462" s="1220"/>
      <c r="AU462" s="1220"/>
      <c r="AV462" s="1220"/>
      <c r="AW462" s="1258"/>
      <c r="AX462" s="1258"/>
      <c r="AY462" s="1258"/>
      <c r="AZ462" s="1220"/>
      <c r="BA462" s="1220"/>
      <c r="BB462" s="1220"/>
      <c r="BC462" s="1220"/>
      <c r="BD462" s="1220"/>
      <c r="BE462" s="1220"/>
      <c r="BF462" s="1220"/>
      <c r="BG462" s="1220"/>
      <c r="BH462" s="1220"/>
      <c r="BI462" s="1220"/>
      <c r="BJ462" s="1220"/>
      <c r="BK462" s="1220"/>
      <c r="BL462" s="1220"/>
      <c r="BM462" s="1220"/>
      <c r="BN462" s="1220"/>
      <c r="BO462" s="1220"/>
    </row>
    <row r="463" spans="1:67" ht="35.1" customHeight="1" x14ac:dyDescent="0.25">
      <c r="A463" s="3">
        <f t="shared" si="7"/>
        <v>451</v>
      </c>
      <c r="B463" s="1218" t="s">
        <v>162</v>
      </c>
      <c r="C463" s="1218"/>
      <c r="D463" s="1221"/>
      <c r="E463" s="1221"/>
      <c r="F463" s="1221"/>
      <c r="G463" s="1221"/>
      <c r="H463" s="1221"/>
      <c r="I463" s="540"/>
      <c r="J463" s="540"/>
      <c r="K463" s="540"/>
      <c r="L463" s="540"/>
      <c r="M463" s="540"/>
      <c r="N463" s="540"/>
      <c r="O463" s="540"/>
      <c r="P463" s="540"/>
      <c r="Q463" s="540"/>
      <c r="R463" s="540"/>
      <c r="S463" s="540"/>
      <c r="T463" s="540"/>
      <c r="U463" s="540"/>
      <c r="V463" s="540"/>
      <c r="W463" s="540"/>
      <c r="X463" s="540"/>
      <c r="Y463" s="540"/>
      <c r="Z463" s="540"/>
      <c r="AA463" s="540"/>
      <c r="AB463" s="540"/>
      <c r="AC463" s="540"/>
      <c r="AD463" s="540"/>
      <c r="AE463" s="540"/>
      <c r="AF463" s="540"/>
      <c r="AG463" s="540"/>
      <c r="AH463" s="540"/>
      <c r="AI463" s="540"/>
      <c r="AJ463" s="540"/>
      <c r="AK463" s="540"/>
      <c r="AL463" s="540"/>
      <c r="AM463" s="540"/>
      <c r="AN463" s="540"/>
      <c r="AO463" s="540"/>
      <c r="AP463" s="540"/>
      <c r="AQ463" s="540"/>
      <c r="AR463" s="540"/>
      <c r="AS463" s="540"/>
      <c r="AT463" s="540"/>
      <c r="AU463" s="540"/>
      <c r="AV463" s="540"/>
      <c r="AW463" s="1259"/>
      <c r="AX463" s="1259"/>
      <c r="AY463" s="1259"/>
      <c r="AZ463" s="540"/>
      <c r="BA463" s="540"/>
      <c r="BB463" s="540"/>
      <c r="BC463" s="540"/>
      <c r="BD463" s="540"/>
      <c r="BE463" s="540"/>
      <c r="BF463" s="540"/>
      <c r="BG463" s="540"/>
      <c r="BH463" s="540"/>
      <c r="BI463" s="540"/>
      <c r="BJ463" s="540"/>
      <c r="BK463" s="540"/>
      <c r="BL463" s="540"/>
      <c r="BM463" s="540"/>
      <c r="BN463" s="540"/>
      <c r="BO463" s="540"/>
    </row>
    <row r="464" spans="1:67" ht="35.1" customHeight="1" x14ac:dyDescent="0.25">
      <c r="A464" s="3">
        <f t="shared" si="7"/>
        <v>452</v>
      </c>
      <c r="B464" s="1235" t="s">
        <v>162</v>
      </c>
      <c r="C464" s="1235"/>
      <c r="D464" s="1222"/>
      <c r="E464" s="1222"/>
      <c r="F464" s="1222"/>
      <c r="G464" s="1222"/>
      <c r="H464" s="1222"/>
      <c r="I464" s="1219"/>
      <c r="J464" s="1219"/>
      <c r="K464" s="1219"/>
      <c r="L464" s="1219"/>
      <c r="M464" s="1219"/>
      <c r="N464" s="1219"/>
      <c r="O464" s="1219"/>
      <c r="P464" s="1219"/>
      <c r="Q464" s="1220"/>
      <c r="R464" s="1220"/>
      <c r="S464" s="1220"/>
      <c r="T464" s="1220"/>
      <c r="U464" s="1220"/>
      <c r="V464" s="1220"/>
      <c r="W464" s="1220"/>
      <c r="X464" s="1220"/>
      <c r="Y464" s="1219"/>
      <c r="Z464" s="1219"/>
      <c r="AA464" s="1220"/>
      <c r="AB464" s="1220"/>
      <c r="AC464" s="1220"/>
      <c r="AD464" s="1220"/>
      <c r="AE464" s="1219"/>
      <c r="AF464" s="1219"/>
      <c r="AG464" s="1219"/>
      <c r="AH464" s="1220"/>
      <c r="AI464" s="1220"/>
      <c r="AJ464" s="1220"/>
      <c r="AK464" s="1219"/>
      <c r="AL464" s="1219"/>
      <c r="AM464" s="1219"/>
      <c r="AN464" s="1219"/>
      <c r="AO464" s="1220"/>
      <c r="AP464" s="1220"/>
      <c r="AQ464" s="1220"/>
      <c r="AR464" s="1220"/>
      <c r="AS464" s="1220"/>
      <c r="AT464" s="1220"/>
      <c r="AU464" s="1220"/>
      <c r="AV464" s="1220"/>
      <c r="AW464" s="1258"/>
      <c r="AX464" s="1258"/>
      <c r="AY464" s="1258"/>
      <c r="AZ464" s="1220"/>
      <c r="BA464" s="1220"/>
      <c r="BB464" s="1220"/>
      <c r="BC464" s="1220"/>
      <c r="BD464" s="1220"/>
      <c r="BE464" s="1220"/>
      <c r="BF464" s="1220"/>
      <c r="BG464" s="1220"/>
      <c r="BH464" s="1220"/>
      <c r="BI464" s="1220"/>
      <c r="BJ464" s="1220"/>
      <c r="BK464" s="1220"/>
      <c r="BL464" s="1220"/>
      <c r="BM464" s="1220"/>
      <c r="BN464" s="1220"/>
      <c r="BO464" s="1220"/>
    </row>
    <row r="465" spans="1:67" ht="35.1" customHeight="1" x14ac:dyDescent="0.25">
      <c r="A465" s="3">
        <f t="shared" si="7"/>
        <v>453</v>
      </c>
      <c r="B465" s="1218" t="s">
        <v>162</v>
      </c>
      <c r="C465" s="1218"/>
      <c r="D465" s="1221"/>
      <c r="E465" s="1221"/>
      <c r="F465" s="1221"/>
      <c r="G465" s="1221"/>
      <c r="H465" s="1221"/>
      <c r="I465" s="540"/>
      <c r="J465" s="540"/>
      <c r="K465" s="540"/>
      <c r="L465" s="540"/>
      <c r="M465" s="540"/>
      <c r="N465" s="540"/>
      <c r="O465" s="540"/>
      <c r="P465" s="540"/>
      <c r="Q465" s="540"/>
      <c r="R465" s="540"/>
      <c r="S465" s="540"/>
      <c r="T465" s="540"/>
      <c r="U465" s="540"/>
      <c r="V465" s="540"/>
      <c r="W465" s="540"/>
      <c r="X465" s="540"/>
      <c r="Y465" s="540"/>
      <c r="Z465" s="540"/>
      <c r="AA465" s="540"/>
      <c r="AB465" s="540"/>
      <c r="AC465" s="540"/>
      <c r="AD465" s="540"/>
      <c r="AE465" s="540"/>
      <c r="AF465" s="540"/>
      <c r="AG465" s="540"/>
      <c r="AH465" s="540"/>
      <c r="AI465" s="540"/>
      <c r="AJ465" s="540"/>
      <c r="AK465" s="540"/>
      <c r="AL465" s="540"/>
      <c r="AM465" s="540"/>
      <c r="AN465" s="540"/>
      <c r="AO465" s="540"/>
      <c r="AP465" s="540"/>
      <c r="AQ465" s="540"/>
      <c r="AR465" s="540"/>
      <c r="AS465" s="540"/>
      <c r="AT465" s="540"/>
      <c r="AU465" s="540"/>
      <c r="AV465" s="540"/>
      <c r="AW465" s="1259"/>
      <c r="AX465" s="1259"/>
      <c r="AY465" s="1259"/>
      <c r="AZ465" s="540"/>
      <c r="BA465" s="540"/>
      <c r="BB465" s="540"/>
      <c r="BC465" s="540"/>
      <c r="BD465" s="540"/>
      <c r="BE465" s="540"/>
      <c r="BF465" s="540"/>
      <c r="BG465" s="540"/>
      <c r="BH465" s="540"/>
      <c r="BI465" s="540"/>
      <c r="BJ465" s="540"/>
      <c r="BK465" s="540"/>
      <c r="BL465" s="540"/>
      <c r="BM465" s="540"/>
      <c r="BN465" s="540"/>
      <c r="BO465" s="540"/>
    </row>
    <row r="466" spans="1:67" ht="35.1" customHeight="1" x14ac:dyDescent="0.25">
      <c r="A466" s="3">
        <f t="shared" si="7"/>
        <v>454</v>
      </c>
      <c r="B466" s="1218" t="s">
        <v>162</v>
      </c>
      <c r="C466" s="1218"/>
      <c r="D466" s="1222"/>
      <c r="E466" s="1222"/>
      <c r="F466" s="1222"/>
      <c r="G466" s="1222"/>
      <c r="H466" s="1222"/>
      <c r="I466" s="1219"/>
      <c r="J466" s="1219"/>
      <c r="K466" s="1219"/>
      <c r="L466" s="1219"/>
      <c r="M466" s="1219"/>
      <c r="N466" s="1219"/>
      <c r="O466" s="1219"/>
      <c r="P466" s="1219"/>
      <c r="Q466" s="1220"/>
      <c r="R466" s="1220"/>
      <c r="S466" s="1220"/>
      <c r="T466" s="1220"/>
      <c r="U466" s="1220"/>
      <c r="V466" s="1220"/>
      <c r="W466" s="1220"/>
      <c r="X466" s="1220"/>
      <c r="Y466" s="1219"/>
      <c r="Z466" s="1219"/>
      <c r="AA466" s="1220"/>
      <c r="AB466" s="1220"/>
      <c r="AC466" s="1220"/>
      <c r="AD466" s="1220"/>
      <c r="AE466" s="1219"/>
      <c r="AF466" s="1219"/>
      <c r="AG466" s="1219"/>
      <c r="AH466" s="1220"/>
      <c r="AI466" s="1220"/>
      <c r="AJ466" s="1220"/>
      <c r="AK466" s="1219"/>
      <c r="AL466" s="1219"/>
      <c r="AM466" s="1219"/>
      <c r="AN466" s="1219"/>
      <c r="AO466" s="1220"/>
      <c r="AP466" s="1220"/>
      <c r="AQ466" s="1220"/>
      <c r="AR466" s="1220"/>
      <c r="AS466" s="1220"/>
      <c r="AT466" s="1220"/>
      <c r="AU466" s="1220"/>
      <c r="AV466" s="1220"/>
      <c r="AW466" s="1258"/>
      <c r="AX466" s="1258"/>
      <c r="AY466" s="1258"/>
      <c r="AZ466" s="1220"/>
      <c r="BA466" s="1220"/>
      <c r="BB466" s="1220"/>
      <c r="BC466" s="1220"/>
      <c r="BD466" s="1220"/>
      <c r="BE466" s="1220"/>
      <c r="BF466" s="1220"/>
      <c r="BG466" s="1220"/>
      <c r="BH466" s="1220"/>
      <c r="BI466" s="1220"/>
      <c r="BJ466" s="1220"/>
      <c r="BK466" s="1220"/>
      <c r="BL466" s="1220"/>
      <c r="BM466" s="1220"/>
      <c r="BN466" s="1220"/>
      <c r="BO466" s="1220"/>
    </row>
    <row r="467" spans="1:67" ht="35.1" customHeight="1" x14ac:dyDescent="0.25">
      <c r="A467" s="3">
        <f t="shared" si="7"/>
        <v>455</v>
      </c>
      <c r="B467" s="1218" t="s">
        <v>162</v>
      </c>
      <c r="C467" s="1218"/>
      <c r="D467" s="1221"/>
      <c r="E467" s="1221"/>
      <c r="F467" s="1221"/>
      <c r="G467" s="1221"/>
      <c r="H467" s="1221"/>
      <c r="I467" s="540"/>
      <c r="J467" s="540"/>
      <c r="K467" s="540"/>
      <c r="L467" s="540"/>
      <c r="M467" s="540"/>
      <c r="N467" s="540"/>
      <c r="O467" s="540"/>
      <c r="P467" s="540"/>
      <c r="Q467" s="540"/>
      <c r="R467" s="540"/>
      <c r="S467" s="540"/>
      <c r="T467" s="540"/>
      <c r="U467" s="540"/>
      <c r="V467" s="540"/>
      <c r="W467" s="540"/>
      <c r="X467" s="540"/>
      <c r="Y467" s="540"/>
      <c r="Z467" s="540"/>
      <c r="AA467" s="540"/>
      <c r="AB467" s="540"/>
      <c r="AC467" s="540"/>
      <c r="AD467" s="540"/>
      <c r="AE467" s="540"/>
      <c r="AF467" s="540"/>
      <c r="AG467" s="540"/>
      <c r="AH467" s="540"/>
      <c r="AI467" s="540"/>
      <c r="AJ467" s="540"/>
      <c r="AK467" s="540"/>
      <c r="AL467" s="540"/>
      <c r="AM467" s="540"/>
      <c r="AN467" s="540"/>
      <c r="AO467" s="540"/>
      <c r="AP467" s="540"/>
      <c r="AQ467" s="540"/>
      <c r="AR467" s="540"/>
      <c r="AS467" s="540"/>
      <c r="AT467" s="540"/>
      <c r="AU467" s="540"/>
      <c r="AV467" s="540"/>
      <c r="AW467" s="1259"/>
      <c r="AX467" s="1259"/>
      <c r="AY467" s="1259"/>
      <c r="AZ467" s="540"/>
      <c r="BA467" s="540"/>
      <c r="BB467" s="540"/>
      <c r="BC467" s="540"/>
      <c r="BD467" s="540"/>
      <c r="BE467" s="540"/>
      <c r="BF467" s="540"/>
      <c r="BG467" s="540"/>
      <c r="BH467" s="540"/>
      <c r="BI467" s="540"/>
      <c r="BJ467" s="540"/>
      <c r="BK467" s="540"/>
      <c r="BL467" s="540"/>
      <c r="BM467" s="540"/>
      <c r="BN467" s="540"/>
      <c r="BO467" s="540"/>
    </row>
    <row r="468" spans="1:67" ht="35.1" customHeight="1" x14ac:dyDescent="0.25">
      <c r="A468" s="3">
        <f t="shared" si="7"/>
        <v>456</v>
      </c>
      <c r="B468" s="1218" t="s">
        <v>162</v>
      </c>
      <c r="C468" s="1218"/>
      <c r="D468" s="1222"/>
      <c r="E468" s="1222"/>
      <c r="F468" s="1222"/>
      <c r="G468" s="1222"/>
      <c r="H468" s="1222"/>
      <c r="I468" s="1219"/>
      <c r="J468" s="1219"/>
      <c r="K468" s="1219"/>
      <c r="L468" s="1219"/>
      <c r="M468" s="1219"/>
      <c r="N468" s="1219"/>
      <c r="O468" s="1219"/>
      <c r="P468" s="1219"/>
      <c r="Q468" s="1220"/>
      <c r="R468" s="1220"/>
      <c r="S468" s="1220"/>
      <c r="T468" s="1220"/>
      <c r="U468" s="1220"/>
      <c r="V468" s="1220"/>
      <c r="W468" s="1220"/>
      <c r="X468" s="1220"/>
      <c r="Y468" s="1219"/>
      <c r="Z468" s="1219"/>
      <c r="AA468" s="1220"/>
      <c r="AB468" s="1220"/>
      <c r="AC468" s="1220"/>
      <c r="AD468" s="1220"/>
      <c r="AE468" s="1219"/>
      <c r="AF468" s="1219"/>
      <c r="AG468" s="1219"/>
      <c r="AH468" s="1220"/>
      <c r="AI468" s="1220"/>
      <c r="AJ468" s="1220"/>
      <c r="AK468" s="1219"/>
      <c r="AL468" s="1219"/>
      <c r="AM468" s="1219"/>
      <c r="AN468" s="1219"/>
      <c r="AO468" s="1220"/>
      <c r="AP468" s="1220"/>
      <c r="AQ468" s="1220"/>
      <c r="AR468" s="1220"/>
      <c r="AS468" s="1220"/>
      <c r="AT468" s="1220"/>
      <c r="AU468" s="1220"/>
      <c r="AV468" s="1220"/>
      <c r="AW468" s="1258"/>
      <c r="AX468" s="1258"/>
      <c r="AY468" s="1258"/>
      <c r="AZ468" s="1220"/>
      <c r="BA468" s="1220"/>
      <c r="BB468" s="1220"/>
      <c r="BC468" s="1220"/>
      <c r="BD468" s="1220"/>
      <c r="BE468" s="1220"/>
      <c r="BF468" s="1220"/>
      <c r="BG468" s="1220"/>
      <c r="BH468" s="1220"/>
      <c r="BI468" s="1220"/>
      <c r="BJ468" s="1220"/>
      <c r="BK468" s="1220"/>
      <c r="BL468" s="1220"/>
      <c r="BM468" s="1220"/>
      <c r="BN468" s="1220"/>
      <c r="BO468" s="1220"/>
    </row>
    <row r="469" spans="1:67" ht="35.1" customHeight="1" x14ac:dyDescent="0.25">
      <c r="A469" s="3">
        <f t="shared" si="7"/>
        <v>457</v>
      </c>
      <c r="B469" s="1218" t="s">
        <v>162</v>
      </c>
      <c r="C469" s="1218"/>
      <c r="D469" s="1221"/>
      <c r="E469" s="1221"/>
      <c r="F469" s="1221"/>
      <c r="G469" s="1221"/>
      <c r="H469" s="1221"/>
      <c r="I469" s="540"/>
      <c r="J469" s="540"/>
      <c r="K469" s="540"/>
      <c r="L469" s="540"/>
      <c r="M469" s="540"/>
      <c r="N469" s="540"/>
      <c r="O469" s="540"/>
      <c r="P469" s="540"/>
      <c r="Q469" s="540"/>
      <c r="R469" s="540"/>
      <c r="S469" s="540"/>
      <c r="T469" s="540"/>
      <c r="U469" s="540"/>
      <c r="V469" s="540"/>
      <c r="W469" s="540"/>
      <c r="X469" s="540"/>
      <c r="Y469" s="540"/>
      <c r="Z469" s="540"/>
      <c r="AA469" s="540"/>
      <c r="AB469" s="540"/>
      <c r="AC469" s="540"/>
      <c r="AD469" s="540"/>
      <c r="AE469" s="540"/>
      <c r="AF469" s="540"/>
      <c r="AG469" s="540"/>
      <c r="AH469" s="540"/>
      <c r="AI469" s="540"/>
      <c r="AJ469" s="540"/>
      <c r="AK469" s="540"/>
      <c r="AL469" s="540"/>
      <c r="AM469" s="540"/>
      <c r="AN469" s="540"/>
      <c r="AO469" s="540"/>
      <c r="AP469" s="540"/>
      <c r="AQ469" s="540"/>
      <c r="AR469" s="540"/>
      <c r="AS469" s="540"/>
      <c r="AT469" s="540"/>
      <c r="AU469" s="540"/>
      <c r="AV469" s="540"/>
      <c r="AW469" s="1259"/>
      <c r="AX469" s="1259"/>
      <c r="AY469" s="1259"/>
      <c r="AZ469" s="540"/>
      <c r="BA469" s="540"/>
      <c r="BB469" s="540"/>
      <c r="BC469" s="540"/>
      <c r="BD469" s="540"/>
      <c r="BE469" s="540"/>
      <c r="BF469" s="540"/>
      <c r="BG469" s="540"/>
      <c r="BH469" s="540"/>
      <c r="BI469" s="540"/>
      <c r="BJ469" s="540"/>
      <c r="BK469" s="540"/>
      <c r="BL469" s="540"/>
      <c r="BM469" s="540"/>
      <c r="BN469" s="540"/>
      <c r="BO469" s="540"/>
    </row>
    <row r="470" spans="1:67" ht="35.1" customHeight="1" x14ac:dyDescent="0.25">
      <c r="A470" s="3">
        <f t="shared" si="7"/>
        <v>458</v>
      </c>
      <c r="B470" s="1218" t="s">
        <v>162</v>
      </c>
      <c r="C470" s="1218"/>
      <c r="D470" s="1222"/>
      <c r="E470" s="1222"/>
      <c r="F470" s="1222"/>
      <c r="G470" s="1222"/>
      <c r="H470" s="1222"/>
      <c r="I470" s="1219"/>
      <c r="J470" s="1219"/>
      <c r="K470" s="1219"/>
      <c r="L470" s="1219"/>
      <c r="M470" s="1219"/>
      <c r="N470" s="1219"/>
      <c r="O470" s="1219"/>
      <c r="P470" s="1219"/>
      <c r="Q470" s="1220"/>
      <c r="R470" s="1220"/>
      <c r="S470" s="1220"/>
      <c r="T470" s="1220"/>
      <c r="U470" s="1220"/>
      <c r="V470" s="1220"/>
      <c r="W470" s="1220"/>
      <c r="X470" s="1220"/>
      <c r="Y470" s="1219"/>
      <c r="Z470" s="1219"/>
      <c r="AA470" s="1220"/>
      <c r="AB470" s="1220"/>
      <c r="AC470" s="1220"/>
      <c r="AD470" s="1220"/>
      <c r="AE470" s="1219"/>
      <c r="AF470" s="1219"/>
      <c r="AG470" s="1219"/>
      <c r="AH470" s="1220"/>
      <c r="AI470" s="1220"/>
      <c r="AJ470" s="1220"/>
      <c r="AK470" s="1219"/>
      <c r="AL470" s="1219"/>
      <c r="AM470" s="1219"/>
      <c r="AN470" s="1219"/>
      <c r="AO470" s="1220"/>
      <c r="AP470" s="1220"/>
      <c r="AQ470" s="1220"/>
      <c r="AR470" s="1220"/>
      <c r="AS470" s="1220"/>
      <c r="AT470" s="1220"/>
      <c r="AU470" s="1220"/>
      <c r="AV470" s="1220"/>
      <c r="AW470" s="1258"/>
      <c r="AX470" s="1258"/>
      <c r="AY470" s="1258"/>
      <c r="AZ470" s="1220"/>
      <c r="BA470" s="1220"/>
      <c r="BB470" s="1220"/>
      <c r="BC470" s="1220"/>
      <c r="BD470" s="1220"/>
      <c r="BE470" s="1220"/>
      <c r="BF470" s="1220"/>
      <c r="BG470" s="1220"/>
      <c r="BH470" s="1220"/>
      <c r="BI470" s="1220"/>
      <c r="BJ470" s="1220"/>
      <c r="BK470" s="1220"/>
      <c r="BL470" s="1220"/>
      <c r="BM470" s="1220"/>
      <c r="BN470" s="1220"/>
      <c r="BO470" s="1220"/>
    </row>
    <row r="471" spans="1:67" ht="35.1" customHeight="1" x14ac:dyDescent="0.25">
      <c r="A471" s="3">
        <f t="shared" si="7"/>
        <v>459</v>
      </c>
      <c r="B471" s="1218" t="s">
        <v>162</v>
      </c>
      <c r="C471" s="1218"/>
      <c r="D471" s="1221"/>
      <c r="E471" s="1221"/>
      <c r="F471" s="1221"/>
      <c r="G471" s="1221"/>
      <c r="H471" s="1221"/>
      <c r="I471" s="540"/>
      <c r="J471" s="540"/>
      <c r="K471" s="540"/>
      <c r="L471" s="540"/>
      <c r="M471" s="540"/>
      <c r="N471" s="540"/>
      <c r="O471" s="540"/>
      <c r="P471" s="540"/>
      <c r="Q471" s="540"/>
      <c r="R471" s="540"/>
      <c r="S471" s="540"/>
      <c r="T471" s="540"/>
      <c r="U471" s="540"/>
      <c r="V471" s="540"/>
      <c r="W471" s="540"/>
      <c r="X471" s="540"/>
      <c r="Y471" s="540"/>
      <c r="Z471" s="540"/>
      <c r="AA471" s="540"/>
      <c r="AB471" s="540"/>
      <c r="AC471" s="540"/>
      <c r="AD471" s="540"/>
      <c r="AE471" s="540"/>
      <c r="AF471" s="540"/>
      <c r="AG471" s="540"/>
      <c r="AH471" s="540"/>
      <c r="AI471" s="540"/>
      <c r="AJ471" s="540"/>
      <c r="AK471" s="540"/>
      <c r="AL471" s="540"/>
      <c r="AM471" s="540"/>
      <c r="AN471" s="540"/>
      <c r="AO471" s="540"/>
      <c r="AP471" s="540"/>
      <c r="AQ471" s="540"/>
      <c r="AR471" s="540"/>
      <c r="AS471" s="540"/>
      <c r="AT471" s="540"/>
      <c r="AU471" s="540"/>
      <c r="AV471" s="540"/>
      <c r="AW471" s="1259"/>
      <c r="AX471" s="1259"/>
      <c r="AY471" s="1259"/>
      <c r="AZ471" s="540"/>
      <c r="BA471" s="540"/>
      <c r="BB471" s="540"/>
      <c r="BC471" s="540"/>
      <c r="BD471" s="540"/>
      <c r="BE471" s="540"/>
      <c r="BF471" s="540"/>
      <c r="BG471" s="540"/>
      <c r="BH471" s="540"/>
      <c r="BI471" s="540"/>
      <c r="BJ471" s="540"/>
      <c r="BK471" s="540"/>
      <c r="BL471" s="540"/>
      <c r="BM471" s="540"/>
      <c r="BN471" s="540"/>
      <c r="BO471" s="540"/>
    </row>
    <row r="472" spans="1:67" ht="35.1" customHeight="1" x14ac:dyDescent="0.25">
      <c r="A472" s="3">
        <f t="shared" si="7"/>
        <v>460</v>
      </c>
      <c r="B472" s="1218" t="s">
        <v>162</v>
      </c>
      <c r="C472" s="1218"/>
      <c r="D472" s="1222"/>
      <c r="E472" s="1222"/>
      <c r="F472" s="1222"/>
      <c r="G472" s="1222"/>
      <c r="H472" s="1222"/>
      <c r="I472" s="1219"/>
      <c r="J472" s="1219"/>
      <c r="K472" s="1219"/>
      <c r="L472" s="1219"/>
      <c r="M472" s="1219"/>
      <c r="N472" s="1219"/>
      <c r="O472" s="1219"/>
      <c r="P472" s="1219"/>
      <c r="Q472" s="1220"/>
      <c r="R472" s="1220"/>
      <c r="S472" s="1220"/>
      <c r="T472" s="1220"/>
      <c r="U472" s="1220"/>
      <c r="V472" s="1220"/>
      <c r="W472" s="1220"/>
      <c r="X472" s="1220"/>
      <c r="Y472" s="1219"/>
      <c r="Z472" s="1219"/>
      <c r="AA472" s="1220"/>
      <c r="AB472" s="1220"/>
      <c r="AC472" s="1220"/>
      <c r="AD472" s="1220"/>
      <c r="AE472" s="1219"/>
      <c r="AF472" s="1219"/>
      <c r="AG472" s="1219"/>
      <c r="AH472" s="1220"/>
      <c r="AI472" s="1220"/>
      <c r="AJ472" s="1220"/>
      <c r="AK472" s="1219"/>
      <c r="AL472" s="1219"/>
      <c r="AM472" s="1219"/>
      <c r="AN472" s="1219"/>
      <c r="AO472" s="1220"/>
      <c r="AP472" s="1220"/>
      <c r="AQ472" s="1220"/>
      <c r="AR472" s="1220"/>
      <c r="AS472" s="1220"/>
      <c r="AT472" s="1220"/>
      <c r="AU472" s="1220"/>
      <c r="AV472" s="1220"/>
      <c r="AW472" s="1258"/>
      <c r="AX472" s="1258"/>
      <c r="AY472" s="1258"/>
      <c r="AZ472" s="1220"/>
      <c r="BA472" s="1220"/>
      <c r="BB472" s="1220"/>
      <c r="BC472" s="1220"/>
      <c r="BD472" s="1220"/>
      <c r="BE472" s="1220"/>
      <c r="BF472" s="1220"/>
      <c r="BG472" s="1220"/>
      <c r="BH472" s="1220"/>
      <c r="BI472" s="1220"/>
      <c r="BJ472" s="1220"/>
      <c r="BK472" s="1220"/>
      <c r="BL472" s="1220"/>
      <c r="BM472" s="1220"/>
      <c r="BN472" s="1220"/>
      <c r="BO472" s="1220"/>
    </row>
    <row r="473" spans="1:67" ht="35.1" customHeight="1" x14ac:dyDescent="0.25">
      <c r="A473" s="3">
        <f t="shared" si="7"/>
        <v>461</v>
      </c>
      <c r="B473" s="1218" t="s">
        <v>162</v>
      </c>
      <c r="C473" s="1218"/>
      <c r="D473" s="1221"/>
      <c r="E473" s="1221"/>
      <c r="F473" s="1221"/>
      <c r="G473" s="1221"/>
      <c r="H473" s="1221"/>
      <c r="I473" s="540"/>
      <c r="J473" s="540"/>
      <c r="K473" s="540"/>
      <c r="L473" s="540"/>
      <c r="M473" s="540"/>
      <c r="N473" s="540"/>
      <c r="O473" s="540"/>
      <c r="P473" s="540"/>
      <c r="Q473" s="540"/>
      <c r="R473" s="540"/>
      <c r="S473" s="540"/>
      <c r="T473" s="540"/>
      <c r="U473" s="540"/>
      <c r="V473" s="540"/>
      <c r="W473" s="540"/>
      <c r="X473" s="540"/>
      <c r="Y473" s="540"/>
      <c r="Z473" s="540"/>
      <c r="AA473" s="540"/>
      <c r="AB473" s="540"/>
      <c r="AC473" s="540"/>
      <c r="AD473" s="540"/>
      <c r="AE473" s="540"/>
      <c r="AF473" s="540"/>
      <c r="AG473" s="540"/>
      <c r="AH473" s="540"/>
      <c r="AI473" s="540"/>
      <c r="AJ473" s="540"/>
      <c r="AK473" s="540"/>
      <c r="AL473" s="540"/>
      <c r="AM473" s="540"/>
      <c r="AN473" s="540"/>
      <c r="AO473" s="540"/>
      <c r="AP473" s="540"/>
      <c r="AQ473" s="540"/>
      <c r="AR473" s="540"/>
      <c r="AS473" s="540"/>
      <c r="AT473" s="540"/>
      <c r="AU473" s="540"/>
      <c r="AV473" s="540"/>
      <c r="AW473" s="1259"/>
      <c r="AX473" s="1259"/>
      <c r="AY473" s="1259"/>
      <c r="AZ473" s="540"/>
      <c r="BA473" s="540"/>
      <c r="BB473" s="540"/>
      <c r="BC473" s="540"/>
      <c r="BD473" s="540"/>
      <c r="BE473" s="540"/>
      <c r="BF473" s="540"/>
      <c r="BG473" s="540"/>
      <c r="BH473" s="540"/>
      <c r="BI473" s="540"/>
      <c r="BJ473" s="540"/>
      <c r="BK473" s="540"/>
      <c r="BL473" s="540"/>
      <c r="BM473" s="540"/>
      <c r="BN473" s="540"/>
      <c r="BO473" s="540"/>
    </row>
    <row r="474" spans="1:67" ht="35.1" customHeight="1" x14ac:dyDescent="0.25">
      <c r="A474" s="3">
        <f t="shared" si="7"/>
        <v>462</v>
      </c>
      <c r="B474" s="1218" t="s">
        <v>162</v>
      </c>
      <c r="C474" s="1218"/>
      <c r="D474" s="1222"/>
      <c r="E474" s="1222"/>
      <c r="F474" s="1222"/>
      <c r="G474" s="1222"/>
      <c r="H474" s="1222"/>
      <c r="I474" s="1219"/>
      <c r="J474" s="1219"/>
      <c r="K474" s="1219"/>
      <c r="L474" s="1219"/>
      <c r="M474" s="1219"/>
      <c r="N474" s="1219"/>
      <c r="O474" s="1219"/>
      <c r="P474" s="1219"/>
      <c r="Q474" s="1220"/>
      <c r="R474" s="1220"/>
      <c r="S474" s="1220"/>
      <c r="T474" s="1220"/>
      <c r="U474" s="1220"/>
      <c r="V474" s="1220"/>
      <c r="W474" s="1220"/>
      <c r="X474" s="1220"/>
      <c r="Y474" s="1219"/>
      <c r="Z474" s="1219"/>
      <c r="AA474" s="1220"/>
      <c r="AB474" s="1220"/>
      <c r="AC474" s="1220"/>
      <c r="AD474" s="1220"/>
      <c r="AE474" s="1219"/>
      <c r="AF474" s="1219"/>
      <c r="AG474" s="1219"/>
      <c r="AH474" s="1220"/>
      <c r="AI474" s="1220"/>
      <c r="AJ474" s="1220"/>
      <c r="AK474" s="1219"/>
      <c r="AL474" s="1219"/>
      <c r="AM474" s="1219"/>
      <c r="AN474" s="1219"/>
      <c r="AO474" s="1220"/>
      <c r="AP474" s="1220"/>
      <c r="AQ474" s="1220"/>
      <c r="AR474" s="1220"/>
      <c r="AS474" s="1220"/>
      <c r="AT474" s="1220"/>
      <c r="AU474" s="1220"/>
      <c r="AV474" s="1220"/>
      <c r="AW474" s="1258"/>
      <c r="AX474" s="1258"/>
      <c r="AY474" s="1258"/>
      <c r="AZ474" s="1220"/>
      <c r="BA474" s="1220"/>
      <c r="BB474" s="1220"/>
      <c r="BC474" s="1220"/>
      <c r="BD474" s="1220"/>
      <c r="BE474" s="1220"/>
      <c r="BF474" s="1220"/>
      <c r="BG474" s="1220"/>
      <c r="BH474" s="1220"/>
      <c r="BI474" s="1220"/>
      <c r="BJ474" s="1220"/>
      <c r="BK474" s="1220"/>
      <c r="BL474" s="1220"/>
      <c r="BM474" s="1220"/>
      <c r="BN474" s="1220"/>
      <c r="BO474" s="1220"/>
    </row>
    <row r="475" spans="1:67" ht="35.1" customHeight="1" x14ac:dyDescent="0.25">
      <c r="A475" s="3">
        <f t="shared" si="7"/>
        <v>463</v>
      </c>
      <c r="B475" s="1218" t="s">
        <v>162</v>
      </c>
      <c r="C475" s="1218"/>
      <c r="D475" s="1221"/>
      <c r="E475" s="1221"/>
      <c r="F475" s="1221"/>
      <c r="G475" s="1221"/>
      <c r="H475" s="1221"/>
      <c r="I475" s="540"/>
      <c r="J475" s="540"/>
      <c r="K475" s="540"/>
      <c r="L475" s="540"/>
      <c r="M475" s="540"/>
      <c r="N475" s="540"/>
      <c r="O475" s="540"/>
      <c r="P475" s="540"/>
      <c r="Q475" s="540"/>
      <c r="R475" s="540"/>
      <c r="S475" s="540"/>
      <c r="T475" s="540"/>
      <c r="U475" s="540"/>
      <c r="V475" s="540"/>
      <c r="W475" s="540"/>
      <c r="X475" s="540"/>
      <c r="Y475" s="540"/>
      <c r="Z475" s="540"/>
      <c r="AA475" s="540"/>
      <c r="AB475" s="540"/>
      <c r="AC475" s="540"/>
      <c r="AD475" s="540"/>
      <c r="AE475" s="540"/>
      <c r="AF475" s="540"/>
      <c r="AG475" s="540"/>
      <c r="AH475" s="540"/>
      <c r="AI475" s="540"/>
      <c r="AJ475" s="540"/>
      <c r="AK475" s="540"/>
      <c r="AL475" s="540"/>
      <c r="AM475" s="540"/>
      <c r="AN475" s="540"/>
      <c r="AO475" s="540"/>
      <c r="AP475" s="540"/>
      <c r="AQ475" s="540"/>
      <c r="AR475" s="540"/>
      <c r="AS475" s="540"/>
      <c r="AT475" s="540"/>
      <c r="AU475" s="540"/>
      <c r="AV475" s="540"/>
      <c r="AW475" s="1259"/>
      <c r="AX475" s="1259"/>
      <c r="AY475" s="1259"/>
      <c r="AZ475" s="540"/>
      <c r="BA475" s="540"/>
      <c r="BB475" s="540"/>
      <c r="BC475" s="540"/>
      <c r="BD475" s="540"/>
      <c r="BE475" s="540"/>
      <c r="BF475" s="540"/>
      <c r="BG475" s="540"/>
      <c r="BH475" s="540"/>
      <c r="BI475" s="540"/>
      <c r="BJ475" s="540"/>
      <c r="BK475" s="540"/>
      <c r="BL475" s="540"/>
      <c r="BM475" s="540"/>
      <c r="BN475" s="540"/>
      <c r="BO475" s="540"/>
    </row>
    <row r="476" spans="1:67" ht="35.1" customHeight="1" x14ac:dyDescent="0.25">
      <c r="A476" s="3">
        <f t="shared" si="7"/>
        <v>464</v>
      </c>
      <c r="B476" s="1218" t="s">
        <v>162</v>
      </c>
      <c r="C476" s="1218"/>
      <c r="D476" s="1222"/>
      <c r="E476" s="1222"/>
      <c r="F476" s="1222"/>
      <c r="G476" s="1222"/>
      <c r="H476" s="1222"/>
      <c r="I476" s="1219"/>
      <c r="J476" s="1219"/>
      <c r="K476" s="1219"/>
      <c r="L476" s="1219"/>
      <c r="M476" s="1219"/>
      <c r="N476" s="1219"/>
      <c r="O476" s="1219"/>
      <c r="P476" s="1219"/>
      <c r="Q476" s="1220"/>
      <c r="R476" s="1220"/>
      <c r="S476" s="1220"/>
      <c r="T476" s="1220"/>
      <c r="U476" s="1220"/>
      <c r="V476" s="1220"/>
      <c r="W476" s="1220"/>
      <c r="X476" s="1220"/>
      <c r="Y476" s="1219"/>
      <c r="Z476" s="1219"/>
      <c r="AA476" s="1220"/>
      <c r="AB476" s="1220"/>
      <c r="AC476" s="1220"/>
      <c r="AD476" s="1220"/>
      <c r="AE476" s="1219"/>
      <c r="AF476" s="1219"/>
      <c r="AG476" s="1219"/>
      <c r="AH476" s="1220"/>
      <c r="AI476" s="1220"/>
      <c r="AJ476" s="1220"/>
      <c r="AK476" s="1219"/>
      <c r="AL476" s="1219"/>
      <c r="AM476" s="1219"/>
      <c r="AN476" s="1219"/>
      <c r="AO476" s="1220"/>
      <c r="AP476" s="1220"/>
      <c r="AQ476" s="1220"/>
      <c r="AR476" s="1220"/>
      <c r="AS476" s="1220"/>
      <c r="AT476" s="1220"/>
      <c r="AU476" s="1220"/>
      <c r="AV476" s="1220"/>
      <c r="AW476" s="1258"/>
      <c r="AX476" s="1258"/>
      <c r="AY476" s="1258"/>
      <c r="AZ476" s="1220"/>
      <c r="BA476" s="1220"/>
      <c r="BB476" s="1220"/>
      <c r="BC476" s="1220"/>
      <c r="BD476" s="1220"/>
      <c r="BE476" s="1220"/>
      <c r="BF476" s="1220"/>
      <c r="BG476" s="1220"/>
      <c r="BH476" s="1220"/>
      <c r="BI476" s="1220"/>
      <c r="BJ476" s="1220"/>
      <c r="BK476" s="1220"/>
      <c r="BL476" s="1220"/>
      <c r="BM476" s="1220"/>
      <c r="BN476" s="1220"/>
      <c r="BO476" s="1220"/>
    </row>
    <row r="477" spans="1:67" ht="35.1" customHeight="1" x14ac:dyDescent="0.25">
      <c r="A477" s="3">
        <f t="shared" si="7"/>
        <v>465</v>
      </c>
      <c r="B477" s="1218" t="s">
        <v>162</v>
      </c>
      <c r="C477" s="1218"/>
      <c r="D477" s="1221"/>
      <c r="E477" s="1221"/>
      <c r="F477" s="1221"/>
      <c r="G477" s="1221"/>
      <c r="H477" s="1221"/>
      <c r="I477" s="540"/>
      <c r="J477" s="540"/>
      <c r="K477" s="540"/>
      <c r="L477" s="540"/>
      <c r="M477" s="540"/>
      <c r="N477" s="540"/>
      <c r="O477" s="540"/>
      <c r="P477" s="540"/>
      <c r="Q477" s="540"/>
      <c r="R477" s="540"/>
      <c r="S477" s="540"/>
      <c r="T477" s="540"/>
      <c r="U477" s="540"/>
      <c r="V477" s="540"/>
      <c r="W477" s="540"/>
      <c r="X477" s="540"/>
      <c r="Y477" s="540"/>
      <c r="Z477" s="540"/>
      <c r="AA477" s="540"/>
      <c r="AB477" s="540"/>
      <c r="AC477" s="540"/>
      <c r="AD477" s="540"/>
      <c r="AE477" s="540"/>
      <c r="AF477" s="540"/>
      <c r="AG477" s="540"/>
      <c r="AH477" s="540"/>
      <c r="AI477" s="540"/>
      <c r="AJ477" s="540"/>
      <c r="AK477" s="540"/>
      <c r="AL477" s="540"/>
      <c r="AM477" s="540"/>
      <c r="AN477" s="540"/>
      <c r="AO477" s="540"/>
      <c r="AP477" s="540"/>
      <c r="AQ477" s="540"/>
      <c r="AR477" s="540"/>
      <c r="AS477" s="540"/>
      <c r="AT477" s="540"/>
      <c r="AU477" s="540"/>
      <c r="AV477" s="540"/>
      <c r="AW477" s="1259"/>
      <c r="AX477" s="1259"/>
      <c r="AY477" s="1259"/>
      <c r="AZ477" s="540"/>
      <c r="BA477" s="540"/>
      <c r="BB477" s="540"/>
      <c r="BC477" s="540"/>
      <c r="BD477" s="540"/>
      <c r="BE477" s="540"/>
      <c r="BF477" s="540"/>
      <c r="BG477" s="540"/>
      <c r="BH477" s="540"/>
      <c r="BI477" s="540"/>
      <c r="BJ477" s="540"/>
      <c r="BK477" s="540"/>
      <c r="BL477" s="540"/>
      <c r="BM477" s="540"/>
      <c r="BN477" s="540"/>
      <c r="BO477" s="540"/>
    </row>
    <row r="478" spans="1:67" ht="35.1" customHeight="1" x14ac:dyDescent="0.25">
      <c r="A478" s="3">
        <f t="shared" si="7"/>
        <v>466</v>
      </c>
      <c r="B478" s="1218" t="s">
        <v>162</v>
      </c>
      <c r="C478" s="1218"/>
      <c r="D478" s="1222"/>
      <c r="E478" s="1222"/>
      <c r="F478" s="1222"/>
      <c r="G478" s="1222"/>
      <c r="H478" s="1222"/>
      <c r="I478" s="1219"/>
      <c r="J478" s="1219"/>
      <c r="K478" s="1219"/>
      <c r="L478" s="1219"/>
      <c r="M478" s="1219"/>
      <c r="N478" s="1219"/>
      <c r="O478" s="1219"/>
      <c r="P478" s="1219"/>
      <c r="Q478" s="1220"/>
      <c r="R478" s="1220"/>
      <c r="S478" s="1220"/>
      <c r="T478" s="1220"/>
      <c r="U478" s="1220"/>
      <c r="V478" s="1220"/>
      <c r="W478" s="1220"/>
      <c r="X478" s="1220"/>
      <c r="Y478" s="1219"/>
      <c r="Z478" s="1219"/>
      <c r="AA478" s="1220"/>
      <c r="AB478" s="1220"/>
      <c r="AC478" s="1220"/>
      <c r="AD478" s="1220"/>
      <c r="AE478" s="1219"/>
      <c r="AF478" s="1219"/>
      <c r="AG478" s="1219"/>
      <c r="AH478" s="1220"/>
      <c r="AI478" s="1220"/>
      <c r="AJ478" s="1220"/>
      <c r="AK478" s="1219"/>
      <c r="AL478" s="1219"/>
      <c r="AM478" s="1219"/>
      <c r="AN478" s="1219"/>
      <c r="AO478" s="1220"/>
      <c r="AP478" s="1220"/>
      <c r="AQ478" s="1220"/>
      <c r="AR478" s="1220"/>
      <c r="AS478" s="1220"/>
      <c r="AT478" s="1220"/>
      <c r="AU478" s="1220"/>
      <c r="AV478" s="1220"/>
      <c r="AW478" s="1258"/>
      <c r="AX478" s="1258"/>
      <c r="AY478" s="1258"/>
      <c r="AZ478" s="1220"/>
      <c r="BA478" s="1220"/>
      <c r="BB478" s="1220"/>
      <c r="BC478" s="1220"/>
      <c r="BD478" s="1220"/>
      <c r="BE478" s="1220"/>
      <c r="BF478" s="1220"/>
      <c r="BG478" s="1220"/>
      <c r="BH478" s="1220"/>
      <c r="BI478" s="1220"/>
      <c r="BJ478" s="1220"/>
      <c r="BK478" s="1220"/>
      <c r="BL478" s="1220"/>
      <c r="BM478" s="1220"/>
      <c r="BN478" s="1220"/>
      <c r="BO478" s="1220"/>
    </row>
    <row r="479" spans="1:67" ht="35.1" customHeight="1" x14ac:dyDescent="0.25">
      <c r="A479" s="3">
        <f t="shared" si="7"/>
        <v>467</v>
      </c>
      <c r="B479" s="1218" t="s">
        <v>162</v>
      </c>
      <c r="C479" s="1218"/>
      <c r="D479" s="1221"/>
      <c r="E479" s="1221"/>
      <c r="F479" s="1221"/>
      <c r="G479" s="1221"/>
      <c r="H479" s="1221"/>
      <c r="I479" s="540"/>
      <c r="J479" s="540"/>
      <c r="K479" s="540"/>
      <c r="L479" s="540"/>
      <c r="M479" s="540"/>
      <c r="N479" s="540"/>
      <c r="O479" s="540"/>
      <c r="P479" s="540"/>
      <c r="Q479" s="540"/>
      <c r="R479" s="540"/>
      <c r="S479" s="540"/>
      <c r="T479" s="540"/>
      <c r="U479" s="540"/>
      <c r="V479" s="540"/>
      <c r="W479" s="540"/>
      <c r="X479" s="540"/>
      <c r="Y479" s="540"/>
      <c r="Z479" s="540"/>
      <c r="AA479" s="540"/>
      <c r="AB479" s="540"/>
      <c r="AC479" s="540"/>
      <c r="AD479" s="540"/>
      <c r="AE479" s="540"/>
      <c r="AF479" s="540"/>
      <c r="AG479" s="540"/>
      <c r="AH479" s="540"/>
      <c r="AI479" s="540"/>
      <c r="AJ479" s="540"/>
      <c r="AK479" s="540"/>
      <c r="AL479" s="540"/>
      <c r="AM479" s="540"/>
      <c r="AN479" s="540"/>
      <c r="AO479" s="540"/>
      <c r="AP479" s="540"/>
      <c r="AQ479" s="540"/>
      <c r="AR479" s="540"/>
      <c r="AS479" s="540"/>
      <c r="AT479" s="540"/>
      <c r="AU479" s="540"/>
      <c r="AV479" s="540"/>
      <c r="AW479" s="1259"/>
      <c r="AX479" s="1259"/>
      <c r="AY479" s="1259"/>
      <c r="AZ479" s="540"/>
      <c r="BA479" s="540"/>
      <c r="BB479" s="540"/>
      <c r="BC479" s="540"/>
      <c r="BD479" s="540"/>
      <c r="BE479" s="540"/>
      <c r="BF479" s="540"/>
      <c r="BG479" s="540"/>
      <c r="BH479" s="540"/>
      <c r="BI479" s="540"/>
      <c r="BJ479" s="540"/>
      <c r="BK479" s="540"/>
      <c r="BL479" s="540"/>
      <c r="BM479" s="540"/>
      <c r="BN479" s="540"/>
      <c r="BO479" s="540"/>
    </row>
    <row r="480" spans="1:67" ht="35.1" customHeight="1" x14ac:dyDescent="0.25">
      <c r="A480" s="3">
        <f t="shared" si="7"/>
        <v>468</v>
      </c>
      <c r="B480" s="1218" t="s">
        <v>162</v>
      </c>
      <c r="C480" s="1218"/>
      <c r="D480" s="1222"/>
      <c r="E480" s="1222"/>
      <c r="F480" s="1222"/>
      <c r="G480" s="1222"/>
      <c r="H480" s="1222"/>
      <c r="I480" s="1219"/>
      <c r="J480" s="1219"/>
      <c r="K480" s="1219"/>
      <c r="L480" s="1219"/>
      <c r="M480" s="1219"/>
      <c r="N480" s="1219"/>
      <c r="O480" s="1219"/>
      <c r="P480" s="1219"/>
      <c r="Q480" s="1220"/>
      <c r="R480" s="1220"/>
      <c r="S480" s="1220"/>
      <c r="T480" s="1220"/>
      <c r="U480" s="1220"/>
      <c r="V480" s="1220"/>
      <c r="W480" s="1220"/>
      <c r="X480" s="1220"/>
      <c r="Y480" s="1219"/>
      <c r="Z480" s="1219"/>
      <c r="AA480" s="1220"/>
      <c r="AB480" s="1220"/>
      <c r="AC480" s="1220"/>
      <c r="AD480" s="1220"/>
      <c r="AE480" s="1219"/>
      <c r="AF480" s="1219"/>
      <c r="AG480" s="1219"/>
      <c r="AH480" s="1220"/>
      <c r="AI480" s="1220"/>
      <c r="AJ480" s="1220"/>
      <c r="AK480" s="1219"/>
      <c r="AL480" s="1219"/>
      <c r="AM480" s="1219"/>
      <c r="AN480" s="1219"/>
      <c r="AO480" s="1220"/>
      <c r="AP480" s="1220"/>
      <c r="AQ480" s="1220"/>
      <c r="AR480" s="1220"/>
      <c r="AS480" s="1220"/>
      <c r="AT480" s="1220"/>
      <c r="AU480" s="1220"/>
      <c r="AV480" s="1220"/>
      <c r="AW480" s="1258"/>
      <c r="AX480" s="1258"/>
      <c r="AY480" s="1258"/>
      <c r="AZ480" s="1220"/>
      <c r="BA480" s="1220"/>
      <c r="BB480" s="1220"/>
      <c r="BC480" s="1220"/>
      <c r="BD480" s="1220"/>
      <c r="BE480" s="1220"/>
      <c r="BF480" s="1220"/>
      <c r="BG480" s="1220"/>
      <c r="BH480" s="1220"/>
      <c r="BI480" s="1220"/>
      <c r="BJ480" s="1220"/>
      <c r="BK480" s="1220"/>
      <c r="BL480" s="1220"/>
      <c r="BM480" s="1220"/>
      <c r="BN480" s="1220"/>
      <c r="BO480" s="1220"/>
    </row>
    <row r="481" spans="1:67" ht="35.1" customHeight="1" x14ac:dyDescent="0.25">
      <c r="A481" s="3">
        <f>+ROW(A469)</f>
        <v>469</v>
      </c>
      <c r="B481" s="1218" t="s">
        <v>162</v>
      </c>
      <c r="C481" s="1218"/>
      <c r="D481" s="1221"/>
      <c r="E481" s="1221"/>
      <c r="F481" s="1221"/>
      <c r="G481" s="1221"/>
      <c r="H481" s="1221"/>
      <c r="I481" s="540"/>
      <c r="J481" s="540"/>
      <c r="K481" s="540"/>
      <c r="L481" s="540"/>
      <c r="M481" s="540"/>
      <c r="N481" s="540"/>
      <c r="O481" s="540"/>
      <c r="P481" s="540"/>
      <c r="Q481" s="540"/>
      <c r="R481" s="540"/>
      <c r="S481" s="540"/>
      <c r="T481" s="540"/>
      <c r="U481" s="540"/>
      <c r="V481" s="540"/>
      <c r="W481" s="540"/>
      <c r="X481" s="540"/>
      <c r="Y481" s="540"/>
      <c r="Z481" s="540"/>
      <c r="AA481" s="540"/>
      <c r="AB481" s="540"/>
      <c r="AC481" s="540"/>
      <c r="AD481" s="540"/>
      <c r="AE481" s="540"/>
      <c r="AF481" s="540"/>
      <c r="AG481" s="540"/>
      <c r="AH481" s="540"/>
      <c r="AI481" s="540"/>
      <c r="AJ481" s="540"/>
      <c r="AK481" s="540"/>
      <c r="AL481" s="540"/>
      <c r="AM481" s="540"/>
      <c r="AN481" s="540"/>
      <c r="AO481" s="540"/>
      <c r="AP481" s="540"/>
      <c r="AQ481" s="540"/>
      <c r="AR481" s="540"/>
      <c r="AS481" s="540"/>
      <c r="AT481" s="540"/>
      <c r="AU481" s="540"/>
      <c r="AV481" s="540"/>
      <c r="AW481" s="1259"/>
      <c r="AX481" s="1259"/>
      <c r="AY481" s="1259"/>
      <c r="AZ481" s="540"/>
      <c r="BA481" s="540"/>
      <c r="BB481" s="540"/>
      <c r="BC481" s="540"/>
      <c r="BD481" s="540"/>
      <c r="BE481" s="540"/>
      <c r="BF481" s="540"/>
      <c r="BG481" s="540"/>
      <c r="BH481" s="540"/>
      <c r="BI481" s="540"/>
      <c r="BJ481" s="540"/>
      <c r="BK481" s="540"/>
      <c r="BL481" s="540"/>
      <c r="BM481" s="540"/>
      <c r="BN481" s="540"/>
      <c r="BO481" s="540"/>
    </row>
    <row r="482" spans="1:67" ht="35.1" customHeight="1" x14ac:dyDescent="0.25">
      <c r="A482" s="3">
        <f t="shared" ref="A482:A512" si="8">+ROW(A470)</f>
        <v>470</v>
      </c>
      <c r="B482" s="1235" t="s">
        <v>162</v>
      </c>
      <c r="C482" s="1235"/>
      <c r="D482" s="1222"/>
      <c r="E482" s="1222"/>
      <c r="F482" s="1222"/>
      <c r="G482" s="1222"/>
      <c r="H482" s="1222"/>
      <c r="I482" s="1219"/>
      <c r="J482" s="1219"/>
      <c r="K482" s="1219"/>
      <c r="L482" s="1219"/>
      <c r="M482" s="1219"/>
      <c r="N482" s="1219"/>
      <c r="O482" s="1219"/>
      <c r="P482" s="1219"/>
      <c r="Q482" s="1220"/>
      <c r="R482" s="1220"/>
      <c r="S482" s="1220"/>
      <c r="T482" s="1220"/>
      <c r="U482" s="1220"/>
      <c r="V482" s="1220"/>
      <c r="W482" s="1220"/>
      <c r="X482" s="1220"/>
      <c r="Y482" s="1219"/>
      <c r="Z482" s="1219"/>
      <c r="AA482" s="1220"/>
      <c r="AB482" s="1220"/>
      <c r="AC482" s="1220"/>
      <c r="AD482" s="1220"/>
      <c r="AE482" s="1219"/>
      <c r="AF482" s="1219"/>
      <c r="AG482" s="1219"/>
      <c r="AH482" s="1220"/>
      <c r="AI482" s="1220"/>
      <c r="AJ482" s="1220"/>
      <c r="AK482" s="1219"/>
      <c r="AL482" s="1219"/>
      <c r="AM482" s="1219"/>
      <c r="AN482" s="1219"/>
      <c r="AO482" s="1220"/>
      <c r="AP482" s="1220"/>
      <c r="AQ482" s="1220"/>
      <c r="AR482" s="1220"/>
      <c r="AS482" s="1220"/>
      <c r="AT482" s="1220"/>
      <c r="AU482" s="1220"/>
      <c r="AV482" s="1220"/>
      <c r="AW482" s="1258"/>
      <c r="AX482" s="1258"/>
      <c r="AY482" s="1258"/>
      <c r="AZ482" s="1220"/>
      <c r="BA482" s="1220"/>
      <c r="BB482" s="1220"/>
      <c r="BC482" s="1220"/>
      <c r="BD482" s="1220"/>
      <c r="BE482" s="1220"/>
      <c r="BF482" s="1220"/>
      <c r="BG482" s="1220"/>
      <c r="BH482" s="1220"/>
      <c r="BI482" s="1220"/>
      <c r="BJ482" s="1220"/>
      <c r="BK482" s="1220"/>
      <c r="BL482" s="1220"/>
      <c r="BM482" s="1220"/>
      <c r="BN482" s="1220"/>
      <c r="BO482" s="1220"/>
    </row>
    <row r="483" spans="1:67" ht="35.1" customHeight="1" x14ac:dyDescent="0.25">
      <c r="A483" s="3">
        <f t="shared" si="8"/>
        <v>471</v>
      </c>
      <c r="B483" s="1218" t="s">
        <v>162</v>
      </c>
      <c r="C483" s="1218"/>
      <c r="D483" s="1221"/>
      <c r="E483" s="1221"/>
      <c r="F483" s="1221"/>
      <c r="G483" s="1221"/>
      <c r="H483" s="1221"/>
      <c r="I483" s="540"/>
      <c r="J483" s="540"/>
      <c r="K483" s="540"/>
      <c r="L483" s="540"/>
      <c r="M483" s="540"/>
      <c r="N483" s="540"/>
      <c r="O483" s="540"/>
      <c r="P483" s="540"/>
      <c r="Q483" s="540"/>
      <c r="R483" s="540"/>
      <c r="S483" s="540"/>
      <c r="T483" s="540"/>
      <c r="U483" s="540"/>
      <c r="V483" s="540"/>
      <c r="W483" s="540"/>
      <c r="X483" s="540"/>
      <c r="Y483" s="540"/>
      <c r="Z483" s="540"/>
      <c r="AA483" s="540"/>
      <c r="AB483" s="540"/>
      <c r="AC483" s="540"/>
      <c r="AD483" s="540"/>
      <c r="AE483" s="540"/>
      <c r="AF483" s="540"/>
      <c r="AG483" s="540"/>
      <c r="AH483" s="540"/>
      <c r="AI483" s="540"/>
      <c r="AJ483" s="540"/>
      <c r="AK483" s="540"/>
      <c r="AL483" s="540"/>
      <c r="AM483" s="540"/>
      <c r="AN483" s="540"/>
      <c r="AO483" s="540"/>
      <c r="AP483" s="540"/>
      <c r="AQ483" s="540"/>
      <c r="AR483" s="540"/>
      <c r="AS483" s="540"/>
      <c r="AT483" s="540"/>
      <c r="AU483" s="540"/>
      <c r="AV483" s="540"/>
      <c r="AW483" s="1259"/>
      <c r="AX483" s="1259"/>
      <c r="AY483" s="1259"/>
      <c r="AZ483" s="540"/>
      <c r="BA483" s="540"/>
      <c r="BB483" s="540"/>
      <c r="BC483" s="540"/>
      <c r="BD483" s="540"/>
      <c r="BE483" s="540"/>
      <c r="BF483" s="540"/>
      <c r="BG483" s="540"/>
      <c r="BH483" s="540"/>
      <c r="BI483" s="540"/>
      <c r="BJ483" s="540"/>
      <c r="BK483" s="540"/>
      <c r="BL483" s="540"/>
      <c r="BM483" s="540"/>
      <c r="BN483" s="540"/>
      <c r="BO483" s="540"/>
    </row>
    <row r="484" spans="1:67" ht="35.1" customHeight="1" x14ac:dyDescent="0.25">
      <c r="A484" s="3">
        <f t="shared" si="8"/>
        <v>472</v>
      </c>
      <c r="B484" s="1218" t="s">
        <v>162</v>
      </c>
      <c r="C484" s="1218"/>
      <c r="D484" s="1222"/>
      <c r="E484" s="1222"/>
      <c r="F484" s="1222"/>
      <c r="G484" s="1222"/>
      <c r="H484" s="1222"/>
      <c r="I484" s="1219"/>
      <c r="J484" s="1219"/>
      <c r="K484" s="1219"/>
      <c r="L484" s="1219"/>
      <c r="M484" s="1219"/>
      <c r="N484" s="1219"/>
      <c r="O484" s="1219"/>
      <c r="P484" s="1219"/>
      <c r="Q484" s="1220"/>
      <c r="R484" s="1220"/>
      <c r="S484" s="1220"/>
      <c r="T484" s="1220"/>
      <c r="U484" s="1220"/>
      <c r="V484" s="1220"/>
      <c r="W484" s="1220"/>
      <c r="X484" s="1220"/>
      <c r="Y484" s="1219"/>
      <c r="Z484" s="1219"/>
      <c r="AA484" s="1220"/>
      <c r="AB484" s="1220"/>
      <c r="AC484" s="1220"/>
      <c r="AD484" s="1220"/>
      <c r="AE484" s="1219"/>
      <c r="AF484" s="1219"/>
      <c r="AG484" s="1219"/>
      <c r="AH484" s="1220"/>
      <c r="AI484" s="1220"/>
      <c r="AJ484" s="1220"/>
      <c r="AK484" s="1219"/>
      <c r="AL484" s="1219"/>
      <c r="AM484" s="1219"/>
      <c r="AN484" s="1219"/>
      <c r="AO484" s="1220"/>
      <c r="AP484" s="1220"/>
      <c r="AQ484" s="1220"/>
      <c r="AR484" s="1220"/>
      <c r="AS484" s="1220"/>
      <c r="AT484" s="1220"/>
      <c r="AU484" s="1220"/>
      <c r="AV484" s="1220"/>
      <c r="AW484" s="1258"/>
      <c r="AX484" s="1258"/>
      <c r="AY484" s="1258"/>
      <c r="AZ484" s="1220"/>
      <c r="BA484" s="1220"/>
      <c r="BB484" s="1220"/>
      <c r="BC484" s="1220"/>
      <c r="BD484" s="1220"/>
      <c r="BE484" s="1220"/>
      <c r="BF484" s="1220"/>
      <c r="BG484" s="1220"/>
      <c r="BH484" s="1220"/>
      <c r="BI484" s="1220"/>
      <c r="BJ484" s="1220"/>
      <c r="BK484" s="1220"/>
      <c r="BL484" s="1220"/>
      <c r="BM484" s="1220"/>
      <c r="BN484" s="1220"/>
      <c r="BO484" s="1220"/>
    </row>
    <row r="485" spans="1:67" ht="35.1" customHeight="1" x14ac:dyDescent="0.25">
      <c r="A485" s="3">
        <f t="shared" si="8"/>
        <v>473</v>
      </c>
      <c r="B485" s="1218" t="s">
        <v>162</v>
      </c>
      <c r="C485" s="1218"/>
      <c r="D485" s="1221"/>
      <c r="E485" s="1221"/>
      <c r="F485" s="1221"/>
      <c r="G485" s="1221"/>
      <c r="H485" s="1221"/>
      <c r="I485" s="540"/>
      <c r="J485" s="540"/>
      <c r="K485" s="540"/>
      <c r="L485" s="540"/>
      <c r="M485" s="540"/>
      <c r="N485" s="540"/>
      <c r="O485" s="540"/>
      <c r="P485" s="540"/>
      <c r="Q485" s="540"/>
      <c r="R485" s="540"/>
      <c r="S485" s="540"/>
      <c r="T485" s="540"/>
      <c r="U485" s="540"/>
      <c r="V485" s="540"/>
      <c r="W485" s="540"/>
      <c r="X485" s="540"/>
      <c r="Y485" s="540"/>
      <c r="Z485" s="540"/>
      <c r="AA485" s="540"/>
      <c r="AB485" s="540"/>
      <c r="AC485" s="540"/>
      <c r="AD485" s="540"/>
      <c r="AE485" s="540"/>
      <c r="AF485" s="540"/>
      <c r="AG485" s="540"/>
      <c r="AH485" s="540"/>
      <c r="AI485" s="540"/>
      <c r="AJ485" s="540"/>
      <c r="AK485" s="540"/>
      <c r="AL485" s="540"/>
      <c r="AM485" s="540"/>
      <c r="AN485" s="540"/>
      <c r="AO485" s="540"/>
      <c r="AP485" s="540"/>
      <c r="AQ485" s="540"/>
      <c r="AR485" s="540"/>
      <c r="AS485" s="540"/>
      <c r="AT485" s="540"/>
      <c r="AU485" s="540"/>
      <c r="AV485" s="540"/>
      <c r="AW485" s="1259"/>
      <c r="AX485" s="1259"/>
      <c r="AY485" s="1259"/>
      <c r="AZ485" s="540"/>
      <c r="BA485" s="540"/>
      <c r="BB485" s="540"/>
      <c r="BC485" s="540"/>
      <c r="BD485" s="540"/>
      <c r="BE485" s="540"/>
      <c r="BF485" s="540"/>
      <c r="BG485" s="540"/>
      <c r="BH485" s="540"/>
      <c r="BI485" s="540"/>
      <c r="BJ485" s="540"/>
      <c r="BK485" s="540"/>
      <c r="BL485" s="540"/>
      <c r="BM485" s="540"/>
      <c r="BN485" s="540"/>
      <c r="BO485" s="540"/>
    </row>
    <row r="486" spans="1:67" ht="35.1" customHeight="1" x14ac:dyDescent="0.25">
      <c r="A486" s="3">
        <f t="shared" si="8"/>
        <v>474</v>
      </c>
      <c r="B486" s="1218" t="s">
        <v>162</v>
      </c>
      <c r="C486" s="1218"/>
      <c r="D486" s="1222"/>
      <c r="E486" s="1222"/>
      <c r="F486" s="1222"/>
      <c r="G486" s="1222"/>
      <c r="H486" s="1222"/>
      <c r="I486" s="1219"/>
      <c r="J486" s="1219"/>
      <c r="K486" s="1219"/>
      <c r="L486" s="1219"/>
      <c r="M486" s="1219"/>
      <c r="N486" s="1219"/>
      <c r="O486" s="1219"/>
      <c r="P486" s="1219"/>
      <c r="Q486" s="1220"/>
      <c r="R486" s="1220"/>
      <c r="S486" s="1220"/>
      <c r="T486" s="1220"/>
      <c r="U486" s="1220"/>
      <c r="V486" s="1220"/>
      <c r="W486" s="1220"/>
      <c r="X486" s="1220"/>
      <c r="Y486" s="1219"/>
      <c r="Z486" s="1219"/>
      <c r="AA486" s="1220"/>
      <c r="AB486" s="1220"/>
      <c r="AC486" s="1220"/>
      <c r="AD486" s="1220"/>
      <c r="AE486" s="1219"/>
      <c r="AF486" s="1219"/>
      <c r="AG486" s="1219"/>
      <c r="AH486" s="1220"/>
      <c r="AI486" s="1220"/>
      <c r="AJ486" s="1220"/>
      <c r="AK486" s="1219"/>
      <c r="AL486" s="1219"/>
      <c r="AM486" s="1219"/>
      <c r="AN486" s="1219"/>
      <c r="AO486" s="1220"/>
      <c r="AP486" s="1220"/>
      <c r="AQ486" s="1220"/>
      <c r="AR486" s="1220"/>
      <c r="AS486" s="1220"/>
      <c r="AT486" s="1220"/>
      <c r="AU486" s="1220"/>
      <c r="AV486" s="1220"/>
      <c r="AW486" s="1258"/>
      <c r="AX486" s="1258"/>
      <c r="AY486" s="1258"/>
      <c r="AZ486" s="1220"/>
      <c r="BA486" s="1220"/>
      <c r="BB486" s="1220"/>
      <c r="BC486" s="1220"/>
      <c r="BD486" s="1220"/>
      <c r="BE486" s="1220"/>
      <c r="BF486" s="1220"/>
      <c r="BG486" s="1220"/>
      <c r="BH486" s="1220"/>
      <c r="BI486" s="1220"/>
      <c r="BJ486" s="1220"/>
      <c r="BK486" s="1220"/>
      <c r="BL486" s="1220"/>
      <c r="BM486" s="1220"/>
      <c r="BN486" s="1220"/>
      <c r="BO486" s="1220"/>
    </row>
    <row r="487" spans="1:67" ht="35.1" customHeight="1" x14ac:dyDescent="0.25">
      <c r="A487" s="3">
        <f t="shared" si="8"/>
        <v>475</v>
      </c>
      <c r="B487" s="1218" t="s">
        <v>162</v>
      </c>
      <c r="C487" s="1218"/>
      <c r="D487" s="1221"/>
      <c r="E487" s="1221"/>
      <c r="F487" s="1221"/>
      <c r="G487" s="1221"/>
      <c r="H487" s="1221"/>
      <c r="I487" s="540"/>
      <c r="J487" s="540"/>
      <c r="K487" s="540"/>
      <c r="L487" s="540"/>
      <c r="M487" s="540"/>
      <c r="N487" s="540"/>
      <c r="O487" s="540"/>
      <c r="P487" s="540"/>
      <c r="Q487" s="540"/>
      <c r="R487" s="540"/>
      <c r="S487" s="540"/>
      <c r="T487" s="540"/>
      <c r="U487" s="540"/>
      <c r="V487" s="540"/>
      <c r="W487" s="540"/>
      <c r="X487" s="540"/>
      <c r="Y487" s="540"/>
      <c r="Z487" s="540"/>
      <c r="AA487" s="540"/>
      <c r="AB487" s="540"/>
      <c r="AC487" s="540"/>
      <c r="AD487" s="540"/>
      <c r="AE487" s="540"/>
      <c r="AF487" s="540"/>
      <c r="AG487" s="540"/>
      <c r="AH487" s="540"/>
      <c r="AI487" s="540"/>
      <c r="AJ487" s="540"/>
      <c r="AK487" s="540"/>
      <c r="AL487" s="540"/>
      <c r="AM487" s="540"/>
      <c r="AN487" s="540"/>
      <c r="AO487" s="540"/>
      <c r="AP487" s="540"/>
      <c r="AQ487" s="540"/>
      <c r="AR487" s="540"/>
      <c r="AS487" s="540"/>
      <c r="AT487" s="540"/>
      <c r="AU487" s="540"/>
      <c r="AV487" s="540"/>
      <c r="AW487" s="1259"/>
      <c r="AX487" s="1259"/>
      <c r="AY487" s="1259"/>
      <c r="AZ487" s="540"/>
      <c r="BA487" s="540"/>
      <c r="BB487" s="540"/>
      <c r="BC487" s="540"/>
      <c r="BD487" s="540"/>
      <c r="BE487" s="540"/>
      <c r="BF487" s="540"/>
      <c r="BG487" s="540"/>
      <c r="BH487" s="540"/>
      <c r="BI487" s="540"/>
      <c r="BJ487" s="540"/>
      <c r="BK487" s="540"/>
      <c r="BL487" s="540"/>
      <c r="BM487" s="540"/>
      <c r="BN487" s="540"/>
      <c r="BO487" s="540"/>
    </row>
    <row r="488" spans="1:67" ht="35.1" customHeight="1" x14ac:dyDescent="0.25">
      <c r="A488" s="3">
        <f t="shared" si="8"/>
        <v>476</v>
      </c>
      <c r="B488" s="1218" t="s">
        <v>162</v>
      </c>
      <c r="C488" s="1218"/>
      <c r="D488" s="1222"/>
      <c r="E488" s="1222"/>
      <c r="F488" s="1222"/>
      <c r="G488" s="1222"/>
      <c r="H488" s="1222"/>
      <c r="I488" s="1219"/>
      <c r="J488" s="1219"/>
      <c r="K488" s="1219"/>
      <c r="L488" s="1219"/>
      <c r="M488" s="1219"/>
      <c r="N488" s="1219"/>
      <c r="O488" s="1219"/>
      <c r="P488" s="1219"/>
      <c r="Q488" s="1220"/>
      <c r="R488" s="1220"/>
      <c r="S488" s="1220"/>
      <c r="T488" s="1220"/>
      <c r="U488" s="1220"/>
      <c r="V488" s="1220"/>
      <c r="W488" s="1220"/>
      <c r="X488" s="1220"/>
      <c r="Y488" s="1219"/>
      <c r="Z488" s="1219"/>
      <c r="AA488" s="1220"/>
      <c r="AB488" s="1220"/>
      <c r="AC488" s="1220"/>
      <c r="AD488" s="1220"/>
      <c r="AE488" s="1219"/>
      <c r="AF488" s="1219"/>
      <c r="AG488" s="1219"/>
      <c r="AH488" s="1220"/>
      <c r="AI488" s="1220"/>
      <c r="AJ488" s="1220"/>
      <c r="AK488" s="1219"/>
      <c r="AL488" s="1219"/>
      <c r="AM488" s="1219"/>
      <c r="AN488" s="1219"/>
      <c r="AO488" s="1220"/>
      <c r="AP488" s="1220"/>
      <c r="AQ488" s="1220"/>
      <c r="AR488" s="1220"/>
      <c r="AS488" s="1220"/>
      <c r="AT488" s="1220"/>
      <c r="AU488" s="1220"/>
      <c r="AV488" s="1220"/>
      <c r="AW488" s="1258"/>
      <c r="AX488" s="1258"/>
      <c r="AY488" s="1258"/>
      <c r="AZ488" s="1220"/>
      <c r="BA488" s="1220"/>
      <c r="BB488" s="1220"/>
      <c r="BC488" s="1220"/>
      <c r="BD488" s="1220"/>
      <c r="BE488" s="1220"/>
      <c r="BF488" s="1220"/>
      <c r="BG488" s="1220"/>
      <c r="BH488" s="1220"/>
      <c r="BI488" s="1220"/>
      <c r="BJ488" s="1220"/>
      <c r="BK488" s="1220"/>
      <c r="BL488" s="1220"/>
      <c r="BM488" s="1220"/>
      <c r="BN488" s="1220"/>
      <c r="BO488" s="1220"/>
    </row>
    <row r="489" spans="1:67" ht="35.1" customHeight="1" x14ac:dyDescent="0.25">
      <c r="A489" s="3">
        <f t="shared" si="8"/>
        <v>477</v>
      </c>
      <c r="B489" s="1218" t="s">
        <v>162</v>
      </c>
      <c r="C489" s="1218"/>
      <c r="D489" s="1221"/>
      <c r="E489" s="1221"/>
      <c r="F489" s="1221"/>
      <c r="G489" s="1221"/>
      <c r="H489" s="1221"/>
      <c r="I489" s="540"/>
      <c r="J489" s="540"/>
      <c r="K489" s="540"/>
      <c r="L489" s="540"/>
      <c r="M489" s="540"/>
      <c r="N489" s="540"/>
      <c r="O489" s="540"/>
      <c r="P489" s="540"/>
      <c r="Q489" s="540"/>
      <c r="R489" s="540"/>
      <c r="S489" s="540"/>
      <c r="T489" s="540"/>
      <c r="U489" s="540"/>
      <c r="V489" s="540"/>
      <c r="W489" s="540"/>
      <c r="X489" s="540"/>
      <c r="Y489" s="540"/>
      <c r="Z489" s="540"/>
      <c r="AA489" s="540"/>
      <c r="AB489" s="540"/>
      <c r="AC489" s="540"/>
      <c r="AD489" s="540"/>
      <c r="AE489" s="540"/>
      <c r="AF489" s="540"/>
      <c r="AG489" s="540"/>
      <c r="AH489" s="540"/>
      <c r="AI489" s="540"/>
      <c r="AJ489" s="540"/>
      <c r="AK489" s="540"/>
      <c r="AL489" s="540"/>
      <c r="AM489" s="540"/>
      <c r="AN489" s="540"/>
      <c r="AO489" s="540"/>
      <c r="AP489" s="540"/>
      <c r="AQ489" s="540"/>
      <c r="AR489" s="540"/>
      <c r="AS489" s="540"/>
      <c r="AT489" s="540"/>
      <c r="AU489" s="540"/>
      <c r="AV489" s="540"/>
      <c r="AW489" s="1259"/>
      <c r="AX489" s="1259"/>
      <c r="AY489" s="1259"/>
      <c r="AZ489" s="540"/>
      <c r="BA489" s="540"/>
      <c r="BB489" s="540"/>
      <c r="BC489" s="540"/>
      <c r="BD489" s="540"/>
      <c r="BE489" s="540"/>
      <c r="BF489" s="540"/>
      <c r="BG489" s="540"/>
      <c r="BH489" s="540"/>
      <c r="BI489" s="540"/>
      <c r="BJ489" s="540"/>
      <c r="BK489" s="540"/>
      <c r="BL489" s="540"/>
      <c r="BM489" s="540"/>
      <c r="BN489" s="540"/>
      <c r="BO489" s="540"/>
    </row>
    <row r="490" spans="1:67" ht="35.1" customHeight="1" x14ac:dyDescent="0.25">
      <c r="A490" s="3">
        <f t="shared" si="8"/>
        <v>478</v>
      </c>
      <c r="B490" s="1218" t="s">
        <v>162</v>
      </c>
      <c r="C490" s="1218"/>
      <c r="D490" s="1222"/>
      <c r="E490" s="1222"/>
      <c r="F490" s="1222"/>
      <c r="G490" s="1222"/>
      <c r="H490" s="1222"/>
      <c r="I490" s="1219"/>
      <c r="J490" s="1219"/>
      <c r="K490" s="1219"/>
      <c r="L490" s="1219"/>
      <c r="M490" s="1219"/>
      <c r="N490" s="1219"/>
      <c r="O490" s="1219"/>
      <c r="P490" s="1219"/>
      <c r="Q490" s="1220"/>
      <c r="R490" s="1220"/>
      <c r="S490" s="1220"/>
      <c r="T490" s="1220"/>
      <c r="U490" s="1220"/>
      <c r="V490" s="1220"/>
      <c r="W490" s="1220"/>
      <c r="X490" s="1220"/>
      <c r="Y490" s="1219"/>
      <c r="Z490" s="1219"/>
      <c r="AA490" s="1220"/>
      <c r="AB490" s="1220"/>
      <c r="AC490" s="1220"/>
      <c r="AD490" s="1220"/>
      <c r="AE490" s="1219"/>
      <c r="AF490" s="1219"/>
      <c r="AG490" s="1219"/>
      <c r="AH490" s="1220"/>
      <c r="AI490" s="1220"/>
      <c r="AJ490" s="1220"/>
      <c r="AK490" s="1219"/>
      <c r="AL490" s="1219"/>
      <c r="AM490" s="1219"/>
      <c r="AN490" s="1219"/>
      <c r="AO490" s="1220"/>
      <c r="AP490" s="1220"/>
      <c r="AQ490" s="1220"/>
      <c r="AR490" s="1220"/>
      <c r="AS490" s="1220"/>
      <c r="AT490" s="1220"/>
      <c r="AU490" s="1220"/>
      <c r="AV490" s="1220"/>
      <c r="AW490" s="1258"/>
      <c r="AX490" s="1258"/>
      <c r="AY490" s="1258"/>
      <c r="AZ490" s="1220"/>
      <c r="BA490" s="1220"/>
      <c r="BB490" s="1220"/>
      <c r="BC490" s="1220"/>
      <c r="BD490" s="1220"/>
      <c r="BE490" s="1220"/>
      <c r="BF490" s="1220"/>
      <c r="BG490" s="1220"/>
      <c r="BH490" s="1220"/>
      <c r="BI490" s="1220"/>
      <c r="BJ490" s="1220"/>
      <c r="BK490" s="1220"/>
      <c r="BL490" s="1220"/>
      <c r="BM490" s="1220"/>
      <c r="BN490" s="1220"/>
      <c r="BO490" s="1220"/>
    </row>
    <row r="491" spans="1:67" ht="35.1" customHeight="1" x14ac:dyDescent="0.25">
      <c r="A491" s="3">
        <f t="shared" si="8"/>
        <v>479</v>
      </c>
      <c r="B491" s="1218" t="s">
        <v>162</v>
      </c>
      <c r="C491" s="1218"/>
      <c r="D491" s="1221"/>
      <c r="E491" s="1221"/>
      <c r="F491" s="1221"/>
      <c r="G491" s="1221"/>
      <c r="H491" s="1221"/>
      <c r="I491" s="540"/>
      <c r="J491" s="540"/>
      <c r="K491" s="540"/>
      <c r="L491" s="540"/>
      <c r="M491" s="540"/>
      <c r="N491" s="540"/>
      <c r="O491" s="540"/>
      <c r="P491" s="540"/>
      <c r="Q491" s="540"/>
      <c r="R491" s="540"/>
      <c r="S491" s="540"/>
      <c r="T491" s="540"/>
      <c r="U491" s="540"/>
      <c r="V491" s="540"/>
      <c r="W491" s="540"/>
      <c r="X491" s="540"/>
      <c r="Y491" s="540"/>
      <c r="Z491" s="540"/>
      <c r="AA491" s="540"/>
      <c r="AB491" s="540"/>
      <c r="AC491" s="540"/>
      <c r="AD491" s="540"/>
      <c r="AE491" s="540"/>
      <c r="AF491" s="540"/>
      <c r="AG491" s="540"/>
      <c r="AH491" s="540"/>
      <c r="AI491" s="540"/>
      <c r="AJ491" s="540"/>
      <c r="AK491" s="540"/>
      <c r="AL491" s="540"/>
      <c r="AM491" s="540"/>
      <c r="AN491" s="540"/>
      <c r="AO491" s="540"/>
      <c r="AP491" s="540"/>
      <c r="AQ491" s="540"/>
      <c r="AR491" s="540"/>
      <c r="AS491" s="540"/>
      <c r="AT491" s="540"/>
      <c r="AU491" s="540"/>
      <c r="AV491" s="540"/>
      <c r="AW491" s="1259"/>
      <c r="AX491" s="1259"/>
      <c r="AY491" s="1259"/>
      <c r="AZ491" s="540"/>
      <c r="BA491" s="540"/>
      <c r="BB491" s="540"/>
      <c r="BC491" s="540"/>
      <c r="BD491" s="540"/>
      <c r="BE491" s="540"/>
      <c r="BF491" s="540"/>
      <c r="BG491" s="540"/>
      <c r="BH491" s="540"/>
      <c r="BI491" s="540"/>
      <c r="BJ491" s="540"/>
      <c r="BK491" s="540"/>
      <c r="BL491" s="540"/>
      <c r="BM491" s="540"/>
      <c r="BN491" s="540"/>
      <c r="BO491" s="540"/>
    </row>
    <row r="492" spans="1:67" ht="35.1" customHeight="1" x14ac:dyDescent="0.25">
      <c r="A492" s="3">
        <f t="shared" si="8"/>
        <v>480</v>
      </c>
      <c r="B492" s="1218" t="s">
        <v>162</v>
      </c>
      <c r="C492" s="1218"/>
      <c r="D492" s="1222"/>
      <c r="E492" s="1222"/>
      <c r="F492" s="1222"/>
      <c r="G492" s="1222"/>
      <c r="H492" s="1222"/>
      <c r="I492" s="1219"/>
      <c r="J492" s="1219"/>
      <c r="K492" s="1219"/>
      <c r="L492" s="1219"/>
      <c r="M492" s="1219"/>
      <c r="N492" s="1219"/>
      <c r="O492" s="1219"/>
      <c r="P492" s="1219"/>
      <c r="Q492" s="1220"/>
      <c r="R492" s="1220"/>
      <c r="S492" s="1220"/>
      <c r="T492" s="1220"/>
      <c r="U492" s="1220"/>
      <c r="V492" s="1220"/>
      <c r="W492" s="1220"/>
      <c r="X492" s="1220"/>
      <c r="Y492" s="1219"/>
      <c r="Z492" s="1219"/>
      <c r="AA492" s="1220"/>
      <c r="AB492" s="1220"/>
      <c r="AC492" s="1220"/>
      <c r="AD492" s="1220"/>
      <c r="AE492" s="1219"/>
      <c r="AF492" s="1219"/>
      <c r="AG492" s="1219"/>
      <c r="AH492" s="1220"/>
      <c r="AI492" s="1220"/>
      <c r="AJ492" s="1220"/>
      <c r="AK492" s="1219"/>
      <c r="AL492" s="1219"/>
      <c r="AM492" s="1219"/>
      <c r="AN492" s="1219"/>
      <c r="AO492" s="1220"/>
      <c r="AP492" s="1220"/>
      <c r="AQ492" s="1220"/>
      <c r="AR492" s="1220"/>
      <c r="AS492" s="1220"/>
      <c r="AT492" s="1220"/>
      <c r="AU492" s="1220"/>
      <c r="AV492" s="1220"/>
      <c r="AW492" s="1258"/>
      <c r="AX492" s="1258"/>
      <c r="AY492" s="1258"/>
      <c r="AZ492" s="1220"/>
      <c r="BA492" s="1220"/>
      <c r="BB492" s="1220"/>
      <c r="BC492" s="1220"/>
      <c r="BD492" s="1220"/>
      <c r="BE492" s="1220"/>
      <c r="BF492" s="1220"/>
      <c r="BG492" s="1220"/>
      <c r="BH492" s="1220"/>
      <c r="BI492" s="1220"/>
      <c r="BJ492" s="1220"/>
      <c r="BK492" s="1220"/>
      <c r="BL492" s="1220"/>
      <c r="BM492" s="1220"/>
      <c r="BN492" s="1220"/>
      <c r="BO492" s="1220"/>
    </row>
    <row r="493" spans="1:67" ht="35.1" customHeight="1" x14ac:dyDescent="0.25">
      <c r="A493" s="3">
        <f t="shared" si="8"/>
        <v>481</v>
      </c>
      <c r="B493" s="1218" t="s">
        <v>162</v>
      </c>
      <c r="C493" s="1218"/>
      <c r="D493" s="1221"/>
      <c r="E493" s="1221"/>
      <c r="F493" s="1221"/>
      <c r="G493" s="1221"/>
      <c r="H493" s="1221"/>
      <c r="I493" s="540"/>
      <c r="J493" s="540"/>
      <c r="K493" s="540"/>
      <c r="L493" s="540"/>
      <c r="M493" s="540"/>
      <c r="N493" s="540"/>
      <c r="O493" s="540"/>
      <c r="P493" s="540"/>
      <c r="Q493" s="540"/>
      <c r="R493" s="540"/>
      <c r="S493" s="540"/>
      <c r="T493" s="540"/>
      <c r="U493" s="540"/>
      <c r="V493" s="540"/>
      <c r="W493" s="540"/>
      <c r="X493" s="540"/>
      <c r="Y493" s="540"/>
      <c r="Z493" s="540"/>
      <c r="AA493" s="540"/>
      <c r="AB493" s="540"/>
      <c r="AC493" s="540"/>
      <c r="AD493" s="540"/>
      <c r="AE493" s="540"/>
      <c r="AF493" s="540"/>
      <c r="AG493" s="540"/>
      <c r="AH493" s="540"/>
      <c r="AI493" s="540"/>
      <c r="AJ493" s="540"/>
      <c r="AK493" s="540"/>
      <c r="AL493" s="540"/>
      <c r="AM493" s="540"/>
      <c r="AN493" s="540"/>
      <c r="AO493" s="540"/>
      <c r="AP493" s="540"/>
      <c r="AQ493" s="540"/>
      <c r="AR493" s="540"/>
      <c r="AS493" s="540"/>
      <c r="AT493" s="540"/>
      <c r="AU493" s="540"/>
      <c r="AV493" s="540"/>
      <c r="AW493" s="1259"/>
      <c r="AX493" s="1259"/>
      <c r="AY493" s="1259"/>
      <c r="AZ493" s="540"/>
      <c r="BA493" s="540"/>
      <c r="BB493" s="540"/>
      <c r="BC493" s="540"/>
      <c r="BD493" s="540"/>
      <c r="BE493" s="540"/>
      <c r="BF493" s="540"/>
      <c r="BG493" s="540"/>
      <c r="BH493" s="540"/>
      <c r="BI493" s="540"/>
      <c r="BJ493" s="540"/>
      <c r="BK493" s="540"/>
      <c r="BL493" s="540"/>
      <c r="BM493" s="540"/>
      <c r="BN493" s="540"/>
      <c r="BO493" s="540"/>
    </row>
    <row r="494" spans="1:67" ht="35.1" customHeight="1" x14ac:dyDescent="0.25">
      <c r="A494" s="3">
        <f t="shared" si="8"/>
        <v>482</v>
      </c>
      <c r="B494" s="1218" t="s">
        <v>162</v>
      </c>
      <c r="C494" s="1218"/>
      <c r="D494" s="1222"/>
      <c r="E494" s="1222"/>
      <c r="F494" s="1222"/>
      <c r="G494" s="1222"/>
      <c r="H494" s="1222"/>
      <c r="I494" s="1219"/>
      <c r="J494" s="1219"/>
      <c r="K494" s="1219"/>
      <c r="L494" s="1219"/>
      <c r="M494" s="1219"/>
      <c r="N494" s="1219"/>
      <c r="O494" s="1219"/>
      <c r="P494" s="1219"/>
      <c r="Q494" s="1220"/>
      <c r="R494" s="1220"/>
      <c r="S494" s="1220"/>
      <c r="T494" s="1220"/>
      <c r="U494" s="1220"/>
      <c r="V494" s="1220"/>
      <c r="W494" s="1220"/>
      <c r="X494" s="1220"/>
      <c r="Y494" s="1219"/>
      <c r="Z494" s="1219"/>
      <c r="AA494" s="1220"/>
      <c r="AB494" s="1220"/>
      <c r="AC494" s="1220"/>
      <c r="AD494" s="1220"/>
      <c r="AE494" s="1219"/>
      <c r="AF494" s="1219"/>
      <c r="AG494" s="1219"/>
      <c r="AH494" s="1220"/>
      <c r="AI494" s="1220"/>
      <c r="AJ494" s="1220"/>
      <c r="AK494" s="1219"/>
      <c r="AL494" s="1219"/>
      <c r="AM494" s="1219"/>
      <c r="AN494" s="1219"/>
      <c r="AO494" s="1220"/>
      <c r="AP494" s="1220"/>
      <c r="AQ494" s="1220"/>
      <c r="AR494" s="1220"/>
      <c r="AS494" s="1220"/>
      <c r="AT494" s="1220"/>
      <c r="AU494" s="1220"/>
      <c r="AV494" s="1220"/>
      <c r="AW494" s="1258"/>
      <c r="AX494" s="1258"/>
      <c r="AY494" s="1258"/>
      <c r="AZ494" s="1220"/>
      <c r="BA494" s="1220"/>
      <c r="BB494" s="1220"/>
      <c r="BC494" s="1220"/>
      <c r="BD494" s="1220"/>
      <c r="BE494" s="1220"/>
      <c r="BF494" s="1220"/>
      <c r="BG494" s="1220"/>
      <c r="BH494" s="1220"/>
      <c r="BI494" s="1220"/>
      <c r="BJ494" s="1220"/>
      <c r="BK494" s="1220"/>
      <c r="BL494" s="1220"/>
      <c r="BM494" s="1220"/>
      <c r="BN494" s="1220"/>
      <c r="BO494" s="1220"/>
    </row>
    <row r="495" spans="1:67" ht="35.1" customHeight="1" x14ac:dyDescent="0.25">
      <c r="A495" s="3">
        <f t="shared" si="8"/>
        <v>483</v>
      </c>
      <c r="B495" s="1218" t="s">
        <v>162</v>
      </c>
      <c r="C495" s="1218"/>
      <c r="D495" s="1221"/>
      <c r="E495" s="1221"/>
      <c r="F495" s="1221"/>
      <c r="G495" s="1221"/>
      <c r="H495" s="1221"/>
      <c r="I495" s="540"/>
      <c r="J495" s="540"/>
      <c r="K495" s="540"/>
      <c r="L495" s="540"/>
      <c r="M495" s="540"/>
      <c r="N495" s="540"/>
      <c r="O495" s="540"/>
      <c r="P495" s="540"/>
      <c r="Q495" s="540"/>
      <c r="R495" s="540"/>
      <c r="S495" s="540"/>
      <c r="T495" s="540"/>
      <c r="U495" s="540"/>
      <c r="V495" s="540"/>
      <c r="W495" s="540"/>
      <c r="X495" s="540"/>
      <c r="Y495" s="540"/>
      <c r="Z495" s="540"/>
      <c r="AA495" s="540"/>
      <c r="AB495" s="540"/>
      <c r="AC495" s="540"/>
      <c r="AD495" s="540"/>
      <c r="AE495" s="540"/>
      <c r="AF495" s="540"/>
      <c r="AG495" s="540"/>
      <c r="AH495" s="540"/>
      <c r="AI495" s="540"/>
      <c r="AJ495" s="540"/>
      <c r="AK495" s="540"/>
      <c r="AL495" s="540"/>
      <c r="AM495" s="540"/>
      <c r="AN495" s="540"/>
      <c r="AO495" s="540"/>
      <c r="AP495" s="540"/>
      <c r="AQ495" s="540"/>
      <c r="AR495" s="540"/>
      <c r="AS495" s="540"/>
      <c r="AT495" s="540"/>
      <c r="AU495" s="540"/>
      <c r="AV495" s="540"/>
      <c r="AW495" s="1259"/>
      <c r="AX495" s="1259"/>
      <c r="AY495" s="1259"/>
      <c r="AZ495" s="540"/>
      <c r="BA495" s="540"/>
      <c r="BB495" s="540"/>
      <c r="BC495" s="540"/>
      <c r="BD495" s="540"/>
      <c r="BE495" s="540"/>
      <c r="BF495" s="540"/>
      <c r="BG495" s="540"/>
      <c r="BH495" s="540"/>
      <c r="BI495" s="540"/>
      <c r="BJ495" s="540"/>
      <c r="BK495" s="540"/>
      <c r="BL495" s="540"/>
      <c r="BM495" s="540"/>
      <c r="BN495" s="540"/>
      <c r="BO495" s="540"/>
    </row>
    <row r="496" spans="1:67" ht="35.1" customHeight="1" x14ac:dyDescent="0.25">
      <c r="A496" s="3">
        <f t="shared" si="8"/>
        <v>484</v>
      </c>
      <c r="B496" s="1218" t="s">
        <v>162</v>
      </c>
      <c r="C496" s="1218"/>
      <c r="D496" s="1222"/>
      <c r="E496" s="1222"/>
      <c r="F496" s="1222"/>
      <c r="G496" s="1222"/>
      <c r="H496" s="1222"/>
      <c r="I496" s="1219"/>
      <c r="J496" s="1219"/>
      <c r="K496" s="1219"/>
      <c r="L496" s="1219"/>
      <c r="M496" s="1219"/>
      <c r="N496" s="1219"/>
      <c r="O496" s="1219"/>
      <c r="P496" s="1219"/>
      <c r="Q496" s="1220"/>
      <c r="R496" s="1220"/>
      <c r="S496" s="1220"/>
      <c r="T496" s="1220"/>
      <c r="U496" s="1220"/>
      <c r="V496" s="1220"/>
      <c r="W496" s="1220"/>
      <c r="X496" s="1220"/>
      <c r="Y496" s="1219"/>
      <c r="Z496" s="1219"/>
      <c r="AA496" s="1220"/>
      <c r="AB496" s="1220"/>
      <c r="AC496" s="1220"/>
      <c r="AD496" s="1220"/>
      <c r="AE496" s="1219"/>
      <c r="AF496" s="1219"/>
      <c r="AG496" s="1219"/>
      <c r="AH496" s="1220"/>
      <c r="AI496" s="1220"/>
      <c r="AJ496" s="1220"/>
      <c r="AK496" s="1219"/>
      <c r="AL496" s="1219"/>
      <c r="AM496" s="1219"/>
      <c r="AN496" s="1219"/>
      <c r="AO496" s="1220"/>
      <c r="AP496" s="1220"/>
      <c r="AQ496" s="1220"/>
      <c r="AR496" s="1220"/>
      <c r="AS496" s="1220"/>
      <c r="AT496" s="1220"/>
      <c r="AU496" s="1220"/>
      <c r="AV496" s="1220"/>
      <c r="AW496" s="1258"/>
      <c r="AX496" s="1258"/>
      <c r="AY496" s="1258"/>
      <c r="AZ496" s="1220"/>
      <c r="BA496" s="1220"/>
      <c r="BB496" s="1220"/>
      <c r="BC496" s="1220"/>
      <c r="BD496" s="1220"/>
      <c r="BE496" s="1220"/>
      <c r="BF496" s="1220"/>
      <c r="BG496" s="1220"/>
      <c r="BH496" s="1220"/>
      <c r="BI496" s="1220"/>
      <c r="BJ496" s="1220"/>
      <c r="BK496" s="1220"/>
      <c r="BL496" s="1220"/>
      <c r="BM496" s="1220"/>
      <c r="BN496" s="1220"/>
      <c r="BO496" s="1220"/>
    </row>
    <row r="497" spans="1:67" ht="35.1" customHeight="1" x14ac:dyDescent="0.25">
      <c r="A497" s="3">
        <f t="shared" si="8"/>
        <v>485</v>
      </c>
      <c r="B497" s="1218" t="s">
        <v>162</v>
      </c>
      <c r="C497" s="1218"/>
      <c r="D497" s="1221"/>
      <c r="E497" s="1221"/>
      <c r="F497" s="1221"/>
      <c r="G497" s="1221"/>
      <c r="H497" s="1221"/>
      <c r="I497" s="540"/>
      <c r="J497" s="540"/>
      <c r="K497" s="540"/>
      <c r="L497" s="540"/>
      <c r="M497" s="540"/>
      <c r="N497" s="540"/>
      <c r="O497" s="540"/>
      <c r="P497" s="540"/>
      <c r="Q497" s="540"/>
      <c r="R497" s="540"/>
      <c r="S497" s="540"/>
      <c r="T497" s="540"/>
      <c r="U497" s="540"/>
      <c r="V497" s="540"/>
      <c r="W497" s="540"/>
      <c r="X497" s="540"/>
      <c r="Y497" s="540"/>
      <c r="Z497" s="540"/>
      <c r="AA497" s="540"/>
      <c r="AB497" s="540"/>
      <c r="AC497" s="540"/>
      <c r="AD497" s="540"/>
      <c r="AE497" s="540"/>
      <c r="AF497" s="540"/>
      <c r="AG497" s="540"/>
      <c r="AH497" s="540"/>
      <c r="AI497" s="540"/>
      <c r="AJ497" s="540"/>
      <c r="AK497" s="540"/>
      <c r="AL497" s="540"/>
      <c r="AM497" s="540"/>
      <c r="AN497" s="540"/>
      <c r="AO497" s="540"/>
      <c r="AP497" s="540"/>
      <c r="AQ497" s="540"/>
      <c r="AR497" s="540"/>
      <c r="AS497" s="540"/>
      <c r="AT497" s="540"/>
      <c r="AU497" s="540"/>
      <c r="AV497" s="540"/>
      <c r="AW497" s="1259"/>
      <c r="AX497" s="1259"/>
      <c r="AY497" s="1259"/>
      <c r="AZ497" s="540"/>
      <c r="BA497" s="540"/>
      <c r="BB497" s="540"/>
      <c r="BC497" s="540"/>
      <c r="BD497" s="540"/>
      <c r="BE497" s="540"/>
      <c r="BF497" s="540"/>
      <c r="BG497" s="540"/>
      <c r="BH497" s="540"/>
      <c r="BI497" s="540"/>
      <c r="BJ497" s="540"/>
      <c r="BK497" s="540"/>
      <c r="BL497" s="540"/>
      <c r="BM497" s="540"/>
      <c r="BN497" s="540"/>
      <c r="BO497" s="540"/>
    </row>
    <row r="498" spans="1:67" ht="35.1" customHeight="1" x14ac:dyDescent="0.25">
      <c r="A498" s="3">
        <f t="shared" si="8"/>
        <v>486</v>
      </c>
      <c r="B498" s="1218" t="s">
        <v>162</v>
      </c>
      <c r="C498" s="1218"/>
      <c r="D498" s="1222"/>
      <c r="E498" s="1222"/>
      <c r="F498" s="1222"/>
      <c r="G498" s="1222"/>
      <c r="H498" s="1222"/>
      <c r="I498" s="1219"/>
      <c r="J498" s="1219"/>
      <c r="K498" s="1219"/>
      <c r="L498" s="1219"/>
      <c r="M498" s="1219"/>
      <c r="N498" s="1219"/>
      <c r="O498" s="1219"/>
      <c r="P498" s="1219"/>
      <c r="Q498" s="1220"/>
      <c r="R498" s="1220"/>
      <c r="S498" s="1220"/>
      <c r="T498" s="1220"/>
      <c r="U498" s="1220"/>
      <c r="V498" s="1220"/>
      <c r="W498" s="1220"/>
      <c r="X498" s="1220"/>
      <c r="Y498" s="1219"/>
      <c r="Z498" s="1219"/>
      <c r="AA498" s="1220"/>
      <c r="AB498" s="1220"/>
      <c r="AC498" s="1220"/>
      <c r="AD498" s="1220"/>
      <c r="AE498" s="1219"/>
      <c r="AF498" s="1219"/>
      <c r="AG498" s="1219"/>
      <c r="AH498" s="1220"/>
      <c r="AI498" s="1220"/>
      <c r="AJ498" s="1220"/>
      <c r="AK498" s="1219"/>
      <c r="AL498" s="1219"/>
      <c r="AM498" s="1219"/>
      <c r="AN498" s="1219"/>
      <c r="AO498" s="1220"/>
      <c r="AP498" s="1220"/>
      <c r="AQ498" s="1220"/>
      <c r="AR498" s="1220"/>
      <c r="AS498" s="1220"/>
      <c r="AT498" s="1220"/>
      <c r="AU498" s="1220"/>
      <c r="AV498" s="1220"/>
      <c r="AW498" s="1258"/>
      <c r="AX498" s="1258"/>
      <c r="AY498" s="1258"/>
      <c r="AZ498" s="1220"/>
      <c r="BA498" s="1220"/>
      <c r="BB498" s="1220"/>
      <c r="BC498" s="1220"/>
      <c r="BD498" s="1220"/>
      <c r="BE498" s="1220"/>
      <c r="BF498" s="1220"/>
      <c r="BG498" s="1220"/>
      <c r="BH498" s="1220"/>
      <c r="BI498" s="1220"/>
      <c r="BJ498" s="1220"/>
      <c r="BK498" s="1220"/>
      <c r="BL498" s="1220"/>
      <c r="BM498" s="1220"/>
      <c r="BN498" s="1220"/>
      <c r="BO498" s="1220"/>
    </row>
    <row r="499" spans="1:67" ht="35.1" customHeight="1" x14ac:dyDescent="0.25">
      <c r="A499" s="3">
        <f t="shared" si="8"/>
        <v>487</v>
      </c>
      <c r="B499" s="1218" t="s">
        <v>162</v>
      </c>
      <c r="C499" s="1218"/>
      <c r="D499" s="1221"/>
      <c r="E499" s="1221"/>
      <c r="F499" s="1221"/>
      <c r="G499" s="1221"/>
      <c r="H499" s="1221"/>
      <c r="I499" s="540"/>
      <c r="J499" s="540"/>
      <c r="K499" s="540"/>
      <c r="L499" s="540"/>
      <c r="M499" s="540"/>
      <c r="N499" s="540"/>
      <c r="O499" s="540"/>
      <c r="P499" s="540"/>
      <c r="Q499" s="540"/>
      <c r="R499" s="540"/>
      <c r="S499" s="540"/>
      <c r="T499" s="540"/>
      <c r="U499" s="540"/>
      <c r="V499" s="540"/>
      <c r="W499" s="540"/>
      <c r="X499" s="540"/>
      <c r="Y499" s="540"/>
      <c r="Z499" s="540"/>
      <c r="AA499" s="540"/>
      <c r="AB499" s="540"/>
      <c r="AC499" s="540"/>
      <c r="AD499" s="540"/>
      <c r="AE499" s="540"/>
      <c r="AF499" s="540"/>
      <c r="AG499" s="540"/>
      <c r="AH499" s="540"/>
      <c r="AI499" s="540"/>
      <c r="AJ499" s="540"/>
      <c r="AK499" s="540"/>
      <c r="AL499" s="540"/>
      <c r="AM499" s="540"/>
      <c r="AN499" s="540"/>
      <c r="AO499" s="540"/>
      <c r="AP499" s="540"/>
      <c r="AQ499" s="540"/>
      <c r="AR499" s="540"/>
      <c r="AS499" s="540"/>
      <c r="AT499" s="540"/>
      <c r="AU499" s="540"/>
      <c r="AV499" s="540"/>
      <c r="AW499" s="1259"/>
      <c r="AX499" s="1259"/>
      <c r="AY499" s="1259"/>
      <c r="AZ499" s="540"/>
      <c r="BA499" s="540"/>
      <c r="BB499" s="540"/>
      <c r="BC499" s="540"/>
      <c r="BD499" s="540"/>
      <c r="BE499" s="540"/>
      <c r="BF499" s="540"/>
      <c r="BG499" s="540"/>
      <c r="BH499" s="540"/>
      <c r="BI499" s="540"/>
      <c r="BJ499" s="540"/>
      <c r="BK499" s="540"/>
      <c r="BL499" s="540"/>
      <c r="BM499" s="540"/>
      <c r="BN499" s="540"/>
      <c r="BO499" s="540"/>
    </row>
    <row r="500" spans="1:67" ht="35.1" customHeight="1" x14ac:dyDescent="0.25">
      <c r="A500" s="3">
        <f t="shared" si="8"/>
        <v>488</v>
      </c>
      <c r="B500" s="1235" t="s">
        <v>162</v>
      </c>
      <c r="C500" s="1235"/>
      <c r="D500" s="1222"/>
      <c r="E500" s="1222"/>
      <c r="F500" s="1222"/>
      <c r="G500" s="1222"/>
      <c r="H500" s="1222"/>
      <c r="I500" s="1219"/>
      <c r="J500" s="1219"/>
      <c r="K500" s="1219"/>
      <c r="L500" s="1219"/>
      <c r="M500" s="1219"/>
      <c r="N500" s="1219"/>
      <c r="O500" s="1219"/>
      <c r="P500" s="1219"/>
      <c r="Q500" s="1220"/>
      <c r="R500" s="1220"/>
      <c r="S500" s="1220"/>
      <c r="T500" s="1220"/>
      <c r="U500" s="1220"/>
      <c r="V500" s="1220"/>
      <c r="W500" s="1220"/>
      <c r="X500" s="1220"/>
      <c r="Y500" s="1219"/>
      <c r="Z500" s="1219"/>
      <c r="AA500" s="1220"/>
      <c r="AB500" s="1220"/>
      <c r="AC500" s="1220"/>
      <c r="AD500" s="1220"/>
      <c r="AE500" s="1219"/>
      <c r="AF500" s="1219"/>
      <c r="AG500" s="1219"/>
      <c r="AH500" s="1220"/>
      <c r="AI500" s="1220"/>
      <c r="AJ500" s="1220"/>
      <c r="AK500" s="1219"/>
      <c r="AL500" s="1219"/>
      <c r="AM500" s="1219"/>
      <c r="AN500" s="1219"/>
      <c r="AO500" s="1220"/>
      <c r="AP500" s="1220"/>
      <c r="AQ500" s="1220"/>
      <c r="AR500" s="1220"/>
      <c r="AS500" s="1220"/>
      <c r="AT500" s="1220"/>
      <c r="AU500" s="1220"/>
      <c r="AV500" s="1220"/>
      <c r="AW500" s="1258"/>
      <c r="AX500" s="1258"/>
      <c r="AY500" s="1258"/>
      <c r="AZ500" s="1220"/>
      <c r="BA500" s="1220"/>
      <c r="BB500" s="1220"/>
      <c r="BC500" s="1220"/>
      <c r="BD500" s="1220"/>
      <c r="BE500" s="1220"/>
      <c r="BF500" s="1220"/>
      <c r="BG500" s="1220"/>
      <c r="BH500" s="1220"/>
      <c r="BI500" s="1220"/>
      <c r="BJ500" s="1220"/>
      <c r="BK500" s="1220"/>
      <c r="BL500" s="1220"/>
      <c r="BM500" s="1220"/>
      <c r="BN500" s="1220"/>
      <c r="BO500" s="1220"/>
    </row>
    <row r="501" spans="1:67" ht="35.1" customHeight="1" x14ac:dyDescent="0.25">
      <c r="A501" s="3">
        <f t="shared" si="8"/>
        <v>489</v>
      </c>
      <c r="B501" s="1218" t="s">
        <v>162</v>
      </c>
      <c r="C501" s="1218"/>
      <c r="D501" s="1221"/>
      <c r="E501" s="1221"/>
      <c r="F501" s="1221"/>
      <c r="G501" s="1221"/>
      <c r="H501" s="1221"/>
      <c r="I501" s="540"/>
      <c r="J501" s="540"/>
      <c r="K501" s="540"/>
      <c r="L501" s="540"/>
      <c r="M501" s="540"/>
      <c r="N501" s="540"/>
      <c r="O501" s="540"/>
      <c r="P501" s="540"/>
      <c r="Q501" s="540"/>
      <c r="R501" s="540"/>
      <c r="S501" s="540"/>
      <c r="T501" s="540"/>
      <c r="U501" s="540"/>
      <c r="V501" s="540"/>
      <c r="W501" s="540"/>
      <c r="X501" s="540"/>
      <c r="Y501" s="540"/>
      <c r="Z501" s="540"/>
      <c r="AA501" s="540"/>
      <c r="AB501" s="540"/>
      <c r="AC501" s="540"/>
      <c r="AD501" s="540"/>
      <c r="AE501" s="540"/>
      <c r="AF501" s="540"/>
      <c r="AG501" s="540"/>
      <c r="AH501" s="540"/>
      <c r="AI501" s="540"/>
      <c r="AJ501" s="540"/>
      <c r="AK501" s="540"/>
      <c r="AL501" s="540"/>
      <c r="AM501" s="540"/>
      <c r="AN501" s="540"/>
      <c r="AO501" s="540"/>
      <c r="AP501" s="540"/>
      <c r="AQ501" s="540"/>
      <c r="AR501" s="540"/>
      <c r="AS501" s="540"/>
      <c r="AT501" s="540"/>
      <c r="AU501" s="540"/>
      <c r="AV501" s="540"/>
      <c r="AW501" s="1259"/>
      <c r="AX501" s="1259"/>
      <c r="AY501" s="1259"/>
      <c r="AZ501" s="540"/>
      <c r="BA501" s="540"/>
      <c r="BB501" s="540"/>
      <c r="BC501" s="540"/>
      <c r="BD501" s="540"/>
      <c r="BE501" s="540"/>
      <c r="BF501" s="540"/>
      <c r="BG501" s="540"/>
      <c r="BH501" s="540"/>
      <c r="BI501" s="540"/>
      <c r="BJ501" s="540"/>
      <c r="BK501" s="540"/>
      <c r="BL501" s="540"/>
      <c r="BM501" s="540"/>
      <c r="BN501" s="540"/>
      <c r="BO501" s="540"/>
    </row>
    <row r="502" spans="1:67" ht="35.1" customHeight="1" x14ac:dyDescent="0.25">
      <c r="A502" s="3">
        <f t="shared" si="8"/>
        <v>490</v>
      </c>
      <c r="B502" s="1218" t="s">
        <v>162</v>
      </c>
      <c r="C502" s="1218"/>
      <c r="D502" s="1222"/>
      <c r="E502" s="1222"/>
      <c r="F502" s="1222"/>
      <c r="G502" s="1222"/>
      <c r="H502" s="1222"/>
      <c r="I502" s="1219"/>
      <c r="J502" s="1219"/>
      <c r="K502" s="1219"/>
      <c r="L502" s="1219"/>
      <c r="M502" s="1219"/>
      <c r="N502" s="1219"/>
      <c r="O502" s="1219"/>
      <c r="P502" s="1219"/>
      <c r="Q502" s="1220"/>
      <c r="R502" s="1220"/>
      <c r="S502" s="1220"/>
      <c r="T502" s="1220"/>
      <c r="U502" s="1220"/>
      <c r="V502" s="1220"/>
      <c r="W502" s="1220"/>
      <c r="X502" s="1220"/>
      <c r="Y502" s="1219"/>
      <c r="Z502" s="1219"/>
      <c r="AA502" s="1220"/>
      <c r="AB502" s="1220"/>
      <c r="AC502" s="1220"/>
      <c r="AD502" s="1220"/>
      <c r="AE502" s="1219"/>
      <c r="AF502" s="1219"/>
      <c r="AG502" s="1219"/>
      <c r="AH502" s="1220"/>
      <c r="AI502" s="1220"/>
      <c r="AJ502" s="1220"/>
      <c r="AK502" s="1219"/>
      <c r="AL502" s="1219"/>
      <c r="AM502" s="1219"/>
      <c r="AN502" s="1219"/>
      <c r="AO502" s="1220"/>
      <c r="AP502" s="1220"/>
      <c r="AQ502" s="1220"/>
      <c r="AR502" s="1220"/>
      <c r="AS502" s="1220"/>
      <c r="AT502" s="1220"/>
      <c r="AU502" s="1220"/>
      <c r="AV502" s="1220"/>
      <c r="AW502" s="1258"/>
      <c r="AX502" s="1258"/>
      <c r="AY502" s="1258"/>
      <c r="AZ502" s="1220"/>
      <c r="BA502" s="1220"/>
      <c r="BB502" s="1220"/>
      <c r="BC502" s="1220"/>
      <c r="BD502" s="1220"/>
      <c r="BE502" s="1220"/>
      <c r="BF502" s="1220"/>
      <c r="BG502" s="1220"/>
      <c r="BH502" s="1220"/>
      <c r="BI502" s="1220"/>
      <c r="BJ502" s="1220"/>
      <c r="BK502" s="1220"/>
      <c r="BL502" s="1220"/>
      <c r="BM502" s="1220"/>
      <c r="BN502" s="1220"/>
      <c r="BO502" s="1220"/>
    </row>
    <row r="503" spans="1:67" ht="35.1" customHeight="1" x14ac:dyDescent="0.25">
      <c r="A503" s="3">
        <f t="shared" si="8"/>
        <v>491</v>
      </c>
      <c r="B503" s="1218" t="s">
        <v>162</v>
      </c>
      <c r="C503" s="1218"/>
      <c r="D503" s="1221"/>
      <c r="E503" s="1221"/>
      <c r="F503" s="1221"/>
      <c r="G503" s="1221"/>
      <c r="H503" s="1221"/>
      <c r="I503" s="540"/>
      <c r="J503" s="540"/>
      <c r="K503" s="540"/>
      <c r="L503" s="540"/>
      <c r="M503" s="540"/>
      <c r="N503" s="540"/>
      <c r="O503" s="540"/>
      <c r="P503" s="540"/>
      <c r="Q503" s="540"/>
      <c r="R503" s="540"/>
      <c r="S503" s="540"/>
      <c r="T503" s="540"/>
      <c r="U503" s="540"/>
      <c r="V503" s="540"/>
      <c r="W503" s="540"/>
      <c r="X503" s="540"/>
      <c r="Y503" s="540"/>
      <c r="Z503" s="540"/>
      <c r="AA503" s="540"/>
      <c r="AB503" s="540"/>
      <c r="AC503" s="540"/>
      <c r="AD503" s="540"/>
      <c r="AE503" s="540"/>
      <c r="AF503" s="540"/>
      <c r="AG503" s="540"/>
      <c r="AH503" s="540"/>
      <c r="AI503" s="540"/>
      <c r="AJ503" s="540"/>
      <c r="AK503" s="540"/>
      <c r="AL503" s="540"/>
      <c r="AM503" s="540"/>
      <c r="AN503" s="540"/>
      <c r="AO503" s="540"/>
      <c r="AP503" s="540"/>
      <c r="AQ503" s="540"/>
      <c r="AR503" s="540"/>
      <c r="AS503" s="540"/>
      <c r="AT503" s="540"/>
      <c r="AU503" s="540"/>
      <c r="AV503" s="540"/>
      <c r="AW503" s="1259"/>
      <c r="AX503" s="1259"/>
      <c r="AY503" s="1259"/>
      <c r="AZ503" s="540"/>
      <c r="BA503" s="540"/>
      <c r="BB503" s="540"/>
      <c r="BC503" s="540"/>
      <c r="BD503" s="540"/>
      <c r="BE503" s="540"/>
      <c r="BF503" s="540"/>
      <c r="BG503" s="540"/>
      <c r="BH503" s="540"/>
      <c r="BI503" s="540"/>
      <c r="BJ503" s="540"/>
      <c r="BK503" s="540"/>
      <c r="BL503" s="540"/>
      <c r="BM503" s="540"/>
      <c r="BN503" s="540"/>
      <c r="BO503" s="540"/>
    </row>
    <row r="504" spans="1:67" ht="35.1" customHeight="1" x14ac:dyDescent="0.25">
      <c r="A504" s="3">
        <f t="shared" si="8"/>
        <v>492</v>
      </c>
      <c r="B504" s="1218" t="s">
        <v>162</v>
      </c>
      <c r="C504" s="1218"/>
      <c r="D504" s="1222"/>
      <c r="E504" s="1222"/>
      <c r="F504" s="1222"/>
      <c r="G504" s="1222"/>
      <c r="H504" s="1222"/>
      <c r="I504" s="1219"/>
      <c r="J504" s="1219"/>
      <c r="K504" s="1219"/>
      <c r="L504" s="1219"/>
      <c r="M504" s="1219"/>
      <c r="N504" s="1219"/>
      <c r="O504" s="1219"/>
      <c r="P504" s="1219"/>
      <c r="Q504" s="1220"/>
      <c r="R504" s="1220"/>
      <c r="S504" s="1220"/>
      <c r="T504" s="1220"/>
      <c r="U504" s="1220"/>
      <c r="V504" s="1220"/>
      <c r="W504" s="1220"/>
      <c r="X504" s="1220"/>
      <c r="Y504" s="1219"/>
      <c r="Z504" s="1219"/>
      <c r="AA504" s="1220"/>
      <c r="AB504" s="1220"/>
      <c r="AC504" s="1220"/>
      <c r="AD504" s="1220"/>
      <c r="AE504" s="1219"/>
      <c r="AF504" s="1219"/>
      <c r="AG504" s="1219"/>
      <c r="AH504" s="1220"/>
      <c r="AI504" s="1220"/>
      <c r="AJ504" s="1220"/>
      <c r="AK504" s="1219"/>
      <c r="AL504" s="1219"/>
      <c r="AM504" s="1219"/>
      <c r="AN504" s="1219"/>
      <c r="AO504" s="1220"/>
      <c r="AP504" s="1220"/>
      <c r="AQ504" s="1220"/>
      <c r="AR504" s="1220"/>
      <c r="AS504" s="1220"/>
      <c r="AT504" s="1220"/>
      <c r="AU504" s="1220"/>
      <c r="AV504" s="1220"/>
      <c r="AW504" s="1258"/>
      <c r="AX504" s="1258"/>
      <c r="AY504" s="1258"/>
      <c r="AZ504" s="1220"/>
      <c r="BA504" s="1220"/>
      <c r="BB504" s="1220"/>
      <c r="BC504" s="1220"/>
      <c r="BD504" s="1220"/>
      <c r="BE504" s="1220"/>
      <c r="BF504" s="1220"/>
      <c r="BG504" s="1220"/>
      <c r="BH504" s="1220"/>
      <c r="BI504" s="1220"/>
      <c r="BJ504" s="1220"/>
      <c r="BK504" s="1220"/>
      <c r="BL504" s="1220"/>
      <c r="BM504" s="1220"/>
      <c r="BN504" s="1220"/>
      <c r="BO504" s="1220"/>
    </row>
    <row r="505" spans="1:67" ht="35.1" customHeight="1" x14ac:dyDescent="0.25">
      <c r="A505" s="3">
        <f t="shared" si="8"/>
        <v>493</v>
      </c>
      <c r="B505" s="1218" t="s">
        <v>162</v>
      </c>
      <c r="C505" s="1218"/>
      <c r="D505" s="1221"/>
      <c r="E505" s="1221"/>
      <c r="F505" s="1221"/>
      <c r="G505" s="1221"/>
      <c r="H505" s="1221"/>
      <c r="I505" s="540"/>
      <c r="J505" s="540"/>
      <c r="K505" s="540"/>
      <c r="L505" s="540"/>
      <c r="M505" s="540"/>
      <c r="N505" s="540"/>
      <c r="O505" s="540"/>
      <c r="P505" s="540"/>
      <c r="Q505" s="540"/>
      <c r="R505" s="540"/>
      <c r="S505" s="540"/>
      <c r="T505" s="540"/>
      <c r="U505" s="540"/>
      <c r="V505" s="540"/>
      <c r="W505" s="540"/>
      <c r="X505" s="540"/>
      <c r="Y505" s="540"/>
      <c r="Z505" s="540"/>
      <c r="AA505" s="540"/>
      <c r="AB505" s="540"/>
      <c r="AC505" s="540"/>
      <c r="AD505" s="540"/>
      <c r="AE505" s="540"/>
      <c r="AF505" s="540"/>
      <c r="AG505" s="540"/>
      <c r="AH505" s="540"/>
      <c r="AI505" s="540"/>
      <c r="AJ505" s="540"/>
      <c r="AK505" s="540"/>
      <c r="AL505" s="540"/>
      <c r="AM505" s="540"/>
      <c r="AN505" s="540"/>
      <c r="AO505" s="540"/>
      <c r="AP505" s="540"/>
      <c r="AQ505" s="540"/>
      <c r="AR505" s="540"/>
      <c r="AS505" s="540"/>
      <c r="AT505" s="540"/>
      <c r="AU505" s="540"/>
      <c r="AV505" s="540"/>
      <c r="AW505" s="1259"/>
      <c r="AX505" s="1259"/>
      <c r="AY505" s="1259"/>
      <c r="AZ505" s="540"/>
      <c r="BA505" s="540"/>
      <c r="BB505" s="540"/>
      <c r="BC505" s="540"/>
      <c r="BD505" s="540"/>
      <c r="BE505" s="540"/>
      <c r="BF505" s="540"/>
      <c r="BG505" s="540"/>
      <c r="BH505" s="540"/>
      <c r="BI505" s="540"/>
      <c r="BJ505" s="540"/>
      <c r="BK505" s="540"/>
      <c r="BL505" s="540"/>
      <c r="BM505" s="540"/>
      <c r="BN505" s="540"/>
      <c r="BO505" s="540"/>
    </row>
    <row r="506" spans="1:67" ht="35.1" customHeight="1" x14ac:dyDescent="0.25">
      <c r="A506" s="3">
        <f t="shared" si="8"/>
        <v>494</v>
      </c>
      <c r="B506" s="1218" t="s">
        <v>162</v>
      </c>
      <c r="C506" s="1218"/>
      <c r="D506" s="1222"/>
      <c r="E506" s="1222"/>
      <c r="F506" s="1222"/>
      <c r="G506" s="1222"/>
      <c r="H506" s="1222"/>
      <c r="I506" s="1219"/>
      <c r="J506" s="1219"/>
      <c r="K506" s="1219"/>
      <c r="L506" s="1219"/>
      <c r="M506" s="1219"/>
      <c r="N506" s="1219"/>
      <c r="O506" s="1219"/>
      <c r="P506" s="1219"/>
      <c r="Q506" s="1220"/>
      <c r="R506" s="1220"/>
      <c r="S506" s="1220"/>
      <c r="T506" s="1220"/>
      <c r="U506" s="1220"/>
      <c r="V506" s="1220"/>
      <c r="W506" s="1220"/>
      <c r="X506" s="1220"/>
      <c r="Y506" s="1219"/>
      <c r="Z506" s="1219"/>
      <c r="AA506" s="1220"/>
      <c r="AB506" s="1220"/>
      <c r="AC506" s="1220"/>
      <c r="AD506" s="1220"/>
      <c r="AE506" s="1219"/>
      <c r="AF506" s="1219"/>
      <c r="AG506" s="1219"/>
      <c r="AH506" s="1220"/>
      <c r="AI506" s="1220"/>
      <c r="AJ506" s="1220"/>
      <c r="AK506" s="1219"/>
      <c r="AL506" s="1219"/>
      <c r="AM506" s="1219"/>
      <c r="AN506" s="1219"/>
      <c r="AO506" s="1220"/>
      <c r="AP506" s="1220"/>
      <c r="AQ506" s="1220"/>
      <c r="AR506" s="1220"/>
      <c r="AS506" s="1220"/>
      <c r="AT506" s="1220"/>
      <c r="AU506" s="1220"/>
      <c r="AV506" s="1220"/>
      <c r="AW506" s="1258"/>
      <c r="AX506" s="1258"/>
      <c r="AY506" s="1258"/>
      <c r="AZ506" s="1220"/>
      <c r="BA506" s="1220"/>
      <c r="BB506" s="1220"/>
      <c r="BC506" s="1220"/>
      <c r="BD506" s="1220"/>
      <c r="BE506" s="1220"/>
      <c r="BF506" s="1220"/>
      <c r="BG506" s="1220"/>
      <c r="BH506" s="1220"/>
      <c r="BI506" s="1220"/>
      <c r="BJ506" s="1220"/>
      <c r="BK506" s="1220"/>
      <c r="BL506" s="1220"/>
      <c r="BM506" s="1220"/>
      <c r="BN506" s="1220"/>
      <c r="BO506" s="1220"/>
    </row>
    <row r="507" spans="1:67" ht="35.1" customHeight="1" x14ac:dyDescent="0.25">
      <c r="A507" s="3">
        <f t="shared" si="8"/>
        <v>495</v>
      </c>
      <c r="B507" s="1218" t="s">
        <v>162</v>
      </c>
      <c r="C507" s="1218"/>
      <c r="D507" s="1221"/>
      <c r="E507" s="1221"/>
      <c r="F507" s="1221"/>
      <c r="G507" s="1221"/>
      <c r="H507" s="1221"/>
      <c r="I507" s="540"/>
      <c r="J507" s="540"/>
      <c r="K507" s="540"/>
      <c r="L507" s="540"/>
      <c r="M507" s="540"/>
      <c r="N507" s="540"/>
      <c r="O507" s="540"/>
      <c r="P507" s="540"/>
      <c r="Q507" s="540"/>
      <c r="R507" s="540"/>
      <c r="S507" s="540"/>
      <c r="T507" s="540"/>
      <c r="U507" s="540"/>
      <c r="V507" s="540"/>
      <c r="W507" s="540"/>
      <c r="X507" s="540"/>
      <c r="Y507" s="540"/>
      <c r="Z507" s="540"/>
      <c r="AA507" s="540"/>
      <c r="AB507" s="540"/>
      <c r="AC507" s="540"/>
      <c r="AD507" s="540"/>
      <c r="AE507" s="540"/>
      <c r="AF507" s="540"/>
      <c r="AG507" s="540"/>
      <c r="AH507" s="540"/>
      <c r="AI507" s="540"/>
      <c r="AJ507" s="540"/>
      <c r="AK507" s="540"/>
      <c r="AL507" s="540"/>
      <c r="AM507" s="540"/>
      <c r="AN507" s="540"/>
      <c r="AO507" s="540"/>
      <c r="AP507" s="540"/>
      <c r="AQ507" s="540"/>
      <c r="AR507" s="540"/>
      <c r="AS507" s="540"/>
      <c r="AT507" s="540"/>
      <c r="AU507" s="540"/>
      <c r="AV507" s="540"/>
      <c r="AW507" s="1259"/>
      <c r="AX507" s="1259"/>
      <c r="AY507" s="1259"/>
      <c r="AZ507" s="540"/>
      <c r="BA507" s="540"/>
      <c r="BB507" s="540"/>
      <c r="BC507" s="540"/>
      <c r="BD507" s="540"/>
      <c r="BE507" s="540"/>
      <c r="BF507" s="540"/>
      <c r="BG507" s="540"/>
      <c r="BH507" s="540"/>
      <c r="BI507" s="540"/>
      <c r="BJ507" s="540"/>
      <c r="BK507" s="540"/>
      <c r="BL507" s="540"/>
      <c r="BM507" s="540"/>
      <c r="BN507" s="540"/>
      <c r="BO507" s="540"/>
    </row>
    <row r="508" spans="1:67" ht="35.1" customHeight="1" x14ac:dyDescent="0.25">
      <c r="A508" s="3">
        <f t="shared" si="8"/>
        <v>496</v>
      </c>
      <c r="B508" s="1218" t="s">
        <v>162</v>
      </c>
      <c r="C508" s="1218"/>
      <c r="D508" s="1222"/>
      <c r="E508" s="1222"/>
      <c r="F508" s="1222"/>
      <c r="G508" s="1222"/>
      <c r="H508" s="1222"/>
      <c r="I508" s="1219"/>
      <c r="J508" s="1219"/>
      <c r="K508" s="1219"/>
      <c r="L508" s="1219"/>
      <c r="M508" s="1219"/>
      <c r="N508" s="1219"/>
      <c r="O508" s="1219"/>
      <c r="P508" s="1219"/>
      <c r="Q508" s="1220"/>
      <c r="R508" s="1220"/>
      <c r="S508" s="1220"/>
      <c r="T508" s="1220"/>
      <c r="U508" s="1220"/>
      <c r="V508" s="1220"/>
      <c r="W508" s="1220"/>
      <c r="X508" s="1220"/>
      <c r="Y508" s="1219"/>
      <c r="Z508" s="1219"/>
      <c r="AA508" s="1220"/>
      <c r="AB508" s="1220"/>
      <c r="AC508" s="1220"/>
      <c r="AD508" s="1220"/>
      <c r="AE508" s="1219"/>
      <c r="AF508" s="1219"/>
      <c r="AG508" s="1219"/>
      <c r="AH508" s="1220"/>
      <c r="AI508" s="1220"/>
      <c r="AJ508" s="1220"/>
      <c r="AK508" s="1219"/>
      <c r="AL508" s="1219"/>
      <c r="AM508" s="1219"/>
      <c r="AN508" s="1219"/>
      <c r="AO508" s="1220"/>
      <c r="AP508" s="1220"/>
      <c r="AQ508" s="1220"/>
      <c r="AR508" s="1220"/>
      <c r="AS508" s="1220"/>
      <c r="AT508" s="1220"/>
      <c r="AU508" s="1220"/>
      <c r="AV508" s="1220"/>
      <c r="AW508" s="1258"/>
      <c r="AX508" s="1258"/>
      <c r="AY508" s="1258"/>
      <c r="AZ508" s="1220"/>
      <c r="BA508" s="1220"/>
      <c r="BB508" s="1220"/>
      <c r="BC508" s="1220"/>
      <c r="BD508" s="1220"/>
      <c r="BE508" s="1220"/>
      <c r="BF508" s="1220"/>
      <c r="BG508" s="1220"/>
      <c r="BH508" s="1220"/>
      <c r="BI508" s="1220"/>
      <c r="BJ508" s="1220"/>
      <c r="BK508" s="1220"/>
      <c r="BL508" s="1220"/>
      <c r="BM508" s="1220"/>
      <c r="BN508" s="1220"/>
      <c r="BO508" s="1220"/>
    </row>
    <row r="509" spans="1:67" ht="35.1" customHeight="1" x14ac:dyDescent="0.25">
      <c r="A509" s="3">
        <f t="shared" si="8"/>
        <v>497</v>
      </c>
      <c r="B509" s="1218" t="s">
        <v>162</v>
      </c>
      <c r="C509" s="1218"/>
      <c r="D509" s="1221"/>
      <c r="E509" s="1221"/>
      <c r="F509" s="1221"/>
      <c r="G509" s="1221"/>
      <c r="H509" s="1221"/>
      <c r="I509" s="540"/>
      <c r="J509" s="540"/>
      <c r="K509" s="540"/>
      <c r="L509" s="540"/>
      <c r="M509" s="540"/>
      <c r="N509" s="540"/>
      <c r="O509" s="540"/>
      <c r="P509" s="540"/>
      <c r="Q509" s="540"/>
      <c r="R509" s="540"/>
      <c r="S509" s="540"/>
      <c r="T509" s="540"/>
      <c r="U509" s="540"/>
      <c r="V509" s="540"/>
      <c r="W509" s="540"/>
      <c r="X509" s="540"/>
      <c r="Y509" s="540"/>
      <c r="Z509" s="540"/>
      <c r="AA509" s="540"/>
      <c r="AB509" s="540"/>
      <c r="AC509" s="540"/>
      <c r="AD509" s="540"/>
      <c r="AE509" s="540"/>
      <c r="AF509" s="540"/>
      <c r="AG509" s="540"/>
      <c r="AH509" s="540"/>
      <c r="AI509" s="540"/>
      <c r="AJ509" s="540"/>
      <c r="AK509" s="540"/>
      <c r="AL509" s="540"/>
      <c r="AM509" s="540"/>
      <c r="AN509" s="540"/>
      <c r="AO509" s="540"/>
      <c r="AP509" s="540"/>
      <c r="AQ509" s="540"/>
      <c r="AR509" s="540"/>
      <c r="AS509" s="540"/>
      <c r="AT509" s="540"/>
      <c r="AU509" s="540"/>
      <c r="AV509" s="540"/>
      <c r="AW509" s="1259"/>
      <c r="AX509" s="1259"/>
      <c r="AY509" s="1259"/>
      <c r="AZ509" s="540"/>
      <c r="BA509" s="540"/>
      <c r="BB509" s="540"/>
      <c r="BC509" s="540"/>
      <c r="BD509" s="540"/>
      <c r="BE509" s="540"/>
      <c r="BF509" s="540"/>
      <c r="BG509" s="540"/>
      <c r="BH509" s="540"/>
      <c r="BI509" s="540"/>
      <c r="BJ509" s="540"/>
      <c r="BK509" s="540"/>
      <c r="BL509" s="540"/>
      <c r="BM509" s="540"/>
      <c r="BN509" s="540"/>
      <c r="BO509" s="540"/>
    </row>
    <row r="510" spans="1:67" ht="35.1" customHeight="1" x14ac:dyDescent="0.25">
      <c r="A510" s="3">
        <f t="shared" si="8"/>
        <v>498</v>
      </c>
      <c r="B510" s="1218" t="s">
        <v>162</v>
      </c>
      <c r="C510" s="1218"/>
      <c r="D510" s="1222"/>
      <c r="E510" s="1222"/>
      <c r="F510" s="1222"/>
      <c r="G510" s="1222"/>
      <c r="H510" s="1222"/>
      <c r="I510" s="1219"/>
      <c r="J510" s="1219"/>
      <c r="K510" s="1219"/>
      <c r="L510" s="1219"/>
      <c r="M510" s="1219"/>
      <c r="N510" s="1219"/>
      <c r="O510" s="1219"/>
      <c r="P510" s="1219"/>
      <c r="Q510" s="1220"/>
      <c r="R510" s="1220"/>
      <c r="S510" s="1220"/>
      <c r="T510" s="1220"/>
      <c r="U510" s="1220"/>
      <c r="V510" s="1220"/>
      <c r="W510" s="1220"/>
      <c r="X510" s="1220"/>
      <c r="Y510" s="1219"/>
      <c r="Z510" s="1219"/>
      <c r="AA510" s="1220"/>
      <c r="AB510" s="1220"/>
      <c r="AC510" s="1220"/>
      <c r="AD510" s="1220"/>
      <c r="AE510" s="1219"/>
      <c r="AF510" s="1219"/>
      <c r="AG510" s="1219"/>
      <c r="AH510" s="1220"/>
      <c r="AI510" s="1220"/>
      <c r="AJ510" s="1220"/>
      <c r="AK510" s="1219"/>
      <c r="AL510" s="1219"/>
      <c r="AM510" s="1219"/>
      <c r="AN510" s="1219"/>
      <c r="AO510" s="1220"/>
      <c r="AP510" s="1220"/>
      <c r="AQ510" s="1220"/>
      <c r="AR510" s="1220"/>
      <c r="AS510" s="1220"/>
      <c r="AT510" s="1220"/>
      <c r="AU510" s="1220"/>
      <c r="AV510" s="1220"/>
      <c r="AW510" s="1258"/>
      <c r="AX510" s="1258"/>
      <c r="AY510" s="1258"/>
      <c r="AZ510" s="1220"/>
      <c r="BA510" s="1220"/>
      <c r="BB510" s="1220"/>
      <c r="BC510" s="1220"/>
      <c r="BD510" s="1220"/>
      <c r="BE510" s="1220"/>
      <c r="BF510" s="1220"/>
      <c r="BG510" s="1220"/>
      <c r="BH510" s="1220"/>
      <c r="BI510" s="1220"/>
      <c r="BJ510" s="1220"/>
      <c r="BK510" s="1220"/>
      <c r="BL510" s="1220"/>
      <c r="BM510" s="1220"/>
      <c r="BN510" s="1220"/>
      <c r="BO510" s="1220"/>
    </row>
    <row r="511" spans="1:67" ht="35.1" customHeight="1" x14ac:dyDescent="0.25">
      <c r="A511" s="3">
        <f t="shared" si="8"/>
        <v>499</v>
      </c>
      <c r="B511" s="1218" t="s">
        <v>162</v>
      </c>
      <c r="C511" s="1218"/>
      <c r="D511" s="1221"/>
      <c r="E511" s="1221"/>
      <c r="F511" s="1221"/>
      <c r="G511" s="1221"/>
      <c r="H511" s="1221"/>
      <c r="I511" s="540"/>
      <c r="J511" s="540"/>
      <c r="K511" s="540"/>
      <c r="L511" s="540"/>
      <c r="M511" s="540"/>
      <c r="N511" s="540"/>
      <c r="O511" s="540"/>
      <c r="P511" s="540"/>
      <c r="Q511" s="540"/>
      <c r="R511" s="540"/>
      <c r="S511" s="540"/>
      <c r="T511" s="540"/>
      <c r="U511" s="540"/>
      <c r="V511" s="540"/>
      <c r="W511" s="540"/>
      <c r="X511" s="540"/>
      <c r="Y511" s="540"/>
      <c r="Z511" s="540"/>
      <c r="AA511" s="540"/>
      <c r="AB511" s="540"/>
      <c r="AC511" s="540"/>
      <c r="AD511" s="540"/>
      <c r="AE511" s="540"/>
      <c r="AF511" s="540"/>
      <c r="AG511" s="540"/>
      <c r="AH511" s="540"/>
      <c r="AI511" s="540"/>
      <c r="AJ511" s="540"/>
      <c r="AK511" s="540"/>
      <c r="AL511" s="540"/>
      <c r="AM511" s="540"/>
      <c r="AN511" s="540"/>
      <c r="AO511" s="540"/>
      <c r="AP511" s="540"/>
      <c r="AQ511" s="540"/>
      <c r="AR511" s="540"/>
      <c r="AS511" s="540"/>
      <c r="AT511" s="540"/>
      <c r="AU511" s="540"/>
      <c r="AV511" s="540"/>
      <c r="AW511" s="1259"/>
      <c r="AX511" s="1259"/>
      <c r="AY511" s="1259"/>
      <c r="AZ511" s="540"/>
      <c r="BA511" s="540"/>
      <c r="BB511" s="540"/>
      <c r="BC511" s="540"/>
      <c r="BD511" s="540"/>
      <c r="BE511" s="540"/>
      <c r="BF511" s="540"/>
      <c r="BG511" s="540"/>
      <c r="BH511" s="540"/>
      <c r="BI511" s="540"/>
      <c r="BJ511" s="540"/>
      <c r="BK511" s="540"/>
      <c r="BL511" s="540"/>
      <c r="BM511" s="540"/>
      <c r="BN511" s="540"/>
      <c r="BO511" s="540"/>
    </row>
    <row r="512" spans="1:67" ht="35.1" customHeight="1" x14ac:dyDescent="0.25">
      <c r="A512" s="3">
        <f t="shared" si="8"/>
        <v>500</v>
      </c>
      <c r="B512" s="1218" t="s">
        <v>162</v>
      </c>
      <c r="C512" s="1218"/>
      <c r="D512" s="1222"/>
      <c r="E512" s="1222"/>
      <c r="F512" s="1222"/>
      <c r="G512" s="1222"/>
      <c r="H512" s="1222"/>
      <c r="I512" s="1219"/>
      <c r="J512" s="1219"/>
      <c r="K512" s="1219"/>
      <c r="L512" s="1219"/>
      <c r="M512" s="1219"/>
      <c r="N512" s="1219"/>
      <c r="O512" s="1219"/>
      <c r="P512" s="1219"/>
      <c r="Q512" s="1220"/>
      <c r="R512" s="1220"/>
      <c r="S512" s="1220"/>
      <c r="T512" s="1220"/>
      <c r="U512" s="1220"/>
      <c r="V512" s="1220"/>
      <c r="W512" s="1220"/>
      <c r="X512" s="1220"/>
      <c r="Y512" s="1219"/>
      <c r="Z512" s="1219"/>
      <c r="AA512" s="1220"/>
      <c r="AB512" s="1220"/>
      <c r="AC512" s="1220"/>
      <c r="AD512" s="1220"/>
      <c r="AE512" s="1219"/>
      <c r="AF512" s="1219"/>
      <c r="AG512" s="1219"/>
      <c r="AH512" s="1220"/>
      <c r="AI512" s="1220"/>
      <c r="AJ512" s="1220"/>
      <c r="AK512" s="1219"/>
      <c r="AL512" s="1219"/>
      <c r="AM512" s="1219"/>
      <c r="AN512" s="1219"/>
      <c r="AO512" s="1220"/>
      <c r="AP512" s="1220"/>
      <c r="AQ512" s="1220"/>
      <c r="AR512" s="1220"/>
      <c r="AS512" s="1220"/>
      <c r="AT512" s="1220"/>
      <c r="AU512" s="1220"/>
      <c r="AV512" s="1220"/>
      <c r="AW512" s="1258"/>
      <c r="AX512" s="1258"/>
      <c r="AY512" s="1258"/>
      <c r="AZ512" s="1220"/>
      <c r="BA512" s="1220"/>
      <c r="BB512" s="1220"/>
      <c r="BC512" s="1220"/>
      <c r="BD512" s="1220"/>
      <c r="BE512" s="1220"/>
      <c r="BF512" s="1220"/>
      <c r="BG512" s="1220"/>
      <c r="BH512" s="1220"/>
      <c r="BI512" s="1220"/>
      <c r="BJ512" s="1220"/>
      <c r="BK512" s="1220"/>
      <c r="BL512" s="1220"/>
      <c r="BM512" s="1220"/>
      <c r="BN512" s="1220"/>
      <c r="BO512" s="1220"/>
    </row>
  </sheetData>
  <sheetProtection algorithmName="SHA-512" hashValue="rg77Y8JY6EURtN6sEFiXkmyk5f9goOZE92ujjHjsNi6rWSBIQ/vLW2KSCzogP974L0EKWkowI+vhE/InrH8xKg==" saltValue="5fy89Sve0Oa8NWqEK5GHpw==" spinCount="100000" sheet="1" objects="1" scenarios="1"/>
  <mergeCells count="6048">
    <mergeCell ref="AO501:AV501"/>
    <mergeCell ref="AW501:AY501"/>
    <mergeCell ref="AZ501:BO501"/>
    <mergeCell ref="D502:H502"/>
    <mergeCell ref="I502:P502"/>
    <mergeCell ref="Q502:X502"/>
    <mergeCell ref="Y502:Z502"/>
    <mergeCell ref="AA502:AD502"/>
    <mergeCell ref="AE504:AG504"/>
    <mergeCell ref="AH504:AJ504"/>
    <mergeCell ref="AK504:AN504"/>
    <mergeCell ref="AO504:AV504"/>
    <mergeCell ref="AW504:AY504"/>
    <mergeCell ref="AZ504:BO504"/>
    <mergeCell ref="AE503:AG503"/>
    <mergeCell ref="AH503:AJ503"/>
    <mergeCell ref="AW505:AY505"/>
    <mergeCell ref="AZ505:BO505"/>
    <mergeCell ref="AA505:AD505"/>
    <mergeCell ref="AK505:AN505"/>
    <mergeCell ref="AO505:AV505"/>
    <mergeCell ref="AE505:AG505"/>
    <mergeCell ref="AH505:AJ505"/>
    <mergeCell ref="AO493:AV493"/>
    <mergeCell ref="AW493:AY493"/>
    <mergeCell ref="AZ493:BO493"/>
    <mergeCell ref="D494:H494"/>
    <mergeCell ref="I494:P494"/>
    <mergeCell ref="Q494:X494"/>
    <mergeCell ref="Y494:Z494"/>
    <mergeCell ref="AA494:AD494"/>
    <mergeCell ref="AE496:AG496"/>
    <mergeCell ref="AH496:AJ496"/>
    <mergeCell ref="AK496:AN496"/>
    <mergeCell ref="AO496:AV496"/>
    <mergeCell ref="AW496:AY496"/>
    <mergeCell ref="AZ496:BO496"/>
    <mergeCell ref="AE495:AG495"/>
    <mergeCell ref="AH495:AJ495"/>
    <mergeCell ref="AA499:AD499"/>
    <mergeCell ref="AK499:AN499"/>
    <mergeCell ref="AO499:AV499"/>
    <mergeCell ref="AW499:AY499"/>
    <mergeCell ref="AZ499:BO499"/>
    <mergeCell ref="AA497:AD497"/>
    <mergeCell ref="AK497:AN497"/>
    <mergeCell ref="AO497:AV497"/>
    <mergeCell ref="AW497:AY497"/>
    <mergeCell ref="AZ497:BO497"/>
    <mergeCell ref="D498:H498"/>
    <mergeCell ref="I498:P498"/>
    <mergeCell ref="Q498:X498"/>
    <mergeCell ref="Y498:Z498"/>
    <mergeCell ref="AA498:AD498"/>
    <mergeCell ref="AE499:AG499"/>
    <mergeCell ref="AO485:AV485"/>
    <mergeCell ref="AW485:AY485"/>
    <mergeCell ref="AZ485:BO485"/>
    <mergeCell ref="D486:H486"/>
    <mergeCell ref="I486:P486"/>
    <mergeCell ref="Q486:X486"/>
    <mergeCell ref="Y486:Z486"/>
    <mergeCell ref="AA486:AD486"/>
    <mergeCell ref="AE488:AG488"/>
    <mergeCell ref="AH488:AJ488"/>
    <mergeCell ref="AK488:AN488"/>
    <mergeCell ref="AO488:AV488"/>
    <mergeCell ref="AW488:AY488"/>
    <mergeCell ref="AZ488:BO488"/>
    <mergeCell ref="AE487:AG487"/>
    <mergeCell ref="AH487:AJ487"/>
    <mergeCell ref="AA491:AD491"/>
    <mergeCell ref="AK491:AN491"/>
    <mergeCell ref="AO491:AV491"/>
    <mergeCell ref="AW491:AY491"/>
    <mergeCell ref="AZ491:BO491"/>
    <mergeCell ref="AA489:AD489"/>
    <mergeCell ref="AK489:AN489"/>
    <mergeCell ref="AO489:AV489"/>
    <mergeCell ref="AW489:AY489"/>
    <mergeCell ref="AZ489:BO489"/>
    <mergeCell ref="D490:H490"/>
    <mergeCell ref="I490:P490"/>
    <mergeCell ref="Q490:X490"/>
    <mergeCell ref="Y490:Z490"/>
    <mergeCell ref="AA490:AD490"/>
    <mergeCell ref="AE491:AG491"/>
    <mergeCell ref="AO477:AV477"/>
    <mergeCell ref="AW477:AY477"/>
    <mergeCell ref="AZ477:BO477"/>
    <mergeCell ref="D478:H478"/>
    <mergeCell ref="I478:P478"/>
    <mergeCell ref="Q478:X478"/>
    <mergeCell ref="Y478:Z478"/>
    <mergeCell ref="AA478:AD478"/>
    <mergeCell ref="AE480:AG480"/>
    <mergeCell ref="AH480:AJ480"/>
    <mergeCell ref="AK480:AN480"/>
    <mergeCell ref="AO480:AV480"/>
    <mergeCell ref="AW480:AY480"/>
    <mergeCell ref="AZ480:BO480"/>
    <mergeCell ref="AE479:AG479"/>
    <mergeCell ref="AH479:AJ479"/>
    <mergeCell ref="AA483:AD483"/>
    <mergeCell ref="AK483:AN483"/>
    <mergeCell ref="AO483:AV483"/>
    <mergeCell ref="AW483:AY483"/>
    <mergeCell ref="AZ483:BO483"/>
    <mergeCell ref="AA481:AD481"/>
    <mergeCell ref="AK481:AN481"/>
    <mergeCell ref="AO481:AV481"/>
    <mergeCell ref="AW481:AY481"/>
    <mergeCell ref="AZ481:BO481"/>
    <mergeCell ref="D482:H482"/>
    <mergeCell ref="I482:P482"/>
    <mergeCell ref="Q482:X482"/>
    <mergeCell ref="Y482:Z482"/>
    <mergeCell ref="AA482:AD482"/>
    <mergeCell ref="AE483:AG483"/>
    <mergeCell ref="AO469:AV469"/>
    <mergeCell ref="AW469:AY469"/>
    <mergeCell ref="AZ469:BO469"/>
    <mergeCell ref="D470:H470"/>
    <mergeCell ref="I470:P470"/>
    <mergeCell ref="Q470:X470"/>
    <mergeCell ref="Y470:Z470"/>
    <mergeCell ref="AA470:AD470"/>
    <mergeCell ref="AE472:AG472"/>
    <mergeCell ref="AH472:AJ472"/>
    <mergeCell ref="AK472:AN472"/>
    <mergeCell ref="AO472:AV472"/>
    <mergeCell ref="AW472:AY472"/>
    <mergeCell ref="AZ472:BO472"/>
    <mergeCell ref="AE471:AG471"/>
    <mergeCell ref="AH471:AJ471"/>
    <mergeCell ref="AA475:AD475"/>
    <mergeCell ref="AK475:AN475"/>
    <mergeCell ref="AO475:AV475"/>
    <mergeCell ref="AW475:AY475"/>
    <mergeCell ref="AZ475:BO475"/>
    <mergeCell ref="AA473:AD473"/>
    <mergeCell ref="AK473:AN473"/>
    <mergeCell ref="AO473:AV473"/>
    <mergeCell ref="AW473:AY473"/>
    <mergeCell ref="AZ473:BO473"/>
    <mergeCell ref="D474:H474"/>
    <mergeCell ref="I474:P474"/>
    <mergeCell ref="Q474:X474"/>
    <mergeCell ref="Y474:Z474"/>
    <mergeCell ref="AA474:AD474"/>
    <mergeCell ref="AE475:AG475"/>
    <mergeCell ref="AO461:AV461"/>
    <mergeCell ref="AW461:AY461"/>
    <mergeCell ref="AZ461:BO461"/>
    <mergeCell ref="D462:H462"/>
    <mergeCell ref="I462:P462"/>
    <mergeCell ref="Q462:X462"/>
    <mergeCell ref="Y462:Z462"/>
    <mergeCell ref="AA462:AD462"/>
    <mergeCell ref="AE464:AG464"/>
    <mergeCell ref="AH464:AJ464"/>
    <mergeCell ref="AK464:AN464"/>
    <mergeCell ref="AO464:AV464"/>
    <mergeCell ref="AW464:AY464"/>
    <mergeCell ref="AZ464:BO464"/>
    <mergeCell ref="AE463:AG463"/>
    <mergeCell ref="AH463:AJ463"/>
    <mergeCell ref="AA467:AD467"/>
    <mergeCell ref="AK467:AN467"/>
    <mergeCell ref="AO467:AV467"/>
    <mergeCell ref="AW467:AY467"/>
    <mergeCell ref="AZ467:BO467"/>
    <mergeCell ref="AA465:AD465"/>
    <mergeCell ref="AK465:AN465"/>
    <mergeCell ref="AO465:AV465"/>
    <mergeCell ref="AW465:AY465"/>
    <mergeCell ref="AZ465:BO465"/>
    <mergeCell ref="D466:H466"/>
    <mergeCell ref="I466:P466"/>
    <mergeCell ref="Q466:X466"/>
    <mergeCell ref="Y466:Z466"/>
    <mergeCell ref="AA466:AD466"/>
    <mergeCell ref="AE467:AG467"/>
    <mergeCell ref="AO453:AV453"/>
    <mergeCell ref="AW453:AY453"/>
    <mergeCell ref="AZ453:BO453"/>
    <mergeCell ref="D454:H454"/>
    <mergeCell ref="I454:P454"/>
    <mergeCell ref="Q454:X454"/>
    <mergeCell ref="Y454:Z454"/>
    <mergeCell ref="AA454:AD454"/>
    <mergeCell ref="AE456:AG456"/>
    <mergeCell ref="AH456:AJ456"/>
    <mergeCell ref="AK456:AN456"/>
    <mergeCell ref="AO456:AV456"/>
    <mergeCell ref="AW456:AY456"/>
    <mergeCell ref="AZ456:BO456"/>
    <mergeCell ref="AE455:AG455"/>
    <mergeCell ref="AH455:AJ455"/>
    <mergeCell ref="AA459:AD459"/>
    <mergeCell ref="AK459:AN459"/>
    <mergeCell ref="AO459:AV459"/>
    <mergeCell ref="AW459:AY459"/>
    <mergeCell ref="AZ459:BO459"/>
    <mergeCell ref="AA457:AD457"/>
    <mergeCell ref="AK457:AN457"/>
    <mergeCell ref="AO457:AV457"/>
    <mergeCell ref="AW457:AY457"/>
    <mergeCell ref="AZ457:BO457"/>
    <mergeCell ref="D458:H458"/>
    <mergeCell ref="I458:P458"/>
    <mergeCell ref="Q458:X458"/>
    <mergeCell ref="Y458:Z458"/>
    <mergeCell ref="AA458:AD458"/>
    <mergeCell ref="AE459:AG459"/>
    <mergeCell ref="AO445:AV445"/>
    <mergeCell ref="AW445:AY445"/>
    <mergeCell ref="AZ445:BO445"/>
    <mergeCell ref="D446:H446"/>
    <mergeCell ref="I446:P446"/>
    <mergeCell ref="Q446:X446"/>
    <mergeCell ref="Y446:Z446"/>
    <mergeCell ref="AA446:AD446"/>
    <mergeCell ref="AE448:AG448"/>
    <mergeCell ref="AH448:AJ448"/>
    <mergeCell ref="AK448:AN448"/>
    <mergeCell ref="AO448:AV448"/>
    <mergeCell ref="AW448:AY448"/>
    <mergeCell ref="AZ448:BO448"/>
    <mergeCell ref="AE447:AG447"/>
    <mergeCell ref="AH447:AJ447"/>
    <mergeCell ref="AA451:AD451"/>
    <mergeCell ref="AK451:AN451"/>
    <mergeCell ref="AO451:AV451"/>
    <mergeCell ref="AW451:AY451"/>
    <mergeCell ref="AZ451:BO451"/>
    <mergeCell ref="AA449:AD449"/>
    <mergeCell ref="AK449:AN449"/>
    <mergeCell ref="AO449:AV449"/>
    <mergeCell ref="AW449:AY449"/>
    <mergeCell ref="AZ449:BO449"/>
    <mergeCell ref="D450:H450"/>
    <mergeCell ref="I450:P450"/>
    <mergeCell ref="Q450:X450"/>
    <mergeCell ref="Y450:Z450"/>
    <mergeCell ref="AA450:AD450"/>
    <mergeCell ref="AE451:AG451"/>
    <mergeCell ref="AO437:AV437"/>
    <mergeCell ref="AW437:AY437"/>
    <mergeCell ref="AZ437:BO437"/>
    <mergeCell ref="D438:H438"/>
    <mergeCell ref="I438:P438"/>
    <mergeCell ref="Q438:X438"/>
    <mergeCell ref="Y438:Z438"/>
    <mergeCell ref="AA438:AD438"/>
    <mergeCell ref="AE440:AG440"/>
    <mergeCell ref="AH440:AJ440"/>
    <mergeCell ref="AK440:AN440"/>
    <mergeCell ref="AO440:AV440"/>
    <mergeCell ref="AW440:AY440"/>
    <mergeCell ref="AZ440:BO440"/>
    <mergeCell ref="AE439:AG439"/>
    <mergeCell ref="AH439:AJ439"/>
    <mergeCell ref="AA443:AD443"/>
    <mergeCell ref="AK443:AN443"/>
    <mergeCell ref="AO443:AV443"/>
    <mergeCell ref="AW443:AY443"/>
    <mergeCell ref="AZ443:BO443"/>
    <mergeCell ref="AA441:AD441"/>
    <mergeCell ref="AK441:AN441"/>
    <mergeCell ref="AO441:AV441"/>
    <mergeCell ref="AW441:AY441"/>
    <mergeCell ref="AZ441:BO441"/>
    <mergeCell ref="D442:H442"/>
    <mergeCell ref="I442:P442"/>
    <mergeCell ref="Q442:X442"/>
    <mergeCell ref="Y442:Z442"/>
    <mergeCell ref="AA442:AD442"/>
    <mergeCell ref="AE443:AG443"/>
    <mergeCell ref="AO429:AV429"/>
    <mergeCell ref="AW429:AY429"/>
    <mergeCell ref="AZ429:BO429"/>
    <mergeCell ref="D430:H430"/>
    <mergeCell ref="I430:P430"/>
    <mergeCell ref="Q430:X430"/>
    <mergeCell ref="Y430:Z430"/>
    <mergeCell ref="AA430:AD430"/>
    <mergeCell ref="AE432:AG432"/>
    <mergeCell ref="AH432:AJ432"/>
    <mergeCell ref="AK432:AN432"/>
    <mergeCell ref="AO432:AV432"/>
    <mergeCell ref="AW432:AY432"/>
    <mergeCell ref="AZ432:BO432"/>
    <mergeCell ref="AE431:AG431"/>
    <mergeCell ref="AH431:AJ431"/>
    <mergeCell ref="AA435:AD435"/>
    <mergeCell ref="AK435:AN435"/>
    <mergeCell ref="AO435:AV435"/>
    <mergeCell ref="AW435:AY435"/>
    <mergeCell ref="AZ435:BO435"/>
    <mergeCell ref="AA433:AD433"/>
    <mergeCell ref="AK433:AN433"/>
    <mergeCell ref="AO433:AV433"/>
    <mergeCell ref="AW433:AY433"/>
    <mergeCell ref="AZ433:BO433"/>
    <mergeCell ref="D434:H434"/>
    <mergeCell ref="I434:P434"/>
    <mergeCell ref="Q434:X434"/>
    <mergeCell ref="Y434:Z434"/>
    <mergeCell ref="AA434:AD434"/>
    <mergeCell ref="AE435:AG435"/>
    <mergeCell ref="AO421:AV421"/>
    <mergeCell ref="AW421:AY421"/>
    <mergeCell ref="AZ421:BO421"/>
    <mergeCell ref="D422:H422"/>
    <mergeCell ref="I422:P422"/>
    <mergeCell ref="Q422:X422"/>
    <mergeCell ref="Y422:Z422"/>
    <mergeCell ref="AA422:AD422"/>
    <mergeCell ref="AE424:AG424"/>
    <mergeCell ref="AH424:AJ424"/>
    <mergeCell ref="AK424:AN424"/>
    <mergeCell ref="AO424:AV424"/>
    <mergeCell ref="AW424:AY424"/>
    <mergeCell ref="AZ424:BO424"/>
    <mergeCell ref="AE423:AG423"/>
    <mergeCell ref="AH423:AJ423"/>
    <mergeCell ref="AA427:AD427"/>
    <mergeCell ref="AK427:AN427"/>
    <mergeCell ref="AO427:AV427"/>
    <mergeCell ref="AW427:AY427"/>
    <mergeCell ref="AZ427:BO427"/>
    <mergeCell ref="AA425:AD425"/>
    <mergeCell ref="AK425:AN425"/>
    <mergeCell ref="AO425:AV425"/>
    <mergeCell ref="AW425:AY425"/>
    <mergeCell ref="AZ425:BO425"/>
    <mergeCell ref="D426:H426"/>
    <mergeCell ref="I426:P426"/>
    <mergeCell ref="Q426:X426"/>
    <mergeCell ref="Y426:Z426"/>
    <mergeCell ref="AA426:AD426"/>
    <mergeCell ref="AE427:AG427"/>
    <mergeCell ref="AO413:AV413"/>
    <mergeCell ref="AW413:AY413"/>
    <mergeCell ref="AZ413:BO413"/>
    <mergeCell ref="D414:H414"/>
    <mergeCell ref="I414:P414"/>
    <mergeCell ref="Q414:X414"/>
    <mergeCell ref="Y414:Z414"/>
    <mergeCell ref="AA414:AD414"/>
    <mergeCell ref="AE416:AG416"/>
    <mergeCell ref="AH416:AJ416"/>
    <mergeCell ref="AK416:AN416"/>
    <mergeCell ref="AO416:AV416"/>
    <mergeCell ref="AW416:AY416"/>
    <mergeCell ref="AZ416:BO416"/>
    <mergeCell ref="AE415:AG415"/>
    <mergeCell ref="AH415:AJ415"/>
    <mergeCell ref="AA419:AD419"/>
    <mergeCell ref="AK419:AN419"/>
    <mergeCell ref="AO419:AV419"/>
    <mergeCell ref="AW419:AY419"/>
    <mergeCell ref="AZ419:BO419"/>
    <mergeCell ref="AA417:AD417"/>
    <mergeCell ref="AK417:AN417"/>
    <mergeCell ref="AO417:AV417"/>
    <mergeCell ref="AW417:AY417"/>
    <mergeCell ref="AZ417:BO417"/>
    <mergeCell ref="D418:H418"/>
    <mergeCell ref="I418:P418"/>
    <mergeCell ref="Q418:X418"/>
    <mergeCell ref="Y418:Z418"/>
    <mergeCell ref="AA418:AD418"/>
    <mergeCell ref="AE419:AG419"/>
    <mergeCell ref="AO405:AV405"/>
    <mergeCell ref="AW405:AY405"/>
    <mergeCell ref="AZ405:BO405"/>
    <mergeCell ref="D406:H406"/>
    <mergeCell ref="I406:P406"/>
    <mergeCell ref="Q406:X406"/>
    <mergeCell ref="Y406:Z406"/>
    <mergeCell ref="AA406:AD406"/>
    <mergeCell ref="AE408:AG408"/>
    <mergeCell ref="AH408:AJ408"/>
    <mergeCell ref="AK408:AN408"/>
    <mergeCell ref="AO408:AV408"/>
    <mergeCell ref="AW408:AY408"/>
    <mergeCell ref="AZ408:BO408"/>
    <mergeCell ref="AE407:AG407"/>
    <mergeCell ref="AH407:AJ407"/>
    <mergeCell ref="AA411:AD411"/>
    <mergeCell ref="AK411:AN411"/>
    <mergeCell ref="AO411:AV411"/>
    <mergeCell ref="AW411:AY411"/>
    <mergeCell ref="AZ411:BO411"/>
    <mergeCell ref="AA409:AD409"/>
    <mergeCell ref="AK409:AN409"/>
    <mergeCell ref="AO409:AV409"/>
    <mergeCell ref="AW409:AY409"/>
    <mergeCell ref="AZ409:BO409"/>
    <mergeCell ref="D410:H410"/>
    <mergeCell ref="I410:P410"/>
    <mergeCell ref="Q410:X410"/>
    <mergeCell ref="Y410:Z410"/>
    <mergeCell ref="AA410:AD410"/>
    <mergeCell ref="AE411:AG411"/>
    <mergeCell ref="AO397:AV397"/>
    <mergeCell ref="AW397:AY397"/>
    <mergeCell ref="AZ397:BO397"/>
    <mergeCell ref="D398:H398"/>
    <mergeCell ref="I398:P398"/>
    <mergeCell ref="Q398:X398"/>
    <mergeCell ref="Y398:Z398"/>
    <mergeCell ref="AA398:AD398"/>
    <mergeCell ref="AE400:AG400"/>
    <mergeCell ref="AH400:AJ400"/>
    <mergeCell ref="AK400:AN400"/>
    <mergeCell ref="AO400:AV400"/>
    <mergeCell ref="AW400:AY400"/>
    <mergeCell ref="AZ400:BO400"/>
    <mergeCell ref="AE399:AG399"/>
    <mergeCell ref="AH399:AJ399"/>
    <mergeCell ref="AA403:AD403"/>
    <mergeCell ref="AK403:AN403"/>
    <mergeCell ref="AO403:AV403"/>
    <mergeCell ref="AW403:AY403"/>
    <mergeCell ref="AZ403:BO403"/>
    <mergeCell ref="AA401:AD401"/>
    <mergeCell ref="AK401:AN401"/>
    <mergeCell ref="AO401:AV401"/>
    <mergeCell ref="AW401:AY401"/>
    <mergeCell ref="AZ401:BO401"/>
    <mergeCell ref="D402:H402"/>
    <mergeCell ref="I402:P402"/>
    <mergeCell ref="Q402:X402"/>
    <mergeCell ref="Y402:Z402"/>
    <mergeCell ref="AA402:AD402"/>
    <mergeCell ref="AE403:AG403"/>
    <mergeCell ref="AO389:AV389"/>
    <mergeCell ref="AW389:AY389"/>
    <mergeCell ref="AZ389:BO389"/>
    <mergeCell ref="D390:H390"/>
    <mergeCell ref="I390:P390"/>
    <mergeCell ref="Q390:X390"/>
    <mergeCell ref="Y390:Z390"/>
    <mergeCell ref="AA390:AD390"/>
    <mergeCell ref="AE392:AG392"/>
    <mergeCell ref="AH392:AJ392"/>
    <mergeCell ref="AK392:AN392"/>
    <mergeCell ref="AO392:AV392"/>
    <mergeCell ref="AW392:AY392"/>
    <mergeCell ref="AZ392:BO392"/>
    <mergeCell ref="AE391:AG391"/>
    <mergeCell ref="AH391:AJ391"/>
    <mergeCell ref="AA395:AD395"/>
    <mergeCell ref="AK395:AN395"/>
    <mergeCell ref="AO395:AV395"/>
    <mergeCell ref="AW395:AY395"/>
    <mergeCell ref="AZ395:BO395"/>
    <mergeCell ref="AA393:AD393"/>
    <mergeCell ref="AK393:AN393"/>
    <mergeCell ref="AO393:AV393"/>
    <mergeCell ref="AW393:AY393"/>
    <mergeCell ref="AZ393:BO393"/>
    <mergeCell ref="D394:H394"/>
    <mergeCell ref="I394:P394"/>
    <mergeCell ref="Q394:X394"/>
    <mergeCell ref="Y394:Z394"/>
    <mergeCell ref="AA394:AD394"/>
    <mergeCell ref="AE395:AG395"/>
    <mergeCell ref="AO381:AV381"/>
    <mergeCell ref="AW381:AY381"/>
    <mergeCell ref="AZ381:BO381"/>
    <mergeCell ref="D382:H382"/>
    <mergeCell ref="I382:P382"/>
    <mergeCell ref="Q382:X382"/>
    <mergeCell ref="Y382:Z382"/>
    <mergeCell ref="AA382:AD382"/>
    <mergeCell ref="AE384:AG384"/>
    <mergeCell ref="AH384:AJ384"/>
    <mergeCell ref="AK384:AN384"/>
    <mergeCell ref="AO384:AV384"/>
    <mergeCell ref="AW384:AY384"/>
    <mergeCell ref="AZ384:BO384"/>
    <mergeCell ref="AE383:AG383"/>
    <mergeCell ref="AH383:AJ383"/>
    <mergeCell ref="AA387:AD387"/>
    <mergeCell ref="AK387:AN387"/>
    <mergeCell ref="AO387:AV387"/>
    <mergeCell ref="AW387:AY387"/>
    <mergeCell ref="AZ387:BO387"/>
    <mergeCell ref="AA385:AD385"/>
    <mergeCell ref="AK385:AN385"/>
    <mergeCell ref="AO385:AV385"/>
    <mergeCell ref="AW385:AY385"/>
    <mergeCell ref="AZ385:BO385"/>
    <mergeCell ref="D386:H386"/>
    <mergeCell ref="I386:P386"/>
    <mergeCell ref="Q386:X386"/>
    <mergeCell ref="Y386:Z386"/>
    <mergeCell ref="AA386:AD386"/>
    <mergeCell ref="AE387:AG387"/>
    <mergeCell ref="AO373:AV373"/>
    <mergeCell ref="AW373:AY373"/>
    <mergeCell ref="AZ373:BO373"/>
    <mergeCell ref="D374:H374"/>
    <mergeCell ref="I374:P374"/>
    <mergeCell ref="Q374:X374"/>
    <mergeCell ref="Y374:Z374"/>
    <mergeCell ref="AA374:AD374"/>
    <mergeCell ref="AE376:AG376"/>
    <mergeCell ref="AH376:AJ376"/>
    <mergeCell ref="AK376:AN376"/>
    <mergeCell ref="AO376:AV376"/>
    <mergeCell ref="AW376:AY376"/>
    <mergeCell ref="AZ376:BO376"/>
    <mergeCell ref="AE375:AG375"/>
    <mergeCell ref="AH375:AJ375"/>
    <mergeCell ref="AA379:AD379"/>
    <mergeCell ref="AK379:AN379"/>
    <mergeCell ref="AO379:AV379"/>
    <mergeCell ref="AW379:AY379"/>
    <mergeCell ref="AZ379:BO379"/>
    <mergeCell ref="AA377:AD377"/>
    <mergeCell ref="AK377:AN377"/>
    <mergeCell ref="AO377:AV377"/>
    <mergeCell ref="AW377:AY377"/>
    <mergeCell ref="AZ377:BO377"/>
    <mergeCell ref="D378:H378"/>
    <mergeCell ref="I378:P378"/>
    <mergeCell ref="Q378:X378"/>
    <mergeCell ref="Y378:Z378"/>
    <mergeCell ref="AA378:AD378"/>
    <mergeCell ref="AE379:AG379"/>
    <mergeCell ref="AO365:AV365"/>
    <mergeCell ref="AW365:AY365"/>
    <mergeCell ref="AZ365:BO365"/>
    <mergeCell ref="D366:H366"/>
    <mergeCell ref="I366:P366"/>
    <mergeCell ref="Q366:X366"/>
    <mergeCell ref="Y366:Z366"/>
    <mergeCell ref="AA366:AD366"/>
    <mergeCell ref="AE368:AG368"/>
    <mergeCell ref="AH368:AJ368"/>
    <mergeCell ref="AK368:AN368"/>
    <mergeCell ref="AO368:AV368"/>
    <mergeCell ref="AW368:AY368"/>
    <mergeCell ref="AZ368:BO368"/>
    <mergeCell ref="AE367:AG367"/>
    <mergeCell ref="AH367:AJ367"/>
    <mergeCell ref="AA371:AD371"/>
    <mergeCell ref="AK371:AN371"/>
    <mergeCell ref="AO371:AV371"/>
    <mergeCell ref="AW371:AY371"/>
    <mergeCell ref="AZ371:BO371"/>
    <mergeCell ref="AA369:AD369"/>
    <mergeCell ref="AK369:AN369"/>
    <mergeCell ref="AO369:AV369"/>
    <mergeCell ref="AW369:AY369"/>
    <mergeCell ref="AZ369:BO369"/>
    <mergeCell ref="D370:H370"/>
    <mergeCell ref="I370:P370"/>
    <mergeCell ref="Q370:X370"/>
    <mergeCell ref="Y370:Z370"/>
    <mergeCell ref="AA370:AD370"/>
    <mergeCell ref="AE371:AG371"/>
    <mergeCell ref="AO357:AV357"/>
    <mergeCell ref="AW357:AY357"/>
    <mergeCell ref="AZ357:BO357"/>
    <mergeCell ref="D358:H358"/>
    <mergeCell ref="I358:P358"/>
    <mergeCell ref="Q358:X358"/>
    <mergeCell ref="Y358:Z358"/>
    <mergeCell ref="AA358:AD358"/>
    <mergeCell ref="AE360:AG360"/>
    <mergeCell ref="AH360:AJ360"/>
    <mergeCell ref="AK360:AN360"/>
    <mergeCell ref="AO360:AV360"/>
    <mergeCell ref="AW360:AY360"/>
    <mergeCell ref="AZ360:BO360"/>
    <mergeCell ref="AE359:AG359"/>
    <mergeCell ref="AH359:AJ359"/>
    <mergeCell ref="AA363:AD363"/>
    <mergeCell ref="AK363:AN363"/>
    <mergeCell ref="AO363:AV363"/>
    <mergeCell ref="AW363:AY363"/>
    <mergeCell ref="AZ363:BO363"/>
    <mergeCell ref="AA361:AD361"/>
    <mergeCell ref="AK361:AN361"/>
    <mergeCell ref="AO361:AV361"/>
    <mergeCell ref="AW361:AY361"/>
    <mergeCell ref="AZ361:BO361"/>
    <mergeCell ref="D362:H362"/>
    <mergeCell ref="I362:P362"/>
    <mergeCell ref="Q362:X362"/>
    <mergeCell ref="Y362:Z362"/>
    <mergeCell ref="AA362:AD362"/>
    <mergeCell ref="AE363:AG363"/>
    <mergeCell ref="AO349:AV349"/>
    <mergeCell ref="AW349:AY349"/>
    <mergeCell ref="AZ349:BO349"/>
    <mergeCell ref="D350:H350"/>
    <mergeCell ref="I350:P350"/>
    <mergeCell ref="Q350:X350"/>
    <mergeCell ref="Y350:Z350"/>
    <mergeCell ref="AA350:AD350"/>
    <mergeCell ref="AE352:AG352"/>
    <mergeCell ref="AH352:AJ352"/>
    <mergeCell ref="AK352:AN352"/>
    <mergeCell ref="AO352:AV352"/>
    <mergeCell ref="AW352:AY352"/>
    <mergeCell ref="AZ352:BO352"/>
    <mergeCell ref="AE351:AG351"/>
    <mergeCell ref="AH351:AJ351"/>
    <mergeCell ref="AA355:AD355"/>
    <mergeCell ref="AK355:AN355"/>
    <mergeCell ref="AO355:AV355"/>
    <mergeCell ref="AW355:AY355"/>
    <mergeCell ref="AZ355:BO355"/>
    <mergeCell ref="AA353:AD353"/>
    <mergeCell ref="AK353:AN353"/>
    <mergeCell ref="AO353:AV353"/>
    <mergeCell ref="AW353:AY353"/>
    <mergeCell ref="AZ353:BO353"/>
    <mergeCell ref="D354:H354"/>
    <mergeCell ref="I354:P354"/>
    <mergeCell ref="Q354:X354"/>
    <mergeCell ref="Y354:Z354"/>
    <mergeCell ref="AA354:AD354"/>
    <mergeCell ref="AE355:AG355"/>
    <mergeCell ref="AO341:AV341"/>
    <mergeCell ref="AW341:AY341"/>
    <mergeCell ref="AZ341:BO341"/>
    <mergeCell ref="D342:H342"/>
    <mergeCell ref="I342:P342"/>
    <mergeCell ref="Q342:X342"/>
    <mergeCell ref="Y342:Z342"/>
    <mergeCell ref="AA342:AD342"/>
    <mergeCell ref="AE344:AG344"/>
    <mergeCell ref="AH344:AJ344"/>
    <mergeCell ref="AK344:AN344"/>
    <mergeCell ref="AO344:AV344"/>
    <mergeCell ref="AW344:AY344"/>
    <mergeCell ref="AZ344:BO344"/>
    <mergeCell ref="AE343:AG343"/>
    <mergeCell ref="AH343:AJ343"/>
    <mergeCell ref="AA347:AD347"/>
    <mergeCell ref="AK347:AN347"/>
    <mergeCell ref="AO347:AV347"/>
    <mergeCell ref="AW347:AY347"/>
    <mergeCell ref="AZ347:BO347"/>
    <mergeCell ref="AA345:AD345"/>
    <mergeCell ref="AK345:AN345"/>
    <mergeCell ref="AO345:AV345"/>
    <mergeCell ref="AW345:AY345"/>
    <mergeCell ref="AZ345:BO345"/>
    <mergeCell ref="D346:H346"/>
    <mergeCell ref="I346:P346"/>
    <mergeCell ref="Q346:X346"/>
    <mergeCell ref="Y346:Z346"/>
    <mergeCell ref="AA346:AD346"/>
    <mergeCell ref="AE347:AG347"/>
    <mergeCell ref="AO333:AV333"/>
    <mergeCell ref="AW333:AY333"/>
    <mergeCell ref="AZ333:BO333"/>
    <mergeCell ref="D334:H334"/>
    <mergeCell ref="I334:P334"/>
    <mergeCell ref="Q334:X334"/>
    <mergeCell ref="Y334:Z334"/>
    <mergeCell ref="AA334:AD334"/>
    <mergeCell ref="AE336:AG336"/>
    <mergeCell ref="AH336:AJ336"/>
    <mergeCell ref="AK336:AN336"/>
    <mergeCell ref="AO336:AV336"/>
    <mergeCell ref="AW336:AY336"/>
    <mergeCell ref="AZ336:BO336"/>
    <mergeCell ref="AE335:AG335"/>
    <mergeCell ref="AH335:AJ335"/>
    <mergeCell ref="AA339:AD339"/>
    <mergeCell ref="AK339:AN339"/>
    <mergeCell ref="AO339:AV339"/>
    <mergeCell ref="AW339:AY339"/>
    <mergeCell ref="AZ339:BO339"/>
    <mergeCell ref="AA337:AD337"/>
    <mergeCell ref="AK337:AN337"/>
    <mergeCell ref="AO337:AV337"/>
    <mergeCell ref="AW337:AY337"/>
    <mergeCell ref="AZ337:BO337"/>
    <mergeCell ref="D338:H338"/>
    <mergeCell ref="I338:P338"/>
    <mergeCell ref="Q338:X338"/>
    <mergeCell ref="Y338:Z338"/>
    <mergeCell ref="AA338:AD338"/>
    <mergeCell ref="AE339:AG339"/>
    <mergeCell ref="AO325:AV325"/>
    <mergeCell ref="AW325:AY325"/>
    <mergeCell ref="AZ325:BO325"/>
    <mergeCell ref="D326:H326"/>
    <mergeCell ref="I326:P326"/>
    <mergeCell ref="Q326:X326"/>
    <mergeCell ref="Y326:Z326"/>
    <mergeCell ref="AA326:AD326"/>
    <mergeCell ref="AE328:AG328"/>
    <mergeCell ref="AH328:AJ328"/>
    <mergeCell ref="AK328:AN328"/>
    <mergeCell ref="AO328:AV328"/>
    <mergeCell ref="AW328:AY328"/>
    <mergeCell ref="AZ328:BO328"/>
    <mergeCell ref="AE327:AG327"/>
    <mergeCell ref="AH327:AJ327"/>
    <mergeCell ref="AA331:AD331"/>
    <mergeCell ref="AK331:AN331"/>
    <mergeCell ref="AO331:AV331"/>
    <mergeCell ref="AW331:AY331"/>
    <mergeCell ref="AZ331:BO331"/>
    <mergeCell ref="AA329:AD329"/>
    <mergeCell ref="AK329:AN329"/>
    <mergeCell ref="AO329:AV329"/>
    <mergeCell ref="AW329:AY329"/>
    <mergeCell ref="AZ329:BO329"/>
    <mergeCell ref="D330:H330"/>
    <mergeCell ref="I330:P330"/>
    <mergeCell ref="Q330:X330"/>
    <mergeCell ref="Y330:Z330"/>
    <mergeCell ref="AA330:AD330"/>
    <mergeCell ref="AE331:AG331"/>
    <mergeCell ref="AO317:AV317"/>
    <mergeCell ref="AW317:AY317"/>
    <mergeCell ref="AZ317:BO317"/>
    <mergeCell ref="D318:H318"/>
    <mergeCell ref="I318:P318"/>
    <mergeCell ref="Q318:X318"/>
    <mergeCell ref="Y318:Z318"/>
    <mergeCell ref="AA318:AD318"/>
    <mergeCell ref="AE320:AG320"/>
    <mergeCell ref="AH320:AJ320"/>
    <mergeCell ref="AK320:AN320"/>
    <mergeCell ref="AO320:AV320"/>
    <mergeCell ref="AW320:AY320"/>
    <mergeCell ref="AZ320:BO320"/>
    <mergeCell ref="AE319:AG319"/>
    <mergeCell ref="AH319:AJ319"/>
    <mergeCell ref="AA323:AD323"/>
    <mergeCell ref="AK323:AN323"/>
    <mergeCell ref="AO323:AV323"/>
    <mergeCell ref="AW323:AY323"/>
    <mergeCell ref="AZ323:BO323"/>
    <mergeCell ref="AA321:AD321"/>
    <mergeCell ref="AK321:AN321"/>
    <mergeCell ref="AO321:AV321"/>
    <mergeCell ref="AW321:AY321"/>
    <mergeCell ref="AZ321:BO321"/>
    <mergeCell ref="D322:H322"/>
    <mergeCell ref="I322:P322"/>
    <mergeCell ref="Q322:X322"/>
    <mergeCell ref="Y322:Z322"/>
    <mergeCell ref="AA322:AD322"/>
    <mergeCell ref="AE323:AG323"/>
    <mergeCell ref="AO309:AV309"/>
    <mergeCell ref="AW309:AY309"/>
    <mergeCell ref="AZ309:BO309"/>
    <mergeCell ref="D310:H310"/>
    <mergeCell ref="I310:P310"/>
    <mergeCell ref="Q310:X310"/>
    <mergeCell ref="Y310:Z310"/>
    <mergeCell ref="AA310:AD310"/>
    <mergeCell ref="AE312:AG312"/>
    <mergeCell ref="AH312:AJ312"/>
    <mergeCell ref="AK312:AN312"/>
    <mergeCell ref="AO312:AV312"/>
    <mergeCell ref="AW312:AY312"/>
    <mergeCell ref="AZ312:BO312"/>
    <mergeCell ref="AE311:AG311"/>
    <mergeCell ref="AH311:AJ311"/>
    <mergeCell ref="AA315:AD315"/>
    <mergeCell ref="AK315:AN315"/>
    <mergeCell ref="AO315:AV315"/>
    <mergeCell ref="AW315:AY315"/>
    <mergeCell ref="AZ315:BO315"/>
    <mergeCell ref="AA313:AD313"/>
    <mergeCell ref="AK313:AN313"/>
    <mergeCell ref="AO313:AV313"/>
    <mergeCell ref="AW313:AY313"/>
    <mergeCell ref="AZ313:BO313"/>
    <mergeCell ref="D314:H314"/>
    <mergeCell ref="I314:P314"/>
    <mergeCell ref="Q314:X314"/>
    <mergeCell ref="Y314:Z314"/>
    <mergeCell ref="AA314:AD314"/>
    <mergeCell ref="AE315:AG315"/>
    <mergeCell ref="AO301:AV301"/>
    <mergeCell ref="AW301:AY301"/>
    <mergeCell ref="AZ301:BO301"/>
    <mergeCell ref="D302:H302"/>
    <mergeCell ref="I302:P302"/>
    <mergeCell ref="Q302:X302"/>
    <mergeCell ref="Y302:Z302"/>
    <mergeCell ref="AA302:AD302"/>
    <mergeCell ref="AE304:AG304"/>
    <mergeCell ref="AH304:AJ304"/>
    <mergeCell ref="AK304:AN304"/>
    <mergeCell ref="AO304:AV304"/>
    <mergeCell ref="AW304:AY304"/>
    <mergeCell ref="AZ304:BO304"/>
    <mergeCell ref="AE303:AG303"/>
    <mergeCell ref="AH303:AJ303"/>
    <mergeCell ref="AA307:AD307"/>
    <mergeCell ref="AK307:AN307"/>
    <mergeCell ref="AO307:AV307"/>
    <mergeCell ref="AW307:AY307"/>
    <mergeCell ref="AZ307:BO307"/>
    <mergeCell ref="AA305:AD305"/>
    <mergeCell ref="AK305:AN305"/>
    <mergeCell ref="AO305:AV305"/>
    <mergeCell ref="AW305:AY305"/>
    <mergeCell ref="AZ305:BO305"/>
    <mergeCell ref="D306:H306"/>
    <mergeCell ref="I306:P306"/>
    <mergeCell ref="Q306:X306"/>
    <mergeCell ref="Y306:Z306"/>
    <mergeCell ref="AA306:AD306"/>
    <mergeCell ref="AE307:AG307"/>
    <mergeCell ref="AO293:AV293"/>
    <mergeCell ref="AW293:AY293"/>
    <mergeCell ref="AZ293:BO293"/>
    <mergeCell ref="D294:H294"/>
    <mergeCell ref="I294:P294"/>
    <mergeCell ref="Q294:X294"/>
    <mergeCell ref="Y294:Z294"/>
    <mergeCell ref="AA294:AD294"/>
    <mergeCell ref="AE296:AG296"/>
    <mergeCell ref="AH296:AJ296"/>
    <mergeCell ref="AK296:AN296"/>
    <mergeCell ref="AO296:AV296"/>
    <mergeCell ref="AW296:AY296"/>
    <mergeCell ref="AZ296:BO296"/>
    <mergeCell ref="AE295:AG295"/>
    <mergeCell ref="AH295:AJ295"/>
    <mergeCell ref="AA299:AD299"/>
    <mergeCell ref="AK299:AN299"/>
    <mergeCell ref="AO299:AV299"/>
    <mergeCell ref="AW299:AY299"/>
    <mergeCell ref="AZ299:BO299"/>
    <mergeCell ref="AA297:AD297"/>
    <mergeCell ref="AK297:AN297"/>
    <mergeCell ref="AO297:AV297"/>
    <mergeCell ref="AW297:AY297"/>
    <mergeCell ref="AZ297:BO297"/>
    <mergeCell ref="D298:H298"/>
    <mergeCell ref="I298:P298"/>
    <mergeCell ref="Q298:X298"/>
    <mergeCell ref="Y298:Z298"/>
    <mergeCell ref="AA298:AD298"/>
    <mergeCell ref="AE299:AG299"/>
    <mergeCell ref="AO285:AV285"/>
    <mergeCell ref="AW285:AY285"/>
    <mergeCell ref="AZ285:BO285"/>
    <mergeCell ref="D286:H286"/>
    <mergeCell ref="I286:P286"/>
    <mergeCell ref="Q286:X286"/>
    <mergeCell ref="Y286:Z286"/>
    <mergeCell ref="AA286:AD286"/>
    <mergeCell ref="AE288:AG288"/>
    <mergeCell ref="AH288:AJ288"/>
    <mergeCell ref="AK288:AN288"/>
    <mergeCell ref="AO288:AV288"/>
    <mergeCell ref="AW288:AY288"/>
    <mergeCell ref="AZ288:BO288"/>
    <mergeCell ref="AE287:AG287"/>
    <mergeCell ref="AH287:AJ287"/>
    <mergeCell ref="AA291:AD291"/>
    <mergeCell ref="AK291:AN291"/>
    <mergeCell ref="AO291:AV291"/>
    <mergeCell ref="AW291:AY291"/>
    <mergeCell ref="AZ291:BO291"/>
    <mergeCell ref="AA289:AD289"/>
    <mergeCell ref="AK289:AN289"/>
    <mergeCell ref="AO289:AV289"/>
    <mergeCell ref="AW289:AY289"/>
    <mergeCell ref="AZ289:BO289"/>
    <mergeCell ref="D290:H290"/>
    <mergeCell ref="I290:P290"/>
    <mergeCell ref="Q290:X290"/>
    <mergeCell ref="Y290:Z290"/>
    <mergeCell ref="AA290:AD290"/>
    <mergeCell ref="AE291:AG291"/>
    <mergeCell ref="AO277:AV277"/>
    <mergeCell ref="AW277:AY277"/>
    <mergeCell ref="AZ277:BO277"/>
    <mergeCell ref="D278:H278"/>
    <mergeCell ref="I278:P278"/>
    <mergeCell ref="Q278:X278"/>
    <mergeCell ref="Y278:Z278"/>
    <mergeCell ref="AA278:AD278"/>
    <mergeCell ref="AE280:AG280"/>
    <mergeCell ref="AH280:AJ280"/>
    <mergeCell ref="AK280:AN280"/>
    <mergeCell ref="AO280:AV280"/>
    <mergeCell ref="AW280:AY280"/>
    <mergeCell ref="AZ280:BO280"/>
    <mergeCell ref="AE279:AG279"/>
    <mergeCell ref="AH279:AJ279"/>
    <mergeCell ref="AA283:AD283"/>
    <mergeCell ref="AK283:AN283"/>
    <mergeCell ref="AO283:AV283"/>
    <mergeCell ref="AW283:AY283"/>
    <mergeCell ref="AZ283:BO283"/>
    <mergeCell ref="AA281:AD281"/>
    <mergeCell ref="AK281:AN281"/>
    <mergeCell ref="AO281:AV281"/>
    <mergeCell ref="AW281:AY281"/>
    <mergeCell ref="AZ281:BO281"/>
    <mergeCell ref="D282:H282"/>
    <mergeCell ref="I282:P282"/>
    <mergeCell ref="Q282:X282"/>
    <mergeCell ref="Y282:Z282"/>
    <mergeCell ref="AA282:AD282"/>
    <mergeCell ref="AE283:AG283"/>
    <mergeCell ref="AO269:AV269"/>
    <mergeCell ref="AW269:AY269"/>
    <mergeCell ref="AZ269:BO269"/>
    <mergeCell ref="D270:H270"/>
    <mergeCell ref="I270:P270"/>
    <mergeCell ref="Q270:X270"/>
    <mergeCell ref="Y270:Z270"/>
    <mergeCell ref="AA270:AD270"/>
    <mergeCell ref="AE272:AG272"/>
    <mergeCell ref="AH272:AJ272"/>
    <mergeCell ref="AK272:AN272"/>
    <mergeCell ref="AO272:AV272"/>
    <mergeCell ref="AW272:AY272"/>
    <mergeCell ref="AZ272:BO272"/>
    <mergeCell ref="AE271:AG271"/>
    <mergeCell ref="AH271:AJ271"/>
    <mergeCell ref="AA275:AD275"/>
    <mergeCell ref="AK275:AN275"/>
    <mergeCell ref="AO275:AV275"/>
    <mergeCell ref="AW275:AY275"/>
    <mergeCell ref="AZ275:BO275"/>
    <mergeCell ref="AA273:AD273"/>
    <mergeCell ref="AK273:AN273"/>
    <mergeCell ref="AO273:AV273"/>
    <mergeCell ref="AW273:AY273"/>
    <mergeCell ref="AZ273:BO273"/>
    <mergeCell ref="D274:H274"/>
    <mergeCell ref="I274:P274"/>
    <mergeCell ref="Q274:X274"/>
    <mergeCell ref="Y274:Z274"/>
    <mergeCell ref="AA274:AD274"/>
    <mergeCell ref="AE275:AG275"/>
    <mergeCell ref="AO261:AV261"/>
    <mergeCell ref="AW261:AY261"/>
    <mergeCell ref="AZ261:BO261"/>
    <mergeCell ref="D262:H262"/>
    <mergeCell ref="I262:P262"/>
    <mergeCell ref="Q262:X262"/>
    <mergeCell ref="Y262:Z262"/>
    <mergeCell ref="AA262:AD262"/>
    <mergeCell ref="AE264:AG264"/>
    <mergeCell ref="AH264:AJ264"/>
    <mergeCell ref="AK264:AN264"/>
    <mergeCell ref="AO264:AV264"/>
    <mergeCell ref="AW264:AY264"/>
    <mergeCell ref="AZ264:BO264"/>
    <mergeCell ref="AE263:AG263"/>
    <mergeCell ref="AH263:AJ263"/>
    <mergeCell ref="AA267:AD267"/>
    <mergeCell ref="AK267:AN267"/>
    <mergeCell ref="AO267:AV267"/>
    <mergeCell ref="AW267:AY267"/>
    <mergeCell ref="AZ267:BO267"/>
    <mergeCell ref="AA265:AD265"/>
    <mergeCell ref="AK265:AN265"/>
    <mergeCell ref="AO265:AV265"/>
    <mergeCell ref="AW265:AY265"/>
    <mergeCell ref="AZ265:BO265"/>
    <mergeCell ref="D266:H266"/>
    <mergeCell ref="I266:P266"/>
    <mergeCell ref="Q266:X266"/>
    <mergeCell ref="Y266:Z266"/>
    <mergeCell ref="AA266:AD266"/>
    <mergeCell ref="AE267:AG267"/>
    <mergeCell ref="AO253:AV253"/>
    <mergeCell ref="AW253:AY253"/>
    <mergeCell ref="AZ253:BO253"/>
    <mergeCell ref="D254:H254"/>
    <mergeCell ref="I254:P254"/>
    <mergeCell ref="Q254:X254"/>
    <mergeCell ref="Y254:Z254"/>
    <mergeCell ref="AA254:AD254"/>
    <mergeCell ref="AE256:AG256"/>
    <mergeCell ref="AH256:AJ256"/>
    <mergeCell ref="AK256:AN256"/>
    <mergeCell ref="AO256:AV256"/>
    <mergeCell ref="AW256:AY256"/>
    <mergeCell ref="AZ256:BO256"/>
    <mergeCell ref="AE255:AG255"/>
    <mergeCell ref="AH255:AJ255"/>
    <mergeCell ref="AA259:AD259"/>
    <mergeCell ref="AK259:AN259"/>
    <mergeCell ref="AO259:AV259"/>
    <mergeCell ref="AW259:AY259"/>
    <mergeCell ref="AZ259:BO259"/>
    <mergeCell ref="AA257:AD257"/>
    <mergeCell ref="AK257:AN257"/>
    <mergeCell ref="AO257:AV257"/>
    <mergeCell ref="AW257:AY257"/>
    <mergeCell ref="AZ257:BO257"/>
    <mergeCell ref="D258:H258"/>
    <mergeCell ref="I258:P258"/>
    <mergeCell ref="Q258:X258"/>
    <mergeCell ref="Y258:Z258"/>
    <mergeCell ref="AA258:AD258"/>
    <mergeCell ref="AE259:AG259"/>
    <mergeCell ref="AO245:AV245"/>
    <mergeCell ref="AW245:AY245"/>
    <mergeCell ref="AZ245:BO245"/>
    <mergeCell ref="D246:H246"/>
    <mergeCell ref="I246:P246"/>
    <mergeCell ref="Q246:X246"/>
    <mergeCell ref="Y246:Z246"/>
    <mergeCell ref="AA246:AD246"/>
    <mergeCell ref="AE248:AG248"/>
    <mergeCell ref="AH248:AJ248"/>
    <mergeCell ref="AK248:AN248"/>
    <mergeCell ref="AO248:AV248"/>
    <mergeCell ref="AW248:AY248"/>
    <mergeCell ref="AZ248:BO248"/>
    <mergeCell ref="AE247:AG247"/>
    <mergeCell ref="AH247:AJ247"/>
    <mergeCell ref="AA251:AD251"/>
    <mergeCell ref="AK251:AN251"/>
    <mergeCell ref="AO251:AV251"/>
    <mergeCell ref="AW251:AY251"/>
    <mergeCell ref="AZ251:BO251"/>
    <mergeCell ref="AA249:AD249"/>
    <mergeCell ref="AK249:AN249"/>
    <mergeCell ref="AO249:AV249"/>
    <mergeCell ref="AW249:AY249"/>
    <mergeCell ref="AZ249:BO249"/>
    <mergeCell ref="D250:H250"/>
    <mergeCell ref="I250:P250"/>
    <mergeCell ref="Q250:X250"/>
    <mergeCell ref="Y250:Z250"/>
    <mergeCell ref="AA250:AD250"/>
    <mergeCell ref="AE251:AG251"/>
    <mergeCell ref="AO237:AV237"/>
    <mergeCell ref="AW237:AY237"/>
    <mergeCell ref="AZ237:BO237"/>
    <mergeCell ref="D238:H238"/>
    <mergeCell ref="I238:P238"/>
    <mergeCell ref="Q238:X238"/>
    <mergeCell ref="Y238:Z238"/>
    <mergeCell ref="AA238:AD238"/>
    <mergeCell ref="AE240:AG240"/>
    <mergeCell ref="AH240:AJ240"/>
    <mergeCell ref="AK240:AN240"/>
    <mergeCell ref="AO240:AV240"/>
    <mergeCell ref="AW240:AY240"/>
    <mergeCell ref="AZ240:BO240"/>
    <mergeCell ref="AE239:AG239"/>
    <mergeCell ref="AH239:AJ239"/>
    <mergeCell ref="AA243:AD243"/>
    <mergeCell ref="AK243:AN243"/>
    <mergeCell ref="AO243:AV243"/>
    <mergeCell ref="AW243:AY243"/>
    <mergeCell ref="AZ243:BO243"/>
    <mergeCell ref="AA241:AD241"/>
    <mergeCell ref="AK241:AN241"/>
    <mergeCell ref="AO241:AV241"/>
    <mergeCell ref="AW241:AY241"/>
    <mergeCell ref="AZ241:BO241"/>
    <mergeCell ref="D242:H242"/>
    <mergeCell ref="I242:P242"/>
    <mergeCell ref="Q242:X242"/>
    <mergeCell ref="Y242:Z242"/>
    <mergeCell ref="AA242:AD242"/>
    <mergeCell ref="AE243:AG243"/>
    <mergeCell ref="AO229:AV229"/>
    <mergeCell ref="AW229:AY229"/>
    <mergeCell ref="AZ229:BO229"/>
    <mergeCell ref="D230:H230"/>
    <mergeCell ref="I230:P230"/>
    <mergeCell ref="Q230:X230"/>
    <mergeCell ref="Y230:Z230"/>
    <mergeCell ref="AA230:AD230"/>
    <mergeCell ref="AE232:AG232"/>
    <mergeCell ref="AH232:AJ232"/>
    <mergeCell ref="AK232:AN232"/>
    <mergeCell ref="AO232:AV232"/>
    <mergeCell ref="AW232:AY232"/>
    <mergeCell ref="AZ232:BO232"/>
    <mergeCell ref="AE231:AG231"/>
    <mergeCell ref="AH231:AJ231"/>
    <mergeCell ref="AA235:AD235"/>
    <mergeCell ref="AK235:AN235"/>
    <mergeCell ref="AO235:AV235"/>
    <mergeCell ref="AW235:AY235"/>
    <mergeCell ref="AZ235:BO235"/>
    <mergeCell ref="AA233:AD233"/>
    <mergeCell ref="AK233:AN233"/>
    <mergeCell ref="AO233:AV233"/>
    <mergeCell ref="AW233:AY233"/>
    <mergeCell ref="AZ233:BO233"/>
    <mergeCell ref="D234:H234"/>
    <mergeCell ref="I234:P234"/>
    <mergeCell ref="Q234:X234"/>
    <mergeCell ref="Y234:Z234"/>
    <mergeCell ref="AA234:AD234"/>
    <mergeCell ref="AE235:AG235"/>
    <mergeCell ref="AO221:AV221"/>
    <mergeCell ref="AW221:AY221"/>
    <mergeCell ref="AZ221:BO221"/>
    <mergeCell ref="D222:H222"/>
    <mergeCell ref="I222:P222"/>
    <mergeCell ref="Q222:X222"/>
    <mergeCell ref="Y222:Z222"/>
    <mergeCell ref="AA222:AD222"/>
    <mergeCell ref="AE224:AG224"/>
    <mergeCell ref="AH224:AJ224"/>
    <mergeCell ref="AK224:AN224"/>
    <mergeCell ref="AO224:AV224"/>
    <mergeCell ref="AW224:AY224"/>
    <mergeCell ref="AZ224:BO224"/>
    <mergeCell ref="AE223:AG223"/>
    <mergeCell ref="AH223:AJ223"/>
    <mergeCell ref="AA227:AD227"/>
    <mergeCell ref="AK227:AN227"/>
    <mergeCell ref="AO227:AV227"/>
    <mergeCell ref="AW227:AY227"/>
    <mergeCell ref="AZ227:BO227"/>
    <mergeCell ref="AA225:AD225"/>
    <mergeCell ref="AK225:AN225"/>
    <mergeCell ref="AO225:AV225"/>
    <mergeCell ref="AW225:AY225"/>
    <mergeCell ref="AZ225:BO225"/>
    <mergeCell ref="D226:H226"/>
    <mergeCell ref="I226:P226"/>
    <mergeCell ref="Q226:X226"/>
    <mergeCell ref="Y226:Z226"/>
    <mergeCell ref="AA226:AD226"/>
    <mergeCell ref="AE227:AG227"/>
    <mergeCell ref="AO213:AV213"/>
    <mergeCell ref="AW213:AY213"/>
    <mergeCell ref="AZ213:BO213"/>
    <mergeCell ref="D214:H214"/>
    <mergeCell ref="I214:P214"/>
    <mergeCell ref="Q214:X214"/>
    <mergeCell ref="Y214:Z214"/>
    <mergeCell ref="AA214:AD214"/>
    <mergeCell ref="AE216:AG216"/>
    <mergeCell ref="AH216:AJ216"/>
    <mergeCell ref="AK216:AN216"/>
    <mergeCell ref="AO216:AV216"/>
    <mergeCell ref="AW216:AY216"/>
    <mergeCell ref="AZ216:BO216"/>
    <mergeCell ref="AE215:AG215"/>
    <mergeCell ref="AH215:AJ215"/>
    <mergeCell ref="AA219:AD219"/>
    <mergeCell ref="AK219:AN219"/>
    <mergeCell ref="AO219:AV219"/>
    <mergeCell ref="AW219:AY219"/>
    <mergeCell ref="AZ219:BO219"/>
    <mergeCell ref="AA217:AD217"/>
    <mergeCell ref="AK217:AN217"/>
    <mergeCell ref="AO217:AV217"/>
    <mergeCell ref="AW217:AY217"/>
    <mergeCell ref="AZ217:BO217"/>
    <mergeCell ref="D218:H218"/>
    <mergeCell ref="I218:P218"/>
    <mergeCell ref="Q218:X218"/>
    <mergeCell ref="Y218:Z218"/>
    <mergeCell ref="AA218:AD218"/>
    <mergeCell ref="AE219:AG219"/>
    <mergeCell ref="AO205:AV205"/>
    <mergeCell ref="AW205:AY205"/>
    <mergeCell ref="AZ205:BO205"/>
    <mergeCell ref="D206:H206"/>
    <mergeCell ref="I206:P206"/>
    <mergeCell ref="Q206:X206"/>
    <mergeCell ref="Y206:Z206"/>
    <mergeCell ref="AA206:AD206"/>
    <mergeCell ref="AE208:AG208"/>
    <mergeCell ref="AH208:AJ208"/>
    <mergeCell ref="AK208:AN208"/>
    <mergeCell ref="AO208:AV208"/>
    <mergeCell ref="AW208:AY208"/>
    <mergeCell ref="AZ208:BO208"/>
    <mergeCell ref="AE207:AG207"/>
    <mergeCell ref="AH207:AJ207"/>
    <mergeCell ref="AA211:AD211"/>
    <mergeCell ref="AK211:AN211"/>
    <mergeCell ref="AO211:AV211"/>
    <mergeCell ref="AW211:AY211"/>
    <mergeCell ref="AZ211:BO211"/>
    <mergeCell ref="AA209:AD209"/>
    <mergeCell ref="AK209:AN209"/>
    <mergeCell ref="AO209:AV209"/>
    <mergeCell ref="AW209:AY209"/>
    <mergeCell ref="AZ209:BO209"/>
    <mergeCell ref="D210:H210"/>
    <mergeCell ref="I210:P210"/>
    <mergeCell ref="Q210:X210"/>
    <mergeCell ref="Y210:Z210"/>
    <mergeCell ref="AA210:AD210"/>
    <mergeCell ref="AE211:AG211"/>
    <mergeCell ref="AO197:AV197"/>
    <mergeCell ref="AW197:AY197"/>
    <mergeCell ref="AZ197:BO197"/>
    <mergeCell ref="D198:H198"/>
    <mergeCell ref="I198:P198"/>
    <mergeCell ref="Q198:X198"/>
    <mergeCell ref="Y198:Z198"/>
    <mergeCell ref="AA198:AD198"/>
    <mergeCell ref="AE200:AG200"/>
    <mergeCell ref="AH200:AJ200"/>
    <mergeCell ref="AK200:AN200"/>
    <mergeCell ref="AO200:AV200"/>
    <mergeCell ref="AW200:AY200"/>
    <mergeCell ref="AZ200:BO200"/>
    <mergeCell ref="AE199:AG199"/>
    <mergeCell ref="AH199:AJ199"/>
    <mergeCell ref="AA203:AD203"/>
    <mergeCell ref="AK203:AN203"/>
    <mergeCell ref="AO203:AV203"/>
    <mergeCell ref="AW203:AY203"/>
    <mergeCell ref="AZ203:BO203"/>
    <mergeCell ref="AA201:AD201"/>
    <mergeCell ref="AK201:AN201"/>
    <mergeCell ref="AO201:AV201"/>
    <mergeCell ref="AW201:AY201"/>
    <mergeCell ref="AZ201:BO201"/>
    <mergeCell ref="D202:H202"/>
    <mergeCell ref="I202:P202"/>
    <mergeCell ref="Q202:X202"/>
    <mergeCell ref="Y202:Z202"/>
    <mergeCell ref="AA202:AD202"/>
    <mergeCell ref="AE203:AG203"/>
    <mergeCell ref="AO189:AV189"/>
    <mergeCell ref="AW189:AY189"/>
    <mergeCell ref="AZ189:BO189"/>
    <mergeCell ref="D190:H190"/>
    <mergeCell ref="I190:P190"/>
    <mergeCell ref="Q190:X190"/>
    <mergeCell ref="Y190:Z190"/>
    <mergeCell ref="AA190:AD190"/>
    <mergeCell ref="AE192:AG192"/>
    <mergeCell ref="AH192:AJ192"/>
    <mergeCell ref="AK192:AN192"/>
    <mergeCell ref="AO192:AV192"/>
    <mergeCell ref="AW192:AY192"/>
    <mergeCell ref="AZ192:BO192"/>
    <mergeCell ref="AE191:AG191"/>
    <mergeCell ref="AH191:AJ191"/>
    <mergeCell ref="AA195:AD195"/>
    <mergeCell ref="AK195:AN195"/>
    <mergeCell ref="AO195:AV195"/>
    <mergeCell ref="AW195:AY195"/>
    <mergeCell ref="AZ195:BO195"/>
    <mergeCell ref="AA193:AD193"/>
    <mergeCell ref="AK193:AN193"/>
    <mergeCell ref="AO193:AV193"/>
    <mergeCell ref="AW193:AY193"/>
    <mergeCell ref="AZ193:BO193"/>
    <mergeCell ref="D194:H194"/>
    <mergeCell ref="I194:P194"/>
    <mergeCell ref="Q194:X194"/>
    <mergeCell ref="Y194:Z194"/>
    <mergeCell ref="AA194:AD194"/>
    <mergeCell ref="AE195:AG195"/>
    <mergeCell ref="AO181:AV181"/>
    <mergeCell ref="AW181:AY181"/>
    <mergeCell ref="AZ181:BO181"/>
    <mergeCell ref="D182:H182"/>
    <mergeCell ref="I182:P182"/>
    <mergeCell ref="Q182:X182"/>
    <mergeCell ref="Y182:Z182"/>
    <mergeCell ref="AA182:AD182"/>
    <mergeCell ref="AE184:AG184"/>
    <mergeCell ref="AH184:AJ184"/>
    <mergeCell ref="AK184:AN184"/>
    <mergeCell ref="AO184:AV184"/>
    <mergeCell ref="AW184:AY184"/>
    <mergeCell ref="AZ184:BO184"/>
    <mergeCell ref="AE183:AG183"/>
    <mergeCell ref="AH183:AJ183"/>
    <mergeCell ref="AA187:AD187"/>
    <mergeCell ref="AK187:AN187"/>
    <mergeCell ref="AO187:AV187"/>
    <mergeCell ref="AW187:AY187"/>
    <mergeCell ref="AZ187:BO187"/>
    <mergeCell ref="AA185:AD185"/>
    <mergeCell ref="AK185:AN185"/>
    <mergeCell ref="AO185:AV185"/>
    <mergeCell ref="AW185:AY185"/>
    <mergeCell ref="AZ185:BO185"/>
    <mergeCell ref="D186:H186"/>
    <mergeCell ref="I186:P186"/>
    <mergeCell ref="Q186:X186"/>
    <mergeCell ref="Y186:Z186"/>
    <mergeCell ref="AA186:AD186"/>
    <mergeCell ref="AE187:AG187"/>
    <mergeCell ref="AO173:AV173"/>
    <mergeCell ref="AW173:AY173"/>
    <mergeCell ref="AZ173:BO173"/>
    <mergeCell ref="D174:H174"/>
    <mergeCell ref="I174:P174"/>
    <mergeCell ref="Q174:X174"/>
    <mergeCell ref="Y174:Z174"/>
    <mergeCell ref="AA174:AD174"/>
    <mergeCell ref="AE176:AG176"/>
    <mergeCell ref="AH176:AJ176"/>
    <mergeCell ref="AK176:AN176"/>
    <mergeCell ref="AO176:AV176"/>
    <mergeCell ref="AW176:AY176"/>
    <mergeCell ref="AZ176:BO176"/>
    <mergeCell ref="AE175:AG175"/>
    <mergeCell ref="AH175:AJ175"/>
    <mergeCell ref="AA179:AD179"/>
    <mergeCell ref="AK179:AN179"/>
    <mergeCell ref="AO179:AV179"/>
    <mergeCell ref="AW179:AY179"/>
    <mergeCell ref="AZ179:BO179"/>
    <mergeCell ref="AA177:AD177"/>
    <mergeCell ref="AK177:AN177"/>
    <mergeCell ref="AO177:AV177"/>
    <mergeCell ref="AW177:AY177"/>
    <mergeCell ref="AZ177:BO177"/>
    <mergeCell ref="D178:H178"/>
    <mergeCell ref="I178:P178"/>
    <mergeCell ref="Q178:X178"/>
    <mergeCell ref="Y178:Z178"/>
    <mergeCell ref="AA178:AD178"/>
    <mergeCell ref="AE179:AG179"/>
    <mergeCell ref="AO165:AV165"/>
    <mergeCell ref="AW165:AY165"/>
    <mergeCell ref="AZ165:BO165"/>
    <mergeCell ref="D166:H166"/>
    <mergeCell ref="I166:P166"/>
    <mergeCell ref="Q166:X166"/>
    <mergeCell ref="Y166:Z166"/>
    <mergeCell ref="AA166:AD166"/>
    <mergeCell ref="AE168:AG168"/>
    <mergeCell ref="AH168:AJ168"/>
    <mergeCell ref="AK168:AN168"/>
    <mergeCell ref="AO168:AV168"/>
    <mergeCell ref="AW168:AY168"/>
    <mergeCell ref="AZ168:BO168"/>
    <mergeCell ref="AE167:AG167"/>
    <mergeCell ref="AH167:AJ167"/>
    <mergeCell ref="AA171:AD171"/>
    <mergeCell ref="AK171:AN171"/>
    <mergeCell ref="AO171:AV171"/>
    <mergeCell ref="AW171:AY171"/>
    <mergeCell ref="AZ171:BO171"/>
    <mergeCell ref="AA169:AD169"/>
    <mergeCell ref="AK169:AN169"/>
    <mergeCell ref="AO169:AV169"/>
    <mergeCell ref="AW169:AY169"/>
    <mergeCell ref="AZ169:BO169"/>
    <mergeCell ref="D170:H170"/>
    <mergeCell ref="I170:P170"/>
    <mergeCell ref="Q170:X170"/>
    <mergeCell ref="Y170:Z170"/>
    <mergeCell ref="AA170:AD170"/>
    <mergeCell ref="AE171:AG171"/>
    <mergeCell ref="AO157:AV157"/>
    <mergeCell ref="AW157:AY157"/>
    <mergeCell ref="AZ157:BO157"/>
    <mergeCell ref="D158:H158"/>
    <mergeCell ref="I158:P158"/>
    <mergeCell ref="Q158:X158"/>
    <mergeCell ref="Y158:Z158"/>
    <mergeCell ref="AA158:AD158"/>
    <mergeCell ref="AE160:AG160"/>
    <mergeCell ref="AH160:AJ160"/>
    <mergeCell ref="AK160:AN160"/>
    <mergeCell ref="AO160:AV160"/>
    <mergeCell ref="AW160:AY160"/>
    <mergeCell ref="AZ160:BO160"/>
    <mergeCell ref="AE159:AG159"/>
    <mergeCell ref="AH159:AJ159"/>
    <mergeCell ref="AA163:AD163"/>
    <mergeCell ref="AK163:AN163"/>
    <mergeCell ref="AO163:AV163"/>
    <mergeCell ref="AW163:AY163"/>
    <mergeCell ref="AZ163:BO163"/>
    <mergeCell ref="AA161:AD161"/>
    <mergeCell ref="AK161:AN161"/>
    <mergeCell ref="AO161:AV161"/>
    <mergeCell ref="AW161:AY161"/>
    <mergeCell ref="AZ161:BO161"/>
    <mergeCell ref="D162:H162"/>
    <mergeCell ref="I162:P162"/>
    <mergeCell ref="Q162:X162"/>
    <mergeCell ref="Y162:Z162"/>
    <mergeCell ref="AA162:AD162"/>
    <mergeCell ref="AE163:AG163"/>
    <mergeCell ref="AO149:AV149"/>
    <mergeCell ref="AW149:AY149"/>
    <mergeCell ref="AZ149:BO149"/>
    <mergeCell ref="D150:H150"/>
    <mergeCell ref="I150:P150"/>
    <mergeCell ref="Q150:X150"/>
    <mergeCell ref="Y150:Z150"/>
    <mergeCell ref="AA150:AD150"/>
    <mergeCell ref="AE152:AG152"/>
    <mergeCell ref="AH152:AJ152"/>
    <mergeCell ref="AK152:AN152"/>
    <mergeCell ref="AO152:AV152"/>
    <mergeCell ref="AW152:AY152"/>
    <mergeCell ref="AZ152:BO152"/>
    <mergeCell ref="AE151:AG151"/>
    <mergeCell ref="AH151:AJ151"/>
    <mergeCell ref="AA155:AD155"/>
    <mergeCell ref="AK155:AN155"/>
    <mergeCell ref="AO155:AV155"/>
    <mergeCell ref="AW155:AY155"/>
    <mergeCell ref="AZ155:BO155"/>
    <mergeCell ref="AA153:AD153"/>
    <mergeCell ref="AK153:AN153"/>
    <mergeCell ref="AO153:AV153"/>
    <mergeCell ref="AW153:AY153"/>
    <mergeCell ref="AZ153:BO153"/>
    <mergeCell ref="D154:H154"/>
    <mergeCell ref="I154:P154"/>
    <mergeCell ref="Q154:X154"/>
    <mergeCell ref="Y154:Z154"/>
    <mergeCell ref="AA154:AD154"/>
    <mergeCell ref="AE155:AG155"/>
    <mergeCell ref="AO141:AV141"/>
    <mergeCell ref="AW141:AY141"/>
    <mergeCell ref="AZ141:BO141"/>
    <mergeCell ref="D142:H142"/>
    <mergeCell ref="I142:P142"/>
    <mergeCell ref="Q142:X142"/>
    <mergeCell ref="Y142:Z142"/>
    <mergeCell ref="AA142:AD142"/>
    <mergeCell ref="AE144:AG144"/>
    <mergeCell ref="AH144:AJ144"/>
    <mergeCell ref="AK144:AN144"/>
    <mergeCell ref="AO144:AV144"/>
    <mergeCell ref="AW144:AY144"/>
    <mergeCell ref="AZ144:BO144"/>
    <mergeCell ref="AE143:AG143"/>
    <mergeCell ref="AH143:AJ143"/>
    <mergeCell ref="AA147:AD147"/>
    <mergeCell ref="AK147:AN147"/>
    <mergeCell ref="AO147:AV147"/>
    <mergeCell ref="AW147:AY147"/>
    <mergeCell ref="AZ147:BO147"/>
    <mergeCell ref="AA145:AD145"/>
    <mergeCell ref="AK145:AN145"/>
    <mergeCell ref="AO145:AV145"/>
    <mergeCell ref="AW145:AY145"/>
    <mergeCell ref="AZ145:BO145"/>
    <mergeCell ref="D146:H146"/>
    <mergeCell ref="I146:P146"/>
    <mergeCell ref="Q146:X146"/>
    <mergeCell ref="Y146:Z146"/>
    <mergeCell ref="AA146:AD146"/>
    <mergeCell ref="AE147:AG147"/>
    <mergeCell ref="AO133:AV133"/>
    <mergeCell ref="AW133:AY133"/>
    <mergeCell ref="AZ133:BO133"/>
    <mergeCell ref="D134:H134"/>
    <mergeCell ref="I134:P134"/>
    <mergeCell ref="Q134:X134"/>
    <mergeCell ref="Y134:Z134"/>
    <mergeCell ref="AA134:AD134"/>
    <mergeCell ref="AE136:AG136"/>
    <mergeCell ref="AH136:AJ136"/>
    <mergeCell ref="AK136:AN136"/>
    <mergeCell ref="AO136:AV136"/>
    <mergeCell ref="AW136:AY136"/>
    <mergeCell ref="AZ136:BO136"/>
    <mergeCell ref="AE135:AG135"/>
    <mergeCell ref="AH135:AJ135"/>
    <mergeCell ref="AA139:AD139"/>
    <mergeCell ref="AK139:AN139"/>
    <mergeCell ref="AO139:AV139"/>
    <mergeCell ref="AW139:AY139"/>
    <mergeCell ref="AZ139:BO139"/>
    <mergeCell ref="AA137:AD137"/>
    <mergeCell ref="AK137:AN137"/>
    <mergeCell ref="AO137:AV137"/>
    <mergeCell ref="AW137:AY137"/>
    <mergeCell ref="AZ137:BO137"/>
    <mergeCell ref="D138:H138"/>
    <mergeCell ref="I138:P138"/>
    <mergeCell ref="Q138:X138"/>
    <mergeCell ref="Y138:Z138"/>
    <mergeCell ref="AA138:AD138"/>
    <mergeCell ref="AE139:AG139"/>
    <mergeCell ref="AO125:AV125"/>
    <mergeCell ref="AW125:AY125"/>
    <mergeCell ref="AZ125:BO125"/>
    <mergeCell ref="D126:H126"/>
    <mergeCell ref="I126:P126"/>
    <mergeCell ref="Q126:X126"/>
    <mergeCell ref="Y126:Z126"/>
    <mergeCell ref="AA126:AD126"/>
    <mergeCell ref="AE128:AG128"/>
    <mergeCell ref="AH128:AJ128"/>
    <mergeCell ref="AK128:AN128"/>
    <mergeCell ref="AO128:AV128"/>
    <mergeCell ref="AW128:AY128"/>
    <mergeCell ref="AZ128:BO128"/>
    <mergeCell ref="AE127:AG127"/>
    <mergeCell ref="AH127:AJ127"/>
    <mergeCell ref="AA131:AD131"/>
    <mergeCell ref="AK131:AN131"/>
    <mergeCell ref="AO131:AV131"/>
    <mergeCell ref="AW131:AY131"/>
    <mergeCell ref="AZ131:BO131"/>
    <mergeCell ref="AA129:AD129"/>
    <mergeCell ref="AK129:AN129"/>
    <mergeCell ref="AO129:AV129"/>
    <mergeCell ref="AW129:AY129"/>
    <mergeCell ref="AZ129:BO129"/>
    <mergeCell ref="D130:H130"/>
    <mergeCell ref="I130:P130"/>
    <mergeCell ref="Q130:X130"/>
    <mergeCell ref="Y130:Z130"/>
    <mergeCell ref="AA130:AD130"/>
    <mergeCell ref="AE131:AG131"/>
    <mergeCell ref="AO117:AV117"/>
    <mergeCell ref="AW117:AY117"/>
    <mergeCell ref="AZ117:BO117"/>
    <mergeCell ref="D118:H118"/>
    <mergeCell ref="I118:P118"/>
    <mergeCell ref="Q118:X118"/>
    <mergeCell ref="Y118:Z118"/>
    <mergeCell ref="AA118:AD118"/>
    <mergeCell ref="AE120:AG120"/>
    <mergeCell ref="AH120:AJ120"/>
    <mergeCell ref="AK120:AN120"/>
    <mergeCell ref="AO120:AV120"/>
    <mergeCell ref="AW120:AY120"/>
    <mergeCell ref="AZ120:BO120"/>
    <mergeCell ref="AE119:AG119"/>
    <mergeCell ref="AH119:AJ119"/>
    <mergeCell ref="AA123:AD123"/>
    <mergeCell ref="AK123:AN123"/>
    <mergeCell ref="AO123:AV123"/>
    <mergeCell ref="AW123:AY123"/>
    <mergeCell ref="AZ123:BO123"/>
    <mergeCell ref="AA121:AD121"/>
    <mergeCell ref="AK121:AN121"/>
    <mergeCell ref="AO121:AV121"/>
    <mergeCell ref="AW121:AY121"/>
    <mergeCell ref="AZ121:BO121"/>
    <mergeCell ref="D122:H122"/>
    <mergeCell ref="I122:P122"/>
    <mergeCell ref="Q122:X122"/>
    <mergeCell ref="Y122:Z122"/>
    <mergeCell ref="AA122:AD122"/>
    <mergeCell ref="AE123:AG123"/>
    <mergeCell ref="AO109:AV109"/>
    <mergeCell ref="AW109:AY109"/>
    <mergeCell ref="AZ109:BO109"/>
    <mergeCell ref="D110:H110"/>
    <mergeCell ref="I110:P110"/>
    <mergeCell ref="Q110:X110"/>
    <mergeCell ref="Y110:Z110"/>
    <mergeCell ref="AA110:AD110"/>
    <mergeCell ref="AE112:AG112"/>
    <mergeCell ref="AH112:AJ112"/>
    <mergeCell ref="AK112:AN112"/>
    <mergeCell ref="AO112:AV112"/>
    <mergeCell ref="AW112:AY112"/>
    <mergeCell ref="AZ112:BO112"/>
    <mergeCell ref="AE111:AG111"/>
    <mergeCell ref="AH111:AJ111"/>
    <mergeCell ref="AA115:AD115"/>
    <mergeCell ref="AK115:AN115"/>
    <mergeCell ref="AO115:AV115"/>
    <mergeCell ref="AW115:AY115"/>
    <mergeCell ref="AZ115:BO115"/>
    <mergeCell ref="AA113:AD113"/>
    <mergeCell ref="AK113:AN113"/>
    <mergeCell ref="AO113:AV113"/>
    <mergeCell ref="AW113:AY113"/>
    <mergeCell ref="AZ113:BO113"/>
    <mergeCell ref="D114:H114"/>
    <mergeCell ref="I114:P114"/>
    <mergeCell ref="Q114:X114"/>
    <mergeCell ref="Y114:Z114"/>
    <mergeCell ref="AA114:AD114"/>
    <mergeCell ref="AE115:AG115"/>
    <mergeCell ref="AO101:AV101"/>
    <mergeCell ref="AW101:AY101"/>
    <mergeCell ref="AZ101:BO101"/>
    <mergeCell ref="D102:H102"/>
    <mergeCell ref="I102:P102"/>
    <mergeCell ref="Q102:X102"/>
    <mergeCell ref="Y102:Z102"/>
    <mergeCell ref="AA102:AD102"/>
    <mergeCell ref="AE104:AG104"/>
    <mergeCell ref="AH104:AJ104"/>
    <mergeCell ref="AK104:AN104"/>
    <mergeCell ref="AO104:AV104"/>
    <mergeCell ref="AW104:AY104"/>
    <mergeCell ref="AZ104:BO104"/>
    <mergeCell ref="AE103:AG103"/>
    <mergeCell ref="AH103:AJ103"/>
    <mergeCell ref="AA107:AD107"/>
    <mergeCell ref="AK107:AN107"/>
    <mergeCell ref="AO107:AV107"/>
    <mergeCell ref="AW107:AY107"/>
    <mergeCell ref="AZ107:BO107"/>
    <mergeCell ref="AA105:AD105"/>
    <mergeCell ref="AK105:AN105"/>
    <mergeCell ref="AO105:AV105"/>
    <mergeCell ref="AW105:AY105"/>
    <mergeCell ref="AZ105:BO105"/>
    <mergeCell ref="D106:H106"/>
    <mergeCell ref="I106:P106"/>
    <mergeCell ref="Q106:X106"/>
    <mergeCell ref="Y106:Z106"/>
    <mergeCell ref="AA106:AD106"/>
    <mergeCell ref="AE107:AG107"/>
    <mergeCell ref="AO93:AV93"/>
    <mergeCell ref="AW93:AY93"/>
    <mergeCell ref="AZ93:BO93"/>
    <mergeCell ref="D94:H94"/>
    <mergeCell ref="I94:P94"/>
    <mergeCell ref="Q94:X94"/>
    <mergeCell ref="Y94:Z94"/>
    <mergeCell ref="AA94:AD94"/>
    <mergeCell ref="AE96:AG96"/>
    <mergeCell ref="AH96:AJ96"/>
    <mergeCell ref="AK96:AN96"/>
    <mergeCell ref="AO96:AV96"/>
    <mergeCell ref="AW96:AY96"/>
    <mergeCell ref="AZ96:BO96"/>
    <mergeCell ref="AE95:AG95"/>
    <mergeCell ref="AH95:AJ95"/>
    <mergeCell ref="AA99:AD99"/>
    <mergeCell ref="AK99:AN99"/>
    <mergeCell ref="AO99:AV99"/>
    <mergeCell ref="AW99:AY99"/>
    <mergeCell ref="AZ99:BO99"/>
    <mergeCell ref="AA97:AD97"/>
    <mergeCell ref="AK97:AN97"/>
    <mergeCell ref="AO97:AV97"/>
    <mergeCell ref="AW97:AY97"/>
    <mergeCell ref="AZ97:BO97"/>
    <mergeCell ref="D98:H98"/>
    <mergeCell ref="I98:P98"/>
    <mergeCell ref="Q98:X98"/>
    <mergeCell ref="Y98:Z98"/>
    <mergeCell ref="AA98:AD98"/>
    <mergeCell ref="AE99:AG99"/>
    <mergeCell ref="AO85:AV85"/>
    <mergeCell ref="AW85:AY85"/>
    <mergeCell ref="AZ85:BO85"/>
    <mergeCell ref="D86:H86"/>
    <mergeCell ref="I86:P86"/>
    <mergeCell ref="Q86:X86"/>
    <mergeCell ref="Y86:Z86"/>
    <mergeCell ref="AA86:AD86"/>
    <mergeCell ref="AE88:AG88"/>
    <mergeCell ref="AH88:AJ88"/>
    <mergeCell ref="AK88:AN88"/>
    <mergeCell ref="AO88:AV88"/>
    <mergeCell ref="AW88:AY88"/>
    <mergeCell ref="AZ88:BO88"/>
    <mergeCell ref="AE87:AG87"/>
    <mergeCell ref="AH87:AJ87"/>
    <mergeCell ref="AA91:AD91"/>
    <mergeCell ref="AK91:AN91"/>
    <mergeCell ref="AO91:AV91"/>
    <mergeCell ref="AW91:AY91"/>
    <mergeCell ref="AZ91:BO91"/>
    <mergeCell ref="AA89:AD89"/>
    <mergeCell ref="AK89:AN89"/>
    <mergeCell ref="AO89:AV89"/>
    <mergeCell ref="AW89:AY89"/>
    <mergeCell ref="AZ89:BO89"/>
    <mergeCell ref="D90:H90"/>
    <mergeCell ref="I90:P90"/>
    <mergeCell ref="Q90:X90"/>
    <mergeCell ref="Y90:Z90"/>
    <mergeCell ref="AA90:AD90"/>
    <mergeCell ref="AE91:AG91"/>
    <mergeCell ref="AO77:AV77"/>
    <mergeCell ref="AW77:AY77"/>
    <mergeCell ref="AZ77:BO77"/>
    <mergeCell ref="D78:H78"/>
    <mergeCell ref="I78:P78"/>
    <mergeCell ref="Q78:X78"/>
    <mergeCell ref="Y78:Z78"/>
    <mergeCell ref="AA78:AD78"/>
    <mergeCell ref="AE80:AG80"/>
    <mergeCell ref="AH80:AJ80"/>
    <mergeCell ref="AK80:AN80"/>
    <mergeCell ref="AO80:AV80"/>
    <mergeCell ref="AW80:AY80"/>
    <mergeCell ref="AZ80:BO80"/>
    <mergeCell ref="AE79:AG79"/>
    <mergeCell ref="AH79:AJ79"/>
    <mergeCell ref="AA83:AD83"/>
    <mergeCell ref="AK83:AN83"/>
    <mergeCell ref="AO83:AV83"/>
    <mergeCell ref="AW83:AY83"/>
    <mergeCell ref="AZ83:BO83"/>
    <mergeCell ref="AA81:AD81"/>
    <mergeCell ref="AK81:AN81"/>
    <mergeCell ref="AO81:AV81"/>
    <mergeCell ref="AW81:AY81"/>
    <mergeCell ref="AZ81:BO81"/>
    <mergeCell ref="D82:H82"/>
    <mergeCell ref="I82:P82"/>
    <mergeCell ref="Q82:X82"/>
    <mergeCell ref="Y82:Z82"/>
    <mergeCell ref="AA82:AD82"/>
    <mergeCell ref="AE83:AG83"/>
    <mergeCell ref="AO69:AV69"/>
    <mergeCell ref="AW69:AY69"/>
    <mergeCell ref="AZ69:BO69"/>
    <mergeCell ref="D70:H70"/>
    <mergeCell ref="I70:P70"/>
    <mergeCell ref="Q70:X70"/>
    <mergeCell ref="Y70:Z70"/>
    <mergeCell ref="AA70:AD70"/>
    <mergeCell ref="AE72:AG72"/>
    <mergeCell ref="AH72:AJ72"/>
    <mergeCell ref="AK72:AN72"/>
    <mergeCell ref="AO72:AV72"/>
    <mergeCell ref="AW72:AY72"/>
    <mergeCell ref="AZ72:BO72"/>
    <mergeCell ref="AE71:AG71"/>
    <mergeCell ref="AH71:AJ71"/>
    <mergeCell ref="AA75:AD75"/>
    <mergeCell ref="AK75:AN75"/>
    <mergeCell ref="AO75:AV75"/>
    <mergeCell ref="AW75:AY75"/>
    <mergeCell ref="AZ75:BO75"/>
    <mergeCell ref="AA73:AD73"/>
    <mergeCell ref="AK73:AN73"/>
    <mergeCell ref="AO73:AV73"/>
    <mergeCell ref="AW73:AY73"/>
    <mergeCell ref="AZ73:BO73"/>
    <mergeCell ref="D74:H74"/>
    <mergeCell ref="I74:P74"/>
    <mergeCell ref="Q74:X74"/>
    <mergeCell ref="Y74:Z74"/>
    <mergeCell ref="AA74:AD74"/>
    <mergeCell ref="AE75:AG75"/>
    <mergeCell ref="AO61:AV61"/>
    <mergeCell ref="AW61:AY61"/>
    <mergeCell ref="AZ61:BO61"/>
    <mergeCell ref="D62:H62"/>
    <mergeCell ref="I62:P62"/>
    <mergeCell ref="Q62:X62"/>
    <mergeCell ref="Y62:Z62"/>
    <mergeCell ref="AA62:AD62"/>
    <mergeCell ref="AE64:AG64"/>
    <mergeCell ref="AH64:AJ64"/>
    <mergeCell ref="AK64:AN64"/>
    <mergeCell ref="AO64:AV64"/>
    <mergeCell ref="AW64:AY64"/>
    <mergeCell ref="AZ64:BO64"/>
    <mergeCell ref="AE63:AG63"/>
    <mergeCell ref="AH63:AJ63"/>
    <mergeCell ref="AA67:AD67"/>
    <mergeCell ref="AK67:AN67"/>
    <mergeCell ref="AO67:AV67"/>
    <mergeCell ref="AW67:AY67"/>
    <mergeCell ref="AZ67:BO67"/>
    <mergeCell ref="AA65:AD65"/>
    <mergeCell ref="AK65:AN65"/>
    <mergeCell ref="AO65:AV65"/>
    <mergeCell ref="AW65:AY65"/>
    <mergeCell ref="AZ65:BO65"/>
    <mergeCell ref="D66:H66"/>
    <mergeCell ref="I66:P66"/>
    <mergeCell ref="Q66:X66"/>
    <mergeCell ref="Y66:Z66"/>
    <mergeCell ref="AA66:AD66"/>
    <mergeCell ref="AE67:AG67"/>
    <mergeCell ref="AO53:AV53"/>
    <mergeCell ref="AW53:AY53"/>
    <mergeCell ref="AZ53:BO53"/>
    <mergeCell ref="D54:H54"/>
    <mergeCell ref="I54:P54"/>
    <mergeCell ref="Q54:X54"/>
    <mergeCell ref="Y54:Z54"/>
    <mergeCell ref="AA54:AD54"/>
    <mergeCell ref="AE56:AG56"/>
    <mergeCell ref="AH56:AJ56"/>
    <mergeCell ref="AK56:AN56"/>
    <mergeCell ref="AO56:AV56"/>
    <mergeCell ref="AW56:AY56"/>
    <mergeCell ref="AZ56:BO56"/>
    <mergeCell ref="AE55:AG55"/>
    <mergeCell ref="AH55:AJ55"/>
    <mergeCell ref="AA59:AD59"/>
    <mergeCell ref="AK59:AN59"/>
    <mergeCell ref="AO59:AV59"/>
    <mergeCell ref="AW59:AY59"/>
    <mergeCell ref="AZ59:BO59"/>
    <mergeCell ref="AA57:AD57"/>
    <mergeCell ref="AK57:AN57"/>
    <mergeCell ref="AO57:AV57"/>
    <mergeCell ref="AW57:AY57"/>
    <mergeCell ref="AZ57:BO57"/>
    <mergeCell ref="D58:H58"/>
    <mergeCell ref="I58:P58"/>
    <mergeCell ref="Q58:X58"/>
    <mergeCell ref="Y58:Z58"/>
    <mergeCell ref="AA58:AD58"/>
    <mergeCell ref="AE59:AG59"/>
    <mergeCell ref="AO45:AV45"/>
    <mergeCell ref="AW45:AY45"/>
    <mergeCell ref="AZ45:BO45"/>
    <mergeCell ref="D46:H46"/>
    <mergeCell ref="I46:P46"/>
    <mergeCell ref="Q46:X46"/>
    <mergeCell ref="Y46:Z46"/>
    <mergeCell ref="AA46:AD46"/>
    <mergeCell ref="AE48:AG48"/>
    <mergeCell ref="AH48:AJ48"/>
    <mergeCell ref="AK48:AN48"/>
    <mergeCell ref="AO48:AV48"/>
    <mergeCell ref="AW48:AY48"/>
    <mergeCell ref="AZ48:BO48"/>
    <mergeCell ref="AE47:AG47"/>
    <mergeCell ref="AH47:AJ47"/>
    <mergeCell ref="AA51:AD51"/>
    <mergeCell ref="AK51:AN51"/>
    <mergeCell ref="AO51:AV51"/>
    <mergeCell ref="AW51:AY51"/>
    <mergeCell ref="AZ51:BO51"/>
    <mergeCell ref="AA49:AD49"/>
    <mergeCell ref="AK49:AN49"/>
    <mergeCell ref="AO49:AV49"/>
    <mergeCell ref="AW49:AY49"/>
    <mergeCell ref="AZ49:BO49"/>
    <mergeCell ref="D50:H50"/>
    <mergeCell ref="I50:P50"/>
    <mergeCell ref="Q50:X50"/>
    <mergeCell ref="Y50:Z50"/>
    <mergeCell ref="AA50:AD50"/>
    <mergeCell ref="AE51:AG51"/>
    <mergeCell ref="AO37:AV37"/>
    <mergeCell ref="AW37:AY37"/>
    <mergeCell ref="AZ37:BO37"/>
    <mergeCell ref="D38:H38"/>
    <mergeCell ref="I38:P38"/>
    <mergeCell ref="Q38:X38"/>
    <mergeCell ref="Y38:Z38"/>
    <mergeCell ref="AA38:AD38"/>
    <mergeCell ref="AE40:AG40"/>
    <mergeCell ref="AH40:AJ40"/>
    <mergeCell ref="AK40:AN40"/>
    <mergeCell ref="AO40:AV40"/>
    <mergeCell ref="AW40:AY40"/>
    <mergeCell ref="AZ40:BO40"/>
    <mergeCell ref="AE39:AG39"/>
    <mergeCell ref="AH39:AJ39"/>
    <mergeCell ref="AA43:AD43"/>
    <mergeCell ref="AK43:AN43"/>
    <mergeCell ref="AO43:AV43"/>
    <mergeCell ref="AW43:AY43"/>
    <mergeCell ref="AZ43:BO43"/>
    <mergeCell ref="AA41:AD41"/>
    <mergeCell ref="AK41:AN41"/>
    <mergeCell ref="AO41:AV41"/>
    <mergeCell ref="AW41:AY41"/>
    <mergeCell ref="AZ41:BO41"/>
    <mergeCell ref="D42:H42"/>
    <mergeCell ref="I42:P42"/>
    <mergeCell ref="Q42:X42"/>
    <mergeCell ref="Y42:Z42"/>
    <mergeCell ref="AA42:AD42"/>
    <mergeCell ref="AE43:AG43"/>
    <mergeCell ref="AO29:AV29"/>
    <mergeCell ref="AW29:AY29"/>
    <mergeCell ref="AZ29:BO29"/>
    <mergeCell ref="D30:H30"/>
    <mergeCell ref="I30:P30"/>
    <mergeCell ref="Q30:X30"/>
    <mergeCell ref="Y30:Z30"/>
    <mergeCell ref="AA30:AD30"/>
    <mergeCell ref="AE32:AG32"/>
    <mergeCell ref="AH32:AJ32"/>
    <mergeCell ref="AK32:AN32"/>
    <mergeCell ref="AO32:AV32"/>
    <mergeCell ref="AW32:AY32"/>
    <mergeCell ref="AZ32:BO32"/>
    <mergeCell ref="AE31:AG31"/>
    <mergeCell ref="AH31:AJ31"/>
    <mergeCell ref="AA35:AD35"/>
    <mergeCell ref="AK35:AN35"/>
    <mergeCell ref="AO35:AV35"/>
    <mergeCell ref="AW35:AY35"/>
    <mergeCell ref="AZ35:BO35"/>
    <mergeCell ref="AA33:AD33"/>
    <mergeCell ref="AK33:AN33"/>
    <mergeCell ref="AO33:AV33"/>
    <mergeCell ref="AW33:AY33"/>
    <mergeCell ref="AZ33:BO33"/>
    <mergeCell ref="D34:H34"/>
    <mergeCell ref="I34:P34"/>
    <mergeCell ref="Q34:X34"/>
    <mergeCell ref="Y34:Z34"/>
    <mergeCell ref="AA34:AD34"/>
    <mergeCell ref="AE35:AG35"/>
    <mergeCell ref="I26:P26"/>
    <mergeCell ref="Q26:X26"/>
    <mergeCell ref="Y26:Z26"/>
    <mergeCell ref="AA26:AD26"/>
    <mergeCell ref="AW19:AY19"/>
    <mergeCell ref="AW20:AY20"/>
    <mergeCell ref="AW21:AY21"/>
    <mergeCell ref="AW22:AY22"/>
    <mergeCell ref="AW23:AY23"/>
    <mergeCell ref="AW24:AY24"/>
    <mergeCell ref="AO22:AV22"/>
    <mergeCell ref="AO23:AV23"/>
    <mergeCell ref="AO24:AV24"/>
    <mergeCell ref="AO25:AV25"/>
    <mergeCell ref="U6:Y6"/>
    <mergeCell ref="Z6:AI6"/>
    <mergeCell ref="A7:G8"/>
    <mergeCell ref="H7:S8"/>
    <mergeCell ref="U7:Y7"/>
    <mergeCell ref="Z7:AI7"/>
    <mergeCell ref="U8:Y8"/>
    <mergeCell ref="Z8:AI8"/>
    <mergeCell ref="D22:H22"/>
    <mergeCell ref="D23:H23"/>
    <mergeCell ref="D24:H24"/>
    <mergeCell ref="D25:H25"/>
    <mergeCell ref="Q20:X20"/>
    <mergeCell ref="AO16:AV16"/>
    <mergeCell ref="AO17:AV17"/>
    <mergeCell ref="AO18:AV18"/>
    <mergeCell ref="AO21:AV21"/>
    <mergeCell ref="AK21:AN21"/>
    <mergeCell ref="AZ22:BO22"/>
    <mergeCell ref="AZ23:BO23"/>
    <mergeCell ref="AZ24:BO24"/>
    <mergeCell ref="AZ25:BO25"/>
    <mergeCell ref="AK25:AN25"/>
    <mergeCell ref="AO13:AV13"/>
    <mergeCell ref="AO14:AV14"/>
    <mergeCell ref="AO15:AV15"/>
    <mergeCell ref="A5:G5"/>
    <mergeCell ref="H5:S5"/>
    <mergeCell ref="U5:Y5"/>
    <mergeCell ref="Z5:AI5"/>
    <mergeCell ref="A6:G6"/>
    <mergeCell ref="H6:S6"/>
    <mergeCell ref="AW25:AY25"/>
    <mergeCell ref="AZ13:BO13"/>
    <mergeCell ref="AZ14:BO14"/>
    <mergeCell ref="AZ15:BO15"/>
    <mergeCell ref="AZ16:BO16"/>
    <mergeCell ref="AZ17:BO17"/>
    <mergeCell ref="AZ18:BO18"/>
    <mergeCell ref="AZ19:BO19"/>
    <mergeCell ref="AZ20:BO20"/>
    <mergeCell ref="AZ21:BO21"/>
    <mergeCell ref="AW16:AY16"/>
    <mergeCell ref="AW17:AY17"/>
    <mergeCell ref="AW18:AY18"/>
    <mergeCell ref="I21:P21"/>
    <mergeCell ref="I22:P22"/>
    <mergeCell ref="I23:P23"/>
    <mergeCell ref="I24:P24"/>
    <mergeCell ref="I25:P25"/>
    <mergeCell ref="AK22:AN22"/>
    <mergeCell ref="AK23:AN23"/>
    <mergeCell ref="AK24:AN24"/>
    <mergeCell ref="Y25:Z25"/>
    <mergeCell ref="AK16:AN16"/>
    <mergeCell ref="AK17:AN17"/>
    <mergeCell ref="AA25:AD25"/>
    <mergeCell ref="Y19:Z19"/>
    <mergeCell ref="Y20:Z20"/>
    <mergeCell ref="Y21:Z21"/>
    <mergeCell ref="AK12:AN12"/>
    <mergeCell ref="AO12:AV12"/>
    <mergeCell ref="AE25:AG25"/>
    <mergeCell ref="AH25:AJ25"/>
    <mergeCell ref="AA15:AD15"/>
    <mergeCell ref="AA16:AD16"/>
    <mergeCell ref="AA17:AD17"/>
    <mergeCell ref="AA18:AD18"/>
    <mergeCell ref="AA19:AD19"/>
    <mergeCell ref="AA20:AD20"/>
    <mergeCell ref="AA21:AD21"/>
    <mergeCell ref="AA14:AD14"/>
    <mergeCell ref="I20:P20"/>
    <mergeCell ref="AE13:AG13"/>
    <mergeCell ref="AE14:AG14"/>
    <mergeCell ref="AH13:AJ13"/>
    <mergeCell ref="AH14:AJ14"/>
    <mergeCell ref="AK13:AN13"/>
    <mergeCell ref="AW13:AY13"/>
    <mergeCell ref="AW14:AY14"/>
    <mergeCell ref="AW15:AY15"/>
    <mergeCell ref="AK14:AN14"/>
    <mergeCell ref="AK15:AN15"/>
    <mergeCell ref="Y13:Z13"/>
    <mergeCell ref="Y14:Z14"/>
    <mergeCell ref="Y15:Z15"/>
    <mergeCell ref="AO19:AV19"/>
    <mergeCell ref="AO20:AV20"/>
    <mergeCell ref="AK19:AN19"/>
    <mergeCell ref="AK20:AN20"/>
    <mergeCell ref="AE20:AG20"/>
    <mergeCell ref="AH20:AJ20"/>
    <mergeCell ref="AE19:AG19"/>
    <mergeCell ref="AH19:AJ19"/>
    <mergeCell ref="I18:P18"/>
    <mergeCell ref="Y16:Z16"/>
    <mergeCell ref="Y17:Z17"/>
    <mergeCell ref="Y18:Z18"/>
    <mergeCell ref="Q13:X13"/>
    <mergeCell ref="Q14:X14"/>
    <mergeCell ref="AW510:AY510"/>
    <mergeCell ref="AZ510:BO510"/>
    <mergeCell ref="AE509:AG509"/>
    <mergeCell ref="AH509:AJ509"/>
    <mergeCell ref="B510:C510"/>
    <mergeCell ref="B509:C509"/>
    <mergeCell ref="D509:H509"/>
    <mergeCell ref="I509:P509"/>
    <mergeCell ref="Q509:X509"/>
    <mergeCell ref="Y509:Z509"/>
    <mergeCell ref="AA511:AD511"/>
    <mergeCell ref="AK511:AN511"/>
    <mergeCell ref="AO511:AV511"/>
    <mergeCell ref="AW511:AY511"/>
    <mergeCell ref="AZ511:BO511"/>
    <mergeCell ref="D512:H512"/>
    <mergeCell ref="I512:P512"/>
    <mergeCell ref="Q512:X512"/>
    <mergeCell ref="Y512:Z512"/>
    <mergeCell ref="AA512:AD512"/>
    <mergeCell ref="AA509:AD509"/>
    <mergeCell ref="AK509:AN509"/>
    <mergeCell ref="AE512:AG512"/>
    <mergeCell ref="AH512:AJ512"/>
    <mergeCell ref="AK512:AN512"/>
    <mergeCell ref="AO512:AV512"/>
    <mergeCell ref="AW512:AY512"/>
    <mergeCell ref="AZ512:BO512"/>
    <mergeCell ref="AE511:AG511"/>
    <mergeCell ref="AH511:AJ511"/>
    <mergeCell ref="AW509:AY509"/>
    <mergeCell ref="AZ509:BO509"/>
    <mergeCell ref="AA507:AD507"/>
    <mergeCell ref="AK507:AN507"/>
    <mergeCell ref="AO507:AV507"/>
    <mergeCell ref="B512:C512"/>
    <mergeCell ref="B511:C511"/>
    <mergeCell ref="D511:H511"/>
    <mergeCell ref="I511:P511"/>
    <mergeCell ref="Q511:X511"/>
    <mergeCell ref="Y511:Z511"/>
    <mergeCell ref="AE510:AG510"/>
    <mergeCell ref="AH510:AJ510"/>
    <mergeCell ref="AK510:AN510"/>
    <mergeCell ref="AO510:AV510"/>
    <mergeCell ref="D506:H506"/>
    <mergeCell ref="I506:P506"/>
    <mergeCell ref="Q506:X506"/>
    <mergeCell ref="Y506:Z506"/>
    <mergeCell ref="AA506:AD506"/>
    <mergeCell ref="AE507:AG507"/>
    <mergeCell ref="AO509:AV509"/>
    <mergeCell ref="D510:H510"/>
    <mergeCell ref="I510:P510"/>
    <mergeCell ref="Q510:X510"/>
    <mergeCell ref="Y510:Z510"/>
    <mergeCell ref="AA510:AD510"/>
    <mergeCell ref="AW506:AY506"/>
    <mergeCell ref="AZ506:BO506"/>
    <mergeCell ref="AW508:AY508"/>
    <mergeCell ref="AZ508:BO508"/>
    <mergeCell ref="AW507:AY507"/>
    <mergeCell ref="AZ507:BO507"/>
    <mergeCell ref="B506:C506"/>
    <mergeCell ref="B505:C505"/>
    <mergeCell ref="D505:H505"/>
    <mergeCell ref="I505:P505"/>
    <mergeCell ref="Q505:X505"/>
    <mergeCell ref="Y505:Z505"/>
    <mergeCell ref="D508:H508"/>
    <mergeCell ref="I508:P508"/>
    <mergeCell ref="Q508:X508"/>
    <mergeCell ref="Y508:Z508"/>
    <mergeCell ref="AA508:AD508"/>
    <mergeCell ref="AE508:AG508"/>
    <mergeCell ref="AH508:AJ508"/>
    <mergeCell ref="AK508:AN508"/>
    <mergeCell ref="AO508:AV508"/>
    <mergeCell ref="AH507:AJ507"/>
    <mergeCell ref="B508:C508"/>
    <mergeCell ref="B507:C507"/>
    <mergeCell ref="D507:H507"/>
    <mergeCell ref="I507:P507"/>
    <mergeCell ref="Q507:X507"/>
    <mergeCell ref="Y507:Z507"/>
    <mergeCell ref="AE506:AG506"/>
    <mergeCell ref="AH506:AJ506"/>
    <mergeCell ref="AK506:AN506"/>
    <mergeCell ref="AO506:AV506"/>
    <mergeCell ref="B504:C504"/>
    <mergeCell ref="B503:C503"/>
    <mergeCell ref="D503:H503"/>
    <mergeCell ref="I503:P503"/>
    <mergeCell ref="Q503:X503"/>
    <mergeCell ref="Y503:Z503"/>
    <mergeCell ref="AE502:AG502"/>
    <mergeCell ref="AH502:AJ502"/>
    <mergeCell ref="AK502:AN502"/>
    <mergeCell ref="AO502:AV502"/>
    <mergeCell ref="AW502:AY502"/>
    <mergeCell ref="AZ502:BO502"/>
    <mergeCell ref="AE501:AG501"/>
    <mergeCell ref="AH501:AJ501"/>
    <mergeCell ref="B502:C502"/>
    <mergeCell ref="B501:C501"/>
    <mergeCell ref="D501:H501"/>
    <mergeCell ref="I501:P501"/>
    <mergeCell ref="Q501:X501"/>
    <mergeCell ref="Y501:Z501"/>
    <mergeCell ref="AA503:AD503"/>
    <mergeCell ref="AK503:AN503"/>
    <mergeCell ref="AO503:AV503"/>
    <mergeCell ref="AW503:AY503"/>
    <mergeCell ref="AZ503:BO503"/>
    <mergeCell ref="D504:H504"/>
    <mergeCell ref="I504:P504"/>
    <mergeCell ref="Q504:X504"/>
    <mergeCell ref="Y504:Z504"/>
    <mergeCell ref="AA504:AD504"/>
    <mergeCell ref="AA501:AD501"/>
    <mergeCell ref="AK501:AN501"/>
    <mergeCell ref="B500:C500"/>
    <mergeCell ref="B499:C499"/>
    <mergeCell ref="D499:H499"/>
    <mergeCell ref="I499:P499"/>
    <mergeCell ref="Q499:X499"/>
    <mergeCell ref="Y499:Z499"/>
    <mergeCell ref="AE498:AG498"/>
    <mergeCell ref="AH498:AJ498"/>
    <mergeCell ref="AK498:AN498"/>
    <mergeCell ref="AO498:AV498"/>
    <mergeCell ref="AW498:AY498"/>
    <mergeCell ref="AZ498:BO498"/>
    <mergeCell ref="AE497:AG497"/>
    <mergeCell ref="AH497:AJ497"/>
    <mergeCell ref="B498:C498"/>
    <mergeCell ref="B497:C497"/>
    <mergeCell ref="D497:H497"/>
    <mergeCell ref="I497:P497"/>
    <mergeCell ref="Q497:X497"/>
    <mergeCell ref="Y497:Z497"/>
    <mergeCell ref="D500:H500"/>
    <mergeCell ref="I500:P500"/>
    <mergeCell ref="Q500:X500"/>
    <mergeCell ref="Y500:Z500"/>
    <mergeCell ref="AA500:AD500"/>
    <mergeCell ref="AE500:AG500"/>
    <mergeCell ref="AH500:AJ500"/>
    <mergeCell ref="AK500:AN500"/>
    <mergeCell ref="AO500:AV500"/>
    <mergeCell ref="AW500:AY500"/>
    <mergeCell ref="AZ500:BO500"/>
    <mergeCell ref="AH499:AJ499"/>
    <mergeCell ref="B496:C496"/>
    <mergeCell ref="B495:C495"/>
    <mergeCell ref="D495:H495"/>
    <mergeCell ref="I495:P495"/>
    <mergeCell ref="Q495:X495"/>
    <mergeCell ref="Y495:Z495"/>
    <mergeCell ref="AE494:AG494"/>
    <mergeCell ref="AH494:AJ494"/>
    <mergeCell ref="AK494:AN494"/>
    <mergeCell ref="AO494:AV494"/>
    <mergeCell ref="AW494:AY494"/>
    <mergeCell ref="AZ494:BO494"/>
    <mergeCell ref="AE493:AG493"/>
    <mergeCell ref="AH493:AJ493"/>
    <mergeCell ref="B494:C494"/>
    <mergeCell ref="B493:C493"/>
    <mergeCell ref="D493:H493"/>
    <mergeCell ref="I493:P493"/>
    <mergeCell ref="Q493:X493"/>
    <mergeCell ref="Y493:Z493"/>
    <mergeCell ref="AA495:AD495"/>
    <mergeCell ref="AK495:AN495"/>
    <mergeCell ref="AO495:AV495"/>
    <mergeCell ref="AW495:AY495"/>
    <mergeCell ref="AZ495:BO495"/>
    <mergeCell ref="D496:H496"/>
    <mergeCell ref="I496:P496"/>
    <mergeCell ref="Q496:X496"/>
    <mergeCell ref="Y496:Z496"/>
    <mergeCell ref="AA496:AD496"/>
    <mergeCell ref="AA493:AD493"/>
    <mergeCell ref="AK493:AN493"/>
    <mergeCell ref="B492:C492"/>
    <mergeCell ref="B491:C491"/>
    <mergeCell ref="D491:H491"/>
    <mergeCell ref="I491:P491"/>
    <mergeCell ref="Q491:X491"/>
    <mergeCell ref="Y491:Z491"/>
    <mergeCell ref="AE490:AG490"/>
    <mergeCell ref="AH490:AJ490"/>
    <mergeCell ref="AK490:AN490"/>
    <mergeCell ref="AO490:AV490"/>
    <mergeCell ref="AW490:AY490"/>
    <mergeCell ref="AZ490:BO490"/>
    <mergeCell ref="AE489:AG489"/>
    <mergeCell ref="AH489:AJ489"/>
    <mergeCell ref="B490:C490"/>
    <mergeCell ref="B489:C489"/>
    <mergeCell ref="D489:H489"/>
    <mergeCell ref="I489:P489"/>
    <mergeCell ref="Q489:X489"/>
    <mergeCell ref="Y489:Z489"/>
    <mergeCell ref="D492:H492"/>
    <mergeCell ref="I492:P492"/>
    <mergeCell ref="Q492:X492"/>
    <mergeCell ref="Y492:Z492"/>
    <mergeCell ref="AA492:AD492"/>
    <mergeCell ref="AE492:AG492"/>
    <mergeCell ref="AH492:AJ492"/>
    <mergeCell ref="AK492:AN492"/>
    <mergeCell ref="AO492:AV492"/>
    <mergeCell ref="AW492:AY492"/>
    <mergeCell ref="AZ492:BO492"/>
    <mergeCell ref="AH491:AJ491"/>
    <mergeCell ref="B488:C488"/>
    <mergeCell ref="B487:C487"/>
    <mergeCell ref="D487:H487"/>
    <mergeCell ref="I487:P487"/>
    <mergeCell ref="Q487:X487"/>
    <mergeCell ref="Y487:Z487"/>
    <mergeCell ref="AE486:AG486"/>
    <mergeCell ref="AH486:AJ486"/>
    <mergeCell ref="AK486:AN486"/>
    <mergeCell ref="AO486:AV486"/>
    <mergeCell ref="AW486:AY486"/>
    <mergeCell ref="AZ486:BO486"/>
    <mergeCell ref="AE485:AG485"/>
    <mergeCell ref="AH485:AJ485"/>
    <mergeCell ref="B486:C486"/>
    <mergeCell ref="B485:C485"/>
    <mergeCell ref="D485:H485"/>
    <mergeCell ref="I485:P485"/>
    <mergeCell ref="Q485:X485"/>
    <mergeCell ref="Y485:Z485"/>
    <mergeCell ref="AA487:AD487"/>
    <mergeCell ref="AK487:AN487"/>
    <mergeCell ref="AO487:AV487"/>
    <mergeCell ref="AW487:AY487"/>
    <mergeCell ref="AZ487:BO487"/>
    <mergeCell ref="D488:H488"/>
    <mergeCell ref="I488:P488"/>
    <mergeCell ref="Q488:X488"/>
    <mergeCell ref="Y488:Z488"/>
    <mergeCell ref="AA488:AD488"/>
    <mergeCell ref="AA485:AD485"/>
    <mergeCell ref="AK485:AN485"/>
    <mergeCell ref="B484:C484"/>
    <mergeCell ref="B483:C483"/>
    <mergeCell ref="D483:H483"/>
    <mergeCell ref="I483:P483"/>
    <mergeCell ref="Q483:X483"/>
    <mergeCell ref="Y483:Z483"/>
    <mergeCell ref="AE482:AG482"/>
    <mergeCell ref="AH482:AJ482"/>
    <mergeCell ref="AK482:AN482"/>
    <mergeCell ref="AO482:AV482"/>
    <mergeCell ref="AW482:AY482"/>
    <mergeCell ref="AZ482:BO482"/>
    <mergeCell ref="AE481:AG481"/>
    <mergeCell ref="AH481:AJ481"/>
    <mergeCell ref="B482:C482"/>
    <mergeCell ref="B481:C481"/>
    <mergeCell ref="D481:H481"/>
    <mergeCell ref="I481:P481"/>
    <mergeCell ref="Q481:X481"/>
    <mergeCell ref="Y481:Z481"/>
    <mergeCell ref="D484:H484"/>
    <mergeCell ref="I484:P484"/>
    <mergeCell ref="Q484:X484"/>
    <mergeCell ref="Y484:Z484"/>
    <mergeCell ref="AA484:AD484"/>
    <mergeCell ref="AE484:AG484"/>
    <mergeCell ref="AH484:AJ484"/>
    <mergeCell ref="AK484:AN484"/>
    <mergeCell ref="AO484:AV484"/>
    <mergeCell ref="AW484:AY484"/>
    <mergeCell ref="AZ484:BO484"/>
    <mergeCell ref="AH483:AJ483"/>
    <mergeCell ref="B480:C480"/>
    <mergeCell ref="B479:C479"/>
    <mergeCell ref="D479:H479"/>
    <mergeCell ref="I479:P479"/>
    <mergeCell ref="Q479:X479"/>
    <mergeCell ref="Y479:Z479"/>
    <mergeCell ref="AE478:AG478"/>
    <mergeCell ref="AH478:AJ478"/>
    <mergeCell ref="AK478:AN478"/>
    <mergeCell ref="AO478:AV478"/>
    <mergeCell ref="AW478:AY478"/>
    <mergeCell ref="AZ478:BO478"/>
    <mergeCell ref="AE477:AG477"/>
    <mergeCell ref="AH477:AJ477"/>
    <mergeCell ref="B478:C478"/>
    <mergeCell ref="B477:C477"/>
    <mergeCell ref="D477:H477"/>
    <mergeCell ref="I477:P477"/>
    <mergeCell ref="Q477:X477"/>
    <mergeCell ref="Y477:Z477"/>
    <mergeCell ref="AA479:AD479"/>
    <mergeCell ref="AK479:AN479"/>
    <mergeCell ref="AO479:AV479"/>
    <mergeCell ref="AW479:AY479"/>
    <mergeCell ref="AZ479:BO479"/>
    <mergeCell ref="D480:H480"/>
    <mergeCell ref="I480:P480"/>
    <mergeCell ref="Q480:X480"/>
    <mergeCell ref="Y480:Z480"/>
    <mergeCell ref="AA480:AD480"/>
    <mergeCell ref="AA477:AD477"/>
    <mergeCell ref="AK477:AN477"/>
    <mergeCell ref="B476:C476"/>
    <mergeCell ref="B475:C475"/>
    <mergeCell ref="D475:H475"/>
    <mergeCell ref="I475:P475"/>
    <mergeCell ref="Q475:X475"/>
    <mergeCell ref="Y475:Z475"/>
    <mergeCell ref="AE474:AG474"/>
    <mergeCell ref="AH474:AJ474"/>
    <mergeCell ref="AK474:AN474"/>
    <mergeCell ref="AO474:AV474"/>
    <mergeCell ref="AW474:AY474"/>
    <mergeCell ref="AZ474:BO474"/>
    <mergeCell ref="AE473:AG473"/>
    <mergeCell ref="AH473:AJ473"/>
    <mergeCell ref="B474:C474"/>
    <mergeCell ref="B473:C473"/>
    <mergeCell ref="D473:H473"/>
    <mergeCell ref="I473:P473"/>
    <mergeCell ref="Q473:X473"/>
    <mergeCell ref="Y473:Z473"/>
    <mergeCell ref="D476:H476"/>
    <mergeCell ref="I476:P476"/>
    <mergeCell ref="Q476:X476"/>
    <mergeCell ref="Y476:Z476"/>
    <mergeCell ref="AA476:AD476"/>
    <mergeCell ref="AE476:AG476"/>
    <mergeCell ref="AH476:AJ476"/>
    <mergeCell ref="AK476:AN476"/>
    <mergeCell ref="AO476:AV476"/>
    <mergeCell ref="AW476:AY476"/>
    <mergeCell ref="AZ476:BO476"/>
    <mergeCell ref="AH475:AJ475"/>
    <mergeCell ref="B472:C472"/>
    <mergeCell ref="B471:C471"/>
    <mergeCell ref="D471:H471"/>
    <mergeCell ref="I471:P471"/>
    <mergeCell ref="Q471:X471"/>
    <mergeCell ref="Y471:Z471"/>
    <mergeCell ref="AE470:AG470"/>
    <mergeCell ref="AH470:AJ470"/>
    <mergeCell ref="AK470:AN470"/>
    <mergeCell ref="AO470:AV470"/>
    <mergeCell ref="AW470:AY470"/>
    <mergeCell ref="AZ470:BO470"/>
    <mergeCell ref="AE469:AG469"/>
    <mergeCell ref="AH469:AJ469"/>
    <mergeCell ref="B470:C470"/>
    <mergeCell ref="B469:C469"/>
    <mergeCell ref="D469:H469"/>
    <mergeCell ref="I469:P469"/>
    <mergeCell ref="Q469:X469"/>
    <mergeCell ref="Y469:Z469"/>
    <mergeCell ref="AA471:AD471"/>
    <mergeCell ref="AK471:AN471"/>
    <mergeCell ref="AO471:AV471"/>
    <mergeCell ref="AW471:AY471"/>
    <mergeCell ref="AZ471:BO471"/>
    <mergeCell ref="D472:H472"/>
    <mergeCell ref="I472:P472"/>
    <mergeCell ref="Q472:X472"/>
    <mergeCell ref="Y472:Z472"/>
    <mergeCell ref="AA472:AD472"/>
    <mergeCell ref="AA469:AD469"/>
    <mergeCell ref="AK469:AN469"/>
    <mergeCell ref="B468:C468"/>
    <mergeCell ref="B467:C467"/>
    <mergeCell ref="D467:H467"/>
    <mergeCell ref="I467:P467"/>
    <mergeCell ref="Q467:X467"/>
    <mergeCell ref="Y467:Z467"/>
    <mergeCell ref="AE466:AG466"/>
    <mergeCell ref="AH466:AJ466"/>
    <mergeCell ref="AK466:AN466"/>
    <mergeCell ref="AO466:AV466"/>
    <mergeCell ref="AW466:AY466"/>
    <mergeCell ref="AZ466:BO466"/>
    <mergeCell ref="AE465:AG465"/>
    <mergeCell ref="AH465:AJ465"/>
    <mergeCell ref="B466:C466"/>
    <mergeCell ref="B465:C465"/>
    <mergeCell ref="D465:H465"/>
    <mergeCell ref="I465:P465"/>
    <mergeCell ref="Q465:X465"/>
    <mergeCell ref="Y465:Z465"/>
    <mergeCell ref="D468:H468"/>
    <mergeCell ref="I468:P468"/>
    <mergeCell ref="Q468:X468"/>
    <mergeCell ref="Y468:Z468"/>
    <mergeCell ref="AA468:AD468"/>
    <mergeCell ref="AE468:AG468"/>
    <mergeCell ref="AH468:AJ468"/>
    <mergeCell ref="AK468:AN468"/>
    <mergeCell ref="AO468:AV468"/>
    <mergeCell ref="AW468:AY468"/>
    <mergeCell ref="AZ468:BO468"/>
    <mergeCell ref="AH467:AJ467"/>
    <mergeCell ref="B464:C464"/>
    <mergeCell ref="B463:C463"/>
    <mergeCell ref="D463:H463"/>
    <mergeCell ref="I463:P463"/>
    <mergeCell ref="Q463:X463"/>
    <mergeCell ref="Y463:Z463"/>
    <mergeCell ref="AE462:AG462"/>
    <mergeCell ref="AH462:AJ462"/>
    <mergeCell ref="AK462:AN462"/>
    <mergeCell ref="AO462:AV462"/>
    <mergeCell ref="AW462:AY462"/>
    <mergeCell ref="AZ462:BO462"/>
    <mergeCell ref="AE461:AG461"/>
    <mergeCell ref="AH461:AJ461"/>
    <mergeCell ref="B462:C462"/>
    <mergeCell ref="B461:C461"/>
    <mergeCell ref="D461:H461"/>
    <mergeCell ref="I461:P461"/>
    <mergeCell ref="Q461:X461"/>
    <mergeCell ref="Y461:Z461"/>
    <mergeCell ref="AA463:AD463"/>
    <mergeCell ref="AK463:AN463"/>
    <mergeCell ref="AO463:AV463"/>
    <mergeCell ref="AW463:AY463"/>
    <mergeCell ref="AZ463:BO463"/>
    <mergeCell ref="D464:H464"/>
    <mergeCell ref="I464:P464"/>
    <mergeCell ref="Q464:X464"/>
    <mergeCell ref="Y464:Z464"/>
    <mergeCell ref="AA464:AD464"/>
    <mergeCell ref="AA461:AD461"/>
    <mergeCell ref="AK461:AN461"/>
    <mergeCell ref="B460:C460"/>
    <mergeCell ref="B459:C459"/>
    <mergeCell ref="D459:H459"/>
    <mergeCell ref="I459:P459"/>
    <mergeCell ref="Q459:X459"/>
    <mergeCell ref="Y459:Z459"/>
    <mergeCell ref="AE458:AG458"/>
    <mergeCell ref="AH458:AJ458"/>
    <mergeCell ref="AK458:AN458"/>
    <mergeCell ref="AO458:AV458"/>
    <mergeCell ref="AW458:AY458"/>
    <mergeCell ref="AZ458:BO458"/>
    <mergeCell ref="AE457:AG457"/>
    <mergeCell ref="AH457:AJ457"/>
    <mergeCell ref="B458:C458"/>
    <mergeCell ref="B457:C457"/>
    <mergeCell ref="D457:H457"/>
    <mergeCell ref="I457:P457"/>
    <mergeCell ref="Q457:X457"/>
    <mergeCell ref="Y457:Z457"/>
    <mergeCell ref="D460:H460"/>
    <mergeCell ref="I460:P460"/>
    <mergeCell ref="Q460:X460"/>
    <mergeCell ref="Y460:Z460"/>
    <mergeCell ref="AA460:AD460"/>
    <mergeCell ref="AE460:AG460"/>
    <mergeCell ref="AH460:AJ460"/>
    <mergeCell ref="AK460:AN460"/>
    <mergeCell ref="AO460:AV460"/>
    <mergeCell ref="AW460:AY460"/>
    <mergeCell ref="AZ460:BO460"/>
    <mergeCell ref="AH459:AJ459"/>
    <mergeCell ref="B456:C456"/>
    <mergeCell ref="B455:C455"/>
    <mergeCell ref="D455:H455"/>
    <mergeCell ref="I455:P455"/>
    <mergeCell ref="Q455:X455"/>
    <mergeCell ref="Y455:Z455"/>
    <mergeCell ref="AE454:AG454"/>
    <mergeCell ref="AH454:AJ454"/>
    <mergeCell ref="AK454:AN454"/>
    <mergeCell ref="AO454:AV454"/>
    <mergeCell ref="AW454:AY454"/>
    <mergeCell ref="AZ454:BO454"/>
    <mergeCell ref="AE453:AG453"/>
    <mergeCell ref="AH453:AJ453"/>
    <mergeCell ref="B454:C454"/>
    <mergeCell ref="B453:C453"/>
    <mergeCell ref="D453:H453"/>
    <mergeCell ref="I453:P453"/>
    <mergeCell ref="Q453:X453"/>
    <mergeCell ref="Y453:Z453"/>
    <mergeCell ref="AA455:AD455"/>
    <mergeCell ref="AK455:AN455"/>
    <mergeCell ref="AO455:AV455"/>
    <mergeCell ref="AW455:AY455"/>
    <mergeCell ref="AZ455:BO455"/>
    <mergeCell ref="D456:H456"/>
    <mergeCell ref="I456:P456"/>
    <mergeCell ref="Q456:X456"/>
    <mergeCell ref="Y456:Z456"/>
    <mergeCell ref="AA456:AD456"/>
    <mergeCell ref="AA453:AD453"/>
    <mergeCell ref="AK453:AN453"/>
    <mergeCell ref="B452:C452"/>
    <mergeCell ref="B451:C451"/>
    <mergeCell ref="D451:H451"/>
    <mergeCell ref="I451:P451"/>
    <mergeCell ref="Q451:X451"/>
    <mergeCell ref="Y451:Z451"/>
    <mergeCell ref="AE450:AG450"/>
    <mergeCell ref="AH450:AJ450"/>
    <mergeCell ref="AK450:AN450"/>
    <mergeCell ref="AO450:AV450"/>
    <mergeCell ref="AW450:AY450"/>
    <mergeCell ref="AZ450:BO450"/>
    <mergeCell ref="AE449:AG449"/>
    <mergeCell ref="AH449:AJ449"/>
    <mergeCell ref="B450:C450"/>
    <mergeCell ref="B449:C449"/>
    <mergeCell ref="D449:H449"/>
    <mergeCell ref="I449:P449"/>
    <mergeCell ref="Q449:X449"/>
    <mergeCell ref="Y449:Z449"/>
    <mergeCell ref="D452:H452"/>
    <mergeCell ref="I452:P452"/>
    <mergeCell ref="Q452:X452"/>
    <mergeCell ref="Y452:Z452"/>
    <mergeCell ref="AA452:AD452"/>
    <mergeCell ref="AE452:AG452"/>
    <mergeCell ref="AH452:AJ452"/>
    <mergeCell ref="AK452:AN452"/>
    <mergeCell ref="AO452:AV452"/>
    <mergeCell ref="AW452:AY452"/>
    <mergeCell ref="AZ452:BO452"/>
    <mergeCell ref="AH451:AJ451"/>
    <mergeCell ref="B448:C448"/>
    <mergeCell ref="B447:C447"/>
    <mergeCell ref="D447:H447"/>
    <mergeCell ref="I447:P447"/>
    <mergeCell ref="Q447:X447"/>
    <mergeCell ref="Y447:Z447"/>
    <mergeCell ref="AE446:AG446"/>
    <mergeCell ref="AH446:AJ446"/>
    <mergeCell ref="AK446:AN446"/>
    <mergeCell ref="AO446:AV446"/>
    <mergeCell ref="AW446:AY446"/>
    <mergeCell ref="AZ446:BO446"/>
    <mergeCell ref="AE445:AG445"/>
    <mergeCell ref="AH445:AJ445"/>
    <mergeCell ref="B446:C446"/>
    <mergeCell ref="B445:C445"/>
    <mergeCell ref="D445:H445"/>
    <mergeCell ref="I445:P445"/>
    <mergeCell ref="Q445:X445"/>
    <mergeCell ref="Y445:Z445"/>
    <mergeCell ref="AA447:AD447"/>
    <mergeCell ref="AK447:AN447"/>
    <mergeCell ref="AO447:AV447"/>
    <mergeCell ref="AW447:AY447"/>
    <mergeCell ref="AZ447:BO447"/>
    <mergeCell ref="D448:H448"/>
    <mergeCell ref="I448:P448"/>
    <mergeCell ref="Q448:X448"/>
    <mergeCell ref="Y448:Z448"/>
    <mergeCell ref="AA448:AD448"/>
    <mergeCell ref="AA445:AD445"/>
    <mergeCell ref="AK445:AN445"/>
    <mergeCell ref="B444:C444"/>
    <mergeCell ref="B443:C443"/>
    <mergeCell ref="D443:H443"/>
    <mergeCell ref="I443:P443"/>
    <mergeCell ref="Q443:X443"/>
    <mergeCell ref="Y443:Z443"/>
    <mergeCell ref="AE442:AG442"/>
    <mergeCell ref="AH442:AJ442"/>
    <mergeCell ref="AK442:AN442"/>
    <mergeCell ref="AO442:AV442"/>
    <mergeCell ref="AW442:AY442"/>
    <mergeCell ref="AZ442:BO442"/>
    <mergeCell ref="AE441:AG441"/>
    <mergeCell ref="AH441:AJ441"/>
    <mergeCell ref="B442:C442"/>
    <mergeCell ref="B441:C441"/>
    <mergeCell ref="D441:H441"/>
    <mergeCell ref="I441:P441"/>
    <mergeCell ref="Q441:X441"/>
    <mergeCell ref="Y441:Z441"/>
    <mergeCell ref="D444:H444"/>
    <mergeCell ref="I444:P444"/>
    <mergeCell ref="Q444:X444"/>
    <mergeCell ref="Y444:Z444"/>
    <mergeCell ref="AA444:AD444"/>
    <mergeCell ref="AE444:AG444"/>
    <mergeCell ref="AH444:AJ444"/>
    <mergeCell ref="AK444:AN444"/>
    <mergeCell ref="AO444:AV444"/>
    <mergeCell ref="AW444:AY444"/>
    <mergeCell ref="AZ444:BO444"/>
    <mergeCell ref="AH443:AJ443"/>
    <mergeCell ref="B440:C440"/>
    <mergeCell ref="B439:C439"/>
    <mergeCell ref="D439:H439"/>
    <mergeCell ref="I439:P439"/>
    <mergeCell ref="Q439:X439"/>
    <mergeCell ref="Y439:Z439"/>
    <mergeCell ref="AE438:AG438"/>
    <mergeCell ref="AH438:AJ438"/>
    <mergeCell ref="AK438:AN438"/>
    <mergeCell ref="AO438:AV438"/>
    <mergeCell ref="AW438:AY438"/>
    <mergeCell ref="AZ438:BO438"/>
    <mergeCell ref="AE437:AG437"/>
    <mergeCell ref="AH437:AJ437"/>
    <mergeCell ref="B438:C438"/>
    <mergeCell ref="B437:C437"/>
    <mergeCell ref="D437:H437"/>
    <mergeCell ref="I437:P437"/>
    <mergeCell ref="Q437:X437"/>
    <mergeCell ref="Y437:Z437"/>
    <mergeCell ref="AA439:AD439"/>
    <mergeCell ref="AK439:AN439"/>
    <mergeCell ref="AO439:AV439"/>
    <mergeCell ref="AW439:AY439"/>
    <mergeCell ref="AZ439:BO439"/>
    <mergeCell ref="D440:H440"/>
    <mergeCell ref="I440:P440"/>
    <mergeCell ref="Q440:X440"/>
    <mergeCell ref="Y440:Z440"/>
    <mergeCell ref="AA440:AD440"/>
    <mergeCell ref="AA437:AD437"/>
    <mergeCell ref="AK437:AN437"/>
    <mergeCell ref="B436:C436"/>
    <mergeCell ref="B435:C435"/>
    <mergeCell ref="D435:H435"/>
    <mergeCell ref="I435:P435"/>
    <mergeCell ref="Q435:X435"/>
    <mergeCell ref="Y435:Z435"/>
    <mergeCell ref="AE434:AG434"/>
    <mergeCell ref="AH434:AJ434"/>
    <mergeCell ref="AK434:AN434"/>
    <mergeCell ref="AO434:AV434"/>
    <mergeCell ref="AW434:AY434"/>
    <mergeCell ref="AZ434:BO434"/>
    <mergeCell ref="AE433:AG433"/>
    <mergeCell ref="AH433:AJ433"/>
    <mergeCell ref="B434:C434"/>
    <mergeCell ref="B433:C433"/>
    <mergeCell ref="D433:H433"/>
    <mergeCell ref="I433:P433"/>
    <mergeCell ref="Q433:X433"/>
    <mergeCell ref="Y433:Z433"/>
    <mergeCell ref="D436:H436"/>
    <mergeCell ref="I436:P436"/>
    <mergeCell ref="Q436:X436"/>
    <mergeCell ref="Y436:Z436"/>
    <mergeCell ref="AA436:AD436"/>
    <mergeCell ref="AE436:AG436"/>
    <mergeCell ref="AH436:AJ436"/>
    <mergeCell ref="AK436:AN436"/>
    <mergeCell ref="AO436:AV436"/>
    <mergeCell ref="AW436:AY436"/>
    <mergeCell ref="AZ436:BO436"/>
    <mergeCell ref="AH435:AJ435"/>
    <mergeCell ref="B432:C432"/>
    <mergeCell ref="B431:C431"/>
    <mergeCell ref="D431:H431"/>
    <mergeCell ref="I431:P431"/>
    <mergeCell ref="Q431:X431"/>
    <mergeCell ref="Y431:Z431"/>
    <mergeCell ref="AE430:AG430"/>
    <mergeCell ref="AH430:AJ430"/>
    <mergeCell ref="AK430:AN430"/>
    <mergeCell ref="AO430:AV430"/>
    <mergeCell ref="AW430:AY430"/>
    <mergeCell ref="AZ430:BO430"/>
    <mergeCell ref="AE429:AG429"/>
    <mergeCell ref="AH429:AJ429"/>
    <mergeCell ref="B430:C430"/>
    <mergeCell ref="B429:C429"/>
    <mergeCell ref="D429:H429"/>
    <mergeCell ref="I429:P429"/>
    <mergeCell ref="Q429:X429"/>
    <mergeCell ref="Y429:Z429"/>
    <mergeCell ref="AA431:AD431"/>
    <mergeCell ref="AK431:AN431"/>
    <mergeCell ref="AO431:AV431"/>
    <mergeCell ref="AW431:AY431"/>
    <mergeCell ref="AZ431:BO431"/>
    <mergeCell ref="D432:H432"/>
    <mergeCell ref="I432:P432"/>
    <mergeCell ref="Q432:X432"/>
    <mergeCell ref="Y432:Z432"/>
    <mergeCell ref="AA432:AD432"/>
    <mergeCell ref="AA429:AD429"/>
    <mergeCell ref="AK429:AN429"/>
    <mergeCell ref="B428:C428"/>
    <mergeCell ref="B427:C427"/>
    <mergeCell ref="D427:H427"/>
    <mergeCell ref="I427:P427"/>
    <mergeCell ref="Q427:X427"/>
    <mergeCell ref="Y427:Z427"/>
    <mergeCell ref="AE426:AG426"/>
    <mergeCell ref="AH426:AJ426"/>
    <mergeCell ref="AK426:AN426"/>
    <mergeCell ref="AO426:AV426"/>
    <mergeCell ref="AW426:AY426"/>
    <mergeCell ref="AZ426:BO426"/>
    <mergeCell ref="AE425:AG425"/>
    <mergeCell ref="AH425:AJ425"/>
    <mergeCell ref="B426:C426"/>
    <mergeCell ref="B425:C425"/>
    <mergeCell ref="D425:H425"/>
    <mergeCell ref="I425:P425"/>
    <mergeCell ref="Q425:X425"/>
    <mergeCell ref="Y425:Z425"/>
    <mergeCell ref="D428:H428"/>
    <mergeCell ref="I428:P428"/>
    <mergeCell ref="Q428:X428"/>
    <mergeCell ref="Y428:Z428"/>
    <mergeCell ref="AA428:AD428"/>
    <mergeCell ref="AE428:AG428"/>
    <mergeCell ref="AH428:AJ428"/>
    <mergeCell ref="AK428:AN428"/>
    <mergeCell ref="AO428:AV428"/>
    <mergeCell ref="AW428:AY428"/>
    <mergeCell ref="AZ428:BO428"/>
    <mergeCell ref="AH427:AJ427"/>
    <mergeCell ref="B424:C424"/>
    <mergeCell ref="B423:C423"/>
    <mergeCell ref="D423:H423"/>
    <mergeCell ref="I423:P423"/>
    <mergeCell ref="Q423:X423"/>
    <mergeCell ref="Y423:Z423"/>
    <mergeCell ref="AE422:AG422"/>
    <mergeCell ref="AH422:AJ422"/>
    <mergeCell ref="AK422:AN422"/>
    <mergeCell ref="AO422:AV422"/>
    <mergeCell ref="AW422:AY422"/>
    <mergeCell ref="AZ422:BO422"/>
    <mergeCell ref="AE421:AG421"/>
    <mergeCell ref="AH421:AJ421"/>
    <mergeCell ref="B422:C422"/>
    <mergeCell ref="B421:C421"/>
    <mergeCell ref="D421:H421"/>
    <mergeCell ref="I421:P421"/>
    <mergeCell ref="Q421:X421"/>
    <mergeCell ref="Y421:Z421"/>
    <mergeCell ref="AA423:AD423"/>
    <mergeCell ref="AK423:AN423"/>
    <mergeCell ref="AO423:AV423"/>
    <mergeCell ref="AW423:AY423"/>
    <mergeCell ref="AZ423:BO423"/>
    <mergeCell ref="D424:H424"/>
    <mergeCell ref="I424:P424"/>
    <mergeCell ref="Q424:X424"/>
    <mergeCell ref="Y424:Z424"/>
    <mergeCell ref="AA424:AD424"/>
    <mergeCell ref="AA421:AD421"/>
    <mergeCell ref="AK421:AN421"/>
    <mergeCell ref="B420:C420"/>
    <mergeCell ref="B419:C419"/>
    <mergeCell ref="D419:H419"/>
    <mergeCell ref="I419:P419"/>
    <mergeCell ref="Q419:X419"/>
    <mergeCell ref="Y419:Z419"/>
    <mergeCell ref="AE418:AG418"/>
    <mergeCell ref="AH418:AJ418"/>
    <mergeCell ref="AK418:AN418"/>
    <mergeCell ref="AO418:AV418"/>
    <mergeCell ref="AW418:AY418"/>
    <mergeCell ref="AZ418:BO418"/>
    <mergeCell ref="AE417:AG417"/>
    <mergeCell ref="AH417:AJ417"/>
    <mergeCell ref="B418:C418"/>
    <mergeCell ref="B417:C417"/>
    <mergeCell ref="D417:H417"/>
    <mergeCell ref="I417:P417"/>
    <mergeCell ref="Q417:X417"/>
    <mergeCell ref="Y417:Z417"/>
    <mergeCell ref="D420:H420"/>
    <mergeCell ref="I420:P420"/>
    <mergeCell ref="Q420:X420"/>
    <mergeCell ref="Y420:Z420"/>
    <mergeCell ref="AA420:AD420"/>
    <mergeCell ref="AE420:AG420"/>
    <mergeCell ref="AH420:AJ420"/>
    <mergeCell ref="AK420:AN420"/>
    <mergeCell ref="AO420:AV420"/>
    <mergeCell ref="AW420:AY420"/>
    <mergeCell ref="AZ420:BO420"/>
    <mergeCell ref="AH419:AJ419"/>
    <mergeCell ref="B416:C416"/>
    <mergeCell ref="B415:C415"/>
    <mergeCell ref="D415:H415"/>
    <mergeCell ref="I415:P415"/>
    <mergeCell ref="Q415:X415"/>
    <mergeCell ref="Y415:Z415"/>
    <mergeCell ref="AE414:AG414"/>
    <mergeCell ref="AH414:AJ414"/>
    <mergeCell ref="AK414:AN414"/>
    <mergeCell ref="AO414:AV414"/>
    <mergeCell ref="AW414:AY414"/>
    <mergeCell ref="AZ414:BO414"/>
    <mergeCell ref="AE413:AG413"/>
    <mergeCell ref="AH413:AJ413"/>
    <mergeCell ref="B414:C414"/>
    <mergeCell ref="B413:C413"/>
    <mergeCell ref="D413:H413"/>
    <mergeCell ref="I413:P413"/>
    <mergeCell ref="Q413:X413"/>
    <mergeCell ref="Y413:Z413"/>
    <mergeCell ref="AA415:AD415"/>
    <mergeCell ref="AK415:AN415"/>
    <mergeCell ref="AO415:AV415"/>
    <mergeCell ref="AW415:AY415"/>
    <mergeCell ref="AZ415:BO415"/>
    <mergeCell ref="D416:H416"/>
    <mergeCell ref="I416:P416"/>
    <mergeCell ref="Q416:X416"/>
    <mergeCell ref="Y416:Z416"/>
    <mergeCell ref="AA416:AD416"/>
    <mergeCell ref="AA413:AD413"/>
    <mergeCell ref="AK413:AN413"/>
    <mergeCell ref="B412:C412"/>
    <mergeCell ref="B411:C411"/>
    <mergeCell ref="D411:H411"/>
    <mergeCell ref="I411:P411"/>
    <mergeCell ref="Q411:X411"/>
    <mergeCell ref="Y411:Z411"/>
    <mergeCell ref="AE410:AG410"/>
    <mergeCell ref="AH410:AJ410"/>
    <mergeCell ref="AK410:AN410"/>
    <mergeCell ref="AO410:AV410"/>
    <mergeCell ref="AW410:AY410"/>
    <mergeCell ref="AZ410:BO410"/>
    <mergeCell ref="AE409:AG409"/>
    <mergeCell ref="AH409:AJ409"/>
    <mergeCell ref="B410:C410"/>
    <mergeCell ref="B409:C409"/>
    <mergeCell ref="D409:H409"/>
    <mergeCell ref="I409:P409"/>
    <mergeCell ref="Q409:X409"/>
    <mergeCell ref="Y409:Z409"/>
    <mergeCell ref="D412:H412"/>
    <mergeCell ref="I412:P412"/>
    <mergeCell ref="Q412:X412"/>
    <mergeCell ref="Y412:Z412"/>
    <mergeCell ref="AA412:AD412"/>
    <mergeCell ref="AE412:AG412"/>
    <mergeCell ref="AH412:AJ412"/>
    <mergeCell ref="AK412:AN412"/>
    <mergeCell ref="AO412:AV412"/>
    <mergeCell ref="AW412:AY412"/>
    <mergeCell ref="AZ412:BO412"/>
    <mergeCell ref="AH411:AJ411"/>
    <mergeCell ref="B408:C408"/>
    <mergeCell ref="B407:C407"/>
    <mergeCell ref="D407:H407"/>
    <mergeCell ref="I407:P407"/>
    <mergeCell ref="Q407:X407"/>
    <mergeCell ref="Y407:Z407"/>
    <mergeCell ref="AE406:AG406"/>
    <mergeCell ref="AH406:AJ406"/>
    <mergeCell ref="AK406:AN406"/>
    <mergeCell ref="AO406:AV406"/>
    <mergeCell ref="AW406:AY406"/>
    <mergeCell ref="AZ406:BO406"/>
    <mergeCell ref="AE405:AG405"/>
    <mergeCell ref="AH405:AJ405"/>
    <mergeCell ref="B406:C406"/>
    <mergeCell ref="B405:C405"/>
    <mergeCell ref="D405:H405"/>
    <mergeCell ref="I405:P405"/>
    <mergeCell ref="Q405:X405"/>
    <mergeCell ref="Y405:Z405"/>
    <mergeCell ref="AA407:AD407"/>
    <mergeCell ref="AK407:AN407"/>
    <mergeCell ref="AO407:AV407"/>
    <mergeCell ref="AW407:AY407"/>
    <mergeCell ref="AZ407:BO407"/>
    <mergeCell ref="D408:H408"/>
    <mergeCell ref="I408:P408"/>
    <mergeCell ref="Q408:X408"/>
    <mergeCell ref="Y408:Z408"/>
    <mergeCell ref="AA408:AD408"/>
    <mergeCell ref="AA405:AD405"/>
    <mergeCell ref="AK405:AN405"/>
    <mergeCell ref="B404:C404"/>
    <mergeCell ref="B403:C403"/>
    <mergeCell ref="D403:H403"/>
    <mergeCell ref="I403:P403"/>
    <mergeCell ref="Q403:X403"/>
    <mergeCell ref="Y403:Z403"/>
    <mergeCell ref="AE402:AG402"/>
    <mergeCell ref="AH402:AJ402"/>
    <mergeCell ref="AK402:AN402"/>
    <mergeCell ref="AO402:AV402"/>
    <mergeCell ref="AW402:AY402"/>
    <mergeCell ref="AZ402:BO402"/>
    <mergeCell ref="AE401:AG401"/>
    <mergeCell ref="AH401:AJ401"/>
    <mergeCell ref="B402:C402"/>
    <mergeCell ref="B401:C401"/>
    <mergeCell ref="D401:H401"/>
    <mergeCell ref="I401:P401"/>
    <mergeCell ref="Q401:X401"/>
    <mergeCell ref="Y401:Z401"/>
    <mergeCell ref="D404:H404"/>
    <mergeCell ref="I404:P404"/>
    <mergeCell ref="Q404:X404"/>
    <mergeCell ref="Y404:Z404"/>
    <mergeCell ref="AA404:AD404"/>
    <mergeCell ref="AE404:AG404"/>
    <mergeCell ref="AH404:AJ404"/>
    <mergeCell ref="AK404:AN404"/>
    <mergeCell ref="AO404:AV404"/>
    <mergeCell ref="AW404:AY404"/>
    <mergeCell ref="AZ404:BO404"/>
    <mergeCell ref="AH403:AJ403"/>
    <mergeCell ref="B400:C400"/>
    <mergeCell ref="B399:C399"/>
    <mergeCell ref="D399:H399"/>
    <mergeCell ref="I399:P399"/>
    <mergeCell ref="Q399:X399"/>
    <mergeCell ref="Y399:Z399"/>
    <mergeCell ref="AE398:AG398"/>
    <mergeCell ref="AH398:AJ398"/>
    <mergeCell ref="AK398:AN398"/>
    <mergeCell ref="AO398:AV398"/>
    <mergeCell ref="AW398:AY398"/>
    <mergeCell ref="AZ398:BO398"/>
    <mergeCell ref="AE397:AG397"/>
    <mergeCell ref="AH397:AJ397"/>
    <mergeCell ref="B398:C398"/>
    <mergeCell ref="B397:C397"/>
    <mergeCell ref="D397:H397"/>
    <mergeCell ref="I397:P397"/>
    <mergeCell ref="Q397:X397"/>
    <mergeCell ref="Y397:Z397"/>
    <mergeCell ref="AA399:AD399"/>
    <mergeCell ref="AK399:AN399"/>
    <mergeCell ref="AO399:AV399"/>
    <mergeCell ref="AW399:AY399"/>
    <mergeCell ref="AZ399:BO399"/>
    <mergeCell ref="D400:H400"/>
    <mergeCell ref="I400:P400"/>
    <mergeCell ref="Q400:X400"/>
    <mergeCell ref="Y400:Z400"/>
    <mergeCell ref="AA400:AD400"/>
    <mergeCell ref="AA397:AD397"/>
    <mergeCell ref="AK397:AN397"/>
    <mergeCell ref="B396:C396"/>
    <mergeCell ref="B395:C395"/>
    <mergeCell ref="D395:H395"/>
    <mergeCell ref="I395:P395"/>
    <mergeCell ref="Q395:X395"/>
    <mergeCell ref="Y395:Z395"/>
    <mergeCell ref="AE394:AG394"/>
    <mergeCell ref="AH394:AJ394"/>
    <mergeCell ref="AK394:AN394"/>
    <mergeCell ref="AO394:AV394"/>
    <mergeCell ref="AW394:AY394"/>
    <mergeCell ref="AZ394:BO394"/>
    <mergeCell ref="AE393:AG393"/>
    <mergeCell ref="AH393:AJ393"/>
    <mergeCell ref="B394:C394"/>
    <mergeCell ref="B393:C393"/>
    <mergeCell ref="D393:H393"/>
    <mergeCell ref="I393:P393"/>
    <mergeCell ref="Q393:X393"/>
    <mergeCell ref="Y393:Z393"/>
    <mergeCell ref="D396:H396"/>
    <mergeCell ref="I396:P396"/>
    <mergeCell ref="Q396:X396"/>
    <mergeCell ref="Y396:Z396"/>
    <mergeCell ref="AA396:AD396"/>
    <mergeCell ref="AE396:AG396"/>
    <mergeCell ref="AH396:AJ396"/>
    <mergeCell ref="AK396:AN396"/>
    <mergeCell ref="AO396:AV396"/>
    <mergeCell ref="AW396:AY396"/>
    <mergeCell ref="AZ396:BO396"/>
    <mergeCell ref="AH395:AJ395"/>
    <mergeCell ref="B392:C392"/>
    <mergeCell ref="B391:C391"/>
    <mergeCell ref="D391:H391"/>
    <mergeCell ref="I391:P391"/>
    <mergeCell ref="Q391:X391"/>
    <mergeCell ref="Y391:Z391"/>
    <mergeCell ref="AE390:AG390"/>
    <mergeCell ref="AH390:AJ390"/>
    <mergeCell ref="AK390:AN390"/>
    <mergeCell ref="AO390:AV390"/>
    <mergeCell ref="AW390:AY390"/>
    <mergeCell ref="AZ390:BO390"/>
    <mergeCell ref="AE389:AG389"/>
    <mergeCell ref="AH389:AJ389"/>
    <mergeCell ref="B390:C390"/>
    <mergeCell ref="B389:C389"/>
    <mergeCell ref="D389:H389"/>
    <mergeCell ref="I389:P389"/>
    <mergeCell ref="Q389:X389"/>
    <mergeCell ref="Y389:Z389"/>
    <mergeCell ref="AA391:AD391"/>
    <mergeCell ref="AK391:AN391"/>
    <mergeCell ref="AO391:AV391"/>
    <mergeCell ref="AW391:AY391"/>
    <mergeCell ref="AZ391:BO391"/>
    <mergeCell ref="D392:H392"/>
    <mergeCell ref="I392:P392"/>
    <mergeCell ref="Q392:X392"/>
    <mergeCell ref="Y392:Z392"/>
    <mergeCell ref="AA392:AD392"/>
    <mergeCell ref="AA389:AD389"/>
    <mergeCell ref="AK389:AN389"/>
    <mergeCell ref="B388:C388"/>
    <mergeCell ref="B387:C387"/>
    <mergeCell ref="D387:H387"/>
    <mergeCell ref="I387:P387"/>
    <mergeCell ref="Q387:X387"/>
    <mergeCell ref="Y387:Z387"/>
    <mergeCell ref="AE386:AG386"/>
    <mergeCell ref="AH386:AJ386"/>
    <mergeCell ref="AK386:AN386"/>
    <mergeCell ref="AO386:AV386"/>
    <mergeCell ref="AW386:AY386"/>
    <mergeCell ref="AZ386:BO386"/>
    <mergeCell ref="AE385:AG385"/>
    <mergeCell ref="AH385:AJ385"/>
    <mergeCell ref="B386:C386"/>
    <mergeCell ref="B385:C385"/>
    <mergeCell ref="D385:H385"/>
    <mergeCell ref="I385:P385"/>
    <mergeCell ref="Q385:X385"/>
    <mergeCell ref="Y385:Z385"/>
    <mergeCell ref="D388:H388"/>
    <mergeCell ref="I388:P388"/>
    <mergeCell ref="Q388:X388"/>
    <mergeCell ref="Y388:Z388"/>
    <mergeCell ref="AA388:AD388"/>
    <mergeCell ref="AE388:AG388"/>
    <mergeCell ref="AH388:AJ388"/>
    <mergeCell ref="AK388:AN388"/>
    <mergeCell ref="AO388:AV388"/>
    <mergeCell ref="AW388:AY388"/>
    <mergeCell ref="AZ388:BO388"/>
    <mergeCell ref="AH387:AJ387"/>
    <mergeCell ref="B384:C384"/>
    <mergeCell ref="B383:C383"/>
    <mergeCell ref="D383:H383"/>
    <mergeCell ref="I383:P383"/>
    <mergeCell ref="Q383:X383"/>
    <mergeCell ref="Y383:Z383"/>
    <mergeCell ref="AE382:AG382"/>
    <mergeCell ref="AH382:AJ382"/>
    <mergeCell ref="AK382:AN382"/>
    <mergeCell ref="AO382:AV382"/>
    <mergeCell ref="AW382:AY382"/>
    <mergeCell ref="AZ382:BO382"/>
    <mergeCell ref="AE381:AG381"/>
    <mergeCell ref="AH381:AJ381"/>
    <mergeCell ref="B382:C382"/>
    <mergeCell ref="B381:C381"/>
    <mergeCell ref="D381:H381"/>
    <mergeCell ref="I381:P381"/>
    <mergeCell ref="Q381:X381"/>
    <mergeCell ref="Y381:Z381"/>
    <mergeCell ref="AA383:AD383"/>
    <mergeCell ref="AK383:AN383"/>
    <mergeCell ref="AO383:AV383"/>
    <mergeCell ref="AW383:AY383"/>
    <mergeCell ref="AZ383:BO383"/>
    <mergeCell ref="D384:H384"/>
    <mergeCell ref="I384:P384"/>
    <mergeCell ref="Q384:X384"/>
    <mergeCell ref="Y384:Z384"/>
    <mergeCell ref="AA384:AD384"/>
    <mergeCell ref="AA381:AD381"/>
    <mergeCell ref="AK381:AN381"/>
    <mergeCell ref="B380:C380"/>
    <mergeCell ref="B379:C379"/>
    <mergeCell ref="D379:H379"/>
    <mergeCell ref="I379:P379"/>
    <mergeCell ref="Q379:X379"/>
    <mergeCell ref="Y379:Z379"/>
    <mergeCell ref="AE378:AG378"/>
    <mergeCell ref="AH378:AJ378"/>
    <mergeCell ref="AK378:AN378"/>
    <mergeCell ref="AO378:AV378"/>
    <mergeCell ref="AW378:AY378"/>
    <mergeCell ref="AZ378:BO378"/>
    <mergeCell ref="AE377:AG377"/>
    <mergeCell ref="AH377:AJ377"/>
    <mergeCell ref="B378:C378"/>
    <mergeCell ref="B377:C377"/>
    <mergeCell ref="D377:H377"/>
    <mergeCell ref="I377:P377"/>
    <mergeCell ref="Q377:X377"/>
    <mergeCell ref="Y377:Z377"/>
    <mergeCell ref="D380:H380"/>
    <mergeCell ref="I380:P380"/>
    <mergeCell ref="Q380:X380"/>
    <mergeCell ref="Y380:Z380"/>
    <mergeCell ref="AA380:AD380"/>
    <mergeCell ref="AE380:AG380"/>
    <mergeCell ref="AH380:AJ380"/>
    <mergeCell ref="AK380:AN380"/>
    <mergeCell ref="AO380:AV380"/>
    <mergeCell ref="AW380:AY380"/>
    <mergeCell ref="AZ380:BO380"/>
    <mergeCell ref="AH379:AJ379"/>
    <mergeCell ref="B376:C376"/>
    <mergeCell ref="B375:C375"/>
    <mergeCell ref="D375:H375"/>
    <mergeCell ref="I375:P375"/>
    <mergeCell ref="Q375:X375"/>
    <mergeCell ref="Y375:Z375"/>
    <mergeCell ref="AE374:AG374"/>
    <mergeCell ref="AH374:AJ374"/>
    <mergeCell ref="AK374:AN374"/>
    <mergeCell ref="AO374:AV374"/>
    <mergeCell ref="AW374:AY374"/>
    <mergeCell ref="AZ374:BO374"/>
    <mergeCell ref="AE373:AG373"/>
    <mergeCell ref="AH373:AJ373"/>
    <mergeCell ref="B374:C374"/>
    <mergeCell ref="B373:C373"/>
    <mergeCell ref="D373:H373"/>
    <mergeCell ref="I373:P373"/>
    <mergeCell ref="Q373:X373"/>
    <mergeCell ref="Y373:Z373"/>
    <mergeCell ref="AA375:AD375"/>
    <mergeCell ref="AK375:AN375"/>
    <mergeCell ref="AO375:AV375"/>
    <mergeCell ref="AW375:AY375"/>
    <mergeCell ref="AZ375:BO375"/>
    <mergeCell ref="D376:H376"/>
    <mergeCell ref="I376:P376"/>
    <mergeCell ref="Q376:X376"/>
    <mergeCell ref="Y376:Z376"/>
    <mergeCell ref="AA376:AD376"/>
    <mergeCell ref="AA373:AD373"/>
    <mergeCell ref="AK373:AN373"/>
    <mergeCell ref="B372:C372"/>
    <mergeCell ref="B371:C371"/>
    <mergeCell ref="D371:H371"/>
    <mergeCell ref="I371:P371"/>
    <mergeCell ref="Q371:X371"/>
    <mergeCell ref="Y371:Z371"/>
    <mergeCell ref="AE370:AG370"/>
    <mergeCell ref="AH370:AJ370"/>
    <mergeCell ref="AK370:AN370"/>
    <mergeCell ref="AO370:AV370"/>
    <mergeCell ref="AW370:AY370"/>
    <mergeCell ref="AZ370:BO370"/>
    <mergeCell ref="AE369:AG369"/>
    <mergeCell ref="AH369:AJ369"/>
    <mergeCell ref="B370:C370"/>
    <mergeCell ref="B369:C369"/>
    <mergeCell ref="D369:H369"/>
    <mergeCell ref="I369:P369"/>
    <mergeCell ref="Q369:X369"/>
    <mergeCell ref="Y369:Z369"/>
    <mergeCell ref="D372:H372"/>
    <mergeCell ref="I372:P372"/>
    <mergeCell ref="Q372:X372"/>
    <mergeCell ref="Y372:Z372"/>
    <mergeCell ref="AA372:AD372"/>
    <mergeCell ref="AE372:AG372"/>
    <mergeCell ref="AH372:AJ372"/>
    <mergeCell ref="AK372:AN372"/>
    <mergeCell ref="AO372:AV372"/>
    <mergeCell ref="AW372:AY372"/>
    <mergeCell ref="AZ372:BO372"/>
    <mergeCell ref="AH371:AJ371"/>
    <mergeCell ref="B368:C368"/>
    <mergeCell ref="B367:C367"/>
    <mergeCell ref="D367:H367"/>
    <mergeCell ref="I367:P367"/>
    <mergeCell ref="Q367:X367"/>
    <mergeCell ref="Y367:Z367"/>
    <mergeCell ref="AE366:AG366"/>
    <mergeCell ref="AH366:AJ366"/>
    <mergeCell ref="AK366:AN366"/>
    <mergeCell ref="AO366:AV366"/>
    <mergeCell ref="AW366:AY366"/>
    <mergeCell ref="AZ366:BO366"/>
    <mergeCell ref="AE365:AG365"/>
    <mergeCell ref="AH365:AJ365"/>
    <mergeCell ref="B366:C366"/>
    <mergeCell ref="B365:C365"/>
    <mergeCell ref="D365:H365"/>
    <mergeCell ref="I365:P365"/>
    <mergeCell ref="Q365:X365"/>
    <mergeCell ref="Y365:Z365"/>
    <mergeCell ref="AA367:AD367"/>
    <mergeCell ref="AK367:AN367"/>
    <mergeCell ref="AO367:AV367"/>
    <mergeCell ref="AW367:AY367"/>
    <mergeCell ref="AZ367:BO367"/>
    <mergeCell ref="D368:H368"/>
    <mergeCell ref="I368:P368"/>
    <mergeCell ref="Q368:X368"/>
    <mergeCell ref="Y368:Z368"/>
    <mergeCell ref="AA368:AD368"/>
    <mergeCell ref="AA365:AD365"/>
    <mergeCell ref="AK365:AN365"/>
    <mergeCell ref="B364:C364"/>
    <mergeCell ref="B363:C363"/>
    <mergeCell ref="D363:H363"/>
    <mergeCell ref="I363:P363"/>
    <mergeCell ref="Q363:X363"/>
    <mergeCell ref="Y363:Z363"/>
    <mergeCell ref="AE362:AG362"/>
    <mergeCell ref="AH362:AJ362"/>
    <mergeCell ref="AK362:AN362"/>
    <mergeCell ref="AO362:AV362"/>
    <mergeCell ref="AW362:AY362"/>
    <mergeCell ref="AZ362:BO362"/>
    <mergeCell ref="AE361:AG361"/>
    <mergeCell ref="AH361:AJ361"/>
    <mergeCell ref="B362:C362"/>
    <mergeCell ref="B361:C361"/>
    <mergeCell ref="D361:H361"/>
    <mergeCell ref="I361:P361"/>
    <mergeCell ref="Q361:X361"/>
    <mergeCell ref="Y361:Z361"/>
    <mergeCell ref="D364:H364"/>
    <mergeCell ref="I364:P364"/>
    <mergeCell ref="Q364:X364"/>
    <mergeCell ref="Y364:Z364"/>
    <mergeCell ref="AA364:AD364"/>
    <mergeCell ref="AE364:AG364"/>
    <mergeCell ref="AH364:AJ364"/>
    <mergeCell ref="AK364:AN364"/>
    <mergeCell ref="AO364:AV364"/>
    <mergeCell ref="AW364:AY364"/>
    <mergeCell ref="AZ364:BO364"/>
    <mergeCell ref="AH363:AJ363"/>
    <mergeCell ref="B360:C360"/>
    <mergeCell ref="B359:C359"/>
    <mergeCell ref="D359:H359"/>
    <mergeCell ref="I359:P359"/>
    <mergeCell ref="Q359:X359"/>
    <mergeCell ref="Y359:Z359"/>
    <mergeCell ref="AE358:AG358"/>
    <mergeCell ref="AH358:AJ358"/>
    <mergeCell ref="AK358:AN358"/>
    <mergeCell ref="AO358:AV358"/>
    <mergeCell ref="AW358:AY358"/>
    <mergeCell ref="AZ358:BO358"/>
    <mergeCell ref="AE357:AG357"/>
    <mergeCell ref="AH357:AJ357"/>
    <mergeCell ref="B358:C358"/>
    <mergeCell ref="B357:C357"/>
    <mergeCell ref="D357:H357"/>
    <mergeCell ref="I357:P357"/>
    <mergeCell ref="Q357:X357"/>
    <mergeCell ref="Y357:Z357"/>
    <mergeCell ref="AA359:AD359"/>
    <mergeCell ref="AK359:AN359"/>
    <mergeCell ref="AO359:AV359"/>
    <mergeCell ref="AW359:AY359"/>
    <mergeCell ref="AZ359:BO359"/>
    <mergeCell ref="D360:H360"/>
    <mergeCell ref="I360:P360"/>
    <mergeCell ref="Q360:X360"/>
    <mergeCell ref="Y360:Z360"/>
    <mergeCell ref="AA360:AD360"/>
    <mergeCell ref="AA357:AD357"/>
    <mergeCell ref="AK357:AN357"/>
    <mergeCell ref="B356:C356"/>
    <mergeCell ref="B355:C355"/>
    <mergeCell ref="D355:H355"/>
    <mergeCell ref="I355:P355"/>
    <mergeCell ref="Q355:X355"/>
    <mergeCell ref="Y355:Z355"/>
    <mergeCell ref="AE354:AG354"/>
    <mergeCell ref="AH354:AJ354"/>
    <mergeCell ref="AK354:AN354"/>
    <mergeCell ref="AO354:AV354"/>
    <mergeCell ref="AW354:AY354"/>
    <mergeCell ref="AZ354:BO354"/>
    <mergeCell ref="AE353:AG353"/>
    <mergeCell ref="AH353:AJ353"/>
    <mergeCell ref="B354:C354"/>
    <mergeCell ref="B353:C353"/>
    <mergeCell ref="D353:H353"/>
    <mergeCell ref="I353:P353"/>
    <mergeCell ref="Q353:X353"/>
    <mergeCell ref="Y353:Z353"/>
    <mergeCell ref="D356:H356"/>
    <mergeCell ref="I356:P356"/>
    <mergeCell ref="Q356:X356"/>
    <mergeCell ref="Y356:Z356"/>
    <mergeCell ref="AA356:AD356"/>
    <mergeCell ref="AE356:AG356"/>
    <mergeCell ref="AH356:AJ356"/>
    <mergeCell ref="AK356:AN356"/>
    <mergeCell ref="AO356:AV356"/>
    <mergeCell ref="AW356:AY356"/>
    <mergeCell ref="AZ356:BO356"/>
    <mergeCell ref="AH355:AJ355"/>
    <mergeCell ref="B352:C352"/>
    <mergeCell ref="B351:C351"/>
    <mergeCell ref="D351:H351"/>
    <mergeCell ref="I351:P351"/>
    <mergeCell ref="Q351:X351"/>
    <mergeCell ref="Y351:Z351"/>
    <mergeCell ref="AE350:AG350"/>
    <mergeCell ref="AH350:AJ350"/>
    <mergeCell ref="AK350:AN350"/>
    <mergeCell ref="AO350:AV350"/>
    <mergeCell ref="AW350:AY350"/>
    <mergeCell ref="AZ350:BO350"/>
    <mergeCell ref="AE349:AG349"/>
    <mergeCell ref="AH349:AJ349"/>
    <mergeCell ref="B350:C350"/>
    <mergeCell ref="B349:C349"/>
    <mergeCell ref="D349:H349"/>
    <mergeCell ref="I349:P349"/>
    <mergeCell ref="Q349:X349"/>
    <mergeCell ref="Y349:Z349"/>
    <mergeCell ref="AA351:AD351"/>
    <mergeCell ref="AK351:AN351"/>
    <mergeCell ref="AO351:AV351"/>
    <mergeCell ref="AW351:AY351"/>
    <mergeCell ref="AZ351:BO351"/>
    <mergeCell ref="D352:H352"/>
    <mergeCell ref="I352:P352"/>
    <mergeCell ref="Q352:X352"/>
    <mergeCell ref="Y352:Z352"/>
    <mergeCell ref="AA352:AD352"/>
    <mergeCell ref="AA349:AD349"/>
    <mergeCell ref="AK349:AN349"/>
    <mergeCell ref="B348:C348"/>
    <mergeCell ref="B347:C347"/>
    <mergeCell ref="D347:H347"/>
    <mergeCell ref="I347:P347"/>
    <mergeCell ref="Q347:X347"/>
    <mergeCell ref="Y347:Z347"/>
    <mergeCell ref="AE346:AG346"/>
    <mergeCell ref="AH346:AJ346"/>
    <mergeCell ref="AK346:AN346"/>
    <mergeCell ref="AO346:AV346"/>
    <mergeCell ref="AW346:AY346"/>
    <mergeCell ref="AZ346:BO346"/>
    <mergeCell ref="AE345:AG345"/>
    <mergeCell ref="AH345:AJ345"/>
    <mergeCell ref="B346:C346"/>
    <mergeCell ref="B345:C345"/>
    <mergeCell ref="D345:H345"/>
    <mergeCell ref="I345:P345"/>
    <mergeCell ref="Q345:X345"/>
    <mergeCell ref="Y345:Z345"/>
    <mergeCell ref="D348:H348"/>
    <mergeCell ref="I348:P348"/>
    <mergeCell ref="Q348:X348"/>
    <mergeCell ref="Y348:Z348"/>
    <mergeCell ref="AA348:AD348"/>
    <mergeCell ref="AE348:AG348"/>
    <mergeCell ref="AH348:AJ348"/>
    <mergeCell ref="AK348:AN348"/>
    <mergeCell ref="AO348:AV348"/>
    <mergeCell ref="AW348:AY348"/>
    <mergeCell ref="AZ348:BO348"/>
    <mergeCell ref="AH347:AJ347"/>
    <mergeCell ref="B344:C344"/>
    <mergeCell ref="B343:C343"/>
    <mergeCell ref="D343:H343"/>
    <mergeCell ref="I343:P343"/>
    <mergeCell ref="Q343:X343"/>
    <mergeCell ref="Y343:Z343"/>
    <mergeCell ref="AE342:AG342"/>
    <mergeCell ref="AH342:AJ342"/>
    <mergeCell ref="AK342:AN342"/>
    <mergeCell ref="AO342:AV342"/>
    <mergeCell ref="AW342:AY342"/>
    <mergeCell ref="AZ342:BO342"/>
    <mergeCell ref="AE341:AG341"/>
    <mergeCell ref="AH341:AJ341"/>
    <mergeCell ref="B342:C342"/>
    <mergeCell ref="B341:C341"/>
    <mergeCell ref="D341:H341"/>
    <mergeCell ref="I341:P341"/>
    <mergeCell ref="Q341:X341"/>
    <mergeCell ref="Y341:Z341"/>
    <mergeCell ref="AA343:AD343"/>
    <mergeCell ref="AK343:AN343"/>
    <mergeCell ref="AO343:AV343"/>
    <mergeCell ref="AW343:AY343"/>
    <mergeCell ref="AZ343:BO343"/>
    <mergeCell ref="D344:H344"/>
    <mergeCell ref="I344:P344"/>
    <mergeCell ref="Q344:X344"/>
    <mergeCell ref="Y344:Z344"/>
    <mergeCell ref="AA344:AD344"/>
    <mergeCell ref="AA341:AD341"/>
    <mergeCell ref="AK341:AN341"/>
    <mergeCell ref="B340:C340"/>
    <mergeCell ref="B339:C339"/>
    <mergeCell ref="D339:H339"/>
    <mergeCell ref="I339:P339"/>
    <mergeCell ref="Q339:X339"/>
    <mergeCell ref="Y339:Z339"/>
    <mergeCell ref="AE338:AG338"/>
    <mergeCell ref="AH338:AJ338"/>
    <mergeCell ref="AK338:AN338"/>
    <mergeCell ref="AO338:AV338"/>
    <mergeCell ref="AW338:AY338"/>
    <mergeCell ref="AZ338:BO338"/>
    <mergeCell ref="AE337:AG337"/>
    <mergeCell ref="AH337:AJ337"/>
    <mergeCell ref="B338:C338"/>
    <mergeCell ref="B337:C337"/>
    <mergeCell ref="D337:H337"/>
    <mergeCell ref="I337:P337"/>
    <mergeCell ref="Q337:X337"/>
    <mergeCell ref="Y337:Z337"/>
    <mergeCell ref="D340:H340"/>
    <mergeCell ref="I340:P340"/>
    <mergeCell ref="Q340:X340"/>
    <mergeCell ref="Y340:Z340"/>
    <mergeCell ref="AA340:AD340"/>
    <mergeCell ref="AE340:AG340"/>
    <mergeCell ref="AH340:AJ340"/>
    <mergeCell ref="AK340:AN340"/>
    <mergeCell ref="AO340:AV340"/>
    <mergeCell ref="AW340:AY340"/>
    <mergeCell ref="AZ340:BO340"/>
    <mergeCell ref="AH339:AJ339"/>
    <mergeCell ref="B336:C336"/>
    <mergeCell ref="B335:C335"/>
    <mergeCell ref="D335:H335"/>
    <mergeCell ref="I335:P335"/>
    <mergeCell ref="Q335:X335"/>
    <mergeCell ref="Y335:Z335"/>
    <mergeCell ref="AE334:AG334"/>
    <mergeCell ref="AH334:AJ334"/>
    <mergeCell ref="AK334:AN334"/>
    <mergeCell ref="AO334:AV334"/>
    <mergeCell ref="AW334:AY334"/>
    <mergeCell ref="AZ334:BO334"/>
    <mergeCell ref="AE333:AG333"/>
    <mergeCell ref="AH333:AJ333"/>
    <mergeCell ref="B334:C334"/>
    <mergeCell ref="B333:C333"/>
    <mergeCell ref="D333:H333"/>
    <mergeCell ref="I333:P333"/>
    <mergeCell ref="Q333:X333"/>
    <mergeCell ref="Y333:Z333"/>
    <mergeCell ref="AA335:AD335"/>
    <mergeCell ref="AK335:AN335"/>
    <mergeCell ref="AO335:AV335"/>
    <mergeCell ref="AW335:AY335"/>
    <mergeCell ref="AZ335:BO335"/>
    <mergeCell ref="D336:H336"/>
    <mergeCell ref="I336:P336"/>
    <mergeCell ref="Q336:X336"/>
    <mergeCell ref="Y336:Z336"/>
    <mergeCell ref="AA336:AD336"/>
    <mergeCell ref="AA333:AD333"/>
    <mergeCell ref="AK333:AN333"/>
    <mergeCell ref="B332:C332"/>
    <mergeCell ref="B331:C331"/>
    <mergeCell ref="D331:H331"/>
    <mergeCell ref="I331:P331"/>
    <mergeCell ref="Q331:X331"/>
    <mergeCell ref="Y331:Z331"/>
    <mergeCell ref="AE330:AG330"/>
    <mergeCell ref="AH330:AJ330"/>
    <mergeCell ref="AK330:AN330"/>
    <mergeCell ref="AO330:AV330"/>
    <mergeCell ref="AW330:AY330"/>
    <mergeCell ref="AZ330:BO330"/>
    <mergeCell ref="AE329:AG329"/>
    <mergeCell ref="AH329:AJ329"/>
    <mergeCell ref="B330:C330"/>
    <mergeCell ref="B329:C329"/>
    <mergeCell ref="D329:H329"/>
    <mergeCell ref="I329:P329"/>
    <mergeCell ref="Q329:X329"/>
    <mergeCell ref="Y329:Z329"/>
    <mergeCell ref="D332:H332"/>
    <mergeCell ref="I332:P332"/>
    <mergeCell ref="Q332:X332"/>
    <mergeCell ref="Y332:Z332"/>
    <mergeCell ref="AA332:AD332"/>
    <mergeCell ref="AE332:AG332"/>
    <mergeCell ref="AH332:AJ332"/>
    <mergeCell ref="AK332:AN332"/>
    <mergeCell ref="AO332:AV332"/>
    <mergeCell ref="AW332:AY332"/>
    <mergeCell ref="AZ332:BO332"/>
    <mergeCell ref="AH331:AJ331"/>
    <mergeCell ref="B328:C328"/>
    <mergeCell ref="B327:C327"/>
    <mergeCell ref="D327:H327"/>
    <mergeCell ref="I327:P327"/>
    <mergeCell ref="Q327:X327"/>
    <mergeCell ref="Y327:Z327"/>
    <mergeCell ref="AE326:AG326"/>
    <mergeCell ref="AH326:AJ326"/>
    <mergeCell ref="AK326:AN326"/>
    <mergeCell ref="AO326:AV326"/>
    <mergeCell ref="AW326:AY326"/>
    <mergeCell ref="AZ326:BO326"/>
    <mergeCell ref="AE325:AG325"/>
    <mergeCell ref="AH325:AJ325"/>
    <mergeCell ref="B326:C326"/>
    <mergeCell ref="B325:C325"/>
    <mergeCell ref="D325:H325"/>
    <mergeCell ref="I325:P325"/>
    <mergeCell ref="Q325:X325"/>
    <mergeCell ref="Y325:Z325"/>
    <mergeCell ref="AA327:AD327"/>
    <mergeCell ref="AK327:AN327"/>
    <mergeCell ref="AO327:AV327"/>
    <mergeCell ref="AW327:AY327"/>
    <mergeCell ref="AZ327:BO327"/>
    <mergeCell ref="D328:H328"/>
    <mergeCell ref="I328:P328"/>
    <mergeCell ref="Q328:X328"/>
    <mergeCell ref="Y328:Z328"/>
    <mergeCell ref="AA328:AD328"/>
    <mergeCell ref="AA325:AD325"/>
    <mergeCell ref="AK325:AN325"/>
    <mergeCell ref="B324:C324"/>
    <mergeCell ref="B323:C323"/>
    <mergeCell ref="D323:H323"/>
    <mergeCell ref="I323:P323"/>
    <mergeCell ref="Q323:X323"/>
    <mergeCell ref="Y323:Z323"/>
    <mergeCell ref="AE322:AG322"/>
    <mergeCell ref="AH322:AJ322"/>
    <mergeCell ref="AK322:AN322"/>
    <mergeCell ref="AO322:AV322"/>
    <mergeCell ref="AW322:AY322"/>
    <mergeCell ref="AZ322:BO322"/>
    <mergeCell ref="AE321:AG321"/>
    <mergeCell ref="AH321:AJ321"/>
    <mergeCell ref="B322:C322"/>
    <mergeCell ref="B321:C321"/>
    <mergeCell ref="D321:H321"/>
    <mergeCell ref="I321:P321"/>
    <mergeCell ref="Q321:X321"/>
    <mergeCell ref="Y321:Z321"/>
    <mergeCell ref="D324:H324"/>
    <mergeCell ref="I324:P324"/>
    <mergeCell ref="Q324:X324"/>
    <mergeCell ref="Y324:Z324"/>
    <mergeCell ref="AA324:AD324"/>
    <mergeCell ref="AE324:AG324"/>
    <mergeCell ref="AH324:AJ324"/>
    <mergeCell ref="AK324:AN324"/>
    <mergeCell ref="AO324:AV324"/>
    <mergeCell ref="AW324:AY324"/>
    <mergeCell ref="AZ324:BO324"/>
    <mergeCell ref="AH323:AJ323"/>
    <mergeCell ref="B320:C320"/>
    <mergeCell ref="B319:C319"/>
    <mergeCell ref="D319:H319"/>
    <mergeCell ref="I319:P319"/>
    <mergeCell ref="Q319:X319"/>
    <mergeCell ref="Y319:Z319"/>
    <mergeCell ref="AE318:AG318"/>
    <mergeCell ref="AH318:AJ318"/>
    <mergeCell ref="AK318:AN318"/>
    <mergeCell ref="AO318:AV318"/>
    <mergeCell ref="AW318:AY318"/>
    <mergeCell ref="AZ318:BO318"/>
    <mergeCell ref="AE317:AG317"/>
    <mergeCell ref="AH317:AJ317"/>
    <mergeCell ref="B318:C318"/>
    <mergeCell ref="B317:C317"/>
    <mergeCell ref="D317:H317"/>
    <mergeCell ref="I317:P317"/>
    <mergeCell ref="Q317:X317"/>
    <mergeCell ref="Y317:Z317"/>
    <mergeCell ref="AA319:AD319"/>
    <mergeCell ref="AK319:AN319"/>
    <mergeCell ref="AO319:AV319"/>
    <mergeCell ref="AW319:AY319"/>
    <mergeCell ref="AZ319:BO319"/>
    <mergeCell ref="D320:H320"/>
    <mergeCell ref="I320:P320"/>
    <mergeCell ref="Q320:X320"/>
    <mergeCell ref="Y320:Z320"/>
    <mergeCell ref="AA320:AD320"/>
    <mergeCell ref="AA317:AD317"/>
    <mergeCell ref="AK317:AN317"/>
    <mergeCell ref="B316:C316"/>
    <mergeCell ref="B315:C315"/>
    <mergeCell ref="D315:H315"/>
    <mergeCell ref="I315:P315"/>
    <mergeCell ref="Q315:X315"/>
    <mergeCell ref="Y315:Z315"/>
    <mergeCell ref="AE314:AG314"/>
    <mergeCell ref="AH314:AJ314"/>
    <mergeCell ref="AK314:AN314"/>
    <mergeCell ref="AO314:AV314"/>
    <mergeCell ref="AW314:AY314"/>
    <mergeCell ref="AZ314:BO314"/>
    <mergeCell ref="AE313:AG313"/>
    <mergeCell ref="AH313:AJ313"/>
    <mergeCell ref="B314:C314"/>
    <mergeCell ref="B313:C313"/>
    <mergeCell ref="D313:H313"/>
    <mergeCell ref="I313:P313"/>
    <mergeCell ref="Q313:X313"/>
    <mergeCell ref="Y313:Z313"/>
    <mergeCell ref="D316:H316"/>
    <mergeCell ref="I316:P316"/>
    <mergeCell ref="Q316:X316"/>
    <mergeCell ref="Y316:Z316"/>
    <mergeCell ref="AA316:AD316"/>
    <mergeCell ref="AE316:AG316"/>
    <mergeCell ref="AH316:AJ316"/>
    <mergeCell ref="AK316:AN316"/>
    <mergeCell ref="AO316:AV316"/>
    <mergeCell ref="AW316:AY316"/>
    <mergeCell ref="AZ316:BO316"/>
    <mergeCell ref="AH315:AJ315"/>
    <mergeCell ref="B312:C312"/>
    <mergeCell ref="B311:C311"/>
    <mergeCell ref="D311:H311"/>
    <mergeCell ref="I311:P311"/>
    <mergeCell ref="Q311:X311"/>
    <mergeCell ref="Y311:Z311"/>
    <mergeCell ref="AE310:AG310"/>
    <mergeCell ref="AH310:AJ310"/>
    <mergeCell ref="AK310:AN310"/>
    <mergeCell ref="AO310:AV310"/>
    <mergeCell ref="AW310:AY310"/>
    <mergeCell ref="AZ310:BO310"/>
    <mergeCell ref="AE309:AG309"/>
    <mergeCell ref="AH309:AJ309"/>
    <mergeCell ref="B310:C310"/>
    <mergeCell ref="B309:C309"/>
    <mergeCell ref="D309:H309"/>
    <mergeCell ref="I309:P309"/>
    <mergeCell ref="Q309:X309"/>
    <mergeCell ref="Y309:Z309"/>
    <mergeCell ref="AA311:AD311"/>
    <mergeCell ref="AK311:AN311"/>
    <mergeCell ref="AO311:AV311"/>
    <mergeCell ref="AW311:AY311"/>
    <mergeCell ref="AZ311:BO311"/>
    <mergeCell ref="D312:H312"/>
    <mergeCell ref="I312:P312"/>
    <mergeCell ref="Q312:X312"/>
    <mergeCell ref="Y312:Z312"/>
    <mergeCell ref="AA312:AD312"/>
    <mergeCell ref="AA309:AD309"/>
    <mergeCell ref="AK309:AN309"/>
    <mergeCell ref="B308:C308"/>
    <mergeCell ref="B307:C307"/>
    <mergeCell ref="D307:H307"/>
    <mergeCell ref="I307:P307"/>
    <mergeCell ref="Q307:X307"/>
    <mergeCell ref="Y307:Z307"/>
    <mergeCell ref="AE306:AG306"/>
    <mergeCell ref="AH306:AJ306"/>
    <mergeCell ref="AK306:AN306"/>
    <mergeCell ref="AO306:AV306"/>
    <mergeCell ref="AW306:AY306"/>
    <mergeCell ref="AZ306:BO306"/>
    <mergeCell ref="AE305:AG305"/>
    <mergeCell ref="AH305:AJ305"/>
    <mergeCell ref="B306:C306"/>
    <mergeCell ref="B305:C305"/>
    <mergeCell ref="D305:H305"/>
    <mergeCell ref="I305:P305"/>
    <mergeCell ref="Q305:X305"/>
    <mergeCell ref="Y305:Z305"/>
    <mergeCell ref="D308:H308"/>
    <mergeCell ref="I308:P308"/>
    <mergeCell ref="Q308:X308"/>
    <mergeCell ref="Y308:Z308"/>
    <mergeCell ref="AA308:AD308"/>
    <mergeCell ref="AE308:AG308"/>
    <mergeCell ref="AH308:AJ308"/>
    <mergeCell ref="AK308:AN308"/>
    <mergeCell ref="AO308:AV308"/>
    <mergeCell ref="AW308:AY308"/>
    <mergeCell ref="AZ308:BO308"/>
    <mergeCell ref="AH307:AJ307"/>
    <mergeCell ref="B304:C304"/>
    <mergeCell ref="B303:C303"/>
    <mergeCell ref="D303:H303"/>
    <mergeCell ref="I303:P303"/>
    <mergeCell ref="Q303:X303"/>
    <mergeCell ref="Y303:Z303"/>
    <mergeCell ref="AE302:AG302"/>
    <mergeCell ref="AH302:AJ302"/>
    <mergeCell ref="AK302:AN302"/>
    <mergeCell ref="AO302:AV302"/>
    <mergeCell ref="AW302:AY302"/>
    <mergeCell ref="AZ302:BO302"/>
    <mergeCell ref="AE301:AG301"/>
    <mergeCell ref="AH301:AJ301"/>
    <mergeCell ref="B302:C302"/>
    <mergeCell ref="B301:C301"/>
    <mergeCell ref="D301:H301"/>
    <mergeCell ref="I301:P301"/>
    <mergeCell ref="Q301:X301"/>
    <mergeCell ref="Y301:Z301"/>
    <mergeCell ref="AA303:AD303"/>
    <mergeCell ref="AK303:AN303"/>
    <mergeCell ref="AO303:AV303"/>
    <mergeCell ref="AW303:AY303"/>
    <mergeCell ref="AZ303:BO303"/>
    <mergeCell ref="D304:H304"/>
    <mergeCell ref="I304:P304"/>
    <mergeCell ref="Q304:X304"/>
    <mergeCell ref="Y304:Z304"/>
    <mergeCell ref="AA304:AD304"/>
    <mergeCell ref="AA301:AD301"/>
    <mergeCell ref="AK301:AN301"/>
    <mergeCell ref="B300:C300"/>
    <mergeCell ref="B299:C299"/>
    <mergeCell ref="D299:H299"/>
    <mergeCell ref="I299:P299"/>
    <mergeCell ref="Q299:X299"/>
    <mergeCell ref="Y299:Z299"/>
    <mergeCell ref="AE298:AG298"/>
    <mergeCell ref="AH298:AJ298"/>
    <mergeCell ref="AK298:AN298"/>
    <mergeCell ref="AO298:AV298"/>
    <mergeCell ref="AW298:AY298"/>
    <mergeCell ref="AZ298:BO298"/>
    <mergeCell ref="AE297:AG297"/>
    <mergeCell ref="AH297:AJ297"/>
    <mergeCell ref="B298:C298"/>
    <mergeCell ref="B297:C297"/>
    <mergeCell ref="D297:H297"/>
    <mergeCell ref="I297:P297"/>
    <mergeCell ref="Q297:X297"/>
    <mergeCell ref="Y297:Z297"/>
    <mergeCell ref="D300:H300"/>
    <mergeCell ref="I300:P300"/>
    <mergeCell ref="Q300:X300"/>
    <mergeCell ref="Y300:Z300"/>
    <mergeCell ref="AA300:AD300"/>
    <mergeCell ref="AE300:AG300"/>
    <mergeCell ref="AH300:AJ300"/>
    <mergeCell ref="AK300:AN300"/>
    <mergeCell ref="AO300:AV300"/>
    <mergeCell ref="AW300:AY300"/>
    <mergeCell ref="AZ300:BO300"/>
    <mergeCell ref="AH299:AJ299"/>
    <mergeCell ref="B296:C296"/>
    <mergeCell ref="B295:C295"/>
    <mergeCell ref="D295:H295"/>
    <mergeCell ref="I295:P295"/>
    <mergeCell ref="Q295:X295"/>
    <mergeCell ref="Y295:Z295"/>
    <mergeCell ref="AE294:AG294"/>
    <mergeCell ref="AH294:AJ294"/>
    <mergeCell ref="AK294:AN294"/>
    <mergeCell ref="AO294:AV294"/>
    <mergeCell ref="AW294:AY294"/>
    <mergeCell ref="AZ294:BO294"/>
    <mergeCell ref="AE293:AG293"/>
    <mergeCell ref="AH293:AJ293"/>
    <mergeCell ref="B294:C294"/>
    <mergeCell ref="B293:C293"/>
    <mergeCell ref="D293:H293"/>
    <mergeCell ref="I293:P293"/>
    <mergeCell ref="Q293:X293"/>
    <mergeCell ref="Y293:Z293"/>
    <mergeCell ref="AA295:AD295"/>
    <mergeCell ref="AK295:AN295"/>
    <mergeCell ref="AO295:AV295"/>
    <mergeCell ref="AW295:AY295"/>
    <mergeCell ref="AZ295:BO295"/>
    <mergeCell ref="D296:H296"/>
    <mergeCell ref="I296:P296"/>
    <mergeCell ref="Q296:X296"/>
    <mergeCell ref="Y296:Z296"/>
    <mergeCell ref="AA296:AD296"/>
    <mergeCell ref="AA293:AD293"/>
    <mergeCell ref="AK293:AN293"/>
    <mergeCell ref="B292:C292"/>
    <mergeCell ref="B291:C291"/>
    <mergeCell ref="D291:H291"/>
    <mergeCell ref="I291:P291"/>
    <mergeCell ref="Q291:X291"/>
    <mergeCell ref="Y291:Z291"/>
    <mergeCell ref="AE290:AG290"/>
    <mergeCell ref="AH290:AJ290"/>
    <mergeCell ref="AK290:AN290"/>
    <mergeCell ref="AO290:AV290"/>
    <mergeCell ref="AW290:AY290"/>
    <mergeCell ref="AZ290:BO290"/>
    <mergeCell ref="AE289:AG289"/>
    <mergeCell ref="AH289:AJ289"/>
    <mergeCell ref="B290:C290"/>
    <mergeCell ref="B289:C289"/>
    <mergeCell ref="D289:H289"/>
    <mergeCell ref="I289:P289"/>
    <mergeCell ref="Q289:X289"/>
    <mergeCell ref="Y289:Z289"/>
    <mergeCell ref="D292:H292"/>
    <mergeCell ref="I292:P292"/>
    <mergeCell ref="Q292:X292"/>
    <mergeCell ref="Y292:Z292"/>
    <mergeCell ref="AA292:AD292"/>
    <mergeCell ref="AE292:AG292"/>
    <mergeCell ref="AH292:AJ292"/>
    <mergeCell ref="AK292:AN292"/>
    <mergeCell ref="AO292:AV292"/>
    <mergeCell ref="AW292:AY292"/>
    <mergeCell ref="AZ292:BO292"/>
    <mergeCell ref="AH291:AJ291"/>
    <mergeCell ref="B288:C288"/>
    <mergeCell ref="B287:C287"/>
    <mergeCell ref="D287:H287"/>
    <mergeCell ref="I287:P287"/>
    <mergeCell ref="Q287:X287"/>
    <mergeCell ref="Y287:Z287"/>
    <mergeCell ref="AE286:AG286"/>
    <mergeCell ref="AH286:AJ286"/>
    <mergeCell ref="AK286:AN286"/>
    <mergeCell ref="AO286:AV286"/>
    <mergeCell ref="AW286:AY286"/>
    <mergeCell ref="AZ286:BO286"/>
    <mergeCell ref="AE285:AG285"/>
    <mergeCell ref="AH285:AJ285"/>
    <mergeCell ref="B286:C286"/>
    <mergeCell ref="B285:C285"/>
    <mergeCell ref="D285:H285"/>
    <mergeCell ref="I285:P285"/>
    <mergeCell ref="Q285:X285"/>
    <mergeCell ref="Y285:Z285"/>
    <mergeCell ref="AA287:AD287"/>
    <mergeCell ref="AK287:AN287"/>
    <mergeCell ref="AO287:AV287"/>
    <mergeCell ref="AW287:AY287"/>
    <mergeCell ref="AZ287:BO287"/>
    <mergeCell ref="D288:H288"/>
    <mergeCell ref="I288:P288"/>
    <mergeCell ref="Q288:X288"/>
    <mergeCell ref="Y288:Z288"/>
    <mergeCell ref="AA288:AD288"/>
    <mergeCell ref="AA285:AD285"/>
    <mergeCell ref="AK285:AN285"/>
    <mergeCell ref="B284:C284"/>
    <mergeCell ref="B283:C283"/>
    <mergeCell ref="D283:H283"/>
    <mergeCell ref="I283:P283"/>
    <mergeCell ref="Q283:X283"/>
    <mergeCell ref="Y283:Z283"/>
    <mergeCell ref="AE282:AG282"/>
    <mergeCell ref="AH282:AJ282"/>
    <mergeCell ref="AK282:AN282"/>
    <mergeCell ref="AO282:AV282"/>
    <mergeCell ref="AW282:AY282"/>
    <mergeCell ref="AZ282:BO282"/>
    <mergeCell ref="AE281:AG281"/>
    <mergeCell ref="AH281:AJ281"/>
    <mergeCell ref="B282:C282"/>
    <mergeCell ref="B281:C281"/>
    <mergeCell ref="D281:H281"/>
    <mergeCell ref="I281:P281"/>
    <mergeCell ref="Q281:X281"/>
    <mergeCell ref="Y281:Z281"/>
    <mergeCell ref="D284:H284"/>
    <mergeCell ref="I284:P284"/>
    <mergeCell ref="Q284:X284"/>
    <mergeCell ref="Y284:Z284"/>
    <mergeCell ref="AA284:AD284"/>
    <mergeCell ref="AE284:AG284"/>
    <mergeCell ref="AH284:AJ284"/>
    <mergeCell ref="AK284:AN284"/>
    <mergeCell ref="AO284:AV284"/>
    <mergeCell ref="AW284:AY284"/>
    <mergeCell ref="AZ284:BO284"/>
    <mergeCell ref="AH283:AJ283"/>
    <mergeCell ref="B280:C280"/>
    <mergeCell ref="B279:C279"/>
    <mergeCell ref="D279:H279"/>
    <mergeCell ref="I279:P279"/>
    <mergeCell ref="Q279:X279"/>
    <mergeCell ref="Y279:Z279"/>
    <mergeCell ref="AE278:AG278"/>
    <mergeCell ref="AH278:AJ278"/>
    <mergeCell ref="AK278:AN278"/>
    <mergeCell ref="AO278:AV278"/>
    <mergeCell ref="AW278:AY278"/>
    <mergeCell ref="AZ278:BO278"/>
    <mergeCell ref="AE277:AG277"/>
    <mergeCell ref="AH277:AJ277"/>
    <mergeCell ref="B278:C278"/>
    <mergeCell ref="B277:C277"/>
    <mergeCell ref="D277:H277"/>
    <mergeCell ref="I277:P277"/>
    <mergeCell ref="Q277:X277"/>
    <mergeCell ref="Y277:Z277"/>
    <mergeCell ref="AA279:AD279"/>
    <mergeCell ref="AK279:AN279"/>
    <mergeCell ref="AO279:AV279"/>
    <mergeCell ref="AW279:AY279"/>
    <mergeCell ref="AZ279:BO279"/>
    <mergeCell ref="D280:H280"/>
    <mergeCell ref="I280:P280"/>
    <mergeCell ref="Q280:X280"/>
    <mergeCell ref="Y280:Z280"/>
    <mergeCell ref="AA280:AD280"/>
    <mergeCell ref="AA277:AD277"/>
    <mergeCell ref="AK277:AN277"/>
    <mergeCell ref="B276:C276"/>
    <mergeCell ref="B275:C275"/>
    <mergeCell ref="D275:H275"/>
    <mergeCell ref="I275:P275"/>
    <mergeCell ref="Q275:X275"/>
    <mergeCell ref="Y275:Z275"/>
    <mergeCell ref="AE274:AG274"/>
    <mergeCell ref="AH274:AJ274"/>
    <mergeCell ref="AK274:AN274"/>
    <mergeCell ref="AO274:AV274"/>
    <mergeCell ref="AW274:AY274"/>
    <mergeCell ref="AZ274:BO274"/>
    <mergeCell ref="AE273:AG273"/>
    <mergeCell ref="AH273:AJ273"/>
    <mergeCell ref="B274:C274"/>
    <mergeCell ref="B273:C273"/>
    <mergeCell ref="D273:H273"/>
    <mergeCell ref="I273:P273"/>
    <mergeCell ref="Q273:X273"/>
    <mergeCell ref="Y273:Z273"/>
    <mergeCell ref="D276:H276"/>
    <mergeCell ref="I276:P276"/>
    <mergeCell ref="Q276:X276"/>
    <mergeCell ref="Y276:Z276"/>
    <mergeCell ref="AA276:AD276"/>
    <mergeCell ref="AE276:AG276"/>
    <mergeCell ref="AH276:AJ276"/>
    <mergeCell ref="AK276:AN276"/>
    <mergeCell ref="AO276:AV276"/>
    <mergeCell ref="AW276:AY276"/>
    <mergeCell ref="AZ276:BO276"/>
    <mergeCell ref="AH275:AJ275"/>
    <mergeCell ref="B272:C272"/>
    <mergeCell ref="B271:C271"/>
    <mergeCell ref="D271:H271"/>
    <mergeCell ref="I271:P271"/>
    <mergeCell ref="Q271:X271"/>
    <mergeCell ref="Y271:Z271"/>
    <mergeCell ref="AE270:AG270"/>
    <mergeCell ref="AH270:AJ270"/>
    <mergeCell ref="AK270:AN270"/>
    <mergeCell ref="AO270:AV270"/>
    <mergeCell ref="AW270:AY270"/>
    <mergeCell ref="AZ270:BO270"/>
    <mergeCell ref="AE269:AG269"/>
    <mergeCell ref="AH269:AJ269"/>
    <mergeCell ref="B270:C270"/>
    <mergeCell ref="B269:C269"/>
    <mergeCell ref="D269:H269"/>
    <mergeCell ref="I269:P269"/>
    <mergeCell ref="Q269:X269"/>
    <mergeCell ref="Y269:Z269"/>
    <mergeCell ref="AA271:AD271"/>
    <mergeCell ref="AK271:AN271"/>
    <mergeCell ref="AO271:AV271"/>
    <mergeCell ref="AW271:AY271"/>
    <mergeCell ref="AZ271:BO271"/>
    <mergeCell ref="D272:H272"/>
    <mergeCell ref="I272:P272"/>
    <mergeCell ref="Q272:X272"/>
    <mergeCell ref="Y272:Z272"/>
    <mergeCell ref="AA272:AD272"/>
    <mergeCell ref="AA269:AD269"/>
    <mergeCell ref="AK269:AN269"/>
    <mergeCell ref="B268:C268"/>
    <mergeCell ref="B267:C267"/>
    <mergeCell ref="D267:H267"/>
    <mergeCell ref="I267:P267"/>
    <mergeCell ref="Q267:X267"/>
    <mergeCell ref="Y267:Z267"/>
    <mergeCell ref="AE266:AG266"/>
    <mergeCell ref="AH266:AJ266"/>
    <mergeCell ref="AK266:AN266"/>
    <mergeCell ref="AO266:AV266"/>
    <mergeCell ref="AW266:AY266"/>
    <mergeCell ref="AZ266:BO266"/>
    <mergeCell ref="AE265:AG265"/>
    <mergeCell ref="AH265:AJ265"/>
    <mergeCell ref="B266:C266"/>
    <mergeCell ref="B265:C265"/>
    <mergeCell ref="D265:H265"/>
    <mergeCell ref="I265:P265"/>
    <mergeCell ref="Q265:X265"/>
    <mergeCell ref="Y265:Z265"/>
    <mergeCell ref="D268:H268"/>
    <mergeCell ref="I268:P268"/>
    <mergeCell ref="Q268:X268"/>
    <mergeCell ref="Y268:Z268"/>
    <mergeCell ref="AA268:AD268"/>
    <mergeCell ref="AE268:AG268"/>
    <mergeCell ref="AH268:AJ268"/>
    <mergeCell ref="AK268:AN268"/>
    <mergeCell ref="AO268:AV268"/>
    <mergeCell ref="AW268:AY268"/>
    <mergeCell ref="AZ268:BO268"/>
    <mergeCell ref="AH267:AJ267"/>
    <mergeCell ref="B264:C264"/>
    <mergeCell ref="B263:C263"/>
    <mergeCell ref="D263:H263"/>
    <mergeCell ref="I263:P263"/>
    <mergeCell ref="Q263:X263"/>
    <mergeCell ref="Y263:Z263"/>
    <mergeCell ref="AE262:AG262"/>
    <mergeCell ref="AH262:AJ262"/>
    <mergeCell ref="AK262:AN262"/>
    <mergeCell ref="AO262:AV262"/>
    <mergeCell ref="AW262:AY262"/>
    <mergeCell ref="AZ262:BO262"/>
    <mergeCell ref="AE261:AG261"/>
    <mergeCell ref="AH261:AJ261"/>
    <mergeCell ref="B262:C262"/>
    <mergeCell ref="B261:C261"/>
    <mergeCell ref="D261:H261"/>
    <mergeCell ref="I261:P261"/>
    <mergeCell ref="Q261:X261"/>
    <mergeCell ref="Y261:Z261"/>
    <mergeCell ref="AA263:AD263"/>
    <mergeCell ref="AK263:AN263"/>
    <mergeCell ref="AO263:AV263"/>
    <mergeCell ref="AW263:AY263"/>
    <mergeCell ref="AZ263:BO263"/>
    <mergeCell ref="D264:H264"/>
    <mergeCell ref="I264:P264"/>
    <mergeCell ref="Q264:X264"/>
    <mergeCell ref="Y264:Z264"/>
    <mergeCell ref="AA264:AD264"/>
    <mergeCell ref="AA261:AD261"/>
    <mergeCell ref="AK261:AN261"/>
    <mergeCell ref="B260:C260"/>
    <mergeCell ref="B259:C259"/>
    <mergeCell ref="D259:H259"/>
    <mergeCell ref="I259:P259"/>
    <mergeCell ref="Q259:X259"/>
    <mergeCell ref="Y259:Z259"/>
    <mergeCell ref="AE258:AG258"/>
    <mergeCell ref="AH258:AJ258"/>
    <mergeCell ref="AK258:AN258"/>
    <mergeCell ref="AO258:AV258"/>
    <mergeCell ref="AW258:AY258"/>
    <mergeCell ref="AZ258:BO258"/>
    <mergeCell ref="AE257:AG257"/>
    <mergeCell ref="AH257:AJ257"/>
    <mergeCell ref="B258:C258"/>
    <mergeCell ref="B257:C257"/>
    <mergeCell ref="D257:H257"/>
    <mergeCell ref="I257:P257"/>
    <mergeCell ref="Q257:X257"/>
    <mergeCell ref="Y257:Z257"/>
    <mergeCell ref="D260:H260"/>
    <mergeCell ref="I260:P260"/>
    <mergeCell ref="Q260:X260"/>
    <mergeCell ref="Y260:Z260"/>
    <mergeCell ref="AA260:AD260"/>
    <mergeCell ref="AE260:AG260"/>
    <mergeCell ref="AH260:AJ260"/>
    <mergeCell ref="AK260:AN260"/>
    <mergeCell ref="AO260:AV260"/>
    <mergeCell ref="AW260:AY260"/>
    <mergeCell ref="AZ260:BO260"/>
    <mergeCell ref="AH259:AJ259"/>
    <mergeCell ref="B256:C256"/>
    <mergeCell ref="B255:C255"/>
    <mergeCell ref="D255:H255"/>
    <mergeCell ref="I255:P255"/>
    <mergeCell ref="Q255:X255"/>
    <mergeCell ref="Y255:Z255"/>
    <mergeCell ref="AE254:AG254"/>
    <mergeCell ref="AH254:AJ254"/>
    <mergeCell ref="AK254:AN254"/>
    <mergeCell ref="AO254:AV254"/>
    <mergeCell ref="AW254:AY254"/>
    <mergeCell ref="AZ254:BO254"/>
    <mergeCell ref="AE253:AG253"/>
    <mergeCell ref="AH253:AJ253"/>
    <mergeCell ref="B254:C254"/>
    <mergeCell ref="B253:C253"/>
    <mergeCell ref="D253:H253"/>
    <mergeCell ref="I253:P253"/>
    <mergeCell ref="Q253:X253"/>
    <mergeCell ref="Y253:Z253"/>
    <mergeCell ref="AA255:AD255"/>
    <mergeCell ref="AK255:AN255"/>
    <mergeCell ref="AO255:AV255"/>
    <mergeCell ref="AW255:AY255"/>
    <mergeCell ref="AZ255:BO255"/>
    <mergeCell ref="D256:H256"/>
    <mergeCell ref="I256:P256"/>
    <mergeCell ref="Q256:X256"/>
    <mergeCell ref="Y256:Z256"/>
    <mergeCell ref="AA256:AD256"/>
    <mergeCell ref="AA253:AD253"/>
    <mergeCell ref="AK253:AN253"/>
    <mergeCell ref="B252:C252"/>
    <mergeCell ref="B251:C251"/>
    <mergeCell ref="D251:H251"/>
    <mergeCell ref="I251:P251"/>
    <mergeCell ref="Q251:X251"/>
    <mergeCell ref="Y251:Z251"/>
    <mergeCell ref="AE250:AG250"/>
    <mergeCell ref="AH250:AJ250"/>
    <mergeCell ref="AK250:AN250"/>
    <mergeCell ref="AO250:AV250"/>
    <mergeCell ref="AW250:AY250"/>
    <mergeCell ref="AZ250:BO250"/>
    <mergeCell ref="AE249:AG249"/>
    <mergeCell ref="AH249:AJ249"/>
    <mergeCell ref="B250:C250"/>
    <mergeCell ref="B249:C249"/>
    <mergeCell ref="D249:H249"/>
    <mergeCell ref="I249:P249"/>
    <mergeCell ref="Q249:X249"/>
    <mergeCell ref="Y249:Z249"/>
    <mergeCell ref="D252:H252"/>
    <mergeCell ref="I252:P252"/>
    <mergeCell ref="Q252:X252"/>
    <mergeCell ref="Y252:Z252"/>
    <mergeCell ref="AA252:AD252"/>
    <mergeCell ref="AE252:AG252"/>
    <mergeCell ref="AH252:AJ252"/>
    <mergeCell ref="AK252:AN252"/>
    <mergeCell ref="AO252:AV252"/>
    <mergeCell ref="AW252:AY252"/>
    <mergeCell ref="AZ252:BO252"/>
    <mergeCell ref="AH251:AJ251"/>
    <mergeCell ref="B248:C248"/>
    <mergeCell ref="B247:C247"/>
    <mergeCell ref="D247:H247"/>
    <mergeCell ref="I247:P247"/>
    <mergeCell ref="Q247:X247"/>
    <mergeCell ref="Y247:Z247"/>
    <mergeCell ref="AE246:AG246"/>
    <mergeCell ref="AH246:AJ246"/>
    <mergeCell ref="AK246:AN246"/>
    <mergeCell ref="AO246:AV246"/>
    <mergeCell ref="AW246:AY246"/>
    <mergeCell ref="AZ246:BO246"/>
    <mergeCell ref="AE245:AG245"/>
    <mergeCell ref="AH245:AJ245"/>
    <mergeCell ref="B246:C246"/>
    <mergeCell ref="B245:C245"/>
    <mergeCell ref="D245:H245"/>
    <mergeCell ref="I245:P245"/>
    <mergeCell ref="Q245:X245"/>
    <mergeCell ref="Y245:Z245"/>
    <mergeCell ref="AA247:AD247"/>
    <mergeCell ref="AK247:AN247"/>
    <mergeCell ref="AO247:AV247"/>
    <mergeCell ref="AW247:AY247"/>
    <mergeCell ref="AZ247:BO247"/>
    <mergeCell ref="D248:H248"/>
    <mergeCell ref="I248:P248"/>
    <mergeCell ref="Q248:X248"/>
    <mergeCell ref="Y248:Z248"/>
    <mergeCell ref="AA248:AD248"/>
    <mergeCell ref="AA245:AD245"/>
    <mergeCell ref="AK245:AN245"/>
    <mergeCell ref="B244:C244"/>
    <mergeCell ref="B243:C243"/>
    <mergeCell ref="D243:H243"/>
    <mergeCell ref="I243:P243"/>
    <mergeCell ref="Q243:X243"/>
    <mergeCell ref="Y243:Z243"/>
    <mergeCell ref="AE242:AG242"/>
    <mergeCell ref="AH242:AJ242"/>
    <mergeCell ref="AK242:AN242"/>
    <mergeCell ref="AO242:AV242"/>
    <mergeCell ref="AW242:AY242"/>
    <mergeCell ref="AZ242:BO242"/>
    <mergeCell ref="AE241:AG241"/>
    <mergeCell ref="AH241:AJ241"/>
    <mergeCell ref="B242:C242"/>
    <mergeCell ref="B241:C241"/>
    <mergeCell ref="D241:H241"/>
    <mergeCell ref="I241:P241"/>
    <mergeCell ref="Q241:X241"/>
    <mergeCell ref="Y241:Z241"/>
    <mergeCell ref="D244:H244"/>
    <mergeCell ref="I244:P244"/>
    <mergeCell ref="Q244:X244"/>
    <mergeCell ref="Y244:Z244"/>
    <mergeCell ref="AA244:AD244"/>
    <mergeCell ref="AE244:AG244"/>
    <mergeCell ref="AH244:AJ244"/>
    <mergeCell ref="AK244:AN244"/>
    <mergeCell ref="AO244:AV244"/>
    <mergeCell ref="AW244:AY244"/>
    <mergeCell ref="AZ244:BO244"/>
    <mergeCell ref="AH243:AJ243"/>
    <mergeCell ref="B240:C240"/>
    <mergeCell ref="B239:C239"/>
    <mergeCell ref="D239:H239"/>
    <mergeCell ref="I239:P239"/>
    <mergeCell ref="Q239:X239"/>
    <mergeCell ref="Y239:Z239"/>
    <mergeCell ref="AE238:AG238"/>
    <mergeCell ref="AH238:AJ238"/>
    <mergeCell ref="AK238:AN238"/>
    <mergeCell ref="AO238:AV238"/>
    <mergeCell ref="AW238:AY238"/>
    <mergeCell ref="AZ238:BO238"/>
    <mergeCell ref="AE237:AG237"/>
    <mergeCell ref="AH237:AJ237"/>
    <mergeCell ref="B238:C238"/>
    <mergeCell ref="B237:C237"/>
    <mergeCell ref="D237:H237"/>
    <mergeCell ref="I237:P237"/>
    <mergeCell ref="Q237:X237"/>
    <mergeCell ref="Y237:Z237"/>
    <mergeCell ref="AA239:AD239"/>
    <mergeCell ref="AK239:AN239"/>
    <mergeCell ref="AO239:AV239"/>
    <mergeCell ref="AW239:AY239"/>
    <mergeCell ref="AZ239:BO239"/>
    <mergeCell ref="D240:H240"/>
    <mergeCell ref="I240:P240"/>
    <mergeCell ref="Q240:X240"/>
    <mergeCell ref="Y240:Z240"/>
    <mergeCell ref="AA240:AD240"/>
    <mergeCell ref="AA237:AD237"/>
    <mergeCell ref="AK237:AN237"/>
    <mergeCell ref="B236:C236"/>
    <mergeCell ref="B235:C235"/>
    <mergeCell ref="D235:H235"/>
    <mergeCell ref="I235:P235"/>
    <mergeCell ref="Q235:X235"/>
    <mergeCell ref="Y235:Z235"/>
    <mergeCell ref="AE234:AG234"/>
    <mergeCell ref="AH234:AJ234"/>
    <mergeCell ref="AK234:AN234"/>
    <mergeCell ref="AO234:AV234"/>
    <mergeCell ref="AW234:AY234"/>
    <mergeCell ref="AZ234:BO234"/>
    <mergeCell ref="AE233:AG233"/>
    <mergeCell ref="AH233:AJ233"/>
    <mergeCell ref="B234:C234"/>
    <mergeCell ref="B233:C233"/>
    <mergeCell ref="D233:H233"/>
    <mergeCell ref="I233:P233"/>
    <mergeCell ref="Q233:X233"/>
    <mergeCell ref="Y233:Z233"/>
    <mergeCell ref="D236:H236"/>
    <mergeCell ref="I236:P236"/>
    <mergeCell ref="Q236:X236"/>
    <mergeCell ref="Y236:Z236"/>
    <mergeCell ref="AA236:AD236"/>
    <mergeCell ref="AE236:AG236"/>
    <mergeCell ref="AH236:AJ236"/>
    <mergeCell ref="AK236:AN236"/>
    <mergeCell ref="AO236:AV236"/>
    <mergeCell ref="AW236:AY236"/>
    <mergeCell ref="AZ236:BO236"/>
    <mergeCell ref="AH235:AJ235"/>
    <mergeCell ref="B232:C232"/>
    <mergeCell ref="B231:C231"/>
    <mergeCell ref="D231:H231"/>
    <mergeCell ref="I231:P231"/>
    <mergeCell ref="Q231:X231"/>
    <mergeCell ref="Y231:Z231"/>
    <mergeCell ref="AE230:AG230"/>
    <mergeCell ref="AH230:AJ230"/>
    <mergeCell ref="AK230:AN230"/>
    <mergeCell ref="AO230:AV230"/>
    <mergeCell ref="AW230:AY230"/>
    <mergeCell ref="AZ230:BO230"/>
    <mergeCell ref="AE229:AG229"/>
    <mergeCell ref="AH229:AJ229"/>
    <mergeCell ref="B230:C230"/>
    <mergeCell ref="B229:C229"/>
    <mergeCell ref="D229:H229"/>
    <mergeCell ref="I229:P229"/>
    <mergeCell ref="Q229:X229"/>
    <mergeCell ref="Y229:Z229"/>
    <mergeCell ref="AA231:AD231"/>
    <mergeCell ref="AK231:AN231"/>
    <mergeCell ref="AO231:AV231"/>
    <mergeCell ref="AW231:AY231"/>
    <mergeCell ref="AZ231:BO231"/>
    <mergeCell ref="D232:H232"/>
    <mergeCell ref="I232:P232"/>
    <mergeCell ref="Q232:X232"/>
    <mergeCell ref="Y232:Z232"/>
    <mergeCell ref="AA232:AD232"/>
    <mergeCell ref="AA229:AD229"/>
    <mergeCell ref="AK229:AN229"/>
    <mergeCell ref="B228:C228"/>
    <mergeCell ref="B227:C227"/>
    <mergeCell ref="D227:H227"/>
    <mergeCell ref="I227:P227"/>
    <mergeCell ref="Q227:X227"/>
    <mergeCell ref="Y227:Z227"/>
    <mergeCell ref="AE226:AG226"/>
    <mergeCell ref="AH226:AJ226"/>
    <mergeCell ref="AK226:AN226"/>
    <mergeCell ref="AO226:AV226"/>
    <mergeCell ref="AW226:AY226"/>
    <mergeCell ref="AZ226:BO226"/>
    <mergeCell ref="AE225:AG225"/>
    <mergeCell ref="AH225:AJ225"/>
    <mergeCell ref="B226:C226"/>
    <mergeCell ref="B225:C225"/>
    <mergeCell ref="D225:H225"/>
    <mergeCell ref="I225:P225"/>
    <mergeCell ref="Q225:X225"/>
    <mergeCell ref="Y225:Z225"/>
    <mergeCell ref="D228:H228"/>
    <mergeCell ref="I228:P228"/>
    <mergeCell ref="Q228:X228"/>
    <mergeCell ref="Y228:Z228"/>
    <mergeCell ref="AA228:AD228"/>
    <mergeCell ref="AE228:AG228"/>
    <mergeCell ref="AH228:AJ228"/>
    <mergeCell ref="AK228:AN228"/>
    <mergeCell ref="AO228:AV228"/>
    <mergeCell ref="AW228:AY228"/>
    <mergeCell ref="AZ228:BO228"/>
    <mergeCell ref="AH227:AJ227"/>
    <mergeCell ref="B224:C224"/>
    <mergeCell ref="B223:C223"/>
    <mergeCell ref="D223:H223"/>
    <mergeCell ref="I223:P223"/>
    <mergeCell ref="Q223:X223"/>
    <mergeCell ref="Y223:Z223"/>
    <mergeCell ref="AE222:AG222"/>
    <mergeCell ref="AH222:AJ222"/>
    <mergeCell ref="AK222:AN222"/>
    <mergeCell ref="AO222:AV222"/>
    <mergeCell ref="AW222:AY222"/>
    <mergeCell ref="AZ222:BO222"/>
    <mergeCell ref="AE221:AG221"/>
    <mergeCell ref="AH221:AJ221"/>
    <mergeCell ref="B222:C222"/>
    <mergeCell ref="B221:C221"/>
    <mergeCell ref="D221:H221"/>
    <mergeCell ref="I221:P221"/>
    <mergeCell ref="Q221:X221"/>
    <mergeCell ref="Y221:Z221"/>
    <mergeCell ref="AA223:AD223"/>
    <mergeCell ref="AK223:AN223"/>
    <mergeCell ref="AO223:AV223"/>
    <mergeCell ref="AW223:AY223"/>
    <mergeCell ref="AZ223:BO223"/>
    <mergeCell ref="D224:H224"/>
    <mergeCell ref="I224:P224"/>
    <mergeCell ref="Q224:X224"/>
    <mergeCell ref="Y224:Z224"/>
    <mergeCell ref="AA224:AD224"/>
    <mergeCell ref="AA221:AD221"/>
    <mergeCell ref="AK221:AN221"/>
    <mergeCell ref="B220:C220"/>
    <mergeCell ref="B219:C219"/>
    <mergeCell ref="D219:H219"/>
    <mergeCell ref="I219:P219"/>
    <mergeCell ref="Q219:X219"/>
    <mergeCell ref="Y219:Z219"/>
    <mergeCell ref="AE218:AG218"/>
    <mergeCell ref="AH218:AJ218"/>
    <mergeCell ref="AK218:AN218"/>
    <mergeCell ref="AO218:AV218"/>
    <mergeCell ref="AW218:AY218"/>
    <mergeCell ref="AZ218:BO218"/>
    <mergeCell ref="AE217:AG217"/>
    <mergeCell ref="AH217:AJ217"/>
    <mergeCell ref="B218:C218"/>
    <mergeCell ref="B217:C217"/>
    <mergeCell ref="D217:H217"/>
    <mergeCell ref="I217:P217"/>
    <mergeCell ref="Q217:X217"/>
    <mergeCell ref="Y217:Z217"/>
    <mergeCell ref="D220:H220"/>
    <mergeCell ref="I220:P220"/>
    <mergeCell ref="Q220:X220"/>
    <mergeCell ref="Y220:Z220"/>
    <mergeCell ref="AA220:AD220"/>
    <mergeCell ref="AE220:AG220"/>
    <mergeCell ref="AH220:AJ220"/>
    <mergeCell ref="AK220:AN220"/>
    <mergeCell ref="AO220:AV220"/>
    <mergeCell ref="AW220:AY220"/>
    <mergeCell ref="AZ220:BO220"/>
    <mergeCell ref="AH219:AJ219"/>
    <mergeCell ref="B216:C216"/>
    <mergeCell ref="B215:C215"/>
    <mergeCell ref="D215:H215"/>
    <mergeCell ref="I215:P215"/>
    <mergeCell ref="Q215:X215"/>
    <mergeCell ref="Y215:Z215"/>
    <mergeCell ref="AE214:AG214"/>
    <mergeCell ref="AH214:AJ214"/>
    <mergeCell ref="AK214:AN214"/>
    <mergeCell ref="AO214:AV214"/>
    <mergeCell ref="AW214:AY214"/>
    <mergeCell ref="AZ214:BO214"/>
    <mergeCell ref="AE213:AG213"/>
    <mergeCell ref="AH213:AJ213"/>
    <mergeCell ref="B214:C214"/>
    <mergeCell ref="B213:C213"/>
    <mergeCell ref="D213:H213"/>
    <mergeCell ref="I213:P213"/>
    <mergeCell ref="Q213:X213"/>
    <mergeCell ref="Y213:Z213"/>
    <mergeCell ref="AA215:AD215"/>
    <mergeCell ref="AK215:AN215"/>
    <mergeCell ref="AO215:AV215"/>
    <mergeCell ref="AW215:AY215"/>
    <mergeCell ref="AZ215:BO215"/>
    <mergeCell ref="D216:H216"/>
    <mergeCell ref="I216:P216"/>
    <mergeCell ref="Q216:X216"/>
    <mergeCell ref="Y216:Z216"/>
    <mergeCell ref="AA216:AD216"/>
    <mergeCell ref="AA213:AD213"/>
    <mergeCell ref="AK213:AN213"/>
    <mergeCell ref="B212:C212"/>
    <mergeCell ref="B211:C211"/>
    <mergeCell ref="D211:H211"/>
    <mergeCell ref="I211:P211"/>
    <mergeCell ref="Q211:X211"/>
    <mergeCell ref="Y211:Z211"/>
    <mergeCell ref="AE210:AG210"/>
    <mergeCell ref="AH210:AJ210"/>
    <mergeCell ref="AK210:AN210"/>
    <mergeCell ref="AO210:AV210"/>
    <mergeCell ref="AW210:AY210"/>
    <mergeCell ref="AZ210:BO210"/>
    <mergeCell ref="AE209:AG209"/>
    <mergeCell ref="AH209:AJ209"/>
    <mergeCell ref="B210:C210"/>
    <mergeCell ref="B209:C209"/>
    <mergeCell ref="D209:H209"/>
    <mergeCell ref="I209:P209"/>
    <mergeCell ref="Q209:X209"/>
    <mergeCell ref="Y209:Z209"/>
    <mergeCell ref="D212:H212"/>
    <mergeCell ref="I212:P212"/>
    <mergeCell ref="Q212:X212"/>
    <mergeCell ref="Y212:Z212"/>
    <mergeCell ref="AA212:AD212"/>
    <mergeCell ref="AE212:AG212"/>
    <mergeCell ref="AH212:AJ212"/>
    <mergeCell ref="AK212:AN212"/>
    <mergeCell ref="AO212:AV212"/>
    <mergeCell ref="AW212:AY212"/>
    <mergeCell ref="AZ212:BO212"/>
    <mergeCell ref="AH211:AJ211"/>
    <mergeCell ref="B208:C208"/>
    <mergeCell ref="B207:C207"/>
    <mergeCell ref="D207:H207"/>
    <mergeCell ref="I207:P207"/>
    <mergeCell ref="Q207:X207"/>
    <mergeCell ref="Y207:Z207"/>
    <mergeCell ref="AE206:AG206"/>
    <mergeCell ref="AH206:AJ206"/>
    <mergeCell ref="AK206:AN206"/>
    <mergeCell ref="AO206:AV206"/>
    <mergeCell ref="AW206:AY206"/>
    <mergeCell ref="AZ206:BO206"/>
    <mergeCell ref="AE205:AG205"/>
    <mergeCell ref="AH205:AJ205"/>
    <mergeCell ref="B206:C206"/>
    <mergeCell ref="B205:C205"/>
    <mergeCell ref="D205:H205"/>
    <mergeCell ref="I205:P205"/>
    <mergeCell ref="Q205:X205"/>
    <mergeCell ref="Y205:Z205"/>
    <mergeCell ref="AA207:AD207"/>
    <mergeCell ref="AK207:AN207"/>
    <mergeCell ref="AO207:AV207"/>
    <mergeCell ref="AW207:AY207"/>
    <mergeCell ref="AZ207:BO207"/>
    <mergeCell ref="D208:H208"/>
    <mergeCell ref="I208:P208"/>
    <mergeCell ref="Q208:X208"/>
    <mergeCell ref="Y208:Z208"/>
    <mergeCell ref="AA208:AD208"/>
    <mergeCell ref="AA205:AD205"/>
    <mergeCell ref="AK205:AN205"/>
    <mergeCell ref="B204:C204"/>
    <mergeCell ref="B203:C203"/>
    <mergeCell ref="D203:H203"/>
    <mergeCell ref="I203:P203"/>
    <mergeCell ref="Q203:X203"/>
    <mergeCell ref="Y203:Z203"/>
    <mergeCell ref="AE202:AG202"/>
    <mergeCell ref="AH202:AJ202"/>
    <mergeCell ref="AK202:AN202"/>
    <mergeCell ref="AO202:AV202"/>
    <mergeCell ref="AW202:AY202"/>
    <mergeCell ref="AZ202:BO202"/>
    <mergeCell ref="AE201:AG201"/>
    <mergeCell ref="AH201:AJ201"/>
    <mergeCell ref="B202:C202"/>
    <mergeCell ref="B201:C201"/>
    <mergeCell ref="D201:H201"/>
    <mergeCell ref="I201:P201"/>
    <mergeCell ref="Q201:X201"/>
    <mergeCell ref="Y201:Z201"/>
    <mergeCell ref="D204:H204"/>
    <mergeCell ref="I204:P204"/>
    <mergeCell ref="Q204:X204"/>
    <mergeCell ref="Y204:Z204"/>
    <mergeCell ref="AA204:AD204"/>
    <mergeCell ref="AE204:AG204"/>
    <mergeCell ref="AH204:AJ204"/>
    <mergeCell ref="AK204:AN204"/>
    <mergeCell ref="AO204:AV204"/>
    <mergeCell ref="AW204:AY204"/>
    <mergeCell ref="AZ204:BO204"/>
    <mergeCell ref="AH203:AJ203"/>
    <mergeCell ref="B200:C200"/>
    <mergeCell ref="B199:C199"/>
    <mergeCell ref="D199:H199"/>
    <mergeCell ref="I199:P199"/>
    <mergeCell ref="Q199:X199"/>
    <mergeCell ref="Y199:Z199"/>
    <mergeCell ref="AE198:AG198"/>
    <mergeCell ref="AH198:AJ198"/>
    <mergeCell ref="AK198:AN198"/>
    <mergeCell ref="AO198:AV198"/>
    <mergeCell ref="AW198:AY198"/>
    <mergeCell ref="AZ198:BO198"/>
    <mergeCell ref="AE197:AG197"/>
    <mergeCell ref="AH197:AJ197"/>
    <mergeCell ref="B198:C198"/>
    <mergeCell ref="B197:C197"/>
    <mergeCell ref="D197:H197"/>
    <mergeCell ref="I197:P197"/>
    <mergeCell ref="Q197:X197"/>
    <mergeCell ref="Y197:Z197"/>
    <mergeCell ref="AA199:AD199"/>
    <mergeCell ref="AK199:AN199"/>
    <mergeCell ref="AO199:AV199"/>
    <mergeCell ref="AW199:AY199"/>
    <mergeCell ref="AZ199:BO199"/>
    <mergeCell ref="D200:H200"/>
    <mergeCell ref="I200:P200"/>
    <mergeCell ref="Q200:X200"/>
    <mergeCell ref="Y200:Z200"/>
    <mergeCell ref="AA200:AD200"/>
    <mergeCell ref="AA197:AD197"/>
    <mergeCell ref="AK197:AN197"/>
    <mergeCell ref="B196:C196"/>
    <mergeCell ref="B195:C195"/>
    <mergeCell ref="D195:H195"/>
    <mergeCell ref="I195:P195"/>
    <mergeCell ref="Q195:X195"/>
    <mergeCell ref="Y195:Z195"/>
    <mergeCell ref="AE194:AG194"/>
    <mergeCell ref="AH194:AJ194"/>
    <mergeCell ref="AK194:AN194"/>
    <mergeCell ref="AO194:AV194"/>
    <mergeCell ref="AW194:AY194"/>
    <mergeCell ref="AZ194:BO194"/>
    <mergeCell ref="AE193:AG193"/>
    <mergeCell ref="AH193:AJ193"/>
    <mergeCell ref="B194:C194"/>
    <mergeCell ref="B193:C193"/>
    <mergeCell ref="D193:H193"/>
    <mergeCell ref="I193:P193"/>
    <mergeCell ref="Q193:X193"/>
    <mergeCell ref="Y193:Z193"/>
    <mergeCell ref="D196:H196"/>
    <mergeCell ref="I196:P196"/>
    <mergeCell ref="Q196:X196"/>
    <mergeCell ref="Y196:Z196"/>
    <mergeCell ref="AA196:AD196"/>
    <mergeCell ref="AE196:AG196"/>
    <mergeCell ref="AH196:AJ196"/>
    <mergeCell ref="AK196:AN196"/>
    <mergeCell ref="AO196:AV196"/>
    <mergeCell ref="AW196:AY196"/>
    <mergeCell ref="AZ196:BO196"/>
    <mergeCell ref="AH195:AJ195"/>
    <mergeCell ref="B192:C192"/>
    <mergeCell ref="B191:C191"/>
    <mergeCell ref="D191:H191"/>
    <mergeCell ref="I191:P191"/>
    <mergeCell ref="Q191:X191"/>
    <mergeCell ref="Y191:Z191"/>
    <mergeCell ref="AE190:AG190"/>
    <mergeCell ref="AH190:AJ190"/>
    <mergeCell ref="AK190:AN190"/>
    <mergeCell ref="AO190:AV190"/>
    <mergeCell ref="AW190:AY190"/>
    <mergeCell ref="AZ190:BO190"/>
    <mergeCell ref="AE189:AG189"/>
    <mergeCell ref="AH189:AJ189"/>
    <mergeCell ref="B190:C190"/>
    <mergeCell ref="B189:C189"/>
    <mergeCell ref="D189:H189"/>
    <mergeCell ref="I189:P189"/>
    <mergeCell ref="Q189:X189"/>
    <mergeCell ref="Y189:Z189"/>
    <mergeCell ref="AA191:AD191"/>
    <mergeCell ref="AK191:AN191"/>
    <mergeCell ref="AO191:AV191"/>
    <mergeCell ref="AW191:AY191"/>
    <mergeCell ref="AZ191:BO191"/>
    <mergeCell ref="D192:H192"/>
    <mergeCell ref="I192:P192"/>
    <mergeCell ref="Q192:X192"/>
    <mergeCell ref="Y192:Z192"/>
    <mergeCell ref="AA192:AD192"/>
    <mergeCell ref="AA189:AD189"/>
    <mergeCell ref="AK189:AN189"/>
    <mergeCell ref="B188:C188"/>
    <mergeCell ref="B187:C187"/>
    <mergeCell ref="D187:H187"/>
    <mergeCell ref="I187:P187"/>
    <mergeCell ref="Q187:X187"/>
    <mergeCell ref="Y187:Z187"/>
    <mergeCell ref="AE186:AG186"/>
    <mergeCell ref="AH186:AJ186"/>
    <mergeCell ref="AK186:AN186"/>
    <mergeCell ref="AO186:AV186"/>
    <mergeCell ref="AW186:AY186"/>
    <mergeCell ref="AZ186:BO186"/>
    <mergeCell ref="AE185:AG185"/>
    <mergeCell ref="AH185:AJ185"/>
    <mergeCell ref="B186:C186"/>
    <mergeCell ref="B185:C185"/>
    <mergeCell ref="D185:H185"/>
    <mergeCell ref="I185:P185"/>
    <mergeCell ref="Q185:X185"/>
    <mergeCell ref="Y185:Z185"/>
    <mergeCell ref="D188:H188"/>
    <mergeCell ref="I188:P188"/>
    <mergeCell ref="Q188:X188"/>
    <mergeCell ref="Y188:Z188"/>
    <mergeCell ref="AA188:AD188"/>
    <mergeCell ref="AE188:AG188"/>
    <mergeCell ref="AH188:AJ188"/>
    <mergeCell ref="AK188:AN188"/>
    <mergeCell ref="AO188:AV188"/>
    <mergeCell ref="AW188:AY188"/>
    <mergeCell ref="AZ188:BO188"/>
    <mergeCell ref="AH187:AJ187"/>
    <mergeCell ref="B184:C184"/>
    <mergeCell ref="B183:C183"/>
    <mergeCell ref="D183:H183"/>
    <mergeCell ref="I183:P183"/>
    <mergeCell ref="Q183:X183"/>
    <mergeCell ref="Y183:Z183"/>
    <mergeCell ref="AE182:AG182"/>
    <mergeCell ref="AH182:AJ182"/>
    <mergeCell ref="AK182:AN182"/>
    <mergeCell ref="AO182:AV182"/>
    <mergeCell ref="AW182:AY182"/>
    <mergeCell ref="AZ182:BO182"/>
    <mergeCell ref="AE181:AG181"/>
    <mergeCell ref="AH181:AJ181"/>
    <mergeCell ref="B182:C182"/>
    <mergeCell ref="B181:C181"/>
    <mergeCell ref="D181:H181"/>
    <mergeCell ref="I181:P181"/>
    <mergeCell ref="Q181:X181"/>
    <mergeCell ref="Y181:Z181"/>
    <mergeCell ref="AA183:AD183"/>
    <mergeCell ref="AK183:AN183"/>
    <mergeCell ref="AO183:AV183"/>
    <mergeCell ref="AW183:AY183"/>
    <mergeCell ref="AZ183:BO183"/>
    <mergeCell ref="D184:H184"/>
    <mergeCell ref="I184:P184"/>
    <mergeCell ref="Q184:X184"/>
    <mergeCell ref="Y184:Z184"/>
    <mergeCell ref="AA184:AD184"/>
    <mergeCell ref="AA181:AD181"/>
    <mergeCell ref="AK181:AN181"/>
    <mergeCell ref="B180:C180"/>
    <mergeCell ref="B179:C179"/>
    <mergeCell ref="D179:H179"/>
    <mergeCell ref="I179:P179"/>
    <mergeCell ref="Q179:X179"/>
    <mergeCell ref="Y179:Z179"/>
    <mergeCell ref="AE178:AG178"/>
    <mergeCell ref="AH178:AJ178"/>
    <mergeCell ref="AK178:AN178"/>
    <mergeCell ref="AO178:AV178"/>
    <mergeCell ref="AW178:AY178"/>
    <mergeCell ref="AZ178:BO178"/>
    <mergeCell ref="AE177:AG177"/>
    <mergeCell ref="AH177:AJ177"/>
    <mergeCell ref="B178:C178"/>
    <mergeCell ref="B177:C177"/>
    <mergeCell ref="D177:H177"/>
    <mergeCell ref="I177:P177"/>
    <mergeCell ref="Q177:X177"/>
    <mergeCell ref="Y177:Z177"/>
    <mergeCell ref="D180:H180"/>
    <mergeCell ref="I180:P180"/>
    <mergeCell ref="Q180:X180"/>
    <mergeCell ref="Y180:Z180"/>
    <mergeCell ref="AA180:AD180"/>
    <mergeCell ref="AE180:AG180"/>
    <mergeCell ref="AH180:AJ180"/>
    <mergeCell ref="AK180:AN180"/>
    <mergeCell ref="AO180:AV180"/>
    <mergeCell ref="AW180:AY180"/>
    <mergeCell ref="AZ180:BO180"/>
    <mergeCell ref="AH179:AJ179"/>
    <mergeCell ref="B176:C176"/>
    <mergeCell ref="B175:C175"/>
    <mergeCell ref="D175:H175"/>
    <mergeCell ref="I175:P175"/>
    <mergeCell ref="Q175:X175"/>
    <mergeCell ref="Y175:Z175"/>
    <mergeCell ref="AE174:AG174"/>
    <mergeCell ref="AH174:AJ174"/>
    <mergeCell ref="AK174:AN174"/>
    <mergeCell ref="AO174:AV174"/>
    <mergeCell ref="AW174:AY174"/>
    <mergeCell ref="AZ174:BO174"/>
    <mergeCell ref="AE173:AG173"/>
    <mergeCell ref="AH173:AJ173"/>
    <mergeCell ref="B174:C174"/>
    <mergeCell ref="B173:C173"/>
    <mergeCell ref="D173:H173"/>
    <mergeCell ref="I173:P173"/>
    <mergeCell ref="Q173:X173"/>
    <mergeCell ref="Y173:Z173"/>
    <mergeCell ref="AA175:AD175"/>
    <mergeCell ref="AK175:AN175"/>
    <mergeCell ref="AO175:AV175"/>
    <mergeCell ref="AW175:AY175"/>
    <mergeCell ref="AZ175:BO175"/>
    <mergeCell ref="D176:H176"/>
    <mergeCell ref="I176:P176"/>
    <mergeCell ref="Q176:X176"/>
    <mergeCell ref="Y176:Z176"/>
    <mergeCell ref="AA176:AD176"/>
    <mergeCell ref="AA173:AD173"/>
    <mergeCell ref="AK173:AN173"/>
    <mergeCell ref="B172:C172"/>
    <mergeCell ref="B171:C171"/>
    <mergeCell ref="D171:H171"/>
    <mergeCell ref="I171:P171"/>
    <mergeCell ref="Q171:X171"/>
    <mergeCell ref="Y171:Z171"/>
    <mergeCell ref="AE170:AG170"/>
    <mergeCell ref="AH170:AJ170"/>
    <mergeCell ref="AK170:AN170"/>
    <mergeCell ref="AO170:AV170"/>
    <mergeCell ref="AW170:AY170"/>
    <mergeCell ref="AZ170:BO170"/>
    <mergeCell ref="AE169:AG169"/>
    <mergeCell ref="AH169:AJ169"/>
    <mergeCell ref="B170:C170"/>
    <mergeCell ref="B169:C169"/>
    <mergeCell ref="D169:H169"/>
    <mergeCell ref="I169:P169"/>
    <mergeCell ref="Q169:X169"/>
    <mergeCell ref="Y169:Z169"/>
    <mergeCell ref="D172:H172"/>
    <mergeCell ref="I172:P172"/>
    <mergeCell ref="Q172:X172"/>
    <mergeCell ref="Y172:Z172"/>
    <mergeCell ref="AA172:AD172"/>
    <mergeCell ref="AE172:AG172"/>
    <mergeCell ref="AH172:AJ172"/>
    <mergeCell ref="AK172:AN172"/>
    <mergeCell ref="AO172:AV172"/>
    <mergeCell ref="AW172:AY172"/>
    <mergeCell ref="AZ172:BO172"/>
    <mergeCell ref="AH171:AJ171"/>
    <mergeCell ref="B168:C168"/>
    <mergeCell ref="B167:C167"/>
    <mergeCell ref="D167:H167"/>
    <mergeCell ref="I167:P167"/>
    <mergeCell ref="Q167:X167"/>
    <mergeCell ref="Y167:Z167"/>
    <mergeCell ref="AE166:AG166"/>
    <mergeCell ref="AH166:AJ166"/>
    <mergeCell ref="AK166:AN166"/>
    <mergeCell ref="AO166:AV166"/>
    <mergeCell ref="AW166:AY166"/>
    <mergeCell ref="AZ166:BO166"/>
    <mergeCell ref="AE165:AG165"/>
    <mergeCell ref="AH165:AJ165"/>
    <mergeCell ref="B166:C166"/>
    <mergeCell ref="B165:C165"/>
    <mergeCell ref="D165:H165"/>
    <mergeCell ref="I165:P165"/>
    <mergeCell ref="Q165:X165"/>
    <mergeCell ref="Y165:Z165"/>
    <mergeCell ref="AA167:AD167"/>
    <mergeCell ref="AK167:AN167"/>
    <mergeCell ref="AO167:AV167"/>
    <mergeCell ref="AW167:AY167"/>
    <mergeCell ref="AZ167:BO167"/>
    <mergeCell ref="D168:H168"/>
    <mergeCell ref="I168:P168"/>
    <mergeCell ref="Q168:X168"/>
    <mergeCell ref="Y168:Z168"/>
    <mergeCell ref="AA168:AD168"/>
    <mergeCell ref="AA165:AD165"/>
    <mergeCell ref="AK165:AN165"/>
    <mergeCell ref="B164:C164"/>
    <mergeCell ref="B163:C163"/>
    <mergeCell ref="D163:H163"/>
    <mergeCell ref="I163:P163"/>
    <mergeCell ref="Q163:X163"/>
    <mergeCell ref="Y163:Z163"/>
    <mergeCell ref="AE162:AG162"/>
    <mergeCell ref="AH162:AJ162"/>
    <mergeCell ref="AK162:AN162"/>
    <mergeCell ref="AO162:AV162"/>
    <mergeCell ref="AW162:AY162"/>
    <mergeCell ref="AZ162:BO162"/>
    <mergeCell ref="AE161:AG161"/>
    <mergeCell ref="AH161:AJ161"/>
    <mergeCell ref="B162:C162"/>
    <mergeCell ref="B161:C161"/>
    <mergeCell ref="D161:H161"/>
    <mergeCell ref="I161:P161"/>
    <mergeCell ref="Q161:X161"/>
    <mergeCell ref="Y161:Z161"/>
    <mergeCell ref="D164:H164"/>
    <mergeCell ref="I164:P164"/>
    <mergeCell ref="Q164:X164"/>
    <mergeCell ref="Y164:Z164"/>
    <mergeCell ref="AA164:AD164"/>
    <mergeCell ref="AE164:AG164"/>
    <mergeCell ref="AH164:AJ164"/>
    <mergeCell ref="AK164:AN164"/>
    <mergeCell ref="AO164:AV164"/>
    <mergeCell ref="AW164:AY164"/>
    <mergeCell ref="AZ164:BO164"/>
    <mergeCell ref="AH163:AJ163"/>
    <mergeCell ref="B160:C160"/>
    <mergeCell ref="B159:C159"/>
    <mergeCell ref="D159:H159"/>
    <mergeCell ref="I159:P159"/>
    <mergeCell ref="Q159:X159"/>
    <mergeCell ref="Y159:Z159"/>
    <mergeCell ref="AE158:AG158"/>
    <mergeCell ref="AH158:AJ158"/>
    <mergeCell ref="AK158:AN158"/>
    <mergeCell ref="AO158:AV158"/>
    <mergeCell ref="AW158:AY158"/>
    <mergeCell ref="AZ158:BO158"/>
    <mergeCell ref="AE157:AG157"/>
    <mergeCell ref="AH157:AJ157"/>
    <mergeCell ref="B158:C158"/>
    <mergeCell ref="B157:C157"/>
    <mergeCell ref="D157:H157"/>
    <mergeCell ref="I157:P157"/>
    <mergeCell ref="Q157:X157"/>
    <mergeCell ref="Y157:Z157"/>
    <mergeCell ref="AA159:AD159"/>
    <mergeCell ref="AK159:AN159"/>
    <mergeCell ref="AO159:AV159"/>
    <mergeCell ref="AW159:AY159"/>
    <mergeCell ref="AZ159:BO159"/>
    <mergeCell ref="D160:H160"/>
    <mergeCell ref="I160:P160"/>
    <mergeCell ref="Q160:X160"/>
    <mergeCell ref="Y160:Z160"/>
    <mergeCell ref="AA160:AD160"/>
    <mergeCell ref="AA157:AD157"/>
    <mergeCell ref="AK157:AN157"/>
    <mergeCell ref="B156:C156"/>
    <mergeCell ref="B155:C155"/>
    <mergeCell ref="D155:H155"/>
    <mergeCell ref="I155:P155"/>
    <mergeCell ref="Q155:X155"/>
    <mergeCell ref="Y155:Z155"/>
    <mergeCell ref="AE154:AG154"/>
    <mergeCell ref="AH154:AJ154"/>
    <mergeCell ref="AK154:AN154"/>
    <mergeCell ref="AO154:AV154"/>
    <mergeCell ref="AW154:AY154"/>
    <mergeCell ref="AZ154:BO154"/>
    <mergeCell ref="AE153:AG153"/>
    <mergeCell ref="AH153:AJ153"/>
    <mergeCell ref="B154:C154"/>
    <mergeCell ref="B153:C153"/>
    <mergeCell ref="D153:H153"/>
    <mergeCell ref="I153:P153"/>
    <mergeCell ref="Q153:X153"/>
    <mergeCell ref="Y153:Z153"/>
    <mergeCell ref="D156:H156"/>
    <mergeCell ref="I156:P156"/>
    <mergeCell ref="Q156:X156"/>
    <mergeCell ref="Y156:Z156"/>
    <mergeCell ref="AA156:AD156"/>
    <mergeCell ref="AE156:AG156"/>
    <mergeCell ref="AH156:AJ156"/>
    <mergeCell ref="AK156:AN156"/>
    <mergeCell ref="AO156:AV156"/>
    <mergeCell ref="AW156:AY156"/>
    <mergeCell ref="AZ156:BO156"/>
    <mergeCell ref="AH155:AJ155"/>
    <mergeCell ref="B152:C152"/>
    <mergeCell ref="B151:C151"/>
    <mergeCell ref="D151:H151"/>
    <mergeCell ref="I151:P151"/>
    <mergeCell ref="Q151:X151"/>
    <mergeCell ref="Y151:Z151"/>
    <mergeCell ref="AE150:AG150"/>
    <mergeCell ref="AH150:AJ150"/>
    <mergeCell ref="AK150:AN150"/>
    <mergeCell ref="AO150:AV150"/>
    <mergeCell ref="AW150:AY150"/>
    <mergeCell ref="AZ150:BO150"/>
    <mergeCell ref="AE149:AG149"/>
    <mergeCell ref="AH149:AJ149"/>
    <mergeCell ref="B150:C150"/>
    <mergeCell ref="B149:C149"/>
    <mergeCell ref="D149:H149"/>
    <mergeCell ref="I149:P149"/>
    <mergeCell ref="Q149:X149"/>
    <mergeCell ref="Y149:Z149"/>
    <mergeCell ref="AA151:AD151"/>
    <mergeCell ref="AK151:AN151"/>
    <mergeCell ref="AO151:AV151"/>
    <mergeCell ref="AW151:AY151"/>
    <mergeCell ref="AZ151:BO151"/>
    <mergeCell ref="D152:H152"/>
    <mergeCell ref="I152:P152"/>
    <mergeCell ref="Q152:X152"/>
    <mergeCell ref="Y152:Z152"/>
    <mergeCell ref="AA152:AD152"/>
    <mergeCell ref="AA149:AD149"/>
    <mergeCell ref="AK149:AN149"/>
    <mergeCell ref="B148:C148"/>
    <mergeCell ref="B147:C147"/>
    <mergeCell ref="D147:H147"/>
    <mergeCell ref="I147:P147"/>
    <mergeCell ref="Q147:X147"/>
    <mergeCell ref="Y147:Z147"/>
    <mergeCell ref="AE146:AG146"/>
    <mergeCell ref="AH146:AJ146"/>
    <mergeCell ref="AK146:AN146"/>
    <mergeCell ref="AO146:AV146"/>
    <mergeCell ref="AW146:AY146"/>
    <mergeCell ref="AZ146:BO146"/>
    <mergeCell ref="AE145:AG145"/>
    <mergeCell ref="AH145:AJ145"/>
    <mergeCell ref="B146:C146"/>
    <mergeCell ref="B145:C145"/>
    <mergeCell ref="D145:H145"/>
    <mergeCell ref="I145:P145"/>
    <mergeCell ref="Q145:X145"/>
    <mergeCell ref="Y145:Z145"/>
    <mergeCell ref="D148:H148"/>
    <mergeCell ref="I148:P148"/>
    <mergeCell ref="Q148:X148"/>
    <mergeCell ref="Y148:Z148"/>
    <mergeCell ref="AA148:AD148"/>
    <mergeCell ref="AE148:AG148"/>
    <mergeCell ref="AH148:AJ148"/>
    <mergeCell ref="AK148:AN148"/>
    <mergeCell ref="AO148:AV148"/>
    <mergeCell ref="AW148:AY148"/>
    <mergeCell ref="AZ148:BO148"/>
    <mergeCell ref="AH147:AJ147"/>
    <mergeCell ref="B144:C144"/>
    <mergeCell ref="B143:C143"/>
    <mergeCell ref="D143:H143"/>
    <mergeCell ref="I143:P143"/>
    <mergeCell ref="Q143:X143"/>
    <mergeCell ref="Y143:Z143"/>
    <mergeCell ref="AE142:AG142"/>
    <mergeCell ref="AH142:AJ142"/>
    <mergeCell ref="AK142:AN142"/>
    <mergeCell ref="AO142:AV142"/>
    <mergeCell ref="AW142:AY142"/>
    <mergeCell ref="AZ142:BO142"/>
    <mergeCell ref="AE141:AG141"/>
    <mergeCell ref="AH141:AJ141"/>
    <mergeCell ref="B142:C142"/>
    <mergeCell ref="B141:C141"/>
    <mergeCell ref="D141:H141"/>
    <mergeCell ref="I141:P141"/>
    <mergeCell ref="Q141:X141"/>
    <mergeCell ref="Y141:Z141"/>
    <mergeCell ref="AA143:AD143"/>
    <mergeCell ref="AK143:AN143"/>
    <mergeCell ref="AO143:AV143"/>
    <mergeCell ref="AW143:AY143"/>
    <mergeCell ref="AZ143:BO143"/>
    <mergeCell ref="D144:H144"/>
    <mergeCell ref="I144:P144"/>
    <mergeCell ref="Q144:X144"/>
    <mergeCell ref="Y144:Z144"/>
    <mergeCell ref="AA144:AD144"/>
    <mergeCell ref="AA141:AD141"/>
    <mergeCell ref="AK141:AN141"/>
    <mergeCell ref="B140:C140"/>
    <mergeCell ref="B139:C139"/>
    <mergeCell ref="D139:H139"/>
    <mergeCell ref="I139:P139"/>
    <mergeCell ref="Q139:X139"/>
    <mergeCell ref="Y139:Z139"/>
    <mergeCell ref="AE138:AG138"/>
    <mergeCell ref="AH138:AJ138"/>
    <mergeCell ref="AK138:AN138"/>
    <mergeCell ref="AO138:AV138"/>
    <mergeCell ref="AW138:AY138"/>
    <mergeCell ref="AZ138:BO138"/>
    <mergeCell ref="AE137:AG137"/>
    <mergeCell ref="AH137:AJ137"/>
    <mergeCell ref="B138:C138"/>
    <mergeCell ref="B137:C137"/>
    <mergeCell ref="D137:H137"/>
    <mergeCell ref="I137:P137"/>
    <mergeCell ref="Q137:X137"/>
    <mergeCell ref="Y137:Z137"/>
    <mergeCell ref="D140:H140"/>
    <mergeCell ref="I140:P140"/>
    <mergeCell ref="Q140:X140"/>
    <mergeCell ref="Y140:Z140"/>
    <mergeCell ref="AA140:AD140"/>
    <mergeCell ref="AE140:AG140"/>
    <mergeCell ref="AH140:AJ140"/>
    <mergeCell ref="AK140:AN140"/>
    <mergeCell ref="AO140:AV140"/>
    <mergeCell ref="AW140:AY140"/>
    <mergeCell ref="AZ140:BO140"/>
    <mergeCell ref="AH139:AJ139"/>
    <mergeCell ref="B136:C136"/>
    <mergeCell ref="B135:C135"/>
    <mergeCell ref="D135:H135"/>
    <mergeCell ref="I135:P135"/>
    <mergeCell ref="Q135:X135"/>
    <mergeCell ref="Y135:Z135"/>
    <mergeCell ref="AE134:AG134"/>
    <mergeCell ref="AH134:AJ134"/>
    <mergeCell ref="AK134:AN134"/>
    <mergeCell ref="AO134:AV134"/>
    <mergeCell ref="AW134:AY134"/>
    <mergeCell ref="AZ134:BO134"/>
    <mergeCell ref="AE133:AG133"/>
    <mergeCell ref="AH133:AJ133"/>
    <mergeCell ref="B134:C134"/>
    <mergeCell ref="B133:C133"/>
    <mergeCell ref="D133:H133"/>
    <mergeCell ref="I133:P133"/>
    <mergeCell ref="Q133:X133"/>
    <mergeCell ref="Y133:Z133"/>
    <mergeCell ref="AA135:AD135"/>
    <mergeCell ref="AK135:AN135"/>
    <mergeCell ref="AO135:AV135"/>
    <mergeCell ref="AW135:AY135"/>
    <mergeCell ref="AZ135:BO135"/>
    <mergeCell ref="D136:H136"/>
    <mergeCell ref="I136:P136"/>
    <mergeCell ref="Q136:X136"/>
    <mergeCell ref="Y136:Z136"/>
    <mergeCell ref="AA136:AD136"/>
    <mergeCell ref="AA133:AD133"/>
    <mergeCell ref="AK133:AN133"/>
    <mergeCell ref="B132:C132"/>
    <mergeCell ref="B131:C131"/>
    <mergeCell ref="D131:H131"/>
    <mergeCell ref="I131:P131"/>
    <mergeCell ref="Q131:X131"/>
    <mergeCell ref="Y131:Z131"/>
    <mergeCell ref="AE130:AG130"/>
    <mergeCell ref="AH130:AJ130"/>
    <mergeCell ref="AK130:AN130"/>
    <mergeCell ref="AO130:AV130"/>
    <mergeCell ref="AW130:AY130"/>
    <mergeCell ref="AZ130:BO130"/>
    <mergeCell ref="AE129:AG129"/>
    <mergeCell ref="AH129:AJ129"/>
    <mergeCell ref="B130:C130"/>
    <mergeCell ref="B129:C129"/>
    <mergeCell ref="D129:H129"/>
    <mergeCell ref="I129:P129"/>
    <mergeCell ref="Q129:X129"/>
    <mergeCell ref="Y129:Z129"/>
    <mergeCell ref="D132:H132"/>
    <mergeCell ref="I132:P132"/>
    <mergeCell ref="Q132:X132"/>
    <mergeCell ref="Y132:Z132"/>
    <mergeCell ref="AA132:AD132"/>
    <mergeCell ref="AE132:AG132"/>
    <mergeCell ref="AH132:AJ132"/>
    <mergeCell ref="AK132:AN132"/>
    <mergeCell ref="AO132:AV132"/>
    <mergeCell ref="AW132:AY132"/>
    <mergeCell ref="AZ132:BO132"/>
    <mergeCell ref="AH131:AJ131"/>
    <mergeCell ref="B128:C128"/>
    <mergeCell ref="B127:C127"/>
    <mergeCell ref="D127:H127"/>
    <mergeCell ref="I127:P127"/>
    <mergeCell ref="Q127:X127"/>
    <mergeCell ref="Y127:Z127"/>
    <mergeCell ref="AE126:AG126"/>
    <mergeCell ref="AH126:AJ126"/>
    <mergeCell ref="AK126:AN126"/>
    <mergeCell ref="AO126:AV126"/>
    <mergeCell ref="AW126:AY126"/>
    <mergeCell ref="AZ126:BO126"/>
    <mergeCell ref="AE125:AG125"/>
    <mergeCell ref="AH125:AJ125"/>
    <mergeCell ref="B126:C126"/>
    <mergeCell ref="B125:C125"/>
    <mergeCell ref="D125:H125"/>
    <mergeCell ref="I125:P125"/>
    <mergeCell ref="Q125:X125"/>
    <mergeCell ref="Y125:Z125"/>
    <mergeCell ref="AA127:AD127"/>
    <mergeCell ref="AK127:AN127"/>
    <mergeCell ref="AO127:AV127"/>
    <mergeCell ref="AW127:AY127"/>
    <mergeCell ref="AZ127:BO127"/>
    <mergeCell ref="D128:H128"/>
    <mergeCell ref="I128:P128"/>
    <mergeCell ref="Q128:X128"/>
    <mergeCell ref="Y128:Z128"/>
    <mergeCell ref="AA128:AD128"/>
    <mergeCell ref="AA125:AD125"/>
    <mergeCell ref="AK125:AN125"/>
    <mergeCell ref="B124:C124"/>
    <mergeCell ref="B123:C123"/>
    <mergeCell ref="D123:H123"/>
    <mergeCell ref="I123:P123"/>
    <mergeCell ref="Q123:X123"/>
    <mergeCell ref="Y123:Z123"/>
    <mergeCell ref="AE122:AG122"/>
    <mergeCell ref="AH122:AJ122"/>
    <mergeCell ref="AK122:AN122"/>
    <mergeCell ref="AO122:AV122"/>
    <mergeCell ref="AW122:AY122"/>
    <mergeCell ref="AZ122:BO122"/>
    <mergeCell ref="AE121:AG121"/>
    <mergeCell ref="AH121:AJ121"/>
    <mergeCell ref="B122:C122"/>
    <mergeCell ref="B121:C121"/>
    <mergeCell ref="D121:H121"/>
    <mergeCell ref="I121:P121"/>
    <mergeCell ref="Q121:X121"/>
    <mergeCell ref="Y121:Z121"/>
    <mergeCell ref="D124:H124"/>
    <mergeCell ref="I124:P124"/>
    <mergeCell ref="Q124:X124"/>
    <mergeCell ref="Y124:Z124"/>
    <mergeCell ref="AA124:AD124"/>
    <mergeCell ref="AE124:AG124"/>
    <mergeCell ref="AH124:AJ124"/>
    <mergeCell ref="AK124:AN124"/>
    <mergeCell ref="AO124:AV124"/>
    <mergeCell ref="AW124:AY124"/>
    <mergeCell ref="AZ124:BO124"/>
    <mergeCell ref="AH123:AJ123"/>
    <mergeCell ref="B120:C120"/>
    <mergeCell ref="B119:C119"/>
    <mergeCell ref="D119:H119"/>
    <mergeCell ref="I119:P119"/>
    <mergeCell ref="Q119:X119"/>
    <mergeCell ref="Y119:Z119"/>
    <mergeCell ref="AE118:AG118"/>
    <mergeCell ref="AH118:AJ118"/>
    <mergeCell ref="AK118:AN118"/>
    <mergeCell ref="AO118:AV118"/>
    <mergeCell ref="AW118:AY118"/>
    <mergeCell ref="AZ118:BO118"/>
    <mergeCell ref="AE117:AG117"/>
    <mergeCell ref="AH117:AJ117"/>
    <mergeCell ref="B118:C118"/>
    <mergeCell ref="B117:C117"/>
    <mergeCell ref="D117:H117"/>
    <mergeCell ref="I117:P117"/>
    <mergeCell ref="Q117:X117"/>
    <mergeCell ref="Y117:Z117"/>
    <mergeCell ref="AA119:AD119"/>
    <mergeCell ref="AK119:AN119"/>
    <mergeCell ref="AO119:AV119"/>
    <mergeCell ref="AW119:AY119"/>
    <mergeCell ref="AZ119:BO119"/>
    <mergeCell ref="D120:H120"/>
    <mergeCell ref="I120:P120"/>
    <mergeCell ref="Q120:X120"/>
    <mergeCell ref="Y120:Z120"/>
    <mergeCell ref="AA120:AD120"/>
    <mergeCell ref="AA117:AD117"/>
    <mergeCell ref="AK117:AN117"/>
    <mergeCell ref="B116:C116"/>
    <mergeCell ref="B115:C115"/>
    <mergeCell ref="D115:H115"/>
    <mergeCell ref="I115:P115"/>
    <mergeCell ref="Q115:X115"/>
    <mergeCell ref="Y115:Z115"/>
    <mergeCell ref="AE114:AG114"/>
    <mergeCell ref="AH114:AJ114"/>
    <mergeCell ref="AK114:AN114"/>
    <mergeCell ref="AO114:AV114"/>
    <mergeCell ref="AW114:AY114"/>
    <mergeCell ref="AZ114:BO114"/>
    <mergeCell ref="AE113:AG113"/>
    <mergeCell ref="AH113:AJ113"/>
    <mergeCell ref="B114:C114"/>
    <mergeCell ref="B113:C113"/>
    <mergeCell ref="D113:H113"/>
    <mergeCell ref="I113:P113"/>
    <mergeCell ref="Q113:X113"/>
    <mergeCell ref="Y113:Z113"/>
    <mergeCell ref="D116:H116"/>
    <mergeCell ref="I116:P116"/>
    <mergeCell ref="Q116:X116"/>
    <mergeCell ref="Y116:Z116"/>
    <mergeCell ref="AA116:AD116"/>
    <mergeCell ref="AE116:AG116"/>
    <mergeCell ref="AH116:AJ116"/>
    <mergeCell ref="AK116:AN116"/>
    <mergeCell ref="AO116:AV116"/>
    <mergeCell ref="AW116:AY116"/>
    <mergeCell ref="AZ116:BO116"/>
    <mergeCell ref="AH115:AJ115"/>
    <mergeCell ref="B112:C112"/>
    <mergeCell ref="B111:C111"/>
    <mergeCell ref="D111:H111"/>
    <mergeCell ref="I111:P111"/>
    <mergeCell ref="Q111:X111"/>
    <mergeCell ref="Y111:Z111"/>
    <mergeCell ref="AE110:AG110"/>
    <mergeCell ref="AH110:AJ110"/>
    <mergeCell ref="AK110:AN110"/>
    <mergeCell ref="AO110:AV110"/>
    <mergeCell ref="AW110:AY110"/>
    <mergeCell ref="AZ110:BO110"/>
    <mergeCell ref="AE109:AG109"/>
    <mergeCell ref="AH109:AJ109"/>
    <mergeCell ref="B110:C110"/>
    <mergeCell ref="B109:C109"/>
    <mergeCell ref="D109:H109"/>
    <mergeCell ref="I109:P109"/>
    <mergeCell ref="Q109:X109"/>
    <mergeCell ref="Y109:Z109"/>
    <mergeCell ref="AA111:AD111"/>
    <mergeCell ref="AK111:AN111"/>
    <mergeCell ref="AO111:AV111"/>
    <mergeCell ref="AW111:AY111"/>
    <mergeCell ref="AZ111:BO111"/>
    <mergeCell ref="D112:H112"/>
    <mergeCell ref="I112:P112"/>
    <mergeCell ref="Q112:X112"/>
    <mergeCell ref="Y112:Z112"/>
    <mergeCell ref="AA112:AD112"/>
    <mergeCell ref="AA109:AD109"/>
    <mergeCell ref="AK109:AN109"/>
    <mergeCell ref="B108:C108"/>
    <mergeCell ref="B107:C107"/>
    <mergeCell ref="D107:H107"/>
    <mergeCell ref="I107:P107"/>
    <mergeCell ref="Q107:X107"/>
    <mergeCell ref="Y107:Z107"/>
    <mergeCell ref="AE106:AG106"/>
    <mergeCell ref="AH106:AJ106"/>
    <mergeCell ref="AK106:AN106"/>
    <mergeCell ref="AO106:AV106"/>
    <mergeCell ref="AW106:AY106"/>
    <mergeCell ref="AZ106:BO106"/>
    <mergeCell ref="AE105:AG105"/>
    <mergeCell ref="AH105:AJ105"/>
    <mergeCell ref="B106:C106"/>
    <mergeCell ref="B105:C105"/>
    <mergeCell ref="D105:H105"/>
    <mergeCell ref="I105:P105"/>
    <mergeCell ref="Q105:X105"/>
    <mergeCell ref="Y105:Z105"/>
    <mergeCell ref="D108:H108"/>
    <mergeCell ref="I108:P108"/>
    <mergeCell ref="Q108:X108"/>
    <mergeCell ref="Y108:Z108"/>
    <mergeCell ref="AA108:AD108"/>
    <mergeCell ref="AE108:AG108"/>
    <mergeCell ref="AH108:AJ108"/>
    <mergeCell ref="AK108:AN108"/>
    <mergeCell ref="AO108:AV108"/>
    <mergeCell ref="AW108:AY108"/>
    <mergeCell ref="AZ108:BO108"/>
    <mergeCell ref="AH107:AJ107"/>
    <mergeCell ref="B104:C104"/>
    <mergeCell ref="B103:C103"/>
    <mergeCell ref="D103:H103"/>
    <mergeCell ref="I103:P103"/>
    <mergeCell ref="Q103:X103"/>
    <mergeCell ref="Y103:Z103"/>
    <mergeCell ref="AE102:AG102"/>
    <mergeCell ref="AH102:AJ102"/>
    <mergeCell ref="AK102:AN102"/>
    <mergeCell ref="AO102:AV102"/>
    <mergeCell ref="AW102:AY102"/>
    <mergeCell ref="AZ102:BO102"/>
    <mergeCell ref="AE101:AG101"/>
    <mergeCell ref="AH101:AJ101"/>
    <mergeCell ref="B102:C102"/>
    <mergeCell ref="B101:C101"/>
    <mergeCell ref="D101:H101"/>
    <mergeCell ref="I101:P101"/>
    <mergeCell ref="Q101:X101"/>
    <mergeCell ref="Y101:Z101"/>
    <mergeCell ref="AA103:AD103"/>
    <mergeCell ref="AK103:AN103"/>
    <mergeCell ref="AO103:AV103"/>
    <mergeCell ref="AW103:AY103"/>
    <mergeCell ref="AZ103:BO103"/>
    <mergeCell ref="D104:H104"/>
    <mergeCell ref="I104:P104"/>
    <mergeCell ref="Q104:X104"/>
    <mergeCell ref="Y104:Z104"/>
    <mergeCell ref="AA104:AD104"/>
    <mergeCell ref="AA101:AD101"/>
    <mergeCell ref="AK101:AN101"/>
    <mergeCell ref="B100:C100"/>
    <mergeCell ref="B99:C99"/>
    <mergeCell ref="D99:H99"/>
    <mergeCell ref="I99:P99"/>
    <mergeCell ref="Q99:X99"/>
    <mergeCell ref="Y99:Z99"/>
    <mergeCell ref="AE98:AG98"/>
    <mergeCell ref="AH98:AJ98"/>
    <mergeCell ref="AK98:AN98"/>
    <mergeCell ref="AO98:AV98"/>
    <mergeCell ref="AW98:AY98"/>
    <mergeCell ref="AZ98:BO98"/>
    <mergeCell ref="AE97:AG97"/>
    <mergeCell ref="AH97:AJ97"/>
    <mergeCell ref="B98:C98"/>
    <mergeCell ref="B97:C97"/>
    <mergeCell ref="D97:H97"/>
    <mergeCell ref="I97:P97"/>
    <mergeCell ref="Q97:X97"/>
    <mergeCell ref="Y97:Z97"/>
    <mergeCell ref="D100:H100"/>
    <mergeCell ref="I100:P100"/>
    <mergeCell ref="Q100:X100"/>
    <mergeCell ref="Y100:Z100"/>
    <mergeCell ref="AA100:AD100"/>
    <mergeCell ref="AE100:AG100"/>
    <mergeCell ref="AH100:AJ100"/>
    <mergeCell ref="AK100:AN100"/>
    <mergeCell ref="AO100:AV100"/>
    <mergeCell ref="AW100:AY100"/>
    <mergeCell ref="AZ100:BO100"/>
    <mergeCell ref="AH99:AJ99"/>
    <mergeCell ref="B96:C96"/>
    <mergeCell ref="B95:C95"/>
    <mergeCell ref="D95:H95"/>
    <mergeCell ref="I95:P95"/>
    <mergeCell ref="Q95:X95"/>
    <mergeCell ref="Y95:Z95"/>
    <mergeCell ref="AE94:AG94"/>
    <mergeCell ref="AH94:AJ94"/>
    <mergeCell ref="AK94:AN94"/>
    <mergeCell ref="AO94:AV94"/>
    <mergeCell ref="AW94:AY94"/>
    <mergeCell ref="AZ94:BO94"/>
    <mergeCell ref="AE93:AG93"/>
    <mergeCell ref="AH93:AJ93"/>
    <mergeCell ref="B94:C94"/>
    <mergeCell ref="B93:C93"/>
    <mergeCell ref="D93:H93"/>
    <mergeCell ref="I93:P93"/>
    <mergeCell ref="Q93:X93"/>
    <mergeCell ref="Y93:Z93"/>
    <mergeCell ref="AA95:AD95"/>
    <mergeCell ref="AK95:AN95"/>
    <mergeCell ref="AO95:AV95"/>
    <mergeCell ref="AW95:AY95"/>
    <mergeCell ref="AZ95:BO95"/>
    <mergeCell ref="D96:H96"/>
    <mergeCell ref="I96:P96"/>
    <mergeCell ref="Q96:X96"/>
    <mergeCell ref="Y96:Z96"/>
    <mergeCell ref="AA96:AD96"/>
    <mergeCell ref="AA93:AD93"/>
    <mergeCell ref="AK93:AN93"/>
    <mergeCell ref="B92:C92"/>
    <mergeCell ref="B91:C91"/>
    <mergeCell ref="D91:H91"/>
    <mergeCell ref="I91:P91"/>
    <mergeCell ref="Q91:X91"/>
    <mergeCell ref="Y91:Z91"/>
    <mergeCell ref="AE90:AG90"/>
    <mergeCell ref="AH90:AJ90"/>
    <mergeCell ref="AK90:AN90"/>
    <mergeCell ref="AO90:AV90"/>
    <mergeCell ref="AW90:AY90"/>
    <mergeCell ref="AZ90:BO90"/>
    <mergeCell ref="AE89:AG89"/>
    <mergeCell ref="AH89:AJ89"/>
    <mergeCell ref="B90:C90"/>
    <mergeCell ref="B89:C89"/>
    <mergeCell ref="D89:H89"/>
    <mergeCell ref="I89:P89"/>
    <mergeCell ref="Q89:X89"/>
    <mergeCell ref="Y89:Z89"/>
    <mergeCell ref="D92:H92"/>
    <mergeCell ref="I92:P92"/>
    <mergeCell ref="Q92:X92"/>
    <mergeCell ref="Y92:Z92"/>
    <mergeCell ref="AA92:AD92"/>
    <mergeCell ref="AE92:AG92"/>
    <mergeCell ref="AH92:AJ92"/>
    <mergeCell ref="AK92:AN92"/>
    <mergeCell ref="AO92:AV92"/>
    <mergeCell ref="AW92:AY92"/>
    <mergeCell ref="AZ92:BO92"/>
    <mergeCell ref="AH91:AJ91"/>
    <mergeCell ref="B88:C88"/>
    <mergeCell ref="B87:C87"/>
    <mergeCell ref="D87:H87"/>
    <mergeCell ref="I87:P87"/>
    <mergeCell ref="Q87:X87"/>
    <mergeCell ref="Y87:Z87"/>
    <mergeCell ref="AE86:AG86"/>
    <mergeCell ref="AH86:AJ86"/>
    <mergeCell ref="AK86:AN86"/>
    <mergeCell ref="AO86:AV86"/>
    <mergeCell ref="AW86:AY86"/>
    <mergeCell ref="AZ86:BO86"/>
    <mergeCell ref="AE85:AG85"/>
    <mergeCell ref="AH85:AJ85"/>
    <mergeCell ref="B86:C86"/>
    <mergeCell ref="B85:C85"/>
    <mergeCell ref="D85:H85"/>
    <mergeCell ref="I85:P85"/>
    <mergeCell ref="Q85:X85"/>
    <mergeCell ref="Y85:Z85"/>
    <mergeCell ref="AA87:AD87"/>
    <mergeCell ref="AK87:AN87"/>
    <mergeCell ref="AO87:AV87"/>
    <mergeCell ref="AW87:AY87"/>
    <mergeCell ref="AZ87:BO87"/>
    <mergeCell ref="D88:H88"/>
    <mergeCell ref="I88:P88"/>
    <mergeCell ref="Q88:X88"/>
    <mergeCell ref="Y88:Z88"/>
    <mergeCell ref="AA88:AD88"/>
    <mergeCell ref="AA85:AD85"/>
    <mergeCell ref="AK85:AN85"/>
    <mergeCell ref="B84:C84"/>
    <mergeCell ref="B83:C83"/>
    <mergeCell ref="D83:H83"/>
    <mergeCell ref="I83:P83"/>
    <mergeCell ref="Q83:X83"/>
    <mergeCell ref="Y83:Z83"/>
    <mergeCell ref="AE82:AG82"/>
    <mergeCell ref="AH82:AJ82"/>
    <mergeCell ref="AK82:AN82"/>
    <mergeCell ref="AO82:AV82"/>
    <mergeCell ref="AW82:AY82"/>
    <mergeCell ref="AZ82:BO82"/>
    <mergeCell ref="AE81:AG81"/>
    <mergeCell ref="AH81:AJ81"/>
    <mergeCell ref="B82:C82"/>
    <mergeCell ref="B81:C81"/>
    <mergeCell ref="D81:H81"/>
    <mergeCell ref="I81:P81"/>
    <mergeCell ref="Q81:X81"/>
    <mergeCell ref="Y81:Z81"/>
    <mergeCell ref="D84:H84"/>
    <mergeCell ref="I84:P84"/>
    <mergeCell ref="Q84:X84"/>
    <mergeCell ref="Y84:Z84"/>
    <mergeCell ref="AA84:AD84"/>
    <mergeCell ref="AE84:AG84"/>
    <mergeCell ref="AH84:AJ84"/>
    <mergeCell ref="AK84:AN84"/>
    <mergeCell ref="AO84:AV84"/>
    <mergeCell ref="AW84:AY84"/>
    <mergeCell ref="AZ84:BO84"/>
    <mergeCell ref="AH83:AJ83"/>
    <mergeCell ref="B80:C80"/>
    <mergeCell ref="B79:C79"/>
    <mergeCell ref="D79:H79"/>
    <mergeCell ref="I79:P79"/>
    <mergeCell ref="Q79:X79"/>
    <mergeCell ref="Y79:Z79"/>
    <mergeCell ref="AE78:AG78"/>
    <mergeCell ref="AH78:AJ78"/>
    <mergeCell ref="AK78:AN78"/>
    <mergeCell ref="AO78:AV78"/>
    <mergeCell ref="AW78:AY78"/>
    <mergeCell ref="AZ78:BO78"/>
    <mergeCell ref="AE77:AG77"/>
    <mergeCell ref="AH77:AJ77"/>
    <mergeCell ref="B78:C78"/>
    <mergeCell ref="B77:C77"/>
    <mergeCell ref="D77:H77"/>
    <mergeCell ref="I77:P77"/>
    <mergeCell ref="Q77:X77"/>
    <mergeCell ref="Y77:Z77"/>
    <mergeCell ref="AA79:AD79"/>
    <mergeCell ref="AK79:AN79"/>
    <mergeCell ref="AO79:AV79"/>
    <mergeCell ref="AW79:AY79"/>
    <mergeCell ref="AZ79:BO79"/>
    <mergeCell ref="D80:H80"/>
    <mergeCell ref="I80:P80"/>
    <mergeCell ref="Q80:X80"/>
    <mergeCell ref="Y80:Z80"/>
    <mergeCell ref="AA80:AD80"/>
    <mergeCell ref="AA77:AD77"/>
    <mergeCell ref="AK77:AN77"/>
    <mergeCell ref="B76:C76"/>
    <mergeCell ref="B75:C75"/>
    <mergeCell ref="D75:H75"/>
    <mergeCell ref="I75:P75"/>
    <mergeCell ref="Q75:X75"/>
    <mergeCell ref="Y75:Z75"/>
    <mergeCell ref="AE74:AG74"/>
    <mergeCell ref="AH74:AJ74"/>
    <mergeCell ref="AK74:AN74"/>
    <mergeCell ref="AO74:AV74"/>
    <mergeCell ref="AW74:AY74"/>
    <mergeCell ref="AZ74:BO74"/>
    <mergeCell ref="AE73:AG73"/>
    <mergeCell ref="AH73:AJ73"/>
    <mergeCell ref="B74:C74"/>
    <mergeCell ref="B73:C73"/>
    <mergeCell ref="D73:H73"/>
    <mergeCell ref="I73:P73"/>
    <mergeCell ref="Q73:X73"/>
    <mergeCell ref="Y73:Z73"/>
    <mergeCell ref="D76:H76"/>
    <mergeCell ref="I76:P76"/>
    <mergeCell ref="Q76:X76"/>
    <mergeCell ref="Y76:Z76"/>
    <mergeCell ref="AA76:AD76"/>
    <mergeCell ref="AE76:AG76"/>
    <mergeCell ref="AH76:AJ76"/>
    <mergeCell ref="AK76:AN76"/>
    <mergeCell ref="AO76:AV76"/>
    <mergeCell ref="AW76:AY76"/>
    <mergeCell ref="AZ76:BO76"/>
    <mergeCell ref="AH75:AJ75"/>
    <mergeCell ref="B72:C72"/>
    <mergeCell ref="B71:C71"/>
    <mergeCell ref="D71:H71"/>
    <mergeCell ref="I71:P71"/>
    <mergeCell ref="Q71:X71"/>
    <mergeCell ref="Y71:Z71"/>
    <mergeCell ref="AE70:AG70"/>
    <mergeCell ref="AH70:AJ70"/>
    <mergeCell ref="AK70:AN70"/>
    <mergeCell ref="AO70:AV70"/>
    <mergeCell ref="AW70:AY70"/>
    <mergeCell ref="AZ70:BO70"/>
    <mergeCell ref="AE69:AG69"/>
    <mergeCell ref="AH69:AJ69"/>
    <mergeCell ref="B70:C70"/>
    <mergeCell ref="B69:C69"/>
    <mergeCell ref="D69:H69"/>
    <mergeCell ref="I69:P69"/>
    <mergeCell ref="Q69:X69"/>
    <mergeCell ref="Y69:Z69"/>
    <mergeCell ref="AA71:AD71"/>
    <mergeCell ref="AK71:AN71"/>
    <mergeCell ref="AO71:AV71"/>
    <mergeCell ref="AW71:AY71"/>
    <mergeCell ref="AZ71:BO71"/>
    <mergeCell ref="D72:H72"/>
    <mergeCell ref="I72:P72"/>
    <mergeCell ref="Q72:X72"/>
    <mergeCell ref="Y72:Z72"/>
    <mergeCell ref="AA72:AD72"/>
    <mergeCell ref="AA69:AD69"/>
    <mergeCell ref="AK69:AN69"/>
    <mergeCell ref="B68:C68"/>
    <mergeCell ref="B67:C67"/>
    <mergeCell ref="D67:H67"/>
    <mergeCell ref="I67:P67"/>
    <mergeCell ref="Q67:X67"/>
    <mergeCell ref="Y67:Z67"/>
    <mergeCell ref="AE66:AG66"/>
    <mergeCell ref="AH66:AJ66"/>
    <mergeCell ref="AK66:AN66"/>
    <mergeCell ref="AO66:AV66"/>
    <mergeCell ref="AW66:AY66"/>
    <mergeCell ref="AZ66:BO66"/>
    <mergeCell ref="AE65:AG65"/>
    <mergeCell ref="AH65:AJ65"/>
    <mergeCell ref="B66:C66"/>
    <mergeCell ref="B65:C65"/>
    <mergeCell ref="D65:H65"/>
    <mergeCell ref="I65:P65"/>
    <mergeCell ref="Q65:X65"/>
    <mergeCell ref="Y65:Z65"/>
    <mergeCell ref="D68:H68"/>
    <mergeCell ref="I68:P68"/>
    <mergeCell ref="Q68:X68"/>
    <mergeCell ref="Y68:Z68"/>
    <mergeCell ref="AA68:AD68"/>
    <mergeCell ref="AE68:AG68"/>
    <mergeCell ref="AH68:AJ68"/>
    <mergeCell ref="AK68:AN68"/>
    <mergeCell ref="AO68:AV68"/>
    <mergeCell ref="AW68:AY68"/>
    <mergeCell ref="AZ68:BO68"/>
    <mergeCell ref="AH67:AJ67"/>
    <mergeCell ref="B64:C64"/>
    <mergeCell ref="B63:C63"/>
    <mergeCell ref="D63:H63"/>
    <mergeCell ref="I63:P63"/>
    <mergeCell ref="Q63:X63"/>
    <mergeCell ref="Y63:Z63"/>
    <mergeCell ref="AE62:AG62"/>
    <mergeCell ref="AH62:AJ62"/>
    <mergeCell ref="AK62:AN62"/>
    <mergeCell ref="AO62:AV62"/>
    <mergeCell ref="AW62:AY62"/>
    <mergeCell ref="AZ62:BO62"/>
    <mergeCell ref="AE61:AG61"/>
    <mergeCell ref="AH61:AJ61"/>
    <mergeCell ref="B62:C62"/>
    <mergeCell ref="B61:C61"/>
    <mergeCell ref="D61:H61"/>
    <mergeCell ref="I61:P61"/>
    <mergeCell ref="Q61:X61"/>
    <mergeCell ref="Y61:Z61"/>
    <mergeCell ref="AA63:AD63"/>
    <mergeCell ref="AK63:AN63"/>
    <mergeCell ref="AO63:AV63"/>
    <mergeCell ref="AW63:AY63"/>
    <mergeCell ref="AZ63:BO63"/>
    <mergeCell ref="D64:H64"/>
    <mergeCell ref="I64:P64"/>
    <mergeCell ref="Q64:X64"/>
    <mergeCell ref="Y64:Z64"/>
    <mergeCell ref="AA64:AD64"/>
    <mergeCell ref="AA61:AD61"/>
    <mergeCell ref="AK61:AN61"/>
    <mergeCell ref="B60:C60"/>
    <mergeCell ref="B59:C59"/>
    <mergeCell ref="D59:H59"/>
    <mergeCell ref="I59:P59"/>
    <mergeCell ref="Q59:X59"/>
    <mergeCell ref="Y59:Z59"/>
    <mergeCell ref="AE58:AG58"/>
    <mergeCell ref="AH58:AJ58"/>
    <mergeCell ref="AK58:AN58"/>
    <mergeCell ref="AO58:AV58"/>
    <mergeCell ref="AW58:AY58"/>
    <mergeCell ref="AZ58:BO58"/>
    <mergeCell ref="AE57:AG57"/>
    <mergeCell ref="AH57:AJ57"/>
    <mergeCell ref="B58:C58"/>
    <mergeCell ref="B57:C57"/>
    <mergeCell ref="D57:H57"/>
    <mergeCell ref="I57:P57"/>
    <mergeCell ref="Q57:X57"/>
    <mergeCell ref="Y57:Z57"/>
    <mergeCell ref="D60:H60"/>
    <mergeCell ref="I60:P60"/>
    <mergeCell ref="Q60:X60"/>
    <mergeCell ref="Y60:Z60"/>
    <mergeCell ref="AA60:AD60"/>
    <mergeCell ref="AE60:AG60"/>
    <mergeCell ref="AH60:AJ60"/>
    <mergeCell ref="AK60:AN60"/>
    <mergeCell ref="AO60:AV60"/>
    <mergeCell ref="AW60:AY60"/>
    <mergeCell ref="AZ60:BO60"/>
    <mergeCell ref="AH59:AJ59"/>
    <mergeCell ref="B56:C56"/>
    <mergeCell ref="B55:C55"/>
    <mergeCell ref="D55:H55"/>
    <mergeCell ref="I55:P55"/>
    <mergeCell ref="Q55:X55"/>
    <mergeCell ref="Y55:Z55"/>
    <mergeCell ref="AE54:AG54"/>
    <mergeCell ref="AH54:AJ54"/>
    <mergeCell ref="AK54:AN54"/>
    <mergeCell ref="AO54:AV54"/>
    <mergeCell ref="AW54:AY54"/>
    <mergeCell ref="AZ54:BO54"/>
    <mergeCell ref="AE53:AG53"/>
    <mergeCell ref="AH53:AJ53"/>
    <mergeCell ref="B54:C54"/>
    <mergeCell ref="B53:C53"/>
    <mergeCell ref="D53:H53"/>
    <mergeCell ref="I53:P53"/>
    <mergeCell ref="Q53:X53"/>
    <mergeCell ref="Y53:Z53"/>
    <mergeCell ref="AA55:AD55"/>
    <mergeCell ref="AK55:AN55"/>
    <mergeCell ref="AO55:AV55"/>
    <mergeCell ref="AW55:AY55"/>
    <mergeCell ref="AZ55:BO55"/>
    <mergeCell ref="D56:H56"/>
    <mergeCell ref="I56:P56"/>
    <mergeCell ref="Q56:X56"/>
    <mergeCell ref="Y56:Z56"/>
    <mergeCell ref="AA56:AD56"/>
    <mergeCell ref="AA53:AD53"/>
    <mergeCell ref="AK53:AN53"/>
    <mergeCell ref="B52:C52"/>
    <mergeCell ref="B51:C51"/>
    <mergeCell ref="D51:H51"/>
    <mergeCell ref="I51:P51"/>
    <mergeCell ref="Q51:X51"/>
    <mergeCell ref="Y51:Z51"/>
    <mergeCell ref="AE50:AG50"/>
    <mergeCell ref="AH50:AJ50"/>
    <mergeCell ref="AK50:AN50"/>
    <mergeCell ref="AO50:AV50"/>
    <mergeCell ref="AW50:AY50"/>
    <mergeCell ref="AZ50:BO50"/>
    <mergeCell ref="AE49:AG49"/>
    <mergeCell ref="AH49:AJ49"/>
    <mergeCell ref="B50:C50"/>
    <mergeCell ref="B49:C49"/>
    <mergeCell ref="D49:H49"/>
    <mergeCell ref="I49:P49"/>
    <mergeCell ref="Q49:X49"/>
    <mergeCell ref="Y49:Z49"/>
    <mergeCell ref="D52:H52"/>
    <mergeCell ref="I52:P52"/>
    <mergeCell ref="Q52:X52"/>
    <mergeCell ref="Y52:Z52"/>
    <mergeCell ref="AA52:AD52"/>
    <mergeCell ref="AE52:AG52"/>
    <mergeCell ref="AH52:AJ52"/>
    <mergeCell ref="AK52:AN52"/>
    <mergeCell ref="AO52:AV52"/>
    <mergeCell ref="AW52:AY52"/>
    <mergeCell ref="AZ52:BO52"/>
    <mergeCell ref="AH51:AJ51"/>
    <mergeCell ref="B48:C48"/>
    <mergeCell ref="B47:C47"/>
    <mergeCell ref="D47:H47"/>
    <mergeCell ref="I47:P47"/>
    <mergeCell ref="Q47:X47"/>
    <mergeCell ref="Y47:Z47"/>
    <mergeCell ref="AE46:AG46"/>
    <mergeCell ref="AH46:AJ46"/>
    <mergeCell ref="AK46:AN46"/>
    <mergeCell ref="AO46:AV46"/>
    <mergeCell ref="AW46:AY46"/>
    <mergeCell ref="AZ46:BO46"/>
    <mergeCell ref="AE45:AG45"/>
    <mergeCell ref="AH45:AJ45"/>
    <mergeCell ref="B46:C46"/>
    <mergeCell ref="B45:C45"/>
    <mergeCell ref="D45:H45"/>
    <mergeCell ref="I45:P45"/>
    <mergeCell ref="Q45:X45"/>
    <mergeCell ref="Y45:Z45"/>
    <mergeCell ref="AA47:AD47"/>
    <mergeCell ref="AK47:AN47"/>
    <mergeCell ref="AO47:AV47"/>
    <mergeCell ref="AW47:AY47"/>
    <mergeCell ref="AZ47:BO47"/>
    <mergeCell ref="D48:H48"/>
    <mergeCell ref="I48:P48"/>
    <mergeCell ref="Q48:X48"/>
    <mergeCell ref="Y48:Z48"/>
    <mergeCell ref="AA48:AD48"/>
    <mergeCell ref="AA45:AD45"/>
    <mergeCell ref="AK45:AN45"/>
    <mergeCell ref="B44:C44"/>
    <mergeCell ref="B43:C43"/>
    <mergeCell ref="D43:H43"/>
    <mergeCell ref="I43:P43"/>
    <mergeCell ref="Q43:X43"/>
    <mergeCell ref="Y43:Z43"/>
    <mergeCell ref="AE42:AG42"/>
    <mergeCell ref="AH42:AJ42"/>
    <mergeCell ref="AK42:AN42"/>
    <mergeCell ref="AO42:AV42"/>
    <mergeCell ref="AW42:AY42"/>
    <mergeCell ref="AZ42:BO42"/>
    <mergeCell ref="AE41:AG41"/>
    <mergeCell ref="AH41:AJ41"/>
    <mergeCell ref="B42:C42"/>
    <mergeCell ref="B41:C41"/>
    <mergeCell ref="D41:H41"/>
    <mergeCell ref="I41:P41"/>
    <mergeCell ref="Q41:X41"/>
    <mergeCell ref="Y41:Z41"/>
    <mergeCell ref="D44:H44"/>
    <mergeCell ref="I44:P44"/>
    <mergeCell ref="Q44:X44"/>
    <mergeCell ref="Y44:Z44"/>
    <mergeCell ref="AA44:AD44"/>
    <mergeCell ref="AE44:AG44"/>
    <mergeCell ref="AH44:AJ44"/>
    <mergeCell ref="AK44:AN44"/>
    <mergeCell ref="AO44:AV44"/>
    <mergeCell ref="AW44:AY44"/>
    <mergeCell ref="AZ44:BO44"/>
    <mergeCell ref="AH43:AJ43"/>
    <mergeCell ref="B40:C40"/>
    <mergeCell ref="B39:C39"/>
    <mergeCell ref="D39:H39"/>
    <mergeCell ref="I39:P39"/>
    <mergeCell ref="Q39:X39"/>
    <mergeCell ref="Y39:Z39"/>
    <mergeCell ref="AE38:AG38"/>
    <mergeCell ref="AH38:AJ38"/>
    <mergeCell ref="AK38:AN38"/>
    <mergeCell ref="AO38:AV38"/>
    <mergeCell ref="AW38:AY38"/>
    <mergeCell ref="AZ38:BO38"/>
    <mergeCell ref="AE37:AG37"/>
    <mergeCell ref="AH37:AJ37"/>
    <mergeCell ref="B38:C38"/>
    <mergeCell ref="B37:C37"/>
    <mergeCell ref="D37:H37"/>
    <mergeCell ref="I37:P37"/>
    <mergeCell ref="Q37:X37"/>
    <mergeCell ref="Y37:Z37"/>
    <mergeCell ref="AA39:AD39"/>
    <mergeCell ref="AK39:AN39"/>
    <mergeCell ref="AO39:AV39"/>
    <mergeCell ref="AW39:AY39"/>
    <mergeCell ref="AZ39:BO39"/>
    <mergeCell ref="D40:H40"/>
    <mergeCell ref="I40:P40"/>
    <mergeCell ref="Q40:X40"/>
    <mergeCell ref="Y40:Z40"/>
    <mergeCell ref="AA40:AD40"/>
    <mergeCell ref="AA37:AD37"/>
    <mergeCell ref="AK37:AN37"/>
    <mergeCell ref="B36:C36"/>
    <mergeCell ref="B35:C35"/>
    <mergeCell ref="D35:H35"/>
    <mergeCell ref="I35:P35"/>
    <mergeCell ref="Q35:X35"/>
    <mergeCell ref="Y35:Z35"/>
    <mergeCell ref="AE34:AG34"/>
    <mergeCell ref="AH34:AJ34"/>
    <mergeCell ref="AK34:AN34"/>
    <mergeCell ref="AO34:AV34"/>
    <mergeCell ref="AW34:AY34"/>
    <mergeCell ref="AZ34:BO34"/>
    <mergeCell ref="AE33:AG33"/>
    <mergeCell ref="AH33:AJ33"/>
    <mergeCell ref="B34:C34"/>
    <mergeCell ref="B33:C33"/>
    <mergeCell ref="D33:H33"/>
    <mergeCell ref="I33:P33"/>
    <mergeCell ref="Q33:X33"/>
    <mergeCell ref="Y33:Z33"/>
    <mergeCell ref="D36:H36"/>
    <mergeCell ref="I36:P36"/>
    <mergeCell ref="Q36:X36"/>
    <mergeCell ref="Y36:Z36"/>
    <mergeCell ref="AA36:AD36"/>
    <mergeCell ref="AE36:AG36"/>
    <mergeCell ref="AH36:AJ36"/>
    <mergeCell ref="AK36:AN36"/>
    <mergeCell ref="AO36:AV36"/>
    <mergeCell ref="AW36:AY36"/>
    <mergeCell ref="AZ36:BO36"/>
    <mergeCell ref="AH35:AJ35"/>
    <mergeCell ref="B32:C32"/>
    <mergeCell ref="B31:C31"/>
    <mergeCell ref="D31:H31"/>
    <mergeCell ref="I31:P31"/>
    <mergeCell ref="Q31:X31"/>
    <mergeCell ref="Y31:Z31"/>
    <mergeCell ref="AE30:AG30"/>
    <mergeCell ref="AH30:AJ30"/>
    <mergeCell ref="AK30:AN30"/>
    <mergeCell ref="AO30:AV30"/>
    <mergeCell ref="AW30:AY30"/>
    <mergeCell ref="AZ30:BO30"/>
    <mergeCell ref="AE29:AG29"/>
    <mergeCell ref="AH29:AJ29"/>
    <mergeCell ref="B30:C30"/>
    <mergeCell ref="B29:C29"/>
    <mergeCell ref="D29:H29"/>
    <mergeCell ref="I29:P29"/>
    <mergeCell ref="Q29:X29"/>
    <mergeCell ref="Y29:Z29"/>
    <mergeCell ref="AA31:AD31"/>
    <mergeCell ref="AK31:AN31"/>
    <mergeCell ref="AO31:AV31"/>
    <mergeCell ref="AW31:AY31"/>
    <mergeCell ref="AZ31:BO31"/>
    <mergeCell ref="D32:H32"/>
    <mergeCell ref="I32:P32"/>
    <mergeCell ref="Q32:X32"/>
    <mergeCell ref="Y32:Z32"/>
    <mergeCell ref="AA32:AD32"/>
    <mergeCell ref="AA29:AD29"/>
    <mergeCell ref="AK29:AN29"/>
    <mergeCell ref="AE28:AG28"/>
    <mergeCell ref="AH28:AJ28"/>
    <mergeCell ref="AK28:AN28"/>
    <mergeCell ref="AO28:AV28"/>
    <mergeCell ref="AW28:AY28"/>
    <mergeCell ref="AZ28:BO28"/>
    <mergeCell ref="AE27:AG27"/>
    <mergeCell ref="AH27:AJ27"/>
    <mergeCell ref="B28:C28"/>
    <mergeCell ref="B27:C27"/>
    <mergeCell ref="D27:H27"/>
    <mergeCell ref="I27:P27"/>
    <mergeCell ref="Q27:X27"/>
    <mergeCell ref="Y27:Z27"/>
    <mergeCell ref="AE26:AG26"/>
    <mergeCell ref="AH26:AJ26"/>
    <mergeCell ref="AK26:AN26"/>
    <mergeCell ref="AO26:AV26"/>
    <mergeCell ref="AW26:AY26"/>
    <mergeCell ref="AZ26:BO26"/>
    <mergeCell ref="AA27:AD27"/>
    <mergeCell ref="AK27:AN27"/>
    <mergeCell ref="AO27:AV27"/>
    <mergeCell ref="AW27:AY27"/>
    <mergeCell ref="AZ27:BO27"/>
    <mergeCell ref="D28:H28"/>
    <mergeCell ref="I28:P28"/>
    <mergeCell ref="Q28:X28"/>
    <mergeCell ref="Y28:Z28"/>
    <mergeCell ref="AA28:AD28"/>
    <mergeCell ref="B26:C26"/>
    <mergeCell ref="D26:H26"/>
    <mergeCell ref="B25:C25"/>
    <mergeCell ref="Q25:X25"/>
    <mergeCell ref="AA13:AD13"/>
    <mergeCell ref="AE24:AG24"/>
    <mergeCell ref="AH24:AJ24"/>
    <mergeCell ref="Q24:X24"/>
    <mergeCell ref="AA24:AD24"/>
    <mergeCell ref="Y24:Z24"/>
    <mergeCell ref="AE23:AG23"/>
    <mergeCell ref="AH23:AJ23"/>
    <mergeCell ref="B24:C24"/>
    <mergeCell ref="B23:C23"/>
    <mergeCell ref="Q23:X23"/>
    <mergeCell ref="AA23:AD23"/>
    <mergeCell ref="Y23:Z23"/>
    <mergeCell ref="AE22:AG22"/>
    <mergeCell ref="AH22:AJ22"/>
    <mergeCell ref="Q22:X22"/>
    <mergeCell ref="AA22:AD22"/>
    <mergeCell ref="Y22:Z22"/>
    <mergeCell ref="AE21:AG21"/>
    <mergeCell ref="AH21:AJ21"/>
    <mergeCell ref="B22:C22"/>
    <mergeCell ref="B21:C21"/>
    <mergeCell ref="D21:H21"/>
    <mergeCell ref="Q21:X21"/>
    <mergeCell ref="D20:H20"/>
    <mergeCell ref="B20:C20"/>
    <mergeCell ref="Q15:X15"/>
    <mergeCell ref="Q16:X16"/>
    <mergeCell ref="Q17:X17"/>
    <mergeCell ref="Q18:X18"/>
    <mergeCell ref="A3:BB3"/>
    <mergeCell ref="A4:BB4"/>
    <mergeCell ref="AE1:AG1"/>
    <mergeCell ref="AH1:AJ1"/>
    <mergeCell ref="A2:BB2"/>
    <mergeCell ref="D1:H1"/>
    <mergeCell ref="I1:P1"/>
    <mergeCell ref="Q1:X1"/>
    <mergeCell ref="Y1:Z1"/>
    <mergeCell ref="B1:C1"/>
    <mergeCell ref="AA1:AD1"/>
    <mergeCell ref="I13:P13"/>
    <mergeCell ref="I14:P14"/>
    <mergeCell ref="AK1:AN1"/>
    <mergeCell ref="AO1:AV1"/>
    <mergeCell ref="AW1:AY1"/>
    <mergeCell ref="AZ1:BO1"/>
    <mergeCell ref="B13:C13"/>
    <mergeCell ref="B14:C14"/>
    <mergeCell ref="AW12:AY12"/>
    <mergeCell ref="AZ12:BO12"/>
    <mergeCell ref="B12:C12"/>
    <mergeCell ref="D12:H12"/>
    <mergeCell ref="I12:P12"/>
    <mergeCell ref="Q12:X12"/>
    <mergeCell ref="Y12:Z12"/>
    <mergeCell ref="AA12:AD12"/>
    <mergeCell ref="Z9:AI9"/>
    <mergeCell ref="D13:H13"/>
    <mergeCell ref="D14:H14"/>
    <mergeCell ref="AE12:AG12"/>
    <mergeCell ref="AH12:AJ12"/>
    <mergeCell ref="A11:AM11"/>
    <mergeCell ref="A10:AM10"/>
    <mergeCell ref="A9:G9"/>
    <mergeCell ref="H9:O9"/>
    <mergeCell ref="P9:S9"/>
    <mergeCell ref="U9:Y9"/>
    <mergeCell ref="B19:C19"/>
    <mergeCell ref="I19:P19"/>
    <mergeCell ref="Q19:X19"/>
    <mergeCell ref="AE18:AG18"/>
    <mergeCell ref="AH18:AJ18"/>
    <mergeCell ref="AK18:AN18"/>
    <mergeCell ref="AE17:AG17"/>
    <mergeCell ref="AH17:AJ17"/>
    <mergeCell ref="B18:C18"/>
    <mergeCell ref="B17:C17"/>
    <mergeCell ref="AE16:AG16"/>
    <mergeCell ref="AH16:AJ16"/>
    <mergeCell ref="AE15:AG15"/>
    <mergeCell ref="AH15:AJ15"/>
    <mergeCell ref="B16:C16"/>
    <mergeCell ref="B15:C15"/>
    <mergeCell ref="I15:P15"/>
    <mergeCell ref="I16:P16"/>
    <mergeCell ref="I17:P17"/>
    <mergeCell ref="D15:H15"/>
    <mergeCell ref="D16:H16"/>
    <mergeCell ref="D17:H17"/>
    <mergeCell ref="D18:H18"/>
    <mergeCell ref="D19:H19"/>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4886C811-7615-47E7-83B1-536061EF6D37}">
          <x14:formula1>
            <xm:f>'Drop-Down Boxes '!$D$3:$D$14</xm:f>
          </x14:formula1>
          <xm:sqref>H9:O9</xm:sqref>
        </x14:dataValidation>
        <x14:dataValidation type="list" allowBlank="1" showInputMessage="1" showErrorMessage="1" xr:uid="{82CF40A6-B5B0-429A-AA1A-141A26B642F8}">
          <x14:formula1>
            <xm:f>'Drop-Down Boxes '!$H$3:$H$11</xm:f>
          </x14:formula1>
          <xm:sqref>P9:S9</xm:sqref>
        </x14:dataValidation>
        <x14:dataValidation type="list" allowBlank="1" showInputMessage="1" showErrorMessage="1" xr:uid="{FB730C10-8BC9-4605-8A9D-586A4120439B}">
          <x14:formula1>
            <xm:f>'Drop-Down Boxes '!$D$94:$D$102</xm:f>
          </x14:formula1>
          <xm:sqref>D13:H512</xm:sqref>
        </x14:dataValidation>
        <x14:dataValidation type="list" allowBlank="1" showInputMessage="1" showErrorMessage="1" xr:uid="{E8E3B614-B56C-4924-A424-DAD21EA1FB3E}">
          <x14:formula1>
            <xm:f>'Drop-Down Boxes '!$H$89:$H$90</xm:f>
          </x14:formula1>
          <xm:sqref>AW13:AY512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A1:AU512"/>
  <sheetViews>
    <sheetView workbookViewId="0">
      <pane ySplit="1" topLeftCell="A2" activePane="bottomLeft" state="frozen"/>
      <selection pane="bottomLeft" activeCell="E13" sqref="E13:G41"/>
    </sheetView>
  </sheetViews>
  <sheetFormatPr defaultColWidth="8.85546875" defaultRowHeight="15" x14ac:dyDescent="0.25"/>
  <cols>
    <col min="1" max="1" width="5.7109375" customWidth="1"/>
    <col min="2" max="2" width="7.42578125" customWidth="1"/>
    <col min="3" max="35" width="5.7109375" customWidth="1"/>
  </cols>
  <sheetData>
    <row r="1" spans="1:47" ht="50.1" customHeight="1" x14ac:dyDescent="0.25">
      <c r="A1" s="271" t="s">
        <v>15</v>
      </c>
      <c r="B1" s="1271" t="s">
        <v>742</v>
      </c>
      <c r="C1" s="1271"/>
      <c r="D1" s="1271"/>
      <c r="E1" s="1272" t="s">
        <v>743</v>
      </c>
      <c r="F1" s="1272"/>
      <c r="G1" s="1272"/>
      <c r="H1" s="1273" t="s">
        <v>744</v>
      </c>
      <c r="I1" s="1273"/>
      <c r="J1" s="1273"/>
      <c r="K1" s="1273"/>
      <c r="L1" s="1274" t="s">
        <v>745</v>
      </c>
      <c r="M1" s="1274"/>
      <c r="N1" s="1274"/>
      <c r="O1" s="1274"/>
      <c r="P1" s="1274"/>
      <c r="Q1" s="1274" t="s">
        <v>746</v>
      </c>
      <c r="R1" s="1274"/>
      <c r="S1" s="1274"/>
      <c r="T1" s="1274"/>
      <c r="U1" s="1274"/>
      <c r="V1" s="1274"/>
      <c r="W1" s="1274"/>
      <c r="X1" s="1274"/>
      <c r="Y1" s="1274"/>
      <c r="Z1" s="1274"/>
      <c r="AA1" s="1275" t="s">
        <v>30</v>
      </c>
      <c r="AB1" s="1276"/>
      <c r="AC1" s="1276"/>
      <c r="AD1" s="1276"/>
      <c r="AE1" s="1276"/>
      <c r="AF1" s="1276"/>
      <c r="AG1" s="1276"/>
      <c r="AH1" s="1276"/>
      <c r="AI1" s="1276"/>
      <c r="AJ1" s="1276"/>
      <c r="AK1" s="1276"/>
      <c r="AL1" s="1276"/>
      <c r="AM1" s="1276"/>
      <c r="AN1" s="1276"/>
      <c r="AO1" s="1276"/>
      <c r="AP1" s="1276"/>
      <c r="AQ1" s="1277"/>
    </row>
    <row r="2" spans="1:47" ht="18.75" x14ac:dyDescent="0.25">
      <c r="A2" s="1278" t="str">
        <f>'GRANTEE SET UP INFO &amp; DATE '!A1</f>
        <v>WV Bureau for Behavioral Health  - Peer Recovery Support Services  V 20200110</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row>
    <row r="3" spans="1:47" ht="16.5" thickBot="1" x14ac:dyDescent="0.3">
      <c r="A3" s="887" t="str">
        <f>'GRANTEE SET UP INFO &amp; DATE '!A2</f>
        <v xml:space="preserve">Program reports need to be submitted electronically, via e-mail to DHHRBBHReporting@wv.gov  within 25 calendar days of the end of each month </v>
      </c>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row>
    <row r="4" spans="1:47" ht="15.75" customHeight="1" thickTop="1" x14ac:dyDescent="0.25">
      <c r="A4" s="638" t="s">
        <v>747</v>
      </c>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309"/>
      <c r="AS4" s="309"/>
      <c r="AT4" s="309"/>
      <c r="AU4" s="309"/>
    </row>
    <row r="5" spans="1:47" ht="24.95" customHeight="1" x14ac:dyDescent="0.25">
      <c r="A5" s="387" t="s">
        <v>42</v>
      </c>
      <c r="B5" s="387"/>
      <c r="C5" s="387"/>
      <c r="D5" s="387"/>
      <c r="E5" s="387"/>
      <c r="F5" s="468" t="str">
        <f>'GRANTEE SET UP INFO &amp; DATE '!H4</f>
        <v>Jobs and Hope</v>
      </c>
      <c r="G5" s="468"/>
      <c r="H5" s="468"/>
      <c r="I5" s="468"/>
      <c r="J5" s="468"/>
      <c r="K5" s="468"/>
      <c r="L5" s="468"/>
      <c r="M5" s="468"/>
      <c r="N5" s="468"/>
      <c r="O5" s="468"/>
      <c r="P5" s="468"/>
      <c r="Q5" s="2"/>
      <c r="R5" s="377" t="s">
        <v>0</v>
      </c>
      <c r="S5" s="378"/>
      <c r="T5" s="378"/>
      <c r="U5" s="378"/>
      <c r="V5" s="378"/>
      <c r="W5" s="379"/>
      <c r="X5" s="468" t="str">
        <f>'GRANTEE SET UP INFO &amp; DATE '!Z4</f>
        <v xml:space="preserve">Grantee formal Name (name on grant agreement) </v>
      </c>
      <c r="Y5" s="468"/>
      <c r="Z5" s="468"/>
      <c r="AA5" s="468"/>
      <c r="AB5" s="468"/>
      <c r="AC5" s="468"/>
      <c r="AD5" s="468"/>
      <c r="AE5" s="468"/>
      <c r="AF5" s="468"/>
    </row>
    <row r="6" spans="1:47" ht="30" customHeight="1" x14ac:dyDescent="0.25">
      <c r="A6" s="387" t="s">
        <v>43</v>
      </c>
      <c r="B6" s="387"/>
      <c r="C6" s="387"/>
      <c r="D6" s="387"/>
      <c r="E6" s="387"/>
      <c r="F6" s="1280" t="str">
        <f>'GRANTEE SET UP INFO &amp; DATE '!H5</f>
        <v>Jobs and Hope</v>
      </c>
      <c r="G6" s="1280"/>
      <c r="H6" s="1280"/>
      <c r="I6" s="1280"/>
      <c r="J6" s="1280"/>
      <c r="K6" s="1280"/>
      <c r="L6" s="1280"/>
      <c r="M6" s="1280"/>
      <c r="N6" s="1280"/>
      <c r="O6" s="1280"/>
      <c r="P6" s="1280"/>
      <c r="Q6" s="2"/>
      <c r="R6" s="1286" t="s">
        <v>4</v>
      </c>
      <c r="S6" s="1287"/>
      <c r="T6" s="1287"/>
      <c r="U6" s="1287"/>
      <c r="V6" s="1287"/>
      <c r="W6" s="1288"/>
      <c r="X6" s="616" t="str">
        <f>'GRANTEE SET UP INFO &amp; DATE '!Z5</f>
        <v>Names of Contact(s):</v>
      </c>
      <c r="Y6" s="617"/>
      <c r="Z6" s="617"/>
      <c r="AA6" s="617"/>
      <c r="AB6" s="617"/>
      <c r="AC6" s="617"/>
      <c r="AD6" s="617"/>
      <c r="AE6" s="617"/>
      <c r="AF6" s="618"/>
    </row>
    <row r="7" spans="1:47" ht="14.45" customHeight="1" x14ac:dyDescent="0.25">
      <c r="A7" s="387" t="s">
        <v>1</v>
      </c>
      <c r="B7" s="387"/>
      <c r="C7" s="387"/>
      <c r="D7" s="387"/>
      <c r="E7" s="387"/>
      <c r="F7" s="391" t="str">
        <f>'GRANTEE SET UP INFO &amp; DATE '!H6</f>
        <v>123 Any Street, Any City, WV 12345</v>
      </c>
      <c r="G7" s="391"/>
      <c r="H7" s="391"/>
      <c r="I7" s="391"/>
      <c r="J7" s="391"/>
      <c r="K7" s="391"/>
      <c r="L7" s="391"/>
      <c r="M7" s="391"/>
      <c r="N7" s="391"/>
      <c r="O7" s="391"/>
      <c r="P7" s="391"/>
      <c r="Q7" s="2"/>
      <c r="R7" s="377" t="s">
        <v>2</v>
      </c>
      <c r="S7" s="378"/>
      <c r="T7" s="378"/>
      <c r="U7" s="378"/>
      <c r="V7" s="378"/>
      <c r="W7" s="379"/>
      <c r="X7" s="468" t="str">
        <f>'GRANTEE SET UP INFO &amp; DATE '!Z6</f>
        <v>Phone numbers for contacts</v>
      </c>
      <c r="Y7" s="468"/>
      <c r="Z7" s="468"/>
      <c r="AA7" s="468"/>
      <c r="AB7" s="468"/>
      <c r="AC7" s="468"/>
      <c r="AD7" s="468"/>
      <c r="AE7" s="468"/>
      <c r="AF7" s="468"/>
    </row>
    <row r="8" spans="1:47" x14ac:dyDescent="0.25">
      <c r="A8" s="387"/>
      <c r="B8" s="387"/>
      <c r="C8" s="387"/>
      <c r="D8" s="387"/>
      <c r="E8" s="387"/>
      <c r="F8" s="391"/>
      <c r="G8" s="391"/>
      <c r="H8" s="391"/>
      <c r="I8" s="391"/>
      <c r="J8" s="391"/>
      <c r="K8" s="391"/>
      <c r="L8" s="391"/>
      <c r="M8" s="391"/>
      <c r="N8" s="391"/>
      <c r="O8" s="391"/>
      <c r="P8" s="391"/>
      <c r="Q8" s="2"/>
      <c r="R8" s="377" t="s">
        <v>31</v>
      </c>
      <c r="S8" s="378"/>
      <c r="T8" s="378"/>
      <c r="U8" s="378"/>
      <c r="V8" s="378"/>
      <c r="W8" s="379"/>
      <c r="X8" s="634" t="str">
        <f>'GRANTEE SET UP INFO &amp; DATE '!Z7</f>
        <v xml:space="preserve">number on grant agreement or TFB </v>
      </c>
      <c r="Y8" s="509"/>
      <c r="Z8" s="509"/>
      <c r="AA8" s="509"/>
      <c r="AB8" s="509"/>
      <c r="AC8" s="509"/>
      <c r="AD8" s="509"/>
      <c r="AE8" s="509"/>
      <c r="AF8" s="510"/>
    </row>
    <row r="9" spans="1:47" ht="30" customHeight="1" x14ac:dyDescent="0.25">
      <c r="A9" s="1281" t="s">
        <v>45</v>
      </c>
      <c r="B9" s="1281"/>
      <c r="C9" s="1281"/>
      <c r="D9" s="1281"/>
      <c r="E9" s="1281"/>
      <c r="F9" s="1282" t="str">
        <f>'GRANTEE SET UP INFO &amp; DATE '!H8</f>
        <v>October 1 - 31</v>
      </c>
      <c r="G9" s="1282"/>
      <c r="H9" s="1282"/>
      <c r="I9" s="1282"/>
      <c r="J9" s="1282"/>
      <c r="K9" s="1282"/>
      <c r="L9" s="1282"/>
      <c r="M9" s="1282"/>
      <c r="N9" s="1283">
        <f>'GRANTEE SET UP INFO &amp; DATE '!P8</f>
        <v>2024</v>
      </c>
      <c r="O9" s="1284"/>
      <c r="P9" s="1285"/>
      <c r="Q9" s="2"/>
      <c r="R9" s="377" t="s">
        <v>17</v>
      </c>
      <c r="S9" s="378"/>
      <c r="T9" s="378"/>
      <c r="U9" s="378"/>
      <c r="V9" s="378"/>
      <c r="W9" s="379"/>
      <c r="X9" s="634" t="str">
        <f>'GRANTEE SET UP INFO &amp; DATE '!Z8</f>
        <v>program code can locate on SOW or  TFB</v>
      </c>
      <c r="Y9" s="509"/>
      <c r="Z9" s="509"/>
      <c r="AA9" s="509"/>
      <c r="AB9" s="509"/>
      <c r="AC9" s="509"/>
      <c r="AD9" s="509"/>
      <c r="AE9" s="509"/>
      <c r="AF9" s="510"/>
    </row>
    <row r="10" spans="1:47" ht="25.15" customHeight="1" x14ac:dyDescent="0.25">
      <c r="A10" s="1279" t="s">
        <v>605</v>
      </c>
      <c r="B10" s="1279"/>
      <c r="C10" s="1279"/>
      <c r="D10" s="1279"/>
      <c r="E10" s="1279"/>
      <c r="F10" s="1279"/>
      <c r="G10" s="1279"/>
      <c r="H10" s="1279"/>
      <c r="I10" s="1279"/>
      <c r="J10" s="1279"/>
      <c r="K10" s="1279"/>
      <c r="L10" s="1279"/>
      <c r="M10" s="1279"/>
      <c r="N10" s="1279"/>
      <c r="O10" s="1279"/>
      <c r="P10" s="1279"/>
      <c r="Q10" s="1279"/>
      <c r="R10" s="1279"/>
      <c r="S10" s="1279"/>
      <c r="T10" s="1279"/>
      <c r="U10" s="1279"/>
      <c r="V10" s="1279"/>
      <c r="W10" s="1279"/>
      <c r="X10" s="1279"/>
      <c r="Y10" s="1279"/>
      <c r="Z10" s="1279"/>
      <c r="AA10" s="1279"/>
      <c r="AB10" s="1279"/>
      <c r="AC10" s="1279"/>
    </row>
    <row r="11" spans="1:47" ht="21" x14ac:dyDescent="0.35">
      <c r="A11" s="225" t="s">
        <v>741</v>
      </c>
      <c r="B11" s="225"/>
      <c r="C11" s="225"/>
      <c r="D11" s="225"/>
      <c r="E11" s="225"/>
      <c r="F11" s="225"/>
      <c r="G11" s="225"/>
      <c r="H11" s="225"/>
      <c r="I11" s="225"/>
      <c r="J11" s="225"/>
      <c r="K11" s="225"/>
      <c r="L11" s="226"/>
      <c r="M11" s="225"/>
      <c r="N11" s="225"/>
      <c r="O11" s="225"/>
      <c r="P11" s="225"/>
      <c r="Q11" s="225"/>
      <c r="R11" s="225"/>
      <c r="S11" s="225"/>
      <c r="T11" s="225"/>
      <c r="U11" s="225"/>
      <c r="V11" s="225"/>
      <c r="W11" s="225"/>
      <c r="X11" s="225"/>
      <c r="Y11" s="225"/>
      <c r="Z11" s="225"/>
      <c r="AA11" s="225"/>
      <c r="AB11" s="225"/>
      <c r="AC11" s="225"/>
    </row>
    <row r="12" spans="1:47" ht="60" customHeight="1" x14ac:dyDescent="0.25">
      <c r="A12" s="3" t="s">
        <v>15</v>
      </c>
      <c r="B12" s="1265" t="s">
        <v>742</v>
      </c>
      <c r="C12" s="1265"/>
      <c r="D12" s="1265"/>
      <c r="E12" s="1266" t="s">
        <v>743</v>
      </c>
      <c r="F12" s="1266"/>
      <c r="G12" s="1266"/>
      <c r="H12" s="1267" t="s">
        <v>744</v>
      </c>
      <c r="I12" s="1267"/>
      <c r="J12" s="1267"/>
      <c r="K12" s="1267"/>
      <c r="L12" s="1267" t="s">
        <v>745</v>
      </c>
      <c r="M12" s="1267"/>
      <c r="N12" s="1267"/>
      <c r="O12" s="1267"/>
      <c r="P12" s="1267"/>
      <c r="Q12" s="1267" t="s">
        <v>746</v>
      </c>
      <c r="R12" s="1267"/>
      <c r="S12" s="1267"/>
      <c r="T12" s="1267"/>
      <c r="U12" s="1267"/>
      <c r="V12" s="1267"/>
      <c r="W12" s="1267"/>
      <c r="X12" s="1267"/>
      <c r="Y12" s="1267"/>
      <c r="Z12" s="1267"/>
      <c r="AA12" s="1268" t="s">
        <v>30</v>
      </c>
      <c r="AB12" s="1269"/>
      <c r="AC12" s="1269"/>
      <c r="AD12" s="1269"/>
      <c r="AE12" s="1269"/>
      <c r="AF12" s="1269"/>
      <c r="AG12" s="1269"/>
      <c r="AH12" s="1269"/>
      <c r="AI12" s="1269"/>
      <c r="AJ12" s="1269"/>
      <c r="AK12" s="1269"/>
      <c r="AL12" s="1269"/>
      <c r="AM12" s="1269"/>
      <c r="AN12" s="1269"/>
      <c r="AO12" s="1269"/>
      <c r="AP12" s="1269"/>
      <c r="AQ12" s="1270"/>
    </row>
    <row r="13" spans="1:47" ht="30" customHeight="1" x14ac:dyDescent="0.25">
      <c r="A13" s="3">
        <f>ROW(A1)</f>
        <v>1</v>
      </c>
      <c r="B13" s="1219" t="s">
        <v>162</v>
      </c>
      <c r="C13" s="1219"/>
      <c r="D13" s="1219"/>
      <c r="E13" s="1263"/>
      <c r="F13" s="1263"/>
      <c r="G13" s="1263"/>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1219"/>
      <c r="AM13" s="1219"/>
      <c r="AN13" s="1219"/>
      <c r="AO13" s="1219"/>
      <c r="AP13" s="1219"/>
      <c r="AQ13" s="1219"/>
    </row>
    <row r="14" spans="1:47" ht="30" customHeight="1" x14ac:dyDescent="0.25">
      <c r="A14" s="3">
        <f t="shared" ref="A14:A77" si="0">ROW(A2)</f>
        <v>2</v>
      </c>
      <c r="B14" s="540" t="s">
        <v>162</v>
      </c>
      <c r="C14" s="540"/>
      <c r="D14" s="540"/>
      <c r="E14" s="1264"/>
      <c r="F14" s="1264"/>
      <c r="G14" s="1264"/>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row>
    <row r="15" spans="1:47" ht="30" customHeight="1" x14ac:dyDescent="0.25">
      <c r="A15" s="3">
        <f t="shared" si="0"/>
        <v>3</v>
      </c>
      <c r="B15" s="1219" t="s">
        <v>162</v>
      </c>
      <c r="C15" s="1219"/>
      <c r="D15" s="1219"/>
      <c r="E15" s="1263"/>
      <c r="F15" s="1263"/>
      <c r="G15" s="1263"/>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1219"/>
      <c r="AM15" s="1219"/>
      <c r="AN15" s="1219"/>
      <c r="AO15" s="1219"/>
      <c r="AP15" s="1219"/>
      <c r="AQ15" s="1219"/>
    </row>
    <row r="16" spans="1:47" ht="30" customHeight="1" x14ac:dyDescent="0.25">
      <c r="A16" s="3">
        <f t="shared" si="0"/>
        <v>4</v>
      </c>
      <c r="B16" s="540" t="s">
        <v>162</v>
      </c>
      <c r="C16" s="540"/>
      <c r="D16" s="540"/>
      <c r="E16" s="1264"/>
      <c r="F16" s="1264"/>
      <c r="G16" s="1264"/>
      <c r="H16" s="540"/>
      <c r="I16" s="540"/>
      <c r="J16" s="540"/>
      <c r="K16" s="540"/>
      <c r="L16" s="540"/>
      <c r="M16" s="540"/>
      <c r="N16" s="540"/>
      <c r="O16" s="540"/>
      <c r="P16" s="540"/>
      <c r="Q16" s="540"/>
      <c r="R16" s="540"/>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row>
    <row r="17" spans="1:43" ht="30" customHeight="1" x14ac:dyDescent="0.25">
      <c r="A17" s="3">
        <f t="shared" si="0"/>
        <v>5</v>
      </c>
      <c r="B17" s="1219" t="s">
        <v>162</v>
      </c>
      <c r="C17" s="1219"/>
      <c r="D17" s="1219"/>
      <c r="E17" s="1263"/>
      <c r="F17" s="1263"/>
      <c r="G17" s="1263"/>
      <c r="H17" s="1219"/>
      <c r="I17" s="1219"/>
      <c r="J17" s="1219"/>
      <c r="K17" s="1219"/>
      <c r="L17" s="1219"/>
      <c r="M17" s="1219"/>
      <c r="N17" s="1219"/>
      <c r="O17" s="1219"/>
      <c r="P17" s="1219"/>
      <c r="Q17" s="1219"/>
      <c r="R17" s="1219"/>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19"/>
      <c r="AN17" s="1219"/>
      <c r="AO17" s="1219"/>
      <c r="AP17" s="1219"/>
      <c r="AQ17" s="1219"/>
    </row>
    <row r="18" spans="1:43" ht="30" customHeight="1" x14ac:dyDescent="0.25">
      <c r="A18" s="3">
        <f t="shared" si="0"/>
        <v>6</v>
      </c>
      <c r="B18" s="540" t="s">
        <v>162</v>
      </c>
      <c r="C18" s="540"/>
      <c r="D18" s="540"/>
      <c r="E18" s="1264"/>
      <c r="F18" s="1264"/>
      <c r="G18" s="1264"/>
      <c r="H18" s="540"/>
      <c r="I18" s="540"/>
      <c r="J18" s="540"/>
      <c r="K18" s="540"/>
      <c r="L18" s="540"/>
      <c r="M18" s="540"/>
      <c r="N18" s="540"/>
      <c r="O18" s="540"/>
      <c r="P18" s="540"/>
      <c r="Q18" s="540"/>
      <c r="R18" s="540"/>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row>
    <row r="19" spans="1:43" ht="30" customHeight="1" x14ac:dyDescent="0.25">
      <c r="A19" s="3">
        <f t="shared" si="0"/>
        <v>7</v>
      </c>
      <c r="B19" s="1219" t="s">
        <v>162</v>
      </c>
      <c r="C19" s="1219"/>
      <c r="D19" s="1219"/>
      <c r="E19" s="1263"/>
      <c r="F19" s="1263"/>
      <c r="G19" s="1263"/>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219"/>
      <c r="AM19" s="1219"/>
      <c r="AN19" s="1219"/>
      <c r="AO19" s="1219"/>
      <c r="AP19" s="1219"/>
      <c r="AQ19" s="1219"/>
    </row>
    <row r="20" spans="1:43" ht="30" customHeight="1" x14ac:dyDescent="0.25">
      <c r="A20" s="3">
        <f t="shared" si="0"/>
        <v>8</v>
      </c>
      <c r="B20" s="540" t="s">
        <v>162</v>
      </c>
      <c r="C20" s="540"/>
      <c r="D20" s="540"/>
      <c r="E20" s="1264"/>
      <c r="F20" s="1264"/>
      <c r="G20" s="1264"/>
      <c r="H20" s="540"/>
      <c r="I20" s="540"/>
      <c r="J20" s="540"/>
      <c r="K20" s="540"/>
      <c r="L20" s="540"/>
      <c r="M20" s="540"/>
      <c r="N20" s="540"/>
      <c r="O20" s="540"/>
      <c r="P20" s="540"/>
      <c r="Q20" s="540"/>
      <c r="R20" s="540"/>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row>
    <row r="21" spans="1:43" ht="30" customHeight="1" x14ac:dyDescent="0.25">
      <c r="A21" s="3">
        <f t="shared" si="0"/>
        <v>9</v>
      </c>
      <c r="B21" s="1219" t="s">
        <v>162</v>
      </c>
      <c r="C21" s="1219"/>
      <c r="D21" s="1219"/>
      <c r="E21" s="1263"/>
      <c r="F21" s="1263"/>
      <c r="G21" s="1263"/>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219"/>
      <c r="AM21" s="1219"/>
      <c r="AN21" s="1219"/>
      <c r="AO21" s="1219"/>
      <c r="AP21" s="1219"/>
      <c r="AQ21" s="1219"/>
    </row>
    <row r="22" spans="1:43" ht="30" customHeight="1" x14ac:dyDescent="0.25">
      <c r="A22" s="3">
        <f t="shared" si="0"/>
        <v>10</v>
      </c>
      <c r="B22" s="540" t="s">
        <v>162</v>
      </c>
      <c r="C22" s="540"/>
      <c r="D22" s="540"/>
      <c r="E22" s="1264"/>
      <c r="F22" s="1264"/>
      <c r="G22" s="1264"/>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row>
    <row r="23" spans="1:43" ht="30" customHeight="1" x14ac:dyDescent="0.25">
      <c r="A23" s="3">
        <f>ROW(A11)</f>
        <v>11</v>
      </c>
      <c r="B23" s="1219" t="s">
        <v>162</v>
      </c>
      <c r="C23" s="1219"/>
      <c r="D23" s="1219"/>
      <c r="E23" s="1263"/>
      <c r="F23" s="1263"/>
      <c r="G23" s="1263"/>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219"/>
      <c r="AM23" s="1219"/>
      <c r="AN23" s="1219"/>
      <c r="AO23" s="1219"/>
      <c r="AP23" s="1219"/>
      <c r="AQ23" s="1219"/>
    </row>
    <row r="24" spans="1:43" ht="30" customHeight="1" x14ac:dyDescent="0.25">
      <c r="A24" s="3">
        <f t="shared" si="0"/>
        <v>12</v>
      </c>
      <c r="B24" s="540" t="s">
        <v>162</v>
      </c>
      <c r="C24" s="540"/>
      <c r="D24" s="540"/>
      <c r="E24" s="1264"/>
      <c r="F24" s="1264"/>
      <c r="G24" s="1264"/>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row>
    <row r="25" spans="1:43" ht="30" customHeight="1" x14ac:dyDescent="0.25">
      <c r="A25" s="3">
        <f t="shared" si="0"/>
        <v>13</v>
      </c>
      <c r="B25" s="1219" t="s">
        <v>162</v>
      </c>
      <c r="C25" s="1219"/>
      <c r="D25" s="1219"/>
      <c r="E25" s="1263"/>
      <c r="F25" s="1263"/>
      <c r="G25" s="1263"/>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219"/>
      <c r="AM25" s="1219"/>
      <c r="AN25" s="1219"/>
      <c r="AO25" s="1219"/>
      <c r="AP25" s="1219"/>
      <c r="AQ25" s="1219"/>
    </row>
    <row r="26" spans="1:43" ht="30" customHeight="1" x14ac:dyDescent="0.25">
      <c r="A26" s="3">
        <f t="shared" si="0"/>
        <v>14</v>
      </c>
      <c r="B26" s="540" t="s">
        <v>162</v>
      </c>
      <c r="C26" s="540"/>
      <c r="D26" s="540"/>
      <c r="E26" s="1264"/>
      <c r="F26" s="1264"/>
      <c r="G26" s="1264"/>
      <c r="H26" s="540"/>
      <c r="I26" s="540"/>
      <c r="J26" s="540"/>
      <c r="K26" s="540"/>
      <c r="L26" s="540"/>
      <c r="M26" s="540"/>
      <c r="N26" s="540"/>
      <c r="O26" s="540"/>
      <c r="P26" s="540"/>
      <c r="Q26" s="540"/>
      <c r="R26" s="540"/>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row>
    <row r="27" spans="1:43" ht="30" customHeight="1" x14ac:dyDescent="0.25">
      <c r="A27" s="3">
        <f t="shared" si="0"/>
        <v>15</v>
      </c>
      <c r="B27" s="1219" t="s">
        <v>162</v>
      </c>
      <c r="C27" s="1219"/>
      <c r="D27" s="1219"/>
      <c r="E27" s="1263"/>
      <c r="F27" s="1263"/>
      <c r="G27" s="1263"/>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219"/>
      <c r="AM27" s="1219"/>
      <c r="AN27" s="1219"/>
      <c r="AO27" s="1219"/>
      <c r="AP27" s="1219"/>
      <c r="AQ27" s="1219"/>
    </row>
    <row r="28" spans="1:43" ht="30" customHeight="1" x14ac:dyDescent="0.25">
      <c r="A28" s="3">
        <f t="shared" si="0"/>
        <v>16</v>
      </c>
      <c r="B28" s="540" t="s">
        <v>162</v>
      </c>
      <c r="C28" s="540"/>
      <c r="D28" s="540"/>
      <c r="E28" s="1264"/>
      <c r="F28" s="1264"/>
      <c r="G28" s="1264"/>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row>
    <row r="29" spans="1:43" ht="30" customHeight="1" x14ac:dyDescent="0.25">
      <c r="A29" s="3">
        <f t="shared" si="0"/>
        <v>17</v>
      </c>
      <c r="B29" s="1219" t="s">
        <v>162</v>
      </c>
      <c r="C29" s="1219"/>
      <c r="D29" s="1219"/>
      <c r="E29" s="1263"/>
      <c r="F29" s="1263"/>
      <c r="G29" s="1263"/>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219"/>
      <c r="AM29" s="1219"/>
      <c r="AN29" s="1219"/>
      <c r="AO29" s="1219"/>
      <c r="AP29" s="1219"/>
      <c r="AQ29" s="1219"/>
    </row>
    <row r="30" spans="1:43" ht="30" customHeight="1" x14ac:dyDescent="0.25">
      <c r="A30" s="3">
        <f t="shared" si="0"/>
        <v>18</v>
      </c>
      <c r="B30" s="540" t="s">
        <v>162</v>
      </c>
      <c r="C30" s="540"/>
      <c r="D30" s="540"/>
      <c r="E30" s="1264"/>
      <c r="F30" s="1264"/>
      <c r="G30" s="1264"/>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row>
    <row r="31" spans="1:43" ht="30" customHeight="1" x14ac:dyDescent="0.25">
      <c r="A31" s="3">
        <f t="shared" si="0"/>
        <v>19</v>
      </c>
      <c r="B31" s="1219" t="s">
        <v>162</v>
      </c>
      <c r="C31" s="1219"/>
      <c r="D31" s="1219"/>
      <c r="E31" s="1263"/>
      <c r="F31" s="1263"/>
      <c r="G31" s="1263"/>
      <c r="H31" s="1219"/>
      <c r="I31" s="1219"/>
      <c r="J31" s="1219"/>
      <c r="K31" s="1219"/>
      <c r="L31" s="1219"/>
      <c r="M31" s="1219"/>
      <c r="N31" s="1219"/>
      <c r="O31" s="1219"/>
      <c r="P31" s="1219"/>
      <c r="Q31" s="1219"/>
      <c r="R31" s="1219"/>
      <c r="S31" s="1219"/>
      <c r="T31" s="1219"/>
      <c r="U31" s="1219"/>
      <c r="V31" s="1219"/>
      <c r="W31" s="1219"/>
      <c r="X31" s="1219"/>
      <c r="Y31" s="1219"/>
      <c r="Z31" s="1219"/>
      <c r="AA31" s="1219"/>
      <c r="AB31" s="1219"/>
      <c r="AC31" s="1219"/>
      <c r="AD31" s="1219"/>
      <c r="AE31" s="1219"/>
      <c r="AF31" s="1219"/>
      <c r="AG31" s="1219"/>
      <c r="AH31" s="1219"/>
      <c r="AI31" s="1219"/>
      <c r="AJ31" s="1219"/>
      <c r="AK31" s="1219"/>
      <c r="AL31" s="1219"/>
      <c r="AM31" s="1219"/>
      <c r="AN31" s="1219"/>
      <c r="AO31" s="1219"/>
      <c r="AP31" s="1219"/>
      <c r="AQ31" s="1219"/>
    </row>
    <row r="32" spans="1:43" ht="30" customHeight="1" x14ac:dyDescent="0.25">
      <c r="A32" s="3">
        <f t="shared" si="0"/>
        <v>20</v>
      </c>
      <c r="B32" s="540" t="s">
        <v>162</v>
      </c>
      <c r="C32" s="540"/>
      <c r="D32" s="540"/>
      <c r="E32" s="1264"/>
      <c r="F32" s="1264"/>
      <c r="G32" s="1264"/>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row>
    <row r="33" spans="1:43" ht="30" customHeight="1" x14ac:dyDescent="0.25">
      <c r="A33" s="3">
        <f>ROW(A21)</f>
        <v>21</v>
      </c>
      <c r="B33" s="1219" t="s">
        <v>162</v>
      </c>
      <c r="C33" s="1219"/>
      <c r="D33" s="1219"/>
      <c r="E33" s="1263"/>
      <c r="F33" s="1263"/>
      <c r="G33" s="1263"/>
      <c r="H33" s="1219"/>
      <c r="I33" s="1219"/>
      <c r="J33" s="1219"/>
      <c r="K33" s="1219"/>
      <c r="L33" s="1219"/>
      <c r="M33" s="1219"/>
      <c r="N33" s="1219"/>
      <c r="O33" s="1219"/>
      <c r="P33" s="1219"/>
      <c r="Q33" s="1219"/>
      <c r="R33" s="1219"/>
      <c r="S33" s="1219"/>
      <c r="T33" s="1219"/>
      <c r="U33" s="1219"/>
      <c r="V33" s="1219"/>
      <c r="W33" s="1219"/>
      <c r="X33" s="1219"/>
      <c r="Y33" s="1219"/>
      <c r="Z33" s="1219"/>
      <c r="AA33" s="1219"/>
      <c r="AB33" s="1219"/>
      <c r="AC33" s="1219"/>
      <c r="AD33" s="1219"/>
      <c r="AE33" s="1219"/>
      <c r="AF33" s="1219"/>
      <c r="AG33" s="1219"/>
      <c r="AH33" s="1219"/>
      <c r="AI33" s="1219"/>
      <c r="AJ33" s="1219"/>
      <c r="AK33" s="1219"/>
      <c r="AL33" s="1219"/>
      <c r="AM33" s="1219"/>
      <c r="AN33" s="1219"/>
      <c r="AO33" s="1219"/>
      <c r="AP33" s="1219"/>
      <c r="AQ33" s="1219"/>
    </row>
    <row r="34" spans="1:43" ht="30" customHeight="1" x14ac:dyDescent="0.25">
      <c r="A34" s="3">
        <f t="shared" si="0"/>
        <v>22</v>
      </c>
      <c r="B34" s="540" t="s">
        <v>162</v>
      </c>
      <c r="C34" s="540"/>
      <c r="D34" s="540"/>
      <c r="E34" s="1264"/>
      <c r="F34" s="1264"/>
      <c r="G34" s="1264"/>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row>
    <row r="35" spans="1:43" ht="30" customHeight="1" x14ac:dyDescent="0.25">
      <c r="A35" s="3">
        <f t="shared" si="0"/>
        <v>23</v>
      </c>
      <c r="B35" s="1219" t="s">
        <v>162</v>
      </c>
      <c r="C35" s="1219"/>
      <c r="D35" s="1219"/>
      <c r="E35" s="1263"/>
      <c r="F35" s="1263"/>
      <c r="G35" s="1263"/>
      <c r="H35" s="1219"/>
      <c r="I35" s="1219"/>
      <c r="J35" s="1219"/>
      <c r="K35" s="1219"/>
      <c r="L35" s="1219"/>
      <c r="M35" s="1219"/>
      <c r="N35" s="1219"/>
      <c r="O35" s="1219"/>
      <c r="P35" s="1219"/>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c r="AP35" s="1219"/>
      <c r="AQ35" s="1219"/>
    </row>
    <row r="36" spans="1:43" ht="30" customHeight="1" x14ac:dyDescent="0.25">
      <c r="A36" s="3">
        <f t="shared" si="0"/>
        <v>24</v>
      </c>
      <c r="B36" s="540" t="s">
        <v>162</v>
      </c>
      <c r="C36" s="540"/>
      <c r="D36" s="540"/>
      <c r="E36" s="1264"/>
      <c r="F36" s="1264"/>
      <c r="G36" s="1264"/>
      <c r="H36" s="540"/>
      <c r="I36" s="540"/>
      <c r="J36" s="540"/>
      <c r="K36" s="540"/>
      <c r="L36" s="540"/>
      <c r="M36" s="540"/>
      <c r="N36" s="540"/>
      <c r="O36" s="540"/>
      <c r="P36" s="540"/>
      <c r="Q36" s="540"/>
      <c r="R36" s="540"/>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row>
    <row r="37" spans="1:43" ht="30" customHeight="1" x14ac:dyDescent="0.25">
      <c r="A37" s="3">
        <f t="shared" si="0"/>
        <v>25</v>
      </c>
      <c r="B37" s="1219" t="s">
        <v>162</v>
      </c>
      <c r="C37" s="1219"/>
      <c r="D37" s="1219"/>
      <c r="E37" s="1263"/>
      <c r="F37" s="1263"/>
      <c r="G37" s="1263"/>
      <c r="H37" s="1219"/>
      <c r="I37" s="1219"/>
      <c r="J37" s="1219"/>
      <c r="K37" s="1219"/>
      <c r="L37" s="1219"/>
      <c r="M37" s="1219"/>
      <c r="N37" s="1219"/>
      <c r="O37" s="1219"/>
      <c r="P37" s="1219"/>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c r="AP37" s="1219"/>
      <c r="AQ37" s="1219"/>
    </row>
    <row r="38" spans="1:43" ht="30" customHeight="1" x14ac:dyDescent="0.25">
      <c r="A38" s="3">
        <f t="shared" si="0"/>
        <v>26</v>
      </c>
      <c r="B38" s="540" t="s">
        <v>162</v>
      </c>
      <c r="C38" s="540"/>
      <c r="D38" s="540"/>
      <c r="E38" s="1264"/>
      <c r="F38" s="1264"/>
      <c r="G38" s="1264"/>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row>
    <row r="39" spans="1:43" ht="30" customHeight="1" x14ac:dyDescent="0.25">
      <c r="A39" s="3">
        <f t="shared" si="0"/>
        <v>27</v>
      </c>
      <c r="B39" s="1219" t="s">
        <v>162</v>
      </c>
      <c r="C39" s="1219"/>
      <c r="D39" s="1219"/>
      <c r="E39" s="1263"/>
      <c r="F39" s="1263"/>
      <c r="G39" s="1263"/>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c r="AP39" s="1219"/>
      <c r="AQ39" s="1219"/>
    </row>
    <row r="40" spans="1:43" ht="30" customHeight="1" x14ac:dyDescent="0.25">
      <c r="A40" s="3">
        <f t="shared" si="0"/>
        <v>28</v>
      </c>
      <c r="B40" s="540" t="s">
        <v>162</v>
      </c>
      <c r="C40" s="540"/>
      <c r="D40" s="540"/>
      <c r="E40" s="1264"/>
      <c r="F40" s="1264"/>
      <c r="G40" s="1264"/>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row>
    <row r="41" spans="1:43" ht="30" customHeight="1" x14ac:dyDescent="0.25">
      <c r="A41" s="3">
        <f t="shared" si="0"/>
        <v>29</v>
      </c>
      <c r="B41" s="1219" t="s">
        <v>162</v>
      </c>
      <c r="C41" s="1219"/>
      <c r="D41" s="1219"/>
      <c r="E41" s="1263"/>
      <c r="F41" s="1263"/>
      <c r="G41" s="1263"/>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19"/>
      <c r="AD41" s="1219"/>
      <c r="AE41" s="1219"/>
      <c r="AF41" s="1219"/>
      <c r="AG41" s="1219"/>
      <c r="AH41" s="1219"/>
      <c r="AI41" s="1219"/>
      <c r="AJ41" s="1219"/>
      <c r="AK41" s="1219"/>
      <c r="AL41" s="1219"/>
      <c r="AM41" s="1219"/>
      <c r="AN41" s="1219"/>
      <c r="AO41" s="1219"/>
      <c r="AP41" s="1219"/>
      <c r="AQ41" s="1219"/>
    </row>
    <row r="42" spans="1:43" ht="30" customHeight="1" x14ac:dyDescent="0.25">
      <c r="A42" s="3">
        <f t="shared" si="0"/>
        <v>30</v>
      </c>
      <c r="B42" s="540" t="s">
        <v>162</v>
      </c>
      <c r="C42" s="540"/>
      <c r="D42" s="540"/>
      <c r="E42" s="1264"/>
      <c r="F42" s="1264"/>
      <c r="G42" s="1264"/>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row>
    <row r="43" spans="1:43" ht="30" customHeight="1" x14ac:dyDescent="0.25">
      <c r="A43" s="3">
        <f>ROW(A31)</f>
        <v>31</v>
      </c>
      <c r="B43" s="1219" t="s">
        <v>162</v>
      </c>
      <c r="C43" s="1219"/>
      <c r="D43" s="1219"/>
      <c r="E43" s="1263"/>
      <c r="F43" s="1263"/>
      <c r="G43" s="1263"/>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c r="AF43" s="1219"/>
      <c r="AG43" s="1219"/>
      <c r="AH43" s="1219"/>
      <c r="AI43" s="1219"/>
      <c r="AJ43" s="1219"/>
      <c r="AK43" s="1219"/>
      <c r="AL43" s="1219"/>
      <c r="AM43" s="1219"/>
      <c r="AN43" s="1219"/>
      <c r="AO43" s="1219"/>
      <c r="AP43" s="1219"/>
      <c r="AQ43" s="1219"/>
    </row>
    <row r="44" spans="1:43" ht="30" customHeight="1" x14ac:dyDescent="0.25">
      <c r="A44" s="3">
        <f t="shared" si="0"/>
        <v>32</v>
      </c>
      <c r="B44" s="540" t="s">
        <v>162</v>
      </c>
      <c r="C44" s="540"/>
      <c r="D44" s="540"/>
      <c r="E44" s="1264"/>
      <c r="F44" s="1264"/>
      <c r="G44" s="1264"/>
      <c r="H44" s="540"/>
      <c r="I44" s="540"/>
      <c r="J44" s="540"/>
      <c r="K44" s="540"/>
      <c r="L44" s="540"/>
      <c r="M44" s="540"/>
      <c r="N44" s="540"/>
      <c r="O44" s="540"/>
      <c r="P44" s="540"/>
      <c r="Q44" s="540"/>
      <c r="R44" s="540"/>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row>
    <row r="45" spans="1:43" ht="30" customHeight="1" x14ac:dyDescent="0.25">
      <c r="A45" s="3">
        <f t="shared" si="0"/>
        <v>33</v>
      </c>
      <c r="B45" s="1219" t="s">
        <v>162</v>
      </c>
      <c r="C45" s="1219"/>
      <c r="D45" s="1219"/>
      <c r="E45" s="1263"/>
      <c r="F45" s="1263"/>
      <c r="G45" s="1263"/>
      <c r="H45" s="1219"/>
      <c r="I45" s="1219"/>
      <c r="J45" s="1219"/>
      <c r="K45" s="1219"/>
      <c r="L45" s="1219"/>
      <c r="M45" s="1219"/>
      <c r="N45" s="1219"/>
      <c r="O45" s="1219"/>
      <c r="P45" s="1219"/>
      <c r="Q45" s="1219"/>
      <c r="R45" s="1219"/>
      <c r="S45" s="1219"/>
      <c r="T45" s="1219"/>
      <c r="U45" s="1219"/>
      <c r="V45" s="1219"/>
      <c r="W45" s="1219"/>
      <c r="X45" s="1219"/>
      <c r="Y45" s="1219"/>
      <c r="Z45" s="1219"/>
      <c r="AA45" s="1219"/>
      <c r="AB45" s="1219"/>
      <c r="AC45" s="1219"/>
      <c r="AD45" s="1219"/>
      <c r="AE45" s="1219"/>
      <c r="AF45" s="1219"/>
      <c r="AG45" s="1219"/>
      <c r="AH45" s="1219"/>
      <c r="AI45" s="1219"/>
      <c r="AJ45" s="1219"/>
      <c r="AK45" s="1219"/>
      <c r="AL45" s="1219"/>
      <c r="AM45" s="1219"/>
      <c r="AN45" s="1219"/>
      <c r="AO45" s="1219"/>
      <c r="AP45" s="1219"/>
      <c r="AQ45" s="1219"/>
    </row>
    <row r="46" spans="1:43" ht="30" customHeight="1" x14ac:dyDescent="0.25">
      <c r="A46" s="3">
        <f t="shared" si="0"/>
        <v>34</v>
      </c>
      <c r="B46" s="540" t="s">
        <v>162</v>
      </c>
      <c r="C46" s="540"/>
      <c r="D46" s="540"/>
      <c r="E46" s="1264"/>
      <c r="F46" s="1264"/>
      <c r="G46" s="1264"/>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row>
    <row r="47" spans="1:43" ht="30" customHeight="1" x14ac:dyDescent="0.25">
      <c r="A47" s="3">
        <f t="shared" si="0"/>
        <v>35</v>
      </c>
      <c r="B47" s="1219" t="s">
        <v>162</v>
      </c>
      <c r="C47" s="1219"/>
      <c r="D47" s="1219"/>
      <c r="E47" s="1263"/>
      <c r="F47" s="1263"/>
      <c r="G47" s="1263"/>
      <c r="H47" s="1219"/>
      <c r="I47" s="1219"/>
      <c r="J47" s="1219"/>
      <c r="K47" s="1219"/>
      <c r="L47" s="1219"/>
      <c r="M47" s="1219"/>
      <c r="N47" s="1219"/>
      <c r="O47" s="1219"/>
      <c r="P47" s="1219"/>
      <c r="Q47" s="1219"/>
      <c r="R47" s="1219"/>
      <c r="S47" s="1219"/>
      <c r="T47" s="1219"/>
      <c r="U47" s="1219"/>
      <c r="V47" s="1219"/>
      <c r="W47" s="1219"/>
      <c r="X47" s="1219"/>
      <c r="Y47" s="1219"/>
      <c r="Z47" s="1219"/>
      <c r="AA47" s="1219"/>
      <c r="AB47" s="1219"/>
      <c r="AC47" s="1219"/>
      <c r="AD47" s="1219"/>
      <c r="AE47" s="1219"/>
      <c r="AF47" s="1219"/>
      <c r="AG47" s="1219"/>
      <c r="AH47" s="1219"/>
      <c r="AI47" s="1219"/>
      <c r="AJ47" s="1219"/>
      <c r="AK47" s="1219"/>
      <c r="AL47" s="1219"/>
      <c r="AM47" s="1219"/>
      <c r="AN47" s="1219"/>
      <c r="AO47" s="1219"/>
      <c r="AP47" s="1219"/>
      <c r="AQ47" s="1219"/>
    </row>
    <row r="48" spans="1:43" ht="30" customHeight="1" x14ac:dyDescent="0.25">
      <c r="A48" s="3">
        <f t="shared" si="0"/>
        <v>36</v>
      </c>
      <c r="B48" s="540" t="s">
        <v>162</v>
      </c>
      <c r="C48" s="540"/>
      <c r="D48" s="540"/>
      <c r="E48" s="1264"/>
      <c r="F48" s="1264"/>
      <c r="G48" s="1264"/>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row>
    <row r="49" spans="1:43" ht="30" customHeight="1" x14ac:dyDescent="0.25">
      <c r="A49" s="3">
        <f t="shared" si="0"/>
        <v>37</v>
      </c>
      <c r="B49" s="1219" t="s">
        <v>162</v>
      </c>
      <c r="C49" s="1219"/>
      <c r="D49" s="1219"/>
      <c r="E49" s="1263"/>
      <c r="F49" s="1263"/>
      <c r="G49" s="1263"/>
      <c r="H49" s="1219"/>
      <c r="I49" s="1219"/>
      <c r="J49" s="1219"/>
      <c r="K49" s="1219"/>
      <c r="L49" s="1219"/>
      <c r="M49" s="1219"/>
      <c r="N49" s="1219"/>
      <c r="O49" s="1219"/>
      <c r="P49" s="1219"/>
      <c r="Q49" s="1219"/>
      <c r="R49" s="1219"/>
      <c r="S49" s="1219"/>
      <c r="T49" s="1219"/>
      <c r="U49" s="1219"/>
      <c r="V49" s="1219"/>
      <c r="W49" s="1219"/>
      <c r="X49" s="1219"/>
      <c r="Y49" s="1219"/>
      <c r="Z49" s="1219"/>
      <c r="AA49" s="1219"/>
      <c r="AB49" s="1219"/>
      <c r="AC49" s="1219"/>
      <c r="AD49" s="1219"/>
      <c r="AE49" s="1219"/>
      <c r="AF49" s="1219"/>
      <c r="AG49" s="1219"/>
      <c r="AH49" s="1219"/>
      <c r="AI49" s="1219"/>
      <c r="AJ49" s="1219"/>
      <c r="AK49" s="1219"/>
      <c r="AL49" s="1219"/>
      <c r="AM49" s="1219"/>
      <c r="AN49" s="1219"/>
      <c r="AO49" s="1219"/>
      <c r="AP49" s="1219"/>
      <c r="AQ49" s="1219"/>
    </row>
    <row r="50" spans="1:43" ht="30" customHeight="1" x14ac:dyDescent="0.25">
      <c r="A50" s="3">
        <f t="shared" si="0"/>
        <v>38</v>
      </c>
      <c r="B50" s="540" t="s">
        <v>162</v>
      </c>
      <c r="C50" s="540"/>
      <c r="D50" s="540"/>
      <c r="E50" s="1264"/>
      <c r="F50" s="1264"/>
      <c r="G50" s="1264"/>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row>
    <row r="51" spans="1:43" ht="30" customHeight="1" x14ac:dyDescent="0.25">
      <c r="A51" s="3">
        <f t="shared" si="0"/>
        <v>39</v>
      </c>
      <c r="B51" s="1219" t="s">
        <v>162</v>
      </c>
      <c r="C51" s="1219"/>
      <c r="D51" s="1219"/>
      <c r="E51" s="1263"/>
      <c r="F51" s="1263"/>
      <c r="G51" s="1263"/>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c r="AL51" s="1219"/>
      <c r="AM51" s="1219"/>
      <c r="AN51" s="1219"/>
      <c r="AO51" s="1219"/>
      <c r="AP51" s="1219"/>
      <c r="AQ51" s="1219"/>
    </row>
    <row r="52" spans="1:43" ht="30" customHeight="1" x14ac:dyDescent="0.25">
      <c r="A52" s="3">
        <f t="shared" si="0"/>
        <v>40</v>
      </c>
      <c r="B52" s="540" t="s">
        <v>162</v>
      </c>
      <c r="C52" s="540"/>
      <c r="D52" s="540"/>
      <c r="E52" s="1264"/>
      <c r="F52" s="1264"/>
      <c r="G52" s="1264"/>
      <c r="H52" s="540"/>
      <c r="I52" s="540"/>
      <c r="J52" s="540"/>
      <c r="K52" s="540"/>
      <c r="L52" s="540"/>
      <c r="M52" s="540"/>
      <c r="N52" s="540"/>
      <c r="O52" s="540"/>
      <c r="P52" s="540"/>
      <c r="Q52" s="540"/>
      <c r="R52" s="540"/>
      <c r="S52" s="540"/>
      <c r="T52" s="540"/>
      <c r="U52" s="540"/>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row>
    <row r="53" spans="1:43" ht="30" customHeight="1" x14ac:dyDescent="0.25">
      <c r="A53" s="3">
        <f>ROW(A41)</f>
        <v>41</v>
      </c>
      <c r="B53" s="1219" t="s">
        <v>162</v>
      </c>
      <c r="C53" s="1219"/>
      <c r="D53" s="1219"/>
      <c r="E53" s="1263"/>
      <c r="F53" s="1263"/>
      <c r="G53" s="1263"/>
      <c r="H53" s="1219"/>
      <c r="I53" s="1219"/>
      <c r="J53" s="1219"/>
      <c r="K53" s="1219"/>
      <c r="L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1219"/>
      <c r="AI53" s="1219"/>
      <c r="AJ53" s="1219"/>
      <c r="AK53" s="1219"/>
      <c r="AL53" s="1219"/>
      <c r="AM53" s="1219"/>
      <c r="AN53" s="1219"/>
      <c r="AO53" s="1219"/>
      <c r="AP53" s="1219"/>
      <c r="AQ53" s="1219"/>
    </row>
    <row r="54" spans="1:43" ht="30" customHeight="1" x14ac:dyDescent="0.25">
      <c r="A54" s="3">
        <f t="shared" si="0"/>
        <v>42</v>
      </c>
      <c r="B54" s="540" t="s">
        <v>162</v>
      </c>
      <c r="C54" s="540"/>
      <c r="D54" s="540"/>
      <c r="E54" s="1264"/>
      <c r="F54" s="1264"/>
      <c r="G54" s="1264"/>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40"/>
      <c r="AO54" s="540"/>
      <c r="AP54" s="540"/>
      <c r="AQ54" s="540"/>
    </row>
    <row r="55" spans="1:43" ht="30" customHeight="1" x14ac:dyDescent="0.25">
      <c r="A55" s="3">
        <f t="shared" si="0"/>
        <v>43</v>
      </c>
      <c r="B55" s="1219" t="s">
        <v>162</v>
      </c>
      <c r="C55" s="1219"/>
      <c r="D55" s="1219"/>
      <c r="E55" s="1263"/>
      <c r="F55" s="1263"/>
      <c r="G55" s="1263"/>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row>
    <row r="56" spans="1:43" ht="30" customHeight="1" x14ac:dyDescent="0.25">
      <c r="A56" s="3">
        <f t="shared" si="0"/>
        <v>44</v>
      </c>
      <c r="B56" s="540" t="s">
        <v>162</v>
      </c>
      <c r="C56" s="540"/>
      <c r="D56" s="540"/>
      <c r="E56" s="1264"/>
      <c r="F56" s="1264"/>
      <c r="G56" s="1264"/>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c r="AM56" s="540"/>
      <c r="AN56" s="540"/>
      <c r="AO56" s="540"/>
      <c r="AP56" s="540"/>
      <c r="AQ56" s="540"/>
    </row>
    <row r="57" spans="1:43" ht="30" customHeight="1" x14ac:dyDescent="0.25">
      <c r="A57" s="3">
        <f t="shared" si="0"/>
        <v>45</v>
      </c>
      <c r="B57" s="1219" t="s">
        <v>162</v>
      </c>
      <c r="C57" s="1219"/>
      <c r="D57" s="1219"/>
      <c r="E57" s="1263"/>
      <c r="F57" s="1263"/>
      <c r="G57" s="1263"/>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row>
    <row r="58" spans="1:43" ht="30" customHeight="1" x14ac:dyDescent="0.25">
      <c r="A58" s="3">
        <f t="shared" si="0"/>
        <v>46</v>
      </c>
      <c r="B58" s="540" t="s">
        <v>162</v>
      </c>
      <c r="C58" s="540"/>
      <c r="D58" s="540"/>
      <c r="E58" s="1264"/>
      <c r="F58" s="1264"/>
      <c r="G58" s="1264"/>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40"/>
      <c r="AO58" s="540"/>
      <c r="AP58" s="540"/>
      <c r="AQ58" s="540"/>
    </row>
    <row r="59" spans="1:43" ht="30" customHeight="1" x14ac:dyDescent="0.25">
      <c r="A59" s="3">
        <f t="shared" si="0"/>
        <v>47</v>
      </c>
      <c r="B59" s="1219" t="s">
        <v>162</v>
      </c>
      <c r="C59" s="1219"/>
      <c r="D59" s="1219"/>
      <c r="E59" s="1263"/>
      <c r="F59" s="1263"/>
      <c r="G59" s="1263"/>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row>
    <row r="60" spans="1:43" ht="30" customHeight="1" x14ac:dyDescent="0.25">
      <c r="A60" s="3">
        <f t="shared" si="0"/>
        <v>48</v>
      </c>
      <c r="B60" s="540" t="s">
        <v>162</v>
      </c>
      <c r="C60" s="540"/>
      <c r="D60" s="540"/>
      <c r="E60" s="1264"/>
      <c r="F60" s="1264"/>
      <c r="G60" s="1264"/>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40"/>
      <c r="AO60" s="540"/>
      <c r="AP60" s="540"/>
      <c r="AQ60" s="540"/>
    </row>
    <row r="61" spans="1:43" ht="30" customHeight="1" x14ac:dyDescent="0.25">
      <c r="A61" s="3">
        <f t="shared" si="0"/>
        <v>49</v>
      </c>
      <c r="B61" s="1219" t="s">
        <v>162</v>
      </c>
      <c r="C61" s="1219"/>
      <c r="D61" s="1219"/>
      <c r="E61" s="1263"/>
      <c r="F61" s="1263"/>
      <c r="G61" s="1263"/>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s="1219"/>
      <c r="AG61" s="1219"/>
      <c r="AH61" s="1219"/>
      <c r="AI61" s="1219"/>
      <c r="AJ61" s="1219"/>
      <c r="AK61" s="1219"/>
      <c r="AL61" s="1219"/>
      <c r="AM61" s="1219"/>
      <c r="AN61" s="1219"/>
      <c r="AO61" s="1219"/>
      <c r="AP61" s="1219"/>
      <c r="AQ61" s="1219"/>
    </row>
    <row r="62" spans="1:43" ht="30" customHeight="1" x14ac:dyDescent="0.25">
      <c r="A62" s="3">
        <f t="shared" si="0"/>
        <v>50</v>
      </c>
      <c r="B62" s="540" t="s">
        <v>162</v>
      </c>
      <c r="C62" s="540"/>
      <c r="D62" s="540"/>
      <c r="E62" s="1264"/>
      <c r="F62" s="1264"/>
      <c r="G62" s="1264"/>
      <c r="H62" s="540"/>
      <c r="I62" s="540"/>
      <c r="J62" s="540"/>
      <c r="K62" s="540"/>
      <c r="L62" s="540"/>
      <c r="M62" s="540"/>
      <c r="N62" s="540"/>
      <c r="O62" s="540"/>
      <c r="P62" s="540"/>
      <c r="Q62" s="540"/>
      <c r="R62" s="540"/>
      <c r="S62" s="540"/>
      <c r="T62" s="540"/>
      <c r="U62" s="540"/>
      <c r="V62" s="540"/>
      <c r="W62" s="540"/>
      <c r="X62" s="540"/>
      <c r="Y62" s="540"/>
      <c r="Z62" s="540"/>
      <c r="AA62" s="540"/>
      <c r="AB62" s="540"/>
      <c r="AC62" s="540"/>
      <c r="AD62" s="540"/>
      <c r="AE62" s="540"/>
      <c r="AF62" s="540"/>
      <c r="AG62" s="540"/>
      <c r="AH62" s="540"/>
      <c r="AI62" s="540"/>
      <c r="AJ62" s="540"/>
      <c r="AK62" s="540"/>
      <c r="AL62" s="540"/>
      <c r="AM62" s="540"/>
      <c r="AN62" s="540"/>
      <c r="AO62" s="540"/>
      <c r="AP62" s="540"/>
      <c r="AQ62" s="540"/>
    </row>
    <row r="63" spans="1:43" ht="30" customHeight="1" x14ac:dyDescent="0.25">
      <c r="A63" s="3">
        <f>ROW(A51)</f>
        <v>51</v>
      </c>
      <c r="B63" s="1219" t="s">
        <v>162</v>
      </c>
      <c r="C63" s="1219"/>
      <c r="D63" s="1219"/>
      <c r="E63" s="1263"/>
      <c r="F63" s="1263"/>
      <c r="G63" s="1263"/>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219"/>
      <c r="AH63" s="1219"/>
      <c r="AI63" s="1219"/>
      <c r="AJ63" s="1219"/>
      <c r="AK63" s="1219"/>
      <c r="AL63" s="1219"/>
      <c r="AM63" s="1219"/>
      <c r="AN63" s="1219"/>
      <c r="AO63" s="1219"/>
      <c r="AP63" s="1219"/>
      <c r="AQ63" s="1219"/>
    </row>
    <row r="64" spans="1:43" ht="30" customHeight="1" x14ac:dyDescent="0.25">
      <c r="A64" s="3">
        <f t="shared" si="0"/>
        <v>52</v>
      </c>
      <c r="B64" s="540" t="s">
        <v>162</v>
      </c>
      <c r="C64" s="540"/>
      <c r="D64" s="540"/>
      <c r="E64" s="1264"/>
      <c r="F64" s="1264"/>
      <c r="G64" s="1264"/>
      <c r="H64" s="540"/>
      <c r="I64" s="540"/>
      <c r="J64" s="540"/>
      <c r="K64" s="540"/>
      <c r="L64" s="540"/>
      <c r="M64" s="540"/>
      <c r="N64" s="540"/>
      <c r="O64" s="540"/>
      <c r="P64" s="540"/>
      <c r="Q64" s="540"/>
      <c r="R64" s="540"/>
      <c r="S64" s="540"/>
      <c r="T64" s="540"/>
      <c r="U64" s="540"/>
      <c r="V64" s="540"/>
      <c r="W64" s="540"/>
      <c r="X64" s="540"/>
      <c r="Y64" s="540"/>
      <c r="Z64" s="540"/>
      <c r="AA64" s="540"/>
      <c r="AB64" s="540"/>
      <c r="AC64" s="540"/>
      <c r="AD64" s="540"/>
      <c r="AE64" s="540"/>
      <c r="AF64" s="540"/>
      <c r="AG64" s="540"/>
      <c r="AH64" s="540"/>
      <c r="AI64" s="540"/>
      <c r="AJ64" s="540"/>
      <c r="AK64" s="540"/>
      <c r="AL64" s="540"/>
      <c r="AM64" s="540"/>
      <c r="AN64" s="540"/>
      <c r="AO64" s="540"/>
      <c r="AP64" s="540"/>
      <c r="AQ64" s="540"/>
    </row>
    <row r="65" spans="1:43" ht="30" customHeight="1" x14ac:dyDescent="0.25">
      <c r="A65" s="3">
        <f t="shared" si="0"/>
        <v>53</v>
      </c>
      <c r="B65" s="1219" t="s">
        <v>162</v>
      </c>
      <c r="C65" s="1219"/>
      <c r="D65" s="1219"/>
      <c r="E65" s="1263"/>
      <c r="F65" s="1263"/>
      <c r="G65" s="1263"/>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c r="AL65" s="1219"/>
      <c r="AM65" s="1219"/>
      <c r="AN65" s="1219"/>
      <c r="AO65" s="1219"/>
      <c r="AP65" s="1219"/>
      <c r="AQ65" s="1219"/>
    </row>
    <row r="66" spans="1:43" ht="30" customHeight="1" x14ac:dyDescent="0.25">
      <c r="A66" s="3">
        <f t="shared" si="0"/>
        <v>54</v>
      </c>
      <c r="B66" s="540" t="s">
        <v>162</v>
      </c>
      <c r="C66" s="540"/>
      <c r="D66" s="540"/>
      <c r="E66" s="1264"/>
      <c r="F66" s="1264"/>
      <c r="G66" s="1264"/>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c r="AG66" s="540"/>
      <c r="AH66" s="540"/>
      <c r="AI66" s="540"/>
      <c r="AJ66" s="540"/>
      <c r="AK66" s="540"/>
      <c r="AL66" s="540"/>
      <c r="AM66" s="540"/>
      <c r="AN66" s="540"/>
      <c r="AO66" s="540"/>
      <c r="AP66" s="540"/>
      <c r="AQ66" s="540"/>
    </row>
    <row r="67" spans="1:43" ht="30" customHeight="1" x14ac:dyDescent="0.25">
      <c r="A67" s="3">
        <f t="shared" si="0"/>
        <v>55</v>
      </c>
      <c r="B67" s="1219" t="s">
        <v>162</v>
      </c>
      <c r="C67" s="1219"/>
      <c r="D67" s="1219"/>
      <c r="E67" s="1263"/>
      <c r="F67" s="1263"/>
      <c r="G67" s="1263"/>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c r="AL67" s="1219"/>
      <c r="AM67" s="1219"/>
      <c r="AN67" s="1219"/>
      <c r="AO67" s="1219"/>
      <c r="AP67" s="1219"/>
      <c r="AQ67" s="1219"/>
    </row>
    <row r="68" spans="1:43" ht="30" customHeight="1" x14ac:dyDescent="0.25">
      <c r="A68" s="3">
        <f t="shared" si="0"/>
        <v>56</v>
      </c>
      <c r="B68" s="540" t="s">
        <v>162</v>
      </c>
      <c r="C68" s="540"/>
      <c r="D68" s="540"/>
      <c r="E68" s="1264"/>
      <c r="F68" s="1264"/>
      <c r="G68" s="1264"/>
      <c r="H68" s="540"/>
      <c r="I68" s="540"/>
      <c r="J68" s="540"/>
      <c r="K68" s="540"/>
      <c r="L68" s="540"/>
      <c r="M68" s="540"/>
      <c r="N68" s="540"/>
      <c r="O68" s="540"/>
      <c r="P68" s="540"/>
      <c r="Q68" s="540"/>
      <c r="R68" s="540"/>
      <c r="S68" s="540"/>
      <c r="T68" s="540"/>
      <c r="U68" s="540"/>
      <c r="V68" s="540"/>
      <c r="W68" s="540"/>
      <c r="X68" s="540"/>
      <c r="Y68" s="540"/>
      <c r="Z68" s="540"/>
      <c r="AA68" s="540"/>
      <c r="AB68" s="540"/>
      <c r="AC68" s="540"/>
      <c r="AD68" s="540"/>
      <c r="AE68" s="540"/>
      <c r="AF68" s="540"/>
      <c r="AG68" s="540"/>
      <c r="AH68" s="540"/>
      <c r="AI68" s="540"/>
      <c r="AJ68" s="540"/>
      <c r="AK68" s="540"/>
      <c r="AL68" s="540"/>
      <c r="AM68" s="540"/>
      <c r="AN68" s="540"/>
      <c r="AO68" s="540"/>
      <c r="AP68" s="540"/>
      <c r="AQ68" s="540"/>
    </row>
    <row r="69" spans="1:43" ht="30" customHeight="1" x14ac:dyDescent="0.25">
      <c r="A69" s="3">
        <f t="shared" si="0"/>
        <v>57</v>
      </c>
      <c r="B69" s="1219" t="s">
        <v>162</v>
      </c>
      <c r="C69" s="1219"/>
      <c r="D69" s="1219"/>
      <c r="E69" s="1263"/>
      <c r="F69" s="1263"/>
      <c r="G69" s="1263"/>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c r="AL69" s="1219"/>
      <c r="AM69" s="1219"/>
      <c r="AN69" s="1219"/>
      <c r="AO69" s="1219"/>
      <c r="AP69" s="1219"/>
      <c r="AQ69" s="1219"/>
    </row>
    <row r="70" spans="1:43" ht="30" customHeight="1" x14ac:dyDescent="0.25">
      <c r="A70" s="3">
        <f t="shared" si="0"/>
        <v>58</v>
      </c>
      <c r="B70" s="540" t="s">
        <v>162</v>
      </c>
      <c r="C70" s="540"/>
      <c r="D70" s="540"/>
      <c r="E70" s="1264"/>
      <c r="F70" s="1264"/>
      <c r="G70" s="1264"/>
      <c r="H70" s="540"/>
      <c r="I70" s="540"/>
      <c r="J70" s="540"/>
      <c r="K70" s="540"/>
      <c r="L70" s="540"/>
      <c r="M70" s="540"/>
      <c r="N70" s="540"/>
      <c r="O70" s="540"/>
      <c r="P70" s="540"/>
      <c r="Q70" s="540"/>
      <c r="R70" s="540"/>
      <c r="S70" s="540"/>
      <c r="T70" s="540"/>
      <c r="U70" s="540"/>
      <c r="V70" s="540"/>
      <c r="W70" s="540"/>
      <c r="X70" s="540"/>
      <c r="Y70" s="540"/>
      <c r="Z70" s="540"/>
      <c r="AA70" s="540"/>
      <c r="AB70" s="540"/>
      <c r="AC70" s="540"/>
      <c r="AD70" s="540"/>
      <c r="AE70" s="540"/>
      <c r="AF70" s="540"/>
      <c r="AG70" s="540"/>
      <c r="AH70" s="540"/>
      <c r="AI70" s="540"/>
      <c r="AJ70" s="540"/>
      <c r="AK70" s="540"/>
      <c r="AL70" s="540"/>
      <c r="AM70" s="540"/>
      <c r="AN70" s="540"/>
      <c r="AO70" s="540"/>
      <c r="AP70" s="540"/>
      <c r="AQ70" s="540"/>
    </row>
    <row r="71" spans="1:43" ht="30" customHeight="1" x14ac:dyDescent="0.25">
      <c r="A71" s="3">
        <f t="shared" si="0"/>
        <v>59</v>
      </c>
      <c r="B71" s="1219" t="s">
        <v>162</v>
      </c>
      <c r="C71" s="1219"/>
      <c r="D71" s="1219"/>
      <c r="E71" s="1263"/>
      <c r="F71" s="1263"/>
      <c r="G71" s="1263"/>
      <c r="H71" s="1219"/>
      <c r="I71" s="1219"/>
      <c r="J71" s="1219"/>
      <c r="K71" s="1219"/>
      <c r="L71" s="1219"/>
      <c r="M71" s="1219"/>
      <c r="N71" s="1219"/>
      <c r="O71" s="1219"/>
      <c r="P71" s="1219"/>
      <c r="Q71" s="1219"/>
      <c r="R71" s="1219"/>
      <c r="S71" s="1219"/>
      <c r="T71" s="1219"/>
      <c r="U71" s="1219"/>
      <c r="V71" s="1219"/>
      <c r="W71" s="1219"/>
      <c r="X71" s="1219"/>
      <c r="Y71" s="1219"/>
      <c r="Z71" s="1219"/>
      <c r="AA71" s="1219"/>
      <c r="AB71" s="1219"/>
      <c r="AC71" s="1219"/>
      <c r="AD71" s="1219"/>
      <c r="AE71" s="1219"/>
      <c r="AF71" s="1219"/>
      <c r="AG71" s="1219"/>
      <c r="AH71" s="1219"/>
      <c r="AI71" s="1219"/>
      <c r="AJ71" s="1219"/>
      <c r="AK71" s="1219"/>
      <c r="AL71" s="1219"/>
      <c r="AM71" s="1219"/>
      <c r="AN71" s="1219"/>
      <c r="AO71" s="1219"/>
      <c r="AP71" s="1219"/>
      <c r="AQ71" s="1219"/>
    </row>
    <row r="72" spans="1:43" ht="30" customHeight="1" x14ac:dyDescent="0.25">
      <c r="A72" s="3">
        <f t="shared" si="0"/>
        <v>60</v>
      </c>
      <c r="B72" s="540" t="s">
        <v>162</v>
      </c>
      <c r="C72" s="540"/>
      <c r="D72" s="540"/>
      <c r="E72" s="1264"/>
      <c r="F72" s="1264"/>
      <c r="G72" s="1264"/>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0"/>
      <c r="AL72" s="540"/>
      <c r="AM72" s="540"/>
      <c r="AN72" s="540"/>
      <c r="AO72" s="540"/>
      <c r="AP72" s="540"/>
      <c r="AQ72" s="540"/>
    </row>
    <row r="73" spans="1:43" ht="30" customHeight="1" x14ac:dyDescent="0.25">
      <c r="A73" s="3">
        <f>ROW(A61)</f>
        <v>61</v>
      </c>
      <c r="B73" s="1219" t="s">
        <v>162</v>
      </c>
      <c r="C73" s="1219"/>
      <c r="D73" s="1219"/>
      <c r="E73" s="1263"/>
      <c r="F73" s="1263"/>
      <c r="G73" s="1263"/>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c r="AL73" s="1219"/>
      <c r="AM73" s="1219"/>
      <c r="AN73" s="1219"/>
      <c r="AO73" s="1219"/>
      <c r="AP73" s="1219"/>
      <c r="AQ73" s="1219"/>
    </row>
    <row r="74" spans="1:43" ht="30" customHeight="1" x14ac:dyDescent="0.25">
      <c r="A74" s="3">
        <f t="shared" si="0"/>
        <v>62</v>
      </c>
      <c r="B74" s="540" t="s">
        <v>162</v>
      </c>
      <c r="C74" s="540"/>
      <c r="D74" s="540"/>
      <c r="E74" s="1264"/>
      <c r="F74" s="1264"/>
      <c r="G74" s="1264"/>
      <c r="H74" s="540"/>
      <c r="I74" s="540"/>
      <c r="J74" s="540"/>
      <c r="K74" s="540"/>
      <c r="L74" s="540"/>
      <c r="M74" s="540"/>
      <c r="N74" s="540"/>
      <c r="O74" s="540"/>
      <c r="P74" s="540"/>
      <c r="Q74" s="540"/>
      <c r="R74" s="540"/>
      <c r="S74" s="540"/>
      <c r="T74" s="540"/>
      <c r="U74" s="540"/>
      <c r="V74" s="540"/>
      <c r="W74" s="540"/>
      <c r="X74" s="540"/>
      <c r="Y74" s="540"/>
      <c r="Z74" s="540"/>
      <c r="AA74" s="540"/>
      <c r="AB74" s="540"/>
      <c r="AC74" s="540"/>
      <c r="AD74" s="540"/>
      <c r="AE74" s="540"/>
      <c r="AF74" s="540"/>
      <c r="AG74" s="540"/>
      <c r="AH74" s="540"/>
      <c r="AI74" s="540"/>
      <c r="AJ74" s="540"/>
      <c r="AK74" s="540"/>
      <c r="AL74" s="540"/>
      <c r="AM74" s="540"/>
      <c r="AN74" s="540"/>
      <c r="AO74" s="540"/>
      <c r="AP74" s="540"/>
      <c r="AQ74" s="540"/>
    </row>
    <row r="75" spans="1:43" ht="30" customHeight="1" x14ac:dyDescent="0.25">
      <c r="A75" s="3">
        <f t="shared" si="0"/>
        <v>63</v>
      </c>
      <c r="B75" s="1219" t="s">
        <v>162</v>
      </c>
      <c r="C75" s="1219"/>
      <c r="D75" s="1219"/>
      <c r="E75" s="1263"/>
      <c r="F75" s="1263"/>
      <c r="G75" s="1263"/>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c r="AL75" s="1219"/>
      <c r="AM75" s="1219"/>
      <c r="AN75" s="1219"/>
      <c r="AO75" s="1219"/>
      <c r="AP75" s="1219"/>
      <c r="AQ75" s="1219"/>
    </row>
    <row r="76" spans="1:43" ht="30" customHeight="1" x14ac:dyDescent="0.25">
      <c r="A76" s="3">
        <f t="shared" si="0"/>
        <v>64</v>
      </c>
      <c r="B76" s="540" t="s">
        <v>162</v>
      </c>
      <c r="C76" s="540"/>
      <c r="D76" s="540"/>
      <c r="E76" s="1264"/>
      <c r="F76" s="1264"/>
      <c r="G76" s="1264"/>
      <c r="H76" s="540"/>
      <c r="I76" s="540"/>
      <c r="J76" s="540"/>
      <c r="K76" s="540"/>
      <c r="L76" s="540"/>
      <c r="M76" s="540"/>
      <c r="N76" s="540"/>
      <c r="O76" s="540"/>
      <c r="P76" s="540"/>
      <c r="Q76" s="540"/>
      <c r="R76" s="540"/>
      <c r="S76" s="540"/>
      <c r="T76" s="540"/>
      <c r="U76" s="540"/>
      <c r="V76" s="540"/>
      <c r="W76" s="540"/>
      <c r="X76" s="540"/>
      <c r="Y76" s="540"/>
      <c r="Z76" s="540"/>
      <c r="AA76" s="540"/>
      <c r="AB76" s="540"/>
      <c r="AC76" s="540"/>
      <c r="AD76" s="540"/>
      <c r="AE76" s="540"/>
      <c r="AF76" s="540"/>
      <c r="AG76" s="540"/>
      <c r="AH76" s="540"/>
      <c r="AI76" s="540"/>
      <c r="AJ76" s="540"/>
      <c r="AK76" s="540"/>
      <c r="AL76" s="540"/>
      <c r="AM76" s="540"/>
      <c r="AN76" s="540"/>
      <c r="AO76" s="540"/>
      <c r="AP76" s="540"/>
      <c r="AQ76" s="540"/>
    </row>
    <row r="77" spans="1:43" ht="30" customHeight="1" x14ac:dyDescent="0.25">
      <c r="A77" s="3">
        <f t="shared" si="0"/>
        <v>65</v>
      </c>
      <c r="B77" s="1219" t="s">
        <v>162</v>
      </c>
      <c r="C77" s="1219"/>
      <c r="D77" s="1219"/>
      <c r="E77" s="1263"/>
      <c r="F77" s="1263"/>
      <c r="G77" s="1263"/>
      <c r="H77" s="1219"/>
      <c r="I77" s="1219"/>
      <c r="J77" s="1219"/>
      <c r="K77" s="1219"/>
      <c r="L77" s="1219"/>
      <c r="M77" s="1219"/>
      <c r="N77" s="1219"/>
      <c r="O77" s="1219"/>
      <c r="P77" s="1219"/>
      <c r="Q77" s="1219"/>
      <c r="R77" s="1219"/>
      <c r="S77" s="1219"/>
      <c r="T77" s="1219"/>
      <c r="U77" s="1219"/>
      <c r="V77" s="1219"/>
      <c r="W77" s="1219"/>
      <c r="X77" s="1219"/>
      <c r="Y77" s="1219"/>
      <c r="Z77" s="1219"/>
      <c r="AA77" s="1219"/>
      <c r="AB77" s="1219"/>
      <c r="AC77" s="1219"/>
      <c r="AD77" s="1219"/>
      <c r="AE77" s="1219"/>
      <c r="AF77" s="1219"/>
      <c r="AG77" s="1219"/>
      <c r="AH77" s="1219"/>
      <c r="AI77" s="1219"/>
      <c r="AJ77" s="1219"/>
      <c r="AK77" s="1219"/>
      <c r="AL77" s="1219"/>
      <c r="AM77" s="1219"/>
      <c r="AN77" s="1219"/>
      <c r="AO77" s="1219"/>
      <c r="AP77" s="1219"/>
      <c r="AQ77" s="1219"/>
    </row>
    <row r="78" spans="1:43" ht="30" customHeight="1" x14ac:dyDescent="0.25">
      <c r="A78" s="3">
        <f t="shared" ref="A78:A82" si="1">ROW(A66)</f>
        <v>66</v>
      </c>
      <c r="B78" s="540" t="s">
        <v>162</v>
      </c>
      <c r="C78" s="540"/>
      <c r="D78" s="540"/>
      <c r="E78" s="1264"/>
      <c r="F78" s="1264"/>
      <c r="G78" s="1264"/>
      <c r="H78" s="540"/>
      <c r="I78" s="540"/>
      <c r="J78" s="540"/>
      <c r="K78" s="540"/>
      <c r="L78" s="540"/>
      <c r="M78" s="540"/>
      <c r="N78" s="540"/>
      <c r="O78" s="540"/>
      <c r="P78" s="540"/>
      <c r="Q78" s="540"/>
      <c r="R78" s="540"/>
      <c r="S78" s="540"/>
      <c r="T78" s="540"/>
      <c r="U78" s="540"/>
      <c r="V78" s="540"/>
      <c r="W78" s="540"/>
      <c r="X78" s="540"/>
      <c r="Y78" s="540"/>
      <c r="Z78" s="540"/>
      <c r="AA78" s="540"/>
      <c r="AB78" s="540"/>
      <c r="AC78" s="540"/>
      <c r="AD78" s="540"/>
      <c r="AE78" s="540"/>
      <c r="AF78" s="540"/>
      <c r="AG78" s="540"/>
      <c r="AH78" s="540"/>
      <c r="AI78" s="540"/>
      <c r="AJ78" s="540"/>
      <c r="AK78" s="540"/>
      <c r="AL78" s="540"/>
      <c r="AM78" s="540"/>
      <c r="AN78" s="540"/>
      <c r="AO78" s="540"/>
      <c r="AP78" s="540"/>
      <c r="AQ78" s="540"/>
    </row>
    <row r="79" spans="1:43" ht="30" customHeight="1" x14ac:dyDescent="0.25">
      <c r="A79" s="3">
        <f t="shared" si="1"/>
        <v>67</v>
      </c>
      <c r="B79" s="1219" t="s">
        <v>162</v>
      </c>
      <c r="C79" s="1219"/>
      <c r="D79" s="1219"/>
      <c r="E79" s="1263"/>
      <c r="F79" s="1263"/>
      <c r="G79" s="1263"/>
      <c r="H79" s="1219"/>
      <c r="I79" s="1219"/>
      <c r="J79" s="1219"/>
      <c r="K79" s="1219"/>
      <c r="L79" s="1219"/>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19"/>
      <c r="AI79" s="1219"/>
      <c r="AJ79" s="1219"/>
      <c r="AK79" s="1219"/>
      <c r="AL79" s="1219"/>
      <c r="AM79" s="1219"/>
      <c r="AN79" s="1219"/>
      <c r="AO79" s="1219"/>
      <c r="AP79" s="1219"/>
      <c r="AQ79" s="1219"/>
    </row>
    <row r="80" spans="1:43" ht="30" customHeight="1" x14ac:dyDescent="0.25">
      <c r="A80" s="3">
        <f t="shared" si="1"/>
        <v>68</v>
      </c>
      <c r="B80" s="540" t="s">
        <v>162</v>
      </c>
      <c r="C80" s="540"/>
      <c r="D80" s="540"/>
      <c r="E80" s="1264"/>
      <c r="F80" s="1264"/>
      <c r="G80" s="1264"/>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0"/>
      <c r="AL80" s="540"/>
      <c r="AM80" s="540"/>
      <c r="AN80" s="540"/>
      <c r="AO80" s="540"/>
      <c r="AP80" s="540"/>
      <c r="AQ80" s="540"/>
    </row>
    <row r="81" spans="1:43" ht="30" customHeight="1" x14ac:dyDescent="0.25">
      <c r="A81" s="3">
        <f t="shared" si="1"/>
        <v>69</v>
      </c>
      <c r="B81" s="1219" t="s">
        <v>162</v>
      </c>
      <c r="C81" s="1219"/>
      <c r="D81" s="1219"/>
      <c r="E81" s="1263"/>
      <c r="F81" s="1263"/>
      <c r="G81" s="1263"/>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row>
    <row r="82" spans="1:43" ht="30" customHeight="1" x14ac:dyDescent="0.25">
      <c r="A82" s="3">
        <f t="shared" si="1"/>
        <v>70</v>
      </c>
      <c r="B82" s="540" t="s">
        <v>162</v>
      </c>
      <c r="C82" s="540"/>
      <c r="D82" s="540"/>
      <c r="E82" s="1264"/>
      <c r="F82" s="1264"/>
      <c r="G82" s="1264"/>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0"/>
      <c r="AL82" s="540"/>
      <c r="AM82" s="540"/>
      <c r="AN82" s="540"/>
      <c r="AO82" s="540"/>
      <c r="AP82" s="540"/>
      <c r="AQ82" s="540"/>
    </row>
    <row r="83" spans="1:43" ht="30" customHeight="1" x14ac:dyDescent="0.25">
      <c r="A83" s="3">
        <f>ROW(A71)</f>
        <v>71</v>
      </c>
      <c r="B83" s="1219" t="s">
        <v>162</v>
      </c>
      <c r="C83" s="1219"/>
      <c r="D83" s="1219"/>
      <c r="E83" s="1263"/>
      <c r="F83" s="1263"/>
      <c r="G83" s="1263"/>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c r="AL83" s="1219"/>
      <c r="AM83" s="1219"/>
      <c r="AN83" s="1219"/>
      <c r="AO83" s="1219"/>
      <c r="AP83" s="1219"/>
      <c r="AQ83" s="1219"/>
    </row>
    <row r="84" spans="1:43" ht="30" customHeight="1" x14ac:dyDescent="0.25">
      <c r="A84" s="3">
        <f t="shared" ref="A84:A92" si="2">ROW(A72)</f>
        <v>72</v>
      </c>
      <c r="B84" s="540" t="s">
        <v>162</v>
      </c>
      <c r="C84" s="540"/>
      <c r="D84" s="540"/>
      <c r="E84" s="1264"/>
      <c r="F84" s="1264"/>
      <c r="G84" s="1264"/>
      <c r="H84" s="540"/>
      <c r="I84" s="540"/>
      <c r="J84" s="540"/>
      <c r="K84" s="540"/>
      <c r="L84" s="540"/>
      <c r="M84" s="540"/>
      <c r="N84" s="540"/>
      <c r="O84" s="540"/>
      <c r="P84" s="540"/>
      <c r="Q84" s="540"/>
      <c r="R84" s="540"/>
      <c r="S84" s="540"/>
      <c r="T84" s="540"/>
      <c r="U84" s="540"/>
      <c r="V84" s="540"/>
      <c r="W84" s="540"/>
      <c r="X84" s="540"/>
      <c r="Y84" s="540"/>
      <c r="Z84" s="540"/>
      <c r="AA84" s="540"/>
      <c r="AB84" s="540"/>
      <c r="AC84" s="540"/>
      <c r="AD84" s="540"/>
      <c r="AE84" s="540"/>
      <c r="AF84" s="540"/>
      <c r="AG84" s="540"/>
      <c r="AH84" s="540"/>
      <c r="AI84" s="540"/>
      <c r="AJ84" s="540"/>
      <c r="AK84" s="540"/>
      <c r="AL84" s="540"/>
      <c r="AM84" s="540"/>
      <c r="AN84" s="540"/>
      <c r="AO84" s="540"/>
      <c r="AP84" s="540"/>
      <c r="AQ84" s="540"/>
    </row>
    <row r="85" spans="1:43" ht="30" customHeight="1" x14ac:dyDescent="0.25">
      <c r="A85" s="3">
        <f t="shared" si="2"/>
        <v>73</v>
      </c>
      <c r="B85" s="1219" t="s">
        <v>162</v>
      </c>
      <c r="C85" s="1219"/>
      <c r="D85" s="1219"/>
      <c r="E85" s="1263"/>
      <c r="F85" s="1263"/>
      <c r="G85" s="1263"/>
      <c r="H85" s="1219"/>
      <c r="I85" s="1219"/>
      <c r="J85" s="1219"/>
      <c r="K85" s="1219"/>
      <c r="L85" s="1219"/>
      <c r="M85" s="1219"/>
      <c r="N85" s="1219"/>
      <c r="O85" s="1219"/>
      <c r="P85" s="1219"/>
      <c r="Q85" s="1219"/>
      <c r="R85" s="1219"/>
      <c r="S85" s="1219"/>
      <c r="T85" s="1219"/>
      <c r="U85" s="1219"/>
      <c r="V85" s="1219"/>
      <c r="W85" s="1219"/>
      <c r="X85" s="1219"/>
      <c r="Y85" s="1219"/>
      <c r="Z85" s="1219"/>
      <c r="AA85" s="1219"/>
      <c r="AB85" s="1219"/>
      <c r="AC85" s="1219"/>
      <c r="AD85" s="1219"/>
      <c r="AE85" s="1219"/>
      <c r="AF85" s="1219"/>
      <c r="AG85" s="1219"/>
      <c r="AH85" s="1219"/>
      <c r="AI85" s="1219"/>
      <c r="AJ85" s="1219"/>
      <c r="AK85" s="1219"/>
      <c r="AL85" s="1219"/>
      <c r="AM85" s="1219"/>
      <c r="AN85" s="1219"/>
      <c r="AO85" s="1219"/>
      <c r="AP85" s="1219"/>
      <c r="AQ85" s="1219"/>
    </row>
    <row r="86" spans="1:43" ht="30" customHeight="1" x14ac:dyDescent="0.25">
      <c r="A86" s="3">
        <f t="shared" si="2"/>
        <v>74</v>
      </c>
      <c r="B86" s="540" t="s">
        <v>162</v>
      </c>
      <c r="C86" s="540"/>
      <c r="D86" s="540"/>
      <c r="E86" s="1264"/>
      <c r="F86" s="1264"/>
      <c r="G86" s="1264"/>
      <c r="H86" s="540"/>
      <c r="I86" s="540"/>
      <c r="J86" s="540"/>
      <c r="K86" s="540"/>
      <c r="L86" s="540"/>
      <c r="M86" s="540"/>
      <c r="N86" s="540"/>
      <c r="O86" s="540"/>
      <c r="P86" s="540"/>
      <c r="Q86" s="540"/>
      <c r="R86" s="540"/>
      <c r="S86" s="540"/>
      <c r="T86" s="540"/>
      <c r="U86" s="540"/>
      <c r="V86" s="540"/>
      <c r="W86" s="540"/>
      <c r="X86" s="540"/>
      <c r="Y86" s="540"/>
      <c r="Z86" s="540"/>
      <c r="AA86" s="540"/>
      <c r="AB86" s="540"/>
      <c r="AC86" s="540"/>
      <c r="AD86" s="540"/>
      <c r="AE86" s="540"/>
      <c r="AF86" s="540"/>
      <c r="AG86" s="540"/>
      <c r="AH86" s="540"/>
      <c r="AI86" s="540"/>
      <c r="AJ86" s="540"/>
      <c r="AK86" s="540"/>
      <c r="AL86" s="540"/>
      <c r="AM86" s="540"/>
      <c r="AN86" s="540"/>
      <c r="AO86" s="540"/>
      <c r="AP86" s="540"/>
      <c r="AQ86" s="540"/>
    </row>
    <row r="87" spans="1:43" ht="30" customHeight="1" x14ac:dyDescent="0.25">
      <c r="A87" s="3">
        <f t="shared" si="2"/>
        <v>75</v>
      </c>
      <c r="B87" s="1219" t="s">
        <v>162</v>
      </c>
      <c r="C87" s="1219"/>
      <c r="D87" s="1219"/>
      <c r="E87" s="1263"/>
      <c r="F87" s="1263"/>
      <c r="G87" s="1263"/>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c r="AL87" s="1219"/>
      <c r="AM87" s="1219"/>
      <c r="AN87" s="1219"/>
      <c r="AO87" s="1219"/>
      <c r="AP87" s="1219"/>
      <c r="AQ87" s="1219"/>
    </row>
    <row r="88" spans="1:43" ht="30" customHeight="1" x14ac:dyDescent="0.25">
      <c r="A88" s="3">
        <f t="shared" si="2"/>
        <v>76</v>
      </c>
      <c r="B88" s="540" t="s">
        <v>162</v>
      </c>
      <c r="C88" s="540"/>
      <c r="D88" s="540"/>
      <c r="E88" s="1264"/>
      <c r="F88" s="1264"/>
      <c r="G88" s="1264"/>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0"/>
      <c r="AF88" s="540"/>
      <c r="AG88" s="540"/>
      <c r="AH88" s="540"/>
      <c r="AI88" s="540"/>
      <c r="AJ88" s="540"/>
      <c r="AK88" s="540"/>
      <c r="AL88" s="540"/>
      <c r="AM88" s="540"/>
      <c r="AN88" s="540"/>
      <c r="AO88" s="540"/>
      <c r="AP88" s="540"/>
      <c r="AQ88" s="540"/>
    </row>
    <row r="89" spans="1:43" ht="30" customHeight="1" x14ac:dyDescent="0.25">
      <c r="A89" s="3">
        <f t="shared" si="2"/>
        <v>77</v>
      </c>
      <c r="B89" s="1219" t="s">
        <v>162</v>
      </c>
      <c r="C89" s="1219"/>
      <c r="D89" s="1219"/>
      <c r="E89" s="1263"/>
      <c r="F89" s="1263"/>
      <c r="G89" s="1263"/>
      <c r="H89" s="1219"/>
      <c r="I89" s="1219"/>
      <c r="J89" s="1219"/>
      <c r="K89" s="1219"/>
      <c r="L89" s="1219"/>
      <c r="M89" s="1219"/>
      <c r="N89" s="1219"/>
      <c r="O89" s="1219"/>
      <c r="P89" s="1219"/>
      <c r="Q89" s="1219"/>
      <c r="R89" s="1219"/>
      <c r="S89" s="1219"/>
      <c r="T89" s="1219"/>
      <c r="U89" s="1219"/>
      <c r="V89" s="1219"/>
      <c r="W89" s="1219"/>
      <c r="X89" s="1219"/>
      <c r="Y89" s="1219"/>
      <c r="Z89" s="1219"/>
      <c r="AA89" s="1219"/>
      <c r="AB89" s="1219"/>
      <c r="AC89" s="1219"/>
      <c r="AD89" s="1219"/>
      <c r="AE89" s="1219"/>
      <c r="AF89" s="1219"/>
      <c r="AG89" s="1219"/>
      <c r="AH89" s="1219"/>
      <c r="AI89" s="1219"/>
      <c r="AJ89" s="1219"/>
      <c r="AK89" s="1219"/>
      <c r="AL89" s="1219"/>
      <c r="AM89" s="1219"/>
      <c r="AN89" s="1219"/>
      <c r="AO89" s="1219"/>
      <c r="AP89" s="1219"/>
      <c r="AQ89" s="1219"/>
    </row>
    <row r="90" spans="1:43" ht="30" customHeight="1" x14ac:dyDescent="0.25">
      <c r="A90" s="3">
        <f t="shared" si="2"/>
        <v>78</v>
      </c>
      <c r="B90" s="540" t="s">
        <v>162</v>
      </c>
      <c r="C90" s="540"/>
      <c r="D90" s="540"/>
      <c r="E90" s="1264"/>
      <c r="F90" s="1264"/>
      <c r="G90" s="1264"/>
      <c r="H90" s="540"/>
      <c r="I90" s="540"/>
      <c r="J90" s="540"/>
      <c r="K90" s="540"/>
      <c r="L90" s="540"/>
      <c r="M90" s="540"/>
      <c r="N90" s="540"/>
      <c r="O90" s="540"/>
      <c r="P90" s="540"/>
      <c r="Q90" s="540"/>
      <c r="R90" s="540"/>
      <c r="S90" s="540"/>
      <c r="T90" s="540"/>
      <c r="U90" s="540"/>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row>
    <row r="91" spans="1:43" ht="30" customHeight="1" x14ac:dyDescent="0.25">
      <c r="A91" s="3">
        <f t="shared" si="2"/>
        <v>79</v>
      </c>
      <c r="B91" s="1219" t="s">
        <v>162</v>
      </c>
      <c r="C91" s="1219"/>
      <c r="D91" s="1219"/>
      <c r="E91" s="1263"/>
      <c r="F91" s="1263"/>
      <c r="G91" s="1263"/>
      <c r="H91" s="1219"/>
      <c r="I91" s="1219"/>
      <c r="J91" s="1219"/>
      <c r="K91" s="1219"/>
      <c r="L91" s="1219"/>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c r="AL91" s="1219"/>
      <c r="AM91" s="1219"/>
      <c r="AN91" s="1219"/>
      <c r="AO91" s="1219"/>
      <c r="AP91" s="1219"/>
      <c r="AQ91" s="1219"/>
    </row>
    <row r="92" spans="1:43" ht="30" customHeight="1" x14ac:dyDescent="0.25">
      <c r="A92" s="3">
        <f t="shared" si="2"/>
        <v>80</v>
      </c>
      <c r="B92" s="540" t="s">
        <v>162</v>
      </c>
      <c r="C92" s="540"/>
      <c r="D92" s="540"/>
      <c r="E92" s="1264"/>
      <c r="F92" s="1264"/>
      <c r="G92" s="1264"/>
      <c r="H92" s="540"/>
      <c r="I92" s="540"/>
      <c r="J92" s="540"/>
      <c r="K92" s="540"/>
      <c r="L92" s="540"/>
      <c r="M92" s="540"/>
      <c r="N92" s="540"/>
      <c r="O92" s="540"/>
      <c r="P92" s="540"/>
      <c r="Q92" s="540"/>
      <c r="R92" s="540"/>
      <c r="S92" s="540"/>
      <c r="T92" s="540"/>
      <c r="U92" s="540"/>
      <c r="V92" s="540"/>
      <c r="W92" s="540"/>
      <c r="X92" s="540"/>
      <c r="Y92" s="540"/>
      <c r="Z92" s="540"/>
      <c r="AA92" s="540"/>
      <c r="AB92" s="540"/>
      <c r="AC92" s="540"/>
      <c r="AD92" s="540"/>
      <c r="AE92" s="540"/>
      <c r="AF92" s="540"/>
      <c r="AG92" s="540"/>
      <c r="AH92" s="540"/>
      <c r="AI92" s="540"/>
      <c r="AJ92" s="540"/>
      <c r="AK92" s="540"/>
      <c r="AL92" s="540"/>
      <c r="AM92" s="540"/>
      <c r="AN92" s="540"/>
      <c r="AO92" s="540"/>
      <c r="AP92" s="540"/>
      <c r="AQ92" s="540"/>
    </row>
    <row r="93" spans="1:43" ht="30" customHeight="1" x14ac:dyDescent="0.25">
      <c r="A93" s="3">
        <f>ROW(A81)</f>
        <v>81</v>
      </c>
      <c r="B93" s="1219" t="s">
        <v>162</v>
      </c>
      <c r="C93" s="1219"/>
      <c r="D93" s="1219"/>
      <c r="E93" s="1263"/>
      <c r="F93" s="1263"/>
      <c r="G93" s="1263"/>
      <c r="H93" s="1219"/>
      <c r="I93" s="1219"/>
      <c r="J93" s="1219"/>
      <c r="K93" s="1219"/>
      <c r="L93" s="1219"/>
      <c r="M93" s="1219"/>
      <c r="N93" s="1219"/>
      <c r="O93" s="1219"/>
      <c r="P93" s="1219"/>
      <c r="Q93" s="1219"/>
      <c r="R93" s="1219"/>
      <c r="S93" s="1219"/>
      <c r="T93" s="1219"/>
      <c r="U93" s="1219"/>
      <c r="V93" s="1219"/>
      <c r="W93" s="1219"/>
      <c r="X93" s="1219"/>
      <c r="Y93" s="1219"/>
      <c r="Z93" s="1219"/>
      <c r="AA93" s="1219"/>
      <c r="AB93" s="1219"/>
      <c r="AC93" s="1219"/>
      <c r="AD93" s="1219"/>
      <c r="AE93" s="1219"/>
      <c r="AF93" s="1219"/>
      <c r="AG93" s="1219"/>
      <c r="AH93" s="1219"/>
      <c r="AI93" s="1219"/>
      <c r="AJ93" s="1219"/>
      <c r="AK93" s="1219"/>
      <c r="AL93" s="1219"/>
      <c r="AM93" s="1219"/>
      <c r="AN93" s="1219"/>
      <c r="AO93" s="1219"/>
      <c r="AP93" s="1219"/>
      <c r="AQ93" s="1219"/>
    </row>
    <row r="94" spans="1:43" ht="30" customHeight="1" x14ac:dyDescent="0.25">
      <c r="A94" s="3">
        <f t="shared" ref="A94:A102" si="3">ROW(A82)</f>
        <v>82</v>
      </c>
      <c r="B94" s="540" t="s">
        <v>162</v>
      </c>
      <c r="C94" s="540"/>
      <c r="D94" s="540"/>
      <c r="E94" s="1264"/>
      <c r="F94" s="1264"/>
      <c r="G94" s="1264"/>
      <c r="H94" s="540"/>
      <c r="I94" s="540"/>
      <c r="J94" s="540"/>
      <c r="K94" s="540"/>
      <c r="L94" s="540"/>
      <c r="M94" s="540"/>
      <c r="N94" s="540"/>
      <c r="O94" s="540"/>
      <c r="P94" s="540"/>
      <c r="Q94" s="540"/>
      <c r="R94" s="540"/>
      <c r="S94" s="540"/>
      <c r="T94" s="540"/>
      <c r="U94" s="540"/>
      <c r="V94" s="540"/>
      <c r="W94" s="540"/>
      <c r="X94" s="540"/>
      <c r="Y94" s="540"/>
      <c r="Z94" s="540"/>
      <c r="AA94" s="540"/>
      <c r="AB94" s="540"/>
      <c r="AC94" s="540"/>
      <c r="AD94" s="540"/>
      <c r="AE94" s="540"/>
      <c r="AF94" s="540"/>
      <c r="AG94" s="540"/>
      <c r="AH94" s="540"/>
      <c r="AI94" s="540"/>
      <c r="AJ94" s="540"/>
      <c r="AK94" s="540"/>
      <c r="AL94" s="540"/>
      <c r="AM94" s="540"/>
      <c r="AN94" s="540"/>
      <c r="AO94" s="540"/>
      <c r="AP94" s="540"/>
      <c r="AQ94" s="540"/>
    </row>
    <row r="95" spans="1:43" ht="30" customHeight="1" x14ac:dyDescent="0.25">
      <c r="A95" s="3">
        <f t="shared" si="3"/>
        <v>83</v>
      </c>
      <c r="B95" s="1219" t="s">
        <v>162</v>
      </c>
      <c r="C95" s="1219"/>
      <c r="D95" s="1219"/>
      <c r="E95" s="1263"/>
      <c r="F95" s="1263"/>
      <c r="G95" s="1263"/>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c r="AL95" s="1219"/>
      <c r="AM95" s="1219"/>
      <c r="AN95" s="1219"/>
      <c r="AO95" s="1219"/>
      <c r="AP95" s="1219"/>
      <c r="AQ95" s="1219"/>
    </row>
    <row r="96" spans="1:43" ht="30" customHeight="1" x14ac:dyDescent="0.25">
      <c r="A96" s="3">
        <f t="shared" si="3"/>
        <v>84</v>
      </c>
      <c r="B96" s="540" t="s">
        <v>162</v>
      </c>
      <c r="C96" s="540"/>
      <c r="D96" s="540"/>
      <c r="E96" s="1264"/>
      <c r="F96" s="1264"/>
      <c r="G96" s="1264"/>
      <c r="H96" s="540"/>
      <c r="I96" s="540"/>
      <c r="J96" s="540"/>
      <c r="K96" s="540"/>
      <c r="L96" s="540"/>
      <c r="M96" s="540"/>
      <c r="N96" s="540"/>
      <c r="O96" s="540"/>
      <c r="P96" s="540"/>
      <c r="Q96" s="540"/>
      <c r="R96" s="540"/>
      <c r="S96" s="540"/>
      <c r="T96" s="540"/>
      <c r="U96" s="540"/>
      <c r="V96" s="540"/>
      <c r="W96" s="540"/>
      <c r="X96" s="540"/>
      <c r="Y96" s="540"/>
      <c r="Z96" s="540"/>
      <c r="AA96" s="540"/>
      <c r="AB96" s="540"/>
      <c r="AC96" s="540"/>
      <c r="AD96" s="540"/>
      <c r="AE96" s="540"/>
      <c r="AF96" s="540"/>
      <c r="AG96" s="540"/>
      <c r="AH96" s="540"/>
      <c r="AI96" s="540"/>
      <c r="AJ96" s="540"/>
      <c r="AK96" s="540"/>
      <c r="AL96" s="540"/>
      <c r="AM96" s="540"/>
      <c r="AN96" s="540"/>
      <c r="AO96" s="540"/>
      <c r="AP96" s="540"/>
      <c r="AQ96" s="540"/>
    </row>
    <row r="97" spans="1:43" ht="30" customHeight="1" x14ac:dyDescent="0.25">
      <c r="A97" s="3">
        <f t="shared" si="3"/>
        <v>85</v>
      </c>
      <c r="B97" s="1219" t="s">
        <v>162</v>
      </c>
      <c r="C97" s="1219"/>
      <c r="D97" s="1219"/>
      <c r="E97" s="1263"/>
      <c r="F97" s="1263"/>
      <c r="G97" s="1263"/>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c r="AL97" s="1219"/>
      <c r="AM97" s="1219"/>
      <c r="AN97" s="1219"/>
      <c r="AO97" s="1219"/>
      <c r="AP97" s="1219"/>
      <c r="AQ97" s="1219"/>
    </row>
    <row r="98" spans="1:43" ht="30" customHeight="1" x14ac:dyDescent="0.25">
      <c r="A98" s="3">
        <f t="shared" si="3"/>
        <v>86</v>
      </c>
      <c r="B98" s="540" t="s">
        <v>162</v>
      </c>
      <c r="C98" s="540"/>
      <c r="D98" s="540"/>
      <c r="E98" s="1264"/>
      <c r="F98" s="1264"/>
      <c r="G98" s="1264"/>
      <c r="H98" s="540"/>
      <c r="I98" s="540"/>
      <c r="J98" s="540"/>
      <c r="K98" s="540"/>
      <c r="L98" s="540"/>
      <c r="M98" s="540"/>
      <c r="N98" s="540"/>
      <c r="O98" s="540"/>
      <c r="P98" s="540"/>
      <c r="Q98" s="540"/>
      <c r="R98" s="540"/>
      <c r="S98" s="540"/>
      <c r="T98" s="540"/>
      <c r="U98" s="540"/>
      <c r="V98" s="540"/>
      <c r="W98" s="540"/>
      <c r="X98" s="540"/>
      <c r="Y98" s="540"/>
      <c r="Z98" s="540"/>
      <c r="AA98" s="540"/>
      <c r="AB98" s="540"/>
      <c r="AC98" s="540"/>
      <c r="AD98" s="540"/>
      <c r="AE98" s="540"/>
      <c r="AF98" s="540"/>
      <c r="AG98" s="540"/>
      <c r="AH98" s="540"/>
      <c r="AI98" s="540"/>
      <c r="AJ98" s="540"/>
      <c r="AK98" s="540"/>
      <c r="AL98" s="540"/>
      <c r="AM98" s="540"/>
      <c r="AN98" s="540"/>
      <c r="AO98" s="540"/>
      <c r="AP98" s="540"/>
      <c r="AQ98" s="540"/>
    </row>
    <row r="99" spans="1:43" ht="30" customHeight="1" x14ac:dyDescent="0.25">
      <c r="A99" s="3">
        <f t="shared" si="3"/>
        <v>87</v>
      </c>
      <c r="B99" s="1219" t="s">
        <v>162</v>
      </c>
      <c r="C99" s="1219"/>
      <c r="D99" s="1219"/>
      <c r="E99" s="1263"/>
      <c r="F99" s="1263"/>
      <c r="G99" s="1263"/>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c r="AL99" s="1219"/>
      <c r="AM99" s="1219"/>
      <c r="AN99" s="1219"/>
      <c r="AO99" s="1219"/>
      <c r="AP99" s="1219"/>
      <c r="AQ99" s="1219"/>
    </row>
    <row r="100" spans="1:43" ht="30" customHeight="1" x14ac:dyDescent="0.25">
      <c r="A100" s="3">
        <f t="shared" si="3"/>
        <v>88</v>
      </c>
      <c r="B100" s="540" t="s">
        <v>162</v>
      </c>
      <c r="C100" s="540"/>
      <c r="D100" s="540"/>
      <c r="E100" s="1264"/>
      <c r="F100" s="1264"/>
      <c r="G100" s="1264"/>
      <c r="H100" s="540"/>
      <c r="I100" s="540"/>
      <c r="J100" s="540"/>
      <c r="K100" s="540"/>
      <c r="L100" s="540"/>
      <c r="M100" s="540"/>
      <c r="N100" s="540"/>
      <c r="O100" s="540"/>
      <c r="P100" s="540"/>
      <c r="Q100" s="540"/>
      <c r="R100" s="540"/>
      <c r="S100" s="540"/>
      <c r="T100" s="540"/>
      <c r="U100" s="540"/>
      <c r="V100" s="540"/>
      <c r="W100" s="540"/>
      <c r="X100" s="540"/>
      <c r="Y100" s="540"/>
      <c r="Z100" s="540"/>
      <c r="AA100" s="540"/>
      <c r="AB100" s="540"/>
      <c r="AC100" s="540"/>
      <c r="AD100" s="540"/>
      <c r="AE100" s="540"/>
      <c r="AF100" s="540"/>
      <c r="AG100" s="540"/>
      <c r="AH100" s="540"/>
      <c r="AI100" s="540"/>
      <c r="AJ100" s="540"/>
      <c r="AK100" s="540"/>
      <c r="AL100" s="540"/>
      <c r="AM100" s="540"/>
      <c r="AN100" s="540"/>
      <c r="AO100" s="540"/>
      <c r="AP100" s="540"/>
      <c r="AQ100" s="540"/>
    </row>
    <row r="101" spans="1:43" ht="30" customHeight="1" x14ac:dyDescent="0.25">
      <c r="A101" s="3">
        <f t="shared" si="3"/>
        <v>89</v>
      </c>
      <c r="B101" s="1219" t="s">
        <v>162</v>
      </c>
      <c r="C101" s="1219"/>
      <c r="D101" s="1219"/>
      <c r="E101" s="1263"/>
      <c r="F101" s="1263"/>
      <c r="G101" s="1263"/>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c r="AL101" s="1219"/>
      <c r="AM101" s="1219"/>
      <c r="AN101" s="1219"/>
      <c r="AO101" s="1219"/>
      <c r="AP101" s="1219"/>
      <c r="AQ101" s="1219"/>
    </row>
    <row r="102" spans="1:43" ht="30" customHeight="1" x14ac:dyDescent="0.25">
      <c r="A102" s="3">
        <f t="shared" si="3"/>
        <v>90</v>
      </c>
      <c r="B102" s="540" t="s">
        <v>162</v>
      </c>
      <c r="C102" s="540"/>
      <c r="D102" s="540"/>
      <c r="E102" s="1264"/>
      <c r="F102" s="1264"/>
      <c r="G102" s="1264"/>
      <c r="H102" s="540"/>
      <c r="I102" s="540"/>
      <c r="J102" s="540"/>
      <c r="K102" s="540"/>
      <c r="L102" s="540"/>
      <c r="M102" s="540"/>
      <c r="N102" s="540"/>
      <c r="O102" s="540"/>
      <c r="P102" s="540"/>
      <c r="Q102" s="540"/>
      <c r="R102" s="540"/>
      <c r="S102" s="540"/>
      <c r="T102" s="540"/>
      <c r="U102" s="540"/>
      <c r="V102" s="540"/>
      <c r="W102" s="540"/>
      <c r="X102" s="540"/>
      <c r="Y102" s="540"/>
      <c r="Z102" s="540"/>
      <c r="AA102" s="540"/>
      <c r="AB102" s="540"/>
      <c r="AC102" s="540"/>
      <c r="AD102" s="540"/>
      <c r="AE102" s="540"/>
      <c r="AF102" s="540"/>
      <c r="AG102" s="540"/>
      <c r="AH102" s="540"/>
      <c r="AI102" s="540"/>
      <c r="AJ102" s="540"/>
      <c r="AK102" s="540"/>
      <c r="AL102" s="540"/>
      <c r="AM102" s="540"/>
      <c r="AN102" s="540"/>
      <c r="AO102" s="540"/>
      <c r="AP102" s="540"/>
      <c r="AQ102" s="540"/>
    </row>
    <row r="103" spans="1:43" ht="30" customHeight="1" x14ac:dyDescent="0.25">
      <c r="A103" s="3">
        <f>ROW(A91)</f>
        <v>91</v>
      </c>
      <c r="B103" s="1219" t="s">
        <v>162</v>
      </c>
      <c r="C103" s="1219"/>
      <c r="D103" s="1219"/>
      <c r="E103" s="1263"/>
      <c r="F103" s="1263"/>
      <c r="G103" s="1263"/>
      <c r="H103" s="1219"/>
      <c r="I103" s="1219"/>
      <c r="J103" s="1219"/>
      <c r="K103" s="1219"/>
      <c r="L103" s="1219"/>
      <c r="M103" s="1219"/>
      <c r="N103" s="1219"/>
      <c r="O103" s="1219"/>
      <c r="P103" s="1219"/>
      <c r="Q103" s="1219"/>
      <c r="R103" s="1219"/>
      <c r="S103" s="1219"/>
      <c r="T103" s="1219"/>
      <c r="U103" s="1219"/>
      <c r="V103" s="1219"/>
      <c r="W103" s="1219"/>
      <c r="X103" s="1219"/>
      <c r="Y103" s="1219"/>
      <c r="Z103" s="1219"/>
      <c r="AA103" s="1219"/>
      <c r="AB103" s="1219"/>
      <c r="AC103" s="1219"/>
      <c r="AD103" s="1219"/>
      <c r="AE103" s="1219"/>
      <c r="AF103" s="1219"/>
      <c r="AG103" s="1219"/>
      <c r="AH103" s="1219"/>
      <c r="AI103" s="1219"/>
      <c r="AJ103" s="1219"/>
      <c r="AK103" s="1219"/>
      <c r="AL103" s="1219"/>
      <c r="AM103" s="1219"/>
      <c r="AN103" s="1219"/>
      <c r="AO103" s="1219"/>
      <c r="AP103" s="1219"/>
      <c r="AQ103" s="1219"/>
    </row>
    <row r="104" spans="1:43" ht="30" customHeight="1" x14ac:dyDescent="0.25">
      <c r="A104" s="3">
        <f t="shared" ref="A104:A112" si="4">ROW(A92)</f>
        <v>92</v>
      </c>
      <c r="B104" s="540" t="s">
        <v>162</v>
      </c>
      <c r="C104" s="540"/>
      <c r="D104" s="540"/>
      <c r="E104" s="1264"/>
      <c r="F104" s="1264"/>
      <c r="G104" s="1264"/>
      <c r="H104" s="540"/>
      <c r="I104" s="540"/>
      <c r="J104" s="540"/>
      <c r="K104" s="540"/>
      <c r="L104" s="540"/>
      <c r="M104" s="540"/>
      <c r="N104" s="540"/>
      <c r="O104" s="540"/>
      <c r="P104" s="540"/>
      <c r="Q104" s="540"/>
      <c r="R104" s="540"/>
      <c r="S104" s="540"/>
      <c r="T104" s="540"/>
      <c r="U104" s="540"/>
      <c r="V104" s="540"/>
      <c r="W104" s="540"/>
      <c r="X104" s="540"/>
      <c r="Y104" s="540"/>
      <c r="Z104" s="540"/>
      <c r="AA104" s="540"/>
      <c r="AB104" s="540"/>
      <c r="AC104" s="540"/>
      <c r="AD104" s="540"/>
      <c r="AE104" s="540"/>
      <c r="AF104" s="540"/>
      <c r="AG104" s="540"/>
      <c r="AH104" s="540"/>
      <c r="AI104" s="540"/>
      <c r="AJ104" s="540"/>
      <c r="AK104" s="540"/>
      <c r="AL104" s="540"/>
      <c r="AM104" s="540"/>
      <c r="AN104" s="540"/>
      <c r="AO104" s="540"/>
      <c r="AP104" s="540"/>
      <c r="AQ104" s="540"/>
    </row>
    <row r="105" spans="1:43" ht="30" customHeight="1" x14ac:dyDescent="0.25">
      <c r="A105" s="3">
        <f t="shared" si="4"/>
        <v>93</v>
      </c>
      <c r="B105" s="1219" t="s">
        <v>162</v>
      </c>
      <c r="C105" s="1219"/>
      <c r="D105" s="1219"/>
      <c r="E105" s="1263"/>
      <c r="F105" s="1263"/>
      <c r="G105" s="1263"/>
      <c r="H105" s="1219"/>
      <c r="I105" s="1219"/>
      <c r="J105" s="1219"/>
      <c r="K105" s="1219"/>
      <c r="L105" s="1219"/>
      <c r="M105" s="1219"/>
      <c r="N105" s="1219"/>
      <c r="O105" s="1219"/>
      <c r="P105" s="1219"/>
      <c r="Q105" s="1219"/>
      <c r="R105" s="1219"/>
      <c r="S105" s="1219"/>
      <c r="T105" s="1219"/>
      <c r="U105" s="1219"/>
      <c r="V105" s="1219"/>
      <c r="W105" s="1219"/>
      <c r="X105" s="1219"/>
      <c r="Y105" s="1219"/>
      <c r="Z105" s="1219"/>
      <c r="AA105" s="1219"/>
      <c r="AB105" s="1219"/>
      <c r="AC105" s="1219"/>
      <c r="AD105" s="1219"/>
      <c r="AE105" s="1219"/>
      <c r="AF105" s="1219"/>
      <c r="AG105" s="1219"/>
      <c r="AH105" s="1219"/>
      <c r="AI105" s="1219"/>
      <c r="AJ105" s="1219"/>
      <c r="AK105" s="1219"/>
      <c r="AL105" s="1219"/>
      <c r="AM105" s="1219"/>
      <c r="AN105" s="1219"/>
      <c r="AO105" s="1219"/>
      <c r="AP105" s="1219"/>
      <c r="AQ105" s="1219"/>
    </row>
    <row r="106" spans="1:43" ht="30" customHeight="1" x14ac:dyDescent="0.25">
      <c r="A106" s="3">
        <f t="shared" si="4"/>
        <v>94</v>
      </c>
      <c r="B106" s="540" t="s">
        <v>162</v>
      </c>
      <c r="C106" s="540"/>
      <c r="D106" s="540"/>
      <c r="E106" s="1264"/>
      <c r="F106" s="1264"/>
      <c r="G106" s="1264"/>
      <c r="H106" s="540"/>
      <c r="I106" s="540"/>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0"/>
      <c r="AH106" s="540"/>
      <c r="AI106" s="540"/>
      <c r="AJ106" s="540"/>
      <c r="AK106" s="540"/>
      <c r="AL106" s="540"/>
      <c r="AM106" s="540"/>
      <c r="AN106" s="540"/>
      <c r="AO106" s="540"/>
      <c r="AP106" s="540"/>
      <c r="AQ106" s="540"/>
    </row>
    <row r="107" spans="1:43" ht="30" customHeight="1" x14ac:dyDescent="0.25">
      <c r="A107" s="3">
        <f t="shared" si="4"/>
        <v>95</v>
      </c>
      <c r="B107" s="1219" t="s">
        <v>162</v>
      </c>
      <c r="C107" s="1219"/>
      <c r="D107" s="1219"/>
      <c r="E107" s="1263"/>
      <c r="F107" s="1263"/>
      <c r="G107" s="1263"/>
      <c r="H107" s="1219"/>
      <c r="I107" s="1219"/>
      <c r="J107" s="1219"/>
      <c r="K107" s="1219"/>
      <c r="L107" s="1219"/>
      <c r="M107" s="1219"/>
      <c r="N107" s="1219"/>
      <c r="O107" s="1219"/>
      <c r="P107" s="1219"/>
      <c r="Q107" s="1219"/>
      <c r="R107" s="1219"/>
      <c r="S107" s="1219"/>
      <c r="T107" s="1219"/>
      <c r="U107" s="1219"/>
      <c r="V107" s="1219"/>
      <c r="W107" s="1219"/>
      <c r="X107" s="1219"/>
      <c r="Y107" s="1219"/>
      <c r="Z107" s="1219"/>
      <c r="AA107" s="1219"/>
      <c r="AB107" s="1219"/>
      <c r="AC107" s="1219"/>
      <c r="AD107" s="1219"/>
      <c r="AE107" s="1219"/>
      <c r="AF107" s="1219"/>
      <c r="AG107" s="1219"/>
      <c r="AH107" s="1219"/>
      <c r="AI107" s="1219"/>
      <c r="AJ107" s="1219"/>
      <c r="AK107" s="1219"/>
      <c r="AL107" s="1219"/>
      <c r="AM107" s="1219"/>
      <c r="AN107" s="1219"/>
      <c r="AO107" s="1219"/>
      <c r="AP107" s="1219"/>
      <c r="AQ107" s="1219"/>
    </row>
    <row r="108" spans="1:43" ht="30" customHeight="1" x14ac:dyDescent="0.25">
      <c r="A108" s="3">
        <f t="shared" si="4"/>
        <v>96</v>
      </c>
      <c r="B108" s="540" t="s">
        <v>162</v>
      </c>
      <c r="C108" s="540"/>
      <c r="D108" s="540"/>
      <c r="E108" s="1264"/>
      <c r="F108" s="1264"/>
      <c r="G108" s="1264"/>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0"/>
      <c r="AF108" s="540"/>
      <c r="AG108" s="540"/>
      <c r="AH108" s="540"/>
      <c r="AI108" s="540"/>
      <c r="AJ108" s="540"/>
      <c r="AK108" s="540"/>
      <c r="AL108" s="540"/>
      <c r="AM108" s="540"/>
      <c r="AN108" s="540"/>
      <c r="AO108" s="540"/>
      <c r="AP108" s="540"/>
      <c r="AQ108" s="540"/>
    </row>
    <row r="109" spans="1:43" ht="30" customHeight="1" x14ac:dyDescent="0.25">
      <c r="A109" s="3">
        <f t="shared" si="4"/>
        <v>97</v>
      </c>
      <c r="B109" s="1219" t="s">
        <v>162</v>
      </c>
      <c r="C109" s="1219"/>
      <c r="D109" s="1219"/>
      <c r="E109" s="1263"/>
      <c r="F109" s="1263"/>
      <c r="G109" s="1263"/>
      <c r="H109" s="1219"/>
      <c r="I109" s="1219"/>
      <c r="J109" s="1219"/>
      <c r="K109" s="1219"/>
      <c r="L109" s="1219"/>
      <c r="M109" s="1219"/>
      <c r="N109" s="1219"/>
      <c r="O109" s="1219"/>
      <c r="P109" s="1219"/>
      <c r="Q109" s="1219"/>
      <c r="R109" s="1219"/>
      <c r="S109" s="1219"/>
      <c r="T109" s="1219"/>
      <c r="U109" s="1219"/>
      <c r="V109" s="1219"/>
      <c r="W109" s="1219"/>
      <c r="X109" s="1219"/>
      <c r="Y109" s="1219"/>
      <c r="Z109" s="1219"/>
      <c r="AA109" s="1219"/>
      <c r="AB109" s="1219"/>
      <c r="AC109" s="1219"/>
      <c r="AD109" s="1219"/>
      <c r="AE109" s="1219"/>
      <c r="AF109" s="1219"/>
      <c r="AG109" s="1219"/>
      <c r="AH109" s="1219"/>
      <c r="AI109" s="1219"/>
      <c r="AJ109" s="1219"/>
      <c r="AK109" s="1219"/>
      <c r="AL109" s="1219"/>
      <c r="AM109" s="1219"/>
      <c r="AN109" s="1219"/>
      <c r="AO109" s="1219"/>
      <c r="AP109" s="1219"/>
      <c r="AQ109" s="1219"/>
    </row>
    <row r="110" spans="1:43" ht="30" customHeight="1" x14ac:dyDescent="0.25">
      <c r="A110" s="3">
        <f t="shared" si="4"/>
        <v>98</v>
      </c>
      <c r="B110" s="540" t="s">
        <v>162</v>
      </c>
      <c r="C110" s="540"/>
      <c r="D110" s="540"/>
      <c r="E110" s="1264"/>
      <c r="F110" s="1264"/>
      <c r="G110" s="1264"/>
      <c r="H110" s="540"/>
      <c r="I110" s="540"/>
      <c r="J110" s="540"/>
      <c r="K110" s="540"/>
      <c r="L110" s="540"/>
      <c r="M110" s="540"/>
      <c r="N110" s="540"/>
      <c r="O110" s="540"/>
      <c r="P110" s="540"/>
      <c r="Q110" s="540"/>
      <c r="R110" s="540"/>
      <c r="S110" s="540"/>
      <c r="T110" s="540"/>
      <c r="U110" s="540"/>
      <c r="V110" s="540"/>
      <c r="W110" s="540"/>
      <c r="X110" s="540"/>
      <c r="Y110" s="540"/>
      <c r="Z110" s="540"/>
      <c r="AA110" s="540"/>
      <c r="AB110" s="540"/>
      <c r="AC110" s="540"/>
      <c r="AD110" s="540"/>
      <c r="AE110" s="540"/>
      <c r="AF110" s="540"/>
      <c r="AG110" s="540"/>
      <c r="AH110" s="540"/>
      <c r="AI110" s="540"/>
      <c r="AJ110" s="540"/>
      <c r="AK110" s="540"/>
      <c r="AL110" s="540"/>
      <c r="AM110" s="540"/>
      <c r="AN110" s="540"/>
      <c r="AO110" s="540"/>
      <c r="AP110" s="540"/>
      <c r="AQ110" s="540"/>
    </row>
    <row r="111" spans="1:43" ht="30" customHeight="1" x14ac:dyDescent="0.25">
      <c r="A111" s="3">
        <f t="shared" si="4"/>
        <v>99</v>
      </c>
      <c r="B111" s="1219" t="s">
        <v>162</v>
      </c>
      <c r="C111" s="1219"/>
      <c r="D111" s="1219"/>
      <c r="E111" s="1263"/>
      <c r="F111" s="1263"/>
      <c r="G111" s="1263"/>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19"/>
      <c r="AL111" s="1219"/>
      <c r="AM111" s="1219"/>
      <c r="AN111" s="1219"/>
      <c r="AO111" s="1219"/>
      <c r="AP111" s="1219"/>
      <c r="AQ111" s="1219"/>
    </row>
    <row r="112" spans="1:43" ht="30" customHeight="1" x14ac:dyDescent="0.25">
      <c r="A112" s="3">
        <f t="shared" si="4"/>
        <v>100</v>
      </c>
      <c r="B112" s="540" t="s">
        <v>162</v>
      </c>
      <c r="C112" s="540"/>
      <c r="D112" s="540"/>
      <c r="E112" s="1264"/>
      <c r="F112" s="1264"/>
      <c r="G112" s="1264"/>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540"/>
      <c r="AF112" s="540"/>
      <c r="AG112" s="540"/>
      <c r="AH112" s="540"/>
      <c r="AI112" s="540"/>
      <c r="AJ112" s="540"/>
      <c r="AK112" s="540"/>
      <c r="AL112" s="540"/>
      <c r="AM112" s="540"/>
      <c r="AN112" s="540"/>
      <c r="AO112" s="540"/>
      <c r="AP112" s="540"/>
      <c r="AQ112" s="540"/>
    </row>
    <row r="113" spans="1:43" ht="30" customHeight="1" x14ac:dyDescent="0.25">
      <c r="A113" s="3">
        <f>ROW(A101)</f>
        <v>101</v>
      </c>
      <c r="B113" s="1219" t="s">
        <v>162</v>
      </c>
      <c r="C113" s="1219"/>
      <c r="D113" s="1219"/>
      <c r="E113" s="1263"/>
      <c r="F113" s="1263"/>
      <c r="G113" s="1263"/>
      <c r="H113" s="1219"/>
      <c r="I113" s="1219"/>
      <c r="J113" s="1219"/>
      <c r="K113" s="1219"/>
      <c r="L113" s="1219"/>
      <c r="M113" s="1219"/>
      <c r="N113" s="1219"/>
      <c r="O113" s="1219"/>
      <c r="P113" s="1219"/>
      <c r="Q113" s="1219"/>
      <c r="R113" s="1219"/>
      <c r="S113" s="1219"/>
      <c r="T113" s="1219"/>
      <c r="U113" s="1219"/>
      <c r="V113" s="1219"/>
      <c r="W113" s="1219"/>
      <c r="X113" s="1219"/>
      <c r="Y113" s="1219"/>
      <c r="Z113" s="1219"/>
      <c r="AA113" s="1219"/>
      <c r="AB113" s="1219"/>
      <c r="AC113" s="1219"/>
      <c r="AD113" s="1219"/>
      <c r="AE113" s="1219"/>
      <c r="AF113" s="1219"/>
      <c r="AG113" s="1219"/>
      <c r="AH113" s="1219"/>
      <c r="AI113" s="1219"/>
      <c r="AJ113" s="1219"/>
      <c r="AK113" s="1219"/>
      <c r="AL113" s="1219"/>
      <c r="AM113" s="1219"/>
      <c r="AN113" s="1219"/>
      <c r="AO113" s="1219"/>
      <c r="AP113" s="1219"/>
      <c r="AQ113" s="1219"/>
    </row>
    <row r="114" spans="1:43" ht="30" customHeight="1" x14ac:dyDescent="0.25">
      <c r="A114" s="3">
        <f t="shared" ref="A114:A177" si="5">ROW(A102)</f>
        <v>102</v>
      </c>
      <c r="B114" s="540" t="s">
        <v>162</v>
      </c>
      <c r="C114" s="540"/>
      <c r="D114" s="540"/>
      <c r="E114" s="1264"/>
      <c r="F114" s="1264"/>
      <c r="G114" s="1264"/>
      <c r="H114" s="540"/>
      <c r="I114" s="540"/>
      <c r="J114" s="540"/>
      <c r="K114" s="540"/>
      <c r="L114" s="540"/>
      <c r="M114" s="540"/>
      <c r="N114" s="540"/>
      <c r="O114" s="540"/>
      <c r="P114" s="540"/>
      <c r="Q114" s="540"/>
      <c r="R114" s="540"/>
      <c r="S114" s="540"/>
      <c r="T114" s="540"/>
      <c r="U114" s="540"/>
      <c r="V114" s="540"/>
      <c r="W114" s="540"/>
      <c r="X114" s="540"/>
      <c r="Y114" s="540"/>
      <c r="Z114" s="540"/>
      <c r="AA114" s="540"/>
      <c r="AB114" s="540"/>
      <c r="AC114" s="540"/>
      <c r="AD114" s="540"/>
      <c r="AE114" s="540"/>
      <c r="AF114" s="540"/>
      <c r="AG114" s="540"/>
      <c r="AH114" s="540"/>
      <c r="AI114" s="540"/>
      <c r="AJ114" s="540"/>
      <c r="AK114" s="540"/>
      <c r="AL114" s="540"/>
      <c r="AM114" s="540"/>
      <c r="AN114" s="540"/>
      <c r="AO114" s="540"/>
      <c r="AP114" s="540"/>
      <c r="AQ114" s="540"/>
    </row>
    <row r="115" spans="1:43" ht="30" customHeight="1" x14ac:dyDescent="0.25">
      <c r="A115" s="3">
        <f t="shared" si="5"/>
        <v>103</v>
      </c>
      <c r="B115" s="1219" t="s">
        <v>162</v>
      </c>
      <c r="C115" s="1219"/>
      <c r="D115" s="1219"/>
      <c r="E115" s="1263"/>
      <c r="F115" s="1263"/>
      <c r="G115" s="1263"/>
      <c r="H115" s="1219"/>
      <c r="I115" s="1219"/>
      <c r="J115" s="1219"/>
      <c r="K115" s="1219"/>
      <c r="L115" s="1219"/>
      <c r="M115" s="1219"/>
      <c r="N115" s="1219"/>
      <c r="O115" s="1219"/>
      <c r="P115" s="1219"/>
      <c r="Q115" s="1219"/>
      <c r="R115" s="1219"/>
      <c r="S115" s="1219"/>
      <c r="T115" s="1219"/>
      <c r="U115" s="1219"/>
      <c r="V115" s="1219"/>
      <c r="W115" s="1219"/>
      <c r="X115" s="1219"/>
      <c r="Y115" s="1219"/>
      <c r="Z115" s="1219"/>
      <c r="AA115" s="1219"/>
      <c r="AB115" s="1219"/>
      <c r="AC115" s="1219"/>
      <c r="AD115" s="1219"/>
      <c r="AE115" s="1219"/>
      <c r="AF115" s="1219"/>
      <c r="AG115" s="1219"/>
      <c r="AH115" s="1219"/>
      <c r="AI115" s="1219"/>
      <c r="AJ115" s="1219"/>
      <c r="AK115" s="1219"/>
      <c r="AL115" s="1219"/>
      <c r="AM115" s="1219"/>
      <c r="AN115" s="1219"/>
      <c r="AO115" s="1219"/>
      <c r="AP115" s="1219"/>
      <c r="AQ115" s="1219"/>
    </row>
    <row r="116" spans="1:43" ht="30" customHeight="1" x14ac:dyDescent="0.25">
      <c r="A116" s="3">
        <f t="shared" si="5"/>
        <v>104</v>
      </c>
      <c r="B116" s="540" t="s">
        <v>162</v>
      </c>
      <c r="C116" s="540"/>
      <c r="D116" s="540"/>
      <c r="E116" s="1264"/>
      <c r="F116" s="1264"/>
      <c r="G116" s="1264"/>
      <c r="H116" s="540"/>
      <c r="I116" s="540"/>
      <c r="J116" s="540"/>
      <c r="K116" s="540"/>
      <c r="L116" s="540"/>
      <c r="M116" s="540"/>
      <c r="N116" s="540"/>
      <c r="O116" s="540"/>
      <c r="P116" s="540"/>
      <c r="Q116" s="540"/>
      <c r="R116" s="540"/>
      <c r="S116" s="540"/>
      <c r="T116" s="540"/>
      <c r="U116" s="540"/>
      <c r="V116" s="540"/>
      <c r="W116" s="540"/>
      <c r="X116" s="540"/>
      <c r="Y116" s="540"/>
      <c r="Z116" s="540"/>
      <c r="AA116" s="540"/>
      <c r="AB116" s="540"/>
      <c r="AC116" s="540"/>
      <c r="AD116" s="540"/>
      <c r="AE116" s="540"/>
      <c r="AF116" s="540"/>
      <c r="AG116" s="540"/>
      <c r="AH116" s="540"/>
      <c r="AI116" s="540"/>
      <c r="AJ116" s="540"/>
      <c r="AK116" s="540"/>
      <c r="AL116" s="540"/>
      <c r="AM116" s="540"/>
      <c r="AN116" s="540"/>
      <c r="AO116" s="540"/>
      <c r="AP116" s="540"/>
      <c r="AQ116" s="540"/>
    </row>
    <row r="117" spans="1:43" ht="30" customHeight="1" x14ac:dyDescent="0.25">
      <c r="A117" s="3">
        <f t="shared" si="5"/>
        <v>105</v>
      </c>
      <c r="B117" s="1219" t="s">
        <v>162</v>
      </c>
      <c r="C117" s="1219"/>
      <c r="D117" s="1219"/>
      <c r="E117" s="1263"/>
      <c r="F117" s="1263"/>
      <c r="G117" s="1263"/>
      <c r="H117" s="1219"/>
      <c r="I117" s="1219"/>
      <c r="J117" s="1219"/>
      <c r="K117" s="1219"/>
      <c r="L117" s="1219"/>
      <c r="M117" s="1219"/>
      <c r="N117" s="1219"/>
      <c r="O117" s="1219"/>
      <c r="P117" s="1219"/>
      <c r="Q117" s="1219"/>
      <c r="R117" s="1219"/>
      <c r="S117" s="1219"/>
      <c r="T117" s="1219"/>
      <c r="U117" s="1219"/>
      <c r="V117" s="1219"/>
      <c r="W117" s="1219"/>
      <c r="X117" s="1219"/>
      <c r="Y117" s="1219"/>
      <c r="Z117" s="1219"/>
      <c r="AA117" s="1219"/>
      <c r="AB117" s="1219"/>
      <c r="AC117" s="1219"/>
      <c r="AD117" s="1219"/>
      <c r="AE117" s="1219"/>
      <c r="AF117" s="1219"/>
      <c r="AG117" s="1219"/>
      <c r="AH117" s="1219"/>
      <c r="AI117" s="1219"/>
      <c r="AJ117" s="1219"/>
      <c r="AK117" s="1219"/>
      <c r="AL117" s="1219"/>
      <c r="AM117" s="1219"/>
      <c r="AN117" s="1219"/>
      <c r="AO117" s="1219"/>
      <c r="AP117" s="1219"/>
      <c r="AQ117" s="1219"/>
    </row>
    <row r="118" spans="1:43" ht="30" customHeight="1" x14ac:dyDescent="0.25">
      <c r="A118" s="3">
        <f t="shared" si="5"/>
        <v>106</v>
      </c>
      <c r="B118" s="540" t="s">
        <v>162</v>
      </c>
      <c r="C118" s="540"/>
      <c r="D118" s="540"/>
      <c r="E118" s="1264"/>
      <c r="F118" s="1264"/>
      <c r="G118" s="1264"/>
      <c r="H118" s="540"/>
      <c r="I118" s="540"/>
      <c r="J118" s="540"/>
      <c r="K118" s="540"/>
      <c r="L118" s="540"/>
      <c r="M118" s="540"/>
      <c r="N118" s="540"/>
      <c r="O118" s="540"/>
      <c r="P118" s="540"/>
      <c r="Q118" s="540"/>
      <c r="R118" s="540"/>
      <c r="S118" s="540"/>
      <c r="T118" s="540"/>
      <c r="U118" s="540"/>
      <c r="V118" s="540"/>
      <c r="W118" s="540"/>
      <c r="X118" s="540"/>
      <c r="Y118" s="540"/>
      <c r="Z118" s="540"/>
      <c r="AA118" s="540"/>
      <c r="AB118" s="540"/>
      <c r="AC118" s="540"/>
      <c r="AD118" s="540"/>
      <c r="AE118" s="540"/>
      <c r="AF118" s="540"/>
      <c r="AG118" s="540"/>
      <c r="AH118" s="540"/>
      <c r="AI118" s="540"/>
      <c r="AJ118" s="540"/>
      <c r="AK118" s="540"/>
      <c r="AL118" s="540"/>
      <c r="AM118" s="540"/>
      <c r="AN118" s="540"/>
      <c r="AO118" s="540"/>
      <c r="AP118" s="540"/>
      <c r="AQ118" s="540"/>
    </row>
    <row r="119" spans="1:43" ht="30" customHeight="1" x14ac:dyDescent="0.25">
      <c r="A119" s="3">
        <f t="shared" si="5"/>
        <v>107</v>
      </c>
      <c r="B119" s="1219" t="s">
        <v>162</v>
      </c>
      <c r="C119" s="1219"/>
      <c r="D119" s="1219"/>
      <c r="E119" s="1263"/>
      <c r="F119" s="1263"/>
      <c r="G119" s="1263"/>
      <c r="H119" s="1219"/>
      <c r="I119" s="1219"/>
      <c r="J119" s="1219"/>
      <c r="K119" s="1219"/>
      <c r="L119" s="1219"/>
      <c r="M119" s="1219"/>
      <c r="N119" s="1219"/>
      <c r="O119" s="1219"/>
      <c r="P119" s="1219"/>
      <c r="Q119" s="1219"/>
      <c r="R119" s="1219"/>
      <c r="S119" s="1219"/>
      <c r="T119" s="1219"/>
      <c r="U119" s="1219"/>
      <c r="V119" s="1219"/>
      <c r="W119" s="1219"/>
      <c r="X119" s="1219"/>
      <c r="Y119" s="1219"/>
      <c r="Z119" s="1219"/>
      <c r="AA119" s="1219"/>
      <c r="AB119" s="1219"/>
      <c r="AC119" s="1219"/>
      <c r="AD119" s="1219"/>
      <c r="AE119" s="1219"/>
      <c r="AF119" s="1219"/>
      <c r="AG119" s="1219"/>
      <c r="AH119" s="1219"/>
      <c r="AI119" s="1219"/>
      <c r="AJ119" s="1219"/>
      <c r="AK119" s="1219"/>
      <c r="AL119" s="1219"/>
      <c r="AM119" s="1219"/>
      <c r="AN119" s="1219"/>
      <c r="AO119" s="1219"/>
      <c r="AP119" s="1219"/>
      <c r="AQ119" s="1219"/>
    </row>
    <row r="120" spans="1:43" ht="30" customHeight="1" x14ac:dyDescent="0.25">
      <c r="A120" s="3">
        <f t="shared" si="5"/>
        <v>108</v>
      </c>
      <c r="B120" s="540" t="s">
        <v>162</v>
      </c>
      <c r="C120" s="540"/>
      <c r="D120" s="540"/>
      <c r="E120" s="1264"/>
      <c r="F120" s="1264"/>
      <c r="G120" s="1264"/>
      <c r="H120" s="540"/>
      <c r="I120" s="540"/>
      <c r="J120" s="540"/>
      <c r="K120" s="540"/>
      <c r="L120" s="540"/>
      <c r="M120" s="540"/>
      <c r="N120" s="540"/>
      <c r="O120" s="540"/>
      <c r="P120" s="540"/>
      <c r="Q120" s="540"/>
      <c r="R120" s="540"/>
      <c r="S120" s="540"/>
      <c r="T120" s="540"/>
      <c r="U120" s="540"/>
      <c r="V120" s="540"/>
      <c r="W120" s="540"/>
      <c r="X120" s="540"/>
      <c r="Y120" s="540"/>
      <c r="Z120" s="540"/>
      <c r="AA120" s="540"/>
      <c r="AB120" s="540"/>
      <c r="AC120" s="540"/>
      <c r="AD120" s="540"/>
      <c r="AE120" s="540"/>
      <c r="AF120" s="540"/>
      <c r="AG120" s="540"/>
      <c r="AH120" s="540"/>
      <c r="AI120" s="540"/>
      <c r="AJ120" s="540"/>
      <c r="AK120" s="540"/>
      <c r="AL120" s="540"/>
      <c r="AM120" s="540"/>
      <c r="AN120" s="540"/>
      <c r="AO120" s="540"/>
      <c r="AP120" s="540"/>
      <c r="AQ120" s="540"/>
    </row>
    <row r="121" spans="1:43" ht="30" customHeight="1" x14ac:dyDescent="0.25">
      <c r="A121" s="3">
        <f t="shared" si="5"/>
        <v>109</v>
      </c>
      <c r="B121" s="1219" t="s">
        <v>162</v>
      </c>
      <c r="C121" s="1219"/>
      <c r="D121" s="1219"/>
      <c r="E121" s="1263"/>
      <c r="F121" s="1263"/>
      <c r="G121" s="1263"/>
      <c r="H121" s="1219"/>
      <c r="I121" s="1219"/>
      <c r="J121" s="1219"/>
      <c r="K121" s="1219"/>
      <c r="L121" s="1219"/>
      <c r="M121" s="1219"/>
      <c r="N121" s="1219"/>
      <c r="O121" s="1219"/>
      <c r="P121" s="1219"/>
      <c r="Q121" s="1219"/>
      <c r="R121" s="1219"/>
      <c r="S121" s="1219"/>
      <c r="T121" s="1219"/>
      <c r="U121" s="1219"/>
      <c r="V121" s="1219"/>
      <c r="W121" s="1219"/>
      <c r="X121" s="1219"/>
      <c r="Y121" s="1219"/>
      <c r="Z121" s="1219"/>
      <c r="AA121" s="1219"/>
      <c r="AB121" s="1219"/>
      <c r="AC121" s="1219"/>
      <c r="AD121" s="1219"/>
      <c r="AE121" s="1219"/>
      <c r="AF121" s="1219"/>
      <c r="AG121" s="1219"/>
      <c r="AH121" s="1219"/>
      <c r="AI121" s="1219"/>
      <c r="AJ121" s="1219"/>
      <c r="AK121" s="1219"/>
      <c r="AL121" s="1219"/>
      <c r="AM121" s="1219"/>
      <c r="AN121" s="1219"/>
      <c r="AO121" s="1219"/>
      <c r="AP121" s="1219"/>
      <c r="AQ121" s="1219"/>
    </row>
    <row r="122" spans="1:43" ht="30" customHeight="1" x14ac:dyDescent="0.25">
      <c r="A122" s="3">
        <f t="shared" si="5"/>
        <v>110</v>
      </c>
      <c r="B122" s="540" t="s">
        <v>162</v>
      </c>
      <c r="C122" s="540"/>
      <c r="D122" s="540"/>
      <c r="E122" s="1264"/>
      <c r="F122" s="1264"/>
      <c r="G122" s="1264"/>
      <c r="H122" s="540"/>
      <c r="I122" s="540"/>
      <c r="J122" s="540"/>
      <c r="K122" s="540"/>
      <c r="L122" s="540"/>
      <c r="M122" s="540"/>
      <c r="N122" s="540"/>
      <c r="O122" s="540"/>
      <c r="P122" s="540"/>
      <c r="Q122" s="540"/>
      <c r="R122" s="540"/>
      <c r="S122" s="540"/>
      <c r="T122" s="540"/>
      <c r="U122" s="540"/>
      <c r="V122" s="540"/>
      <c r="W122" s="540"/>
      <c r="X122" s="540"/>
      <c r="Y122" s="540"/>
      <c r="Z122" s="540"/>
      <c r="AA122" s="540"/>
      <c r="AB122" s="540"/>
      <c r="AC122" s="540"/>
      <c r="AD122" s="540"/>
      <c r="AE122" s="540"/>
      <c r="AF122" s="540"/>
      <c r="AG122" s="540"/>
      <c r="AH122" s="540"/>
      <c r="AI122" s="540"/>
      <c r="AJ122" s="540"/>
      <c r="AK122" s="540"/>
      <c r="AL122" s="540"/>
      <c r="AM122" s="540"/>
      <c r="AN122" s="540"/>
      <c r="AO122" s="540"/>
      <c r="AP122" s="540"/>
      <c r="AQ122" s="540"/>
    </row>
    <row r="123" spans="1:43" ht="30" customHeight="1" x14ac:dyDescent="0.25">
      <c r="A123" s="3">
        <f>ROW(A111)</f>
        <v>111</v>
      </c>
      <c r="B123" s="1219" t="s">
        <v>162</v>
      </c>
      <c r="C123" s="1219"/>
      <c r="D123" s="1219"/>
      <c r="E123" s="1263"/>
      <c r="F123" s="1263"/>
      <c r="G123" s="1263"/>
      <c r="H123" s="1219"/>
      <c r="I123" s="1219"/>
      <c r="J123" s="1219"/>
      <c r="K123" s="1219"/>
      <c r="L123" s="1219"/>
      <c r="M123" s="1219"/>
      <c r="N123" s="1219"/>
      <c r="O123" s="1219"/>
      <c r="P123" s="1219"/>
      <c r="Q123" s="1219"/>
      <c r="R123" s="1219"/>
      <c r="S123" s="1219"/>
      <c r="T123" s="1219"/>
      <c r="U123" s="1219"/>
      <c r="V123" s="1219"/>
      <c r="W123" s="1219"/>
      <c r="X123" s="1219"/>
      <c r="Y123" s="1219"/>
      <c r="Z123" s="1219"/>
      <c r="AA123" s="1219"/>
      <c r="AB123" s="1219"/>
      <c r="AC123" s="1219"/>
      <c r="AD123" s="1219"/>
      <c r="AE123" s="1219"/>
      <c r="AF123" s="1219"/>
      <c r="AG123" s="1219"/>
      <c r="AH123" s="1219"/>
      <c r="AI123" s="1219"/>
      <c r="AJ123" s="1219"/>
      <c r="AK123" s="1219"/>
      <c r="AL123" s="1219"/>
      <c r="AM123" s="1219"/>
      <c r="AN123" s="1219"/>
      <c r="AO123" s="1219"/>
      <c r="AP123" s="1219"/>
      <c r="AQ123" s="1219"/>
    </row>
    <row r="124" spans="1:43" ht="30" customHeight="1" x14ac:dyDescent="0.25">
      <c r="A124" s="3">
        <f t="shared" si="5"/>
        <v>112</v>
      </c>
      <c r="B124" s="540" t="s">
        <v>162</v>
      </c>
      <c r="C124" s="540"/>
      <c r="D124" s="540"/>
      <c r="E124" s="1264"/>
      <c r="F124" s="1264"/>
      <c r="G124" s="1264"/>
      <c r="H124" s="540"/>
      <c r="I124" s="540"/>
      <c r="J124" s="540"/>
      <c r="K124" s="540"/>
      <c r="L124" s="540"/>
      <c r="M124" s="540"/>
      <c r="N124" s="540"/>
      <c r="O124" s="540"/>
      <c r="P124" s="540"/>
      <c r="Q124" s="540"/>
      <c r="R124" s="540"/>
      <c r="S124" s="540"/>
      <c r="T124" s="540"/>
      <c r="U124" s="540"/>
      <c r="V124" s="540"/>
      <c r="W124" s="540"/>
      <c r="X124" s="540"/>
      <c r="Y124" s="540"/>
      <c r="Z124" s="540"/>
      <c r="AA124" s="540"/>
      <c r="AB124" s="540"/>
      <c r="AC124" s="540"/>
      <c r="AD124" s="540"/>
      <c r="AE124" s="540"/>
      <c r="AF124" s="540"/>
      <c r="AG124" s="540"/>
      <c r="AH124" s="540"/>
      <c r="AI124" s="540"/>
      <c r="AJ124" s="540"/>
      <c r="AK124" s="540"/>
      <c r="AL124" s="540"/>
      <c r="AM124" s="540"/>
      <c r="AN124" s="540"/>
      <c r="AO124" s="540"/>
      <c r="AP124" s="540"/>
      <c r="AQ124" s="540"/>
    </row>
    <row r="125" spans="1:43" ht="30" customHeight="1" x14ac:dyDescent="0.25">
      <c r="A125" s="3">
        <f t="shared" si="5"/>
        <v>113</v>
      </c>
      <c r="B125" s="1219" t="s">
        <v>162</v>
      </c>
      <c r="C125" s="1219"/>
      <c r="D125" s="1219"/>
      <c r="E125" s="1263"/>
      <c r="F125" s="1263"/>
      <c r="G125" s="1263"/>
      <c r="H125" s="1219"/>
      <c r="I125" s="1219"/>
      <c r="J125" s="1219"/>
      <c r="K125" s="1219"/>
      <c r="L125" s="1219"/>
      <c r="M125" s="1219"/>
      <c r="N125" s="1219"/>
      <c r="O125" s="1219"/>
      <c r="P125" s="1219"/>
      <c r="Q125" s="1219"/>
      <c r="R125" s="1219"/>
      <c r="S125" s="1219"/>
      <c r="T125" s="1219"/>
      <c r="U125" s="1219"/>
      <c r="V125" s="1219"/>
      <c r="W125" s="1219"/>
      <c r="X125" s="1219"/>
      <c r="Y125" s="1219"/>
      <c r="Z125" s="1219"/>
      <c r="AA125" s="1219"/>
      <c r="AB125" s="1219"/>
      <c r="AC125" s="1219"/>
      <c r="AD125" s="1219"/>
      <c r="AE125" s="1219"/>
      <c r="AF125" s="1219"/>
      <c r="AG125" s="1219"/>
      <c r="AH125" s="1219"/>
      <c r="AI125" s="1219"/>
      <c r="AJ125" s="1219"/>
      <c r="AK125" s="1219"/>
      <c r="AL125" s="1219"/>
      <c r="AM125" s="1219"/>
      <c r="AN125" s="1219"/>
      <c r="AO125" s="1219"/>
      <c r="AP125" s="1219"/>
      <c r="AQ125" s="1219"/>
    </row>
    <row r="126" spans="1:43" ht="30" customHeight="1" x14ac:dyDescent="0.25">
      <c r="A126" s="3">
        <f t="shared" si="5"/>
        <v>114</v>
      </c>
      <c r="B126" s="540" t="s">
        <v>162</v>
      </c>
      <c r="C126" s="540"/>
      <c r="D126" s="540"/>
      <c r="E126" s="1264"/>
      <c r="F126" s="1264"/>
      <c r="G126" s="1264"/>
      <c r="H126" s="540"/>
      <c r="I126" s="540"/>
      <c r="J126" s="540"/>
      <c r="K126" s="540"/>
      <c r="L126" s="540"/>
      <c r="M126" s="540"/>
      <c r="N126" s="540"/>
      <c r="O126" s="540"/>
      <c r="P126" s="540"/>
      <c r="Q126" s="540"/>
      <c r="R126" s="540"/>
      <c r="S126" s="540"/>
      <c r="T126" s="540"/>
      <c r="U126" s="540"/>
      <c r="V126" s="540"/>
      <c r="W126" s="540"/>
      <c r="X126" s="540"/>
      <c r="Y126" s="540"/>
      <c r="Z126" s="540"/>
      <c r="AA126" s="540"/>
      <c r="AB126" s="540"/>
      <c r="AC126" s="540"/>
      <c r="AD126" s="540"/>
      <c r="AE126" s="540"/>
      <c r="AF126" s="540"/>
      <c r="AG126" s="540"/>
      <c r="AH126" s="540"/>
      <c r="AI126" s="540"/>
      <c r="AJ126" s="540"/>
      <c r="AK126" s="540"/>
      <c r="AL126" s="540"/>
      <c r="AM126" s="540"/>
      <c r="AN126" s="540"/>
      <c r="AO126" s="540"/>
      <c r="AP126" s="540"/>
      <c r="AQ126" s="540"/>
    </row>
    <row r="127" spans="1:43" ht="30" customHeight="1" x14ac:dyDescent="0.25">
      <c r="A127" s="3">
        <f t="shared" si="5"/>
        <v>115</v>
      </c>
      <c r="B127" s="1219" t="s">
        <v>162</v>
      </c>
      <c r="C127" s="1219"/>
      <c r="D127" s="1219"/>
      <c r="E127" s="1263"/>
      <c r="F127" s="1263"/>
      <c r="G127" s="1263"/>
      <c r="H127" s="1219"/>
      <c r="I127" s="1219"/>
      <c r="J127" s="1219"/>
      <c r="K127" s="1219"/>
      <c r="L127" s="1219"/>
      <c r="M127" s="1219"/>
      <c r="N127" s="1219"/>
      <c r="O127" s="1219"/>
      <c r="P127" s="1219"/>
      <c r="Q127" s="1219"/>
      <c r="R127" s="1219"/>
      <c r="S127" s="1219"/>
      <c r="T127" s="1219"/>
      <c r="U127" s="1219"/>
      <c r="V127" s="1219"/>
      <c r="W127" s="1219"/>
      <c r="X127" s="1219"/>
      <c r="Y127" s="1219"/>
      <c r="Z127" s="1219"/>
      <c r="AA127" s="1219"/>
      <c r="AB127" s="1219"/>
      <c r="AC127" s="1219"/>
      <c r="AD127" s="1219"/>
      <c r="AE127" s="1219"/>
      <c r="AF127" s="1219"/>
      <c r="AG127" s="1219"/>
      <c r="AH127" s="1219"/>
      <c r="AI127" s="1219"/>
      <c r="AJ127" s="1219"/>
      <c r="AK127" s="1219"/>
      <c r="AL127" s="1219"/>
      <c r="AM127" s="1219"/>
      <c r="AN127" s="1219"/>
      <c r="AO127" s="1219"/>
      <c r="AP127" s="1219"/>
      <c r="AQ127" s="1219"/>
    </row>
    <row r="128" spans="1:43" ht="30" customHeight="1" x14ac:dyDescent="0.25">
      <c r="A128" s="3">
        <f t="shared" si="5"/>
        <v>116</v>
      </c>
      <c r="B128" s="540" t="s">
        <v>162</v>
      </c>
      <c r="C128" s="540"/>
      <c r="D128" s="540"/>
      <c r="E128" s="1264"/>
      <c r="F128" s="1264"/>
      <c r="G128" s="1264"/>
      <c r="H128" s="540"/>
      <c r="I128" s="540"/>
      <c r="J128" s="540"/>
      <c r="K128" s="540"/>
      <c r="L128" s="540"/>
      <c r="M128" s="540"/>
      <c r="N128" s="540"/>
      <c r="O128" s="540"/>
      <c r="P128" s="540"/>
      <c r="Q128" s="540"/>
      <c r="R128" s="540"/>
      <c r="S128" s="540"/>
      <c r="T128" s="540"/>
      <c r="U128" s="540"/>
      <c r="V128" s="540"/>
      <c r="W128" s="540"/>
      <c r="X128" s="540"/>
      <c r="Y128" s="540"/>
      <c r="Z128" s="540"/>
      <c r="AA128" s="540"/>
      <c r="AB128" s="540"/>
      <c r="AC128" s="540"/>
      <c r="AD128" s="540"/>
      <c r="AE128" s="540"/>
      <c r="AF128" s="540"/>
      <c r="AG128" s="540"/>
      <c r="AH128" s="540"/>
      <c r="AI128" s="540"/>
      <c r="AJ128" s="540"/>
      <c r="AK128" s="540"/>
      <c r="AL128" s="540"/>
      <c r="AM128" s="540"/>
      <c r="AN128" s="540"/>
      <c r="AO128" s="540"/>
      <c r="AP128" s="540"/>
      <c r="AQ128" s="540"/>
    </row>
    <row r="129" spans="1:43" ht="30" customHeight="1" x14ac:dyDescent="0.25">
      <c r="A129" s="3">
        <f t="shared" si="5"/>
        <v>117</v>
      </c>
      <c r="B129" s="1219" t="s">
        <v>162</v>
      </c>
      <c r="C129" s="1219"/>
      <c r="D129" s="1219"/>
      <c r="E129" s="1263"/>
      <c r="F129" s="1263"/>
      <c r="G129" s="1263"/>
      <c r="H129" s="1219"/>
      <c r="I129" s="1219"/>
      <c r="J129" s="1219"/>
      <c r="K129" s="1219"/>
      <c r="L129" s="1219"/>
      <c r="M129" s="1219"/>
      <c r="N129" s="1219"/>
      <c r="O129" s="1219"/>
      <c r="P129" s="1219"/>
      <c r="Q129" s="1219"/>
      <c r="R129" s="1219"/>
      <c r="S129" s="1219"/>
      <c r="T129" s="1219"/>
      <c r="U129" s="1219"/>
      <c r="V129" s="1219"/>
      <c r="W129" s="1219"/>
      <c r="X129" s="1219"/>
      <c r="Y129" s="1219"/>
      <c r="Z129" s="1219"/>
      <c r="AA129" s="1219"/>
      <c r="AB129" s="1219"/>
      <c r="AC129" s="1219"/>
      <c r="AD129" s="1219"/>
      <c r="AE129" s="1219"/>
      <c r="AF129" s="1219"/>
      <c r="AG129" s="1219"/>
      <c r="AH129" s="1219"/>
      <c r="AI129" s="1219"/>
      <c r="AJ129" s="1219"/>
      <c r="AK129" s="1219"/>
      <c r="AL129" s="1219"/>
      <c r="AM129" s="1219"/>
      <c r="AN129" s="1219"/>
      <c r="AO129" s="1219"/>
      <c r="AP129" s="1219"/>
      <c r="AQ129" s="1219"/>
    </row>
    <row r="130" spans="1:43" ht="30" customHeight="1" x14ac:dyDescent="0.25">
      <c r="A130" s="3">
        <f t="shared" si="5"/>
        <v>118</v>
      </c>
      <c r="B130" s="540" t="s">
        <v>162</v>
      </c>
      <c r="C130" s="540"/>
      <c r="D130" s="540"/>
      <c r="E130" s="1264"/>
      <c r="F130" s="1264"/>
      <c r="G130" s="1264"/>
      <c r="H130" s="540"/>
      <c r="I130" s="540"/>
      <c r="J130" s="540"/>
      <c r="K130" s="540"/>
      <c r="L130" s="540"/>
      <c r="M130" s="540"/>
      <c r="N130" s="540"/>
      <c r="O130" s="540"/>
      <c r="P130" s="540"/>
      <c r="Q130" s="540"/>
      <c r="R130" s="540"/>
      <c r="S130" s="540"/>
      <c r="T130" s="540"/>
      <c r="U130" s="540"/>
      <c r="V130" s="540"/>
      <c r="W130" s="540"/>
      <c r="X130" s="540"/>
      <c r="Y130" s="540"/>
      <c r="Z130" s="540"/>
      <c r="AA130" s="540"/>
      <c r="AB130" s="540"/>
      <c r="AC130" s="540"/>
      <c r="AD130" s="540"/>
      <c r="AE130" s="540"/>
      <c r="AF130" s="540"/>
      <c r="AG130" s="540"/>
      <c r="AH130" s="540"/>
      <c r="AI130" s="540"/>
      <c r="AJ130" s="540"/>
      <c r="AK130" s="540"/>
      <c r="AL130" s="540"/>
      <c r="AM130" s="540"/>
      <c r="AN130" s="540"/>
      <c r="AO130" s="540"/>
      <c r="AP130" s="540"/>
      <c r="AQ130" s="540"/>
    </row>
    <row r="131" spans="1:43" ht="30" customHeight="1" x14ac:dyDescent="0.25">
      <c r="A131" s="3">
        <f t="shared" si="5"/>
        <v>119</v>
      </c>
      <c r="B131" s="1219" t="s">
        <v>162</v>
      </c>
      <c r="C131" s="1219"/>
      <c r="D131" s="1219"/>
      <c r="E131" s="1263"/>
      <c r="F131" s="1263"/>
      <c r="G131" s="1263"/>
      <c r="H131" s="1219"/>
      <c r="I131" s="1219"/>
      <c r="J131" s="1219"/>
      <c r="K131" s="1219"/>
      <c r="L131" s="1219"/>
      <c r="M131" s="1219"/>
      <c r="N131" s="1219"/>
      <c r="O131" s="1219"/>
      <c r="P131" s="1219"/>
      <c r="Q131" s="1219"/>
      <c r="R131" s="1219"/>
      <c r="S131" s="1219"/>
      <c r="T131" s="1219"/>
      <c r="U131" s="1219"/>
      <c r="V131" s="1219"/>
      <c r="W131" s="1219"/>
      <c r="X131" s="1219"/>
      <c r="Y131" s="1219"/>
      <c r="Z131" s="1219"/>
      <c r="AA131" s="1219"/>
      <c r="AB131" s="1219"/>
      <c r="AC131" s="1219"/>
      <c r="AD131" s="1219"/>
      <c r="AE131" s="1219"/>
      <c r="AF131" s="1219"/>
      <c r="AG131" s="1219"/>
      <c r="AH131" s="1219"/>
      <c r="AI131" s="1219"/>
      <c r="AJ131" s="1219"/>
      <c r="AK131" s="1219"/>
      <c r="AL131" s="1219"/>
      <c r="AM131" s="1219"/>
      <c r="AN131" s="1219"/>
      <c r="AO131" s="1219"/>
      <c r="AP131" s="1219"/>
      <c r="AQ131" s="1219"/>
    </row>
    <row r="132" spans="1:43" ht="30" customHeight="1" x14ac:dyDescent="0.25">
      <c r="A132" s="3">
        <f t="shared" si="5"/>
        <v>120</v>
      </c>
      <c r="B132" s="540" t="s">
        <v>162</v>
      </c>
      <c r="C132" s="540"/>
      <c r="D132" s="540"/>
      <c r="E132" s="1264"/>
      <c r="F132" s="1264"/>
      <c r="G132" s="1264"/>
      <c r="H132" s="540"/>
      <c r="I132" s="540"/>
      <c r="J132" s="540"/>
      <c r="K132" s="540"/>
      <c r="L132" s="540"/>
      <c r="M132" s="540"/>
      <c r="N132" s="540"/>
      <c r="O132" s="540"/>
      <c r="P132" s="540"/>
      <c r="Q132" s="540"/>
      <c r="R132" s="540"/>
      <c r="S132" s="540"/>
      <c r="T132" s="540"/>
      <c r="U132" s="540"/>
      <c r="V132" s="540"/>
      <c r="W132" s="540"/>
      <c r="X132" s="540"/>
      <c r="Y132" s="540"/>
      <c r="Z132" s="540"/>
      <c r="AA132" s="540"/>
      <c r="AB132" s="540"/>
      <c r="AC132" s="540"/>
      <c r="AD132" s="540"/>
      <c r="AE132" s="540"/>
      <c r="AF132" s="540"/>
      <c r="AG132" s="540"/>
      <c r="AH132" s="540"/>
      <c r="AI132" s="540"/>
      <c r="AJ132" s="540"/>
      <c r="AK132" s="540"/>
      <c r="AL132" s="540"/>
      <c r="AM132" s="540"/>
      <c r="AN132" s="540"/>
      <c r="AO132" s="540"/>
      <c r="AP132" s="540"/>
      <c r="AQ132" s="540"/>
    </row>
    <row r="133" spans="1:43" ht="30" customHeight="1" x14ac:dyDescent="0.25">
      <c r="A133" s="3">
        <f>ROW(A121)</f>
        <v>121</v>
      </c>
      <c r="B133" s="1219" t="s">
        <v>162</v>
      </c>
      <c r="C133" s="1219"/>
      <c r="D133" s="1219"/>
      <c r="E133" s="1263"/>
      <c r="F133" s="1263"/>
      <c r="G133" s="1263"/>
      <c r="H133" s="1219"/>
      <c r="I133" s="1219"/>
      <c r="J133" s="1219"/>
      <c r="K133" s="1219"/>
      <c r="L133" s="1219"/>
      <c r="M133" s="1219"/>
      <c r="N133" s="1219"/>
      <c r="O133" s="1219"/>
      <c r="P133" s="1219"/>
      <c r="Q133" s="1219"/>
      <c r="R133" s="1219"/>
      <c r="S133" s="1219"/>
      <c r="T133" s="1219"/>
      <c r="U133" s="1219"/>
      <c r="V133" s="1219"/>
      <c r="W133" s="1219"/>
      <c r="X133" s="1219"/>
      <c r="Y133" s="1219"/>
      <c r="Z133" s="1219"/>
      <c r="AA133" s="1219"/>
      <c r="AB133" s="1219"/>
      <c r="AC133" s="1219"/>
      <c r="AD133" s="1219"/>
      <c r="AE133" s="1219"/>
      <c r="AF133" s="1219"/>
      <c r="AG133" s="1219"/>
      <c r="AH133" s="1219"/>
      <c r="AI133" s="1219"/>
      <c r="AJ133" s="1219"/>
      <c r="AK133" s="1219"/>
      <c r="AL133" s="1219"/>
      <c r="AM133" s="1219"/>
      <c r="AN133" s="1219"/>
      <c r="AO133" s="1219"/>
      <c r="AP133" s="1219"/>
      <c r="AQ133" s="1219"/>
    </row>
    <row r="134" spans="1:43" ht="30" customHeight="1" x14ac:dyDescent="0.25">
      <c r="A134" s="3">
        <f t="shared" si="5"/>
        <v>122</v>
      </c>
      <c r="B134" s="540" t="s">
        <v>162</v>
      </c>
      <c r="C134" s="540"/>
      <c r="D134" s="540"/>
      <c r="E134" s="1264"/>
      <c r="F134" s="1264"/>
      <c r="G134" s="1264"/>
      <c r="H134" s="540"/>
      <c r="I134" s="540"/>
      <c r="J134" s="540"/>
      <c r="K134" s="540"/>
      <c r="L134" s="540"/>
      <c r="M134" s="540"/>
      <c r="N134" s="540"/>
      <c r="O134" s="540"/>
      <c r="P134" s="540"/>
      <c r="Q134" s="540"/>
      <c r="R134" s="540"/>
      <c r="S134" s="540"/>
      <c r="T134" s="540"/>
      <c r="U134" s="540"/>
      <c r="V134" s="540"/>
      <c r="W134" s="540"/>
      <c r="X134" s="540"/>
      <c r="Y134" s="540"/>
      <c r="Z134" s="540"/>
      <c r="AA134" s="540"/>
      <c r="AB134" s="540"/>
      <c r="AC134" s="540"/>
      <c r="AD134" s="540"/>
      <c r="AE134" s="540"/>
      <c r="AF134" s="540"/>
      <c r="AG134" s="540"/>
      <c r="AH134" s="540"/>
      <c r="AI134" s="540"/>
      <c r="AJ134" s="540"/>
      <c r="AK134" s="540"/>
      <c r="AL134" s="540"/>
      <c r="AM134" s="540"/>
      <c r="AN134" s="540"/>
      <c r="AO134" s="540"/>
      <c r="AP134" s="540"/>
      <c r="AQ134" s="540"/>
    </row>
    <row r="135" spans="1:43" ht="30" customHeight="1" x14ac:dyDescent="0.25">
      <c r="A135" s="3">
        <f t="shared" si="5"/>
        <v>123</v>
      </c>
      <c r="B135" s="1219" t="s">
        <v>162</v>
      </c>
      <c r="C135" s="1219"/>
      <c r="D135" s="1219"/>
      <c r="E135" s="1263"/>
      <c r="F135" s="1263"/>
      <c r="G135" s="1263"/>
      <c r="H135" s="1219"/>
      <c r="I135" s="1219"/>
      <c r="J135" s="1219"/>
      <c r="K135" s="1219"/>
      <c r="L135" s="1219"/>
      <c r="M135" s="1219"/>
      <c r="N135" s="1219"/>
      <c r="O135" s="1219"/>
      <c r="P135" s="1219"/>
      <c r="Q135" s="1219"/>
      <c r="R135" s="1219"/>
      <c r="S135" s="1219"/>
      <c r="T135" s="1219"/>
      <c r="U135" s="1219"/>
      <c r="V135" s="1219"/>
      <c r="W135" s="1219"/>
      <c r="X135" s="1219"/>
      <c r="Y135" s="1219"/>
      <c r="Z135" s="1219"/>
      <c r="AA135" s="1219"/>
      <c r="AB135" s="1219"/>
      <c r="AC135" s="1219"/>
      <c r="AD135" s="1219"/>
      <c r="AE135" s="1219"/>
      <c r="AF135" s="1219"/>
      <c r="AG135" s="1219"/>
      <c r="AH135" s="1219"/>
      <c r="AI135" s="1219"/>
      <c r="AJ135" s="1219"/>
      <c r="AK135" s="1219"/>
      <c r="AL135" s="1219"/>
      <c r="AM135" s="1219"/>
      <c r="AN135" s="1219"/>
      <c r="AO135" s="1219"/>
      <c r="AP135" s="1219"/>
      <c r="AQ135" s="1219"/>
    </row>
    <row r="136" spans="1:43" ht="30" customHeight="1" x14ac:dyDescent="0.25">
      <c r="A136" s="3">
        <f t="shared" si="5"/>
        <v>124</v>
      </c>
      <c r="B136" s="540" t="s">
        <v>162</v>
      </c>
      <c r="C136" s="540"/>
      <c r="D136" s="540"/>
      <c r="E136" s="1264"/>
      <c r="F136" s="1264"/>
      <c r="G136" s="1264"/>
      <c r="H136" s="540"/>
      <c r="I136" s="540"/>
      <c r="J136" s="540"/>
      <c r="K136" s="540"/>
      <c r="L136" s="540"/>
      <c r="M136" s="540"/>
      <c r="N136" s="540"/>
      <c r="O136" s="540"/>
      <c r="P136" s="540"/>
      <c r="Q136" s="540"/>
      <c r="R136" s="540"/>
      <c r="S136" s="540"/>
      <c r="T136" s="540"/>
      <c r="U136" s="540"/>
      <c r="V136" s="540"/>
      <c r="W136" s="540"/>
      <c r="X136" s="540"/>
      <c r="Y136" s="540"/>
      <c r="Z136" s="540"/>
      <c r="AA136" s="540"/>
      <c r="AB136" s="540"/>
      <c r="AC136" s="540"/>
      <c r="AD136" s="540"/>
      <c r="AE136" s="540"/>
      <c r="AF136" s="540"/>
      <c r="AG136" s="540"/>
      <c r="AH136" s="540"/>
      <c r="AI136" s="540"/>
      <c r="AJ136" s="540"/>
      <c r="AK136" s="540"/>
      <c r="AL136" s="540"/>
      <c r="AM136" s="540"/>
      <c r="AN136" s="540"/>
      <c r="AO136" s="540"/>
      <c r="AP136" s="540"/>
      <c r="AQ136" s="540"/>
    </row>
    <row r="137" spans="1:43" ht="30" customHeight="1" x14ac:dyDescent="0.25">
      <c r="A137" s="3">
        <f t="shared" si="5"/>
        <v>125</v>
      </c>
      <c r="B137" s="1219" t="s">
        <v>162</v>
      </c>
      <c r="C137" s="1219"/>
      <c r="D137" s="1219"/>
      <c r="E137" s="1263"/>
      <c r="F137" s="1263"/>
      <c r="G137" s="1263"/>
      <c r="H137" s="1219"/>
      <c r="I137" s="1219"/>
      <c r="J137" s="1219"/>
      <c r="K137" s="1219"/>
      <c r="L137" s="1219"/>
      <c r="M137" s="1219"/>
      <c r="N137" s="1219"/>
      <c r="O137" s="1219"/>
      <c r="P137" s="1219"/>
      <c r="Q137" s="1219"/>
      <c r="R137" s="1219"/>
      <c r="S137" s="1219"/>
      <c r="T137" s="1219"/>
      <c r="U137" s="1219"/>
      <c r="V137" s="1219"/>
      <c r="W137" s="1219"/>
      <c r="X137" s="1219"/>
      <c r="Y137" s="1219"/>
      <c r="Z137" s="1219"/>
      <c r="AA137" s="1219"/>
      <c r="AB137" s="1219"/>
      <c r="AC137" s="1219"/>
      <c r="AD137" s="1219"/>
      <c r="AE137" s="1219"/>
      <c r="AF137" s="1219"/>
      <c r="AG137" s="1219"/>
      <c r="AH137" s="1219"/>
      <c r="AI137" s="1219"/>
      <c r="AJ137" s="1219"/>
      <c r="AK137" s="1219"/>
      <c r="AL137" s="1219"/>
      <c r="AM137" s="1219"/>
      <c r="AN137" s="1219"/>
      <c r="AO137" s="1219"/>
      <c r="AP137" s="1219"/>
      <c r="AQ137" s="1219"/>
    </row>
    <row r="138" spans="1:43" ht="30" customHeight="1" x14ac:dyDescent="0.25">
      <c r="A138" s="3">
        <f t="shared" si="5"/>
        <v>126</v>
      </c>
      <c r="B138" s="540" t="s">
        <v>162</v>
      </c>
      <c r="C138" s="540"/>
      <c r="D138" s="540"/>
      <c r="E138" s="1264"/>
      <c r="F138" s="1264"/>
      <c r="G138" s="1264"/>
      <c r="H138" s="540"/>
      <c r="I138" s="540"/>
      <c r="J138" s="540"/>
      <c r="K138" s="540"/>
      <c r="L138" s="540"/>
      <c r="M138" s="540"/>
      <c r="N138" s="540"/>
      <c r="O138" s="540"/>
      <c r="P138" s="540"/>
      <c r="Q138" s="540"/>
      <c r="R138" s="540"/>
      <c r="S138" s="540"/>
      <c r="T138" s="540"/>
      <c r="U138" s="540"/>
      <c r="V138" s="540"/>
      <c r="W138" s="540"/>
      <c r="X138" s="540"/>
      <c r="Y138" s="540"/>
      <c r="Z138" s="540"/>
      <c r="AA138" s="540"/>
      <c r="AB138" s="540"/>
      <c r="AC138" s="540"/>
      <c r="AD138" s="540"/>
      <c r="AE138" s="540"/>
      <c r="AF138" s="540"/>
      <c r="AG138" s="540"/>
      <c r="AH138" s="540"/>
      <c r="AI138" s="540"/>
      <c r="AJ138" s="540"/>
      <c r="AK138" s="540"/>
      <c r="AL138" s="540"/>
      <c r="AM138" s="540"/>
      <c r="AN138" s="540"/>
      <c r="AO138" s="540"/>
      <c r="AP138" s="540"/>
      <c r="AQ138" s="540"/>
    </row>
    <row r="139" spans="1:43" ht="30" customHeight="1" x14ac:dyDescent="0.25">
      <c r="A139" s="3">
        <f t="shared" si="5"/>
        <v>127</v>
      </c>
      <c r="B139" s="1219" t="s">
        <v>162</v>
      </c>
      <c r="C139" s="1219"/>
      <c r="D139" s="1219"/>
      <c r="E139" s="1263"/>
      <c r="F139" s="1263"/>
      <c r="G139" s="1263"/>
      <c r="H139" s="1219"/>
      <c r="I139" s="1219"/>
      <c r="J139" s="1219"/>
      <c r="K139" s="1219"/>
      <c r="L139" s="1219"/>
      <c r="M139" s="1219"/>
      <c r="N139" s="1219"/>
      <c r="O139" s="1219"/>
      <c r="P139" s="1219"/>
      <c r="Q139" s="1219"/>
      <c r="R139" s="1219"/>
      <c r="S139" s="1219"/>
      <c r="T139" s="1219"/>
      <c r="U139" s="1219"/>
      <c r="V139" s="1219"/>
      <c r="W139" s="1219"/>
      <c r="X139" s="1219"/>
      <c r="Y139" s="1219"/>
      <c r="Z139" s="1219"/>
      <c r="AA139" s="1219"/>
      <c r="AB139" s="1219"/>
      <c r="AC139" s="1219"/>
      <c r="AD139" s="1219"/>
      <c r="AE139" s="1219"/>
      <c r="AF139" s="1219"/>
      <c r="AG139" s="1219"/>
      <c r="AH139" s="1219"/>
      <c r="AI139" s="1219"/>
      <c r="AJ139" s="1219"/>
      <c r="AK139" s="1219"/>
      <c r="AL139" s="1219"/>
      <c r="AM139" s="1219"/>
      <c r="AN139" s="1219"/>
      <c r="AO139" s="1219"/>
      <c r="AP139" s="1219"/>
      <c r="AQ139" s="1219"/>
    </row>
    <row r="140" spans="1:43" ht="30" customHeight="1" x14ac:dyDescent="0.25">
      <c r="A140" s="3">
        <f t="shared" si="5"/>
        <v>128</v>
      </c>
      <c r="B140" s="540" t="s">
        <v>162</v>
      </c>
      <c r="C140" s="540"/>
      <c r="D140" s="540"/>
      <c r="E140" s="1264"/>
      <c r="F140" s="1264"/>
      <c r="G140" s="1264"/>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40"/>
      <c r="AO140" s="540"/>
      <c r="AP140" s="540"/>
      <c r="AQ140" s="540"/>
    </row>
    <row r="141" spans="1:43" ht="30" customHeight="1" x14ac:dyDescent="0.25">
      <c r="A141" s="3">
        <f t="shared" si="5"/>
        <v>129</v>
      </c>
      <c r="B141" s="1219" t="s">
        <v>162</v>
      </c>
      <c r="C141" s="1219"/>
      <c r="D141" s="1219"/>
      <c r="E141" s="1263"/>
      <c r="F141" s="1263"/>
      <c r="G141" s="1263"/>
      <c r="H141" s="1219"/>
      <c r="I141" s="1219"/>
      <c r="J141" s="1219"/>
      <c r="K141" s="1219"/>
      <c r="L141" s="1219"/>
      <c r="M141" s="1219"/>
      <c r="N141" s="1219"/>
      <c r="O141" s="1219"/>
      <c r="P141" s="1219"/>
      <c r="Q141" s="1219"/>
      <c r="R141" s="1219"/>
      <c r="S141" s="1219"/>
      <c r="T141" s="1219"/>
      <c r="U141" s="1219"/>
      <c r="V141" s="1219"/>
      <c r="W141" s="1219"/>
      <c r="X141" s="1219"/>
      <c r="Y141" s="1219"/>
      <c r="Z141" s="1219"/>
      <c r="AA141" s="1219"/>
      <c r="AB141" s="1219"/>
      <c r="AC141" s="1219"/>
      <c r="AD141" s="1219"/>
      <c r="AE141" s="1219"/>
      <c r="AF141" s="1219"/>
      <c r="AG141" s="1219"/>
      <c r="AH141" s="1219"/>
      <c r="AI141" s="1219"/>
      <c r="AJ141" s="1219"/>
      <c r="AK141" s="1219"/>
      <c r="AL141" s="1219"/>
      <c r="AM141" s="1219"/>
      <c r="AN141" s="1219"/>
      <c r="AO141" s="1219"/>
      <c r="AP141" s="1219"/>
      <c r="AQ141" s="1219"/>
    </row>
    <row r="142" spans="1:43" ht="30" customHeight="1" x14ac:dyDescent="0.25">
      <c r="A142" s="3">
        <f t="shared" si="5"/>
        <v>130</v>
      </c>
      <c r="B142" s="540" t="s">
        <v>162</v>
      </c>
      <c r="C142" s="540"/>
      <c r="D142" s="540"/>
      <c r="E142" s="1264"/>
      <c r="F142" s="1264"/>
      <c r="G142" s="1264"/>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40"/>
      <c r="AO142" s="540"/>
      <c r="AP142" s="540"/>
      <c r="AQ142" s="540"/>
    </row>
    <row r="143" spans="1:43" ht="30" customHeight="1" x14ac:dyDescent="0.25">
      <c r="A143" s="3">
        <f>ROW(A131)</f>
        <v>131</v>
      </c>
      <c r="B143" s="1219" t="s">
        <v>162</v>
      </c>
      <c r="C143" s="1219"/>
      <c r="D143" s="1219"/>
      <c r="E143" s="1263"/>
      <c r="F143" s="1263"/>
      <c r="G143" s="1263"/>
      <c r="H143" s="1219"/>
      <c r="I143" s="1219"/>
      <c r="J143" s="1219"/>
      <c r="K143" s="1219"/>
      <c r="L143" s="1219"/>
      <c r="M143" s="1219"/>
      <c r="N143" s="1219"/>
      <c r="O143" s="1219"/>
      <c r="P143" s="1219"/>
      <c r="Q143" s="1219"/>
      <c r="R143" s="1219"/>
      <c r="S143" s="1219"/>
      <c r="T143" s="1219"/>
      <c r="U143" s="1219"/>
      <c r="V143" s="1219"/>
      <c r="W143" s="1219"/>
      <c r="X143" s="1219"/>
      <c r="Y143" s="1219"/>
      <c r="Z143" s="1219"/>
      <c r="AA143" s="1219"/>
      <c r="AB143" s="1219"/>
      <c r="AC143" s="1219"/>
      <c r="AD143" s="1219"/>
      <c r="AE143" s="1219"/>
      <c r="AF143" s="1219"/>
      <c r="AG143" s="1219"/>
      <c r="AH143" s="1219"/>
      <c r="AI143" s="1219"/>
      <c r="AJ143" s="1219"/>
      <c r="AK143" s="1219"/>
      <c r="AL143" s="1219"/>
      <c r="AM143" s="1219"/>
      <c r="AN143" s="1219"/>
      <c r="AO143" s="1219"/>
      <c r="AP143" s="1219"/>
      <c r="AQ143" s="1219"/>
    </row>
    <row r="144" spans="1:43" ht="30" customHeight="1" x14ac:dyDescent="0.25">
      <c r="A144" s="3">
        <f t="shared" si="5"/>
        <v>132</v>
      </c>
      <c r="B144" s="540" t="s">
        <v>162</v>
      </c>
      <c r="C144" s="540"/>
      <c r="D144" s="540"/>
      <c r="E144" s="1264"/>
      <c r="F144" s="1264"/>
      <c r="G144" s="1264"/>
      <c r="H144" s="540"/>
      <c r="I144" s="540"/>
      <c r="J144" s="540"/>
      <c r="K144" s="540"/>
      <c r="L144" s="540"/>
      <c r="M144" s="540"/>
      <c r="N144" s="540"/>
      <c r="O144" s="540"/>
      <c r="P144" s="540"/>
      <c r="Q144" s="540"/>
      <c r="R144" s="540"/>
      <c r="S144" s="540"/>
      <c r="T144" s="540"/>
      <c r="U144" s="540"/>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row>
    <row r="145" spans="1:43" ht="30" customHeight="1" x14ac:dyDescent="0.25">
      <c r="A145" s="3">
        <f t="shared" si="5"/>
        <v>133</v>
      </c>
      <c r="B145" s="1219" t="s">
        <v>162</v>
      </c>
      <c r="C145" s="1219"/>
      <c r="D145" s="1219"/>
      <c r="E145" s="1263"/>
      <c r="F145" s="1263"/>
      <c r="G145" s="1263"/>
      <c r="H145" s="1219"/>
      <c r="I145" s="1219"/>
      <c r="J145" s="1219"/>
      <c r="K145" s="1219"/>
      <c r="L145" s="1219"/>
      <c r="M145" s="1219"/>
      <c r="N145" s="1219"/>
      <c r="O145" s="1219"/>
      <c r="P145" s="1219"/>
      <c r="Q145" s="1219"/>
      <c r="R145" s="1219"/>
      <c r="S145" s="1219"/>
      <c r="T145" s="1219"/>
      <c r="U145" s="1219"/>
      <c r="V145" s="1219"/>
      <c r="W145" s="1219"/>
      <c r="X145" s="1219"/>
      <c r="Y145" s="1219"/>
      <c r="Z145" s="1219"/>
      <c r="AA145" s="1219"/>
      <c r="AB145" s="1219"/>
      <c r="AC145" s="1219"/>
      <c r="AD145" s="1219"/>
      <c r="AE145" s="1219"/>
      <c r="AF145" s="1219"/>
      <c r="AG145" s="1219"/>
      <c r="AH145" s="1219"/>
      <c r="AI145" s="1219"/>
      <c r="AJ145" s="1219"/>
      <c r="AK145" s="1219"/>
      <c r="AL145" s="1219"/>
      <c r="AM145" s="1219"/>
      <c r="AN145" s="1219"/>
      <c r="AO145" s="1219"/>
      <c r="AP145" s="1219"/>
      <c r="AQ145" s="1219"/>
    </row>
    <row r="146" spans="1:43" ht="30" customHeight="1" x14ac:dyDescent="0.25">
      <c r="A146" s="3">
        <f t="shared" si="5"/>
        <v>134</v>
      </c>
      <c r="B146" s="540" t="s">
        <v>162</v>
      </c>
      <c r="C146" s="540"/>
      <c r="D146" s="540"/>
      <c r="E146" s="1264"/>
      <c r="F146" s="1264"/>
      <c r="G146" s="1264"/>
      <c r="H146" s="540"/>
      <c r="I146" s="540"/>
      <c r="J146" s="540"/>
      <c r="K146" s="540"/>
      <c r="L146" s="540"/>
      <c r="M146" s="540"/>
      <c r="N146" s="540"/>
      <c r="O146" s="540"/>
      <c r="P146" s="540"/>
      <c r="Q146" s="540"/>
      <c r="R146" s="540"/>
      <c r="S146" s="540"/>
      <c r="T146" s="540"/>
      <c r="U146" s="540"/>
      <c r="V146" s="540"/>
      <c r="W146" s="540"/>
      <c r="X146" s="540"/>
      <c r="Y146" s="540"/>
      <c r="Z146" s="540"/>
      <c r="AA146" s="540"/>
      <c r="AB146" s="540"/>
      <c r="AC146" s="540"/>
      <c r="AD146" s="540"/>
      <c r="AE146" s="540"/>
      <c r="AF146" s="540"/>
      <c r="AG146" s="540"/>
      <c r="AH146" s="540"/>
      <c r="AI146" s="540"/>
      <c r="AJ146" s="540"/>
      <c r="AK146" s="540"/>
      <c r="AL146" s="540"/>
      <c r="AM146" s="540"/>
      <c r="AN146" s="540"/>
      <c r="AO146" s="540"/>
      <c r="AP146" s="540"/>
      <c r="AQ146" s="540"/>
    </row>
    <row r="147" spans="1:43" ht="30" customHeight="1" x14ac:dyDescent="0.25">
      <c r="A147" s="3">
        <f t="shared" si="5"/>
        <v>135</v>
      </c>
      <c r="B147" s="1219" t="s">
        <v>162</v>
      </c>
      <c r="C147" s="1219"/>
      <c r="D147" s="1219"/>
      <c r="E147" s="1263"/>
      <c r="F147" s="1263"/>
      <c r="G147" s="1263"/>
      <c r="H147" s="1219"/>
      <c r="I147" s="1219"/>
      <c r="J147" s="1219"/>
      <c r="K147" s="1219"/>
      <c r="L147" s="1219"/>
      <c r="M147" s="1219"/>
      <c r="N147" s="1219"/>
      <c r="O147" s="1219"/>
      <c r="P147" s="1219"/>
      <c r="Q147" s="1219"/>
      <c r="R147" s="1219"/>
      <c r="S147" s="1219"/>
      <c r="T147" s="1219"/>
      <c r="U147" s="1219"/>
      <c r="V147" s="1219"/>
      <c r="W147" s="1219"/>
      <c r="X147" s="1219"/>
      <c r="Y147" s="1219"/>
      <c r="Z147" s="1219"/>
      <c r="AA147" s="1219"/>
      <c r="AB147" s="1219"/>
      <c r="AC147" s="1219"/>
      <c r="AD147" s="1219"/>
      <c r="AE147" s="1219"/>
      <c r="AF147" s="1219"/>
      <c r="AG147" s="1219"/>
      <c r="AH147" s="1219"/>
      <c r="AI147" s="1219"/>
      <c r="AJ147" s="1219"/>
      <c r="AK147" s="1219"/>
      <c r="AL147" s="1219"/>
      <c r="AM147" s="1219"/>
      <c r="AN147" s="1219"/>
      <c r="AO147" s="1219"/>
      <c r="AP147" s="1219"/>
      <c r="AQ147" s="1219"/>
    </row>
    <row r="148" spans="1:43" ht="30" customHeight="1" x14ac:dyDescent="0.25">
      <c r="A148" s="3">
        <f t="shared" si="5"/>
        <v>136</v>
      </c>
      <c r="B148" s="540" t="s">
        <v>162</v>
      </c>
      <c r="C148" s="540"/>
      <c r="D148" s="540"/>
      <c r="E148" s="1264"/>
      <c r="F148" s="1264"/>
      <c r="G148" s="1264"/>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E148" s="540"/>
      <c r="AF148" s="540"/>
      <c r="AG148" s="540"/>
      <c r="AH148" s="540"/>
      <c r="AI148" s="540"/>
      <c r="AJ148" s="540"/>
      <c r="AK148" s="540"/>
      <c r="AL148" s="540"/>
      <c r="AM148" s="540"/>
      <c r="AN148" s="540"/>
      <c r="AO148" s="540"/>
      <c r="AP148" s="540"/>
      <c r="AQ148" s="540"/>
    </row>
    <row r="149" spans="1:43" ht="30" customHeight="1" x14ac:dyDescent="0.25">
      <c r="A149" s="3">
        <f t="shared" si="5"/>
        <v>137</v>
      </c>
      <c r="B149" s="1219" t="s">
        <v>162</v>
      </c>
      <c r="C149" s="1219"/>
      <c r="D149" s="1219"/>
      <c r="E149" s="1263"/>
      <c r="F149" s="1263"/>
      <c r="G149" s="1263"/>
      <c r="H149" s="1219"/>
      <c r="I149" s="1219"/>
      <c r="J149" s="1219"/>
      <c r="K149" s="1219"/>
      <c r="L149" s="1219"/>
      <c r="M149" s="1219"/>
      <c r="N149" s="1219"/>
      <c r="O149" s="1219"/>
      <c r="P149" s="1219"/>
      <c r="Q149" s="1219"/>
      <c r="R149" s="1219"/>
      <c r="S149" s="1219"/>
      <c r="T149" s="1219"/>
      <c r="U149" s="1219"/>
      <c r="V149" s="1219"/>
      <c r="W149" s="1219"/>
      <c r="X149" s="1219"/>
      <c r="Y149" s="1219"/>
      <c r="Z149" s="1219"/>
      <c r="AA149" s="1219"/>
      <c r="AB149" s="1219"/>
      <c r="AC149" s="1219"/>
      <c r="AD149" s="1219"/>
      <c r="AE149" s="1219"/>
      <c r="AF149" s="1219"/>
      <c r="AG149" s="1219"/>
      <c r="AH149" s="1219"/>
      <c r="AI149" s="1219"/>
      <c r="AJ149" s="1219"/>
      <c r="AK149" s="1219"/>
      <c r="AL149" s="1219"/>
      <c r="AM149" s="1219"/>
      <c r="AN149" s="1219"/>
      <c r="AO149" s="1219"/>
      <c r="AP149" s="1219"/>
      <c r="AQ149" s="1219"/>
    </row>
    <row r="150" spans="1:43" ht="30" customHeight="1" x14ac:dyDescent="0.25">
      <c r="A150" s="3">
        <f t="shared" si="5"/>
        <v>138</v>
      </c>
      <c r="B150" s="540" t="s">
        <v>162</v>
      </c>
      <c r="C150" s="540"/>
      <c r="D150" s="540"/>
      <c r="E150" s="1264"/>
      <c r="F150" s="1264"/>
      <c r="G150" s="1264"/>
      <c r="H150" s="540"/>
      <c r="I150" s="540"/>
      <c r="J150" s="540"/>
      <c r="K150" s="540"/>
      <c r="L150" s="540"/>
      <c r="M150" s="540"/>
      <c r="N150" s="540"/>
      <c r="O150" s="540"/>
      <c r="P150" s="540"/>
      <c r="Q150" s="540"/>
      <c r="R150" s="540"/>
      <c r="S150" s="540"/>
      <c r="T150" s="540"/>
      <c r="U150" s="540"/>
      <c r="V150" s="540"/>
      <c r="W150" s="540"/>
      <c r="X150" s="540"/>
      <c r="Y150" s="540"/>
      <c r="Z150" s="540"/>
      <c r="AA150" s="540"/>
      <c r="AB150" s="540"/>
      <c r="AC150" s="540"/>
      <c r="AD150" s="540"/>
      <c r="AE150" s="540"/>
      <c r="AF150" s="540"/>
      <c r="AG150" s="540"/>
      <c r="AH150" s="540"/>
      <c r="AI150" s="540"/>
      <c r="AJ150" s="540"/>
      <c r="AK150" s="540"/>
      <c r="AL150" s="540"/>
      <c r="AM150" s="540"/>
      <c r="AN150" s="540"/>
      <c r="AO150" s="540"/>
      <c r="AP150" s="540"/>
      <c r="AQ150" s="540"/>
    </row>
    <row r="151" spans="1:43" ht="30" customHeight="1" x14ac:dyDescent="0.25">
      <c r="A151" s="3">
        <f t="shared" si="5"/>
        <v>139</v>
      </c>
      <c r="B151" s="1219" t="s">
        <v>162</v>
      </c>
      <c r="C151" s="1219"/>
      <c r="D151" s="1219"/>
      <c r="E151" s="1263"/>
      <c r="F151" s="1263"/>
      <c r="G151" s="1263"/>
      <c r="H151" s="1219"/>
      <c r="I151" s="1219"/>
      <c r="J151" s="1219"/>
      <c r="K151" s="1219"/>
      <c r="L151" s="1219"/>
      <c r="M151" s="1219"/>
      <c r="N151" s="1219"/>
      <c r="O151" s="1219"/>
      <c r="P151" s="1219"/>
      <c r="Q151" s="1219"/>
      <c r="R151" s="1219"/>
      <c r="S151" s="1219"/>
      <c r="T151" s="1219"/>
      <c r="U151" s="1219"/>
      <c r="V151" s="1219"/>
      <c r="W151" s="1219"/>
      <c r="X151" s="1219"/>
      <c r="Y151" s="1219"/>
      <c r="Z151" s="1219"/>
      <c r="AA151" s="1219"/>
      <c r="AB151" s="1219"/>
      <c r="AC151" s="1219"/>
      <c r="AD151" s="1219"/>
      <c r="AE151" s="1219"/>
      <c r="AF151" s="1219"/>
      <c r="AG151" s="1219"/>
      <c r="AH151" s="1219"/>
      <c r="AI151" s="1219"/>
      <c r="AJ151" s="1219"/>
      <c r="AK151" s="1219"/>
      <c r="AL151" s="1219"/>
      <c r="AM151" s="1219"/>
      <c r="AN151" s="1219"/>
      <c r="AO151" s="1219"/>
      <c r="AP151" s="1219"/>
      <c r="AQ151" s="1219"/>
    </row>
    <row r="152" spans="1:43" ht="30" customHeight="1" x14ac:dyDescent="0.25">
      <c r="A152" s="3">
        <f t="shared" si="5"/>
        <v>140</v>
      </c>
      <c r="B152" s="540" t="s">
        <v>162</v>
      </c>
      <c r="C152" s="540"/>
      <c r="D152" s="540"/>
      <c r="E152" s="1264"/>
      <c r="F152" s="1264"/>
      <c r="G152" s="1264"/>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40"/>
      <c r="AO152" s="540"/>
      <c r="AP152" s="540"/>
      <c r="AQ152" s="540"/>
    </row>
    <row r="153" spans="1:43" ht="30" customHeight="1" x14ac:dyDescent="0.25">
      <c r="A153" s="3">
        <f>ROW(A141)</f>
        <v>141</v>
      </c>
      <c r="B153" s="1219" t="s">
        <v>162</v>
      </c>
      <c r="C153" s="1219"/>
      <c r="D153" s="1219"/>
      <c r="E153" s="1263"/>
      <c r="F153" s="1263"/>
      <c r="G153" s="1263"/>
      <c r="H153" s="1219"/>
      <c r="I153" s="1219"/>
      <c r="J153" s="1219"/>
      <c r="K153" s="1219"/>
      <c r="L153" s="1219"/>
      <c r="M153" s="1219"/>
      <c r="N153" s="1219"/>
      <c r="O153" s="1219"/>
      <c r="P153" s="1219"/>
      <c r="Q153" s="1219"/>
      <c r="R153" s="1219"/>
      <c r="S153" s="1219"/>
      <c r="T153" s="1219"/>
      <c r="U153" s="1219"/>
      <c r="V153" s="1219"/>
      <c r="W153" s="1219"/>
      <c r="X153" s="1219"/>
      <c r="Y153" s="1219"/>
      <c r="Z153" s="1219"/>
      <c r="AA153" s="1219"/>
      <c r="AB153" s="1219"/>
      <c r="AC153" s="1219"/>
      <c r="AD153" s="1219"/>
      <c r="AE153" s="1219"/>
      <c r="AF153" s="1219"/>
      <c r="AG153" s="1219"/>
      <c r="AH153" s="1219"/>
      <c r="AI153" s="1219"/>
      <c r="AJ153" s="1219"/>
      <c r="AK153" s="1219"/>
      <c r="AL153" s="1219"/>
      <c r="AM153" s="1219"/>
      <c r="AN153" s="1219"/>
      <c r="AO153" s="1219"/>
      <c r="AP153" s="1219"/>
      <c r="AQ153" s="1219"/>
    </row>
    <row r="154" spans="1:43" ht="30" customHeight="1" x14ac:dyDescent="0.25">
      <c r="A154" s="3">
        <f t="shared" si="5"/>
        <v>142</v>
      </c>
      <c r="B154" s="540" t="s">
        <v>162</v>
      </c>
      <c r="C154" s="540"/>
      <c r="D154" s="540"/>
      <c r="E154" s="1264"/>
      <c r="F154" s="1264"/>
      <c r="G154" s="1264"/>
      <c r="H154" s="540"/>
      <c r="I154" s="540"/>
      <c r="J154" s="540"/>
      <c r="K154" s="540"/>
      <c r="L154" s="540"/>
      <c r="M154" s="540"/>
      <c r="N154" s="540"/>
      <c r="O154" s="540"/>
      <c r="P154" s="540"/>
      <c r="Q154" s="540"/>
      <c r="R154" s="540"/>
      <c r="S154" s="540"/>
      <c r="T154" s="540"/>
      <c r="U154" s="540"/>
      <c r="V154" s="540"/>
      <c r="W154" s="540"/>
      <c r="X154" s="540"/>
      <c r="Y154" s="540"/>
      <c r="Z154" s="540"/>
      <c r="AA154" s="540"/>
      <c r="AB154" s="540"/>
      <c r="AC154" s="540"/>
      <c r="AD154" s="540"/>
      <c r="AE154" s="540"/>
      <c r="AF154" s="540"/>
      <c r="AG154" s="540"/>
      <c r="AH154" s="540"/>
      <c r="AI154" s="540"/>
      <c r="AJ154" s="540"/>
      <c r="AK154" s="540"/>
      <c r="AL154" s="540"/>
      <c r="AM154" s="540"/>
      <c r="AN154" s="540"/>
      <c r="AO154" s="540"/>
      <c r="AP154" s="540"/>
      <c r="AQ154" s="540"/>
    </row>
    <row r="155" spans="1:43" ht="30" customHeight="1" x14ac:dyDescent="0.25">
      <c r="A155" s="3">
        <f t="shared" si="5"/>
        <v>143</v>
      </c>
      <c r="B155" s="1219" t="s">
        <v>162</v>
      </c>
      <c r="C155" s="1219"/>
      <c r="D155" s="1219"/>
      <c r="E155" s="1263"/>
      <c r="F155" s="1263"/>
      <c r="G155" s="1263"/>
      <c r="H155" s="1219"/>
      <c r="I155" s="1219"/>
      <c r="J155" s="1219"/>
      <c r="K155" s="1219"/>
      <c r="L155" s="1219"/>
      <c r="M155" s="1219"/>
      <c r="N155" s="1219"/>
      <c r="O155" s="1219"/>
      <c r="P155" s="1219"/>
      <c r="Q155" s="1219"/>
      <c r="R155" s="1219"/>
      <c r="S155" s="1219"/>
      <c r="T155" s="1219"/>
      <c r="U155" s="1219"/>
      <c r="V155" s="1219"/>
      <c r="W155" s="1219"/>
      <c r="X155" s="1219"/>
      <c r="Y155" s="1219"/>
      <c r="Z155" s="1219"/>
      <c r="AA155" s="1219"/>
      <c r="AB155" s="1219"/>
      <c r="AC155" s="1219"/>
      <c r="AD155" s="1219"/>
      <c r="AE155" s="1219"/>
      <c r="AF155" s="1219"/>
      <c r="AG155" s="1219"/>
      <c r="AH155" s="1219"/>
      <c r="AI155" s="1219"/>
      <c r="AJ155" s="1219"/>
      <c r="AK155" s="1219"/>
      <c r="AL155" s="1219"/>
      <c r="AM155" s="1219"/>
      <c r="AN155" s="1219"/>
      <c r="AO155" s="1219"/>
      <c r="AP155" s="1219"/>
      <c r="AQ155" s="1219"/>
    </row>
    <row r="156" spans="1:43" ht="30" customHeight="1" x14ac:dyDescent="0.25">
      <c r="A156" s="3">
        <f t="shared" si="5"/>
        <v>144</v>
      </c>
      <c r="B156" s="540" t="s">
        <v>162</v>
      </c>
      <c r="C156" s="540"/>
      <c r="D156" s="540"/>
      <c r="E156" s="1264"/>
      <c r="F156" s="1264"/>
      <c r="G156" s="1264"/>
      <c r="H156" s="540"/>
      <c r="I156" s="540"/>
      <c r="J156" s="540"/>
      <c r="K156" s="540"/>
      <c r="L156" s="540"/>
      <c r="M156" s="540"/>
      <c r="N156" s="540"/>
      <c r="O156" s="540"/>
      <c r="P156" s="540"/>
      <c r="Q156" s="540"/>
      <c r="R156" s="540"/>
      <c r="S156" s="540"/>
      <c r="T156" s="540"/>
      <c r="U156" s="540"/>
      <c r="V156" s="540"/>
      <c r="W156" s="540"/>
      <c r="X156" s="540"/>
      <c r="Y156" s="540"/>
      <c r="Z156" s="540"/>
      <c r="AA156" s="540"/>
      <c r="AB156" s="540"/>
      <c r="AC156" s="540"/>
      <c r="AD156" s="540"/>
      <c r="AE156" s="540"/>
      <c r="AF156" s="540"/>
      <c r="AG156" s="540"/>
      <c r="AH156" s="540"/>
      <c r="AI156" s="540"/>
      <c r="AJ156" s="540"/>
      <c r="AK156" s="540"/>
      <c r="AL156" s="540"/>
      <c r="AM156" s="540"/>
      <c r="AN156" s="540"/>
      <c r="AO156" s="540"/>
      <c r="AP156" s="540"/>
      <c r="AQ156" s="540"/>
    </row>
    <row r="157" spans="1:43" ht="30" customHeight="1" x14ac:dyDescent="0.25">
      <c r="A157" s="3">
        <f t="shared" si="5"/>
        <v>145</v>
      </c>
      <c r="B157" s="1219" t="s">
        <v>162</v>
      </c>
      <c r="C157" s="1219"/>
      <c r="D157" s="1219"/>
      <c r="E157" s="1263"/>
      <c r="F157" s="1263"/>
      <c r="G157" s="1263"/>
      <c r="H157" s="1219"/>
      <c r="I157" s="1219"/>
      <c r="J157" s="1219"/>
      <c r="K157" s="1219"/>
      <c r="L157" s="1219"/>
      <c r="M157" s="1219"/>
      <c r="N157" s="1219"/>
      <c r="O157" s="1219"/>
      <c r="P157" s="1219"/>
      <c r="Q157" s="1219"/>
      <c r="R157" s="1219"/>
      <c r="S157" s="1219"/>
      <c r="T157" s="1219"/>
      <c r="U157" s="1219"/>
      <c r="V157" s="1219"/>
      <c r="W157" s="1219"/>
      <c r="X157" s="1219"/>
      <c r="Y157" s="1219"/>
      <c r="Z157" s="1219"/>
      <c r="AA157" s="1219"/>
      <c r="AB157" s="1219"/>
      <c r="AC157" s="1219"/>
      <c r="AD157" s="1219"/>
      <c r="AE157" s="1219"/>
      <c r="AF157" s="1219"/>
      <c r="AG157" s="1219"/>
      <c r="AH157" s="1219"/>
      <c r="AI157" s="1219"/>
      <c r="AJ157" s="1219"/>
      <c r="AK157" s="1219"/>
      <c r="AL157" s="1219"/>
      <c r="AM157" s="1219"/>
      <c r="AN157" s="1219"/>
      <c r="AO157" s="1219"/>
      <c r="AP157" s="1219"/>
      <c r="AQ157" s="1219"/>
    </row>
    <row r="158" spans="1:43" ht="30" customHeight="1" x14ac:dyDescent="0.25">
      <c r="A158" s="3">
        <f t="shared" si="5"/>
        <v>146</v>
      </c>
      <c r="B158" s="540" t="s">
        <v>162</v>
      </c>
      <c r="C158" s="540"/>
      <c r="D158" s="540"/>
      <c r="E158" s="1264"/>
      <c r="F158" s="1264"/>
      <c r="G158" s="1264"/>
      <c r="H158" s="540"/>
      <c r="I158" s="540"/>
      <c r="J158" s="540"/>
      <c r="K158" s="540"/>
      <c r="L158" s="540"/>
      <c r="M158" s="540"/>
      <c r="N158" s="540"/>
      <c r="O158" s="540"/>
      <c r="P158" s="540"/>
      <c r="Q158" s="540"/>
      <c r="R158" s="540"/>
      <c r="S158" s="540"/>
      <c r="T158" s="540"/>
      <c r="U158" s="540"/>
      <c r="V158" s="540"/>
      <c r="W158" s="540"/>
      <c r="X158" s="540"/>
      <c r="Y158" s="540"/>
      <c r="Z158" s="540"/>
      <c r="AA158" s="540"/>
      <c r="AB158" s="540"/>
      <c r="AC158" s="540"/>
      <c r="AD158" s="540"/>
      <c r="AE158" s="540"/>
      <c r="AF158" s="540"/>
      <c r="AG158" s="540"/>
      <c r="AH158" s="540"/>
      <c r="AI158" s="540"/>
      <c r="AJ158" s="540"/>
      <c r="AK158" s="540"/>
      <c r="AL158" s="540"/>
      <c r="AM158" s="540"/>
      <c r="AN158" s="540"/>
      <c r="AO158" s="540"/>
      <c r="AP158" s="540"/>
      <c r="AQ158" s="540"/>
    </row>
    <row r="159" spans="1:43" ht="30" customHeight="1" x14ac:dyDescent="0.25">
      <c r="A159" s="3">
        <f t="shared" si="5"/>
        <v>147</v>
      </c>
      <c r="B159" s="1219" t="s">
        <v>162</v>
      </c>
      <c r="C159" s="1219"/>
      <c r="D159" s="1219"/>
      <c r="E159" s="1263"/>
      <c r="F159" s="1263"/>
      <c r="G159" s="1263"/>
      <c r="H159" s="1219"/>
      <c r="I159" s="1219"/>
      <c r="J159" s="1219"/>
      <c r="K159" s="1219"/>
      <c r="L159" s="1219"/>
      <c r="M159" s="1219"/>
      <c r="N159" s="1219"/>
      <c r="O159" s="1219"/>
      <c r="P159" s="1219"/>
      <c r="Q159" s="1219"/>
      <c r="R159" s="1219"/>
      <c r="S159" s="1219"/>
      <c r="T159" s="1219"/>
      <c r="U159" s="1219"/>
      <c r="V159" s="1219"/>
      <c r="W159" s="1219"/>
      <c r="X159" s="1219"/>
      <c r="Y159" s="1219"/>
      <c r="Z159" s="1219"/>
      <c r="AA159" s="1219"/>
      <c r="AB159" s="1219"/>
      <c r="AC159" s="1219"/>
      <c r="AD159" s="1219"/>
      <c r="AE159" s="1219"/>
      <c r="AF159" s="1219"/>
      <c r="AG159" s="1219"/>
      <c r="AH159" s="1219"/>
      <c r="AI159" s="1219"/>
      <c r="AJ159" s="1219"/>
      <c r="AK159" s="1219"/>
      <c r="AL159" s="1219"/>
      <c r="AM159" s="1219"/>
      <c r="AN159" s="1219"/>
      <c r="AO159" s="1219"/>
      <c r="AP159" s="1219"/>
      <c r="AQ159" s="1219"/>
    </row>
    <row r="160" spans="1:43" ht="30" customHeight="1" x14ac:dyDescent="0.25">
      <c r="A160" s="3">
        <f t="shared" si="5"/>
        <v>148</v>
      </c>
      <c r="B160" s="540" t="s">
        <v>162</v>
      </c>
      <c r="C160" s="540"/>
      <c r="D160" s="540"/>
      <c r="E160" s="1264"/>
      <c r="F160" s="1264"/>
      <c r="G160" s="1264"/>
      <c r="H160" s="540"/>
      <c r="I160" s="540"/>
      <c r="J160" s="540"/>
      <c r="K160" s="540"/>
      <c r="L160" s="540"/>
      <c r="M160" s="540"/>
      <c r="N160" s="540"/>
      <c r="O160" s="540"/>
      <c r="P160" s="540"/>
      <c r="Q160" s="540"/>
      <c r="R160" s="540"/>
      <c r="S160" s="540"/>
      <c r="T160" s="540"/>
      <c r="U160" s="540"/>
      <c r="V160" s="540"/>
      <c r="W160" s="540"/>
      <c r="X160" s="540"/>
      <c r="Y160" s="540"/>
      <c r="Z160" s="540"/>
      <c r="AA160" s="540"/>
      <c r="AB160" s="540"/>
      <c r="AC160" s="540"/>
      <c r="AD160" s="540"/>
      <c r="AE160" s="540"/>
      <c r="AF160" s="540"/>
      <c r="AG160" s="540"/>
      <c r="AH160" s="540"/>
      <c r="AI160" s="540"/>
      <c r="AJ160" s="540"/>
      <c r="AK160" s="540"/>
      <c r="AL160" s="540"/>
      <c r="AM160" s="540"/>
      <c r="AN160" s="540"/>
      <c r="AO160" s="540"/>
      <c r="AP160" s="540"/>
      <c r="AQ160" s="540"/>
    </row>
    <row r="161" spans="1:43" ht="30" customHeight="1" x14ac:dyDescent="0.25">
      <c r="A161" s="3">
        <f t="shared" si="5"/>
        <v>149</v>
      </c>
      <c r="B161" s="1219" t="s">
        <v>162</v>
      </c>
      <c r="C161" s="1219"/>
      <c r="D161" s="1219"/>
      <c r="E161" s="1263"/>
      <c r="F161" s="1263"/>
      <c r="G161" s="1263"/>
      <c r="H161" s="1219"/>
      <c r="I161" s="1219"/>
      <c r="J161" s="1219"/>
      <c r="K161" s="1219"/>
      <c r="L161" s="1219"/>
      <c r="M161" s="1219"/>
      <c r="N161" s="1219"/>
      <c r="O161" s="1219"/>
      <c r="P161" s="1219"/>
      <c r="Q161" s="1219"/>
      <c r="R161" s="1219"/>
      <c r="S161" s="1219"/>
      <c r="T161" s="1219"/>
      <c r="U161" s="1219"/>
      <c r="V161" s="1219"/>
      <c r="W161" s="1219"/>
      <c r="X161" s="1219"/>
      <c r="Y161" s="1219"/>
      <c r="Z161" s="1219"/>
      <c r="AA161" s="1219"/>
      <c r="AB161" s="1219"/>
      <c r="AC161" s="1219"/>
      <c r="AD161" s="1219"/>
      <c r="AE161" s="1219"/>
      <c r="AF161" s="1219"/>
      <c r="AG161" s="1219"/>
      <c r="AH161" s="1219"/>
      <c r="AI161" s="1219"/>
      <c r="AJ161" s="1219"/>
      <c r="AK161" s="1219"/>
      <c r="AL161" s="1219"/>
      <c r="AM161" s="1219"/>
      <c r="AN161" s="1219"/>
      <c r="AO161" s="1219"/>
      <c r="AP161" s="1219"/>
      <c r="AQ161" s="1219"/>
    </row>
    <row r="162" spans="1:43" ht="30" customHeight="1" x14ac:dyDescent="0.25">
      <c r="A162" s="3">
        <f t="shared" si="5"/>
        <v>150</v>
      </c>
      <c r="B162" s="540" t="s">
        <v>162</v>
      </c>
      <c r="C162" s="540"/>
      <c r="D162" s="540"/>
      <c r="E162" s="1264"/>
      <c r="F162" s="1264"/>
      <c r="G162" s="1264"/>
      <c r="H162" s="540"/>
      <c r="I162" s="540"/>
      <c r="J162" s="540"/>
      <c r="K162" s="540"/>
      <c r="L162" s="540"/>
      <c r="M162" s="540"/>
      <c r="N162" s="540"/>
      <c r="O162" s="540"/>
      <c r="P162" s="540"/>
      <c r="Q162" s="540"/>
      <c r="R162" s="540"/>
      <c r="S162" s="540"/>
      <c r="T162" s="540"/>
      <c r="U162" s="540"/>
      <c r="V162" s="540"/>
      <c r="W162" s="540"/>
      <c r="X162" s="540"/>
      <c r="Y162" s="540"/>
      <c r="Z162" s="540"/>
      <c r="AA162" s="540"/>
      <c r="AB162" s="540"/>
      <c r="AC162" s="540"/>
      <c r="AD162" s="540"/>
      <c r="AE162" s="540"/>
      <c r="AF162" s="540"/>
      <c r="AG162" s="540"/>
      <c r="AH162" s="540"/>
      <c r="AI162" s="540"/>
      <c r="AJ162" s="540"/>
      <c r="AK162" s="540"/>
      <c r="AL162" s="540"/>
      <c r="AM162" s="540"/>
      <c r="AN162" s="540"/>
      <c r="AO162" s="540"/>
      <c r="AP162" s="540"/>
      <c r="AQ162" s="540"/>
    </row>
    <row r="163" spans="1:43" ht="30" customHeight="1" x14ac:dyDescent="0.25">
      <c r="A163" s="3">
        <f>ROW(A151)</f>
        <v>151</v>
      </c>
      <c r="B163" s="1219" t="s">
        <v>162</v>
      </c>
      <c r="C163" s="1219"/>
      <c r="D163" s="1219"/>
      <c r="E163" s="1263"/>
      <c r="F163" s="1263"/>
      <c r="G163" s="1263"/>
      <c r="H163" s="1219"/>
      <c r="I163" s="1219"/>
      <c r="J163" s="1219"/>
      <c r="K163" s="1219"/>
      <c r="L163" s="1219"/>
      <c r="M163" s="1219"/>
      <c r="N163" s="1219"/>
      <c r="O163" s="1219"/>
      <c r="P163" s="1219"/>
      <c r="Q163" s="1219"/>
      <c r="R163" s="1219"/>
      <c r="S163" s="1219"/>
      <c r="T163" s="1219"/>
      <c r="U163" s="1219"/>
      <c r="V163" s="1219"/>
      <c r="W163" s="1219"/>
      <c r="X163" s="1219"/>
      <c r="Y163" s="1219"/>
      <c r="Z163" s="1219"/>
      <c r="AA163" s="1219"/>
      <c r="AB163" s="1219"/>
      <c r="AC163" s="1219"/>
      <c r="AD163" s="1219"/>
      <c r="AE163" s="1219"/>
      <c r="AF163" s="1219"/>
      <c r="AG163" s="1219"/>
      <c r="AH163" s="1219"/>
      <c r="AI163" s="1219"/>
      <c r="AJ163" s="1219"/>
      <c r="AK163" s="1219"/>
      <c r="AL163" s="1219"/>
      <c r="AM163" s="1219"/>
      <c r="AN163" s="1219"/>
      <c r="AO163" s="1219"/>
      <c r="AP163" s="1219"/>
      <c r="AQ163" s="1219"/>
    </row>
    <row r="164" spans="1:43" ht="30" customHeight="1" x14ac:dyDescent="0.25">
      <c r="A164" s="3">
        <f t="shared" si="5"/>
        <v>152</v>
      </c>
      <c r="B164" s="540" t="s">
        <v>162</v>
      </c>
      <c r="C164" s="540"/>
      <c r="D164" s="540"/>
      <c r="E164" s="1264"/>
      <c r="F164" s="1264"/>
      <c r="G164" s="1264"/>
      <c r="H164" s="540"/>
      <c r="I164" s="540"/>
      <c r="J164" s="540"/>
      <c r="K164" s="540"/>
      <c r="L164" s="540"/>
      <c r="M164" s="540"/>
      <c r="N164" s="540"/>
      <c r="O164" s="540"/>
      <c r="P164" s="540"/>
      <c r="Q164" s="540"/>
      <c r="R164" s="540"/>
      <c r="S164" s="540"/>
      <c r="T164" s="540"/>
      <c r="U164" s="540"/>
      <c r="V164" s="540"/>
      <c r="W164" s="540"/>
      <c r="X164" s="540"/>
      <c r="Y164" s="540"/>
      <c r="Z164" s="540"/>
      <c r="AA164" s="540"/>
      <c r="AB164" s="540"/>
      <c r="AC164" s="540"/>
      <c r="AD164" s="540"/>
      <c r="AE164" s="540"/>
      <c r="AF164" s="540"/>
      <c r="AG164" s="540"/>
      <c r="AH164" s="540"/>
      <c r="AI164" s="540"/>
      <c r="AJ164" s="540"/>
      <c r="AK164" s="540"/>
      <c r="AL164" s="540"/>
      <c r="AM164" s="540"/>
      <c r="AN164" s="540"/>
      <c r="AO164" s="540"/>
      <c r="AP164" s="540"/>
      <c r="AQ164" s="540"/>
    </row>
    <row r="165" spans="1:43" ht="30" customHeight="1" x14ac:dyDescent="0.25">
      <c r="A165" s="3">
        <f t="shared" si="5"/>
        <v>153</v>
      </c>
      <c r="B165" s="1219" t="s">
        <v>162</v>
      </c>
      <c r="C165" s="1219"/>
      <c r="D165" s="1219"/>
      <c r="E165" s="1263"/>
      <c r="F165" s="1263"/>
      <c r="G165" s="1263"/>
      <c r="H165" s="1219"/>
      <c r="I165" s="1219"/>
      <c r="J165" s="1219"/>
      <c r="K165" s="1219"/>
      <c r="L165" s="1219"/>
      <c r="M165" s="1219"/>
      <c r="N165" s="1219"/>
      <c r="O165" s="1219"/>
      <c r="P165" s="1219"/>
      <c r="Q165" s="1219"/>
      <c r="R165" s="1219"/>
      <c r="S165" s="1219"/>
      <c r="T165" s="1219"/>
      <c r="U165" s="1219"/>
      <c r="V165" s="1219"/>
      <c r="W165" s="1219"/>
      <c r="X165" s="1219"/>
      <c r="Y165" s="1219"/>
      <c r="Z165" s="1219"/>
      <c r="AA165" s="1219"/>
      <c r="AB165" s="1219"/>
      <c r="AC165" s="1219"/>
      <c r="AD165" s="1219"/>
      <c r="AE165" s="1219"/>
      <c r="AF165" s="1219"/>
      <c r="AG165" s="1219"/>
      <c r="AH165" s="1219"/>
      <c r="AI165" s="1219"/>
      <c r="AJ165" s="1219"/>
      <c r="AK165" s="1219"/>
      <c r="AL165" s="1219"/>
      <c r="AM165" s="1219"/>
      <c r="AN165" s="1219"/>
      <c r="AO165" s="1219"/>
      <c r="AP165" s="1219"/>
      <c r="AQ165" s="1219"/>
    </row>
    <row r="166" spans="1:43" ht="30" customHeight="1" x14ac:dyDescent="0.25">
      <c r="A166" s="3">
        <f t="shared" si="5"/>
        <v>154</v>
      </c>
      <c r="B166" s="540" t="s">
        <v>162</v>
      </c>
      <c r="C166" s="540"/>
      <c r="D166" s="540"/>
      <c r="E166" s="1264"/>
      <c r="F166" s="1264"/>
      <c r="G166" s="1264"/>
      <c r="H166" s="540"/>
      <c r="I166" s="540"/>
      <c r="J166" s="540"/>
      <c r="K166" s="540"/>
      <c r="L166" s="540"/>
      <c r="M166" s="540"/>
      <c r="N166" s="540"/>
      <c r="O166" s="540"/>
      <c r="P166" s="540"/>
      <c r="Q166" s="540"/>
      <c r="R166" s="540"/>
      <c r="S166" s="540"/>
      <c r="T166" s="540"/>
      <c r="U166" s="540"/>
      <c r="V166" s="540"/>
      <c r="W166" s="540"/>
      <c r="X166" s="540"/>
      <c r="Y166" s="540"/>
      <c r="Z166" s="540"/>
      <c r="AA166" s="540"/>
      <c r="AB166" s="540"/>
      <c r="AC166" s="540"/>
      <c r="AD166" s="540"/>
      <c r="AE166" s="540"/>
      <c r="AF166" s="540"/>
      <c r="AG166" s="540"/>
      <c r="AH166" s="540"/>
      <c r="AI166" s="540"/>
      <c r="AJ166" s="540"/>
      <c r="AK166" s="540"/>
      <c r="AL166" s="540"/>
      <c r="AM166" s="540"/>
      <c r="AN166" s="540"/>
      <c r="AO166" s="540"/>
      <c r="AP166" s="540"/>
      <c r="AQ166" s="540"/>
    </row>
    <row r="167" spans="1:43" ht="30" customHeight="1" x14ac:dyDescent="0.25">
      <c r="A167" s="3">
        <f t="shared" si="5"/>
        <v>155</v>
      </c>
      <c r="B167" s="1219" t="s">
        <v>162</v>
      </c>
      <c r="C167" s="1219"/>
      <c r="D167" s="1219"/>
      <c r="E167" s="1263"/>
      <c r="F167" s="1263"/>
      <c r="G167" s="1263"/>
      <c r="H167" s="1219"/>
      <c r="I167" s="1219"/>
      <c r="J167" s="1219"/>
      <c r="K167" s="1219"/>
      <c r="L167" s="1219"/>
      <c r="M167" s="1219"/>
      <c r="N167" s="1219"/>
      <c r="O167" s="1219"/>
      <c r="P167" s="1219"/>
      <c r="Q167" s="1219"/>
      <c r="R167" s="1219"/>
      <c r="S167" s="1219"/>
      <c r="T167" s="1219"/>
      <c r="U167" s="1219"/>
      <c r="V167" s="1219"/>
      <c r="W167" s="1219"/>
      <c r="X167" s="1219"/>
      <c r="Y167" s="1219"/>
      <c r="Z167" s="1219"/>
      <c r="AA167" s="1219"/>
      <c r="AB167" s="1219"/>
      <c r="AC167" s="1219"/>
      <c r="AD167" s="1219"/>
      <c r="AE167" s="1219"/>
      <c r="AF167" s="1219"/>
      <c r="AG167" s="1219"/>
      <c r="AH167" s="1219"/>
      <c r="AI167" s="1219"/>
      <c r="AJ167" s="1219"/>
      <c r="AK167" s="1219"/>
      <c r="AL167" s="1219"/>
      <c r="AM167" s="1219"/>
      <c r="AN167" s="1219"/>
      <c r="AO167" s="1219"/>
      <c r="AP167" s="1219"/>
      <c r="AQ167" s="1219"/>
    </row>
    <row r="168" spans="1:43" ht="30" customHeight="1" x14ac:dyDescent="0.25">
      <c r="A168" s="3">
        <f t="shared" si="5"/>
        <v>156</v>
      </c>
      <c r="B168" s="540" t="s">
        <v>162</v>
      </c>
      <c r="C168" s="540"/>
      <c r="D168" s="540"/>
      <c r="E168" s="1264"/>
      <c r="F168" s="1264"/>
      <c r="G168" s="1264"/>
      <c r="H168" s="540"/>
      <c r="I168" s="540"/>
      <c r="J168" s="540"/>
      <c r="K168" s="540"/>
      <c r="L168" s="540"/>
      <c r="M168" s="540"/>
      <c r="N168" s="540"/>
      <c r="O168" s="540"/>
      <c r="P168" s="540"/>
      <c r="Q168" s="540"/>
      <c r="R168" s="540"/>
      <c r="S168" s="540"/>
      <c r="T168" s="540"/>
      <c r="U168" s="540"/>
      <c r="V168" s="540"/>
      <c r="W168" s="540"/>
      <c r="X168" s="540"/>
      <c r="Y168" s="540"/>
      <c r="Z168" s="540"/>
      <c r="AA168" s="540"/>
      <c r="AB168" s="540"/>
      <c r="AC168" s="540"/>
      <c r="AD168" s="540"/>
      <c r="AE168" s="540"/>
      <c r="AF168" s="540"/>
      <c r="AG168" s="540"/>
      <c r="AH168" s="540"/>
      <c r="AI168" s="540"/>
      <c r="AJ168" s="540"/>
      <c r="AK168" s="540"/>
      <c r="AL168" s="540"/>
      <c r="AM168" s="540"/>
      <c r="AN168" s="540"/>
      <c r="AO168" s="540"/>
      <c r="AP168" s="540"/>
      <c r="AQ168" s="540"/>
    </row>
    <row r="169" spans="1:43" ht="30" customHeight="1" x14ac:dyDescent="0.25">
      <c r="A169" s="3">
        <f t="shared" si="5"/>
        <v>157</v>
      </c>
      <c r="B169" s="1219" t="s">
        <v>162</v>
      </c>
      <c r="C169" s="1219"/>
      <c r="D169" s="1219"/>
      <c r="E169" s="1263"/>
      <c r="F169" s="1263"/>
      <c r="G169" s="1263"/>
      <c r="H169" s="1219"/>
      <c r="I169" s="1219"/>
      <c r="J169" s="1219"/>
      <c r="K169" s="1219"/>
      <c r="L169" s="1219"/>
      <c r="M169" s="1219"/>
      <c r="N169" s="1219"/>
      <c r="O169" s="1219"/>
      <c r="P169" s="1219"/>
      <c r="Q169" s="1219"/>
      <c r="R169" s="1219"/>
      <c r="S169" s="1219"/>
      <c r="T169" s="1219"/>
      <c r="U169" s="1219"/>
      <c r="V169" s="1219"/>
      <c r="W169" s="1219"/>
      <c r="X169" s="1219"/>
      <c r="Y169" s="1219"/>
      <c r="Z169" s="1219"/>
      <c r="AA169" s="1219"/>
      <c r="AB169" s="1219"/>
      <c r="AC169" s="1219"/>
      <c r="AD169" s="1219"/>
      <c r="AE169" s="1219"/>
      <c r="AF169" s="1219"/>
      <c r="AG169" s="1219"/>
      <c r="AH169" s="1219"/>
      <c r="AI169" s="1219"/>
      <c r="AJ169" s="1219"/>
      <c r="AK169" s="1219"/>
      <c r="AL169" s="1219"/>
      <c r="AM169" s="1219"/>
      <c r="AN169" s="1219"/>
      <c r="AO169" s="1219"/>
      <c r="AP169" s="1219"/>
      <c r="AQ169" s="1219"/>
    </row>
    <row r="170" spans="1:43" ht="30" customHeight="1" x14ac:dyDescent="0.25">
      <c r="A170" s="3">
        <f t="shared" si="5"/>
        <v>158</v>
      </c>
      <c r="B170" s="540" t="s">
        <v>162</v>
      </c>
      <c r="C170" s="540"/>
      <c r="D170" s="540"/>
      <c r="E170" s="1264"/>
      <c r="F170" s="1264"/>
      <c r="G170" s="1264"/>
      <c r="H170" s="540"/>
      <c r="I170" s="540"/>
      <c r="J170" s="540"/>
      <c r="K170" s="540"/>
      <c r="L170" s="540"/>
      <c r="M170" s="540"/>
      <c r="N170" s="540"/>
      <c r="O170" s="540"/>
      <c r="P170" s="540"/>
      <c r="Q170" s="540"/>
      <c r="R170" s="540"/>
      <c r="S170" s="540"/>
      <c r="T170" s="540"/>
      <c r="U170" s="540"/>
      <c r="V170" s="540"/>
      <c r="W170" s="540"/>
      <c r="X170" s="540"/>
      <c r="Y170" s="540"/>
      <c r="Z170" s="540"/>
      <c r="AA170" s="540"/>
      <c r="AB170" s="540"/>
      <c r="AC170" s="540"/>
      <c r="AD170" s="540"/>
      <c r="AE170" s="540"/>
      <c r="AF170" s="540"/>
      <c r="AG170" s="540"/>
      <c r="AH170" s="540"/>
      <c r="AI170" s="540"/>
      <c r="AJ170" s="540"/>
      <c r="AK170" s="540"/>
      <c r="AL170" s="540"/>
      <c r="AM170" s="540"/>
      <c r="AN170" s="540"/>
      <c r="AO170" s="540"/>
      <c r="AP170" s="540"/>
      <c r="AQ170" s="540"/>
    </row>
    <row r="171" spans="1:43" ht="30" customHeight="1" x14ac:dyDescent="0.25">
      <c r="A171" s="3">
        <f t="shared" si="5"/>
        <v>159</v>
      </c>
      <c r="B171" s="1219" t="s">
        <v>162</v>
      </c>
      <c r="C171" s="1219"/>
      <c r="D171" s="1219"/>
      <c r="E171" s="1263"/>
      <c r="F171" s="1263"/>
      <c r="G171" s="1263"/>
      <c r="H171" s="1219"/>
      <c r="I171" s="1219"/>
      <c r="J171" s="1219"/>
      <c r="K171" s="1219"/>
      <c r="L171" s="1219"/>
      <c r="M171" s="1219"/>
      <c r="N171" s="1219"/>
      <c r="O171" s="1219"/>
      <c r="P171" s="1219"/>
      <c r="Q171" s="1219"/>
      <c r="R171" s="1219"/>
      <c r="S171" s="1219"/>
      <c r="T171" s="1219"/>
      <c r="U171" s="1219"/>
      <c r="V171" s="1219"/>
      <c r="W171" s="1219"/>
      <c r="X171" s="1219"/>
      <c r="Y171" s="1219"/>
      <c r="Z171" s="1219"/>
      <c r="AA171" s="1219"/>
      <c r="AB171" s="1219"/>
      <c r="AC171" s="1219"/>
      <c r="AD171" s="1219"/>
      <c r="AE171" s="1219"/>
      <c r="AF171" s="1219"/>
      <c r="AG171" s="1219"/>
      <c r="AH171" s="1219"/>
      <c r="AI171" s="1219"/>
      <c r="AJ171" s="1219"/>
      <c r="AK171" s="1219"/>
      <c r="AL171" s="1219"/>
      <c r="AM171" s="1219"/>
      <c r="AN171" s="1219"/>
      <c r="AO171" s="1219"/>
      <c r="AP171" s="1219"/>
      <c r="AQ171" s="1219"/>
    </row>
    <row r="172" spans="1:43" ht="30" customHeight="1" x14ac:dyDescent="0.25">
      <c r="A172" s="3">
        <f t="shared" si="5"/>
        <v>160</v>
      </c>
      <c r="B172" s="540" t="s">
        <v>162</v>
      </c>
      <c r="C172" s="540"/>
      <c r="D172" s="540"/>
      <c r="E172" s="1264"/>
      <c r="F172" s="1264"/>
      <c r="G172" s="1264"/>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C172" s="540"/>
      <c r="AD172" s="540"/>
      <c r="AE172" s="540"/>
      <c r="AF172" s="540"/>
      <c r="AG172" s="540"/>
      <c r="AH172" s="540"/>
      <c r="AI172" s="540"/>
      <c r="AJ172" s="540"/>
      <c r="AK172" s="540"/>
      <c r="AL172" s="540"/>
      <c r="AM172" s="540"/>
      <c r="AN172" s="540"/>
      <c r="AO172" s="540"/>
      <c r="AP172" s="540"/>
      <c r="AQ172" s="540"/>
    </row>
    <row r="173" spans="1:43" ht="30" customHeight="1" x14ac:dyDescent="0.25">
      <c r="A173" s="3">
        <f>ROW(A161)</f>
        <v>161</v>
      </c>
      <c r="B173" s="1219" t="s">
        <v>162</v>
      </c>
      <c r="C173" s="1219"/>
      <c r="D173" s="1219"/>
      <c r="E173" s="1263"/>
      <c r="F173" s="1263"/>
      <c r="G173" s="1263"/>
      <c r="H173" s="1219"/>
      <c r="I173" s="1219"/>
      <c r="J173" s="1219"/>
      <c r="K173" s="1219"/>
      <c r="L173" s="1219"/>
      <c r="M173" s="1219"/>
      <c r="N173" s="1219"/>
      <c r="O173" s="1219"/>
      <c r="P173" s="1219"/>
      <c r="Q173" s="1219"/>
      <c r="R173" s="1219"/>
      <c r="S173" s="1219"/>
      <c r="T173" s="1219"/>
      <c r="U173" s="1219"/>
      <c r="V173" s="1219"/>
      <c r="W173" s="1219"/>
      <c r="X173" s="1219"/>
      <c r="Y173" s="1219"/>
      <c r="Z173" s="1219"/>
      <c r="AA173" s="1219"/>
      <c r="AB173" s="1219"/>
      <c r="AC173" s="1219"/>
      <c r="AD173" s="1219"/>
      <c r="AE173" s="1219"/>
      <c r="AF173" s="1219"/>
      <c r="AG173" s="1219"/>
      <c r="AH173" s="1219"/>
      <c r="AI173" s="1219"/>
      <c r="AJ173" s="1219"/>
      <c r="AK173" s="1219"/>
      <c r="AL173" s="1219"/>
      <c r="AM173" s="1219"/>
      <c r="AN173" s="1219"/>
      <c r="AO173" s="1219"/>
      <c r="AP173" s="1219"/>
      <c r="AQ173" s="1219"/>
    </row>
    <row r="174" spans="1:43" ht="30" customHeight="1" x14ac:dyDescent="0.25">
      <c r="A174" s="3">
        <f t="shared" si="5"/>
        <v>162</v>
      </c>
      <c r="B174" s="540" t="s">
        <v>162</v>
      </c>
      <c r="C174" s="540"/>
      <c r="D174" s="540"/>
      <c r="E174" s="1264"/>
      <c r="F174" s="1264"/>
      <c r="G174" s="1264"/>
      <c r="H174" s="540"/>
      <c r="I174" s="540"/>
      <c r="J174" s="540"/>
      <c r="K174" s="540"/>
      <c r="L174" s="540"/>
      <c r="M174" s="540"/>
      <c r="N174" s="540"/>
      <c r="O174" s="540"/>
      <c r="P174" s="540"/>
      <c r="Q174" s="540"/>
      <c r="R174" s="540"/>
      <c r="S174" s="540"/>
      <c r="T174" s="540"/>
      <c r="U174" s="540"/>
      <c r="V174" s="540"/>
      <c r="W174" s="540"/>
      <c r="X174" s="540"/>
      <c r="Y174" s="540"/>
      <c r="Z174" s="540"/>
      <c r="AA174" s="540"/>
      <c r="AB174" s="540"/>
      <c r="AC174" s="540"/>
      <c r="AD174" s="540"/>
      <c r="AE174" s="540"/>
      <c r="AF174" s="540"/>
      <c r="AG174" s="540"/>
      <c r="AH174" s="540"/>
      <c r="AI174" s="540"/>
      <c r="AJ174" s="540"/>
      <c r="AK174" s="540"/>
      <c r="AL174" s="540"/>
      <c r="AM174" s="540"/>
      <c r="AN174" s="540"/>
      <c r="AO174" s="540"/>
      <c r="AP174" s="540"/>
      <c r="AQ174" s="540"/>
    </row>
    <row r="175" spans="1:43" ht="30" customHeight="1" x14ac:dyDescent="0.25">
      <c r="A175" s="3">
        <f t="shared" si="5"/>
        <v>163</v>
      </c>
      <c r="B175" s="1219" t="s">
        <v>162</v>
      </c>
      <c r="C175" s="1219"/>
      <c r="D175" s="1219"/>
      <c r="E175" s="1263"/>
      <c r="F175" s="1263"/>
      <c r="G175" s="1263"/>
      <c r="H175" s="1219"/>
      <c r="I175" s="1219"/>
      <c r="J175" s="1219"/>
      <c r="K175" s="1219"/>
      <c r="L175" s="1219"/>
      <c r="M175" s="1219"/>
      <c r="N175" s="1219"/>
      <c r="O175" s="1219"/>
      <c r="P175" s="1219"/>
      <c r="Q175" s="1219"/>
      <c r="R175" s="1219"/>
      <c r="S175" s="1219"/>
      <c r="T175" s="1219"/>
      <c r="U175" s="1219"/>
      <c r="V175" s="1219"/>
      <c r="W175" s="1219"/>
      <c r="X175" s="1219"/>
      <c r="Y175" s="1219"/>
      <c r="Z175" s="1219"/>
      <c r="AA175" s="1219"/>
      <c r="AB175" s="1219"/>
      <c r="AC175" s="1219"/>
      <c r="AD175" s="1219"/>
      <c r="AE175" s="1219"/>
      <c r="AF175" s="1219"/>
      <c r="AG175" s="1219"/>
      <c r="AH175" s="1219"/>
      <c r="AI175" s="1219"/>
      <c r="AJ175" s="1219"/>
      <c r="AK175" s="1219"/>
      <c r="AL175" s="1219"/>
      <c r="AM175" s="1219"/>
      <c r="AN175" s="1219"/>
      <c r="AO175" s="1219"/>
      <c r="AP175" s="1219"/>
      <c r="AQ175" s="1219"/>
    </row>
    <row r="176" spans="1:43" ht="30" customHeight="1" x14ac:dyDescent="0.25">
      <c r="A176" s="3">
        <f t="shared" si="5"/>
        <v>164</v>
      </c>
      <c r="B176" s="540" t="s">
        <v>162</v>
      </c>
      <c r="C176" s="540"/>
      <c r="D176" s="540"/>
      <c r="E176" s="1264"/>
      <c r="F176" s="1264"/>
      <c r="G176" s="1264"/>
      <c r="H176" s="540"/>
      <c r="I176" s="540"/>
      <c r="J176" s="540"/>
      <c r="K176" s="540"/>
      <c r="L176" s="540"/>
      <c r="M176" s="540"/>
      <c r="N176" s="540"/>
      <c r="O176" s="540"/>
      <c r="P176" s="540"/>
      <c r="Q176" s="540"/>
      <c r="R176" s="540"/>
      <c r="S176" s="540"/>
      <c r="T176" s="540"/>
      <c r="U176" s="540"/>
      <c r="V176" s="540"/>
      <c r="W176" s="540"/>
      <c r="X176" s="540"/>
      <c r="Y176" s="540"/>
      <c r="Z176" s="540"/>
      <c r="AA176" s="540"/>
      <c r="AB176" s="540"/>
      <c r="AC176" s="540"/>
      <c r="AD176" s="540"/>
      <c r="AE176" s="540"/>
      <c r="AF176" s="540"/>
      <c r="AG176" s="540"/>
      <c r="AH176" s="540"/>
      <c r="AI176" s="540"/>
      <c r="AJ176" s="540"/>
      <c r="AK176" s="540"/>
      <c r="AL176" s="540"/>
      <c r="AM176" s="540"/>
      <c r="AN176" s="540"/>
      <c r="AO176" s="540"/>
      <c r="AP176" s="540"/>
      <c r="AQ176" s="540"/>
    </row>
    <row r="177" spans="1:43" ht="30" customHeight="1" x14ac:dyDescent="0.25">
      <c r="A177" s="3">
        <f t="shared" si="5"/>
        <v>165</v>
      </c>
      <c r="B177" s="1219" t="s">
        <v>162</v>
      </c>
      <c r="C177" s="1219"/>
      <c r="D177" s="1219"/>
      <c r="E177" s="1263"/>
      <c r="F177" s="1263"/>
      <c r="G177" s="1263"/>
      <c r="H177" s="1219"/>
      <c r="I177" s="1219"/>
      <c r="J177" s="1219"/>
      <c r="K177" s="1219"/>
      <c r="L177" s="1219"/>
      <c r="M177" s="1219"/>
      <c r="N177" s="1219"/>
      <c r="O177" s="1219"/>
      <c r="P177" s="1219"/>
      <c r="Q177" s="1219"/>
      <c r="R177" s="1219"/>
      <c r="S177" s="1219"/>
      <c r="T177" s="1219"/>
      <c r="U177" s="1219"/>
      <c r="V177" s="1219"/>
      <c r="W177" s="1219"/>
      <c r="X177" s="1219"/>
      <c r="Y177" s="1219"/>
      <c r="Z177" s="1219"/>
      <c r="AA177" s="1219"/>
      <c r="AB177" s="1219"/>
      <c r="AC177" s="1219"/>
      <c r="AD177" s="1219"/>
      <c r="AE177" s="1219"/>
      <c r="AF177" s="1219"/>
      <c r="AG177" s="1219"/>
      <c r="AH177" s="1219"/>
      <c r="AI177" s="1219"/>
      <c r="AJ177" s="1219"/>
      <c r="AK177" s="1219"/>
      <c r="AL177" s="1219"/>
      <c r="AM177" s="1219"/>
      <c r="AN177" s="1219"/>
      <c r="AO177" s="1219"/>
      <c r="AP177" s="1219"/>
      <c r="AQ177" s="1219"/>
    </row>
    <row r="178" spans="1:43" ht="30" customHeight="1" x14ac:dyDescent="0.25">
      <c r="A178" s="3">
        <f t="shared" ref="A178:A182" si="6">ROW(A166)</f>
        <v>166</v>
      </c>
      <c r="B178" s="540" t="s">
        <v>162</v>
      </c>
      <c r="C178" s="540"/>
      <c r="D178" s="540"/>
      <c r="E178" s="1264"/>
      <c r="F178" s="1264"/>
      <c r="G178" s="1264"/>
      <c r="H178" s="540"/>
      <c r="I178" s="540"/>
      <c r="J178" s="540"/>
      <c r="K178" s="540"/>
      <c r="L178" s="540"/>
      <c r="M178" s="540"/>
      <c r="N178" s="540"/>
      <c r="O178" s="540"/>
      <c r="P178" s="540"/>
      <c r="Q178" s="540"/>
      <c r="R178" s="540"/>
      <c r="S178" s="540"/>
      <c r="T178" s="540"/>
      <c r="U178" s="540"/>
      <c r="V178" s="540"/>
      <c r="W178" s="540"/>
      <c r="X178" s="540"/>
      <c r="Y178" s="540"/>
      <c r="Z178" s="540"/>
      <c r="AA178" s="540"/>
      <c r="AB178" s="540"/>
      <c r="AC178" s="540"/>
      <c r="AD178" s="540"/>
      <c r="AE178" s="540"/>
      <c r="AF178" s="540"/>
      <c r="AG178" s="540"/>
      <c r="AH178" s="540"/>
      <c r="AI178" s="540"/>
      <c r="AJ178" s="540"/>
      <c r="AK178" s="540"/>
      <c r="AL178" s="540"/>
      <c r="AM178" s="540"/>
      <c r="AN178" s="540"/>
      <c r="AO178" s="540"/>
      <c r="AP178" s="540"/>
      <c r="AQ178" s="540"/>
    </row>
    <row r="179" spans="1:43" ht="30" customHeight="1" x14ac:dyDescent="0.25">
      <c r="A179" s="3">
        <f t="shared" si="6"/>
        <v>167</v>
      </c>
      <c r="B179" s="1219" t="s">
        <v>162</v>
      </c>
      <c r="C179" s="1219"/>
      <c r="D179" s="1219"/>
      <c r="E179" s="1263"/>
      <c r="F179" s="1263"/>
      <c r="G179" s="1263"/>
      <c r="H179" s="1219"/>
      <c r="I179" s="1219"/>
      <c r="J179" s="1219"/>
      <c r="K179" s="1219"/>
      <c r="L179" s="1219"/>
      <c r="M179" s="1219"/>
      <c r="N179" s="1219"/>
      <c r="O179" s="1219"/>
      <c r="P179" s="1219"/>
      <c r="Q179" s="1219"/>
      <c r="R179" s="1219"/>
      <c r="S179" s="1219"/>
      <c r="T179" s="1219"/>
      <c r="U179" s="1219"/>
      <c r="V179" s="1219"/>
      <c r="W179" s="1219"/>
      <c r="X179" s="1219"/>
      <c r="Y179" s="1219"/>
      <c r="Z179" s="1219"/>
      <c r="AA179" s="1219"/>
      <c r="AB179" s="1219"/>
      <c r="AC179" s="1219"/>
      <c r="AD179" s="1219"/>
      <c r="AE179" s="1219"/>
      <c r="AF179" s="1219"/>
      <c r="AG179" s="1219"/>
      <c r="AH179" s="1219"/>
      <c r="AI179" s="1219"/>
      <c r="AJ179" s="1219"/>
      <c r="AK179" s="1219"/>
      <c r="AL179" s="1219"/>
      <c r="AM179" s="1219"/>
      <c r="AN179" s="1219"/>
      <c r="AO179" s="1219"/>
      <c r="AP179" s="1219"/>
      <c r="AQ179" s="1219"/>
    </row>
    <row r="180" spans="1:43" ht="30" customHeight="1" x14ac:dyDescent="0.25">
      <c r="A180" s="3">
        <f t="shared" si="6"/>
        <v>168</v>
      </c>
      <c r="B180" s="540" t="s">
        <v>162</v>
      </c>
      <c r="C180" s="540"/>
      <c r="D180" s="540"/>
      <c r="E180" s="1264"/>
      <c r="F180" s="1264"/>
      <c r="G180" s="1264"/>
      <c r="H180" s="540"/>
      <c r="I180" s="540"/>
      <c r="J180" s="540"/>
      <c r="K180" s="540"/>
      <c r="L180" s="540"/>
      <c r="M180" s="540"/>
      <c r="N180" s="540"/>
      <c r="O180" s="540"/>
      <c r="P180" s="540"/>
      <c r="Q180" s="540"/>
      <c r="R180" s="540"/>
      <c r="S180" s="540"/>
      <c r="T180" s="540"/>
      <c r="U180" s="540"/>
      <c r="V180" s="540"/>
      <c r="W180" s="540"/>
      <c r="X180" s="540"/>
      <c r="Y180" s="540"/>
      <c r="Z180" s="540"/>
      <c r="AA180" s="540"/>
      <c r="AB180" s="540"/>
      <c r="AC180" s="540"/>
      <c r="AD180" s="540"/>
      <c r="AE180" s="540"/>
      <c r="AF180" s="540"/>
      <c r="AG180" s="540"/>
      <c r="AH180" s="540"/>
      <c r="AI180" s="540"/>
      <c r="AJ180" s="540"/>
      <c r="AK180" s="540"/>
      <c r="AL180" s="540"/>
      <c r="AM180" s="540"/>
      <c r="AN180" s="540"/>
      <c r="AO180" s="540"/>
      <c r="AP180" s="540"/>
      <c r="AQ180" s="540"/>
    </row>
    <row r="181" spans="1:43" ht="30" customHeight="1" x14ac:dyDescent="0.25">
      <c r="A181" s="3">
        <f t="shared" si="6"/>
        <v>169</v>
      </c>
      <c r="B181" s="1219" t="s">
        <v>162</v>
      </c>
      <c r="C181" s="1219"/>
      <c r="D181" s="1219"/>
      <c r="E181" s="1263"/>
      <c r="F181" s="1263"/>
      <c r="G181" s="1263"/>
      <c r="H181" s="1219"/>
      <c r="I181" s="1219"/>
      <c r="J181" s="1219"/>
      <c r="K181" s="1219"/>
      <c r="L181" s="1219"/>
      <c r="M181" s="1219"/>
      <c r="N181" s="1219"/>
      <c r="O181" s="1219"/>
      <c r="P181" s="1219"/>
      <c r="Q181" s="1219"/>
      <c r="R181" s="1219"/>
      <c r="S181" s="1219"/>
      <c r="T181" s="1219"/>
      <c r="U181" s="1219"/>
      <c r="V181" s="1219"/>
      <c r="W181" s="1219"/>
      <c r="X181" s="1219"/>
      <c r="Y181" s="1219"/>
      <c r="Z181" s="1219"/>
      <c r="AA181" s="1219"/>
      <c r="AB181" s="1219"/>
      <c r="AC181" s="1219"/>
      <c r="AD181" s="1219"/>
      <c r="AE181" s="1219"/>
      <c r="AF181" s="1219"/>
      <c r="AG181" s="1219"/>
      <c r="AH181" s="1219"/>
      <c r="AI181" s="1219"/>
      <c r="AJ181" s="1219"/>
      <c r="AK181" s="1219"/>
      <c r="AL181" s="1219"/>
      <c r="AM181" s="1219"/>
      <c r="AN181" s="1219"/>
      <c r="AO181" s="1219"/>
      <c r="AP181" s="1219"/>
      <c r="AQ181" s="1219"/>
    </row>
    <row r="182" spans="1:43" ht="30" customHeight="1" x14ac:dyDescent="0.25">
      <c r="A182" s="3">
        <f t="shared" si="6"/>
        <v>170</v>
      </c>
      <c r="B182" s="540" t="s">
        <v>162</v>
      </c>
      <c r="C182" s="540"/>
      <c r="D182" s="540"/>
      <c r="E182" s="1264"/>
      <c r="F182" s="1264"/>
      <c r="G182" s="1264"/>
      <c r="H182" s="540"/>
      <c r="I182" s="540"/>
      <c r="J182" s="540"/>
      <c r="K182" s="540"/>
      <c r="L182" s="540"/>
      <c r="M182" s="540"/>
      <c r="N182" s="540"/>
      <c r="O182" s="540"/>
      <c r="P182" s="540"/>
      <c r="Q182" s="540"/>
      <c r="R182" s="540"/>
      <c r="S182" s="540"/>
      <c r="T182" s="540"/>
      <c r="U182" s="540"/>
      <c r="V182" s="540"/>
      <c r="W182" s="540"/>
      <c r="X182" s="540"/>
      <c r="Y182" s="540"/>
      <c r="Z182" s="540"/>
      <c r="AA182" s="540"/>
      <c r="AB182" s="540"/>
      <c r="AC182" s="540"/>
      <c r="AD182" s="540"/>
      <c r="AE182" s="540"/>
      <c r="AF182" s="540"/>
      <c r="AG182" s="540"/>
      <c r="AH182" s="540"/>
      <c r="AI182" s="540"/>
      <c r="AJ182" s="540"/>
      <c r="AK182" s="540"/>
      <c r="AL182" s="540"/>
      <c r="AM182" s="540"/>
      <c r="AN182" s="540"/>
      <c r="AO182" s="540"/>
      <c r="AP182" s="540"/>
      <c r="AQ182" s="540"/>
    </row>
    <row r="183" spans="1:43" ht="30" customHeight="1" x14ac:dyDescent="0.25">
      <c r="A183" s="3">
        <f>ROW(A171)</f>
        <v>171</v>
      </c>
      <c r="B183" s="1219" t="s">
        <v>162</v>
      </c>
      <c r="C183" s="1219"/>
      <c r="D183" s="1219"/>
      <c r="E183" s="1263"/>
      <c r="F183" s="1263"/>
      <c r="G183" s="1263"/>
      <c r="H183" s="1219"/>
      <c r="I183" s="1219"/>
      <c r="J183" s="1219"/>
      <c r="K183" s="1219"/>
      <c r="L183" s="1219"/>
      <c r="M183" s="1219"/>
      <c r="N183" s="1219"/>
      <c r="O183" s="1219"/>
      <c r="P183" s="1219"/>
      <c r="Q183" s="1219"/>
      <c r="R183" s="1219"/>
      <c r="S183" s="1219"/>
      <c r="T183" s="1219"/>
      <c r="U183" s="1219"/>
      <c r="V183" s="1219"/>
      <c r="W183" s="1219"/>
      <c r="X183" s="1219"/>
      <c r="Y183" s="1219"/>
      <c r="Z183" s="1219"/>
      <c r="AA183" s="1219"/>
      <c r="AB183" s="1219"/>
      <c r="AC183" s="1219"/>
      <c r="AD183" s="1219"/>
      <c r="AE183" s="1219"/>
      <c r="AF183" s="1219"/>
      <c r="AG183" s="1219"/>
      <c r="AH183" s="1219"/>
      <c r="AI183" s="1219"/>
      <c r="AJ183" s="1219"/>
      <c r="AK183" s="1219"/>
      <c r="AL183" s="1219"/>
      <c r="AM183" s="1219"/>
      <c r="AN183" s="1219"/>
      <c r="AO183" s="1219"/>
      <c r="AP183" s="1219"/>
      <c r="AQ183" s="1219"/>
    </row>
    <row r="184" spans="1:43" ht="30" customHeight="1" x14ac:dyDescent="0.25">
      <c r="A184" s="3">
        <f t="shared" ref="A184:A192" si="7">ROW(A172)</f>
        <v>172</v>
      </c>
      <c r="B184" s="540" t="s">
        <v>162</v>
      </c>
      <c r="C184" s="540"/>
      <c r="D184" s="540"/>
      <c r="E184" s="1264"/>
      <c r="F184" s="1264"/>
      <c r="G184" s="1264"/>
      <c r="H184" s="540"/>
      <c r="I184" s="540"/>
      <c r="J184" s="540"/>
      <c r="K184" s="540"/>
      <c r="L184" s="540"/>
      <c r="M184" s="540"/>
      <c r="N184" s="540"/>
      <c r="O184" s="540"/>
      <c r="P184" s="540"/>
      <c r="Q184" s="540"/>
      <c r="R184" s="540"/>
      <c r="S184" s="540"/>
      <c r="T184" s="540"/>
      <c r="U184" s="540"/>
      <c r="V184" s="540"/>
      <c r="W184" s="540"/>
      <c r="X184" s="540"/>
      <c r="Y184" s="540"/>
      <c r="Z184" s="540"/>
      <c r="AA184" s="540"/>
      <c r="AB184" s="540"/>
      <c r="AC184" s="540"/>
      <c r="AD184" s="540"/>
      <c r="AE184" s="540"/>
      <c r="AF184" s="540"/>
      <c r="AG184" s="540"/>
      <c r="AH184" s="540"/>
      <c r="AI184" s="540"/>
      <c r="AJ184" s="540"/>
      <c r="AK184" s="540"/>
      <c r="AL184" s="540"/>
      <c r="AM184" s="540"/>
      <c r="AN184" s="540"/>
      <c r="AO184" s="540"/>
      <c r="AP184" s="540"/>
      <c r="AQ184" s="540"/>
    </row>
    <row r="185" spans="1:43" ht="30" customHeight="1" x14ac:dyDescent="0.25">
      <c r="A185" s="3">
        <f t="shared" si="7"/>
        <v>173</v>
      </c>
      <c r="B185" s="1219" t="s">
        <v>162</v>
      </c>
      <c r="C185" s="1219"/>
      <c r="D185" s="1219"/>
      <c r="E185" s="1263"/>
      <c r="F185" s="1263"/>
      <c r="G185" s="1263"/>
      <c r="H185" s="1219"/>
      <c r="I185" s="1219"/>
      <c r="J185" s="1219"/>
      <c r="K185" s="1219"/>
      <c r="L185" s="1219"/>
      <c r="M185" s="1219"/>
      <c r="N185" s="1219"/>
      <c r="O185" s="1219"/>
      <c r="P185" s="1219"/>
      <c r="Q185" s="1219"/>
      <c r="R185" s="1219"/>
      <c r="S185" s="1219"/>
      <c r="T185" s="1219"/>
      <c r="U185" s="1219"/>
      <c r="V185" s="1219"/>
      <c r="W185" s="1219"/>
      <c r="X185" s="1219"/>
      <c r="Y185" s="1219"/>
      <c r="Z185" s="1219"/>
      <c r="AA185" s="1219"/>
      <c r="AB185" s="1219"/>
      <c r="AC185" s="1219"/>
      <c r="AD185" s="1219"/>
      <c r="AE185" s="1219"/>
      <c r="AF185" s="1219"/>
      <c r="AG185" s="1219"/>
      <c r="AH185" s="1219"/>
      <c r="AI185" s="1219"/>
      <c r="AJ185" s="1219"/>
      <c r="AK185" s="1219"/>
      <c r="AL185" s="1219"/>
      <c r="AM185" s="1219"/>
      <c r="AN185" s="1219"/>
      <c r="AO185" s="1219"/>
      <c r="AP185" s="1219"/>
      <c r="AQ185" s="1219"/>
    </row>
    <row r="186" spans="1:43" ht="30" customHeight="1" x14ac:dyDescent="0.25">
      <c r="A186" s="3">
        <f t="shared" si="7"/>
        <v>174</v>
      </c>
      <c r="B186" s="540" t="s">
        <v>162</v>
      </c>
      <c r="C186" s="540"/>
      <c r="D186" s="540"/>
      <c r="E186" s="1264"/>
      <c r="F186" s="1264"/>
      <c r="G186" s="1264"/>
      <c r="H186" s="540"/>
      <c r="I186" s="540"/>
      <c r="J186" s="540"/>
      <c r="K186" s="540"/>
      <c r="L186" s="540"/>
      <c r="M186" s="540"/>
      <c r="N186" s="540"/>
      <c r="O186" s="540"/>
      <c r="P186" s="540"/>
      <c r="Q186" s="540"/>
      <c r="R186" s="540"/>
      <c r="S186" s="540"/>
      <c r="T186" s="540"/>
      <c r="U186" s="540"/>
      <c r="V186" s="540"/>
      <c r="W186" s="540"/>
      <c r="X186" s="540"/>
      <c r="Y186" s="540"/>
      <c r="Z186" s="540"/>
      <c r="AA186" s="540"/>
      <c r="AB186" s="540"/>
      <c r="AC186" s="540"/>
      <c r="AD186" s="540"/>
      <c r="AE186" s="540"/>
      <c r="AF186" s="540"/>
      <c r="AG186" s="540"/>
      <c r="AH186" s="540"/>
      <c r="AI186" s="540"/>
      <c r="AJ186" s="540"/>
      <c r="AK186" s="540"/>
      <c r="AL186" s="540"/>
      <c r="AM186" s="540"/>
      <c r="AN186" s="540"/>
      <c r="AO186" s="540"/>
      <c r="AP186" s="540"/>
      <c r="AQ186" s="540"/>
    </row>
    <row r="187" spans="1:43" ht="30" customHeight="1" x14ac:dyDescent="0.25">
      <c r="A187" s="3">
        <f t="shared" si="7"/>
        <v>175</v>
      </c>
      <c r="B187" s="1219" t="s">
        <v>162</v>
      </c>
      <c r="C187" s="1219"/>
      <c r="D187" s="1219"/>
      <c r="E187" s="1263"/>
      <c r="F187" s="1263"/>
      <c r="G187" s="1263"/>
      <c r="H187" s="1219"/>
      <c r="I187" s="1219"/>
      <c r="J187" s="1219"/>
      <c r="K187" s="1219"/>
      <c r="L187" s="1219"/>
      <c r="M187" s="1219"/>
      <c r="N187" s="1219"/>
      <c r="O187" s="1219"/>
      <c r="P187" s="1219"/>
      <c r="Q187" s="1219"/>
      <c r="R187" s="1219"/>
      <c r="S187" s="1219"/>
      <c r="T187" s="1219"/>
      <c r="U187" s="1219"/>
      <c r="V187" s="1219"/>
      <c r="W187" s="1219"/>
      <c r="X187" s="1219"/>
      <c r="Y187" s="1219"/>
      <c r="Z187" s="1219"/>
      <c r="AA187" s="1219"/>
      <c r="AB187" s="1219"/>
      <c r="AC187" s="1219"/>
      <c r="AD187" s="1219"/>
      <c r="AE187" s="1219"/>
      <c r="AF187" s="1219"/>
      <c r="AG187" s="1219"/>
      <c r="AH187" s="1219"/>
      <c r="AI187" s="1219"/>
      <c r="AJ187" s="1219"/>
      <c r="AK187" s="1219"/>
      <c r="AL187" s="1219"/>
      <c r="AM187" s="1219"/>
      <c r="AN187" s="1219"/>
      <c r="AO187" s="1219"/>
      <c r="AP187" s="1219"/>
      <c r="AQ187" s="1219"/>
    </row>
    <row r="188" spans="1:43" ht="30" customHeight="1" x14ac:dyDescent="0.25">
      <c r="A188" s="3">
        <f t="shared" si="7"/>
        <v>176</v>
      </c>
      <c r="B188" s="540" t="s">
        <v>162</v>
      </c>
      <c r="C188" s="540"/>
      <c r="D188" s="540"/>
      <c r="E188" s="1264"/>
      <c r="F188" s="1264"/>
      <c r="G188" s="1264"/>
      <c r="H188" s="540"/>
      <c r="I188" s="540"/>
      <c r="J188" s="540"/>
      <c r="K188" s="540"/>
      <c r="L188" s="540"/>
      <c r="M188" s="540"/>
      <c r="N188" s="540"/>
      <c r="O188" s="540"/>
      <c r="P188" s="540"/>
      <c r="Q188" s="540"/>
      <c r="R188" s="540"/>
      <c r="S188" s="540"/>
      <c r="T188" s="540"/>
      <c r="U188" s="540"/>
      <c r="V188" s="540"/>
      <c r="W188" s="540"/>
      <c r="X188" s="540"/>
      <c r="Y188" s="540"/>
      <c r="Z188" s="540"/>
      <c r="AA188" s="540"/>
      <c r="AB188" s="540"/>
      <c r="AC188" s="540"/>
      <c r="AD188" s="540"/>
      <c r="AE188" s="540"/>
      <c r="AF188" s="540"/>
      <c r="AG188" s="540"/>
      <c r="AH188" s="540"/>
      <c r="AI188" s="540"/>
      <c r="AJ188" s="540"/>
      <c r="AK188" s="540"/>
      <c r="AL188" s="540"/>
      <c r="AM188" s="540"/>
      <c r="AN188" s="540"/>
      <c r="AO188" s="540"/>
      <c r="AP188" s="540"/>
      <c r="AQ188" s="540"/>
    </row>
    <row r="189" spans="1:43" ht="30" customHeight="1" x14ac:dyDescent="0.25">
      <c r="A189" s="3">
        <f t="shared" si="7"/>
        <v>177</v>
      </c>
      <c r="B189" s="1219" t="s">
        <v>162</v>
      </c>
      <c r="C189" s="1219"/>
      <c r="D189" s="1219"/>
      <c r="E189" s="1263"/>
      <c r="F189" s="1263"/>
      <c r="G189" s="1263"/>
      <c r="H189" s="1219"/>
      <c r="I189" s="1219"/>
      <c r="J189" s="1219"/>
      <c r="K189" s="1219"/>
      <c r="L189" s="1219"/>
      <c r="M189" s="1219"/>
      <c r="N189" s="1219"/>
      <c r="O189" s="1219"/>
      <c r="P189" s="1219"/>
      <c r="Q189" s="1219"/>
      <c r="R189" s="1219"/>
      <c r="S189" s="1219"/>
      <c r="T189" s="1219"/>
      <c r="U189" s="1219"/>
      <c r="V189" s="1219"/>
      <c r="W189" s="1219"/>
      <c r="X189" s="1219"/>
      <c r="Y189" s="1219"/>
      <c r="Z189" s="1219"/>
      <c r="AA189" s="1219"/>
      <c r="AB189" s="1219"/>
      <c r="AC189" s="1219"/>
      <c r="AD189" s="1219"/>
      <c r="AE189" s="1219"/>
      <c r="AF189" s="1219"/>
      <c r="AG189" s="1219"/>
      <c r="AH189" s="1219"/>
      <c r="AI189" s="1219"/>
      <c r="AJ189" s="1219"/>
      <c r="AK189" s="1219"/>
      <c r="AL189" s="1219"/>
      <c r="AM189" s="1219"/>
      <c r="AN189" s="1219"/>
      <c r="AO189" s="1219"/>
      <c r="AP189" s="1219"/>
      <c r="AQ189" s="1219"/>
    </row>
    <row r="190" spans="1:43" ht="30" customHeight="1" x14ac:dyDescent="0.25">
      <c r="A190" s="3">
        <f t="shared" si="7"/>
        <v>178</v>
      </c>
      <c r="B190" s="540" t="s">
        <v>162</v>
      </c>
      <c r="C190" s="540"/>
      <c r="D190" s="540"/>
      <c r="E190" s="1264"/>
      <c r="F190" s="1264"/>
      <c r="G190" s="1264"/>
      <c r="H190" s="540"/>
      <c r="I190" s="540"/>
      <c r="J190" s="540"/>
      <c r="K190" s="540"/>
      <c r="L190" s="540"/>
      <c r="M190" s="540"/>
      <c r="N190" s="540"/>
      <c r="O190" s="540"/>
      <c r="P190" s="540"/>
      <c r="Q190" s="540"/>
      <c r="R190" s="540"/>
      <c r="S190" s="540"/>
      <c r="T190" s="540"/>
      <c r="U190" s="540"/>
      <c r="V190" s="540"/>
      <c r="W190" s="540"/>
      <c r="X190" s="540"/>
      <c r="Y190" s="540"/>
      <c r="Z190" s="540"/>
      <c r="AA190" s="540"/>
      <c r="AB190" s="540"/>
      <c r="AC190" s="540"/>
      <c r="AD190" s="540"/>
      <c r="AE190" s="540"/>
      <c r="AF190" s="540"/>
      <c r="AG190" s="540"/>
      <c r="AH190" s="540"/>
      <c r="AI190" s="540"/>
      <c r="AJ190" s="540"/>
      <c r="AK190" s="540"/>
      <c r="AL190" s="540"/>
      <c r="AM190" s="540"/>
      <c r="AN190" s="540"/>
      <c r="AO190" s="540"/>
      <c r="AP190" s="540"/>
      <c r="AQ190" s="540"/>
    </row>
    <row r="191" spans="1:43" ht="30" customHeight="1" x14ac:dyDescent="0.25">
      <c r="A191" s="3">
        <f t="shared" si="7"/>
        <v>179</v>
      </c>
      <c r="B191" s="1219" t="s">
        <v>162</v>
      </c>
      <c r="C191" s="1219"/>
      <c r="D191" s="1219"/>
      <c r="E191" s="1263"/>
      <c r="F191" s="1263"/>
      <c r="G191" s="1263"/>
      <c r="H191" s="1219"/>
      <c r="I191" s="1219"/>
      <c r="J191" s="1219"/>
      <c r="K191" s="1219"/>
      <c r="L191" s="1219"/>
      <c r="M191" s="1219"/>
      <c r="N191" s="1219"/>
      <c r="O191" s="1219"/>
      <c r="P191" s="1219"/>
      <c r="Q191" s="1219"/>
      <c r="R191" s="1219"/>
      <c r="S191" s="1219"/>
      <c r="T191" s="1219"/>
      <c r="U191" s="1219"/>
      <c r="V191" s="1219"/>
      <c r="W191" s="1219"/>
      <c r="X191" s="1219"/>
      <c r="Y191" s="1219"/>
      <c r="Z191" s="1219"/>
      <c r="AA191" s="1219"/>
      <c r="AB191" s="1219"/>
      <c r="AC191" s="1219"/>
      <c r="AD191" s="1219"/>
      <c r="AE191" s="1219"/>
      <c r="AF191" s="1219"/>
      <c r="AG191" s="1219"/>
      <c r="AH191" s="1219"/>
      <c r="AI191" s="1219"/>
      <c r="AJ191" s="1219"/>
      <c r="AK191" s="1219"/>
      <c r="AL191" s="1219"/>
      <c r="AM191" s="1219"/>
      <c r="AN191" s="1219"/>
      <c r="AO191" s="1219"/>
      <c r="AP191" s="1219"/>
      <c r="AQ191" s="1219"/>
    </row>
    <row r="192" spans="1:43" ht="30" customHeight="1" x14ac:dyDescent="0.25">
      <c r="A192" s="3">
        <f t="shared" si="7"/>
        <v>180</v>
      </c>
      <c r="B192" s="540" t="s">
        <v>162</v>
      </c>
      <c r="C192" s="540"/>
      <c r="D192" s="540"/>
      <c r="E192" s="1264"/>
      <c r="F192" s="1264"/>
      <c r="G192" s="1264"/>
      <c r="H192" s="540"/>
      <c r="I192" s="540"/>
      <c r="J192" s="540"/>
      <c r="K192" s="540"/>
      <c r="L192" s="540"/>
      <c r="M192" s="540"/>
      <c r="N192" s="540"/>
      <c r="O192" s="540"/>
      <c r="P192" s="540"/>
      <c r="Q192" s="540"/>
      <c r="R192" s="540"/>
      <c r="S192" s="540"/>
      <c r="T192" s="540"/>
      <c r="U192" s="540"/>
      <c r="V192" s="540"/>
      <c r="W192" s="540"/>
      <c r="X192" s="540"/>
      <c r="Y192" s="540"/>
      <c r="Z192" s="540"/>
      <c r="AA192" s="540"/>
      <c r="AB192" s="540"/>
      <c r="AC192" s="540"/>
      <c r="AD192" s="540"/>
      <c r="AE192" s="540"/>
      <c r="AF192" s="540"/>
      <c r="AG192" s="540"/>
      <c r="AH192" s="540"/>
      <c r="AI192" s="540"/>
      <c r="AJ192" s="540"/>
      <c r="AK192" s="540"/>
      <c r="AL192" s="540"/>
      <c r="AM192" s="540"/>
      <c r="AN192" s="540"/>
      <c r="AO192" s="540"/>
      <c r="AP192" s="540"/>
      <c r="AQ192" s="540"/>
    </row>
    <row r="193" spans="1:43" ht="30" customHeight="1" x14ac:dyDescent="0.25">
      <c r="A193" s="3">
        <f>ROW(A181)</f>
        <v>181</v>
      </c>
      <c r="B193" s="1219" t="s">
        <v>162</v>
      </c>
      <c r="C193" s="1219"/>
      <c r="D193" s="1219"/>
      <c r="E193" s="1263"/>
      <c r="F193" s="1263"/>
      <c r="G193" s="1263"/>
      <c r="H193" s="1219"/>
      <c r="I193" s="1219"/>
      <c r="J193" s="1219"/>
      <c r="K193" s="1219"/>
      <c r="L193" s="1219"/>
      <c r="M193" s="1219"/>
      <c r="N193" s="1219"/>
      <c r="O193" s="1219"/>
      <c r="P193" s="1219"/>
      <c r="Q193" s="1219"/>
      <c r="R193" s="1219"/>
      <c r="S193" s="1219"/>
      <c r="T193" s="1219"/>
      <c r="U193" s="1219"/>
      <c r="V193" s="1219"/>
      <c r="W193" s="1219"/>
      <c r="X193" s="1219"/>
      <c r="Y193" s="1219"/>
      <c r="Z193" s="1219"/>
      <c r="AA193" s="1219"/>
      <c r="AB193" s="1219"/>
      <c r="AC193" s="1219"/>
      <c r="AD193" s="1219"/>
      <c r="AE193" s="1219"/>
      <c r="AF193" s="1219"/>
      <c r="AG193" s="1219"/>
      <c r="AH193" s="1219"/>
      <c r="AI193" s="1219"/>
      <c r="AJ193" s="1219"/>
      <c r="AK193" s="1219"/>
      <c r="AL193" s="1219"/>
      <c r="AM193" s="1219"/>
      <c r="AN193" s="1219"/>
      <c r="AO193" s="1219"/>
      <c r="AP193" s="1219"/>
      <c r="AQ193" s="1219"/>
    </row>
    <row r="194" spans="1:43" ht="30" customHeight="1" x14ac:dyDescent="0.25">
      <c r="A194" s="3">
        <f t="shared" ref="A194:A202" si="8">ROW(A182)</f>
        <v>182</v>
      </c>
      <c r="B194" s="540" t="s">
        <v>162</v>
      </c>
      <c r="C194" s="540"/>
      <c r="D194" s="540"/>
      <c r="E194" s="1264"/>
      <c r="F194" s="1264"/>
      <c r="G194" s="1264"/>
      <c r="H194" s="540"/>
      <c r="I194" s="540"/>
      <c r="J194" s="540"/>
      <c r="K194" s="540"/>
      <c r="L194" s="540"/>
      <c r="M194" s="540"/>
      <c r="N194" s="540"/>
      <c r="O194" s="540"/>
      <c r="P194" s="540"/>
      <c r="Q194" s="540"/>
      <c r="R194" s="540"/>
      <c r="S194" s="540"/>
      <c r="T194" s="540"/>
      <c r="U194" s="540"/>
      <c r="V194" s="540"/>
      <c r="W194" s="540"/>
      <c r="X194" s="540"/>
      <c r="Y194" s="540"/>
      <c r="Z194" s="540"/>
      <c r="AA194" s="540"/>
      <c r="AB194" s="540"/>
      <c r="AC194" s="540"/>
      <c r="AD194" s="540"/>
      <c r="AE194" s="540"/>
      <c r="AF194" s="540"/>
      <c r="AG194" s="540"/>
      <c r="AH194" s="540"/>
      <c r="AI194" s="540"/>
      <c r="AJ194" s="540"/>
      <c r="AK194" s="540"/>
      <c r="AL194" s="540"/>
      <c r="AM194" s="540"/>
      <c r="AN194" s="540"/>
      <c r="AO194" s="540"/>
      <c r="AP194" s="540"/>
      <c r="AQ194" s="540"/>
    </row>
    <row r="195" spans="1:43" ht="30" customHeight="1" x14ac:dyDescent="0.25">
      <c r="A195" s="3">
        <f t="shared" si="8"/>
        <v>183</v>
      </c>
      <c r="B195" s="1219" t="s">
        <v>162</v>
      </c>
      <c r="C195" s="1219"/>
      <c r="D195" s="1219"/>
      <c r="E195" s="1263"/>
      <c r="F195" s="1263"/>
      <c r="G195" s="1263"/>
      <c r="H195" s="1219"/>
      <c r="I195" s="1219"/>
      <c r="J195" s="1219"/>
      <c r="K195" s="1219"/>
      <c r="L195" s="1219"/>
      <c r="M195" s="1219"/>
      <c r="N195" s="1219"/>
      <c r="O195" s="1219"/>
      <c r="P195" s="1219"/>
      <c r="Q195" s="1219"/>
      <c r="R195" s="1219"/>
      <c r="S195" s="1219"/>
      <c r="T195" s="1219"/>
      <c r="U195" s="1219"/>
      <c r="V195" s="1219"/>
      <c r="W195" s="1219"/>
      <c r="X195" s="1219"/>
      <c r="Y195" s="1219"/>
      <c r="Z195" s="1219"/>
      <c r="AA195" s="1219"/>
      <c r="AB195" s="1219"/>
      <c r="AC195" s="1219"/>
      <c r="AD195" s="1219"/>
      <c r="AE195" s="1219"/>
      <c r="AF195" s="1219"/>
      <c r="AG195" s="1219"/>
      <c r="AH195" s="1219"/>
      <c r="AI195" s="1219"/>
      <c r="AJ195" s="1219"/>
      <c r="AK195" s="1219"/>
      <c r="AL195" s="1219"/>
      <c r="AM195" s="1219"/>
      <c r="AN195" s="1219"/>
      <c r="AO195" s="1219"/>
      <c r="AP195" s="1219"/>
      <c r="AQ195" s="1219"/>
    </row>
    <row r="196" spans="1:43" ht="30" customHeight="1" x14ac:dyDescent="0.25">
      <c r="A196" s="3">
        <f t="shared" si="8"/>
        <v>184</v>
      </c>
      <c r="B196" s="540" t="s">
        <v>162</v>
      </c>
      <c r="C196" s="540"/>
      <c r="D196" s="540"/>
      <c r="E196" s="1264"/>
      <c r="F196" s="1264"/>
      <c r="G196" s="1264"/>
      <c r="H196" s="540"/>
      <c r="I196" s="540"/>
      <c r="J196" s="540"/>
      <c r="K196" s="540"/>
      <c r="L196" s="540"/>
      <c r="M196" s="540"/>
      <c r="N196" s="540"/>
      <c r="O196" s="540"/>
      <c r="P196" s="540"/>
      <c r="Q196" s="540"/>
      <c r="R196" s="540"/>
      <c r="S196" s="540"/>
      <c r="T196" s="540"/>
      <c r="U196" s="540"/>
      <c r="V196" s="540"/>
      <c r="W196" s="540"/>
      <c r="X196" s="540"/>
      <c r="Y196" s="540"/>
      <c r="Z196" s="540"/>
      <c r="AA196" s="540"/>
      <c r="AB196" s="540"/>
      <c r="AC196" s="540"/>
      <c r="AD196" s="540"/>
      <c r="AE196" s="540"/>
      <c r="AF196" s="540"/>
      <c r="AG196" s="540"/>
      <c r="AH196" s="540"/>
      <c r="AI196" s="540"/>
      <c r="AJ196" s="540"/>
      <c r="AK196" s="540"/>
      <c r="AL196" s="540"/>
      <c r="AM196" s="540"/>
      <c r="AN196" s="540"/>
      <c r="AO196" s="540"/>
      <c r="AP196" s="540"/>
      <c r="AQ196" s="540"/>
    </row>
    <row r="197" spans="1:43" ht="30" customHeight="1" x14ac:dyDescent="0.25">
      <c r="A197" s="3">
        <f t="shared" si="8"/>
        <v>185</v>
      </c>
      <c r="B197" s="1219" t="s">
        <v>162</v>
      </c>
      <c r="C197" s="1219"/>
      <c r="D197" s="1219"/>
      <c r="E197" s="1263"/>
      <c r="F197" s="1263"/>
      <c r="G197" s="1263"/>
      <c r="H197" s="1219"/>
      <c r="I197" s="1219"/>
      <c r="J197" s="1219"/>
      <c r="K197" s="1219"/>
      <c r="L197" s="1219"/>
      <c r="M197" s="1219"/>
      <c r="N197" s="1219"/>
      <c r="O197" s="1219"/>
      <c r="P197" s="1219"/>
      <c r="Q197" s="1219"/>
      <c r="R197" s="1219"/>
      <c r="S197" s="1219"/>
      <c r="T197" s="1219"/>
      <c r="U197" s="1219"/>
      <c r="V197" s="1219"/>
      <c r="W197" s="1219"/>
      <c r="X197" s="1219"/>
      <c r="Y197" s="1219"/>
      <c r="Z197" s="1219"/>
      <c r="AA197" s="1219"/>
      <c r="AB197" s="1219"/>
      <c r="AC197" s="1219"/>
      <c r="AD197" s="1219"/>
      <c r="AE197" s="1219"/>
      <c r="AF197" s="1219"/>
      <c r="AG197" s="1219"/>
      <c r="AH197" s="1219"/>
      <c r="AI197" s="1219"/>
      <c r="AJ197" s="1219"/>
      <c r="AK197" s="1219"/>
      <c r="AL197" s="1219"/>
      <c r="AM197" s="1219"/>
      <c r="AN197" s="1219"/>
      <c r="AO197" s="1219"/>
      <c r="AP197" s="1219"/>
      <c r="AQ197" s="1219"/>
    </row>
    <row r="198" spans="1:43" ht="30" customHeight="1" x14ac:dyDescent="0.25">
      <c r="A198" s="3">
        <f t="shared" si="8"/>
        <v>186</v>
      </c>
      <c r="B198" s="540" t="s">
        <v>162</v>
      </c>
      <c r="C198" s="540"/>
      <c r="D198" s="540"/>
      <c r="E198" s="1264"/>
      <c r="F198" s="1264"/>
      <c r="G198" s="1264"/>
      <c r="H198" s="540"/>
      <c r="I198" s="540"/>
      <c r="J198" s="540"/>
      <c r="K198" s="540"/>
      <c r="L198" s="540"/>
      <c r="M198" s="540"/>
      <c r="N198" s="540"/>
      <c r="O198" s="540"/>
      <c r="P198" s="540"/>
      <c r="Q198" s="540"/>
      <c r="R198" s="540"/>
      <c r="S198" s="540"/>
      <c r="T198" s="540"/>
      <c r="U198" s="540"/>
      <c r="V198" s="540"/>
      <c r="W198" s="540"/>
      <c r="X198" s="540"/>
      <c r="Y198" s="540"/>
      <c r="Z198" s="540"/>
      <c r="AA198" s="540"/>
      <c r="AB198" s="540"/>
      <c r="AC198" s="540"/>
      <c r="AD198" s="540"/>
      <c r="AE198" s="540"/>
      <c r="AF198" s="540"/>
      <c r="AG198" s="540"/>
      <c r="AH198" s="540"/>
      <c r="AI198" s="540"/>
      <c r="AJ198" s="540"/>
      <c r="AK198" s="540"/>
      <c r="AL198" s="540"/>
      <c r="AM198" s="540"/>
      <c r="AN198" s="540"/>
      <c r="AO198" s="540"/>
      <c r="AP198" s="540"/>
      <c r="AQ198" s="540"/>
    </row>
    <row r="199" spans="1:43" ht="30" customHeight="1" x14ac:dyDescent="0.25">
      <c r="A199" s="3">
        <f t="shared" si="8"/>
        <v>187</v>
      </c>
      <c r="B199" s="1219" t="s">
        <v>162</v>
      </c>
      <c r="C199" s="1219"/>
      <c r="D199" s="1219"/>
      <c r="E199" s="1263"/>
      <c r="F199" s="1263"/>
      <c r="G199" s="1263"/>
      <c r="H199" s="1219"/>
      <c r="I199" s="1219"/>
      <c r="J199" s="1219"/>
      <c r="K199" s="1219"/>
      <c r="L199" s="1219"/>
      <c r="M199" s="1219"/>
      <c r="N199" s="1219"/>
      <c r="O199" s="1219"/>
      <c r="P199" s="1219"/>
      <c r="Q199" s="1219"/>
      <c r="R199" s="1219"/>
      <c r="S199" s="1219"/>
      <c r="T199" s="1219"/>
      <c r="U199" s="1219"/>
      <c r="V199" s="1219"/>
      <c r="W199" s="1219"/>
      <c r="X199" s="1219"/>
      <c r="Y199" s="1219"/>
      <c r="Z199" s="1219"/>
      <c r="AA199" s="1219"/>
      <c r="AB199" s="1219"/>
      <c r="AC199" s="1219"/>
      <c r="AD199" s="1219"/>
      <c r="AE199" s="1219"/>
      <c r="AF199" s="1219"/>
      <c r="AG199" s="1219"/>
      <c r="AH199" s="1219"/>
      <c r="AI199" s="1219"/>
      <c r="AJ199" s="1219"/>
      <c r="AK199" s="1219"/>
      <c r="AL199" s="1219"/>
      <c r="AM199" s="1219"/>
      <c r="AN199" s="1219"/>
      <c r="AO199" s="1219"/>
      <c r="AP199" s="1219"/>
      <c r="AQ199" s="1219"/>
    </row>
    <row r="200" spans="1:43" ht="30" customHeight="1" x14ac:dyDescent="0.25">
      <c r="A200" s="3">
        <f t="shared" si="8"/>
        <v>188</v>
      </c>
      <c r="B200" s="540" t="s">
        <v>162</v>
      </c>
      <c r="C200" s="540"/>
      <c r="D200" s="540"/>
      <c r="E200" s="1264"/>
      <c r="F200" s="1264"/>
      <c r="G200" s="1264"/>
      <c r="H200" s="540"/>
      <c r="I200" s="540"/>
      <c r="J200" s="540"/>
      <c r="K200" s="540"/>
      <c r="L200" s="540"/>
      <c r="M200" s="540"/>
      <c r="N200" s="540"/>
      <c r="O200" s="540"/>
      <c r="P200" s="540"/>
      <c r="Q200" s="540"/>
      <c r="R200" s="540"/>
      <c r="S200" s="540"/>
      <c r="T200" s="540"/>
      <c r="U200" s="540"/>
      <c r="V200" s="540"/>
      <c r="W200" s="540"/>
      <c r="X200" s="540"/>
      <c r="Y200" s="540"/>
      <c r="Z200" s="540"/>
      <c r="AA200" s="540"/>
      <c r="AB200" s="540"/>
      <c r="AC200" s="540"/>
      <c r="AD200" s="540"/>
      <c r="AE200" s="540"/>
      <c r="AF200" s="540"/>
      <c r="AG200" s="540"/>
      <c r="AH200" s="540"/>
      <c r="AI200" s="540"/>
      <c r="AJ200" s="540"/>
      <c r="AK200" s="540"/>
      <c r="AL200" s="540"/>
      <c r="AM200" s="540"/>
      <c r="AN200" s="540"/>
      <c r="AO200" s="540"/>
      <c r="AP200" s="540"/>
      <c r="AQ200" s="540"/>
    </row>
    <row r="201" spans="1:43" ht="30" customHeight="1" x14ac:dyDescent="0.25">
      <c r="A201" s="3">
        <f t="shared" si="8"/>
        <v>189</v>
      </c>
      <c r="B201" s="1219" t="s">
        <v>162</v>
      </c>
      <c r="C201" s="1219"/>
      <c r="D201" s="1219"/>
      <c r="E201" s="1263"/>
      <c r="F201" s="1263"/>
      <c r="G201" s="1263"/>
      <c r="H201" s="1219"/>
      <c r="I201" s="1219"/>
      <c r="J201" s="1219"/>
      <c r="K201" s="1219"/>
      <c r="L201" s="1219"/>
      <c r="M201" s="1219"/>
      <c r="N201" s="1219"/>
      <c r="O201" s="1219"/>
      <c r="P201" s="1219"/>
      <c r="Q201" s="1219"/>
      <c r="R201" s="1219"/>
      <c r="S201" s="1219"/>
      <c r="T201" s="1219"/>
      <c r="U201" s="1219"/>
      <c r="V201" s="1219"/>
      <c r="W201" s="1219"/>
      <c r="X201" s="1219"/>
      <c r="Y201" s="1219"/>
      <c r="Z201" s="1219"/>
      <c r="AA201" s="1219"/>
      <c r="AB201" s="1219"/>
      <c r="AC201" s="1219"/>
      <c r="AD201" s="1219"/>
      <c r="AE201" s="1219"/>
      <c r="AF201" s="1219"/>
      <c r="AG201" s="1219"/>
      <c r="AH201" s="1219"/>
      <c r="AI201" s="1219"/>
      <c r="AJ201" s="1219"/>
      <c r="AK201" s="1219"/>
      <c r="AL201" s="1219"/>
      <c r="AM201" s="1219"/>
      <c r="AN201" s="1219"/>
      <c r="AO201" s="1219"/>
      <c r="AP201" s="1219"/>
      <c r="AQ201" s="1219"/>
    </row>
    <row r="202" spans="1:43" ht="30" customHeight="1" x14ac:dyDescent="0.25">
      <c r="A202" s="3">
        <f t="shared" si="8"/>
        <v>190</v>
      </c>
      <c r="B202" s="540" t="s">
        <v>162</v>
      </c>
      <c r="C202" s="540"/>
      <c r="D202" s="540"/>
      <c r="E202" s="1264"/>
      <c r="F202" s="1264"/>
      <c r="G202" s="1264"/>
      <c r="H202" s="540"/>
      <c r="I202" s="540"/>
      <c r="J202" s="540"/>
      <c r="K202" s="540"/>
      <c r="L202" s="540"/>
      <c r="M202" s="540"/>
      <c r="N202" s="540"/>
      <c r="O202" s="540"/>
      <c r="P202" s="540"/>
      <c r="Q202" s="540"/>
      <c r="R202" s="540"/>
      <c r="S202" s="540"/>
      <c r="T202" s="540"/>
      <c r="U202" s="540"/>
      <c r="V202" s="540"/>
      <c r="W202" s="540"/>
      <c r="X202" s="540"/>
      <c r="Y202" s="540"/>
      <c r="Z202" s="540"/>
      <c r="AA202" s="540"/>
      <c r="AB202" s="540"/>
      <c r="AC202" s="540"/>
      <c r="AD202" s="540"/>
      <c r="AE202" s="540"/>
      <c r="AF202" s="540"/>
      <c r="AG202" s="540"/>
      <c r="AH202" s="540"/>
      <c r="AI202" s="540"/>
      <c r="AJ202" s="540"/>
      <c r="AK202" s="540"/>
      <c r="AL202" s="540"/>
      <c r="AM202" s="540"/>
      <c r="AN202" s="540"/>
      <c r="AO202" s="540"/>
      <c r="AP202" s="540"/>
      <c r="AQ202" s="540"/>
    </row>
    <row r="203" spans="1:43" ht="30" customHeight="1" x14ac:dyDescent="0.25">
      <c r="A203" s="3">
        <f>ROW(A191)</f>
        <v>191</v>
      </c>
      <c r="B203" s="1219" t="s">
        <v>162</v>
      </c>
      <c r="C203" s="1219"/>
      <c r="D203" s="1219"/>
      <c r="E203" s="1263"/>
      <c r="F203" s="1263"/>
      <c r="G203" s="1263"/>
      <c r="H203" s="1219"/>
      <c r="I203" s="1219"/>
      <c r="J203" s="1219"/>
      <c r="K203" s="1219"/>
      <c r="L203" s="1219"/>
      <c r="M203" s="1219"/>
      <c r="N203" s="1219"/>
      <c r="O203" s="1219"/>
      <c r="P203" s="1219"/>
      <c r="Q203" s="1219"/>
      <c r="R203" s="1219"/>
      <c r="S203" s="1219"/>
      <c r="T203" s="1219"/>
      <c r="U203" s="1219"/>
      <c r="V203" s="1219"/>
      <c r="W203" s="1219"/>
      <c r="X203" s="1219"/>
      <c r="Y203" s="1219"/>
      <c r="Z203" s="1219"/>
      <c r="AA203" s="1219"/>
      <c r="AB203" s="1219"/>
      <c r="AC203" s="1219"/>
      <c r="AD203" s="1219"/>
      <c r="AE203" s="1219"/>
      <c r="AF203" s="1219"/>
      <c r="AG203" s="1219"/>
      <c r="AH203" s="1219"/>
      <c r="AI203" s="1219"/>
      <c r="AJ203" s="1219"/>
      <c r="AK203" s="1219"/>
      <c r="AL203" s="1219"/>
      <c r="AM203" s="1219"/>
      <c r="AN203" s="1219"/>
      <c r="AO203" s="1219"/>
      <c r="AP203" s="1219"/>
      <c r="AQ203" s="1219"/>
    </row>
    <row r="204" spans="1:43" ht="30" customHeight="1" x14ac:dyDescent="0.25">
      <c r="A204" s="3">
        <f t="shared" ref="A204:A212" si="9">ROW(A192)</f>
        <v>192</v>
      </c>
      <c r="B204" s="540" t="s">
        <v>162</v>
      </c>
      <c r="C204" s="540"/>
      <c r="D204" s="540"/>
      <c r="E204" s="1264"/>
      <c r="F204" s="1264"/>
      <c r="G204" s="1264"/>
      <c r="H204" s="540"/>
      <c r="I204" s="540"/>
      <c r="J204" s="540"/>
      <c r="K204" s="540"/>
      <c r="L204" s="540"/>
      <c r="M204" s="540"/>
      <c r="N204" s="540"/>
      <c r="O204" s="540"/>
      <c r="P204" s="540"/>
      <c r="Q204" s="540"/>
      <c r="R204" s="540"/>
      <c r="S204" s="540"/>
      <c r="T204" s="540"/>
      <c r="U204" s="540"/>
      <c r="V204" s="540"/>
      <c r="W204" s="540"/>
      <c r="X204" s="540"/>
      <c r="Y204" s="540"/>
      <c r="Z204" s="540"/>
      <c r="AA204" s="540"/>
      <c r="AB204" s="540"/>
      <c r="AC204" s="540"/>
      <c r="AD204" s="540"/>
      <c r="AE204" s="540"/>
      <c r="AF204" s="540"/>
      <c r="AG204" s="540"/>
      <c r="AH204" s="540"/>
      <c r="AI204" s="540"/>
      <c r="AJ204" s="540"/>
      <c r="AK204" s="540"/>
      <c r="AL204" s="540"/>
      <c r="AM204" s="540"/>
      <c r="AN204" s="540"/>
      <c r="AO204" s="540"/>
      <c r="AP204" s="540"/>
      <c r="AQ204" s="540"/>
    </row>
    <row r="205" spans="1:43" ht="30" customHeight="1" x14ac:dyDescent="0.25">
      <c r="A205" s="3">
        <f t="shared" si="9"/>
        <v>193</v>
      </c>
      <c r="B205" s="1219" t="s">
        <v>162</v>
      </c>
      <c r="C205" s="1219"/>
      <c r="D205" s="1219"/>
      <c r="E205" s="1263"/>
      <c r="F205" s="1263"/>
      <c r="G205" s="1263"/>
      <c r="H205" s="1219"/>
      <c r="I205" s="1219"/>
      <c r="J205" s="1219"/>
      <c r="K205" s="1219"/>
      <c r="L205" s="1219"/>
      <c r="M205" s="1219"/>
      <c r="N205" s="1219"/>
      <c r="O205" s="1219"/>
      <c r="P205" s="1219"/>
      <c r="Q205" s="1219"/>
      <c r="R205" s="1219"/>
      <c r="S205" s="1219"/>
      <c r="T205" s="1219"/>
      <c r="U205" s="1219"/>
      <c r="V205" s="1219"/>
      <c r="W205" s="1219"/>
      <c r="X205" s="1219"/>
      <c r="Y205" s="1219"/>
      <c r="Z205" s="1219"/>
      <c r="AA205" s="1219"/>
      <c r="AB205" s="1219"/>
      <c r="AC205" s="1219"/>
      <c r="AD205" s="1219"/>
      <c r="AE205" s="1219"/>
      <c r="AF205" s="1219"/>
      <c r="AG205" s="1219"/>
      <c r="AH205" s="1219"/>
      <c r="AI205" s="1219"/>
      <c r="AJ205" s="1219"/>
      <c r="AK205" s="1219"/>
      <c r="AL205" s="1219"/>
      <c r="AM205" s="1219"/>
      <c r="AN205" s="1219"/>
      <c r="AO205" s="1219"/>
      <c r="AP205" s="1219"/>
      <c r="AQ205" s="1219"/>
    </row>
    <row r="206" spans="1:43" ht="30" customHeight="1" x14ac:dyDescent="0.25">
      <c r="A206" s="3">
        <f t="shared" si="9"/>
        <v>194</v>
      </c>
      <c r="B206" s="540" t="s">
        <v>162</v>
      </c>
      <c r="C206" s="540"/>
      <c r="D206" s="540"/>
      <c r="E206" s="1264"/>
      <c r="F206" s="1264"/>
      <c r="G206" s="1264"/>
      <c r="H206" s="540"/>
      <c r="I206" s="540"/>
      <c r="J206" s="540"/>
      <c r="K206" s="540"/>
      <c r="L206" s="540"/>
      <c r="M206" s="540"/>
      <c r="N206" s="540"/>
      <c r="O206" s="540"/>
      <c r="P206" s="540"/>
      <c r="Q206" s="540"/>
      <c r="R206" s="540"/>
      <c r="S206" s="540"/>
      <c r="T206" s="540"/>
      <c r="U206" s="540"/>
      <c r="V206" s="540"/>
      <c r="W206" s="540"/>
      <c r="X206" s="540"/>
      <c r="Y206" s="540"/>
      <c r="Z206" s="540"/>
      <c r="AA206" s="540"/>
      <c r="AB206" s="540"/>
      <c r="AC206" s="540"/>
      <c r="AD206" s="540"/>
      <c r="AE206" s="540"/>
      <c r="AF206" s="540"/>
      <c r="AG206" s="540"/>
      <c r="AH206" s="540"/>
      <c r="AI206" s="540"/>
      <c r="AJ206" s="540"/>
      <c r="AK206" s="540"/>
      <c r="AL206" s="540"/>
      <c r="AM206" s="540"/>
      <c r="AN206" s="540"/>
      <c r="AO206" s="540"/>
      <c r="AP206" s="540"/>
      <c r="AQ206" s="540"/>
    </row>
    <row r="207" spans="1:43" ht="30" customHeight="1" x14ac:dyDescent="0.25">
      <c r="A207" s="3">
        <f t="shared" si="9"/>
        <v>195</v>
      </c>
      <c r="B207" s="1219" t="s">
        <v>162</v>
      </c>
      <c r="C207" s="1219"/>
      <c r="D207" s="1219"/>
      <c r="E207" s="1263"/>
      <c r="F207" s="1263"/>
      <c r="G207" s="1263"/>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c r="AL207" s="1219"/>
      <c r="AM207" s="1219"/>
      <c r="AN207" s="1219"/>
      <c r="AO207" s="1219"/>
      <c r="AP207" s="1219"/>
      <c r="AQ207" s="1219"/>
    </row>
    <row r="208" spans="1:43" ht="30" customHeight="1" x14ac:dyDescent="0.25">
      <c r="A208" s="3">
        <f t="shared" si="9"/>
        <v>196</v>
      </c>
      <c r="B208" s="540" t="s">
        <v>162</v>
      </c>
      <c r="C208" s="540"/>
      <c r="D208" s="540"/>
      <c r="E208" s="1264"/>
      <c r="F208" s="1264"/>
      <c r="G208" s="1264"/>
      <c r="H208" s="540"/>
      <c r="I208" s="540"/>
      <c r="J208" s="540"/>
      <c r="K208" s="540"/>
      <c r="L208" s="540"/>
      <c r="M208" s="540"/>
      <c r="N208" s="540"/>
      <c r="O208" s="540"/>
      <c r="P208" s="540"/>
      <c r="Q208" s="540"/>
      <c r="R208" s="540"/>
      <c r="S208" s="540"/>
      <c r="T208" s="540"/>
      <c r="U208" s="540"/>
      <c r="V208" s="540"/>
      <c r="W208" s="540"/>
      <c r="X208" s="540"/>
      <c r="Y208" s="540"/>
      <c r="Z208" s="540"/>
      <c r="AA208" s="540"/>
      <c r="AB208" s="540"/>
      <c r="AC208" s="540"/>
      <c r="AD208" s="540"/>
      <c r="AE208" s="540"/>
      <c r="AF208" s="540"/>
      <c r="AG208" s="540"/>
      <c r="AH208" s="540"/>
      <c r="AI208" s="540"/>
      <c r="AJ208" s="540"/>
      <c r="AK208" s="540"/>
      <c r="AL208" s="540"/>
      <c r="AM208" s="540"/>
      <c r="AN208" s="540"/>
      <c r="AO208" s="540"/>
      <c r="AP208" s="540"/>
      <c r="AQ208" s="540"/>
    </row>
    <row r="209" spans="1:43" ht="30" customHeight="1" x14ac:dyDescent="0.25">
      <c r="A209" s="3">
        <f t="shared" si="9"/>
        <v>197</v>
      </c>
      <c r="B209" s="1219" t="s">
        <v>162</v>
      </c>
      <c r="C209" s="1219"/>
      <c r="D209" s="1219"/>
      <c r="E209" s="1263"/>
      <c r="F209" s="1263"/>
      <c r="G209" s="1263"/>
      <c r="H209" s="1219"/>
      <c r="I209" s="1219"/>
      <c r="J209" s="1219"/>
      <c r="K209" s="1219"/>
      <c r="L209" s="1219"/>
      <c r="M209" s="1219"/>
      <c r="N209" s="1219"/>
      <c r="O209" s="1219"/>
      <c r="P209" s="1219"/>
      <c r="Q209" s="1219"/>
      <c r="R209" s="1219"/>
      <c r="S209" s="1219"/>
      <c r="T209" s="1219"/>
      <c r="U209" s="1219"/>
      <c r="V209" s="1219"/>
      <c r="W209" s="1219"/>
      <c r="X209" s="1219"/>
      <c r="Y209" s="1219"/>
      <c r="Z209" s="1219"/>
      <c r="AA209" s="1219"/>
      <c r="AB209" s="1219"/>
      <c r="AC209" s="1219"/>
      <c r="AD209" s="1219"/>
      <c r="AE209" s="1219"/>
      <c r="AF209" s="1219"/>
      <c r="AG209" s="1219"/>
      <c r="AH209" s="1219"/>
      <c r="AI209" s="1219"/>
      <c r="AJ209" s="1219"/>
      <c r="AK209" s="1219"/>
      <c r="AL209" s="1219"/>
      <c r="AM209" s="1219"/>
      <c r="AN209" s="1219"/>
      <c r="AO209" s="1219"/>
      <c r="AP209" s="1219"/>
      <c r="AQ209" s="1219"/>
    </row>
    <row r="210" spans="1:43" ht="30" customHeight="1" x14ac:dyDescent="0.25">
      <c r="A210" s="3">
        <f t="shared" si="9"/>
        <v>198</v>
      </c>
      <c r="B210" s="540" t="s">
        <v>162</v>
      </c>
      <c r="C210" s="540"/>
      <c r="D210" s="540"/>
      <c r="E210" s="1264"/>
      <c r="F210" s="1264"/>
      <c r="G210" s="1264"/>
      <c r="H210" s="540"/>
      <c r="I210" s="540"/>
      <c r="J210" s="540"/>
      <c r="K210" s="540"/>
      <c r="L210" s="540"/>
      <c r="M210" s="540"/>
      <c r="N210" s="540"/>
      <c r="O210" s="540"/>
      <c r="P210" s="540"/>
      <c r="Q210" s="540"/>
      <c r="R210" s="540"/>
      <c r="S210" s="540"/>
      <c r="T210" s="540"/>
      <c r="U210" s="540"/>
      <c r="V210" s="540"/>
      <c r="W210" s="540"/>
      <c r="X210" s="540"/>
      <c r="Y210" s="540"/>
      <c r="Z210" s="540"/>
      <c r="AA210" s="540"/>
      <c r="AB210" s="540"/>
      <c r="AC210" s="540"/>
      <c r="AD210" s="540"/>
      <c r="AE210" s="540"/>
      <c r="AF210" s="540"/>
      <c r="AG210" s="540"/>
      <c r="AH210" s="540"/>
      <c r="AI210" s="540"/>
      <c r="AJ210" s="540"/>
      <c r="AK210" s="540"/>
      <c r="AL210" s="540"/>
      <c r="AM210" s="540"/>
      <c r="AN210" s="540"/>
      <c r="AO210" s="540"/>
      <c r="AP210" s="540"/>
      <c r="AQ210" s="540"/>
    </row>
    <row r="211" spans="1:43" ht="30" customHeight="1" x14ac:dyDescent="0.25">
      <c r="A211" s="3">
        <f t="shared" si="9"/>
        <v>199</v>
      </c>
      <c r="B211" s="1219" t="s">
        <v>162</v>
      </c>
      <c r="C211" s="1219"/>
      <c r="D211" s="1219"/>
      <c r="E211" s="1263"/>
      <c r="F211" s="1263"/>
      <c r="G211" s="1263"/>
      <c r="H211" s="1219"/>
      <c r="I211" s="1219"/>
      <c r="J211" s="1219"/>
      <c r="K211" s="1219"/>
      <c r="L211" s="1219"/>
      <c r="M211" s="1219"/>
      <c r="N211" s="1219"/>
      <c r="O211" s="1219"/>
      <c r="P211" s="1219"/>
      <c r="Q211" s="1219"/>
      <c r="R211" s="1219"/>
      <c r="S211" s="1219"/>
      <c r="T211" s="1219"/>
      <c r="U211" s="1219"/>
      <c r="V211" s="1219"/>
      <c r="W211" s="1219"/>
      <c r="X211" s="1219"/>
      <c r="Y211" s="1219"/>
      <c r="Z211" s="1219"/>
      <c r="AA211" s="1219"/>
      <c r="AB211" s="1219"/>
      <c r="AC211" s="1219"/>
      <c r="AD211" s="1219"/>
      <c r="AE211" s="1219"/>
      <c r="AF211" s="1219"/>
      <c r="AG211" s="1219"/>
      <c r="AH211" s="1219"/>
      <c r="AI211" s="1219"/>
      <c r="AJ211" s="1219"/>
      <c r="AK211" s="1219"/>
      <c r="AL211" s="1219"/>
      <c r="AM211" s="1219"/>
      <c r="AN211" s="1219"/>
      <c r="AO211" s="1219"/>
      <c r="AP211" s="1219"/>
      <c r="AQ211" s="1219"/>
    </row>
    <row r="212" spans="1:43" ht="30" customHeight="1" x14ac:dyDescent="0.25">
      <c r="A212" s="3">
        <f t="shared" si="9"/>
        <v>200</v>
      </c>
      <c r="B212" s="540" t="s">
        <v>162</v>
      </c>
      <c r="C212" s="540"/>
      <c r="D212" s="540"/>
      <c r="E212" s="1264"/>
      <c r="F212" s="1264"/>
      <c r="G212" s="1264"/>
      <c r="H212" s="540"/>
      <c r="I212" s="540"/>
      <c r="J212" s="540"/>
      <c r="K212" s="540"/>
      <c r="L212" s="540"/>
      <c r="M212" s="540"/>
      <c r="N212" s="540"/>
      <c r="O212" s="540"/>
      <c r="P212" s="540"/>
      <c r="Q212" s="540"/>
      <c r="R212" s="540"/>
      <c r="S212" s="540"/>
      <c r="T212" s="540"/>
      <c r="U212" s="540"/>
      <c r="V212" s="540"/>
      <c r="W212" s="540"/>
      <c r="X212" s="540"/>
      <c r="Y212" s="540"/>
      <c r="Z212" s="540"/>
      <c r="AA212" s="540"/>
      <c r="AB212" s="540"/>
      <c r="AC212" s="540"/>
      <c r="AD212" s="540"/>
      <c r="AE212" s="540"/>
      <c r="AF212" s="540"/>
      <c r="AG212" s="540"/>
      <c r="AH212" s="540"/>
      <c r="AI212" s="540"/>
      <c r="AJ212" s="540"/>
      <c r="AK212" s="540"/>
      <c r="AL212" s="540"/>
      <c r="AM212" s="540"/>
      <c r="AN212" s="540"/>
      <c r="AO212" s="540"/>
      <c r="AP212" s="540"/>
      <c r="AQ212" s="540"/>
    </row>
    <row r="213" spans="1:43" ht="30" customHeight="1" x14ac:dyDescent="0.25">
      <c r="A213" s="3">
        <f>ROW(A201)</f>
        <v>201</v>
      </c>
      <c r="B213" s="1219" t="s">
        <v>162</v>
      </c>
      <c r="C213" s="1219"/>
      <c r="D213" s="1219"/>
      <c r="E213" s="1263"/>
      <c r="F213" s="1263"/>
      <c r="G213" s="1263"/>
      <c r="H213" s="1219"/>
      <c r="I213" s="1219"/>
      <c r="J213" s="1219"/>
      <c r="K213" s="1219"/>
      <c r="L213" s="1219"/>
      <c r="M213" s="1219"/>
      <c r="N213" s="1219"/>
      <c r="O213" s="1219"/>
      <c r="P213" s="1219"/>
      <c r="Q213" s="1219"/>
      <c r="R213" s="1219"/>
      <c r="S213" s="1219"/>
      <c r="T213" s="1219"/>
      <c r="U213" s="1219"/>
      <c r="V213" s="1219"/>
      <c r="W213" s="1219"/>
      <c r="X213" s="1219"/>
      <c r="Y213" s="1219"/>
      <c r="Z213" s="1219"/>
      <c r="AA213" s="1219"/>
      <c r="AB213" s="1219"/>
      <c r="AC213" s="1219"/>
      <c r="AD213" s="1219"/>
      <c r="AE213" s="1219"/>
      <c r="AF213" s="1219"/>
      <c r="AG213" s="1219"/>
      <c r="AH213" s="1219"/>
      <c r="AI213" s="1219"/>
      <c r="AJ213" s="1219"/>
      <c r="AK213" s="1219"/>
      <c r="AL213" s="1219"/>
      <c r="AM213" s="1219"/>
      <c r="AN213" s="1219"/>
      <c r="AO213" s="1219"/>
      <c r="AP213" s="1219"/>
      <c r="AQ213" s="1219"/>
    </row>
    <row r="214" spans="1:43" ht="30" customHeight="1" x14ac:dyDescent="0.25">
      <c r="A214" s="3">
        <f t="shared" ref="A214:A277" si="10">ROW(A202)</f>
        <v>202</v>
      </c>
      <c r="B214" s="540" t="s">
        <v>162</v>
      </c>
      <c r="C214" s="540"/>
      <c r="D214" s="540"/>
      <c r="E214" s="1264"/>
      <c r="F214" s="1264"/>
      <c r="G214" s="1264"/>
      <c r="H214" s="540"/>
      <c r="I214" s="540"/>
      <c r="J214" s="540"/>
      <c r="K214" s="540"/>
      <c r="L214" s="540"/>
      <c r="M214" s="540"/>
      <c r="N214" s="540"/>
      <c r="O214" s="540"/>
      <c r="P214" s="540"/>
      <c r="Q214" s="540"/>
      <c r="R214" s="540"/>
      <c r="S214" s="540"/>
      <c r="T214" s="540"/>
      <c r="U214" s="540"/>
      <c r="V214" s="540"/>
      <c r="W214" s="540"/>
      <c r="X214" s="540"/>
      <c r="Y214" s="540"/>
      <c r="Z214" s="540"/>
      <c r="AA214" s="540"/>
      <c r="AB214" s="540"/>
      <c r="AC214" s="540"/>
      <c r="AD214" s="540"/>
      <c r="AE214" s="540"/>
      <c r="AF214" s="540"/>
      <c r="AG214" s="540"/>
      <c r="AH214" s="540"/>
      <c r="AI214" s="540"/>
      <c r="AJ214" s="540"/>
      <c r="AK214" s="540"/>
      <c r="AL214" s="540"/>
      <c r="AM214" s="540"/>
      <c r="AN214" s="540"/>
      <c r="AO214" s="540"/>
      <c r="AP214" s="540"/>
      <c r="AQ214" s="540"/>
    </row>
    <row r="215" spans="1:43" ht="30" customHeight="1" x14ac:dyDescent="0.25">
      <c r="A215" s="3">
        <f t="shared" si="10"/>
        <v>203</v>
      </c>
      <c r="B215" s="1219" t="s">
        <v>162</v>
      </c>
      <c r="C215" s="1219"/>
      <c r="D215" s="1219"/>
      <c r="E215" s="1263"/>
      <c r="F215" s="1263"/>
      <c r="G215" s="1263"/>
      <c r="H215" s="1219"/>
      <c r="I215" s="1219"/>
      <c r="J215" s="1219"/>
      <c r="K215" s="1219"/>
      <c r="L215" s="1219"/>
      <c r="M215" s="1219"/>
      <c r="N215" s="1219"/>
      <c r="O215" s="1219"/>
      <c r="P215" s="1219"/>
      <c r="Q215" s="1219"/>
      <c r="R215" s="1219"/>
      <c r="S215" s="1219"/>
      <c r="T215" s="1219"/>
      <c r="U215" s="1219"/>
      <c r="V215" s="1219"/>
      <c r="W215" s="1219"/>
      <c r="X215" s="1219"/>
      <c r="Y215" s="1219"/>
      <c r="Z215" s="1219"/>
      <c r="AA215" s="1219"/>
      <c r="AB215" s="1219"/>
      <c r="AC215" s="1219"/>
      <c r="AD215" s="1219"/>
      <c r="AE215" s="1219"/>
      <c r="AF215" s="1219"/>
      <c r="AG215" s="1219"/>
      <c r="AH215" s="1219"/>
      <c r="AI215" s="1219"/>
      <c r="AJ215" s="1219"/>
      <c r="AK215" s="1219"/>
      <c r="AL215" s="1219"/>
      <c r="AM215" s="1219"/>
      <c r="AN215" s="1219"/>
      <c r="AO215" s="1219"/>
      <c r="AP215" s="1219"/>
      <c r="AQ215" s="1219"/>
    </row>
    <row r="216" spans="1:43" ht="30" customHeight="1" x14ac:dyDescent="0.25">
      <c r="A216" s="3">
        <f t="shared" si="10"/>
        <v>204</v>
      </c>
      <c r="B216" s="540" t="s">
        <v>162</v>
      </c>
      <c r="C216" s="540"/>
      <c r="D216" s="540"/>
      <c r="E216" s="1264"/>
      <c r="F216" s="1264"/>
      <c r="G216" s="1264"/>
      <c r="H216" s="540"/>
      <c r="I216" s="540"/>
      <c r="J216" s="540"/>
      <c r="K216" s="540"/>
      <c r="L216" s="540"/>
      <c r="M216" s="540"/>
      <c r="N216" s="540"/>
      <c r="O216" s="540"/>
      <c r="P216" s="540"/>
      <c r="Q216" s="540"/>
      <c r="R216" s="540"/>
      <c r="S216" s="540"/>
      <c r="T216" s="540"/>
      <c r="U216" s="540"/>
      <c r="V216" s="540"/>
      <c r="W216" s="540"/>
      <c r="X216" s="540"/>
      <c r="Y216" s="540"/>
      <c r="Z216" s="540"/>
      <c r="AA216" s="540"/>
      <c r="AB216" s="540"/>
      <c r="AC216" s="540"/>
      <c r="AD216" s="540"/>
      <c r="AE216" s="540"/>
      <c r="AF216" s="540"/>
      <c r="AG216" s="540"/>
      <c r="AH216" s="540"/>
      <c r="AI216" s="540"/>
      <c r="AJ216" s="540"/>
      <c r="AK216" s="540"/>
      <c r="AL216" s="540"/>
      <c r="AM216" s="540"/>
      <c r="AN216" s="540"/>
      <c r="AO216" s="540"/>
      <c r="AP216" s="540"/>
      <c r="AQ216" s="540"/>
    </row>
    <row r="217" spans="1:43" ht="30" customHeight="1" x14ac:dyDescent="0.25">
      <c r="A217" s="3">
        <f t="shared" si="10"/>
        <v>205</v>
      </c>
      <c r="B217" s="1219" t="s">
        <v>162</v>
      </c>
      <c r="C217" s="1219"/>
      <c r="D217" s="1219"/>
      <c r="E217" s="1263"/>
      <c r="F217" s="1263"/>
      <c r="G217" s="1263"/>
      <c r="H217" s="1219"/>
      <c r="I217" s="1219"/>
      <c r="J217" s="1219"/>
      <c r="K217" s="1219"/>
      <c r="L217" s="1219"/>
      <c r="M217" s="1219"/>
      <c r="N217" s="1219"/>
      <c r="O217" s="1219"/>
      <c r="P217" s="1219"/>
      <c r="Q217" s="1219"/>
      <c r="R217" s="1219"/>
      <c r="S217" s="1219"/>
      <c r="T217" s="1219"/>
      <c r="U217" s="1219"/>
      <c r="V217" s="1219"/>
      <c r="W217" s="1219"/>
      <c r="X217" s="1219"/>
      <c r="Y217" s="1219"/>
      <c r="Z217" s="1219"/>
      <c r="AA217" s="1219"/>
      <c r="AB217" s="1219"/>
      <c r="AC217" s="1219"/>
      <c r="AD217" s="1219"/>
      <c r="AE217" s="1219"/>
      <c r="AF217" s="1219"/>
      <c r="AG217" s="1219"/>
      <c r="AH217" s="1219"/>
      <c r="AI217" s="1219"/>
      <c r="AJ217" s="1219"/>
      <c r="AK217" s="1219"/>
      <c r="AL217" s="1219"/>
      <c r="AM217" s="1219"/>
      <c r="AN217" s="1219"/>
      <c r="AO217" s="1219"/>
      <c r="AP217" s="1219"/>
      <c r="AQ217" s="1219"/>
    </row>
    <row r="218" spans="1:43" ht="30" customHeight="1" x14ac:dyDescent="0.25">
      <c r="A218" s="3">
        <f t="shared" si="10"/>
        <v>206</v>
      </c>
      <c r="B218" s="540" t="s">
        <v>162</v>
      </c>
      <c r="C218" s="540"/>
      <c r="D218" s="540"/>
      <c r="E218" s="1264"/>
      <c r="F218" s="1264"/>
      <c r="G218" s="1264"/>
      <c r="H218" s="540"/>
      <c r="I218" s="540"/>
      <c r="J218" s="540"/>
      <c r="K218" s="540"/>
      <c r="L218" s="540"/>
      <c r="M218" s="540"/>
      <c r="N218" s="540"/>
      <c r="O218" s="540"/>
      <c r="P218" s="540"/>
      <c r="Q218" s="540"/>
      <c r="R218" s="540"/>
      <c r="S218" s="540"/>
      <c r="T218" s="540"/>
      <c r="U218" s="540"/>
      <c r="V218" s="540"/>
      <c r="W218" s="540"/>
      <c r="X218" s="540"/>
      <c r="Y218" s="540"/>
      <c r="Z218" s="540"/>
      <c r="AA218" s="540"/>
      <c r="AB218" s="540"/>
      <c r="AC218" s="540"/>
      <c r="AD218" s="540"/>
      <c r="AE218" s="540"/>
      <c r="AF218" s="540"/>
      <c r="AG218" s="540"/>
      <c r="AH218" s="540"/>
      <c r="AI218" s="540"/>
      <c r="AJ218" s="540"/>
      <c r="AK218" s="540"/>
      <c r="AL218" s="540"/>
      <c r="AM218" s="540"/>
      <c r="AN218" s="540"/>
      <c r="AO218" s="540"/>
      <c r="AP218" s="540"/>
      <c r="AQ218" s="540"/>
    </row>
    <row r="219" spans="1:43" ht="30" customHeight="1" x14ac:dyDescent="0.25">
      <c r="A219" s="3">
        <f t="shared" si="10"/>
        <v>207</v>
      </c>
      <c r="B219" s="1219" t="s">
        <v>162</v>
      </c>
      <c r="C219" s="1219"/>
      <c r="D219" s="1219"/>
      <c r="E219" s="1263"/>
      <c r="F219" s="1263"/>
      <c r="G219" s="1263"/>
      <c r="H219" s="1219"/>
      <c r="I219" s="1219"/>
      <c r="J219" s="1219"/>
      <c r="K219" s="1219"/>
      <c r="L219" s="1219"/>
      <c r="M219" s="1219"/>
      <c r="N219" s="1219"/>
      <c r="O219" s="1219"/>
      <c r="P219" s="1219"/>
      <c r="Q219" s="1219"/>
      <c r="R219" s="1219"/>
      <c r="S219" s="1219"/>
      <c r="T219" s="1219"/>
      <c r="U219" s="1219"/>
      <c r="V219" s="1219"/>
      <c r="W219" s="1219"/>
      <c r="X219" s="1219"/>
      <c r="Y219" s="1219"/>
      <c r="Z219" s="1219"/>
      <c r="AA219" s="1219"/>
      <c r="AB219" s="1219"/>
      <c r="AC219" s="1219"/>
      <c r="AD219" s="1219"/>
      <c r="AE219" s="1219"/>
      <c r="AF219" s="1219"/>
      <c r="AG219" s="1219"/>
      <c r="AH219" s="1219"/>
      <c r="AI219" s="1219"/>
      <c r="AJ219" s="1219"/>
      <c r="AK219" s="1219"/>
      <c r="AL219" s="1219"/>
      <c r="AM219" s="1219"/>
      <c r="AN219" s="1219"/>
      <c r="AO219" s="1219"/>
      <c r="AP219" s="1219"/>
      <c r="AQ219" s="1219"/>
    </row>
    <row r="220" spans="1:43" ht="30" customHeight="1" x14ac:dyDescent="0.25">
      <c r="A220" s="3">
        <f t="shared" si="10"/>
        <v>208</v>
      </c>
      <c r="B220" s="540" t="s">
        <v>162</v>
      </c>
      <c r="C220" s="540"/>
      <c r="D220" s="540"/>
      <c r="E220" s="1264"/>
      <c r="F220" s="1264"/>
      <c r="G220" s="1264"/>
      <c r="H220" s="540"/>
      <c r="I220" s="540"/>
      <c r="J220" s="540"/>
      <c r="K220" s="540"/>
      <c r="L220" s="540"/>
      <c r="M220" s="540"/>
      <c r="N220" s="540"/>
      <c r="O220" s="540"/>
      <c r="P220" s="540"/>
      <c r="Q220" s="540"/>
      <c r="R220" s="540"/>
      <c r="S220" s="540"/>
      <c r="T220" s="540"/>
      <c r="U220" s="540"/>
      <c r="V220" s="540"/>
      <c r="W220" s="540"/>
      <c r="X220" s="540"/>
      <c r="Y220" s="540"/>
      <c r="Z220" s="540"/>
      <c r="AA220" s="540"/>
      <c r="AB220" s="540"/>
      <c r="AC220" s="540"/>
      <c r="AD220" s="540"/>
      <c r="AE220" s="540"/>
      <c r="AF220" s="540"/>
      <c r="AG220" s="540"/>
      <c r="AH220" s="540"/>
      <c r="AI220" s="540"/>
      <c r="AJ220" s="540"/>
      <c r="AK220" s="540"/>
      <c r="AL220" s="540"/>
      <c r="AM220" s="540"/>
      <c r="AN220" s="540"/>
      <c r="AO220" s="540"/>
      <c r="AP220" s="540"/>
      <c r="AQ220" s="540"/>
    </row>
    <row r="221" spans="1:43" ht="30" customHeight="1" x14ac:dyDescent="0.25">
      <c r="A221" s="3">
        <f t="shared" si="10"/>
        <v>209</v>
      </c>
      <c r="B221" s="1219" t="s">
        <v>162</v>
      </c>
      <c r="C221" s="1219"/>
      <c r="D221" s="1219"/>
      <c r="E221" s="1263"/>
      <c r="F221" s="1263"/>
      <c r="G221" s="1263"/>
      <c r="H221" s="1219"/>
      <c r="I221" s="1219"/>
      <c r="J221" s="1219"/>
      <c r="K221" s="1219"/>
      <c r="L221" s="1219"/>
      <c r="M221" s="1219"/>
      <c r="N221" s="1219"/>
      <c r="O221" s="1219"/>
      <c r="P221" s="1219"/>
      <c r="Q221" s="1219"/>
      <c r="R221" s="1219"/>
      <c r="S221" s="1219"/>
      <c r="T221" s="1219"/>
      <c r="U221" s="1219"/>
      <c r="V221" s="1219"/>
      <c r="W221" s="1219"/>
      <c r="X221" s="1219"/>
      <c r="Y221" s="1219"/>
      <c r="Z221" s="1219"/>
      <c r="AA221" s="1219"/>
      <c r="AB221" s="1219"/>
      <c r="AC221" s="1219"/>
      <c r="AD221" s="1219"/>
      <c r="AE221" s="1219"/>
      <c r="AF221" s="1219"/>
      <c r="AG221" s="1219"/>
      <c r="AH221" s="1219"/>
      <c r="AI221" s="1219"/>
      <c r="AJ221" s="1219"/>
      <c r="AK221" s="1219"/>
      <c r="AL221" s="1219"/>
      <c r="AM221" s="1219"/>
      <c r="AN221" s="1219"/>
      <c r="AO221" s="1219"/>
      <c r="AP221" s="1219"/>
      <c r="AQ221" s="1219"/>
    </row>
    <row r="222" spans="1:43" ht="30" customHeight="1" x14ac:dyDescent="0.25">
      <c r="A222" s="3">
        <f t="shared" si="10"/>
        <v>210</v>
      </c>
      <c r="B222" s="540" t="s">
        <v>162</v>
      </c>
      <c r="C222" s="540"/>
      <c r="D222" s="540"/>
      <c r="E222" s="1264"/>
      <c r="F222" s="1264"/>
      <c r="G222" s="1264"/>
      <c r="H222" s="540"/>
      <c r="I222" s="540"/>
      <c r="J222" s="540"/>
      <c r="K222" s="540"/>
      <c r="L222" s="540"/>
      <c r="M222" s="540"/>
      <c r="N222" s="540"/>
      <c r="O222" s="540"/>
      <c r="P222" s="540"/>
      <c r="Q222" s="540"/>
      <c r="R222" s="540"/>
      <c r="S222" s="540"/>
      <c r="T222" s="540"/>
      <c r="U222" s="540"/>
      <c r="V222" s="540"/>
      <c r="W222" s="540"/>
      <c r="X222" s="540"/>
      <c r="Y222" s="540"/>
      <c r="Z222" s="540"/>
      <c r="AA222" s="540"/>
      <c r="AB222" s="540"/>
      <c r="AC222" s="540"/>
      <c r="AD222" s="540"/>
      <c r="AE222" s="540"/>
      <c r="AF222" s="540"/>
      <c r="AG222" s="540"/>
      <c r="AH222" s="540"/>
      <c r="AI222" s="540"/>
      <c r="AJ222" s="540"/>
      <c r="AK222" s="540"/>
      <c r="AL222" s="540"/>
      <c r="AM222" s="540"/>
      <c r="AN222" s="540"/>
      <c r="AO222" s="540"/>
      <c r="AP222" s="540"/>
      <c r="AQ222" s="540"/>
    </row>
    <row r="223" spans="1:43" ht="30" customHeight="1" x14ac:dyDescent="0.25">
      <c r="A223" s="3">
        <f>ROW(A211)</f>
        <v>211</v>
      </c>
      <c r="B223" s="1219" t="s">
        <v>162</v>
      </c>
      <c r="C223" s="1219"/>
      <c r="D223" s="1219"/>
      <c r="E223" s="1263"/>
      <c r="F223" s="1263"/>
      <c r="G223" s="1263"/>
      <c r="H223" s="1219"/>
      <c r="I223" s="1219"/>
      <c r="J223" s="1219"/>
      <c r="K223" s="1219"/>
      <c r="L223" s="1219"/>
      <c r="M223" s="1219"/>
      <c r="N223" s="1219"/>
      <c r="O223" s="1219"/>
      <c r="P223" s="1219"/>
      <c r="Q223" s="1219"/>
      <c r="R223" s="1219"/>
      <c r="S223" s="1219"/>
      <c r="T223" s="1219"/>
      <c r="U223" s="1219"/>
      <c r="V223" s="1219"/>
      <c r="W223" s="1219"/>
      <c r="X223" s="1219"/>
      <c r="Y223" s="1219"/>
      <c r="Z223" s="1219"/>
      <c r="AA223" s="1219"/>
      <c r="AB223" s="1219"/>
      <c r="AC223" s="1219"/>
      <c r="AD223" s="1219"/>
      <c r="AE223" s="1219"/>
      <c r="AF223" s="1219"/>
      <c r="AG223" s="1219"/>
      <c r="AH223" s="1219"/>
      <c r="AI223" s="1219"/>
      <c r="AJ223" s="1219"/>
      <c r="AK223" s="1219"/>
      <c r="AL223" s="1219"/>
      <c r="AM223" s="1219"/>
      <c r="AN223" s="1219"/>
      <c r="AO223" s="1219"/>
      <c r="AP223" s="1219"/>
      <c r="AQ223" s="1219"/>
    </row>
    <row r="224" spans="1:43" ht="30" customHeight="1" x14ac:dyDescent="0.25">
      <c r="A224" s="3">
        <f t="shared" si="10"/>
        <v>212</v>
      </c>
      <c r="B224" s="540" t="s">
        <v>162</v>
      </c>
      <c r="C224" s="540"/>
      <c r="D224" s="540"/>
      <c r="E224" s="1264"/>
      <c r="F224" s="1264"/>
      <c r="G224" s="1264"/>
      <c r="H224" s="540"/>
      <c r="I224" s="540"/>
      <c r="J224" s="540"/>
      <c r="K224" s="540"/>
      <c r="L224" s="540"/>
      <c r="M224" s="540"/>
      <c r="N224" s="540"/>
      <c r="O224" s="540"/>
      <c r="P224" s="540"/>
      <c r="Q224" s="540"/>
      <c r="R224" s="540"/>
      <c r="S224" s="540"/>
      <c r="T224" s="540"/>
      <c r="U224" s="540"/>
      <c r="V224" s="540"/>
      <c r="W224" s="540"/>
      <c r="X224" s="540"/>
      <c r="Y224" s="540"/>
      <c r="Z224" s="540"/>
      <c r="AA224" s="540"/>
      <c r="AB224" s="540"/>
      <c r="AC224" s="540"/>
      <c r="AD224" s="540"/>
      <c r="AE224" s="540"/>
      <c r="AF224" s="540"/>
      <c r="AG224" s="540"/>
      <c r="AH224" s="540"/>
      <c r="AI224" s="540"/>
      <c r="AJ224" s="540"/>
      <c r="AK224" s="540"/>
      <c r="AL224" s="540"/>
      <c r="AM224" s="540"/>
      <c r="AN224" s="540"/>
      <c r="AO224" s="540"/>
      <c r="AP224" s="540"/>
      <c r="AQ224" s="540"/>
    </row>
    <row r="225" spans="1:43" ht="30" customHeight="1" x14ac:dyDescent="0.25">
      <c r="A225" s="3">
        <f t="shared" si="10"/>
        <v>213</v>
      </c>
      <c r="B225" s="1219" t="s">
        <v>162</v>
      </c>
      <c r="C225" s="1219"/>
      <c r="D225" s="1219"/>
      <c r="E225" s="1263"/>
      <c r="F225" s="1263"/>
      <c r="G225" s="1263"/>
      <c r="H225" s="1219"/>
      <c r="I225" s="1219"/>
      <c r="J225" s="1219"/>
      <c r="K225" s="1219"/>
      <c r="L225" s="1219"/>
      <c r="M225" s="1219"/>
      <c r="N225" s="1219"/>
      <c r="O225" s="1219"/>
      <c r="P225" s="1219"/>
      <c r="Q225" s="1219"/>
      <c r="R225" s="1219"/>
      <c r="S225" s="1219"/>
      <c r="T225" s="1219"/>
      <c r="U225" s="1219"/>
      <c r="V225" s="1219"/>
      <c r="W225" s="1219"/>
      <c r="X225" s="1219"/>
      <c r="Y225" s="1219"/>
      <c r="Z225" s="1219"/>
      <c r="AA225" s="1219"/>
      <c r="AB225" s="1219"/>
      <c r="AC225" s="1219"/>
      <c r="AD225" s="1219"/>
      <c r="AE225" s="1219"/>
      <c r="AF225" s="1219"/>
      <c r="AG225" s="1219"/>
      <c r="AH225" s="1219"/>
      <c r="AI225" s="1219"/>
      <c r="AJ225" s="1219"/>
      <c r="AK225" s="1219"/>
      <c r="AL225" s="1219"/>
      <c r="AM225" s="1219"/>
      <c r="AN225" s="1219"/>
      <c r="AO225" s="1219"/>
      <c r="AP225" s="1219"/>
      <c r="AQ225" s="1219"/>
    </row>
    <row r="226" spans="1:43" ht="30" customHeight="1" x14ac:dyDescent="0.25">
      <c r="A226" s="3">
        <f t="shared" si="10"/>
        <v>214</v>
      </c>
      <c r="B226" s="540" t="s">
        <v>162</v>
      </c>
      <c r="C226" s="540"/>
      <c r="D226" s="540"/>
      <c r="E226" s="1264"/>
      <c r="F226" s="1264"/>
      <c r="G226" s="1264"/>
      <c r="H226" s="540"/>
      <c r="I226" s="540"/>
      <c r="J226" s="540"/>
      <c r="K226" s="540"/>
      <c r="L226" s="540"/>
      <c r="M226" s="540"/>
      <c r="N226" s="540"/>
      <c r="O226" s="540"/>
      <c r="P226" s="540"/>
      <c r="Q226" s="540"/>
      <c r="R226" s="540"/>
      <c r="S226" s="540"/>
      <c r="T226" s="540"/>
      <c r="U226" s="540"/>
      <c r="V226" s="540"/>
      <c r="W226" s="540"/>
      <c r="X226" s="540"/>
      <c r="Y226" s="540"/>
      <c r="Z226" s="540"/>
      <c r="AA226" s="540"/>
      <c r="AB226" s="540"/>
      <c r="AC226" s="540"/>
      <c r="AD226" s="540"/>
      <c r="AE226" s="540"/>
      <c r="AF226" s="540"/>
      <c r="AG226" s="540"/>
      <c r="AH226" s="540"/>
      <c r="AI226" s="540"/>
      <c r="AJ226" s="540"/>
      <c r="AK226" s="540"/>
      <c r="AL226" s="540"/>
      <c r="AM226" s="540"/>
      <c r="AN226" s="540"/>
      <c r="AO226" s="540"/>
      <c r="AP226" s="540"/>
      <c r="AQ226" s="540"/>
    </row>
    <row r="227" spans="1:43" ht="30" customHeight="1" x14ac:dyDescent="0.25">
      <c r="A227" s="3">
        <f t="shared" si="10"/>
        <v>215</v>
      </c>
      <c r="B227" s="1219" t="s">
        <v>162</v>
      </c>
      <c r="C227" s="1219"/>
      <c r="D227" s="1219"/>
      <c r="E227" s="1263"/>
      <c r="F227" s="1263"/>
      <c r="G227" s="1263"/>
      <c r="H227" s="1219"/>
      <c r="I227" s="1219"/>
      <c r="J227" s="1219"/>
      <c r="K227" s="1219"/>
      <c r="L227" s="1219"/>
      <c r="M227" s="1219"/>
      <c r="N227" s="1219"/>
      <c r="O227" s="1219"/>
      <c r="P227" s="1219"/>
      <c r="Q227" s="1219"/>
      <c r="R227" s="1219"/>
      <c r="S227" s="1219"/>
      <c r="T227" s="1219"/>
      <c r="U227" s="1219"/>
      <c r="V227" s="1219"/>
      <c r="W227" s="1219"/>
      <c r="X227" s="1219"/>
      <c r="Y227" s="1219"/>
      <c r="Z227" s="1219"/>
      <c r="AA227" s="1219"/>
      <c r="AB227" s="1219"/>
      <c r="AC227" s="1219"/>
      <c r="AD227" s="1219"/>
      <c r="AE227" s="1219"/>
      <c r="AF227" s="1219"/>
      <c r="AG227" s="1219"/>
      <c r="AH227" s="1219"/>
      <c r="AI227" s="1219"/>
      <c r="AJ227" s="1219"/>
      <c r="AK227" s="1219"/>
      <c r="AL227" s="1219"/>
      <c r="AM227" s="1219"/>
      <c r="AN227" s="1219"/>
      <c r="AO227" s="1219"/>
      <c r="AP227" s="1219"/>
      <c r="AQ227" s="1219"/>
    </row>
    <row r="228" spans="1:43" ht="30" customHeight="1" x14ac:dyDescent="0.25">
      <c r="A228" s="3">
        <f t="shared" si="10"/>
        <v>216</v>
      </c>
      <c r="B228" s="540" t="s">
        <v>162</v>
      </c>
      <c r="C228" s="540"/>
      <c r="D228" s="540"/>
      <c r="E228" s="1264"/>
      <c r="F228" s="1264"/>
      <c r="G228" s="1264"/>
      <c r="H228" s="540"/>
      <c r="I228" s="540"/>
      <c r="J228" s="540"/>
      <c r="K228" s="540"/>
      <c r="L228" s="540"/>
      <c r="M228" s="540"/>
      <c r="N228" s="540"/>
      <c r="O228" s="540"/>
      <c r="P228" s="540"/>
      <c r="Q228" s="540"/>
      <c r="R228" s="540"/>
      <c r="S228" s="540"/>
      <c r="T228" s="540"/>
      <c r="U228" s="540"/>
      <c r="V228" s="540"/>
      <c r="W228" s="540"/>
      <c r="X228" s="540"/>
      <c r="Y228" s="540"/>
      <c r="Z228" s="540"/>
      <c r="AA228" s="540"/>
      <c r="AB228" s="540"/>
      <c r="AC228" s="540"/>
      <c r="AD228" s="540"/>
      <c r="AE228" s="540"/>
      <c r="AF228" s="540"/>
      <c r="AG228" s="540"/>
      <c r="AH228" s="540"/>
      <c r="AI228" s="540"/>
      <c r="AJ228" s="540"/>
      <c r="AK228" s="540"/>
      <c r="AL228" s="540"/>
      <c r="AM228" s="540"/>
      <c r="AN228" s="540"/>
      <c r="AO228" s="540"/>
      <c r="AP228" s="540"/>
      <c r="AQ228" s="540"/>
    </row>
    <row r="229" spans="1:43" ht="30" customHeight="1" x14ac:dyDescent="0.25">
      <c r="A229" s="3">
        <f t="shared" si="10"/>
        <v>217</v>
      </c>
      <c r="B229" s="1219" t="s">
        <v>162</v>
      </c>
      <c r="C229" s="1219"/>
      <c r="D229" s="1219"/>
      <c r="E229" s="1263"/>
      <c r="F229" s="1263"/>
      <c r="G229" s="1263"/>
      <c r="H229" s="1219"/>
      <c r="I229" s="1219"/>
      <c r="J229" s="1219"/>
      <c r="K229" s="1219"/>
      <c r="L229" s="1219"/>
      <c r="M229" s="1219"/>
      <c r="N229" s="1219"/>
      <c r="O229" s="1219"/>
      <c r="P229" s="1219"/>
      <c r="Q229" s="1219"/>
      <c r="R229" s="1219"/>
      <c r="S229" s="1219"/>
      <c r="T229" s="1219"/>
      <c r="U229" s="1219"/>
      <c r="V229" s="1219"/>
      <c r="W229" s="1219"/>
      <c r="X229" s="1219"/>
      <c r="Y229" s="1219"/>
      <c r="Z229" s="1219"/>
      <c r="AA229" s="1219"/>
      <c r="AB229" s="1219"/>
      <c r="AC229" s="1219"/>
      <c r="AD229" s="1219"/>
      <c r="AE229" s="1219"/>
      <c r="AF229" s="1219"/>
      <c r="AG229" s="1219"/>
      <c r="AH229" s="1219"/>
      <c r="AI229" s="1219"/>
      <c r="AJ229" s="1219"/>
      <c r="AK229" s="1219"/>
      <c r="AL229" s="1219"/>
      <c r="AM229" s="1219"/>
      <c r="AN229" s="1219"/>
      <c r="AO229" s="1219"/>
      <c r="AP229" s="1219"/>
      <c r="AQ229" s="1219"/>
    </row>
    <row r="230" spans="1:43" ht="30" customHeight="1" x14ac:dyDescent="0.25">
      <c r="A230" s="3">
        <f t="shared" si="10"/>
        <v>218</v>
      </c>
      <c r="B230" s="540" t="s">
        <v>162</v>
      </c>
      <c r="C230" s="540"/>
      <c r="D230" s="540"/>
      <c r="E230" s="1264"/>
      <c r="F230" s="1264"/>
      <c r="G230" s="1264"/>
      <c r="H230" s="540"/>
      <c r="I230" s="540"/>
      <c r="J230" s="540"/>
      <c r="K230" s="540"/>
      <c r="L230" s="540"/>
      <c r="M230" s="540"/>
      <c r="N230" s="540"/>
      <c r="O230" s="540"/>
      <c r="P230" s="540"/>
      <c r="Q230" s="540"/>
      <c r="R230" s="540"/>
      <c r="S230" s="540"/>
      <c r="T230" s="540"/>
      <c r="U230" s="540"/>
      <c r="V230" s="540"/>
      <c r="W230" s="540"/>
      <c r="X230" s="540"/>
      <c r="Y230" s="540"/>
      <c r="Z230" s="540"/>
      <c r="AA230" s="540"/>
      <c r="AB230" s="540"/>
      <c r="AC230" s="540"/>
      <c r="AD230" s="540"/>
      <c r="AE230" s="540"/>
      <c r="AF230" s="540"/>
      <c r="AG230" s="540"/>
      <c r="AH230" s="540"/>
      <c r="AI230" s="540"/>
      <c r="AJ230" s="540"/>
      <c r="AK230" s="540"/>
      <c r="AL230" s="540"/>
      <c r="AM230" s="540"/>
      <c r="AN230" s="540"/>
      <c r="AO230" s="540"/>
      <c r="AP230" s="540"/>
      <c r="AQ230" s="540"/>
    </row>
    <row r="231" spans="1:43" ht="30" customHeight="1" x14ac:dyDescent="0.25">
      <c r="A231" s="3">
        <f t="shared" si="10"/>
        <v>219</v>
      </c>
      <c r="B231" s="1219" t="s">
        <v>162</v>
      </c>
      <c r="C231" s="1219"/>
      <c r="D231" s="1219"/>
      <c r="E231" s="1263"/>
      <c r="F231" s="1263"/>
      <c r="G231" s="1263"/>
      <c r="H231" s="1219"/>
      <c r="I231" s="1219"/>
      <c r="J231" s="1219"/>
      <c r="K231" s="1219"/>
      <c r="L231" s="1219"/>
      <c r="M231" s="1219"/>
      <c r="N231" s="1219"/>
      <c r="O231" s="1219"/>
      <c r="P231" s="1219"/>
      <c r="Q231" s="1219"/>
      <c r="R231" s="1219"/>
      <c r="S231" s="1219"/>
      <c r="T231" s="1219"/>
      <c r="U231" s="1219"/>
      <c r="V231" s="1219"/>
      <c r="W231" s="1219"/>
      <c r="X231" s="1219"/>
      <c r="Y231" s="1219"/>
      <c r="Z231" s="1219"/>
      <c r="AA231" s="1219"/>
      <c r="AB231" s="1219"/>
      <c r="AC231" s="1219"/>
      <c r="AD231" s="1219"/>
      <c r="AE231" s="1219"/>
      <c r="AF231" s="1219"/>
      <c r="AG231" s="1219"/>
      <c r="AH231" s="1219"/>
      <c r="AI231" s="1219"/>
      <c r="AJ231" s="1219"/>
      <c r="AK231" s="1219"/>
      <c r="AL231" s="1219"/>
      <c r="AM231" s="1219"/>
      <c r="AN231" s="1219"/>
      <c r="AO231" s="1219"/>
      <c r="AP231" s="1219"/>
      <c r="AQ231" s="1219"/>
    </row>
    <row r="232" spans="1:43" ht="30" customHeight="1" x14ac:dyDescent="0.25">
      <c r="A232" s="3">
        <f t="shared" si="10"/>
        <v>220</v>
      </c>
      <c r="B232" s="540" t="s">
        <v>162</v>
      </c>
      <c r="C232" s="540"/>
      <c r="D232" s="540"/>
      <c r="E232" s="1264"/>
      <c r="F232" s="1264"/>
      <c r="G232" s="1264"/>
      <c r="H232" s="540"/>
      <c r="I232" s="540"/>
      <c r="J232" s="540"/>
      <c r="K232" s="540"/>
      <c r="L232" s="540"/>
      <c r="M232" s="540"/>
      <c r="N232" s="540"/>
      <c r="O232" s="540"/>
      <c r="P232" s="540"/>
      <c r="Q232" s="540"/>
      <c r="R232" s="540"/>
      <c r="S232" s="540"/>
      <c r="T232" s="540"/>
      <c r="U232" s="540"/>
      <c r="V232" s="540"/>
      <c r="W232" s="540"/>
      <c r="X232" s="540"/>
      <c r="Y232" s="540"/>
      <c r="Z232" s="540"/>
      <c r="AA232" s="540"/>
      <c r="AB232" s="540"/>
      <c r="AC232" s="540"/>
      <c r="AD232" s="540"/>
      <c r="AE232" s="540"/>
      <c r="AF232" s="540"/>
      <c r="AG232" s="540"/>
      <c r="AH232" s="540"/>
      <c r="AI232" s="540"/>
      <c r="AJ232" s="540"/>
      <c r="AK232" s="540"/>
      <c r="AL232" s="540"/>
      <c r="AM232" s="540"/>
      <c r="AN232" s="540"/>
      <c r="AO232" s="540"/>
      <c r="AP232" s="540"/>
      <c r="AQ232" s="540"/>
    </row>
    <row r="233" spans="1:43" ht="30" customHeight="1" x14ac:dyDescent="0.25">
      <c r="A233" s="3">
        <f>ROW(A221)</f>
        <v>221</v>
      </c>
      <c r="B233" s="1219" t="s">
        <v>162</v>
      </c>
      <c r="C233" s="1219"/>
      <c r="D233" s="1219"/>
      <c r="E233" s="1263"/>
      <c r="F233" s="1263"/>
      <c r="G233" s="1263"/>
      <c r="H233" s="1219"/>
      <c r="I233" s="1219"/>
      <c r="J233" s="1219"/>
      <c r="K233" s="1219"/>
      <c r="L233" s="1219"/>
      <c r="M233" s="1219"/>
      <c r="N233" s="1219"/>
      <c r="O233" s="1219"/>
      <c r="P233" s="1219"/>
      <c r="Q233" s="1219"/>
      <c r="R233" s="1219"/>
      <c r="S233" s="1219"/>
      <c r="T233" s="1219"/>
      <c r="U233" s="1219"/>
      <c r="V233" s="1219"/>
      <c r="W233" s="1219"/>
      <c r="X233" s="1219"/>
      <c r="Y233" s="1219"/>
      <c r="Z233" s="1219"/>
      <c r="AA233" s="1219"/>
      <c r="AB233" s="1219"/>
      <c r="AC233" s="1219"/>
      <c r="AD233" s="1219"/>
      <c r="AE233" s="1219"/>
      <c r="AF233" s="1219"/>
      <c r="AG233" s="1219"/>
      <c r="AH233" s="1219"/>
      <c r="AI233" s="1219"/>
      <c r="AJ233" s="1219"/>
      <c r="AK233" s="1219"/>
      <c r="AL233" s="1219"/>
      <c r="AM233" s="1219"/>
      <c r="AN233" s="1219"/>
      <c r="AO233" s="1219"/>
      <c r="AP233" s="1219"/>
      <c r="AQ233" s="1219"/>
    </row>
    <row r="234" spans="1:43" ht="30" customHeight="1" x14ac:dyDescent="0.25">
      <c r="A234" s="3">
        <f t="shared" si="10"/>
        <v>222</v>
      </c>
      <c r="B234" s="540" t="s">
        <v>162</v>
      </c>
      <c r="C234" s="540"/>
      <c r="D234" s="540"/>
      <c r="E234" s="1264"/>
      <c r="F234" s="1264"/>
      <c r="G234" s="1264"/>
      <c r="H234" s="540"/>
      <c r="I234" s="540"/>
      <c r="J234" s="540"/>
      <c r="K234" s="540"/>
      <c r="L234" s="540"/>
      <c r="M234" s="540"/>
      <c r="N234" s="540"/>
      <c r="O234" s="540"/>
      <c r="P234" s="540"/>
      <c r="Q234" s="540"/>
      <c r="R234" s="540"/>
      <c r="S234" s="540"/>
      <c r="T234" s="540"/>
      <c r="U234" s="540"/>
      <c r="V234" s="540"/>
      <c r="W234" s="540"/>
      <c r="X234" s="540"/>
      <c r="Y234" s="540"/>
      <c r="Z234" s="540"/>
      <c r="AA234" s="540"/>
      <c r="AB234" s="540"/>
      <c r="AC234" s="540"/>
      <c r="AD234" s="540"/>
      <c r="AE234" s="540"/>
      <c r="AF234" s="540"/>
      <c r="AG234" s="540"/>
      <c r="AH234" s="540"/>
      <c r="AI234" s="540"/>
      <c r="AJ234" s="540"/>
      <c r="AK234" s="540"/>
      <c r="AL234" s="540"/>
      <c r="AM234" s="540"/>
      <c r="AN234" s="540"/>
      <c r="AO234" s="540"/>
      <c r="AP234" s="540"/>
      <c r="AQ234" s="540"/>
    </row>
    <row r="235" spans="1:43" ht="30" customHeight="1" x14ac:dyDescent="0.25">
      <c r="A235" s="3">
        <f t="shared" si="10"/>
        <v>223</v>
      </c>
      <c r="B235" s="1219" t="s">
        <v>162</v>
      </c>
      <c r="C235" s="1219"/>
      <c r="D235" s="1219"/>
      <c r="E235" s="1263"/>
      <c r="F235" s="1263"/>
      <c r="G235" s="1263"/>
      <c r="H235" s="1219"/>
      <c r="I235" s="1219"/>
      <c r="J235" s="1219"/>
      <c r="K235" s="1219"/>
      <c r="L235" s="1219"/>
      <c r="M235" s="1219"/>
      <c r="N235" s="1219"/>
      <c r="O235" s="1219"/>
      <c r="P235" s="1219"/>
      <c r="Q235" s="1219"/>
      <c r="R235" s="1219"/>
      <c r="S235" s="1219"/>
      <c r="T235" s="1219"/>
      <c r="U235" s="1219"/>
      <c r="V235" s="1219"/>
      <c r="W235" s="1219"/>
      <c r="X235" s="1219"/>
      <c r="Y235" s="1219"/>
      <c r="Z235" s="1219"/>
      <c r="AA235" s="1219"/>
      <c r="AB235" s="1219"/>
      <c r="AC235" s="1219"/>
      <c r="AD235" s="1219"/>
      <c r="AE235" s="1219"/>
      <c r="AF235" s="1219"/>
      <c r="AG235" s="1219"/>
      <c r="AH235" s="1219"/>
      <c r="AI235" s="1219"/>
      <c r="AJ235" s="1219"/>
      <c r="AK235" s="1219"/>
      <c r="AL235" s="1219"/>
      <c r="AM235" s="1219"/>
      <c r="AN235" s="1219"/>
      <c r="AO235" s="1219"/>
      <c r="AP235" s="1219"/>
      <c r="AQ235" s="1219"/>
    </row>
    <row r="236" spans="1:43" ht="30" customHeight="1" x14ac:dyDescent="0.25">
      <c r="A236" s="3">
        <f t="shared" si="10"/>
        <v>224</v>
      </c>
      <c r="B236" s="540" t="s">
        <v>162</v>
      </c>
      <c r="C236" s="540"/>
      <c r="D236" s="540"/>
      <c r="E236" s="1264"/>
      <c r="F236" s="1264"/>
      <c r="G236" s="1264"/>
      <c r="H236" s="540"/>
      <c r="I236" s="540"/>
      <c r="J236" s="540"/>
      <c r="K236" s="540"/>
      <c r="L236" s="540"/>
      <c r="M236" s="540"/>
      <c r="N236" s="540"/>
      <c r="O236" s="540"/>
      <c r="P236" s="540"/>
      <c r="Q236" s="540"/>
      <c r="R236" s="540"/>
      <c r="S236" s="540"/>
      <c r="T236" s="540"/>
      <c r="U236" s="540"/>
      <c r="V236" s="540"/>
      <c r="W236" s="540"/>
      <c r="X236" s="540"/>
      <c r="Y236" s="540"/>
      <c r="Z236" s="540"/>
      <c r="AA236" s="540"/>
      <c r="AB236" s="540"/>
      <c r="AC236" s="540"/>
      <c r="AD236" s="540"/>
      <c r="AE236" s="540"/>
      <c r="AF236" s="540"/>
      <c r="AG236" s="540"/>
      <c r="AH236" s="540"/>
      <c r="AI236" s="540"/>
      <c r="AJ236" s="540"/>
      <c r="AK236" s="540"/>
      <c r="AL236" s="540"/>
      <c r="AM236" s="540"/>
      <c r="AN236" s="540"/>
      <c r="AO236" s="540"/>
      <c r="AP236" s="540"/>
      <c r="AQ236" s="540"/>
    </row>
    <row r="237" spans="1:43" ht="30" customHeight="1" x14ac:dyDescent="0.25">
      <c r="A237" s="3">
        <f t="shared" si="10"/>
        <v>225</v>
      </c>
      <c r="B237" s="1219" t="s">
        <v>162</v>
      </c>
      <c r="C237" s="1219"/>
      <c r="D237" s="1219"/>
      <c r="E237" s="1263"/>
      <c r="F237" s="1263"/>
      <c r="G237" s="1263"/>
      <c r="H237" s="1219"/>
      <c r="I237" s="1219"/>
      <c r="J237" s="1219"/>
      <c r="K237" s="1219"/>
      <c r="L237" s="1219"/>
      <c r="M237" s="1219"/>
      <c r="N237" s="1219"/>
      <c r="O237" s="1219"/>
      <c r="P237" s="1219"/>
      <c r="Q237" s="1219"/>
      <c r="R237" s="1219"/>
      <c r="S237" s="1219"/>
      <c r="T237" s="1219"/>
      <c r="U237" s="1219"/>
      <c r="V237" s="1219"/>
      <c r="W237" s="1219"/>
      <c r="X237" s="1219"/>
      <c r="Y237" s="1219"/>
      <c r="Z237" s="1219"/>
      <c r="AA237" s="1219"/>
      <c r="AB237" s="1219"/>
      <c r="AC237" s="1219"/>
      <c r="AD237" s="1219"/>
      <c r="AE237" s="1219"/>
      <c r="AF237" s="1219"/>
      <c r="AG237" s="1219"/>
      <c r="AH237" s="1219"/>
      <c r="AI237" s="1219"/>
      <c r="AJ237" s="1219"/>
      <c r="AK237" s="1219"/>
      <c r="AL237" s="1219"/>
      <c r="AM237" s="1219"/>
      <c r="AN237" s="1219"/>
      <c r="AO237" s="1219"/>
      <c r="AP237" s="1219"/>
      <c r="AQ237" s="1219"/>
    </row>
    <row r="238" spans="1:43" ht="30" customHeight="1" x14ac:dyDescent="0.25">
      <c r="A238" s="3">
        <f t="shared" si="10"/>
        <v>226</v>
      </c>
      <c r="B238" s="540" t="s">
        <v>162</v>
      </c>
      <c r="C238" s="540"/>
      <c r="D238" s="540"/>
      <c r="E238" s="1264"/>
      <c r="F238" s="1264"/>
      <c r="G238" s="1264"/>
      <c r="H238" s="540"/>
      <c r="I238" s="540"/>
      <c r="J238" s="540"/>
      <c r="K238" s="540"/>
      <c r="L238" s="540"/>
      <c r="M238" s="540"/>
      <c r="N238" s="540"/>
      <c r="O238" s="540"/>
      <c r="P238" s="540"/>
      <c r="Q238" s="540"/>
      <c r="R238" s="540"/>
      <c r="S238" s="540"/>
      <c r="T238" s="540"/>
      <c r="U238" s="540"/>
      <c r="V238" s="540"/>
      <c r="W238" s="540"/>
      <c r="X238" s="540"/>
      <c r="Y238" s="540"/>
      <c r="Z238" s="540"/>
      <c r="AA238" s="540"/>
      <c r="AB238" s="540"/>
      <c r="AC238" s="540"/>
      <c r="AD238" s="540"/>
      <c r="AE238" s="540"/>
      <c r="AF238" s="540"/>
      <c r="AG238" s="540"/>
      <c r="AH238" s="540"/>
      <c r="AI238" s="540"/>
      <c r="AJ238" s="540"/>
      <c r="AK238" s="540"/>
      <c r="AL238" s="540"/>
      <c r="AM238" s="540"/>
      <c r="AN238" s="540"/>
      <c r="AO238" s="540"/>
      <c r="AP238" s="540"/>
      <c r="AQ238" s="540"/>
    </row>
    <row r="239" spans="1:43" ht="30" customHeight="1" x14ac:dyDescent="0.25">
      <c r="A239" s="3">
        <f t="shared" si="10"/>
        <v>227</v>
      </c>
      <c r="B239" s="1219" t="s">
        <v>162</v>
      </c>
      <c r="C239" s="1219"/>
      <c r="D239" s="1219"/>
      <c r="E239" s="1263"/>
      <c r="F239" s="1263"/>
      <c r="G239" s="1263"/>
      <c r="H239" s="1219"/>
      <c r="I239" s="1219"/>
      <c r="J239" s="1219"/>
      <c r="K239" s="1219"/>
      <c r="L239" s="1219"/>
      <c r="M239" s="1219"/>
      <c r="N239" s="1219"/>
      <c r="O239" s="1219"/>
      <c r="P239" s="1219"/>
      <c r="Q239" s="1219"/>
      <c r="R239" s="1219"/>
      <c r="S239" s="1219"/>
      <c r="T239" s="1219"/>
      <c r="U239" s="1219"/>
      <c r="V239" s="1219"/>
      <c r="W239" s="1219"/>
      <c r="X239" s="1219"/>
      <c r="Y239" s="1219"/>
      <c r="Z239" s="1219"/>
      <c r="AA239" s="1219"/>
      <c r="AB239" s="1219"/>
      <c r="AC239" s="1219"/>
      <c r="AD239" s="1219"/>
      <c r="AE239" s="1219"/>
      <c r="AF239" s="1219"/>
      <c r="AG239" s="1219"/>
      <c r="AH239" s="1219"/>
      <c r="AI239" s="1219"/>
      <c r="AJ239" s="1219"/>
      <c r="AK239" s="1219"/>
      <c r="AL239" s="1219"/>
      <c r="AM239" s="1219"/>
      <c r="AN239" s="1219"/>
      <c r="AO239" s="1219"/>
      <c r="AP239" s="1219"/>
      <c r="AQ239" s="1219"/>
    </row>
    <row r="240" spans="1:43" ht="30" customHeight="1" x14ac:dyDescent="0.25">
      <c r="A240" s="3">
        <f t="shared" si="10"/>
        <v>228</v>
      </c>
      <c r="B240" s="540" t="s">
        <v>162</v>
      </c>
      <c r="C240" s="540"/>
      <c r="D240" s="540"/>
      <c r="E240" s="1264"/>
      <c r="F240" s="1264"/>
      <c r="G240" s="1264"/>
      <c r="H240" s="540"/>
      <c r="I240" s="540"/>
      <c r="J240" s="540"/>
      <c r="K240" s="540"/>
      <c r="L240" s="540"/>
      <c r="M240" s="540"/>
      <c r="N240" s="540"/>
      <c r="O240" s="540"/>
      <c r="P240" s="540"/>
      <c r="Q240" s="540"/>
      <c r="R240" s="540"/>
      <c r="S240" s="540"/>
      <c r="T240" s="540"/>
      <c r="U240" s="540"/>
      <c r="V240" s="540"/>
      <c r="W240" s="540"/>
      <c r="X240" s="540"/>
      <c r="Y240" s="540"/>
      <c r="Z240" s="540"/>
      <c r="AA240" s="540"/>
      <c r="AB240" s="540"/>
      <c r="AC240" s="540"/>
      <c r="AD240" s="540"/>
      <c r="AE240" s="540"/>
      <c r="AF240" s="540"/>
      <c r="AG240" s="540"/>
      <c r="AH240" s="540"/>
      <c r="AI240" s="540"/>
      <c r="AJ240" s="540"/>
      <c r="AK240" s="540"/>
      <c r="AL240" s="540"/>
      <c r="AM240" s="540"/>
      <c r="AN240" s="540"/>
      <c r="AO240" s="540"/>
      <c r="AP240" s="540"/>
      <c r="AQ240" s="540"/>
    </row>
    <row r="241" spans="1:43" ht="30" customHeight="1" x14ac:dyDescent="0.25">
      <c r="A241" s="3">
        <f t="shared" si="10"/>
        <v>229</v>
      </c>
      <c r="B241" s="1219" t="s">
        <v>162</v>
      </c>
      <c r="C241" s="1219"/>
      <c r="D241" s="1219"/>
      <c r="E241" s="1263"/>
      <c r="F241" s="1263"/>
      <c r="G241" s="1263"/>
      <c r="H241" s="1219"/>
      <c r="I241" s="1219"/>
      <c r="J241" s="1219"/>
      <c r="K241" s="1219"/>
      <c r="L241" s="1219"/>
      <c r="M241" s="1219"/>
      <c r="N241" s="1219"/>
      <c r="O241" s="1219"/>
      <c r="P241" s="1219"/>
      <c r="Q241" s="1219"/>
      <c r="R241" s="1219"/>
      <c r="S241" s="1219"/>
      <c r="T241" s="1219"/>
      <c r="U241" s="1219"/>
      <c r="V241" s="1219"/>
      <c r="W241" s="1219"/>
      <c r="X241" s="1219"/>
      <c r="Y241" s="1219"/>
      <c r="Z241" s="1219"/>
      <c r="AA241" s="1219"/>
      <c r="AB241" s="1219"/>
      <c r="AC241" s="1219"/>
      <c r="AD241" s="1219"/>
      <c r="AE241" s="1219"/>
      <c r="AF241" s="1219"/>
      <c r="AG241" s="1219"/>
      <c r="AH241" s="1219"/>
      <c r="AI241" s="1219"/>
      <c r="AJ241" s="1219"/>
      <c r="AK241" s="1219"/>
      <c r="AL241" s="1219"/>
      <c r="AM241" s="1219"/>
      <c r="AN241" s="1219"/>
      <c r="AO241" s="1219"/>
      <c r="AP241" s="1219"/>
      <c r="AQ241" s="1219"/>
    </row>
    <row r="242" spans="1:43" ht="30" customHeight="1" x14ac:dyDescent="0.25">
      <c r="A242" s="3">
        <f t="shared" si="10"/>
        <v>230</v>
      </c>
      <c r="B242" s="540" t="s">
        <v>162</v>
      </c>
      <c r="C242" s="540"/>
      <c r="D242" s="540"/>
      <c r="E242" s="1264"/>
      <c r="F242" s="1264"/>
      <c r="G242" s="1264"/>
      <c r="H242" s="540"/>
      <c r="I242" s="540"/>
      <c r="J242" s="540"/>
      <c r="K242" s="540"/>
      <c r="L242" s="540"/>
      <c r="M242" s="540"/>
      <c r="N242" s="540"/>
      <c r="O242" s="540"/>
      <c r="P242" s="540"/>
      <c r="Q242" s="540"/>
      <c r="R242" s="540"/>
      <c r="S242" s="540"/>
      <c r="T242" s="540"/>
      <c r="U242" s="540"/>
      <c r="V242" s="540"/>
      <c r="W242" s="540"/>
      <c r="X242" s="540"/>
      <c r="Y242" s="540"/>
      <c r="Z242" s="540"/>
      <c r="AA242" s="540"/>
      <c r="AB242" s="540"/>
      <c r="AC242" s="540"/>
      <c r="AD242" s="540"/>
      <c r="AE242" s="540"/>
      <c r="AF242" s="540"/>
      <c r="AG242" s="540"/>
      <c r="AH242" s="540"/>
      <c r="AI242" s="540"/>
      <c r="AJ242" s="540"/>
      <c r="AK242" s="540"/>
      <c r="AL242" s="540"/>
      <c r="AM242" s="540"/>
      <c r="AN242" s="540"/>
      <c r="AO242" s="540"/>
      <c r="AP242" s="540"/>
      <c r="AQ242" s="540"/>
    </row>
    <row r="243" spans="1:43" ht="30" customHeight="1" x14ac:dyDescent="0.25">
      <c r="A243" s="3">
        <f>ROW(A231)</f>
        <v>231</v>
      </c>
      <c r="B243" s="1219" t="s">
        <v>162</v>
      </c>
      <c r="C243" s="1219"/>
      <c r="D243" s="1219"/>
      <c r="E243" s="1263"/>
      <c r="F243" s="1263"/>
      <c r="G243" s="1263"/>
      <c r="H243" s="1219"/>
      <c r="I243" s="1219"/>
      <c r="J243" s="1219"/>
      <c r="K243" s="1219"/>
      <c r="L243" s="1219"/>
      <c r="M243" s="1219"/>
      <c r="N243" s="1219"/>
      <c r="O243" s="1219"/>
      <c r="P243" s="1219"/>
      <c r="Q243" s="1219"/>
      <c r="R243" s="1219"/>
      <c r="S243" s="1219"/>
      <c r="T243" s="1219"/>
      <c r="U243" s="1219"/>
      <c r="V243" s="1219"/>
      <c r="W243" s="1219"/>
      <c r="X243" s="1219"/>
      <c r="Y243" s="1219"/>
      <c r="Z243" s="1219"/>
      <c r="AA243" s="1219"/>
      <c r="AB243" s="1219"/>
      <c r="AC243" s="1219"/>
      <c r="AD243" s="1219"/>
      <c r="AE243" s="1219"/>
      <c r="AF243" s="1219"/>
      <c r="AG243" s="1219"/>
      <c r="AH243" s="1219"/>
      <c r="AI243" s="1219"/>
      <c r="AJ243" s="1219"/>
      <c r="AK243" s="1219"/>
      <c r="AL243" s="1219"/>
      <c r="AM243" s="1219"/>
      <c r="AN243" s="1219"/>
      <c r="AO243" s="1219"/>
      <c r="AP243" s="1219"/>
      <c r="AQ243" s="1219"/>
    </row>
    <row r="244" spans="1:43" ht="30" customHeight="1" x14ac:dyDescent="0.25">
      <c r="A244" s="3">
        <f t="shared" si="10"/>
        <v>232</v>
      </c>
      <c r="B244" s="540" t="s">
        <v>162</v>
      </c>
      <c r="C244" s="540"/>
      <c r="D244" s="540"/>
      <c r="E244" s="1264"/>
      <c r="F244" s="1264"/>
      <c r="G244" s="1264"/>
      <c r="H244" s="540"/>
      <c r="I244" s="540"/>
      <c r="J244" s="540"/>
      <c r="K244" s="540"/>
      <c r="L244" s="540"/>
      <c r="M244" s="540"/>
      <c r="N244" s="540"/>
      <c r="O244" s="540"/>
      <c r="P244" s="540"/>
      <c r="Q244" s="540"/>
      <c r="R244" s="540"/>
      <c r="S244" s="540"/>
      <c r="T244" s="540"/>
      <c r="U244" s="540"/>
      <c r="V244" s="540"/>
      <c r="W244" s="540"/>
      <c r="X244" s="540"/>
      <c r="Y244" s="540"/>
      <c r="Z244" s="540"/>
      <c r="AA244" s="540"/>
      <c r="AB244" s="540"/>
      <c r="AC244" s="540"/>
      <c r="AD244" s="540"/>
      <c r="AE244" s="540"/>
      <c r="AF244" s="540"/>
      <c r="AG244" s="540"/>
      <c r="AH244" s="540"/>
      <c r="AI244" s="540"/>
      <c r="AJ244" s="540"/>
      <c r="AK244" s="540"/>
      <c r="AL244" s="540"/>
      <c r="AM244" s="540"/>
      <c r="AN244" s="540"/>
      <c r="AO244" s="540"/>
      <c r="AP244" s="540"/>
      <c r="AQ244" s="540"/>
    </row>
    <row r="245" spans="1:43" ht="30" customHeight="1" x14ac:dyDescent="0.25">
      <c r="A245" s="3">
        <f t="shared" si="10"/>
        <v>233</v>
      </c>
      <c r="B245" s="1219" t="s">
        <v>162</v>
      </c>
      <c r="C245" s="1219"/>
      <c r="D245" s="1219"/>
      <c r="E245" s="1263"/>
      <c r="F245" s="1263"/>
      <c r="G245" s="1263"/>
      <c r="H245" s="1219"/>
      <c r="I245" s="1219"/>
      <c r="J245" s="1219"/>
      <c r="K245" s="1219"/>
      <c r="L245" s="1219"/>
      <c r="M245" s="1219"/>
      <c r="N245" s="1219"/>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K245" s="1219"/>
      <c r="AL245" s="1219"/>
      <c r="AM245" s="1219"/>
      <c r="AN245" s="1219"/>
      <c r="AO245" s="1219"/>
      <c r="AP245" s="1219"/>
      <c r="AQ245" s="1219"/>
    </row>
    <row r="246" spans="1:43" ht="30" customHeight="1" x14ac:dyDescent="0.25">
      <c r="A246" s="3">
        <f t="shared" si="10"/>
        <v>234</v>
      </c>
      <c r="B246" s="540" t="s">
        <v>162</v>
      </c>
      <c r="C246" s="540"/>
      <c r="D246" s="540"/>
      <c r="E246" s="1264"/>
      <c r="F246" s="1264"/>
      <c r="G246" s="1264"/>
      <c r="H246" s="540"/>
      <c r="I246" s="540"/>
      <c r="J246" s="540"/>
      <c r="K246" s="540"/>
      <c r="L246" s="540"/>
      <c r="M246" s="540"/>
      <c r="N246" s="540"/>
      <c r="O246" s="540"/>
      <c r="P246" s="540"/>
      <c r="Q246" s="540"/>
      <c r="R246" s="540"/>
      <c r="S246" s="540"/>
      <c r="T246" s="540"/>
      <c r="U246" s="540"/>
      <c r="V246" s="540"/>
      <c r="W246" s="540"/>
      <c r="X246" s="540"/>
      <c r="Y246" s="540"/>
      <c r="Z246" s="540"/>
      <c r="AA246" s="540"/>
      <c r="AB246" s="540"/>
      <c r="AC246" s="540"/>
      <c r="AD246" s="540"/>
      <c r="AE246" s="540"/>
      <c r="AF246" s="540"/>
      <c r="AG246" s="540"/>
      <c r="AH246" s="540"/>
      <c r="AI246" s="540"/>
      <c r="AJ246" s="540"/>
      <c r="AK246" s="540"/>
      <c r="AL246" s="540"/>
      <c r="AM246" s="540"/>
      <c r="AN246" s="540"/>
      <c r="AO246" s="540"/>
      <c r="AP246" s="540"/>
      <c r="AQ246" s="540"/>
    </row>
    <row r="247" spans="1:43" ht="30" customHeight="1" x14ac:dyDescent="0.25">
      <c r="A247" s="3">
        <f t="shared" si="10"/>
        <v>235</v>
      </c>
      <c r="B247" s="1219" t="s">
        <v>162</v>
      </c>
      <c r="C247" s="1219"/>
      <c r="D247" s="1219"/>
      <c r="E247" s="1263"/>
      <c r="F247" s="1263"/>
      <c r="G247" s="1263"/>
      <c r="H247" s="1219"/>
      <c r="I247" s="1219"/>
      <c r="J247" s="1219"/>
      <c r="K247" s="1219"/>
      <c r="L247" s="1219"/>
      <c r="M247" s="1219"/>
      <c r="N247" s="1219"/>
      <c r="O247" s="1219"/>
      <c r="P247" s="1219"/>
      <c r="Q247" s="1219"/>
      <c r="R247" s="1219"/>
      <c r="S247" s="1219"/>
      <c r="T247" s="1219"/>
      <c r="U247" s="1219"/>
      <c r="V247" s="1219"/>
      <c r="W247" s="1219"/>
      <c r="X247" s="1219"/>
      <c r="Y247" s="1219"/>
      <c r="Z247" s="1219"/>
      <c r="AA247" s="1219"/>
      <c r="AB247" s="1219"/>
      <c r="AC247" s="1219"/>
      <c r="AD247" s="1219"/>
      <c r="AE247" s="1219"/>
      <c r="AF247" s="1219"/>
      <c r="AG247" s="1219"/>
      <c r="AH247" s="1219"/>
      <c r="AI247" s="1219"/>
      <c r="AJ247" s="1219"/>
      <c r="AK247" s="1219"/>
      <c r="AL247" s="1219"/>
      <c r="AM247" s="1219"/>
      <c r="AN247" s="1219"/>
      <c r="AO247" s="1219"/>
      <c r="AP247" s="1219"/>
      <c r="AQ247" s="1219"/>
    </row>
    <row r="248" spans="1:43" ht="30" customHeight="1" x14ac:dyDescent="0.25">
      <c r="A248" s="3">
        <f t="shared" si="10"/>
        <v>236</v>
      </c>
      <c r="B248" s="540" t="s">
        <v>162</v>
      </c>
      <c r="C248" s="540"/>
      <c r="D248" s="540"/>
      <c r="E248" s="1264"/>
      <c r="F248" s="1264"/>
      <c r="G248" s="1264"/>
      <c r="H248" s="540"/>
      <c r="I248" s="540"/>
      <c r="J248" s="540"/>
      <c r="K248" s="540"/>
      <c r="L248" s="540"/>
      <c r="M248" s="540"/>
      <c r="N248" s="540"/>
      <c r="O248" s="540"/>
      <c r="P248" s="540"/>
      <c r="Q248" s="540"/>
      <c r="R248" s="540"/>
      <c r="S248" s="540"/>
      <c r="T248" s="540"/>
      <c r="U248" s="540"/>
      <c r="V248" s="540"/>
      <c r="W248" s="540"/>
      <c r="X248" s="540"/>
      <c r="Y248" s="540"/>
      <c r="Z248" s="540"/>
      <c r="AA248" s="540"/>
      <c r="AB248" s="540"/>
      <c r="AC248" s="540"/>
      <c r="AD248" s="540"/>
      <c r="AE248" s="540"/>
      <c r="AF248" s="540"/>
      <c r="AG248" s="540"/>
      <c r="AH248" s="540"/>
      <c r="AI248" s="540"/>
      <c r="AJ248" s="540"/>
      <c r="AK248" s="540"/>
      <c r="AL248" s="540"/>
      <c r="AM248" s="540"/>
      <c r="AN248" s="540"/>
      <c r="AO248" s="540"/>
      <c r="AP248" s="540"/>
      <c r="AQ248" s="540"/>
    </row>
    <row r="249" spans="1:43" ht="30" customHeight="1" x14ac:dyDescent="0.25">
      <c r="A249" s="3">
        <f t="shared" si="10"/>
        <v>237</v>
      </c>
      <c r="B249" s="1219" t="s">
        <v>162</v>
      </c>
      <c r="C249" s="1219"/>
      <c r="D249" s="1219"/>
      <c r="E249" s="1263"/>
      <c r="F249" s="1263"/>
      <c r="G249" s="1263"/>
      <c r="H249" s="1219"/>
      <c r="I249" s="1219"/>
      <c r="J249" s="1219"/>
      <c r="K249" s="1219"/>
      <c r="L249" s="1219"/>
      <c r="M249" s="1219"/>
      <c r="N249" s="1219"/>
      <c r="O249" s="1219"/>
      <c r="P249" s="1219"/>
      <c r="Q249" s="1219"/>
      <c r="R249" s="1219"/>
      <c r="S249" s="1219"/>
      <c r="T249" s="1219"/>
      <c r="U249" s="1219"/>
      <c r="V249" s="1219"/>
      <c r="W249" s="1219"/>
      <c r="X249" s="1219"/>
      <c r="Y249" s="1219"/>
      <c r="Z249" s="1219"/>
      <c r="AA249" s="1219"/>
      <c r="AB249" s="1219"/>
      <c r="AC249" s="1219"/>
      <c r="AD249" s="1219"/>
      <c r="AE249" s="1219"/>
      <c r="AF249" s="1219"/>
      <c r="AG249" s="1219"/>
      <c r="AH249" s="1219"/>
      <c r="AI249" s="1219"/>
      <c r="AJ249" s="1219"/>
      <c r="AK249" s="1219"/>
      <c r="AL249" s="1219"/>
      <c r="AM249" s="1219"/>
      <c r="AN249" s="1219"/>
      <c r="AO249" s="1219"/>
      <c r="AP249" s="1219"/>
      <c r="AQ249" s="1219"/>
    </row>
    <row r="250" spans="1:43" ht="30" customHeight="1" x14ac:dyDescent="0.25">
      <c r="A250" s="3">
        <f t="shared" si="10"/>
        <v>238</v>
      </c>
      <c r="B250" s="540" t="s">
        <v>162</v>
      </c>
      <c r="C250" s="540"/>
      <c r="D250" s="540"/>
      <c r="E250" s="1264"/>
      <c r="F250" s="1264"/>
      <c r="G250" s="1264"/>
      <c r="H250" s="540"/>
      <c r="I250" s="540"/>
      <c r="J250" s="540"/>
      <c r="K250" s="540"/>
      <c r="L250" s="540"/>
      <c r="M250" s="540"/>
      <c r="N250" s="540"/>
      <c r="O250" s="540"/>
      <c r="P250" s="540"/>
      <c r="Q250" s="540"/>
      <c r="R250" s="540"/>
      <c r="S250" s="540"/>
      <c r="T250" s="540"/>
      <c r="U250" s="540"/>
      <c r="V250" s="540"/>
      <c r="W250" s="540"/>
      <c r="X250" s="540"/>
      <c r="Y250" s="540"/>
      <c r="Z250" s="540"/>
      <c r="AA250" s="540"/>
      <c r="AB250" s="540"/>
      <c r="AC250" s="540"/>
      <c r="AD250" s="540"/>
      <c r="AE250" s="540"/>
      <c r="AF250" s="540"/>
      <c r="AG250" s="540"/>
      <c r="AH250" s="540"/>
      <c r="AI250" s="540"/>
      <c r="AJ250" s="540"/>
      <c r="AK250" s="540"/>
      <c r="AL250" s="540"/>
      <c r="AM250" s="540"/>
      <c r="AN250" s="540"/>
      <c r="AO250" s="540"/>
      <c r="AP250" s="540"/>
      <c r="AQ250" s="540"/>
    </row>
    <row r="251" spans="1:43" ht="30" customHeight="1" x14ac:dyDescent="0.25">
      <c r="A251" s="3">
        <f t="shared" si="10"/>
        <v>239</v>
      </c>
      <c r="B251" s="1219" t="s">
        <v>162</v>
      </c>
      <c r="C251" s="1219"/>
      <c r="D251" s="1219"/>
      <c r="E251" s="1263"/>
      <c r="F251" s="1263"/>
      <c r="G251" s="1263"/>
      <c r="H251" s="1219"/>
      <c r="I251" s="1219"/>
      <c r="J251" s="1219"/>
      <c r="K251" s="1219"/>
      <c r="L251" s="1219"/>
      <c r="M251" s="1219"/>
      <c r="N251" s="1219"/>
      <c r="O251" s="1219"/>
      <c r="P251" s="1219"/>
      <c r="Q251" s="1219"/>
      <c r="R251" s="1219"/>
      <c r="S251" s="1219"/>
      <c r="T251" s="1219"/>
      <c r="U251" s="1219"/>
      <c r="V251" s="1219"/>
      <c r="W251" s="1219"/>
      <c r="X251" s="1219"/>
      <c r="Y251" s="1219"/>
      <c r="Z251" s="1219"/>
      <c r="AA251" s="1219"/>
      <c r="AB251" s="1219"/>
      <c r="AC251" s="1219"/>
      <c r="AD251" s="1219"/>
      <c r="AE251" s="1219"/>
      <c r="AF251" s="1219"/>
      <c r="AG251" s="1219"/>
      <c r="AH251" s="1219"/>
      <c r="AI251" s="1219"/>
      <c r="AJ251" s="1219"/>
      <c r="AK251" s="1219"/>
      <c r="AL251" s="1219"/>
      <c r="AM251" s="1219"/>
      <c r="AN251" s="1219"/>
      <c r="AO251" s="1219"/>
      <c r="AP251" s="1219"/>
      <c r="AQ251" s="1219"/>
    </row>
    <row r="252" spans="1:43" ht="30" customHeight="1" x14ac:dyDescent="0.25">
      <c r="A252" s="3">
        <f t="shared" si="10"/>
        <v>240</v>
      </c>
      <c r="B252" s="540" t="s">
        <v>162</v>
      </c>
      <c r="C252" s="540"/>
      <c r="D252" s="540"/>
      <c r="E252" s="1264"/>
      <c r="F252" s="1264"/>
      <c r="G252" s="1264"/>
      <c r="H252" s="540"/>
      <c r="I252" s="540"/>
      <c r="J252" s="540"/>
      <c r="K252" s="540"/>
      <c r="L252" s="540"/>
      <c r="M252" s="540"/>
      <c r="N252" s="540"/>
      <c r="O252" s="540"/>
      <c r="P252" s="540"/>
      <c r="Q252" s="540"/>
      <c r="R252" s="540"/>
      <c r="S252" s="540"/>
      <c r="T252" s="540"/>
      <c r="U252" s="540"/>
      <c r="V252" s="540"/>
      <c r="W252" s="540"/>
      <c r="X252" s="540"/>
      <c r="Y252" s="540"/>
      <c r="Z252" s="540"/>
      <c r="AA252" s="540"/>
      <c r="AB252" s="540"/>
      <c r="AC252" s="540"/>
      <c r="AD252" s="540"/>
      <c r="AE252" s="540"/>
      <c r="AF252" s="540"/>
      <c r="AG252" s="540"/>
      <c r="AH252" s="540"/>
      <c r="AI252" s="540"/>
      <c r="AJ252" s="540"/>
      <c r="AK252" s="540"/>
      <c r="AL252" s="540"/>
      <c r="AM252" s="540"/>
      <c r="AN252" s="540"/>
      <c r="AO252" s="540"/>
      <c r="AP252" s="540"/>
      <c r="AQ252" s="540"/>
    </row>
    <row r="253" spans="1:43" ht="30" customHeight="1" x14ac:dyDescent="0.25">
      <c r="A253" s="3">
        <f>ROW(A241)</f>
        <v>241</v>
      </c>
      <c r="B253" s="1219" t="s">
        <v>162</v>
      </c>
      <c r="C253" s="1219"/>
      <c r="D253" s="1219"/>
      <c r="E253" s="1263"/>
      <c r="F253" s="1263"/>
      <c r="G253" s="1263"/>
      <c r="H253" s="1219"/>
      <c r="I253" s="1219"/>
      <c r="J253" s="1219"/>
      <c r="K253" s="1219"/>
      <c r="L253" s="1219"/>
      <c r="M253" s="1219"/>
      <c r="N253" s="1219"/>
      <c r="O253" s="1219"/>
      <c r="P253" s="1219"/>
      <c r="Q253" s="1219"/>
      <c r="R253" s="1219"/>
      <c r="S253" s="1219"/>
      <c r="T253" s="1219"/>
      <c r="U253" s="1219"/>
      <c r="V253" s="1219"/>
      <c r="W253" s="1219"/>
      <c r="X253" s="1219"/>
      <c r="Y253" s="1219"/>
      <c r="Z253" s="1219"/>
      <c r="AA253" s="1219"/>
      <c r="AB253" s="1219"/>
      <c r="AC253" s="1219"/>
      <c r="AD253" s="1219"/>
      <c r="AE253" s="1219"/>
      <c r="AF253" s="1219"/>
      <c r="AG253" s="1219"/>
      <c r="AH253" s="1219"/>
      <c r="AI253" s="1219"/>
      <c r="AJ253" s="1219"/>
      <c r="AK253" s="1219"/>
      <c r="AL253" s="1219"/>
      <c r="AM253" s="1219"/>
      <c r="AN253" s="1219"/>
      <c r="AO253" s="1219"/>
      <c r="AP253" s="1219"/>
      <c r="AQ253" s="1219"/>
    </row>
    <row r="254" spans="1:43" ht="30" customHeight="1" x14ac:dyDescent="0.25">
      <c r="A254" s="3">
        <f t="shared" si="10"/>
        <v>242</v>
      </c>
      <c r="B254" s="540" t="s">
        <v>162</v>
      </c>
      <c r="C254" s="540"/>
      <c r="D254" s="540"/>
      <c r="E254" s="1264"/>
      <c r="F254" s="1264"/>
      <c r="G254" s="1264"/>
      <c r="H254" s="540"/>
      <c r="I254" s="540"/>
      <c r="J254" s="540"/>
      <c r="K254" s="540"/>
      <c r="L254" s="540"/>
      <c r="M254" s="540"/>
      <c r="N254" s="540"/>
      <c r="O254" s="540"/>
      <c r="P254" s="540"/>
      <c r="Q254" s="540"/>
      <c r="R254" s="540"/>
      <c r="S254" s="540"/>
      <c r="T254" s="540"/>
      <c r="U254" s="540"/>
      <c r="V254" s="540"/>
      <c r="W254" s="540"/>
      <c r="X254" s="540"/>
      <c r="Y254" s="540"/>
      <c r="Z254" s="540"/>
      <c r="AA254" s="540"/>
      <c r="AB254" s="540"/>
      <c r="AC254" s="540"/>
      <c r="AD254" s="540"/>
      <c r="AE254" s="540"/>
      <c r="AF254" s="540"/>
      <c r="AG254" s="540"/>
      <c r="AH254" s="540"/>
      <c r="AI254" s="540"/>
      <c r="AJ254" s="540"/>
      <c r="AK254" s="540"/>
      <c r="AL254" s="540"/>
      <c r="AM254" s="540"/>
      <c r="AN254" s="540"/>
      <c r="AO254" s="540"/>
      <c r="AP254" s="540"/>
      <c r="AQ254" s="540"/>
    </row>
    <row r="255" spans="1:43" ht="30" customHeight="1" x14ac:dyDescent="0.25">
      <c r="A255" s="3">
        <f t="shared" si="10"/>
        <v>243</v>
      </c>
      <c r="B255" s="1219" t="s">
        <v>162</v>
      </c>
      <c r="C255" s="1219"/>
      <c r="D255" s="1219"/>
      <c r="E255" s="1263"/>
      <c r="F255" s="1263"/>
      <c r="G255" s="1263"/>
      <c r="H255" s="1219"/>
      <c r="I255" s="1219"/>
      <c r="J255" s="1219"/>
      <c r="K255" s="1219"/>
      <c r="L255" s="1219"/>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1219"/>
      <c r="AG255" s="1219"/>
      <c r="AH255" s="1219"/>
      <c r="AI255" s="1219"/>
      <c r="AJ255" s="1219"/>
      <c r="AK255" s="1219"/>
      <c r="AL255" s="1219"/>
      <c r="AM255" s="1219"/>
      <c r="AN255" s="1219"/>
      <c r="AO255" s="1219"/>
      <c r="AP255" s="1219"/>
      <c r="AQ255" s="1219"/>
    </row>
    <row r="256" spans="1:43" ht="30" customHeight="1" x14ac:dyDescent="0.25">
      <c r="A256" s="3">
        <f t="shared" si="10"/>
        <v>244</v>
      </c>
      <c r="B256" s="540" t="s">
        <v>162</v>
      </c>
      <c r="C256" s="540"/>
      <c r="D256" s="540"/>
      <c r="E256" s="1264"/>
      <c r="F256" s="1264"/>
      <c r="G256" s="1264"/>
      <c r="H256" s="540"/>
      <c r="I256" s="540"/>
      <c r="J256" s="540"/>
      <c r="K256" s="540"/>
      <c r="L256" s="540"/>
      <c r="M256" s="540"/>
      <c r="N256" s="540"/>
      <c r="O256" s="540"/>
      <c r="P256" s="540"/>
      <c r="Q256" s="540"/>
      <c r="R256" s="540"/>
      <c r="S256" s="540"/>
      <c r="T256" s="540"/>
      <c r="U256" s="540"/>
      <c r="V256" s="540"/>
      <c r="W256" s="540"/>
      <c r="X256" s="540"/>
      <c r="Y256" s="540"/>
      <c r="Z256" s="540"/>
      <c r="AA256" s="540"/>
      <c r="AB256" s="540"/>
      <c r="AC256" s="540"/>
      <c r="AD256" s="540"/>
      <c r="AE256" s="540"/>
      <c r="AF256" s="540"/>
      <c r="AG256" s="540"/>
      <c r="AH256" s="540"/>
      <c r="AI256" s="540"/>
      <c r="AJ256" s="540"/>
      <c r="AK256" s="540"/>
      <c r="AL256" s="540"/>
      <c r="AM256" s="540"/>
      <c r="AN256" s="540"/>
      <c r="AO256" s="540"/>
      <c r="AP256" s="540"/>
      <c r="AQ256" s="540"/>
    </row>
    <row r="257" spans="1:43" ht="30" customHeight="1" x14ac:dyDescent="0.25">
      <c r="A257" s="3">
        <f t="shared" si="10"/>
        <v>245</v>
      </c>
      <c r="B257" s="1219" t="s">
        <v>162</v>
      </c>
      <c r="C257" s="1219"/>
      <c r="D257" s="1219"/>
      <c r="E257" s="1263"/>
      <c r="F257" s="1263"/>
      <c r="G257" s="1263"/>
      <c r="H257" s="1219"/>
      <c r="I257" s="1219"/>
      <c r="J257" s="1219"/>
      <c r="K257" s="1219"/>
      <c r="L257" s="121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1219"/>
      <c r="AG257" s="1219"/>
      <c r="AH257" s="1219"/>
      <c r="AI257" s="1219"/>
      <c r="AJ257" s="1219"/>
      <c r="AK257" s="1219"/>
      <c r="AL257" s="1219"/>
      <c r="AM257" s="1219"/>
      <c r="AN257" s="1219"/>
      <c r="AO257" s="1219"/>
      <c r="AP257" s="1219"/>
      <c r="AQ257" s="1219"/>
    </row>
    <row r="258" spans="1:43" ht="30" customHeight="1" x14ac:dyDescent="0.25">
      <c r="A258" s="3">
        <f t="shared" si="10"/>
        <v>246</v>
      </c>
      <c r="B258" s="540" t="s">
        <v>162</v>
      </c>
      <c r="C258" s="540"/>
      <c r="D258" s="540"/>
      <c r="E258" s="1264"/>
      <c r="F258" s="1264"/>
      <c r="G258" s="1264"/>
      <c r="H258" s="540"/>
      <c r="I258" s="540"/>
      <c r="J258" s="540"/>
      <c r="K258" s="540"/>
      <c r="L258" s="540"/>
      <c r="M258" s="540"/>
      <c r="N258" s="540"/>
      <c r="O258" s="540"/>
      <c r="P258" s="540"/>
      <c r="Q258" s="540"/>
      <c r="R258" s="540"/>
      <c r="S258" s="540"/>
      <c r="T258" s="540"/>
      <c r="U258" s="540"/>
      <c r="V258" s="540"/>
      <c r="W258" s="540"/>
      <c r="X258" s="540"/>
      <c r="Y258" s="540"/>
      <c r="Z258" s="540"/>
      <c r="AA258" s="540"/>
      <c r="AB258" s="540"/>
      <c r="AC258" s="540"/>
      <c r="AD258" s="540"/>
      <c r="AE258" s="540"/>
      <c r="AF258" s="540"/>
      <c r="AG258" s="540"/>
      <c r="AH258" s="540"/>
      <c r="AI258" s="540"/>
      <c r="AJ258" s="540"/>
      <c r="AK258" s="540"/>
      <c r="AL258" s="540"/>
      <c r="AM258" s="540"/>
      <c r="AN258" s="540"/>
      <c r="AO258" s="540"/>
      <c r="AP258" s="540"/>
      <c r="AQ258" s="540"/>
    </row>
    <row r="259" spans="1:43" ht="30" customHeight="1" x14ac:dyDescent="0.25">
      <c r="A259" s="3">
        <f t="shared" si="10"/>
        <v>247</v>
      </c>
      <c r="B259" s="1219" t="s">
        <v>162</v>
      </c>
      <c r="C259" s="1219"/>
      <c r="D259" s="1219"/>
      <c r="E259" s="1263"/>
      <c r="F259" s="1263"/>
      <c r="G259" s="1263"/>
      <c r="H259" s="1219"/>
      <c r="I259" s="1219"/>
      <c r="J259" s="1219"/>
      <c r="K259" s="1219"/>
      <c r="L259" s="1219"/>
      <c r="M259" s="1219"/>
      <c r="N259" s="1219"/>
      <c r="O259" s="1219"/>
      <c r="P259" s="1219"/>
      <c r="Q259" s="1219"/>
      <c r="R259" s="1219"/>
      <c r="S259" s="1219"/>
      <c r="T259" s="1219"/>
      <c r="U259" s="1219"/>
      <c r="V259" s="1219"/>
      <c r="W259" s="1219"/>
      <c r="X259" s="1219"/>
      <c r="Y259" s="1219"/>
      <c r="Z259" s="1219"/>
      <c r="AA259" s="1219"/>
      <c r="AB259" s="1219"/>
      <c r="AC259" s="1219"/>
      <c r="AD259" s="1219"/>
      <c r="AE259" s="1219"/>
      <c r="AF259" s="1219"/>
      <c r="AG259" s="1219"/>
      <c r="AH259" s="1219"/>
      <c r="AI259" s="1219"/>
      <c r="AJ259" s="1219"/>
      <c r="AK259" s="1219"/>
      <c r="AL259" s="1219"/>
      <c r="AM259" s="1219"/>
      <c r="AN259" s="1219"/>
      <c r="AO259" s="1219"/>
      <c r="AP259" s="1219"/>
      <c r="AQ259" s="1219"/>
    </row>
    <row r="260" spans="1:43" ht="30" customHeight="1" x14ac:dyDescent="0.25">
      <c r="A260" s="3">
        <f t="shared" si="10"/>
        <v>248</v>
      </c>
      <c r="B260" s="540" t="s">
        <v>162</v>
      </c>
      <c r="C260" s="540"/>
      <c r="D260" s="540"/>
      <c r="E260" s="1264"/>
      <c r="F260" s="1264"/>
      <c r="G260" s="1264"/>
      <c r="H260" s="540"/>
      <c r="I260" s="540"/>
      <c r="J260" s="540"/>
      <c r="K260" s="540"/>
      <c r="L260" s="540"/>
      <c r="M260" s="540"/>
      <c r="N260" s="540"/>
      <c r="O260" s="540"/>
      <c r="P260" s="540"/>
      <c r="Q260" s="540"/>
      <c r="R260" s="540"/>
      <c r="S260" s="540"/>
      <c r="T260" s="540"/>
      <c r="U260" s="540"/>
      <c r="V260" s="540"/>
      <c r="W260" s="540"/>
      <c r="X260" s="540"/>
      <c r="Y260" s="540"/>
      <c r="Z260" s="540"/>
      <c r="AA260" s="540"/>
      <c r="AB260" s="540"/>
      <c r="AC260" s="540"/>
      <c r="AD260" s="540"/>
      <c r="AE260" s="540"/>
      <c r="AF260" s="540"/>
      <c r="AG260" s="540"/>
      <c r="AH260" s="540"/>
      <c r="AI260" s="540"/>
      <c r="AJ260" s="540"/>
      <c r="AK260" s="540"/>
      <c r="AL260" s="540"/>
      <c r="AM260" s="540"/>
      <c r="AN260" s="540"/>
      <c r="AO260" s="540"/>
      <c r="AP260" s="540"/>
      <c r="AQ260" s="540"/>
    </row>
    <row r="261" spans="1:43" ht="30" customHeight="1" x14ac:dyDescent="0.25">
      <c r="A261" s="3">
        <f t="shared" si="10"/>
        <v>249</v>
      </c>
      <c r="B261" s="1219" t="s">
        <v>162</v>
      </c>
      <c r="C261" s="1219"/>
      <c r="D261" s="1219"/>
      <c r="E261" s="1263"/>
      <c r="F261" s="1263"/>
      <c r="G261" s="1263"/>
      <c r="H261" s="1219"/>
      <c r="I261" s="1219"/>
      <c r="J261" s="1219"/>
      <c r="K261" s="1219"/>
      <c r="L261" s="1219"/>
      <c r="M261" s="1219"/>
      <c r="N261" s="1219"/>
      <c r="O261" s="1219"/>
      <c r="P261" s="1219"/>
      <c r="Q261" s="1219"/>
      <c r="R261" s="1219"/>
      <c r="S261" s="1219"/>
      <c r="T261" s="1219"/>
      <c r="U261" s="1219"/>
      <c r="V261" s="1219"/>
      <c r="W261" s="1219"/>
      <c r="X261" s="1219"/>
      <c r="Y261" s="1219"/>
      <c r="Z261" s="1219"/>
      <c r="AA261" s="1219"/>
      <c r="AB261" s="1219"/>
      <c r="AC261" s="1219"/>
      <c r="AD261" s="1219"/>
      <c r="AE261" s="1219"/>
      <c r="AF261" s="1219"/>
      <c r="AG261" s="1219"/>
      <c r="AH261" s="1219"/>
      <c r="AI261" s="1219"/>
      <c r="AJ261" s="1219"/>
      <c r="AK261" s="1219"/>
      <c r="AL261" s="1219"/>
      <c r="AM261" s="1219"/>
      <c r="AN261" s="1219"/>
      <c r="AO261" s="1219"/>
      <c r="AP261" s="1219"/>
      <c r="AQ261" s="1219"/>
    </row>
    <row r="262" spans="1:43" ht="30" customHeight="1" x14ac:dyDescent="0.25">
      <c r="A262" s="3">
        <f t="shared" si="10"/>
        <v>250</v>
      </c>
      <c r="B262" s="540" t="s">
        <v>162</v>
      </c>
      <c r="C262" s="540"/>
      <c r="D262" s="540"/>
      <c r="E262" s="1264"/>
      <c r="F262" s="1264"/>
      <c r="G262" s="1264"/>
      <c r="H262" s="540"/>
      <c r="I262" s="540"/>
      <c r="J262" s="540"/>
      <c r="K262" s="540"/>
      <c r="L262" s="540"/>
      <c r="M262" s="540"/>
      <c r="N262" s="540"/>
      <c r="O262" s="540"/>
      <c r="P262" s="540"/>
      <c r="Q262" s="540"/>
      <c r="R262" s="540"/>
      <c r="S262" s="540"/>
      <c r="T262" s="540"/>
      <c r="U262" s="540"/>
      <c r="V262" s="540"/>
      <c r="W262" s="540"/>
      <c r="X262" s="540"/>
      <c r="Y262" s="540"/>
      <c r="Z262" s="540"/>
      <c r="AA262" s="540"/>
      <c r="AB262" s="540"/>
      <c r="AC262" s="540"/>
      <c r="AD262" s="540"/>
      <c r="AE262" s="540"/>
      <c r="AF262" s="540"/>
      <c r="AG262" s="540"/>
      <c r="AH262" s="540"/>
      <c r="AI262" s="540"/>
      <c r="AJ262" s="540"/>
      <c r="AK262" s="540"/>
      <c r="AL262" s="540"/>
      <c r="AM262" s="540"/>
      <c r="AN262" s="540"/>
      <c r="AO262" s="540"/>
      <c r="AP262" s="540"/>
      <c r="AQ262" s="540"/>
    </row>
    <row r="263" spans="1:43" ht="30" customHeight="1" x14ac:dyDescent="0.25">
      <c r="A263" s="3">
        <f>ROW(A251)</f>
        <v>251</v>
      </c>
      <c r="B263" s="1219" t="s">
        <v>162</v>
      </c>
      <c r="C263" s="1219"/>
      <c r="D263" s="1219"/>
      <c r="E263" s="1263"/>
      <c r="F263" s="1263"/>
      <c r="G263" s="1263"/>
      <c r="H263" s="1219"/>
      <c r="I263" s="1219"/>
      <c r="J263" s="1219"/>
      <c r="K263" s="1219"/>
      <c r="L263" s="1219"/>
      <c r="M263" s="1219"/>
      <c r="N263" s="1219"/>
      <c r="O263" s="1219"/>
      <c r="P263" s="1219"/>
      <c r="Q263" s="1219"/>
      <c r="R263" s="1219"/>
      <c r="S263" s="1219"/>
      <c r="T263" s="1219"/>
      <c r="U263" s="1219"/>
      <c r="V263" s="1219"/>
      <c r="W263" s="1219"/>
      <c r="X263" s="1219"/>
      <c r="Y263" s="1219"/>
      <c r="Z263" s="1219"/>
      <c r="AA263" s="1219"/>
      <c r="AB263" s="1219"/>
      <c r="AC263" s="1219"/>
      <c r="AD263" s="1219"/>
      <c r="AE263" s="1219"/>
      <c r="AF263" s="1219"/>
      <c r="AG263" s="1219"/>
      <c r="AH263" s="1219"/>
      <c r="AI263" s="1219"/>
      <c r="AJ263" s="1219"/>
      <c r="AK263" s="1219"/>
      <c r="AL263" s="1219"/>
      <c r="AM263" s="1219"/>
      <c r="AN263" s="1219"/>
      <c r="AO263" s="1219"/>
      <c r="AP263" s="1219"/>
      <c r="AQ263" s="1219"/>
    </row>
    <row r="264" spans="1:43" ht="30" customHeight="1" x14ac:dyDescent="0.25">
      <c r="A264" s="3">
        <f t="shared" si="10"/>
        <v>252</v>
      </c>
      <c r="B264" s="540" t="s">
        <v>162</v>
      </c>
      <c r="C264" s="540"/>
      <c r="D264" s="540"/>
      <c r="E264" s="1264"/>
      <c r="F264" s="1264"/>
      <c r="G264" s="1264"/>
      <c r="H264" s="540"/>
      <c r="I264" s="540"/>
      <c r="J264" s="540"/>
      <c r="K264" s="540"/>
      <c r="L264" s="540"/>
      <c r="M264" s="540"/>
      <c r="N264" s="540"/>
      <c r="O264" s="540"/>
      <c r="P264" s="540"/>
      <c r="Q264" s="540"/>
      <c r="R264" s="540"/>
      <c r="S264" s="540"/>
      <c r="T264" s="540"/>
      <c r="U264" s="540"/>
      <c r="V264" s="540"/>
      <c r="W264" s="540"/>
      <c r="X264" s="540"/>
      <c r="Y264" s="540"/>
      <c r="Z264" s="540"/>
      <c r="AA264" s="540"/>
      <c r="AB264" s="540"/>
      <c r="AC264" s="540"/>
      <c r="AD264" s="540"/>
      <c r="AE264" s="540"/>
      <c r="AF264" s="540"/>
      <c r="AG264" s="540"/>
      <c r="AH264" s="540"/>
      <c r="AI264" s="540"/>
      <c r="AJ264" s="540"/>
      <c r="AK264" s="540"/>
      <c r="AL264" s="540"/>
      <c r="AM264" s="540"/>
      <c r="AN264" s="540"/>
      <c r="AO264" s="540"/>
      <c r="AP264" s="540"/>
      <c r="AQ264" s="540"/>
    </row>
    <row r="265" spans="1:43" ht="30" customHeight="1" x14ac:dyDescent="0.25">
      <c r="A265" s="3">
        <f t="shared" si="10"/>
        <v>253</v>
      </c>
      <c r="B265" s="1219" t="s">
        <v>162</v>
      </c>
      <c r="C265" s="1219"/>
      <c r="D265" s="1219"/>
      <c r="E265" s="1263"/>
      <c r="F265" s="1263"/>
      <c r="G265" s="1263"/>
      <c r="H265" s="1219"/>
      <c r="I265" s="1219"/>
      <c r="J265" s="1219"/>
      <c r="K265" s="1219"/>
      <c r="L265" s="1219"/>
      <c r="M265" s="1219"/>
      <c r="N265" s="1219"/>
      <c r="O265" s="1219"/>
      <c r="P265" s="1219"/>
      <c r="Q265" s="1219"/>
      <c r="R265" s="1219"/>
      <c r="S265" s="1219"/>
      <c r="T265" s="1219"/>
      <c r="U265" s="1219"/>
      <c r="V265" s="1219"/>
      <c r="W265" s="1219"/>
      <c r="X265" s="1219"/>
      <c r="Y265" s="1219"/>
      <c r="Z265" s="1219"/>
      <c r="AA265" s="1219"/>
      <c r="AB265" s="1219"/>
      <c r="AC265" s="1219"/>
      <c r="AD265" s="1219"/>
      <c r="AE265" s="1219"/>
      <c r="AF265" s="1219"/>
      <c r="AG265" s="1219"/>
      <c r="AH265" s="1219"/>
      <c r="AI265" s="1219"/>
      <c r="AJ265" s="1219"/>
      <c r="AK265" s="1219"/>
      <c r="AL265" s="1219"/>
      <c r="AM265" s="1219"/>
      <c r="AN265" s="1219"/>
      <c r="AO265" s="1219"/>
      <c r="AP265" s="1219"/>
      <c r="AQ265" s="1219"/>
    </row>
    <row r="266" spans="1:43" ht="30" customHeight="1" x14ac:dyDescent="0.25">
      <c r="A266" s="3">
        <f t="shared" si="10"/>
        <v>254</v>
      </c>
      <c r="B266" s="540" t="s">
        <v>162</v>
      </c>
      <c r="C266" s="540"/>
      <c r="D266" s="540"/>
      <c r="E266" s="1264"/>
      <c r="F266" s="1264"/>
      <c r="G266" s="1264"/>
      <c r="H266" s="540"/>
      <c r="I266" s="540"/>
      <c r="J266" s="540"/>
      <c r="K266" s="540"/>
      <c r="L266" s="540"/>
      <c r="M266" s="540"/>
      <c r="N266" s="540"/>
      <c r="O266" s="540"/>
      <c r="P266" s="540"/>
      <c r="Q266" s="540"/>
      <c r="R266" s="540"/>
      <c r="S266" s="540"/>
      <c r="T266" s="540"/>
      <c r="U266" s="540"/>
      <c r="V266" s="540"/>
      <c r="W266" s="540"/>
      <c r="X266" s="540"/>
      <c r="Y266" s="540"/>
      <c r="Z266" s="540"/>
      <c r="AA266" s="540"/>
      <c r="AB266" s="540"/>
      <c r="AC266" s="540"/>
      <c r="AD266" s="540"/>
      <c r="AE266" s="540"/>
      <c r="AF266" s="540"/>
      <c r="AG266" s="540"/>
      <c r="AH266" s="540"/>
      <c r="AI266" s="540"/>
      <c r="AJ266" s="540"/>
      <c r="AK266" s="540"/>
      <c r="AL266" s="540"/>
      <c r="AM266" s="540"/>
      <c r="AN266" s="540"/>
      <c r="AO266" s="540"/>
      <c r="AP266" s="540"/>
      <c r="AQ266" s="540"/>
    </row>
    <row r="267" spans="1:43" ht="30" customHeight="1" x14ac:dyDescent="0.25">
      <c r="A267" s="3">
        <f t="shared" si="10"/>
        <v>255</v>
      </c>
      <c r="B267" s="1219" t="s">
        <v>162</v>
      </c>
      <c r="C267" s="1219"/>
      <c r="D267" s="1219"/>
      <c r="E267" s="1263"/>
      <c r="F267" s="1263"/>
      <c r="G267" s="1263"/>
      <c r="H267" s="1219"/>
      <c r="I267" s="1219"/>
      <c r="J267" s="1219"/>
      <c r="K267" s="1219"/>
      <c r="L267" s="1219"/>
      <c r="M267" s="1219"/>
      <c r="N267" s="1219"/>
      <c r="O267" s="1219"/>
      <c r="P267" s="1219"/>
      <c r="Q267" s="1219"/>
      <c r="R267" s="1219"/>
      <c r="S267" s="1219"/>
      <c r="T267" s="1219"/>
      <c r="U267" s="1219"/>
      <c r="V267" s="1219"/>
      <c r="W267" s="1219"/>
      <c r="X267" s="1219"/>
      <c r="Y267" s="1219"/>
      <c r="Z267" s="1219"/>
      <c r="AA267" s="1219"/>
      <c r="AB267" s="1219"/>
      <c r="AC267" s="1219"/>
      <c r="AD267" s="1219"/>
      <c r="AE267" s="1219"/>
      <c r="AF267" s="1219"/>
      <c r="AG267" s="1219"/>
      <c r="AH267" s="1219"/>
      <c r="AI267" s="1219"/>
      <c r="AJ267" s="1219"/>
      <c r="AK267" s="1219"/>
      <c r="AL267" s="1219"/>
      <c r="AM267" s="1219"/>
      <c r="AN267" s="1219"/>
      <c r="AO267" s="1219"/>
      <c r="AP267" s="1219"/>
      <c r="AQ267" s="1219"/>
    </row>
    <row r="268" spans="1:43" ht="30" customHeight="1" x14ac:dyDescent="0.25">
      <c r="A268" s="3">
        <f t="shared" si="10"/>
        <v>256</v>
      </c>
      <c r="B268" s="540" t="s">
        <v>162</v>
      </c>
      <c r="C268" s="540"/>
      <c r="D268" s="540"/>
      <c r="E268" s="1264"/>
      <c r="F268" s="1264"/>
      <c r="G268" s="1264"/>
      <c r="H268" s="540"/>
      <c r="I268" s="540"/>
      <c r="J268" s="540"/>
      <c r="K268" s="540"/>
      <c r="L268" s="540"/>
      <c r="M268" s="540"/>
      <c r="N268" s="540"/>
      <c r="O268" s="540"/>
      <c r="P268" s="540"/>
      <c r="Q268" s="540"/>
      <c r="R268" s="540"/>
      <c r="S268" s="540"/>
      <c r="T268" s="540"/>
      <c r="U268" s="540"/>
      <c r="V268" s="540"/>
      <c r="W268" s="540"/>
      <c r="X268" s="540"/>
      <c r="Y268" s="540"/>
      <c r="Z268" s="540"/>
      <c r="AA268" s="540"/>
      <c r="AB268" s="540"/>
      <c r="AC268" s="540"/>
      <c r="AD268" s="540"/>
      <c r="AE268" s="540"/>
      <c r="AF268" s="540"/>
      <c r="AG268" s="540"/>
      <c r="AH268" s="540"/>
      <c r="AI268" s="540"/>
      <c r="AJ268" s="540"/>
      <c r="AK268" s="540"/>
      <c r="AL268" s="540"/>
      <c r="AM268" s="540"/>
      <c r="AN268" s="540"/>
      <c r="AO268" s="540"/>
      <c r="AP268" s="540"/>
      <c r="AQ268" s="540"/>
    </row>
    <row r="269" spans="1:43" ht="30" customHeight="1" x14ac:dyDescent="0.25">
      <c r="A269" s="3">
        <f t="shared" si="10"/>
        <v>257</v>
      </c>
      <c r="B269" s="1219" t="s">
        <v>162</v>
      </c>
      <c r="C269" s="1219"/>
      <c r="D269" s="1219"/>
      <c r="E269" s="1263"/>
      <c r="F269" s="1263"/>
      <c r="G269" s="1263"/>
      <c r="H269" s="1219"/>
      <c r="I269" s="1219"/>
      <c r="J269" s="1219"/>
      <c r="K269" s="1219"/>
      <c r="L269" s="1219"/>
      <c r="M269" s="1219"/>
      <c r="N269" s="1219"/>
      <c r="O269" s="1219"/>
      <c r="P269" s="1219"/>
      <c r="Q269" s="1219"/>
      <c r="R269" s="1219"/>
      <c r="S269" s="1219"/>
      <c r="T269" s="1219"/>
      <c r="U269" s="1219"/>
      <c r="V269" s="1219"/>
      <c r="W269" s="1219"/>
      <c r="X269" s="1219"/>
      <c r="Y269" s="1219"/>
      <c r="Z269" s="1219"/>
      <c r="AA269" s="1219"/>
      <c r="AB269" s="1219"/>
      <c r="AC269" s="1219"/>
      <c r="AD269" s="1219"/>
      <c r="AE269" s="1219"/>
      <c r="AF269" s="1219"/>
      <c r="AG269" s="1219"/>
      <c r="AH269" s="1219"/>
      <c r="AI269" s="1219"/>
      <c r="AJ269" s="1219"/>
      <c r="AK269" s="1219"/>
      <c r="AL269" s="1219"/>
      <c r="AM269" s="1219"/>
      <c r="AN269" s="1219"/>
      <c r="AO269" s="1219"/>
      <c r="AP269" s="1219"/>
      <c r="AQ269" s="1219"/>
    </row>
    <row r="270" spans="1:43" ht="30" customHeight="1" x14ac:dyDescent="0.25">
      <c r="A270" s="3">
        <f t="shared" si="10"/>
        <v>258</v>
      </c>
      <c r="B270" s="540" t="s">
        <v>162</v>
      </c>
      <c r="C270" s="540"/>
      <c r="D270" s="540"/>
      <c r="E270" s="1264"/>
      <c r="F270" s="1264"/>
      <c r="G270" s="1264"/>
      <c r="H270" s="540"/>
      <c r="I270" s="540"/>
      <c r="J270" s="540"/>
      <c r="K270" s="540"/>
      <c r="L270" s="540"/>
      <c r="M270" s="540"/>
      <c r="N270" s="540"/>
      <c r="O270" s="540"/>
      <c r="P270" s="540"/>
      <c r="Q270" s="540"/>
      <c r="R270" s="540"/>
      <c r="S270" s="540"/>
      <c r="T270" s="540"/>
      <c r="U270" s="540"/>
      <c r="V270" s="540"/>
      <c r="W270" s="540"/>
      <c r="X270" s="540"/>
      <c r="Y270" s="540"/>
      <c r="Z270" s="540"/>
      <c r="AA270" s="540"/>
      <c r="AB270" s="540"/>
      <c r="AC270" s="540"/>
      <c r="AD270" s="540"/>
      <c r="AE270" s="540"/>
      <c r="AF270" s="540"/>
      <c r="AG270" s="540"/>
      <c r="AH270" s="540"/>
      <c r="AI270" s="540"/>
      <c r="AJ270" s="540"/>
      <c r="AK270" s="540"/>
      <c r="AL270" s="540"/>
      <c r="AM270" s="540"/>
      <c r="AN270" s="540"/>
      <c r="AO270" s="540"/>
      <c r="AP270" s="540"/>
      <c r="AQ270" s="540"/>
    </row>
    <row r="271" spans="1:43" ht="30" customHeight="1" x14ac:dyDescent="0.25">
      <c r="A271" s="3">
        <f t="shared" si="10"/>
        <v>259</v>
      </c>
      <c r="B271" s="1219" t="s">
        <v>162</v>
      </c>
      <c r="C271" s="1219"/>
      <c r="D271" s="1219"/>
      <c r="E271" s="1263"/>
      <c r="F271" s="1263"/>
      <c r="G271" s="1263"/>
      <c r="H271" s="1219"/>
      <c r="I271" s="1219"/>
      <c r="J271" s="1219"/>
      <c r="K271" s="1219"/>
      <c r="L271" s="1219"/>
      <c r="M271" s="1219"/>
      <c r="N271" s="1219"/>
      <c r="O271" s="1219"/>
      <c r="P271" s="1219"/>
      <c r="Q271" s="1219"/>
      <c r="R271" s="1219"/>
      <c r="S271" s="1219"/>
      <c r="T271" s="1219"/>
      <c r="U271" s="1219"/>
      <c r="V271" s="1219"/>
      <c r="W271" s="1219"/>
      <c r="X271" s="1219"/>
      <c r="Y271" s="1219"/>
      <c r="Z271" s="1219"/>
      <c r="AA271" s="1219"/>
      <c r="AB271" s="1219"/>
      <c r="AC271" s="1219"/>
      <c r="AD271" s="1219"/>
      <c r="AE271" s="1219"/>
      <c r="AF271" s="1219"/>
      <c r="AG271" s="1219"/>
      <c r="AH271" s="1219"/>
      <c r="AI271" s="1219"/>
      <c r="AJ271" s="1219"/>
      <c r="AK271" s="1219"/>
      <c r="AL271" s="1219"/>
      <c r="AM271" s="1219"/>
      <c r="AN271" s="1219"/>
      <c r="AO271" s="1219"/>
      <c r="AP271" s="1219"/>
      <c r="AQ271" s="1219"/>
    </row>
    <row r="272" spans="1:43" ht="30" customHeight="1" x14ac:dyDescent="0.25">
      <c r="A272" s="3">
        <f t="shared" si="10"/>
        <v>260</v>
      </c>
      <c r="B272" s="540" t="s">
        <v>162</v>
      </c>
      <c r="C272" s="540"/>
      <c r="D272" s="540"/>
      <c r="E272" s="1264"/>
      <c r="F272" s="1264"/>
      <c r="G272" s="1264"/>
      <c r="H272" s="540"/>
      <c r="I272" s="540"/>
      <c r="J272" s="540"/>
      <c r="K272" s="540"/>
      <c r="L272" s="540"/>
      <c r="M272" s="540"/>
      <c r="N272" s="540"/>
      <c r="O272" s="540"/>
      <c r="P272" s="540"/>
      <c r="Q272" s="540"/>
      <c r="R272" s="540"/>
      <c r="S272" s="540"/>
      <c r="T272" s="540"/>
      <c r="U272" s="540"/>
      <c r="V272" s="540"/>
      <c r="W272" s="540"/>
      <c r="X272" s="540"/>
      <c r="Y272" s="540"/>
      <c r="Z272" s="540"/>
      <c r="AA272" s="540"/>
      <c r="AB272" s="540"/>
      <c r="AC272" s="540"/>
      <c r="AD272" s="540"/>
      <c r="AE272" s="540"/>
      <c r="AF272" s="540"/>
      <c r="AG272" s="540"/>
      <c r="AH272" s="540"/>
      <c r="AI272" s="540"/>
      <c r="AJ272" s="540"/>
      <c r="AK272" s="540"/>
      <c r="AL272" s="540"/>
      <c r="AM272" s="540"/>
      <c r="AN272" s="540"/>
      <c r="AO272" s="540"/>
      <c r="AP272" s="540"/>
      <c r="AQ272" s="540"/>
    </row>
    <row r="273" spans="1:43" ht="30" customHeight="1" x14ac:dyDescent="0.25">
      <c r="A273" s="3">
        <f>ROW(A261)</f>
        <v>261</v>
      </c>
      <c r="B273" s="1219" t="s">
        <v>162</v>
      </c>
      <c r="C273" s="1219"/>
      <c r="D273" s="1219"/>
      <c r="E273" s="1263"/>
      <c r="F273" s="1263"/>
      <c r="G273" s="1263"/>
      <c r="H273" s="1219"/>
      <c r="I273" s="1219"/>
      <c r="J273" s="1219"/>
      <c r="K273" s="1219"/>
      <c r="L273" s="1219"/>
      <c r="M273" s="1219"/>
      <c r="N273" s="1219"/>
      <c r="O273" s="1219"/>
      <c r="P273" s="1219"/>
      <c r="Q273" s="1219"/>
      <c r="R273" s="1219"/>
      <c r="S273" s="1219"/>
      <c r="T273" s="1219"/>
      <c r="U273" s="1219"/>
      <c r="V273" s="1219"/>
      <c r="W273" s="1219"/>
      <c r="X273" s="1219"/>
      <c r="Y273" s="1219"/>
      <c r="Z273" s="1219"/>
      <c r="AA273" s="1219"/>
      <c r="AB273" s="1219"/>
      <c r="AC273" s="1219"/>
      <c r="AD273" s="1219"/>
      <c r="AE273" s="1219"/>
      <c r="AF273" s="1219"/>
      <c r="AG273" s="1219"/>
      <c r="AH273" s="1219"/>
      <c r="AI273" s="1219"/>
      <c r="AJ273" s="1219"/>
      <c r="AK273" s="1219"/>
      <c r="AL273" s="1219"/>
      <c r="AM273" s="1219"/>
      <c r="AN273" s="1219"/>
      <c r="AO273" s="1219"/>
      <c r="AP273" s="1219"/>
      <c r="AQ273" s="1219"/>
    </row>
    <row r="274" spans="1:43" ht="30" customHeight="1" x14ac:dyDescent="0.25">
      <c r="A274" s="3">
        <f t="shared" si="10"/>
        <v>262</v>
      </c>
      <c r="B274" s="540" t="s">
        <v>162</v>
      </c>
      <c r="C274" s="540"/>
      <c r="D274" s="540"/>
      <c r="E274" s="1264"/>
      <c r="F274" s="1264"/>
      <c r="G274" s="1264"/>
      <c r="H274" s="540"/>
      <c r="I274" s="540"/>
      <c r="J274" s="540"/>
      <c r="K274" s="540"/>
      <c r="L274" s="540"/>
      <c r="M274" s="540"/>
      <c r="N274" s="540"/>
      <c r="O274" s="540"/>
      <c r="P274" s="540"/>
      <c r="Q274" s="540"/>
      <c r="R274" s="540"/>
      <c r="S274" s="540"/>
      <c r="T274" s="540"/>
      <c r="U274" s="540"/>
      <c r="V274" s="540"/>
      <c r="W274" s="540"/>
      <c r="X274" s="540"/>
      <c r="Y274" s="540"/>
      <c r="Z274" s="540"/>
      <c r="AA274" s="540"/>
      <c r="AB274" s="540"/>
      <c r="AC274" s="540"/>
      <c r="AD274" s="540"/>
      <c r="AE274" s="540"/>
      <c r="AF274" s="540"/>
      <c r="AG274" s="540"/>
      <c r="AH274" s="540"/>
      <c r="AI274" s="540"/>
      <c r="AJ274" s="540"/>
      <c r="AK274" s="540"/>
      <c r="AL274" s="540"/>
      <c r="AM274" s="540"/>
      <c r="AN274" s="540"/>
      <c r="AO274" s="540"/>
      <c r="AP274" s="540"/>
      <c r="AQ274" s="540"/>
    </row>
    <row r="275" spans="1:43" ht="30" customHeight="1" x14ac:dyDescent="0.25">
      <c r="A275" s="3">
        <f t="shared" si="10"/>
        <v>263</v>
      </c>
      <c r="B275" s="1219" t="s">
        <v>162</v>
      </c>
      <c r="C275" s="1219"/>
      <c r="D275" s="1219"/>
      <c r="E275" s="1263"/>
      <c r="F275" s="1263"/>
      <c r="G275" s="1263"/>
      <c r="H275" s="1219"/>
      <c r="I275" s="1219"/>
      <c r="J275" s="1219"/>
      <c r="K275" s="1219"/>
      <c r="L275" s="1219"/>
      <c r="M275" s="1219"/>
      <c r="N275" s="1219"/>
      <c r="O275" s="1219"/>
      <c r="P275" s="1219"/>
      <c r="Q275" s="1219"/>
      <c r="R275" s="1219"/>
      <c r="S275" s="1219"/>
      <c r="T275" s="1219"/>
      <c r="U275" s="1219"/>
      <c r="V275" s="1219"/>
      <c r="W275" s="1219"/>
      <c r="X275" s="1219"/>
      <c r="Y275" s="1219"/>
      <c r="Z275" s="1219"/>
      <c r="AA275" s="1219"/>
      <c r="AB275" s="1219"/>
      <c r="AC275" s="1219"/>
      <c r="AD275" s="1219"/>
      <c r="AE275" s="1219"/>
      <c r="AF275" s="1219"/>
      <c r="AG275" s="1219"/>
      <c r="AH275" s="1219"/>
      <c r="AI275" s="1219"/>
      <c r="AJ275" s="1219"/>
      <c r="AK275" s="1219"/>
      <c r="AL275" s="1219"/>
      <c r="AM275" s="1219"/>
      <c r="AN275" s="1219"/>
      <c r="AO275" s="1219"/>
      <c r="AP275" s="1219"/>
      <c r="AQ275" s="1219"/>
    </row>
    <row r="276" spans="1:43" ht="30" customHeight="1" x14ac:dyDescent="0.25">
      <c r="A276" s="3">
        <f t="shared" si="10"/>
        <v>264</v>
      </c>
      <c r="B276" s="540" t="s">
        <v>162</v>
      </c>
      <c r="C276" s="540"/>
      <c r="D276" s="540"/>
      <c r="E276" s="1264"/>
      <c r="F276" s="1264"/>
      <c r="G276" s="1264"/>
      <c r="H276" s="540"/>
      <c r="I276" s="540"/>
      <c r="J276" s="540"/>
      <c r="K276" s="540"/>
      <c r="L276" s="540"/>
      <c r="M276" s="540"/>
      <c r="N276" s="540"/>
      <c r="O276" s="540"/>
      <c r="P276" s="540"/>
      <c r="Q276" s="540"/>
      <c r="R276" s="540"/>
      <c r="S276" s="540"/>
      <c r="T276" s="540"/>
      <c r="U276" s="540"/>
      <c r="V276" s="540"/>
      <c r="W276" s="540"/>
      <c r="X276" s="540"/>
      <c r="Y276" s="540"/>
      <c r="Z276" s="540"/>
      <c r="AA276" s="540"/>
      <c r="AB276" s="540"/>
      <c r="AC276" s="540"/>
      <c r="AD276" s="540"/>
      <c r="AE276" s="540"/>
      <c r="AF276" s="540"/>
      <c r="AG276" s="540"/>
      <c r="AH276" s="540"/>
      <c r="AI276" s="540"/>
      <c r="AJ276" s="540"/>
      <c r="AK276" s="540"/>
      <c r="AL276" s="540"/>
      <c r="AM276" s="540"/>
      <c r="AN276" s="540"/>
      <c r="AO276" s="540"/>
      <c r="AP276" s="540"/>
      <c r="AQ276" s="540"/>
    </row>
    <row r="277" spans="1:43" ht="30" customHeight="1" x14ac:dyDescent="0.25">
      <c r="A277" s="3">
        <f t="shared" si="10"/>
        <v>265</v>
      </c>
      <c r="B277" s="1219" t="s">
        <v>162</v>
      </c>
      <c r="C277" s="1219"/>
      <c r="D277" s="1219"/>
      <c r="E277" s="1263"/>
      <c r="F277" s="1263"/>
      <c r="G277" s="1263"/>
      <c r="H277" s="1219"/>
      <c r="I277" s="1219"/>
      <c r="J277" s="1219"/>
      <c r="K277" s="1219"/>
      <c r="L277" s="1219"/>
      <c r="M277" s="1219"/>
      <c r="N277" s="1219"/>
      <c r="O277" s="1219"/>
      <c r="P277" s="1219"/>
      <c r="Q277" s="1219"/>
      <c r="R277" s="1219"/>
      <c r="S277" s="1219"/>
      <c r="T277" s="1219"/>
      <c r="U277" s="1219"/>
      <c r="V277" s="1219"/>
      <c r="W277" s="1219"/>
      <c r="X277" s="1219"/>
      <c r="Y277" s="1219"/>
      <c r="Z277" s="1219"/>
      <c r="AA277" s="1219"/>
      <c r="AB277" s="1219"/>
      <c r="AC277" s="1219"/>
      <c r="AD277" s="1219"/>
      <c r="AE277" s="1219"/>
      <c r="AF277" s="1219"/>
      <c r="AG277" s="1219"/>
      <c r="AH277" s="1219"/>
      <c r="AI277" s="1219"/>
      <c r="AJ277" s="1219"/>
      <c r="AK277" s="1219"/>
      <c r="AL277" s="1219"/>
      <c r="AM277" s="1219"/>
      <c r="AN277" s="1219"/>
      <c r="AO277" s="1219"/>
      <c r="AP277" s="1219"/>
      <c r="AQ277" s="1219"/>
    </row>
    <row r="278" spans="1:43" ht="30" customHeight="1" x14ac:dyDescent="0.25">
      <c r="A278" s="3">
        <f t="shared" ref="A278:A282" si="11">ROW(A266)</f>
        <v>266</v>
      </c>
      <c r="B278" s="540" t="s">
        <v>162</v>
      </c>
      <c r="C278" s="540"/>
      <c r="D278" s="540"/>
      <c r="E278" s="1264"/>
      <c r="F278" s="1264"/>
      <c r="G278" s="1264"/>
      <c r="H278" s="540"/>
      <c r="I278" s="540"/>
      <c r="J278" s="540"/>
      <c r="K278" s="540"/>
      <c r="L278" s="540"/>
      <c r="M278" s="540"/>
      <c r="N278" s="540"/>
      <c r="O278" s="540"/>
      <c r="P278" s="540"/>
      <c r="Q278" s="540"/>
      <c r="R278" s="540"/>
      <c r="S278" s="540"/>
      <c r="T278" s="540"/>
      <c r="U278" s="540"/>
      <c r="V278" s="540"/>
      <c r="W278" s="540"/>
      <c r="X278" s="540"/>
      <c r="Y278" s="540"/>
      <c r="Z278" s="540"/>
      <c r="AA278" s="540"/>
      <c r="AB278" s="540"/>
      <c r="AC278" s="540"/>
      <c r="AD278" s="540"/>
      <c r="AE278" s="540"/>
      <c r="AF278" s="540"/>
      <c r="AG278" s="540"/>
      <c r="AH278" s="540"/>
      <c r="AI278" s="540"/>
      <c r="AJ278" s="540"/>
      <c r="AK278" s="540"/>
      <c r="AL278" s="540"/>
      <c r="AM278" s="540"/>
      <c r="AN278" s="540"/>
      <c r="AO278" s="540"/>
      <c r="AP278" s="540"/>
      <c r="AQ278" s="540"/>
    </row>
    <row r="279" spans="1:43" ht="30" customHeight="1" x14ac:dyDescent="0.25">
      <c r="A279" s="3">
        <f t="shared" si="11"/>
        <v>267</v>
      </c>
      <c r="B279" s="1219" t="s">
        <v>162</v>
      </c>
      <c r="C279" s="1219"/>
      <c r="D279" s="1219"/>
      <c r="E279" s="1263"/>
      <c r="F279" s="1263"/>
      <c r="G279" s="1263"/>
      <c r="H279" s="1219"/>
      <c r="I279" s="1219"/>
      <c r="J279" s="1219"/>
      <c r="K279" s="1219"/>
      <c r="L279" s="1219"/>
      <c r="M279" s="1219"/>
      <c r="N279" s="1219"/>
      <c r="O279" s="1219"/>
      <c r="P279" s="1219"/>
      <c r="Q279" s="1219"/>
      <c r="R279" s="1219"/>
      <c r="S279" s="1219"/>
      <c r="T279" s="1219"/>
      <c r="U279" s="1219"/>
      <c r="V279" s="1219"/>
      <c r="W279" s="1219"/>
      <c r="X279" s="1219"/>
      <c r="Y279" s="1219"/>
      <c r="Z279" s="1219"/>
      <c r="AA279" s="1219"/>
      <c r="AB279" s="1219"/>
      <c r="AC279" s="1219"/>
      <c r="AD279" s="1219"/>
      <c r="AE279" s="1219"/>
      <c r="AF279" s="1219"/>
      <c r="AG279" s="1219"/>
      <c r="AH279" s="1219"/>
      <c r="AI279" s="1219"/>
      <c r="AJ279" s="1219"/>
      <c r="AK279" s="1219"/>
      <c r="AL279" s="1219"/>
      <c r="AM279" s="1219"/>
      <c r="AN279" s="1219"/>
      <c r="AO279" s="1219"/>
      <c r="AP279" s="1219"/>
      <c r="AQ279" s="1219"/>
    </row>
    <row r="280" spans="1:43" ht="30" customHeight="1" x14ac:dyDescent="0.25">
      <c r="A280" s="3">
        <f t="shared" si="11"/>
        <v>268</v>
      </c>
      <c r="B280" s="540" t="s">
        <v>162</v>
      </c>
      <c r="C280" s="540"/>
      <c r="D280" s="540"/>
      <c r="E280" s="1264"/>
      <c r="F280" s="1264"/>
      <c r="G280" s="1264"/>
      <c r="H280" s="540"/>
      <c r="I280" s="540"/>
      <c r="J280" s="540"/>
      <c r="K280" s="540"/>
      <c r="L280" s="540"/>
      <c r="M280" s="540"/>
      <c r="N280" s="540"/>
      <c r="O280" s="540"/>
      <c r="P280" s="540"/>
      <c r="Q280" s="540"/>
      <c r="R280" s="540"/>
      <c r="S280" s="540"/>
      <c r="T280" s="540"/>
      <c r="U280" s="540"/>
      <c r="V280" s="540"/>
      <c r="W280" s="540"/>
      <c r="X280" s="540"/>
      <c r="Y280" s="540"/>
      <c r="Z280" s="540"/>
      <c r="AA280" s="540"/>
      <c r="AB280" s="540"/>
      <c r="AC280" s="540"/>
      <c r="AD280" s="540"/>
      <c r="AE280" s="540"/>
      <c r="AF280" s="540"/>
      <c r="AG280" s="540"/>
      <c r="AH280" s="540"/>
      <c r="AI280" s="540"/>
      <c r="AJ280" s="540"/>
      <c r="AK280" s="540"/>
      <c r="AL280" s="540"/>
      <c r="AM280" s="540"/>
      <c r="AN280" s="540"/>
      <c r="AO280" s="540"/>
      <c r="AP280" s="540"/>
      <c r="AQ280" s="540"/>
    </row>
    <row r="281" spans="1:43" ht="30" customHeight="1" x14ac:dyDescent="0.25">
      <c r="A281" s="3">
        <f t="shared" si="11"/>
        <v>269</v>
      </c>
      <c r="B281" s="1219" t="s">
        <v>162</v>
      </c>
      <c r="C281" s="1219"/>
      <c r="D281" s="1219"/>
      <c r="E281" s="1263"/>
      <c r="F281" s="1263"/>
      <c r="G281" s="1263"/>
      <c r="H281" s="1219"/>
      <c r="I281" s="1219"/>
      <c r="J281" s="1219"/>
      <c r="K281" s="1219"/>
      <c r="L281" s="1219"/>
      <c r="M281" s="1219"/>
      <c r="N281" s="1219"/>
      <c r="O281" s="1219"/>
      <c r="P281" s="1219"/>
      <c r="Q281" s="1219"/>
      <c r="R281" s="1219"/>
      <c r="S281" s="1219"/>
      <c r="T281" s="1219"/>
      <c r="U281" s="1219"/>
      <c r="V281" s="1219"/>
      <c r="W281" s="1219"/>
      <c r="X281" s="1219"/>
      <c r="Y281" s="1219"/>
      <c r="Z281" s="1219"/>
      <c r="AA281" s="1219"/>
      <c r="AB281" s="1219"/>
      <c r="AC281" s="1219"/>
      <c r="AD281" s="1219"/>
      <c r="AE281" s="1219"/>
      <c r="AF281" s="1219"/>
      <c r="AG281" s="1219"/>
      <c r="AH281" s="1219"/>
      <c r="AI281" s="1219"/>
      <c r="AJ281" s="1219"/>
      <c r="AK281" s="1219"/>
      <c r="AL281" s="1219"/>
      <c r="AM281" s="1219"/>
      <c r="AN281" s="1219"/>
      <c r="AO281" s="1219"/>
      <c r="AP281" s="1219"/>
      <c r="AQ281" s="1219"/>
    </row>
    <row r="282" spans="1:43" ht="30" customHeight="1" x14ac:dyDescent="0.25">
      <c r="A282" s="3">
        <f t="shared" si="11"/>
        <v>270</v>
      </c>
      <c r="B282" s="540" t="s">
        <v>162</v>
      </c>
      <c r="C282" s="540"/>
      <c r="D282" s="540"/>
      <c r="E282" s="1264"/>
      <c r="F282" s="1264"/>
      <c r="G282" s="1264"/>
      <c r="H282" s="540"/>
      <c r="I282" s="540"/>
      <c r="J282" s="540"/>
      <c r="K282" s="540"/>
      <c r="L282" s="540"/>
      <c r="M282" s="540"/>
      <c r="N282" s="540"/>
      <c r="O282" s="540"/>
      <c r="P282" s="540"/>
      <c r="Q282" s="540"/>
      <c r="R282" s="540"/>
      <c r="S282" s="540"/>
      <c r="T282" s="540"/>
      <c r="U282" s="540"/>
      <c r="V282" s="540"/>
      <c r="W282" s="540"/>
      <c r="X282" s="540"/>
      <c r="Y282" s="540"/>
      <c r="Z282" s="540"/>
      <c r="AA282" s="540"/>
      <c r="AB282" s="540"/>
      <c r="AC282" s="540"/>
      <c r="AD282" s="540"/>
      <c r="AE282" s="540"/>
      <c r="AF282" s="540"/>
      <c r="AG282" s="540"/>
      <c r="AH282" s="540"/>
      <c r="AI282" s="540"/>
      <c r="AJ282" s="540"/>
      <c r="AK282" s="540"/>
      <c r="AL282" s="540"/>
      <c r="AM282" s="540"/>
      <c r="AN282" s="540"/>
      <c r="AO282" s="540"/>
      <c r="AP282" s="540"/>
      <c r="AQ282" s="540"/>
    </row>
    <row r="283" spans="1:43" ht="30" customHeight="1" x14ac:dyDescent="0.25">
      <c r="A283" s="3">
        <f>ROW(A271)</f>
        <v>271</v>
      </c>
      <c r="B283" s="1219" t="s">
        <v>162</v>
      </c>
      <c r="C283" s="1219"/>
      <c r="D283" s="1219"/>
      <c r="E283" s="1263"/>
      <c r="F283" s="1263"/>
      <c r="G283" s="1263"/>
      <c r="H283" s="1219"/>
      <c r="I283" s="1219"/>
      <c r="J283" s="1219"/>
      <c r="K283" s="1219"/>
      <c r="L283" s="1219"/>
      <c r="M283" s="1219"/>
      <c r="N283" s="1219"/>
      <c r="O283" s="1219"/>
      <c r="P283" s="1219"/>
      <c r="Q283" s="1219"/>
      <c r="R283" s="1219"/>
      <c r="S283" s="1219"/>
      <c r="T283" s="1219"/>
      <c r="U283" s="1219"/>
      <c r="V283" s="1219"/>
      <c r="W283" s="1219"/>
      <c r="X283" s="1219"/>
      <c r="Y283" s="1219"/>
      <c r="Z283" s="1219"/>
      <c r="AA283" s="1219"/>
      <c r="AB283" s="1219"/>
      <c r="AC283" s="1219"/>
      <c r="AD283" s="1219"/>
      <c r="AE283" s="1219"/>
      <c r="AF283" s="1219"/>
      <c r="AG283" s="1219"/>
      <c r="AH283" s="1219"/>
      <c r="AI283" s="1219"/>
      <c r="AJ283" s="1219"/>
      <c r="AK283" s="1219"/>
      <c r="AL283" s="1219"/>
      <c r="AM283" s="1219"/>
      <c r="AN283" s="1219"/>
      <c r="AO283" s="1219"/>
      <c r="AP283" s="1219"/>
      <c r="AQ283" s="1219"/>
    </row>
    <row r="284" spans="1:43" ht="30" customHeight="1" x14ac:dyDescent="0.25">
      <c r="A284" s="3">
        <f t="shared" ref="A284:A292" si="12">ROW(A272)</f>
        <v>272</v>
      </c>
      <c r="B284" s="540" t="s">
        <v>162</v>
      </c>
      <c r="C284" s="540"/>
      <c r="D284" s="540"/>
      <c r="E284" s="1264"/>
      <c r="F284" s="1264"/>
      <c r="G284" s="1264"/>
      <c r="H284" s="540"/>
      <c r="I284" s="540"/>
      <c r="J284" s="540"/>
      <c r="K284" s="540"/>
      <c r="L284" s="540"/>
      <c r="M284" s="540"/>
      <c r="N284" s="540"/>
      <c r="O284" s="540"/>
      <c r="P284" s="540"/>
      <c r="Q284" s="540"/>
      <c r="R284" s="540"/>
      <c r="S284" s="540"/>
      <c r="T284" s="540"/>
      <c r="U284" s="540"/>
      <c r="V284" s="540"/>
      <c r="W284" s="540"/>
      <c r="X284" s="540"/>
      <c r="Y284" s="540"/>
      <c r="Z284" s="540"/>
      <c r="AA284" s="540"/>
      <c r="AB284" s="540"/>
      <c r="AC284" s="540"/>
      <c r="AD284" s="540"/>
      <c r="AE284" s="540"/>
      <c r="AF284" s="540"/>
      <c r="AG284" s="540"/>
      <c r="AH284" s="540"/>
      <c r="AI284" s="540"/>
      <c r="AJ284" s="540"/>
      <c r="AK284" s="540"/>
      <c r="AL284" s="540"/>
      <c r="AM284" s="540"/>
      <c r="AN284" s="540"/>
      <c r="AO284" s="540"/>
      <c r="AP284" s="540"/>
      <c r="AQ284" s="540"/>
    </row>
    <row r="285" spans="1:43" ht="30" customHeight="1" x14ac:dyDescent="0.25">
      <c r="A285" s="3">
        <f t="shared" si="12"/>
        <v>273</v>
      </c>
      <c r="B285" s="1219" t="s">
        <v>162</v>
      </c>
      <c r="C285" s="1219"/>
      <c r="D285" s="1219"/>
      <c r="E285" s="1263"/>
      <c r="F285" s="1263"/>
      <c r="G285" s="1263"/>
      <c r="H285" s="1219"/>
      <c r="I285" s="1219"/>
      <c r="J285" s="1219"/>
      <c r="K285" s="1219"/>
      <c r="L285" s="1219"/>
      <c r="M285" s="1219"/>
      <c r="N285" s="1219"/>
      <c r="O285" s="1219"/>
      <c r="P285" s="1219"/>
      <c r="Q285" s="1219"/>
      <c r="R285" s="1219"/>
      <c r="S285" s="1219"/>
      <c r="T285" s="1219"/>
      <c r="U285" s="1219"/>
      <c r="V285" s="1219"/>
      <c r="W285" s="1219"/>
      <c r="X285" s="1219"/>
      <c r="Y285" s="1219"/>
      <c r="Z285" s="1219"/>
      <c r="AA285" s="1219"/>
      <c r="AB285" s="1219"/>
      <c r="AC285" s="1219"/>
      <c r="AD285" s="1219"/>
      <c r="AE285" s="1219"/>
      <c r="AF285" s="1219"/>
      <c r="AG285" s="1219"/>
      <c r="AH285" s="1219"/>
      <c r="AI285" s="1219"/>
      <c r="AJ285" s="1219"/>
      <c r="AK285" s="1219"/>
      <c r="AL285" s="1219"/>
      <c r="AM285" s="1219"/>
      <c r="AN285" s="1219"/>
      <c r="AO285" s="1219"/>
      <c r="AP285" s="1219"/>
      <c r="AQ285" s="1219"/>
    </row>
    <row r="286" spans="1:43" ht="30" customHeight="1" x14ac:dyDescent="0.25">
      <c r="A286" s="3">
        <f t="shared" si="12"/>
        <v>274</v>
      </c>
      <c r="B286" s="540" t="s">
        <v>162</v>
      </c>
      <c r="C286" s="540"/>
      <c r="D286" s="540"/>
      <c r="E286" s="1264"/>
      <c r="F286" s="1264"/>
      <c r="G286" s="1264"/>
      <c r="H286" s="540"/>
      <c r="I286" s="540"/>
      <c r="J286" s="540"/>
      <c r="K286" s="540"/>
      <c r="L286" s="540"/>
      <c r="M286" s="540"/>
      <c r="N286" s="540"/>
      <c r="O286" s="540"/>
      <c r="P286" s="540"/>
      <c r="Q286" s="540"/>
      <c r="R286" s="540"/>
      <c r="S286" s="540"/>
      <c r="T286" s="540"/>
      <c r="U286" s="540"/>
      <c r="V286" s="540"/>
      <c r="W286" s="540"/>
      <c r="X286" s="540"/>
      <c r="Y286" s="540"/>
      <c r="Z286" s="540"/>
      <c r="AA286" s="540"/>
      <c r="AB286" s="540"/>
      <c r="AC286" s="540"/>
      <c r="AD286" s="540"/>
      <c r="AE286" s="540"/>
      <c r="AF286" s="540"/>
      <c r="AG286" s="540"/>
      <c r="AH286" s="540"/>
      <c r="AI286" s="540"/>
      <c r="AJ286" s="540"/>
      <c r="AK286" s="540"/>
      <c r="AL286" s="540"/>
      <c r="AM286" s="540"/>
      <c r="AN286" s="540"/>
      <c r="AO286" s="540"/>
      <c r="AP286" s="540"/>
      <c r="AQ286" s="540"/>
    </row>
    <row r="287" spans="1:43" ht="30" customHeight="1" x14ac:dyDescent="0.25">
      <c r="A287" s="3">
        <f t="shared" si="12"/>
        <v>275</v>
      </c>
      <c r="B287" s="1219" t="s">
        <v>162</v>
      </c>
      <c r="C287" s="1219"/>
      <c r="D287" s="1219"/>
      <c r="E287" s="1263"/>
      <c r="F287" s="1263"/>
      <c r="G287" s="1263"/>
      <c r="H287" s="1219"/>
      <c r="I287" s="1219"/>
      <c r="J287" s="1219"/>
      <c r="K287" s="1219"/>
      <c r="L287" s="1219"/>
      <c r="M287" s="1219"/>
      <c r="N287" s="1219"/>
      <c r="O287" s="1219"/>
      <c r="P287" s="1219"/>
      <c r="Q287" s="1219"/>
      <c r="R287" s="1219"/>
      <c r="S287" s="1219"/>
      <c r="T287" s="1219"/>
      <c r="U287" s="1219"/>
      <c r="V287" s="1219"/>
      <c r="W287" s="1219"/>
      <c r="X287" s="1219"/>
      <c r="Y287" s="1219"/>
      <c r="Z287" s="1219"/>
      <c r="AA287" s="1219"/>
      <c r="AB287" s="1219"/>
      <c r="AC287" s="1219"/>
      <c r="AD287" s="1219"/>
      <c r="AE287" s="1219"/>
      <c r="AF287" s="1219"/>
      <c r="AG287" s="1219"/>
      <c r="AH287" s="1219"/>
      <c r="AI287" s="1219"/>
      <c r="AJ287" s="1219"/>
      <c r="AK287" s="1219"/>
      <c r="AL287" s="1219"/>
      <c r="AM287" s="1219"/>
      <c r="AN287" s="1219"/>
      <c r="AO287" s="1219"/>
      <c r="AP287" s="1219"/>
      <c r="AQ287" s="1219"/>
    </row>
    <row r="288" spans="1:43" ht="30" customHeight="1" x14ac:dyDescent="0.25">
      <c r="A288" s="3">
        <f t="shared" si="12"/>
        <v>276</v>
      </c>
      <c r="B288" s="540" t="s">
        <v>162</v>
      </c>
      <c r="C288" s="540"/>
      <c r="D288" s="540"/>
      <c r="E288" s="1264"/>
      <c r="F288" s="1264"/>
      <c r="G288" s="1264"/>
      <c r="H288" s="540"/>
      <c r="I288" s="540"/>
      <c r="J288" s="540"/>
      <c r="K288" s="540"/>
      <c r="L288" s="540"/>
      <c r="M288" s="540"/>
      <c r="N288" s="540"/>
      <c r="O288" s="540"/>
      <c r="P288" s="540"/>
      <c r="Q288" s="540"/>
      <c r="R288" s="540"/>
      <c r="S288" s="540"/>
      <c r="T288" s="540"/>
      <c r="U288" s="540"/>
      <c r="V288" s="540"/>
      <c r="W288" s="540"/>
      <c r="X288" s="540"/>
      <c r="Y288" s="540"/>
      <c r="Z288" s="540"/>
      <c r="AA288" s="540"/>
      <c r="AB288" s="540"/>
      <c r="AC288" s="540"/>
      <c r="AD288" s="540"/>
      <c r="AE288" s="540"/>
      <c r="AF288" s="540"/>
      <c r="AG288" s="540"/>
      <c r="AH288" s="540"/>
      <c r="AI288" s="540"/>
      <c r="AJ288" s="540"/>
      <c r="AK288" s="540"/>
      <c r="AL288" s="540"/>
      <c r="AM288" s="540"/>
      <c r="AN288" s="540"/>
      <c r="AO288" s="540"/>
      <c r="AP288" s="540"/>
      <c r="AQ288" s="540"/>
    </row>
    <row r="289" spans="1:43" ht="30" customHeight="1" x14ac:dyDescent="0.25">
      <c r="A289" s="3">
        <f t="shared" si="12"/>
        <v>277</v>
      </c>
      <c r="B289" s="1219" t="s">
        <v>162</v>
      </c>
      <c r="C289" s="1219"/>
      <c r="D289" s="1219"/>
      <c r="E289" s="1263"/>
      <c r="F289" s="1263"/>
      <c r="G289" s="1263"/>
      <c r="H289" s="1219"/>
      <c r="I289" s="1219"/>
      <c r="J289" s="1219"/>
      <c r="K289" s="1219"/>
      <c r="L289" s="1219"/>
      <c r="M289" s="1219"/>
      <c r="N289" s="1219"/>
      <c r="O289" s="1219"/>
      <c r="P289" s="1219"/>
      <c r="Q289" s="1219"/>
      <c r="R289" s="1219"/>
      <c r="S289" s="1219"/>
      <c r="T289" s="1219"/>
      <c r="U289" s="1219"/>
      <c r="V289" s="1219"/>
      <c r="W289" s="1219"/>
      <c r="X289" s="1219"/>
      <c r="Y289" s="1219"/>
      <c r="Z289" s="1219"/>
      <c r="AA289" s="1219"/>
      <c r="AB289" s="1219"/>
      <c r="AC289" s="1219"/>
      <c r="AD289" s="1219"/>
      <c r="AE289" s="1219"/>
      <c r="AF289" s="1219"/>
      <c r="AG289" s="1219"/>
      <c r="AH289" s="1219"/>
      <c r="AI289" s="1219"/>
      <c r="AJ289" s="1219"/>
      <c r="AK289" s="1219"/>
      <c r="AL289" s="1219"/>
      <c r="AM289" s="1219"/>
      <c r="AN289" s="1219"/>
      <c r="AO289" s="1219"/>
      <c r="AP289" s="1219"/>
      <c r="AQ289" s="1219"/>
    </row>
    <row r="290" spans="1:43" ht="30" customHeight="1" x14ac:dyDescent="0.25">
      <c r="A290" s="3">
        <f t="shared" si="12"/>
        <v>278</v>
      </c>
      <c r="B290" s="540" t="s">
        <v>162</v>
      </c>
      <c r="C290" s="540"/>
      <c r="D290" s="540"/>
      <c r="E290" s="1264"/>
      <c r="F290" s="1264"/>
      <c r="G290" s="1264"/>
      <c r="H290" s="540"/>
      <c r="I290" s="540"/>
      <c r="J290" s="540"/>
      <c r="K290" s="540"/>
      <c r="L290" s="540"/>
      <c r="M290" s="540"/>
      <c r="N290" s="540"/>
      <c r="O290" s="540"/>
      <c r="P290" s="540"/>
      <c r="Q290" s="540"/>
      <c r="R290" s="540"/>
      <c r="S290" s="540"/>
      <c r="T290" s="540"/>
      <c r="U290" s="540"/>
      <c r="V290" s="540"/>
      <c r="W290" s="540"/>
      <c r="X290" s="540"/>
      <c r="Y290" s="540"/>
      <c r="Z290" s="540"/>
      <c r="AA290" s="540"/>
      <c r="AB290" s="540"/>
      <c r="AC290" s="540"/>
      <c r="AD290" s="540"/>
      <c r="AE290" s="540"/>
      <c r="AF290" s="540"/>
      <c r="AG290" s="540"/>
      <c r="AH290" s="540"/>
      <c r="AI290" s="540"/>
      <c r="AJ290" s="540"/>
      <c r="AK290" s="540"/>
      <c r="AL290" s="540"/>
      <c r="AM290" s="540"/>
      <c r="AN290" s="540"/>
      <c r="AO290" s="540"/>
      <c r="AP290" s="540"/>
      <c r="AQ290" s="540"/>
    </row>
    <row r="291" spans="1:43" ht="30" customHeight="1" x14ac:dyDescent="0.25">
      <c r="A291" s="3">
        <f t="shared" si="12"/>
        <v>279</v>
      </c>
      <c r="B291" s="1219" t="s">
        <v>162</v>
      </c>
      <c r="C291" s="1219"/>
      <c r="D291" s="1219"/>
      <c r="E291" s="1263"/>
      <c r="F291" s="1263"/>
      <c r="G291" s="1263"/>
      <c r="H291" s="1219"/>
      <c r="I291" s="1219"/>
      <c r="J291" s="1219"/>
      <c r="K291" s="1219"/>
      <c r="L291" s="1219"/>
      <c r="M291" s="1219"/>
      <c r="N291" s="1219"/>
      <c r="O291" s="1219"/>
      <c r="P291" s="1219"/>
      <c r="Q291" s="1219"/>
      <c r="R291" s="1219"/>
      <c r="S291" s="1219"/>
      <c r="T291" s="1219"/>
      <c r="U291" s="1219"/>
      <c r="V291" s="1219"/>
      <c r="W291" s="1219"/>
      <c r="X291" s="1219"/>
      <c r="Y291" s="1219"/>
      <c r="Z291" s="1219"/>
      <c r="AA291" s="1219"/>
      <c r="AB291" s="1219"/>
      <c r="AC291" s="1219"/>
      <c r="AD291" s="1219"/>
      <c r="AE291" s="1219"/>
      <c r="AF291" s="1219"/>
      <c r="AG291" s="1219"/>
      <c r="AH291" s="1219"/>
      <c r="AI291" s="1219"/>
      <c r="AJ291" s="1219"/>
      <c r="AK291" s="1219"/>
      <c r="AL291" s="1219"/>
      <c r="AM291" s="1219"/>
      <c r="AN291" s="1219"/>
      <c r="AO291" s="1219"/>
      <c r="AP291" s="1219"/>
      <c r="AQ291" s="1219"/>
    </row>
    <row r="292" spans="1:43" ht="30" customHeight="1" x14ac:dyDescent="0.25">
      <c r="A292" s="3">
        <f t="shared" si="12"/>
        <v>280</v>
      </c>
      <c r="B292" s="540" t="s">
        <v>162</v>
      </c>
      <c r="C292" s="540"/>
      <c r="D292" s="540"/>
      <c r="E292" s="1264"/>
      <c r="F292" s="1264"/>
      <c r="G292" s="1264"/>
      <c r="H292" s="540"/>
      <c r="I292" s="540"/>
      <c r="J292" s="540"/>
      <c r="K292" s="540"/>
      <c r="L292" s="540"/>
      <c r="M292" s="540"/>
      <c r="N292" s="540"/>
      <c r="O292" s="540"/>
      <c r="P292" s="540"/>
      <c r="Q292" s="540"/>
      <c r="R292" s="540"/>
      <c r="S292" s="540"/>
      <c r="T292" s="540"/>
      <c r="U292" s="540"/>
      <c r="V292" s="540"/>
      <c r="W292" s="540"/>
      <c r="X292" s="540"/>
      <c r="Y292" s="540"/>
      <c r="Z292" s="540"/>
      <c r="AA292" s="540"/>
      <c r="AB292" s="540"/>
      <c r="AC292" s="540"/>
      <c r="AD292" s="540"/>
      <c r="AE292" s="540"/>
      <c r="AF292" s="540"/>
      <c r="AG292" s="540"/>
      <c r="AH292" s="540"/>
      <c r="AI292" s="540"/>
      <c r="AJ292" s="540"/>
      <c r="AK292" s="540"/>
      <c r="AL292" s="540"/>
      <c r="AM292" s="540"/>
      <c r="AN292" s="540"/>
      <c r="AO292" s="540"/>
      <c r="AP292" s="540"/>
      <c r="AQ292" s="540"/>
    </row>
    <row r="293" spans="1:43" ht="30" customHeight="1" x14ac:dyDescent="0.25">
      <c r="A293" s="3">
        <f>ROW(A281)</f>
        <v>281</v>
      </c>
      <c r="B293" s="1219" t="s">
        <v>162</v>
      </c>
      <c r="C293" s="1219"/>
      <c r="D293" s="1219"/>
      <c r="E293" s="1263"/>
      <c r="F293" s="1263"/>
      <c r="G293" s="1263"/>
      <c r="H293" s="1219"/>
      <c r="I293" s="1219"/>
      <c r="J293" s="1219"/>
      <c r="K293" s="1219"/>
      <c r="L293" s="1219"/>
      <c r="M293" s="1219"/>
      <c r="N293" s="1219"/>
      <c r="O293" s="1219"/>
      <c r="P293" s="1219"/>
      <c r="Q293" s="1219"/>
      <c r="R293" s="1219"/>
      <c r="S293" s="1219"/>
      <c r="T293" s="1219"/>
      <c r="U293" s="1219"/>
      <c r="V293" s="1219"/>
      <c r="W293" s="1219"/>
      <c r="X293" s="1219"/>
      <c r="Y293" s="1219"/>
      <c r="Z293" s="1219"/>
      <c r="AA293" s="1219"/>
      <c r="AB293" s="1219"/>
      <c r="AC293" s="1219"/>
      <c r="AD293" s="1219"/>
      <c r="AE293" s="1219"/>
      <c r="AF293" s="1219"/>
      <c r="AG293" s="1219"/>
      <c r="AH293" s="1219"/>
      <c r="AI293" s="1219"/>
      <c r="AJ293" s="1219"/>
      <c r="AK293" s="1219"/>
      <c r="AL293" s="1219"/>
      <c r="AM293" s="1219"/>
      <c r="AN293" s="1219"/>
      <c r="AO293" s="1219"/>
      <c r="AP293" s="1219"/>
      <c r="AQ293" s="1219"/>
    </row>
    <row r="294" spans="1:43" ht="30" customHeight="1" x14ac:dyDescent="0.25">
      <c r="A294" s="3">
        <f t="shared" ref="A294:A302" si="13">ROW(A282)</f>
        <v>282</v>
      </c>
      <c r="B294" s="540" t="s">
        <v>162</v>
      </c>
      <c r="C294" s="540"/>
      <c r="D294" s="540"/>
      <c r="E294" s="1264"/>
      <c r="F294" s="1264"/>
      <c r="G294" s="1264"/>
      <c r="H294" s="540"/>
      <c r="I294" s="540"/>
      <c r="J294" s="540"/>
      <c r="K294" s="540"/>
      <c r="L294" s="540"/>
      <c r="M294" s="540"/>
      <c r="N294" s="540"/>
      <c r="O294" s="540"/>
      <c r="P294" s="540"/>
      <c r="Q294" s="540"/>
      <c r="R294" s="540"/>
      <c r="S294" s="540"/>
      <c r="T294" s="540"/>
      <c r="U294" s="540"/>
      <c r="V294" s="540"/>
      <c r="W294" s="540"/>
      <c r="X294" s="540"/>
      <c r="Y294" s="540"/>
      <c r="Z294" s="540"/>
      <c r="AA294" s="540"/>
      <c r="AB294" s="540"/>
      <c r="AC294" s="540"/>
      <c r="AD294" s="540"/>
      <c r="AE294" s="540"/>
      <c r="AF294" s="540"/>
      <c r="AG294" s="540"/>
      <c r="AH294" s="540"/>
      <c r="AI294" s="540"/>
      <c r="AJ294" s="540"/>
      <c r="AK294" s="540"/>
      <c r="AL294" s="540"/>
      <c r="AM294" s="540"/>
      <c r="AN294" s="540"/>
      <c r="AO294" s="540"/>
      <c r="AP294" s="540"/>
      <c r="AQ294" s="540"/>
    </row>
    <row r="295" spans="1:43" ht="30" customHeight="1" x14ac:dyDescent="0.25">
      <c r="A295" s="3">
        <f t="shared" si="13"/>
        <v>283</v>
      </c>
      <c r="B295" s="1219" t="s">
        <v>162</v>
      </c>
      <c r="C295" s="1219"/>
      <c r="D295" s="1219"/>
      <c r="E295" s="1263"/>
      <c r="F295" s="1263"/>
      <c r="G295" s="1263"/>
      <c r="H295" s="1219"/>
      <c r="I295" s="1219"/>
      <c r="J295" s="1219"/>
      <c r="K295" s="1219"/>
      <c r="L295" s="1219"/>
      <c r="M295" s="1219"/>
      <c r="N295" s="1219"/>
      <c r="O295" s="1219"/>
      <c r="P295" s="1219"/>
      <c r="Q295" s="1219"/>
      <c r="R295" s="1219"/>
      <c r="S295" s="1219"/>
      <c r="T295" s="1219"/>
      <c r="U295" s="1219"/>
      <c r="V295" s="1219"/>
      <c r="W295" s="1219"/>
      <c r="X295" s="1219"/>
      <c r="Y295" s="1219"/>
      <c r="Z295" s="1219"/>
      <c r="AA295" s="1219"/>
      <c r="AB295" s="1219"/>
      <c r="AC295" s="1219"/>
      <c r="AD295" s="1219"/>
      <c r="AE295" s="1219"/>
      <c r="AF295" s="1219"/>
      <c r="AG295" s="1219"/>
      <c r="AH295" s="1219"/>
      <c r="AI295" s="1219"/>
      <c r="AJ295" s="1219"/>
      <c r="AK295" s="1219"/>
      <c r="AL295" s="1219"/>
      <c r="AM295" s="1219"/>
      <c r="AN295" s="1219"/>
      <c r="AO295" s="1219"/>
      <c r="AP295" s="1219"/>
      <c r="AQ295" s="1219"/>
    </row>
    <row r="296" spans="1:43" ht="30" customHeight="1" x14ac:dyDescent="0.25">
      <c r="A296" s="3">
        <f t="shared" si="13"/>
        <v>284</v>
      </c>
      <c r="B296" s="540" t="s">
        <v>162</v>
      </c>
      <c r="C296" s="540"/>
      <c r="D296" s="540"/>
      <c r="E296" s="1264"/>
      <c r="F296" s="1264"/>
      <c r="G296" s="1264"/>
      <c r="H296" s="540"/>
      <c r="I296" s="540"/>
      <c r="J296" s="540"/>
      <c r="K296" s="540"/>
      <c r="L296" s="540"/>
      <c r="M296" s="540"/>
      <c r="N296" s="540"/>
      <c r="O296" s="540"/>
      <c r="P296" s="540"/>
      <c r="Q296" s="540"/>
      <c r="R296" s="540"/>
      <c r="S296" s="540"/>
      <c r="T296" s="540"/>
      <c r="U296" s="540"/>
      <c r="V296" s="540"/>
      <c r="W296" s="540"/>
      <c r="X296" s="540"/>
      <c r="Y296" s="540"/>
      <c r="Z296" s="540"/>
      <c r="AA296" s="540"/>
      <c r="AB296" s="540"/>
      <c r="AC296" s="540"/>
      <c r="AD296" s="540"/>
      <c r="AE296" s="540"/>
      <c r="AF296" s="540"/>
      <c r="AG296" s="540"/>
      <c r="AH296" s="540"/>
      <c r="AI296" s="540"/>
      <c r="AJ296" s="540"/>
      <c r="AK296" s="540"/>
      <c r="AL296" s="540"/>
      <c r="AM296" s="540"/>
      <c r="AN296" s="540"/>
      <c r="AO296" s="540"/>
      <c r="AP296" s="540"/>
      <c r="AQ296" s="540"/>
    </row>
    <row r="297" spans="1:43" ht="30" customHeight="1" x14ac:dyDescent="0.25">
      <c r="A297" s="3">
        <f t="shared" si="13"/>
        <v>285</v>
      </c>
      <c r="B297" s="1219" t="s">
        <v>162</v>
      </c>
      <c r="C297" s="1219"/>
      <c r="D297" s="1219"/>
      <c r="E297" s="1263"/>
      <c r="F297" s="1263"/>
      <c r="G297" s="1263"/>
      <c r="H297" s="1219"/>
      <c r="I297" s="1219"/>
      <c r="J297" s="1219"/>
      <c r="K297" s="1219"/>
      <c r="L297" s="1219"/>
      <c r="M297" s="1219"/>
      <c r="N297" s="1219"/>
      <c r="O297" s="1219"/>
      <c r="P297" s="1219"/>
      <c r="Q297" s="1219"/>
      <c r="R297" s="1219"/>
      <c r="S297" s="1219"/>
      <c r="T297" s="1219"/>
      <c r="U297" s="1219"/>
      <c r="V297" s="1219"/>
      <c r="W297" s="1219"/>
      <c r="X297" s="1219"/>
      <c r="Y297" s="1219"/>
      <c r="Z297" s="1219"/>
      <c r="AA297" s="1219"/>
      <c r="AB297" s="1219"/>
      <c r="AC297" s="1219"/>
      <c r="AD297" s="1219"/>
      <c r="AE297" s="1219"/>
      <c r="AF297" s="1219"/>
      <c r="AG297" s="1219"/>
      <c r="AH297" s="1219"/>
      <c r="AI297" s="1219"/>
      <c r="AJ297" s="1219"/>
      <c r="AK297" s="1219"/>
      <c r="AL297" s="1219"/>
      <c r="AM297" s="1219"/>
      <c r="AN297" s="1219"/>
      <c r="AO297" s="1219"/>
      <c r="AP297" s="1219"/>
      <c r="AQ297" s="1219"/>
    </row>
    <row r="298" spans="1:43" ht="30" customHeight="1" x14ac:dyDescent="0.25">
      <c r="A298" s="3">
        <f t="shared" si="13"/>
        <v>286</v>
      </c>
      <c r="B298" s="540" t="s">
        <v>162</v>
      </c>
      <c r="C298" s="540"/>
      <c r="D298" s="540"/>
      <c r="E298" s="1264"/>
      <c r="F298" s="1264"/>
      <c r="G298" s="1264"/>
      <c r="H298" s="540"/>
      <c r="I298" s="540"/>
      <c r="J298" s="540"/>
      <c r="K298" s="540"/>
      <c r="L298" s="540"/>
      <c r="M298" s="540"/>
      <c r="N298" s="540"/>
      <c r="O298" s="540"/>
      <c r="P298" s="540"/>
      <c r="Q298" s="540"/>
      <c r="R298" s="540"/>
      <c r="S298" s="540"/>
      <c r="T298" s="540"/>
      <c r="U298" s="540"/>
      <c r="V298" s="540"/>
      <c r="W298" s="540"/>
      <c r="X298" s="540"/>
      <c r="Y298" s="540"/>
      <c r="Z298" s="540"/>
      <c r="AA298" s="540"/>
      <c r="AB298" s="540"/>
      <c r="AC298" s="540"/>
      <c r="AD298" s="540"/>
      <c r="AE298" s="540"/>
      <c r="AF298" s="540"/>
      <c r="AG298" s="540"/>
      <c r="AH298" s="540"/>
      <c r="AI298" s="540"/>
      <c r="AJ298" s="540"/>
      <c r="AK298" s="540"/>
      <c r="AL298" s="540"/>
      <c r="AM298" s="540"/>
      <c r="AN298" s="540"/>
      <c r="AO298" s="540"/>
      <c r="AP298" s="540"/>
      <c r="AQ298" s="540"/>
    </row>
    <row r="299" spans="1:43" ht="30" customHeight="1" x14ac:dyDescent="0.25">
      <c r="A299" s="3">
        <f t="shared" si="13"/>
        <v>287</v>
      </c>
      <c r="B299" s="1219" t="s">
        <v>162</v>
      </c>
      <c r="C299" s="1219"/>
      <c r="D299" s="1219"/>
      <c r="E299" s="1263"/>
      <c r="F299" s="1263"/>
      <c r="G299" s="1263"/>
      <c r="H299" s="1219"/>
      <c r="I299" s="1219"/>
      <c r="J299" s="1219"/>
      <c r="K299" s="1219"/>
      <c r="L299" s="1219"/>
      <c r="M299" s="1219"/>
      <c r="N299" s="1219"/>
      <c r="O299" s="1219"/>
      <c r="P299" s="1219"/>
      <c r="Q299" s="1219"/>
      <c r="R299" s="1219"/>
      <c r="S299" s="1219"/>
      <c r="T299" s="1219"/>
      <c r="U299" s="1219"/>
      <c r="V299" s="1219"/>
      <c r="W299" s="1219"/>
      <c r="X299" s="1219"/>
      <c r="Y299" s="1219"/>
      <c r="Z299" s="1219"/>
      <c r="AA299" s="1219"/>
      <c r="AB299" s="1219"/>
      <c r="AC299" s="1219"/>
      <c r="AD299" s="1219"/>
      <c r="AE299" s="1219"/>
      <c r="AF299" s="1219"/>
      <c r="AG299" s="1219"/>
      <c r="AH299" s="1219"/>
      <c r="AI299" s="1219"/>
      <c r="AJ299" s="1219"/>
      <c r="AK299" s="1219"/>
      <c r="AL299" s="1219"/>
      <c r="AM299" s="1219"/>
      <c r="AN299" s="1219"/>
      <c r="AO299" s="1219"/>
      <c r="AP299" s="1219"/>
      <c r="AQ299" s="1219"/>
    </row>
    <row r="300" spans="1:43" ht="30" customHeight="1" x14ac:dyDescent="0.25">
      <c r="A300" s="3">
        <f t="shared" si="13"/>
        <v>288</v>
      </c>
      <c r="B300" s="540" t="s">
        <v>162</v>
      </c>
      <c r="C300" s="540"/>
      <c r="D300" s="540"/>
      <c r="E300" s="1264"/>
      <c r="F300" s="1264"/>
      <c r="G300" s="1264"/>
      <c r="H300" s="540"/>
      <c r="I300" s="540"/>
      <c r="J300" s="540"/>
      <c r="K300" s="540"/>
      <c r="L300" s="540"/>
      <c r="M300" s="540"/>
      <c r="N300" s="540"/>
      <c r="O300" s="540"/>
      <c r="P300" s="540"/>
      <c r="Q300" s="540"/>
      <c r="R300" s="540"/>
      <c r="S300" s="540"/>
      <c r="T300" s="540"/>
      <c r="U300" s="540"/>
      <c r="V300" s="540"/>
      <c r="W300" s="540"/>
      <c r="X300" s="540"/>
      <c r="Y300" s="540"/>
      <c r="Z300" s="540"/>
      <c r="AA300" s="540"/>
      <c r="AB300" s="540"/>
      <c r="AC300" s="540"/>
      <c r="AD300" s="540"/>
      <c r="AE300" s="540"/>
      <c r="AF300" s="540"/>
      <c r="AG300" s="540"/>
      <c r="AH300" s="540"/>
      <c r="AI300" s="540"/>
      <c r="AJ300" s="540"/>
      <c r="AK300" s="540"/>
      <c r="AL300" s="540"/>
      <c r="AM300" s="540"/>
      <c r="AN300" s="540"/>
      <c r="AO300" s="540"/>
      <c r="AP300" s="540"/>
      <c r="AQ300" s="540"/>
    </row>
    <row r="301" spans="1:43" ht="30" customHeight="1" x14ac:dyDescent="0.25">
      <c r="A301" s="3">
        <f t="shared" si="13"/>
        <v>289</v>
      </c>
      <c r="B301" s="1219" t="s">
        <v>162</v>
      </c>
      <c r="C301" s="1219"/>
      <c r="D301" s="1219"/>
      <c r="E301" s="1263"/>
      <c r="F301" s="1263"/>
      <c r="G301" s="1263"/>
      <c r="H301" s="1219"/>
      <c r="I301" s="1219"/>
      <c r="J301" s="1219"/>
      <c r="K301" s="1219"/>
      <c r="L301" s="1219"/>
      <c r="M301" s="1219"/>
      <c r="N301" s="1219"/>
      <c r="O301" s="1219"/>
      <c r="P301" s="1219"/>
      <c r="Q301" s="1219"/>
      <c r="R301" s="1219"/>
      <c r="S301" s="1219"/>
      <c r="T301" s="1219"/>
      <c r="U301" s="1219"/>
      <c r="V301" s="1219"/>
      <c r="W301" s="1219"/>
      <c r="X301" s="1219"/>
      <c r="Y301" s="1219"/>
      <c r="Z301" s="1219"/>
      <c r="AA301" s="1219"/>
      <c r="AB301" s="1219"/>
      <c r="AC301" s="1219"/>
      <c r="AD301" s="1219"/>
      <c r="AE301" s="1219"/>
      <c r="AF301" s="1219"/>
      <c r="AG301" s="1219"/>
      <c r="AH301" s="1219"/>
      <c r="AI301" s="1219"/>
      <c r="AJ301" s="1219"/>
      <c r="AK301" s="1219"/>
      <c r="AL301" s="1219"/>
      <c r="AM301" s="1219"/>
      <c r="AN301" s="1219"/>
      <c r="AO301" s="1219"/>
      <c r="AP301" s="1219"/>
      <c r="AQ301" s="1219"/>
    </row>
    <row r="302" spans="1:43" ht="30" customHeight="1" x14ac:dyDescent="0.25">
      <c r="A302" s="3">
        <f t="shared" si="13"/>
        <v>290</v>
      </c>
      <c r="B302" s="540" t="s">
        <v>162</v>
      </c>
      <c r="C302" s="540"/>
      <c r="D302" s="540"/>
      <c r="E302" s="1264"/>
      <c r="F302" s="1264"/>
      <c r="G302" s="1264"/>
      <c r="H302" s="540"/>
      <c r="I302" s="540"/>
      <c r="J302" s="540"/>
      <c r="K302" s="540"/>
      <c r="L302" s="540"/>
      <c r="M302" s="540"/>
      <c r="N302" s="540"/>
      <c r="O302" s="540"/>
      <c r="P302" s="540"/>
      <c r="Q302" s="540"/>
      <c r="R302" s="540"/>
      <c r="S302" s="540"/>
      <c r="T302" s="540"/>
      <c r="U302" s="540"/>
      <c r="V302" s="540"/>
      <c r="W302" s="540"/>
      <c r="X302" s="540"/>
      <c r="Y302" s="540"/>
      <c r="Z302" s="540"/>
      <c r="AA302" s="540"/>
      <c r="AB302" s="540"/>
      <c r="AC302" s="540"/>
      <c r="AD302" s="540"/>
      <c r="AE302" s="540"/>
      <c r="AF302" s="540"/>
      <c r="AG302" s="540"/>
      <c r="AH302" s="540"/>
      <c r="AI302" s="540"/>
      <c r="AJ302" s="540"/>
      <c r="AK302" s="540"/>
      <c r="AL302" s="540"/>
      <c r="AM302" s="540"/>
      <c r="AN302" s="540"/>
      <c r="AO302" s="540"/>
      <c r="AP302" s="540"/>
      <c r="AQ302" s="540"/>
    </row>
    <row r="303" spans="1:43" ht="30" customHeight="1" x14ac:dyDescent="0.25">
      <c r="A303" s="3">
        <f>ROW(A291)</f>
        <v>291</v>
      </c>
      <c r="B303" s="1219" t="s">
        <v>162</v>
      </c>
      <c r="C303" s="1219"/>
      <c r="D303" s="1219"/>
      <c r="E303" s="1263"/>
      <c r="F303" s="1263"/>
      <c r="G303" s="1263"/>
      <c r="H303" s="1219"/>
      <c r="I303" s="1219"/>
      <c r="J303" s="1219"/>
      <c r="K303" s="1219"/>
      <c r="L303" s="1219"/>
      <c r="M303" s="1219"/>
      <c r="N303" s="1219"/>
      <c r="O303" s="1219"/>
      <c r="P303" s="1219"/>
      <c r="Q303" s="1219"/>
      <c r="R303" s="1219"/>
      <c r="S303" s="1219"/>
      <c r="T303" s="1219"/>
      <c r="U303" s="1219"/>
      <c r="V303" s="1219"/>
      <c r="W303" s="1219"/>
      <c r="X303" s="1219"/>
      <c r="Y303" s="1219"/>
      <c r="Z303" s="1219"/>
      <c r="AA303" s="1219"/>
      <c r="AB303" s="1219"/>
      <c r="AC303" s="1219"/>
      <c r="AD303" s="1219"/>
      <c r="AE303" s="1219"/>
      <c r="AF303" s="1219"/>
      <c r="AG303" s="1219"/>
      <c r="AH303" s="1219"/>
      <c r="AI303" s="1219"/>
      <c r="AJ303" s="1219"/>
      <c r="AK303" s="1219"/>
      <c r="AL303" s="1219"/>
      <c r="AM303" s="1219"/>
      <c r="AN303" s="1219"/>
      <c r="AO303" s="1219"/>
      <c r="AP303" s="1219"/>
      <c r="AQ303" s="1219"/>
    </row>
    <row r="304" spans="1:43" ht="30" customHeight="1" x14ac:dyDescent="0.25">
      <c r="A304" s="3">
        <f t="shared" ref="A304:A312" si="14">ROW(A292)</f>
        <v>292</v>
      </c>
      <c r="B304" s="540" t="s">
        <v>162</v>
      </c>
      <c r="C304" s="540"/>
      <c r="D304" s="540"/>
      <c r="E304" s="1264"/>
      <c r="F304" s="1264"/>
      <c r="G304" s="1264"/>
      <c r="H304" s="540"/>
      <c r="I304" s="540"/>
      <c r="J304" s="540"/>
      <c r="K304" s="540"/>
      <c r="L304" s="540"/>
      <c r="M304" s="540"/>
      <c r="N304" s="540"/>
      <c r="O304" s="540"/>
      <c r="P304" s="540"/>
      <c r="Q304" s="540"/>
      <c r="R304" s="540"/>
      <c r="S304" s="540"/>
      <c r="T304" s="540"/>
      <c r="U304" s="540"/>
      <c r="V304" s="540"/>
      <c r="W304" s="540"/>
      <c r="X304" s="540"/>
      <c r="Y304" s="540"/>
      <c r="Z304" s="540"/>
      <c r="AA304" s="540"/>
      <c r="AB304" s="540"/>
      <c r="AC304" s="540"/>
      <c r="AD304" s="540"/>
      <c r="AE304" s="540"/>
      <c r="AF304" s="540"/>
      <c r="AG304" s="540"/>
      <c r="AH304" s="540"/>
      <c r="AI304" s="540"/>
      <c r="AJ304" s="540"/>
      <c r="AK304" s="540"/>
      <c r="AL304" s="540"/>
      <c r="AM304" s="540"/>
      <c r="AN304" s="540"/>
      <c r="AO304" s="540"/>
      <c r="AP304" s="540"/>
      <c r="AQ304" s="540"/>
    </row>
    <row r="305" spans="1:43" ht="30" customHeight="1" x14ac:dyDescent="0.25">
      <c r="A305" s="3">
        <f t="shared" si="14"/>
        <v>293</v>
      </c>
      <c r="B305" s="1219" t="s">
        <v>162</v>
      </c>
      <c r="C305" s="1219"/>
      <c r="D305" s="1219"/>
      <c r="E305" s="1263"/>
      <c r="F305" s="1263"/>
      <c r="G305" s="1263"/>
      <c r="H305" s="1219"/>
      <c r="I305" s="1219"/>
      <c r="J305" s="1219"/>
      <c r="K305" s="1219"/>
      <c r="L305" s="1219"/>
      <c r="M305" s="1219"/>
      <c r="N305" s="1219"/>
      <c r="O305" s="1219"/>
      <c r="P305" s="1219"/>
      <c r="Q305" s="1219"/>
      <c r="R305" s="1219"/>
      <c r="S305" s="1219"/>
      <c r="T305" s="1219"/>
      <c r="U305" s="1219"/>
      <c r="V305" s="1219"/>
      <c r="W305" s="1219"/>
      <c r="X305" s="1219"/>
      <c r="Y305" s="1219"/>
      <c r="Z305" s="1219"/>
      <c r="AA305" s="1219"/>
      <c r="AB305" s="1219"/>
      <c r="AC305" s="1219"/>
      <c r="AD305" s="1219"/>
      <c r="AE305" s="1219"/>
      <c r="AF305" s="1219"/>
      <c r="AG305" s="1219"/>
      <c r="AH305" s="1219"/>
      <c r="AI305" s="1219"/>
      <c r="AJ305" s="1219"/>
      <c r="AK305" s="1219"/>
      <c r="AL305" s="1219"/>
      <c r="AM305" s="1219"/>
      <c r="AN305" s="1219"/>
      <c r="AO305" s="1219"/>
      <c r="AP305" s="1219"/>
      <c r="AQ305" s="1219"/>
    </row>
    <row r="306" spans="1:43" ht="30" customHeight="1" x14ac:dyDescent="0.25">
      <c r="A306" s="3">
        <f t="shared" si="14"/>
        <v>294</v>
      </c>
      <c r="B306" s="540" t="s">
        <v>162</v>
      </c>
      <c r="C306" s="540"/>
      <c r="D306" s="540"/>
      <c r="E306" s="1264"/>
      <c r="F306" s="1264"/>
      <c r="G306" s="1264"/>
      <c r="H306" s="540"/>
      <c r="I306" s="540"/>
      <c r="J306" s="540"/>
      <c r="K306" s="540"/>
      <c r="L306" s="540"/>
      <c r="M306" s="540"/>
      <c r="N306" s="540"/>
      <c r="O306" s="540"/>
      <c r="P306" s="540"/>
      <c r="Q306" s="540"/>
      <c r="R306" s="540"/>
      <c r="S306" s="540"/>
      <c r="T306" s="540"/>
      <c r="U306" s="540"/>
      <c r="V306" s="540"/>
      <c r="W306" s="540"/>
      <c r="X306" s="540"/>
      <c r="Y306" s="540"/>
      <c r="Z306" s="540"/>
      <c r="AA306" s="540"/>
      <c r="AB306" s="540"/>
      <c r="AC306" s="540"/>
      <c r="AD306" s="540"/>
      <c r="AE306" s="540"/>
      <c r="AF306" s="540"/>
      <c r="AG306" s="540"/>
      <c r="AH306" s="540"/>
      <c r="AI306" s="540"/>
      <c r="AJ306" s="540"/>
      <c r="AK306" s="540"/>
      <c r="AL306" s="540"/>
      <c r="AM306" s="540"/>
      <c r="AN306" s="540"/>
      <c r="AO306" s="540"/>
      <c r="AP306" s="540"/>
      <c r="AQ306" s="540"/>
    </row>
    <row r="307" spans="1:43" ht="30" customHeight="1" x14ac:dyDescent="0.25">
      <c r="A307" s="3">
        <f t="shared" si="14"/>
        <v>295</v>
      </c>
      <c r="B307" s="1219" t="s">
        <v>162</v>
      </c>
      <c r="C307" s="1219"/>
      <c r="D307" s="1219"/>
      <c r="E307" s="1263"/>
      <c r="F307" s="1263"/>
      <c r="G307" s="1263"/>
      <c r="H307" s="1219"/>
      <c r="I307" s="1219"/>
      <c r="J307" s="1219"/>
      <c r="K307" s="1219"/>
      <c r="L307" s="1219"/>
      <c r="M307" s="1219"/>
      <c r="N307" s="1219"/>
      <c r="O307" s="1219"/>
      <c r="P307" s="1219"/>
      <c r="Q307" s="1219"/>
      <c r="R307" s="1219"/>
      <c r="S307" s="1219"/>
      <c r="T307" s="1219"/>
      <c r="U307" s="1219"/>
      <c r="V307" s="1219"/>
      <c r="W307" s="1219"/>
      <c r="X307" s="1219"/>
      <c r="Y307" s="1219"/>
      <c r="Z307" s="1219"/>
      <c r="AA307" s="1219"/>
      <c r="AB307" s="1219"/>
      <c r="AC307" s="1219"/>
      <c r="AD307" s="1219"/>
      <c r="AE307" s="1219"/>
      <c r="AF307" s="1219"/>
      <c r="AG307" s="1219"/>
      <c r="AH307" s="1219"/>
      <c r="AI307" s="1219"/>
      <c r="AJ307" s="1219"/>
      <c r="AK307" s="1219"/>
      <c r="AL307" s="1219"/>
      <c r="AM307" s="1219"/>
      <c r="AN307" s="1219"/>
      <c r="AO307" s="1219"/>
      <c r="AP307" s="1219"/>
      <c r="AQ307" s="1219"/>
    </row>
    <row r="308" spans="1:43" ht="30" customHeight="1" x14ac:dyDescent="0.25">
      <c r="A308" s="3">
        <f t="shared" si="14"/>
        <v>296</v>
      </c>
      <c r="B308" s="540" t="s">
        <v>162</v>
      </c>
      <c r="C308" s="540"/>
      <c r="D308" s="540"/>
      <c r="E308" s="1264"/>
      <c r="F308" s="1264"/>
      <c r="G308" s="1264"/>
      <c r="H308" s="540"/>
      <c r="I308" s="540"/>
      <c r="J308" s="540"/>
      <c r="K308" s="540"/>
      <c r="L308" s="540"/>
      <c r="M308" s="540"/>
      <c r="N308" s="540"/>
      <c r="O308" s="540"/>
      <c r="P308" s="540"/>
      <c r="Q308" s="540"/>
      <c r="R308" s="540"/>
      <c r="S308" s="540"/>
      <c r="T308" s="540"/>
      <c r="U308" s="540"/>
      <c r="V308" s="540"/>
      <c r="W308" s="540"/>
      <c r="X308" s="540"/>
      <c r="Y308" s="540"/>
      <c r="Z308" s="540"/>
      <c r="AA308" s="540"/>
      <c r="AB308" s="540"/>
      <c r="AC308" s="540"/>
      <c r="AD308" s="540"/>
      <c r="AE308" s="540"/>
      <c r="AF308" s="540"/>
      <c r="AG308" s="540"/>
      <c r="AH308" s="540"/>
      <c r="AI308" s="540"/>
      <c r="AJ308" s="540"/>
      <c r="AK308" s="540"/>
      <c r="AL308" s="540"/>
      <c r="AM308" s="540"/>
      <c r="AN308" s="540"/>
      <c r="AO308" s="540"/>
      <c r="AP308" s="540"/>
      <c r="AQ308" s="540"/>
    </row>
    <row r="309" spans="1:43" ht="30" customHeight="1" x14ac:dyDescent="0.25">
      <c r="A309" s="3">
        <f t="shared" si="14"/>
        <v>297</v>
      </c>
      <c r="B309" s="1219" t="s">
        <v>162</v>
      </c>
      <c r="C309" s="1219"/>
      <c r="D309" s="1219"/>
      <c r="E309" s="1263"/>
      <c r="F309" s="1263"/>
      <c r="G309" s="1263"/>
      <c r="H309" s="1219"/>
      <c r="I309" s="1219"/>
      <c r="J309" s="1219"/>
      <c r="K309" s="1219"/>
      <c r="L309" s="1219"/>
      <c r="M309" s="1219"/>
      <c r="N309" s="1219"/>
      <c r="O309" s="1219"/>
      <c r="P309" s="1219"/>
      <c r="Q309" s="1219"/>
      <c r="R309" s="1219"/>
      <c r="S309" s="1219"/>
      <c r="T309" s="1219"/>
      <c r="U309" s="1219"/>
      <c r="V309" s="1219"/>
      <c r="W309" s="1219"/>
      <c r="X309" s="1219"/>
      <c r="Y309" s="1219"/>
      <c r="Z309" s="1219"/>
      <c r="AA309" s="1219"/>
      <c r="AB309" s="1219"/>
      <c r="AC309" s="1219"/>
      <c r="AD309" s="1219"/>
      <c r="AE309" s="1219"/>
      <c r="AF309" s="1219"/>
      <c r="AG309" s="1219"/>
      <c r="AH309" s="1219"/>
      <c r="AI309" s="1219"/>
      <c r="AJ309" s="1219"/>
      <c r="AK309" s="1219"/>
      <c r="AL309" s="1219"/>
      <c r="AM309" s="1219"/>
      <c r="AN309" s="1219"/>
      <c r="AO309" s="1219"/>
      <c r="AP309" s="1219"/>
      <c r="AQ309" s="1219"/>
    </row>
    <row r="310" spans="1:43" ht="30" customHeight="1" x14ac:dyDescent="0.25">
      <c r="A310" s="3">
        <f t="shared" si="14"/>
        <v>298</v>
      </c>
      <c r="B310" s="540" t="s">
        <v>162</v>
      </c>
      <c r="C310" s="540"/>
      <c r="D310" s="540"/>
      <c r="E310" s="1264"/>
      <c r="F310" s="1264"/>
      <c r="G310" s="1264"/>
      <c r="H310" s="540"/>
      <c r="I310" s="540"/>
      <c r="J310" s="540"/>
      <c r="K310" s="540"/>
      <c r="L310" s="540"/>
      <c r="M310" s="540"/>
      <c r="N310" s="540"/>
      <c r="O310" s="540"/>
      <c r="P310" s="540"/>
      <c r="Q310" s="540"/>
      <c r="R310" s="540"/>
      <c r="S310" s="540"/>
      <c r="T310" s="540"/>
      <c r="U310" s="540"/>
      <c r="V310" s="540"/>
      <c r="W310" s="540"/>
      <c r="X310" s="540"/>
      <c r="Y310" s="540"/>
      <c r="Z310" s="540"/>
      <c r="AA310" s="540"/>
      <c r="AB310" s="540"/>
      <c r="AC310" s="540"/>
      <c r="AD310" s="540"/>
      <c r="AE310" s="540"/>
      <c r="AF310" s="540"/>
      <c r="AG310" s="540"/>
      <c r="AH310" s="540"/>
      <c r="AI310" s="540"/>
      <c r="AJ310" s="540"/>
      <c r="AK310" s="540"/>
      <c r="AL310" s="540"/>
      <c r="AM310" s="540"/>
      <c r="AN310" s="540"/>
      <c r="AO310" s="540"/>
      <c r="AP310" s="540"/>
      <c r="AQ310" s="540"/>
    </row>
    <row r="311" spans="1:43" ht="30" customHeight="1" x14ac:dyDescent="0.25">
      <c r="A311" s="3">
        <f t="shared" si="14"/>
        <v>299</v>
      </c>
      <c r="B311" s="1219" t="s">
        <v>162</v>
      </c>
      <c r="C311" s="1219"/>
      <c r="D311" s="1219"/>
      <c r="E311" s="1263"/>
      <c r="F311" s="1263"/>
      <c r="G311" s="1263"/>
      <c r="H311" s="1219"/>
      <c r="I311" s="1219"/>
      <c r="J311" s="1219"/>
      <c r="K311" s="1219"/>
      <c r="L311" s="1219"/>
      <c r="M311" s="1219"/>
      <c r="N311" s="1219"/>
      <c r="O311" s="1219"/>
      <c r="P311" s="1219"/>
      <c r="Q311" s="1219"/>
      <c r="R311" s="1219"/>
      <c r="S311" s="1219"/>
      <c r="T311" s="1219"/>
      <c r="U311" s="1219"/>
      <c r="V311" s="1219"/>
      <c r="W311" s="1219"/>
      <c r="X311" s="1219"/>
      <c r="Y311" s="1219"/>
      <c r="Z311" s="1219"/>
      <c r="AA311" s="1219"/>
      <c r="AB311" s="1219"/>
      <c r="AC311" s="1219"/>
      <c r="AD311" s="1219"/>
      <c r="AE311" s="1219"/>
      <c r="AF311" s="1219"/>
      <c r="AG311" s="1219"/>
      <c r="AH311" s="1219"/>
      <c r="AI311" s="1219"/>
      <c r="AJ311" s="1219"/>
      <c r="AK311" s="1219"/>
      <c r="AL311" s="1219"/>
      <c r="AM311" s="1219"/>
      <c r="AN311" s="1219"/>
      <c r="AO311" s="1219"/>
      <c r="AP311" s="1219"/>
      <c r="AQ311" s="1219"/>
    </row>
    <row r="312" spans="1:43" ht="30" customHeight="1" x14ac:dyDescent="0.25">
      <c r="A312" s="3">
        <f t="shared" si="14"/>
        <v>300</v>
      </c>
      <c r="B312" s="540" t="s">
        <v>162</v>
      </c>
      <c r="C312" s="540"/>
      <c r="D312" s="540"/>
      <c r="E312" s="1264"/>
      <c r="F312" s="1264"/>
      <c r="G312" s="1264"/>
      <c r="H312" s="540"/>
      <c r="I312" s="540"/>
      <c r="J312" s="540"/>
      <c r="K312" s="540"/>
      <c r="L312" s="540"/>
      <c r="M312" s="540"/>
      <c r="N312" s="540"/>
      <c r="O312" s="540"/>
      <c r="P312" s="540"/>
      <c r="Q312" s="540"/>
      <c r="R312" s="540"/>
      <c r="S312" s="540"/>
      <c r="T312" s="540"/>
      <c r="U312" s="540"/>
      <c r="V312" s="540"/>
      <c r="W312" s="540"/>
      <c r="X312" s="540"/>
      <c r="Y312" s="540"/>
      <c r="Z312" s="540"/>
      <c r="AA312" s="540"/>
      <c r="AB312" s="540"/>
      <c r="AC312" s="540"/>
      <c r="AD312" s="540"/>
      <c r="AE312" s="540"/>
      <c r="AF312" s="540"/>
      <c r="AG312" s="540"/>
      <c r="AH312" s="540"/>
      <c r="AI312" s="540"/>
      <c r="AJ312" s="540"/>
      <c r="AK312" s="540"/>
      <c r="AL312" s="540"/>
      <c r="AM312" s="540"/>
      <c r="AN312" s="540"/>
      <c r="AO312" s="540"/>
      <c r="AP312" s="540"/>
      <c r="AQ312" s="540"/>
    </row>
    <row r="313" spans="1:43" ht="30" customHeight="1" x14ac:dyDescent="0.25">
      <c r="A313" s="3">
        <f>ROW(A301)</f>
        <v>301</v>
      </c>
      <c r="B313" s="1219" t="s">
        <v>162</v>
      </c>
      <c r="C313" s="1219"/>
      <c r="D313" s="1219"/>
      <c r="E313" s="1263"/>
      <c r="F313" s="1263"/>
      <c r="G313" s="1263"/>
      <c r="H313" s="1219"/>
      <c r="I313" s="1219"/>
      <c r="J313" s="1219"/>
      <c r="K313" s="1219"/>
      <c r="L313" s="1219"/>
      <c r="M313" s="1219"/>
      <c r="N313" s="1219"/>
      <c r="O313" s="1219"/>
      <c r="P313" s="1219"/>
      <c r="Q313" s="1219"/>
      <c r="R313" s="1219"/>
      <c r="S313" s="1219"/>
      <c r="T313" s="1219"/>
      <c r="U313" s="1219"/>
      <c r="V313" s="1219"/>
      <c r="W313" s="1219"/>
      <c r="X313" s="1219"/>
      <c r="Y313" s="1219"/>
      <c r="Z313" s="1219"/>
      <c r="AA313" s="1219"/>
      <c r="AB313" s="1219"/>
      <c r="AC313" s="1219"/>
      <c r="AD313" s="1219"/>
      <c r="AE313" s="1219"/>
      <c r="AF313" s="1219"/>
      <c r="AG313" s="1219"/>
      <c r="AH313" s="1219"/>
      <c r="AI313" s="1219"/>
      <c r="AJ313" s="1219"/>
      <c r="AK313" s="1219"/>
      <c r="AL313" s="1219"/>
      <c r="AM313" s="1219"/>
      <c r="AN313" s="1219"/>
      <c r="AO313" s="1219"/>
      <c r="AP313" s="1219"/>
      <c r="AQ313" s="1219"/>
    </row>
    <row r="314" spans="1:43" ht="30" customHeight="1" x14ac:dyDescent="0.25">
      <c r="A314" s="3">
        <f t="shared" ref="A314:A377" si="15">ROW(A302)</f>
        <v>302</v>
      </c>
      <c r="B314" s="540" t="s">
        <v>162</v>
      </c>
      <c r="C314" s="540"/>
      <c r="D314" s="540"/>
      <c r="E314" s="1264"/>
      <c r="F314" s="1264"/>
      <c r="G314" s="1264"/>
      <c r="H314" s="540"/>
      <c r="I314" s="540"/>
      <c r="J314" s="540"/>
      <c r="K314" s="540"/>
      <c r="L314" s="540"/>
      <c r="M314" s="540"/>
      <c r="N314" s="540"/>
      <c r="O314" s="540"/>
      <c r="P314" s="540"/>
      <c r="Q314" s="540"/>
      <c r="R314" s="540"/>
      <c r="S314" s="540"/>
      <c r="T314" s="540"/>
      <c r="U314" s="540"/>
      <c r="V314" s="540"/>
      <c r="W314" s="540"/>
      <c r="X314" s="540"/>
      <c r="Y314" s="540"/>
      <c r="Z314" s="540"/>
      <c r="AA314" s="540"/>
      <c r="AB314" s="540"/>
      <c r="AC314" s="540"/>
      <c r="AD314" s="540"/>
      <c r="AE314" s="540"/>
      <c r="AF314" s="540"/>
      <c r="AG314" s="540"/>
      <c r="AH314" s="540"/>
      <c r="AI314" s="540"/>
      <c r="AJ314" s="540"/>
      <c r="AK314" s="540"/>
      <c r="AL314" s="540"/>
      <c r="AM314" s="540"/>
      <c r="AN314" s="540"/>
      <c r="AO314" s="540"/>
      <c r="AP314" s="540"/>
      <c r="AQ314" s="540"/>
    </row>
    <row r="315" spans="1:43" ht="30" customHeight="1" x14ac:dyDescent="0.25">
      <c r="A315" s="3">
        <f t="shared" si="15"/>
        <v>303</v>
      </c>
      <c r="B315" s="1219" t="s">
        <v>162</v>
      </c>
      <c r="C315" s="1219"/>
      <c r="D315" s="1219"/>
      <c r="E315" s="1263"/>
      <c r="F315" s="1263"/>
      <c r="G315" s="1263"/>
      <c r="H315" s="1219"/>
      <c r="I315" s="1219"/>
      <c r="J315" s="1219"/>
      <c r="K315" s="1219"/>
      <c r="L315" s="1219"/>
      <c r="M315" s="1219"/>
      <c r="N315" s="1219"/>
      <c r="O315" s="1219"/>
      <c r="P315" s="1219"/>
      <c r="Q315" s="1219"/>
      <c r="R315" s="1219"/>
      <c r="S315" s="1219"/>
      <c r="T315" s="1219"/>
      <c r="U315" s="1219"/>
      <c r="V315" s="1219"/>
      <c r="W315" s="1219"/>
      <c r="X315" s="1219"/>
      <c r="Y315" s="1219"/>
      <c r="Z315" s="1219"/>
      <c r="AA315" s="1219"/>
      <c r="AB315" s="1219"/>
      <c r="AC315" s="1219"/>
      <c r="AD315" s="1219"/>
      <c r="AE315" s="1219"/>
      <c r="AF315" s="1219"/>
      <c r="AG315" s="1219"/>
      <c r="AH315" s="1219"/>
      <c r="AI315" s="1219"/>
      <c r="AJ315" s="1219"/>
      <c r="AK315" s="1219"/>
      <c r="AL315" s="1219"/>
      <c r="AM315" s="1219"/>
      <c r="AN315" s="1219"/>
      <c r="AO315" s="1219"/>
      <c r="AP315" s="1219"/>
      <c r="AQ315" s="1219"/>
    </row>
    <row r="316" spans="1:43" ht="30" customHeight="1" x14ac:dyDescent="0.25">
      <c r="A316" s="3">
        <f t="shared" si="15"/>
        <v>304</v>
      </c>
      <c r="B316" s="540" t="s">
        <v>162</v>
      </c>
      <c r="C316" s="540"/>
      <c r="D316" s="540"/>
      <c r="E316" s="1264"/>
      <c r="F316" s="1264"/>
      <c r="G316" s="1264"/>
      <c r="H316" s="540"/>
      <c r="I316" s="540"/>
      <c r="J316" s="540"/>
      <c r="K316" s="540"/>
      <c r="L316" s="540"/>
      <c r="M316" s="540"/>
      <c r="N316" s="540"/>
      <c r="O316" s="540"/>
      <c r="P316" s="540"/>
      <c r="Q316" s="540"/>
      <c r="R316" s="540"/>
      <c r="S316" s="540"/>
      <c r="T316" s="540"/>
      <c r="U316" s="540"/>
      <c r="V316" s="540"/>
      <c r="W316" s="540"/>
      <c r="X316" s="540"/>
      <c r="Y316" s="540"/>
      <c r="Z316" s="540"/>
      <c r="AA316" s="540"/>
      <c r="AB316" s="540"/>
      <c r="AC316" s="540"/>
      <c r="AD316" s="540"/>
      <c r="AE316" s="540"/>
      <c r="AF316" s="540"/>
      <c r="AG316" s="540"/>
      <c r="AH316" s="540"/>
      <c r="AI316" s="540"/>
      <c r="AJ316" s="540"/>
      <c r="AK316" s="540"/>
      <c r="AL316" s="540"/>
      <c r="AM316" s="540"/>
      <c r="AN316" s="540"/>
      <c r="AO316" s="540"/>
      <c r="AP316" s="540"/>
      <c r="AQ316" s="540"/>
    </row>
    <row r="317" spans="1:43" ht="30" customHeight="1" x14ac:dyDescent="0.25">
      <c r="A317" s="3">
        <f t="shared" si="15"/>
        <v>305</v>
      </c>
      <c r="B317" s="1219" t="s">
        <v>162</v>
      </c>
      <c r="C317" s="1219"/>
      <c r="D317" s="1219"/>
      <c r="E317" s="1263"/>
      <c r="F317" s="1263"/>
      <c r="G317" s="1263"/>
      <c r="H317" s="1219"/>
      <c r="I317" s="1219"/>
      <c r="J317" s="1219"/>
      <c r="K317" s="1219"/>
      <c r="L317" s="1219"/>
      <c r="M317" s="1219"/>
      <c r="N317" s="1219"/>
      <c r="O317" s="1219"/>
      <c r="P317" s="1219"/>
      <c r="Q317" s="1219"/>
      <c r="R317" s="1219"/>
      <c r="S317" s="1219"/>
      <c r="T317" s="1219"/>
      <c r="U317" s="1219"/>
      <c r="V317" s="1219"/>
      <c r="W317" s="1219"/>
      <c r="X317" s="1219"/>
      <c r="Y317" s="1219"/>
      <c r="Z317" s="1219"/>
      <c r="AA317" s="1219"/>
      <c r="AB317" s="1219"/>
      <c r="AC317" s="1219"/>
      <c r="AD317" s="1219"/>
      <c r="AE317" s="1219"/>
      <c r="AF317" s="1219"/>
      <c r="AG317" s="1219"/>
      <c r="AH317" s="1219"/>
      <c r="AI317" s="1219"/>
      <c r="AJ317" s="1219"/>
      <c r="AK317" s="1219"/>
      <c r="AL317" s="1219"/>
      <c r="AM317" s="1219"/>
      <c r="AN317" s="1219"/>
      <c r="AO317" s="1219"/>
      <c r="AP317" s="1219"/>
      <c r="AQ317" s="1219"/>
    </row>
    <row r="318" spans="1:43" ht="30" customHeight="1" x14ac:dyDescent="0.25">
      <c r="A318" s="3">
        <f t="shared" si="15"/>
        <v>306</v>
      </c>
      <c r="B318" s="540" t="s">
        <v>162</v>
      </c>
      <c r="C318" s="540"/>
      <c r="D318" s="540"/>
      <c r="E318" s="1264"/>
      <c r="F318" s="1264"/>
      <c r="G318" s="1264"/>
      <c r="H318" s="540"/>
      <c r="I318" s="540"/>
      <c r="J318" s="540"/>
      <c r="K318" s="540"/>
      <c r="L318" s="540"/>
      <c r="M318" s="540"/>
      <c r="N318" s="540"/>
      <c r="O318" s="540"/>
      <c r="P318" s="540"/>
      <c r="Q318" s="540"/>
      <c r="R318" s="540"/>
      <c r="S318" s="540"/>
      <c r="T318" s="540"/>
      <c r="U318" s="540"/>
      <c r="V318" s="540"/>
      <c r="W318" s="540"/>
      <c r="X318" s="540"/>
      <c r="Y318" s="540"/>
      <c r="Z318" s="540"/>
      <c r="AA318" s="540"/>
      <c r="AB318" s="540"/>
      <c r="AC318" s="540"/>
      <c r="AD318" s="540"/>
      <c r="AE318" s="540"/>
      <c r="AF318" s="540"/>
      <c r="AG318" s="540"/>
      <c r="AH318" s="540"/>
      <c r="AI318" s="540"/>
      <c r="AJ318" s="540"/>
      <c r="AK318" s="540"/>
      <c r="AL318" s="540"/>
      <c r="AM318" s="540"/>
      <c r="AN318" s="540"/>
      <c r="AO318" s="540"/>
      <c r="AP318" s="540"/>
      <c r="AQ318" s="540"/>
    </row>
    <row r="319" spans="1:43" ht="30" customHeight="1" x14ac:dyDescent="0.25">
      <c r="A319" s="3">
        <f t="shared" si="15"/>
        <v>307</v>
      </c>
      <c r="B319" s="1219" t="s">
        <v>162</v>
      </c>
      <c r="C319" s="1219"/>
      <c r="D319" s="1219"/>
      <c r="E319" s="1263"/>
      <c r="F319" s="1263"/>
      <c r="G319" s="1263"/>
      <c r="H319" s="1219"/>
      <c r="I319" s="1219"/>
      <c r="J319" s="1219"/>
      <c r="K319" s="1219"/>
      <c r="L319" s="1219"/>
      <c r="M319" s="1219"/>
      <c r="N319" s="1219"/>
      <c r="O319" s="1219"/>
      <c r="P319" s="1219"/>
      <c r="Q319" s="1219"/>
      <c r="R319" s="1219"/>
      <c r="S319" s="1219"/>
      <c r="T319" s="1219"/>
      <c r="U319" s="1219"/>
      <c r="V319" s="1219"/>
      <c r="W319" s="1219"/>
      <c r="X319" s="1219"/>
      <c r="Y319" s="1219"/>
      <c r="Z319" s="1219"/>
      <c r="AA319" s="1219"/>
      <c r="AB319" s="1219"/>
      <c r="AC319" s="1219"/>
      <c r="AD319" s="1219"/>
      <c r="AE319" s="1219"/>
      <c r="AF319" s="1219"/>
      <c r="AG319" s="1219"/>
      <c r="AH319" s="1219"/>
      <c r="AI319" s="1219"/>
      <c r="AJ319" s="1219"/>
      <c r="AK319" s="1219"/>
      <c r="AL319" s="1219"/>
      <c r="AM319" s="1219"/>
      <c r="AN319" s="1219"/>
      <c r="AO319" s="1219"/>
      <c r="AP319" s="1219"/>
      <c r="AQ319" s="1219"/>
    </row>
    <row r="320" spans="1:43" ht="30" customHeight="1" x14ac:dyDescent="0.25">
      <c r="A320" s="3">
        <f t="shared" si="15"/>
        <v>308</v>
      </c>
      <c r="B320" s="540" t="s">
        <v>162</v>
      </c>
      <c r="C320" s="540"/>
      <c r="D320" s="540"/>
      <c r="E320" s="1264"/>
      <c r="F320" s="1264"/>
      <c r="G320" s="1264"/>
      <c r="H320" s="540"/>
      <c r="I320" s="540"/>
      <c r="J320" s="540"/>
      <c r="K320" s="540"/>
      <c r="L320" s="540"/>
      <c r="M320" s="540"/>
      <c r="N320" s="540"/>
      <c r="O320" s="540"/>
      <c r="P320" s="540"/>
      <c r="Q320" s="540"/>
      <c r="R320" s="540"/>
      <c r="S320" s="540"/>
      <c r="T320" s="540"/>
      <c r="U320" s="540"/>
      <c r="V320" s="540"/>
      <c r="W320" s="540"/>
      <c r="X320" s="540"/>
      <c r="Y320" s="540"/>
      <c r="Z320" s="540"/>
      <c r="AA320" s="540"/>
      <c r="AB320" s="540"/>
      <c r="AC320" s="540"/>
      <c r="AD320" s="540"/>
      <c r="AE320" s="540"/>
      <c r="AF320" s="540"/>
      <c r="AG320" s="540"/>
      <c r="AH320" s="540"/>
      <c r="AI320" s="540"/>
      <c r="AJ320" s="540"/>
      <c r="AK320" s="540"/>
      <c r="AL320" s="540"/>
      <c r="AM320" s="540"/>
      <c r="AN320" s="540"/>
      <c r="AO320" s="540"/>
      <c r="AP320" s="540"/>
      <c r="AQ320" s="540"/>
    </row>
    <row r="321" spans="1:43" ht="30" customHeight="1" x14ac:dyDescent="0.25">
      <c r="A321" s="3">
        <f t="shared" si="15"/>
        <v>309</v>
      </c>
      <c r="B321" s="1219" t="s">
        <v>162</v>
      </c>
      <c r="C321" s="1219"/>
      <c r="D321" s="1219"/>
      <c r="E321" s="1263"/>
      <c r="F321" s="1263"/>
      <c r="G321" s="1263"/>
      <c r="H321" s="1219"/>
      <c r="I321" s="1219"/>
      <c r="J321" s="1219"/>
      <c r="K321" s="1219"/>
      <c r="L321" s="1219"/>
      <c r="M321" s="1219"/>
      <c r="N321" s="1219"/>
      <c r="O321" s="1219"/>
      <c r="P321" s="1219"/>
      <c r="Q321" s="1219"/>
      <c r="R321" s="1219"/>
      <c r="S321" s="1219"/>
      <c r="T321" s="1219"/>
      <c r="U321" s="1219"/>
      <c r="V321" s="1219"/>
      <c r="W321" s="1219"/>
      <c r="X321" s="1219"/>
      <c r="Y321" s="1219"/>
      <c r="Z321" s="1219"/>
      <c r="AA321" s="1219"/>
      <c r="AB321" s="1219"/>
      <c r="AC321" s="1219"/>
      <c r="AD321" s="1219"/>
      <c r="AE321" s="1219"/>
      <c r="AF321" s="1219"/>
      <c r="AG321" s="1219"/>
      <c r="AH321" s="1219"/>
      <c r="AI321" s="1219"/>
      <c r="AJ321" s="1219"/>
      <c r="AK321" s="1219"/>
      <c r="AL321" s="1219"/>
      <c r="AM321" s="1219"/>
      <c r="AN321" s="1219"/>
      <c r="AO321" s="1219"/>
      <c r="AP321" s="1219"/>
      <c r="AQ321" s="1219"/>
    </row>
    <row r="322" spans="1:43" ht="30" customHeight="1" x14ac:dyDescent="0.25">
      <c r="A322" s="3">
        <f t="shared" si="15"/>
        <v>310</v>
      </c>
      <c r="B322" s="540" t="s">
        <v>162</v>
      </c>
      <c r="C322" s="540"/>
      <c r="D322" s="540"/>
      <c r="E322" s="1264"/>
      <c r="F322" s="1264"/>
      <c r="G322" s="1264"/>
      <c r="H322" s="540"/>
      <c r="I322" s="540"/>
      <c r="J322" s="540"/>
      <c r="K322" s="540"/>
      <c r="L322" s="540"/>
      <c r="M322" s="540"/>
      <c r="N322" s="540"/>
      <c r="O322" s="540"/>
      <c r="P322" s="540"/>
      <c r="Q322" s="540"/>
      <c r="R322" s="540"/>
      <c r="S322" s="540"/>
      <c r="T322" s="540"/>
      <c r="U322" s="540"/>
      <c r="V322" s="540"/>
      <c r="W322" s="540"/>
      <c r="X322" s="540"/>
      <c r="Y322" s="540"/>
      <c r="Z322" s="540"/>
      <c r="AA322" s="540"/>
      <c r="AB322" s="540"/>
      <c r="AC322" s="540"/>
      <c r="AD322" s="540"/>
      <c r="AE322" s="540"/>
      <c r="AF322" s="540"/>
      <c r="AG322" s="540"/>
      <c r="AH322" s="540"/>
      <c r="AI322" s="540"/>
      <c r="AJ322" s="540"/>
      <c r="AK322" s="540"/>
      <c r="AL322" s="540"/>
      <c r="AM322" s="540"/>
      <c r="AN322" s="540"/>
      <c r="AO322" s="540"/>
      <c r="AP322" s="540"/>
      <c r="AQ322" s="540"/>
    </row>
    <row r="323" spans="1:43" ht="30" customHeight="1" x14ac:dyDescent="0.25">
      <c r="A323" s="3">
        <f>ROW(A311)</f>
        <v>311</v>
      </c>
      <c r="B323" s="1219" t="s">
        <v>162</v>
      </c>
      <c r="C323" s="1219"/>
      <c r="D323" s="1219"/>
      <c r="E323" s="1263"/>
      <c r="F323" s="1263"/>
      <c r="G323" s="1263"/>
      <c r="H323" s="1219"/>
      <c r="I323" s="1219"/>
      <c r="J323" s="1219"/>
      <c r="K323" s="1219"/>
      <c r="L323" s="1219"/>
      <c r="M323" s="1219"/>
      <c r="N323" s="1219"/>
      <c r="O323" s="1219"/>
      <c r="P323" s="1219"/>
      <c r="Q323" s="1219"/>
      <c r="R323" s="1219"/>
      <c r="S323" s="1219"/>
      <c r="T323" s="1219"/>
      <c r="U323" s="1219"/>
      <c r="V323" s="1219"/>
      <c r="W323" s="1219"/>
      <c r="X323" s="1219"/>
      <c r="Y323" s="1219"/>
      <c r="Z323" s="1219"/>
      <c r="AA323" s="1219"/>
      <c r="AB323" s="1219"/>
      <c r="AC323" s="1219"/>
      <c r="AD323" s="1219"/>
      <c r="AE323" s="1219"/>
      <c r="AF323" s="1219"/>
      <c r="AG323" s="1219"/>
      <c r="AH323" s="1219"/>
      <c r="AI323" s="1219"/>
      <c r="AJ323" s="1219"/>
      <c r="AK323" s="1219"/>
      <c r="AL323" s="1219"/>
      <c r="AM323" s="1219"/>
      <c r="AN323" s="1219"/>
      <c r="AO323" s="1219"/>
      <c r="AP323" s="1219"/>
      <c r="AQ323" s="1219"/>
    </row>
    <row r="324" spans="1:43" ht="30" customHeight="1" x14ac:dyDescent="0.25">
      <c r="A324" s="3">
        <f t="shared" si="15"/>
        <v>312</v>
      </c>
      <c r="B324" s="540" t="s">
        <v>162</v>
      </c>
      <c r="C324" s="540"/>
      <c r="D324" s="540"/>
      <c r="E324" s="1264"/>
      <c r="F324" s="1264"/>
      <c r="G324" s="1264"/>
      <c r="H324" s="540"/>
      <c r="I324" s="540"/>
      <c r="J324" s="540"/>
      <c r="K324" s="540"/>
      <c r="L324" s="540"/>
      <c r="M324" s="540"/>
      <c r="N324" s="540"/>
      <c r="O324" s="540"/>
      <c r="P324" s="540"/>
      <c r="Q324" s="540"/>
      <c r="R324" s="540"/>
      <c r="S324" s="540"/>
      <c r="T324" s="540"/>
      <c r="U324" s="540"/>
      <c r="V324" s="540"/>
      <c r="W324" s="540"/>
      <c r="X324" s="540"/>
      <c r="Y324" s="540"/>
      <c r="Z324" s="540"/>
      <c r="AA324" s="540"/>
      <c r="AB324" s="540"/>
      <c r="AC324" s="540"/>
      <c r="AD324" s="540"/>
      <c r="AE324" s="540"/>
      <c r="AF324" s="540"/>
      <c r="AG324" s="540"/>
      <c r="AH324" s="540"/>
      <c r="AI324" s="540"/>
      <c r="AJ324" s="540"/>
      <c r="AK324" s="540"/>
      <c r="AL324" s="540"/>
      <c r="AM324" s="540"/>
      <c r="AN324" s="540"/>
      <c r="AO324" s="540"/>
      <c r="AP324" s="540"/>
      <c r="AQ324" s="540"/>
    </row>
    <row r="325" spans="1:43" ht="30" customHeight="1" x14ac:dyDescent="0.25">
      <c r="A325" s="3">
        <f t="shared" si="15"/>
        <v>313</v>
      </c>
      <c r="B325" s="1219" t="s">
        <v>162</v>
      </c>
      <c r="C325" s="1219"/>
      <c r="D325" s="1219"/>
      <c r="E325" s="1263"/>
      <c r="F325" s="1263"/>
      <c r="G325" s="1263"/>
      <c r="H325" s="1219"/>
      <c r="I325" s="1219"/>
      <c r="J325" s="1219"/>
      <c r="K325" s="1219"/>
      <c r="L325" s="1219"/>
      <c r="M325" s="1219"/>
      <c r="N325" s="1219"/>
      <c r="O325" s="1219"/>
      <c r="P325" s="1219"/>
      <c r="Q325" s="1219"/>
      <c r="R325" s="1219"/>
      <c r="S325" s="1219"/>
      <c r="T325" s="1219"/>
      <c r="U325" s="1219"/>
      <c r="V325" s="1219"/>
      <c r="W325" s="1219"/>
      <c r="X325" s="1219"/>
      <c r="Y325" s="1219"/>
      <c r="Z325" s="1219"/>
      <c r="AA325" s="1219"/>
      <c r="AB325" s="1219"/>
      <c r="AC325" s="1219"/>
      <c r="AD325" s="1219"/>
      <c r="AE325" s="1219"/>
      <c r="AF325" s="1219"/>
      <c r="AG325" s="1219"/>
      <c r="AH325" s="1219"/>
      <c r="AI325" s="1219"/>
      <c r="AJ325" s="1219"/>
      <c r="AK325" s="1219"/>
      <c r="AL325" s="1219"/>
      <c r="AM325" s="1219"/>
      <c r="AN325" s="1219"/>
      <c r="AO325" s="1219"/>
      <c r="AP325" s="1219"/>
      <c r="AQ325" s="1219"/>
    </row>
    <row r="326" spans="1:43" ht="30" customHeight="1" x14ac:dyDescent="0.25">
      <c r="A326" s="3">
        <f t="shared" si="15"/>
        <v>314</v>
      </c>
      <c r="B326" s="540" t="s">
        <v>162</v>
      </c>
      <c r="C326" s="540"/>
      <c r="D326" s="540"/>
      <c r="E326" s="1264"/>
      <c r="F326" s="1264"/>
      <c r="G326" s="1264"/>
      <c r="H326" s="540"/>
      <c r="I326" s="540"/>
      <c r="J326" s="540"/>
      <c r="K326" s="540"/>
      <c r="L326" s="540"/>
      <c r="M326" s="540"/>
      <c r="N326" s="540"/>
      <c r="O326" s="540"/>
      <c r="P326" s="540"/>
      <c r="Q326" s="540"/>
      <c r="R326" s="540"/>
      <c r="S326" s="540"/>
      <c r="T326" s="540"/>
      <c r="U326" s="540"/>
      <c r="V326" s="540"/>
      <c r="W326" s="540"/>
      <c r="X326" s="540"/>
      <c r="Y326" s="540"/>
      <c r="Z326" s="540"/>
      <c r="AA326" s="540"/>
      <c r="AB326" s="540"/>
      <c r="AC326" s="540"/>
      <c r="AD326" s="540"/>
      <c r="AE326" s="540"/>
      <c r="AF326" s="540"/>
      <c r="AG326" s="540"/>
      <c r="AH326" s="540"/>
      <c r="AI326" s="540"/>
      <c r="AJ326" s="540"/>
      <c r="AK326" s="540"/>
      <c r="AL326" s="540"/>
      <c r="AM326" s="540"/>
      <c r="AN326" s="540"/>
      <c r="AO326" s="540"/>
      <c r="AP326" s="540"/>
      <c r="AQ326" s="540"/>
    </row>
    <row r="327" spans="1:43" ht="30" customHeight="1" x14ac:dyDescent="0.25">
      <c r="A327" s="3">
        <f t="shared" si="15"/>
        <v>315</v>
      </c>
      <c r="B327" s="1219" t="s">
        <v>162</v>
      </c>
      <c r="C327" s="1219"/>
      <c r="D327" s="1219"/>
      <c r="E327" s="1263"/>
      <c r="F327" s="1263"/>
      <c r="G327" s="1263"/>
      <c r="H327" s="1219"/>
      <c r="I327" s="1219"/>
      <c r="J327" s="1219"/>
      <c r="K327" s="1219"/>
      <c r="L327" s="1219"/>
      <c r="M327" s="1219"/>
      <c r="N327" s="1219"/>
      <c r="O327" s="1219"/>
      <c r="P327" s="1219"/>
      <c r="Q327" s="1219"/>
      <c r="R327" s="1219"/>
      <c r="S327" s="1219"/>
      <c r="T327" s="1219"/>
      <c r="U327" s="1219"/>
      <c r="V327" s="1219"/>
      <c r="W327" s="1219"/>
      <c r="X327" s="1219"/>
      <c r="Y327" s="1219"/>
      <c r="Z327" s="1219"/>
      <c r="AA327" s="1219"/>
      <c r="AB327" s="1219"/>
      <c r="AC327" s="1219"/>
      <c r="AD327" s="1219"/>
      <c r="AE327" s="1219"/>
      <c r="AF327" s="1219"/>
      <c r="AG327" s="1219"/>
      <c r="AH327" s="1219"/>
      <c r="AI327" s="1219"/>
      <c r="AJ327" s="1219"/>
      <c r="AK327" s="1219"/>
      <c r="AL327" s="1219"/>
      <c r="AM327" s="1219"/>
      <c r="AN327" s="1219"/>
      <c r="AO327" s="1219"/>
      <c r="AP327" s="1219"/>
      <c r="AQ327" s="1219"/>
    </row>
    <row r="328" spans="1:43" ht="30" customHeight="1" x14ac:dyDescent="0.25">
      <c r="A328" s="3">
        <f t="shared" si="15"/>
        <v>316</v>
      </c>
      <c r="B328" s="540" t="s">
        <v>162</v>
      </c>
      <c r="C328" s="540"/>
      <c r="D328" s="540"/>
      <c r="E328" s="1264"/>
      <c r="F328" s="1264"/>
      <c r="G328" s="1264"/>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0"/>
      <c r="AE328" s="540"/>
      <c r="AF328" s="540"/>
      <c r="AG328" s="540"/>
      <c r="AH328" s="540"/>
      <c r="AI328" s="540"/>
      <c r="AJ328" s="540"/>
      <c r="AK328" s="540"/>
      <c r="AL328" s="540"/>
      <c r="AM328" s="540"/>
      <c r="AN328" s="540"/>
      <c r="AO328" s="540"/>
      <c r="AP328" s="540"/>
      <c r="AQ328" s="540"/>
    </row>
    <row r="329" spans="1:43" ht="30" customHeight="1" x14ac:dyDescent="0.25">
      <c r="A329" s="3">
        <f t="shared" si="15"/>
        <v>317</v>
      </c>
      <c r="B329" s="1219" t="s">
        <v>162</v>
      </c>
      <c r="C329" s="1219"/>
      <c r="D329" s="1219"/>
      <c r="E329" s="1263"/>
      <c r="F329" s="1263"/>
      <c r="G329" s="1263"/>
      <c r="H329" s="1219"/>
      <c r="I329" s="1219"/>
      <c r="J329" s="1219"/>
      <c r="K329" s="1219"/>
      <c r="L329" s="1219"/>
      <c r="M329" s="1219"/>
      <c r="N329" s="1219"/>
      <c r="O329" s="1219"/>
      <c r="P329" s="1219"/>
      <c r="Q329" s="1219"/>
      <c r="R329" s="1219"/>
      <c r="S329" s="1219"/>
      <c r="T329" s="1219"/>
      <c r="U329" s="1219"/>
      <c r="V329" s="1219"/>
      <c r="W329" s="1219"/>
      <c r="X329" s="1219"/>
      <c r="Y329" s="1219"/>
      <c r="Z329" s="1219"/>
      <c r="AA329" s="1219"/>
      <c r="AB329" s="1219"/>
      <c r="AC329" s="1219"/>
      <c r="AD329" s="1219"/>
      <c r="AE329" s="1219"/>
      <c r="AF329" s="1219"/>
      <c r="AG329" s="1219"/>
      <c r="AH329" s="1219"/>
      <c r="AI329" s="1219"/>
      <c r="AJ329" s="1219"/>
      <c r="AK329" s="1219"/>
      <c r="AL329" s="1219"/>
      <c r="AM329" s="1219"/>
      <c r="AN329" s="1219"/>
      <c r="AO329" s="1219"/>
      <c r="AP329" s="1219"/>
      <c r="AQ329" s="1219"/>
    </row>
    <row r="330" spans="1:43" ht="30" customHeight="1" x14ac:dyDescent="0.25">
      <c r="A330" s="3">
        <f t="shared" si="15"/>
        <v>318</v>
      </c>
      <c r="B330" s="540" t="s">
        <v>162</v>
      </c>
      <c r="C330" s="540"/>
      <c r="D330" s="540"/>
      <c r="E330" s="1264"/>
      <c r="F330" s="1264"/>
      <c r="G330" s="1264"/>
      <c r="H330" s="540"/>
      <c r="I330" s="540"/>
      <c r="J330" s="540"/>
      <c r="K330" s="540"/>
      <c r="L330" s="540"/>
      <c r="M330" s="540"/>
      <c r="N330" s="540"/>
      <c r="O330" s="540"/>
      <c r="P330" s="540"/>
      <c r="Q330" s="540"/>
      <c r="R330" s="540"/>
      <c r="S330" s="540"/>
      <c r="T330" s="540"/>
      <c r="U330" s="540"/>
      <c r="V330" s="540"/>
      <c r="W330" s="540"/>
      <c r="X330" s="540"/>
      <c r="Y330" s="540"/>
      <c r="Z330" s="540"/>
      <c r="AA330" s="540"/>
      <c r="AB330" s="540"/>
      <c r="AC330" s="540"/>
      <c r="AD330" s="540"/>
      <c r="AE330" s="540"/>
      <c r="AF330" s="540"/>
      <c r="AG330" s="540"/>
      <c r="AH330" s="540"/>
      <c r="AI330" s="540"/>
      <c r="AJ330" s="540"/>
      <c r="AK330" s="540"/>
      <c r="AL330" s="540"/>
      <c r="AM330" s="540"/>
      <c r="AN330" s="540"/>
      <c r="AO330" s="540"/>
      <c r="AP330" s="540"/>
      <c r="AQ330" s="540"/>
    </row>
    <row r="331" spans="1:43" ht="30" customHeight="1" x14ac:dyDescent="0.25">
      <c r="A331" s="3">
        <f t="shared" si="15"/>
        <v>319</v>
      </c>
      <c r="B331" s="1219" t="s">
        <v>162</v>
      </c>
      <c r="C331" s="1219"/>
      <c r="D331" s="1219"/>
      <c r="E331" s="1263"/>
      <c r="F331" s="1263"/>
      <c r="G331" s="1263"/>
      <c r="H331" s="1219"/>
      <c r="I331" s="1219"/>
      <c r="J331" s="1219"/>
      <c r="K331" s="1219"/>
      <c r="L331" s="1219"/>
      <c r="M331" s="1219"/>
      <c r="N331" s="1219"/>
      <c r="O331" s="1219"/>
      <c r="P331" s="1219"/>
      <c r="Q331" s="1219"/>
      <c r="R331" s="1219"/>
      <c r="S331" s="1219"/>
      <c r="T331" s="1219"/>
      <c r="U331" s="1219"/>
      <c r="V331" s="1219"/>
      <c r="W331" s="1219"/>
      <c r="X331" s="1219"/>
      <c r="Y331" s="1219"/>
      <c r="Z331" s="1219"/>
      <c r="AA331" s="1219"/>
      <c r="AB331" s="1219"/>
      <c r="AC331" s="1219"/>
      <c r="AD331" s="1219"/>
      <c r="AE331" s="1219"/>
      <c r="AF331" s="1219"/>
      <c r="AG331" s="1219"/>
      <c r="AH331" s="1219"/>
      <c r="AI331" s="1219"/>
      <c r="AJ331" s="1219"/>
      <c r="AK331" s="1219"/>
      <c r="AL331" s="1219"/>
      <c r="AM331" s="1219"/>
      <c r="AN331" s="1219"/>
      <c r="AO331" s="1219"/>
      <c r="AP331" s="1219"/>
      <c r="AQ331" s="1219"/>
    </row>
    <row r="332" spans="1:43" ht="30" customHeight="1" x14ac:dyDescent="0.25">
      <c r="A332" s="3">
        <f t="shared" si="15"/>
        <v>320</v>
      </c>
      <c r="B332" s="540" t="s">
        <v>162</v>
      </c>
      <c r="C332" s="540"/>
      <c r="D332" s="540"/>
      <c r="E332" s="1264"/>
      <c r="F332" s="1264"/>
      <c r="G332" s="1264"/>
      <c r="H332" s="540"/>
      <c r="I332" s="540"/>
      <c r="J332" s="540"/>
      <c r="K332" s="540"/>
      <c r="L332" s="540"/>
      <c r="M332" s="540"/>
      <c r="N332" s="540"/>
      <c r="O332" s="540"/>
      <c r="P332" s="540"/>
      <c r="Q332" s="540"/>
      <c r="R332" s="540"/>
      <c r="S332" s="540"/>
      <c r="T332" s="540"/>
      <c r="U332" s="540"/>
      <c r="V332" s="540"/>
      <c r="W332" s="540"/>
      <c r="X332" s="540"/>
      <c r="Y332" s="540"/>
      <c r="Z332" s="540"/>
      <c r="AA332" s="540"/>
      <c r="AB332" s="540"/>
      <c r="AC332" s="540"/>
      <c r="AD332" s="540"/>
      <c r="AE332" s="540"/>
      <c r="AF332" s="540"/>
      <c r="AG332" s="540"/>
      <c r="AH332" s="540"/>
      <c r="AI332" s="540"/>
      <c r="AJ332" s="540"/>
      <c r="AK332" s="540"/>
      <c r="AL332" s="540"/>
      <c r="AM332" s="540"/>
      <c r="AN332" s="540"/>
      <c r="AO332" s="540"/>
      <c r="AP332" s="540"/>
      <c r="AQ332" s="540"/>
    </row>
    <row r="333" spans="1:43" ht="30" customHeight="1" x14ac:dyDescent="0.25">
      <c r="A333" s="3">
        <f>ROW(A321)</f>
        <v>321</v>
      </c>
      <c r="B333" s="1219" t="s">
        <v>162</v>
      </c>
      <c r="C333" s="1219"/>
      <c r="D333" s="1219"/>
      <c r="E333" s="1263"/>
      <c r="F333" s="1263"/>
      <c r="G333" s="1263"/>
      <c r="H333" s="1219"/>
      <c r="I333" s="1219"/>
      <c r="J333" s="1219"/>
      <c r="K333" s="1219"/>
      <c r="L333" s="1219"/>
      <c r="M333" s="1219"/>
      <c r="N333" s="1219"/>
      <c r="O333" s="1219"/>
      <c r="P333" s="1219"/>
      <c r="Q333" s="1219"/>
      <c r="R333" s="1219"/>
      <c r="S333" s="1219"/>
      <c r="T333" s="1219"/>
      <c r="U333" s="1219"/>
      <c r="V333" s="1219"/>
      <c r="W333" s="1219"/>
      <c r="X333" s="1219"/>
      <c r="Y333" s="1219"/>
      <c r="Z333" s="1219"/>
      <c r="AA333" s="1219"/>
      <c r="AB333" s="1219"/>
      <c r="AC333" s="1219"/>
      <c r="AD333" s="1219"/>
      <c r="AE333" s="1219"/>
      <c r="AF333" s="1219"/>
      <c r="AG333" s="1219"/>
      <c r="AH333" s="1219"/>
      <c r="AI333" s="1219"/>
      <c r="AJ333" s="1219"/>
      <c r="AK333" s="1219"/>
      <c r="AL333" s="1219"/>
      <c r="AM333" s="1219"/>
      <c r="AN333" s="1219"/>
      <c r="AO333" s="1219"/>
      <c r="AP333" s="1219"/>
      <c r="AQ333" s="1219"/>
    </row>
    <row r="334" spans="1:43" ht="30" customHeight="1" x14ac:dyDescent="0.25">
      <c r="A334" s="3">
        <f t="shared" si="15"/>
        <v>322</v>
      </c>
      <c r="B334" s="540" t="s">
        <v>162</v>
      </c>
      <c r="C334" s="540"/>
      <c r="D334" s="540"/>
      <c r="E334" s="1264"/>
      <c r="F334" s="1264"/>
      <c r="G334" s="1264"/>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0"/>
      <c r="AE334" s="540"/>
      <c r="AF334" s="540"/>
      <c r="AG334" s="540"/>
      <c r="AH334" s="540"/>
      <c r="AI334" s="540"/>
      <c r="AJ334" s="540"/>
      <c r="AK334" s="540"/>
      <c r="AL334" s="540"/>
      <c r="AM334" s="540"/>
      <c r="AN334" s="540"/>
      <c r="AO334" s="540"/>
      <c r="AP334" s="540"/>
      <c r="AQ334" s="540"/>
    </row>
    <row r="335" spans="1:43" ht="30" customHeight="1" x14ac:dyDescent="0.25">
      <c r="A335" s="3">
        <f t="shared" si="15"/>
        <v>323</v>
      </c>
      <c r="B335" s="1219" t="s">
        <v>162</v>
      </c>
      <c r="C335" s="1219"/>
      <c r="D335" s="1219"/>
      <c r="E335" s="1263"/>
      <c r="F335" s="1263"/>
      <c r="G335" s="1263"/>
      <c r="H335" s="1219"/>
      <c r="I335" s="1219"/>
      <c r="J335" s="1219"/>
      <c r="K335" s="1219"/>
      <c r="L335" s="1219"/>
      <c r="M335" s="1219"/>
      <c r="N335" s="1219"/>
      <c r="O335" s="1219"/>
      <c r="P335" s="1219"/>
      <c r="Q335" s="1219"/>
      <c r="R335" s="1219"/>
      <c r="S335" s="1219"/>
      <c r="T335" s="1219"/>
      <c r="U335" s="1219"/>
      <c r="V335" s="1219"/>
      <c r="W335" s="1219"/>
      <c r="X335" s="1219"/>
      <c r="Y335" s="1219"/>
      <c r="Z335" s="1219"/>
      <c r="AA335" s="1219"/>
      <c r="AB335" s="1219"/>
      <c r="AC335" s="1219"/>
      <c r="AD335" s="1219"/>
      <c r="AE335" s="1219"/>
      <c r="AF335" s="1219"/>
      <c r="AG335" s="1219"/>
      <c r="AH335" s="1219"/>
      <c r="AI335" s="1219"/>
      <c r="AJ335" s="1219"/>
      <c r="AK335" s="1219"/>
      <c r="AL335" s="1219"/>
      <c r="AM335" s="1219"/>
      <c r="AN335" s="1219"/>
      <c r="AO335" s="1219"/>
      <c r="AP335" s="1219"/>
      <c r="AQ335" s="1219"/>
    </row>
    <row r="336" spans="1:43" ht="30" customHeight="1" x14ac:dyDescent="0.25">
      <c r="A336" s="3">
        <f t="shared" si="15"/>
        <v>324</v>
      </c>
      <c r="B336" s="540" t="s">
        <v>162</v>
      </c>
      <c r="C336" s="540"/>
      <c r="D336" s="540"/>
      <c r="E336" s="1264"/>
      <c r="F336" s="1264"/>
      <c r="G336" s="1264"/>
      <c r="H336" s="540"/>
      <c r="I336" s="540"/>
      <c r="J336" s="540"/>
      <c r="K336" s="540"/>
      <c r="L336" s="540"/>
      <c r="M336" s="540"/>
      <c r="N336" s="540"/>
      <c r="O336" s="540"/>
      <c r="P336" s="540"/>
      <c r="Q336" s="540"/>
      <c r="R336" s="540"/>
      <c r="S336" s="540"/>
      <c r="T336" s="540"/>
      <c r="U336" s="540"/>
      <c r="V336" s="540"/>
      <c r="W336" s="540"/>
      <c r="X336" s="540"/>
      <c r="Y336" s="540"/>
      <c r="Z336" s="540"/>
      <c r="AA336" s="540"/>
      <c r="AB336" s="540"/>
      <c r="AC336" s="540"/>
      <c r="AD336" s="540"/>
      <c r="AE336" s="540"/>
      <c r="AF336" s="540"/>
      <c r="AG336" s="540"/>
      <c r="AH336" s="540"/>
      <c r="AI336" s="540"/>
      <c r="AJ336" s="540"/>
      <c r="AK336" s="540"/>
      <c r="AL336" s="540"/>
      <c r="AM336" s="540"/>
      <c r="AN336" s="540"/>
      <c r="AO336" s="540"/>
      <c r="AP336" s="540"/>
      <c r="AQ336" s="540"/>
    </row>
    <row r="337" spans="1:43" ht="30" customHeight="1" x14ac:dyDescent="0.25">
      <c r="A337" s="3">
        <f t="shared" si="15"/>
        <v>325</v>
      </c>
      <c r="B337" s="1219" t="s">
        <v>162</v>
      </c>
      <c r="C337" s="1219"/>
      <c r="D337" s="1219"/>
      <c r="E337" s="1263"/>
      <c r="F337" s="1263"/>
      <c r="G337" s="1263"/>
      <c r="H337" s="1219"/>
      <c r="I337" s="1219"/>
      <c r="J337" s="1219"/>
      <c r="K337" s="1219"/>
      <c r="L337" s="1219"/>
      <c r="M337" s="1219"/>
      <c r="N337" s="1219"/>
      <c r="O337" s="1219"/>
      <c r="P337" s="1219"/>
      <c r="Q337" s="1219"/>
      <c r="R337" s="1219"/>
      <c r="S337" s="1219"/>
      <c r="T337" s="1219"/>
      <c r="U337" s="1219"/>
      <c r="V337" s="1219"/>
      <c r="W337" s="1219"/>
      <c r="X337" s="1219"/>
      <c r="Y337" s="1219"/>
      <c r="Z337" s="1219"/>
      <c r="AA337" s="1219"/>
      <c r="AB337" s="1219"/>
      <c r="AC337" s="1219"/>
      <c r="AD337" s="1219"/>
      <c r="AE337" s="1219"/>
      <c r="AF337" s="1219"/>
      <c r="AG337" s="1219"/>
      <c r="AH337" s="1219"/>
      <c r="AI337" s="1219"/>
      <c r="AJ337" s="1219"/>
      <c r="AK337" s="1219"/>
      <c r="AL337" s="1219"/>
      <c r="AM337" s="1219"/>
      <c r="AN337" s="1219"/>
      <c r="AO337" s="1219"/>
      <c r="AP337" s="1219"/>
      <c r="AQ337" s="1219"/>
    </row>
    <row r="338" spans="1:43" ht="30" customHeight="1" x14ac:dyDescent="0.25">
      <c r="A338" s="3">
        <f t="shared" si="15"/>
        <v>326</v>
      </c>
      <c r="B338" s="540" t="s">
        <v>162</v>
      </c>
      <c r="C338" s="540"/>
      <c r="D338" s="540"/>
      <c r="E338" s="1264"/>
      <c r="F338" s="1264"/>
      <c r="G338" s="1264"/>
      <c r="H338" s="540"/>
      <c r="I338" s="540"/>
      <c r="J338" s="540"/>
      <c r="K338" s="540"/>
      <c r="L338" s="540"/>
      <c r="M338" s="540"/>
      <c r="N338" s="540"/>
      <c r="O338" s="540"/>
      <c r="P338" s="540"/>
      <c r="Q338" s="540"/>
      <c r="R338" s="540"/>
      <c r="S338" s="540"/>
      <c r="T338" s="540"/>
      <c r="U338" s="540"/>
      <c r="V338" s="540"/>
      <c r="W338" s="540"/>
      <c r="X338" s="540"/>
      <c r="Y338" s="540"/>
      <c r="Z338" s="540"/>
      <c r="AA338" s="540"/>
      <c r="AB338" s="540"/>
      <c r="AC338" s="540"/>
      <c r="AD338" s="540"/>
      <c r="AE338" s="540"/>
      <c r="AF338" s="540"/>
      <c r="AG338" s="540"/>
      <c r="AH338" s="540"/>
      <c r="AI338" s="540"/>
      <c r="AJ338" s="540"/>
      <c r="AK338" s="540"/>
      <c r="AL338" s="540"/>
      <c r="AM338" s="540"/>
      <c r="AN338" s="540"/>
      <c r="AO338" s="540"/>
      <c r="AP338" s="540"/>
      <c r="AQ338" s="540"/>
    </row>
    <row r="339" spans="1:43" ht="30" customHeight="1" x14ac:dyDescent="0.25">
      <c r="A339" s="3">
        <f t="shared" si="15"/>
        <v>327</v>
      </c>
      <c r="B339" s="1219" t="s">
        <v>162</v>
      </c>
      <c r="C339" s="1219"/>
      <c r="D339" s="1219"/>
      <c r="E339" s="1263"/>
      <c r="F339" s="1263"/>
      <c r="G339" s="1263"/>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c r="AL339" s="1219"/>
      <c r="AM339" s="1219"/>
      <c r="AN339" s="1219"/>
      <c r="AO339" s="1219"/>
      <c r="AP339" s="1219"/>
      <c r="AQ339" s="1219"/>
    </row>
    <row r="340" spans="1:43" ht="30" customHeight="1" x14ac:dyDescent="0.25">
      <c r="A340" s="3">
        <f t="shared" si="15"/>
        <v>328</v>
      </c>
      <c r="B340" s="540" t="s">
        <v>162</v>
      </c>
      <c r="C340" s="540"/>
      <c r="D340" s="540"/>
      <c r="E340" s="1264"/>
      <c r="F340" s="1264"/>
      <c r="G340" s="1264"/>
      <c r="H340" s="540"/>
      <c r="I340" s="540"/>
      <c r="J340" s="540"/>
      <c r="K340" s="540"/>
      <c r="L340" s="540"/>
      <c r="M340" s="540"/>
      <c r="N340" s="540"/>
      <c r="O340" s="540"/>
      <c r="P340" s="540"/>
      <c r="Q340" s="540"/>
      <c r="R340" s="540"/>
      <c r="S340" s="540"/>
      <c r="T340" s="540"/>
      <c r="U340" s="540"/>
      <c r="V340" s="540"/>
      <c r="W340" s="540"/>
      <c r="X340" s="540"/>
      <c r="Y340" s="540"/>
      <c r="Z340" s="540"/>
      <c r="AA340" s="540"/>
      <c r="AB340" s="540"/>
      <c r="AC340" s="540"/>
      <c r="AD340" s="540"/>
      <c r="AE340" s="540"/>
      <c r="AF340" s="540"/>
      <c r="AG340" s="540"/>
      <c r="AH340" s="540"/>
      <c r="AI340" s="540"/>
      <c r="AJ340" s="540"/>
      <c r="AK340" s="540"/>
      <c r="AL340" s="540"/>
      <c r="AM340" s="540"/>
      <c r="AN340" s="540"/>
      <c r="AO340" s="540"/>
      <c r="AP340" s="540"/>
      <c r="AQ340" s="540"/>
    </row>
    <row r="341" spans="1:43" ht="30" customHeight="1" x14ac:dyDescent="0.25">
      <c r="A341" s="3">
        <f t="shared" si="15"/>
        <v>329</v>
      </c>
      <c r="B341" s="1219" t="s">
        <v>162</v>
      </c>
      <c r="C341" s="1219"/>
      <c r="D341" s="1219"/>
      <c r="E341" s="1263"/>
      <c r="F341" s="1263"/>
      <c r="G341" s="1263"/>
      <c r="H341" s="1219"/>
      <c r="I341" s="1219"/>
      <c r="J341" s="1219"/>
      <c r="K341" s="1219"/>
      <c r="L341" s="1219"/>
      <c r="M341" s="1219"/>
      <c r="N341" s="1219"/>
      <c r="O341" s="1219"/>
      <c r="P341" s="1219"/>
      <c r="Q341" s="1219"/>
      <c r="R341" s="1219"/>
      <c r="S341" s="1219"/>
      <c r="T341" s="1219"/>
      <c r="U341" s="1219"/>
      <c r="V341" s="1219"/>
      <c r="W341" s="1219"/>
      <c r="X341" s="1219"/>
      <c r="Y341" s="1219"/>
      <c r="Z341" s="1219"/>
      <c r="AA341" s="1219"/>
      <c r="AB341" s="1219"/>
      <c r="AC341" s="1219"/>
      <c r="AD341" s="1219"/>
      <c r="AE341" s="1219"/>
      <c r="AF341" s="1219"/>
      <c r="AG341" s="1219"/>
      <c r="AH341" s="1219"/>
      <c r="AI341" s="1219"/>
      <c r="AJ341" s="1219"/>
      <c r="AK341" s="1219"/>
      <c r="AL341" s="1219"/>
      <c r="AM341" s="1219"/>
      <c r="AN341" s="1219"/>
      <c r="AO341" s="1219"/>
      <c r="AP341" s="1219"/>
      <c r="AQ341" s="1219"/>
    </row>
    <row r="342" spans="1:43" ht="30" customHeight="1" x14ac:dyDescent="0.25">
      <c r="A342" s="3">
        <f t="shared" si="15"/>
        <v>330</v>
      </c>
      <c r="B342" s="540" t="s">
        <v>162</v>
      </c>
      <c r="C342" s="540"/>
      <c r="D342" s="540"/>
      <c r="E342" s="1264"/>
      <c r="F342" s="1264"/>
      <c r="G342" s="1264"/>
      <c r="H342" s="540"/>
      <c r="I342" s="540"/>
      <c r="J342" s="540"/>
      <c r="K342" s="540"/>
      <c r="L342" s="540"/>
      <c r="M342" s="540"/>
      <c r="N342" s="540"/>
      <c r="O342" s="540"/>
      <c r="P342" s="540"/>
      <c r="Q342" s="540"/>
      <c r="R342" s="540"/>
      <c r="S342" s="540"/>
      <c r="T342" s="540"/>
      <c r="U342" s="540"/>
      <c r="V342" s="540"/>
      <c r="W342" s="540"/>
      <c r="X342" s="540"/>
      <c r="Y342" s="540"/>
      <c r="Z342" s="540"/>
      <c r="AA342" s="540"/>
      <c r="AB342" s="540"/>
      <c r="AC342" s="540"/>
      <c r="AD342" s="540"/>
      <c r="AE342" s="540"/>
      <c r="AF342" s="540"/>
      <c r="AG342" s="540"/>
      <c r="AH342" s="540"/>
      <c r="AI342" s="540"/>
      <c r="AJ342" s="540"/>
      <c r="AK342" s="540"/>
      <c r="AL342" s="540"/>
      <c r="AM342" s="540"/>
      <c r="AN342" s="540"/>
      <c r="AO342" s="540"/>
      <c r="AP342" s="540"/>
      <c r="AQ342" s="540"/>
    </row>
    <row r="343" spans="1:43" ht="30" customHeight="1" x14ac:dyDescent="0.25">
      <c r="A343" s="3">
        <f>ROW(A331)</f>
        <v>331</v>
      </c>
      <c r="B343" s="1219" t="s">
        <v>162</v>
      </c>
      <c r="C343" s="1219"/>
      <c r="D343" s="1219"/>
      <c r="E343" s="1263"/>
      <c r="F343" s="1263"/>
      <c r="G343" s="1263"/>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c r="AL343" s="1219"/>
      <c r="AM343" s="1219"/>
      <c r="AN343" s="1219"/>
      <c r="AO343" s="1219"/>
      <c r="AP343" s="1219"/>
      <c r="AQ343" s="1219"/>
    </row>
    <row r="344" spans="1:43" ht="30" customHeight="1" x14ac:dyDescent="0.25">
      <c r="A344" s="3">
        <f t="shared" si="15"/>
        <v>332</v>
      </c>
      <c r="B344" s="540" t="s">
        <v>162</v>
      </c>
      <c r="C344" s="540"/>
      <c r="D344" s="540"/>
      <c r="E344" s="1264"/>
      <c r="F344" s="1264"/>
      <c r="G344" s="1264"/>
      <c r="H344" s="540"/>
      <c r="I344" s="540"/>
      <c r="J344" s="540"/>
      <c r="K344" s="540"/>
      <c r="L344" s="540"/>
      <c r="M344" s="540"/>
      <c r="N344" s="540"/>
      <c r="O344" s="540"/>
      <c r="P344" s="540"/>
      <c r="Q344" s="540"/>
      <c r="R344" s="540"/>
      <c r="S344" s="540"/>
      <c r="T344" s="540"/>
      <c r="U344" s="540"/>
      <c r="V344" s="540"/>
      <c r="W344" s="540"/>
      <c r="X344" s="540"/>
      <c r="Y344" s="540"/>
      <c r="Z344" s="540"/>
      <c r="AA344" s="540"/>
      <c r="AB344" s="540"/>
      <c r="AC344" s="540"/>
      <c r="AD344" s="540"/>
      <c r="AE344" s="540"/>
      <c r="AF344" s="540"/>
      <c r="AG344" s="540"/>
      <c r="AH344" s="540"/>
      <c r="AI344" s="540"/>
      <c r="AJ344" s="540"/>
      <c r="AK344" s="540"/>
      <c r="AL344" s="540"/>
      <c r="AM344" s="540"/>
      <c r="AN344" s="540"/>
      <c r="AO344" s="540"/>
      <c r="AP344" s="540"/>
      <c r="AQ344" s="540"/>
    </row>
    <row r="345" spans="1:43" ht="30" customHeight="1" x14ac:dyDescent="0.25">
      <c r="A345" s="3">
        <f t="shared" si="15"/>
        <v>333</v>
      </c>
      <c r="B345" s="1219" t="s">
        <v>162</v>
      </c>
      <c r="C345" s="1219"/>
      <c r="D345" s="1219"/>
      <c r="E345" s="1263"/>
      <c r="F345" s="1263"/>
      <c r="G345" s="1263"/>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c r="AL345" s="1219"/>
      <c r="AM345" s="1219"/>
      <c r="AN345" s="1219"/>
      <c r="AO345" s="1219"/>
      <c r="AP345" s="1219"/>
      <c r="AQ345" s="1219"/>
    </row>
    <row r="346" spans="1:43" ht="30" customHeight="1" x14ac:dyDescent="0.25">
      <c r="A346" s="3">
        <f t="shared" si="15"/>
        <v>334</v>
      </c>
      <c r="B346" s="540" t="s">
        <v>162</v>
      </c>
      <c r="C346" s="540"/>
      <c r="D346" s="540"/>
      <c r="E346" s="1264"/>
      <c r="F346" s="1264"/>
      <c r="G346" s="1264"/>
      <c r="H346" s="540"/>
      <c r="I346" s="540"/>
      <c r="J346" s="540"/>
      <c r="K346" s="540"/>
      <c r="L346" s="540"/>
      <c r="M346" s="540"/>
      <c r="N346" s="540"/>
      <c r="O346" s="540"/>
      <c r="P346" s="540"/>
      <c r="Q346" s="540"/>
      <c r="R346" s="540"/>
      <c r="S346" s="540"/>
      <c r="T346" s="540"/>
      <c r="U346" s="540"/>
      <c r="V346" s="540"/>
      <c r="W346" s="540"/>
      <c r="X346" s="540"/>
      <c r="Y346" s="540"/>
      <c r="Z346" s="540"/>
      <c r="AA346" s="540"/>
      <c r="AB346" s="540"/>
      <c r="AC346" s="540"/>
      <c r="AD346" s="540"/>
      <c r="AE346" s="540"/>
      <c r="AF346" s="540"/>
      <c r="AG346" s="540"/>
      <c r="AH346" s="540"/>
      <c r="AI346" s="540"/>
      <c r="AJ346" s="540"/>
      <c r="AK346" s="540"/>
      <c r="AL346" s="540"/>
      <c r="AM346" s="540"/>
      <c r="AN346" s="540"/>
      <c r="AO346" s="540"/>
      <c r="AP346" s="540"/>
      <c r="AQ346" s="540"/>
    </row>
    <row r="347" spans="1:43" ht="30" customHeight="1" x14ac:dyDescent="0.25">
      <c r="A347" s="3">
        <f t="shared" si="15"/>
        <v>335</v>
      </c>
      <c r="B347" s="1219" t="s">
        <v>162</v>
      </c>
      <c r="C347" s="1219"/>
      <c r="D347" s="1219"/>
      <c r="E347" s="1263"/>
      <c r="F347" s="1263"/>
      <c r="G347" s="1263"/>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c r="AL347" s="1219"/>
      <c r="AM347" s="1219"/>
      <c r="AN347" s="1219"/>
      <c r="AO347" s="1219"/>
      <c r="AP347" s="1219"/>
      <c r="AQ347" s="1219"/>
    </row>
    <row r="348" spans="1:43" ht="30" customHeight="1" x14ac:dyDescent="0.25">
      <c r="A348" s="3">
        <f t="shared" si="15"/>
        <v>336</v>
      </c>
      <c r="B348" s="540" t="s">
        <v>162</v>
      </c>
      <c r="C348" s="540"/>
      <c r="D348" s="540"/>
      <c r="E348" s="1264"/>
      <c r="F348" s="1264"/>
      <c r="G348" s="1264"/>
      <c r="H348" s="540"/>
      <c r="I348" s="540"/>
      <c r="J348" s="540"/>
      <c r="K348" s="540"/>
      <c r="L348" s="540"/>
      <c r="M348" s="540"/>
      <c r="N348" s="540"/>
      <c r="O348" s="540"/>
      <c r="P348" s="540"/>
      <c r="Q348" s="540"/>
      <c r="R348" s="540"/>
      <c r="S348" s="540"/>
      <c r="T348" s="540"/>
      <c r="U348" s="540"/>
      <c r="V348" s="540"/>
      <c r="W348" s="540"/>
      <c r="X348" s="540"/>
      <c r="Y348" s="540"/>
      <c r="Z348" s="540"/>
      <c r="AA348" s="540"/>
      <c r="AB348" s="540"/>
      <c r="AC348" s="540"/>
      <c r="AD348" s="540"/>
      <c r="AE348" s="540"/>
      <c r="AF348" s="540"/>
      <c r="AG348" s="540"/>
      <c r="AH348" s="540"/>
      <c r="AI348" s="540"/>
      <c r="AJ348" s="540"/>
      <c r="AK348" s="540"/>
      <c r="AL348" s="540"/>
      <c r="AM348" s="540"/>
      <c r="AN348" s="540"/>
      <c r="AO348" s="540"/>
      <c r="AP348" s="540"/>
      <c r="AQ348" s="540"/>
    </row>
    <row r="349" spans="1:43" ht="30" customHeight="1" x14ac:dyDescent="0.25">
      <c r="A349" s="3">
        <f t="shared" si="15"/>
        <v>337</v>
      </c>
      <c r="B349" s="1219" t="s">
        <v>162</v>
      </c>
      <c r="C349" s="1219"/>
      <c r="D349" s="1219"/>
      <c r="E349" s="1263"/>
      <c r="F349" s="1263"/>
      <c r="G349" s="1263"/>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c r="AL349" s="1219"/>
      <c r="AM349" s="1219"/>
      <c r="AN349" s="1219"/>
      <c r="AO349" s="1219"/>
      <c r="AP349" s="1219"/>
      <c r="AQ349" s="1219"/>
    </row>
    <row r="350" spans="1:43" ht="30" customHeight="1" x14ac:dyDescent="0.25">
      <c r="A350" s="3">
        <f t="shared" si="15"/>
        <v>338</v>
      </c>
      <c r="B350" s="540" t="s">
        <v>162</v>
      </c>
      <c r="C350" s="540"/>
      <c r="D350" s="540"/>
      <c r="E350" s="1264"/>
      <c r="F350" s="1264"/>
      <c r="G350" s="1264"/>
      <c r="H350" s="540"/>
      <c r="I350" s="540"/>
      <c r="J350" s="540"/>
      <c r="K350" s="540"/>
      <c r="L350" s="540"/>
      <c r="M350" s="540"/>
      <c r="N350" s="540"/>
      <c r="O350" s="540"/>
      <c r="P350" s="540"/>
      <c r="Q350" s="540"/>
      <c r="R350" s="540"/>
      <c r="S350" s="540"/>
      <c r="T350" s="540"/>
      <c r="U350" s="540"/>
      <c r="V350" s="540"/>
      <c r="W350" s="540"/>
      <c r="X350" s="540"/>
      <c r="Y350" s="540"/>
      <c r="Z350" s="540"/>
      <c r="AA350" s="540"/>
      <c r="AB350" s="540"/>
      <c r="AC350" s="540"/>
      <c r="AD350" s="540"/>
      <c r="AE350" s="540"/>
      <c r="AF350" s="540"/>
      <c r="AG350" s="540"/>
      <c r="AH350" s="540"/>
      <c r="AI350" s="540"/>
      <c r="AJ350" s="540"/>
      <c r="AK350" s="540"/>
      <c r="AL350" s="540"/>
      <c r="AM350" s="540"/>
      <c r="AN350" s="540"/>
      <c r="AO350" s="540"/>
      <c r="AP350" s="540"/>
      <c r="AQ350" s="540"/>
    </row>
    <row r="351" spans="1:43" ht="30" customHeight="1" x14ac:dyDescent="0.25">
      <c r="A351" s="3">
        <f t="shared" si="15"/>
        <v>339</v>
      </c>
      <c r="B351" s="1219" t="s">
        <v>162</v>
      </c>
      <c r="C351" s="1219"/>
      <c r="D351" s="1219"/>
      <c r="E351" s="1263"/>
      <c r="F351" s="1263"/>
      <c r="G351" s="1263"/>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c r="AL351" s="1219"/>
      <c r="AM351" s="1219"/>
      <c r="AN351" s="1219"/>
      <c r="AO351" s="1219"/>
      <c r="AP351" s="1219"/>
      <c r="AQ351" s="1219"/>
    </row>
    <row r="352" spans="1:43" ht="30" customHeight="1" x14ac:dyDescent="0.25">
      <c r="A352" s="3">
        <f t="shared" si="15"/>
        <v>340</v>
      </c>
      <c r="B352" s="540" t="s">
        <v>162</v>
      </c>
      <c r="C352" s="540"/>
      <c r="D352" s="540"/>
      <c r="E352" s="1264"/>
      <c r="F352" s="1264"/>
      <c r="G352" s="1264"/>
      <c r="H352" s="540"/>
      <c r="I352" s="540"/>
      <c r="J352" s="540"/>
      <c r="K352" s="540"/>
      <c r="L352" s="540"/>
      <c r="M352" s="540"/>
      <c r="N352" s="540"/>
      <c r="O352" s="540"/>
      <c r="P352" s="540"/>
      <c r="Q352" s="540"/>
      <c r="R352" s="540"/>
      <c r="S352" s="540"/>
      <c r="T352" s="540"/>
      <c r="U352" s="540"/>
      <c r="V352" s="540"/>
      <c r="W352" s="540"/>
      <c r="X352" s="540"/>
      <c r="Y352" s="540"/>
      <c r="Z352" s="540"/>
      <c r="AA352" s="540"/>
      <c r="AB352" s="540"/>
      <c r="AC352" s="540"/>
      <c r="AD352" s="540"/>
      <c r="AE352" s="540"/>
      <c r="AF352" s="540"/>
      <c r="AG352" s="540"/>
      <c r="AH352" s="540"/>
      <c r="AI352" s="540"/>
      <c r="AJ352" s="540"/>
      <c r="AK352" s="540"/>
      <c r="AL352" s="540"/>
      <c r="AM352" s="540"/>
      <c r="AN352" s="540"/>
      <c r="AO352" s="540"/>
      <c r="AP352" s="540"/>
      <c r="AQ352" s="540"/>
    </row>
    <row r="353" spans="1:43" ht="30" customHeight="1" x14ac:dyDescent="0.25">
      <c r="A353" s="3">
        <f>ROW(A341)</f>
        <v>341</v>
      </c>
      <c r="B353" s="1219" t="s">
        <v>162</v>
      </c>
      <c r="C353" s="1219"/>
      <c r="D353" s="1219"/>
      <c r="E353" s="1263"/>
      <c r="F353" s="1263"/>
      <c r="G353" s="1263"/>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c r="AL353" s="1219"/>
      <c r="AM353" s="1219"/>
      <c r="AN353" s="1219"/>
      <c r="AO353" s="1219"/>
      <c r="AP353" s="1219"/>
      <c r="AQ353" s="1219"/>
    </row>
    <row r="354" spans="1:43" ht="30" customHeight="1" x14ac:dyDescent="0.25">
      <c r="A354" s="3">
        <f t="shared" si="15"/>
        <v>342</v>
      </c>
      <c r="B354" s="540" t="s">
        <v>162</v>
      </c>
      <c r="C354" s="540"/>
      <c r="D354" s="540"/>
      <c r="E354" s="1264"/>
      <c r="F354" s="1264"/>
      <c r="G354" s="1264"/>
      <c r="H354" s="540"/>
      <c r="I354" s="540"/>
      <c r="J354" s="540"/>
      <c r="K354" s="540"/>
      <c r="L354" s="540"/>
      <c r="M354" s="540"/>
      <c r="N354" s="540"/>
      <c r="O354" s="540"/>
      <c r="P354" s="540"/>
      <c r="Q354" s="540"/>
      <c r="R354" s="540"/>
      <c r="S354" s="540"/>
      <c r="T354" s="540"/>
      <c r="U354" s="540"/>
      <c r="V354" s="540"/>
      <c r="W354" s="540"/>
      <c r="X354" s="540"/>
      <c r="Y354" s="540"/>
      <c r="Z354" s="540"/>
      <c r="AA354" s="540"/>
      <c r="AB354" s="540"/>
      <c r="AC354" s="540"/>
      <c r="AD354" s="540"/>
      <c r="AE354" s="540"/>
      <c r="AF354" s="540"/>
      <c r="AG354" s="540"/>
      <c r="AH354" s="540"/>
      <c r="AI354" s="540"/>
      <c r="AJ354" s="540"/>
      <c r="AK354" s="540"/>
      <c r="AL354" s="540"/>
      <c r="AM354" s="540"/>
      <c r="AN354" s="540"/>
      <c r="AO354" s="540"/>
      <c r="AP354" s="540"/>
      <c r="AQ354" s="540"/>
    </row>
    <row r="355" spans="1:43" ht="30" customHeight="1" x14ac:dyDescent="0.25">
      <c r="A355" s="3">
        <f t="shared" si="15"/>
        <v>343</v>
      </c>
      <c r="B355" s="1219" t="s">
        <v>162</v>
      </c>
      <c r="C355" s="1219"/>
      <c r="D355" s="1219"/>
      <c r="E355" s="1263"/>
      <c r="F355" s="1263"/>
      <c r="G355" s="1263"/>
      <c r="H355" s="1219"/>
      <c r="I355" s="1219"/>
      <c r="J355" s="1219"/>
      <c r="K355" s="1219"/>
      <c r="L355" s="1219"/>
      <c r="M355" s="1219"/>
      <c r="N355" s="1219"/>
      <c r="O355" s="1219"/>
      <c r="P355" s="1219"/>
      <c r="Q355" s="1219"/>
      <c r="R355" s="1219"/>
      <c r="S355" s="1219"/>
      <c r="T355" s="1219"/>
      <c r="U355" s="1219"/>
      <c r="V355" s="1219"/>
      <c r="W355" s="1219"/>
      <c r="X355" s="1219"/>
      <c r="Y355" s="1219"/>
      <c r="Z355" s="1219"/>
      <c r="AA355" s="1219"/>
      <c r="AB355" s="1219"/>
      <c r="AC355" s="1219"/>
      <c r="AD355" s="1219"/>
      <c r="AE355" s="1219"/>
      <c r="AF355" s="1219"/>
      <c r="AG355" s="1219"/>
      <c r="AH355" s="1219"/>
      <c r="AI355" s="1219"/>
      <c r="AJ355" s="1219"/>
      <c r="AK355" s="1219"/>
      <c r="AL355" s="1219"/>
      <c r="AM355" s="1219"/>
      <c r="AN355" s="1219"/>
      <c r="AO355" s="1219"/>
      <c r="AP355" s="1219"/>
      <c r="AQ355" s="1219"/>
    </row>
    <row r="356" spans="1:43" ht="30" customHeight="1" x14ac:dyDescent="0.25">
      <c r="A356" s="3">
        <f t="shared" si="15"/>
        <v>344</v>
      </c>
      <c r="B356" s="540" t="s">
        <v>162</v>
      </c>
      <c r="C356" s="540"/>
      <c r="D356" s="540"/>
      <c r="E356" s="1264"/>
      <c r="F356" s="1264"/>
      <c r="G356" s="1264"/>
      <c r="H356" s="540"/>
      <c r="I356" s="540"/>
      <c r="J356" s="540"/>
      <c r="K356" s="540"/>
      <c r="L356" s="540"/>
      <c r="M356" s="540"/>
      <c r="N356" s="540"/>
      <c r="O356" s="540"/>
      <c r="P356" s="540"/>
      <c r="Q356" s="540"/>
      <c r="R356" s="540"/>
      <c r="S356" s="540"/>
      <c r="T356" s="540"/>
      <c r="U356" s="540"/>
      <c r="V356" s="540"/>
      <c r="W356" s="540"/>
      <c r="X356" s="540"/>
      <c r="Y356" s="540"/>
      <c r="Z356" s="540"/>
      <c r="AA356" s="540"/>
      <c r="AB356" s="540"/>
      <c r="AC356" s="540"/>
      <c r="AD356" s="540"/>
      <c r="AE356" s="540"/>
      <c r="AF356" s="540"/>
      <c r="AG356" s="540"/>
      <c r="AH356" s="540"/>
      <c r="AI356" s="540"/>
      <c r="AJ356" s="540"/>
      <c r="AK356" s="540"/>
      <c r="AL356" s="540"/>
      <c r="AM356" s="540"/>
      <c r="AN356" s="540"/>
      <c r="AO356" s="540"/>
      <c r="AP356" s="540"/>
      <c r="AQ356" s="540"/>
    </row>
    <row r="357" spans="1:43" ht="30" customHeight="1" x14ac:dyDescent="0.25">
      <c r="A357" s="3">
        <f t="shared" si="15"/>
        <v>345</v>
      </c>
      <c r="B357" s="1219" t="s">
        <v>162</v>
      </c>
      <c r="C357" s="1219"/>
      <c r="D357" s="1219"/>
      <c r="E357" s="1263"/>
      <c r="F357" s="1263"/>
      <c r="G357" s="1263"/>
      <c r="H357" s="1219"/>
      <c r="I357" s="1219"/>
      <c r="J357" s="1219"/>
      <c r="K357" s="1219"/>
      <c r="L357" s="1219"/>
      <c r="M357" s="1219"/>
      <c r="N357" s="1219"/>
      <c r="O357" s="1219"/>
      <c r="P357" s="1219"/>
      <c r="Q357" s="1219"/>
      <c r="R357" s="1219"/>
      <c r="S357" s="1219"/>
      <c r="T357" s="1219"/>
      <c r="U357" s="1219"/>
      <c r="V357" s="1219"/>
      <c r="W357" s="1219"/>
      <c r="X357" s="1219"/>
      <c r="Y357" s="1219"/>
      <c r="Z357" s="1219"/>
      <c r="AA357" s="1219"/>
      <c r="AB357" s="1219"/>
      <c r="AC357" s="1219"/>
      <c r="AD357" s="1219"/>
      <c r="AE357" s="1219"/>
      <c r="AF357" s="1219"/>
      <c r="AG357" s="1219"/>
      <c r="AH357" s="1219"/>
      <c r="AI357" s="1219"/>
      <c r="AJ357" s="1219"/>
      <c r="AK357" s="1219"/>
      <c r="AL357" s="1219"/>
      <c r="AM357" s="1219"/>
      <c r="AN357" s="1219"/>
      <c r="AO357" s="1219"/>
      <c r="AP357" s="1219"/>
      <c r="AQ357" s="1219"/>
    </row>
    <row r="358" spans="1:43" ht="30" customHeight="1" x14ac:dyDescent="0.25">
      <c r="A358" s="3">
        <f t="shared" si="15"/>
        <v>346</v>
      </c>
      <c r="B358" s="540" t="s">
        <v>162</v>
      </c>
      <c r="C358" s="540"/>
      <c r="D358" s="540"/>
      <c r="E358" s="1264"/>
      <c r="F358" s="1264"/>
      <c r="G358" s="1264"/>
      <c r="H358" s="540"/>
      <c r="I358" s="540"/>
      <c r="J358" s="540"/>
      <c r="K358" s="540"/>
      <c r="L358" s="540"/>
      <c r="M358" s="540"/>
      <c r="N358" s="540"/>
      <c r="O358" s="540"/>
      <c r="P358" s="540"/>
      <c r="Q358" s="540"/>
      <c r="R358" s="540"/>
      <c r="S358" s="540"/>
      <c r="T358" s="540"/>
      <c r="U358" s="540"/>
      <c r="V358" s="540"/>
      <c r="W358" s="540"/>
      <c r="X358" s="540"/>
      <c r="Y358" s="540"/>
      <c r="Z358" s="540"/>
      <c r="AA358" s="540"/>
      <c r="AB358" s="540"/>
      <c r="AC358" s="540"/>
      <c r="AD358" s="540"/>
      <c r="AE358" s="540"/>
      <c r="AF358" s="540"/>
      <c r="AG358" s="540"/>
      <c r="AH358" s="540"/>
      <c r="AI358" s="540"/>
      <c r="AJ358" s="540"/>
      <c r="AK358" s="540"/>
      <c r="AL358" s="540"/>
      <c r="AM358" s="540"/>
      <c r="AN358" s="540"/>
      <c r="AO358" s="540"/>
      <c r="AP358" s="540"/>
      <c r="AQ358" s="540"/>
    </row>
    <row r="359" spans="1:43" ht="30" customHeight="1" x14ac:dyDescent="0.25">
      <c r="A359" s="3">
        <f t="shared" si="15"/>
        <v>347</v>
      </c>
      <c r="B359" s="1219" t="s">
        <v>162</v>
      </c>
      <c r="C359" s="1219"/>
      <c r="D359" s="1219"/>
      <c r="E359" s="1263"/>
      <c r="F359" s="1263"/>
      <c r="G359" s="1263"/>
      <c r="H359" s="1219"/>
      <c r="I359" s="1219"/>
      <c r="J359" s="1219"/>
      <c r="K359" s="1219"/>
      <c r="L359" s="1219"/>
      <c r="M359" s="1219"/>
      <c r="N359" s="1219"/>
      <c r="O359" s="1219"/>
      <c r="P359" s="1219"/>
      <c r="Q359" s="1219"/>
      <c r="R359" s="1219"/>
      <c r="S359" s="1219"/>
      <c r="T359" s="1219"/>
      <c r="U359" s="1219"/>
      <c r="V359" s="1219"/>
      <c r="W359" s="1219"/>
      <c r="X359" s="1219"/>
      <c r="Y359" s="1219"/>
      <c r="Z359" s="1219"/>
      <c r="AA359" s="1219"/>
      <c r="AB359" s="1219"/>
      <c r="AC359" s="1219"/>
      <c r="AD359" s="1219"/>
      <c r="AE359" s="1219"/>
      <c r="AF359" s="1219"/>
      <c r="AG359" s="1219"/>
      <c r="AH359" s="1219"/>
      <c r="AI359" s="1219"/>
      <c r="AJ359" s="1219"/>
      <c r="AK359" s="1219"/>
      <c r="AL359" s="1219"/>
      <c r="AM359" s="1219"/>
      <c r="AN359" s="1219"/>
      <c r="AO359" s="1219"/>
      <c r="AP359" s="1219"/>
      <c r="AQ359" s="1219"/>
    </row>
    <row r="360" spans="1:43" ht="30" customHeight="1" x14ac:dyDescent="0.25">
      <c r="A360" s="3">
        <f t="shared" si="15"/>
        <v>348</v>
      </c>
      <c r="B360" s="540" t="s">
        <v>162</v>
      </c>
      <c r="C360" s="540"/>
      <c r="D360" s="540"/>
      <c r="E360" s="1264"/>
      <c r="F360" s="1264"/>
      <c r="G360" s="1264"/>
      <c r="H360" s="540"/>
      <c r="I360" s="540"/>
      <c r="J360" s="540"/>
      <c r="K360" s="540"/>
      <c r="L360" s="540"/>
      <c r="M360" s="540"/>
      <c r="N360" s="540"/>
      <c r="O360" s="540"/>
      <c r="P360" s="540"/>
      <c r="Q360" s="540"/>
      <c r="R360" s="540"/>
      <c r="S360" s="540"/>
      <c r="T360" s="540"/>
      <c r="U360" s="540"/>
      <c r="V360" s="540"/>
      <c r="W360" s="540"/>
      <c r="X360" s="540"/>
      <c r="Y360" s="540"/>
      <c r="Z360" s="540"/>
      <c r="AA360" s="540"/>
      <c r="AB360" s="540"/>
      <c r="AC360" s="540"/>
      <c r="AD360" s="540"/>
      <c r="AE360" s="540"/>
      <c r="AF360" s="540"/>
      <c r="AG360" s="540"/>
      <c r="AH360" s="540"/>
      <c r="AI360" s="540"/>
      <c r="AJ360" s="540"/>
      <c r="AK360" s="540"/>
      <c r="AL360" s="540"/>
      <c r="AM360" s="540"/>
      <c r="AN360" s="540"/>
      <c r="AO360" s="540"/>
      <c r="AP360" s="540"/>
      <c r="AQ360" s="540"/>
    </row>
    <row r="361" spans="1:43" ht="30" customHeight="1" x14ac:dyDescent="0.25">
      <c r="A361" s="3">
        <f t="shared" si="15"/>
        <v>349</v>
      </c>
      <c r="B361" s="1219" t="s">
        <v>162</v>
      </c>
      <c r="C361" s="1219"/>
      <c r="D361" s="1219"/>
      <c r="E361" s="1263"/>
      <c r="F361" s="1263"/>
      <c r="G361" s="1263"/>
      <c r="H361" s="1219"/>
      <c r="I361" s="1219"/>
      <c r="J361" s="1219"/>
      <c r="K361" s="1219"/>
      <c r="L361" s="1219"/>
      <c r="M361" s="1219"/>
      <c r="N361" s="1219"/>
      <c r="O361" s="1219"/>
      <c r="P361" s="1219"/>
      <c r="Q361" s="1219"/>
      <c r="R361" s="1219"/>
      <c r="S361" s="1219"/>
      <c r="T361" s="1219"/>
      <c r="U361" s="1219"/>
      <c r="V361" s="1219"/>
      <c r="W361" s="1219"/>
      <c r="X361" s="1219"/>
      <c r="Y361" s="1219"/>
      <c r="Z361" s="1219"/>
      <c r="AA361" s="1219"/>
      <c r="AB361" s="1219"/>
      <c r="AC361" s="1219"/>
      <c r="AD361" s="1219"/>
      <c r="AE361" s="1219"/>
      <c r="AF361" s="1219"/>
      <c r="AG361" s="1219"/>
      <c r="AH361" s="1219"/>
      <c r="AI361" s="1219"/>
      <c r="AJ361" s="1219"/>
      <c r="AK361" s="1219"/>
      <c r="AL361" s="1219"/>
      <c r="AM361" s="1219"/>
      <c r="AN361" s="1219"/>
      <c r="AO361" s="1219"/>
      <c r="AP361" s="1219"/>
      <c r="AQ361" s="1219"/>
    </row>
    <row r="362" spans="1:43" ht="30" customHeight="1" x14ac:dyDescent="0.25">
      <c r="A362" s="3">
        <f t="shared" si="15"/>
        <v>350</v>
      </c>
      <c r="B362" s="540" t="s">
        <v>162</v>
      </c>
      <c r="C362" s="540"/>
      <c r="D362" s="540"/>
      <c r="E362" s="1264"/>
      <c r="F362" s="1264"/>
      <c r="G362" s="1264"/>
      <c r="H362" s="540"/>
      <c r="I362" s="540"/>
      <c r="J362" s="540"/>
      <c r="K362" s="540"/>
      <c r="L362" s="540"/>
      <c r="M362" s="540"/>
      <c r="N362" s="540"/>
      <c r="O362" s="540"/>
      <c r="P362" s="540"/>
      <c r="Q362" s="540"/>
      <c r="R362" s="540"/>
      <c r="S362" s="540"/>
      <c r="T362" s="540"/>
      <c r="U362" s="540"/>
      <c r="V362" s="540"/>
      <c r="W362" s="540"/>
      <c r="X362" s="540"/>
      <c r="Y362" s="540"/>
      <c r="Z362" s="540"/>
      <c r="AA362" s="540"/>
      <c r="AB362" s="540"/>
      <c r="AC362" s="540"/>
      <c r="AD362" s="540"/>
      <c r="AE362" s="540"/>
      <c r="AF362" s="540"/>
      <c r="AG362" s="540"/>
      <c r="AH362" s="540"/>
      <c r="AI362" s="540"/>
      <c r="AJ362" s="540"/>
      <c r="AK362" s="540"/>
      <c r="AL362" s="540"/>
      <c r="AM362" s="540"/>
      <c r="AN362" s="540"/>
      <c r="AO362" s="540"/>
      <c r="AP362" s="540"/>
      <c r="AQ362" s="540"/>
    </row>
    <row r="363" spans="1:43" ht="30" customHeight="1" x14ac:dyDescent="0.25">
      <c r="A363" s="3">
        <f>ROW(A351)</f>
        <v>351</v>
      </c>
      <c r="B363" s="1219" t="s">
        <v>162</v>
      </c>
      <c r="C363" s="1219"/>
      <c r="D363" s="1219"/>
      <c r="E363" s="1263"/>
      <c r="F363" s="1263"/>
      <c r="G363" s="1263"/>
      <c r="H363" s="1219"/>
      <c r="I363" s="1219"/>
      <c r="J363" s="1219"/>
      <c r="K363" s="1219"/>
      <c r="L363" s="1219"/>
      <c r="M363" s="1219"/>
      <c r="N363" s="1219"/>
      <c r="O363" s="1219"/>
      <c r="P363" s="1219"/>
      <c r="Q363" s="1219"/>
      <c r="R363" s="1219"/>
      <c r="S363" s="1219"/>
      <c r="T363" s="1219"/>
      <c r="U363" s="1219"/>
      <c r="V363" s="1219"/>
      <c r="W363" s="1219"/>
      <c r="X363" s="1219"/>
      <c r="Y363" s="1219"/>
      <c r="Z363" s="1219"/>
      <c r="AA363" s="1219"/>
      <c r="AB363" s="1219"/>
      <c r="AC363" s="1219"/>
      <c r="AD363" s="1219"/>
      <c r="AE363" s="1219"/>
      <c r="AF363" s="1219"/>
      <c r="AG363" s="1219"/>
      <c r="AH363" s="1219"/>
      <c r="AI363" s="1219"/>
      <c r="AJ363" s="1219"/>
      <c r="AK363" s="1219"/>
      <c r="AL363" s="1219"/>
      <c r="AM363" s="1219"/>
      <c r="AN363" s="1219"/>
      <c r="AO363" s="1219"/>
      <c r="AP363" s="1219"/>
      <c r="AQ363" s="1219"/>
    </row>
    <row r="364" spans="1:43" ht="30" customHeight="1" x14ac:dyDescent="0.25">
      <c r="A364" s="3">
        <f t="shared" si="15"/>
        <v>352</v>
      </c>
      <c r="B364" s="540" t="s">
        <v>162</v>
      </c>
      <c r="C364" s="540"/>
      <c r="D364" s="540"/>
      <c r="E364" s="1264"/>
      <c r="F364" s="1264"/>
      <c r="G364" s="1264"/>
      <c r="H364" s="540"/>
      <c r="I364" s="540"/>
      <c r="J364" s="540"/>
      <c r="K364" s="540"/>
      <c r="L364" s="540"/>
      <c r="M364" s="540"/>
      <c r="N364" s="540"/>
      <c r="O364" s="540"/>
      <c r="P364" s="540"/>
      <c r="Q364" s="540"/>
      <c r="R364" s="540"/>
      <c r="S364" s="540"/>
      <c r="T364" s="540"/>
      <c r="U364" s="540"/>
      <c r="V364" s="540"/>
      <c r="W364" s="540"/>
      <c r="X364" s="540"/>
      <c r="Y364" s="540"/>
      <c r="Z364" s="540"/>
      <c r="AA364" s="540"/>
      <c r="AB364" s="540"/>
      <c r="AC364" s="540"/>
      <c r="AD364" s="540"/>
      <c r="AE364" s="540"/>
      <c r="AF364" s="540"/>
      <c r="AG364" s="540"/>
      <c r="AH364" s="540"/>
      <c r="AI364" s="540"/>
      <c r="AJ364" s="540"/>
      <c r="AK364" s="540"/>
      <c r="AL364" s="540"/>
      <c r="AM364" s="540"/>
      <c r="AN364" s="540"/>
      <c r="AO364" s="540"/>
      <c r="AP364" s="540"/>
      <c r="AQ364" s="540"/>
    </row>
    <row r="365" spans="1:43" ht="30" customHeight="1" x14ac:dyDescent="0.25">
      <c r="A365" s="3">
        <f t="shared" si="15"/>
        <v>353</v>
      </c>
      <c r="B365" s="1219" t="s">
        <v>162</v>
      </c>
      <c r="C365" s="1219"/>
      <c r="D365" s="1219"/>
      <c r="E365" s="1263"/>
      <c r="F365" s="1263"/>
      <c r="G365" s="1263"/>
      <c r="H365" s="1219"/>
      <c r="I365" s="1219"/>
      <c r="J365" s="1219"/>
      <c r="K365" s="1219"/>
      <c r="L365" s="1219"/>
      <c r="M365" s="1219"/>
      <c r="N365" s="1219"/>
      <c r="O365" s="1219"/>
      <c r="P365" s="1219"/>
      <c r="Q365" s="1219"/>
      <c r="R365" s="1219"/>
      <c r="S365" s="1219"/>
      <c r="T365" s="1219"/>
      <c r="U365" s="1219"/>
      <c r="V365" s="1219"/>
      <c r="W365" s="1219"/>
      <c r="X365" s="1219"/>
      <c r="Y365" s="1219"/>
      <c r="Z365" s="1219"/>
      <c r="AA365" s="1219"/>
      <c r="AB365" s="1219"/>
      <c r="AC365" s="1219"/>
      <c r="AD365" s="1219"/>
      <c r="AE365" s="1219"/>
      <c r="AF365" s="1219"/>
      <c r="AG365" s="1219"/>
      <c r="AH365" s="1219"/>
      <c r="AI365" s="1219"/>
      <c r="AJ365" s="1219"/>
      <c r="AK365" s="1219"/>
      <c r="AL365" s="1219"/>
      <c r="AM365" s="1219"/>
      <c r="AN365" s="1219"/>
      <c r="AO365" s="1219"/>
      <c r="AP365" s="1219"/>
      <c r="AQ365" s="1219"/>
    </row>
    <row r="366" spans="1:43" ht="30" customHeight="1" x14ac:dyDescent="0.25">
      <c r="A366" s="3">
        <f t="shared" si="15"/>
        <v>354</v>
      </c>
      <c r="B366" s="540" t="s">
        <v>162</v>
      </c>
      <c r="C366" s="540"/>
      <c r="D366" s="540"/>
      <c r="E366" s="1264"/>
      <c r="F366" s="1264"/>
      <c r="G366" s="1264"/>
      <c r="H366" s="540"/>
      <c r="I366" s="540"/>
      <c r="J366" s="540"/>
      <c r="K366" s="540"/>
      <c r="L366" s="540"/>
      <c r="M366" s="540"/>
      <c r="N366" s="540"/>
      <c r="O366" s="540"/>
      <c r="P366" s="540"/>
      <c r="Q366" s="540"/>
      <c r="R366" s="540"/>
      <c r="S366" s="540"/>
      <c r="T366" s="540"/>
      <c r="U366" s="540"/>
      <c r="V366" s="540"/>
      <c r="W366" s="540"/>
      <c r="X366" s="540"/>
      <c r="Y366" s="540"/>
      <c r="Z366" s="540"/>
      <c r="AA366" s="540"/>
      <c r="AB366" s="540"/>
      <c r="AC366" s="540"/>
      <c r="AD366" s="540"/>
      <c r="AE366" s="540"/>
      <c r="AF366" s="540"/>
      <c r="AG366" s="540"/>
      <c r="AH366" s="540"/>
      <c r="AI366" s="540"/>
      <c r="AJ366" s="540"/>
      <c r="AK366" s="540"/>
      <c r="AL366" s="540"/>
      <c r="AM366" s="540"/>
      <c r="AN366" s="540"/>
      <c r="AO366" s="540"/>
      <c r="AP366" s="540"/>
      <c r="AQ366" s="540"/>
    </row>
    <row r="367" spans="1:43" ht="30" customHeight="1" x14ac:dyDescent="0.25">
      <c r="A367" s="3">
        <f t="shared" si="15"/>
        <v>355</v>
      </c>
      <c r="B367" s="1219" t="s">
        <v>162</v>
      </c>
      <c r="C367" s="1219"/>
      <c r="D367" s="1219"/>
      <c r="E367" s="1263"/>
      <c r="F367" s="1263"/>
      <c r="G367" s="1263"/>
      <c r="H367" s="1219"/>
      <c r="I367" s="1219"/>
      <c r="J367" s="1219"/>
      <c r="K367" s="1219"/>
      <c r="L367" s="1219"/>
      <c r="M367" s="1219"/>
      <c r="N367" s="1219"/>
      <c r="O367" s="1219"/>
      <c r="P367" s="1219"/>
      <c r="Q367" s="1219"/>
      <c r="R367" s="1219"/>
      <c r="S367" s="1219"/>
      <c r="T367" s="1219"/>
      <c r="U367" s="1219"/>
      <c r="V367" s="1219"/>
      <c r="W367" s="1219"/>
      <c r="X367" s="1219"/>
      <c r="Y367" s="1219"/>
      <c r="Z367" s="1219"/>
      <c r="AA367" s="1219"/>
      <c r="AB367" s="1219"/>
      <c r="AC367" s="1219"/>
      <c r="AD367" s="1219"/>
      <c r="AE367" s="1219"/>
      <c r="AF367" s="1219"/>
      <c r="AG367" s="1219"/>
      <c r="AH367" s="1219"/>
      <c r="AI367" s="1219"/>
      <c r="AJ367" s="1219"/>
      <c r="AK367" s="1219"/>
      <c r="AL367" s="1219"/>
      <c r="AM367" s="1219"/>
      <c r="AN367" s="1219"/>
      <c r="AO367" s="1219"/>
      <c r="AP367" s="1219"/>
      <c r="AQ367" s="1219"/>
    </row>
    <row r="368" spans="1:43" ht="30" customHeight="1" x14ac:dyDescent="0.25">
      <c r="A368" s="3">
        <f t="shared" si="15"/>
        <v>356</v>
      </c>
      <c r="B368" s="540" t="s">
        <v>162</v>
      </c>
      <c r="C368" s="540"/>
      <c r="D368" s="540"/>
      <c r="E368" s="1264"/>
      <c r="F368" s="1264"/>
      <c r="G368" s="1264"/>
      <c r="H368" s="540"/>
      <c r="I368" s="540"/>
      <c r="J368" s="540"/>
      <c r="K368" s="540"/>
      <c r="L368" s="540"/>
      <c r="M368" s="540"/>
      <c r="N368" s="540"/>
      <c r="O368" s="540"/>
      <c r="P368" s="540"/>
      <c r="Q368" s="540"/>
      <c r="R368" s="540"/>
      <c r="S368" s="540"/>
      <c r="T368" s="540"/>
      <c r="U368" s="540"/>
      <c r="V368" s="540"/>
      <c r="W368" s="540"/>
      <c r="X368" s="540"/>
      <c r="Y368" s="540"/>
      <c r="Z368" s="540"/>
      <c r="AA368" s="540"/>
      <c r="AB368" s="540"/>
      <c r="AC368" s="540"/>
      <c r="AD368" s="540"/>
      <c r="AE368" s="540"/>
      <c r="AF368" s="540"/>
      <c r="AG368" s="540"/>
      <c r="AH368" s="540"/>
      <c r="AI368" s="540"/>
      <c r="AJ368" s="540"/>
      <c r="AK368" s="540"/>
      <c r="AL368" s="540"/>
      <c r="AM368" s="540"/>
      <c r="AN368" s="540"/>
      <c r="AO368" s="540"/>
      <c r="AP368" s="540"/>
      <c r="AQ368" s="540"/>
    </row>
    <row r="369" spans="1:43" ht="30" customHeight="1" x14ac:dyDescent="0.25">
      <c r="A369" s="3">
        <f t="shared" si="15"/>
        <v>357</v>
      </c>
      <c r="B369" s="1219" t="s">
        <v>162</v>
      </c>
      <c r="C369" s="1219"/>
      <c r="D369" s="1219"/>
      <c r="E369" s="1263"/>
      <c r="F369" s="1263"/>
      <c r="G369" s="1263"/>
      <c r="H369" s="1219"/>
      <c r="I369" s="1219"/>
      <c r="J369" s="1219"/>
      <c r="K369" s="1219"/>
      <c r="L369" s="1219"/>
      <c r="M369" s="1219"/>
      <c r="N369" s="1219"/>
      <c r="O369" s="1219"/>
      <c r="P369" s="1219"/>
      <c r="Q369" s="1219"/>
      <c r="R369" s="1219"/>
      <c r="S369" s="1219"/>
      <c r="T369" s="1219"/>
      <c r="U369" s="1219"/>
      <c r="V369" s="1219"/>
      <c r="W369" s="1219"/>
      <c r="X369" s="1219"/>
      <c r="Y369" s="1219"/>
      <c r="Z369" s="1219"/>
      <c r="AA369" s="1219"/>
      <c r="AB369" s="1219"/>
      <c r="AC369" s="1219"/>
      <c r="AD369" s="1219"/>
      <c r="AE369" s="1219"/>
      <c r="AF369" s="1219"/>
      <c r="AG369" s="1219"/>
      <c r="AH369" s="1219"/>
      <c r="AI369" s="1219"/>
      <c r="AJ369" s="1219"/>
      <c r="AK369" s="1219"/>
      <c r="AL369" s="1219"/>
      <c r="AM369" s="1219"/>
      <c r="AN369" s="1219"/>
      <c r="AO369" s="1219"/>
      <c r="AP369" s="1219"/>
      <c r="AQ369" s="1219"/>
    </row>
    <row r="370" spans="1:43" ht="30" customHeight="1" x14ac:dyDescent="0.25">
      <c r="A370" s="3">
        <f t="shared" si="15"/>
        <v>358</v>
      </c>
      <c r="B370" s="540" t="s">
        <v>162</v>
      </c>
      <c r="C370" s="540"/>
      <c r="D370" s="540"/>
      <c r="E370" s="1264"/>
      <c r="F370" s="1264"/>
      <c r="G370" s="1264"/>
      <c r="H370" s="540"/>
      <c r="I370" s="540"/>
      <c r="J370" s="540"/>
      <c r="K370" s="540"/>
      <c r="L370" s="540"/>
      <c r="M370" s="540"/>
      <c r="N370" s="540"/>
      <c r="O370" s="540"/>
      <c r="P370" s="540"/>
      <c r="Q370" s="540"/>
      <c r="R370" s="540"/>
      <c r="S370" s="540"/>
      <c r="T370" s="540"/>
      <c r="U370" s="540"/>
      <c r="V370" s="540"/>
      <c r="W370" s="540"/>
      <c r="X370" s="540"/>
      <c r="Y370" s="540"/>
      <c r="Z370" s="540"/>
      <c r="AA370" s="540"/>
      <c r="AB370" s="540"/>
      <c r="AC370" s="540"/>
      <c r="AD370" s="540"/>
      <c r="AE370" s="540"/>
      <c r="AF370" s="540"/>
      <c r="AG370" s="540"/>
      <c r="AH370" s="540"/>
      <c r="AI370" s="540"/>
      <c r="AJ370" s="540"/>
      <c r="AK370" s="540"/>
      <c r="AL370" s="540"/>
      <c r="AM370" s="540"/>
      <c r="AN370" s="540"/>
      <c r="AO370" s="540"/>
      <c r="AP370" s="540"/>
      <c r="AQ370" s="540"/>
    </row>
    <row r="371" spans="1:43" ht="30" customHeight="1" x14ac:dyDescent="0.25">
      <c r="A371" s="3">
        <f t="shared" si="15"/>
        <v>359</v>
      </c>
      <c r="B371" s="1219" t="s">
        <v>162</v>
      </c>
      <c r="C371" s="1219"/>
      <c r="D371" s="1219"/>
      <c r="E371" s="1263"/>
      <c r="F371" s="1263"/>
      <c r="G371" s="1263"/>
      <c r="H371" s="1219"/>
      <c r="I371" s="1219"/>
      <c r="J371" s="1219"/>
      <c r="K371" s="1219"/>
      <c r="L371" s="1219"/>
      <c r="M371" s="1219"/>
      <c r="N371" s="1219"/>
      <c r="O371" s="1219"/>
      <c r="P371" s="1219"/>
      <c r="Q371" s="1219"/>
      <c r="R371" s="1219"/>
      <c r="S371" s="1219"/>
      <c r="T371" s="1219"/>
      <c r="U371" s="1219"/>
      <c r="V371" s="1219"/>
      <c r="W371" s="1219"/>
      <c r="X371" s="1219"/>
      <c r="Y371" s="1219"/>
      <c r="Z371" s="1219"/>
      <c r="AA371" s="1219"/>
      <c r="AB371" s="1219"/>
      <c r="AC371" s="1219"/>
      <c r="AD371" s="1219"/>
      <c r="AE371" s="1219"/>
      <c r="AF371" s="1219"/>
      <c r="AG371" s="1219"/>
      <c r="AH371" s="1219"/>
      <c r="AI371" s="1219"/>
      <c r="AJ371" s="1219"/>
      <c r="AK371" s="1219"/>
      <c r="AL371" s="1219"/>
      <c r="AM371" s="1219"/>
      <c r="AN371" s="1219"/>
      <c r="AO371" s="1219"/>
      <c r="AP371" s="1219"/>
      <c r="AQ371" s="1219"/>
    </row>
    <row r="372" spans="1:43" ht="30" customHeight="1" x14ac:dyDescent="0.25">
      <c r="A372" s="3">
        <f t="shared" si="15"/>
        <v>360</v>
      </c>
      <c r="B372" s="540" t="s">
        <v>162</v>
      </c>
      <c r="C372" s="540"/>
      <c r="D372" s="540"/>
      <c r="E372" s="1264"/>
      <c r="F372" s="1264"/>
      <c r="G372" s="1264"/>
      <c r="H372" s="540"/>
      <c r="I372" s="540"/>
      <c r="J372" s="540"/>
      <c r="K372" s="540"/>
      <c r="L372" s="540"/>
      <c r="M372" s="540"/>
      <c r="N372" s="540"/>
      <c r="O372" s="540"/>
      <c r="P372" s="540"/>
      <c r="Q372" s="540"/>
      <c r="R372" s="540"/>
      <c r="S372" s="540"/>
      <c r="T372" s="540"/>
      <c r="U372" s="540"/>
      <c r="V372" s="540"/>
      <c r="W372" s="540"/>
      <c r="X372" s="540"/>
      <c r="Y372" s="540"/>
      <c r="Z372" s="540"/>
      <c r="AA372" s="540"/>
      <c r="AB372" s="540"/>
      <c r="AC372" s="540"/>
      <c r="AD372" s="540"/>
      <c r="AE372" s="540"/>
      <c r="AF372" s="540"/>
      <c r="AG372" s="540"/>
      <c r="AH372" s="540"/>
      <c r="AI372" s="540"/>
      <c r="AJ372" s="540"/>
      <c r="AK372" s="540"/>
      <c r="AL372" s="540"/>
      <c r="AM372" s="540"/>
      <c r="AN372" s="540"/>
      <c r="AO372" s="540"/>
      <c r="AP372" s="540"/>
      <c r="AQ372" s="540"/>
    </row>
    <row r="373" spans="1:43" ht="30" customHeight="1" x14ac:dyDescent="0.25">
      <c r="A373" s="3">
        <f>ROW(A361)</f>
        <v>361</v>
      </c>
      <c r="B373" s="1219" t="s">
        <v>162</v>
      </c>
      <c r="C373" s="1219"/>
      <c r="D373" s="1219"/>
      <c r="E373" s="1263"/>
      <c r="F373" s="1263"/>
      <c r="G373" s="1263"/>
      <c r="H373" s="1219"/>
      <c r="I373" s="1219"/>
      <c r="J373" s="1219"/>
      <c r="K373" s="1219"/>
      <c r="L373" s="1219"/>
      <c r="M373" s="1219"/>
      <c r="N373" s="1219"/>
      <c r="O373" s="1219"/>
      <c r="P373" s="1219"/>
      <c r="Q373" s="1219"/>
      <c r="R373" s="1219"/>
      <c r="S373" s="1219"/>
      <c r="T373" s="1219"/>
      <c r="U373" s="1219"/>
      <c r="V373" s="1219"/>
      <c r="W373" s="1219"/>
      <c r="X373" s="1219"/>
      <c r="Y373" s="1219"/>
      <c r="Z373" s="1219"/>
      <c r="AA373" s="1219"/>
      <c r="AB373" s="1219"/>
      <c r="AC373" s="1219"/>
      <c r="AD373" s="1219"/>
      <c r="AE373" s="1219"/>
      <c r="AF373" s="1219"/>
      <c r="AG373" s="1219"/>
      <c r="AH373" s="1219"/>
      <c r="AI373" s="1219"/>
      <c r="AJ373" s="1219"/>
      <c r="AK373" s="1219"/>
      <c r="AL373" s="1219"/>
      <c r="AM373" s="1219"/>
      <c r="AN373" s="1219"/>
      <c r="AO373" s="1219"/>
      <c r="AP373" s="1219"/>
      <c r="AQ373" s="1219"/>
    </row>
    <row r="374" spans="1:43" ht="30" customHeight="1" x14ac:dyDescent="0.25">
      <c r="A374" s="3">
        <f t="shared" si="15"/>
        <v>362</v>
      </c>
      <c r="B374" s="540" t="s">
        <v>162</v>
      </c>
      <c r="C374" s="540"/>
      <c r="D374" s="540"/>
      <c r="E374" s="1264"/>
      <c r="F374" s="1264"/>
      <c r="G374" s="1264"/>
      <c r="H374" s="540"/>
      <c r="I374" s="540"/>
      <c r="J374" s="540"/>
      <c r="K374" s="540"/>
      <c r="L374" s="540"/>
      <c r="M374" s="540"/>
      <c r="N374" s="540"/>
      <c r="O374" s="540"/>
      <c r="P374" s="540"/>
      <c r="Q374" s="540"/>
      <c r="R374" s="540"/>
      <c r="S374" s="540"/>
      <c r="T374" s="540"/>
      <c r="U374" s="540"/>
      <c r="V374" s="540"/>
      <c r="W374" s="540"/>
      <c r="X374" s="540"/>
      <c r="Y374" s="540"/>
      <c r="Z374" s="540"/>
      <c r="AA374" s="540"/>
      <c r="AB374" s="540"/>
      <c r="AC374" s="540"/>
      <c r="AD374" s="540"/>
      <c r="AE374" s="540"/>
      <c r="AF374" s="540"/>
      <c r="AG374" s="540"/>
      <c r="AH374" s="540"/>
      <c r="AI374" s="540"/>
      <c r="AJ374" s="540"/>
      <c r="AK374" s="540"/>
      <c r="AL374" s="540"/>
      <c r="AM374" s="540"/>
      <c r="AN374" s="540"/>
      <c r="AO374" s="540"/>
      <c r="AP374" s="540"/>
      <c r="AQ374" s="540"/>
    </row>
    <row r="375" spans="1:43" ht="30" customHeight="1" x14ac:dyDescent="0.25">
      <c r="A375" s="3">
        <f t="shared" si="15"/>
        <v>363</v>
      </c>
      <c r="B375" s="1219" t="s">
        <v>162</v>
      </c>
      <c r="C375" s="1219"/>
      <c r="D375" s="1219"/>
      <c r="E375" s="1263"/>
      <c r="F375" s="1263"/>
      <c r="G375" s="1263"/>
      <c r="H375" s="1219"/>
      <c r="I375" s="1219"/>
      <c r="J375" s="1219"/>
      <c r="K375" s="1219"/>
      <c r="L375" s="1219"/>
      <c r="M375" s="1219"/>
      <c r="N375" s="1219"/>
      <c r="O375" s="1219"/>
      <c r="P375" s="1219"/>
      <c r="Q375" s="1219"/>
      <c r="R375" s="1219"/>
      <c r="S375" s="1219"/>
      <c r="T375" s="1219"/>
      <c r="U375" s="1219"/>
      <c r="V375" s="1219"/>
      <c r="W375" s="1219"/>
      <c r="X375" s="1219"/>
      <c r="Y375" s="1219"/>
      <c r="Z375" s="1219"/>
      <c r="AA375" s="1219"/>
      <c r="AB375" s="1219"/>
      <c r="AC375" s="1219"/>
      <c r="AD375" s="1219"/>
      <c r="AE375" s="1219"/>
      <c r="AF375" s="1219"/>
      <c r="AG375" s="1219"/>
      <c r="AH375" s="1219"/>
      <c r="AI375" s="1219"/>
      <c r="AJ375" s="1219"/>
      <c r="AK375" s="1219"/>
      <c r="AL375" s="1219"/>
      <c r="AM375" s="1219"/>
      <c r="AN375" s="1219"/>
      <c r="AO375" s="1219"/>
      <c r="AP375" s="1219"/>
      <c r="AQ375" s="1219"/>
    </row>
    <row r="376" spans="1:43" ht="30" customHeight="1" x14ac:dyDescent="0.25">
      <c r="A376" s="3">
        <f t="shared" si="15"/>
        <v>364</v>
      </c>
      <c r="B376" s="540" t="s">
        <v>162</v>
      </c>
      <c r="C376" s="540"/>
      <c r="D376" s="540"/>
      <c r="E376" s="1264"/>
      <c r="F376" s="1264"/>
      <c r="G376" s="1264"/>
      <c r="H376" s="540"/>
      <c r="I376" s="540"/>
      <c r="J376" s="540"/>
      <c r="K376" s="540"/>
      <c r="L376" s="540"/>
      <c r="M376" s="540"/>
      <c r="N376" s="540"/>
      <c r="O376" s="540"/>
      <c r="P376" s="540"/>
      <c r="Q376" s="540"/>
      <c r="R376" s="540"/>
      <c r="S376" s="540"/>
      <c r="T376" s="540"/>
      <c r="U376" s="540"/>
      <c r="V376" s="540"/>
      <c r="W376" s="540"/>
      <c r="X376" s="540"/>
      <c r="Y376" s="540"/>
      <c r="Z376" s="540"/>
      <c r="AA376" s="540"/>
      <c r="AB376" s="540"/>
      <c r="AC376" s="540"/>
      <c r="AD376" s="540"/>
      <c r="AE376" s="540"/>
      <c r="AF376" s="540"/>
      <c r="AG376" s="540"/>
      <c r="AH376" s="540"/>
      <c r="AI376" s="540"/>
      <c r="AJ376" s="540"/>
      <c r="AK376" s="540"/>
      <c r="AL376" s="540"/>
      <c r="AM376" s="540"/>
      <c r="AN376" s="540"/>
      <c r="AO376" s="540"/>
      <c r="AP376" s="540"/>
      <c r="AQ376" s="540"/>
    </row>
    <row r="377" spans="1:43" ht="30" customHeight="1" x14ac:dyDescent="0.25">
      <c r="A377" s="3">
        <f t="shared" si="15"/>
        <v>365</v>
      </c>
      <c r="B377" s="1219" t="s">
        <v>162</v>
      </c>
      <c r="C377" s="1219"/>
      <c r="D377" s="1219"/>
      <c r="E377" s="1263"/>
      <c r="F377" s="1263"/>
      <c r="G377" s="1263"/>
      <c r="H377" s="1219"/>
      <c r="I377" s="1219"/>
      <c r="J377" s="1219"/>
      <c r="K377" s="1219"/>
      <c r="L377" s="1219"/>
      <c r="M377" s="1219"/>
      <c r="N377" s="1219"/>
      <c r="O377" s="1219"/>
      <c r="P377" s="1219"/>
      <c r="Q377" s="1219"/>
      <c r="R377" s="1219"/>
      <c r="S377" s="1219"/>
      <c r="T377" s="1219"/>
      <c r="U377" s="1219"/>
      <c r="V377" s="1219"/>
      <c r="W377" s="1219"/>
      <c r="X377" s="1219"/>
      <c r="Y377" s="1219"/>
      <c r="Z377" s="1219"/>
      <c r="AA377" s="1219"/>
      <c r="AB377" s="1219"/>
      <c r="AC377" s="1219"/>
      <c r="AD377" s="1219"/>
      <c r="AE377" s="1219"/>
      <c r="AF377" s="1219"/>
      <c r="AG377" s="1219"/>
      <c r="AH377" s="1219"/>
      <c r="AI377" s="1219"/>
      <c r="AJ377" s="1219"/>
      <c r="AK377" s="1219"/>
      <c r="AL377" s="1219"/>
      <c r="AM377" s="1219"/>
      <c r="AN377" s="1219"/>
      <c r="AO377" s="1219"/>
      <c r="AP377" s="1219"/>
      <c r="AQ377" s="1219"/>
    </row>
    <row r="378" spans="1:43" ht="30" customHeight="1" x14ac:dyDescent="0.25">
      <c r="A378" s="3">
        <f t="shared" ref="A378:A382" si="16">ROW(A366)</f>
        <v>366</v>
      </c>
      <c r="B378" s="540" t="s">
        <v>162</v>
      </c>
      <c r="C378" s="540"/>
      <c r="D378" s="540"/>
      <c r="E378" s="1264"/>
      <c r="F378" s="1264"/>
      <c r="G378" s="1264"/>
      <c r="H378" s="540"/>
      <c r="I378" s="540"/>
      <c r="J378" s="540"/>
      <c r="K378" s="540"/>
      <c r="L378" s="540"/>
      <c r="M378" s="540"/>
      <c r="N378" s="540"/>
      <c r="O378" s="540"/>
      <c r="P378" s="540"/>
      <c r="Q378" s="540"/>
      <c r="R378" s="540"/>
      <c r="S378" s="540"/>
      <c r="T378" s="540"/>
      <c r="U378" s="540"/>
      <c r="V378" s="540"/>
      <c r="W378" s="540"/>
      <c r="X378" s="540"/>
      <c r="Y378" s="540"/>
      <c r="Z378" s="540"/>
      <c r="AA378" s="540"/>
      <c r="AB378" s="540"/>
      <c r="AC378" s="540"/>
      <c r="AD378" s="540"/>
      <c r="AE378" s="540"/>
      <c r="AF378" s="540"/>
      <c r="AG378" s="540"/>
      <c r="AH378" s="540"/>
      <c r="AI378" s="540"/>
      <c r="AJ378" s="540"/>
      <c r="AK378" s="540"/>
      <c r="AL378" s="540"/>
      <c r="AM378" s="540"/>
      <c r="AN378" s="540"/>
      <c r="AO378" s="540"/>
      <c r="AP378" s="540"/>
      <c r="AQ378" s="540"/>
    </row>
    <row r="379" spans="1:43" ht="30" customHeight="1" x14ac:dyDescent="0.25">
      <c r="A379" s="3">
        <f t="shared" si="16"/>
        <v>367</v>
      </c>
      <c r="B379" s="1219" t="s">
        <v>162</v>
      </c>
      <c r="C379" s="1219"/>
      <c r="D379" s="1219"/>
      <c r="E379" s="1263"/>
      <c r="F379" s="1263"/>
      <c r="G379" s="1263"/>
      <c r="H379" s="1219"/>
      <c r="I379" s="1219"/>
      <c r="J379" s="1219"/>
      <c r="K379" s="1219"/>
      <c r="L379" s="1219"/>
      <c r="M379" s="1219"/>
      <c r="N379" s="1219"/>
      <c r="O379" s="1219"/>
      <c r="P379" s="1219"/>
      <c r="Q379" s="1219"/>
      <c r="R379" s="1219"/>
      <c r="S379" s="1219"/>
      <c r="T379" s="1219"/>
      <c r="U379" s="1219"/>
      <c r="V379" s="1219"/>
      <c r="W379" s="1219"/>
      <c r="X379" s="1219"/>
      <c r="Y379" s="1219"/>
      <c r="Z379" s="1219"/>
      <c r="AA379" s="1219"/>
      <c r="AB379" s="1219"/>
      <c r="AC379" s="1219"/>
      <c r="AD379" s="1219"/>
      <c r="AE379" s="1219"/>
      <c r="AF379" s="1219"/>
      <c r="AG379" s="1219"/>
      <c r="AH379" s="1219"/>
      <c r="AI379" s="1219"/>
      <c r="AJ379" s="1219"/>
      <c r="AK379" s="1219"/>
      <c r="AL379" s="1219"/>
      <c r="AM379" s="1219"/>
      <c r="AN379" s="1219"/>
      <c r="AO379" s="1219"/>
      <c r="AP379" s="1219"/>
      <c r="AQ379" s="1219"/>
    </row>
    <row r="380" spans="1:43" ht="30" customHeight="1" x14ac:dyDescent="0.25">
      <c r="A380" s="3">
        <f t="shared" si="16"/>
        <v>368</v>
      </c>
      <c r="B380" s="540" t="s">
        <v>162</v>
      </c>
      <c r="C380" s="540"/>
      <c r="D380" s="540"/>
      <c r="E380" s="1264"/>
      <c r="F380" s="1264"/>
      <c r="G380" s="1264"/>
      <c r="H380" s="540"/>
      <c r="I380" s="540"/>
      <c r="J380" s="540"/>
      <c r="K380" s="540"/>
      <c r="L380" s="540"/>
      <c r="M380" s="540"/>
      <c r="N380" s="540"/>
      <c r="O380" s="540"/>
      <c r="P380" s="540"/>
      <c r="Q380" s="540"/>
      <c r="R380" s="540"/>
      <c r="S380" s="540"/>
      <c r="T380" s="540"/>
      <c r="U380" s="540"/>
      <c r="V380" s="540"/>
      <c r="W380" s="540"/>
      <c r="X380" s="540"/>
      <c r="Y380" s="540"/>
      <c r="Z380" s="540"/>
      <c r="AA380" s="540"/>
      <c r="AB380" s="540"/>
      <c r="AC380" s="540"/>
      <c r="AD380" s="540"/>
      <c r="AE380" s="540"/>
      <c r="AF380" s="540"/>
      <c r="AG380" s="540"/>
      <c r="AH380" s="540"/>
      <c r="AI380" s="540"/>
      <c r="AJ380" s="540"/>
      <c r="AK380" s="540"/>
      <c r="AL380" s="540"/>
      <c r="AM380" s="540"/>
      <c r="AN380" s="540"/>
      <c r="AO380" s="540"/>
      <c r="AP380" s="540"/>
      <c r="AQ380" s="540"/>
    </row>
    <row r="381" spans="1:43" ht="30" customHeight="1" x14ac:dyDescent="0.25">
      <c r="A381" s="3">
        <f t="shared" si="16"/>
        <v>369</v>
      </c>
      <c r="B381" s="1219" t="s">
        <v>162</v>
      </c>
      <c r="C381" s="1219"/>
      <c r="D381" s="1219"/>
      <c r="E381" s="1263"/>
      <c r="F381" s="1263"/>
      <c r="G381" s="1263"/>
      <c r="H381" s="1219"/>
      <c r="I381" s="1219"/>
      <c r="J381" s="1219"/>
      <c r="K381" s="1219"/>
      <c r="L381" s="1219"/>
      <c r="M381" s="1219"/>
      <c r="N381" s="1219"/>
      <c r="O381" s="1219"/>
      <c r="P381" s="1219"/>
      <c r="Q381" s="1219"/>
      <c r="R381" s="1219"/>
      <c r="S381" s="1219"/>
      <c r="T381" s="1219"/>
      <c r="U381" s="1219"/>
      <c r="V381" s="1219"/>
      <c r="W381" s="1219"/>
      <c r="X381" s="1219"/>
      <c r="Y381" s="1219"/>
      <c r="Z381" s="1219"/>
      <c r="AA381" s="1219"/>
      <c r="AB381" s="1219"/>
      <c r="AC381" s="1219"/>
      <c r="AD381" s="1219"/>
      <c r="AE381" s="1219"/>
      <c r="AF381" s="1219"/>
      <c r="AG381" s="1219"/>
      <c r="AH381" s="1219"/>
      <c r="AI381" s="1219"/>
      <c r="AJ381" s="1219"/>
      <c r="AK381" s="1219"/>
      <c r="AL381" s="1219"/>
      <c r="AM381" s="1219"/>
      <c r="AN381" s="1219"/>
      <c r="AO381" s="1219"/>
      <c r="AP381" s="1219"/>
      <c r="AQ381" s="1219"/>
    </row>
    <row r="382" spans="1:43" ht="30" customHeight="1" x14ac:dyDescent="0.25">
      <c r="A382" s="3">
        <f t="shared" si="16"/>
        <v>370</v>
      </c>
      <c r="B382" s="540" t="s">
        <v>162</v>
      </c>
      <c r="C382" s="540"/>
      <c r="D382" s="540"/>
      <c r="E382" s="1264"/>
      <c r="F382" s="1264"/>
      <c r="G382" s="1264"/>
      <c r="H382" s="540"/>
      <c r="I382" s="540"/>
      <c r="J382" s="540"/>
      <c r="K382" s="540"/>
      <c r="L382" s="540"/>
      <c r="M382" s="540"/>
      <c r="N382" s="540"/>
      <c r="O382" s="540"/>
      <c r="P382" s="540"/>
      <c r="Q382" s="540"/>
      <c r="R382" s="540"/>
      <c r="S382" s="540"/>
      <c r="T382" s="540"/>
      <c r="U382" s="540"/>
      <c r="V382" s="540"/>
      <c r="W382" s="540"/>
      <c r="X382" s="540"/>
      <c r="Y382" s="540"/>
      <c r="Z382" s="540"/>
      <c r="AA382" s="540"/>
      <c r="AB382" s="540"/>
      <c r="AC382" s="540"/>
      <c r="AD382" s="540"/>
      <c r="AE382" s="540"/>
      <c r="AF382" s="540"/>
      <c r="AG382" s="540"/>
      <c r="AH382" s="540"/>
      <c r="AI382" s="540"/>
      <c r="AJ382" s="540"/>
      <c r="AK382" s="540"/>
      <c r="AL382" s="540"/>
      <c r="AM382" s="540"/>
      <c r="AN382" s="540"/>
      <c r="AO382" s="540"/>
      <c r="AP382" s="540"/>
      <c r="AQ382" s="540"/>
    </row>
    <row r="383" spans="1:43" ht="30" customHeight="1" x14ac:dyDescent="0.25">
      <c r="A383" s="3">
        <f>ROW(A371)</f>
        <v>371</v>
      </c>
      <c r="B383" s="1219" t="s">
        <v>162</v>
      </c>
      <c r="C383" s="1219"/>
      <c r="D383" s="1219"/>
      <c r="E383" s="1263"/>
      <c r="F383" s="1263"/>
      <c r="G383" s="1263"/>
      <c r="H383" s="1219"/>
      <c r="I383" s="1219"/>
      <c r="J383" s="1219"/>
      <c r="K383" s="1219"/>
      <c r="L383" s="1219"/>
      <c r="M383" s="1219"/>
      <c r="N383" s="1219"/>
      <c r="O383" s="1219"/>
      <c r="P383" s="1219"/>
      <c r="Q383" s="1219"/>
      <c r="R383" s="1219"/>
      <c r="S383" s="1219"/>
      <c r="T383" s="1219"/>
      <c r="U383" s="1219"/>
      <c r="V383" s="1219"/>
      <c r="W383" s="1219"/>
      <c r="X383" s="1219"/>
      <c r="Y383" s="1219"/>
      <c r="Z383" s="1219"/>
      <c r="AA383" s="1219"/>
      <c r="AB383" s="1219"/>
      <c r="AC383" s="1219"/>
      <c r="AD383" s="1219"/>
      <c r="AE383" s="1219"/>
      <c r="AF383" s="1219"/>
      <c r="AG383" s="1219"/>
      <c r="AH383" s="1219"/>
      <c r="AI383" s="1219"/>
      <c r="AJ383" s="1219"/>
      <c r="AK383" s="1219"/>
      <c r="AL383" s="1219"/>
      <c r="AM383" s="1219"/>
      <c r="AN383" s="1219"/>
      <c r="AO383" s="1219"/>
      <c r="AP383" s="1219"/>
      <c r="AQ383" s="1219"/>
    </row>
    <row r="384" spans="1:43" ht="30" customHeight="1" x14ac:dyDescent="0.25">
      <c r="A384" s="3">
        <f t="shared" ref="A384:A392" si="17">ROW(A372)</f>
        <v>372</v>
      </c>
      <c r="B384" s="540" t="s">
        <v>162</v>
      </c>
      <c r="C384" s="540"/>
      <c r="D384" s="540"/>
      <c r="E384" s="1264"/>
      <c r="F384" s="1264"/>
      <c r="G384" s="1264"/>
      <c r="H384" s="540"/>
      <c r="I384" s="540"/>
      <c r="J384" s="540"/>
      <c r="K384" s="540"/>
      <c r="L384" s="540"/>
      <c r="M384" s="540"/>
      <c r="N384" s="540"/>
      <c r="O384" s="540"/>
      <c r="P384" s="540"/>
      <c r="Q384" s="540"/>
      <c r="R384" s="540"/>
      <c r="S384" s="540"/>
      <c r="T384" s="540"/>
      <c r="U384" s="540"/>
      <c r="V384" s="540"/>
      <c r="W384" s="540"/>
      <c r="X384" s="540"/>
      <c r="Y384" s="540"/>
      <c r="Z384" s="540"/>
      <c r="AA384" s="540"/>
      <c r="AB384" s="540"/>
      <c r="AC384" s="540"/>
      <c r="AD384" s="540"/>
      <c r="AE384" s="540"/>
      <c r="AF384" s="540"/>
      <c r="AG384" s="540"/>
      <c r="AH384" s="540"/>
      <c r="AI384" s="540"/>
      <c r="AJ384" s="540"/>
      <c r="AK384" s="540"/>
      <c r="AL384" s="540"/>
      <c r="AM384" s="540"/>
      <c r="AN384" s="540"/>
      <c r="AO384" s="540"/>
      <c r="AP384" s="540"/>
      <c r="AQ384" s="540"/>
    </row>
    <row r="385" spans="1:43" ht="30" customHeight="1" x14ac:dyDescent="0.25">
      <c r="A385" s="3">
        <f t="shared" si="17"/>
        <v>373</v>
      </c>
      <c r="B385" s="1219" t="s">
        <v>162</v>
      </c>
      <c r="C385" s="1219"/>
      <c r="D385" s="1219"/>
      <c r="E385" s="1263"/>
      <c r="F385" s="1263"/>
      <c r="G385" s="1263"/>
      <c r="H385" s="1219"/>
      <c r="I385" s="1219"/>
      <c r="J385" s="1219"/>
      <c r="K385" s="1219"/>
      <c r="L385" s="1219"/>
      <c r="M385" s="1219"/>
      <c r="N385" s="1219"/>
      <c r="O385" s="1219"/>
      <c r="P385" s="1219"/>
      <c r="Q385" s="1219"/>
      <c r="R385" s="1219"/>
      <c r="S385" s="1219"/>
      <c r="T385" s="1219"/>
      <c r="U385" s="1219"/>
      <c r="V385" s="1219"/>
      <c r="W385" s="1219"/>
      <c r="X385" s="1219"/>
      <c r="Y385" s="1219"/>
      <c r="Z385" s="1219"/>
      <c r="AA385" s="1219"/>
      <c r="AB385" s="1219"/>
      <c r="AC385" s="1219"/>
      <c r="AD385" s="1219"/>
      <c r="AE385" s="1219"/>
      <c r="AF385" s="1219"/>
      <c r="AG385" s="1219"/>
      <c r="AH385" s="1219"/>
      <c r="AI385" s="1219"/>
      <c r="AJ385" s="1219"/>
      <c r="AK385" s="1219"/>
      <c r="AL385" s="1219"/>
      <c r="AM385" s="1219"/>
      <c r="AN385" s="1219"/>
      <c r="AO385" s="1219"/>
      <c r="AP385" s="1219"/>
      <c r="AQ385" s="1219"/>
    </row>
    <row r="386" spans="1:43" ht="30" customHeight="1" x14ac:dyDescent="0.25">
      <c r="A386" s="3">
        <f t="shared" si="17"/>
        <v>374</v>
      </c>
      <c r="B386" s="540" t="s">
        <v>162</v>
      </c>
      <c r="C386" s="540"/>
      <c r="D386" s="540"/>
      <c r="E386" s="1264"/>
      <c r="F386" s="1264"/>
      <c r="G386" s="1264"/>
      <c r="H386" s="540"/>
      <c r="I386" s="540"/>
      <c r="J386" s="540"/>
      <c r="K386" s="540"/>
      <c r="L386" s="540"/>
      <c r="M386" s="540"/>
      <c r="N386" s="540"/>
      <c r="O386" s="540"/>
      <c r="P386" s="540"/>
      <c r="Q386" s="540"/>
      <c r="R386" s="540"/>
      <c r="S386" s="540"/>
      <c r="T386" s="540"/>
      <c r="U386" s="540"/>
      <c r="V386" s="540"/>
      <c r="W386" s="540"/>
      <c r="X386" s="540"/>
      <c r="Y386" s="540"/>
      <c r="Z386" s="540"/>
      <c r="AA386" s="540"/>
      <c r="AB386" s="540"/>
      <c r="AC386" s="540"/>
      <c r="AD386" s="540"/>
      <c r="AE386" s="540"/>
      <c r="AF386" s="540"/>
      <c r="AG386" s="540"/>
      <c r="AH386" s="540"/>
      <c r="AI386" s="540"/>
      <c r="AJ386" s="540"/>
      <c r="AK386" s="540"/>
      <c r="AL386" s="540"/>
      <c r="AM386" s="540"/>
      <c r="AN386" s="540"/>
      <c r="AO386" s="540"/>
      <c r="AP386" s="540"/>
      <c r="AQ386" s="540"/>
    </row>
    <row r="387" spans="1:43" ht="30" customHeight="1" x14ac:dyDescent="0.25">
      <c r="A387" s="3">
        <f t="shared" si="17"/>
        <v>375</v>
      </c>
      <c r="B387" s="1219" t="s">
        <v>162</v>
      </c>
      <c r="C387" s="1219"/>
      <c r="D387" s="1219"/>
      <c r="E387" s="1263"/>
      <c r="F387" s="1263"/>
      <c r="G387" s="1263"/>
      <c r="H387" s="1219"/>
      <c r="I387" s="1219"/>
      <c r="J387" s="1219"/>
      <c r="K387" s="1219"/>
      <c r="L387" s="1219"/>
      <c r="M387" s="1219"/>
      <c r="N387" s="1219"/>
      <c r="O387" s="1219"/>
      <c r="P387" s="1219"/>
      <c r="Q387" s="1219"/>
      <c r="R387" s="1219"/>
      <c r="S387" s="1219"/>
      <c r="T387" s="1219"/>
      <c r="U387" s="1219"/>
      <c r="V387" s="1219"/>
      <c r="W387" s="1219"/>
      <c r="X387" s="1219"/>
      <c r="Y387" s="1219"/>
      <c r="Z387" s="1219"/>
      <c r="AA387" s="1219"/>
      <c r="AB387" s="1219"/>
      <c r="AC387" s="1219"/>
      <c r="AD387" s="1219"/>
      <c r="AE387" s="1219"/>
      <c r="AF387" s="1219"/>
      <c r="AG387" s="1219"/>
      <c r="AH387" s="1219"/>
      <c r="AI387" s="1219"/>
      <c r="AJ387" s="1219"/>
      <c r="AK387" s="1219"/>
      <c r="AL387" s="1219"/>
      <c r="AM387" s="1219"/>
      <c r="AN387" s="1219"/>
      <c r="AO387" s="1219"/>
      <c r="AP387" s="1219"/>
      <c r="AQ387" s="1219"/>
    </row>
    <row r="388" spans="1:43" ht="30" customHeight="1" x14ac:dyDescent="0.25">
      <c r="A388" s="3">
        <f t="shared" si="17"/>
        <v>376</v>
      </c>
      <c r="B388" s="540" t="s">
        <v>162</v>
      </c>
      <c r="C388" s="540"/>
      <c r="D388" s="540"/>
      <c r="E388" s="1264"/>
      <c r="F388" s="1264"/>
      <c r="G388" s="1264"/>
      <c r="H388" s="540"/>
      <c r="I388" s="540"/>
      <c r="J388" s="540"/>
      <c r="K388" s="540"/>
      <c r="L388" s="540"/>
      <c r="M388" s="540"/>
      <c r="N388" s="540"/>
      <c r="O388" s="540"/>
      <c r="P388" s="540"/>
      <c r="Q388" s="540"/>
      <c r="R388" s="540"/>
      <c r="S388" s="540"/>
      <c r="T388" s="540"/>
      <c r="U388" s="540"/>
      <c r="V388" s="540"/>
      <c r="W388" s="540"/>
      <c r="X388" s="540"/>
      <c r="Y388" s="540"/>
      <c r="Z388" s="540"/>
      <c r="AA388" s="540"/>
      <c r="AB388" s="540"/>
      <c r="AC388" s="540"/>
      <c r="AD388" s="540"/>
      <c r="AE388" s="540"/>
      <c r="AF388" s="540"/>
      <c r="AG388" s="540"/>
      <c r="AH388" s="540"/>
      <c r="AI388" s="540"/>
      <c r="AJ388" s="540"/>
      <c r="AK388" s="540"/>
      <c r="AL388" s="540"/>
      <c r="AM388" s="540"/>
      <c r="AN388" s="540"/>
      <c r="AO388" s="540"/>
      <c r="AP388" s="540"/>
      <c r="AQ388" s="540"/>
    </row>
    <row r="389" spans="1:43" ht="30" customHeight="1" x14ac:dyDescent="0.25">
      <c r="A389" s="3">
        <f t="shared" si="17"/>
        <v>377</v>
      </c>
      <c r="B389" s="1219" t="s">
        <v>162</v>
      </c>
      <c r="C389" s="1219"/>
      <c r="D389" s="1219"/>
      <c r="E389" s="1263"/>
      <c r="F389" s="1263"/>
      <c r="G389" s="1263"/>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c r="AL389" s="1219"/>
      <c r="AM389" s="1219"/>
      <c r="AN389" s="1219"/>
      <c r="AO389" s="1219"/>
      <c r="AP389" s="1219"/>
      <c r="AQ389" s="1219"/>
    </row>
    <row r="390" spans="1:43" ht="30" customHeight="1" x14ac:dyDescent="0.25">
      <c r="A390" s="3">
        <f t="shared" si="17"/>
        <v>378</v>
      </c>
      <c r="B390" s="540" t="s">
        <v>162</v>
      </c>
      <c r="C390" s="540"/>
      <c r="D390" s="540"/>
      <c r="E390" s="1264"/>
      <c r="F390" s="1264"/>
      <c r="G390" s="1264"/>
      <c r="H390" s="540"/>
      <c r="I390" s="540"/>
      <c r="J390" s="540"/>
      <c r="K390" s="540"/>
      <c r="L390" s="540"/>
      <c r="M390" s="540"/>
      <c r="N390" s="540"/>
      <c r="O390" s="540"/>
      <c r="P390" s="540"/>
      <c r="Q390" s="540"/>
      <c r="R390" s="540"/>
      <c r="S390" s="540"/>
      <c r="T390" s="540"/>
      <c r="U390" s="540"/>
      <c r="V390" s="540"/>
      <c r="W390" s="540"/>
      <c r="X390" s="540"/>
      <c r="Y390" s="540"/>
      <c r="Z390" s="540"/>
      <c r="AA390" s="540"/>
      <c r="AB390" s="540"/>
      <c r="AC390" s="540"/>
      <c r="AD390" s="540"/>
      <c r="AE390" s="540"/>
      <c r="AF390" s="540"/>
      <c r="AG390" s="540"/>
      <c r="AH390" s="540"/>
      <c r="AI390" s="540"/>
      <c r="AJ390" s="540"/>
      <c r="AK390" s="540"/>
      <c r="AL390" s="540"/>
      <c r="AM390" s="540"/>
      <c r="AN390" s="540"/>
      <c r="AO390" s="540"/>
      <c r="AP390" s="540"/>
      <c r="AQ390" s="540"/>
    </row>
    <row r="391" spans="1:43" ht="30" customHeight="1" x14ac:dyDescent="0.25">
      <c r="A391" s="3">
        <f t="shared" si="17"/>
        <v>379</v>
      </c>
      <c r="B391" s="1219" t="s">
        <v>162</v>
      </c>
      <c r="C391" s="1219"/>
      <c r="D391" s="1219"/>
      <c r="E391" s="1263"/>
      <c r="F391" s="1263"/>
      <c r="G391" s="1263"/>
      <c r="H391" s="1219"/>
      <c r="I391" s="1219"/>
      <c r="J391" s="1219"/>
      <c r="K391" s="1219"/>
      <c r="L391" s="1219"/>
      <c r="M391" s="1219"/>
      <c r="N391" s="1219"/>
      <c r="O391" s="1219"/>
      <c r="P391" s="1219"/>
      <c r="Q391" s="1219"/>
      <c r="R391" s="1219"/>
      <c r="S391" s="1219"/>
      <c r="T391" s="1219"/>
      <c r="U391" s="1219"/>
      <c r="V391" s="1219"/>
      <c r="W391" s="1219"/>
      <c r="X391" s="1219"/>
      <c r="Y391" s="1219"/>
      <c r="Z391" s="1219"/>
      <c r="AA391" s="1219"/>
      <c r="AB391" s="1219"/>
      <c r="AC391" s="1219"/>
      <c r="AD391" s="1219"/>
      <c r="AE391" s="1219"/>
      <c r="AF391" s="1219"/>
      <c r="AG391" s="1219"/>
      <c r="AH391" s="1219"/>
      <c r="AI391" s="1219"/>
      <c r="AJ391" s="1219"/>
      <c r="AK391" s="1219"/>
      <c r="AL391" s="1219"/>
      <c r="AM391" s="1219"/>
      <c r="AN391" s="1219"/>
      <c r="AO391" s="1219"/>
      <c r="AP391" s="1219"/>
      <c r="AQ391" s="1219"/>
    </row>
    <row r="392" spans="1:43" ht="30" customHeight="1" x14ac:dyDescent="0.25">
      <c r="A392" s="3">
        <f t="shared" si="17"/>
        <v>380</v>
      </c>
      <c r="B392" s="540" t="s">
        <v>162</v>
      </c>
      <c r="C392" s="540"/>
      <c r="D392" s="540"/>
      <c r="E392" s="1264"/>
      <c r="F392" s="1264"/>
      <c r="G392" s="1264"/>
      <c r="H392" s="540"/>
      <c r="I392" s="540"/>
      <c r="J392" s="540"/>
      <c r="K392" s="540"/>
      <c r="L392" s="540"/>
      <c r="M392" s="540"/>
      <c r="N392" s="540"/>
      <c r="O392" s="540"/>
      <c r="P392" s="540"/>
      <c r="Q392" s="540"/>
      <c r="R392" s="540"/>
      <c r="S392" s="540"/>
      <c r="T392" s="540"/>
      <c r="U392" s="540"/>
      <c r="V392" s="540"/>
      <c r="W392" s="540"/>
      <c r="X392" s="540"/>
      <c r="Y392" s="540"/>
      <c r="Z392" s="540"/>
      <c r="AA392" s="540"/>
      <c r="AB392" s="540"/>
      <c r="AC392" s="540"/>
      <c r="AD392" s="540"/>
      <c r="AE392" s="540"/>
      <c r="AF392" s="540"/>
      <c r="AG392" s="540"/>
      <c r="AH392" s="540"/>
      <c r="AI392" s="540"/>
      <c r="AJ392" s="540"/>
      <c r="AK392" s="540"/>
      <c r="AL392" s="540"/>
      <c r="AM392" s="540"/>
      <c r="AN392" s="540"/>
      <c r="AO392" s="540"/>
      <c r="AP392" s="540"/>
      <c r="AQ392" s="540"/>
    </row>
    <row r="393" spans="1:43" ht="30" customHeight="1" x14ac:dyDescent="0.25">
      <c r="A393" s="3">
        <f>ROW(A381)</f>
        <v>381</v>
      </c>
      <c r="B393" s="1219" t="s">
        <v>162</v>
      </c>
      <c r="C393" s="1219"/>
      <c r="D393" s="1219"/>
      <c r="E393" s="1263"/>
      <c r="F393" s="1263"/>
      <c r="G393" s="1263"/>
      <c r="H393" s="1219"/>
      <c r="I393" s="1219"/>
      <c r="J393" s="1219"/>
      <c r="K393" s="1219"/>
      <c r="L393" s="1219"/>
      <c r="M393" s="1219"/>
      <c r="N393" s="1219"/>
      <c r="O393" s="1219"/>
      <c r="P393" s="1219"/>
      <c r="Q393" s="1219"/>
      <c r="R393" s="1219"/>
      <c r="S393" s="1219"/>
      <c r="T393" s="1219"/>
      <c r="U393" s="1219"/>
      <c r="V393" s="1219"/>
      <c r="W393" s="1219"/>
      <c r="X393" s="1219"/>
      <c r="Y393" s="1219"/>
      <c r="Z393" s="1219"/>
      <c r="AA393" s="1219"/>
      <c r="AB393" s="1219"/>
      <c r="AC393" s="1219"/>
      <c r="AD393" s="1219"/>
      <c r="AE393" s="1219"/>
      <c r="AF393" s="1219"/>
      <c r="AG393" s="1219"/>
      <c r="AH393" s="1219"/>
      <c r="AI393" s="1219"/>
      <c r="AJ393" s="1219"/>
      <c r="AK393" s="1219"/>
      <c r="AL393" s="1219"/>
      <c r="AM393" s="1219"/>
      <c r="AN393" s="1219"/>
      <c r="AO393" s="1219"/>
      <c r="AP393" s="1219"/>
      <c r="AQ393" s="1219"/>
    </row>
    <row r="394" spans="1:43" ht="30" customHeight="1" x14ac:dyDescent="0.25">
      <c r="A394" s="3">
        <f t="shared" ref="A394:A402" si="18">ROW(A382)</f>
        <v>382</v>
      </c>
      <c r="B394" s="540" t="s">
        <v>162</v>
      </c>
      <c r="C394" s="540"/>
      <c r="D394" s="540"/>
      <c r="E394" s="1264"/>
      <c r="F394" s="1264"/>
      <c r="G394" s="1264"/>
      <c r="H394" s="540"/>
      <c r="I394" s="540"/>
      <c r="J394" s="540"/>
      <c r="K394" s="540"/>
      <c r="L394" s="540"/>
      <c r="M394" s="540"/>
      <c r="N394" s="540"/>
      <c r="O394" s="540"/>
      <c r="P394" s="540"/>
      <c r="Q394" s="540"/>
      <c r="R394" s="540"/>
      <c r="S394" s="540"/>
      <c r="T394" s="540"/>
      <c r="U394" s="540"/>
      <c r="V394" s="540"/>
      <c r="W394" s="540"/>
      <c r="X394" s="540"/>
      <c r="Y394" s="540"/>
      <c r="Z394" s="540"/>
      <c r="AA394" s="540"/>
      <c r="AB394" s="540"/>
      <c r="AC394" s="540"/>
      <c r="AD394" s="540"/>
      <c r="AE394" s="540"/>
      <c r="AF394" s="540"/>
      <c r="AG394" s="540"/>
      <c r="AH394" s="540"/>
      <c r="AI394" s="540"/>
      <c r="AJ394" s="540"/>
      <c r="AK394" s="540"/>
      <c r="AL394" s="540"/>
      <c r="AM394" s="540"/>
      <c r="AN394" s="540"/>
      <c r="AO394" s="540"/>
      <c r="AP394" s="540"/>
      <c r="AQ394" s="540"/>
    </row>
    <row r="395" spans="1:43" ht="30" customHeight="1" x14ac:dyDescent="0.25">
      <c r="A395" s="3">
        <f t="shared" si="18"/>
        <v>383</v>
      </c>
      <c r="B395" s="1219" t="s">
        <v>162</v>
      </c>
      <c r="C395" s="1219"/>
      <c r="D395" s="1219"/>
      <c r="E395" s="1263"/>
      <c r="F395" s="1263"/>
      <c r="G395" s="1263"/>
      <c r="H395" s="1219"/>
      <c r="I395" s="1219"/>
      <c r="J395" s="1219"/>
      <c r="K395" s="1219"/>
      <c r="L395" s="1219"/>
      <c r="M395" s="1219"/>
      <c r="N395" s="1219"/>
      <c r="O395" s="1219"/>
      <c r="P395" s="1219"/>
      <c r="Q395" s="1219"/>
      <c r="R395" s="1219"/>
      <c r="S395" s="1219"/>
      <c r="T395" s="1219"/>
      <c r="U395" s="1219"/>
      <c r="V395" s="1219"/>
      <c r="W395" s="1219"/>
      <c r="X395" s="1219"/>
      <c r="Y395" s="1219"/>
      <c r="Z395" s="1219"/>
      <c r="AA395" s="1219"/>
      <c r="AB395" s="1219"/>
      <c r="AC395" s="1219"/>
      <c r="AD395" s="1219"/>
      <c r="AE395" s="1219"/>
      <c r="AF395" s="1219"/>
      <c r="AG395" s="1219"/>
      <c r="AH395" s="1219"/>
      <c r="AI395" s="1219"/>
      <c r="AJ395" s="1219"/>
      <c r="AK395" s="1219"/>
      <c r="AL395" s="1219"/>
      <c r="AM395" s="1219"/>
      <c r="AN395" s="1219"/>
      <c r="AO395" s="1219"/>
      <c r="AP395" s="1219"/>
      <c r="AQ395" s="1219"/>
    </row>
    <row r="396" spans="1:43" ht="30" customHeight="1" x14ac:dyDescent="0.25">
      <c r="A396" s="3">
        <f t="shared" si="18"/>
        <v>384</v>
      </c>
      <c r="B396" s="540" t="s">
        <v>162</v>
      </c>
      <c r="C396" s="540"/>
      <c r="D396" s="540"/>
      <c r="E396" s="1264"/>
      <c r="F396" s="1264"/>
      <c r="G396" s="1264"/>
      <c r="H396" s="540"/>
      <c r="I396" s="540"/>
      <c r="J396" s="540"/>
      <c r="K396" s="540"/>
      <c r="L396" s="540"/>
      <c r="M396" s="540"/>
      <c r="N396" s="540"/>
      <c r="O396" s="540"/>
      <c r="P396" s="540"/>
      <c r="Q396" s="540"/>
      <c r="R396" s="540"/>
      <c r="S396" s="540"/>
      <c r="T396" s="540"/>
      <c r="U396" s="540"/>
      <c r="V396" s="540"/>
      <c r="W396" s="540"/>
      <c r="X396" s="540"/>
      <c r="Y396" s="540"/>
      <c r="Z396" s="540"/>
      <c r="AA396" s="540"/>
      <c r="AB396" s="540"/>
      <c r="AC396" s="540"/>
      <c r="AD396" s="540"/>
      <c r="AE396" s="540"/>
      <c r="AF396" s="540"/>
      <c r="AG396" s="540"/>
      <c r="AH396" s="540"/>
      <c r="AI396" s="540"/>
      <c r="AJ396" s="540"/>
      <c r="AK396" s="540"/>
      <c r="AL396" s="540"/>
      <c r="AM396" s="540"/>
      <c r="AN396" s="540"/>
      <c r="AO396" s="540"/>
      <c r="AP396" s="540"/>
      <c r="AQ396" s="540"/>
    </row>
    <row r="397" spans="1:43" ht="30" customHeight="1" x14ac:dyDescent="0.25">
      <c r="A397" s="3">
        <f t="shared" si="18"/>
        <v>385</v>
      </c>
      <c r="B397" s="1219" t="s">
        <v>162</v>
      </c>
      <c r="C397" s="1219"/>
      <c r="D397" s="1219"/>
      <c r="E397" s="1263"/>
      <c r="F397" s="1263"/>
      <c r="G397" s="1263"/>
      <c r="H397" s="1219"/>
      <c r="I397" s="1219"/>
      <c r="J397" s="1219"/>
      <c r="K397" s="1219"/>
      <c r="L397" s="1219"/>
      <c r="M397" s="1219"/>
      <c r="N397" s="1219"/>
      <c r="O397" s="1219"/>
      <c r="P397" s="1219"/>
      <c r="Q397" s="1219"/>
      <c r="R397" s="1219"/>
      <c r="S397" s="1219"/>
      <c r="T397" s="1219"/>
      <c r="U397" s="1219"/>
      <c r="V397" s="1219"/>
      <c r="W397" s="1219"/>
      <c r="X397" s="1219"/>
      <c r="Y397" s="1219"/>
      <c r="Z397" s="1219"/>
      <c r="AA397" s="1219"/>
      <c r="AB397" s="1219"/>
      <c r="AC397" s="1219"/>
      <c r="AD397" s="1219"/>
      <c r="AE397" s="1219"/>
      <c r="AF397" s="1219"/>
      <c r="AG397" s="1219"/>
      <c r="AH397" s="1219"/>
      <c r="AI397" s="1219"/>
      <c r="AJ397" s="1219"/>
      <c r="AK397" s="1219"/>
      <c r="AL397" s="1219"/>
      <c r="AM397" s="1219"/>
      <c r="AN397" s="1219"/>
      <c r="AO397" s="1219"/>
      <c r="AP397" s="1219"/>
      <c r="AQ397" s="1219"/>
    </row>
    <row r="398" spans="1:43" ht="30" customHeight="1" x14ac:dyDescent="0.25">
      <c r="A398" s="3">
        <f t="shared" si="18"/>
        <v>386</v>
      </c>
      <c r="B398" s="540" t="s">
        <v>162</v>
      </c>
      <c r="C398" s="540"/>
      <c r="D398" s="540"/>
      <c r="E398" s="1264"/>
      <c r="F398" s="1264"/>
      <c r="G398" s="1264"/>
      <c r="H398" s="540"/>
      <c r="I398" s="540"/>
      <c r="J398" s="540"/>
      <c r="K398" s="540"/>
      <c r="L398" s="540"/>
      <c r="M398" s="540"/>
      <c r="N398" s="540"/>
      <c r="O398" s="540"/>
      <c r="P398" s="540"/>
      <c r="Q398" s="540"/>
      <c r="R398" s="540"/>
      <c r="S398" s="540"/>
      <c r="T398" s="540"/>
      <c r="U398" s="540"/>
      <c r="V398" s="540"/>
      <c r="W398" s="540"/>
      <c r="X398" s="540"/>
      <c r="Y398" s="540"/>
      <c r="Z398" s="540"/>
      <c r="AA398" s="540"/>
      <c r="AB398" s="540"/>
      <c r="AC398" s="540"/>
      <c r="AD398" s="540"/>
      <c r="AE398" s="540"/>
      <c r="AF398" s="540"/>
      <c r="AG398" s="540"/>
      <c r="AH398" s="540"/>
      <c r="AI398" s="540"/>
      <c r="AJ398" s="540"/>
      <c r="AK398" s="540"/>
      <c r="AL398" s="540"/>
      <c r="AM398" s="540"/>
      <c r="AN398" s="540"/>
      <c r="AO398" s="540"/>
      <c r="AP398" s="540"/>
      <c r="AQ398" s="540"/>
    </row>
    <row r="399" spans="1:43" ht="30" customHeight="1" x14ac:dyDescent="0.25">
      <c r="A399" s="3">
        <f t="shared" si="18"/>
        <v>387</v>
      </c>
      <c r="B399" s="1219" t="s">
        <v>162</v>
      </c>
      <c r="C399" s="1219"/>
      <c r="D399" s="1219"/>
      <c r="E399" s="1263"/>
      <c r="F399" s="1263"/>
      <c r="G399" s="1263"/>
      <c r="H399" s="1219"/>
      <c r="I399" s="1219"/>
      <c r="J399" s="1219"/>
      <c r="K399" s="1219"/>
      <c r="L399" s="1219"/>
      <c r="M399" s="1219"/>
      <c r="N399" s="1219"/>
      <c r="O399" s="1219"/>
      <c r="P399" s="1219"/>
      <c r="Q399" s="1219"/>
      <c r="R399" s="1219"/>
      <c r="S399" s="1219"/>
      <c r="T399" s="1219"/>
      <c r="U399" s="1219"/>
      <c r="V399" s="1219"/>
      <c r="W399" s="1219"/>
      <c r="X399" s="1219"/>
      <c r="Y399" s="1219"/>
      <c r="Z399" s="1219"/>
      <c r="AA399" s="1219"/>
      <c r="AB399" s="1219"/>
      <c r="AC399" s="1219"/>
      <c r="AD399" s="1219"/>
      <c r="AE399" s="1219"/>
      <c r="AF399" s="1219"/>
      <c r="AG399" s="1219"/>
      <c r="AH399" s="1219"/>
      <c r="AI399" s="1219"/>
      <c r="AJ399" s="1219"/>
      <c r="AK399" s="1219"/>
      <c r="AL399" s="1219"/>
      <c r="AM399" s="1219"/>
      <c r="AN399" s="1219"/>
      <c r="AO399" s="1219"/>
      <c r="AP399" s="1219"/>
      <c r="AQ399" s="1219"/>
    </row>
    <row r="400" spans="1:43" ht="30" customHeight="1" x14ac:dyDescent="0.25">
      <c r="A400" s="3">
        <f t="shared" si="18"/>
        <v>388</v>
      </c>
      <c r="B400" s="540" t="s">
        <v>162</v>
      </c>
      <c r="C400" s="540"/>
      <c r="D400" s="540"/>
      <c r="E400" s="1264"/>
      <c r="F400" s="1264"/>
      <c r="G400" s="1264"/>
      <c r="H400" s="540"/>
      <c r="I400" s="540"/>
      <c r="J400" s="540"/>
      <c r="K400" s="540"/>
      <c r="L400" s="540"/>
      <c r="M400" s="540"/>
      <c r="N400" s="540"/>
      <c r="O400" s="540"/>
      <c r="P400" s="540"/>
      <c r="Q400" s="540"/>
      <c r="R400" s="540"/>
      <c r="S400" s="540"/>
      <c r="T400" s="540"/>
      <c r="U400" s="540"/>
      <c r="V400" s="540"/>
      <c r="W400" s="540"/>
      <c r="X400" s="540"/>
      <c r="Y400" s="540"/>
      <c r="Z400" s="540"/>
      <c r="AA400" s="540"/>
      <c r="AB400" s="540"/>
      <c r="AC400" s="540"/>
      <c r="AD400" s="540"/>
      <c r="AE400" s="540"/>
      <c r="AF400" s="540"/>
      <c r="AG400" s="540"/>
      <c r="AH400" s="540"/>
      <c r="AI400" s="540"/>
      <c r="AJ400" s="540"/>
      <c r="AK400" s="540"/>
      <c r="AL400" s="540"/>
      <c r="AM400" s="540"/>
      <c r="AN400" s="540"/>
      <c r="AO400" s="540"/>
      <c r="AP400" s="540"/>
      <c r="AQ400" s="540"/>
    </row>
    <row r="401" spans="1:43" ht="30" customHeight="1" x14ac:dyDescent="0.25">
      <c r="A401" s="3">
        <f t="shared" si="18"/>
        <v>389</v>
      </c>
      <c r="B401" s="1219" t="s">
        <v>162</v>
      </c>
      <c r="C401" s="1219"/>
      <c r="D401" s="1219"/>
      <c r="E401" s="1263"/>
      <c r="F401" s="1263"/>
      <c r="G401" s="1263"/>
      <c r="H401" s="1219"/>
      <c r="I401" s="1219"/>
      <c r="J401" s="1219"/>
      <c r="K401" s="1219"/>
      <c r="L401" s="1219"/>
      <c r="M401" s="1219"/>
      <c r="N401" s="1219"/>
      <c r="O401" s="1219"/>
      <c r="P401" s="1219"/>
      <c r="Q401" s="1219"/>
      <c r="R401" s="1219"/>
      <c r="S401" s="1219"/>
      <c r="T401" s="1219"/>
      <c r="U401" s="1219"/>
      <c r="V401" s="1219"/>
      <c r="W401" s="1219"/>
      <c r="X401" s="1219"/>
      <c r="Y401" s="1219"/>
      <c r="Z401" s="1219"/>
      <c r="AA401" s="1219"/>
      <c r="AB401" s="1219"/>
      <c r="AC401" s="1219"/>
      <c r="AD401" s="1219"/>
      <c r="AE401" s="1219"/>
      <c r="AF401" s="1219"/>
      <c r="AG401" s="1219"/>
      <c r="AH401" s="1219"/>
      <c r="AI401" s="1219"/>
      <c r="AJ401" s="1219"/>
      <c r="AK401" s="1219"/>
      <c r="AL401" s="1219"/>
      <c r="AM401" s="1219"/>
      <c r="AN401" s="1219"/>
      <c r="AO401" s="1219"/>
      <c r="AP401" s="1219"/>
      <c r="AQ401" s="1219"/>
    </row>
    <row r="402" spans="1:43" ht="30" customHeight="1" x14ac:dyDescent="0.25">
      <c r="A402" s="3">
        <f t="shared" si="18"/>
        <v>390</v>
      </c>
      <c r="B402" s="540" t="s">
        <v>162</v>
      </c>
      <c r="C402" s="540"/>
      <c r="D402" s="540"/>
      <c r="E402" s="1264"/>
      <c r="F402" s="1264"/>
      <c r="G402" s="1264"/>
      <c r="H402" s="540"/>
      <c r="I402" s="540"/>
      <c r="J402" s="540"/>
      <c r="K402" s="540"/>
      <c r="L402" s="540"/>
      <c r="M402" s="540"/>
      <c r="N402" s="540"/>
      <c r="O402" s="540"/>
      <c r="P402" s="540"/>
      <c r="Q402" s="540"/>
      <c r="R402" s="540"/>
      <c r="S402" s="540"/>
      <c r="T402" s="540"/>
      <c r="U402" s="540"/>
      <c r="V402" s="540"/>
      <c r="W402" s="540"/>
      <c r="X402" s="540"/>
      <c r="Y402" s="540"/>
      <c r="Z402" s="540"/>
      <c r="AA402" s="540"/>
      <c r="AB402" s="540"/>
      <c r="AC402" s="540"/>
      <c r="AD402" s="540"/>
      <c r="AE402" s="540"/>
      <c r="AF402" s="540"/>
      <c r="AG402" s="540"/>
      <c r="AH402" s="540"/>
      <c r="AI402" s="540"/>
      <c r="AJ402" s="540"/>
      <c r="AK402" s="540"/>
      <c r="AL402" s="540"/>
      <c r="AM402" s="540"/>
      <c r="AN402" s="540"/>
      <c r="AO402" s="540"/>
      <c r="AP402" s="540"/>
      <c r="AQ402" s="540"/>
    </row>
    <row r="403" spans="1:43" ht="30" customHeight="1" x14ac:dyDescent="0.25">
      <c r="A403" s="3">
        <f>ROW(A391)</f>
        <v>391</v>
      </c>
      <c r="B403" s="1219" t="s">
        <v>162</v>
      </c>
      <c r="C403" s="1219"/>
      <c r="D403" s="1219"/>
      <c r="E403" s="1263"/>
      <c r="F403" s="1263"/>
      <c r="G403" s="1263"/>
      <c r="H403" s="1219"/>
      <c r="I403" s="1219"/>
      <c r="J403" s="1219"/>
      <c r="K403" s="1219"/>
      <c r="L403" s="1219"/>
      <c r="M403" s="1219"/>
      <c r="N403" s="1219"/>
      <c r="O403" s="1219"/>
      <c r="P403" s="1219"/>
      <c r="Q403" s="1219"/>
      <c r="R403" s="1219"/>
      <c r="S403" s="1219"/>
      <c r="T403" s="1219"/>
      <c r="U403" s="1219"/>
      <c r="V403" s="1219"/>
      <c r="W403" s="1219"/>
      <c r="X403" s="1219"/>
      <c r="Y403" s="1219"/>
      <c r="Z403" s="1219"/>
      <c r="AA403" s="1219"/>
      <c r="AB403" s="1219"/>
      <c r="AC403" s="1219"/>
      <c r="AD403" s="1219"/>
      <c r="AE403" s="1219"/>
      <c r="AF403" s="1219"/>
      <c r="AG403" s="1219"/>
      <c r="AH403" s="1219"/>
      <c r="AI403" s="1219"/>
      <c r="AJ403" s="1219"/>
      <c r="AK403" s="1219"/>
      <c r="AL403" s="1219"/>
      <c r="AM403" s="1219"/>
      <c r="AN403" s="1219"/>
      <c r="AO403" s="1219"/>
      <c r="AP403" s="1219"/>
      <c r="AQ403" s="1219"/>
    </row>
    <row r="404" spans="1:43" ht="30" customHeight="1" x14ac:dyDescent="0.25">
      <c r="A404" s="3">
        <f t="shared" ref="A404:A412" si="19">ROW(A392)</f>
        <v>392</v>
      </c>
      <c r="B404" s="540" t="s">
        <v>162</v>
      </c>
      <c r="C404" s="540"/>
      <c r="D404" s="540"/>
      <c r="E404" s="1264"/>
      <c r="F404" s="1264"/>
      <c r="G404" s="1264"/>
      <c r="H404" s="540"/>
      <c r="I404" s="540"/>
      <c r="J404" s="540"/>
      <c r="K404" s="540"/>
      <c r="L404" s="540"/>
      <c r="M404" s="540"/>
      <c r="N404" s="540"/>
      <c r="O404" s="540"/>
      <c r="P404" s="540"/>
      <c r="Q404" s="540"/>
      <c r="R404" s="540"/>
      <c r="S404" s="540"/>
      <c r="T404" s="540"/>
      <c r="U404" s="540"/>
      <c r="V404" s="540"/>
      <c r="W404" s="540"/>
      <c r="X404" s="540"/>
      <c r="Y404" s="540"/>
      <c r="Z404" s="540"/>
      <c r="AA404" s="540"/>
      <c r="AB404" s="540"/>
      <c r="AC404" s="540"/>
      <c r="AD404" s="540"/>
      <c r="AE404" s="540"/>
      <c r="AF404" s="540"/>
      <c r="AG404" s="540"/>
      <c r="AH404" s="540"/>
      <c r="AI404" s="540"/>
      <c r="AJ404" s="540"/>
      <c r="AK404" s="540"/>
      <c r="AL404" s="540"/>
      <c r="AM404" s="540"/>
      <c r="AN404" s="540"/>
      <c r="AO404" s="540"/>
      <c r="AP404" s="540"/>
      <c r="AQ404" s="540"/>
    </row>
    <row r="405" spans="1:43" ht="30" customHeight="1" x14ac:dyDescent="0.25">
      <c r="A405" s="3">
        <f t="shared" si="19"/>
        <v>393</v>
      </c>
      <c r="B405" s="1219" t="s">
        <v>162</v>
      </c>
      <c r="C405" s="1219"/>
      <c r="D405" s="1219"/>
      <c r="E405" s="1263"/>
      <c r="F405" s="1263"/>
      <c r="G405" s="1263"/>
      <c r="H405" s="1219"/>
      <c r="I405" s="1219"/>
      <c r="J405" s="1219"/>
      <c r="K405" s="1219"/>
      <c r="L405" s="1219"/>
      <c r="M405" s="1219"/>
      <c r="N405" s="1219"/>
      <c r="O405" s="1219"/>
      <c r="P405" s="1219"/>
      <c r="Q405" s="1219"/>
      <c r="R405" s="1219"/>
      <c r="S405" s="1219"/>
      <c r="T405" s="1219"/>
      <c r="U405" s="1219"/>
      <c r="V405" s="1219"/>
      <c r="W405" s="1219"/>
      <c r="X405" s="1219"/>
      <c r="Y405" s="1219"/>
      <c r="Z405" s="1219"/>
      <c r="AA405" s="1219"/>
      <c r="AB405" s="1219"/>
      <c r="AC405" s="1219"/>
      <c r="AD405" s="1219"/>
      <c r="AE405" s="1219"/>
      <c r="AF405" s="1219"/>
      <c r="AG405" s="1219"/>
      <c r="AH405" s="1219"/>
      <c r="AI405" s="1219"/>
      <c r="AJ405" s="1219"/>
      <c r="AK405" s="1219"/>
      <c r="AL405" s="1219"/>
      <c r="AM405" s="1219"/>
      <c r="AN405" s="1219"/>
      <c r="AO405" s="1219"/>
      <c r="AP405" s="1219"/>
      <c r="AQ405" s="1219"/>
    </row>
    <row r="406" spans="1:43" ht="30" customHeight="1" x14ac:dyDescent="0.25">
      <c r="A406" s="3">
        <f t="shared" si="19"/>
        <v>394</v>
      </c>
      <c r="B406" s="540" t="s">
        <v>162</v>
      </c>
      <c r="C406" s="540"/>
      <c r="D406" s="540"/>
      <c r="E406" s="1264"/>
      <c r="F406" s="1264"/>
      <c r="G406" s="1264"/>
      <c r="H406" s="540"/>
      <c r="I406" s="540"/>
      <c r="J406" s="540"/>
      <c r="K406" s="540"/>
      <c r="L406" s="540"/>
      <c r="M406" s="540"/>
      <c r="N406" s="540"/>
      <c r="O406" s="540"/>
      <c r="P406" s="540"/>
      <c r="Q406" s="540"/>
      <c r="R406" s="540"/>
      <c r="S406" s="540"/>
      <c r="T406" s="540"/>
      <c r="U406" s="540"/>
      <c r="V406" s="540"/>
      <c r="W406" s="540"/>
      <c r="X406" s="540"/>
      <c r="Y406" s="540"/>
      <c r="Z406" s="540"/>
      <c r="AA406" s="540"/>
      <c r="AB406" s="540"/>
      <c r="AC406" s="540"/>
      <c r="AD406" s="540"/>
      <c r="AE406" s="540"/>
      <c r="AF406" s="540"/>
      <c r="AG406" s="540"/>
      <c r="AH406" s="540"/>
      <c r="AI406" s="540"/>
      <c r="AJ406" s="540"/>
      <c r="AK406" s="540"/>
      <c r="AL406" s="540"/>
      <c r="AM406" s="540"/>
      <c r="AN406" s="540"/>
      <c r="AO406" s="540"/>
      <c r="AP406" s="540"/>
      <c r="AQ406" s="540"/>
    </row>
    <row r="407" spans="1:43" ht="30" customHeight="1" x14ac:dyDescent="0.25">
      <c r="A407" s="3">
        <f t="shared" si="19"/>
        <v>395</v>
      </c>
      <c r="B407" s="1219" t="s">
        <v>162</v>
      </c>
      <c r="C407" s="1219"/>
      <c r="D407" s="1219"/>
      <c r="E407" s="1263"/>
      <c r="F407" s="1263"/>
      <c r="G407" s="1263"/>
      <c r="H407" s="1219"/>
      <c r="I407" s="1219"/>
      <c r="J407" s="1219"/>
      <c r="K407" s="1219"/>
      <c r="L407" s="1219"/>
      <c r="M407" s="1219"/>
      <c r="N407" s="1219"/>
      <c r="O407" s="1219"/>
      <c r="P407" s="1219"/>
      <c r="Q407" s="1219"/>
      <c r="R407" s="1219"/>
      <c r="S407" s="1219"/>
      <c r="T407" s="1219"/>
      <c r="U407" s="1219"/>
      <c r="V407" s="1219"/>
      <c r="W407" s="1219"/>
      <c r="X407" s="1219"/>
      <c r="Y407" s="1219"/>
      <c r="Z407" s="1219"/>
      <c r="AA407" s="1219"/>
      <c r="AB407" s="1219"/>
      <c r="AC407" s="1219"/>
      <c r="AD407" s="1219"/>
      <c r="AE407" s="1219"/>
      <c r="AF407" s="1219"/>
      <c r="AG407" s="1219"/>
      <c r="AH407" s="1219"/>
      <c r="AI407" s="1219"/>
      <c r="AJ407" s="1219"/>
      <c r="AK407" s="1219"/>
      <c r="AL407" s="1219"/>
      <c r="AM407" s="1219"/>
      <c r="AN407" s="1219"/>
      <c r="AO407" s="1219"/>
      <c r="AP407" s="1219"/>
      <c r="AQ407" s="1219"/>
    </row>
    <row r="408" spans="1:43" ht="30" customHeight="1" x14ac:dyDescent="0.25">
      <c r="A408" s="3">
        <f t="shared" si="19"/>
        <v>396</v>
      </c>
      <c r="B408" s="540" t="s">
        <v>162</v>
      </c>
      <c r="C408" s="540"/>
      <c r="D408" s="540"/>
      <c r="E408" s="1264"/>
      <c r="F408" s="1264"/>
      <c r="G408" s="1264"/>
      <c r="H408" s="540"/>
      <c r="I408" s="540"/>
      <c r="J408" s="540"/>
      <c r="K408" s="540"/>
      <c r="L408" s="540"/>
      <c r="M408" s="540"/>
      <c r="N408" s="540"/>
      <c r="O408" s="540"/>
      <c r="P408" s="540"/>
      <c r="Q408" s="540"/>
      <c r="R408" s="540"/>
      <c r="S408" s="540"/>
      <c r="T408" s="540"/>
      <c r="U408" s="540"/>
      <c r="V408" s="540"/>
      <c r="W408" s="540"/>
      <c r="X408" s="540"/>
      <c r="Y408" s="540"/>
      <c r="Z408" s="540"/>
      <c r="AA408" s="540"/>
      <c r="AB408" s="540"/>
      <c r="AC408" s="540"/>
      <c r="AD408" s="540"/>
      <c r="AE408" s="540"/>
      <c r="AF408" s="540"/>
      <c r="AG408" s="540"/>
      <c r="AH408" s="540"/>
      <c r="AI408" s="540"/>
      <c r="AJ408" s="540"/>
      <c r="AK408" s="540"/>
      <c r="AL408" s="540"/>
      <c r="AM408" s="540"/>
      <c r="AN408" s="540"/>
      <c r="AO408" s="540"/>
      <c r="AP408" s="540"/>
      <c r="AQ408" s="540"/>
    </row>
    <row r="409" spans="1:43" ht="30" customHeight="1" x14ac:dyDescent="0.25">
      <c r="A409" s="3">
        <f t="shared" si="19"/>
        <v>397</v>
      </c>
      <c r="B409" s="1219" t="s">
        <v>162</v>
      </c>
      <c r="C409" s="1219"/>
      <c r="D409" s="1219"/>
      <c r="E409" s="1263"/>
      <c r="F409" s="1263"/>
      <c r="G409" s="1263"/>
      <c r="H409" s="1219"/>
      <c r="I409" s="1219"/>
      <c r="J409" s="1219"/>
      <c r="K409" s="1219"/>
      <c r="L409" s="1219"/>
      <c r="M409" s="1219"/>
      <c r="N409" s="1219"/>
      <c r="O409" s="1219"/>
      <c r="P409" s="1219"/>
      <c r="Q409" s="1219"/>
      <c r="R409" s="1219"/>
      <c r="S409" s="1219"/>
      <c r="T409" s="1219"/>
      <c r="U409" s="1219"/>
      <c r="V409" s="1219"/>
      <c r="W409" s="1219"/>
      <c r="X409" s="1219"/>
      <c r="Y409" s="1219"/>
      <c r="Z409" s="1219"/>
      <c r="AA409" s="1219"/>
      <c r="AB409" s="1219"/>
      <c r="AC409" s="1219"/>
      <c r="AD409" s="1219"/>
      <c r="AE409" s="1219"/>
      <c r="AF409" s="1219"/>
      <c r="AG409" s="1219"/>
      <c r="AH409" s="1219"/>
      <c r="AI409" s="1219"/>
      <c r="AJ409" s="1219"/>
      <c r="AK409" s="1219"/>
      <c r="AL409" s="1219"/>
      <c r="AM409" s="1219"/>
      <c r="AN409" s="1219"/>
      <c r="AO409" s="1219"/>
      <c r="AP409" s="1219"/>
      <c r="AQ409" s="1219"/>
    </row>
    <row r="410" spans="1:43" ht="30" customHeight="1" x14ac:dyDescent="0.25">
      <c r="A410" s="3">
        <f t="shared" si="19"/>
        <v>398</v>
      </c>
      <c r="B410" s="540" t="s">
        <v>162</v>
      </c>
      <c r="C410" s="540"/>
      <c r="D410" s="540"/>
      <c r="E410" s="1264"/>
      <c r="F410" s="1264"/>
      <c r="G410" s="1264"/>
      <c r="H410" s="540"/>
      <c r="I410" s="540"/>
      <c r="J410" s="540"/>
      <c r="K410" s="540"/>
      <c r="L410" s="540"/>
      <c r="M410" s="540"/>
      <c r="N410" s="540"/>
      <c r="O410" s="540"/>
      <c r="P410" s="540"/>
      <c r="Q410" s="540"/>
      <c r="R410" s="540"/>
      <c r="S410" s="540"/>
      <c r="T410" s="540"/>
      <c r="U410" s="540"/>
      <c r="V410" s="540"/>
      <c r="W410" s="540"/>
      <c r="X410" s="540"/>
      <c r="Y410" s="540"/>
      <c r="Z410" s="540"/>
      <c r="AA410" s="540"/>
      <c r="AB410" s="540"/>
      <c r="AC410" s="540"/>
      <c r="AD410" s="540"/>
      <c r="AE410" s="540"/>
      <c r="AF410" s="540"/>
      <c r="AG410" s="540"/>
      <c r="AH410" s="540"/>
      <c r="AI410" s="540"/>
      <c r="AJ410" s="540"/>
      <c r="AK410" s="540"/>
      <c r="AL410" s="540"/>
      <c r="AM410" s="540"/>
      <c r="AN410" s="540"/>
      <c r="AO410" s="540"/>
      <c r="AP410" s="540"/>
      <c r="AQ410" s="540"/>
    </row>
    <row r="411" spans="1:43" ht="30" customHeight="1" x14ac:dyDescent="0.25">
      <c r="A411" s="3">
        <f t="shared" si="19"/>
        <v>399</v>
      </c>
      <c r="B411" s="1219" t="s">
        <v>162</v>
      </c>
      <c r="C411" s="1219"/>
      <c r="D411" s="1219"/>
      <c r="E411" s="1263"/>
      <c r="F411" s="1263"/>
      <c r="G411" s="1263"/>
      <c r="H411" s="1219"/>
      <c r="I411" s="1219"/>
      <c r="J411" s="1219"/>
      <c r="K411" s="1219"/>
      <c r="L411" s="1219"/>
      <c r="M411" s="1219"/>
      <c r="N411" s="1219"/>
      <c r="O411" s="1219"/>
      <c r="P411" s="1219"/>
      <c r="Q411" s="1219"/>
      <c r="R411" s="1219"/>
      <c r="S411" s="1219"/>
      <c r="T411" s="1219"/>
      <c r="U411" s="1219"/>
      <c r="V411" s="1219"/>
      <c r="W411" s="1219"/>
      <c r="X411" s="1219"/>
      <c r="Y411" s="1219"/>
      <c r="Z411" s="1219"/>
      <c r="AA411" s="1219"/>
      <c r="AB411" s="1219"/>
      <c r="AC411" s="1219"/>
      <c r="AD411" s="1219"/>
      <c r="AE411" s="1219"/>
      <c r="AF411" s="1219"/>
      <c r="AG411" s="1219"/>
      <c r="AH411" s="1219"/>
      <c r="AI411" s="1219"/>
      <c r="AJ411" s="1219"/>
      <c r="AK411" s="1219"/>
      <c r="AL411" s="1219"/>
      <c r="AM411" s="1219"/>
      <c r="AN411" s="1219"/>
      <c r="AO411" s="1219"/>
      <c r="AP411" s="1219"/>
      <c r="AQ411" s="1219"/>
    </row>
    <row r="412" spans="1:43" ht="30" customHeight="1" x14ac:dyDescent="0.25">
      <c r="A412" s="3">
        <f t="shared" si="19"/>
        <v>400</v>
      </c>
      <c r="B412" s="540" t="s">
        <v>162</v>
      </c>
      <c r="C412" s="540"/>
      <c r="D412" s="540"/>
      <c r="E412" s="1264"/>
      <c r="F412" s="1264"/>
      <c r="G412" s="1264"/>
      <c r="H412" s="540"/>
      <c r="I412" s="540"/>
      <c r="J412" s="540"/>
      <c r="K412" s="540"/>
      <c r="L412" s="540"/>
      <c r="M412" s="540"/>
      <c r="N412" s="540"/>
      <c r="O412" s="540"/>
      <c r="P412" s="540"/>
      <c r="Q412" s="540"/>
      <c r="R412" s="540"/>
      <c r="S412" s="540"/>
      <c r="T412" s="540"/>
      <c r="U412" s="540"/>
      <c r="V412" s="540"/>
      <c r="W412" s="540"/>
      <c r="X412" s="540"/>
      <c r="Y412" s="540"/>
      <c r="Z412" s="540"/>
      <c r="AA412" s="540"/>
      <c r="AB412" s="540"/>
      <c r="AC412" s="540"/>
      <c r="AD412" s="540"/>
      <c r="AE412" s="540"/>
      <c r="AF412" s="540"/>
      <c r="AG412" s="540"/>
      <c r="AH412" s="540"/>
      <c r="AI412" s="540"/>
      <c r="AJ412" s="540"/>
      <c r="AK412" s="540"/>
      <c r="AL412" s="540"/>
      <c r="AM412" s="540"/>
      <c r="AN412" s="540"/>
      <c r="AO412" s="540"/>
      <c r="AP412" s="540"/>
      <c r="AQ412" s="540"/>
    </row>
    <row r="413" spans="1:43" ht="30" customHeight="1" x14ac:dyDescent="0.25">
      <c r="A413" s="3">
        <f>ROW(A401)</f>
        <v>401</v>
      </c>
      <c r="B413" s="1219" t="s">
        <v>162</v>
      </c>
      <c r="C413" s="1219"/>
      <c r="D413" s="1219"/>
      <c r="E413" s="1263"/>
      <c r="F413" s="1263"/>
      <c r="G413" s="1263"/>
      <c r="H413" s="1219"/>
      <c r="I413" s="1219"/>
      <c r="J413" s="1219"/>
      <c r="K413" s="1219"/>
      <c r="L413" s="1219"/>
      <c r="M413" s="1219"/>
      <c r="N413" s="1219"/>
      <c r="O413" s="1219"/>
      <c r="P413" s="1219"/>
      <c r="Q413" s="1219"/>
      <c r="R413" s="1219"/>
      <c r="S413" s="1219"/>
      <c r="T413" s="1219"/>
      <c r="U413" s="1219"/>
      <c r="V413" s="1219"/>
      <c r="W413" s="1219"/>
      <c r="X413" s="1219"/>
      <c r="Y413" s="1219"/>
      <c r="Z413" s="1219"/>
      <c r="AA413" s="1219"/>
      <c r="AB413" s="1219"/>
      <c r="AC413" s="1219"/>
      <c r="AD413" s="1219"/>
      <c r="AE413" s="1219"/>
      <c r="AF413" s="1219"/>
      <c r="AG413" s="1219"/>
      <c r="AH413" s="1219"/>
      <c r="AI413" s="1219"/>
      <c r="AJ413" s="1219"/>
      <c r="AK413" s="1219"/>
      <c r="AL413" s="1219"/>
      <c r="AM413" s="1219"/>
      <c r="AN413" s="1219"/>
      <c r="AO413" s="1219"/>
      <c r="AP413" s="1219"/>
      <c r="AQ413" s="1219"/>
    </row>
    <row r="414" spans="1:43" ht="30" customHeight="1" x14ac:dyDescent="0.25">
      <c r="A414" s="3">
        <f t="shared" ref="A414:A477" si="20">ROW(A402)</f>
        <v>402</v>
      </c>
      <c r="B414" s="540" t="s">
        <v>162</v>
      </c>
      <c r="C414" s="540"/>
      <c r="D414" s="540"/>
      <c r="E414" s="1264"/>
      <c r="F414" s="1264"/>
      <c r="G414" s="1264"/>
      <c r="H414" s="540"/>
      <c r="I414" s="540"/>
      <c r="J414" s="540"/>
      <c r="K414" s="540"/>
      <c r="L414" s="540"/>
      <c r="M414" s="540"/>
      <c r="N414" s="540"/>
      <c r="O414" s="540"/>
      <c r="P414" s="540"/>
      <c r="Q414" s="540"/>
      <c r="R414" s="540"/>
      <c r="S414" s="540"/>
      <c r="T414" s="540"/>
      <c r="U414" s="540"/>
      <c r="V414" s="540"/>
      <c r="W414" s="540"/>
      <c r="X414" s="540"/>
      <c r="Y414" s="540"/>
      <c r="Z414" s="540"/>
      <c r="AA414" s="540"/>
      <c r="AB414" s="540"/>
      <c r="AC414" s="540"/>
      <c r="AD414" s="540"/>
      <c r="AE414" s="540"/>
      <c r="AF414" s="540"/>
      <c r="AG414" s="540"/>
      <c r="AH414" s="540"/>
      <c r="AI414" s="540"/>
      <c r="AJ414" s="540"/>
      <c r="AK414" s="540"/>
      <c r="AL414" s="540"/>
      <c r="AM414" s="540"/>
      <c r="AN414" s="540"/>
      <c r="AO414" s="540"/>
      <c r="AP414" s="540"/>
      <c r="AQ414" s="540"/>
    </row>
    <row r="415" spans="1:43" ht="30" customHeight="1" x14ac:dyDescent="0.25">
      <c r="A415" s="3">
        <f t="shared" si="20"/>
        <v>403</v>
      </c>
      <c r="B415" s="1219" t="s">
        <v>162</v>
      </c>
      <c r="C415" s="1219"/>
      <c r="D415" s="1219"/>
      <c r="E415" s="1263"/>
      <c r="F415" s="1263"/>
      <c r="G415" s="1263"/>
      <c r="H415" s="1219"/>
      <c r="I415" s="1219"/>
      <c r="J415" s="1219"/>
      <c r="K415" s="1219"/>
      <c r="L415" s="1219"/>
      <c r="M415" s="1219"/>
      <c r="N415" s="1219"/>
      <c r="O415" s="1219"/>
      <c r="P415" s="1219"/>
      <c r="Q415" s="1219"/>
      <c r="R415" s="1219"/>
      <c r="S415" s="1219"/>
      <c r="T415" s="1219"/>
      <c r="U415" s="1219"/>
      <c r="V415" s="1219"/>
      <c r="W415" s="1219"/>
      <c r="X415" s="1219"/>
      <c r="Y415" s="1219"/>
      <c r="Z415" s="1219"/>
      <c r="AA415" s="1219"/>
      <c r="AB415" s="1219"/>
      <c r="AC415" s="1219"/>
      <c r="AD415" s="1219"/>
      <c r="AE415" s="1219"/>
      <c r="AF415" s="1219"/>
      <c r="AG415" s="1219"/>
      <c r="AH415" s="1219"/>
      <c r="AI415" s="1219"/>
      <c r="AJ415" s="1219"/>
      <c r="AK415" s="1219"/>
      <c r="AL415" s="1219"/>
      <c r="AM415" s="1219"/>
      <c r="AN415" s="1219"/>
      <c r="AO415" s="1219"/>
      <c r="AP415" s="1219"/>
      <c r="AQ415" s="1219"/>
    </row>
    <row r="416" spans="1:43" ht="30" customHeight="1" x14ac:dyDescent="0.25">
      <c r="A416" s="3">
        <f t="shared" si="20"/>
        <v>404</v>
      </c>
      <c r="B416" s="540" t="s">
        <v>162</v>
      </c>
      <c r="C416" s="540"/>
      <c r="D416" s="540"/>
      <c r="E416" s="1264"/>
      <c r="F416" s="1264"/>
      <c r="G416" s="1264"/>
      <c r="H416" s="540"/>
      <c r="I416" s="540"/>
      <c r="J416" s="540"/>
      <c r="K416" s="540"/>
      <c r="L416" s="540"/>
      <c r="M416" s="540"/>
      <c r="N416" s="540"/>
      <c r="O416" s="540"/>
      <c r="P416" s="540"/>
      <c r="Q416" s="540"/>
      <c r="R416" s="540"/>
      <c r="S416" s="540"/>
      <c r="T416" s="540"/>
      <c r="U416" s="540"/>
      <c r="V416" s="540"/>
      <c r="W416" s="540"/>
      <c r="X416" s="540"/>
      <c r="Y416" s="540"/>
      <c r="Z416" s="540"/>
      <c r="AA416" s="540"/>
      <c r="AB416" s="540"/>
      <c r="AC416" s="540"/>
      <c r="AD416" s="540"/>
      <c r="AE416" s="540"/>
      <c r="AF416" s="540"/>
      <c r="AG416" s="540"/>
      <c r="AH416" s="540"/>
      <c r="AI416" s="540"/>
      <c r="AJ416" s="540"/>
      <c r="AK416" s="540"/>
      <c r="AL416" s="540"/>
      <c r="AM416" s="540"/>
      <c r="AN416" s="540"/>
      <c r="AO416" s="540"/>
      <c r="AP416" s="540"/>
      <c r="AQ416" s="540"/>
    </row>
    <row r="417" spans="1:43" ht="30" customHeight="1" x14ac:dyDescent="0.25">
      <c r="A417" s="3">
        <f t="shared" si="20"/>
        <v>405</v>
      </c>
      <c r="B417" s="1219" t="s">
        <v>162</v>
      </c>
      <c r="C417" s="1219"/>
      <c r="D417" s="1219"/>
      <c r="E417" s="1263"/>
      <c r="F417" s="1263"/>
      <c r="G417" s="1263"/>
      <c r="H417" s="1219"/>
      <c r="I417" s="1219"/>
      <c r="J417" s="1219"/>
      <c r="K417" s="1219"/>
      <c r="L417" s="1219"/>
      <c r="M417" s="1219"/>
      <c r="N417" s="1219"/>
      <c r="O417" s="1219"/>
      <c r="P417" s="1219"/>
      <c r="Q417" s="1219"/>
      <c r="R417" s="1219"/>
      <c r="S417" s="1219"/>
      <c r="T417" s="1219"/>
      <c r="U417" s="1219"/>
      <c r="V417" s="1219"/>
      <c r="W417" s="1219"/>
      <c r="X417" s="1219"/>
      <c r="Y417" s="1219"/>
      <c r="Z417" s="1219"/>
      <c r="AA417" s="1219"/>
      <c r="AB417" s="1219"/>
      <c r="AC417" s="1219"/>
      <c r="AD417" s="1219"/>
      <c r="AE417" s="1219"/>
      <c r="AF417" s="1219"/>
      <c r="AG417" s="1219"/>
      <c r="AH417" s="1219"/>
      <c r="AI417" s="1219"/>
      <c r="AJ417" s="1219"/>
      <c r="AK417" s="1219"/>
      <c r="AL417" s="1219"/>
      <c r="AM417" s="1219"/>
      <c r="AN417" s="1219"/>
      <c r="AO417" s="1219"/>
      <c r="AP417" s="1219"/>
      <c r="AQ417" s="1219"/>
    </row>
    <row r="418" spans="1:43" ht="30" customHeight="1" x14ac:dyDescent="0.25">
      <c r="A418" s="3">
        <f t="shared" si="20"/>
        <v>406</v>
      </c>
      <c r="B418" s="540" t="s">
        <v>162</v>
      </c>
      <c r="C418" s="540"/>
      <c r="D418" s="540"/>
      <c r="E418" s="1264"/>
      <c r="F418" s="1264"/>
      <c r="G418" s="1264"/>
      <c r="H418" s="540"/>
      <c r="I418" s="540"/>
      <c r="J418" s="540"/>
      <c r="K418" s="540"/>
      <c r="L418" s="540"/>
      <c r="M418" s="540"/>
      <c r="N418" s="540"/>
      <c r="O418" s="540"/>
      <c r="P418" s="540"/>
      <c r="Q418" s="540"/>
      <c r="R418" s="540"/>
      <c r="S418" s="540"/>
      <c r="T418" s="540"/>
      <c r="U418" s="540"/>
      <c r="V418" s="540"/>
      <c r="W418" s="540"/>
      <c r="X418" s="540"/>
      <c r="Y418" s="540"/>
      <c r="Z418" s="540"/>
      <c r="AA418" s="540"/>
      <c r="AB418" s="540"/>
      <c r="AC418" s="540"/>
      <c r="AD418" s="540"/>
      <c r="AE418" s="540"/>
      <c r="AF418" s="540"/>
      <c r="AG418" s="540"/>
      <c r="AH418" s="540"/>
      <c r="AI418" s="540"/>
      <c r="AJ418" s="540"/>
      <c r="AK418" s="540"/>
      <c r="AL418" s="540"/>
      <c r="AM418" s="540"/>
      <c r="AN418" s="540"/>
      <c r="AO418" s="540"/>
      <c r="AP418" s="540"/>
      <c r="AQ418" s="540"/>
    </row>
    <row r="419" spans="1:43" ht="30" customHeight="1" x14ac:dyDescent="0.25">
      <c r="A419" s="3">
        <f t="shared" si="20"/>
        <v>407</v>
      </c>
      <c r="B419" s="1219" t="s">
        <v>162</v>
      </c>
      <c r="C419" s="1219"/>
      <c r="D419" s="1219"/>
      <c r="E419" s="1263"/>
      <c r="F419" s="1263"/>
      <c r="G419" s="1263"/>
      <c r="H419" s="1219"/>
      <c r="I419" s="1219"/>
      <c r="J419" s="1219"/>
      <c r="K419" s="1219"/>
      <c r="L419" s="1219"/>
      <c r="M419" s="1219"/>
      <c r="N419" s="1219"/>
      <c r="O419" s="1219"/>
      <c r="P419" s="1219"/>
      <c r="Q419" s="1219"/>
      <c r="R419" s="1219"/>
      <c r="S419" s="1219"/>
      <c r="T419" s="1219"/>
      <c r="U419" s="1219"/>
      <c r="V419" s="1219"/>
      <c r="W419" s="1219"/>
      <c r="X419" s="1219"/>
      <c r="Y419" s="1219"/>
      <c r="Z419" s="1219"/>
      <c r="AA419" s="1219"/>
      <c r="AB419" s="1219"/>
      <c r="AC419" s="1219"/>
      <c r="AD419" s="1219"/>
      <c r="AE419" s="1219"/>
      <c r="AF419" s="1219"/>
      <c r="AG419" s="1219"/>
      <c r="AH419" s="1219"/>
      <c r="AI419" s="1219"/>
      <c r="AJ419" s="1219"/>
      <c r="AK419" s="1219"/>
      <c r="AL419" s="1219"/>
      <c r="AM419" s="1219"/>
      <c r="AN419" s="1219"/>
      <c r="AO419" s="1219"/>
      <c r="AP419" s="1219"/>
      <c r="AQ419" s="1219"/>
    </row>
    <row r="420" spans="1:43" ht="30" customHeight="1" x14ac:dyDescent="0.25">
      <c r="A420" s="3">
        <f t="shared" si="20"/>
        <v>408</v>
      </c>
      <c r="B420" s="540" t="s">
        <v>162</v>
      </c>
      <c r="C420" s="540"/>
      <c r="D420" s="540"/>
      <c r="E420" s="1264"/>
      <c r="F420" s="1264"/>
      <c r="G420" s="1264"/>
      <c r="H420" s="540"/>
      <c r="I420" s="540"/>
      <c r="J420" s="540"/>
      <c r="K420" s="540"/>
      <c r="L420" s="540"/>
      <c r="M420" s="540"/>
      <c r="N420" s="540"/>
      <c r="O420" s="540"/>
      <c r="P420" s="540"/>
      <c r="Q420" s="540"/>
      <c r="R420" s="540"/>
      <c r="S420" s="540"/>
      <c r="T420" s="540"/>
      <c r="U420" s="540"/>
      <c r="V420" s="540"/>
      <c r="W420" s="540"/>
      <c r="X420" s="540"/>
      <c r="Y420" s="540"/>
      <c r="Z420" s="540"/>
      <c r="AA420" s="540"/>
      <c r="AB420" s="540"/>
      <c r="AC420" s="540"/>
      <c r="AD420" s="540"/>
      <c r="AE420" s="540"/>
      <c r="AF420" s="540"/>
      <c r="AG420" s="540"/>
      <c r="AH420" s="540"/>
      <c r="AI420" s="540"/>
      <c r="AJ420" s="540"/>
      <c r="AK420" s="540"/>
      <c r="AL420" s="540"/>
      <c r="AM420" s="540"/>
      <c r="AN420" s="540"/>
      <c r="AO420" s="540"/>
      <c r="AP420" s="540"/>
      <c r="AQ420" s="540"/>
    </row>
    <row r="421" spans="1:43" ht="30" customHeight="1" x14ac:dyDescent="0.25">
      <c r="A421" s="3">
        <f t="shared" si="20"/>
        <v>409</v>
      </c>
      <c r="B421" s="1219" t="s">
        <v>162</v>
      </c>
      <c r="C421" s="1219"/>
      <c r="D421" s="1219"/>
      <c r="E421" s="1263"/>
      <c r="F421" s="1263"/>
      <c r="G421" s="1263"/>
      <c r="H421" s="1219"/>
      <c r="I421" s="1219"/>
      <c r="J421" s="1219"/>
      <c r="K421" s="1219"/>
      <c r="L421" s="1219"/>
      <c r="M421" s="1219"/>
      <c r="N421" s="1219"/>
      <c r="O421" s="1219"/>
      <c r="P421" s="1219"/>
      <c r="Q421" s="1219"/>
      <c r="R421" s="1219"/>
      <c r="S421" s="1219"/>
      <c r="T421" s="1219"/>
      <c r="U421" s="1219"/>
      <c r="V421" s="1219"/>
      <c r="W421" s="1219"/>
      <c r="X421" s="1219"/>
      <c r="Y421" s="1219"/>
      <c r="Z421" s="1219"/>
      <c r="AA421" s="1219"/>
      <c r="AB421" s="1219"/>
      <c r="AC421" s="1219"/>
      <c r="AD421" s="1219"/>
      <c r="AE421" s="1219"/>
      <c r="AF421" s="1219"/>
      <c r="AG421" s="1219"/>
      <c r="AH421" s="1219"/>
      <c r="AI421" s="1219"/>
      <c r="AJ421" s="1219"/>
      <c r="AK421" s="1219"/>
      <c r="AL421" s="1219"/>
      <c r="AM421" s="1219"/>
      <c r="AN421" s="1219"/>
      <c r="AO421" s="1219"/>
      <c r="AP421" s="1219"/>
      <c r="AQ421" s="1219"/>
    </row>
    <row r="422" spans="1:43" ht="30" customHeight="1" x14ac:dyDescent="0.25">
      <c r="A422" s="3">
        <f t="shared" si="20"/>
        <v>410</v>
      </c>
      <c r="B422" s="540" t="s">
        <v>162</v>
      </c>
      <c r="C422" s="540"/>
      <c r="D422" s="540"/>
      <c r="E422" s="1264"/>
      <c r="F422" s="1264"/>
      <c r="G422" s="1264"/>
      <c r="H422" s="540"/>
      <c r="I422" s="540"/>
      <c r="J422" s="540"/>
      <c r="K422" s="540"/>
      <c r="L422" s="540"/>
      <c r="M422" s="540"/>
      <c r="N422" s="540"/>
      <c r="O422" s="540"/>
      <c r="P422" s="540"/>
      <c r="Q422" s="540"/>
      <c r="R422" s="540"/>
      <c r="S422" s="540"/>
      <c r="T422" s="540"/>
      <c r="U422" s="540"/>
      <c r="V422" s="540"/>
      <c r="W422" s="540"/>
      <c r="X422" s="540"/>
      <c r="Y422" s="540"/>
      <c r="Z422" s="540"/>
      <c r="AA422" s="540"/>
      <c r="AB422" s="540"/>
      <c r="AC422" s="540"/>
      <c r="AD422" s="540"/>
      <c r="AE422" s="540"/>
      <c r="AF422" s="540"/>
      <c r="AG422" s="540"/>
      <c r="AH422" s="540"/>
      <c r="AI422" s="540"/>
      <c r="AJ422" s="540"/>
      <c r="AK422" s="540"/>
      <c r="AL422" s="540"/>
      <c r="AM422" s="540"/>
      <c r="AN422" s="540"/>
      <c r="AO422" s="540"/>
      <c r="AP422" s="540"/>
      <c r="AQ422" s="540"/>
    </row>
    <row r="423" spans="1:43" ht="30" customHeight="1" x14ac:dyDescent="0.25">
      <c r="A423" s="3">
        <f>ROW(A411)</f>
        <v>411</v>
      </c>
      <c r="B423" s="1219" t="s">
        <v>162</v>
      </c>
      <c r="C423" s="1219"/>
      <c r="D423" s="1219"/>
      <c r="E423" s="1263"/>
      <c r="F423" s="1263"/>
      <c r="G423" s="1263"/>
      <c r="H423" s="1219"/>
      <c r="I423" s="1219"/>
      <c r="J423" s="1219"/>
      <c r="K423" s="1219"/>
      <c r="L423" s="1219"/>
      <c r="M423" s="1219"/>
      <c r="N423" s="1219"/>
      <c r="O423" s="1219"/>
      <c r="P423" s="1219"/>
      <c r="Q423" s="1219"/>
      <c r="R423" s="1219"/>
      <c r="S423" s="1219"/>
      <c r="T423" s="1219"/>
      <c r="U423" s="1219"/>
      <c r="V423" s="1219"/>
      <c r="W423" s="1219"/>
      <c r="X423" s="1219"/>
      <c r="Y423" s="1219"/>
      <c r="Z423" s="1219"/>
      <c r="AA423" s="1219"/>
      <c r="AB423" s="1219"/>
      <c r="AC423" s="1219"/>
      <c r="AD423" s="1219"/>
      <c r="AE423" s="1219"/>
      <c r="AF423" s="1219"/>
      <c r="AG423" s="1219"/>
      <c r="AH423" s="1219"/>
      <c r="AI423" s="1219"/>
      <c r="AJ423" s="1219"/>
      <c r="AK423" s="1219"/>
      <c r="AL423" s="1219"/>
      <c r="AM423" s="1219"/>
      <c r="AN423" s="1219"/>
      <c r="AO423" s="1219"/>
      <c r="AP423" s="1219"/>
      <c r="AQ423" s="1219"/>
    </row>
    <row r="424" spans="1:43" ht="30" customHeight="1" x14ac:dyDescent="0.25">
      <c r="A424" s="3">
        <f t="shared" si="20"/>
        <v>412</v>
      </c>
      <c r="B424" s="540" t="s">
        <v>162</v>
      </c>
      <c r="C424" s="540"/>
      <c r="D424" s="540"/>
      <c r="E424" s="1264"/>
      <c r="F424" s="1264"/>
      <c r="G424" s="1264"/>
      <c r="H424" s="540"/>
      <c r="I424" s="540"/>
      <c r="J424" s="540"/>
      <c r="K424" s="540"/>
      <c r="L424" s="540"/>
      <c r="M424" s="540"/>
      <c r="N424" s="540"/>
      <c r="O424" s="540"/>
      <c r="P424" s="540"/>
      <c r="Q424" s="540"/>
      <c r="R424" s="540"/>
      <c r="S424" s="540"/>
      <c r="T424" s="540"/>
      <c r="U424" s="540"/>
      <c r="V424" s="540"/>
      <c r="W424" s="540"/>
      <c r="X424" s="540"/>
      <c r="Y424" s="540"/>
      <c r="Z424" s="540"/>
      <c r="AA424" s="540"/>
      <c r="AB424" s="540"/>
      <c r="AC424" s="540"/>
      <c r="AD424" s="540"/>
      <c r="AE424" s="540"/>
      <c r="AF424" s="540"/>
      <c r="AG424" s="540"/>
      <c r="AH424" s="540"/>
      <c r="AI424" s="540"/>
      <c r="AJ424" s="540"/>
      <c r="AK424" s="540"/>
      <c r="AL424" s="540"/>
      <c r="AM424" s="540"/>
      <c r="AN424" s="540"/>
      <c r="AO424" s="540"/>
      <c r="AP424" s="540"/>
      <c r="AQ424" s="540"/>
    </row>
    <row r="425" spans="1:43" ht="30" customHeight="1" x14ac:dyDescent="0.25">
      <c r="A425" s="3">
        <f t="shared" si="20"/>
        <v>413</v>
      </c>
      <c r="B425" s="1219" t="s">
        <v>162</v>
      </c>
      <c r="C425" s="1219"/>
      <c r="D425" s="1219"/>
      <c r="E425" s="1263"/>
      <c r="F425" s="1263"/>
      <c r="G425" s="1263"/>
      <c r="H425" s="1219"/>
      <c r="I425" s="1219"/>
      <c r="J425" s="1219"/>
      <c r="K425" s="1219"/>
      <c r="L425" s="1219"/>
      <c r="M425" s="1219"/>
      <c r="N425" s="1219"/>
      <c r="O425" s="1219"/>
      <c r="P425" s="1219"/>
      <c r="Q425" s="1219"/>
      <c r="R425" s="1219"/>
      <c r="S425" s="1219"/>
      <c r="T425" s="1219"/>
      <c r="U425" s="1219"/>
      <c r="V425" s="1219"/>
      <c r="W425" s="1219"/>
      <c r="X425" s="1219"/>
      <c r="Y425" s="1219"/>
      <c r="Z425" s="1219"/>
      <c r="AA425" s="1219"/>
      <c r="AB425" s="1219"/>
      <c r="AC425" s="1219"/>
      <c r="AD425" s="1219"/>
      <c r="AE425" s="1219"/>
      <c r="AF425" s="1219"/>
      <c r="AG425" s="1219"/>
      <c r="AH425" s="1219"/>
      <c r="AI425" s="1219"/>
      <c r="AJ425" s="1219"/>
      <c r="AK425" s="1219"/>
      <c r="AL425" s="1219"/>
      <c r="AM425" s="1219"/>
      <c r="AN425" s="1219"/>
      <c r="AO425" s="1219"/>
      <c r="AP425" s="1219"/>
      <c r="AQ425" s="1219"/>
    </row>
    <row r="426" spans="1:43" ht="30" customHeight="1" x14ac:dyDescent="0.25">
      <c r="A426" s="3">
        <f t="shared" si="20"/>
        <v>414</v>
      </c>
      <c r="B426" s="540" t="s">
        <v>162</v>
      </c>
      <c r="C426" s="540"/>
      <c r="D426" s="540"/>
      <c r="E426" s="1264"/>
      <c r="F426" s="1264"/>
      <c r="G426" s="1264"/>
      <c r="H426" s="540"/>
      <c r="I426" s="540"/>
      <c r="J426" s="540"/>
      <c r="K426" s="540"/>
      <c r="L426" s="540"/>
      <c r="M426" s="540"/>
      <c r="N426" s="540"/>
      <c r="O426" s="540"/>
      <c r="P426" s="540"/>
      <c r="Q426" s="540"/>
      <c r="R426" s="540"/>
      <c r="S426" s="540"/>
      <c r="T426" s="540"/>
      <c r="U426" s="540"/>
      <c r="V426" s="540"/>
      <c r="W426" s="540"/>
      <c r="X426" s="540"/>
      <c r="Y426" s="540"/>
      <c r="Z426" s="540"/>
      <c r="AA426" s="540"/>
      <c r="AB426" s="540"/>
      <c r="AC426" s="540"/>
      <c r="AD426" s="540"/>
      <c r="AE426" s="540"/>
      <c r="AF426" s="540"/>
      <c r="AG426" s="540"/>
      <c r="AH426" s="540"/>
      <c r="AI426" s="540"/>
      <c r="AJ426" s="540"/>
      <c r="AK426" s="540"/>
      <c r="AL426" s="540"/>
      <c r="AM426" s="540"/>
      <c r="AN426" s="540"/>
      <c r="AO426" s="540"/>
      <c r="AP426" s="540"/>
      <c r="AQ426" s="540"/>
    </row>
    <row r="427" spans="1:43" ht="30" customHeight="1" x14ac:dyDescent="0.25">
      <c r="A427" s="3">
        <f t="shared" si="20"/>
        <v>415</v>
      </c>
      <c r="B427" s="1219" t="s">
        <v>162</v>
      </c>
      <c r="C427" s="1219"/>
      <c r="D427" s="1219"/>
      <c r="E427" s="1263"/>
      <c r="F427" s="1263"/>
      <c r="G427" s="1263"/>
      <c r="H427" s="1219"/>
      <c r="I427" s="1219"/>
      <c r="J427" s="1219"/>
      <c r="K427" s="1219"/>
      <c r="L427" s="1219"/>
      <c r="M427" s="1219"/>
      <c r="N427" s="1219"/>
      <c r="O427" s="1219"/>
      <c r="P427" s="1219"/>
      <c r="Q427" s="1219"/>
      <c r="R427" s="1219"/>
      <c r="S427" s="1219"/>
      <c r="T427" s="1219"/>
      <c r="U427" s="1219"/>
      <c r="V427" s="1219"/>
      <c r="W427" s="1219"/>
      <c r="X427" s="1219"/>
      <c r="Y427" s="1219"/>
      <c r="Z427" s="1219"/>
      <c r="AA427" s="1219"/>
      <c r="AB427" s="1219"/>
      <c r="AC427" s="1219"/>
      <c r="AD427" s="1219"/>
      <c r="AE427" s="1219"/>
      <c r="AF427" s="1219"/>
      <c r="AG427" s="1219"/>
      <c r="AH427" s="1219"/>
      <c r="AI427" s="1219"/>
      <c r="AJ427" s="1219"/>
      <c r="AK427" s="1219"/>
      <c r="AL427" s="1219"/>
      <c r="AM427" s="1219"/>
      <c r="AN427" s="1219"/>
      <c r="AO427" s="1219"/>
      <c r="AP427" s="1219"/>
      <c r="AQ427" s="1219"/>
    </row>
    <row r="428" spans="1:43" ht="30" customHeight="1" x14ac:dyDescent="0.25">
      <c r="A428" s="3">
        <f t="shared" si="20"/>
        <v>416</v>
      </c>
      <c r="B428" s="540" t="s">
        <v>162</v>
      </c>
      <c r="C428" s="540"/>
      <c r="D428" s="540"/>
      <c r="E428" s="1264"/>
      <c r="F428" s="1264"/>
      <c r="G428" s="1264"/>
      <c r="H428" s="540"/>
      <c r="I428" s="540"/>
      <c r="J428" s="540"/>
      <c r="K428" s="540"/>
      <c r="L428" s="540"/>
      <c r="M428" s="540"/>
      <c r="N428" s="540"/>
      <c r="O428" s="540"/>
      <c r="P428" s="540"/>
      <c r="Q428" s="540"/>
      <c r="R428" s="540"/>
      <c r="S428" s="540"/>
      <c r="T428" s="540"/>
      <c r="U428" s="540"/>
      <c r="V428" s="540"/>
      <c r="W428" s="540"/>
      <c r="X428" s="540"/>
      <c r="Y428" s="540"/>
      <c r="Z428" s="540"/>
      <c r="AA428" s="540"/>
      <c r="AB428" s="540"/>
      <c r="AC428" s="540"/>
      <c r="AD428" s="540"/>
      <c r="AE428" s="540"/>
      <c r="AF428" s="540"/>
      <c r="AG428" s="540"/>
      <c r="AH428" s="540"/>
      <c r="AI428" s="540"/>
      <c r="AJ428" s="540"/>
      <c r="AK428" s="540"/>
      <c r="AL428" s="540"/>
      <c r="AM428" s="540"/>
      <c r="AN428" s="540"/>
      <c r="AO428" s="540"/>
      <c r="AP428" s="540"/>
      <c r="AQ428" s="540"/>
    </row>
    <row r="429" spans="1:43" ht="30" customHeight="1" x14ac:dyDescent="0.25">
      <c r="A429" s="3">
        <f t="shared" si="20"/>
        <v>417</v>
      </c>
      <c r="B429" s="1219" t="s">
        <v>162</v>
      </c>
      <c r="C429" s="1219"/>
      <c r="D429" s="1219"/>
      <c r="E429" s="1263"/>
      <c r="F429" s="1263"/>
      <c r="G429" s="1263"/>
      <c r="H429" s="1219"/>
      <c r="I429" s="1219"/>
      <c r="J429" s="1219"/>
      <c r="K429" s="1219"/>
      <c r="L429" s="1219"/>
      <c r="M429" s="1219"/>
      <c r="N429" s="1219"/>
      <c r="O429" s="1219"/>
      <c r="P429" s="1219"/>
      <c r="Q429" s="1219"/>
      <c r="R429" s="1219"/>
      <c r="S429" s="1219"/>
      <c r="T429" s="1219"/>
      <c r="U429" s="1219"/>
      <c r="V429" s="1219"/>
      <c r="W429" s="1219"/>
      <c r="X429" s="1219"/>
      <c r="Y429" s="1219"/>
      <c r="Z429" s="1219"/>
      <c r="AA429" s="1219"/>
      <c r="AB429" s="1219"/>
      <c r="AC429" s="1219"/>
      <c r="AD429" s="1219"/>
      <c r="AE429" s="1219"/>
      <c r="AF429" s="1219"/>
      <c r="AG429" s="1219"/>
      <c r="AH429" s="1219"/>
      <c r="AI429" s="1219"/>
      <c r="AJ429" s="1219"/>
      <c r="AK429" s="1219"/>
      <c r="AL429" s="1219"/>
      <c r="AM429" s="1219"/>
      <c r="AN429" s="1219"/>
      <c r="AO429" s="1219"/>
      <c r="AP429" s="1219"/>
      <c r="AQ429" s="1219"/>
    </row>
    <row r="430" spans="1:43" ht="30" customHeight="1" x14ac:dyDescent="0.25">
      <c r="A430" s="3">
        <f t="shared" si="20"/>
        <v>418</v>
      </c>
      <c r="B430" s="540" t="s">
        <v>162</v>
      </c>
      <c r="C430" s="540"/>
      <c r="D430" s="540"/>
      <c r="E430" s="1264"/>
      <c r="F430" s="1264"/>
      <c r="G430" s="1264"/>
      <c r="H430" s="540"/>
      <c r="I430" s="540"/>
      <c r="J430" s="540"/>
      <c r="K430" s="540"/>
      <c r="L430" s="540"/>
      <c r="M430" s="540"/>
      <c r="N430" s="540"/>
      <c r="O430" s="540"/>
      <c r="P430" s="540"/>
      <c r="Q430" s="540"/>
      <c r="R430" s="540"/>
      <c r="S430" s="540"/>
      <c r="T430" s="540"/>
      <c r="U430" s="540"/>
      <c r="V430" s="540"/>
      <c r="W430" s="540"/>
      <c r="X430" s="540"/>
      <c r="Y430" s="540"/>
      <c r="Z430" s="540"/>
      <c r="AA430" s="540"/>
      <c r="AB430" s="540"/>
      <c r="AC430" s="540"/>
      <c r="AD430" s="540"/>
      <c r="AE430" s="540"/>
      <c r="AF430" s="540"/>
      <c r="AG430" s="540"/>
      <c r="AH430" s="540"/>
      <c r="AI430" s="540"/>
      <c r="AJ430" s="540"/>
      <c r="AK430" s="540"/>
      <c r="AL430" s="540"/>
      <c r="AM430" s="540"/>
      <c r="AN430" s="540"/>
      <c r="AO430" s="540"/>
      <c r="AP430" s="540"/>
      <c r="AQ430" s="540"/>
    </row>
    <row r="431" spans="1:43" ht="30" customHeight="1" x14ac:dyDescent="0.25">
      <c r="A431" s="3">
        <f t="shared" si="20"/>
        <v>419</v>
      </c>
      <c r="B431" s="1219" t="s">
        <v>162</v>
      </c>
      <c r="C431" s="1219"/>
      <c r="D431" s="1219"/>
      <c r="E431" s="1263"/>
      <c r="F431" s="1263"/>
      <c r="G431" s="1263"/>
      <c r="H431" s="1219"/>
      <c r="I431" s="1219"/>
      <c r="J431" s="1219"/>
      <c r="K431" s="1219"/>
      <c r="L431" s="1219"/>
      <c r="M431" s="1219"/>
      <c r="N431" s="1219"/>
      <c r="O431" s="1219"/>
      <c r="P431" s="1219"/>
      <c r="Q431" s="1219"/>
      <c r="R431" s="1219"/>
      <c r="S431" s="1219"/>
      <c r="T431" s="1219"/>
      <c r="U431" s="1219"/>
      <c r="V431" s="1219"/>
      <c r="W431" s="1219"/>
      <c r="X431" s="1219"/>
      <c r="Y431" s="1219"/>
      <c r="Z431" s="1219"/>
      <c r="AA431" s="1219"/>
      <c r="AB431" s="1219"/>
      <c r="AC431" s="1219"/>
      <c r="AD431" s="1219"/>
      <c r="AE431" s="1219"/>
      <c r="AF431" s="1219"/>
      <c r="AG431" s="1219"/>
      <c r="AH431" s="1219"/>
      <c r="AI431" s="1219"/>
      <c r="AJ431" s="1219"/>
      <c r="AK431" s="1219"/>
      <c r="AL431" s="1219"/>
      <c r="AM431" s="1219"/>
      <c r="AN431" s="1219"/>
      <c r="AO431" s="1219"/>
      <c r="AP431" s="1219"/>
      <c r="AQ431" s="1219"/>
    </row>
    <row r="432" spans="1:43" ht="30" customHeight="1" x14ac:dyDescent="0.25">
      <c r="A432" s="3">
        <f t="shared" si="20"/>
        <v>420</v>
      </c>
      <c r="B432" s="540" t="s">
        <v>162</v>
      </c>
      <c r="C432" s="540"/>
      <c r="D432" s="540"/>
      <c r="E432" s="1264"/>
      <c r="F432" s="1264"/>
      <c r="G432" s="1264"/>
      <c r="H432" s="540"/>
      <c r="I432" s="540"/>
      <c r="J432" s="540"/>
      <c r="K432" s="540"/>
      <c r="L432" s="540"/>
      <c r="M432" s="540"/>
      <c r="N432" s="540"/>
      <c r="O432" s="540"/>
      <c r="P432" s="540"/>
      <c r="Q432" s="540"/>
      <c r="R432" s="540"/>
      <c r="S432" s="540"/>
      <c r="T432" s="540"/>
      <c r="U432" s="540"/>
      <c r="V432" s="540"/>
      <c r="W432" s="540"/>
      <c r="X432" s="540"/>
      <c r="Y432" s="540"/>
      <c r="Z432" s="540"/>
      <c r="AA432" s="540"/>
      <c r="AB432" s="540"/>
      <c r="AC432" s="540"/>
      <c r="AD432" s="540"/>
      <c r="AE432" s="540"/>
      <c r="AF432" s="540"/>
      <c r="AG432" s="540"/>
      <c r="AH432" s="540"/>
      <c r="AI432" s="540"/>
      <c r="AJ432" s="540"/>
      <c r="AK432" s="540"/>
      <c r="AL432" s="540"/>
      <c r="AM432" s="540"/>
      <c r="AN432" s="540"/>
      <c r="AO432" s="540"/>
      <c r="AP432" s="540"/>
      <c r="AQ432" s="540"/>
    </row>
    <row r="433" spans="1:43" ht="30" customHeight="1" x14ac:dyDescent="0.25">
      <c r="A433" s="3">
        <f>ROW(A421)</f>
        <v>421</v>
      </c>
      <c r="B433" s="1219" t="s">
        <v>162</v>
      </c>
      <c r="C433" s="1219"/>
      <c r="D433" s="1219"/>
      <c r="E433" s="1263"/>
      <c r="F433" s="1263"/>
      <c r="G433" s="1263"/>
      <c r="H433" s="1219"/>
      <c r="I433" s="1219"/>
      <c r="J433" s="1219"/>
      <c r="K433" s="1219"/>
      <c r="L433" s="1219"/>
      <c r="M433" s="1219"/>
      <c r="N433" s="1219"/>
      <c r="O433" s="1219"/>
      <c r="P433" s="1219"/>
      <c r="Q433" s="1219"/>
      <c r="R433" s="1219"/>
      <c r="S433" s="1219"/>
      <c r="T433" s="1219"/>
      <c r="U433" s="1219"/>
      <c r="V433" s="1219"/>
      <c r="W433" s="1219"/>
      <c r="X433" s="1219"/>
      <c r="Y433" s="1219"/>
      <c r="Z433" s="1219"/>
      <c r="AA433" s="1219"/>
      <c r="AB433" s="1219"/>
      <c r="AC433" s="1219"/>
      <c r="AD433" s="1219"/>
      <c r="AE433" s="1219"/>
      <c r="AF433" s="1219"/>
      <c r="AG433" s="1219"/>
      <c r="AH433" s="1219"/>
      <c r="AI433" s="1219"/>
      <c r="AJ433" s="1219"/>
      <c r="AK433" s="1219"/>
      <c r="AL433" s="1219"/>
      <c r="AM433" s="1219"/>
      <c r="AN433" s="1219"/>
      <c r="AO433" s="1219"/>
      <c r="AP433" s="1219"/>
      <c r="AQ433" s="1219"/>
    </row>
    <row r="434" spans="1:43" ht="30" customHeight="1" x14ac:dyDescent="0.25">
      <c r="A434" s="3">
        <f t="shared" si="20"/>
        <v>422</v>
      </c>
      <c r="B434" s="540" t="s">
        <v>162</v>
      </c>
      <c r="C434" s="540"/>
      <c r="D434" s="540"/>
      <c r="E434" s="1264"/>
      <c r="F434" s="1264"/>
      <c r="G434" s="1264"/>
      <c r="H434" s="540"/>
      <c r="I434" s="540"/>
      <c r="J434" s="540"/>
      <c r="K434" s="540"/>
      <c r="L434" s="540"/>
      <c r="M434" s="540"/>
      <c r="N434" s="540"/>
      <c r="O434" s="540"/>
      <c r="P434" s="540"/>
      <c r="Q434" s="540"/>
      <c r="R434" s="540"/>
      <c r="S434" s="540"/>
      <c r="T434" s="540"/>
      <c r="U434" s="540"/>
      <c r="V434" s="540"/>
      <c r="W434" s="540"/>
      <c r="X434" s="540"/>
      <c r="Y434" s="540"/>
      <c r="Z434" s="540"/>
      <c r="AA434" s="540"/>
      <c r="AB434" s="540"/>
      <c r="AC434" s="540"/>
      <c r="AD434" s="540"/>
      <c r="AE434" s="540"/>
      <c r="AF434" s="540"/>
      <c r="AG434" s="540"/>
      <c r="AH434" s="540"/>
      <c r="AI434" s="540"/>
      <c r="AJ434" s="540"/>
      <c r="AK434" s="540"/>
      <c r="AL434" s="540"/>
      <c r="AM434" s="540"/>
      <c r="AN434" s="540"/>
      <c r="AO434" s="540"/>
      <c r="AP434" s="540"/>
      <c r="AQ434" s="540"/>
    </row>
    <row r="435" spans="1:43" ht="30" customHeight="1" x14ac:dyDescent="0.25">
      <c r="A435" s="3">
        <f t="shared" si="20"/>
        <v>423</v>
      </c>
      <c r="B435" s="1219" t="s">
        <v>162</v>
      </c>
      <c r="C435" s="1219"/>
      <c r="D435" s="1219"/>
      <c r="E435" s="1263"/>
      <c r="F435" s="1263"/>
      <c r="G435" s="1263"/>
      <c r="H435" s="1219"/>
      <c r="I435" s="1219"/>
      <c r="J435" s="1219"/>
      <c r="K435" s="1219"/>
      <c r="L435" s="1219"/>
      <c r="M435" s="1219"/>
      <c r="N435" s="1219"/>
      <c r="O435" s="1219"/>
      <c r="P435" s="1219"/>
      <c r="Q435" s="1219"/>
      <c r="R435" s="1219"/>
      <c r="S435" s="1219"/>
      <c r="T435" s="1219"/>
      <c r="U435" s="1219"/>
      <c r="V435" s="1219"/>
      <c r="W435" s="1219"/>
      <c r="X435" s="1219"/>
      <c r="Y435" s="1219"/>
      <c r="Z435" s="1219"/>
      <c r="AA435" s="1219"/>
      <c r="AB435" s="1219"/>
      <c r="AC435" s="1219"/>
      <c r="AD435" s="1219"/>
      <c r="AE435" s="1219"/>
      <c r="AF435" s="1219"/>
      <c r="AG435" s="1219"/>
      <c r="AH435" s="1219"/>
      <c r="AI435" s="1219"/>
      <c r="AJ435" s="1219"/>
      <c r="AK435" s="1219"/>
      <c r="AL435" s="1219"/>
      <c r="AM435" s="1219"/>
      <c r="AN435" s="1219"/>
      <c r="AO435" s="1219"/>
      <c r="AP435" s="1219"/>
      <c r="AQ435" s="1219"/>
    </row>
    <row r="436" spans="1:43" ht="30" customHeight="1" x14ac:dyDescent="0.25">
      <c r="A436" s="3">
        <f t="shared" si="20"/>
        <v>424</v>
      </c>
      <c r="B436" s="540" t="s">
        <v>162</v>
      </c>
      <c r="C436" s="540"/>
      <c r="D436" s="540"/>
      <c r="E436" s="1264"/>
      <c r="F436" s="1264"/>
      <c r="G436" s="1264"/>
      <c r="H436" s="540"/>
      <c r="I436" s="540"/>
      <c r="J436" s="540"/>
      <c r="K436" s="540"/>
      <c r="L436" s="540"/>
      <c r="M436" s="540"/>
      <c r="N436" s="540"/>
      <c r="O436" s="540"/>
      <c r="P436" s="540"/>
      <c r="Q436" s="540"/>
      <c r="R436" s="540"/>
      <c r="S436" s="540"/>
      <c r="T436" s="540"/>
      <c r="U436" s="540"/>
      <c r="V436" s="540"/>
      <c r="W436" s="540"/>
      <c r="X436" s="540"/>
      <c r="Y436" s="540"/>
      <c r="Z436" s="540"/>
      <c r="AA436" s="540"/>
      <c r="AB436" s="540"/>
      <c r="AC436" s="540"/>
      <c r="AD436" s="540"/>
      <c r="AE436" s="540"/>
      <c r="AF436" s="540"/>
      <c r="AG436" s="540"/>
      <c r="AH436" s="540"/>
      <c r="AI436" s="540"/>
      <c r="AJ436" s="540"/>
      <c r="AK436" s="540"/>
      <c r="AL436" s="540"/>
      <c r="AM436" s="540"/>
      <c r="AN436" s="540"/>
      <c r="AO436" s="540"/>
      <c r="AP436" s="540"/>
      <c r="AQ436" s="540"/>
    </row>
    <row r="437" spans="1:43" ht="30" customHeight="1" x14ac:dyDescent="0.25">
      <c r="A437" s="3">
        <f t="shared" si="20"/>
        <v>425</v>
      </c>
      <c r="B437" s="1219" t="s">
        <v>162</v>
      </c>
      <c r="C437" s="1219"/>
      <c r="D437" s="1219"/>
      <c r="E437" s="1263"/>
      <c r="F437" s="1263"/>
      <c r="G437" s="1263"/>
      <c r="H437" s="1219"/>
      <c r="I437" s="1219"/>
      <c r="J437" s="1219"/>
      <c r="K437" s="1219"/>
      <c r="L437" s="1219"/>
      <c r="M437" s="1219"/>
      <c r="N437" s="1219"/>
      <c r="O437" s="1219"/>
      <c r="P437" s="1219"/>
      <c r="Q437" s="1219"/>
      <c r="R437" s="1219"/>
      <c r="S437" s="1219"/>
      <c r="T437" s="1219"/>
      <c r="U437" s="1219"/>
      <c r="V437" s="1219"/>
      <c r="W437" s="1219"/>
      <c r="X437" s="1219"/>
      <c r="Y437" s="1219"/>
      <c r="Z437" s="1219"/>
      <c r="AA437" s="1219"/>
      <c r="AB437" s="1219"/>
      <c r="AC437" s="1219"/>
      <c r="AD437" s="1219"/>
      <c r="AE437" s="1219"/>
      <c r="AF437" s="1219"/>
      <c r="AG437" s="1219"/>
      <c r="AH437" s="1219"/>
      <c r="AI437" s="1219"/>
      <c r="AJ437" s="1219"/>
      <c r="AK437" s="1219"/>
      <c r="AL437" s="1219"/>
      <c r="AM437" s="1219"/>
      <c r="AN437" s="1219"/>
      <c r="AO437" s="1219"/>
      <c r="AP437" s="1219"/>
      <c r="AQ437" s="1219"/>
    </row>
    <row r="438" spans="1:43" ht="30" customHeight="1" x14ac:dyDescent="0.25">
      <c r="A438" s="3">
        <f t="shared" si="20"/>
        <v>426</v>
      </c>
      <c r="B438" s="540" t="s">
        <v>162</v>
      </c>
      <c r="C438" s="540"/>
      <c r="D438" s="540"/>
      <c r="E438" s="1264"/>
      <c r="F438" s="1264"/>
      <c r="G438" s="1264"/>
      <c r="H438" s="540"/>
      <c r="I438" s="540"/>
      <c r="J438" s="540"/>
      <c r="K438" s="540"/>
      <c r="L438" s="540"/>
      <c r="M438" s="540"/>
      <c r="N438" s="540"/>
      <c r="O438" s="540"/>
      <c r="P438" s="540"/>
      <c r="Q438" s="540"/>
      <c r="R438" s="540"/>
      <c r="S438" s="540"/>
      <c r="T438" s="540"/>
      <c r="U438" s="540"/>
      <c r="V438" s="540"/>
      <c r="W438" s="540"/>
      <c r="X438" s="540"/>
      <c r="Y438" s="540"/>
      <c r="Z438" s="540"/>
      <c r="AA438" s="540"/>
      <c r="AB438" s="540"/>
      <c r="AC438" s="540"/>
      <c r="AD438" s="540"/>
      <c r="AE438" s="540"/>
      <c r="AF438" s="540"/>
      <c r="AG438" s="540"/>
      <c r="AH438" s="540"/>
      <c r="AI438" s="540"/>
      <c r="AJ438" s="540"/>
      <c r="AK438" s="540"/>
      <c r="AL438" s="540"/>
      <c r="AM438" s="540"/>
      <c r="AN438" s="540"/>
      <c r="AO438" s="540"/>
      <c r="AP438" s="540"/>
      <c r="AQ438" s="540"/>
    </row>
    <row r="439" spans="1:43" ht="30" customHeight="1" x14ac:dyDescent="0.25">
      <c r="A439" s="3">
        <f t="shared" si="20"/>
        <v>427</v>
      </c>
      <c r="B439" s="1219" t="s">
        <v>162</v>
      </c>
      <c r="C439" s="1219"/>
      <c r="D439" s="1219"/>
      <c r="E439" s="1263"/>
      <c r="F439" s="1263"/>
      <c r="G439" s="1263"/>
      <c r="H439" s="1219"/>
      <c r="I439" s="1219"/>
      <c r="J439" s="1219"/>
      <c r="K439" s="1219"/>
      <c r="L439" s="1219"/>
      <c r="M439" s="1219"/>
      <c r="N439" s="1219"/>
      <c r="O439" s="1219"/>
      <c r="P439" s="1219"/>
      <c r="Q439" s="1219"/>
      <c r="R439" s="1219"/>
      <c r="S439" s="1219"/>
      <c r="T439" s="1219"/>
      <c r="U439" s="1219"/>
      <c r="V439" s="1219"/>
      <c r="W439" s="1219"/>
      <c r="X439" s="1219"/>
      <c r="Y439" s="1219"/>
      <c r="Z439" s="1219"/>
      <c r="AA439" s="1219"/>
      <c r="AB439" s="1219"/>
      <c r="AC439" s="1219"/>
      <c r="AD439" s="1219"/>
      <c r="AE439" s="1219"/>
      <c r="AF439" s="1219"/>
      <c r="AG439" s="1219"/>
      <c r="AH439" s="1219"/>
      <c r="AI439" s="1219"/>
      <c r="AJ439" s="1219"/>
      <c r="AK439" s="1219"/>
      <c r="AL439" s="1219"/>
      <c r="AM439" s="1219"/>
      <c r="AN439" s="1219"/>
      <c r="AO439" s="1219"/>
      <c r="AP439" s="1219"/>
      <c r="AQ439" s="1219"/>
    </row>
    <row r="440" spans="1:43" ht="30" customHeight="1" x14ac:dyDescent="0.25">
      <c r="A440" s="3">
        <f t="shared" si="20"/>
        <v>428</v>
      </c>
      <c r="B440" s="540" t="s">
        <v>162</v>
      </c>
      <c r="C440" s="540"/>
      <c r="D440" s="540"/>
      <c r="E440" s="1264"/>
      <c r="F440" s="1264"/>
      <c r="G440" s="1264"/>
      <c r="H440" s="540"/>
      <c r="I440" s="540"/>
      <c r="J440" s="540"/>
      <c r="K440" s="540"/>
      <c r="L440" s="540"/>
      <c r="M440" s="540"/>
      <c r="N440" s="540"/>
      <c r="O440" s="540"/>
      <c r="P440" s="540"/>
      <c r="Q440" s="540"/>
      <c r="R440" s="540"/>
      <c r="S440" s="540"/>
      <c r="T440" s="540"/>
      <c r="U440" s="540"/>
      <c r="V440" s="540"/>
      <c r="W440" s="540"/>
      <c r="X440" s="540"/>
      <c r="Y440" s="540"/>
      <c r="Z440" s="540"/>
      <c r="AA440" s="540"/>
      <c r="AB440" s="540"/>
      <c r="AC440" s="540"/>
      <c r="AD440" s="540"/>
      <c r="AE440" s="540"/>
      <c r="AF440" s="540"/>
      <c r="AG440" s="540"/>
      <c r="AH440" s="540"/>
      <c r="AI440" s="540"/>
      <c r="AJ440" s="540"/>
      <c r="AK440" s="540"/>
      <c r="AL440" s="540"/>
      <c r="AM440" s="540"/>
      <c r="AN440" s="540"/>
      <c r="AO440" s="540"/>
      <c r="AP440" s="540"/>
      <c r="AQ440" s="540"/>
    </row>
    <row r="441" spans="1:43" ht="30" customHeight="1" x14ac:dyDescent="0.25">
      <c r="A441" s="3">
        <f t="shared" si="20"/>
        <v>429</v>
      </c>
      <c r="B441" s="1219" t="s">
        <v>162</v>
      </c>
      <c r="C441" s="1219"/>
      <c r="D441" s="1219"/>
      <c r="E441" s="1263"/>
      <c r="F441" s="1263"/>
      <c r="G441" s="1263"/>
      <c r="H441" s="1219"/>
      <c r="I441" s="1219"/>
      <c r="J441" s="1219"/>
      <c r="K441" s="1219"/>
      <c r="L441" s="1219"/>
      <c r="M441" s="1219"/>
      <c r="N441" s="1219"/>
      <c r="O441" s="1219"/>
      <c r="P441" s="1219"/>
      <c r="Q441" s="1219"/>
      <c r="R441" s="1219"/>
      <c r="S441" s="1219"/>
      <c r="T441" s="1219"/>
      <c r="U441" s="1219"/>
      <c r="V441" s="1219"/>
      <c r="W441" s="1219"/>
      <c r="X441" s="1219"/>
      <c r="Y441" s="1219"/>
      <c r="Z441" s="1219"/>
      <c r="AA441" s="1219"/>
      <c r="AB441" s="1219"/>
      <c r="AC441" s="1219"/>
      <c r="AD441" s="1219"/>
      <c r="AE441" s="1219"/>
      <c r="AF441" s="1219"/>
      <c r="AG441" s="1219"/>
      <c r="AH441" s="1219"/>
      <c r="AI441" s="1219"/>
      <c r="AJ441" s="1219"/>
      <c r="AK441" s="1219"/>
      <c r="AL441" s="1219"/>
      <c r="AM441" s="1219"/>
      <c r="AN441" s="1219"/>
      <c r="AO441" s="1219"/>
      <c r="AP441" s="1219"/>
      <c r="AQ441" s="1219"/>
    </row>
    <row r="442" spans="1:43" ht="30" customHeight="1" x14ac:dyDescent="0.25">
      <c r="A442" s="3">
        <f t="shared" si="20"/>
        <v>430</v>
      </c>
      <c r="B442" s="540" t="s">
        <v>162</v>
      </c>
      <c r="C442" s="540"/>
      <c r="D442" s="540"/>
      <c r="E442" s="1264"/>
      <c r="F442" s="1264"/>
      <c r="G442" s="1264"/>
      <c r="H442" s="540"/>
      <c r="I442" s="540"/>
      <c r="J442" s="540"/>
      <c r="K442" s="540"/>
      <c r="L442" s="540"/>
      <c r="M442" s="540"/>
      <c r="N442" s="540"/>
      <c r="O442" s="540"/>
      <c r="P442" s="540"/>
      <c r="Q442" s="540"/>
      <c r="R442" s="540"/>
      <c r="S442" s="540"/>
      <c r="T442" s="540"/>
      <c r="U442" s="540"/>
      <c r="V442" s="540"/>
      <c r="W442" s="540"/>
      <c r="X442" s="540"/>
      <c r="Y442" s="540"/>
      <c r="Z442" s="540"/>
      <c r="AA442" s="540"/>
      <c r="AB442" s="540"/>
      <c r="AC442" s="540"/>
      <c r="AD442" s="540"/>
      <c r="AE442" s="540"/>
      <c r="AF442" s="540"/>
      <c r="AG442" s="540"/>
      <c r="AH442" s="540"/>
      <c r="AI442" s="540"/>
      <c r="AJ442" s="540"/>
      <c r="AK442" s="540"/>
      <c r="AL442" s="540"/>
      <c r="AM442" s="540"/>
      <c r="AN442" s="540"/>
      <c r="AO442" s="540"/>
      <c r="AP442" s="540"/>
      <c r="AQ442" s="540"/>
    </row>
    <row r="443" spans="1:43" ht="30" customHeight="1" x14ac:dyDescent="0.25">
      <c r="A443" s="3">
        <f>ROW(A431)</f>
        <v>431</v>
      </c>
      <c r="B443" s="1219" t="s">
        <v>162</v>
      </c>
      <c r="C443" s="1219"/>
      <c r="D443" s="1219"/>
      <c r="E443" s="1263"/>
      <c r="F443" s="1263"/>
      <c r="G443" s="1263"/>
      <c r="H443" s="1219"/>
      <c r="I443" s="1219"/>
      <c r="J443" s="1219"/>
      <c r="K443" s="1219"/>
      <c r="L443" s="1219"/>
      <c r="M443" s="1219"/>
      <c r="N443" s="1219"/>
      <c r="O443" s="1219"/>
      <c r="P443" s="1219"/>
      <c r="Q443" s="1219"/>
      <c r="R443" s="1219"/>
      <c r="S443" s="1219"/>
      <c r="T443" s="1219"/>
      <c r="U443" s="1219"/>
      <c r="V443" s="1219"/>
      <c r="W443" s="1219"/>
      <c r="X443" s="1219"/>
      <c r="Y443" s="1219"/>
      <c r="Z443" s="1219"/>
      <c r="AA443" s="1219"/>
      <c r="AB443" s="1219"/>
      <c r="AC443" s="1219"/>
      <c r="AD443" s="1219"/>
      <c r="AE443" s="1219"/>
      <c r="AF443" s="1219"/>
      <c r="AG443" s="1219"/>
      <c r="AH443" s="1219"/>
      <c r="AI443" s="1219"/>
      <c r="AJ443" s="1219"/>
      <c r="AK443" s="1219"/>
      <c r="AL443" s="1219"/>
      <c r="AM443" s="1219"/>
      <c r="AN443" s="1219"/>
      <c r="AO443" s="1219"/>
      <c r="AP443" s="1219"/>
      <c r="AQ443" s="1219"/>
    </row>
    <row r="444" spans="1:43" ht="30" customHeight="1" x14ac:dyDescent="0.25">
      <c r="A444" s="3">
        <f t="shared" si="20"/>
        <v>432</v>
      </c>
      <c r="B444" s="540" t="s">
        <v>162</v>
      </c>
      <c r="C444" s="540"/>
      <c r="D444" s="540"/>
      <c r="E444" s="1264"/>
      <c r="F444" s="1264"/>
      <c r="G444" s="1264"/>
      <c r="H444" s="540"/>
      <c r="I444" s="540"/>
      <c r="J444" s="540"/>
      <c r="K444" s="540"/>
      <c r="L444" s="540"/>
      <c r="M444" s="540"/>
      <c r="N444" s="540"/>
      <c r="O444" s="540"/>
      <c r="P444" s="540"/>
      <c r="Q444" s="540"/>
      <c r="R444" s="540"/>
      <c r="S444" s="540"/>
      <c r="T444" s="540"/>
      <c r="U444" s="540"/>
      <c r="V444" s="540"/>
      <c r="W444" s="540"/>
      <c r="X444" s="540"/>
      <c r="Y444" s="540"/>
      <c r="Z444" s="540"/>
      <c r="AA444" s="540"/>
      <c r="AB444" s="540"/>
      <c r="AC444" s="540"/>
      <c r="AD444" s="540"/>
      <c r="AE444" s="540"/>
      <c r="AF444" s="540"/>
      <c r="AG444" s="540"/>
      <c r="AH444" s="540"/>
      <c r="AI444" s="540"/>
      <c r="AJ444" s="540"/>
      <c r="AK444" s="540"/>
      <c r="AL444" s="540"/>
      <c r="AM444" s="540"/>
      <c r="AN444" s="540"/>
      <c r="AO444" s="540"/>
      <c r="AP444" s="540"/>
      <c r="AQ444" s="540"/>
    </row>
    <row r="445" spans="1:43" ht="30" customHeight="1" x14ac:dyDescent="0.25">
      <c r="A445" s="3">
        <f t="shared" si="20"/>
        <v>433</v>
      </c>
      <c r="B445" s="1219" t="s">
        <v>162</v>
      </c>
      <c r="C445" s="1219"/>
      <c r="D445" s="1219"/>
      <c r="E445" s="1263"/>
      <c r="F445" s="1263"/>
      <c r="G445" s="1263"/>
      <c r="H445" s="1219"/>
      <c r="I445" s="1219"/>
      <c r="J445" s="1219"/>
      <c r="K445" s="1219"/>
      <c r="L445" s="1219"/>
      <c r="M445" s="1219"/>
      <c r="N445" s="1219"/>
      <c r="O445" s="1219"/>
      <c r="P445" s="1219"/>
      <c r="Q445" s="1219"/>
      <c r="R445" s="1219"/>
      <c r="S445" s="1219"/>
      <c r="T445" s="1219"/>
      <c r="U445" s="1219"/>
      <c r="V445" s="1219"/>
      <c r="W445" s="1219"/>
      <c r="X445" s="1219"/>
      <c r="Y445" s="1219"/>
      <c r="Z445" s="1219"/>
      <c r="AA445" s="1219"/>
      <c r="AB445" s="1219"/>
      <c r="AC445" s="1219"/>
      <c r="AD445" s="1219"/>
      <c r="AE445" s="1219"/>
      <c r="AF445" s="1219"/>
      <c r="AG445" s="1219"/>
      <c r="AH445" s="1219"/>
      <c r="AI445" s="1219"/>
      <c r="AJ445" s="1219"/>
      <c r="AK445" s="1219"/>
      <c r="AL445" s="1219"/>
      <c r="AM445" s="1219"/>
      <c r="AN445" s="1219"/>
      <c r="AO445" s="1219"/>
      <c r="AP445" s="1219"/>
      <c r="AQ445" s="1219"/>
    </row>
    <row r="446" spans="1:43" ht="30" customHeight="1" x14ac:dyDescent="0.25">
      <c r="A446" s="3">
        <f t="shared" si="20"/>
        <v>434</v>
      </c>
      <c r="B446" s="540" t="s">
        <v>162</v>
      </c>
      <c r="C446" s="540"/>
      <c r="D446" s="540"/>
      <c r="E446" s="1264"/>
      <c r="F446" s="1264"/>
      <c r="G446" s="1264"/>
      <c r="H446" s="540"/>
      <c r="I446" s="540"/>
      <c r="J446" s="540"/>
      <c r="K446" s="540"/>
      <c r="L446" s="540"/>
      <c r="M446" s="540"/>
      <c r="N446" s="540"/>
      <c r="O446" s="540"/>
      <c r="P446" s="540"/>
      <c r="Q446" s="540"/>
      <c r="R446" s="540"/>
      <c r="S446" s="540"/>
      <c r="T446" s="540"/>
      <c r="U446" s="540"/>
      <c r="V446" s="540"/>
      <c r="W446" s="540"/>
      <c r="X446" s="540"/>
      <c r="Y446" s="540"/>
      <c r="Z446" s="540"/>
      <c r="AA446" s="540"/>
      <c r="AB446" s="540"/>
      <c r="AC446" s="540"/>
      <c r="AD446" s="540"/>
      <c r="AE446" s="540"/>
      <c r="AF446" s="540"/>
      <c r="AG446" s="540"/>
      <c r="AH446" s="540"/>
      <c r="AI446" s="540"/>
      <c r="AJ446" s="540"/>
      <c r="AK446" s="540"/>
      <c r="AL446" s="540"/>
      <c r="AM446" s="540"/>
      <c r="AN446" s="540"/>
      <c r="AO446" s="540"/>
      <c r="AP446" s="540"/>
      <c r="AQ446" s="540"/>
    </row>
    <row r="447" spans="1:43" ht="30" customHeight="1" x14ac:dyDescent="0.25">
      <c r="A447" s="3">
        <f t="shared" si="20"/>
        <v>435</v>
      </c>
      <c r="B447" s="1219" t="s">
        <v>162</v>
      </c>
      <c r="C447" s="1219"/>
      <c r="D447" s="1219"/>
      <c r="E447" s="1263"/>
      <c r="F447" s="1263"/>
      <c r="G447" s="1263"/>
      <c r="H447" s="1219"/>
      <c r="I447" s="1219"/>
      <c r="J447" s="1219"/>
      <c r="K447" s="1219"/>
      <c r="L447" s="1219"/>
      <c r="M447" s="1219"/>
      <c r="N447" s="1219"/>
      <c r="O447" s="1219"/>
      <c r="P447" s="1219"/>
      <c r="Q447" s="1219"/>
      <c r="R447" s="1219"/>
      <c r="S447" s="1219"/>
      <c r="T447" s="1219"/>
      <c r="U447" s="1219"/>
      <c r="V447" s="1219"/>
      <c r="W447" s="1219"/>
      <c r="X447" s="1219"/>
      <c r="Y447" s="1219"/>
      <c r="Z447" s="1219"/>
      <c r="AA447" s="1219"/>
      <c r="AB447" s="1219"/>
      <c r="AC447" s="1219"/>
      <c r="AD447" s="1219"/>
      <c r="AE447" s="1219"/>
      <c r="AF447" s="1219"/>
      <c r="AG447" s="1219"/>
      <c r="AH447" s="1219"/>
      <c r="AI447" s="1219"/>
      <c r="AJ447" s="1219"/>
      <c r="AK447" s="1219"/>
      <c r="AL447" s="1219"/>
      <c r="AM447" s="1219"/>
      <c r="AN447" s="1219"/>
      <c r="AO447" s="1219"/>
      <c r="AP447" s="1219"/>
      <c r="AQ447" s="1219"/>
    </row>
    <row r="448" spans="1:43" ht="30" customHeight="1" x14ac:dyDescent="0.25">
      <c r="A448" s="3">
        <f t="shared" si="20"/>
        <v>436</v>
      </c>
      <c r="B448" s="540" t="s">
        <v>162</v>
      </c>
      <c r="C448" s="540"/>
      <c r="D448" s="540"/>
      <c r="E448" s="1264"/>
      <c r="F448" s="1264"/>
      <c r="G448" s="1264"/>
      <c r="H448" s="540"/>
      <c r="I448" s="540"/>
      <c r="J448" s="540"/>
      <c r="K448" s="540"/>
      <c r="L448" s="540"/>
      <c r="M448" s="540"/>
      <c r="N448" s="540"/>
      <c r="O448" s="540"/>
      <c r="P448" s="540"/>
      <c r="Q448" s="540"/>
      <c r="R448" s="540"/>
      <c r="S448" s="540"/>
      <c r="T448" s="540"/>
      <c r="U448" s="540"/>
      <c r="V448" s="540"/>
      <c r="W448" s="540"/>
      <c r="X448" s="540"/>
      <c r="Y448" s="540"/>
      <c r="Z448" s="540"/>
      <c r="AA448" s="540"/>
      <c r="AB448" s="540"/>
      <c r="AC448" s="540"/>
      <c r="AD448" s="540"/>
      <c r="AE448" s="540"/>
      <c r="AF448" s="540"/>
      <c r="AG448" s="540"/>
      <c r="AH448" s="540"/>
      <c r="AI448" s="540"/>
      <c r="AJ448" s="540"/>
      <c r="AK448" s="540"/>
      <c r="AL448" s="540"/>
      <c r="AM448" s="540"/>
      <c r="AN448" s="540"/>
      <c r="AO448" s="540"/>
      <c r="AP448" s="540"/>
      <c r="AQ448" s="540"/>
    </row>
    <row r="449" spans="1:43" ht="30" customHeight="1" x14ac:dyDescent="0.25">
      <c r="A449" s="3">
        <f t="shared" si="20"/>
        <v>437</v>
      </c>
      <c r="B449" s="1219" t="s">
        <v>162</v>
      </c>
      <c r="C449" s="1219"/>
      <c r="D449" s="1219"/>
      <c r="E449" s="1263"/>
      <c r="F449" s="1263"/>
      <c r="G449" s="1263"/>
      <c r="H449" s="1219"/>
      <c r="I449" s="1219"/>
      <c r="J449" s="1219"/>
      <c r="K449" s="1219"/>
      <c r="L449" s="1219"/>
      <c r="M449" s="1219"/>
      <c r="N449" s="1219"/>
      <c r="O449" s="1219"/>
      <c r="P449" s="1219"/>
      <c r="Q449" s="1219"/>
      <c r="R449" s="1219"/>
      <c r="S449" s="1219"/>
      <c r="T449" s="1219"/>
      <c r="U449" s="1219"/>
      <c r="V449" s="1219"/>
      <c r="W449" s="1219"/>
      <c r="X449" s="1219"/>
      <c r="Y449" s="1219"/>
      <c r="Z449" s="1219"/>
      <c r="AA449" s="1219"/>
      <c r="AB449" s="1219"/>
      <c r="AC449" s="1219"/>
      <c r="AD449" s="1219"/>
      <c r="AE449" s="1219"/>
      <c r="AF449" s="1219"/>
      <c r="AG449" s="1219"/>
      <c r="AH449" s="1219"/>
      <c r="AI449" s="1219"/>
      <c r="AJ449" s="1219"/>
      <c r="AK449" s="1219"/>
      <c r="AL449" s="1219"/>
      <c r="AM449" s="1219"/>
      <c r="AN449" s="1219"/>
      <c r="AO449" s="1219"/>
      <c r="AP449" s="1219"/>
      <c r="AQ449" s="1219"/>
    </row>
    <row r="450" spans="1:43" ht="30" customHeight="1" x14ac:dyDescent="0.25">
      <c r="A450" s="3">
        <f t="shared" si="20"/>
        <v>438</v>
      </c>
      <c r="B450" s="540" t="s">
        <v>162</v>
      </c>
      <c r="C450" s="540"/>
      <c r="D450" s="540"/>
      <c r="E450" s="1264"/>
      <c r="F450" s="1264"/>
      <c r="G450" s="1264"/>
      <c r="H450" s="540"/>
      <c r="I450" s="540"/>
      <c r="J450" s="540"/>
      <c r="K450" s="540"/>
      <c r="L450" s="540"/>
      <c r="M450" s="540"/>
      <c r="N450" s="540"/>
      <c r="O450" s="540"/>
      <c r="P450" s="540"/>
      <c r="Q450" s="540"/>
      <c r="R450" s="540"/>
      <c r="S450" s="540"/>
      <c r="T450" s="540"/>
      <c r="U450" s="540"/>
      <c r="V450" s="540"/>
      <c r="W450" s="540"/>
      <c r="X450" s="540"/>
      <c r="Y450" s="540"/>
      <c r="Z450" s="540"/>
      <c r="AA450" s="540"/>
      <c r="AB450" s="540"/>
      <c r="AC450" s="540"/>
      <c r="AD450" s="540"/>
      <c r="AE450" s="540"/>
      <c r="AF450" s="540"/>
      <c r="AG450" s="540"/>
      <c r="AH450" s="540"/>
      <c r="AI450" s="540"/>
      <c r="AJ450" s="540"/>
      <c r="AK450" s="540"/>
      <c r="AL450" s="540"/>
      <c r="AM450" s="540"/>
      <c r="AN450" s="540"/>
      <c r="AO450" s="540"/>
      <c r="AP450" s="540"/>
      <c r="AQ450" s="540"/>
    </row>
    <row r="451" spans="1:43" ht="30" customHeight="1" x14ac:dyDescent="0.25">
      <c r="A451" s="3">
        <f t="shared" si="20"/>
        <v>439</v>
      </c>
      <c r="B451" s="1219" t="s">
        <v>162</v>
      </c>
      <c r="C451" s="1219"/>
      <c r="D451" s="1219"/>
      <c r="E451" s="1263"/>
      <c r="F451" s="1263"/>
      <c r="G451" s="1263"/>
      <c r="H451" s="1219"/>
      <c r="I451" s="1219"/>
      <c r="J451" s="1219"/>
      <c r="K451" s="1219"/>
      <c r="L451" s="1219"/>
      <c r="M451" s="1219"/>
      <c r="N451" s="1219"/>
      <c r="O451" s="1219"/>
      <c r="P451" s="1219"/>
      <c r="Q451" s="1219"/>
      <c r="R451" s="1219"/>
      <c r="S451" s="1219"/>
      <c r="T451" s="1219"/>
      <c r="U451" s="1219"/>
      <c r="V451" s="1219"/>
      <c r="W451" s="1219"/>
      <c r="X451" s="1219"/>
      <c r="Y451" s="1219"/>
      <c r="Z451" s="1219"/>
      <c r="AA451" s="1219"/>
      <c r="AB451" s="1219"/>
      <c r="AC451" s="1219"/>
      <c r="AD451" s="1219"/>
      <c r="AE451" s="1219"/>
      <c r="AF451" s="1219"/>
      <c r="AG451" s="1219"/>
      <c r="AH451" s="1219"/>
      <c r="AI451" s="1219"/>
      <c r="AJ451" s="1219"/>
      <c r="AK451" s="1219"/>
      <c r="AL451" s="1219"/>
      <c r="AM451" s="1219"/>
      <c r="AN451" s="1219"/>
      <c r="AO451" s="1219"/>
      <c r="AP451" s="1219"/>
      <c r="AQ451" s="1219"/>
    </row>
    <row r="452" spans="1:43" ht="30" customHeight="1" x14ac:dyDescent="0.25">
      <c r="A452" s="3">
        <f t="shared" si="20"/>
        <v>440</v>
      </c>
      <c r="B452" s="540" t="s">
        <v>162</v>
      </c>
      <c r="C452" s="540"/>
      <c r="D452" s="540"/>
      <c r="E452" s="1264"/>
      <c r="F452" s="1264"/>
      <c r="G452" s="1264"/>
      <c r="H452" s="540"/>
      <c r="I452" s="540"/>
      <c r="J452" s="540"/>
      <c r="K452" s="540"/>
      <c r="L452" s="540"/>
      <c r="M452" s="540"/>
      <c r="N452" s="540"/>
      <c r="O452" s="540"/>
      <c r="P452" s="540"/>
      <c r="Q452" s="540"/>
      <c r="R452" s="540"/>
      <c r="S452" s="540"/>
      <c r="T452" s="540"/>
      <c r="U452" s="540"/>
      <c r="V452" s="540"/>
      <c r="W452" s="540"/>
      <c r="X452" s="540"/>
      <c r="Y452" s="540"/>
      <c r="Z452" s="540"/>
      <c r="AA452" s="540"/>
      <c r="AB452" s="540"/>
      <c r="AC452" s="540"/>
      <c r="AD452" s="540"/>
      <c r="AE452" s="540"/>
      <c r="AF452" s="540"/>
      <c r="AG452" s="540"/>
      <c r="AH452" s="540"/>
      <c r="AI452" s="540"/>
      <c r="AJ452" s="540"/>
      <c r="AK452" s="540"/>
      <c r="AL452" s="540"/>
      <c r="AM452" s="540"/>
      <c r="AN452" s="540"/>
      <c r="AO452" s="540"/>
      <c r="AP452" s="540"/>
      <c r="AQ452" s="540"/>
    </row>
    <row r="453" spans="1:43" ht="30" customHeight="1" x14ac:dyDescent="0.25">
      <c r="A453" s="3">
        <f>ROW(A441)</f>
        <v>441</v>
      </c>
      <c r="B453" s="1219" t="s">
        <v>162</v>
      </c>
      <c r="C453" s="1219"/>
      <c r="D453" s="1219"/>
      <c r="E453" s="1263"/>
      <c r="F453" s="1263"/>
      <c r="G453" s="1263"/>
      <c r="H453" s="1219"/>
      <c r="I453" s="1219"/>
      <c r="J453" s="1219"/>
      <c r="K453" s="1219"/>
      <c r="L453" s="1219"/>
      <c r="M453" s="1219"/>
      <c r="N453" s="1219"/>
      <c r="O453" s="1219"/>
      <c r="P453" s="1219"/>
      <c r="Q453" s="1219"/>
      <c r="R453" s="1219"/>
      <c r="S453" s="1219"/>
      <c r="T453" s="1219"/>
      <c r="U453" s="1219"/>
      <c r="V453" s="1219"/>
      <c r="W453" s="1219"/>
      <c r="X453" s="1219"/>
      <c r="Y453" s="1219"/>
      <c r="Z453" s="1219"/>
      <c r="AA453" s="1219"/>
      <c r="AB453" s="1219"/>
      <c r="AC453" s="1219"/>
      <c r="AD453" s="1219"/>
      <c r="AE453" s="1219"/>
      <c r="AF453" s="1219"/>
      <c r="AG453" s="1219"/>
      <c r="AH453" s="1219"/>
      <c r="AI453" s="1219"/>
      <c r="AJ453" s="1219"/>
      <c r="AK453" s="1219"/>
      <c r="AL453" s="1219"/>
      <c r="AM453" s="1219"/>
      <c r="AN453" s="1219"/>
      <c r="AO453" s="1219"/>
      <c r="AP453" s="1219"/>
      <c r="AQ453" s="1219"/>
    </row>
    <row r="454" spans="1:43" ht="30" customHeight="1" x14ac:dyDescent="0.25">
      <c r="A454" s="3">
        <f t="shared" si="20"/>
        <v>442</v>
      </c>
      <c r="B454" s="540" t="s">
        <v>162</v>
      </c>
      <c r="C454" s="540"/>
      <c r="D454" s="540"/>
      <c r="E454" s="1264"/>
      <c r="F454" s="1264"/>
      <c r="G454" s="1264"/>
      <c r="H454" s="540"/>
      <c r="I454" s="540"/>
      <c r="J454" s="540"/>
      <c r="K454" s="540"/>
      <c r="L454" s="540"/>
      <c r="M454" s="540"/>
      <c r="N454" s="540"/>
      <c r="O454" s="540"/>
      <c r="P454" s="540"/>
      <c r="Q454" s="540"/>
      <c r="R454" s="540"/>
      <c r="S454" s="540"/>
      <c r="T454" s="540"/>
      <c r="U454" s="540"/>
      <c r="V454" s="540"/>
      <c r="W454" s="540"/>
      <c r="X454" s="540"/>
      <c r="Y454" s="540"/>
      <c r="Z454" s="540"/>
      <c r="AA454" s="540"/>
      <c r="AB454" s="540"/>
      <c r="AC454" s="540"/>
      <c r="AD454" s="540"/>
      <c r="AE454" s="540"/>
      <c r="AF454" s="540"/>
      <c r="AG454" s="540"/>
      <c r="AH454" s="540"/>
      <c r="AI454" s="540"/>
      <c r="AJ454" s="540"/>
      <c r="AK454" s="540"/>
      <c r="AL454" s="540"/>
      <c r="AM454" s="540"/>
      <c r="AN454" s="540"/>
      <c r="AO454" s="540"/>
      <c r="AP454" s="540"/>
      <c r="AQ454" s="540"/>
    </row>
    <row r="455" spans="1:43" ht="30" customHeight="1" x14ac:dyDescent="0.25">
      <c r="A455" s="3">
        <f t="shared" si="20"/>
        <v>443</v>
      </c>
      <c r="B455" s="1219" t="s">
        <v>162</v>
      </c>
      <c r="C455" s="1219"/>
      <c r="D455" s="1219"/>
      <c r="E455" s="1263"/>
      <c r="F455" s="1263"/>
      <c r="G455" s="1263"/>
      <c r="H455" s="1219"/>
      <c r="I455" s="1219"/>
      <c r="J455" s="1219"/>
      <c r="K455" s="1219"/>
      <c r="L455" s="1219"/>
      <c r="M455" s="1219"/>
      <c r="N455" s="1219"/>
      <c r="O455" s="1219"/>
      <c r="P455" s="1219"/>
      <c r="Q455" s="1219"/>
      <c r="R455" s="1219"/>
      <c r="S455" s="1219"/>
      <c r="T455" s="1219"/>
      <c r="U455" s="1219"/>
      <c r="V455" s="1219"/>
      <c r="W455" s="1219"/>
      <c r="X455" s="1219"/>
      <c r="Y455" s="1219"/>
      <c r="Z455" s="1219"/>
      <c r="AA455" s="1219"/>
      <c r="AB455" s="1219"/>
      <c r="AC455" s="1219"/>
      <c r="AD455" s="1219"/>
      <c r="AE455" s="1219"/>
      <c r="AF455" s="1219"/>
      <c r="AG455" s="1219"/>
      <c r="AH455" s="1219"/>
      <c r="AI455" s="1219"/>
      <c r="AJ455" s="1219"/>
      <c r="AK455" s="1219"/>
      <c r="AL455" s="1219"/>
      <c r="AM455" s="1219"/>
      <c r="AN455" s="1219"/>
      <c r="AO455" s="1219"/>
      <c r="AP455" s="1219"/>
      <c r="AQ455" s="1219"/>
    </row>
    <row r="456" spans="1:43" ht="30" customHeight="1" x14ac:dyDescent="0.25">
      <c r="A456" s="3">
        <f t="shared" si="20"/>
        <v>444</v>
      </c>
      <c r="B456" s="540" t="s">
        <v>162</v>
      </c>
      <c r="C456" s="540"/>
      <c r="D456" s="540"/>
      <c r="E456" s="1264"/>
      <c r="F456" s="1264"/>
      <c r="G456" s="1264"/>
      <c r="H456" s="540"/>
      <c r="I456" s="540"/>
      <c r="J456" s="540"/>
      <c r="K456" s="540"/>
      <c r="L456" s="540"/>
      <c r="M456" s="540"/>
      <c r="N456" s="540"/>
      <c r="O456" s="540"/>
      <c r="P456" s="540"/>
      <c r="Q456" s="540"/>
      <c r="R456" s="540"/>
      <c r="S456" s="540"/>
      <c r="T456" s="540"/>
      <c r="U456" s="540"/>
      <c r="V456" s="540"/>
      <c r="W456" s="540"/>
      <c r="X456" s="540"/>
      <c r="Y456" s="540"/>
      <c r="Z456" s="540"/>
      <c r="AA456" s="540"/>
      <c r="AB456" s="540"/>
      <c r="AC456" s="540"/>
      <c r="AD456" s="540"/>
      <c r="AE456" s="540"/>
      <c r="AF456" s="540"/>
      <c r="AG456" s="540"/>
      <c r="AH456" s="540"/>
      <c r="AI456" s="540"/>
      <c r="AJ456" s="540"/>
      <c r="AK456" s="540"/>
      <c r="AL456" s="540"/>
      <c r="AM456" s="540"/>
      <c r="AN456" s="540"/>
      <c r="AO456" s="540"/>
      <c r="AP456" s="540"/>
      <c r="AQ456" s="540"/>
    </row>
    <row r="457" spans="1:43" ht="30" customHeight="1" x14ac:dyDescent="0.25">
      <c r="A457" s="3">
        <f t="shared" si="20"/>
        <v>445</v>
      </c>
      <c r="B457" s="1219" t="s">
        <v>162</v>
      </c>
      <c r="C457" s="1219"/>
      <c r="D457" s="1219"/>
      <c r="E457" s="1263"/>
      <c r="F457" s="1263"/>
      <c r="G457" s="1263"/>
      <c r="H457" s="1219"/>
      <c r="I457" s="1219"/>
      <c r="J457" s="1219"/>
      <c r="K457" s="1219"/>
      <c r="L457" s="1219"/>
      <c r="M457" s="1219"/>
      <c r="N457" s="1219"/>
      <c r="O457" s="1219"/>
      <c r="P457" s="1219"/>
      <c r="Q457" s="1219"/>
      <c r="R457" s="1219"/>
      <c r="S457" s="1219"/>
      <c r="T457" s="1219"/>
      <c r="U457" s="1219"/>
      <c r="V457" s="1219"/>
      <c r="W457" s="1219"/>
      <c r="X457" s="1219"/>
      <c r="Y457" s="1219"/>
      <c r="Z457" s="1219"/>
      <c r="AA457" s="1219"/>
      <c r="AB457" s="1219"/>
      <c r="AC457" s="1219"/>
      <c r="AD457" s="1219"/>
      <c r="AE457" s="1219"/>
      <c r="AF457" s="1219"/>
      <c r="AG457" s="1219"/>
      <c r="AH457" s="1219"/>
      <c r="AI457" s="1219"/>
      <c r="AJ457" s="1219"/>
      <c r="AK457" s="1219"/>
      <c r="AL457" s="1219"/>
      <c r="AM457" s="1219"/>
      <c r="AN457" s="1219"/>
      <c r="AO457" s="1219"/>
      <c r="AP457" s="1219"/>
      <c r="AQ457" s="1219"/>
    </row>
    <row r="458" spans="1:43" ht="30" customHeight="1" x14ac:dyDescent="0.25">
      <c r="A458" s="3">
        <f t="shared" si="20"/>
        <v>446</v>
      </c>
      <c r="B458" s="540" t="s">
        <v>162</v>
      </c>
      <c r="C458" s="540"/>
      <c r="D458" s="540"/>
      <c r="E458" s="1264"/>
      <c r="F458" s="1264"/>
      <c r="G458" s="1264"/>
      <c r="H458" s="540"/>
      <c r="I458" s="540"/>
      <c r="J458" s="540"/>
      <c r="K458" s="540"/>
      <c r="L458" s="540"/>
      <c r="M458" s="540"/>
      <c r="N458" s="540"/>
      <c r="O458" s="540"/>
      <c r="P458" s="540"/>
      <c r="Q458" s="540"/>
      <c r="R458" s="540"/>
      <c r="S458" s="540"/>
      <c r="T458" s="540"/>
      <c r="U458" s="540"/>
      <c r="V458" s="540"/>
      <c r="W458" s="540"/>
      <c r="X458" s="540"/>
      <c r="Y458" s="540"/>
      <c r="Z458" s="540"/>
      <c r="AA458" s="540"/>
      <c r="AB458" s="540"/>
      <c r="AC458" s="540"/>
      <c r="AD458" s="540"/>
      <c r="AE458" s="540"/>
      <c r="AF458" s="540"/>
      <c r="AG458" s="540"/>
      <c r="AH458" s="540"/>
      <c r="AI458" s="540"/>
      <c r="AJ458" s="540"/>
      <c r="AK458" s="540"/>
      <c r="AL458" s="540"/>
      <c r="AM458" s="540"/>
      <c r="AN458" s="540"/>
      <c r="AO458" s="540"/>
      <c r="AP458" s="540"/>
      <c r="AQ458" s="540"/>
    </row>
    <row r="459" spans="1:43" ht="30" customHeight="1" x14ac:dyDescent="0.25">
      <c r="A459" s="3">
        <f t="shared" si="20"/>
        <v>447</v>
      </c>
      <c r="B459" s="1219" t="s">
        <v>162</v>
      </c>
      <c r="C459" s="1219"/>
      <c r="D459" s="1219"/>
      <c r="E459" s="1263"/>
      <c r="F459" s="1263"/>
      <c r="G459" s="1263"/>
      <c r="H459" s="1219"/>
      <c r="I459" s="1219"/>
      <c r="J459" s="1219"/>
      <c r="K459" s="1219"/>
      <c r="L459" s="1219"/>
      <c r="M459" s="1219"/>
      <c r="N459" s="1219"/>
      <c r="O459" s="1219"/>
      <c r="P459" s="1219"/>
      <c r="Q459" s="1219"/>
      <c r="R459" s="1219"/>
      <c r="S459" s="1219"/>
      <c r="T459" s="1219"/>
      <c r="U459" s="1219"/>
      <c r="V459" s="1219"/>
      <c r="W459" s="1219"/>
      <c r="X459" s="1219"/>
      <c r="Y459" s="1219"/>
      <c r="Z459" s="1219"/>
      <c r="AA459" s="1219"/>
      <c r="AB459" s="1219"/>
      <c r="AC459" s="1219"/>
      <c r="AD459" s="1219"/>
      <c r="AE459" s="1219"/>
      <c r="AF459" s="1219"/>
      <c r="AG459" s="1219"/>
      <c r="AH459" s="1219"/>
      <c r="AI459" s="1219"/>
      <c r="AJ459" s="1219"/>
      <c r="AK459" s="1219"/>
      <c r="AL459" s="1219"/>
      <c r="AM459" s="1219"/>
      <c r="AN459" s="1219"/>
      <c r="AO459" s="1219"/>
      <c r="AP459" s="1219"/>
      <c r="AQ459" s="1219"/>
    </row>
    <row r="460" spans="1:43" ht="30" customHeight="1" x14ac:dyDescent="0.25">
      <c r="A460" s="3">
        <f t="shared" si="20"/>
        <v>448</v>
      </c>
      <c r="B460" s="540" t="s">
        <v>162</v>
      </c>
      <c r="C460" s="540"/>
      <c r="D460" s="540"/>
      <c r="E460" s="1264"/>
      <c r="F460" s="1264"/>
      <c r="G460" s="1264"/>
      <c r="H460" s="540"/>
      <c r="I460" s="540"/>
      <c r="J460" s="540"/>
      <c r="K460" s="540"/>
      <c r="L460" s="540"/>
      <c r="M460" s="540"/>
      <c r="N460" s="540"/>
      <c r="O460" s="540"/>
      <c r="P460" s="540"/>
      <c r="Q460" s="540"/>
      <c r="R460" s="540"/>
      <c r="S460" s="540"/>
      <c r="T460" s="540"/>
      <c r="U460" s="540"/>
      <c r="V460" s="540"/>
      <c r="W460" s="540"/>
      <c r="X460" s="540"/>
      <c r="Y460" s="540"/>
      <c r="Z460" s="540"/>
      <c r="AA460" s="540"/>
      <c r="AB460" s="540"/>
      <c r="AC460" s="540"/>
      <c r="AD460" s="540"/>
      <c r="AE460" s="540"/>
      <c r="AF460" s="540"/>
      <c r="AG460" s="540"/>
      <c r="AH460" s="540"/>
      <c r="AI460" s="540"/>
      <c r="AJ460" s="540"/>
      <c r="AK460" s="540"/>
      <c r="AL460" s="540"/>
      <c r="AM460" s="540"/>
      <c r="AN460" s="540"/>
      <c r="AO460" s="540"/>
      <c r="AP460" s="540"/>
      <c r="AQ460" s="540"/>
    </row>
    <row r="461" spans="1:43" ht="30" customHeight="1" x14ac:dyDescent="0.25">
      <c r="A461" s="3">
        <f t="shared" si="20"/>
        <v>449</v>
      </c>
      <c r="B461" s="1219" t="s">
        <v>162</v>
      </c>
      <c r="C461" s="1219"/>
      <c r="D461" s="1219"/>
      <c r="E461" s="1263"/>
      <c r="F461" s="1263"/>
      <c r="G461" s="1263"/>
      <c r="H461" s="1219"/>
      <c r="I461" s="1219"/>
      <c r="J461" s="1219"/>
      <c r="K461" s="1219"/>
      <c r="L461" s="1219"/>
      <c r="M461" s="1219"/>
      <c r="N461" s="1219"/>
      <c r="O461" s="1219"/>
      <c r="P461" s="1219"/>
      <c r="Q461" s="1219"/>
      <c r="R461" s="1219"/>
      <c r="S461" s="1219"/>
      <c r="T461" s="1219"/>
      <c r="U461" s="1219"/>
      <c r="V461" s="1219"/>
      <c r="W461" s="1219"/>
      <c r="X461" s="1219"/>
      <c r="Y461" s="1219"/>
      <c r="Z461" s="1219"/>
      <c r="AA461" s="1219"/>
      <c r="AB461" s="1219"/>
      <c r="AC461" s="1219"/>
      <c r="AD461" s="1219"/>
      <c r="AE461" s="1219"/>
      <c r="AF461" s="1219"/>
      <c r="AG461" s="1219"/>
      <c r="AH461" s="1219"/>
      <c r="AI461" s="1219"/>
      <c r="AJ461" s="1219"/>
      <c r="AK461" s="1219"/>
      <c r="AL461" s="1219"/>
      <c r="AM461" s="1219"/>
      <c r="AN461" s="1219"/>
      <c r="AO461" s="1219"/>
      <c r="AP461" s="1219"/>
      <c r="AQ461" s="1219"/>
    </row>
    <row r="462" spans="1:43" ht="30" customHeight="1" x14ac:dyDescent="0.25">
      <c r="A462" s="3">
        <f t="shared" si="20"/>
        <v>450</v>
      </c>
      <c r="B462" s="540" t="s">
        <v>162</v>
      </c>
      <c r="C462" s="540"/>
      <c r="D462" s="540"/>
      <c r="E462" s="1264"/>
      <c r="F462" s="1264"/>
      <c r="G462" s="1264"/>
      <c r="H462" s="540"/>
      <c r="I462" s="540"/>
      <c r="J462" s="540"/>
      <c r="K462" s="540"/>
      <c r="L462" s="540"/>
      <c r="M462" s="540"/>
      <c r="N462" s="540"/>
      <c r="O462" s="540"/>
      <c r="P462" s="540"/>
      <c r="Q462" s="540"/>
      <c r="R462" s="540"/>
      <c r="S462" s="540"/>
      <c r="T462" s="540"/>
      <c r="U462" s="540"/>
      <c r="V462" s="540"/>
      <c r="W462" s="540"/>
      <c r="X462" s="540"/>
      <c r="Y462" s="540"/>
      <c r="Z462" s="540"/>
      <c r="AA462" s="540"/>
      <c r="AB462" s="540"/>
      <c r="AC462" s="540"/>
      <c r="AD462" s="540"/>
      <c r="AE462" s="540"/>
      <c r="AF462" s="540"/>
      <c r="AG462" s="540"/>
      <c r="AH462" s="540"/>
      <c r="AI462" s="540"/>
      <c r="AJ462" s="540"/>
      <c r="AK462" s="540"/>
      <c r="AL462" s="540"/>
      <c r="AM462" s="540"/>
      <c r="AN462" s="540"/>
      <c r="AO462" s="540"/>
      <c r="AP462" s="540"/>
      <c r="AQ462" s="540"/>
    </row>
    <row r="463" spans="1:43" ht="30" customHeight="1" x14ac:dyDescent="0.25">
      <c r="A463" s="3">
        <f>ROW(A451)</f>
        <v>451</v>
      </c>
      <c r="B463" s="1219" t="s">
        <v>162</v>
      </c>
      <c r="C463" s="1219"/>
      <c r="D463" s="1219"/>
      <c r="E463" s="1263"/>
      <c r="F463" s="1263"/>
      <c r="G463" s="1263"/>
      <c r="H463" s="1219"/>
      <c r="I463" s="1219"/>
      <c r="J463" s="1219"/>
      <c r="K463" s="1219"/>
      <c r="L463" s="1219"/>
      <c r="M463" s="1219"/>
      <c r="N463" s="1219"/>
      <c r="O463" s="1219"/>
      <c r="P463" s="1219"/>
      <c r="Q463" s="1219"/>
      <c r="R463" s="1219"/>
      <c r="S463" s="1219"/>
      <c r="T463" s="1219"/>
      <c r="U463" s="1219"/>
      <c r="V463" s="1219"/>
      <c r="W463" s="1219"/>
      <c r="X463" s="1219"/>
      <c r="Y463" s="1219"/>
      <c r="Z463" s="1219"/>
      <c r="AA463" s="1219"/>
      <c r="AB463" s="1219"/>
      <c r="AC463" s="1219"/>
      <c r="AD463" s="1219"/>
      <c r="AE463" s="1219"/>
      <c r="AF463" s="1219"/>
      <c r="AG463" s="1219"/>
      <c r="AH463" s="1219"/>
      <c r="AI463" s="1219"/>
      <c r="AJ463" s="1219"/>
      <c r="AK463" s="1219"/>
      <c r="AL463" s="1219"/>
      <c r="AM463" s="1219"/>
      <c r="AN463" s="1219"/>
      <c r="AO463" s="1219"/>
      <c r="AP463" s="1219"/>
      <c r="AQ463" s="1219"/>
    </row>
    <row r="464" spans="1:43" ht="30" customHeight="1" x14ac:dyDescent="0.25">
      <c r="A464" s="3">
        <f t="shared" si="20"/>
        <v>452</v>
      </c>
      <c r="B464" s="540" t="s">
        <v>162</v>
      </c>
      <c r="C464" s="540"/>
      <c r="D464" s="540"/>
      <c r="E464" s="1264"/>
      <c r="F464" s="1264"/>
      <c r="G464" s="1264"/>
      <c r="H464" s="540"/>
      <c r="I464" s="540"/>
      <c r="J464" s="540"/>
      <c r="K464" s="540"/>
      <c r="L464" s="540"/>
      <c r="M464" s="540"/>
      <c r="N464" s="540"/>
      <c r="O464" s="540"/>
      <c r="P464" s="540"/>
      <c r="Q464" s="540"/>
      <c r="R464" s="540"/>
      <c r="S464" s="540"/>
      <c r="T464" s="540"/>
      <c r="U464" s="540"/>
      <c r="V464" s="540"/>
      <c r="W464" s="540"/>
      <c r="X464" s="540"/>
      <c r="Y464" s="540"/>
      <c r="Z464" s="540"/>
      <c r="AA464" s="540"/>
      <c r="AB464" s="540"/>
      <c r="AC464" s="540"/>
      <c r="AD464" s="540"/>
      <c r="AE464" s="540"/>
      <c r="AF464" s="540"/>
      <c r="AG464" s="540"/>
      <c r="AH464" s="540"/>
      <c r="AI464" s="540"/>
      <c r="AJ464" s="540"/>
      <c r="AK464" s="540"/>
      <c r="AL464" s="540"/>
      <c r="AM464" s="540"/>
      <c r="AN464" s="540"/>
      <c r="AO464" s="540"/>
      <c r="AP464" s="540"/>
      <c r="AQ464" s="540"/>
    </row>
    <row r="465" spans="1:43" ht="30" customHeight="1" x14ac:dyDescent="0.25">
      <c r="A465" s="3">
        <f t="shared" si="20"/>
        <v>453</v>
      </c>
      <c r="B465" s="1219" t="s">
        <v>162</v>
      </c>
      <c r="C465" s="1219"/>
      <c r="D465" s="1219"/>
      <c r="E465" s="1263"/>
      <c r="F465" s="1263"/>
      <c r="G465" s="1263"/>
      <c r="H465" s="1219"/>
      <c r="I465" s="1219"/>
      <c r="J465" s="1219"/>
      <c r="K465" s="1219"/>
      <c r="L465" s="1219"/>
      <c r="M465" s="1219"/>
      <c r="N465" s="1219"/>
      <c r="O465" s="1219"/>
      <c r="P465" s="1219"/>
      <c r="Q465" s="1219"/>
      <c r="R465" s="1219"/>
      <c r="S465" s="1219"/>
      <c r="T465" s="1219"/>
      <c r="U465" s="1219"/>
      <c r="V465" s="1219"/>
      <c r="W465" s="1219"/>
      <c r="X465" s="1219"/>
      <c r="Y465" s="1219"/>
      <c r="Z465" s="1219"/>
      <c r="AA465" s="1219"/>
      <c r="AB465" s="1219"/>
      <c r="AC465" s="1219"/>
      <c r="AD465" s="1219"/>
      <c r="AE465" s="1219"/>
      <c r="AF465" s="1219"/>
      <c r="AG465" s="1219"/>
      <c r="AH465" s="1219"/>
      <c r="AI465" s="1219"/>
      <c r="AJ465" s="1219"/>
      <c r="AK465" s="1219"/>
      <c r="AL465" s="1219"/>
      <c r="AM465" s="1219"/>
      <c r="AN465" s="1219"/>
      <c r="AO465" s="1219"/>
      <c r="AP465" s="1219"/>
      <c r="AQ465" s="1219"/>
    </row>
    <row r="466" spans="1:43" ht="30" customHeight="1" x14ac:dyDescent="0.25">
      <c r="A466" s="3">
        <f t="shared" si="20"/>
        <v>454</v>
      </c>
      <c r="B466" s="540" t="s">
        <v>162</v>
      </c>
      <c r="C466" s="540"/>
      <c r="D466" s="540"/>
      <c r="E466" s="1264"/>
      <c r="F466" s="1264"/>
      <c r="G466" s="1264"/>
      <c r="H466" s="540"/>
      <c r="I466" s="540"/>
      <c r="J466" s="540"/>
      <c r="K466" s="540"/>
      <c r="L466" s="540"/>
      <c r="M466" s="540"/>
      <c r="N466" s="540"/>
      <c r="O466" s="540"/>
      <c r="P466" s="540"/>
      <c r="Q466" s="540"/>
      <c r="R466" s="540"/>
      <c r="S466" s="540"/>
      <c r="T466" s="540"/>
      <c r="U466" s="540"/>
      <c r="V466" s="540"/>
      <c r="W466" s="540"/>
      <c r="X466" s="540"/>
      <c r="Y466" s="540"/>
      <c r="Z466" s="540"/>
      <c r="AA466" s="540"/>
      <c r="AB466" s="540"/>
      <c r="AC466" s="540"/>
      <c r="AD466" s="540"/>
      <c r="AE466" s="540"/>
      <c r="AF466" s="540"/>
      <c r="AG466" s="540"/>
      <c r="AH466" s="540"/>
      <c r="AI466" s="540"/>
      <c r="AJ466" s="540"/>
      <c r="AK466" s="540"/>
      <c r="AL466" s="540"/>
      <c r="AM466" s="540"/>
      <c r="AN466" s="540"/>
      <c r="AO466" s="540"/>
      <c r="AP466" s="540"/>
      <c r="AQ466" s="540"/>
    </row>
    <row r="467" spans="1:43" ht="30" customHeight="1" x14ac:dyDescent="0.25">
      <c r="A467" s="3">
        <f t="shared" si="20"/>
        <v>455</v>
      </c>
      <c r="B467" s="1219" t="s">
        <v>162</v>
      </c>
      <c r="C467" s="1219"/>
      <c r="D467" s="1219"/>
      <c r="E467" s="1263"/>
      <c r="F467" s="1263"/>
      <c r="G467" s="1263"/>
      <c r="H467" s="1219"/>
      <c r="I467" s="1219"/>
      <c r="J467" s="1219"/>
      <c r="K467" s="1219"/>
      <c r="L467" s="1219"/>
      <c r="M467" s="1219"/>
      <c r="N467" s="1219"/>
      <c r="O467" s="1219"/>
      <c r="P467" s="1219"/>
      <c r="Q467" s="1219"/>
      <c r="R467" s="1219"/>
      <c r="S467" s="1219"/>
      <c r="T467" s="1219"/>
      <c r="U467" s="1219"/>
      <c r="V467" s="1219"/>
      <c r="W467" s="1219"/>
      <c r="X467" s="1219"/>
      <c r="Y467" s="1219"/>
      <c r="Z467" s="1219"/>
      <c r="AA467" s="1219"/>
      <c r="AB467" s="1219"/>
      <c r="AC467" s="1219"/>
      <c r="AD467" s="1219"/>
      <c r="AE467" s="1219"/>
      <c r="AF467" s="1219"/>
      <c r="AG467" s="1219"/>
      <c r="AH467" s="1219"/>
      <c r="AI467" s="1219"/>
      <c r="AJ467" s="1219"/>
      <c r="AK467" s="1219"/>
      <c r="AL467" s="1219"/>
      <c r="AM467" s="1219"/>
      <c r="AN467" s="1219"/>
      <c r="AO467" s="1219"/>
      <c r="AP467" s="1219"/>
      <c r="AQ467" s="1219"/>
    </row>
    <row r="468" spans="1:43" ht="30" customHeight="1" x14ac:dyDescent="0.25">
      <c r="A468" s="3">
        <f t="shared" si="20"/>
        <v>456</v>
      </c>
      <c r="B468" s="540" t="s">
        <v>162</v>
      </c>
      <c r="C468" s="540"/>
      <c r="D468" s="540"/>
      <c r="E468" s="1264"/>
      <c r="F468" s="1264"/>
      <c r="G468" s="1264"/>
      <c r="H468" s="540"/>
      <c r="I468" s="540"/>
      <c r="J468" s="540"/>
      <c r="K468" s="540"/>
      <c r="L468" s="540"/>
      <c r="M468" s="540"/>
      <c r="N468" s="540"/>
      <c r="O468" s="540"/>
      <c r="P468" s="540"/>
      <c r="Q468" s="540"/>
      <c r="R468" s="540"/>
      <c r="S468" s="540"/>
      <c r="T468" s="540"/>
      <c r="U468" s="540"/>
      <c r="V468" s="540"/>
      <c r="W468" s="540"/>
      <c r="X468" s="540"/>
      <c r="Y468" s="540"/>
      <c r="Z468" s="540"/>
      <c r="AA468" s="540"/>
      <c r="AB468" s="540"/>
      <c r="AC468" s="540"/>
      <c r="AD468" s="540"/>
      <c r="AE468" s="540"/>
      <c r="AF468" s="540"/>
      <c r="AG468" s="540"/>
      <c r="AH468" s="540"/>
      <c r="AI468" s="540"/>
      <c r="AJ468" s="540"/>
      <c r="AK468" s="540"/>
      <c r="AL468" s="540"/>
      <c r="AM468" s="540"/>
      <c r="AN468" s="540"/>
      <c r="AO468" s="540"/>
      <c r="AP468" s="540"/>
      <c r="AQ468" s="540"/>
    </row>
    <row r="469" spans="1:43" ht="30" customHeight="1" x14ac:dyDescent="0.25">
      <c r="A469" s="3">
        <f t="shared" si="20"/>
        <v>457</v>
      </c>
      <c r="B469" s="1219" t="s">
        <v>162</v>
      </c>
      <c r="C469" s="1219"/>
      <c r="D469" s="1219"/>
      <c r="E469" s="1263"/>
      <c r="F469" s="1263"/>
      <c r="G469" s="1263"/>
      <c r="H469" s="1219"/>
      <c r="I469" s="1219"/>
      <c r="J469" s="1219"/>
      <c r="K469" s="1219"/>
      <c r="L469" s="1219"/>
      <c r="M469" s="1219"/>
      <c r="N469" s="1219"/>
      <c r="O469" s="1219"/>
      <c r="P469" s="1219"/>
      <c r="Q469" s="1219"/>
      <c r="R469" s="1219"/>
      <c r="S469" s="1219"/>
      <c r="T469" s="1219"/>
      <c r="U469" s="1219"/>
      <c r="V469" s="1219"/>
      <c r="W469" s="1219"/>
      <c r="X469" s="1219"/>
      <c r="Y469" s="1219"/>
      <c r="Z469" s="1219"/>
      <c r="AA469" s="1219"/>
      <c r="AB469" s="1219"/>
      <c r="AC469" s="1219"/>
      <c r="AD469" s="1219"/>
      <c r="AE469" s="1219"/>
      <c r="AF469" s="1219"/>
      <c r="AG469" s="1219"/>
      <c r="AH469" s="1219"/>
      <c r="AI469" s="1219"/>
      <c r="AJ469" s="1219"/>
      <c r="AK469" s="1219"/>
      <c r="AL469" s="1219"/>
      <c r="AM469" s="1219"/>
      <c r="AN469" s="1219"/>
      <c r="AO469" s="1219"/>
      <c r="AP469" s="1219"/>
      <c r="AQ469" s="1219"/>
    </row>
    <row r="470" spans="1:43" ht="30" customHeight="1" x14ac:dyDescent="0.25">
      <c r="A470" s="3">
        <f t="shared" si="20"/>
        <v>458</v>
      </c>
      <c r="B470" s="540" t="s">
        <v>162</v>
      </c>
      <c r="C470" s="540"/>
      <c r="D470" s="540"/>
      <c r="E470" s="1264"/>
      <c r="F470" s="1264"/>
      <c r="G470" s="1264"/>
      <c r="H470" s="540"/>
      <c r="I470" s="540"/>
      <c r="J470" s="540"/>
      <c r="K470" s="540"/>
      <c r="L470" s="540"/>
      <c r="M470" s="540"/>
      <c r="N470" s="540"/>
      <c r="O470" s="540"/>
      <c r="P470" s="540"/>
      <c r="Q470" s="540"/>
      <c r="R470" s="540"/>
      <c r="S470" s="540"/>
      <c r="T470" s="540"/>
      <c r="U470" s="540"/>
      <c r="V470" s="540"/>
      <c r="W470" s="540"/>
      <c r="X470" s="540"/>
      <c r="Y470" s="540"/>
      <c r="Z470" s="540"/>
      <c r="AA470" s="540"/>
      <c r="AB470" s="540"/>
      <c r="AC470" s="540"/>
      <c r="AD470" s="540"/>
      <c r="AE470" s="540"/>
      <c r="AF470" s="540"/>
      <c r="AG470" s="540"/>
      <c r="AH470" s="540"/>
      <c r="AI470" s="540"/>
      <c r="AJ470" s="540"/>
      <c r="AK470" s="540"/>
      <c r="AL470" s="540"/>
      <c r="AM470" s="540"/>
      <c r="AN470" s="540"/>
      <c r="AO470" s="540"/>
      <c r="AP470" s="540"/>
      <c r="AQ470" s="540"/>
    </row>
    <row r="471" spans="1:43" ht="30" customHeight="1" x14ac:dyDescent="0.25">
      <c r="A471" s="3">
        <f t="shared" si="20"/>
        <v>459</v>
      </c>
      <c r="B471" s="1219" t="s">
        <v>162</v>
      </c>
      <c r="C471" s="1219"/>
      <c r="D471" s="1219"/>
      <c r="E471" s="1263"/>
      <c r="F471" s="1263"/>
      <c r="G471" s="1263"/>
      <c r="H471" s="1219"/>
      <c r="I471" s="1219"/>
      <c r="J471" s="1219"/>
      <c r="K471" s="1219"/>
      <c r="L471" s="1219"/>
      <c r="M471" s="1219"/>
      <c r="N471" s="1219"/>
      <c r="O471" s="1219"/>
      <c r="P471" s="1219"/>
      <c r="Q471" s="1219"/>
      <c r="R471" s="1219"/>
      <c r="S471" s="1219"/>
      <c r="T471" s="1219"/>
      <c r="U471" s="1219"/>
      <c r="V471" s="1219"/>
      <c r="W471" s="1219"/>
      <c r="X471" s="1219"/>
      <c r="Y471" s="1219"/>
      <c r="Z471" s="1219"/>
      <c r="AA471" s="1219"/>
      <c r="AB471" s="1219"/>
      <c r="AC471" s="1219"/>
      <c r="AD471" s="1219"/>
      <c r="AE471" s="1219"/>
      <c r="AF471" s="1219"/>
      <c r="AG471" s="1219"/>
      <c r="AH471" s="1219"/>
      <c r="AI471" s="1219"/>
      <c r="AJ471" s="1219"/>
      <c r="AK471" s="1219"/>
      <c r="AL471" s="1219"/>
      <c r="AM471" s="1219"/>
      <c r="AN471" s="1219"/>
      <c r="AO471" s="1219"/>
      <c r="AP471" s="1219"/>
      <c r="AQ471" s="1219"/>
    </row>
    <row r="472" spans="1:43" ht="30" customHeight="1" x14ac:dyDescent="0.25">
      <c r="A472" s="3">
        <f t="shared" si="20"/>
        <v>460</v>
      </c>
      <c r="B472" s="540" t="s">
        <v>162</v>
      </c>
      <c r="C472" s="540"/>
      <c r="D472" s="540"/>
      <c r="E472" s="1264"/>
      <c r="F472" s="1264"/>
      <c r="G472" s="1264"/>
      <c r="H472" s="540"/>
      <c r="I472" s="540"/>
      <c r="J472" s="540"/>
      <c r="K472" s="540"/>
      <c r="L472" s="540"/>
      <c r="M472" s="540"/>
      <c r="N472" s="540"/>
      <c r="O472" s="540"/>
      <c r="P472" s="540"/>
      <c r="Q472" s="540"/>
      <c r="R472" s="540"/>
      <c r="S472" s="540"/>
      <c r="T472" s="540"/>
      <c r="U472" s="540"/>
      <c r="V472" s="540"/>
      <c r="W472" s="540"/>
      <c r="X472" s="540"/>
      <c r="Y472" s="540"/>
      <c r="Z472" s="540"/>
      <c r="AA472" s="540"/>
      <c r="AB472" s="540"/>
      <c r="AC472" s="540"/>
      <c r="AD472" s="540"/>
      <c r="AE472" s="540"/>
      <c r="AF472" s="540"/>
      <c r="AG472" s="540"/>
      <c r="AH472" s="540"/>
      <c r="AI472" s="540"/>
      <c r="AJ472" s="540"/>
      <c r="AK472" s="540"/>
      <c r="AL472" s="540"/>
      <c r="AM472" s="540"/>
      <c r="AN472" s="540"/>
      <c r="AO472" s="540"/>
      <c r="AP472" s="540"/>
      <c r="AQ472" s="540"/>
    </row>
    <row r="473" spans="1:43" ht="30" customHeight="1" x14ac:dyDescent="0.25">
      <c r="A473" s="3">
        <f>ROW(A461)</f>
        <v>461</v>
      </c>
      <c r="B473" s="1219" t="s">
        <v>162</v>
      </c>
      <c r="C473" s="1219"/>
      <c r="D473" s="1219"/>
      <c r="E473" s="1263"/>
      <c r="F473" s="1263"/>
      <c r="G473" s="1263"/>
      <c r="H473" s="1219"/>
      <c r="I473" s="1219"/>
      <c r="J473" s="1219"/>
      <c r="K473" s="1219"/>
      <c r="L473" s="1219"/>
      <c r="M473" s="1219"/>
      <c r="N473" s="1219"/>
      <c r="O473" s="1219"/>
      <c r="P473" s="1219"/>
      <c r="Q473" s="1219"/>
      <c r="R473" s="1219"/>
      <c r="S473" s="1219"/>
      <c r="T473" s="1219"/>
      <c r="U473" s="1219"/>
      <c r="V473" s="1219"/>
      <c r="W473" s="1219"/>
      <c r="X473" s="1219"/>
      <c r="Y473" s="1219"/>
      <c r="Z473" s="1219"/>
      <c r="AA473" s="1219"/>
      <c r="AB473" s="1219"/>
      <c r="AC473" s="1219"/>
      <c r="AD473" s="1219"/>
      <c r="AE473" s="1219"/>
      <c r="AF473" s="1219"/>
      <c r="AG473" s="1219"/>
      <c r="AH473" s="1219"/>
      <c r="AI473" s="1219"/>
      <c r="AJ473" s="1219"/>
      <c r="AK473" s="1219"/>
      <c r="AL473" s="1219"/>
      <c r="AM473" s="1219"/>
      <c r="AN473" s="1219"/>
      <c r="AO473" s="1219"/>
      <c r="AP473" s="1219"/>
      <c r="AQ473" s="1219"/>
    </row>
    <row r="474" spans="1:43" ht="30" customHeight="1" x14ac:dyDescent="0.25">
      <c r="A474" s="3">
        <f t="shared" si="20"/>
        <v>462</v>
      </c>
      <c r="B474" s="540" t="s">
        <v>162</v>
      </c>
      <c r="C474" s="540"/>
      <c r="D474" s="540"/>
      <c r="E474" s="1264"/>
      <c r="F474" s="1264"/>
      <c r="G474" s="1264"/>
      <c r="H474" s="540"/>
      <c r="I474" s="540"/>
      <c r="J474" s="540"/>
      <c r="K474" s="540"/>
      <c r="L474" s="540"/>
      <c r="M474" s="540"/>
      <c r="N474" s="540"/>
      <c r="O474" s="540"/>
      <c r="P474" s="540"/>
      <c r="Q474" s="540"/>
      <c r="R474" s="540"/>
      <c r="S474" s="540"/>
      <c r="T474" s="540"/>
      <c r="U474" s="540"/>
      <c r="V474" s="540"/>
      <c r="W474" s="540"/>
      <c r="X474" s="540"/>
      <c r="Y474" s="540"/>
      <c r="Z474" s="540"/>
      <c r="AA474" s="540"/>
      <c r="AB474" s="540"/>
      <c r="AC474" s="540"/>
      <c r="AD474" s="540"/>
      <c r="AE474" s="540"/>
      <c r="AF474" s="540"/>
      <c r="AG474" s="540"/>
      <c r="AH474" s="540"/>
      <c r="AI474" s="540"/>
      <c r="AJ474" s="540"/>
      <c r="AK474" s="540"/>
      <c r="AL474" s="540"/>
      <c r="AM474" s="540"/>
      <c r="AN474" s="540"/>
      <c r="AO474" s="540"/>
      <c r="AP474" s="540"/>
      <c r="AQ474" s="540"/>
    </row>
    <row r="475" spans="1:43" ht="30" customHeight="1" x14ac:dyDescent="0.25">
      <c r="A475" s="3">
        <f t="shared" si="20"/>
        <v>463</v>
      </c>
      <c r="B475" s="1219" t="s">
        <v>162</v>
      </c>
      <c r="C475" s="1219"/>
      <c r="D475" s="1219"/>
      <c r="E475" s="1263"/>
      <c r="F475" s="1263"/>
      <c r="G475" s="1263"/>
      <c r="H475" s="1219"/>
      <c r="I475" s="1219"/>
      <c r="J475" s="1219"/>
      <c r="K475" s="1219"/>
      <c r="L475" s="1219"/>
      <c r="M475" s="1219"/>
      <c r="N475" s="1219"/>
      <c r="O475" s="1219"/>
      <c r="P475" s="1219"/>
      <c r="Q475" s="1219"/>
      <c r="R475" s="1219"/>
      <c r="S475" s="1219"/>
      <c r="T475" s="1219"/>
      <c r="U475" s="1219"/>
      <c r="V475" s="1219"/>
      <c r="W475" s="1219"/>
      <c r="X475" s="1219"/>
      <c r="Y475" s="1219"/>
      <c r="Z475" s="1219"/>
      <c r="AA475" s="1219"/>
      <c r="AB475" s="1219"/>
      <c r="AC475" s="1219"/>
      <c r="AD475" s="1219"/>
      <c r="AE475" s="1219"/>
      <c r="AF475" s="1219"/>
      <c r="AG475" s="1219"/>
      <c r="AH475" s="1219"/>
      <c r="AI475" s="1219"/>
      <c r="AJ475" s="1219"/>
      <c r="AK475" s="1219"/>
      <c r="AL475" s="1219"/>
      <c r="AM475" s="1219"/>
      <c r="AN475" s="1219"/>
      <c r="AO475" s="1219"/>
      <c r="AP475" s="1219"/>
      <c r="AQ475" s="1219"/>
    </row>
    <row r="476" spans="1:43" ht="30" customHeight="1" x14ac:dyDescent="0.25">
      <c r="A476" s="3">
        <f t="shared" si="20"/>
        <v>464</v>
      </c>
      <c r="B476" s="540" t="s">
        <v>162</v>
      </c>
      <c r="C476" s="540"/>
      <c r="D476" s="540"/>
      <c r="E476" s="1264"/>
      <c r="F476" s="1264"/>
      <c r="G476" s="1264"/>
      <c r="H476" s="540"/>
      <c r="I476" s="540"/>
      <c r="J476" s="540"/>
      <c r="K476" s="540"/>
      <c r="L476" s="540"/>
      <c r="M476" s="540"/>
      <c r="N476" s="540"/>
      <c r="O476" s="540"/>
      <c r="P476" s="540"/>
      <c r="Q476" s="540"/>
      <c r="R476" s="540"/>
      <c r="S476" s="540"/>
      <c r="T476" s="540"/>
      <c r="U476" s="540"/>
      <c r="V476" s="540"/>
      <c r="W476" s="540"/>
      <c r="X476" s="540"/>
      <c r="Y476" s="540"/>
      <c r="Z476" s="540"/>
      <c r="AA476" s="540"/>
      <c r="AB476" s="540"/>
      <c r="AC476" s="540"/>
      <c r="AD476" s="540"/>
      <c r="AE476" s="540"/>
      <c r="AF476" s="540"/>
      <c r="AG476" s="540"/>
      <c r="AH476" s="540"/>
      <c r="AI476" s="540"/>
      <c r="AJ476" s="540"/>
      <c r="AK476" s="540"/>
      <c r="AL476" s="540"/>
      <c r="AM476" s="540"/>
      <c r="AN476" s="540"/>
      <c r="AO476" s="540"/>
      <c r="AP476" s="540"/>
      <c r="AQ476" s="540"/>
    </row>
    <row r="477" spans="1:43" ht="30" customHeight="1" x14ac:dyDescent="0.25">
      <c r="A477" s="3">
        <f t="shared" si="20"/>
        <v>465</v>
      </c>
      <c r="B477" s="1219" t="s">
        <v>162</v>
      </c>
      <c r="C477" s="1219"/>
      <c r="D477" s="1219"/>
      <c r="E477" s="1263"/>
      <c r="F477" s="1263"/>
      <c r="G477" s="1263"/>
      <c r="H477" s="1219"/>
      <c r="I477" s="1219"/>
      <c r="J477" s="1219"/>
      <c r="K477" s="1219"/>
      <c r="L477" s="1219"/>
      <c r="M477" s="1219"/>
      <c r="N477" s="1219"/>
      <c r="O477" s="1219"/>
      <c r="P477" s="1219"/>
      <c r="Q477" s="1219"/>
      <c r="R477" s="1219"/>
      <c r="S477" s="1219"/>
      <c r="T477" s="1219"/>
      <c r="U477" s="1219"/>
      <c r="V477" s="1219"/>
      <c r="W477" s="1219"/>
      <c r="X477" s="1219"/>
      <c r="Y477" s="1219"/>
      <c r="Z477" s="1219"/>
      <c r="AA477" s="1219"/>
      <c r="AB477" s="1219"/>
      <c r="AC477" s="1219"/>
      <c r="AD477" s="1219"/>
      <c r="AE477" s="1219"/>
      <c r="AF477" s="1219"/>
      <c r="AG477" s="1219"/>
      <c r="AH477" s="1219"/>
      <c r="AI477" s="1219"/>
      <c r="AJ477" s="1219"/>
      <c r="AK477" s="1219"/>
      <c r="AL477" s="1219"/>
      <c r="AM477" s="1219"/>
      <c r="AN477" s="1219"/>
      <c r="AO477" s="1219"/>
      <c r="AP477" s="1219"/>
      <c r="AQ477" s="1219"/>
    </row>
    <row r="478" spans="1:43" ht="30" customHeight="1" x14ac:dyDescent="0.25">
      <c r="A478" s="3">
        <f t="shared" ref="A478:A482" si="21">ROW(A466)</f>
        <v>466</v>
      </c>
      <c r="B478" s="540" t="s">
        <v>162</v>
      </c>
      <c r="C478" s="540"/>
      <c r="D478" s="540"/>
      <c r="E478" s="1264"/>
      <c r="F478" s="1264"/>
      <c r="G478" s="1264"/>
      <c r="H478" s="540"/>
      <c r="I478" s="540"/>
      <c r="J478" s="540"/>
      <c r="K478" s="540"/>
      <c r="L478" s="540"/>
      <c r="M478" s="540"/>
      <c r="N478" s="540"/>
      <c r="O478" s="540"/>
      <c r="P478" s="540"/>
      <c r="Q478" s="540"/>
      <c r="R478" s="540"/>
      <c r="S478" s="540"/>
      <c r="T478" s="540"/>
      <c r="U478" s="540"/>
      <c r="V478" s="540"/>
      <c r="W478" s="540"/>
      <c r="X478" s="540"/>
      <c r="Y478" s="540"/>
      <c r="Z478" s="540"/>
      <c r="AA478" s="540"/>
      <c r="AB478" s="540"/>
      <c r="AC478" s="540"/>
      <c r="AD478" s="540"/>
      <c r="AE478" s="540"/>
      <c r="AF478" s="540"/>
      <c r="AG478" s="540"/>
      <c r="AH478" s="540"/>
      <c r="AI478" s="540"/>
      <c r="AJ478" s="540"/>
      <c r="AK478" s="540"/>
      <c r="AL478" s="540"/>
      <c r="AM478" s="540"/>
      <c r="AN478" s="540"/>
      <c r="AO478" s="540"/>
      <c r="AP478" s="540"/>
      <c r="AQ478" s="540"/>
    </row>
    <row r="479" spans="1:43" ht="30" customHeight="1" x14ac:dyDescent="0.25">
      <c r="A479" s="3">
        <f t="shared" si="21"/>
        <v>467</v>
      </c>
      <c r="B479" s="1219" t="s">
        <v>162</v>
      </c>
      <c r="C479" s="1219"/>
      <c r="D479" s="1219"/>
      <c r="E479" s="1263"/>
      <c r="F479" s="1263"/>
      <c r="G479" s="1263"/>
      <c r="H479" s="1219"/>
      <c r="I479" s="1219"/>
      <c r="J479" s="1219"/>
      <c r="K479" s="1219"/>
      <c r="L479" s="1219"/>
      <c r="M479" s="1219"/>
      <c r="N479" s="1219"/>
      <c r="O479" s="1219"/>
      <c r="P479" s="1219"/>
      <c r="Q479" s="1219"/>
      <c r="R479" s="1219"/>
      <c r="S479" s="1219"/>
      <c r="T479" s="1219"/>
      <c r="U479" s="1219"/>
      <c r="V479" s="1219"/>
      <c r="W479" s="1219"/>
      <c r="X479" s="1219"/>
      <c r="Y479" s="1219"/>
      <c r="Z479" s="1219"/>
      <c r="AA479" s="1219"/>
      <c r="AB479" s="1219"/>
      <c r="AC479" s="1219"/>
      <c r="AD479" s="1219"/>
      <c r="AE479" s="1219"/>
      <c r="AF479" s="1219"/>
      <c r="AG479" s="1219"/>
      <c r="AH479" s="1219"/>
      <c r="AI479" s="1219"/>
      <c r="AJ479" s="1219"/>
      <c r="AK479" s="1219"/>
      <c r="AL479" s="1219"/>
      <c r="AM479" s="1219"/>
      <c r="AN479" s="1219"/>
      <c r="AO479" s="1219"/>
      <c r="AP479" s="1219"/>
      <c r="AQ479" s="1219"/>
    </row>
    <row r="480" spans="1:43" ht="30" customHeight="1" x14ac:dyDescent="0.25">
      <c r="A480" s="3">
        <f t="shared" si="21"/>
        <v>468</v>
      </c>
      <c r="B480" s="540" t="s">
        <v>162</v>
      </c>
      <c r="C480" s="540"/>
      <c r="D480" s="540"/>
      <c r="E480" s="1264"/>
      <c r="F480" s="1264"/>
      <c r="G480" s="1264"/>
      <c r="H480" s="540"/>
      <c r="I480" s="540"/>
      <c r="J480" s="540"/>
      <c r="K480" s="540"/>
      <c r="L480" s="540"/>
      <c r="M480" s="540"/>
      <c r="N480" s="540"/>
      <c r="O480" s="540"/>
      <c r="P480" s="540"/>
      <c r="Q480" s="540"/>
      <c r="R480" s="540"/>
      <c r="S480" s="540"/>
      <c r="T480" s="540"/>
      <c r="U480" s="540"/>
      <c r="V480" s="540"/>
      <c r="W480" s="540"/>
      <c r="X480" s="540"/>
      <c r="Y480" s="540"/>
      <c r="Z480" s="540"/>
      <c r="AA480" s="540"/>
      <c r="AB480" s="540"/>
      <c r="AC480" s="540"/>
      <c r="AD480" s="540"/>
      <c r="AE480" s="540"/>
      <c r="AF480" s="540"/>
      <c r="AG480" s="540"/>
      <c r="AH480" s="540"/>
      <c r="AI480" s="540"/>
      <c r="AJ480" s="540"/>
      <c r="AK480" s="540"/>
      <c r="AL480" s="540"/>
      <c r="AM480" s="540"/>
      <c r="AN480" s="540"/>
      <c r="AO480" s="540"/>
      <c r="AP480" s="540"/>
      <c r="AQ480" s="540"/>
    </row>
    <row r="481" spans="1:43" ht="30" customHeight="1" x14ac:dyDescent="0.25">
      <c r="A481" s="3">
        <f t="shared" si="21"/>
        <v>469</v>
      </c>
      <c r="B481" s="1219" t="s">
        <v>162</v>
      </c>
      <c r="C481" s="1219"/>
      <c r="D481" s="1219"/>
      <c r="E481" s="1263"/>
      <c r="F481" s="1263"/>
      <c r="G481" s="1263"/>
      <c r="H481" s="1219"/>
      <c r="I481" s="1219"/>
      <c r="J481" s="1219"/>
      <c r="K481" s="1219"/>
      <c r="L481" s="1219"/>
      <c r="M481" s="1219"/>
      <c r="N481" s="1219"/>
      <c r="O481" s="1219"/>
      <c r="P481" s="1219"/>
      <c r="Q481" s="1219"/>
      <c r="R481" s="1219"/>
      <c r="S481" s="1219"/>
      <c r="T481" s="1219"/>
      <c r="U481" s="1219"/>
      <c r="V481" s="1219"/>
      <c r="W481" s="1219"/>
      <c r="X481" s="1219"/>
      <c r="Y481" s="1219"/>
      <c r="Z481" s="1219"/>
      <c r="AA481" s="1219"/>
      <c r="AB481" s="1219"/>
      <c r="AC481" s="1219"/>
      <c r="AD481" s="1219"/>
      <c r="AE481" s="1219"/>
      <c r="AF481" s="1219"/>
      <c r="AG481" s="1219"/>
      <c r="AH481" s="1219"/>
      <c r="AI481" s="1219"/>
      <c r="AJ481" s="1219"/>
      <c r="AK481" s="1219"/>
      <c r="AL481" s="1219"/>
      <c r="AM481" s="1219"/>
      <c r="AN481" s="1219"/>
      <c r="AO481" s="1219"/>
      <c r="AP481" s="1219"/>
      <c r="AQ481" s="1219"/>
    </row>
    <row r="482" spans="1:43" ht="30" customHeight="1" x14ac:dyDescent="0.25">
      <c r="A482" s="3">
        <f t="shared" si="21"/>
        <v>470</v>
      </c>
      <c r="B482" s="540" t="s">
        <v>162</v>
      </c>
      <c r="C482" s="540"/>
      <c r="D482" s="540"/>
      <c r="E482" s="1264"/>
      <c r="F482" s="1264"/>
      <c r="G482" s="1264"/>
      <c r="H482" s="540"/>
      <c r="I482" s="540"/>
      <c r="J482" s="540"/>
      <c r="K482" s="540"/>
      <c r="L482" s="540"/>
      <c r="M482" s="540"/>
      <c r="N482" s="540"/>
      <c r="O482" s="540"/>
      <c r="P482" s="540"/>
      <c r="Q482" s="540"/>
      <c r="R482" s="540"/>
      <c r="S482" s="540"/>
      <c r="T482" s="540"/>
      <c r="U482" s="540"/>
      <c r="V482" s="540"/>
      <c r="W482" s="540"/>
      <c r="X482" s="540"/>
      <c r="Y482" s="540"/>
      <c r="Z482" s="540"/>
      <c r="AA482" s="540"/>
      <c r="AB482" s="540"/>
      <c r="AC482" s="540"/>
      <c r="AD482" s="540"/>
      <c r="AE482" s="540"/>
      <c r="AF482" s="540"/>
      <c r="AG482" s="540"/>
      <c r="AH482" s="540"/>
      <c r="AI482" s="540"/>
      <c r="AJ482" s="540"/>
      <c r="AK482" s="540"/>
      <c r="AL482" s="540"/>
      <c r="AM482" s="540"/>
      <c r="AN482" s="540"/>
      <c r="AO482" s="540"/>
      <c r="AP482" s="540"/>
      <c r="AQ482" s="540"/>
    </row>
    <row r="483" spans="1:43" ht="30" customHeight="1" x14ac:dyDescent="0.25">
      <c r="A483" s="3">
        <f>ROW(A471)</f>
        <v>471</v>
      </c>
      <c r="B483" s="1219" t="s">
        <v>162</v>
      </c>
      <c r="C483" s="1219"/>
      <c r="D483" s="1219"/>
      <c r="E483" s="1263"/>
      <c r="F483" s="1263"/>
      <c r="G483" s="1263"/>
      <c r="H483" s="1219"/>
      <c r="I483" s="1219"/>
      <c r="J483" s="1219"/>
      <c r="K483" s="1219"/>
      <c r="L483" s="1219"/>
      <c r="M483" s="1219"/>
      <c r="N483" s="1219"/>
      <c r="O483" s="1219"/>
      <c r="P483" s="1219"/>
      <c r="Q483" s="1219"/>
      <c r="R483" s="1219"/>
      <c r="S483" s="1219"/>
      <c r="T483" s="1219"/>
      <c r="U483" s="1219"/>
      <c r="V483" s="1219"/>
      <c r="W483" s="1219"/>
      <c r="X483" s="1219"/>
      <c r="Y483" s="1219"/>
      <c r="Z483" s="1219"/>
      <c r="AA483" s="1219"/>
      <c r="AB483" s="1219"/>
      <c r="AC483" s="1219"/>
      <c r="AD483" s="1219"/>
      <c r="AE483" s="1219"/>
      <c r="AF483" s="1219"/>
      <c r="AG483" s="1219"/>
      <c r="AH483" s="1219"/>
      <c r="AI483" s="1219"/>
      <c r="AJ483" s="1219"/>
      <c r="AK483" s="1219"/>
      <c r="AL483" s="1219"/>
      <c r="AM483" s="1219"/>
      <c r="AN483" s="1219"/>
      <c r="AO483" s="1219"/>
      <c r="AP483" s="1219"/>
      <c r="AQ483" s="1219"/>
    </row>
    <row r="484" spans="1:43" ht="30" customHeight="1" x14ac:dyDescent="0.25">
      <c r="A484" s="3">
        <f t="shared" ref="A484:A492" si="22">ROW(A472)</f>
        <v>472</v>
      </c>
      <c r="B484" s="540" t="s">
        <v>162</v>
      </c>
      <c r="C484" s="540"/>
      <c r="D484" s="540"/>
      <c r="E484" s="1264"/>
      <c r="F484" s="1264"/>
      <c r="G484" s="1264"/>
      <c r="H484" s="540"/>
      <c r="I484" s="540"/>
      <c r="J484" s="540"/>
      <c r="K484" s="540"/>
      <c r="L484" s="540"/>
      <c r="M484" s="540"/>
      <c r="N484" s="540"/>
      <c r="O484" s="540"/>
      <c r="P484" s="540"/>
      <c r="Q484" s="540"/>
      <c r="R484" s="540"/>
      <c r="S484" s="540"/>
      <c r="T484" s="540"/>
      <c r="U484" s="540"/>
      <c r="V484" s="540"/>
      <c r="W484" s="540"/>
      <c r="X484" s="540"/>
      <c r="Y484" s="540"/>
      <c r="Z484" s="540"/>
      <c r="AA484" s="540"/>
      <c r="AB484" s="540"/>
      <c r="AC484" s="540"/>
      <c r="AD484" s="540"/>
      <c r="AE484" s="540"/>
      <c r="AF484" s="540"/>
      <c r="AG484" s="540"/>
      <c r="AH484" s="540"/>
      <c r="AI484" s="540"/>
      <c r="AJ484" s="540"/>
      <c r="AK484" s="540"/>
      <c r="AL484" s="540"/>
      <c r="AM484" s="540"/>
      <c r="AN484" s="540"/>
      <c r="AO484" s="540"/>
      <c r="AP484" s="540"/>
      <c r="AQ484" s="540"/>
    </row>
    <row r="485" spans="1:43" ht="30" customHeight="1" x14ac:dyDescent="0.25">
      <c r="A485" s="3">
        <f t="shared" si="22"/>
        <v>473</v>
      </c>
      <c r="B485" s="1219" t="s">
        <v>162</v>
      </c>
      <c r="C485" s="1219"/>
      <c r="D485" s="1219"/>
      <c r="E485" s="1263"/>
      <c r="F485" s="1263"/>
      <c r="G485" s="1263"/>
      <c r="H485" s="1219"/>
      <c r="I485" s="1219"/>
      <c r="J485" s="1219"/>
      <c r="K485" s="1219"/>
      <c r="L485" s="1219"/>
      <c r="M485" s="1219"/>
      <c r="N485" s="1219"/>
      <c r="O485" s="1219"/>
      <c r="P485" s="1219"/>
      <c r="Q485" s="1219"/>
      <c r="R485" s="1219"/>
      <c r="S485" s="1219"/>
      <c r="T485" s="1219"/>
      <c r="U485" s="1219"/>
      <c r="V485" s="1219"/>
      <c r="W485" s="1219"/>
      <c r="X485" s="1219"/>
      <c r="Y485" s="1219"/>
      <c r="Z485" s="1219"/>
      <c r="AA485" s="1219"/>
      <c r="AB485" s="1219"/>
      <c r="AC485" s="1219"/>
      <c r="AD485" s="1219"/>
      <c r="AE485" s="1219"/>
      <c r="AF485" s="1219"/>
      <c r="AG485" s="1219"/>
      <c r="AH485" s="1219"/>
      <c r="AI485" s="1219"/>
      <c r="AJ485" s="1219"/>
      <c r="AK485" s="1219"/>
      <c r="AL485" s="1219"/>
      <c r="AM485" s="1219"/>
      <c r="AN485" s="1219"/>
      <c r="AO485" s="1219"/>
      <c r="AP485" s="1219"/>
      <c r="AQ485" s="1219"/>
    </row>
    <row r="486" spans="1:43" ht="30" customHeight="1" x14ac:dyDescent="0.25">
      <c r="A486" s="3">
        <f t="shared" si="22"/>
        <v>474</v>
      </c>
      <c r="B486" s="540" t="s">
        <v>162</v>
      </c>
      <c r="C486" s="540"/>
      <c r="D486" s="540"/>
      <c r="E486" s="1264"/>
      <c r="F486" s="1264"/>
      <c r="G486" s="1264"/>
      <c r="H486" s="540"/>
      <c r="I486" s="540"/>
      <c r="J486" s="540"/>
      <c r="K486" s="540"/>
      <c r="L486" s="540"/>
      <c r="M486" s="540"/>
      <c r="N486" s="540"/>
      <c r="O486" s="540"/>
      <c r="P486" s="540"/>
      <c r="Q486" s="540"/>
      <c r="R486" s="540"/>
      <c r="S486" s="540"/>
      <c r="T486" s="540"/>
      <c r="U486" s="540"/>
      <c r="V486" s="540"/>
      <c r="W486" s="540"/>
      <c r="X486" s="540"/>
      <c r="Y486" s="540"/>
      <c r="Z486" s="540"/>
      <c r="AA486" s="540"/>
      <c r="AB486" s="540"/>
      <c r="AC486" s="540"/>
      <c r="AD486" s="540"/>
      <c r="AE486" s="540"/>
      <c r="AF486" s="540"/>
      <c r="AG486" s="540"/>
      <c r="AH486" s="540"/>
      <c r="AI486" s="540"/>
      <c r="AJ486" s="540"/>
      <c r="AK486" s="540"/>
      <c r="AL486" s="540"/>
      <c r="AM486" s="540"/>
      <c r="AN486" s="540"/>
      <c r="AO486" s="540"/>
      <c r="AP486" s="540"/>
      <c r="AQ486" s="540"/>
    </row>
    <row r="487" spans="1:43" ht="30" customHeight="1" x14ac:dyDescent="0.25">
      <c r="A487" s="3">
        <f t="shared" si="22"/>
        <v>475</v>
      </c>
      <c r="B487" s="1219" t="s">
        <v>162</v>
      </c>
      <c r="C487" s="1219"/>
      <c r="D487" s="1219"/>
      <c r="E487" s="1263"/>
      <c r="F487" s="1263"/>
      <c r="G487" s="1263"/>
      <c r="H487" s="1219"/>
      <c r="I487" s="1219"/>
      <c r="J487" s="1219"/>
      <c r="K487" s="1219"/>
      <c r="L487" s="1219"/>
      <c r="M487" s="1219"/>
      <c r="N487" s="1219"/>
      <c r="O487" s="1219"/>
      <c r="P487" s="1219"/>
      <c r="Q487" s="1219"/>
      <c r="R487" s="1219"/>
      <c r="S487" s="1219"/>
      <c r="T487" s="1219"/>
      <c r="U487" s="1219"/>
      <c r="V487" s="1219"/>
      <c r="W487" s="1219"/>
      <c r="X487" s="1219"/>
      <c r="Y487" s="1219"/>
      <c r="Z487" s="1219"/>
      <c r="AA487" s="1219"/>
      <c r="AB487" s="1219"/>
      <c r="AC487" s="1219"/>
      <c r="AD487" s="1219"/>
      <c r="AE487" s="1219"/>
      <c r="AF487" s="1219"/>
      <c r="AG487" s="1219"/>
      <c r="AH487" s="1219"/>
      <c r="AI487" s="1219"/>
      <c r="AJ487" s="1219"/>
      <c r="AK487" s="1219"/>
      <c r="AL487" s="1219"/>
      <c r="AM487" s="1219"/>
      <c r="AN487" s="1219"/>
      <c r="AO487" s="1219"/>
      <c r="AP487" s="1219"/>
      <c r="AQ487" s="1219"/>
    </row>
    <row r="488" spans="1:43" ht="30" customHeight="1" x14ac:dyDescent="0.25">
      <c r="A488" s="3">
        <f t="shared" si="22"/>
        <v>476</v>
      </c>
      <c r="B488" s="540" t="s">
        <v>162</v>
      </c>
      <c r="C488" s="540"/>
      <c r="D488" s="540"/>
      <c r="E488" s="1264"/>
      <c r="F488" s="1264"/>
      <c r="G488" s="1264"/>
      <c r="H488" s="540"/>
      <c r="I488" s="540"/>
      <c r="J488" s="540"/>
      <c r="K488" s="540"/>
      <c r="L488" s="540"/>
      <c r="M488" s="540"/>
      <c r="N488" s="540"/>
      <c r="O488" s="540"/>
      <c r="P488" s="540"/>
      <c r="Q488" s="540"/>
      <c r="R488" s="540"/>
      <c r="S488" s="540"/>
      <c r="T488" s="540"/>
      <c r="U488" s="540"/>
      <c r="V488" s="540"/>
      <c r="W488" s="540"/>
      <c r="X488" s="540"/>
      <c r="Y488" s="540"/>
      <c r="Z488" s="540"/>
      <c r="AA488" s="540"/>
      <c r="AB488" s="540"/>
      <c r="AC488" s="540"/>
      <c r="AD488" s="540"/>
      <c r="AE488" s="540"/>
      <c r="AF488" s="540"/>
      <c r="AG488" s="540"/>
      <c r="AH488" s="540"/>
      <c r="AI488" s="540"/>
      <c r="AJ488" s="540"/>
      <c r="AK488" s="540"/>
      <c r="AL488" s="540"/>
      <c r="AM488" s="540"/>
      <c r="AN488" s="540"/>
      <c r="AO488" s="540"/>
      <c r="AP488" s="540"/>
      <c r="AQ488" s="540"/>
    </row>
    <row r="489" spans="1:43" ht="30" customHeight="1" x14ac:dyDescent="0.25">
      <c r="A489" s="3">
        <f t="shared" si="22"/>
        <v>477</v>
      </c>
      <c r="B489" s="1219" t="s">
        <v>162</v>
      </c>
      <c r="C489" s="1219"/>
      <c r="D489" s="1219"/>
      <c r="E489" s="1263"/>
      <c r="F489" s="1263"/>
      <c r="G489" s="1263"/>
      <c r="H489" s="1219"/>
      <c r="I489" s="1219"/>
      <c r="J489" s="1219"/>
      <c r="K489" s="1219"/>
      <c r="L489" s="1219"/>
      <c r="M489" s="1219"/>
      <c r="N489" s="1219"/>
      <c r="O489" s="1219"/>
      <c r="P489" s="1219"/>
      <c r="Q489" s="1219"/>
      <c r="R489" s="1219"/>
      <c r="S489" s="1219"/>
      <c r="T489" s="1219"/>
      <c r="U489" s="1219"/>
      <c r="V489" s="1219"/>
      <c r="W489" s="1219"/>
      <c r="X489" s="1219"/>
      <c r="Y489" s="1219"/>
      <c r="Z489" s="1219"/>
      <c r="AA489" s="1219"/>
      <c r="AB489" s="1219"/>
      <c r="AC489" s="1219"/>
      <c r="AD489" s="1219"/>
      <c r="AE489" s="1219"/>
      <c r="AF489" s="1219"/>
      <c r="AG489" s="1219"/>
      <c r="AH489" s="1219"/>
      <c r="AI489" s="1219"/>
      <c r="AJ489" s="1219"/>
      <c r="AK489" s="1219"/>
      <c r="AL489" s="1219"/>
      <c r="AM489" s="1219"/>
      <c r="AN489" s="1219"/>
      <c r="AO489" s="1219"/>
      <c r="AP489" s="1219"/>
      <c r="AQ489" s="1219"/>
    </row>
    <row r="490" spans="1:43" ht="30" customHeight="1" x14ac:dyDescent="0.25">
      <c r="A490" s="3">
        <f t="shared" si="22"/>
        <v>478</v>
      </c>
      <c r="B490" s="540" t="s">
        <v>162</v>
      </c>
      <c r="C490" s="540"/>
      <c r="D490" s="540"/>
      <c r="E490" s="1264"/>
      <c r="F490" s="1264"/>
      <c r="G490" s="1264"/>
      <c r="H490" s="540"/>
      <c r="I490" s="540"/>
      <c r="J490" s="540"/>
      <c r="K490" s="540"/>
      <c r="L490" s="540"/>
      <c r="M490" s="540"/>
      <c r="N490" s="540"/>
      <c r="O490" s="540"/>
      <c r="P490" s="540"/>
      <c r="Q490" s="540"/>
      <c r="R490" s="540"/>
      <c r="S490" s="540"/>
      <c r="T490" s="540"/>
      <c r="U490" s="540"/>
      <c r="V490" s="540"/>
      <c r="W490" s="540"/>
      <c r="X490" s="540"/>
      <c r="Y490" s="540"/>
      <c r="Z490" s="540"/>
      <c r="AA490" s="540"/>
      <c r="AB490" s="540"/>
      <c r="AC490" s="540"/>
      <c r="AD490" s="540"/>
      <c r="AE490" s="540"/>
      <c r="AF490" s="540"/>
      <c r="AG490" s="540"/>
      <c r="AH490" s="540"/>
      <c r="AI490" s="540"/>
      <c r="AJ490" s="540"/>
      <c r="AK490" s="540"/>
      <c r="AL490" s="540"/>
      <c r="AM490" s="540"/>
      <c r="AN490" s="540"/>
      <c r="AO490" s="540"/>
      <c r="AP490" s="540"/>
      <c r="AQ490" s="540"/>
    </row>
    <row r="491" spans="1:43" ht="30" customHeight="1" x14ac:dyDescent="0.25">
      <c r="A491" s="3">
        <f t="shared" si="22"/>
        <v>479</v>
      </c>
      <c r="B491" s="1219" t="s">
        <v>162</v>
      </c>
      <c r="C491" s="1219"/>
      <c r="D491" s="1219"/>
      <c r="E491" s="1263"/>
      <c r="F491" s="1263"/>
      <c r="G491" s="1263"/>
      <c r="H491" s="1219"/>
      <c r="I491" s="1219"/>
      <c r="J491" s="1219"/>
      <c r="K491" s="1219"/>
      <c r="L491" s="1219"/>
      <c r="M491" s="1219"/>
      <c r="N491" s="1219"/>
      <c r="O491" s="1219"/>
      <c r="P491" s="1219"/>
      <c r="Q491" s="1219"/>
      <c r="R491" s="1219"/>
      <c r="S491" s="1219"/>
      <c r="T491" s="1219"/>
      <c r="U491" s="1219"/>
      <c r="V491" s="1219"/>
      <c r="W491" s="1219"/>
      <c r="X491" s="1219"/>
      <c r="Y491" s="1219"/>
      <c r="Z491" s="1219"/>
      <c r="AA491" s="1219"/>
      <c r="AB491" s="1219"/>
      <c r="AC491" s="1219"/>
      <c r="AD491" s="1219"/>
      <c r="AE491" s="1219"/>
      <c r="AF491" s="1219"/>
      <c r="AG491" s="1219"/>
      <c r="AH491" s="1219"/>
      <c r="AI491" s="1219"/>
      <c r="AJ491" s="1219"/>
      <c r="AK491" s="1219"/>
      <c r="AL491" s="1219"/>
      <c r="AM491" s="1219"/>
      <c r="AN491" s="1219"/>
      <c r="AO491" s="1219"/>
      <c r="AP491" s="1219"/>
      <c r="AQ491" s="1219"/>
    </row>
    <row r="492" spans="1:43" ht="30" customHeight="1" x14ac:dyDescent="0.25">
      <c r="A492" s="3">
        <f t="shared" si="22"/>
        <v>480</v>
      </c>
      <c r="B492" s="540" t="s">
        <v>162</v>
      </c>
      <c r="C492" s="540"/>
      <c r="D492" s="540"/>
      <c r="E492" s="1264"/>
      <c r="F492" s="1264"/>
      <c r="G492" s="1264"/>
      <c r="H492" s="540"/>
      <c r="I492" s="540"/>
      <c r="J492" s="540"/>
      <c r="K492" s="540"/>
      <c r="L492" s="540"/>
      <c r="M492" s="540"/>
      <c r="N492" s="540"/>
      <c r="O492" s="540"/>
      <c r="P492" s="540"/>
      <c r="Q492" s="540"/>
      <c r="R492" s="540"/>
      <c r="S492" s="540"/>
      <c r="T492" s="540"/>
      <c r="U492" s="540"/>
      <c r="V492" s="540"/>
      <c r="W492" s="540"/>
      <c r="X492" s="540"/>
      <c r="Y492" s="540"/>
      <c r="Z492" s="540"/>
      <c r="AA492" s="540"/>
      <c r="AB492" s="540"/>
      <c r="AC492" s="540"/>
      <c r="AD492" s="540"/>
      <c r="AE492" s="540"/>
      <c r="AF492" s="540"/>
      <c r="AG492" s="540"/>
      <c r="AH492" s="540"/>
      <c r="AI492" s="540"/>
      <c r="AJ492" s="540"/>
      <c r="AK492" s="540"/>
      <c r="AL492" s="540"/>
      <c r="AM492" s="540"/>
      <c r="AN492" s="540"/>
      <c r="AO492" s="540"/>
      <c r="AP492" s="540"/>
      <c r="AQ492" s="540"/>
    </row>
    <row r="493" spans="1:43" ht="30" customHeight="1" x14ac:dyDescent="0.25">
      <c r="A493" s="3">
        <f>ROW(A481)</f>
        <v>481</v>
      </c>
      <c r="B493" s="1219" t="s">
        <v>162</v>
      </c>
      <c r="C493" s="1219"/>
      <c r="D493" s="1219"/>
      <c r="E493" s="1263"/>
      <c r="F493" s="1263"/>
      <c r="G493" s="1263"/>
      <c r="H493" s="1219"/>
      <c r="I493" s="1219"/>
      <c r="J493" s="1219"/>
      <c r="K493" s="1219"/>
      <c r="L493" s="1219"/>
      <c r="M493" s="1219"/>
      <c r="N493" s="1219"/>
      <c r="O493" s="1219"/>
      <c r="P493" s="1219"/>
      <c r="Q493" s="1219"/>
      <c r="R493" s="1219"/>
      <c r="S493" s="1219"/>
      <c r="T493" s="1219"/>
      <c r="U493" s="1219"/>
      <c r="V493" s="1219"/>
      <c r="W493" s="1219"/>
      <c r="X493" s="1219"/>
      <c r="Y493" s="1219"/>
      <c r="Z493" s="1219"/>
      <c r="AA493" s="1219"/>
      <c r="AB493" s="1219"/>
      <c r="AC493" s="1219"/>
      <c r="AD493" s="1219"/>
      <c r="AE493" s="1219"/>
      <c r="AF493" s="1219"/>
      <c r="AG493" s="1219"/>
      <c r="AH493" s="1219"/>
      <c r="AI493" s="1219"/>
      <c r="AJ493" s="1219"/>
      <c r="AK493" s="1219"/>
      <c r="AL493" s="1219"/>
      <c r="AM493" s="1219"/>
      <c r="AN493" s="1219"/>
      <c r="AO493" s="1219"/>
      <c r="AP493" s="1219"/>
      <c r="AQ493" s="1219"/>
    </row>
    <row r="494" spans="1:43" ht="30" customHeight="1" x14ac:dyDescent="0.25">
      <c r="A494" s="3">
        <f t="shared" ref="A494:A502" si="23">ROW(A482)</f>
        <v>482</v>
      </c>
      <c r="B494" s="540" t="s">
        <v>162</v>
      </c>
      <c r="C494" s="540"/>
      <c r="D494" s="540"/>
      <c r="E494" s="1264"/>
      <c r="F494" s="1264"/>
      <c r="G494" s="1264"/>
      <c r="H494" s="540"/>
      <c r="I494" s="540"/>
      <c r="J494" s="540"/>
      <c r="K494" s="540"/>
      <c r="L494" s="540"/>
      <c r="M494" s="540"/>
      <c r="N494" s="540"/>
      <c r="O494" s="540"/>
      <c r="P494" s="540"/>
      <c r="Q494" s="540"/>
      <c r="R494" s="540"/>
      <c r="S494" s="540"/>
      <c r="T494" s="540"/>
      <c r="U494" s="540"/>
      <c r="V494" s="540"/>
      <c r="W494" s="540"/>
      <c r="X494" s="540"/>
      <c r="Y494" s="540"/>
      <c r="Z494" s="540"/>
      <c r="AA494" s="540"/>
      <c r="AB494" s="540"/>
      <c r="AC494" s="540"/>
      <c r="AD494" s="540"/>
      <c r="AE494" s="540"/>
      <c r="AF494" s="540"/>
      <c r="AG494" s="540"/>
      <c r="AH494" s="540"/>
      <c r="AI494" s="540"/>
      <c r="AJ494" s="540"/>
      <c r="AK494" s="540"/>
      <c r="AL494" s="540"/>
      <c r="AM494" s="540"/>
      <c r="AN494" s="540"/>
      <c r="AO494" s="540"/>
      <c r="AP494" s="540"/>
      <c r="AQ494" s="540"/>
    </row>
    <row r="495" spans="1:43" ht="30" customHeight="1" x14ac:dyDescent="0.25">
      <c r="A495" s="3">
        <f t="shared" si="23"/>
        <v>483</v>
      </c>
      <c r="B495" s="1219" t="s">
        <v>162</v>
      </c>
      <c r="C495" s="1219"/>
      <c r="D495" s="1219"/>
      <c r="E495" s="1263"/>
      <c r="F495" s="1263"/>
      <c r="G495" s="1263"/>
      <c r="H495" s="1219"/>
      <c r="I495" s="1219"/>
      <c r="J495" s="1219"/>
      <c r="K495" s="1219"/>
      <c r="L495" s="1219"/>
      <c r="M495" s="1219"/>
      <c r="N495" s="1219"/>
      <c r="O495" s="1219"/>
      <c r="P495" s="1219"/>
      <c r="Q495" s="1219"/>
      <c r="R495" s="1219"/>
      <c r="S495" s="1219"/>
      <c r="T495" s="1219"/>
      <c r="U495" s="1219"/>
      <c r="V495" s="1219"/>
      <c r="W495" s="1219"/>
      <c r="X495" s="1219"/>
      <c r="Y495" s="1219"/>
      <c r="Z495" s="1219"/>
      <c r="AA495" s="1219"/>
      <c r="AB495" s="1219"/>
      <c r="AC495" s="1219"/>
      <c r="AD495" s="1219"/>
      <c r="AE495" s="1219"/>
      <c r="AF495" s="1219"/>
      <c r="AG495" s="1219"/>
      <c r="AH495" s="1219"/>
      <c r="AI495" s="1219"/>
      <c r="AJ495" s="1219"/>
      <c r="AK495" s="1219"/>
      <c r="AL495" s="1219"/>
      <c r="AM495" s="1219"/>
      <c r="AN495" s="1219"/>
      <c r="AO495" s="1219"/>
      <c r="AP495" s="1219"/>
      <c r="AQ495" s="1219"/>
    </row>
    <row r="496" spans="1:43" ht="30" customHeight="1" x14ac:dyDescent="0.25">
      <c r="A496" s="3">
        <f t="shared" si="23"/>
        <v>484</v>
      </c>
      <c r="B496" s="540" t="s">
        <v>162</v>
      </c>
      <c r="C496" s="540"/>
      <c r="D496" s="540"/>
      <c r="E496" s="1264"/>
      <c r="F496" s="1264"/>
      <c r="G496" s="1264"/>
      <c r="H496" s="540"/>
      <c r="I496" s="540"/>
      <c r="J496" s="540"/>
      <c r="K496" s="540"/>
      <c r="L496" s="540"/>
      <c r="M496" s="540"/>
      <c r="N496" s="540"/>
      <c r="O496" s="540"/>
      <c r="P496" s="540"/>
      <c r="Q496" s="540"/>
      <c r="R496" s="540"/>
      <c r="S496" s="540"/>
      <c r="T496" s="540"/>
      <c r="U496" s="540"/>
      <c r="V496" s="540"/>
      <c r="W496" s="540"/>
      <c r="X496" s="540"/>
      <c r="Y496" s="540"/>
      <c r="Z496" s="540"/>
      <c r="AA496" s="540"/>
      <c r="AB496" s="540"/>
      <c r="AC496" s="540"/>
      <c r="AD496" s="540"/>
      <c r="AE496" s="540"/>
      <c r="AF496" s="540"/>
      <c r="AG496" s="540"/>
      <c r="AH496" s="540"/>
      <c r="AI496" s="540"/>
      <c r="AJ496" s="540"/>
      <c r="AK496" s="540"/>
      <c r="AL496" s="540"/>
      <c r="AM496" s="540"/>
      <c r="AN496" s="540"/>
      <c r="AO496" s="540"/>
      <c r="AP496" s="540"/>
      <c r="AQ496" s="540"/>
    </row>
    <row r="497" spans="1:43" ht="30" customHeight="1" x14ac:dyDescent="0.25">
      <c r="A497" s="3">
        <f t="shared" si="23"/>
        <v>485</v>
      </c>
      <c r="B497" s="1219" t="s">
        <v>162</v>
      </c>
      <c r="C497" s="1219"/>
      <c r="D497" s="1219"/>
      <c r="E497" s="1263"/>
      <c r="F497" s="1263"/>
      <c r="G497" s="1263"/>
      <c r="H497" s="1219"/>
      <c r="I497" s="1219"/>
      <c r="J497" s="1219"/>
      <c r="K497" s="1219"/>
      <c r="L497" s="1219"/>
      <c r="M497" s="1219"/>
      <c r="N497" s="1219"/>
      <c r="O497" s="1219"/>
      <c r="P497" s="1219"/>
      <c r="Q497" s="1219"/>
      <c r="R497" s="1219"/>
      <c r="S497" s="1219"/>
      <c r="T497" s="1219"/>
      <c r="U497" s="1219"/>
      <c r="V497" s="1219"/>
      <c r="W497" s="1219"/>
      <c r="X497" s="1219"/>
      <c r="Y497" s="1219"/>
      <c r="Z497" s="1219"/>
      <c r="AA497" s="1219"/>
      <c r="AB497" s="1219"/>
      <c r="AC497" s="1219"/>
      <c r="AD497" s="1219"/>
      <c r="AE497" s="1219"/>
      <c r="AF497" s="1219"/>
      <c r="AG497" s="1219"/>
      <c r="AH497" s="1219"/>
      <c r="AI497" s="1219"/>
      <c r="AJ497" s="1219"/>
      <c r="AK497" s="1219"/>
      <c r="AL497" s="1219"/>
      <c r="AM497" s="1219"/>
      <c r="AN497" s="1219"/>
      <c r="AO497" s="1219"/>
      <c r="AP497" s="1219"/>
      <c r="AQ497" s="1219"/>
    </row>
    <row r="498" spans="1:43" ht="30" customHeight="1" x14ac:dyDescent="0.25">
      <c r="A498" s="3">
        <f t="shared" si="23"/>
        <v>486</v>
      </c>
      <c r="B498" s="540" t="s">
        <v>162</v>
      </c>
      <c r="C498" s="540"/>
      <c r="D498" s="540"/>
      <c r="E498" s="1264"/>
      <c r="F498" s="1264"/>
      <c r="G498" s="1264"/>
      <c r="H498" s="540"/>
      <c r="I498" s="540"/>
      <c r="J498" s="540"/>
      <c r="K498" s="540"/>
      <c r="L498" s="540"/>
      <c r="M498" s="540"/>
      <c r="N498" s="540"/>
      <c r="O498" s="540"/>
      <c r="P498" s="540"/>
      <c r="Q498" s="540"/>
      <c r="R498" s="540"/>
      <c r="S498" s="540"/>
      <c r="T498" s="540"/>
      <c r="U498" s="540"/>
      <c r="V498" s="540"/>
      <c r="W498" s="540"/>
      <c r="X498" s="540"/>
      <c r="Y498" s="540"/>
      <c r="Z498" s="540"/>
      <c r="AA498" s="540"/>
      <c r="AB498" s="540"/>
      <c r="AC498" s="540"/>
      <c r="AD498" s="540"/>
      <c r="AE498" s="540"/>
      <c r="AF498" s="540"/>
      <c r="AG498" s="540"/>
      <c r="AH498" s="540"/>
      <c r="AI498" s="540"/>
      <c r="AJ498" s="540"/>
      <c r="AK498" s="540"/>
      <c r="AL498" s="540"/>
      <c r="AM498" s="540"/>
      <c r="AN498" s="540"/>
      <c r="AO498" s="540"/>
      <c r="AP498" s="540"/>
      <c r="AQ498" s="540"/>
    </row>
    <row r="499" spans="1:43" ht="30" customHeight="1" x14ac:dyDescent="0.25">
      <c r="A499" s="3">
        <f t="shared" si="23"/>
        <v>487</v>
      </c>
      <c r="B499" s="1219" t="s">
        <v>162</v>
      </c>
      <c r="C499" s="1219"/>
      <c r="D499" s="1219"/>
      <c r="E499" s="1263"/>
      <c r="F499" s="1263"/>
      <c r="G499" s="1263"/>
      <c r="H499" s="1219"/>
      <c r="I499" s="1219"/>
      <c r="J499" s="1219"/>
      <c r="K499" s="1219"/>
      <c r="L499" s="1219"/>
      <c r="M499" s="1219"/>
      <c r="N499" s="1219"/>
      <c r="O499" s="1219"/>
      <c r="P499" s="1219"/>
      <c r="Q499" s="1219"/>
      <c r="R499" s="1219"/>
      <c r="S499" s="1219"/>
      <c r="T499" s="1219"/>
      <c r="U499" s="1219"/>
      <c r="V499" s="1219"/>
      <c r="W499" s="1219"/>
      <c r="X499" s="1219"/>
      <c r="Y499" s="1219"/>
      <c r="Z499" s="1219"/>
      <c r="AA499" s="1219"/>
      <c r="AB499" s="1219"/>
      <c r="AC499" s="1219"/>
      <c r="AD499" s="1219"/>
      <c r="AE499" s="1219"/>
      <c r="AF499" s="1219"/>
      <c r="AG499" s="1219"/>
      <c r="AH499" s="1219"/>
      <c r="AI499" s="1219"/>
      <c r="AJ499" s="1219"/>
      <c r="AK499" s="1219"/>
      <c r="AL499" s="1219"/>
      <c r="AM499" s="1219"/>
      <c r="AN499" s="1219"/>
      <c r="AO499" s="1219"/>
      <c r="AP499" s="1219"/>
      <c r="AQ499" s="1219"/>
    </row>
    <row r="500" spans="1:43" ht="30" customHeight="1" x14ac:dyDescent="0.25">
      <c r="A500" s="3">
        <f t="shared" si="23"/>
        <v>488</v>
      </c>
      <c r="B500" s="540" t="s">
        <v>162</v>
      </c>
      <c r="C500" s="540"/>
      <c r="D500" s="540"/>
      <c r="E500" s="1264"/>
      <c r="F500" s="1264"/>
      <c r="G500" s="1264"/>
      <c r="H500" s="540"/>
      <c r="I500" s="540"/>
      <c r="J500" s="540"/>
      <c r="K500" s="540"/>
      <c r="L500" s="540"/>
      <c r="M500" s="540"/>
      <c r="N500" s="540"/>
      <c r="O500" s="540"/>
      <c r="P500" s="540"/>
      <c r="Q500" s="540"/>
      <c r="R500" s="540"/>
      <c r="S500" s="540"/>
      <c r="T500" s="540"/>
      <c r="U500" s="540"/>
      <c r="V500" s="540"/>
      <c r="W500" s="540"/>
      <c r="X500" s="540"/>
      <c r="Y500" s="540"/>
      <c r="Z500" s="540"/>
      <c r="AA500" s="540"/>
      <c r="AB500" s="540"/>
      <c r="AC500" s="540"/>
      <c r="AD500" s="540"/>
      <c r="AE500" s="540"/>
      <c r="AF500" s="540"/>
      <c r="AG500" s="540"/>
      <c r="AH500" s="540"/>
      <c r="AI500" s="540"/>
      <c r="AJ500" s="540"/>
      <c r="AK500" s="540"/>
      <c r="AL500" s="540"/>
      <c r="AM500" s="540"/>
      <c r="AN500" s="540"/>
      <c r="AO500" s="540"/>
      <c r="AP500" s="540"/>
      <c r="AQ500" s="540"/>
    </row>
    <row r="501" spans="1:43" ht="30" customHeight="1" x14ac:dyDescent="0.25">
      <c r="A501" s="3">
        <f t="shared" si="23"/>
        <v>489</v>
      </c>
      <c r="B501" s="1219" t="s">
        <v>162</v>
      </c>
      <c r="C501" s="1219"/>
      <c r="D501" s="1219"/>
      <c r="E501" s="1263"/>
      <c r="F501" s="1263"/>
      <c r="G501" s="1263"/>
      <c r="H501" s="1219"/>
      <c r="I501" s="1219"/>
      <c r="J501" s="1219"/>
      <c r="K501" s="1219"/>
      <c r="L501" s="1219"/>
      <c r="M501" s="1219"/>
      <c r="N501" s="1219"/>
      <c r="O501" s="1219"/>
      <c r="P501" s="1219"/>
      <c r="Q501" s="1219"/>
      <c r="R501" s="1219"/>
      <c r="S501" s="1219"/>
      <c r="T501" s="1219"/>
      <c r="U501" s="1219"/>
      <c r="V501" s="1219"/>
      <c r="W501" s="1219"/>
      <c r="X501" s="1219"/>
      <c r="Y501" s="1219"/>
      <c r="Z501" s="1219"/>
      <c r="AA501" s="1219"/>
      <c r="AB501" s="1219"/>
      <c r="AC501" s="1219"/>
      <c r="AD501" s="1219"/>
      <c r="AE501" s="1219"/>
      <c r="AF501" s="1219"/>
      <c r="AG501" s="1219"/>
      <c r="AH501" s="1219"/>
      <c r="AI501" s="1219"/>
      <c r="AJ501" s="1219"/>
      <c r="AK501" s="1219"/>
      <c r="AL501" s="1219"/>
      <c r="AM501" s="1219"/>
      <c r="AN501" s="1219"/>
      <c r="AO501" s="1219"/>
      <c r="AP501" s="1219"/>
      <c r="AQ501" s="1219"/>
    </row>
    <row r="502" spans="1:43" ht="30" customHeight="1" x14ac:dyDescent="0.25">
      <c r="A502" s="3">
        <f t="shared" si="23"/>
        <v>490</v>
      </c>
      <c r="B502" s="540" t="s">
        <v>162</v>
      </c>
      <c r="C502" s="540"/>
      <c r="D502" s="540"/>
      <c r="E502" s="1264"/>
      <c r="F502" s="1264"/>
      <c r="G502" s="1264"/>
      <c r="H502" s="540"/>
      <c r="I502" s="540"/>
      <c r="J502" s="540"/>
      <c r="K502" s="540"/>
      <c r="L502" s="540"/>
      <c r="M502" s="540"/>
      <c r="N502" s="540"/>
      <c r="O502" s="540"/>
      <c r="P502" s="540"/>
      <c r="Q502" s="540"/>
      <c r="R502" s="540"/>
      <c r="S502" s="540"/>
      <c r="T502" s="540"/>
      <c r="U502" s="540"/>
      <c r="V502" s="540"/>
      <c r="W502" s="540"/>
      <c r="X502" s="540"/>
      <c r="Y502" s="540"/>
      <c r="Z502" s="540"/>
      <c r="AA502" s="540"/>
      <c r="AB502" s="540"/>
      <c r="AC502" s="540"/>
      <c r="AD502" s="540"/>
      <c r="AE502" s="540"/>
      <c r="AF502" s="540"/>
      <c r="AG502" s="540"/>
      <c r="AH502" s="540"/>
      <c r="AI502" s="540"/>
      <c r="AJ502" s="540"/>
      <c r="AK502" s="540"/>
      <c r="AL502" s="540"/>
      <c r="AM502" s="540"/>
      <c r="AN502" s="540"/>
      <c r="AO502" s="540"/>
      <c r="AP502" s="540"/>
      <c r="AQ502" s="540"/>
    </row>
    <row r="503" spans="1:43" ht="30" customHeight="1" x14ac:dyDescent="0.25">
      <c r="A503" s="3">
        <f>ROW(A491)</f>
        <v>491</v>
      </c>
      <c r="B503" s="1219" t="s">
        <v>162</v>
      </c>
      <c r="C503" s="1219"/>
      <c r="D503" s="1219"/>
      <c r="E503" s="1263"/>
      <c r="F503" s="1263"/>
      <c r="G503" s="1263"/>
      <c r="H503" s="1219"/>
      <c r="I503" s="1219"/>
      <c r="J503" s="1219"/>
      <c r="K503" s="1219"/>
      <c r="L503" s="1219"/>
      <c r="M503" s="1219"/>
      <c r="N503" s="1219"/>
      <c r="O503" s="1219"/>
      <c r="P503" s="1219"/>
      <c r="Q503" s="1219"/>
      <c r="R503" s="1219"/>
      <c r="S503" s="1219"/>
      <c r="T503" s="1219"/>
      <c r="U503" s="1219"/>
      <c r="V503" s="1219"/>
      <c r="W503" s="1219"/>
      <c r="X503" s="1219"/>
      <c r="Y503" s="1219"/>
      <c r="Z503" s="1219"/>
      <c r="AA503" s="1219"/>
      <c r="AB503" s="1219"/>
      <c r="AC503" s="1219"/>
      <c r="AD503" s="1219"/>
      <c r="AE503" s="1219"/>
      <c r="AF503" s="1219"/>
      <c r="AG503" s="1219"/>
      <c r="AH503" s="1219"/>
      <c r="AI503" s="1219"/>
      <c r="AJ503" s="1219"/>
      <c r="AK503" s="1219"/>
      <c r="AL503" s="1219"/>
      <c r="AM503" s="1219"/>
      <c r="AN503" s="1219"/>
      <c r="AO503" s="1219"/>
      <c r="AP503" s="1219"/>
      <c r="AQ503" s="1219"/>
    </row>
    <row r="504" spans="1:43" ht="30" customHeight="1" x14ac:dyDescent="0.25">
      <c r="A504" s="3">
        <f t="shared" ref="A504:A512" si="24">ROW(A492)</f>
        <v>492</v>
      </c>
      <c r="B504" s="540" t="s">
        <v>162</v>
      </c>
      <c r="C504" s="540"/>
      <c r="D504" s="540"/>
      <c r="E504" s="1264"/>
      <c r="F504" s="1264"/>
      <c r="G504" s="1264"/>
      <c r="H504" s="540"/>
      <c r="I504" s="540"/>
      <c r="J504" s="540"/>
      <c r="K504" s="540"/>
      <c r="L504" s="540"/>
      <c r="M504" s="540"/>
      <c r="N504" s="540"/>
      <c r="O504" s="540"/>
      <c r="P504" s="540"/>
      <c r="Q504" s="540"/>
      <c r="R504" s="540"/>
      <c r="S504" s="540"/>
      <c r="T504" s="540"/>
      <c r="U504" s="540"/>
      <c r="V504" s="540"/>
      <c r="W504" s="540"/>
      <c r="X504" s="540"/>
      <c r="Y504" s="540"/>
      <c r="Z504" s="540"/>
      <c r="AA504" s="540"/>
      <c r="AB504" s="540"/>
      <c r="AC504" s="540"/>
      <c r="AD504" s="540"/>
      <c r="AE504" s="540"/>
      <c r="AF504" s="540"/>
      <c r="AG504" s="540"/>
      <c r="AH504" s="540"/>
      <c r="AI504" s="540"/>
      <c r="AJ504" s="540"/>
      <c r="AK504" s="540"/>
      <c r="AL504" s="540"/>
      <c r="AM504" s="540"/>
      <c r="AN504" s="540"/>
      <c r="AO504" s="540"/>
      <c r="AP504" s="540"/>
      <c r="AQ504" s="540"/>
    </row>
    <row r="505" spans="1:43" ht="30" customHeight="1" x14ac:dyDescent="0.25">
      <c r="A505" s="3">
        <f t="shared" si="24"/>
        <v>493</v>
      </c>
      <c r="B505" s="1219" t="s">
        <v>162</v>
      </c>
      <c r="C505" s="1219"/>
      <c r="D505" s="1219"/>
      <c r="E505" s="1263"/>
      <c r="F505" s="1263"/>
      <c r="G505" s="1263"/>
      <c r="H505" s="1219"/>
      <c r="I505" s="1219"/>
      <c r="J505" s="1219"/>
      <c r="K505" s="1219"/>
      <c r="L505" s="1219"/>
      <c r="M505" s="1219"/>
      <c r="N505" s="1219"/>
      <c r="O505" s="1219"/>
      <c r="P505" s="1219"/>
      <c r="Q505" s="1219"/>
      <c r="R505" s="1219"/>
      <c r="S505" s="1219"/>
      <c r="T505" s="1219"/>
      <c r="U505" s="1219"/>
      <c r="V505" s="1219"/>
      <c r="W505" s="1219"/>
      <c r="X505" s="1219"/>
      <c r="Y505" s="1219"/>
      <c r="Z505" s="1219"/>
      <c r="AA505" s="1219"/>
      <c r="AB505" s="1219"/>
      <c r="AC505" s="1219"/>
      <c r="AD505" s="1219"/>
      <c r="AE505" s="1219"/>
      <c r="AF505" s="1219"/>
      <c r="AG505" s="1219"/>
      <c r="AH505" s="1219"/>
      <c r="AI505" s="1219"/>
      <c r="AJ505" s="1219"/>
      <c r="AK505" s="1219"/>
      <c r="AL505" s="1219"/>
      <c r="AM505" s="1219"/>
      <c r="AN505" s="1219"/>
      <c r="AO505" s="1219"/>
      <c r="AP505" s="1219"/>
      <c r="AQ505" s="1219"/>
    </row>
    <row r="506" spans="1:43" ht="30" customHeight="1" x14ac:dyDescent="0.25">
      <c r="A506" s="3">
        <f t="shared" si="24"/>
        <v>494</v>
      </c>
      <c r="B506" s="540" t="s">
        <v>162</v>
      </c>
      <c r="C506" s="540"/>
      <c r="D506" s="540"/>
      <c r="E506" s="1264"/>
      <c r="F506" s="1264"/>
      <c r="G506" s="1264"/>
      <c r="H506" s="540"/>
      <c r="I506" s="540"/>
      <c r="J506" s="540"/>
      <c r="K506" s="540"/>
      <c r="L506" s="540"/>
      <c r="M506" s="540"/>
      <c r="N506" s="540"/>
      <c r="O506" s="540"/>
      <c r="P506" s="540"/>
      <c r="Q506" s="540"/>
      <c r="R506" s="540"/>
      <c r="S506" s="540"/>
      <c r="T506" s="540"/>
      <c r="U506" s="540"/>
      <c r="V506" s="540"/>
      <c r="W506" s="540"/>
      <c r="X506" s="540"/>
      <c r="Y506" s="540"/>
      <c r="Z506" s="540"/>
      <c r="AA506" s="540"/>
      <c r="AB506" s="540"/>
      <c r="AC506" s="540"/>
      <c r="AD506" s="540"/>
      <c r="AE506" s="540"/>
      <c r="AF506" s="540"/>
      <c r="AG506" s="540"/>
      <c r="AH506" s="540"/>
      <c r="AI506" s="540"/>
      <c r="AJ506" s="540"/>
      <c r="AK506" s="540"/>
      <c r="AL506" s="540"/>
      <c r="AM506" s="540"/>
      <c r="AN506" s="540"/>
      <c r="AO506" s="540"/>
      <c r="AP506" s="540"/>
      <c r="AQ506" s="540"/>
    </row>
    <row r="507" spans="1:43" ht="30" customHeight="1" x14ac:dyDescent="0.25">
      <c r="A507" s="3">
        <f t="shared" si="24"/>
        <v>495</v>
      </c>
      <c r="B507" s="1219" t="s">
        <v>162</v>
      </c>
      <c r="C507" s="1219"/>
      <c r="D507" s="1219"/>
      <c r="E507" s="1263"/>
      <c r="F507" s="1263"/>
      <c r="G507" s="1263"/>
      <c r="H507" s="1219"/>
      <c r="I507" s="1219"/>
      <c r="J507" s="1219"/>
      <c r="K507" s="1219"/>
      <c r="L507" s="1219"/>
      <c r="M507" s="1219"/>
      <c r="N507" s="1219"/>
      <c r="O507" s="1219"/>
      <c r="P507" s="1219"/>
      <c r="Q507" s="1219"/>
      <c r="R507" s="1219"/>
      <c r="S507" s="1219"/>
      <c r="T507" s="1219"/>
      <c r="U507" s="1219"/>
      <c r="V507" s="1219"/>
      <c r="W507" s="1219"/>
      <c r="X507" s="1219"/>
      <c r="Y507" s="1219"/>
      <c r="Z507" s="1219"/>
      <c r="AA507" s="1219"/>
      <c r="AB507" s="1219"/>
      <c r="AC507" s="1219"/>
      <c r="AD507" s="1219"/>
      <c r="AE507" s="1219"/>
      <c r="AF507" s="1219"/>
      <c r="AG507" s="1219"/>
      <c r="AH507" s="1219"/>
      <c r="AI507" s="1219"/>
      <c r="AJ507" s="1219"/>
      <c r="AK507" s="1219"/>
      <c r="AL507" s="1219"/>
      <c r="AM507" s="1219"/>
      <c r="AN507" s="1219"/>
      <c r="AO507" s="1219"/>
      <c r="AP507" s="1219"/>
      <c r="AQ507" s="1219"/>
    </row>
    <row r="508" spans="1:43" ht="30" customHeight="1" x14ac:dyDescent="0.25">
      <c r="A508" s="3">
        <f t="shared" si="24"/>
        <v>496</v>
      </c>
      <c r="B508" s="540" t="s">
        <v>162</v>
      </c>
      <c r="C508" s="540"/>
      <c r="D508" s="540"/>
      <c r="E508" s="1264"/>
      <c r="F508" s="1264"/>
      <c r="G508" s="1264"/>
      <c r="H508" s="540"/>
      <c r="I508" s="540"/>
      <c r="J508" s="540"/>
      <c r="K508" s="540"/>
      <c r="L508" s="540"/>
      <c r="M508" s="540"/>
      <c r="N508" s="540"/>
      <c r="O508" s="540"/>
      <c r="P508" s="540"/>
      <c r="Q508" s="540"/>
      <c r="R508" s="540"/>
      <c r="S508" s="540"/>
      <c r="T508" s="540"/>
      <c r="U508" s="540"/>
      <c r="V508" s="540"/>
      <c r="W508" s="540"/>
      <c r="X508" s="540"/>
      <c r="Y508" s="540"/>
      <c r="Z508" s="540"/>
      <c r="AA508" s="540"/>
      <c r="AB508" s="540"/>
      <c r="AC508" s="540"/>
      <c r="AD508" s="540"/>
      <c r="AE508" s="540"/>
      <c r="AF508" s="540"/>
      <c r="AG508" s="540"/>
      <c r="AH508" s="540"/>
      <c r="AI508" s="540"/>
      <c r="AJ508" s="540"/>
      <c r="AK508" s="540"/>
      <c r="AL508" s="540"/>
      <c r="AM508" s="540"/>
      <c r="AN508" s="540"/>
      <c r="AO508" s="540"/>
      <c r="AP508" s="540"/>
      <c r="AQ508" s="540"/>
    </row>
    <row r="509" spans="1:43" ht="30" customHeight="1" x14ac:dyDescent="0.25">
      <c r="A509" s="3">
        <f t="shared" si="24"/>
        <v>497</v>
      </c>
      <c r="B509" s="1219" t="s">
        <v>162</v>
      </c>
      <c r="C509" s="1219"/>
      <c r="D509" s="1219"/>
      <c r="E509" s="1263"/>
      <c r="F509" s="1263"/>
      <c r="G509" s="1263"/>
      <c r="H509" s="1219"/>
      <c r="I509" s="1219"/>
      <c r="J509" s="1219"/>
      <c r="K509" s="1219"/>
      <c r="L509" s="1219"/>
      <c r="M509" s="1219"/>
      <c r="N509" s="1219"/>
      <c r="O509" s="1219"/>
      <c r="P509" s="1219"/>
      <c r="Q509" s="1219"/>
      <c r="R509" s="1219"/>
      <c r="S509" s="1219"/>
      <c r="T509" s="1219"/>
      <c r="U509" s="1219"/>
      <c r="V509" s="1219"/>
      <c r="W509" s="1219"/>
      <c r="X509" s="1219"/>
      <c r="Y509" s="1219"/>
      <c r="Z509" s="1219"/>
      <c r="AA509" s="1219"/>
      <c r="AB509" s="1219"/>
      <c r="AC509" s="1219"/>
      <c r="AD509" s="1219"/>
      <c r="AE509" s="1219"/>
      <c r="AF509" s="1219"/>
      <c r="AG509" s="1219"/>
      <c r="AH509" s="1219"/>
      <c r="AI509" s="1219"/>
      <c r="AJ509" s="1219"/>
      <c r="AK509" s="1219"/>
      <c r="AL509" s="1219"/>
      <c r="AM509" s="1219"/>
      <c r="AN509" s="1219"/>
      <c r="AO509" s="1219"/>
      <c r="AP509" s="1219"/>
      <c r="AQ509" s="1219"/>
    </row>
    <row r="510" spans="1:43" ht="30" customHeight="1" x14ac:dyDescent="0.25">
      <c r="A510" s="3">
        <f t="shared" si="24"/>
        <v>498</v>
      </c>
      <c r="B510" s="540" t="s">
        <v>162</v>
      </c>
      <c r="C510" s="540"/>
      <c r="D510" s="540"/>
      <c r="E510" s="1264"/>
      <c r="F510" s="1264"/>
      <c r="G510" s="1264"/>
      <c r="H510" s="540"/>
      <c r="I510" s="540"/>
      <c r="J510" s="540"/>
      <c r="K510" s="540"/>
      <c r="L510" s="540"/>
      <c r="M510" s="540"/>
      <c r="N510" s="540"/>
      <c r="O510" s="540"/>
      <c r="P510" s="540"/>
      <c r="Q510" s="540"/>
      <c r="R510" s="540"/>
      <c r="S510" s="540"/>
      <c r="T510" s="540"/>
      <c r="U510" s="540"/>
      <c r="V510" s="540"/>
      <c r="W510" s="540"/>
      <c r="X510" s="540"/>
      <c r="Y510" s="540"/>
      <c r="Z510" s="540"/>
      <c r="AA510" s="540"/>
      <c r="AB510" s="540"/>
      <c r="AC510" s="540"/>
      <c r="AD510" s="540"/>
      <c r="AE510" s="540"/>
      <c r="AF510" s="540"/>
      <c r="AG510" s="540"/>
      <c r="AH510" s="540"/>
      <c r="AI510" s="540"/>
      <c r="AJ510" s="540"/>
      <c r="AK510" s="540"/>
      <c r="AL510" s="540"/>
      <c r="AM510" s="540"/>
      <c r="AN510" s="540"/>
      <c r="AO510" s="540"/>
      <c r="AP510" s="540"/>
      <c r="AQ510" s="540"/>
    </row>
    <row r="511" spans="1:43" ht="30" customHeight="1" x14ac:dyDescent="0.25">
      <c r="A511" s="3">
        <f t="shared" si="24"/>
        <v>499</v>
      </c>
      <c r="B511" s="1219" t="s">
        <v>162</v>
      </c>
      <c r="C511" s="1219"/>
      <c r="D511" s="1219"/>
      <c r="E511" s="1263"/>
      <c r="F511" s="1263"/>
      <c r="G511" s="1263"/>
      <c r="H511" s="1219"/>
      <c r="I511" s="1219"/>
      <c r="J511" s="1219"/>
      <c r="K511" s="1219"/>
      <c r="L511" s="1219"/>
      <c r="M511" s="1219"/>
      <c r="N511" s="1219"/>
      <c r="O511" s="1219"/>
      <c r="P511" s="1219"/>
      <c r="Q511" s="1219"/>
      <c r="R511" s="1219"/>
      <c r="S511" s="1219"/>
      <c r="T511" s="1219"/>
      <c r="U511" s="1219"/>
      <c r="V511" s="1219"/>
      <c r="W511" s="1219"/>
      <c r="X511" s="1219"/>
      <c r="Y511" s="1219"/>
      <c r="Z511" s="1219"/>
      <c r="AA511" s="1219"/>
      <c r="AB511" s="1219"/>
      <c r="AC511" s="1219"/>
      <c r="AD511" s="1219"/>
      <c r="AE511" s="1219"/>
      <c r="AF511" s="1219"/>
      <c r="AG511" s="1219"/>
      <c r="AH511" s="1219"/>
      <c r="AI511" s="1219"/>
      <c r="AJ511" s="1219"/>
      <c r="AK511" s="1219"/>
      <c r="AL511" s="1219"/>
      <c r="AM511" s="1219"/>
      <c r="AN511" s="1219"/>
      <c r="AO511" s="1219"/>
      <c r="AP511" s="1219"/>
      <c r="AQ511" s="1219"/>
    </row>
    <row r="512" spans="1:43" ht="30" customHeight="1" x14ac:dyDescent="0.25">
      <c r="A512" s="3">
        <f t="shared" si="24"/>
        <v>500</v>
      </c>
      <c r="B512" s="540" t="s">
        <v>162</v>
      </c>
      <c r="C512" s="540"/>
      <c r="D512" s="540"/>
      <c r="E512" s="1264"/>
      <c r="F512" s="1264"/>
      <c r="G512" s="1264"/>
      <c r="H512" s="540"/>
      <c r="I512" s="540"/>
      <c r="J512" s="540"/>
      <c r="K512" s="540"/>
      <c r="L512" s="540"/>
      <c r="M512" s="540"/>
      <c r="N512" s="540"/>
      <c r="O512" s="540"/>
      <c r="P512" s="540"/>
      <c r="Q512" s="540"/>
      <c r="R512" s="540"/>
      <c r="S512" s="540"/>
      <c r="T512" s="540"/>
      <c r="U512" s="540"/>
      <c r="V512" s="540"/>
      <c r="W512" s="540"/>
      <c r="X512" s="540"/>
      <c r="Y512" s="540"/>
      <c r="Z512" s="540"/>
      <c r="AA512" s="540"/>
      <c r="AB512" s="540"/>
      <c r="AC512" s="540"/>
      <c r="AD512" s="540"/>
      <c r="AE512" s="540"/>
      <c r="AF512" s="540"/>
      <c r="AG512" s="540"/>
      <c r="AH512" s="540"/>
      <c r="AI512" s="540"/>
      <c r="AJ512" s="540"/>
      <c r="AK512" s="540"/>
      <c r="AL512" s="540"/>
      <c r="AM512" s="540"/>
      <c r="AN512" s="540"/>
      <c r="AO512" s="540"/>
      <c r="AP512" s="540"/>
      <c r="AQ512" s="540"/>
    </row>
  </sheetData>
  <sheetProtection algorithmName="SHA-512" hashValue="pa9cyeZxze1emRdbYHajHdc8C//UHMCESRKVQBdDrPEzShAYgEfDa3b0WC/i9CXMfIz0VhuFJ8JRFk4Ze5h4Ig==" saltValue="OT8U8UsXCBYoEzxkVHfw9w==" spinCount="100000" sheet="1" objects="1" scenarios="1"/>
  <mergeCells count="3035">
    <mergeCell ref="A3:AD3"/>
    <mergeCell ref="A10:AC10"/>
    <mergeCell ref="F5:P5"/>
    <mergeCell ref="X5:AF5"/>
    <mergeCell ref="F6:P6"/>
    <mergeCell ref="X6:AF6"/>
    <mergeCell ref="X7:AF7"/>
    <mergeCell ref="X8:AF8"/>
    <mergeCell ref="X9:AF9"/>
    <mergeCell ref="A5:E5"/>
    <mergeCell ref="A6:E6"/>
    <mergeCell ref="A7:E8"/>
    <mergeCell ref="F7:P8"/>
    <mergeCell ref="A9:E9"/>
    <mergeCell ref="F9:M9"/>
    <mergeCell ref="N9:P9"/>
    <mergeCell ref="R5:W5"/>
    <mergeCell ref="R6:W6"/>
    <mergeCell ref="R7:W7"/>
    <mergeCell ref="R8:W8"/>
    <mergeCell ref="R9:W9"/>
    <mergeCell ref="A4:AQ4"/>
    <mergeCell ref="B12:D12"/>
    <mergeCell ref="E12:G12"/>
    <mergeCell ref="H12:K12"/>
    <mergeCell ref="L12:P12"/>
    <mergeCell ref="Q12:Z12"/>
    <mergeCell ref="AA12:AQ12"/>
    <mergeCell ref="B1:D1"/>
    <mergeCell ref="E1:G1"/>
    <mergeCell ref="H1:K1"/>
    <mergeCell ref="L1:P1"/>
    <mergeCell ref="Q1:Z1"/>
    <mergeCell ref="AA1:AQ1"/>
    <mergeCell ref="Q22:Z22"/>
    <mergeCell ref="Q27:Z27"/>
    <mergeCell ref="B30:D30"/>
    <mergeCell ref="E30:G30"/>
    <mergeCell ref="H30:K30"/>
    <mergeCell ref="L30:P30"/>
    <mergeCell ref="H22:K22"/>
    <mergeCell ref="L22:P22"/>
    <mergeCell ref="B22:D22"/>
    <mergeCell ref="E22:G22"/>
    <mergeCell ref="B25:D25"/>
    <mergeCell ref="E25:G25"/>
    <mergeCell ref="B27:D27"/>
    <mergeCell ref="E27:G27"/>
    <mergeCell ref="B28:D28"/>
    <mergeCell ref="E28:G28"/>
    <mergeCell ref="H27:K27"/>
    <mergeCell ref="L27:P27"/>
    <mergeCell ref="AA27:AQ27"/>
    <mergeCell ref="A2:AD2"/>
    <mergeCell ref="E13:G13"/>
    <mergeCell ref="E14:G14"/>
    <mergeCell ref="E15:G15"/>
    <mergeCell ref="E16:G16"/>
    <mergeCell ref="E17:G17"/>
    <mergeCell ref="E18:G18"/>
    <mergeCell ref="E19:G19"/>
    <mergeCell ref="E20:G20"/>
    <mergeCell ref="E21:G21"/>
    <mergeCell ref="B13:D13"/>
    <mergeCell ref="B14:D14"/>
    <mergeCell ref="B15:D15"/>
    <mergeCell ref="B16:D16"/>
    <mergeCell ref="B17:D17"/>
    <mergeCell ref="B18:D18"/>
    <mergeCell ref="B19:D19"/>
    <mergeCell ref="B20:D20"/>
    <mergeCell ref="B21:D21"/>
    <mergeCell ref="L13:P13"/>
    <mergeCell ref="L14:P14"/>
    <mergeCell ref="L15:P15"/>
    <mergeCell ref="L16:P16"/>
    <mergeCell ref="L17:P17"/>
    <mergeCell ref="L18:P18"/>
    <mergeCell ref="L19:P19"/>
    <mergeCell ref="L20:P20"/>
    <mergeCell ref="L21:P21"/>
    <mergeCell ref="H13:K13"/>
    <mergeCell ref="H14:K14"/>
    <mergeCell ref="H15:K15"/>
    <mergeCell ref="H16:K16"/>
    <mergeCell ref="H17:K17"/>
    <mergeCell ref="H18:K18"/>
    <mergeCell ref="H19:K19"/>
    <mergeCell ref="H20:K20"/>
    <mergeCell ref="H21:K21"/>
    <mergeCell ref="AA13:AQ13"/>
    <mergeCell ref="AA14:AQ14"/>
    <mergeCell ref="AA15:AQ15"/>
    <mergeCell ref="AA16:AQ16"/>
    <mergeCell ref="AA17:AQ17"/>
    <mergeCell ref="AA18:AQ18"/>
    <mergeCell ref="AA19:AQ19"/>
    <mergeCell ref="AA20:AQ20"/>
    <mergeCell ref="AA21:AQ21"/>
    <mergeCell ref="Q13:Z13"/>
    <mergeCell ref="Q14:Z14"/>
    <mergeCell ref="Q15:Z15"/>
    <mergeCell ref="Q16:Z16"/>
    <mergeCell ref="Q17:Z17"/>
    <mergeCell ref="Q18:Z18"/>
    <mergeCell ref="Q19:Z19"/>
    <mergeCell ref="Q20:Z20"/>
    <mergeCell ref="Q21:Z21"/>
    <mergeCell ref="H25:K25"/>
    <mergeCell ref="L25:P25"/>
    <mergeCell ref="Q25:Z25"/>
    <mergeCell ref="AA25:AQ25"/>
    <mergeCell ref="B26:D26"/>
    <mergeCell ref="E26:G26"/>
    <mergeCell ref="H26:K26"/>
    <mergeCell ref="L26:P26"/>
    <mergeCell ref="Q26:Z26"/>
    <mergeCell ref="AA26:AQ26"/>
    <mergeCell ref="AA22:AQ22"/>
    <mergeCell ref="B23:D23"/>
    <mergeCell ref="E23:G23"/>
    <mergeCell ref="H23:K23"/>
    <mergeCell ref="L23:P23"/>
    <mergeCell ref="Q23:Z23"/>
    <mergeCell ref="AA23:AQ23"/>
    <mergeCell ref="B24:D24"/>
    <mergeCell ref="E24:G24"/>
    <mergeCell ref="H24:K24"/>
    <mergeCell ref="L24:P24"/>
    <mergeCell ref="Q24:Z24"/>
    <mergeCell ref="AA24:AQ24"/>
    <mergeCell ref="Q30:Z30"/>
    <mergeCell ref="AA30:AQ30"/>
    <mergeCell ref="B31:D31"/>
    <mergeCell ref="E31:G31"/>
    <mergeCell ref="H31:K31"/>
    <mergeCell ref="L31:P31"/>
    <mergeCell ref="Q31:Z31"/>
    <mergeCell ref="AA31:AQ31"/>
    <mergeCell ref="B32:D32"/>
    <mergeCell ref="E32:G32"/>
    <mergeCell ref="H32:K32"/>
    <mergeCell ref="L32:P32"/>
    <mergeCell ref="Q32:Z32"/>
    <mergeCell ref="AA32:AQ32"/>
    <mergeCell ref="H28:K28"/>
    <mergeCell ref="L28:P28"/>
    <mergeCell ref="Q28:Z28"/>
    <mergeCell ref="AA28:AQ28"/>
    <mergeCell ref="B29:D29"/>
    <mergeCell ref="E29:G29"/>
    <mergeCell ref="H29:K29"/>
    <mergeCell ref="L29:P29"/>
    <mergeCell ref="Q29:Z29"/>
    <mergeCell ref="AA29:AQ29"/>
    <mergeCell ref="B35:D35"/>
    <mergeCell ref="E35:G35"/>
    <mergeCell ref="H35:K35"/>
    <mergeCell ref="L35:P35"/>
    <mergeCell ref="Q35:Z35"/>
    <mergeCell ref="AA35:AQ35"/>
    <mergeCell ref="B36:D36"/>
    <mergeCell ref="E36:G36"/>
    <mergeCell ref="H36:K36"/>
    <mergeCell ref="L36:P36"/>
    <mergeCell ref="Q36:Z36"/>
    <mergeCell ref="AA36:AQ36"/>
    <mergeCell ref="B33:D33"/>
    <mergeCell ref="E33:G33"/>
    <mergeCell ref="H33:K33"/>
    <mergeCell ref="L33:P33"/>
    <mergeCell ref="Q33:Z33"/>
    <mergeCell ref="AA33:AQ33"/>
    <mergeCell ref="B34:D34"/>
    <mergeCell ref="E34:G34"/>
    <mergeCell ref="H34:K34"/>
    <mergeCell ref="L34:P34"/>
    <mergeCell ref="Q34:Z34"/>
    <mergeCell ref="AA34:AQ34"/>
    <mergeCell ref="B39:D39"/>
    <mergeCell ref="E39:G39"/>
    <mergeCell ref="H39:K39"/>
    <mergeCell ref="L39:P39"/>
    <mergeCell ref="Q39:Z39"/>
    <mergeCell ref="AA39:AQ39"/>
    <mergeCell ref="B40:D40"/>
    <mergeCell ref="E40:G40"/>
    <mergeCell ref="H40:K40"/>
    <mergeCell ref="L40:P40"/>
    <mergeCell ref="Q40:Z40"/>
    <mergeCell ref="AA40:AQ40"/>
    <mergeCell ref="B37:D37"/>
    <mergeCell ref="E37:G37"/>
    <mergeCell ref="H37:K37"/>
    <mergeCell ref="L37:P37"/>
    <mergeCell ref="Q37:Z37"/>
    <mergeCell ref="AA37:AQ37"/>
    <mergeCell ref="B38:D38"/>
    <mergeCell ref="E38:G38"/>
    <mergeCell ref="H38:K38"/>
    <mergeCell ref="L38:P38"/>
    <mergeCell ref="Q38:Z38"/>
    <mergeCell ref="AA38:AQ38"/>
    <mergeCell ref="B43:D43"/>
    <mergeCell ref="E43:G43"/>
    <mergeCell ref="H43:K43"/>
    <mergeCell ref="L43:P43"/>
    <mergeCell ref="Q43:Z43"/>
    <mergeCell ref="AA43:AQ43"/>
    <mergeCell ref="B44:D44"/>
    <mergeCell ref="E44:G44"/>
    <mergeCell ref="H44:K44"/>
    <mergeCell ref="L44:P44"/>
    <mergeCell ref="Q44:Z44"/>
    <mergeCell ref="AA44:AQ44"/>
    <mergeCell ref="B41:D41"/>
    <mergeCell ref="E41:G41"/>
    <mergeCell ref="H41:K41"/>
    <mergeCell ref="L41:P41"/>
    <mergeCell ref="Q41:Z41"/>
    <mergeCell ref="AA41:AQ41"/>
    <mergeCell ref="B42:D42"/>
    <mergeCell ref="E42:G42"/>
    <mergeCell ref="H42:K42"/>
    <mergeCell ref="L42:P42"/>
    <mergeCell ref="Q42:Z42"/>
    <mergeCell ref="AA42:AQ42"/>
    <mergeCell ref="B47:D47"/>
    <mergeCell ref="E47:G47"/>
    <mergeCell ref="H47:K47"/>
    <mergeCell ref="L47:P47"/>
    <mergeCell ref="Q47:Z47"/>
    <mergeCell ref="AA47:AQ47"/>
    <mergeCell ref="B48:D48"/>
    <mergeCell ref="E48:G48"/>
    <mergeCell ref="H48:K48"/>
    <mergeCell ref="L48:P48"/>
    <mergeCell ref="Q48:Z48"/>
    <mergeCell ref="AA48:AQ48"/>
    <mergeCell ref="B45:D45"/>
    <mergeCell ref="E45:G45"/>
    <mergeCell ref="H45:K45"/>
    <mergeCell ref="L45:P45"/>
    <mergeCell ref="Q45:Z45"/>
    <mergeCell ref="AA45:AQ45"/>
    <mergeCell ref="B46:D46"/>
    <mergeCell ref="E46:G46"/>
    <mergeCell ref="H46:K46"/>
    <mergeCell ref="L46:P46"/>
    <mergeCell ref="Q46:Z46"/>
    <mergeCell ref="AA46:AQ46"/>
    <mergeCell ref="B51:D51"/>
    <mergeCell ref="E51:G51"/>
    <mergeCell ref="H51:K51"/>
    <mergeCell ref="L51:P51"/>
    <mergeCell ref="Q51:Z51"/>
    <mergeCell ref="AA51:AQ51"/>
    <mergeCell ref="B52:D52"/>
    <mergeCell ref="E52:G52"/>
    <mergeCell ref="H52:K52"/>
    <mergeCell ref="L52:P52"/>
    <mergeCell ref="Q52:Z52"/>
    <mergeCell ref="AA52:AQ52"/>
    <mergeCell ref="B49:D49"/>
    <mergeCell ref="E49:G49"/>
    <mergeCell ref="H49:K49"/>
    <mergeCell ref="L49:P49"/>
    <mergeCell ref="Q49:Z49"/>
    <mergeCell ref="AA49:AQ49"/>
    <mergeCell ref="B50:D50"/>
    <mergeCell ref="E50:G50"/>
    <mergeCell ref="H50:K50"/>
    <mergeCell ref="L50:P50"/>
    <mergeCell ref="Q50:Z50"/>
    <mergeCell ref="AA50:AQ50"/>
    <mergeCell ref="B55:D55"/>
    <mergeCell ref="E55:G55"/>
    <mergeCell ref="H55:K55"/>
    <mergeCell ref="L55:P55"/>
    <mergeCell ref="Q55:Z55"/>
    <mergeCell ref="AA55:AQ55"/>
    <mergeCell ref="B56:D56"/>
    <mergeCell ref="E56:G56"/>
    <mergeCell ref="H56:K56"/>
    <mergeCell ref="L56:P56"/>
    <mergeCell ref="Q56:Z56"/>
    <mergeCell ref="AA56:AQ56"/>
    <mergeCell ref="B53:D53"/>
    <mergeCell ref="E53:G53"/>
    <mergeCell ref="H53:K53"/>
    <mergeCell ref="L53:P53"/>
    <mergeCell ref="Q53:Z53"/>
    <mergeCell ref="AA53:AQ53"/>
    <mergeCell ref="B54:D54"/>
    <mergeCell ref="E54:G54"/>
    <mergeCell ref="H54:K54"/>
    <mergeCell ref="L54:P54"/>
    <mergeCell ref="Q54:Z54"/>
    <mergeCell ref="AA54:AQ54"/>
    <mergeCell ref="B59:D59"/>
    <mergeCell ref="E59:G59"/>
    <mergeCell ref="H59:K59"/>
    <mergeCell ref="L59:P59"/>
    <mergeCell ref="Q59:Z59"/>
    <mergeCell ref="AA59:AQ59"/>
    <mergeCell ref="B60:D60"/>
    <mergeCell ref="E60:G60"/>
    <mergeCell ref="H60:K60"/>
    <mergeCell ref="L60:P60"/>
    <mergeCell ref="Q60:Z60"/>
    <mergeCell ref="AA60:AQ60"/>
    <mergeCell ref="B57:D57"/>
    <mergeCell ref="E57:G57"/>
    <mergeCell ref="H57:K57"/>
    <mergeCell ref="L57:P57"/>
    <mergeCell ref="Q57:Z57"/>
    <mergeCell ref="AA57:AQ57"/>
    <mergeCell ref="B58:D58"/>
    <mergeCell ref="E58:G58"/>
    <mergeCell ref="H58:K58"/>
    <mergeCell ref="L58:P58"/>
    <mergeCell ref="Q58:Z58"/>
    <mergeCell ref="AA58:AQ58"/>
    <mergeCell ref="B63:D63"/>
    <mergeCell ref="E63:G63"/>
    <mergeCell ref="H63:K63"/>
    <mergeCell ref="L63:P63"/>
    <mergeCell ref="Q63:Z63"/>
    <mergeCell ref="AA63:AQ63"/>
    <mergeCell ref="B64:D64"/>
    <mergeCell ref="E64:G64"/>
    <mergeCell ref="H64:K64"/>
    <mergeCell ref="L64:P64"/>
    <mergeCell ref="Q64:Z64"/>
    <mergeCell ref="AA64:AQ64"/>
    <mergeCell ref="B61:D61"/>
    <mergeCell ref="E61:G61"/>
    <mergeCell ref="H61:K61"/>
    <mergeCell ref="L61:P61"/>
    <mergeCell ref="Q61:Z61"/>
    <mergeCell ref="AA61:AQ61"/>
    <mergeCell ref="B62:D62"/>
    <mergeCell ref="E62:G62"/>
    <mergeCell ref="H62:K62"/>
    <mergeCell ref="L62:P62"/>
    <mergeCell ref="Q62:Z62"/>
    <mergeCell ref="AA62:AQ62"/>
    <mergeCell ref="B67:D67"/>
    <mergeCell ref="E67:G67"/>
    <mergeCell ref="H67:K67"/>
    <mergeCell ref="L67:P67"/>
    <mergeCell ref="Q67:Z67"/>
    <mergeCell ref="AA67:AQ67"/>
    <mergeCell ref="B68:D68"/>
    <mergeCell ref="E68:G68"/>
    <mergeCell ref="H68:K68"/>
    <mergeCell ref="L68:P68"/>
    <mergeCell ref="Q68:Z68"/>
    <mergeCell ref="AA68:AQ68"/>
    <mergeCell ref="B65:D65"/>
    <mergeCell ref="E65:G65"/>
    <mergeCell ref="H65:K65"/>
    <mergeCell ref="L65:P65"/>
    <mergeCell ref="Q65:Z65"/>
    <mergeCell ref="AA65:AQ65"/>
    <mergeCell ref="B66:D66"/>
    <mergeCell ref="E66:G66"/>
    <mergeCell ref="H66:K66"/>
    <mergeCell ref="L66:P66"/>
    <mergeCell ref="Q66:Z66"/>
    <mergeCell ref="AA66:AQ66"/>
    <mergeCell ref="B71:D71"/>
    <mergeCell ref="E71:G71"/>
    <mergeCell ref="H71:K71"/>
    <mergeCell ref="L71:P71"/>
    <mergeCell ref="Q71:Z71"/>
    <mergeCell ref="AA71:AQ71"/>
    <mergeCell ref="B72:D72"/>
    <mergeCell ref="E72:G72"/>
    <mergeCell ref="H72:K72"/>
    <mergeCell ref="L72:P72"/>
    <mergeCell ref="Q72:Z72"/>
    <mergeCell ref="AA72:AQ72"/>
    <mergeCell ref="B69:D69"/>
    <mergeCell ref="E69:G69"/>
    <mergeCell ref="H69:K69"/>
    <mergeCell ref="L69:P69"/>
    <mergeCell ref="Q69:Z69"/>
    <mergeCell ref="AA69:AQ69"/>
    <mergeCell ref="B70:D70"/>
    <mergeCell ref="E70:G70"/>
    <mergeCell ref="H70:K70"/>
    <mergeCell ref="L70:P70"/>
    <mergeCell ref="Q70:Z70"/>
    <mergeCell ref="AA70:AQ70"/>
    <mergeCell ref="B75:D75"/>
    <mergeCell ref="E75:G75"/>
    <mergeCell ref="H75:K75"/>
    <mergeCell ref="L75:P75"/>
    <mergeCell ref="Q75:Z75"/>
    <mergeCell ref="AA75:AQ75"/>
    <mergeCell ref="B76:D76"/>
    <mergeCell ref="E76:G76"/>
    <mergeCell ref="H76:K76"/>
    <mergeCell ref="L76:P76"/>
    <mergeCell ref="Q76:Z76"/>
    <mergeCell ref="AA76:AQ76"/>
    <mergeCell ref="B73:D73"/>
    <mergeCell ref="E73:G73"/>
    <mergeCell ref="H73:K73"/>
    <mergeCell ref="L73:P73"/>
    <mergeCell ref="Q73:Z73"/>
    <mergeCell ref="AA73:AQ73"/>
    <mergeCell ref="B74:D74"/>
    <mergeCell ref="E74:G74"/>
    <mergeCell ref="H74:K74"/>
    <mergeCell ref="L74:P74"/>
    <mergeCell ref="Q74:Z74"/>
    <mergeCell ref="AA74:AQ74"/>
    <mergeCell ref="B79:D79"/>
    <mergeCell ref="E79:G79"/>
    <mergeCell ref="H79:K79"/>
    <mergeCell ref="L79:P79"/>
    <mergeCell ref="Q79:Z79"/>
    <mergeCell ref="AA79:AQ79"/>
    <mergeCell ref="B80:D80"/>
    <mergeCell ref="E80:G80"/>
    <mergeCell ref="H80:K80"/>
    <mergeCell ref="L80:P80"/>
    <mergeCell ref="Q80:Z80"/>
    <mergeCell ref="AA80:AQ80"/>
    <mergeCell ref="B77:D77"/>
    <mergeCell ref="E77:G77"/>
    <mergeCell ref="H77:K77"/>
    <mergeCell ref="L77:P77"/>
    <mergeCell ref="Q77:Z77"/>
    <mergeCell ref="AA77:AQ77"/>
    <mergeCell ref="B78:D78"/>
    <mergeCell ref="E78:G78"/>
    <mergeCell ref="H78:K78"/>
    <mergeCell ref="L78:P78"/>
    <mergeCell ref="Q78:Z78"/>
    <mergeCell ref="AA78:AQ78"/>
    <mergeCell ref="B83:D83"/>
    <mergeCell ref="E83:G83"/>
    <mergeCell ref="H83:K83"/>
    <mergeCell ref="L83:P83"/>
    <mergeCell ref="Q83:Z83"/>
    <mergeCell ref="AA83:AQ83"/>
    <mergeCell ref="B84:D84"/>
    <mergeCell ref="E84:G84"/>
    <mergeCell ref="H84:K84"/>
    <mergeCell ref="L84:P84"/>
    <mergeCell ref="Q84:Z84"/>
    <mergeCell ref="AA84:AQ84"/>
    <mergeCell ref="B81:D81"/>
    <mergeCell ref="E81:G81"/>
    <mergeCell ref="H81:K81"/>
    <mergeCell ref="L81:P81"/>
    <mergeCell ref="Q81:Z81"/>
    <mergeCell ref="AA81:AQ81"/>
    <mergeCell ref="B82:D82"/>
    <mergeCell ref="E82:G82"/>
    <mergeCell ref="H82:K82"/>
    <mergeCell ref="L82:P82"/>
    <mergeCell ref="Q82:Z82"/>
    <mergeCell ref="AA82:AQ82"/>
    <mergeCell ref="B87:D87"/>
    <mergeCell ref="E87:G87"/>
    <mergeCell ref="H87:K87"/>
    <mergeCell ref="L87:P87"/>
    <mergeCell ref="Q87:Z87"/>
    <mergeCell ref="AA87:AQ87"/>
    <mergeCell ref="B88:D88"/>
    <mergeCell ref="E88:G88"/>
    <mergeCell ref="H88:K88"/>
    <mergeCell ref="L88:P88"/>
    <mergeCell ref="Q88:Z88"/>
    <mergeCell ref="AA88:AQ88"/>
    <mergeCell ref="B85:D85"/>
    <mergeCell ref="E85:G85"/>
    <mergeCell ref="H85:K85"/>
    <mergeCell ref="L85:P85"/>
    <mergeCell ref="Q85:Z85"/>
    <mergeCell ref="AA85:AQ85"/>
    <mergeCell ref="B86:D86"/>
    <mergeCell ref="E86:G86"/>
    <mergeCell ref="H86:K86"/>
    <mergeCell ref="L86:P86"/>
    <mergeCell ref="Q86:Z86"/>
    <mergeCell ref="AA86:AQ86"/>
    <mergeCell ref="B91:D91"/>
    <mergeCell ref="E91:G91"/>
    <mergeCell ref="H91:K91"/>
    <mergeCell ref="L91:P91"/>
    <mergeCell ref="Q91:Z91"/>
    <mergeCell ref="AA91:AQ91"/>
    <mergeCell ref="B92:D92"/>
    <mergeCell ref="E92:G92"/>
    <mergeCell ref="H92:K92"/>
    <mergeCell ref="L92:P92"/>
    <mergeCell ref="Q92:Z92"/>
    <mergeCell ref="AA92:AQ92"/>
    <mergeCell ref="B89:D89"/>
    <mergeCell ref="E89:G89"/>
    <mergeCell ref="H89:K89"/>
    <mergeCell ref="L89:P89"/>
    <mergeCell ref="Q89:Z89"/>
    <mergeCell ref="AA89:AQ89"/>
    <mergeCell ref="B90:D90"/>
    <mergeCell ref="E90:G90"/>
    <mergeCell ref="H90:K90"/>
    <mergeCell ref="L90:P90"/>
    <mergeCell ref="Q90:Z90"/>
    <mergeCell ref="AA90:AQ90"/>
    <mergeCell ref="B95:D95"/>
    <mergeCell ref="E95:G95"/>
    <mergeCell ref="H95:K95"/>
    <mergeCell ref="L95:P95"/>
    <mergeCell ref="Q95:Z95"/>
    <mergeCell ref="AA95:AQ95"/>
    <mergeCell ref="B96:D96"/>
    <mergeCell ref="E96:G96"/>
    <mergeCell ref="H96:K96"/>
    <mergeCell ref="L96:P96"/>
    <mergeCell ref="Q96:Z96"/>
    <mergeCell ref="AA96:AQ96"/>
    <mergeCell ref="B93:D93"/>
    <mergeCell ref="E93:G93"/>
    <mergeCell ref="H93:K93"/>
    <mergeCell ref="L93:P93"/>
    <mergeCell ref="Q93:Z93"/>
    <mergeCell ref="AA93:AQ93"/>
    <mergeCell ref="B94:D94"/>
    <mergeCell ref="E94:G94"/>
    <mergeCell ref="H94:K94"/>
    <mergeCell ref="L94:P94"/>
    <mergeCell ref="Q94:Z94"/>
    <mergeCell ref="AA94:AQ94"/>
    <mergeCell ref="B99:D99"/>
    <mergeCell ref="E99:G99"/>
    <mergeCell ref="H99:K99"/>
    <mergeCell ref="L99:P99"/>
    <mergeCell ref="Q99:Z99"/>
    <mergeCell ref="AA99:AQ99"/>
    <mergeCell ref="B100:D100"/>
    <mergeCell ref="E100:G100"/>
    <mergeCell ref="H100:K100"/>
    <mergeCell ref="L100:P100"/>
    <mergeCell ref="Q100:Z100"/>
    <mergeCell ref="AA100:AQ100"/>
    <mergeCell ref="B97:D97"/>
    <mergeCell ref="E97:G97"/>
    <mergeCell ref="H97:K97"/>
    <mergeCell ref="L97:P97"/>
    <mergeCell ref="Q97:Z97"/>
    <mergeCell ref="AA97:AQ97"/>
    <mergeCell ref="B98:D98"/>
    <mergeCell ref="E98:G98"/>
    <mergeCell ref="H98:K98"/>
    <mergeCell ref="L98:P98"/>
    <mergeCell ref="Q98:Z98"/>
    <mergeCell ref="AA98:AQ98"/>
    <mergeCell ref="B103:D103"/>
    <mergeCell ref="E103:G103"/>
    <mergeCell ref="H103:K103"/>
    <mergeCell ref="L103:P103"/>
    <mergeCell ref="Q103:Z103"/>
    <mergeCell ref="AA103:AQ103"/>
    <mergeCell ref="B104:D104"/>
    <mergeCell ref="E104:G104"/>
    <mergeCell ref="H104:K104"/>
    <mergeCell ref="L104:P104"/>
    <mergeCell ref="Q104:Z104"/>
    <mergeCell ref="AA104:AQ104"/>
    <mergeCell ref="B101:D101"/>
    <mergeCell ref="E101:G101"/>
    <mergeCell ref="H101:K101"/>
    <mergeCell ref="L101:P101"/>
    <mergeCell ref="Q101:Z101"/>
    <mergeCell ref="AA101:AQ101"/>
    <mergeCell ref="B102:D102"/>
    <mergeCell ref="E102:G102"/>
    <mergeCell ref="H102:K102"/>
    <mergeCell ref="L102:P102"/>
    <mergeCell ref="Q102:Z102"/>
    <mergeCell ref="AA102:AQ102"/>
    <mergeCell ref="B107:D107"/>
    <mergeCell ref="E107:G107"/>
    <mergeCell ref="H107:K107"/>
    <mergeCell ref="L107:P107"/>
    <mergeCell ref="Q107:Z107"/>
    <mergeCell ref="AA107:AQ107"/>
    <mergeCell ref="B108:D108"/>
    <mergeCell ref="E108:G108"/>
    <mergeCell ref="H108:K108"/>
    <mergeCell ref="L108:P108"/>
    <mergeCell ref="Q108:Z108"/>
    <mergeCell ref="AA108:AQ108"/>
    <mergeCell ref="B105:D105"/>
    <mergeCell ref="E105:G105"/>
    <mergeCell ref="H105:K105"/>
    <mergeCell ref="L105:P105"/>
    <mergeCell ref="Q105:Z105"/>
    <mergeCell ref="AA105:AQ105"/>
    <mergeCell ref="B106:D106"/>
    <mergeCell ref="E106:G106"/>
    <mergeCell ref="H106:K106"/>
    <mergeCell ref="L106:P106"/>
    <mergeCell ref="Q106:Z106"/>
    <mergeCell ref="AA106:AQ106"/>
    <mergeCell ref="B111:D111"/>
    <mergeCell ref="E111:G111"/>
    <mergeCell ref="H111:K111"/>
    <mergeCell ref="L111:P111"/>
    <mergeCell ref="Q111:Z111"/>
    <mergeCell ref="AA111:AQ111"/>
    <mergeCell ref="B112:D112"/>
    <mergeCell ref="E112:G112"/>
    <mergeCell ref="H112:K112"/>
    <mergeCell ref="L112:P112"/>
    <mergeCell ref="Q112:Z112"/>
    <mergeCell ref="AA112:AQ112"/>
    <mergeCell ref="B109:D109"/>
    <mergeCell ref="E109:G109"/>
    <mergeCell ref="H109:K109"/>
    <mergeCell ref="L109:P109"/>
    <mergeCell ref="Q109:Z109"/>
    <mergeCell ref="AA109:AQ109"/>
    <mergeCell ref="B110:D110"/>
    <mergeCell ref="E110:G110"/>
    <mergeCell ref="H110:K110"/>
    <mergeCell ref="L110:P110"/>
    <mergeCell ref="Q110:Z110"/>
    <mergeCell ref="AA110:AQ110"/>
    <mergeCell ref="B115:D115"/>
    <mergeCell ref="E115:G115"/>
    <mergeCell ref="H115:K115"/>
    <mergeCell ref="L115:P115"/>
    <mergeCell ref="Q115:Z115"/>
    <mergeCell ref="AA115:AQ115"/>
    <mergeCell ref="B116:D116"/>
    <mergeCell ref="E116:G116"/>
    <mergeCell ref="H116:K116"/>
    <mergeCell ref="L116:P116"/>
    <mergeCell ref="Q116:Z116"/>
    <mergeCell ref="AA116:AQ116"/>
    <mergeCell ref="B113:D113"/>
    <mergeCell ref="E113:G113"/>
    <mergeCell ref="H113:K113"/>
    <mergeCell ref="L113:P113"/>
    <mergeCell ref="Q113:Z113"/>
    <mergeCell ref="AA113:AQ113"/>
    <mergeCell ref="B114:D114"/>
    <mergeCell ref="E114:G114"/>
    <mergeCell ref="H114:K114"/>
    <mergeCell ref="L114:P114"/>
    <mergeCell ref="Q114:Z114"/>
    <mergeCell ref="AA114:AQ114"/>
    <mergeCell ref="B119:D119"/>
    <mergeCell ref="E119:G119"/>
    <mergeCell ref="H119:K119"/>
    <mergeCell ref="L119:P119"/>
    <mergeCell ref="Q119:Z119"/>
    <mergeCell ref="AA119:AQ119"/>
    <mergeCell ref="B120:D120"/>
    <mergeCell ref="E120:G120"/>
    <mergeCell ref="H120:K120"/>
    <mergeCell ref="L120:P120"/>
    <mergeCell ref="Q120:Z120"/>
    <mergeCell ref="AA120:AQ120"/>
    <mergeCell ref="B117:D117"/>
    <mergeCell ref="E117:G117"/>
    <mergeCell ref="H117:K117"/>
    <mergeCell ref="L117:P117"/>
    <mergeCell ref="Q117:Z117"/>
    <mergeCell ref="AA117:AQ117"/>
    <mergeCell ref="B118:D118"/>
    <mergeCell ref="E118:G118"/>
    <mergeCell ref="H118:K118"/>
    <mergeCell ref="L118:P118"/>
    <mergeCell ref="Q118:Z118"/>
    <mergeCell ref="AA118:AQ118"/>
    <mergeCell ref="B123:D123"/>
    <mergeCell ref="E123:G123"/>
    <mergeCell ref="H123:K123"/>
    <mergeCell ref="L123:P123"/>
    <mergeCell ref="Q123:Z123"/>
    <mergeCell ref="AA123:AQ123"/>
    <mergeCell ref="B124:D124"/>
    <mergeCell ref="E124:G124"/>
    <mergeCell ref="H124:K124"/>
    <mergeCell ref="L124:P124"/>
    <mergeCell ref="Q124:Z124"/>
    <mergeCell ref="AA124:AQ124"/>
    <mergeCell ref="B121:D121"/>
    <mergeCell ref="E121:G121"/>
    <mergeCell ref="H121:K121"/>
    <mergeCell ref="L121:P121"/>
    <mergeCell ref="Q121:Z121"/>
    <mergeCell ref="AA121:AQ121"/>
    <mergeCell ref="B122:D122"/>
    <mergeCell ref="E122:G122"/>
    <mergeCell ref="H122:K122"/>
    <mergeCell ref="L122:P122"/>
    <mergeCell ref="Q122:Z122"/>
    <mergeCell ref="AA122:AQ122"/>
    <mergeCell ref="B127:D127"/>
    <mergeCell ref="E127:G127"/>
    <mergeCell ref="H127:K127"/>
    <mergeCell ref="L127:P127"/>
    <mergeCell ref="Q127:Z127"/>
    <mergeCell ref="AA127:AQ127"/>
    <mergeCell ref="B128:D128"/>
    <mergeCell ref="E128:G128"/>
    <mergeCell ref="H128:K128"/>
    <mergeCell ref="L128:P128"/>
    <mergeCell ref="Q128:Z128"/>
    <mergeCell ref="AA128:AQ128"/>
    <mergeCell ref="B125:D125"/>
    <mergeCell ref="E125:G125"/>
    <mergeCell ref="H125:K125"/>
    <mergeCell ref="L125:P125"/>
    <mergeCell ref="Q125:Z125"/>
    <mergeCell ref="AA125:AQ125"/>
    <mergeCell ref="B126:D126"/>
    <mergeCell ref="E126:G126"/>
    <mergeCell ref="H126:K126"/>
    <mergeCell ref="L126:P126"/>
    <mergeCell ref="Q126:Z126"/>
    <mergeCell ref="AA126:AQ126"/>
    <mergeCell ref="B131:D131"/>
    <mergeCell ref="E131:G131"/>
    <mergeCell ref="H131:K131"/>
    <mergeCell ref="L131:P131"/>
    <mergeCell ref="Q131:Z131"/>
    <mergeCell ref="AA131:AQ131"/>
    <mergeCell ref="B132:D132"/>
    <mergeCell ref="E132:G132"/>
    <mergeCell ref="H132:K132"/>
    <mergeCell ref="L132:P132"/>
    <mergeCell ref="Q132:Z132"/>
    <mergeCell ref="AA132:AQ132"/>
    <mergeCell ref="B129:D129"/>
    <mergeCell ref="E129:G129"/>
    <mergeCell ref="H129:K129"/>
    <mergeCell ref="L129:P129"/>
    <mergeCell ref="Q129:Z129"/>
    <mergeCell ref="AA129:AQ129"/>
    <mergeCell ref="B130:D130"/>
    <mergeCell ref="E130:G130"/>
    <mergeCell ref="H130:K130"/>
    <mergeCell ref="L130:P130"/>
    <mergeCell ref="Q130:Z130"/>
    <mergeCell ref="AA130:AQ130"/>
    <mergeCell ref="B135:D135"/>
    <mergeCell ref="E135:G135"/>
    <mergeCell ref="H135:K135"/>
    <mergeCell ref="L135:P135"/>
    <mergeCell ref="Q135:Z135"/>
    <mergeCell ref="AA135:AQ135"/>
    <mergeCell ref="B136:D136"/>
    <mergeCell ref="E136:G136"/>
    <mergeCell ref="H136:K136"/>
    <mergeCell ref="L136:P136"/>
    <mergeCell ref="Q136:Z136"/>
    <mergeCell ref="AA136:AQ136"/>
    <mergeCell ref="B133:D133"/>
    <mergeCell ref="E133:G133"/>
    <mergeCell ref="H133:K133"/>
    <mergeCell ref="L133:P133"/>
    <mergeCell ref="Q133:Z133"/>
    <mergeCell ref="AA133:AQ133"/>
    <mergeCell ref="B134:D134"/>
    <mergeCell ref="E134:G134"/>
    <mergeCell ref="H134:K134"/>
    <mergeCell ref="L134:P134"/>
    <mergeCell ref="Q134:Z134"/>
    <mergeCell ref="AA134:AQ134"/>
    <mergeCell ref="B139:D139"/>
    <mergeCell ref="E139:G139"/>
    <mergeCell ref="H139:K139"/>
    <mergeCell ref="L139:P139"/>
    <mergeCell ref="Q139:Z139"/>
    <mergeCell ref="AA139:AQ139"/>
    <mergeCell ref="B140:D140"/>
    <mergeCell ref="E140:G140"/>
    <mergeCell ref="H140:K140"/>
    <mergeCell ref="L140:P140"/>
    <mergeCell ref="Q140:Z140"/>
    <mergeCell ref="AA140:AQ140"/>
    <mergeCell ref="B137:D137"/>
    <mergeCell ref="E137:G137"/>
    <mergeCell ref="H137:K137"/>
    <mergeCell ref="L137:P137"/>
    <mergeCell ref="Q137:Z137"/>
    <mergeCell ref="AA137:AQ137"/>
    <mergeCell ref="B138:D138"/>
    <mergeCell ref="E138:G138"/>
    <mergeCell ref="H138:K138"/>
    <mergeCell ref="L138:P138"/>
    <mergeCell ref="Q138:Z138"/>
    <mergeCell ref="AA138:AQ138"/>
    <mergeCell ref="B143:D143"/>
    <mergeCell ref="E143:G143"/>
    <mergeCell ref="H143:K143"/>
    <mergeCell ref="L143:P143"/>
    <mergeCell ref="Q143:Z143"/>
    <mergeCell ref="AA143:AQ143"/>
    <mergeCell ref="B144:D144"/>
    <mergeCell ref="E144:G144"/>
    <mergeCell ref="H144:K144"/>
    <mergeCell ref="L144:P144"/>
    <mergeCell ref="Q144:Z144"/>
    <mergeCell ref="AA144:AQ144"/>
    <mergeCell ref="B141:D141"/>
    <mergeCell ref="E141:G141"/>
    <mergeCell ref="H141:K141"/>
    <mergeCell ref="L141:P141"/>
    <mergeCell ref="Q141:Z141"/>
    <mergeCell ref="AA141:AQ141"/>
    <mergeCell ref="B142:D142"/>
    <mergeCell ref="E142:G142"/>
    <mergeCell ref="H142:K142"/>
    <mergeCell ref="L142:P142"/>
    <mergeCell ref="Q142:Z142"/>
    <mergeCell ref="AA142:AQ142"/>
    <mergeCell ref="B147:D147"/>
    <mergeCell ref="E147:G147"/>
    <mergeCell ref="H147:K147"/>
    <mergeCell ref="L147:P147"/>
    <mergeCell ref="Q147:Z147"/>
    <mergeCell ref="AA147:AQ147"/>
    <mergeCell ref="B148:D148"/>
    <mergeCell ref="E148:G148"/>
    <mergeCell ref="H148:K148"/>
    <mergeCell ref="L148:P148"/>
    <mergeCell ref="Q148:Z148"/>
    <mergeCell ref="AA148:AQ148"/>
    <mergeCell ref="B145:D145"/>
    <mergeCell ref="E145:G145"/>
    <mergeCell ref="H145:K145"/>
    <mergeCell ref="L145:P145"/>
    <mergeCell ref="Q145:Z145"/>
    <mergeCell ref="AA145:AQ145"/>
    <mergeCell ref="B146:D146"/>
    <mergeCell ref="E146:G146"/>
    <mergeCell ref="H146:K146"/>
    <mergeCell ref="L146:P146"/>
    <mergeCell ref="Q146:Z146"/>
    <mergeCell ref="AA146:AQ146"/>
    <mergeCell ref="B151:D151"/>
    <mergeCell ref="E151:G151"/>
    <mergeCell ref="H151:K151"/>
    <mergeCell ref="L151:P151"/>
    <mergeCell ref="Q151:Z151"/>
    <mergeCell ref="AA151:AQ151"/>
    <mergeCell ref="B152:D152"/>
    <mergeCell ref="E152:G152"/>
    <mergeCell ref="H152:K152"/>
    <mergeCell ref="L152:P152"/>
    <mergeCell ref="Q152:Z152"/>
    <mergeCell ref="AA152:AQ152"/>
    <mergeCell ref="B149:D149"/>
    <mergeCell ref="E149:G149"/>
    <mergeCell ref="H149:K149"/>
    <mergeCell ref="L149:P149"/>
    <mergeCell ref="Q149:Z149"/>
    <mergeCell ref="AA149:AQ149"/>
    <mergeCell ref="B150:D150"/>
    <mergeCell ref="E150:G150"/>
    <mergeCell ref="H150:K150"/>
    <mergeCell ref="L150:P150"/>
    <mergeCell ref="Q150:Z150"/>
    <mergeCell ref="AA150:AQ150"/>
    <mergeCell ref="B155:D155"/>
    <mergeCell ref="E155:G155"/>
    <mergeCell ref="H155:K155"/>
    <mergeCell ref="L155:P155"/>
    <mergeCell ref="Q155:Z155"/>
    <mergeCell ref="AA155:AQ155"/>
    <mergeCell ref="B156:D156"/>
    <mergeCell ref="E156:G156"/>
    <mergeCell ref="H156:K156"/>
    <mergeCell ref="L156:P156"/>
    <mergeCell ref="Q156:Z156"/>
    <mergeCell ref="AA156:AQ156"/>
    <mergeCell ref="B153:D153"/>
    <mergeCell ref="E153:G153"/>
    <mergeCell ref="H153:K153"/>
    <mergeCell ref="L153:P153"/>
    <mergeCell ref="Q153:Z153"/>
    <mergeCell ref="AA153:AQ153"/>
    <mergeCell ref="B154:D154"/>
    <mergeCell ref="E154:G154"/>
    <mergeCell ref="H154:K154"/>
    <mergeCell ref="L154:P154"/>
    <mergeCell ref="Q154:Z154"/>
    <mergeCell ref="AA154:AQ154"/>
    <mergeCell ref="B159:D159"/>
    <mergeCell ref="E159:G159"/>
    <mergeCell ref="H159:K159"/>
    <mergeCell ref="L159:P159"/>
    <mergeCell ref="Q159:Z159"/>
    <mergeCell ref="AA159:AQ159"/>
    <mergeCell ref="B160:D160"/>
    <mergeCell ref="E160:G160"/>
    <mergeCell ref="H160:K160"/>
    <mergeCell ref="L160:P160"/>
    <mergeCell ref="Q160:Z160"/>
    <mergeCell ref="AA160:AQ160"/>
    <mergeCell ref="B157:D157"/>
    <mergeCell ref="E157:G157"/>
    <mergeCell ref="H157:K157"/>
    <mergeCell ref="L157:P157"/>
    <mergeCell ref="Q157:Z157"/>
    <mergeCell ref="AA157:AQ157"/>
    <mergeCell ref="B158:D158"/>
    <mergeCell ref="E158:G158"/>
    <mergeCell ref="H158:K158"/>
    <mergeCell ref="L158:P158"/>
    <mergeCell ref="Q158:Z158"/>
    <mergeCell ref="AA158:AQ158"/>
    <mergeCell ref="B163:D163"/>
    <mergeCell ref="E163:G163"/>
    <mergeCell ref="H163:K163"/>
    <mergeCell ref="L163:P163"/>
    <mergeCell ref="Q163:Z163"/>
    <mergeCell ref="AA163:AQ163"/>
    <mergeCell ref="B164:D164"/>
    <mergeCell ref="E164:G164"/>
    <mergeCell ref="H164:K164"/>
    <mergeCell ref="L164:P164"/>
    <mergeCell ref="Q164:Z164"/>
    <mergeCell ref="AA164:AQ164"/>
    <mergeCell ref="B161:D161"/>
    <mergeCell ref="E161:G161"/>
    <mergeCell ref="H161:K161"/>
    <mergeCell ref="L161:P161"/>
    <mergeCell ref="Q161:Z161"/>
    <mergeCell ref="AA161:AQ161"/>
    <mergeCell ref="B162:D162"/>
    <mergeCell ref="E162:G162"/>
    <mergeCell ref="H162:K162"/>
    <mergeCell ref="L162:P162"/>
    <mergeCell ref="Q162:Z162"/>
    <mergeCell ref="AA162:AQ162"/>
    <mergeCell ref="B167:D167"/>
    <mergeCell ref="E167:G167"/>
    <mergeCell ref="H167:K167"/>
    <mergeCell ref="L167:P167"/>
    <mergeCell ref="Q167:Z167"/>
    <mergeCell ref="AA167:AQ167"/>
    <mergeCell ref="B168:D168"/>
    <mergeCell ref="E168:G168"/>
    <mergeCell ref="H168:K168"/>
    <mergeCell ref="L168:P168"/>
    <mergeCell ref="Q168:Z168"/>
    <mergeCell ref="AA168:AQ168"/>
    <mergeCell ref="B165:D165"/>
    <mergeCell ref="E165:G165"/>
    <mergeCell ref="H165:K165"/>
    <mergeCell ref="L165:P165"/>
    <mergeCell ref="Q165:Z165"/>
    <mergeCell ref="AA165:AQ165"/>
    <mergeCell ref="B166:D166"/>
    <mergeCell ref="E166:G166"/>
    <mergeCell ref="H166:K166"/>
    <mergeCell ref="L166:P166"/>
    <mergeCell ref="Q166:Z166"/>
    <mergeCell ref="AA166:AQ166"/>
    <mergeCell ref="B171:D171"/>
    <mergeCell ref="E171:G171"/>
    <mergeCell ref="H171:K171"/>
    <mergeCell ref="L171:P171"/>
    <mergeCell ref="Q171:Z171"/>
    <mergeCell ref="AA171:AQ171"/>
    <mergeCell ref="B172:D172"/>
    <mergeCell ref="E172:G172"/>
    <mergeCell ref="H172:K172"/>
    <mergeCell ref="L172:P172"/>
    <mergeCell ref="Q172:Z172"/>
    <mergeCell ref="AA172:AQ172"/>
    <mergeCell ref="B169:D169"/>
    <mergeCell ref="E169:G169"/>
    <mergeCell ref="H169:K169"/>
    <mergeCell ref="L169:P169"/>
    <mergeCell ref="Q169:Z169"/>
    <mergeCell ref="AA169:AQ169"/>
    <mergeCell ref="B170:D170"/>
    <mergeCell ref="E170:G170"/>
    <mergeCell ref="H170:K170"/>
    <mergeCell ref="L170:P170"/>
    <mergeCell ref="Q170:Z170"/>
    <mergeCell ref="AA170:AQ170"/>
    <mergeCell ref="B175:D175"/>
    <mergeCell ref="E175:G175"/>
    <mergeCell ref="H175:K175"/>
    <mergeCell ref="L175:P175"/>
    <mergeCell ref="Q175:Z175"/>
    <mergeCell ref="AA175:AQ175"/>
    <mergeCell ref="B176:D176"/>
    <mergeCell ref="E176:G176"/>
    <mergeCell ref="H176:K176"/>
    <mergeCell ref="L176:P176"/>
    <mergeCell ref="Q176:Z176"/>
    <mergeCell ref="AA176:AQ176"/>
    <mergeCell ref="B173:D173"/>
    <mergeCell ref="E173:G173"/>
    <mergeCell ref="H173:K173"/>
    <mergeCell ref="L173:P173"/>
    <mergeCell ref="Q173:Z173"/>
    <mergeCell ref="AA173:AQ173"/>
    <mergeCell ref="B174:D174"/>
    <mergeCell ref="E174:G174"/>
    <mergeCell ref="H174:K174"/>
    <mergeCell ref="L174:P174"/>
    <mergeCell ref="Q174:Z174"/>
    <mergeCell ref="AA174:AQ174"/>
    <mergeCell ref="B179:D179"/>
    <mergeCell ref="E179:G179"/>
    <mergeCell ref="H179:K179"/>
    <mergeCell ref="L179:P179"/>
    <mergeCell ref="Q179:Z179"/>
    <mergeCell ref="AA179:AQ179"/>
    <mergeCell ref="B180:D180"/>
    <mergeCell ref="E180:G180"/>
    <mergeCell ref="H180:K180"/>
    <mergeCell ref="L180:P180"/>
    <mergeCell ref="Q180:Z180"/>
    <mergeCell ref="AA180:AQ180"/>
    <mergeCell ref="B177:D177"/>
    <mergeCell ref="E177:G177"/>
    <mergeCell ref="H177:K177"/>
    <mergeCell ref="L177:P177"/>
    <mergeCell ref="Q177:Z177"/>
    <mergeCell ref="AA177:AQ177"/>
    <mergeCell ref="B178:D178"/>
    <mergeCell ref="E178:G178"/>
    <mergeCell ref="H178:K178"/>
    <mergeCell ref="L178:P178"/>
    <mergeCell ref="Q178:Z178"/>
    <mergeCell ref="AA178:AQ178"/>
    <mergeCell ref="B183:D183"/>
    <mergeCell ref="E183:G183"/>
    <mergeCell ref="H183:K183"/>
    <mergeCell ref="L183:P183"/>
    <mergeCell ref="Q183:Z183"/>
    <mergeCell ref="AA183:AQ183"/>
    <mergeCell ref="B184:D184"/>
    <mergeCell ref="E184:G184"/>
    <mergeCell ref="H184:K184"/>
    <mergeCell ref="L184:P184"/>
    <mergeCell ref="Q184:Z184"/>
    <mergeCell ref="AA184:AQ184"/>
    <mergeCell ref="B181:D181"/>
    <mergeCell ref="E181:G181"/>
    <mergeCell ref="H181:K181"/>
    <mergeCell ref="L181:P181"/>
    <mergeCell ref="Q181:Z181"/>
    <mergeCell ref="AA181:AQ181"/>
    <mergeCell ref="B182:D182"/>
    <mergeCell ref="E182:G182"/>
    <mergeCell ref="H182:K182"/>
    <mergeCell ref="L182:P182"/>
    <mergeCell ref="Q182:Z182"/>
    <mergeCell ref="AA182:AQ182"/>
    <mergeCell ref="B187:D187"/>
    <mergeCell ref="E187:G187"/>
    <mergeCell ref="H187:K187"/>
    <mergeCell ref="L187:P187"/>
    <mergeCell ref="Q187:Z187"/>
    <mergeCell ref="AA187:AQ187"/>
    <mergeCell ref="B188:D188"/>
    <mergeCell ref="E188:G188"/>
    <mergeCell ref="H188:K188"/>
    <mergeCell ref="L188:P188"/>
    <mergeCell ref="Q188:Z188"/>
    <mergeCell ref="AA188:AQ188"/>
    <mergeCell ref="B185:D185"/>
    <mergeCell ref="E185:G185"/>
    <mergeCell ref="H185:K185"/>
    <mergeCell ref="L185:P185"/>
    <mergeCell ref="Q185:Z185"/>
    <mergeCell ref="AA185:AQ185"/>
    <mergeCell ref="B186:D186"/>
    <mergeCell ref="E186:G186"/>
    <mergeCell ref="H186:K186"/>
    <mergeCell ref="L186:P186"/>
    <mergeCell ref="Q186:Z186"/>
    <mergeCell ref="AA186:AQ186"/>
    <mergeCell ref="B191:D191"/>
    <mergeCell ref="E191:G191"/>
    <mergeCell ref="H191:K191"/>
    <mergeCell ref="L191:P191"/>
    <mergeCell ref="Q191:Z191"/>
    <mergeCell ref="AA191:AQ191"/>
    <mergeCell ref="B192:D192"/>
    <mergeCell ref="E192:G192"/>
    <mergeCell ref="H192:K192"/>
    <mergeCell ref="L192:P192"/>
    <mergeCell ref="Q192:Z192"/>
    <mergeCell ref="AA192:AQ192"/>
    <mergeCell ref="B189:D189"/>
    <mergeCell ref="E189:G189"/>
    <mergeCell ref="H189:K189"/>
    <mergeCell ref="L189:P189"/>
    <mergeCell ref="Q189:Z189"/>
    <mergeCell ref="AA189:AQ189"/>
    <mergeCell ref="B190:D190"/>
    <mergeCell ref="E190:G190"/>
    <mergeCell ref="H190:K190"/>
    <mergeCell ref="L190:P190"/>
    <mergeCell ref="Q190:Z190"/>
    <mergeCell ref="AA190:AQ190"/>
    <mergeCell ref="B195:D195"/>
    <mergeCell ref="E195:G195"/>
    <mergeCell ref="H195:K195"/>
    <mergeCell ref="L195:P195"/>
    <mergeCell ref="Q195:Z195"/>
    <mergeCell ref="AA195:AQ195"/>
    <mergeCell ref="B196:D196"/>
    <mergeCell ref="E196:G196"/>
    <mergeCell ref="H196:K196"/>
    <mergeCell ref="L196:P196"/>
    <mergeCell ref="Q196:Z196"/>
    <mergeCell ref="AA196:AQ196"/>
    <mergeCell ref="B193:D193"/>
    <mergeCell ref="E193:G193"/>
    <mergeCell ref="H193:K193"/>
    <mergeCell ref="L193:P193"/>
    <mergeCell ref="Q193:Z193"/>
    <mergeCell ref="AA193:AQ193"/>
    <mergeCell ref="B194:D194"/>
    <mergeCell ref="E194:G194"/>
    <mergeCell ref="H194:K194"/>
    <mergeCell ref="L194:P194"/>
    <mergeCell ref="Q194:Z194"/>
    <mergeCell ref="AA194:AQ194"/>
    <mergeCell ref="B199:D199"/>
    <mergeCell ref="E199:G199"/>
    <mergeCell ref="H199:K199"/>
    <mergeCell ref="L199:P199"/>
    <mergeCell ref="Q199:Z199"/>
    <mergeCell ref="AA199:AQ199"/>
    <mergeCell ref="B200:D200"/>
    <mergeCell ref="E200:G200"/>
    <mergeCell ref="H200:K200"/>
    <mergeCell ref="L200:P200"/>
    <mergeCell ref="Q200:Z200"/>
    <mergeCell ref="AA200:AQ200"/>
    <mergeCell ref="B197:D197"/>
    <mergeCell ref="E197:G197"/>
    <mergeCell ref="H197:K197"/>
    <mergeCell ref="L197:P197"/>
    <mergeCell ref="Q197:Z197"/>
    <mergeCell ref="AA197:AQ197"/>
    <mergeCell ref="B198:D198"/>
    <mergeCell ref="E198:G198"/>
    <mergeCell ref="H198:K198"/>
    <mergeCell ref="L198:P198"/>
    <mergeCell ref="Q198:Z198"/>
    <mergeCell ref="AA198:AQ198"/>
    <mergeCell ref="B203:D203"/>
    <mergeCell ref="E203:G203"/>
    <mergeCell ref="H203:K203"/>
    <mergeCell ref="L203:P203"/>
    <mergeCell ref="Q203:Z203"/>
    <mergeCell ref="AA203:AQ203"/>
    <mergeCell ref="B204:D204"/>
    <mergeCell ref="E204:G204"/>
    <mergeCell ref="H204:K204"/>
    <mergeCell ref="L204:P204"/>
    <mergeCell ref="Q204:Z204"/>
    <mergeCell ref="AA204:AQ204"/>
    <mergeCell ref="B201:D201"/>
    <mergeCell ref="E201:G201"/>
    <mergeCell ref="H201:K201"/>
    <mergeCell ref="L201:P201"/>
    <mergeCell ref="Q201:Z201"/>
    <mergeCell ref="AA201:AQ201"/>
    <mergeCell ref="B202:D202"/>
    <mergeCell ref="E202:G202"/>
    <mergeCell ref="H202:K202"/>
    <mergeCell ref="L202:P202"/>
    <mergeCell ref="Q202:Z202"/>
    <mergeCell ref="AA202:AQ202"/>
    <mergeCell ref="B207:D207"/>
    <mergeCell ref="E207:G207"/>
    <mergeCell ref="H207:K207"/>
    <mergeCell ref="L207:P207"/>
    <mergeCell ref="Q207:Z207"/>
    <mergeCell ref="AA207:AQ207"/>
    <mergeCell ref="B208:D208"/>
    <mergeCell ref="E208:G208"/>
    <mergeCell ref="H208:K208"/>
    <mergeCell ref="L208:P208"/>
    <mergeCell ref="Q208:Z208"/>
    <mergeCell ref="AA208:AQ208"/>
    <mergeCell ref="B205:D205"/>
    <mergeCell ref="E205:G205"/>
    <mergeCell ref="H205:K205"/>
    <mergeCell ref="L205:P205"/>
    <mergeCell ref="Q205:Z205"/>
    <mergeCell ref="AA205:AQ205"/>
    <mergeCell ref="B206:D206"/>
    <mergeCell ref="E206:G206"/>
    <mergeCell ref="H206:K206"/>
    <mergeCell ref="L206:P206"/>
    <mergeCell ref="Q206:Z206"/>
    <mergeCell ref="AA206:AQ206"/>
    <mergeCell ref="B211:D211"/>
    <mergeCell ref="E211:G211"/>
    <mergeCell ref="H211:K211"/>
    <mergeCell ref="L211:P211"/>
    <mergeCell ref="Q211:Z211"/>
    <mergeCell ref="AA211:AQ211"/>
    <mergeCell ref="B212:D212"/>
    <mergeCell ref="E212:G212"/>
    <mergeCell ref="H212:K212"/>
    <mergeCell ref="L212:P212"/>
    <mergeCell ref="Q212:Z212"/>
    <mergeCell ref="AA212:AQ212"/>
    <mergeCell ref="B209:D209"/>
    <mergeCell ref="E209:G209"/>
    <mergeCell ref="H209:K209"/>
    <mergeCell ref="L209:P209"/>
    <mergeCell ref="Q209:Z209"/>
    <mergeCell ref="AA209:AQ209"/>
    <mergeCell ref="B210:D210"/>
    <mergeCell ref="E210:G210"/>
    <mergeCell ref="H210:K210"/>
    <mergeCell ref="L210:P210"/>
    <mergeCell ref="Q210:Z210"/>
    <mergeCell ref="AA210:AQ210"/>
    <mergeCell ref="B215:D215"/>
    <mergeCell ref="E215:G215"/>
    <mergeCell ref="H215:K215"/>
    <mergeCell ref="L215:P215"/>
    <mergeCell ref="Q215:Z215"/>
    <mergeCell ref="AA215:AQ215"/>
    <mergeCell ref="B216:D216"/>
    <mergeCell ref="E216:G216"/>
    <mergeCell ref="H216:K216"/>
    <mergeCell ref="L216:P216"/>
    <mergeCell ref="Q216:Z216"/>
    <mergeCell ref="AA216:AQ216"/>
    <mergeCell ref="B213:D213"/>
    <mergeCell ref="E213:G213"/>
    <mergeCell ref="H213:K213"/>
    <mergeCell ref="L213:P213"/>
    <mergeCell ref="Q213:Z213"/>
    <mergeCell ref="AA213:AQ213"/>
    <mergeCell ref="B214:D214"/>
    <mergeCell ref="E214:G214"/>
    <mergeCell ref="H214:K214"/>
    <mergeCell ref="L214:P214"/>
    <mergeCell ref="Q214:Z214"/>
    <mergeCell ref="AA214:AQ214"/>
    <mergeCell ref="B219:D219"/>
    <mergeCell ref="E219:G219"/>
    <mergeCell ref="H219:K219"/>
    <mergeCell ref="L219:P219"/>
    <mergeCell ref="Q219:Z219"/>
    <mergeCell ref="AA219:AQ219"/>
    <mergeCell ref="B220:D220"/>
    <mergeCell ref="E220:G220"/>
    <mergeCell ref="H220:K220"/>
    <mergeCell ref="L220:P220"/>
    <mergeCell ref="Q220:Z220"/>
    <mergeCell ref="AA220:AQ220"/>
    <mergeCell ref="B217:D217"/>
    <mergeCell ref="E217:G217"/>
    <mergeCell ref="H217:K217"/>
    <mergeCell ref="L217:P217"/>
    <mergeCell ref="Q217:Z217"/>
    <mergeCell ref="AA217:AQ217"/>
    <mergeCell ref="B218:D218"/>
    <mergeCell ref="E218:G218"/>
    <mergeCell ref="H218:K218"/>
    <mergeCell ref="L218:P218"/>
    <mergeCell ref="Q218:Z218"/>
    <mergeCell ref="AA218:AQ218"/>
    <mergeCell ref="B223:D223"/>
    <mergeCell ref="E223:G223"/>
    <mergeCell ref="H223:K223"/>
    <mergeCell ref="L223:P223"/>
    <mergeCell ref="Q223:Z223"/>
    <mergeCell ref="AA223:AQ223"/>
    <mergeCell ref="B224:D224"/>
    <mergeCell ref="E224:G224"/>
    <mergeCell ref="H224:K224"/>
    <mergeCell ref="L224:P224"/>
    <mergeCell ref="Q224:Z224"/>
    <mergeCell ref="AA224:AQ224"/>
    <mergeCell ref="B221:D221"/>
    <mergeCell ref="E221:G221"/>
    <mergeCell ref="H221:K221"/>
    <mergeCell ref="L221:P221"/>
    <mergeCell ref="Q221:Z221"/>
    <mergeCell ref="AA221:AQ221"/>
    <mergeCell ref="B222:D222"/>
    <mergeCell ref="E222:G222"/>
    <mergeCell ref="H222:K222"/>
    <mergeCell ref="L222:P222"/>
    <mergeCell ref="Q222:Z222"/>
    <mergeCell ref="AA222:AQ222"/>
    <mergeCell ref="B227:D227"/>
    <mergeCell ref="E227:G227"/>
    <mergeCell ref="H227:K227"/>
    <mergeCell ref="L227:P227"/>
    <mergeCell ref="Q227:Z227"/>
    <mergeCell ref="AA227:AQ227"/>
    <mergeCell ref="B228:D228"/>
    <mergeCell ref="E228:G228"/>
    <mergeCell ref="H228:K228"/>
    <mergeCell ref="L228:P228"/>
    <mergeCell ref="Q228:Z228"/>
    <mergeCell ref="AA228:AQ228"/>
    <mergeCell ref="B225:D225"/>
    <mergeCell ref="E225:G225"/>
    <mergeCell ref="H225:K225"/>
    <mergeCell ref="L225:P225"/>
    <mergeCell ref="Q225:Z225"/>
    <mergeCell ref="AA225:AQ225"/>
    <mergeCell ref="B226:D226"/>
    <mergeCell ref="E226:G226"/>
    <mergeCell ref="H226:K226"/>
    <mergeCell ref="L226:P226"/>
    <mergeCell ref="Q226:Z226"/>
    <mergeCell ref="AA226:AQ226"/>
    <mergeCell ref="B231:D231"/>
    <mergeCell ref="E231:G231"/>
    <mergeCell ref="H231:K231"/>
    <mergeCell ref="L231:P231"/>
    <mergeCell ref="Q231:Z231"/>
    <mergeCell ref="AA231:AQ231"/>
    <mergeCell ref="B232:D232"/>
    <mergeCell ref="E232:G232"/>
    <mergeCell ref="H232:K232"/>
    <mergeCell ref="L232:P232"/>
    <mergeCell ref="Q232:Z232"/>
    <mergeCell ref="AA232:AQ232"/>
    <mergeCell ref="B229:D229"/>
    <mergeCell ref="E229:G229"/>
    <mergeCell ref="H229:K229"/>
    <mergeCell ref="L229:P229"/>
    <mergeCell ref="Q229:Z229"/>
    <mergeCell ref="AA229:AQ229"/>
    <mergeCell ref="B230:D230"/>
    <mergeCell ref="E230:G230"/>
    <mergeCell ref="H230:K230"/>
    <mergeCell ref="L230:P230"/>
    <mergeCell ref="Q230:Z230"/>
    <mergeCell ref="AA230:AQ230"/>
    <mergeCell ref="B235:D235"/>
    <mergeCell ref="E235:G235"/>
    <mergeCell ref="H235:K235"/>
    <mergeCell ref="L235:P235"/>
    <mergeCell ref="Q235:Z235"/>
    <mergeCell ref="AA235:AQ235"/>
    <mergeCell ref="B236:D236"/>
    <mergeCell ref="E236:G236"/>
    <mergeCell ref="H236:K236"/>
    <mergeCell ref="L236:P236"/>
    <mergeCell ref="Q236:Z236"/>
    <mergeCell ref="AA236:AQ236"/>
    <mergeCell ref="B233:D233"/>
    <mergeCell ref="E233:G233"/>
    <mergeCell ref="H233:K233"/>
    <mergeCell ref="L233:P233"/>
    <mergeCell ref="Q233:Z233"/>
    <mergeCell ref="AA233:AQ233"/>
    <mergeCell ref="B234:D234"/>
    <mergeCell ref="E234:G234"/>
    <mergeCell ref="H234:K234"/>
    <mergeCell ref="L234:P234"/>
    <mergeCell ref="Q234:Z234"/>
    <mergeCell ref="AA234:AQ234"/>
    <mergeCell ref="B239:D239"/>
    <mergeCell ref="E239:G239"/>
    <mergeCell ref="H239:K239"/>
    <mergeCell ref="L239:P239"/>
    <mergeCell ref="Q239:Z239"/>
    <mergeCell ref="AA239:AQ239"/>
    <mergeCell ref="B240:D240"/>
    <mergeCell ref="E240:G240"/>
    <mergeCell ref="H240:K240"/>
    <mergeCell ref="L240:P240"/>
    <mergeCell ref="Q240:Z240"/>
    <mergeCell ref="AA240:AQ240"/>
    <mergeCell ref="B237:D237"/>
    <mergeCell ref="E237:G237"/>
    <mergeCell ref="H237:K237"/>
    <mergeCell ref="L237:P237"/>
    <mergeCell ref="Q237:Z237"/>
    <mergeCell ref="AA237:AQ237"/>
    <mergeCell ref="B238:D238"/>
    <mergeCell ref="E238:G238"/>
    <mergeCell ref="H238:K238"/>
    <mergeCell ref="L238:P238"/>
    <mergeCell ref="Q238:Z238"/>
    <mergeCell ref="AA238:AQ238"/>
    <mergeCell ref="B243:D243"/>
    <mergeCell ref="E243:G243"/>
    <mergeCell ref="H243:K243"/>
    <mergeCell ref="L243:P243"/>
    <mergeCell ref="Q243:Z243"/>
    <mergeCell ref="AA243:AQ243"/>
    <mergeCell ref="B244:D244"/>
    <mergeCell ref="E244:G244"/>
    <mergeCell ref="H244:K244"/>
    <mergeCell ref="L244:P244"/>
    <mergeCell ref="Q244:Z244"/>
    <mergeCell ref="AA244:AQ244"/>
    <mergeCell ref="B241:D241"/>
    <mergeCell ref="E241:G241"/>
    <mergeCell ref="H241:K241"/>
    <mergeCell ref="L241:P241"/>
    <mergeCell ref="Q241:Z241"/>
    <mergeCell ref="AA241:AQ241"/>
    <mergeCell ref="B242:D242"/>
    <mergeCell ref="E242:G242"/>
    <mergeCell ref="H242:K242"/>
    <mergeCell ref="L242:P242"/>
    <mergeCell ref="Q242:Z242"/>
    <mergeCell ref="AA242:AQ242"/>
    <mergeCell ref="B247:D247"/>
    <mergeCell ref="E247:G247"/>
    <mergeCell ref="H247:K247"/>
    <mergeCell ref="L247:P247"/>
    <mergeCell ref="Q247:Z247"/>
    <mergeCell ref="AA247:AQ247"/>
    <mergeCell ref="B248:D248"/>
    <mergeCell ref="E248:G248"/>
    <mergeCell ref="H248:K248"/>
    <mergeCell ref="L248:P248"/>
    <mergeCell ref="Q248:Z248"/>
    <mergeCell ref="AA248:AQ248"/>
    <mergeCell ref="B245:D245"/>
    <mergeCell ref="E245:G245"/>
    <mergeCell ref="H245:K245"/>
    <mergeCell ref="L245:P245"/>
    <mergeCell ref="Q245:Z245"/>
    <mergeCell ref="AA245:AQ245"/>
    <mergeCell ref="B246:D246"/>
    <mergeCell ref="E246:G246"/>
    <mergeCell ref="H246:K246"/>
    <mergeCell ref="L246:P246"/>
    <mergeCell ref="Q246:Z246"/>
    <mergeCell ref="AA246:AQ246"/>
    <mergeCell ref="B251:D251"/>
    <mergeCell ref="E251:G251"/>
    <mergeCell ref="H251:K251"/>
    <mergeCell ref="L251:P251"/>
    <mergeCell ref="Q251:Z251"/>
    <mergeCell ref="AA251:AQ251"/>
    <mergeCell ref="B252:D252"/>
    <mergeCell ref="E252:G252"/>
    <mergeCell ref="H252:K252"/>
    <mergeCell ref="L252:P252"/>
    <mergeCell ref="Q252:Z252"/>
    <mergeCell ref="AA252:AQ252"/>
    <mergeCell ref="B249:D249"/>
    <mergeCell ref="E249:G249"/>
    <mergeCell ref="H249:K249"/>
    <mergeCell ref="L249:P249"/>
    <mergeCell ref="Q249:Z249"/>
    <mergeCell ref="AA249:AQ249"/>
    <mergeCell ref="B250:D250"/>
    <mergeCell ref="E250:G250"/>
    <mergeCell ref="H250:K250"/>
    <mergeCell ref="L250:P250"/>
    <mergeCell ref="Q250:Z250"/>
    <mergeCell ref="AA250:AQ250"/>
    <mergeCell ref="B255:D255"/>
    <mergeCell ref="E255:G255"/>
    <mergeCell ref="H255:K255"/>
    <mergeCell ref="L255:P255"/>
    <mergeCell ref="Q255:Z255"/>
    <mergeCell ref="AA255:AQ255"/>
    <mergeCell ref="B256:D256"/>
    <mergeCell ref="E256:G256"/>
    <mergeCell ref="H256:K256"/>
    <mergeCell ref="L256:P256"/>
    <mergeCell ref="Q256:Z256"/>
    <mergeCell ref="AA256:AQ256"/>
    <mergeCell ref="B253:D253"/>
    <mergeCell ref="E253:G253"/>
    <mergeCell ref="H253:K253"/>
    <mergeCell ref="L253:P253"/>
    <mergeCell ref="Q253:Z253"/>
    <mergeCell ref="AA253:AQ253"/>
    <mergeCell ref="B254:D254"/>
    <mergeCell ref="E254:G254"/>
    <mergeCell ref="H254:K254"/>
    <mergeCell ref="L254:P254"/>
    <mergeCell ref="Q254:Z254"/>
    <mergeCell ref="AA254:AQ254"/>
    <mergeCell ref="B259:D259"/>
    <mergeCell ref="E259:G259"/>
    <mergeCell ref="H259:K259"/>
    <mergeCell ref="L259:P259"/>
    <mergeCell ref="Q259:Z259"/>
    <mergeCell ref="AA259:AQ259"/>
    <mergeCell ref="B260:D260"/>
    <mergeCell ref="E260:G260"/>
    <mergeCell ref="H260:K260"/>
    <mergeCell ref="L260:P260"/>
    <mergeCell ref="Q260:Z260"/>
    <mergeCell ref="AA260:AQ260"/>
    <mergeCell ref="B257:D257"/>
    <mergeCell ref="E257:G257"/>
    <mergeCell ref="H257:K257"/>
    <mergeCell ref="L257:P257"/>
    <mergeCell ref="Q257:Z257"/>
    <mergeCell ref="AA257:AQ257"/>
    <mergeCell ref="B258:D258"/>
    <mergeCell ref="E258:G258"/>
    <mergeCell ref="H258:K258"/>
    <mergeCell ref="L258:P258"/>
    <mergeCell ref="Q258:Z258"/>
    <mergeCell ref="AA258:AQ258"/>
    <mergeCell ref="B263:D263"/>
    <mergeCell ref="E263:G263"/>
    <mergeCell ref="H263:K263"/>
    <mergeCell ref="L263:P263"/>
    <mergeCell ref="Q263:Z263"/>
    <mergeCell ref="AA263:AQ263"/>
    <mergeCell ref="B264:D264"/>
    <mergeCell ref="E264:G264"/>
    <mergeCell ref="H264:K264"/>
    <mergeCell ref="L264:P264"/>
    <mergeCell ref="Q264:Z264"/>
    <mergeCell ref="AA264:AQ264"/>
    <mergeCell ref="B261:D261"/>
    <mergeCell ref="E261:G261"/>
    <mergeCell ref="H261:K261"/>
    <mergeCell ref="L261:P261"/>
    <mergeCell ref="Q261:Z261"/>
    <mergeCell ref="AA261:AQ261"/>
    <mergeCell ref="B262:D262"/>
    <mergeCell ref="E262:G262"/>
    <mergeCell ref="H262:K262"/>
    <mergeCell ref="L262:P262"/>
    <mergeCell ref="Q262:Z262"/>
    <mergeCell ref="AA262:AQ262"/>
    <mergeCell ref="B267:D267"/>
    <mergeCell ref="E267:G267"/>
    <mergeCell ref="H267:K267"/>
    <mergeCell ref="L267:P267"/>
    <mergeCell ref="Q267:Z267"/>
    <mergeCell ref="AA267:AQ267"/>
    <mergeCell ref="B268:D268"/>
    <mergeCell ref="E268:G268"/>
    <mergeCell ref="H268:K268"/>
    <mergeCell ref="L268:P268"/>
    <mergeCell ref="Q268:Z268"/>
    <mergeCell ref="AA268:AQ268"/>
    <mergeCell ref="B265:D265"/>
    <mergeCell ref="E265:G265"/>
    <mergeCell ref="H265:K265"/>
    <mergeCell ref="L265:P265"/>
    <mergeCell ref="Q265:Z265"/>
    <mergeCell ref="AA265:AQ265"/>
    <mergeCell ref="B266:D266"/>
    <mergeCell ref="E266:G266"/>
    <mergeCell ref="H266:K266"/>
    <mergeCell ref="L266:P266"/>
    <mergeCell ref="Q266:Z266"/>
    <mergeCell ref="AA266:AQ266"/>
    <mergeCell ref="B271:D271"/>
    <mergeCell ref="E271:G271"/>
    <mergeCell ref="H271:K271"/>
    <mergeCell ref="L271:P271"/>
    <mergeCell ref="Q271:Z271"/>
    <mergeCell ref="AA271:AQ271"/>
    <mergeCell ref="B272:D272"/>
    <mergeCell ref="E272:G272"/>
    <mergeCell ref="H272:K272"/>
    <mergeCell ref="L272:P272"/>
    <mergeCell ref="Q272:Z272"/>
    <mergeCell ref="AA272:AQ272"/>
    <mergeCell ref="B269:D269"/>
    <mergeCell ref="E269:G269"/>
    <mergeCell ref="H269:K269"/>
    <mergeCell ref="L269:P269"/>
    <mergeCell ref="Q269:Z269"/>
    <mergeCell ref="AA269:AQ269"/>
    <mergeCell ref="B270:D270"/>
    <mergeCell ref="E270:G270"/>
    <mergeCell ref="H270:K270"/>
    <mergeCell ref="L270:P270"/>
    <mergeCell ref="Q270:Z270"/>
    <mergeCell ref="AA270:AQ270"/>
    <mergeCell ref="B275:D275"/>
    <mergeCell ref="E275:G275"/>
    <mergeCell ref="H275:K275"/>
    <mergeCell ref="L275:P275"/>
    <mergeCell ref="Q275:Z275"/>
    <mergeCell ref="AA275:AQ275"/>
    <mergeCell ref="B276:D276"/>
    <mergeCell ref="E276:G276"/>
    <mergeCell ref="H276:K276"/>
    <mergeCell ref="L276:P276"/>
    <mergeCell ref="Q276:Z276"/>
    <mergeCell ref="AA276:AQ276"/>
    <mergeCell ref="B273:D273"/>
    <mergeCell ref="E273:G273"/>
    <mergeCell ref="H273:K273"/>
    <mergeCell ref="L273:P273"/>
    <mergeCell ref="Q273:Z273"/>
    <mergeCell ref="AA273:AQ273"/>
    <mergeCell ref="B274:D274"/>
    <mergeCell ref="E274:G274"/>
    <mergeCell ref="H274:K274"/>
    <mergeCell ref="L274:P274"/>
    <mergeCell ref="Q274:Z274"/>
    <mergeCell ref="AA274:AQ274"/>
    <mergeCell ref="B279:D279"/>
    <mergeCell ref="E279:G279"/>
    <mergeCell ref="H279:K279"/>
    <mergeCell ref="L279:P279"/>
    <mergeCell ref="Q279:Z279"/>
    <mergeCell ref="AA279:AQ279"/>
    <mergeCell ref="B280:D280"/>
    <mergeCell ref="E280:G280"/>
    <mergeCell ref="H280:K280"/>
    <mergeCell ref="L280:P280"/>
    <mergeCell ref="Q280:Z280"/>
    <mergeCell ref="AA280:AQ280"/>
    <mergeCell ref="B277:D277"/>
    <mergeCell ref="E277:G277"/>
    <mergeCell ref="H277:K277"/>
    <mergeCell ref="L277:P277"/>
    <mergeCell ref="Q277:Z277"/>
    <mergeCell ref="AA277:AQ277"/>
    <mergeCell ref="B278:D278"/>
    <mergeCell ref="E278:G278"/>
    <mergeCell ref="H278:K278"/>
    <mergeCell ref="L278:P278"/>
    <mergeCell ref="Q278:Z278"/>
    <mergeCell ref="AA278:AQ278"/>
    <mergeCell ref="B283:D283"/>
    <mergeCell ref="E283:G283"/>
    <mergeCell ref="H283:K283"/>
    <mergeCell ref="L283:P283"/>
    <mergeCell ref="Q283:Z283"/>
    <mergeCell ref="AA283:AQ283"/>
    <mergeCell ref="B284:D284"/>
    <mergeCell ref="E284:G284"/>
    <mergeCell ref="H284:K284"/>
    <mergeCell ref="L284:P284"/>
    <mergeCell ref="Q284:Z284"/>
    <mergeCell ref="AA284:AQ284"/>
    <mergeCell ref="B281:D281"/>
    <mergeCell ref="E281:G281"/>
    <mergeCell ref="H281:K281"/>
    <mergeCell ref="L281:P281"/>
    <mergeCell ref="Q281:Z281"/>
    <mergeCell ref="AA281:AQ281"/>
    <mergeCell ref="B282:D282"/>
    <mergeCell ref="E282:G282"/>
    <mergeCell ref="H282:K282"/>
    <mergeCell ref="L282:P282"/>
    <mergeCell ref="Q282:Z282"/>
    <mergeCell ref="AA282:AQ282"/>
    <mergeCell ref="B287:D287"/>
    <mergeCell ref="E287:G287"/>
    <mergeCell ref="H287:K287"/>
    <mergeCell ref="L287:P287"/>
    <mergeCell ref="Q287:Z287"/>
    <mergeCell ref="AA287:AQ287"/>
    <mergeCell ref="B288:D288"/>
    <mergeCell ref="E288:G288"/>
    <mergeCell ref="H288:K288"/>
    <mergeCell ref="L288:P288"/>
    <mergeCell ref="Q288:Z288"/>
    <mergeCell ref="AA288:AQ288"/>
    <mergeCell ref="B285:D285"/>
    <mergeCell ref="E285:G285"/>
    <mergeCell ref="H285:K285"/>
    <mergeCell ref="L285:P285"/>
    <mergeCell ref="Q285:Z285"/>
    <mergeCell ref="AA285:AQ285"/>
    <mergeCell ref="B286:D286"/>
    <mergeCell ref="E286:G286"/>
    <mergeCell ref="H286:K286"/>
    <mergeCell ref="L286:P286"/>
    <mergeCell ref="Q286:Z286"/>
    <mergeCell ref="AA286:AQ286"/>
    <mergeCell ref="B291:D291"/>
    <mergeCell ref="E291:G291"/>
    <mergeCell ref="H291:K291"/>
    <mergeCell ref="L291:P291"/>
    <mergeCell ref="Q291:Z291"/>
    <mergeCell ref="AA291:AQ291"/>
    <mergeCell ref="B292:D292"/>
    <mergeCell ref="E292:G292"/>
    <mergeCell ref="H292:K292"/>
    <mergeCell ref="L292:P292"/>
    <mergeCell ref="Q292:Z292"/>
    <mergeCell ref="AA292:AQ292"/>
    <mergeCell ref="B289:D289"/>
    <mergeCell ref="E289:G289"/>
    <mergeCell ref="H289:K289"/>
    <mergeCell ref="L289:P289"/>
    <mergeCell ref="Q289:Z289"/>
    <mergeCell ref="AA289:AQ289"/>
    <mergeCell ref="B290:D290"/>
    <mergeCell ref="E290:G290"/>
    <mergeCell ref="H290:K290"/>
    <mergeCell ref="L290:P290"/>
    <mergeCell ref="Q290:Z290"/>
    <mergeCell ref="AA290:AQ290"/>
    <mergeCell ref="B295:D295"/>
    <mergeCell ref="E295:G295"/>
    <mergeCell ref="H295:K295"/>
    <mergeCell ref="L295:P295"/>
    <mergeCell ref="Q295:Z295"/>
    <mergeCell ref="AA295:AQ295"/>
    <mergeCell ref="B296:D296"/>
    <mergeCell ref="E296:G296"/>
    <mergeCell ref="H296:K296"/>
    <mergeCell ref="L296:P296"/>
    <mergeCell ref="Q296:Z296"/>
    <mergeCell ref="AA296:AQ296"/>
    <mergeCell ref="B293:D293"/>
    <mergeCell ref="E293:G293"/>
    <mergeCell ref="H293:K293"/>
    <mergeCell ref="L293:P293"/>
    <mergeCell ref="Q293:Z293"/>
    <mergeCell ref="AA293:AQ293"/>
    <mergeCell ref="B294:D294"/>
    <mergeCell ref="E294:G294"/>
    <mergeCell ref="H294:K294"/>
    <mergeCell ref="L294:P294"/>
    <mergeCell ref="Q294:Z294"/>
    <mergeCell ref="AA294:AQ294"/>
    <mergeCell ref="B299:D299"/>
    <mergeCell ref="E299:G299"/>
    <mergeCell ref="H299:K299"/>
    <mergeCell ref="L299:P299"/>
    <mergeCell ref="Q299:Z299"/>
    <mergeCell ref="AA299:AQ299"/>
    <mergeCell ref="B300:D300"/>
    <mergeCell ref="E300:G300"/>
    <mergeCell ref="H300:K300"/>
    <mergeCell ref="L300:P300"/>
    <mergeCell ref="Q300:Z300"/>
    <mergeCell ref="AA300:AQ300"/>
    <mergeCell ref="B297:D297"/>
    <mergeCell ref="E297:G297"/>
    <mergeCell ref="H297:K297"/>
    <mergeCell ref="L297:P297"/>
    <mergeCell ref="Q297:Z297"/>
    <mergeCell ref="AA297:AQ297"/>
    <mergeCell ref="B298:D298"/>
    <mergeCell ref="E298:G298"/>
    <mergeCell ref="H298:K298"/>
    <mergeCell ref="L298:P298"/>
    <mergeCell ref="Q298:Z298"/>
    <mergeCell ref="AA298:AQ298"/>
    <mergeCell ref="B303:D303"/>
    <mergeCell ref="E303:G303"/>
    <mergeCell ref="H303:K303"/>
    <mergeCell ref="L303:P303"/>
    <mergeCell ref="Q303:Z303"/>
    <mergeCell ref="AA303:AQ303"/>
    <mergeCell ref="B304:D304"/>
    <mergeCell ref="E304:G304"/>
    <mergeCell ref="H304:K304"/>
    <mergeCell ref="L304:P304"/>
    <mergeCell ref="Q304:Z304"/>
    <mergeCell ref="AA304:AQ304"/>
    <mergeCell ref="B301:D301"/>
    <mergeCell ref="E301:G301"/>
    <mergeCell ref="H301:K301"/>
    <mergeCell ref="L301:P301"/>
    <mergeCell ref="Q301:Z301"/>
    <mergeCell ref="AA301:AQ301"/>
    <mergeCell ref="B302:D302"/>
    <mergeCell ref="E302:G302"/>
    <mergeCell ref="H302:K302"/>
    <mergeCell ref="L302:P302"/>
    <mergeCell ref="Q302:Z302"/>
    <mergeCell ref="AA302:AQ302"/>
    <mergeCell ref="B307:D307"/>
    <mergeCell ref="E307:G307"/>
    <mergeCell ref="H307:K307"/>
    <mergeCell ref="L307:P307"/>
    <mergeCell ref="Q307:Z307"/>
    <mergeCell ref="AA307:AQ307"/>
    <mergeCell ref="B308:D308"/>
    <mergeCell ref="E308:G308"/>
    <mergeCell ref="H308:K308"/>
    <mergeCell ref="L308:P308"/>
    <mergeCell ref="Q308:Z308"/>
    <mergeCell ref="AA308:AQ308"/>
    <mergeCell ref="B305:D305"/>
    <mergeCell ref="E305:G305"/>
    <mergeCell ref="H305:K305"/>
    <mergeCell ref="L305:P305"/>
    <mergeCell ref="Q305:Z305"/>
    <mergeCell ref="AA305:AQ305"/>
    <mergeCell ref="B306:D306"/>
    <mergeCell ref="E306:G306"/>
    <mergeCell ref="H306:K306"/>
    <mergeCell ref="L306:P306"/>
    <mergeCell ref="Q306:Z306"/>
    <mergeCell ref="AA306:AQ306"/>
    <mergeCell ref="B311:D311"/>
    <mergeCell ref="E311:G311"/>
    <mergeCell ref="H311:K311"/>
    <mergeCell ref="L311:P311"/>
    <mergeCell ref="Q311:Z311"/>
    <mergeCell ref="AA311:AQ311"/>
    <mergeCell ref="B312:D312"/>
    <mergeCell ref="E312:G312"/>
    <mergeCell ref="H312:K312"/>
    <mergeCell ref="L312:P312"/>
    <mergeCell ref="Q312:Z312"/>
    <mergeCell ref="AA312:AQ312"/>
    <mergeCell ref="B309:D309"/>
    <mergeCell ref="E309:G309"/>
    <mergeCell ref="H309:K309"/>
    <mergeCell ref="L309:P309"/>
    <mergeCell ref="Q309:Z309"/>
    <mergeCell ref="AA309:AQ309"/>
    <mergeCell ref="B310:D310"/>
    <mergeCell ref="E310:G310"/>
    <mergeCell ref="H310:K310"/>
    <mergeCell ref="L310:P310"/>
    <mergeCell ref="Q310:Z310"/>
    <mergeCell ref="AA310:AQ310"/>
    <mergeCell ref="B315:D315"/>
    <mergeCell ref="E315:G315"/>
    <mergeCell ref="H315:K315"/>
    <mergeCell ref="L315:P315"/>
    <mergeCell ref="Q315:Z315"/>
    <mergeCell ref="AA315:AQ315"/>
    <mergeCell ref="B316:D316"/>
    <mergeCell ref="E316:G316"/>
    <mergeCell ref="H316:K316"/>
    <mergeCell ref="L316:P316"/>
    <mergeCell ref="Q316:Z316"/>
    <mergeCell ref="AA316:AQ316"/>
    <mergeCell ref="B313:D313"/>
    <mergeCell ref="E313:G313"/>
    <mergeCell ref="H313:K313"/>
    <mergeCell ref="L313:P313"/>
    <mergeCell ref="Q313:Z313"/>
    <mergeCell ref="AA313:AQ313"/>
    <mergeCell ref="B314:D314"/>
    <mergeCell ref="E314:G314"/>
    <mergeCell ref="H314:K314"/>
    <mergeCell ref="L314:P314"/>
    <mergeCell ref="Q314:Z314"/>
    <mergeCell ref="AA314:AQ314"/>
    <mergeCell ref="B319:D319"/>
    <mergeCell ref="E319:G319"/>
    <mergeCell ref="H319:K319"/>
    <mergeCell ref="L319:P319"/>
    <mergeCell ref="Q319:Z319"/>
    <mergeCell ref="AA319:AQ319"/>
    <mergeCell ref="B320:D320"/>
    <mergeCell ref="E320:G320"/>
    <mergeCell ref="H320:K320"/>
    <mergeCell ref="L320:P320"/>
    <mergeCell ref="Q320:Z320"/>
    <mergeCell ref="AA320:AQ320"/>
    <mergeCell ref="B317:D317"/>
    <mergeCell ref="E317:G317"/>
    <mergeCell ref="H317:K317"/>
    <mergeCell ref="L317:P317"/>
    <mergeCell ref="Q317:Z317"/>
    <mergeCell ref="AA317:AQ317"/>
    <mergeCell ref="B318:D318"/>
    <mergeCell ref="E318:G318"/>
    <mergeCell ref="H318:K318"/>
    <mergeCell ref="L318:P318"/>
    <mergeCell ref="Q318:Z318"/>
    <mergeCell ref="AA318:AQ318"/>
    <mergeCell ref="B323:D323"/>
    <mergeCell ref="E323:G323"/>
    <mergeCell ref="H323:K323"/>
    <mergeCell ref="L323:P323"/>
    <mergeCell ref="Q323:Z323"/>
    <mergeCell ref="AA323:AQ323"/>
    <mergeCell ref="B324:D324"/>
    <mergeCell ref="E324:G324"/>
    <mergeCell ref="H324:K324"/>
    <mergeCell ref="L324:P324"/>
    <mergeCell ref="Q324:Z324"/>
    <mergeCell ref="AA324:AQ324"/>
    <mergeCell ref="B321:D321"/>
    <mergeCell ref="E321:G321"/>
    <mergeCell ref="H321:K321"/>
    <mergeCell ref="L321:P321"/>
    <mergeCell ref="Q321:Z321"/>
    <mergeCell ref="AA321:AQ321"/>
    <mergeCell ref="B322:D322"/>
    <mergeCell ref="E322:G322"/>
    <mergeCell ref="H322:K322"/>
    <mergeCell ref="L322:P322"/>
    <mergeCell ref="Q322:Z322"/>
    <mergeCell ref="AA322:AQ322"/>
    <mergeCell ref="B327:D327"/>
    <mergeCell ref="E327:G327"/>
    <mergeCell ref="H327:K327"/>
    <mergeCell ref="L327:P327"/>
    <mergeCell ref="Q327:Z327"/>
    <mergeCell ref="AA327:AQ327"/>
    <mergeCell ref="B328:D328"/>
    <mergeCell ref="E328:G328"/>
    <mergeCell ref="H328:K328"/>
    <mergeCell ref="L328:P328"/>
    <mergeCell ref="Q328:Z328"/>
    <mergeCell ref="AA328:AQ328"/>
    <mergeCell ref="B325:D325"/>
    <mergeCell ref="E325:G325"/>
    <mergeCell ref="H325:K325"/>
    <mergeCell ref="L325:P325"/>
    <mergeCell ref="Q325:Z325"/>
    <mergeCell ref="AA325:AQ325"/>
    <mergeCell ref="B326:D326"/>
    <mergeCell ref="E326:G326"/>
    <mergeCell ref="H326:K326"/>
    <mergeCell ref="L326:P326"/>
    <mergeCell ref="Q326:Z326"/>
    <mergeCell ref="AA326:AQ326"/>
    <mergeCell ref="B331:D331"/>
    <mergeCell ref="E331:G331"/>
    <mergeCell ref="H331:K331"/>
    <mergeCell ref="L331:P331"/>
    <mergeCell ref="Q331:Z331"/>
    <mergeCell ref="AA331:AQ331"/>
    <mergeCell ref="B332:D332"/>
    <mergeCell ref="E332:G332"/>
    <mergeCell ref="H332:K332"/>
    <mergeCell ref="L332:P332"/>
    <mergeCell ref="Q332:Z332"/>
    <mergeCell ref="AA332:AQ332"/>
    <mergeCell ref="B329:D329"/>
    <mergeCell ref="E329:G329"/>
    <mergeCell ref="H329:K329"/>
    <mergeCell ref="L329:P329"/>
    <mergeCell ref="Q329:Z329"/>
    <mergeCell ref="AA329:AQ329"/>
    <mergeCell ref="B330:D330"/>
    <mergeCell ref="E330:G330"/>
    <mergeCell ref="H330:K330"/>
    <mergeCell ref="L330:P330"/>
    <mergeCell ref="Q330:Z330"/>
    <mergeCell ref="AA330:AQ330"/>
    <mergeCell ref="B335:D335"/>
    <mergeCell ref="E335:G335"/>
    <mergeCell ref="H335:K335"/>
    <mergeCell ref="L335:P335"/>
    <mergeCell ref="Q335:Z335"/>
    <mergeCell ref="AA335:AQ335"/>
    <mergeCell ref="B336:D336"/>
    <mergeCell ref="E336:G336"/>
    <mergeCell ref="H336:K336"/>
    <mergeCell ref="L336:P336"/>
    <mergeCell ref="Q336:Z336"/>
    <mergeCell ref="AA336:AQ336"/>
    <mergeCell ref="B333:D333"/>
    <mergeCell ref="E333:G333"/>
    <mergeCell ref="H333:K333"/>
    <mergeCell ref="L333:P333"/>
    <mergeCell ref="Q333:Z333"/>
    <mergeCell ref="AA333:AQ333"/>
    <mergeCell ref="B334:D334"/>
    <mergeCell ref="E334:G334"/>
    <mergeCell ref="H334:K334"/>
    <mergeCell ref="L334:P334"/>
    <mergeCell ref="Q334:Z334"/>
    <mergeCell ref="AA334:AQ334"/>
    <mergeCell ref="B339:D339"/>
    <mergeCell ref="E339:G339"/>
    <mergeCell ref="H339:K339"/>
    <mergeCell ref="L339:P339"/>
    <mergeCell ref="Q339:Z339"/>
    <mergeCell ref="AA339:AQ339"/>
    <mergeCell ref="B340:D340"/>
    <mergeCell ref="E340:G340"/>
    <mergeCell ref="H340:K340"/>
    <mergeCell ref="L340:P340"/>
    <mergeCell ref="Q340:Z340"/>
    <mergeCell ref="AA340:AQ340"/>
    <mergeCell ref="B337:D337"/>
    <mergeCell ref="E337:G337"/>
    <mergeCell ref="H337:K337"/>
    <mergeCell ref="L337:P337"/>
    <mergeCell ref="Q337:Z337"/>
    <mergeCell ref="AA337:AQ337"/>
    <mergeCell ref="B338:D338"/>
    <mergeCell ref="E338:G338"/>
    <mergeCell ref="H338:K338"/>
    <mergeCell ref="L338:P338"/>
    <mergeCell ref="Q338:Z338"/>
    <mergeCell ref="AA338:AQ338"/>
    <mergeCell ref="B343:D343"/>
    <mergeCell ref="E343:G343"/>
    <mergeCell ref="H343:K343"/>
    <mergeCell ref="L343:P343"/>
    <mergeCell ref="Q343:Z343"/>
    <mergeCell ref="AA343:AQ343"/>
    <mergeCell ref="B344:D344"/>
    <mergeCell ref="E344:G344"/>
    <mergeCell ref="H344:K344"/>
    <mergeCell ref="L344:P344"/>
    <mergeCell ref="Q344:Z344"/>
    <mergeCell ref="AA344:AQ344"/>
    <mergeCell ref="B341:D341"/>
    <mergeCell ref="E341:G341"/>
    <mergeCell ref="H341:K341"/>
    <mergeCell ref="L341:P341"/>
    <mergeCell ref="Q341:Z341"/>
    <mergeCell ref="AA341:AQ341"/>
    <mergeCell ref="B342:D342"/>
    <mergeCell ref="E342:G342"/>
    <mergeCell ref="H342:K342"/>
    <mergeCell ref="L342:P342"/>
    <mergeCell ref="Q342:Z342"/>
    <mergeCell ref="AA342:AQ342"/>
    <mergeCell ref="B347:D347"/>
    <mergeCell ref="E347:G347"/>
    <mergeCell ref="H347:K347"/>
    <mergeCell ref="L347:P347"/>
    <mergeCell ref="Q347:Z347"/>
    <mergeCell ref="AA347:AQ347"/>
    <mergeCell ref="B348:D348"/>
    <mergeCell ref="E348:G348"/>
    <mergeCell ref="H348:K348"/>
    <mergeCell ref="L348:P348"/>
    <mergeCell ref="Q348:Z348"/>
    <mergeCell ref="AA348:AQ348"/>
    <mergeCell ref="B345:D345"/>
    <mergeCell ref="E345:G345"/>
    <mergeCell ref="H345:K345"/>
    <mergeCell ref="L345:P345"/>
    <mergeCell ref="Q345:Z345"/>
    <mergeCell ref="AA345:AQ345"/>
    <mergeCell ref="B346:D346"/>
    <mergeCell ref="E346:G346"/>
    <mergeCell ref="H346:K346"/>
    <mergeCell ref="L346:P346"/>
    <mergeCell ref="Q346:Z346"/>
    <mergeCell ref="AA346:AQ346"/>
    <mergeCell ref="B351:D351"/>
    <mergeCell ref="E351:G351"/>
    <mergeCell ref="H351:K351"/>
    <mergeCell ref="L351:P351"/>
    <mergeCell ref="Q351:Z351"/>
    <mergeCell ref="AA351:AQ351"/>
    <mergeCell ref="B352:D352"/>
    <mergeCell ref="E352:G352"/>
    <mergeCell ref="H352:K352"/>
    <mergeCell ref="L352:P352"/>
    <mergeCell ref="Q352:Z352"/>
    <mergeCell ref="AA352:AQ352"/>
    <mergeCell ref="B349:D349"/>
    <mergeCell ref="E349:G349"/>
    <mergeCell ref="H349:K349"/>
    <mergeCell ref="L349:P349"/>
    <mergeCell ref="Q349:Z349"/>
    <mergeCell ref="AA349:AQ349"/>
    <mergeCell ref="B350:D350"/>
    <mergeCell ref="E350:G350"/>
    <mergeCell ref="H350:K350"/>
    <mergeCell ref="L350:P350"/>
    <mergeCell ref="Q350:Z350"/>
    <mergeCell ref="AA350:AQ350"/>
    <mergeCell ref="B355:D355"/>
    <mergeCell ref="E355:G355"/>
    <mergeCell ref="H355:K355"/>
    <mergeCell ref="L355:P355"/>
    <mergeCell ref="Q355:Z355"/>
    <mergeCell ref="AA355:AQ355"/>
    <mergeCell ref="B356:D356"/>
    <mergeCell ref="E356:G356"/>
    <mergeCell ref="H356:K356"/>
    <mergeCell ref="L356:P356"/>
    <mergeCell ref="Q356:Z356"/>
    <mergeCell ref="AA356:AQ356"/>
    <mergeCell ref="B353:D353"/>
    <mergeCell ref="E353:G353"/>
    <mergeCell ref="H353:K353"/>
    <mergeCell ref="L353:P353"/>
    <mergeCell ref="Q353:Z353"/>
    <mergeCell ref="AA353:AQ353"/>
    <mergeCell ref="B354:D354"/>
    <mergeCell ref="E354:G354"/>
    <mergeCell ref="H354:K354"/>
    <mergeCell ref="L354:P354"/>
    <mergeCell ref="Q354:Z354"/>
    <mergeCell ref="AA354:AQ354"/>
    <mergeCell ref="B359:D359"/>
    <mergeCell ref="E359:G359"/>
    <mergeCell ref="H359:K359"/>
    <mergeCell ref="L359:P359"/>
    <mergeCell ref="Q359:Z359"/>
    <mergeCell ref="AA359:AQ359"/>
    <mergeCell ref="B360:D360"/>
    <mergeCell ref="E360:G360"/>
    <mergeCell ref="H360:K360"/>
    <mergeCell ref="L360:P360"/>
    <mergeCell ref="Q360:Z360"/>
    <mergeCell ref="AA360:AQ360"/>
    <mergeCell ref="B357:D357"/>
    <mergeCell ref="E357:G357"/>
    <mergeCell ref="H357:K357"/>
    <mergeCell ref="L357:P357"/>
    <mergeCell ref="Q357:Z357"/>
    <mergeCell ref="AA357:AQ357"/>
    <mergeCell ref="B358:D358"/>
    <mergeCell ref="E358:G358"/>
    <mergeCell ref="H358:K358"/>
    <mergeCell ref="L358:P358"/>
    <mergeCell ref="Q358:Z358"/>
    <mergeCell ref="AA358:AQ358"/>
    <mergeCell ref="B363:D363"/>
    <mergeCell ref="E363:G363"/>
    <mergeCell ref="H363:K363"/>
    <mergeCell ref="L363:P363"/>
    <mergeCell ref="Q363:Z363"/>
    <mergeCell ref="AA363:AQ363"/>
    <mergeCell ref="B364:D364"/>
    <mergeCell ref="E364:G364"/>
    <mergeCell ref="H364:K364"/>
    <mergeCell ref="L364:P364"/>
    <mergeCell ref="Q364:Z364"/>
    <mergeCell ref="AA364:AQ364"/>
    <mergeCell ref="B361:D361"/>
    <mergeCell ref="E361:G361"/>
    <mergeCell ref="H361:K361"/>
    <mergeCell ref="L361:P361"/>
    <mergeCell ref="Q361:Z361"/>
    <mergeCell ref="AA361:AQ361"/>
    <mergeCell ref="B362:D362"/>
    <mergeCell ref="E362:G362"/>
    <mergeCell ref="H362:K362"/>
    <mergeCell ref="L362:P362"/>
    <mergeCell ref="Q362:Z362"/>
    <mergeCell ref="AA362:AQ362"/>
    <mergeCell ref="B367:D367"/>
    <mergeCell ref="E367:G367"/>
    <mergeCell ref="H367:K367"/>
    <mergeCell ref="L367:P367"/>
    <mergeCell ref="Q367:Z367"/>
    <mergeCell ref="AA367:AQ367"/>
    <mergeCell ref="B368:D368"/>
    <mergeCell ref="E368:G368"/>
    <mergeCell ref="H368:K368"/>
    <mergeCell ref="L368:P368"/>
    <mergeCell ref="Q368:Z368"/>
    <mergeCell ref="AA368:AQ368"/>
    <mergeCell ref="B365:D365"/>
    <mergeCell ref="E365:G365"/>
    <mergeCell ref="H365:K365"/>
    <mergeCell ref="L365:P365"/>
    <mergeCell ref="Q365:Z365"/>
    <mergeCell ref="AA365:AQ365"/>
    <mergeCell ref="B366:D366"/>
    <mergeCell ref="E366:G366"/>
    <mergeCell ref="H366:K366"/>
    <mergeCell ref="L366:P366"/>
    <mergeCell ref="Q366:Z366"/>
    <mergeCell ref="AA366:AQ366"/>
    <mergeCell ref="B371:D371"/>
    <mergeCell ref="E371:G371"/>
    <mergeCell ref="H371:K371"/>
    <mergeCell ref="L371:P371"/>
    <mergeCell ref="Q371:Z371"/>
    <mergeCell ref="AA371:AQ371"/>
    <mergeCell ref="B372:D372"/>
    <mergeCell ref="E372:G372"/>
    <mergeCell ref="H372:K372"/>
    <mergeCell ref="L372:P372"/>
    <mergeCell ref="Q372:Z372"/>
    <mergeCell ref="AA372:AQ372"/>
    <mergeCell ref="B369:D369"/>
    <mergeCell ref="E369:G369"/>
    <mergeCell ref="H369:K369"/>
    <mergeCell ref="L369:P369"/>
    <mergeCell ref="Q369:Z369"/>
    <mergeCell ref="AA369:AQ369"/>
    <mergeCell ref="B370:D370"/>
    <mergeCell ref="E370:G370"/>
    <mergeCell ref="H370:K370"/>
    <mergeCell ref="L370:P370"/>
    <mergeCell ref="Q370:Z370"/>
    <mergeCell ref="AA370:AQ370"/>
    <mergeCell ref="B375:D375"/>
    <mergeCell ref="E375:G375"/>
    <mergeCell ref="H375:K375"/>
    <mergeCell ref="L375:P375"/>
    <mergeCell ref="Q375:Z375"/>
    <mergeCell ref="AA375:AQ375"/>
    <mergeCell ref="B376:D376"/>
    <mergeCell ref="E376:G376"/>
    <mergeCell ref="H376:K376"/>
    <mergeCell ref="L376:P376"/>
    <mergeCell ref="Q376:Z376"/>
    <mergeCell ref="AA376:AQ376"/>
    <mergeCell ref="B373:D373"/>
    <mergeCell ref="E373:G373"/>
    <mergeCell ref="H373:K373"/>
    <mergeCell ref="L373:P373"/>
    <mergeCell ref="Q373:Z373"/>
    <mergeCell ref="AA373:AQ373"/>
    <mergeCell ref="B374:D374"/>
    <mergeCell ref="E374:G374"/>
    <mergeCell ref="H374:K374"/>
    <mergeCell ref="L374:P374"/>
    <mergeCell ref="Q374:Z374"/>
    <mergeCell ref="AA374:AQ374"/>
    <mergeCell ref="B379:D379"/>
    <mergeCell ref="E379:G379"/>
    <mergeCell ref="H379:K379"/>
    <mergeCell ref="L379:P379"/>
    <mergeCell ref="Q379:Z379"/>
    <mergeCell ref="AA379:AQ379"/>
    <mergeCell ref="B380:D380"/>
    <mergeCell ref="E380:G380"/>
    <mergeCell ref="H380:K380"/>
    <mergeCell ref="L380:P380"/>
    <mergeCell ref="Q380:Z380"/>
    <mergeCell ref="AA380:AQ380"/>
    <mergeCell ref="B377:D377"/>
    <mergeCell ref="E377:G377"/>
    <mergeCell ref="H377:K377"/>
    <mergeCell ref="L377:P377"/>
    <mergeCell ref="Q377:Z377"/>
    <mergeCell ref="AA377:AQ377"/>
    <mergeCell ref="B378:D378"/>
    <mergeCell ref="E378:G378"/>
    <mergeCell ref="H378:K378"/>
    <mergeCell ref="L378:P378"/>
    <mergeCell ref="Q378:Z378"/>
    <mergeCell ref="AA378:AQ378"/>
    <mergeCell ref="B383:D383"/>
    <mergeCell ref="E383:G383"/>
    <mergeCell ref="H383:K383"/>
    <mergeCell ref="L383:P383"/>
    <mergeCell ref="Q383:Z383"/>
    <mergeCell ref="AA383:AQ383"/>
    <mergeCell ref="B384:D384"/>
    <mergeCell ref="E384:G384"/>
    <mergeCell ref="H384:K384"/>
    <mergeCell ref="L384:P384"/>
    <mergeCell ref="Q384:Z384"/>
    <mergeCell ref="AA384:AQ384"/>
    <mergeCell ref="B381:D381"/>
    <mergeCell ref="E381:G381"/>
    <mergeCell ref="H381:K381"/>
    <mergeCell ref="L381:P381"/>
    <mergeCell ref="Q381:Z381"/>
    <mergeCell ref="AA381:AQ381"/>
    <mergeCell ref="B382:D382"/>
    <mergeCell ref="E382:G382"/>
    <mergeCell ref="H382:K382"/>
    <mergeCell ref="L382:P382"/>
    <mergeCell ref="Q382:Z382"/>
    <mergeCell ref="AA382:AQ382"/>
    <mergeCell ref="B387:D387"/>
    <mergeCell ref="E387:G387"/>
    <mergeCell ref="H387:K387"/>
    <mergeCell ref="L387:P387"/>
    <mergeCell ref="Q387:Z387"/>
    <mergeCell ref="AA387:AQ387"/>
    <mergeCell ref="B388:D388"/>
    <mergeCell ref="E388:G388"/>
    <mergeCell ref="H388:K388"/>
    <mergeCell ref="L388:P388"/>
    <mergeCell ref="Q388:Z388"/>
    <mergeCell ref="AA388:AQ388"/>
    <mergeCell ref="B385:D385"/>
    <mergeCell ref="E385:G385"/>
    <mergeCell ref="H385:K385"/>
    <mergeCell ref="L385:P385"/>
    <mergeCell ref="Q385:Z385"/>
    <mergeCell ref="AA385:AQ385"/>
    <mergeCell ref="B386:D386"/>
    <mergeCell ref="E386:G386"/>
    <mergeCell ref="H386:K386"/>
    <mergeCell ref="L386:P386"/>
    <mergeCell ref="Q386:Z386"/>
    <mergeCell ref="AA386:AQ386"/>
    <mergeCell ref="B391:D391"/>
    <mergeCell ref="E391:G391"/>
    <mergeCell ref="H391:K391"/>
    <mergeCell ref="L391:P391"/>
    <mergeCell ref="Q391:Z391"/>
    <mergeCell ref="AA391:AQ391"/>
    <mergeCell ref="B392:D392"/>
    <mergeCell ref="E392:G392"/>
    <mergeCell ref="H392:K392"/>
    <mergeCell ref="L392:P392"/>
    <mergeCell ref="Q392:Z392"/>
    <mergeCell ref="AA392:AQ392"/>
    <mergeCell ref="B389:D389"/>
    <mergeCell ref="E389:G389"/>
    <mergeCell ref="H389:K389"/>
    <mergeCell ref="L389:P389"/>
    <mergeCell ref="Q389:Z389"/>
    <mergeCell ref="AA389:AQ389"/>
    <mergeCell ref="B390:D390"/>
    <mergeCell ref="E390:G390"/>
    <mergeCell ref="H390:K390"/>
    <mergeCell ref="L390:P390"/>
    <mergeCell ref="Q390:Z390"/>
    <mergeCell ref="AA390:AQ390"/>
    <mergeCell ref="B395:D395"/>
    <mergeCell ref="E395:G395"/>
    <mergeCell ref="H395:K395"/>
    <mergeCell ref="L395:P395"/>
    <mergeCell ref="Q395:Z395"/>
    <mergeCell ref="AA395:AQ395"/>
    <mergeCell ref="B396:D396"/>
    <mergeCell ref="E396:G396"/>
    <mergeCell ref="H396:K396"/>
    <mergeCell ref="L396:P396"/>
    <mergeCell ref="Q396:Z396"/>
    <mergeCell ref="AA396:AQ396"/>
    <mergeCell ref="B393:D393"/>
    <mergeCell ref="E393:G393"/>
    <mergeCell ref="H393:K393"/>
    <mergeCell ref="L393:P393"/>
    <mergeCell ref="Q393:Z393"/>
    <mergeCell ref="AA393:AQ393"/>
    <mergeCell ref="B394:D394"/>
    <mergeCell ref="E394:G394"/>
    <mergeCell ref="H394:K394"/>
    <mergeCell ref="L394:P394"/>
    <mergeCell ref="Q394:Z394"/>
    <mergeCell ref="AA394:AQ394"/>
    <mergeCell ref="B399:D399"/>
    <mergeCell ref="E399:G399"/>
    <mergeCell ref="H399:K399"/>
    <mergeCell ref="L399:P399"/>
    <mergeCell ref="Q399:Z399"/>
    <mergeCell ref="AA399:AQ399"/>
    <mergeCell ref="B400:D400"/>
    <mergeCell ref="E400:G400"/>
    <mergeCell ref="H400:K400"/>
    <mergeCell ref="L400:P400"/>
    <mergeCell ref="Q400:Z400"/>
    <mergeCell ref="AA400:AQ400"/>
    <mergeCell ref="B397:D397"/>
    <mergeCell ref="E397:G397"/>
    <mergeCell ref="H397:K397"/>
    <mergeCell ref="L397:P397"/>
    <mergeCell ref="Q397:Z397"/>
    <mergeCell ref="AA397:AQ397"/>
    <mergeCell ref="B398:D398"/>
    <mergeCell ref="E398:G398"/>
    <mergeCell ref="H398:K398"/>
    <mergeCell ref="L398:P398"/>
    <mergeCell ref="Q398:Z398"/>
    <mergeCell ref="AA398:AQ398"/>
    <mergeCell ref="B403:D403"/>
    <mergeCell ref="E403:G403"/>
    <mergeCell ref="H403:K403"/>
    <mergeCell ref="L403:P403"/>
    <mergeCell ref="Q403:Z403"/>
    <mergeCell ref="AA403:AQ403"/>
    <mergeCell ref="B404:D404"/>
    <mergeCell ref="E404:G404"/>
    <mergeCell ref="H404:K404"/>
    <mergeCell ref="L404:P404"/>
    <mergeCell ref="Q404:Z404"/>
    <mergeCell ref="AA404:AQ404"/>
    <mergeCell ref="B401:D401"/>
    <mergeCell ref="E401:G401"/>
    <mergeCell ref="H401:K401"/>
    <mergeCell ref="L401:P401"/>
    <mergeCell ref="Q401:Z401"/>
    <mergeCell ref="AA401:AQ401"/>
    <mergeCell ref="B402:D402"/>
    <mergeCell ref="E402:G402"/>
    <mergeCell ref="H402:K402"/>
    <mergeCell ref="L402:P402"/>
    <mergeCell ref="Q402:Z402"/>
    <mergeCell ref="AA402:AQ402"/>
    <mergeCell ref="B407:D407"/>
    <mergeCell ref="E407:G407"/>
    <mergeCell ref="H407:K407"/>
    <mergeCell ref="L407:P407"/>
    <mergeCell ref="Q407:Z407"/>
    <mergeCell ref="AA407:AQ407"/>
    <mergeCell ref="B408:D408"/>
    <mergeCell ref="E408:G408"/>
    <mergeCell ref="H408:K408"/>
    <mergeCell ref="L408:P408"/>
    <mergeCell ref="Q408:Z408"/>
    <mergeCell ref="AA408:AQ408"/>
    <mergeCell ref="B405:D405"/>
    <mergeCell ref="E405:G405"/>
    <mergeCell ref="H405:K405"/>
    <mergeCell ref="L405:P405"/>
    <mergeCell ref="Q405:Z405"/>
    <mergeCell ref="AA405:AQ405"/>
    <mergeCell ref="B406:D406"/>
    <mergeCell ref="E406:G406"/>
    <mergeCell ref="H406:K406"/>
    <mergeCell ref="L406:P406"/>
    <mergeCell ref="Q406:Z406"/>
    <mergeCell ref="AA406:AQ406"/>
    <mergeCell ref="B411:D411"/>
    <mergeCell ref="E411:G411"/>
    <mergeCell ref="H411:K411"/>
    <mergeCell ref="L411:P411"/>
    <mergeCell ref="Q411:Z411"/>
    <mergeCell ref="AA411:AQ411"/>
    <mergeCell ref="B412:D412"/>
    <mergeCell ref="E412:G412"/>
    <mergeCell ref="H412:K412"/>
    <mergeCell ref="L412:P412"/>
    <mergeCell ref="Q412:Z412"/>
    <mergeCell ref="AA412:AQ412"/>
    <mergeCell ref="B409:D409"/>
    <mergeCell ref="E409:G409"/>
    <mergeCell ref="H409:K409"/>
    <mergeCell ref="L409:P409"/>
    <mergeCell ref="Q409:Z409"/>
    <mergeCell ref="AA409:AQ409"/>
    <mergeCell ref="B410:D410"/>
    <mergeCell ref="E410:G410"/>
    <mergeCell ref="H410:K410"/>
    <mergeCell ref="L410:P410"/>
    <mergeCell ref="Q410:Z410"/>
    <mergeCell ref="AA410:AQ410"/>
    <mergeCell ref="B415:D415"/>
    <mergeCell ref="E415:G415"/>
    <mergeCell ref="H415:K415"/>
    <mergeCell ref="L415:P415"/>
    <mergeCell ref="Q415:Z415"/>
    <mergeCell ref="AA415:AQ415"/>
    <mergeCell ref="B416:D416"/>
    <mergeCell ref="E416:G416"/>
    <mergeCell ref="H416:K416"/>
    <mergeCell ref="L416:P416"/>
    <mergeCell ref="Q416:Z416"/>
    <mergeCell ref="AA416:AQ416"/>
    <mergeCell ref="B413:D413"/>
    <mergeCell ref="E413:G413"/>
    <mergeCell ref="H413:K413"/>
    <mergeCell ref="L413:P413"/>
    <mergeCell ref="Q413:Z413"/>
    <mergeCell ref="AA413:AQ413"/>
    <mergeCell ref="B414:D414"/>
    <mergeCell ref="E414:G414"/>
    <mergeCell ref="H414:K414"/>
    <mergeCell ref="L414:P414"/>
    <mergeCell ref="Q414:Z414"/>
    <mergeCell ref="AA414:AQ414"/>
    <mergeCell ref="B419:D419"/>
    <mergeCell ref="E419:G419"/>
    <mergeCell ref="H419:K419"/>
    <mergeCell ref="L419:P419"/>
    <mergeCell ref="Q419:Z419"/>
    <mergeCell ref="AA419:AQ419"/>
    <mergeCell ref="B420:D420"/>
    <mergeCell ref="E420:G420"/>
    <mergeCell ref="H420:K420"/>
    <mergeCell ref="L420:P420"/>
    <mergeCell ref="Q420:Z420"/>
    <mergeCell ref="AA420:AQ420"/>
    <mergeCell ref="B417:D417"/>
    <mergeCell ref="E417:G417"/>
    <mergeCell ref="H417:K417"/>
    <mergeCell ref="L417:P417"/>
    <mergeCell ref="Q417:Z417"/>
    <mergeCell ref="AA417:AQ417"/>
    <mergeCell ref="B418:D418"/>
    <mergeCell ref="E418:G418"/>
    <mergeCell ref="H418:K418"/>
    <mergeCell ref="L418:P418"/>
    <mergeCell ref="Q418:Z418"/>
    <mergeCell ref="AA418:AQ418"/>
    <mergeCell ref="B423:D423"/>
    <mergeCell ref="E423:G423"/>
    <mergeCell ref="H423:K423"/>
    <mergeCell ref="L423:P423"/>
    <mergeCell ref="Q423:Z423"/>
    <mergeCell ref="AA423:AQ423"/>
    <mergeCell ref="B424:D424"/>
    <mergeCell ref="E424:G424"/>
    <mergeCell ref="H424:K424"/>
    <mergeCell ref="L424:P424"/>
    <mergeCell ref="Q424:Z424"/>
    <mergeCell ref="AA424:AQ424"/>
    <mergeCell ref="B421:D421"/>
    <mergeCell ref="E421:G421"/>
    <mergeCell ref="H421:K421"/>
    <mergeCell ref="L421:P421"/>
    <mergeCell ref="Q421:Z421"/>
    <mergeCell ref="AA421:AQ421"/>
    <mergeCell ref="B422:D422"/>
    <mergeCell ref="E422:G422"/>
    <mergeCell ref="H422:K422"/>
    <mergeCell ref="L422:P422"/>
    <mergeCell ref="Q422:Z422"/>
    <mergeCell ref="AA422:AQ422"/>
    <mergeCell ref="B427:D427"/>
    <mergeCell ref="E427:G427"/>
    <mergeCell ref="H427:K427"/>
    <mergeCell ref="L427:P427"/>
    <mergeCell ref="Q427:Z427"/>
    <mergeCell ref="AA427:AQ427"/>
    <mergeCell ref="B428:D428"/>
    <mergeCell ref="E428:G428"/>
    <mergeCell ref="H428:K428"/>
    <mergeCell ref="L428:P428"/>
    <mergeCell ref="Q428:Z428"/>
    <mergeCell ref="AA428:AQ428"/>
    <mergeCell ref="B425:D425"/>
    <mergeCell ref="E425:G425"/>
    <mergeCell ref="H425:K425"/>
    <mergeCell ref="L425:P425"/>
    <mergeCell ref="Q425:Z425"/>
    <mergeCell ref="AA425:AQ425"/>
    <mergeCell ref="B426:D426"/>
    <mergeCell ref="E426:G426"/>
    <mergeCell ref="H426:K426"/>
    <mergeCell ref="L426:P426"/>
    <mergeCell ref="Q426:Z426"/>
    <mergeCell ref="AA426:AQ426"/>
    <mergeCell ref="B431:D431"/>
    <mergeCell ref="E431:G431"/>
    <mergeCell ref="H431:K431"/>
    <mergeCell ref="L431:P431"/>
    <mergeCell ref="Q431:Z431"/>
    <mergeCell ref="AA431:AQ431"/>
    <mergeCell ref="B432:D432"/>
    <mergeCell ref="E432:G432"/>
    <mergeCell ref="H432:K432"/>
    <mergeCell ref="L432:P432"/>
    <mergeCell ref="Q432:Z432"/>
    <mergeCell ref="AA432:AQ432"/>
    <mergeCell ref="B429:D429"/>
    <mergeCell ref="E429:G429"/>
    <mergeCell ref="H429:K429"/>
    <mergeCell ref="L429:P429"/>
    <mergeCell ref="Q429:Z429"/>
    <mergeCell ref="AA429:AQ429"/>
    <mergeCell ref="B430:D430"/>
    <mergeCell ref="E430:G430"/>
    <mergeCell ref="H430:K430"/>
    <mergeCell ref="L430:P430"/>
    <mergeCell ref="Q430:Z430"/>
    <mergeCell ref="AA430:AQ430"/>
    <mergeCell ref="B435:D435"/>
    <mergeCell ref="E435:G435"/>
    <mergeCell ref="H435:K435"/>
    <mergeCell ref="L435:P435"/>
    <mergeCell ref="Q435:Z435"/>
    <mergeCell ref="AA435:AQ435"/>
    <mergeCell ref="B436:D436"/>
    <mergeCell ref="E436:G436"/>
    <mergeCell ref="H436:K436"/>
    <mergeCell ref="L436:P436"/>
    <mergeCell ref="Q436:Z436"/>
    <mergeCell ref="AA436:AQ436"/>
    <mergeCell ref="B433:D433"/>
    <mergeCell ref="E433:G433"/>
    <mergeCell ref="H433:K433"/>
    <mergeCell ref="L433:P433"/>
    <mergeCell ref="Q433:Z433"/>
    <mergeCell ref="AA433:AQ433"/>
    <mergeCell ref="B434:D434"/>
    <mergeCell ref="E434:G434"/>
    <mergeCell ref="H434:K434"/>
    <mergeCell ref="L434:P434"/>
    <mergeCell ref="Q434:Z434"/>
    <mergeCell ref="AA434:AQ434"/>
    <mergeCell ref="B439:D439"/>
    <mergeCell ref="E439:G439"/>
    <mergeCell ref="H439:K439"/>
    <mergeCell ref="L439:P439"/>
    <mergeCell ref="Q439:Z439"/>
    <mergeCell ref="AA439:AQ439"/>
    <mergeCell ref="B440:D440"/>
    <mergeCell ref="E440:G440"/>
    <mergeCell ref="H440:K440"/>
    <mergeCell ref="L440:P440"/>
    <mergeCell ref="Q440:Z440"/>
    <mergeCell ref="AA440:AQ440"/>
    <mergeCell ref="B437:D437"/>
    <mergeCell ref="E437:G437"/>
    <mergeCell ref="H437:K437"/>
    <mergeCell ref="L437:P437"/>
    <mergeCell ref="Q437:Z437"/>
    <mergeCell ref="AA437:AQ437"/>
    <mergeCell ref="B438:D438"/>
    <mergeCell ref="E438:G438"/>
    <mergeCell ref="H438:K438"/>
    <mergeCell ref="L438:P438"/>
    <mergeCell ref="Q438:Z438"/>
    <mergeCell ref="AA438:AQ438"/>
    <mergeCell ref="B443:D443"/>
    <mergeCell ref="E443:G443"/>
    <mergeCell ref="H443:K443"/>
    <mergeCell ref="L443:P443"/>
    <mergeCell ref="Q443:Z443"/>
    <mergeCell ref="AA443:AQ443"/>
    <mergeCell ref="B444:D444"/>
    <mergeCell ref="E444:G444"/>
    <mergeCell ref="H444:K444"/>
    <mergeCell ref="L444:P444"/>
    <mergeCell ref="Q444:Z444"/>
    <mergeCell ref="AA444:AQ444"/>
    <mergeCell ref="B441:D441"/>
    <mergeCell ref="E441:G441"/>
    <mergeCell ref="H441:K441"/>
    <mergeCell ref="L441:P441"/>
    <mergeCell ref="Q441:Z441"/>
    <mergeCell ref="AA441:AQ441"/>
    <mergeCell ref="B442:D442"/>
    <mergeCell ref="E442:G442"/>
    <mergeCell ref="H442:K442"/>
    <mergeCell ref="L442:P442"/>
    <mergeCell ref="Q442:Z442"/>
    <mergeCell ref="AA442:AQ442"/>
    <mergeCell ref="B447:D447"/>
    <mergeCell ref="E447:G447"/>
    <mergeCell ref="H447:K447"/>
    <mergeCell ref="L447:P447"/>
    <mergeCell ref="Q447:Z447"/>
    <mergeCell ref="AA447:AQ447"/>
    <mergeCell ref="B448:D448"/>
    <mergeCell ref="E448:G448"/>
    <mergeCell ref="H448:K448"/>
    <mergeCell ref="L448:P448"/>
    <mergeCell ref="Q448:Z448"/>
    <mergeCell ref="AA448:AQ448"/>
    <mergeCell ref="B445:D445"/>
    <mergeCell ref="E445:G445"/>
    <mergeCell ref="H445:K445"/>
    <mergeCell ref="L445:P445"/>
    <mergeCell ref="Q445:Z445"/>
    <mergeCell ref="AA445:AQ445"/>
    <mergeCell ref="B446:D446"/>
    <mergeCell ref="E446:G446"/>
    <mergeCell ref="H446:K446"/>
    <mergeCell ref="L446:P446"/>
    <mergeCell ref="Q446:Z446"/>
    <mergeCell ref="AA446:AQ446"/>
    <mergeCell ref="B451:D451"/>
    <mergeCell ref="E451:G451"/>
    <mergeCell ref="H451:K451"/>
    <mergeCell ref="L451:P451"/>
    <mergeCell ref="Q451:Z451"/>
    <mergeCell ref="AA451:AQ451"/>
    <mergeCell ref="B452:D452"/>
    <mergeCell ref="E452:G452"/>
    <mergeCell ref="H452:K452"/>
    <mergeCell ref="L452:P452"/>
    <mergeCell ref="Q452:Z452"/>
    <mergeCell ref="AA452:AQ452"/>
    <mergeCell ref="B449:D449"/>
    <mergeCell ref="E449:G449"/>
    <mergeCell ref="H449:K449"/>
    <mergeCell ref="L449:P449"/>
    <mergeCell ref="Q449:Z449"/>
    <mergeCell ref="AA449:AQ449"/>
    <mergeCell ref="B450:D450"/>
    <mergeCell ref="E450:G450"/>
    <mergeCell ref="H450:K450"/>
    <mergeCell ref="L450:P450"/>
    <mergeCell ref="Q450:Z450"/>
    <mergeCell ref="AA450:AQ450"/>
    <mergeCell ref="B455:D455"/>
    <mergeCell ref="E455:G455"/>
    <mergeCell ref="H455:K455"/>
    <mergeCell ref="L455:P455"/>
    <mergeCell ref="Q455:Z455"/>
    <mergeCell ref="AA455:AQ455"/>
    <mergeCell ref="B456:D456"/>
    <mergeCell ref="E456:G456"/>
    <mergeCell ref="H456:K456"/>
    <mergeCell ref="L456:P456"/>
    <mergeCell ref="Q456:Z456"/>
    <mergeCell ref="AA456:AQ456"/>
    <mergeCell ref="B453:D453"/>
    <mergeCell ref="E453:G453"/>
    <mergeCell ref="H453:K453"/>
    <mergeCell ref="L453:P453"/>
    <mergeCell ref="Q453:Z453"/>
    <mergeCell ref="AA453:AQ453"/>
    <mergeCell ref="B454:D454"/>
    <mergeCell ref="E454:G454"/>
    <mergeCell ref="H454:K454"/>
    <mergeCell ref="L454:P454"/>
    <mergeCell ref="Q454:Z454"/>
    <mergeCell ref="AA454:AQ454"/>
    <mergeCell ref="B459:D459"/>
    <mergeCell ref="E459:G459"/>
    <mergeCell ref="H459:K459"/>
    <mergeCell ref="L459:P459"/>
    <mergeCell ref="Q459:Z459"/>
    <mergeCell ref="AA459:AQ459"/>
    <mergeCell ref="B460:D460"/>
    <mergeCell ref="E460:G460"/>
    <mergeCell ref="H460:K460"/>
    <mergeCell ref="L460:P460"/>
    <mergeCell ref="Q460:Z460"/>
    <mergeCell ref="AA460:AQ460"/>
    <mergeCell ref="B457:D457"/>
    <mergeCell ref="E457:G457"/>
    <mergeCell ref="H457:K457"/>
    <mergeCell ref="L457:P457"/>
    <mergeCell ref="Q457:Z457"/>
    <mergeCell ref="AA457:AQ457"/>
    <mergeCell ref="B458:D458"/>
    <mergeCell ref="E458:G458"/>
    <mergeCell ref="H458:K458"/>
    <mergeCell ref="L458:P458"/>
    <mergeCell ref="Q458:Z458"/>
    <mergeCell ref="AA458:AQ458"/>
    <mergeCell ref="B463:D463"/>
    <mergeCell ref="E463:G463"/>
    <mergeCell ref="H463:K463"/>
    <mergeCell ref="L463:P463"/>
    <mergeCell ref="Q463:Z463"/>
    <mergeCell ref="AA463:AQ463"/>
    <mergeCell ref="B464:D464"/>
    <mergeCell ref="E464:G464"/>
    <mergeCell ref="H464:K464"/>
    <mergeCell ref="L464:P464"/>
    <mergeCell ref="Q464:Z464"/>
    <mergeCell ref="AA464:AQ464"/>
    <mergeCell ref="B461:D461"/>
    <mergeCell ref="E461:G461"/>
    <mergeCell ref="H461:K461"/>
    <mergeCell ref="L461:P461"/>
    <mergeCell ref="Q461:Z461"/>
    <mergeCell ref="AA461:AQ461"/>
    <mergeCell ref="B462:D462"/>
    <mergeCell ref="E462:G462"/>
    <mergeCell ref="H462:K462"/>
    <mergeCell ref="L462:P462"/>
    <mergeCell ref="Q462:Z462"/>
    <mergeCell ref="AA462:AQ462"/>
    <mergeCell ref="B467:D467"/>
    <mergeCell ref="E467:G467"/>
    <mergeCell ref="H467:K467"/>
    <mergeCell ref="L467:P467"/>
    <mergeCell ref="Q467:Z467"/>
    <mergeCell ref="AA467:AQ467"/>
    <mergeCell ref="B468:D468"/>
    <mergeCell ref="E468:G468"/>
    <mergeCell ref="H468:K468"/>
    <mergeCell ref="L468:P468"/>
    <mergeCell ref="Q468:Z468"/>
    <mergeCell ref="AA468:AQ468"/>
    <mergeCell ref="B465:D465"/>
    <mergeCell ref="E465:G465"/>
    <mergeCell ref="H465:K465"/>
    <mergeCell ref="L465:P465"/>
    <mergeCell ref="Q465:Z465"/>
    <mergeCell ref="AA465:AQ465"/>
    <mergeCell ref="B466:D466"/>
    <mergeCell ref="E466:G466"/>
    <mergeCell ref="H466:K466"/>
    <mergeCell ref="L466:P466"/>
    <mergeCell ref="Q466:Z466"/>
    <mergeCell ref="AA466:AQ466"/>
    <mergeCell ref="B471:D471"/>
    <mergeCell ref="E471:G471"/>
    <mergeCell ref="H471:K471"/>
    <mergeCell ref="L471:P471"/>
    <mergeCell ref="Q471:Z471"/>
    <mergeCell ref="AA471:AQ471"/>
    <mergeCell ref="B472:D472"/>
    <mergeCell ref="E472:G472"/>
    <mergeCell ref="H472:K472"/>
    <mergeCell ref="L472:P472"/>
    <mergeCell ref="Q472:Z472"/>
    <mergeCell ref="AA472:AQ472"/>
    <mergeCell ref="B469:D469"/>
    <mergeCell ref="E469:G469"/>
    <mergeCell ref="H469:K469"/>
    <mergeCell ref="L469:P469"/>
    <mergeCell ref="Q469:Z469"/>
    <mergeCell ref="AA469:AQ469"/>
    <mergeCell ref="B470:D470"/>
    <mergeCell ref="E470:G470"/>
    <mergeCell ref="H470:K470"/>
    <mergeCell ref="L470:P470"/>
    <mergeCell ref="Q470:Z470"/>
    <mergeCell ref="AA470:AQ470"/>
    <mergeCell ref="B475:D475"/>
    <mergeCell ref="E475:G475"/>
    <mergeCell ref="H475:K475"/>
    <mergeCell ref="L475:P475"/>
    <mergeCell ref="Q475:Z475"/>
    <mergeCell ref="AA475:AQ475"/>
    <mergeCell ref="B476:D476"/>
    <mergeCell ref="E476:G476"/>
    <mergeCell ref="H476:K476"/>
    <mergeCell ref="L476:P476"/>
    <mergeCell ref="Q476:Z476"/>
    <mergeCell ref="AA476:AQ476"/>
    <mergeCell ref="B473:D473"/>
    <mergeCell ref="E473:G473"/>
    <mergeCell ref="H473:K473"/>
    <mergeCell ref="L473:P473"/>
    <mergeCell ref="Q473:Z473"/>
    <mergeCell ref="AA473:AQ473"/>
    <mergeCell ref="B474:D474"/>
    <mergeCell ref="E474:G474"/>
    <mergeCell ref="H474:K474"/>
    <mergeCell ref="L474:P474"/>
    <mergeCell ref="Q474:Z474"/>
    <mergeCell ref="AA474:AQ474"/>
    <mergeCell ref="B479:D479"/>
    <mergeCell ref="E479:G479"/>
    <mergeCell ref="H479:K479"/>
    <mergeCell ref="L479:P479"/>
    <mergeCell ref="Q479:Z479"/>
    <mergeCell ref="AA479:AQ479"/>
    <mergeCell ref="B480:D480"/>
    <mergeCell ref="E480:G480"/>
    <mergeCell ref="H480:K480"/>
    <mergeCell ref="L480:P480"/>
    <mergeCell ref="Q480:Z480"/>
    <mergeCell ref="AA480:AQ480"/>
    <mergeCell ref="B477:D477"/>
    <mergeCell ref="E477:G477"/>
    <mergeCell ref="H477:K477"/>
    <mergeCell ref="L477:P477"/>
    <mergeCell ref="Q477:Z477"/>
    <mergeCell ref="AA477:AQ477"/>
    <mergeCell ref="B478:D478"/>
    <mergeCell ref="E478:G478"/>
    <mergeCell ref="H478:K478"/>
    <mergeCell ref="L478:P478"/>
    <mergeCell ref="Q478:Z478"/>
    <mergeCell ref="AA478:AQ478"/>
    <mergeCell ref="B483:D483"/>
    <mergeCell ref="E483:G483"/>
    <mergeCell ref="H483:K483"/>
    <mergeCell ref="L483:P483"/>
    <mergeCell ref="Q483:Z483"/>
    <mergeCell ref="AA483:AQ483"/>
    <mergeCell ref="B484:D484"/>
    <mergeCell ref="E484:G484"/>
    <mergeCell ref="H484:K484"/>
    <mergeCell ref="L484:P484"/>
    <mergeCell ref="Q484:Z484"/>
    <mergeCell ref="AA484:AQ484"/>
    <mergeCell ref="B481:D481"/>
    <mergeCell ref="E481:G481"/>
    <mergeCell ref="H481:K481"/>
    <mergeCell ref="L481:P481"/>
    <mergeCell ref="Q481:Z481"/>
    <mergeCell ref="AA481:AQ481"/>
    <mergeCell ref="B482:D482"/>
    <mergeCell ref="E482:G482"/>
    <mergeCell ref="H482:K482"/>
    <mergeCell ref="L482:P482"/>
    <mergeCell ref="Q482:Z482"/>
    <mergeCell ref="AA482:AQ482"/>
    <mergeCell ref="B487:D487"/>
    <mergeCell ref="E487:G487"/>
    <mergeCell ref="H487:K487"/>
    <mergeCell ref="L487:P487"/>
    <mergeCell ref="Q487:Z487"/>
    <mergeCell ref="AA487:AQ487"/>
    <mergeCell ref="B488:D488"/>
    <mergeCell ref="E488:G488"/>
    <mergeCell ref="H488:K488"/>
    <mergeCell ref="L488:P488"/>
    <mergeCell ref="Q488:Z488"/>
    <mergeCell ref="AA488:AQ488"/>
    <mergeCell ref="B485:D485"/>
    <mergeCell ref="E485:G485"/>
    <mergeCell ref="H485:K485"/>
    <mergeCell ref="L485:P485"/>
    <mergeCell ref="Q485:Z485"/>
    <mergeCell ref="AA485:AQ485"/>
    <mergeCell ref="B486:D486"/>
    <mergeCell ref="E486:G486"/>
    <mergeCell ref="H486:K486"/>
    <mergeCell ref="L486:P486"/>
    <mergeCell ref="Q486:Z486"/>
    <mergeCell ref="AA486:AQ486"/>
    <mergeCell ref="B491:D491"/>
    <mergeCell ref="E491:G491"/>
    <mergeCell ref="H491:K491"/>
    <mergeCell ref="L491:P491"/>
    <mergeCell ref="Q491:Z491"/>
    <mergeCell ref="AA491:AQ491"/>
    <mergeCell ref="B492:D492"/>
    <mergeCell ref="E492:G492"/>
    <mergeCell ref="H492:K492"/>
    <mergeCell ref="L492:P492"/>
    <mergeCell ref="Q492:Z492"/>
    <mergeCell ref="AA492:AQ492"/>
    <mergeCell ref="B489:D489"/>
    <mergeCell ref="E489:G489"/>
    <mergeCell ref="H489:K489"/>
    <mergeCell ref="L489:P489"/>
    <mergeCell ref="Q489:Z489"/>
    <mergeCell ref="AA489:AQ489"/>
    <mergeCell ref="B490:D490"/>
    <mergeCell ref="E490:G490"/>
    <mergeCell ref="H490:K490"/>
    <mergeCell ref="L490:P490"/>
    <mergeCell ref="Q490:Z490"/>
    <mergeCell ref="AA490:AQ490"/>
    <mergeCell ref="B495:D495"/>
    <mergeCell ref="E495:G495"/>
    <mergeCell ref="H495:K495"/>
    <mergeCell ref="L495:P495"/>
    <mergeCell ref="Q495:Z495"/>
    <mergeCell ref="AA495:AQ495"/>
    <mergeCell ref="B496:D496"/>
    <mergeCell ref="E496:G496"/>
    <mergeCell ref="H496:K496"/>
    <mergeCell ref="L496:P496"/>
    <mergeCell ref="Q496:Z496"/>
    <mergeCell ref="AA496:AQ496"/>
    <mergeCell ref="B493:D493"/>
    <mergeCell ref="E493:G493"/>
    <mergeCell ref="H493:K493"/>
    <mergeCell ref="L493:P493"/>
    <mergeCell ref="Q493:Z493"/>
    <mergeCell ref="AA493:AQ493"/>
    <mergeCell ref="B494:D494"/>
    <mergeCell ref="E494:G494"/>
    <mergeCell ref="H494:K494"/>
    <mergeCell ref="L494:P494"/>
    <mergeCell ref="Q494:Z494"/>
    <mergeCell ref="AA494:AQ494"/>
    <mergeCell ref="B499:D499"/>
    <mergeCell ref="E499:G499"/>
    <mergeCell ref="H499:K499"/>
    <mergeCell ref="L499:P499"/>
    <mergeCell ref="Q499:Z499"/>
    <mergeCell ref="AA499:AQ499"/>
    <mergeCell ref="B500:D500"/>
    <mergeCell ref="E500:G500"/>
    <mergeCell ref="H500:K500"/>
    <mergeCell ref="L500:P500"/>
    <mergeCell ref="Q500:Z500"/>
    <mergeCell ref="AA500:AQ500"/>
    <mergeCell ref="B497:D497"/>
    <mergeCell ref="E497:G497"/>
    <mergeCell ref="H497:K497"/>
    <mergeCell ref="L497:P497"/>
    <mergeCell ref="Q497:Z497"/>
    <mergeCell ref="AA497:AQ497"/>
    <mergeCell ref="B498:D498"/>
    <mergeCell ref="E498:G498"/>
    <mergeCell ref="H498:K498"/>
    <mergeCell ref="L498:P498"/>
    <mergeCell ref="Q498:Z498"/>
    <mergeCell ref="AA498:AQ498"/>
    <mergeCell ref="B503:D503"/>
    <mergeCell ref="E503:G503"/>
    <mergeCell ref="H503:K503"/>
    <mergeCell ref="L503:P503"/>
    <mergeCell ref="Q503:Z503"/>
    <mergeCell ref="AA503:AQ503"/>
    <mergeCell ref="B504:D504"/>
    <mergeCell ref="E504:G504"/>
    <mergeCell ref="H504:K504"/>
    <mergeCell ref="L504:P504"/>
    <mergeCell ref="Q504:Z504"/>
    <mergeCell ref="AA504:AQ504"/>
    <mergeCell ref="B501:D501"/>
    <mergeCell ref="E501:G501"/>
    <mergeCell ref="H501:K501"/>
    <mergeCell ref="L501:P501"/>
    <mergeCell ref="Q501:Z501"/>
    <mergeCell ref="AA501:AQ501"/>
    <mergeCell ref="B502:D502"/>
    <mergeCell ref="E502:G502"/>
    <mergeCell ref="H502:K502"/>
    <mergeCell ref="L502:P502"/>
    <mergeCell ref="Q502:Z502"/>
    <mergeCell ref="AA502:AQ502"/>
    <mergeCell ref="B507:D507"/>
    <mergeCell ref="E507:G507"/>
    <mergeCell ref="H507:K507"/>
    <mergeCell ref="L507:P507"/>
    <mergeCell ref="Q507:Z507"/>
    <mergeCell ref="AA507:AQ507"/>
    <mergeCell ref="B508:D508"/>
    <mergeCell ref="E508:G508"/>
    <mergeCell ref="H508:K508"/>
    <mergeCell ref="L508:P508"/>
    <mergeCell ref="Q508:Z508"/>
    <mergeCell ref="AA508:AQ508"/>
    <mergeCell ref="B505:D505"/>
    <mergeCell ref="E505:G505"/>
    <mergeCell ref="H505:K505"/>
    <mergeCell ref="L505:P505"/>
    <mergeCell ref="Q505:Z505"/>
    <mergeCell ref="AA505:AQ505"/>
    <mergeCell ref="B506:D506"/>
    <mergeCell ref="E506:G506"/>
    <mergeCell ref="H506:K506"/>
    <mergeCell ref="L506:P506"/>
    <mergeCell ref="Q506:Z506"/>
    <mergeCell ref="AA506:AQ506"/>
    <mergeCell ref="B511:D511"/>
    <mergeCell ref="E511:G511"/>
    <mergeCell ref="H511:K511"/>
    <mergeCell ref="L511:P511"/>
    <mergeCell ref="Q511:Z511"/>
    <mergeCell ref="AA511:AQ511"/>
    <mergeCell ref="B512:D512"/>
    <mergeCell ref="E512:G512"/>
    <mergeCell ref="H512:K512"/>
    <mergeCell ref="L512:P512"/>
    <mergeCell ref="Q512:Z512"/>
    <mergeCell ref="AA512:AQ512"/>
    <mergeCell ref="B509:D509"/>
    <mergeCell ref="E509:G509"/>
    <mergeCell ref="H509:K509"/>
    <mergeCell ref="L509:P509"/>
    <mergeCell ref="Q509:Z509"/>
    <mergeCell ref="AA509:AQ509"/>
    <mergeCell ref="B510:D510"/>
    <mergeCell ref="E510:G510"/>
    <mergeCell ref="H510:K510"/>
    <mergeCell ref="L510:P510"/>
    <mergeCell ref="Q510:Z510"/>
    <mergeCell ref="AA510:AQ510"/>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'Drop-Down Boxes '!$D$3:$D$14</xm:f>
          </x14:formula1>
          <xm:sqref>F9:M9</xm:sqref>
        </x14:dataValidation>
        <x14:dataValidation type="list" allowBlank="1" showInputMessage="1" showErrorMessage="1" xr:uid="{00000000-0002-0000-0600-000001000000}">
          <x14:formula1>
            <xm:f>'Drop-Down Boxes '!$H$3:$H$5</xm:f>
          </x14:formula1>
          <xm:sqref>N9</xm:sqref>
        </x14:dataValidation>
        <x14:dataValidation type="list" allowBlank="1" showInputMessage="1" showErrorMessage="1" xr:uid="{E7B6C651-F0B7-40BD-BB6A-FBCF586EF4EB}">
          <x14:formula1>
            <xm:f>'Drop-Down Boxes '!$D$105:$D$108</xm:f>
          </x14:formula1>
          <xm:sqref>E13:G512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INSTRUCTIONS </vt:lpstr>
      <vt:lpstr>GRANTEE SET UP INFO &amp; DATE </vt:lpstr>
      <vt:lpstr>REFERRAL ONLY</vt:lpstr>
      <vt:lpstr>refer admin discharge</vt:lpstr>
      <vt:lpstr>NOMS PRE ADM POST DISC</vt:lpstr>
      <vt:lpstr>TRAINING</vt:lpstr>
      <vt:lpstr>Naloxone Training Distribution</vt:lpstr>
      <vt:lpstr>ACTIVITIES MEETINGS EVENTS </vt:lpstr>
      <vt:lpstr>CONSUMER FEEDBACK</vt:lpstr>
      <vt:lpstr>SUMMARY</vt:lpstr>
      <vt:lpstr>Sheet1</vt:lpstr>
      <vt:lpstr>Drop-Down Boxes </vt:lpstr>
      <vt:lpstr> Scratch</vt:lpstr>
      <vt:lpstr>'refer admin discharge'!Print_Titles</vt:lpstr>
      <vt:lpstr>'REFERRAL ONLY'!Print_Titles</vt:lpstr>
    </vt:vector>
  </TitlesOfParts>
  <Company>West Virginia Office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Winston, Pat A</dc:creator>
  <cp:lastModifiedBy>Perry, Saundra K</cp:lastModifiedBy>
  <cp:lastPrinted>2018-12-06T12:54:25Z</cp:lastPrinted>
  <dcterms:created xsi:type="dcterms:W3CDTF">2015-12-01T21:42:32Z</dcterms:created>
  <dcterms:modified xsi:type="dcterms:W3CDTF">2023-12-28T19:42:16Z</dcterms:modified>
</cp:coreProperties>
</file>